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395259\Dropbox\CityTax (most update)\Cities\"/>
    </mc:Choice>
  </mc:AlternateContent>
  <bookViews>
    <workbookView xWindow="9720" yWindow="-240" windowWidth="9420" windowHeight="8955" tabRatio="911" activeTab="7"/>
  </bookViews>
  <sheets>
    <sheet name="מקור 2016" sheetId="18" r:id="rId1"/>
    <sheet name="Chapter" sheetId="4" r:id="rId2"/>
    <sheet name="type" sheetId="3" r:id="rId3"/>
    <sheet name="דמוגרפיה" sheetId="8" r:id="rId4"/>
    <sheet name="נתוני הכנסות עצמיות" sheetId="15" r:id="rId5"/>
    <sheet name="רמה 2" sheetId="6" r:id="rId6"/>
    <sheet name="תקציב 2015" sheetId="2" r:id="rId7"/>
    <sheet name="הצעת תקציב 2016" sheetId="1" r:id="rId8"/>
    <sheet name="ריכוז נתוני 2016" sheetId="17" r:id="rId9"/>
    <sheet name="City Story" sheetId="16" r:id="rId10"/>
    <sheet name="משימות פירוק" sheetId="5" r:id="rId11"/>
    <sheet name="הצלבות בין הכנסות והוצאות" sheetId="7" r:id="rId12"/>
    <sheet name="חינוך" sheetId="9" r:id="rId13"/>
    <sheet name="תרבות וספורט" sheetId="12" r:id="rId14"/>
  </sheets>
  <externalReferences>
    <externalReference r:id="rId15"/>
    <externalReference r:id="rId16"/>
  </externalReferences>
  <definedNames>
    <definedName name="_xlnm._FilterDatabase" localSheetId="11" hidden="1">'הצלבות בין הכנסות והוצאות'!$A$165:$N$165</definedName>
    <definedName name="_xlnm._FilterDatabase" localSheetId="7" hidden="1">'הצעת תקציב 2016'!$A$2:$Z$7326</definedName>
    <definedName name="_xlnm._FilterDatabase" localSheetId="0" hidden="1">'מקור 2016'!$M$1:$U$1</definedName>
    <definedName name="_xlnm._FilterDatabase" localSheetId="6" hidden="1">'תקציב 2015'!$A$2:$J$5960</definedName>
    <definedName name="Actual_2013">'הצעת תקציב 2016'!$J$3:$J$3691</definedName>
    <definedName name="Budget_2013">'הצעת תקציב 2016'!$K$3:$K$7326</definedName>
    <definedName name="Budget_2014">'הצעת תקציב 2016'!$I$3:$I$7326</definedName>
    <definedName name="Budget_2015">'הצעת תקציב 2016'!$H$3:$H$7326</definedName>
    <definedName name="Chapter">Chapter!$A$1:$H$681</definedName>
    <definedName name="Chapter_1">'הצעת תקציב 2016'!$L$3:$L$3691</definedName>
    <definedName name="Chapter_2">'הצעת תקציב 2016'!$N$3:$N$3691</definedName>
    <definedName name="Chapter_3">'הצעת תקציב 2016'!$P$3:$P$7326</definedName>
    <definedName name="Data">'הצעת תקציב 2016'!$A$2:$Z$3691</definedName>
    <definedName name="Expenditure_type">type!$A$2:$H$117</definedName>
    <definedName name="_xlnm.Print_Area" localSheetId="7">'הצעת תקציב 2016'!$A$3:$J$3691</definedName>
    <definedName name="_xlnm.Print_Area" localSheetId="0">'מקור 2016'!$A$1:$I$3347</definedName>
    <definedName name="_xlnm.Print_Titles" localSheetId="7">'הצעת תקציב 2016'!$1:$2</definedName>
    <definedName name="_xlnm.Print_Titles" localSheetId="0">'מקור 2016'!$1:$1</definedName>
    <definedName name="Revenue_type">type!$A$118:$H$168</definedName>
    <definedName name="Type_1">'הצעת תקציב 2016'!$U$3:$U$3691</definedName>
    <definedName name="Type_2">'הצעת תקציב 2016'!$W$3:$W$3691</definedName>
    <definedName name="יחס_ארנונה">'הצלבות בין הכנסות והוצאות'!$D$273</definedName>
    <definedName name="ילדים">דמוגרפיה!$R$20</definedName>
    <definedName name="ילדים_ונוער">דמוגרפיה!$R$18</definedName>
    <definedName name="לא_ילדים">דמוגרפיה!$R$21</definedName>
    <definedName name="קשישים">דמוגרפיה!$R$19</definedName>
    <definedName name="תושבים_2015">דמוגרפיה!$O$7</definedName>
    <definedName name="תקציב_2013">'תקציב 2015'!$A$3:$J$5960</definedName>
  </definedNames>
  <calcPr calcId="152511"/>
  <pivotCaches>
    <pivotCache cacheId="3" r:id="rId17"/>
    <pivotCache cacheId="4" r:id="rId18"/>
    <pivotCache cacheId="5" r:id="rId19"/>
  </pivotCaches>
</workbook>
</file>

<file path=xl/calcChain.xml><?xml version="1.0" encoding="utf-8"?>
<calcChain xmlns="http://schemas.openxmlformats.org/spreadsheetml/2006/main">
  <c r="H62" i="16" l="1"/>
  <c r="K62" i="16"/>
  <c r="J62" i="16"/>
  <c r="I62" i="16"/>
  <c r="K64" i="16"/>
  <c r="J64" i="16"/>
  <c r="I64" i="16"/>
  <c r="K63" i="16"/>
  <c r="J63" i="16"/>
  <c r="I63" i="16"/>
  <c r="H64" i="16"/>
  <c r="H63" i="16"/>
  <c r="AG271" i="17"/>
  <c r="U268" i="17"/>
  <c r="U269" i="17"/>
  <c r="T269" i="17"/>
  <c r="S269" i="17"/>
  <c r="T268" i="17"/>
  <c r="S268" i="17"/>
  <c r="AE268" i="17" s="1"/>
  <c r="B63" i="16"/>
  <c r="D64" i="16"/>
  <c r="B64" i="16"/>
  <c r="D63" i="16"/>
  <c r="AF268" i="17" l="1"/>
  <c r="V268" i="17"/>
  <c r="AD268" i="17" s="1"/>
  <c r="AF269" i="17"/>
  <c r="V269" i="17"/>
  <c r="AD269" i="17" s="1"/>
  <c r="AE269" i="17"/>
  <c r="AU150" i="17" l="1"/>
  <c r="AU149" i="17"/>
  <c r="AU148" i="17"/>
  <c r="AU147" i="17"/>
  <c r="AU146" i="17"/>
  <c r="AU145" i="17"/>
  <c r="AU144" i="17"/>
  <c r="AU143" i="17"/>
  <c r="AT147" i="17"/>
  <c r="AS147" i="17"/>
  <c r="AR147" i="17"/>
  <c r="AT150" i="17"/>
  <c r="AS150" i="17"/>
  <c r="AR150" i="17"/>
  <c r="AQ150" i="17"/>
  <c r="AT149" i="17"/>
  <c r="AS149" i="17"/>
  <c r="AR149" i="17"/>
  <c r="AT148" i="17"/>
  <c r="AS148" i="17"/>
  <c r="AR148" i="17"/>
  <c r="AT146" i="17"/>
  <c r="AS146" i="17"/>
  <c r="AR146" i="17"/>
  <c r="AT145" i="17"/>
  <c r="AS145" i="17"/>
  <c r="AR145" i="17"/>
  <c r="AT144" i="17"/>
  <c r="AS144" i="17"/>
  <c r="AR144" i="17"/>
  <c r="AT143" i="17"/>
  <c r="AS143" i="17"/>
  <c r="AR143" i="17"/>
  <c r="AQ149" i="17"/>
  <c r="AQ148" i="17"/>
  <c r="AQ147" i="17"/>
  <c r="AQ146" i="17"/>
  <c r="AQ144" i="17"/>
  <c r="AQ143" i="17"/>
  <c r="AO150" i="17"/>
  <c r="AN150" i="17"/>
  <c r="AM150" i="17"/>
  <c r="AL150" i="17"/>
  <c r="AO148" i="17"/>
  <c r="AO147" i="17"/>
  <c r="AO146" i="17"/>
  <c r="AO145" i="17"/>
  <c r="AO144" i="17"/>
  <c r="AO143" i="17"/>
  <c r="AN148" i="17"/>
  <c r="AM148" i="17"/>
  <c r="AN147" i="17"/>
  <c r="AM147" i="17"/>
  <c r="AN146" i="17"/>
  <c r="AM146" i="17"/>
  <c r="AN145" i="17"/>
  <c r="AM145" i="17"/>
  <c r="AN144" i="17"/>
  <c r="AM144" i="17"/>
  <c r="AN143" i="17"/>
  <c r="AM143" i="17"/>
  <c r="AL148" i="17"/>
  <c r="AL147" i="17"/>
  <c r="AL146" i="17"/>
  <c r="AL144" i="17"/>
  <c r="AL143" i="17"/>
  <c r="AO138" i="17"/>
  <c r="AN138" i="17"/>
  <c r="AM138" i="17"/>
  <c r="AL138" i="17"/>
  <c r="AO139" i="17"/>
  <c r="AN139" i="17"/>
  <c r="AM139" i="17"/>
  <c r="AL139" i="17"/>
  <c r="AO136" i="17"/>
  <c r="AN136" i="17"/>
  <c r="AM136" i="17"/>
  <c r="AL136" i="17"/>
  <c r="AO134" i="17"/>
  <c r="AN134" i="17"/>
  <c r="AM134" i="17"/>
  <c r="AL134" i="17"/>
  <c r="AO135" i="17"/>
  <c r="AN135" i="17"/>
  <c r="AM135" i="17"/>
  <c r="AL135" i="17"/>
  <c r="AL164" i="17" l="1"/>
  <c r="AT167" i="17"/>
  <c r="AS167" i="17"/>
  <c r="AR167" i="17"/>
  <c r="AT166" i="17"/>
  <c r="AS166" i="17"/>
  <c r="AR166" i="17"/>
  <c r="AT165" i="17"/>
  <c r="AS165" i="17"/>
  <c r="AR165" i="17"/>
  <c r="AT164" i="17"/>
  <c r="AS164" i="17"/>
  <c r="AR164" i="17"/>
  <c r="AT163" i="17"/>
  <c r="AS163" i="17"/>
  <c r="AR163" i="17"/>
  <c r="AQ167" i="17"/>
  <c r="AQ166" i="17"/>
  <c r="AQ165" i="17"/>
  <c r="AQ164" i="17"/>
  <c r="AQ163" i="17"/>
  <c r="AT159" i="17"/>
  <c r="AS159" i="17"/>
  <c r="AR159" i="17"/>
  <c r="AT158" i="17"/>
  <c r="AS158" i="17"/>
  <c r="AR158" i="17"/>
  <c r="AT157" i="17"/>
  <c r="AS157" i="17"/>
  <c r="AR157" i="17"/>
  <c r="AT156" i="17"/>
  <c r="AS156" i="17"/>
  <c r="AR156" i="17"/>
  <c r="AT155" i="17"/>
  <c r="AS155" i="17"/>
  <c r="AR155" i="17"/>
  <c r="AQ159" i="17"/>
  <c r="AQ158" i="17"/>
  <c r="AQ157" i="17"/>
  <c r="AQ156" i="17"/>
  <c r="AQ155" i="17"/>
  <c r="AO167" i="17"/>
  <c r="AN167" i="17"/>
  <c r="AM167" i="17"/>
  <c r="AO166" i="17"/>
  <c r="AN166" i="17"/>
  <c r="AM166" i="17"/>
  <c r="AL167" i="17"/>
  <c r="AL166" i="17"/>
  <c r="AO165" i="17"/>
  <c r="AN165" i="17"/>
  <c r="AM165" i="17"/>
  <c r="AL165" i="17"/>
  <c r="AO164" i="17"/>
  <c r="AN164" i="17"/>
  <c r="AM164" i="17"/>
  <c r="AO163" i="17"/>
  <c r="AN163" i="17"/>
  <c r="AM163" i="17"/>
  <c r="AL163" i="17"/>
  <c r="AO159" i="17"/>
  <c r="AN159" i="17"/>
  <c r="AM159" i="17"/>
  <c r="AL159" i="17"/>
  <c r="AO158" i="17"/>
  <c r="AN158" i="17"/>
  <c r="AM158" i="17"/>
  <c r="AL158" i="17"/>
  <c r="AO157" i="17"/>
  <c r="AN157" i="17"/>
  <c r="AM157" i="17"/>
  <c r="AL157" i="17"/>
  <c r="AO155" i="17"/>
  <c r="AN155" i="17"/>
  <c r="AM155" i="17"/>
  <c r="AL155" i="17"/>
  <c r="AO156" i="17"/>
  <c r="AN156" i="17"/>
  <c r="AM156" i="17"/>
  <c r="AL156" i="17"/>
  <c r="Y632" i="1"/>
  <c r="W632" i="1"/>
  <c r="V632" i="1"/>
  <c r="U632" i="1"/>
  <c r="R632" i="1"/>
  <c r="S632" i="1" s="1"/>
  <c r="P632" i="1"/>
  <c r="Q632" i="1" s="1"/>
  <c r="N632" i="1"/>
  <c r="O632" i="1" s="1"/>
  <c r="L632" i="1"/>
  <c r="Z632" i="1" s="1"/>
  <c r="Y631" i="1"/>
  <c r="W631" i="1"/>
  <c r="U631" i="1"/>
  <c r="S631" i="1"/>
  <c r="R631" i="1"/>
  <c r="P631" i="1"/>
  <c r="Q631" i="1" s="1"/>
  <c r="N631" i="1"/>
  <c r="O631" i="1" s="1"/>
  <c r="L631" i="1"/>
  <c r="Y630" i="1"/>
  <c r="W630" i="1"/>
  <c r="U630" i="1"/>
  <c r="R630" i="1"/>
  <c r="S630" i="1" s="1"/>
  <c r="Q630" i="1"/>
  <c r="P630" i="1"/>
  <c r="N630" i="1"/>
  <c r="O630" i="1" s="1"/>
  <c r="L630" i="1"/>
  <c r="V630" i="1" s="1"/>
  <c r="Y629" i="1"/>
  <c r="W629" i="1"/>
  <c r="U629" i="1"/>
  <c r="R629" i="1"/>
  <c r="S629" i="1" s="1"/>
  <c r="P629" i="1"/>
  <c r="Q629" i="1" s="1"/>
  <c r="O629" i="1"/>
  <c r="N629" i="1"/>
  <c r="L629" i="1"/>
  <c r="Z629" i="1" s="1"/>
  <c r="Y628" i="1"/>
  <c r="Z628" i="1" s="1"/>
  <c r="W628" i="1"/>
  <c r="U628" i="1"/>
  <c r="V628" i="1" s="1"/>
  <c r="R628" i="1"/>
  <c r="S628" i="1" s="1"/>
  <c r="P628" i="1"/>
  <c r="Q628" i="1" s="1"/>
  <c r="N628" i="1"/>
  <c r="O628" i="1" s="1"/>
  <c r="M628" i="1"/>
  <c r="L628" i="1"/>
  <c r="D632" i="1"/>
  <c r="D631" i="1"/>
  <c r="D630" i="1"/>
  <c r="D629" i="1"/>
  <c r="D628" i="1"/>
  <c r="J1235" i="1"/>
  <c r="I1235" i="1"/>
  <c r="X630" i="1" l="1"/>
  <c r="X632" i="1"/>
  <c r="X629" i="1"/>
  <c r="M630" i="1"/>
  <c r="Z630" i="1"/>
  <c r="M632" i="1"/>
  <c r="X628" i="1"/>
  <c r="Z631" i="1"/>
  <c r="X631" i="1"/>
  <c r="M629" i="1"/>
  <c r="V629" i="1"/>
  <c r="M631" i="1"/>
  <c r="V631" i="1"/>
  <c r="Y1234" i="1" l="1"/>
  <c r="W1234" i="1"/>
  <c r="U1234" i="1"/>
  <c r="R1234" i="1"/>
  <c r="S1234" i="1" s="1"/>
  <c r="P1234" i="1"/>
  <c r="Q1234" i="1" s="1"/>
  <c r="N1234" i="1"/>
  <c r="O1234" i="1" s="1"/>
  <c r="L1234" i="1"/>
  <c r="H1235" i="1"/>
  <c r="H1236" i="1" s="1"/>
  <c r="Z1234" i="1" l="1"/>
  <c r="V1234" i="1"/>
  <c r="X1234" i="1"/>
  <c r="M1234" i="1"/>
  <c r="D1234" i="1"/>
  <c r="B102" i="17" l="1"/>
  <c r="J102" i="17"/>
  <c r="J103" i="17" l="1"/>
  <c r="R54" i="16"/>
  <c r="R48" i="16"/>
  <c r="AG146" i="17"/>
  <c r="AG144" i="17"/>
  <c r="AG142" i="17"/>
  <c r="AG148" i="17"/>
  <c r="AB265" i="17"/>
  <c r="AA265" i="17"/>
  <c r="Z265" i="17"/>
  <c r="Y265" i="17"/>
  <c r="X265" i="17"/>
  <c r="AB264" i="17"/>
  <c r="AA264" i="17"/>
  <c r="Z264" i="17"/>
  <c r="Y264" i="17"/>
  <c r="X264" i="17"/>
  <c r="AB263" i="17"/>
  <c r="AA263" i="17"/>
  <c r="Z263" i="17"/>
  <c r="Y263" i="17"/>
  <c r="X263" i="17"/>
  <c r="AB262" i="17"/>
  <c r="AA262" i="17"/>
  <c r="Z262" i="17"/>
  <c r="Y262" i="17"/>
  <c r="X262" i="17"/>
  <c r="AB261" i="17"/>
  <c r="AA261" i="17"/>
  <c r="Z261" i="17"/>
  <c r="Y261" i="17"/>
  <c r="X261" i="17"/>
  <c r="AB260" i="17"/>
  <c r="AA260" i="17"/>
  <c r="Z260" i="17"/>
  <c r="Y260" i="17"/>
  <c r="X260" i="17"/>
  <c r="AB259" i="17"/>
  <c r="AA259" i="17"/>
  <c r="Z259" i="17"/>
  <c r="Y259" i="17"/>
  <c r="X259" i="17"/>
  <c r="AB258" i="17"/>
  <c r="AA258" i="17"/>
  <c r="Z258" i="17"/>
  <c r="Y258" i="17"/>
  <c r="X258" i="17"/>
  <c r="AB257" i="17"/>
  <c r="AA257" i="17"/>
  <c r="Z257" i="17"/>
  <c r="Y257" i="17"/>
  <c r="X257" i="17"/>
  <c r="AB256" i="17"/>
  <c r="AA256" i="17"/>
  <c r="Z256" i="17"/>
  <c r="Y256" i="17"/>
  <c r="X256" i="17"/>
  <c r="AB255" i="17"/>
  <c r="AA255" i="17"/>
  <c r="Z255" i="17"/>
  <c r="Y255" i="17"/>
  <c r="X255" i="17"/>
  <c r="AB254" i="17"/>
  <c r="AA254" i="17"/>
  <c r="Z254" i="17"/>
  <c r="Y254" i="17"/>
  <c r="X254" i="17"/>
  <c r="AB253" i="17"/>
  <c r="AA253" i="17"/>
  <c r="Z253" i="17"/>
  <c r="Y253" i="17"/>
  <c r="X253" i="17"/>
  <c r="AB252" i="17"/>
  <c r="AA252" i="17"/>
  <c r="Z252" i="17"/>
  <c r="Y252" i="17"/>
  <c r="X252" i="17"/>
  <c r="AT135" i="17"/>
  <c r="AS135" i="17"/>
  <c r="AR135" i="17"/>
  <c r="AQ135" i="17"/>
  <c r="AT133" i="17"/>
  <c r="AS133" i="17"/>
  <c r="AR133" i="17"/>
  <c r="AQ133" i="17"/>
  <c r="U265" i="17"/>
  <c r="T265" i="17"/>
  <c r="S265" i="17"/>
  <c r="U264" i="17"/>
  <c r="T264" i="17"/>
  <c r="S264" i="17"/>
  <c r="U263" i="17"/>
  <c r="T263" i="17"/>
  <c r="S263" i="17"/>
  <c r="U262" i="17"/>
  <c r="T262" i="17"/>
  <c r="S262" i="17"/>
  <c r="U261" i="17"/>
  <c r="T261" i="17"/>
  <c r="S261" i="17"/>
  <c r="U260" i="17"/>
  <c r="T260" i="17"/>
  <c r="S260" i="17"/>
  <c r="U259" i="17"/>
  <c r="T259" i="17"/>
  <c r="S259" i="17"/>
  <c r="U258" i="17"/>
  <c r="T258" i="17"/>
  <c r="S258" i="17"/>
  <c r="U257" i="17"/>
  <c r="T257" i="17"/>
  <c r="S257" i="17"/>
  <c r="U256" i="17"/>
  <c r="T256" i="17"/>
  <c r="S256" i="17"/>
  <c r="U255" i="17"/>
  <c r="T255" i="17"/>
  <c r="S255" i="17"/>
  <c r="U254" i="17"/>
  <c r="T254" i="17"/>
  <c r="S254" i="17"/>
  <c r="U253" i="17"/>
  <c r="T253" i="17"/>
  <c r="S253" i="17"/>
  <c r="U252" i="17"/>
  <c r="T252" i="17"/>
  <c r="S252" i="17"/>
  <c r="Y187" i="17" l="1"/>
  <c r="AG233" i="17" l="1"/>
  <c r="AF233" i="17"/>
  <c r="AF232" i="17"/>
  <c r="AF231" i="17"/>
  <c r="AG230" i="17"/>
  <c r="AB228" i="17"/>
  <c r="AA228" i="17"/>
  <c r="Z228" i="17"/>
  <c r="AB227" i="17"/>
  <c r="AA227" i="17"/>
  <c r="Z227" i="17"/>
  <c r="AB226" i="17"/>
  <c r="AA226" i="17"/>
  <c r="Z226" i="17"/>
  <c r="AB225" i="17"/>
  <c r="AA225" i="17"/>
  <c r="Z225" i="17"/>
  <c r="AB224" i="17"/>
  <c r="AA224" i="17"/>
  <c r="Z224" i="17"/>
  <c r="AB223" i="17"/>
  <c r="Q49" i="16" s="1"/>
  <c r="AA223" i="17"/>
  <c r="P49" i="16" s="1"/>
  <c r="Z223" i="17"/>
  <c r="O49" i="16" s="1"/>
  <c r="AB222" i="17"/>
  <c r="AA222" i="17"/>
  <c r="Z222" i="17"/>
  <c r="AB221" i="17"/>
  <c r="AA221" i="17"/>
  <c r="Z221" i="17"/>
  <c r="AB220" i="17"/>
  <c r="AA220" i="17"/>
  <c r="Z220" i="17"/>
  <c r="AB219" i="17"/>
  <c r="AA219" i="17"/>
  <c r="Z219" i="17"/>
  <c r="AB218" i="17"/>
  <c r="AA218" i="17"/>
  <c r="Z218" i="17"/>
  <c r="AB217" i="17"/>
  <c r="AA217" i="17"/>
  <c r="Z217" i="17"/>
  <c r="AB216" i="17"/>
  <c r="AA216" i="17"/>
  <c r="Z216" i="17"/>
  <c r="AB215" i="17"/>
  <c r="AA215" i="17"/>
  <c r="Z215" i="17"/>
  <c r="AB214" i="17"/>
  <c r="AA214" i="17"/>
  <c r="Z214" i="17"/>
  <c r="AB213" i="17"/>
  <c r="AA213" i="17"/>
  <c r="Z213" i="17"/>
  <c r="AB212" i="17"/>
  <c r="AA212" i="17"/>
  <c r="Z212" i="17"/>
  <c r="AB211" i="17"/>
  <c r="AA211" i="17"/>
  <c r="Z211" i="17"/>
  <c r="AB210" i="17"/>
  <c r="AA210" i="17"/>
  <c r="Z210" i="17"/>
  <c r="AB209" i="17"/>
  <c r="Q48" i="16" s="1"/>
  <c r="AA209" i="17"/>
  <c r="P48" i="16" s="1"/>
  <c r="Z209" i="17"/>
  <c r="O48" i="16" s="1"/>
  <c r="AB208" i="17"/>
  <c r="AA208" i="17"/>
  <c r="Z208" i="17"/>
  <c r="AB207" i="17"/>
  <c r="AA207" i="17"/>
  <c r="Z207" i="17"/>
  <c r="AB206" i="17"/>
  <c r="AA206" i="17"/>
  <c r="Z206" i="17"/>
  <c r="AB205" i="17"/>
  <c r="AA205" i="17"/>
  <c r="Z205" i="17"/>
  <c r="AB204" i="17"/>
  <c r="Q52" i="16" s="1"/>
  <c r="AA204" i="17"/>
  <c r="P52" i="16" s="1"/>
  <c r="Z204" i="17"/>
  <c r="O52" i="16" s="1"/>
  <c r="AB203" i="17"/>
  <c r="AA203" i="17"/>
  <c r="Z203" i="17"/>
  <c r="AB202" i="17"/>
  <c r="Q53" i="16" s="1"/>
  <c r="AA202" i="17"/>
  <c r="P53" i="16" s="1"/>
  <c r="Z202" i="17"/>
  <c r="O53" i="16" s="1"/>
  <c r="AB201" i="17"/>
  <c r="AA201" i="17"/>
  <c r="Z201" i="17"/>
  <c r="AB200" i="17"/>
  <c r="AA200" i="17"/>
  <c r="Z200" i="17"/>
  <c r="AB199" i="17"/>
  <c r="Q54" i="16" s="1"/>
  <c r="AA199" i="17"/>
  <c r="P54" i="16" s="1"/>
  <c r="Z199" i="17"/>
  <c r="O54" i="16" s="1"/>
  <c r="AB198" i="17"/>
  <c r="AA198" i="17"/>
  <c r="Z198" i="17"/>
  <c r="AB197" i="17"/>
  <c r="AA197" i="17"/>
  <c r="Z197" i="17"/>
  <c r="AB196" i="17"/>
  <c r="AA196" i="17"/>
  <c r="Z196" i="17"/>
  <c r="AB195" i="17"/>
  <c r="AA195" i="17"/>
  <c r="Z195" i="17"/>
  <c r="AB194" i="17"/>
  <c r="AA194" i="17"/>
  <c r="Z194" i="17"/>
  <c r="AB193" i="17"/>
  <c r="AA193" i="17"/>
  <c r="Z193" i="17"/>
  <c r="AB192" i="17"/>
  <c r="Q50" i="16" s="1"/>
  <c r="AA192" i="17"/>
  <c r="P50" i="16" s="1"/>
  <c r="Z192" i="17"/>
  <c r="O50" i="16" s="1"/>
  <c r="AB191" i="17"/>
  <c r="AA191" i="17"/>
  <c r="Z191" i="17"/>
  <c r="AB190" i="17"/>
  <c r="AA190" i="17"/>
  <c r="Z190" i="17"/>
  <c r="AB189" i="17"/>
  <c r="AA189" i="17"/>
  <c r="Z189" i="17"/>
  <c r="AB188" i="17"/>
  <c r="AA188" i="17"/>
  <c r="Z188" i="17"/>
  <c r="AB187" i="17"/>
  <c r="AA187" i="17"/>
  <c r="Z187" i="17"/>
  <c r="Y228" i="17"/>
  <c r="Y227" i="17"/>
  <c r="Y226" i="17"/>
  <c r="Y225" i="17"/>
  <c r="Y224" i="17"/>
  <c r="Y223" i="17"/>
  <c r="N49" i="16" s="1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N48" i="16" s="1"/>
  <c r="Y208" i="17"/>
  <c r="Y207" i="17"/>
  <c r="Y206" i="17"/>
  <c r="Y205" i="17"/>
  <c r="Y204" i="17"/>
  <c r="N52" i="16" s="1"/>
  <c r="Y203" i="17"/>
  <c r="Y202" i="17"/>
  <c r="N53" i="16" s="1"/>
  <c r="Y201" i="17"/>
  <c r="Y200" i="17"/>
  <c r="Y199" i="17"/>
  <c r="N54" i="16" s="1"/>
  <c r="Y198" i="17"/>
  <c r="Y197" i="17"/>
  <c r="Y196" i="17"/>
  <c r="Y195" i="17"/>
  <c r="Y194" i="17"/>
  <c r="Y193" i="17"/>
  <c r="Y192" i="17"/>
  <c r="N50" i="16" s="1"/>
  <c r="Y191" i="17"/>
  <c r="Y190" i="17"/>
  <c r="Y189" i="17"/>
  <c r="Y188" i="17"/>
  <c r="AG232" i="17"/>
  <c r="AG231" i="17"/>
  <c r="AF230" i="17"/>
  <c r="AG229" i="17"/>
  <c r="AF229" i="17"/>
  <c r="V228" i="17"/>
  <c r="U228" i="17"/>
  <c r="T228" i="17"/>
  <c r="AF228" i="17" s="1"/>
  <c r="V227" i="17"/>
  <c r="U227" i="17"/>
  <c r="T227" i="17"/>
  <c r="V226" i="17"/>
  <c r="U226" i="17"/>
  <c r="T226" i="17"/>
  <c r="V225" i="17"/>
  <c r="U225" i="17"/>
  <c r="T225" i="17"/>
  <c r="V224" i="17"/>
  <c r="U224" i="17"/>
  <c r="T224" i="17"/>
  <c r="V223" i="17"/>
  <c r="U223" i="17"/>
  <c r="T223" i="17"/>
  <c r="V222" i="17"/>
  <c r="U222" i="17"/>
  <c r="T222" i="17"/>
  <c r="V221" i="17"/>
  <c r="U221" i="17"/>
  <c r="T221" i="17"/>
  <c r="V220" i="17"/>
  <c r="U220" i="17"/>
  <c r="T220" i="17"/>
  <c r="V219" i="17"/>
  <c r="U219" i="17"/>
  <c r="T219" i="17"/>
  <c r="V218" i="17"/>
  <c r="U218" i="17"/>
  <c r="T218" i="17"/>
  <c r="V217" i="17"/>
  <c r="U217" i="17"/>
  <c r="T217" i="17"/>
  <c r="V216" i="17"/>
  <c r="U216" i="17"/>
  <c r="T216" i="17"/>
  <c r="V215" i="17"/>
  <c r="U215" i="17"/>
  <c r="T215" i="17"/>
  <c r="V214" i="17"/>
  <c r="U214" i="17"/>
  <c r="T214" i="17"/>
  <c r="V213" i="17"/>
  <c r="U213" i="17"/>
  <c r="T213" i="17"/>
  <c r="V212" i="17"/>
  <c r="U212" i="17"/>
  <c r="T212" i="17"/>
  <c r="V211" i="17"/>
  <c r="U211" i="17"/>
  <c r="T211" i="17"/>
  <c r="V210" i="17"/>
  <c r="U210" i="17"/>
  <c r="T210" i="17"/>
  <c r="V209" i="17"/>
  <c r="U209" i="17"/>
  <c r="T209" i="17"/>
  <c r="V208" i="17"/>
  <c r="U208" i="17"/>
  <c r="T208" i="17"/>
  <c r="V207" i="17"/>
  <c r="U207" i="17"/>
  <c r="T207" i="17"/>
  <c r="V206" i="17"/>
  <c r="U206" i="17"/>
  <c r="T206" i="17"/>
  <c r="V205" i="17"/>
  <c r="U205" i="17"/>
  <c r="T205" i="17"/>
  <c r="V204" i="17"/>
  <c r="U204" i="17"/>
  <c r="T204" i="17"/>
  <c r="V203" i="17"/>
  <c r="U203" i="17"/>
  <c r="T203" i="17"/>
  <c r="V202" i="17"/>
  <c r="U202" i="17"/>
  <c r="T202" i="17"/>
  <c r="V201" i="17"/>
  <c r="U201" i="17"/>
  <c r="T201" i="17"/>
  <c r="V200" i="17"/>
  <c r="U200" i="17"/>
  <c r="T200" i="17"/>
  <c r="V199" i="17"/>
  <c r="U199" i="17"/>
  <c r="T199" i="17"/>
  <c r="V198" i="17"/>
  <c r="U198" i="17"/>
  <c r="T198" i="17"/>
  <c r="V197" i="17"/>
  <c r="U197" i="17"/>
  <c r="T197" i="17"/>
  <c r="V196" i="17"/>
  <c r="U196" i="17"/>
  <c r="T196" i="17"/>
  <c r="V195" i="17"/>
  <c r="U195" i="17"/>
  <c r="T195" i="17"/>
  <c r="V194" i="17"/>
  <c r="U194" i="17"/>
  <c r="T194" i="17"/>
  <c r="V193" i="17"/>
  <c r="U193" i="17"/>
  <c r="T193" i="17"/>
  <c r="V192" i="17"/>
  <c r="U192" i="17"/>
  <c r="T192" i="17"/>
  <c r="V191" i="17"/>
  <c r="U191" i="17"/>
  <c r="T191" i="17"/>
  <c r="V190" i="17"/>
  <c r="U190" i="17"/>
  <c r="T190" i="17"/>
  <c r="V189" i="17"/>
  <c r="U189" i="17"/>
  <c r="T189" i="17"/>
  <c r="V188" i="17"/>
  <c r="U188" i="17"/>
  <c r="T188" i="17"/>
  <c r="V187" i="17"/>
  <c r="U187" i="17"/>
  <c r="T187" i="17"/>
  <c r="Q31" i="15"/>
  <c r="Q30" i="15"/>
  <c r="AG228" i="17" l="1"/>
  <c r="O5" i="8"/>
  <c r="O2" i="8"/>
  <c r="AQ145" i="17" l="1"/>
  <c r="AL145" i="17"/>
  <c r="W130" i="17"/>
  <c r="R130" i="17"/>
  <c r="Y1232" i="1"/>
  <c r="W1232" i="1"/>
  <c r="U1232" i="1"/>
  <c r="R1232" i="1"/>
  <c r="S1232" i="1" s="1"/>
  <c r="P1232" i="1"/>
  <c r="Q1232" i="1" s="1"/>
  <c r="N1232" i="1"/>
  <c r="O1232" i="1" s="1"/>
  <c r="L1232" i="1"/>
  <c r="Y1231" i="1"/>
  <c r="W1231" i="1"/>
  <c r="U1231" i="1"/>
  <c r="R1231" i="1"/>
  <c r="S1231" i="1" s="1"/>
  <c r="P1231" i="1"/>
  <c r="Q1231" i="1" s="1"/>
  <c r="N1231" i="1"/>
  <c r="O1231" i="1" s="1"/>
  <c r="L1231" i="1"/>
  <c r="Y1230" i="1"/>
  <c r="W1230" i="1"/>
  <c r="U1230" i="1"/>
  <c r="R1230" i="1"/>
  <c r="S1230" i="1" s="1"/>
  <c r="P1230" i="1"/>
  <c r="Q1230" i="1" s="1"/>
  <c r="N1230" i="1"/>
  <c r="O1230" i="1" s="1"/>
  <c r="L1230" i="1"/>
  <c r="Y1229" i="1"/>
  <c r="W1229" i="1"/>
  <c r="U1229" i="1"/>
  <c r="R1229" i="1"/>
  <c r="S1229" i="1" s="1"/>
  <c r="P1229" i="1"/>
  <c r="Q1229" i="1" s="1"/>
  <c r="N1229" i="1"/>
  <c r="O1229" i="1" s="1"/>
  <c r="L1229" i="1"/>
  <c r="Y1228" i="1"/>
  <c r="W1228" i="1"/>
  <c r="U1228" i="1"/>
  <c r="R1228" i="1"/>
  <c r="S1228" i="1" s="1"/>
  <c r="P1228" i="1"/>
  <c r="Q1228" i="1" s="1"/>
  <c r="N1228" i="1"/>
  <c r="O1228" i="1" s="1"/>
  <c r="L1228" i="1"/>
  <c r="Y1227" i="1"/>
  <c r="W1227" i="1"/>
  <c r="U1227" i="1"/>
  <c r="R1227" i="1"/>
  <c r="S1227" i="1" s="1"/>
  <c r="P1227" i="1"/>
  <c r="Q1227" i="1" s="1"/>
  <c r="N1227" i="1"/>
  <c r="O1227" i="1" s="1"/>
  <c r="L1227" i="1"/>
  <c r="Y1226" i="1"/>
  <c r="W1226" i="1"/>
  <c r="U1226" i="1"/>
  <c r="R1226" i="1"/>
  <c r="S1226" i="1" s="1"/>
  <c r="P1226" i="1"/>
  <c r="Q1226" i="1" s="1"/>
  <c r="N1226" i="1"/>
  <c r="O1226" i="1" s="1"/>
  <c r="L1226" i="1"/>
  <c r="Y1225" i="1"/>
  <c r="W1225" i="1"/>
  <c r="U1225" i="1"/>
  <c r="R1225" i="1"/>
  <c r="S1225" i="1" s="1"/>
  <c r="P1225" i="1"/>
  <c r="Q1225" i="1" s="1"/>
  <c r="N1225" i="1"/>
  <c r="O1225" i="1" s="1"/>
  <c r="L1225" i="1"/>
  <c r="Y1224" i="1"/>
  <c r="W1224" i="1"/>
  <c r="U1224" i="1"/>
  <c r="R1224" i="1"/>
  <c r="S1224" i="1" s="1"/>
  <c r="P1224" i="1"/>
  <c r="Q1224" i="1" s="1"/>
  <c r="N1224" i="1"/>
  <c r="O1224" i="1" s="1"/>
  <c r="L1224" i="1"/>
  <c r="Y1223" i="1"/>
  <c r="W1223" i="1"/>
  <c r="U1223" i="1"/>
  <c r="R1223" i="1"/>
  <c r="S1223" i="1" s="1"/>
  <c r="P1223" i="1"/>
  <c r="Q1223" i="1" s="1"/>
  <c r="N1223" i="1"/>
  <c r="O1223" i="1" s="1"/>
  <c r="L1223" i="1"/>
  <c r="Y1222" i="1"/>
  <c r="W1222" i="1"/>
  <c r="U1222" i="1"/>
  <c r="R1222" i="1"/>
  <c r="S1222" i="1" s="1"/>
  <c r="P1222" i="1"/>
  <c r="Q1222" i="1" s="1"/>
  <c r="N1222" i="1"/>
  <c r="O1222" i="1" s="1"/>
  <c r="L1222" i="1"/>
  <c r="Y1221" i="1"/>
  <c r="W1221" i="1"/>
  <c r="U1221" i="1"/>
  <c r="R1221" i="1"/>
  <c r="S1221" i="1" s="1"/>
  <c r="P1221" i="1"/>
  <c r="Q1221" i="1" s="1"/>
  <c r="N1221" i="1"/>
  <c r="O1221" i="1" s="1"/>
  <c r="L1221" i="1"/>
  <c r="Y1220" i="1"/>
  <c r="W1220" i="1"/>
  <c r="U1220" i="1"/>
  <c r="R1220" i="1"/>
  <c r="S1220" i="1" s="1"/>
  <c r="P1220" i="1"/>
  <c r="Q1220" i="1" s="1"/>
  <c r="N1220" i="1"/>
  <c r="O1220" i="1" s="1"/>
  <c r="L1220" i="1"/>
  <c r="Y1219" i="1"/>
  <c r="W1219" i="1"/>
  <c r="U1219" i="1"/>
  <c r="R1219" i="1"/>
  <c r="S1219" i="1" s="1"/>
  <c r="P1219" i="1"/>
  <c r="Q1219" i="1" s="1"/>
  <c r="N1219" i="1"/>
  <c r="O1219" i="1" s="1"/>
  <c r="L1219" i="1"/>
  <c r="Y1218" i="1"/>
  <c r="W1218" i="1"/>
  <c r="U1218" i="1"/>
  <c r="R1218" i="1"/>
  <c r="S1218" i="1" s="1"/>
  <c r="P1218" i="1"/>
  <c r="Q1218" i="1" s="1"/>
  <c r="N1218" i="1"/>
  <c r="O1218" i="1" s="1"/>
  <c r="L1218" i="1"/>
  <c r="Y1217" i="1"/>
  <c r="W1217" i="1"/>
  <c r="U1217" i="1"/>
  <c r="R1217" i="1"/>
  <c r="S1217" i="1" s="1"/>
  <c r="P1217" i="1"/>
  <c r="Q1217" i="1" s="1"/>
  <c r="N1217" i="1"/>
  <c r="O1217" i="1" s="1"/>
  <c r="L1217" i="1"/>
  <c r="Y1216" i="1"/>
  <c r="W1216" i="1"/>
  <c r="U1216" i="1"/>
  <c r="R1216" i="1"/>
  <c r="S1216" i="1" s="1"/>
  <c r="P1216" i="1"/>
  <c r="Q1216" i="1" s="1"/>
  <c r="N1216" i="1"/>
  <c r="O1216" i="1" s="1"/>
  <c r="L1216" i="1"/>
  <c r="Y1215" i="1"/>
  <c r="W1215" i="1"/>
  <c r="U1215" i="1"/>
  <c r="R1215" i="1"/>
  <c r="S1215" i="1" s="1"/>
  <c r="P1215" i="1"/>
  <c r="Q1215" i="1" s="1"/>
  <c r="N1215" i="1"/>
  <c r="O1215" i="1" s="1"/>
  <c r="L1215" i="1"/>
  <c r="Y1214" i="1"/>
  <c r="W1214" i="1"/>
  <c r="U1214" i="1"/>
  <c r="R1214" i="1"/>
  <c r="S1214" i="1" s="1"/>
  <c r="P1214" i="1"/>
  <c r="Q1214" i="1" s="1"/>
  <c r="N1214" i="1"/>
  <c r="O1214" i="1" s="1"/>
  <c r="L1214" i="1"/>
  <c r="Y1213" i="1"/>
  <c r="W1213" i="1"/>
  <c r="U1213" i="1"/>
  <c r="R1213" i="1"/>
  <c r="S1213" i="1" s="1"/>
  <c r="P1213" i="1"/>
  <c r="Q1213" i="1" s="1"/>
  <c r="N1213" i="1"/>
  <c r="O1213" i="1" s="1"/>
  <c r="L1213" i="1"/>
  <c r="Y1212" i="1"/>
  <c r="W1212" i="1"/>
  <c r="U1212" i="1"/>
  <c r="R1212" i="1"/>
  <c r="S1212" i="1" s="1"/>
  <c r="P1212" i="1"/>
  <c r="Q1212" i="1" s="1"/>
  <c r="N1212" i="1"/>
  <c r="O1212" i="1" s="1"/>
  <c r="L1212" i="1"/>
  <c r="Y1211" i="1"/>
  <c r="W1211" i="1"/>
  <c r="U1211" i="1"/>
  <c r="R1211" i="1"/>
  <c r="S1211" i="1" s="1"/>
  <c r="P1211" i="1"/>
  <c r="Q1211" i="1" s="1"/>
  <c r="N1211" i="1"/>
  <c r="O1211" i="1" s="1"/>
  <c r="L1211" i="1"/>
  <c r="Y1210" i="1"/>
  <c r="W1210" i="1"/>
  <c r="U1210" i="1"/>
  <c r="R1210" i="1"/>
  <c r="S1210" i="1" s="1"/>
  <c r="P1210" i="1"/>
  <c r="Q1210" i="1" s="1"/>
  <c r="N1210" i="1"/>
  <c r="O1210" i="1" s="1"/>
  <c r="L1210" i="1"/>
  <c r="Y1209" i="1"/>
  <c r="W1209" i="1"/>
  <c r="U1209" i="1"/>
  <c r="R1209" i="1"/>
  <c r="S1209" i="1" s="1"/>
  <c r="P1209" i="1"/>
  <c r="Q1209" i="1" s="1"/>
  <c r="N1209" i="1"/>
  <c r="O1209" i="1" s="1"/>
  <c r="L1209" i="1"/>
  <c r="Y1208" i="1"/>
  <c r="W1208" i="1"/>
  <c r="U1208" i="1"/>
  <c r="R1208" i="1"/>
  <c r="S1208" i="1" s="1"/>
  <c r="P1208" i="1"/>
  <c r="Q1208" i="1" s="1"/>
  <c r="N1208" i="1"/>
  <c r="O1208" i="1" s="1"/>
  <c r="L1208" i="1"/>
  <c r="Y1207" i="1"/>
  <c r="W1207" i="1"/>
  <c r="U1207" i="1"/>
  <c r="R1207" i="1"/>
  <c r="S1207" i="1" s="1"/>
  <c r="P1207" i="1"/>
  <c r="Q1207" i="1" s="1"/>
  <c r="N1207" i="1"/>
  <c r="O1207" i="1" s="1"/>
  <c r="L1207" i="1"/>
  <c r="Y1206" i="1"/>
  <c r="W1206" i="1"/>
  <c r="U1206" i="1"/>
  <c r="R1206" i="1"/>
  <c r="S1206" i="1" s="1"/>
  <c r="P1206" i="1"/>
  <c r="Q1206" i="1" s="1"/>
  <c r="N1206" i="1"/>
  <c r="O1206" i="1" s="1"/>
  <c r="L1206" i="1"/>
  <c r="Y1205" i="1"/>
  <c r="W1205" i="1"/>
  <c r="U1205" i="1"/>
  <c r="R1205" i="1"/>
  <c r="S1205" i="1" s="1"/>
  <c r="P1205" i="1"/>
  <c r="Q1205" i="1" s="1"/>
  <c r="N1205" i="1"/>
  <c r="O1205" i="1" s="1"/>
  <c r="L1205" i="1"/>
  <c r="Y1204" i="1"/>
  <c r="W1204" i="1"/>
  <c r="U1204" i="1"/>
  <c r="R1204" i="1"/>
  <c r="S1204" i="1" s="1"/>
  <c r="P1204" i="1"/>
  <c r="Q1204" i="1" s="1"/>
  <c r="N1204" i="1"/>
  <c r="O1204" i="1" s="1"/>
  <c r="L1204" i="1"/>
  <c r="Y1203" i="1"/>
  <c r="W1203" i="1"/>
  <c r="U1203" i="1"/>
  <c r="R1203" i="1"/>
  <c r="S1203" i="1" s="1"/>
  <c r="P1203" i="1"/>
  <c r="Q1203" i="1" s="1"/>
  <c r="N1203" i="1"/>
  <c r="O1203" i="1" s="1"/>
  <c r="L1203" i="1"/>
  <c r="Y1202" i="1"/>
  <c r="W1202" i="1"/>
  <c r="U1202" i="1"/>
  <c r="R1202" i="1"/>
  <c r="S1202" i="1" s="1"/>
  <c r="P1202" i="1"/>
  <c r="Q1202" i="1" s="1"/>
  <c r="N1202" i="1"/>
  <c r="O1202" i="1" s="1"/>
  <c r="L1202" i="1"/>
  <c r="Y1201" i="1"/>
  <c r="W1201" i="1"/>
  <c r="U1201" i="1"/>
  <c r="R1201" i="1"/>
  <c r="S1201" i="1" s="1"/>
  <c r="P1201" i="1"/>
  <c r="Q1201" i="1" s="1"/>
  <c r="N1201" i="1"/>
  <c r="O1201" i="1" s="1"/>
  <c r="L1201" i="1"/>
  <c r="Y1200" i="1"/>
  <c r="W1200" i="1"/>
  <c r="U1200" i="1"/>
  <c r="R1200" i="1"/>
  <c r="S1200" i="1" s="1"/>
  <c r="P1200" i="1"/>
  <c r="Q1200" i="1" s="1"/>
  <c r="N1200" i="1"/>
  <c r="O1200" i="1" s="1"/>
  <c r="L1200" i="1"/>
  <c r="Y1199" i="1"/>
  <c r="W1199" i="1"/>
  <c r="U1199" i="1"/>
  <c r="R1199" i="1"/>
  <c r="S1199" i="1" s="1"/>
  <c r="P1199" i="1"/>
  <c r="Q1199" i="1" s="1"/>
  <c r="N1199" i="1"/>
  <c r="O1199" i="1" s="1"/>
  <c r="L1199" i="1"/>
  <c r="Y1198" i="1"/>
  <c r="W1198" i="1"/>
  <c r="U1198" i="1"/>
  <c r="R1198" i="1"/>
  <c r="S1198" i="1" s="1"/>
  <c r="P1198" i="1"/>
  <c r="Q1198" i="1" s="1"/>
  <c r="N1198" i="1"/>
  <c r="O1198" i="1" s="1"/>
  <c r="L1198" i="1"/>
  <c r="Y1197" i="1"/>
  <c r="W1197" i="1"/>
  <c r="U1197" i="1"/>
  <c r="R1197" i="1"/>
  <c r="S1197" i="1" s="1"/>
  <c r="P1197" i="1"/>
  <c r="Q1197" i="1" s="1"/>
  <c r="N1197" i="1"/>
  <c r="O1197" i="1" s="1"/>
  <c r="L1197" i="1"/>
  <c r="Y1196" i="1"/>
  <c r="W1196" i="1"/>
  <c r="U1196" i="1"/>
  <c r="R1196" i="1"/>
  <c r="S1196" i="1" s="1"/>
  <c r="P1196" i="1"/>
  <c r="Q1196" i="1" s="1"/>
  <c r="N1196" i="1"/>
  <c r="O1196" i="1" s="1"/>
  <c r="L1196" i="1"/>
  <c r="Y1195" i="1"/>
  <c r="W1195" i="1"/>
  <c r="U1195" i="1"/>
  <c r="R1195" i="1"/>
  <c r="S1195" i="1" s="1"/>
  <c r="P1195" i="1"/>
  <c r="Q1195" i="1" s="1"/>
  <c r="N1195" i="1"/>
  <c r="O1195" i="1" s="1"/>
  <c r="L1195" i="1"/>
  <c r="Y1194" i="1"/>
  <c r="W1194" i="1"/>
  <c r="U1194" i="1"/>
  <c r="R1194" i="1"/>
  <c r="S1194" i="1" s="1"/>
  <c r="P1194" i="1"/>
  <c r="Q1194" i="1" s="1"/>
  <c r="N1194" i="1"/>
  <c r="O1194" i="1" s="1"/>
  <c r="L1194" i="1"/>
  <c r="Y1193" i="1"/>
  <c r="W1193" i="1"/>
  <c r="U1193" i="1"/>
  <c r="R1193" i="1"/>
  <c r="S1193" i="1" s="1"/>
  <c r="P1193" i="1"/>
  <c r="Q1193" i="1" s="1"/>
  <c r="N1193" i="1"/>
  <c r="O1193" i="1" s="1"/>
  <c r="L1193" i="1"/>
  <c r="Y1192" i="1"/>
  <c r="W1192" i="1"/>
  <c r="U1192" i="1"/>
  <c r="R1192" i="1"/>
  <c r="S1192" i="1" s="1"/>
  <c r="P1192" i="1"/>
  <c r="Q1192" i="1" s="1"/>
  <c r="N1192" i="1"/>
  <c r="O1192" i="1" s="1"/>
  <c r="L1192" i="1"/>
  <c r="Y1191" i="1"/>
  <c r="W1191" i="1"/>
  <c r="U1191" i="1"/>
  <c r="R1191" i="1"/>
  <c r="S1191" i="1" s="1"/>
  <c r="P1191" i="1"/>
  <c r="Q1191" i="1" s="1"/>
  <c r="N1191" i="1"/>
  <c r="O1191" i="1" s="1"/>
  <c r="L1191" i="1"/>
  <c r="Y1190" i="1"/>
  <c r="W1190" i="1"/>
  <c r="U1190" i="1"/>
  <c r="R1190" i="1"/>
  <c r="S1190" i="1" s="1"/>
  <c r="P1190" i="1"/>
  <c r="Q1190" i="1" s="1"/>
  <c r="N1190" i="1"/>
  <c r="O1190" i="1" s="1"/>
  <c r="L1190" i="1"/>
  <c r="Y1189" i="1"/>
  <c r="W1189" i="1"/>
  <c r="U1189" i="1"/>
  <c r="R1189" i="1"/>
  <c r="S1189" i="1" s="1"/>
  <c r="P1189" i="1"/>
  <c r="Q1189" i="1" s="1"/>
  <c r="N1189" i="1"/>
  <c r="O1189" i="1" s="1"/>
  <c r="L1189" i="1"/>
  <c r="Y1188" i="1"/>
  <c r="W1188" i="1"/>
  <c r="U1188" i="1"/>
  <c r="R1188" i="1"/>
  <c r="S1188" i="1" s="1"/>
  <c r="P1188" i="1"/>
  <c r="Q1188" i="1" s="1"/>
  <c r="N1188" i="1"/>
  <c r="O1188" i="1" s="1"/>
  <c r="L1188" i="1"/>
  <c r="Y1187" i="1"/>
  <c r="W1187" i="1"/>
  <c r="U1187" i="1"/>
  <c r="R1187" i="1"/>
  <c r="S1187" i="1" s="1"/>
  <c r="P1187" i="1"/>
  <c r="Q1187" i="1" s="1"/>
  <c r="N1187" i="1"/>
  <c r="O1187" i="1" s="1"/>
  <c r="L1187" i="1"/>
  <c r="Y1186" i="1"/>
  <c r="W1186" i="1"/>
  <c r="U1186" i="1"/>
  <c r="R1186" i="1"/>
  <c r="S1186" i="1" s="1"/>
  <c r="P1186" i="1"/>
  <c r="Q1186" i="1" s="1"/>
  <c r="N1186" i="1"/>
  <c r="O1186" i="1" s="1"/>
  <c r="L1186" i="1"/>
  <c r="Y1185" i="1"/>
  <c r="W1185" i="1"/>
  <c r="U1185" i="1"/>
  <c r="R1185" i="1"/>
  <c r="S1185" i="1" s="1"/>
  <c r="P1185" i="1"/>
  <c r="Q1185" i="1" s="1"/>
  <c r="N1185" i="1"/>
  <c r="O1185" i="1" s="1"/>
  <c r="L1185" i="1"/>
  <c r="Y1184" i="1"/>
  <c r="W1184" i="1"/>
  <c r="U1184" i="1"/>
  <c r="R1184" i="1"/>
  <c r="S1184" i="1" s="1"/>
  <c r="P1184" i="1"/>
  <c r="Q1184" i="1" s="1"/>
  <c r="N1184" i="1"/>
  <c r="O1184" i="1" s="1"/>
  <c r="L1184" i="1"/>
  <c r="Y1183" i="1"/>
  <c r="W1183" i="1"/>
  <c r="U1183" i="1"/>
  <c r="R1183" i="1"/>
  <c r="S1183" i="1" s="1"/>
  <c r="P1183" i="1"/>
  <c r="Q1183" i="1" s="1"/>
  <c r="N1183" i="1"/>
  <c r="O1183" i="1" s="1"/>
  <c r="L1183" i="1"/>
  <c r="Y1182" i="1"/>
  <c r="W1182" i="1"/>
  <c r="U1182" i="1"/>
  <c r="R1182" i="1"/>
  <c r="S1182" i="1" s="1"/>
  <c r="P1182" i="1"/>
  <c r="Q1182" i="1" s="1"/>
  <c r="N1182" i="1"/>
  <c r="O1182" i="1" s="1"/>
  <c r="L1182" i="1"/>
  <c r="Y1181" i="1"/>
  <c r="W1181" i="1"/>
  <c r="U1181" i="1"/>
  <c r="R1181" i="1"/>
  <c r="S1181" i="1" s="1"/>
  <c r="P1181" i="1"/>
  <c r="Q1181" i="1" s="1"/>
  <c r="N1181" i="1"/>
  <c r="O1181" i="1" s="1"/>
  <c r="L1181" i="1"/>
  <c r="Y1180" i="1"/>
  <c r="W1180" i="1"/>
  <c r="U1180" i="1"/>
  <c r="R1180" i="1"/>
  <c r="S1180" i="1" s="1"/>
  <c r="P1180" i="1"/>
  <c r="Q1180" i="1" s="1"/>
  <c r="N1180" i="1"/>
  <c r="O1180" i="1" s="1"/>
  <c r="L1180" i="1"/>
  <c r="Y1179" i="1"/>
  <c r="W1179" i="1"/>
  <c r="U1179" i="1"/>
  <c r="R1179" i="1"/>
  <c r="S1179" i="1" s="1"/>
  <c r="P1179" i="1"/>
  <c r="Q1179" i="1" s="1"/>
  <c r="N1179" i="1"/>
  <c r="O1179" i="1" s="1"/>
  <c r="L1179" i="1"/>
  <c r="Y1178" i="1"/>
  <c r="W1178" i="1"/>
  <c r="U1178" i="1"/>
  <c r="R1178" i="1"/>
  <c r="S1178" i="1" s="1"/>
  <c r="P1178" i="1"/>
  <c r="Q1178" i="1" s="1"/>
  <c r="N1178" i="1"/>
  <c r="O1178" i="1" s="1"/>
  <c r="L1178" i="1"/>
  <c r="V1178" i="1" s="1"/>
  <c r="Y1177" i="1"/>
  <c r="W1177" i="1"/>
  <c r="U1177" i="1"/>
  <c r="R1177" i="1"/>
  <c r="S1177" i="1" s="1"/>
  <c r="P1177" i="1"/>
  <c r="Q1177" i="1" s="1"/>
  <c r="N1177" i="1"/>
  <c r="O1177" i="1" s="1"/>
  <c r="L1177" i="1"/>
  <c r="Y1176" i="1"/>
  <c r="W1176" i="1"/>
  <c r="U1176" i="1"/>
  <c r="R1176" i="1"/>
  <c r="S1176" i="1" s="1"/>
  <c r="P1176" i="1"/>
  <c r="Q1176" i="1" s="1"/>
  <c r="N1176" i="1"/>
  <c r="O1176" i="1" s="1"/>
  <c r="L1176" i="1"/>
  <c r="M1176" i="1" s="1"/>
  <c r="Y1175" i="1"/>
  <c r="W1175" i="1"/>
  <c r="U1175" i="1"/>
  <c r="R1175" i="1"/>
  <c r="S1175" i="1" s="1"/>
  <c r="P1175" i="1"/>
  <c r="Q1175" i="1" s="1"/>
  <c r="N1175" i="1"/>
  <c r="O1175" i="1" s="1"/>
  <c r="L1175" i="1"/>
  <c r="Y1174" i="1"/>
  <c r="W1174" i="1"/>
  <c r="U1174" i="1"/>
  <c r="R1174" i="1"/>
  <c r="S1174" i="1" s="1"/>
  <c r="P1174" i="1"/>
  <c r="Q1174" i="1" s="1"/>
  <c r="N1174" i="1"/>
  <c r="O1174" i="1" s="1"/>
  <c r="L1174" i="1"/>
  <c r="Y1173" i="1"/>
  <c r="W1173" i="1"/>
  <c r="U1173" i="1"/>
  <c r="R1173" i="1"/>
  <c r="S1173" i="1" s="1"/>
  <c r="P1173" i="1"/>
  <c r="Q1173" i="1" s="1"/>
  <c r="N1173" i="1"/>
  <c r="O1173" i="1" s="1"/>
  <c r="L1173" i="1"/>
  <c r="Y1172" i="1"/>
  <c r="W1172" i="1"/>
  <c r="U1172" i="1"/>
  <c r="R1172" i="1"/>
  <c r="S1172" i="1" s="1"/>
  <c r="P1172" i="1"/>
  <c r="Q1172" i="1" s="1"/>
  <c r="N1172" i="1"/>
  <c r="O1172" i="1" s="1"/>
  <c r="L1172" i="1"/>
  <c r="Y1171" i="1"/>
  <c r="W1171" i="1"/>
  <c r="U1171" i="1"/>
  <c r="R1171" i="1"/>
  <c r="S1171" i="1" s="1"/>
  <c r="P1171" i="1"/>
  <c r="Q1171" i="1" s="1"/>
  <c r="N1171" i="1"/>
  <c r="O1171" i="1" s="1"/>
  <c r="L1171" i="1"/>
  <c r="Y1170" i="1"/>
  <c r="W1170" i="1"/>
  <c r="U1170" i="1"/>
  <c r="R1170" i="1"/>
  <c r="S1170" i="1" s="1"/>
  <c r="P1170" i="1"/>
  <c r="Q1170" i="1" s="1"/>
  <c r="N1170" i="1"/>
  <c r="O1170" i="1" s="1"/>
  <c r="L1170" i="1"/>
  <c r="Y1169" i="1"/>
  <c r="W1169" i="1"/>
  <c r="U1169" i="1"/>
  <c r="R1169" i="1"/>
  <c r="S1169" i="1" s="1"/>
  <c r="P1169" i="1"/>
  <c r="Q1169" i="1" s="1"/>
  <c r="N1169" i="1"/>
  <c r="O1169" i="1" s="1"/>
  <c r="L1169" i="1"/>
  <c r="Y1168" i="1"/>
  <c r="W1168" i="1"/>
  <c r="U1168" i="1"/>
  <c r="R1168" i="1"/>
  <c r="S1168" i="1" s="1"/>
  <c r="P1168" i="1"/>
  <c r="Q1168" i="1" s="1"/>
  <c r="N1168" i="1"/>
  <c r="O1168" i="1" s="1"/>
  <c r="L1168" i="1"/>
  <c r="Y1167" i="1"/>
  <c r="W1167" i="1"/>
  <c r="U1167" i="1"/>
  <c r="R1167" i="1"/>
  <c r="S1167" i="1" s="1"/>
  <c r="P1167" i="1"/>
  <c r="Q1167" i="1" s="1"/>
  <c r="N1167" i="1"/>
  <c r="O1167" i="1" s="1"/>
  <c r="L1167" i="1"/>
  <c r="Y1166" i="1"/>
  <c r="W1166" i="1"/>
  <c r="U1166" i="1"/>
  <c r="R1166" i="1"/>
  <c r="S1166" i="1" s="1"/>
  <c r="P1166" i="1"/>
  <c r="Q1166" i="1" s="1"/>
  <c r="N1166" i="1"/>
  <c r="O1166" i="1" s="1"/>
  <c r="L1166" i="1"/>
  <c r="M1166" i="1" s="1"/>
  <c r="Y1165" i="1"/>
  <c r="W1165" i="1"/>
  <c r="U1165" i="1"/>
  <c r="R1165" i="1"/>
  <c r="S1165" i="1" s="1"/>
  <c r="P1165" i="1"/>
  <c r="Q1165" i="1" s="1"/>
  <c r="N1165" i="1"/>
  <c r="O1165" i="1" s="1"/>
  <c r="L1165" i="1"/>
  <c r="Y1164" i="1"/>
  <c r="W1164" i="1"/>
  <c r="U1164" i="1"/>
  <c r="R1164" i="1"/>
  <c r="S1164" i="1" s="1"/>
  <c r="P1164" i="1"/>
  <c r="Q1164" i="1" s="1"/>
  <c r="N1164" i="1"/>
  <c r="O1164" i="1" s="1"/>
  <c r="L1164" i="1"/>
  <c r="Y1163" i="1"/>
  <c r="W1163" i="1"/>
  <c r="U1163" i="1"/>
  <c r="R1163" i="1"/>
  <c r="S1163" i="1" s="1"/>
  <c r="P1163" i="1"/>
  <c r="Q1163" i="1" s="1"/>
  <c r="N1163" i="1"/>
  <c r="O1163" i="1" s="1"/>
  <c r="L1163" i="1"/>
  <c r="Y1162" i="1"/>
  <c r="W1162" i="1"/>
  <c r="U1162" i="1"/>
  <c r="R1162" i="1"/>
  <c r="S1162" i="1" s="1"/>
  <c r="P1162" i="1"/>
  <c r="Q1162" i="1" s="1"/>
  <c r="N1162" i="1"/>
  <c r="O1162" i="1" s="1"/>
  <c r="L1162" i="1"/>
  <c r="Y1161" i="1"/>
  <c r="W1161" i="1"/>
  <c r="U1161" i="1"/>
  <c r="R1161" i="1"/>
  <c r="S1161" i="1" s="1"/>
  <c r="P1161" i="1"/>
  <c r="Q1161" i="1" s="1"/>
  <c r="N1161" i="1"/>
  <c r="O1161" i="1" s="1"/>
  <c r="L1161" i="1"/>
  <c r="Y1160" i="1"/>
  <c r="W1160" i="1"/>
  <c r="U1160" i="1"/>
  <c r="R1160" i="1"/>
  <c r="S1160" i="1" s="1"/>
  <c r="P1160" i="1"/>
  <c r="Q1160" i="1" s="1"/>
  <c r="N1160" i="1"/>
  <c r="O1160" i="1" s="1"/>
  <c r="L1160" i="1"/>
  <c r="Y1159" i="1"/>
  <c r="W1159" i="1"/>
  <c r="U1159" i="1"/>
  <c r="R1159" i="1"/>
  <c r="S1159" i="1" s="1"/>
  <c r="P1159" i="1"/>
  <c r="Q1159" i="1" s="1"/>
  <c r="N1159" i="1"/>
  <c r="O1159" i="1" s="1"/>
  <c r="L1159" i="1"/>
  <c r="Y1158" i="1"/>
  <c r="W1158" i="1"/>
  <c r="U1158" i="1"/>
  <c r="R1158" i="1"/>
  <c r="S1158" i="1" s="1"/>
  <c r="P1158" i="1"/>
  <c r="Q1158" i="1" s="1"/>
  <c r="N1158" i="1"/>
  <c r="O1158" i="1" s="1"/>
  <c r="L1158" i="1"/>
  <c r="Y1157" i="1"/>
  <c r="W1157" i="1"/>
  <c r="U1157" i="1"/>
  <c r="R1157" i="1"/>
  <c r="S1157" i="1" s="1"/>
  <c r="P1157" i="1"/>
  <c r="Q1157" i="1" s="1"/>
  <c r="N1157" i="1"/>
  <c r="O1157" i="1" s="1"/>
  <c r="L1157" i="1"/>
  <c r="Y1156" i="1"/>
  <c r="W1156" i="1"/>
  <c r="U1156" i="1"/>
  <c r="R1156" i="1"/>
  <c r="S1156" i="1" s="1"/>
  <c r="P1156" i="1"/>
  <c r="Q1156" i="1" s="1"/>
  <c r="N1156" i="1"/>
  <c r="O1156" i="1" s="1"/>
  <c r="L1156" i="1"/>
  <c r="Y1155" i="1"/>
  <c r="W1155" i="1"/>
  <c r="U1155" i="1"/>
  <c r="R1155" i="1"/>
  <c r="S1155" i="1" s="1"/>
  <c r="P1155" i="1"/>
  <c r="Q1155" i="1" s="1"/>
  <c r="N1155" i="1"/>
  <c r="O1155" i="1" s="1"/>
  <c r="L1155" i="1"/>
  <c r="Y1154" i="1"/>
  <c r="W1154" i="1"/>
  <c r="U1154" i="1"/>
  <c r="R1154" i="1"/>
  <c r="S1154" i="1" s="1"/>
  <c r="P1154" i="1"/>
  <c r="Q1154" i="1" s="1"/>
  <c r="N1154" i="1"/>
  <c r="O1154" i="1" s="1"/>
  <c r="L1154" i="1"/>
  <c r="Y1153" i="1"/>
  <c r="W1153" i="1"/>
  <c r="U1153" i="1"/>
  <c r="R1153" i="1"/>
  <c r="S1153" i="1" s="1"/>
  <c r="P1153" i="1"/>
  <c r="Q1153" i="1" s="1"/>
  <c r="N1153" i="1"/>
  <c r="O1153" i="1" s="1"/>
  <c r="L1153" i="1"/>
  <c r="M1153" i="1" s="1"/>
  <c r="Y1152" i="1"/>
  <c r="W1152" i="1"/>
  <c r="U1152" i="1"/>
  <c r="R1152" i="1"/>
  <c r="S1152" i="1" s="1"/>
  <c r="P1152" i="1"/>
  <c r="Q1152" i="1" s="1"/>
  <c r="N1152" i="1"/>
  <c r="O1152" i="1" s="1"/>
  <c r="L1152" i="1"/>
  <c r="Y1151" i="1"/>
  <c r="W1151" i="1"/>
  <c r="U1151" i="1"/>
  <c r="R1151" i="1"/>
  <c r="S1151" i="1" s="1"/>
  <c r="P1151" i="1"/>
  <c r="Q1151" i="1" s="1"/>
  <c r="N1151" i="1"/>
  <c r="O1151" i="1" s="1"/>
  <c r="L1151" i="1"/>
  <c r="Y1150" i="1"/>
  <c r="W1150" i="1"/>
  <c r="U1150" i="1"/>
  <c r="R1150" i="1"/>
  <c r="S1150" i="1" s="1"/>
  <c r="P1150" i="1"/>
  <c r="Q1150" i="1" s="1"/>
  <c r="N1150" i="1"/>
  <c r="O1150" i="1" s="1"/>
  <c r="L1150" i="1"/>
  <c r="Y1149" i="1"/>
  <c r="W1149" i="1"/>
  <c r="U1149" i="1"/>
  <c r="R1149" i="1"/>
  <c r="S1149" i="1" s="1"/>
  <c r="P1149" i="1"/>
  <c r="Q1149" i="1" s="1"/>
  <c r="N1149" i="1"/>
  <c r="O1149" i="1" s="1"/>
  <c r="L1149" i="1"/>
  <c r="Y1148" i="1"/>
  <c r="W1148" i="1"/>
  <c r="U1148" i="1"/>
  <c r="R1148" i="1"/>
  <c r="S1148" i="1" s="1"/>
  <c r="P1148" i="1"/>
  <c r="Q1148" i="1" s="1"/>
  <c r="N1148" i="1"/>
  <c r="O1148" i="1" s="1"/>
  <c r="L1148" i="1"/>
  <c r="Y1147" i="1"/>
  <c r="W1147" i="1"/>
  <c r="U1147" i="1"/>
  <c r="R1147" i="1"/>
  <c r="S1147" i="1" s="1"/>
  <c r="P1147" i="1"/>
  <c r="Q1147" i="1" s="1"/>
  <c r="N1147" i="1"/>
  <c r="O1147" i="1" s="1"/>
  <c r="L1147" i="1"/>
  <c r="Y1146" i="1"/>
  <c r="W1146" i="1"/>
  <c r="U1146" i="1"/>
  <c r="R1146" i="1"/>
  <c r="S1146" i="1" s="1"/>
  <c r="P1146" i="1"/>
  <c r="Q1146" i="1" s="1"/>
  <c r="N1146" i="1"/>
  <c r="O1146" i="1" s="1"/>
  <c r="L1146" i="1"/>
  <c r="Y1145" i="1"/>
  <c r="W1145" i="1"/>
  <c r="U1145" i="1"/>
  <c r="R1145" i="1"/>
  <c r="S1145" i="1" s="1"/>
  <c r="P1145" i="1"/>
  <c r="Q1145" i="1" s="1"/>
  <c r="N1145" i="1"/>
  <c r="O1145" i="1" s="1"/>
  <c r="L1145" i="1"/>
  <c r="Y1144" i="1"/>
  <c r="W1144" i="1"/>
  <c r="U1144" i="1"/>
  <c r="R1144" i="1"/>
  <c r="S1144" i="1" s="1"/>
  <c r="P1144" i="1"/>
  <c r="Q1144" i="1" s="1"/>
  <c r="N1144" i="1"/>
  <c r="O1144" i="1" s="1"/>
  <c r="L1144" i="1"/>
  <c r="Y1143" i="1"/>
  <c r="W1143" i="1"/>
  <c r="U1143" i="1"/>
  <c r="R1143" i="1"/>
  <c r="S1143" i="1" s="1"/>
  <c r="P1143" i="1"/>
  <c r="Q1143" i="1" s="1"/>
  <c r="N1143" i="1"/>
  <c r="O1143" i="1" s="1"/>
  <c r="L1143" i="1"/>
  <c r="Y1142" i="1"/>
  <c r="W1142" i="1"/>
  <c r="U1142" i="1"/>
  <c r="R1142" i="1"/>
  <c r="S1142" i="1" s="1"/>
  <c r="P1142" i="1"/>
  <c r="Q1142" i="1" s="1"/>
  <c r="N1142" i="1"/>
  <c r="O1142" i="1" s="1"/>
  <c r="L1142" i="1"/>
  <c r="Y1141" i="1"/>
  <c r="W1141" i="1"/>
  <c r="U1141" i="1"/>
  <c r="R1141" i="1"/>
  <c r="S1141" i="1" s="1"/>
  <c r="P1141" i="1"/>
  <c r="Q1141" i="1" s="1"/>
  <c r="N1141" i="1"/>
  <c r="O1141" i="1" s="1"/>
  <c r="L1141" i="1"/>
  <c r="Y1140" i="1"/>
  <c r="W1140" i="1"/>
  <c r="U1140" i="1"/>
  <c r="R1140" i="1"/>
  <c r="S1140" i="1" s="1"/>
  <c r="P1140" i="1"/>
  <c r="Q1140" i="1" s="1"/>
  <c r="N1140" i="1"/>
  <c r="O1140" i="1" s="1"/>
  <c r="L1140" i="1"/>
  <c r="M1140" i="1" s="1"/>
  <c r="Y1139" i="1"/>
  <c r="W1139" i="1"/>
  <c r="U1139" i="1"/>
  <c r="R1139" i="1"/>
  <c r="S1139" i="1" s="1"/>
  <c r="P1139" i="1"/>
  <c r="Q1139" i="1" s="1"/>
  <c r="N1139" i="1"/>
  <c r="O1139" i="1" s="1"/>
  <c r="L1139" i="1"/>
  <c r="Y1138" i="1"/>
  <c r="W1138" i="1"/>
  <c r="U1138" i="1"/>
  <c r="R1138" i="1"/>
  <c r="S1138" i="1" s="1"/>
  <c r="P1138" i="1"/>
  <c r="Q1138" i="1" s="1"/>
  <c r="N1138" i="1"/>
  <c r="O1138" i="1" s="1"/>
  <c r="L1138" i="1"/>
  <c r="M1138" i="1" s="1"/>
  <c r="Y1137" i="1"/>
  <c r="W1137" i="1"/>
  <c r="U1137" i="1"/>
  <c r="R1137" i="1"/>
  <c r="S1137" i="1" s="1"/>
  <c r="P1137" i="1"/>
  <c r="Q1137" i="1" s="1"/>
  <c r="N1137" i="1"/>
  <c r="O1137" i="1" s="1"/>
  <c r="L1137" i="1"/>
  <c r="Y1136" i="1"/>
  <c r="W1136" i="1"/>
  <c r="U1136" i="1"/>
  <c r="R1136" i="1"/>
  <c r="S1136" i="1" s="1"/>
  <c r="P1136" i="1"/>
  <c r="Q1136" i="1" s="1"/>
  <c r="N1136" i="1"/>
  <c r="O1136" i="1" s="1"/>
  <c r="L1136" i="1"/>
  <c r="M1136" i="1" s="1"/>
  <c r="Y1135" i="1"/>
  <c r="W1135" i="1"/>
  <c r="U1135" i="1"/>
  <c r="R1135" i="1"/>
  <c r="S1135" i="1" s="1"/>
  <c r="P1135" i="1"/>
  <c r="Q1135" i="1" s="1"/>
  <c r="N1135" i="1"/>
  <c r="O1135" i="1" s="1"/>
  <c r="L1135" i="1"/>
  <c r="Y1134" i="1"/>
  <c r="W1134" i="1"/>
  <c r="U1134" i="1"/>
  <c r="R1134" i="1"/>
  <c r="S1134" i="1" s="1"/>
  <c r="P1134" i="1"/>
  <c r="Q1134" i="1" s="1"/>
  <c r="N1134" i="1"/>
  <c r="O1134" i="1" s="1"/>
  <c r="L1134" i="1"/>
  <c r="M1134" i="1" s="1"/>
  <c r="Y1133" i="1"/>
  <c r="W1133" i="1"/>
  <c r="U1133" i="1"/>
  <c r="R1133" i="1"/>
  <c r="S1133" i="1" s="1"/>
  <c r="P1133" i="1"/>
  <c r="Q1133" i="1" s="1"/>
  <c r="N1133" i="1"/>
  <c r="O1133" i="1" s="1"/>
  <c r="L1133" i="1"/>
  <c r="Y1132" i="1"/>
  <c r="W1132" i="1"/>
  <c r="U1132" i="1"/>
  <c r="R1132" i="1"/>
  <c r="S1132" i="1" s="1"/>
  <c r="P1132" i="1"/>
  <c r="Q1132" i="1" s="1"/>
  <c r="N1132" i="1"/>
  <c r="O1132" i="1" s="1"/>
  <c r="L1132" i="1"/>
  <c r="M1132" i="1" s="1"/>
  <c r="Y1131" i="1"/>
  <c r="W1131" i="1"/>
  <c r="U1131" i="1"/>
  <c r="R1131" i="1"/>
  <c r="S1131" i="1" s="1"/>
  <c r="P1131" i="1"/>
  <c r="Q1131" i="1" s="1"/>
  <c r="N1131" i="1"/>
  <c r="O1131" i="1" s="1"/>
  <c r="L1131" i="1"/>
  <c r="Y1130" i="1"/>
  <c r="W1130" i="1"/>
  <c r="U1130" i="1"/>
  <c r="R1130" i="1"/>
  <c r="S1130" i="1" s="1"/>
  <c r="P1130" i="1"/>
  <c r="Q1130" i="1" s="1"/>
  <c r="N1130" i="1"/>
  <c r="O1130" i="1" s="1"/>
  <c r="L1130" i="1"/>
  <c r="M1130" i="1" s="1"/>
  <c r="Y1129" i="1"/>
  <c r="W1129" i="1"/>
  <c r="U1129" i="1"/>
  <c r="R1129" i="1"/>
  <c r="S1129" i="1" s="1"/>
  <c r="P1129" i="1"/>
  <c r="Q1129" i="1" s="1"/>
  <c r="N1129" i="1"/>
  <c r="O1129" i="1" s="1"/>
  <c r="L1129" i="1"/>
  <c r="Y1128" i="1"/>
  <c r="W1128" i="1"/>
  <c r="U1128" i="1"/>
  <c r="R1128" i="1"/>
  <c r="S1128" i="1" s="1"/>
  <c r="P1128" i="1"/>
  <c r="Q1128" i="1" s="1"/>
  <c r="N1128" i="1"/>
  <c r="O1128" i="1" s="1"/>
  <c r="L1128" i="1"/>
  <c r="Y1127" i="1"/>
  <c r="W1127" i="1"/>
  <c r="U1127" i="1"/>
  <c r="R1127" i="1"/>
  <c r="S1127" i="1" s="1"/>
  <c r="P1127" i="1"/>
  <c r="Q1127" i="1" s="1"/>
  <c r="N1127" i="1"/>
  <c r="O1127" i="1" s="1"/>
  <c r="L1127" i="1"/>
  <c r="Y1126" i="1"/>
  <c r="W1126" i="1"/>
  <c r="U1126" i="1"/>
  <c r="R1126" i="1"/>
  <c r="S1126" i="1" s="1"/>
  <c r="P1126" i="1"/>
  <c r="Q1126" i="1" s="1"/>
  <c r="N1126" i="1"/>
  <c r="O1126" i="1" s="1"/>
  <c r="L1126" i="1"/>
  <c r="M1126" i="1" s="1"/>
  <c r="Y1125" i="1"/>
  <c r="W1125" i="1"/>
  <c r="U1125" i="1"/>
  <c r="R1125" i="1"/>
  <c r="S1125" i="1" s="1"/>
  <c r="P1125" i="1"/>
  <c r="Q1125" i="1" s="1"/>
  <c r="N1125" i="1"/>
  <c r="O1125" i="1" s="1"/>
  <c r="L1125" i="1"/>
  <c r="Y1124" i="1"/>
  <c r="W1124" i="1"/>
  <c r="U1124" i="1"/>
  <c r="R1124" i="1"/>
  <c r="S1124" i="1" s="1"/>
  <c r="P1124" i="1"/>
  <c r="Q1124" i="1" s="1"/>
  <c r="N1124" i="1"/>
  <c r="O1124" i="1" s="1"/>
  <c r="L1124" i="1"/>
  <c r="M1124" i="1" s="1"/>
  <c r="Y1123" i="1"/>
  <c r="W1123" i="1"/>
  <c r="U1123" i="1"/>
  <c r="R1123" i="1"/>
  <c r="S1123" i="1" s="1"/>
  <c r="P1123" i="1"/>
  <c r="Q1123" i="1" s="1"/>
  <c r="N1123" i="1"/>
  <c r="O1123" i="1" s="1"/>
  <c r="L1123" i="1"/>
  <c r="Y1122" i="1"/>
  <c r="W1122" i="1"/>
  <c r="U1122" i="1"/>
  <c r="R1122" i="1"/>
  <c r="S1122" i="1" s="1"/>
  <c r="P1122" i="1"/>
  <c r="Q1122" i="1" s="1"/>
  <c r="N1122" i="1"/>
  <c r="O1122" i="1" s="1"/>
  <c r="L1122" i="1"/>
  <c r="Y1121" i="1"/>
  <c r="W1121" i="1"/>
  <c r="U1121" i="1"/>
  <c r="R1121" i="1"/>
  <c r="S1121" i="1" s="1"/>
  <c r="P1121" i="1"/>
  <c r="Q1121" i="1" s="1"/>
  <c r="N1121" i="1"/>
  <c r="O1121" i="1" s="1"/>
  <c r="L1121" i="1"/>
  <c r="Y1120" i="1"/>
  <c r="W1120" i="1"/>
  <c r="U1120" i="1"/>
  <c r="R1120" i="1"/>
  <c r="S1120" i="1" s="1"/>
  <c r="P1120" i="1"/>
  <c r="Q1120" i="1" s="1"/>
  <c r="N1120" i="1"/>
  <c r="O1120" i="1" s="1"/>
  <c r="L1120" i="1"/>
  <c r="M1120" i="1" s="1"/>
  <c r="Y1233" i="1"/>
  <c r="W1233" i="1"/>
  <c r="U1233" i="1"/>
  <c r="R1233" i="1"/>
  <c r="S1233" i="1" s="1"/>
  <c r="P1233" i="1"/>
  <c r="Q1233" i="1" s="1"/>
  <c r="N1233" i="1"/>
  <c r="O1233" i="1" s="1"/>
  <c r="L1233" i="1"/>
  <c r="Y626" i="1"/>
  <c r="W626" i="1"/>
  <c r="U626" i="1"/>
  <c r="R626" i="1"/>
  <c r="S626" i="1" s="1"/>
  <c r="P626" i="1"/>
  <c r="Q626" i="1" s="1"/>
  <c r="N626" i="1"/>
  <c r="O626" i="1" s="1"/>
  <c r="L626" i="1"/>
  <c r="Y625" i="1"/>
  <c r="W625" i="1"/>
  <c r="U625" i="1"/>
  <c r="R625" i="1"/>
  <c r="S625" i="1" s="1"/>
  <c r="P625" i="1"/>
  <c r="Q625" i="1" s="1"/>
  <c r="N625" i="1"/>
  <c r="O625" i="1" s="1"/>
  <c r="L625" i="1"/>
  <c r="Y624" i="1"/>
  <c r="W624" i="1"/>
  <c r="U624" i="1"/>
  <c r="R624" i="1"/>
  <c r="S624" i="1" s="1"/>
  <c r="P624" i="1"/>
  <c r="Q624" i="1" s="1"/>
  <c r="N624" i="1"/>
  <c r="O624" i="1" s="1"/>
  <c r="L624" i="1"/>
  <c r="Y623" i="1"/>
  <c r="W623" i="1"/>
  <c r="U623" i="1"/>
  <c r="R623" i="1"/>
  <c r="S623" i="1" s="1"/>
  <c r="P623" i="1"/>
  <c r="Q623" i="1" s="1"/>
  <c r="N623" i="1"/>
  <c r="O623" i="1" s="1"/>
  <c r="L623" i="1"/>
  <c r="Y622" i="1"/>
  <c r="W622" i="1"/>
  <c r="U622" i="1"/>
  <c r="R622" i="1"/>
  <c r="S622" i="1" s="1"/>
  <c r="P622" i="1"/>
  <c r="Q622" i="1" s="1"/>
  <c r="N622" i="1"/>
  <c r="O622" i="1" s="1"/>
  <c r="L622" i="1"/>
  <c r="Y621" i="1"/>
  <c r="W621" i="1"/>
  <c r="U621" i="1"/>
  <c r="R621" i="1"/>
  <c r="S621" i="1" s="1"/>
  <c r="P621" i="1"/>
  <c r="Q621" i="1" s="1"/>
  <c r="N621" i="1"/>
  <c r="O621" i="1" s="1"/>
  <c r="L621" i="1"/>
  <c r="Y620" i="1"/>
  <c r="W620" i="1"/>
  <c r="U620" i="1"/>
  <c r="R620" i="1"/>
  <c r="S620" i="1" s="1"/>
  <c r="P620" i="1"/>
  <c r="Q620" i="1" s="1"/>
  <c r="N620" i="1"/>
  <c r="O620" i="1" s="1"/>
  <c r="L620" i="1"/>
  <c r="Y619" i="1"/>
  <c r="W619" i="1"/>
  <c r="U619" i="1"/>
  <c r="R619" i="1"/>
  <c r="S619" i="1" s="1"/>
  <c r="P619" i="1"/>
  <c r="Q619" i="1" s="1"/>
  <c r="N619" i="1"/>
  <c r="O619" i="1" s="1"/>
  <c r="L619" i="1"/>
  <c r="Y618" i="1"/>
  <c r="W618" i="1"/>
  <c r="U618" i="1"/>
  <c r="R618" i="1"/>
  <c r="S618" i="1" s="1"/>
  <c r="P618" i="1"/>
  <c r="Q618" i="1" s="1"/>
  <c r="N618" i="1"/>
  <c r="O618" i="1" s="1"/>
  <c r="L618" i="1"/>
  <c r="Y617" i="1"/>
  <c r="W617" i="1"/>
  <c r="U617" i="1"/>
  <c r="R617" i="1"/>
  <c r="S617" i="1" s="1"/>
  <c r="P617" i="1"/>
  <c r="Q617" i="1" s="1"/>
  <c r="N617" i="1"/>
  <c r="O617" i="1" s="1"/>
  <c r="L617" i="1"/>
  <c r="Y616" i="1"/>
  <c r="W616" i="1"/>
  <c r="U616" i="1"/>
  <c r="R616" i="1"/>
  <c r="S616" i="1" s="1"/>
  <c r="P616" i="1"/>
  <c r="Q616" i="1" s="1"/>
  <c r="N616" i="1"/>
  <c r="O616" i="1" s="1"/>
  <c r="L616" i="1"/>
  <c r="Y615" i="1"/>
  <c r="W615" i="1"/>
  <c r="U615" i="1"/>
  <c r="R615" i="1"/>
  <c r="S615" i="1" s="1"/>
  <c r="P615" i="1"/>
  <c r="Q615" i="1" s="1"/>
  <c r="N615" i="1"/>
  <c r="O615" i="1" s="1"/>
  <c r="L615" i="1"/>
  <c r="Y614" i="1"/>
  <c r="W614" i="1"/>
  <c r="U614" i="1"/>
  <c r="R614" i="1"/>
  <c r="S614" i="1" s="1"/>
  <c r="P614" i="1"/>
  <c r="Q614" i="1" s="1"/>
  <c r="N614" i="1"/>
  <c r="O614" i="1" s="1"/>
  <c r="L614" i="1"/>
  <c r="Y613" i="1"/>
  <c r="W613" i="1"/>
  <c r="U613" i="1"/>
  <c r="R613" i="1"/>
  <c r="S613" i="1" s="1"/>
  <c r="P613" i="1"/>
  <c r="Q613" i="1" s="1"/>
  <c r="N613" i="1"/>
  <c r="O613" i="1" s="1"/>
  <c r="L613" i="1"/>
  <c r="Y612" i="1"/>
  <c r="W612" i="1"/>
  <c r="U612" i="1"/>
  <c r="R612" i="1"/>
  <c r="S612" i="1" s="1"/>
  <c r="P612" i="1"/>
  <c r="Q612" i="1" s="1"/>
  <c r="N612" i="1"/>
  <c r="O612" i="1" s="1"/>
  <c r="L612" i="1"/>
  <c r="D612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Z167" i="17"/>
  <c r="Y167" i="17"/>
  <c r="X167" i="17"/>
  <c r="W167" i="17"/>
  <c r="Z166" i="17"/>
  <c r="Y166" i="17"/>
  <c r="X166" i="17"/>
  <c r="W166" i="17"/>
  <c r="Z165" i="17"/>
  <c r="Y165" i="17"/>
  <c r="X165" i="17"/>
  <c r="W165" i="17"/>
  <c r="Z164" i="17"/>
  <c r="Y164" i="17"/>
  <c r="X164" i="17"/>
  <c r="W164" i="17"/>
  <c r="Z163" i="17"/>
  <c r="Y163" i="17"/>
  <c r="X163" i="17"/>
  <c r="W163" i="17"/>
  <c r="Z162" i="17"/>
  <c r="Y162" i="17"/>
  <c r="X162" i="17"/>
  <c r="W162" i="17"/>
  <c r="Z161" i="17"/>
  <c r="Y161" i="17"/>
  <c r="X161" i="17"/>
  <c r="W161" i="17"/>
  <c r="Z160" i="17"/>
  <c r="Y160" i="17"/>
  <c r="X160" i="17"/>
  <c r="W160" i="17"/>
  <c r="Z159" i="17"/>
  <c r="Y159" i="17"/>
  <c r="X159" i="17"/>
  <c r="W159" i="17"/>
  <c r="Z158" i="17"/>
  <c r="Y158" i="17"/>
  <c r="X158" i="17"/>
  <c r="W158" i="17"/>
  <c r="Z157" i="17"/>
  <c r="Y157" i="17"/>
  <c r="X157" i="17"/>
  <c r="W157" i="17"/>
  <c r="Z156" i="17"/>
  <c r="Y156" i="17"/>
  <c r="X156" i="17"/>
  <c r="W156" i="17"/>
  <c r="Z155" i="17"/>
  <c r="Y155" i="17"/>
  <c r="X155" i="17"/>
  <c r="W155" i="17"/>
  <c r="Z154" i="17"/>
  <c r="Y154" i="17"/>
  <c r="X154" i="17"/>
  <c r="W154" i="17"/>
  <c r="Z153" i="17"/>
  <c r="Y153" i="17"/>
  <c r="X153" i="17"/>
  <c r="W153" i="17"/>
  <c r="Z152" i="17"/>
  <c r="Y152" i="17"/>
  <c r="X152" i="17"/>
  <c r="W152" i="17"/>
  <c r="Z151" i="17"/>
  <c r="Y151" i="17"/>
  <c r="X151" i="17"/>
  <c r="W151" i="17"/>
  <c r="Z150" i="17"/>
  <c r="Y150" i="17"/>
  <c r="X150" i="17"/>
  <c r="W150" i="17"/>
  <c r="Z149" i="17"/>
  <c r="Y149" i="17"/>
  <c r="X149" i="17"/>
  <c r="W149" i="17"/>
  <c r="Z148" i="17"/>
  <c r="Y148" i="17"/>
  <c r="X148" i="17"/>
  <c r="W148" i="17"/>
  <c r="Z147" i="17"/>
  <c r="Y147" i="17"/>
  <c r="X147" i="17"/>
  <c r="W147" i="17"/>
  <c r="Z146" i="17"/>
  <c r="Y146" i="17"/>
  <c r="X146" i="17"/>
  <c r="W146" i="17"/>
  <c r="Z145" i="17"/>
  <c r="Y145" i="17"/>
  <c r="X145" i="17"/>
  <c r="W145" i="17"/>
  <c r="Z144" i="17"/>
  <c r="Y144" i="17"/>
  <c r="X144" i="17"/>
  <c r="W144" i="17"/>
  <c r="Z143" i="17"/>
  <c r="Y143" i="17"/>
  <c r="X143" i="17"/>
  <c r="W143" i="17"/>
  <c r="Z142" i="17"/>
  <c r="Y142" i="17"/>
  <c r="X142" i="17"/>
  <c r="W142" i="17"/>
  <c r="Z141" i="17"/>
  <c r="Y141" i="17"/>
  <c r="X141" i="17"/>
  <c r="W141" i="17"/>
  <c r="Z140" i="17"/>
  <c r="Y140" i="17"/>
  <c r="X140" i="17"/>
  <c r="W140" i="17"/>
  <c r="Z139" i="17"/>
  <c r="Y139" i="17"/>
  <c r="X139" i="17"/>
  <c r="W139" i="17"/>
  <c r="Z138" i="17"/>
  <c r="Y138" i="17"/>
  <c r="X138" i="17"/>
  <c r="W138" i="17"/>
  <c r="Z137" i="17"/>
  <c r="AT139" i="17" s="1"/>
  <c r="Y137" i="17"/>
  <c r="AS139" i="17" s="1"/>
  <c r="X137" i="17"/>
  <c r="AR139" i="17" s="1"/>
  <c r="W137" i="17"/>
  <c r="AQ139" i="17" s="1"/>
  <c r="Z136" i="17"/>
  <c r="AT138" i="17" s="1"/>
  <c r="Y136" i="17"/>
  <c r="AS138" i="17" s="1"/>
  <c r="X136" i="17"/>
  <c r="AR138" i="17" s="1"/>
  <c r="W136" i="17"/>
  <c r="AQ138" i="17" s="1"/>
  <c r="Z135" i="17"/>
  <c r="AT136" i="17" s="1"/>
  <c r="Y135" i="17"/>
  <c r="AS136" i="17" s="1"/>
  <c r="X135" i="17"/>
  <c r="AR136" i="17" s="1"/>
  <c r="W135" i="17"/>
  <c r="AQ136" i="17" s="1"/>
  <c r="Z134" i="17"/>
  <c r="AT134" i="17" s="1"/>
  <c r="Y134" i="17"/>
  <c r="AS134" i="17" s="1"/>
  <c r="X134" i="17"/>
  <c r="AR134" i="17" s="1"/>
  <c r="W134" i="17"/>
  <c r="AQ134" i="17" s="1"/>
  <c r="Z133" i="17"/>
  <c r="Y133" i="17"/>
  <c r="X133" i="17"/>
  <c r="W133" i="17"/>
  <c r="Z132" i="17"/>
  <c r="Y132" i="17"/>
  <c r="X132" i="17"/>
  <c r="W132" i="17"/>
  <c r="Z131" i="17"/>
  <c r="AT131" i="17" s="1"/>
  <c r="Y131" i="17"/>
  <c r="AS131" i="17" s="1"/>
  <c r="X131" i="17"/>
  <c r="AR131" i="17" s="1"/>
  <c r="W131" i="17"/>
  <c r="AQ131" i="17" s="1"/>
  <c r="Z130" i="17"/>
  <c r="Y130" i="17"/>
  <c r="X130" i="17"/>
  <c r="T166" i="17"/>
  <c r="S166" i="17"/>
  <c r="R166" i="17"/>
  <c r="T165" i="17"/>
  <c r="S165" i="17"/>
  <c r="R165" i="17"/>
  <c r="T164" i="17"/>
  <c r="S164" i="17"/>
  <c r="R164" i="17"/>
  <c r="T163" i="17"/>
  <c r="S163" i="17"/>
  <c r="R163" i="17"/>
  <c r="T162" i="17"/>
  <c r="S162" i="17"/>
  <c r="R162" i="17"/>
  <c r="T161" i="17"/>
  <c r="S161" i="17"/>
  <c r="R161" i="17"/>
  <c r="T160" i="17"/>
  <c r="S160" i="17"/>
  <c r="R160" i="17"/>
  <c r="T159" i="17"/>
  <c r="S159" i="17"/>
  <c r="R159" i="17"/>
  <c r="T158" i="17"/>
  <c r="S158" i="17"/>
  <c r="R158" i="17"/>
  <c r="T157" i="17"/>
  <c r="S157" i="17"/>
  <c r="R157" i="17"/>
  <c r="T156" i="17"/>
  <c r="S156" i="17"/>
  <c r="R156" i="17"/>
  <c r="T155" i="17"/>
  <c r="S155" i="17"/>
  <c r="R155" i="17"/>
  <c r="T154" i="17"/>
  <c r="S154" i="17"/>
  <c r="R154" i="17"/>
  <c r="T153" i="17"/>
  <c r="S153" i="17"/>
  <c r="R153" i="17"/>
  <c r="T152" i="17"/>
  <c r="S152" i="17"/>
  <c r="R152" i="17"/>
  <c r="T151" i="17"/>
  <c r="S151" i="17"/>
  <c r="R151" i="17"/>
  <c r="T150" i="17"/>
  <c r="S150" i="17"/>
  <c r="R150" i="17"/>
  <c r="T149" i="17"/>
  <c r="S149" i="17"/>
  <c r="R149" i="17"/>
  <c r="T148" i="17"/>
  <c r="S148" i="17"/>
  <c r="R148" i="17"/>
  <c r="T147" i="17"/>
  <c r="S147" i="17"/>
  <c r="R147" i="17"/>
  <c r="T146" i="17"/>
  <c r="S146" i="17"/>
  <c r="R146" i="17"/>
  <c r="T145" i="17"/>
  <c r="S145" i="17"/>
  <c r="R145" i="17"/>
  <c r="T144" i="17"/>
  <c r="S144" i="17"/>
  <c r="R144" i="17"/>
  <c r="T143" i="17"/>
  <c r="S143" i="17"/>
  <c r="R143" i="17"/>
  <c r="T142" i="17"/>
  <c r="S142" i="17"/>
  <c r="R142" i="17"/>
  <c r="T141" i="17"/>
  <c r="S141" i="17"/>
  <c r="R141" i="17"/>
  <c r="T140" i="17"/>
  <c r="S140" i="17"/>
  <c r="R140" i="17"/>
  <c r="T139" i="17"/>
  <c r="S139" i="17"/>
  <c r="R139" i="17"/>
  <c r="T138" i="17"/>
  <c r="S138" i="17"/>
  <c r="R138" i="17"/>
  <c r="T137" i="17"/>
  <c r="S137" i="17"/>
  <c r="R137" i="17"/>
  <c r="T136" i="17"/>
  <c r="S136" i="17"/>
  <c r="R136" i="17"/>
  <c r="T135" i="17"/>
  <c r="S135" i="17"/>
  <c r="R135" i="17"/>
  <c r="T134" i="17"/>
  <c r="S134" i="17"/>
  <c r="R134" i="17"/>
  <c r="T133" i="17"/>
  <c r="S133" i="17"/>
  <c r="R133" i="17"/>
  <c r="T132" i="17"/>
  <c r="S132" i="17"/>
  <c r="R132" i="17"/>
  <c r="T131" i="17"/>
  <c r="AN131" i="17" s="1"/>
  <c r="S131" i="17"/>
  <c r="AM131" i="17" s="1"/>
  <c r="R131" i="17"/>
  <c r="AL131" i="17" s="1"/>
  <c r="T130" i="17"/>
  <c r="S130" i="17"/>
  <c r="AL133" i="17" l="1"/>
  <c r="AN133" i="17"/>
  <c r="AM133" i="17"/>
  <c r="X1149" i="1"/>
  <c r="Z1132" i="1"/>
  <c r="Z1164" i="1"/>
  <c r="Z1128" i="1"/>
  <c r="M1128" i="1"/>
  <c r="V1128" i="1"/>
  <c r="Z1122" i="1"/>
  <c r="V1138" i="1"/>
  <c r="X1142" i="1"/>
  <c r="X1165" i="1"/>
  <c r="V1126" i="1"/>
  <c r="M1142" i="1"/>
  <c r="Z1145" i="1"/>
  <c r="Z1120" i="1"/>
  <c r="V1124" i="1"/>
  <c r="Z1134" i="1"/>
  <c r="Z1138" i="1"/>
  <c r="V1140" i="1"/>
  <c r="V1153" i="1"/>
  <c r="X1151" i="1"/>
  <c r="Z1130" i="1"/>
  <c r="Z1233" i="1"/>
  <c r="V1130" i="1"/>
  <c r="V1122" i="1"/>
  <c r="X1123" i="1"/>
  <c r="X1144" i="1"/>
  <c r="X1175" i="1"/>
  <c r="Z1136" i="1"/>
  <c r="X1155" i="1"/>
  <c r="Z1166" i="1"/>
  <c r="Z1176" i="1"/>
  <c r="V1120" i="1"/>
  <c r="M1122" i="1"/>
  <c r="Z1124" i="1"/>
  <c r="Z1126" i="1"/>
  <c r="V1132" i="1"/>
  <c r="V1134" i="1"/>
  <c r="V1136" i="1"/>
  <c r="Z1140" i="1"/>
  <c r="M1155" i="1"/>
  <c r="V1166" i="1"/>
  <c r="X1143" i="1"/>
  <c r="V1143" i="1"/>
  <c r="X1174" i="1"/>
  <c r="M1174" i="1"/>
  <c r="X1145" i="1"/>
  <c r="M1145" i="1"/>
  <c r="V1145" i="1"/>
  <c r="V1151" i="1"/>
  <c r="X1233" i="1"/>
  <c r="X1121" i="1"/>
  <c r="Z1155" i="1"/>
  <c r="Z1174" i="1"/>
  <c r="X1125" i="1"/>
  <c r="X1127" i="1"/>
  <c r="X1129" i="1"/>
  <c r="X1131" i="1"/>
  <c r="X1133" i="1"/>
  <c r="X1135" i="1"/>
  <c r="X1137" i="1"/>
  <c r="X1139" i="1"/>
  <c r="X1141" i="1"/>
  <c r="X1147" i="1"/>
  <c r="Z1147" i="1"/>
  <c r="X1157" i="1"/>
  <c r="X1159" i="1"/>
  <c r="V1162" i="1"/>
  <c r="V1174" i="1"/>
  <c r="X1120" i="1"/>
  <c r="X1122" i="1"/>
  <c r="X1124" i="1"/>
  <c r="X1126" i="1"/>
  <c r="X1128" i="1"/>
  <c r="X1130" i="1"/>
  <c r="X1132" i="1"/>
  <c r="X1134" i="1"/>
  <c r="X1136" i="1"/>
  <c r="X1138" i="1"/>
  <c r="X1140" i="1"/>
  <c r="M1147" i="1"/>
  <c r="X1153" i="1"/>
  <c r="Z1153" i="1"/>
  <c r="V1159" i="1"/>
  <c r="M1162" i="1"/>
  <c r="V1164" i="1"/>
  <c r="X1166" i="1"/>
  <c r="X1173" i="1"/>
  <c r="Z1144" i="1"/>
  <c r="V1144" i="1"/>
  <c r="M1144" i="1"/>
  <c r="X1160" i="1"/>
  <c r="V1160" i="1"/>
  <c r="M1160" i="1"/>
  <c r="Z1167" i="1"/>
  <c r="V1167" i="1"/>
  <c r="M1167" i="1"/>
  <c r="X1170" i="1"/>
  <c r="Z1170" i="1"/>
  <c r="X1172" i="1"/>
  <c r="M1172" i="1"/>
  <c r="Z1183" i="1"/>
  <c r="V1183" i="1"/>
  <c r="M1183" i="1"/>
  <c r="X1183" i="1"/>
  <c r="Z1187" i="1"/>
  <c r="V1187" i="1"/>
  <c r="M1187" i="1"/>
  <c r="X1187" i="1"/>
  <c r="Z1191" i="1"/>
  <c r="V1191" i="1"/>
  <c r="M1191" i="1"/>
  <c r="X1191" i="1"/>
  <c r="Z1195" i="1"/>
  <c r="V1195" i="1"/>
  <c r="M1195" i="1"/>
  <c r="X1195" i="1"/>
  <c r="Z1199" i="1"/>
  <c r="V1199" i="1"/>
  <c r="M1199" i="1"/>
  <c r="X1199" i="1"/>
  <c r="Z1203" i="1"/>
  <c r="V1203" i="1"/>
  <c r="M1203" i="1"/>
  <c r="X1203" i="1"/>
  <c r="Z1207" i="1"/>
  <c r="V1207" i="1"/>
  <c r="M1207" i="1"/>
  <c r="X1207" i="1"/>
  <c r="X1211" i="1"/>
  <c r="Z1211" i="1"/>
  <c r="V1211" i="1"/>
  <c r="M1211" i="1"/>
  <c r="X1215" i="1"/>
  <c r="Z1215" i="1"/>
  <c r="V1215" i="1"/>
  <c r="M1215" i="1"/>
  <c r="X1219" i="1"/>
  <c r="Z1219" i="1"/>
  <c r="V1219" i="1"/>
  <c r="M1219" i="1"/>
  <c r="X1223" i="1"/>
  <c r="Z1223" i="1"/>
  <c r="V1223" i="1"/>
  <c r="M1223" i="1"/>
  <c r="X1227" i="1"/>
  <c r="Z1227" i="1"/>
  <c r="V1227" i="1"/>
  <c r="M1227" i="1"/>
  <c r="X1231" i="1"/>
  <c r="Z1231" i="1"/>
  <c r="V1231" i="1"/>
  <c r="M1231" i="1"/>
  <c r="M1121" i="1"/>
  <c r="V1121" i="1"/>
  <c r="Z1121" i="1"/>
  <c r="M1123" i="1"/>
  <c r="V1123" i="1"/>
  <c r="Z1123" i="1"/>
  <c r="M1125" i="1"/>
  <c r="V1125" i="1"/>
  <c r="Z1125" i="1"/>
  <c r="M1127" i="1"/>
  <c r="V1127" i="1"/>
  <c r="Z1127" i="1"/>
  <c r="M1129" i="1"/>
  <c r="V1129" i="1"/>
  <c r="Z1129" i="1"/>
  <c r="M1131" i="1"/>
  <c r="V1131" i="1"/>
  <c r="Z1131" i="1"/>
  <c r="M1133" i="1"/>
  <c r="V1133" i="1"/>
  <c r="Z1133" i="1"/>
  <c r="M1135" i="1"/>
  <c r="V1135" i="1"/>
  <c r="Z1135" i="1"/>
  <c r="M1137" i="1"/>
  <c r="V1137" i="1"/>
  <c r="Z1137" i="1"/>
  <c r="M1139" i="1"/>
  <c r="V1139" i="1"/>
  <c r="Z1139" i="1"/>
  <c r="M1141" i="1"/>
  <c r="V1141" i="1"/>
  <c r="Z1141" i="1"/>
  <c r="Z1146" i="1"/>
  <c r="V1146" i="1"/>
  <c r="M1146" i="1"/>
  <c r="X1146" i="1"/>
  <c r="M1149" i="1"/>
  <c r="Z1154" i="1"/>
  <c r="V1154" i="1"/>
  <c r="M1154" i="1"/>
  <c r="X1154" i="1"/>
  <c r="M1157" i="1"/>
  <c r="Z1160" i="1"/>
  <c r="Z1163" i="1"/>
  <c r="V1163" i="1"/>
  <c r="M1163" i="1"/>
  <c r="X1163" i="1"/>
  <c r="Z1165" i="1"/>
  <c r="V1165" i="1"/>
  <c r="M1165" i="1"/>
  <c r="X1168" i="1"/>
  <c r="V1168" i="1"/>
  <c r="M1170" i="1"/>
  <c r="Z1172" i="1"/>
  <c r="Z1175" i="1"/>
  <c r="V1175" i="1"/>
  <c r="M1175" i="1"/>
  <c r="X1178" i="1"/>
  <c r="Z1178" i="1"/>
  <c r="X1182" i="1"/>
  <c r="Z1182" i="1"/>
  <c r="V1182" i="1"/>
  <c r="M1182" i="1"/>
  <c r="X1186" i="1"/>
  <c r="Z1186" i="1"/>
  <c r="V1186" i="1"/>
  <c r="M1186" i="1"/>
  <c r="X1190" i="1"/>
  <c r="Z1190" i="1"/>
  <c r="V1190" i="1"/>
  <c r="M1190" i="1"/>
  <c r="X1194" i="1"/>
  <c r="Z1194" i="1"/>
  <c r="V1194" i="1"/>
  <c r="M1194" i="1"/>
  <c r="X1198" i="1"/>
  <c r="Z1198" i="1"/>
  <c r="V1198" i="1"/>
  <c r="M1198" i="1"/>
  <c r="X1202" i="1"/>
  <c r="Z1202" i="1"/>
  <c r="V1202" i="1"/>
  <c r="M1202" i="1"/>
  <c r="X1206" i="1"/>
  <c r="Z1206" i="1"/>
  <c r="V1206" i="1"/>
  <c r="M1206" i="1"/>
  <c r="Z1142" i="1"/>
  <c r="V1142" i="1"/>
  <c r="M1143" i="1"/>
  <c r="V1147" i="1"/>
  <c r="Z1148" i="1"/>
  <c r="V1148" i="1"/>
  <c r="M1148" i="1"/>
  <c r="X1148" i="1"/>
  <c r="Z1149" i="1"/>
  <c r="M1151" i="1"/>
  <c r="V1155" i="1"/>
  <c r="Z1156" i="1"/>
  <c r="V1156" i="1"/>
  <c r="M1156" i="1"/>
  <c r="X1156" i="1"/>
  <c r="Z1157" i="1"/>
  <c r="M1159" i="1"/>
  <c r="M1168" i="1"/>
  <c r="Z1168" i="1"/>
  <c r="Z1171" i="1"/>
  <c r="V1171" i="1"/>
  <c r="M1171" i="1"/>
  <c r="X1171" i="1"/>
  <c r="V1172" i="1"/>
  <c r="Z1173" i="1"/>
  <c r="V1173" i="1"/>
  <c r="M1173" i="1"/>
  <c r="X1176" i="1"/>
  <c r="V1176" i="1"/>
  <c r="M1178" i="1"/>
  <c r="Z1152" i="1"/>
  <c r="V1152" i="1"/>
  <c r="M1152" i="1"/>
  <c r="X1152" i="1"/>
  <c r="Z1143" i="1"/>
  <c r="V1149" i="1"/>
  <c r="Z1150" i="1"/>
  <c r="V1150" i="1"/>
  <c r="M1150" i="1"/>
  <c r="X1150" i="1"/>
  <c r="Z1151" i="1"/>
  <c r="V1157" i="1"/>
  <c r="Z1158" i="1"/>
  <c r="V1158" i="1"/>
  <c r="M1158" i="1"/>
  <c r="X1158" i="1"/>
  <c r="Z1159" i="1"/>
  <c r="X1162" i="1"/>
  <c r="Z1162" i="1"/>
  <c r="X1164" i="1"/>
  <c r="M1164" i="1"/>
  <c r="X1167" i="1"/>
  <c r="V1170" i="1"/>
  <c r="Z1179" i="1"/>
  <c r="V1179" i="1"/>
  <c r="M1179" i="1"/>
  <c r="X1179" i="1"/>
  <c r="X1180" i="1"/>
  <c r="Z1180" i="1"/>
  <c r="V1180" i="1"/>
  <c r="M1180" i="1"/>
  <c r="X1184" i="1"/>
  <c r="Z1184" i="1"/>
  <c r="V1184" i="1"/>
  <c r="M1184" i="1"/>
  <c r="Z1161" i="1"/>
  <c r="V1161" i="1"/>
  <c r="M1161" i="1"/>
  <c r="X1161" i="1"/>
  <c r="Z1169" i="1"/>
  <c r="V1169" i="1"/>
  <c r="M1169" i="1"/>
  <c r="X1169" i="1"/>
  <c r="Z1177" i="1"/>
  <c r="V1177" i="1"/>
  <c r="M1177" i="1"/>
  <c r="X1177" i="1"/>
  <c r="Z1181" i="1"/>
  <c r="V1181" i="1"/>
  <c r="M1181" i="1"/>
  <c r="X1181" i="1"/>
  <c r="Z1185" i="1"/>
  <c r="V1185" i="1"/>
  <c r="M1185" i="1"/>
  <c r="X1185" i="1"/>
  <c r="Z1189" i="1"/>
  <c r="V1189" i="1"/>
  <c r="M1189" i="1"/>
  <c r="X1189" i="1"/>
  <c r="Z1193" i="1"/>
  <c r="V1193" i="1"/>
  <c r="M1193" i="1"/>
  <c r="X1193" i="1"/>
  <c r="Z1197" i="1"/>
  <c r="V1197" i="1"/>
  <c r="M1197" i="1"/>
  <c r="X1197" i="1"/>
  <c r="Z1201" i="1"/>
  <c r="V1201" i="1"/>
  <c r="M1201" i="1"/>
  <c r="X1201" i="1"/>
  <c r="Z1205" i="1"/>
  <c r="V1205" i="1"/>
  <c r="M1205" i="1"/>
  <c r="X1205" i="1"/>
  <c r="X1209" i="1"/>
  <c r="Z1209" i="1"/>
  <c r="V1209" i="1"/>
  <c r="M1209" i="1"/>
  <c r="X1188" i="1"/>
  <c r="Z1188" i="1"/>
  <c r="V1188" i="1"/>
  <c r="M1188" i="1"/>
  <c r="X1192" i="1"/>
  <c r="Z1192" i="1"/>
  <c r="V1192" i="1"/>
  <c r="M1192" i="1"/>
  <c r="X1196" i="1"/>
  <c r="Z1196" i="1"/>
  <c r="V1196" i="1"/>
  <c r="M1196" i="1"/>
  <c r="X1200" i="1"/>
  <c r="Z1200" i="1"/>
  <c r="V1200" i="1"/>
  <c r="M1200" i="1"/>
  <c r="X1204" i="1"/>
  <c r="Z1204" i="1"/>
  <c r="V1204" i="1"/>
  <c r="M1204" i="1"/>
  <c r="Z1208" i="1"/>
  <c r="X1208" i="1"/>
  <c r="V1208" i="1"/>
  <c r="M1208" i="1"/>
  <c r="X1213" i="1"/>
  <c r="Z1213" i="1"/>
  <c r="V1213" i="1"/>
  <c r="M1213" i="1"/>
  <c r="X1217" i="1"/>
  <c r="Z1217" i="1"/>
  <c r="V1217" i="1"/>
  <c r="M1217" i="1"/>
  <c r="X1221" i="1"/>
  <c r="Z1221" i="1"/>
  <c r="V1221" i="1"/>
  <c r="M1221" i="1"/>
  <c r="X1225" i="1"/>
  <c r="Z1225" i="1"/>
  <c r="V1225" i="1"/>
  <c r="M1225" i="1"/>
  <c r="X1229" i="1"/>
  <c r="Z1229" i="1"/>
  <c r="V1229" i="1"/>
  <c r="M1229" i="1"/>
  <c r="Z1212" i="1"/>
  <c r="V1212" i="1"/>
  <c r="M1212" i="1"/>
  <c r="X1212" i="1"/>
  <c r="Z1216" i="1"/>
  <c r="V1216" i="1"/>
  <c r="M1216" i="1"/>
  <c r="X1216" i="1"/>
  <c r="Z1220" i="1"/>
  <c r="V1220" i="1"/>
  <c r="M1220" i="1"/>
  <c r="X1220" i="1"/>
  <c r="Z1224" i="1"/>
  <c r="V1224" i="1"/>
  <c r="M1224" i="1"/>
  <c r="X1224" i="1"/>
  <c r="Z1228" i="1"/>
  <c r="V1228" i="1"/>
  <c r="M1228" i="1"/>
  <c r="X1228" i="1"/>
  <c r="Z1232" i="1"/>
  <c r="V1232" i="1"/>
  <c r="M1232" i="1"/>
  <c r="X1232" i="1"/>
  <c r="Z1210" i="1"/>
  <c r="V1210" i="1"/>
  <c r="M1210" i="1"/>
  <c r="X1210" i="1"/>
  <c r="Z1214" i="1"/>
  <c r="V1214" i="1"/>
  <c r="M1214" i="1"/>
  <c r="X1214" i="1"/>
  <c r="Z1218" i="1"/>
  <c r="V1218" i="1"/>
  <c r="M1218" i="1"/>
  <c r="X1218" i="1"/>
  <c r="Z1222" i="1"/>
  <c r="V1222" i="1"/>
  <c r="M1222" i="1"/>
  <c r="X1222" i="1"/>
  <c r="Z1226" i="1"/>
  <c r="V1226" i="1"/>
  <c r="M1226" i="1"/>
  <c r="X1226" i="1"/>
  <c r="Z1230" i="1"/>
  <c r="V1230" i="1"/>
  <c r="M1230" i="1"/>
  <c r="X1230" i="1"/>
  <c r="M1233" i="1"/>
  <c r="V1233" i="1"/>
  <c r="X612" i="1"/>
  <c r="X613" i="1"/>
  <c r="X615" i="1"/>
  <c r="X619" i="1"/>
  <c r="Z621" i="1"/>
  <c r="Z625" i="1"/>
  <c r="Z617" i="1"/>
  <c r="X623" i="1"/>
  <c r="X614" i="1"/>
  <c r="X617" i="1"/>
  <c r="Z614" i="1"/>
  <c r="M614" i="1"/>
  <c r="V614" i="1"/>
  <c r="Z615" i="1"/>
  <c r="X616" i="1"/>
  <c r="Z616" i="1"/>
  <c r="X621" i="1"/>
  <c r="X625" i="1"/>
  <c r="M616" i="1"/>
  <c r="Z619" i="1"/>
  <c r="Z623" i="1"/>
  <c r="Z612" i="1"/>
  <c r="V612" i="1"/>
  <c r="Z613" i="1"/>
  <c r="X620" i="1"/>
  <c r="Z620" i="1"/>
  <c r="V620" i="1"/>
  <c r="M620" i="1"/>
  <c r="X624" i="1"/>
  <c r="Z624" i="1"/>
  <c r="V624" i="1"/>
  <c r="M624" i="1"/>
  <c r="M612" i="1"/>
  <c r="V616" i="1"/>
  <c r="X618" i="1"/>
  <c r="Z618" i="1"/>
  <c r="V618" i="1"/>
  <c r="M618" i="1"/>
  <c r="X622" i="1"/>
  <c r="Z622" i="1"/>
  <c r="V622" i="1"/>
  <c r="M622" i="1"/>
  <c r="X626" i="1"/>
  <c r="Z626" i="1"/>
  <c r="V626" i="1"/>
  <c r="M626" i="1"/>
  <c r="M613" i="1"/>
  <c r="V613" i="1"/>
  <c r="M615" i="1"/>
  <c r="V615" i="1"/>
  <c r="M617" i="1"/>
  <c r="V617" i="1"/>
  <c r="M619" i="1"/>
  <c r="V619" i="1"/>
  <c r="M621" i="1"/>
  <c r="V621" i="1"/>
  <c r="M623" i="1"/>
  <c r="V623" i="1"/>
  <c r="M625" i="1"/>
  <c r="V625" i="1"/>
  <c r="T167" i="17" l="1"/>
  <c r="S167" i="17"/>
  <c r="R167" i="17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U131" i="17" l="1"/>
  <c r="AO131" i="17" s="1"/>
  <c r="U135" i="17"/>
  <c r="U139" i="17"/>
  <c r="U143" i="17"/>
  <c r="U147" i="17"/>
  <c r="U151" i="17"/>
  <c r="U155" i="17"/>
  <c r="U159" i="17"/>
  <c r="U163" i="17"/>
  <c r="U167" i="17"/>
  <c r="U133" i="17"/>
  <c r="U137" i="17"/>
  <c r="U141" i="17"/>
  <c r="U145" i="17"/>
  <c r="U149" i="17"/>
  <c r="U153" i="17"/>
  <c r="U157" i="17"/>
  <c r="U161" i="17"/>
  <c r="U165" i="17"/>
  <c r="U132" i="17"/>
  <c r="U136" i="17"/>
  <c r="U140" i="17"/>
  <c r="U144" i="17"/>
  <c r="U148" i="17"/>
  <c r="U152" i="17"/>
  <c r="U156" i="17"/>
  <c r="U160" i="17"/>
  <c r="U164" i="17"/>
  <c r="U134" i="17"/>
  <c r="U138" i="17"/>
  <c r="U142" i="17"/>
  <c r="U146" i="17"/>
  <c r="U150" i="17"/>
  <c r="U154" i="17"/>
  <c r="U158" i="17"/>
  <c r="U162" i="17"/>
  <c r="U166" i="17"/>
  <c r="AO133" i="17" l="1"/>
  <c r="AG227" i="17"/>
  <c r="AG223" i="17"/>
  <c r="AG219" i="17"/>
  <c r="AG215" i="17"/>
  <c r="AG211" i="17"/>
  <c r="AG207" i="17"/>
  <c r="AG203" i="17"/>
  <c r="AG199" i="17"/>
  <c r="AG195" i="17"/>
  <c r="AG191" i="17"/>
  <c r="R49" i="16"/>
  <c r="R47" i="16"/>
  <c r="Q47" i="16"/>
  <c r="P47" i="16"/>
  <c r="O47" i="16"/>
  <c r="N47" i="16"/>
  <c r="R53" i="16"/>
  <c r="R50" i="16"/>
  <c r="R46" i="16"/>
  <c r="Q46" i="16"/>
  <c r="P46" i="16"/>
  <c r="O46" i="16"/>
  <c r="AF227" i="17"/>
  <c r="AF226" i="17"/>
  <c r="AF225" i="17"/>
  <c r="AF224" i="17"/>
  <c r="AF223" i="17"/>
  <c r="J49" i="16" s="1"/>
  <c r="AF222" i="17"/>
  <c r="AF221" i="17"/>
  <c r="AF220" i="17"/>
  <c r="AF219" i="17"/>
  <c r="AF218" i="17"/>
  <c r="AF217" i="17"/>
  <c r="J47" i="16" s="1"/>
  <c r="AF216" i="17"/>
  <c r="AF215" i="17"/>
  <c r="AF214" i="17"/>
  <c r="AF213" i="17"/>
  <c r="AF212" i="17"/>
  <c r="AF211" i="17"/>
  <c r="AF210" i="17"/>
  <c r="AF209" i="17"/>
  <c r="J48" i="16" s="1"/>
  <c r="AF208" i="17"/>
  <c r="AF207" i="17"/>
  <c r="AF206" i="17"/>
  <c r="AF205" i="17"/>
  <c r="AF204" i="17"/>
  <c r="J52" i="16" s="1"/>
  <c r="AF203" i="17"/>
  <c r="AF202" i="17"/>
  <c r="J53" i="16" s="1"/>
  <c r="AF201" i="17"/>
  <c r="AF200" i="17"/>
  <c r="AF199" i="17"/>
  <c r="J54" i="16" s="1"/>
  <c r="AF198" i="17"/>
  <c r="AF197" i="17"/>
  <c r="AF196" i="17"/>
  <c r="AF195" i="17"/>
  <c r="AF194" i="17"/>
  <c r="AF193" i="17"/>
  <c r="AF192" i="17"/>
  <c r="J50" i="16" s="1"/>
  <c r="AF191" i="17"/>
  <c r="AF190" i="17"/>
  <c r="AF189" i="17"/>
  <c r="AF188" i="17"/>
  <c r="AF187" i="17"/>
  <c r="AE265" i="17"/>
  <c r="AG194" i="17" l="1"/>
  <c r="AG202" i="17"/>
  <c r="AG210" i="17"/>
  <c r="AG218" i="17"/>
  <c r="AG222" i="17"/>
  <c r="AG221" i="17"/>
  <c r="AG220" i="17"/>
  <c r="AF265" i="17"/>
  <c r="AG224" i="17"/>
  <c r="AG188" i="17"/>
  <c r="AG192" i="17"/>
  <c r="AG196" i="17"/>
  <c r="AG200" i="17"/>
  <c r="AG204" i="17"/>
  <c r="AG208" i="17"/>
  <c r="AG212" i="17"/>
  <c r="AG216" i="17"/>
  <c r="AG190" i="17"/>
  <c r="AG198" i="17"/>
  <c r="AG206" i="17"/>
  <c r="AG214" i="17"/>
  <c r="AG226" i="17"/>
  <c r="W189" i="17"/>
  <c r="AE189" i="17" s="1"/>
  <c r="AG189" i="17"/>
  <c r="W191" i="17"/>
  <c r="AE191" i="17" s="1"/>
  <c r="W193" i="17"/>
  <c r="AE193" i="17" s="1"/>
  <c r="AG193" i="17"/>
  <c r="W195" i="17"/>
  <c r="AE195" i="17" s="1"/>
  <c r="W197" i="17"/>
  <c r="AE197" i="17" s="1"/>
  <c r="AG197" i="17"/>
  <c r="W199" i="17"/>
  <c r="AE199" i="17" s="1"/>
  <c r="H54" i="16" s="1"/>
  <c r="W201" i="17"/>
  <c r="AE201" i="17" s="1"/>
  <c r="AG201" i="17"/>
  <c r="W203" i="17"/>
  <c r="AE203" i="17" s="1"/>
  <c r="W205" i="17"/>
  <c r="AE205" i="17" s="1"/>
  <c r="AG205" i="17"/>
  <c r="W207" i="17"/>
  <c r="AE207" i="17" s="1"/>
  <c r="W209" i="17"/>
  <c r="AE209" i="17" s="1"/>
  <c r="H48" i="16" s="1"/>
  <c r="AG209" i="17"/>
  <c r="W211" i="17"/>
  <c r="AE211" i="17" s="1"/>
  <c r="W213" i="17"/>
  <c r="AE213" i="17" s="1"/>
  <c r="AG213" i="17"/>
  <c r="W215" i="17"/>
  <c r="AE215" i="17" s="1"/>
  <c r="W217" i="17"/>
  <c r="AE217" i="17" s="1"/>
  <c r="H47" i="16" s="1"/>
  <c r="AG217" i="17"/>
  <c r="W219" i="17"/>
  <c r="AE219" i="17" s="1"/>
  <c r="W221" i="17"/>
  <c r="AE221" i="17" s="1"/>
  <c r="W223" i="17"/>
  <c r="AE223" i="17" s="1"/>
  <c r="H49" i="16" s="1"/>
  <c r="W225" i="17"/>
  <c r="AE225" i="17" s="1"/>
  <c r="AG225" i="17"/>
  <c r="W227" i="17"/>
  <c r="AE227" i="17" s="1"/>
  <c r="AE229" i="17"/>
  <c r="AG187" i="17"/>
  <c r="W190" i="17"/>
  <c r="AE190" i="17" s="1"/>
  <c r="W194" i="17"/>
  <c r="AE194" i="17" s="1"/>
  <c r="W198" i="17"/>
  <c r="AE198" i="17" s="1"/>
  <c r="W202" i="17"/>
  <c r="AE202" i="17" s="1"/>
  <c r="H53" i="16" s="1"/>
  <c r="W206" i="17"/>
  <c r="AE206" i="17" s="1"/>
  <c r="W210" i="17"/>
  <c r="AE210" i="17" s="1"/>
  <c r="W214" i="17"/>
  <c r="AE214" i="17" s="1"/>
  <c r="W218" i="17"/>
  <c r="AE218" i="17" s="1"/>
  <c r="W222" i="17"/>
  <c r="AE222" i="17" s="1"/>
  <c r="W226" i="17"/>
  <c r="AE226" i="17" s="1"/>
  <c r="W188" i="17"/>
  <c r="AE188" i="17" s="1"/>
  <c r="W192" i="17"/>
  <c r="AE192" i="17" s="1"/>
  <c r="H50" i="16" s="1"/>
  <c r="W196" i="17"/>
  <c r="AE196" i="17" s="1"/>
  <c r="W200" i="17"/>
  <c r="AE200" i="17" s="1"/>
  <c r="W204" i="17"/>
  <c r="AE204" i="17" s="1"/>
  <c r="H52" i="16" s="1"/>
  <c r="W208" i="17"/>
  <c r="AE208" i="17" s="1"/>
  <c r="W212" i="17"/>
  <c r="AE212" i="17" s="1"/>
  <c r="W216" i="17"/>
  <c r="AE216" i="17" s="1"/>
  <c r="W220" i="17"/>
  <c r="AE220" i="17" s="1"/>
  <c r="W224" i="17"/>
  <c r="AE224" i="17" s="1"/>
  <c r="W228" i="17"/>
  <c r="AE228" i="17" s="1"/>
  <c r="V234" i="17"/>
  <c r="U234" i="17"/>
  <c r="T234" i="17"/>
  <c r="T170" i="17"/>
  <c r="S170" i="17"/>
  <c r="Y354" i="1"/>
  <c r="W354" i="1"/>
  <c r="U354" i="1"/>
  <c r="R354" i="1"/>
  <c r="S354" i="1" s="1"/>
  <c r="P354" i="1"/>
  <c r="Q354" i="1" s="1"/>
  <c r="N354" i="1"/>
  <c r="O354" i="1" s="1"/>
  <c r="L354" i="1"/>
  <c r="Y353" i="1"/>
  <c r="W353" i="1"/>
  <c r="U353" i="1"/>
  <c r="R353" i="1"/>
  <c r="S353" i="1" s="1"/>
  <c r="P353" i="1"/>
  <c r="Q353" i="1" s="1"/>
  <c r="N353" i="1"/>
  <c r="O353" i="1" s="1"/>
  <c r="L353" i="1"/>
  <c r="Y352" i="1"/>
  <c r="W352" i="1"/>
  <c r="U352" i="1"/>
  <c r="R352" i="1"/>
  <c r="S352" i="1" s="1"/>
  <c r="P352" i="1"/>
  <c r="Q352" i="1" s="1"/>
  <c r="N352" i="1"/>
  <c r="O352" i="1" s="1"/>
  <c r="L352" i="1"/>
  <c r="Y351" i="1"/>
  <c r="W351" i="1"/>
  <c r="U351" i="1"/>
  <c r="R351" i="1"/>
  <c r="S351" i="1" s="1"/>
  <c r="P351" i="1"/>
  <c r="Q351" i="1" s="1"/>
  <c r="N351" i="1"/>
  <c r="O351" i="1" s="1"/>
  <c r="L351" i="1"/>
  <c r="M351" i="1" s="1"/>
  <c r="Y350" i="1"/>
  <c r="W350" i="1"/>
  <c r="U350" i="1"/>
  <c r="R350" i="1"/>
  <c r="S350" i="1" s="1"/>
  <c r="P350" i="1"/>
  <c r="Q350" i="1" s="1"/>
  <c r="N350" i="1"/>
  <c r="O350" i="1" s="1"/>
  <c r="L350" i="1"/>
  <c r="Y349" i="1"/>
  <c r="W349" i="1"/>
  <c r="U349" i="1"/>
  <c r="R349" i="1"/>
  <c r="S349" i="1" s="1"/>
  <c r="P349" i="1"/>
  <c r="Q349" i="1" s="1"/>
  <c r="N349" i="1"/>
  <c r="O349" i="1" s="1"/>
  <c r="L349" i="1"/>
  <c r="Y348" i="1"/>
  <c r="W348" i="1"/>
  <c r="U348" i="1"/>
  <c r="R348" i="1"/>
  <c r="S348" i="1" s="1"/>
  <c r="P348" i="1"/>
  <c r="Q348" i="1" s="1"/>
  <c r="N348" i="1"/>
  <c r="O348" i="1" s="1"/>
  <c r="L348" i="1"/>
  <c r="Y347" i="1"/>
  <c r="W347" i="1"/>
  <c r="U347" i="1"/>
  <c r="R347" i="1"/>
  <c r="S347" i="1" s="1"/>
  <c r="P347" i="1"/>
  <c r="Q347" i="1" s="1"/>
  <c r="N347" i="1"/>
  <c r="O347" i="1" s="1"/>
  <c r="L347" i="1"/>
  <c r="Y346" i="1"/>
  <c r="W346" i="1"/>
  <c r="U346" i="1"/>
  <c r="R346" i="1"/>
  <c r="S346" i="1" s="1"/>
  <c r="P346" i="1"/>
  <c r="Q346" i="1" s="1"/>
  <c r="N346" i="1"/>
  <c r="O346" i="1" s="1"/>
  <c r="L346" i="1"/>
  <c r="Y345" i="1"/>
  <c r="W345" i="1"/>
  <c r="U345" i="1"/>
  <c r="R345" i="1"/>
  <c r="S345" i="1" s="1"/>
  <c r="P345" i="1"/>
  <c r="Q345" i="1" s="1"/>
  <c r="N345" i="1"/>
  <c r="O345" i="1" s="1"/>
  <c r="L345" i="1"/>
  <c r="Y344" i="1"/>
  <c r="W344" i="1"/>
  <c r="U344" i="1"/>
  <c r="R344" i="1"/>
  <c r="S344" i="1" s="1"/>
  <c r="P344" i="1"/>
  <c r="Q344" i="1" s="1"/>
  <c r="N344" i="1"/>
  <c r="O344" i="1" s="1"/>
  <c r="L344" i="1"/>
  <c r="Y343" i="1"/>
  <c r="W343" i="1"/>
  <c r="U343" i="1"/>
  <c r="R343" i="1"/>
  <c r="S343" i="1" s="1"/>
  <c r="P343" i="1"/>
  <c r="Q343" i="1" s="1"/>
  <c r="N343" i="1"/>
  <c r="O343" i="1" s="1"/>
  <c r="L343" i="1"/>
  <c r="M343" i="1" s="1"/>
  <c r="Y342" i="1"/>
  <c r="W342" i="1"/>
  <c r="U342" i="1"/>
  <c r="R342" i="1"/>
  <c r="S342" i="1" s="1"/>
  <c r="P342" i="1"/>
  <c r="Q342" i="1" s="1"/>
  <c r="N342" i="1"/>
  <c r="O342" i="1" s="1"/>
  <c r="L342" i="1"/>
  <c r="Y341" i="1"/>
  <c r="W341" i="1"/>
  <c r="U341" i="1"/>
  <c r="R341" i="1"/>
  <c r="S341" i="1" s="1"/>
  <c r="P341" i="1"/>
  <c r="Q341" i="1" s="1"/>
  <c r="N341" i="1"/>
  <c r="O341" i="1" s="1"/>
  <c r="L341" i="1"/>
  <c r="Y340" i="1"/>
  <c r="W340" i="1"/>
  <c r="U340" i="1"/>
  <c r="R340" i="1"/>
  <c r="S340" i="1" s="1"/>
  <c r="P340" i="1"/>
  <c r="Q340" i="1" s="1"/>
  <c r="N340" i="1"/>
  <c r="O340" i="1" s="1"/>
  <c r="L340" i="1"/>
  <c r="Y339" i="1"/>
  <c r="W339" i="1"/>
  <c r="U339" i="1"/>
  <c r="R339" i="1"/>
  <c r="S339" i="1" s="1"/>
  <c r="P339" i="1"/>
  <c r="Q339" i="1" s="1"/>
  <c r="N339" i="1"/>
  <c r="O339" i="1" s="1"/>
  <c r="L339" i="1"/>
  <c r="Y338" i="1"/>
  <c r="W338" i="1"/>
  <c r="U338" i="1"/>
  <c r="R338" i="1"/>
  <c r="S338" i="1" s="1"/>
  <c r="P338" i="1"/>
  <c r="Q338" i="1" s="1"/>
  <c r="N338" i="1"/>
  <c r="O338" i="1" s="1"/>
  <c r="L338" i="1"/>
  <c r="Y337" i="1"/>
  <c r="W337" i="1"/>
  <c r="U337" i="1"/>
  <c r="R337" i="1"/>
  <c r="S337" i="1" s="1"/>
  <c r="P337" i="1"/>
  <c r="Q337" i="1" s="1"/>
  <c r="N337" i="1"/>
  <c r="O337" i="1" s="1"/>
  <c r="L337" i="1"/>
  <c r="Y336" i="1"/>
  <c r="W336" i="1"/>
  <c r="U336" i="1"/>
  <c r="R336" i="1"/>
  <c r="S336" i="1" s="1"/>
  <c r="P336" i="1"/>
  <c r="Q336" i="1" s="1"/>
  <c r="N336" i="1"/>
  <c r="O336" i="1" s="1"/>
  <c r="L336" i="1"/>
  <c r="Y335" i="1"/>
  <c r="W335" i="1"/>
  <c r="U335" i="1"/>
  <c r="R335" i="1"/>
  <c r="S335" i="1" s="1"/>
  <c r="P335" i="1"/>
  <c r="Q335" i="1" s="1"/>
  <c r="N335" i="1"/>
  <c r="O335" i="1" s="1"/>
  <c r="L335" i="1"/>
  <c r="M335" i="1" s="1"/>
  <c r="Y334" i="1"/>
  <c r="W334" i="1"/>
  <c r="U334" i="1"/>
  <c r="R334" i="1"/>
  <c r="S334" i="1" s="1"/>
  <c r="P334" i="1"/>
  <c r="Q334" i="1" s="1"/>
  <c r="N334" i="1"/>
  <c r="O334" i="1" s="1"/>
  <c r="L334" i="1"/>
  <c r="Y333" i="1"/>
  <c r="W333" i="1"/>
  <c r="U333" i="1"/>
  <c r="R333" i="1"/>
  <c r="S333" i="1" s="1"/>
  <c r="P333" i="1"/>
  <c r="Q333" i="1" s="1"/>
  <c r="N333" i="1"/>
  <c r="O333" i="1" s="1"/>
  <c r="L333" i="1"/>
  <c r="V333" i="1" s="1"/>
  <c r="Y332" i="1"/>
  <c r="W332" i="1"/>
  <c r="U332" i="1"/>
  <c r="R332" i="1"/>
  <c r="S332" i="1" s="1"/>
  <c r="P332" i="1"/>
  <c r="Q332" i="1" s="1"/>
  <c r="N332" i="1"/>
  <c r="O332" i="1" s="1"/>
  <c r="L332" i="1"/>
  <c r="Y331" i="1"/>
  <c r="W331" i="1"/>
  <c r="U331" i="1"/>
  <c r="R331" i="1"/>
  <c r="S331" i="1" s="1"/>
  <c r="P331" i="1"/>
  <c r="Q331" i="1" s="1"/>
  <c r="N331" i="1"/>
  <c r="O331" i="1" s="1"/>
  <c r="L331" i="1"/>
  <c r="M331" i="1" s="1"/>
  <c r="Y330" i="1"/>
  <c r="W330" i="1"/>
  <c r="U330" i="1"/>
  <c r="R330" i="1"/>
  <c r="S330" i="1" s="1"/>
  <c r="P330" i="1"/>
  <c r="Q330" i="1" s="1"/>
  <c r="N330" i="1"/>
  <c r="O330" i="1" s="1"/>
  <c r="L330" i="1"/>
  <c r="Y329" i="1"/>
  <c r="W329" i="1"/>
  <c r="U329" i="1"/>
  <c r="R329" i="1"/>
  <c r="S329" i="1" s="1"/>
  <c r="P329" i="1"/>
  <c r="Q329" i="1" s="1"/>
  <c r="N329" i="1"/>
  <c r="O329" i="1" s="1"/>
  <c r="L329" i="1"/>
  <c r="Y328" i="1"/>
  <c r="W328" i="1"/>
  <c r="U328" i="1"/>
  <c r="R328" i="1"/>
  <c r="S328" i="1" s="1"/>
  <c r="P328" i="1"/>
  <c r="Q328" i="1" s="1"/>
  <c r="N328" i="1"/>
  <c r="O328" i="1" s="1"/>
  <c r="L328" i="1"/>
  <c r="M328" i="1" s="1"/>
  <c r="Y327" i="1"/>
  <c r="W327" i="1"/>
  <c r="U327" i="1"/>
  <c r="R327" i="1"/>
  <c r="S327" i="1" s="1"/>
  <c r="P327" i="1"/>
  <c r="Q327" i="1" s="1"/>
  <c r="N327" i="1"/>
  <c r="O327" i="1" s="1"/>
  <c r="L327" i="1"/>
  <c r="Y326" i="1"/>
  <c r="W326" i="1"/>
  <c r="U326" i="1"/>
  <c r="R326" i="1"/>
  <c r="S326" i="1" s="1"/>
  <c r="P326" i="1"/>
  <c r="Q326" i="1" s="1"/>
  <c r="N326" i="1"/>
  <c r="O326" i="1" s="1"/>
  <c r="L326" i="1"/>
  <c r="Y325" i="1"/>
  <c r="W325" i="1"/>
  <c r="U325" i="1"/>
  <c r="R325" i="1"/>
  <c r="S325" i="1" s="1"/>
  <c r="P325" i="1"/>
  <c r="Q325" i="1" s="1"/>
  <c r="N325" i="1"/>
  <c r="O325" i="1" s="1"/>
  <c r="L325" i="1"/>
  <c r="Y324" i="1"/>
  <c r="W324" i="1"/>
  <c r="U324" i="1"/>
  <c r="R324" i="1"/>
  <c r="S324" i="1" s="1"/>
  <c r="P324" i="1"/>
  <c r="Q324" i="1" s="1"/>
  <c r="N324" i="1"/>
  <c r="O324" i="1" s="1"/>
  <c r="L324" i="1"/>
  <c r="Y323" i="1"/>
  <c r="W323" i="1"/>
  <c r="U323" i="1"/>
  <c r="R323" i="1"/>
  <c r="S323" i="1" s="1"/>
  <c r="P323" i="1"/>
  <c r="Q323" i="1" s="1"/>
  <c r="N323" i="1"/>
  <c r="O323" i="1" s="1"/>
  <c r="L323" i="1"/>
  <c r="Y322" i="1"/>
  <c r="W322" i="1"/>
  <c r="U322" i="1"/>
  <c r="R322" i="1"/>
  <c r="S322" i="1" s="1"/>
  <c r="P322" i="1"/>
  <c r="Q322" i="1" s="1"/>
  <c r="N322" i="1"/>
  <c r="O322" i="1" s="1"/>
  <c r="L322" i="1"/>
  <c r="Y321" i="1"/>
  <c r="W321" i="1"/>
  <c r="U321" i="1"/>
  <c r="R321" i="1"/>
  <c r="S321" i="1" s="1"/>
  <c r="P321" i="1"/>
  <c r="Q321" i="1" s="1"/>
  <c r="N321" i="1"/>
  <c r="O321" i="1" s="1"/>
  <c r="L321" i="1"/>
  <c r="Y316" i="1"/>
  <c r="W316" i="1"/>
  <c r="U316" i="1"/>
  <c r="R316" i="1"/>
  <c r="S316" i="1" s="1"/>
  <c r="P316" i="1"/>
  <c r="Q316" i="1" s="1"/>
  <c r="N316" i="1"/>
  <c r="O316" i="1" s="1"/>
  <c r="L316" i="1"/>
  <c r="M316" i="1" s="1"/>
  <c r="Y315" i="1"/>
  <c r="W315" i="1"/>
  <c r="U315" i="1"/>
  <c r="R315" i="1"/>
  <c r="S315" i="1" s="1"/>
  <c r="P315" i="1"/>
  <c r="Q315" i="1" s="1"/>
  <c r="N315" i="1"/>
  <c r="O315" i="1" s="1"/>
  <c r="L315" i="1"/>
  <c r="Y314" i="1"/>
  <c r="W314" i="1"/>
  <c r="U314" i="1"/>
  <c r="R314" i="1"/>
  <c r="S314" i="1" s="1"/>
  <c r="P314" i="1"/>
  <c r="Q314" i="1" s="1"/>
  <c r="N314" i="1"/>
  <c r="O314" i="1" s="1"/>
  <c r="L314" i="1"/>
  <c r="Y313" i="1"/>
  <c r="W313" i="1"/>
  <c r="U313" i="1"/>
  <c r="R313" i="1"/>
  <c r="S313" i="1" s="1"/>
  <c r="P313" i="1"/>
  <c r="Q313" i="1" s="1"/>
  <c r="N313" i="1"/>
  <c r="O313" i="1" s="1"/>
  <c r="L313" i="1"/>
  <c r="Y312" i="1"/>
  <c r="W312" i="1"/>
  <c r="U312" i="1"/>
  <c r="R312" i="1"/>
  <c r="S312" i="1" s="1"/>
  <c r="P312" i="1"/>
  <c r="Q312" i="1" s="1"/>
  <c r="N312" i="1"/>
  <c r="O312" i="1" s="1"/>
  <c r="L312" i="1"/>
  <c r="Y311" i="1"/>
  <c r="W311" i="1"/>
  <c r="U311" i="1"/>
  <c r="R311" i="1"/>
  <c r="S311" i="1" s="1"/>
  <c r="P311" i="1"/>
  <c r="Q311" i="1" s="1"/>
  <c r="N311" i="1"/>
  <c r="O311" i="1" s="1"/>
  <c r="L311" i="1"/>
  <c r="Y310" i="1"/>
  <c r="W310" i="1"/>
  <c r="U310" i="1"/>
  <c r="R310" i="1"/>
  <c r="S310" i="1" s="1"/>
  <c r="P310" i="1"/>
  <c r="Q310" i="1" s="1"/>
  <c r="N310" i="1"/>
  <c r="O310" i="1" s="1"/>
  <c r="L310" i="1"/>
  <c r="Y309" i="1"/>
  <c r="W309" i="1"/>
  <c r="U309" i="1"/>
  <c r="R309" i="1"/>
  <c r="S309" i="1" s="1"/>
  <c r="P309" i="1"/>
  <c r="Q309" i="1" s="1"/>
  <c r="N309" i="1"/>
  <c r="O309" i="1" s="1"/>
  <c r="L309" i="1"/>
  <c r="Y308" i="1"/>
  <c r="W308" i="1"/>
  <c r="U308" i="1"/>
  <c r="R308" i="1"/>
  <c r="S308" i="1" s="1"/>
  <c r="P308" i="1"/>
  <c r="Q308" i="1" s="1"/>
  <c r="N308" i="1"/>
  <c r="O308" i="1" s="1"/>
  <c r="L308" i="1"/>
  <c r="Y307" i="1"/>
  <c r="W307" i="1"/>
  <c r="U307" i="1"/>
  <c r="R307" i="1"/>
  <c r="S307" i="1" s="1"/>
  <c r="P307" i="1"/>
  <c r="Q307" i="1" s="1"/>
  <c r="N307" i="1"/>
  <c r="O307" i="1" s="1"/>
  <c r="L307" i="1"/>
  <c r="V307" i="1" s="1"/>
  <c r="Y306" i="1"/>
  <c r="W306" i="1"/>
  <c r="U306" i="1"/>
  <c r="R306" i="1"/>
  <c r="S306" i="1" s="1"/>
  <c r="P306" i="1"/>
  <c r="Q306" i="1" s="1"/>
  <c r="N306" i="1"/>
  <c r="O306" i="1" s="1"/>
  <c r="L306" i="1"/>
  <c r="Y305" i="1"/>
  <c r="W305" i="1"/>
  <c r="U305" i="1"/>
  <c r="R305" i="1"/>
  <c r="S305" i="1" s="1"/>
  <c r="P305" i="1"/>
  <c r="Q305" i="1" s="1"/>
  <c r="N305" i="1"/>
  <c r="O305" i="1" s="1"/>
  <c r="L305" i="1"/>
  <c r="Y304" i="1"/>
  <c r="W304" i="1"/>
  <c r="U304" i="1"/>
  <c r="R304" i="1"/>
  <c r="S304" i="1" s="1"/>
  <c r="P304" i="1"/>
  <c r="Q304" i="1" s="1"/>
  <c r="N304" i="1"/>
  <c r="O304" i="1" s="1"/>
  <c r="L304" i="1"/>
  <c r="Y303" i="1"/>
  <c r="W303" i="1"/>
  <c r="U303" i="1"/>
  <c r="R303" i="1"/>
  <c r="S303" i="1" s="1"/>
  <c r="P303" i="1"/>
  <c r="Q303" i="1" s="1"/>
  <c r="N303" i="1"/>
  <c r="O303" i="1" s="1"/>
  <c r="L303" i="1"/>
  <c r="Y302" i="1"/>
  <c r="W302" i="1"/>
  <c r="U302" i="1"/>
  <c r="R302" i="1"/>
  <c r="S302" i="1" s="1"/>
  <c r="P302" i="1"/>
  <c r="Q302" i="1" s="1"/>
  <c r="N302" i="1"/>
  <c r="O302" i="1" s="1"/>
  <c r="L302" i="1"/>
  <c r="Y301" i="1"/>
  <c r="W301" i="1"/>
  <c r="U301" i="1"/>
  <c r="R301" i="1"/>
  <c r="S301" i="1" s="1"/>
  <c r="P301" i="1"/>
  <c r="Q301" i="1" s="1"/>
  <c r="N301" i="1"/>
  <c r="O301" i="1" s="1"/>
  <c r="L301" i="1"/>
  <c r="Y300" i="1"/>
  <c r="W300" i="1"/>
  <c r="U300" i="1"/>
  <c r="R300" i="1"/>
  <c r="S300" i="1" s="1"/>
  <c r="P300" i="1"/>
  <c r="Q300" i="1" s="1"/>
  <c r="N300" i="1"/>
  <c r="O300" i="1" s="1"/>
  <c r="L300" i="1"/>
  <c r="Y299" i="1"/>
  <c r="W299" i="1"/>
  <c r="U299" i="1"/>
  <c r="R299" i="1"/>
  <c r="S299" i="1" s="1"/>
  <c r="P299" i="1"/>
  <c r="Q299" i="1" s="1"/>
  <c r="N299" i="1"/>
  <c r="O299" i="1" s="1"/>
  <c r="L299" i="1"/>
  <c r="M299" i="1" s="1"/>
  <c r="Y298" i="1"/>
  <c r="W298" i="1"/>
  <c r="U298" i="1"/>
  <c r="R298" i="1"/>
  <c r="S298" i="1" s="1"/>
  <c r="P298" i="1"/>
  <c r="Q298" i="1" s="1"/>
  <c r="N298" i="1"/>
  <c r="O298" i="1" s="1"/>
  <c r="L298" i="1"/>
  <c r="Y297" i="1"/>
  <c r="W297" i="1"/>
  <c r="U297" i="1"/>
  <c r="R297" i="1"/>
  <c r="S297" i="1" s="1"/>
  <c r="P297" i="1"/>
  <c r="Q297" i="1" s="1"/>
  <c r="N297" i="1"/>
  <c r="O297" i="1" s="1"/>
  <c r="L297" i="1"/>
  <c r="Y296" i="1"/>
  <c r="W296" i="1"/>
  <c r="U296" i="1"/>
  <c r="R296" i="1"/>
  <c r="S296" i="1" s="1"/>
  <c r="P296" i="1"/>
  <c r="Q296" i="1" s="1"/>
  <c r="N296" i="1"/>
  <c r="O296" i="1" s="1"/>
  <c r="L296" i="1"/>
  <c r="Y295" i="1"/>
  <c r="W295" i="1"/>
  <c r="U295" i="1"/>
  <c r="R295" i="1"/>
  <c r="S295" i="1" s="1"/>
  <c r="P295" i="1"/>
  <c r="Q295" i="1" s="1"/>
  <c r="N295" i="1"/>
  <c r="O295" i="1" s="1"/>
  <c r="L295" i="1"/>
  <c r="V295" i="1" s="1"/>
  <c r="Y294" i="1"/>
  <c r="W294" i="1"/>
  <c r="U294" i="1"/>
  <c r="R294" i="1"/>
  <c r="S294" i="1" s="1"/>
  <c r="P294" i="1"/>
  <c r="Q294" i="1" s="1"/>
  <c r="N294" i="1"/>
  <c r="O294" i="1" s="1"/>
  <c r="L294" i="1"/>
  <c r="Y293" i="1"/>
  <c r="W293" i="1"/>
  <c r="U293" i="1"/>
  <c r="R293" i="1"/>
  <c r="S293" i="1" s="1"/>
  <c r="P293" i="1"/>
  <c r="Q293" i="1" s="1"/>
  <c r="N293" i="1"/>
  <c r="O293" i="1" s="1"/>
  <c r="L293" i="1"/>
  <c r="Y292" i="1"/>
  <c r="W292" i="1"/>
  <c r="U292" i="1"/>
  <c r="R292" i="1"/>
  <c r="S292" i="1" s="1"/>
  <c r="P292" i="1"/>
  <c r="Q292" i="1" s="1"/>
  <c r="N292" i="1"/>
  <c r="O292" i="1" s="1"/>
  <c r="L292" i="1"/>
  <c r="Y291" i="1"/>
  <c r="W291" i="1"/>
  <c r="U291" i="1"/>
  <c r="R291" i="1"/>
  <c r="S291" i="1" s="1"/>
  <c r="P291" i="1"/>
  <c r="Q291" i="1" s="1"/>
  <c r="N291" i="1"/>
  <c r="O291" i="1" s="1"/>
  <c r="L291" i="1"/>
  <c r="Y290" i="1"/>
  <c r="W290" i="1"/>
  <c r="U290" i="1"/>
  <c r="R290" i="1"/>
  <c r="S290" i="1" s="1"/>
  <c r="P290" i="1"/>
  <c r="Q290" i="1" s="1"/>
  <c r="N290" i="1"/>
  <c r="O290" i="1" s="1"/>
  <c r="L290" i="1"/>
  <c r="M290" i="1" s="1"/>
  <c r="Y289" i="1"/>
  <c r="W289" i="1"/>
  <c r="U289" i="1"/>
  <c r="R289" i="1"/>
  <c r="S289" i="1" s="1"/>
  <c r="P289" i="1"/>
  <c r="Q289" i="1" s="1"/>
  <c r="N289" i="1"/>
  <c r="O289" i="1" s="1"/>
  <c r="L289" i="1"/>
  <c r="M289" i="1" s="1"/>
  <c r="Y288" i="1"/>
  <c r="W288" i="1"/>
  <c r="U288" i="1"/>
  <c r="R288" i="1"/>
  <c r="S288" i="1" s="1"/>
  <c r="P288" i="1"/>
  <c r="Q288" i="1" s="1"/>
  <c r="N288" i="1"/>
  <c r="O288" i="1" s="1"/>
  <c r="L288" i="1"/>
  <c r="Y287" i="1"/>
  <c r="W287" i="1"/>
  <c r="U287" i="1"/>
  <c r="R287" i="1"/>
  <c r="S287" i="1" s="1"/>
  <c r="P287" i="1"/>
  <c r="Q287" i="1" s="1"/>
  <c r="N287" i="1"/>
  <c r="O287" i="1" s="1"/>
  <c r="L287" i="1"/>
  <c r="Y286" i="1"/>
  <c r="W286" i="1"/>
  <c r="U286" i="1"/>
  <c r="R286" i="1"/>
  <c r="S286" i="1" s="1"/>
  <c r="P286" i="1"/>
  <c r="Q286" i="1" s="1"/>
  <c r="N286" i="1"/>
  <c r="O286" i="1" s="1"/>
  <c r="L286" i="1"/>
  <c r="Y285" i="1"/>
  <c r="W285" i="1"/>
  <c r="U285" i="1"/>
  <c r="R285" i="1"/>
  <c r="S285" i="1" s="1"/>
  <c r="P285" i="1"/>
  <c r="Q285" i="1" s="1"/>
  <c r="N285" i="1"/>
  <c r="O285" i="1" s="1"/>
  <c r="L285" i="1"/>
  <c r="M285" i="1" s="1"/>
  <c r="Y284" i="1"/>
  <c r="W284" i="1"/>
  <c r="U284" i="1"/>
  <c r="R284" i="1"/>
  <c r="S284" i="1" s="1"/>
  <c r="P284" i="1"/>
  <c r="Q284" i="1" s="1"/>
  <c r="N284" i="1"/>
  <c r="O284" i="1" s="1"/>
  <c r="L284" i="1"/>
  <c r="Y283" i="1"/>
  <c r="W283" i="1"/>
  <c r="U283" i="1"/>
  <c r="R283" i="1"/>
  <c r="S283" i="1" s="1"/>
  <c r="P283" i="1"/>
  <c r="Q283" i="1" s="1"/>
  <c r="N283" i="1"/>
  <c r="O283" i="1" s="1"/>
  <c r="L283" i="1"/>
  <c r="M283" i="1" s="1"/>
  <c r="Y282" i="1"/>
  <c r="W282" i="1"/>
  <c r="U282" i="1"/>
  <c r="R282" i="1"/>
  <c r="S282" i="1" s="1"/>
  <c r="P282" i="1"/>
  <c r="Q282" i="1" s="1"/>
  <c r="N282" i="1"/>
  <c r="O282" i="1" s="1"/>
  <c r="L282" i="1"/>
  <c r="Y281" i="1"/>
  <c r="W281" i="1"/>
  <c r="U281" i="1"/>
  <c r="R281" i="1"/>
  <c r="S281" i="1" s="1"/>
  <c r="P281" i="1"/>
  <c r="Q281" i="1" s="1"/>
  <c r="N281" i="1"/>
  <c r="O281" i="1" s="1"/>
  <c r="L281" i="1"/>
  <c r="Y280" i="1"/>
  <c r="W280" i="1"/>
  <c r="U280" i="1"/>
  <c r="R280" i="1"/>
  <c r="S280" i="1" s="1"/>
  <c r="P280" i="1"/>
  <c r="Q280" i="1" s="1"/>
  <c r="N280" i="1"/>
  <c r="O280" i="1" s="1"/>
  <c r="L280" i="1"/>
  <c r="Y279" i="1"/>
  <c r="W279" i="1"/>
  <c r="U279" i="1"/>
  <c r="R279" i="1"/>
  <c r="S279" i="1" s="1"/>
  <c r="P279" i="1"/>
  <c r="Q279" i="1" s="1"/>
  <c r="N279" i="1"/>
  <c r="O279" i="1" s="1"/>
  <c r="L279" i="1"/>
  <c r="Y278" i="1"/>
  <c r="W278" i="1"/>
  <c r="U278" i="1"/>
  <c r="R278" i="1"/>
  <c r="S278" i="1" s="1"/>
  <c r="P278" i="1"/>
  <c r="Q278" i="1" s="1"/>
  <c r="N278" i="1"/>
  <c r="O278" i="1" s="1"/>
  <c r="L278" i="1"/>
  <c r="Y277" i="1"/>
  <c r="W277" i="1"/>
  <c r="U277" i="1"/>
  <c r="R277" i="1"/>
  <c r="S277" i="1" s="1"/>
  <c r="P277" i="1"/>
  <c r="Q277" i="1" s="1"/>
  <c r="N277" i="1"/>
  <c r="O277" i="1" s="1"/>
  <c r="L277" i="1"/>
  <c r="Y276" i="1"/>
  <c r="W276" i="1"/>
  <c r="U276" i="1"/>
  <c r="R276" i="1"/>
  <c r="S276" i="1" s="1"/>
  <c r="P276" i="1"/>
  <c r="Q276" i="1" s="1"/>
  <c r="N276" i="1"/>
  <c r="O276" i="1" s="1"/>
  <c r="L276" i="1"/>
  <c r="Y275" i="1"/>
  <c r="W275" i="1"/>
  <c r="U275" i="1"/>
  <c r="R275" i="1"/>
  <c r="S275" i="1" s="1"/>
  <c r="P275" i="1"/>
  <c r="Q275" i="1" s="1"/>
  <c r="N275" i="1"/>
  <c r="O275" i="1" s="1"/>
  <c r="L275" i="1"/>
  <c r="M275" i="1" s="1"/>
  <c r="Y274" i="1"/>
  <c r="W274" i="1"/>
  <c r="U274" i="1"/>
  <c r="R274" i="1"/>
  <c r="S274" i="1" s="1"/>
  <c r="P274" i="1"/>
  <c r="Q274" i="1" s="1"/>
  <c r="N274" i="1"/>
  <c r="O274" i="1" s="1"/>
  <c r="L274" i="1"/>
  <c r="Y273" i="1"/>
  <c r="W273" i="1"/>
  <c r="U273" i="1"/>
  <c r="R273" i="1"/>
  <c r="S273" i="1" s="1"/>
  <c r="P273" i="1"/>
  <c r="Q273" i="1" s="1"/>
  <c r="N273" i="1"/>
  <c r="O273" i="1" s="1"/>
  <c r="L273" i="1"/>
  <c r="Y272" i="1"/>
  <c r="W272" i="1"/>
  <c r="U272" i="1"/>
  <c r="R272" i="1"/>
  <c r="S272" i="1" s="1"/>
  <c r="P272" i="1"/>
  <c r="Q272" i="1" s="1"/>
  <c r="N272" i="1"/>
  <c r="O272" i="1" s="1"/>
  <c r="L272" i="1"/>
  <c r="Y271" i="1"/>
  <c r="W271" i="1"/>
  <c r="U271" i="1"/>
  <c r="R271" i="1"/>
  <c r="S271" i="1" s="1"/>
  <c r="P271" i="1"/>
  <c r="Q271" i="1" s="1"/>
  <c r="N271" i="1"/>
  <c r="O271" i="1" s="1"/>
  <c r="L271" i="1"/>
  <c r="M271" i="1" s="1"/>
  <c r="Y270" i="1"/>
  <c r="W270" i="1"/>
  <c r="U270" i="1"/>
  <c r="R270" i="1"/>
  <c r="S270" i="1" s="1"/>
  <c r="P270" i="1"/>
  <c r="Q270" i="1" s="1"/>
  <c r="N270" i="1"/>
  <c r="O270" i="1" s="1"/>
  <c r="L270" i="1"/>
  <c r="Y269" i="1"/>
  <c r="W269" i="1"/>
  <c r="U269" i="1"/>
  <c r="R269" i="1"/>
  <c r="S269" i="1" s="1"/>
  <c r="P269" i="1"/>
  <c r="Q269" i="1" s="1"/>
  <c r="N269" i="1"/>
  <c r="O269" i="1" s="1"/>
  <c r="L269" i="1"/>
  <c r="M269" i="1" s="1"/>
  <c r="Y268" i="1"/>
  <c r="W268" i="1"/>
  <c r="U268" i="1"/>
  <c r="R268" i="1"/>
  <c r="S268" i="1" s="1"/>
  <c r="P268" i="1"/>
  <c r="Q268" i="1" s="1"/>
  <c r="N268" i="1"/>
  <c r="O268" i="1" s="1"/>
  <c r="L268" i="1"/>
  <c r="Y267" i="1"/>
  <c r="W267" i="1"/>
  <c r="U267" i="1"/>
  <c r="R267" i="1"/>
  <c r="S267" i="1" s="1"/>
  <c r="P267" i="1"/>
  <c r="Q267" i="1" s="1"/>
  <c r="N267" i="1"/>
  <c r="O267" i="1" s="1"/>
  <c r="L267" i="1"/>
  <c r="M267" i="1" s="1"/>
  <c r="Y266" i="1"/>
  <c r="W266" i="1"/>
  <c r="U266" i="1"/>
  <c r="R266" i="1"/>
  <c r="S266" i="1" s="1"/>
  <c r="P266" i="1"/>
  <c r="Q266" i="1" s="1"/>
  <c r="N266" i="1"/>
  <c r="O266" i="1" s="1"/>
  <c r="L266" i="1"/>
  <c r="Y265" i="1"/>
  <c r="W265" i="1"/>
  <c r="U265" i="1"/>
  <c r="R265" i="1"/>
  <c r="S265" i="1" s="1"/>
  <c r="P265" i="1"/>
  <c r="Q265" i="1" s="1"/>
  <c r="N265" i="1"/>
  <c r="O265" i="1" s="1"/>
  <c r="L265" i="1"/>
  <c r="Y264" i="1"/>
  <c r="W264" i="1"/>
  <c r="U264" i="1"/>
  <c r="R264" i="1"/>
  <c r="S264" i="1" s="1"/>
  <c r="P264" i="1"/>
  <c r="Q264" i="1" s="1"/>
  <c r="N264" i="1"/>
  <c r="O264" i="1" s="1"/>
  <c r="L264" i="1"/>
  <c r="Y263" i="1"/>
  <c r="W263" i="1"/>
  <c r="U263" i="1"/>
  <c r="R263" i="1"/>
  <c r="S263" i="1" s="1"/>
  <c r="P263" i="1"/>
  <c r="Q263" i="1" s="1"/>
  <c r="N263" i="1"/>
  <c r="O263" i="1" s="1"/>
  <c r="L263" i="1"/>
  <c r="Y262" i="1"/>
  <c r="W262" i="1"/>
  <c r="U262" i="1"/>
  <c r="R262" i="1"/>
  <c r="S262" i="1" s="1"/>
  <c r="P262" i="1"/>
  <c r="Q262" i="1" s="1"/>
  <c r="N262" i="1"/>
  <c r="O262" i="1" s="1"/>
  <c r="L262" i="1"/>
  <c r="Y261" i="1"/>
  <c r="W261" i="1"/>
  <c r="U261" i="1"/>
  <c r="R261" i="1"/>
  <c r="S261" i="1" s="1"/>
  <c r="P261" i="1"/>
  <c r="Q261" i="1" s="1"/>
  <c r="N261" i="1"/>
  <c r="O261" i="1" s="1"/>
  <c r="L261" i="1"/>
  <c r="V261" i="1" s="1"/>
  <c r="Y260" i="1"/>
  <c r="W260" i="1"/>
  <c r="U260" i="1"/>
  <c r="R260" i="1"/>
  <c r="S260" i="1" s="1"/>
  <c r="P260" i="1"/>
  <c r="Q260" i="1" s="1"/>
  <c r="N260" i="1"/>
  <c r="O260" i="1" s="1"/>
  <c r="L260" i="1"/>
  <c r="Y259" i="1"/>
  <c r="W259" i="1"/>
  <c r="U259" i="1"/>
  <c r="R259" i="1"/>
  <c r="S259" i="1" s="1"/>
  <c r="P259" i="1"/>
  <c r="Q259" i="1" s="1"/>
  <c r="N259" i="1"/>
  <c r="O259" i="1" s="1"/>
  <c r="L259" i="1"/>
  <c r="M259" i="1" s="1"/>
  <c r="Y258" i="1"/>
  <c r="W258" i="1"/>
  <c r="U258" i="1"/>
  <c r="R258" i="1"/>
  <c r="S258" i="1" s="1"/>
  <c r="P258" i="1"/>
  <c r="Q258" i="1" s="1"/>
  <c r="N258" i="1"/>
  <c r="O258" i="1" s="1"/>
  <c r="L258" i="1"/>
  <c r="Y257" i="1"/>
  <c r="W257" i="1"/>
  <c r="U257" i="1"/>
  <c r="R257" i="1"/>
  <c r="S257" i="1" s="1"/>
  <c r="P257" i="1"/>
  <c r="Q257" i="1" s="1"/>
  <c r="N257" i="1"/>
  <c r="O257" i="1" s="1"/>
  <c r="L257" i="1"/>
  <c r="M257" i="1" s="1"/>
  <c r="Y256" i="1"/>
  <c r="W256" i="1"/>
  <c r="U256" i="1"/>
  <c r="R256" i="1"/>
  <c r="S256" i="1" s="1"/>
  <c r="P256" i="1"/>
  <c r="Q256" i="1" s="1"/>
  <c r="N256" i="1"/>
  <c r="O256" i="1" s="1"/>
  <c r="L256" i="1"/>
  <c r="Y255" i="1"/>
  <c r="W255" i="1"/>
  <c r="U255" i="1"/>
  <c r="R255" i="1"/>
  <c r="S255" i="1" s="1"/>
  <c r="P255" i="1"/>
  <c r="Q255" i="1" s="1"/>
  <c r="N255" i="1"/>
  <c r="O255" i="1" s="1"/>
  <c r="L255" i="1"/>
  <c r="M255" i="1" s="1"/>
  <c r="Y254" i="1"/>
  <c r="W254" i="1"/>
  <c r="U254" i="1"/>
  <c r="R254" i="1"/>
  <c r="S254" i="1" s="1"/>
  <c r="P254" i="1"/>
  <c r="Q254" i="1" s="1"/>
  <c r="N254" i="1"/>
  <c r="O254" i="1" s="1"/>
  <c r="L254" i="1"/>
  <c r="Y253" i="1"/>
  <c r="W253" i="1"/>
  <c r="U253" i="1"/>
  <c r="R253" i="1"/>
  <c r="S253" i="1" s="1"/>
  <c r="P253" i="1"/>
  <c r="Q253" i="1" s="1"/>
  <c r="N253" i="1"/>
  <c r="O253" i="1" s="1"/>
  <c r="L253" i="1"/>
  <c r="M253" i="1" s="1"/>
  <c r="Y252" i="1"/>
  <c r="W252" i="1"/>
  <c r="U252" i="1"/>
  <c r="R252" i="1"/>
  <c r="S252" i="1" s="1"/>
  <c r="P252" i="1"/>
  <c r="Q252" i="1" s="1"/>
  <c r="N252" i="1"/>
  <c r="O252" i="1" s="1"/>
  <c r="L252" i="1"/>
  <c r="Y251" i="1"/>
  <c r="W251" i="1"/>
  <c r="U251" i="1"/>
  <c r="R251" i="1"/>
  <c r="S251" i="1" s="1"/>
  <c r="P251" i="1"/>
  <c r="Q251" i="1" s="1"/>
  <c r="N251" i="1"/>
  <c r="O251" i="1" s="1"/>
  <c r="L251" i="1"/>
  <c r="M251" i="1" s="1"/>
  <c r="Y250" i="1"/>
  <c r="W250" i="1"/>
  <c r="U250" i="1"/>
  <c r="R250" i="1"/>
  <c r="S250" i="1" s="1"/>
  <c r="P250" i="1"/>
  <c r="Q250" i="1" s="1"/>
  <c r="N250" i="1"/>
  <c r="O250" i="1" s="1"/>
  <c r="L250" i="1"/>
  <c r="Y249" i="1"/>
  <c r="W249" i="1"/>
  <c r="U249" i="1"/>
  <c r="R249" i="1"/>
  <c r="S249" i="1" s="1"/>
  <c r="P249" i="1"/>
  <c r="Q249" i="1" s="1"/>
  <c r="N249" i="1"/>
  <c r="O249" i="1" s="1"/>
  <c r="L249" i="1"/>
  <c r="M249" i="1" s="1"/>
  <c r="Y248" i="1"/>
  <c r="W248" i="1"/>
  <c r="U248" i="1"/>
  <c r="R248" i="1"/>
  <c r="S248" i="1" s="1"/>
  <c r="P248" i="1"/>
  <c r="Q248" i="1" s="1"/>
  <c r="N248" i="1"/>
  <c r="O248" i="1" s="1"/>
  <c r="L248" i="1"/>
  <c r="Y247" i="1"/>
  <c r="W247" i="1"/>
  <c r="U247" i="1"/>
  <c r="R247" i="1"/>
  <c r="S247" i="1" s="1"/>
  <c r="P247" i="1"/>
  <c r="Q247" i="1" s="1"/>
  <c r="N247" i="1"/>
  <c r="O247" i="1" s="1"/>
  <c r="L247" i="1"/>
  <c r="M247" i="1" s="1"/>
  <c r="Y246" i="1"/>
  <c r="W246" i="1"/>
  <c r="U246" i="1"/>
  <c r="R246" i="1"/>
  <c r="S246" i="1" s="1"/>
  <c r="P246" i="1"/>
  <c r="Q246" i="1" s="1"/>
  <c r="N246" i="1"/>
  <c r="O246" i="1" s="1"/>
  <c r="L246" i="1"/>
  <c r="Y245" i="1"/>
  <c r="W245" i="1"/>
  <c r="U245" i="1"/>
  <c r="R245" i="1"/>
  <c r="S245" i="1" s="1"/>
  <c r="P245" i="1"/>
  <c r="Q245" i="1" s="1"/>
  <c r="N245" i="1"/>
  <c r="O245" i="1" s="1"/>
  <c r="L245" i="1"/>
  <c r="Y244" i="1"/>
  <c r="W244" i="1"/>
  <c r="U244" i="1"/>
  <c r="R244" i="1"/>
  <c r="S244" i="1" s="1"/>
  <c r="P244" i="1"/>
  <c r="Q244" i="1" s="1"/>
  <c r="N244" i="1"/>
  <c r="O244" i="1" s="1"/>
  <c r="L244" i="1"/>
  <c r="Y243" i="1"/>
  <c r="W243" i="1"/>
  <c r="U243" i="1"/>
  <c r="R243" i="1"/>
  <c r="S243" i="1" s="1"/>
  <c r="P243" i="1"/>
  <c r="Q243" i="1" s="1"/>
  <c r="N243" i="1"/>
  <c r="O243" i="1" s="1"/>
  <c r="L243" i="1"/>
  <c r="Y242" i="1"/>
  <c r="W242" i="1"/>
  <c r="U242" i="1"/>
  <c r="R242" i="1"/>
  <c r="S242" i="1" s="1"/>
  <c r="P242" i="1"/>
  <c r="Q242" i="1" s="1"/>
  <c r="N242" i="1"/>
  <c r="O242" i="1" s="1"/>
  <c r="L242" i="1"/>
  <c r="Y241" i="1"/>
  <c r="W241" i="1"/>
  <c r="U241" i="1"/>
  <c r="R241" i="1"/>
  <c r="S241" i="1" s="1"/>
  <c r="P241" i="1"/>
  <c r="Q241" i="1" s="1"/>
  <c r="N241" i="1"/>
  <c r="O241" i="1" s="1"/>
  <c r="L241" i="1"/>
  <c r="Y240" i="1"/>
  <c r="W240" i="1"/>
  <c r="U240" i="1"/>
  <c r="R240" i="1"/>
  <c r="S240" i="1" s="1"/>
  <c r="P240" i="1"/>
  <c r="Q240" i="1" s="1"/>
  <c r="N240" i="1"/>
  <c r="O240" i="1" s="1"/>
  <c r="L240" i="1"/>
  <c r="Y239" i="1"/>
  <c r="W239" i="1"/>
  <c r="U239" i="1"/>
  <c r="R239" i="1"/>
  <c r="S239" i="1" s="1"/>
  <c r="P239" i="1"/>
  <c r="Q239" i="1" s="1"/>
  <c r="N239" i="1"/>
  <c r="O239" i="1" s="1"/>
  <c r="L239" i="1"/>
  <c r="Y238" i="1"/>
  <c r="W238" i="1"/>
  <c r="U238" i="1"/>
  <c r="R238" i="1"/>
  <c r="S238" i="1" s="1"/>
  <c r="P238" i="1"/>
  <c r="Q238" i="1" s="1"/>
  <c r="N238" i="1"/>
  <c r="O238" i="1" s="1"/>
  <c r="L238" i="1"/>
  <c r="Y237" i="1"/>
  <c r="W237" i="1"/>
  <c r="U237" i="1"/>
  <c r="R237" i="1"/>
  <c r="S237" i="1" s="1"/>
  <c r="P237" i="1"/>
  <c r="Q237" i="1" s="1"/>
  <c r="N237" i="1"/>
  <c r="O237" i="1" s="1"/>
  <c r="L237" i="1"/>
  <c r="Y236" i="1"/>
  <c r="W236" i="1"/>
  <c r="U236" i="1"/>
  <c r="R236" i="1"/>
  <c r="S236" i="1" s="1"/>
  <c r="P236" i="1"/>
  <c r="Q236" i="1" s="1"/>
  <c r="N236" i="1"/>
  <c r="O236" i="1" s="1"/>
  <c r="L236" i="1"/>
  <c r="Y235" i="1"/>
  <c r="W235" i="1"/>
  <c r="U235" i="1"/>
  <c r="R235" i="1"/>
  <c r="S235" i="1" s="1"/>
  <c r="P235" i="1"/>
  <c r="Q235" i="1" s="1"/>
  <c r="N235" i="1"/>
  <c r="O235" i="1" s="1"/>
  <c r="L235" i="1"/>
  <c r="V235" i="1" s="1"/>
  <c r="Y234" i="1"/>
  <c r="W234" i="1"/>
  <c r="U234" i="1"/>
  <c r="R234" i="1"/>
  <c r="S234" i="1" s="1"/>
  <c r="P234" i="1"/>
  <c r="Q234" i="1" s="1"/>
  <c r="N234" i="1"/>
  <c r="O234" i="1" s="1"/>
  <c r="L234" i="1"/>
  <c r="Y233" i="1"/>
  <c r="W233" i="1"/>
  <c r="U233" i="1"/>
  <c r="R233" i="1"/>
  <c r="S233" i="1" s="1"/>
  <c r="P233" i="1"/>
  <c r="Q233" i="1" s="1"/>
  <c r="N233" i="1"/>
  <c r="O233" i="1" s="1"/>
  <c r="L233" i="1"/>
  <c r="Y232" i="1"/>
  <c r="W232" i="1"/>
  <c r="U232" i="1"/>
  <c r="R232" i="1"/>
  <c r="S232" i="1" s="1"/>
  <c r="P232" i="1"/>
  <c r="Q232" i="1" s="1"/>
  <c r="N232" i="1"/>
  <c r="O232" i="1" s="1"/>
  <c r="L232" i="1"/>
  <c r="Y231" i="1"/>
  <c r="W231" i="1"/>
  <c r="U231" i="1"/>
  <c r="R231" i="1"/>
  <c r="S231" i="1" s="1"/>
  <c r="P231" i="1"/>
  <c r="Q231" i="1" s="1"/>
  <c r="N231" i="1"/>
  <c r="O231" i="1" s="1"/>
  <c r="L231" i="1"/>
  <c r="Y230" i="1"/>
  <c r="W230" i="1"/>
  <c r="U230" i="1"/>
  <c r="R230" i="1"/>
  <c r="S230" i="1" s="1"/>
  <c r="P230" i="1"/>
  <c r="Q230" i="1" s="1"/>
  <c r="N230" i="1"/>
  <c r="O230" i="1" s="1"/>
  <c r="L230" i="1"/>
  <c r="Y229" i="1"/>
  <c r="W229" i="1"/>
  <c r="U229" i="1"/>
  <c r="R229" i="1"/>
  <c r="S229" i="1" s="1"/>
  <c r="P229" i="1"/>
  <c r="Q229" i="1" s="1"/>
  <c r="N229" i="1"/>
  <c r="O229" i="1" s="1"/>
  <c r="L229" i="1"/>
  <c r="Y228" i="1"/>
  <c r="W228" i="1"/>
  <c r="U228" i="1"/>
  <c r="R228" i="1"/>
  <c r="S228" i="1" s="1"/>
  <c r="P228" i="1"/>
  <c r="Q228" i="1" s="1"/>
  <c r="N228" i="1"/>
  <c r="O228" i="1" s="1"/>
  <c r="L228" i="1"/>
  <c r="M228" i="1" s="1"/>
  <c r="Y227" i="1"/>
  <c r="W227" i="1"/>
  <c r="U227" i="1"/>
  <c r="R227" i="1"/>
  <c r="S227" i="1" s="1"/>
  <c r="P227" i="1"/>
  <c r="Q227" i="1" s="1"/>
  <c r="N227" i="1"/>
  <c r="O227" i="1" s="1"/>
  <c r="L227" i="1"/>
  <c r="Y226" i="1"/>
  <c r="W226" i="1"/>
  <c r="U226" i="1"/>
  <c r="R226" i="1"/>
  <c r="S226" i="1" s="1"/>
  <c r="P226" i="1"/>
  <c r="Q226" i="1" s="1"/>
  <c r="N226" i="1"/>
  <c r="O226" i="1" s="1"/>
  <c r="L226" i="1"/>
  <c r="Y225" i="1"/>
  <c r="W225" i="1"/>
  <c r="U225" i="1"/>
  <c r="R225" i="1"/>
  <c r="S225" i="1" s="1"/>
  <c r="P225" i="1"/>
  <c r="Q225" i="1" s="1"/>
  <c r="N225" i="1"/>
  <c r="O225" i="1" s="1"/>
  <c r="L225" i="1"/>
  <c r="M225" i="1" s="1"/>
  <c r="Y224" i="1"/>
  <c r="W224" i="1"/>
  <c r="U224" i="1"/>
  <c r="R224" i="1"/>
  <c r="S224" i="1" s="1"/>
  <c r="P224" i="1"/>
  <c r="Q224" i="1" s="1"/>
  <c r="N224" i="1"/>
  <c r="O224" i="1" s="1"/>
  <c r="L224" i="1"/>
  <c r="Y223" i="1"/>
  <c r="W223" i="1"/>
  <c r="U223" i="1"/>
  <c r="R223" i="1"/>
  <c r="S223" i="1" s="1"/>
  <c r="P223" i="1"/>
  <c r="Q223" i="1" s="1"/>
  <c r="N223" i="1"/>
  <c r="O223" i="1" s="1"/>
  <c r="L223" i="1"/>
  <c r="M223" i="1" s="1"/>
  <c r="Y222" i="1"/>
  <c r="W222" i="1"/>
  <c r="U222" i="1"/>
  <c r="R222" i="1"/>
  <c r="S222" i="1" s="1"/>
  <c r="P222" i="1"/>
  <c r="Q222" i="1" s="1"/>
  <c r="N222" i="1"/>
  <c r="O222" i="1" s="1"/>
  <c r="L222" i="1"/>
  <c r="Y221" i="1"/>
  <c r="W221" i="1"/>
  <c r="U221" i="1"/>
  <c r="R221" i="1"/>
  <c r="S221" i="1" s="1"/>
  <c r="P221" i="1"/>
  <c r="Q221" i="1" s="1"/>
  <c r="N221" i="1"/>
  <c r="O221" i="1" s="1"/>
  <c r="L221" i="1"/>
  <c r="M221" i="1" s="1"/>
  <c r="Y220" i="1"/>
  <c r="W220" i="1"/>
  <c r="U220" i="1"/>
  <c r="R220" i="1"/>
  <c r="S220" i="1" s="1"/>
  <c r="P220" i="1"/>
  <c r="Q220" i="1" s="1"/>
  <c r="N220" i="1"/>
  <c r="O220" i="1" s="1"/>
  <c r="L220" i="1"/>
  <c r="Y219" i="1"/>
  <c r="W219" i="1"/>
  <c r="U219" i="1"/>
  <c r="R219" i="1"/>
  <c r="S219" i="1" s="1"/>
  <c r="P219" i="1"/>
  <c r="Q219" i="1" s="1"/>
  <c r="N219" i="1"/>
  <c r="O219" i="1" s="1"/>
  <c r="L219" i="1"/>
  <c r="Y218" i="1"/>
  <c r="W218" i="1"/>
  <c r="U218" i="1"/>
  <c r="R218" i="1"/>
  <c r="S218" i="1" s="1"/>
  <c r="P218" i="1"/>
  <c r="Q218" i="1" s="1"/>
  <c r="N218" i="1"/>
  <c r="O218" i="1" s="1"/>
  <c r="L218" i="1"/>
  <c r="Y217" i="1"/>
  <c r="W217" i="1"/>
  <c r="U217" i="1"/>
  <c r="R217" i="1"/>
  <c r="S217" i="1" s="1"/>
  <c r="P217" i="1"/>
  <c r="Q217" i="1" s="1"/>
  <c r="N217" i="1"/>
  <c r="O217" i="1" s="1"/>
  <c r="L217" i="1"/>
  <c r="M217" i="1" s="1"/>
  <c r="Y216" i="1"/>
  <c r="W216" i="1"/>
  <c r="U216" i="1"/>
  <c r="R216" i="1"/>
  <c r="S216" i="1" s="1"/>
  <c r="P216" i="1"/>
  <c r="Q216" i="1" s="1"/>
  <c r="N216" i="1"/>
  <c r="O216" i="1" s="1"/>
  <c r="L216" i="1"/>
  <c r="Y215" i="1"/>
  <c r="W215" i="1"/>
  <c r="U215" i="1"/>
  <c r="R215" i="1"/>
  <c r="S215" i="1" s="1"/>
  <c r="P215" i="1"/>
  <c r="Q215" i="1" s="1"/>
  <c r="N215" i="1"/>
  <c r="O215" i="1" s="1"/>
  <c r="L215" i="1"/>
  <c r="M215" i="1" s="1"/>
  <c r="Y214" i="1"/>
  <c r="W214" i="1"/>
  <c r="U214" i="1"/>
  <c r="R214" i="1"/>
  <c r="S214" i="1" s="1"/>
  <c r="P214" i="1"/>
  <c r="Q214" i="1" s="1"/>
  <c r="N214" i="1"/>
  <c r="O214" i="1" s="1"/>
  <c r="L214" i="1"/>
  <c r="Y213" i="1"/>
  <c r="W213" i="1"/>
  <c r="U213" i="1"/>
  <c r="R213" i="1"/>
  <c r="S213" i="1" s="1"/>
  <c r="P213" i="1"/>
  <c r="Q213" i="1" s="1"/>
  <c r="N213" i="1"/>
  <c r="O213" i="1" s="1"/>
  <c r="L213" i="1"/>
  <c r="M213" i="1" s="1"/>
  <c r="Y212" i="1"/>
  <c r="W212" i="1"/>
  <c r="U212" i="1"/>
  <c r="R212" i="1"/>
  <c r="S212" i="1" s="1"/>
  <c r="P212" i="1"/>
  <c r="Q212" i="1" s="1"/>
  <c r="N212" i="1"/>
  <c r="O212" i="1" s="1"/>
  <c r="L212" i="1"/>
  <c r="Y211" i="1"/>
  <c r="W211" i="1"/>
  <c r="U211" i="1"/>
  <c r="R211" i="1"/>
  <c r="S211" i="1" s="1"/>
  <c r="P211" i="1"/>
  <c r="Q211" i="1" s="1"/>
  <c r="N211" i="1"/>
  <c r="O211" i="1" s="1"/>
  <c r="L211" i="1"/>
  <c r="Y210" i="1"/>
  <c r="W210" i="1"/>
  <c r="U210" i="1"/>
  <c r="R210" i="1"/>
  <c r="S210" i="1" s="1"/>
  <c r="P210" i="1"/>
  <c r="Q210" i="1" s="1"/>
  <c r="N210" i="1"/>
  <c r="O210" i="1" s="1"/>
  <c r="L210" i="1"/>
  <c r="Y209" i="1"/>
  <c r="W209" i="1"/>
  <c r="U209" i="1"/>
  <c r="R209" i="1"/>
  <c r="S209" i="1" s="1"/>
  <c r="P209" i="1"/>
  <c r="Q209" i="1" s="1"/>
  <c r="N209" i="1"/>
  <c r="O209" i="1" s="1"/>
  <c r="L209" i="1"/>
  <c r="M209" i="1" s="1"/>
  <c r="Y208" i="1"/>
  <c r="W208" i="1"/>
  <c r="U208" i="1"/>
  <c r="R208" i="1"/>
  <c r="S208" i="1" s="1"/>
  <c r="P208" i="1"/>
  <c r="Q208" i="1" s="1"/>
  <c r="N208" i="1"/>
  <c r="O208" i="1" s="1"/>
  <c r="L208" i="1"/>
  <c r="Y207" i="1"/>
  <c r="W207" i="1"/>
  <c r="U207" i="1"/>
  <c r="R207" i="1"/>
  <c r="S207" i="1" s="1"/>
  <c r="P207" i="1"/>
  <c r="Q207" i="1" s="1"/>
  <c r="N207" i="1"/>
  <c r="O207" i="1" s="1"/>
  <c r="L207" i="1"/>
  <c r="M207" i="1" s="1"/>
  <c r="Y206" i="1"/>
  <c r="W206" i="1"/>
  <c r="U206" i="1"/>
  <c r="R206" i="1"/>
  <c r="S206" i="1" s="1"/>
  <c r="P206" i="1"/>
  <c r="Q206" i="1" s="1"/>
  <c r="N206" i="1"/>
  <c r="O206" i="1" s="1"/>
  <c r="L206" i="1"/>
  <c r="Y205" i="1"/>
  <c r="W205" i="1"/>
  <c r="U205" i="1"/>
  <c r="R205" i="1"/>
  <c r="S205" i="1" s="1"/>
  <c r="P205" i="1"/>
  <c r="Q205" i="1" s="1"/>
  <c r="N205" i="1"/>
  <c r="O205" i="1" s="1"/>
  <c r="L205" i="1"/>
  <c r="M205" i="1" s="1"/>
  <c r="Y204" i="1"/>
  <c r="W204" i="1"/>
  <c r="U204" i="1"/>
  <c r="R204" i="1"/>
  <c r="S204" i="1" s="1"/>
  <c r="P204" i="1"/>
  <c r="Q204" i="1" s="1"/>
  <c r="N204" i="1"/>
  <c r="O204" i="1" s="1"/>
  <c r="L204" i="1"/>
  <c r="Y203" i="1"/>
  <c r="W203" i="1"/>
  <c r="U203" i="1"/>
  <c r="R203" i="1"/>
  <c r="S203" i="1" s="1"/>
  <c r="P203" i="1"/>
  <c r="Q203" i="1" s="1"/>
  <c r="N203" i="1"/>
  <c r="O203" i="1" s="1"/>
  <c r="L203" i="1"/>
  <c r="Y202" i="1"/>
  <c r="W202" i="1"/>
  <c r="U202" i="1"/>
  <c r="R202" i="1"/>
  <c r="S202" i="1" s="1"/>
  <c r="P202" i="1"/>
  <c r="Q202" i="1" s="1"/>
  <c r="N202" i="1"/>
  <c r="O202" i="1" s="1"/>
  <c r="L202" i="1"/>
  <c r="Y201" i="1"/>
  <c r="W201" i="1"/>
  <c r="U201" i="1"/>
  <c r="R201" i="1"/>
  <c r="S201" i="1" s="1"/>
  <c r="P201" i="1"/>
  <c r="Q201" i="1" s="1"/>
  <c r="N201" i="1"/>
  <c r="O201" i="1" s="1"/>
  <c r="L201" i="1"/>
  <c r="M201" i="1" s="1"/>
  <c r="Y200" i="1"/>
  <c r="W200" i="1"/>
  <c r="U200" i="1"/>
  <c r="R200" i="1"/>
  <c r="S200" i="1" s="1"/>
  <c r="P200" i="1"/>
  <c r="Q200" i="1" s="1"/>
  <c r="N200" i="1"/>
  <c r="O200" i="1" s="1"/>
  <c r="L200" i="1"/>
  <c r="Y199" i="1"/>
  <c r="W199" i="1"/>
  <c r="U199" i="1"/>
  <c r="R199" i="1"/>
  <c r="S199" i="1" s="1"/>
  <c r="P199" i="1"/>
  <c r="Q199" i="1" s="1"/>
  <c r="N199" i="1"/>
  <c r="O199" i="1" s="1"/>
  <c r="L199" i="1"/>
  <c r="M199" i="1" s="1"/>
  <c r="Y198" i="1"/>
  <c r="W198" i="1"/>
  <c r="U198" i="1"/>
  <c r="R198" i="1"/>
  <c r="S198" i="1" s="1"/>
  <c r="P198" i="1"/>
  <c r="Q198" i="1" s="1"/>
  <c r="N198" i="1"/>
  <c r="O198" i="1" s="1"/>
  <c r="L198" i="1"/>
  <c r="Y197" i="1"/>
  <c r="W197" i="1"/>
  <c r="U197" i="1"/>
  <c r="R197" i="1"/>
  <c r="S197" i="1" s="1"/>
  <c r="P197" i="1"/>
  <c r="Q197" i="1" s="1"/>
  <c r="N197" i="1"/>
  <c r="O197" i="1" s="1"/>
  <c r="L197" i="1"/>
  <c r="M197" i="1" s="1"/>
  <c r="Y196" i="1"/>
  <c r="W196" i="1"/>
  <c r="U196" i="1"/>
  <c r="R196" i="1"/>
  <c r="S196" i="1" s="1"/>
  <c r="P196" i="1"/>
  <c r="Q196" i="1" s="1"/>
  <c r="N196" i="1"/>
  <c r="O196" i="1" s="1"/>
  <c r="L196" i="1"/>
  <c r="Y195" i="1"/>
  <c r="W195" i="1"/>
  <c r="U195" i="1"/>
  <c r="R195" i="1"/>
  <c r="S195" i="1" s="1"/>
  <c r="P195" i="1"/>
  <c r="Q195" i="1" s="1"/>
  <c r="N195" i="1"/>
  <c r="O195" i="1" s="1"/>
  <c r="L195" i="1"/>
  <c r="Y194" i="1"/>
  <c r="W194" i="1"/>
  <c r="U194" i="1"/>
  <c r="R194" i="1"/>
  <c r="S194" i="1" s="1"/>
  <c r="P194" i="1"/>
  <c r="Q194" i="1" s="1"/>
  <c r="N194" i="1"/>
  <c r="O194" i="1" s="1"/>
  <c r="L194" i="1"/>
  <c r="Y193" i="1"/>
  <c r="W193" i="1"/>
  <c r="U193" i="1"/>
  <c r="R193" i="1"/>
  <c r="S193" i="1" s="1"/>
  <c r="P193" i="1"/>
  <c r="Q193" i="1" s="1"/>
  <c r="N193" i="1"/>
  <c r="O193" i="1" s="1"/>
  <c r="L193" i="1"/>
  <c r="M193" i="1" s="1"/>
  <c r="Y192" i="1"/>
  <c r="W192" i="1"/>
  <c r="U192" i="1"/>
  <c r="R192" i="1"/>
  <c r="S192" i="1" s="1"/>
  <c r="P192" i="1"/>
  <c r="Q192" i="1" s="1"/>
  <c r="N192" i="1"/>
  <c r="O192" i="1" s="1"/>
  <c r="L192" i="1"/>
  <c r="Y191" i="1"/>
  <c r="W191" i="1"/>
  <c r="U191" i="1"/>
  <c r="R191" i="1"/>
  <c r="S191" i="1" s="1"/>
  <c r="P191" i="1"/>
  <c r="Q191" i="1" s="1"/>
  <c r="N191" i="1"/>
  <c r="O191" i="1" s="1"/>
  <c r="L191" i="1"/>
  <c r="M191" i="1" s="1"/>
  <c r="Y190" i="1"/>
  <c r="W190" i="1"/>
  <c r="U190" i="1"/>
  <c r="R190" i="1"/>
  <c r="S190" i="1" s="1"/>
  <c r="P190" i="1"/>
  <c r="Q190" i="1" s="1"/>
  <c r="N190" i="1"/>
  <c r="O190" i="1" s="1"/>
  <c r="L190" i="1"/>
  <c r="Y189" i="1"/>
  <c r="W189" i="1"/>
  <c r="U189" i="1"/>
  <c r="R189" i="1"/>
  <c r="S189" i="1" s="1"/>
  <c r="P189" i="1"/>
  <c r="Q189" i="1" s="1"/>
  <c r="N189" i="1"/>
  <c r="O189" i="1" s="1"/>
  <c r="L189" i="1"/>
  <c r="M189" i="1" s="1"/>
  <c r="Y188" i="1"/>
  <c r="W188" i="1"/>
  <c r="U188" i="1"/>
  <c r="R188" i="1"/>
  <c r="S188" i="1" s="1"/>
  <c r="P188" i="1"/>
  <c r="Q188" i="1" s="1"/>
  <c r="N188" i="1"/>
  <c r="O188" i="1" s="1"/>
  <c r="L188" i="1"/>
  <c r="Y187" i="1"/>
  <c r="W187" i="1"/>
  <c r="U187" i="1"/>
  <c r="R187" i="1"/>
  <c r="S187" i="1" s="1"/>
  <c r="P187" i="1"/>
  <c r="Q187" i="1" s="1"/>
  <c r="N187" i="1"/>
  <c r="O187" i="1" s="1"/>
  <c r="L187" i="1"/>
  <c r="Y186" i="1"/>
  <c r="W186" i="1"/>
  <c r="U186" i="1"/>
  <c r="R186" i="1"/>
  <c r="S186" i="1" s="1"/>
  <c r="P186" i="1"/>
  <c r="Q186" i="1" s="1"/>
  <c r="N186" i="1"/>
  <c r="O186" i="1" s="1"/>
  <c r="L186" i="1"/>
  <c r="Y185" i="1"/>
  <c r="W185" i="1"/>
  <c r="U185" i="1"/>
  <c r="R185" i="1"/>
  <c r="S185" i="1" s="1"/>
  <c r="P185" i="1"/>
  <c r="Q185" i="1" s="1"/>
  <c r="N185" i="1"/>
  <c r="O185" i="1" s="1"/>
  <c r="L185" i="1"/>
  <c r="M185" i="1" s="1"/>
  <c r="Y184" i="1"/>
  <c r="W184" i="1"/>
  <c r="U184" i="1"/>
  <c r="R184" i="1"/>
  <c r="S184" i="1" s="1"/>
  <c r="P184" i="1"/>
  <c r="Q184" i="1" s="1"/>
  <c r="N184" i="1"/>
  <c r="O184" i="1" s="1"/>
  <c r="L184" i="1"/>
  <c r="Y183" i="1"/>
  <c r="W183" i="1"/>
  <c r="U183" i="1"/>
  <c r="R183" i="1"/>
  <c r="S183" i="1" s="1"/>
  <c r="P183" i="1"/>
  <c r="Q183" i="1" s="1"/>
  <c r="N183" i="1"/>
  <c r="O183" i="1" s="1"/>
  <c r="L183" i="1"/>
  <c r="Y182" i="1"/>
  <c r="W182" i="1"/>
  <c r="U182" i="1"/>
  <c r="R182" i="1"/>
  <c r="S182" i="1" s="1"/>
  <c r="P182" i="1"/>
  <c r="Q182" i="1" s="1"/>
  <c r="N182" i="1"/>
  <c r="O182" i="1" s="1"/>
  <c r="L182" i="1"/>
  <c r="Y181" i="1"/>
  <c r="W181" i="1"/>
  <c r="U181" i="1"/>
  <c r="R181" i="1"/>
  <c r="S181" i="1" s="1"/>
  <c r="P181" i="1"/>
  <c r="Q181" i="1" s="1"/>
  <c r="N181" i="1"/>
  <c r="O181" i="1" s="1"/>
  <c r="L181" i="1"/>
  <c r="M181" i="1" s="1"/>
  <c r="Y180" i="1"/>
  <c r="W180" i="1"/>
  <c r="U180" i="1"/>
  <c r="R180" i="1"/>
  <c r="S180" i="1" s="1"/>
  <c r="P180" i="1"/>
  <c r="Q180" i="1" s="1"/>
  <c r="N180" i="1"/>
  <c r="O180" i="1" s="1"/>
  <c r="L180" i="1"/>
  <c r="Y179" i="1"/>
  <c r="W179" i="1"/>
  <c r="U179" i="1"/>
  <c r="R179" i="1"/>
  <c r="S179" i="1" s="1"/>
  <c r="P179" i="1"/>
  <c r="Q179" i="1" s="1"/>
  <c r="N179" i="1"/>
  <c r="O179" i="1" s="1"/>
  <c r="L179" i="1"/>
  <c r="Y178" i="1"/>
  <c r="W178" i="1"/>
  <c r="U178" i="1"/>
  <c r="R178" i="1"/>
  <c r="S178" i="1" s="1"/>
  <c r="P178" i="1"/>
  <c r="Q178" i="1" s="1"/>
  <c r="N178" i="1"/>
  <c r="O178" i="1" s="1"/>
  <c r="L178" i="1"/>
  <c r="Y177" i="1"/>
  <c r="W177" i="1"/>
  <c r="U177" i="1"/>
  <c r="R177" i="1"/>
  <c r="S177" i="1" s="1"/>
  <c r="P177" i="1"/>
  <c r="Q177" i="1" s="1"/>
  <c r="N177" i="1"/>
  <c r="O177" i="1" s="1"/>
  <c r="L177" i="1"/>
  <c r="Y176" i="1"/>
  <c r="W176" i="1"/>
  <c r="U176" i="1"/>
  <c r="R176" i="1"/>
  <c r="S176" i="1" s="1"/>
  <c r="P176" i="1"/>
  <c r="Q176" i="1" s="1"/>
  <c r="N176" i="1"/>
  <c r="O176" i="1" s="1"/>
  <c r="L176" i="1"/>
  <c r="Y175" i="1"/>
  <c r="W175" i="1"/>
  <c r="U175" i="1"/>
  <c r="R175" i="1"/>
  <c r="S175" i="1" s="1"/>
  <c r="P175" i="1"/>
  <c r="Q175" i="1" s="1"/>
  <c r="N175" i="1"/>
  <c r="O175" i="1" s="1"/>
  <c r="L175" i="1"/>
  <c r="Y174" i="1"/>
  <c r="W174" i="1"/>
  <c r="U174" i="1"/>
  <c r="R174" i="1"/>
  <c r="S174" i="1" s="1"/>
  <c r="P174" i="1"/>
  <c r="Q174" i="1" s="1"/>
  <c r="N174" i="1"/>
  <c r="O174" i="1" s="1"/>
  <c r="L174" i="1"/>
  <c r="Y173" i="1"/>
  <c r="W173" i="1"/>
  <c r="U173" i="1"/>
  <c r="R173" i="1"/>
  <c r="S173" i="1" s="1"/>
  <c r="P173" i="1"/>
  <c r="Q173" i="1" s="1"/>
  <c r="N173" i="1"/>
  <c r="O173" i="1" s="1"/>
  <c r="L173" i="1"/>
  <c r="M173" i="1" s="1"/>
  <c r="Y172" i="1"/>
  <c r="W172" i="1"/>
  <c r="U172" i="1"/>
  <c r="R172" i="1"/>
  <c r="S172" i="1" s="1"/>
  <c r="P172" i="1"/>
  <c r="Q172" i="1" s="1"/>
  <c r="N172" i="1"/>
  <c r="O172" i="1" s="1"/>
  <c r="L172" i="1"/>
  <c r="Y171" i="1"/>
  <c r="W171" i="1"/>
  <c r="U171" i="1"/>
  <c r="R171" i="1"/>
  <c r="S171" i="1" s="1"/>
  <c r="P171" i="1"/>
  <c r="Q171" i="1" s="1"/>
  <c r="N171" i="1"/>
  <c r="O171" i="1" s="1"/>
  <c r="L171" i="1"/>
  <c r="Y170" i="1"/>
  <c r="W170" i="1"/>
  <c r="U170" i="1"/>
  <c r="R170" i="1"/>
  <c r="S170" i="1" s="1"/>
  <c r="P170" i="1"/>
  <c r="Q170" i="1" s="1"/>
  <c r="N170" i="1"/>
  <c r="O170" i="1" s="1"/>
  <c r="L170" i="1"/>
  <c r="Y169" i="1"/>
  <c r="W169" i="1"/>
  <c r="U169" i="1"/>
  <c r="R169" i="1"/>
  <c r="S169" i="1" s="1"/>
  <c r="P169" i="1"/>
  <c r="Q169" i="1" s="1"/>
  <c r="N169" i="1"/>
  <c r="O169" i="1" s="1"/>
  <c r="L169" i="1"/>
  <c r="M169" i="1" s="1"/>
  <c r="Y168" i="1"/>
  <c r="W168" i="1"/>
  <c r="U168" i="1"/>
  <c r="R168" i="1"/>
  <c r="S168" i="1" s="1"/>
  <c r="P168" i="1"/>
  <c r="Q168" i="1" s="1"/>
  <c r="N168" i="1"/>
  <c r="O168" i="1" s="1"/>
  <c r="L168" i="1"/>
  <c r="Y167" i="1"/>
  <c r="W167" i="1"/>
  <c r="U167" i="1"/>
  <c r="R167" i="1"/>
  <c r="S167" i="1" s="1"/>
  <c r="P167" i="1"/>
  <c r="Q167" i="1" s="1"/>
  <c r="N167" i="1"/>
  <c r="O167" i="1" s="1"/>
  <c r="L167" i="1"/>
  <c r="M167" i="1" s="1"/>
  <c r="Y166" i="1"/>
  <c r="W166" i="1"/>
  <c r="U166" i="1"/>
  <c r="R166" i="1"/>
  <c r="S166" i="1" s="1"/>
  <c r="P166" i="1"/>
  <c r="Q166" i="1" s="1"/>
  <c r="N166" i="1"/>
  <c r="O166" i="1" s="1"/>
  <c r="L166" i="1"/>
  <c r="Y165" i="1"/>
  <c r="W165" i="1"/>
  <c r="U165" i="1"/>
  <c r="R165" i="1"/>
  <c r="S165" i="1" s="1"/>
  <c r="P165" i="1"/>
  <c r="Q165" i="1" s="1"/>
  <c r="N165" i="1"/>
  <c r="O165" i="1" s="1"/>
  <c r="L165" i="1"/>
  <c r="M165" i="1" s="1"/>
  <c r="Y164" i="1"/>
  <c r="W164" i="1"/>
  <c r="U164" i="1"/>
  <c r="R164" i="1"/>
  <c r="S164" i="1" s="1"/>
  <c r="P164" i="1"/>
  <c r="Q164" i="1" s="1"/>
  <c r="N164" i="1"/>
  <c r="O164" i="1" s="1"/>
  <c r="L164" i="1"/>
  <c r="Y163" i="1"/>
  <c r="W163" i="1"/>
  <c r="U163" i="1"/>
  <c r="R163" i="1"/>
  <c r="S163" i="1" s="1"/>
  <c r="P163" i="1"/>
  <c r="Q163" i="1" s="1"/>
  <c r="N163" i="1"/>
  <c r="O163" i="1" s="1"/>
  <c r="L163" i="1"/>
  <c r="Y162" i="1"/>
  <c r="W162" i="1"/>
  <c r="U162" i="1"/>
  <c r="R162" i="1"/>
  <c r="S162" i="1" s="1"/>
  <c r="P162" i="1"/>
  <c r="Q162" i="1" s="1"/>
  <c r="N162" i="1"/>
  <c r="O162" i="1" s="1"/>
  <c r="L162" i="1"/>
  <c r="Y161" i="1"/>
  <c r="W161" i="1"/>
  <c r="U161" i="1"/>
  <c r="R161" i="1"/>
  <c r="S161" i="1" s="1"/>
  <c r="P161" i="1"/>
  <c r="Q161" i="1" s="1"/>
  <c r="N161" i="1"/>
  <c r="O161" i="1" s="1"/>
  <c r="L161" i="1"/>
  <c r="Y160" i="1"/>
  <c r="W160" i="1"/>
  <c r="U160" i="1"/>
  <c r="R160" i="1"/>
  <c r="S160" i="1" s="1"/>
  <c r="P160" i="1"/>
  <c r="Q160" i="1" s="1"/>
  <c r="N160" i="1"/>
  <c r="O160" i="1" s="1"/>
  <c r="L160" i="1"/>
  <c r="Y159" i="1"/>
  <c r="W159" i="1"/>
  <c r="U159" i="1"/>
  <c r="R159" i="1"/>
  <c r="S159" i="1" s="1"/>
  <c r="P159" i="1"/>
  <c r="Q159" i="1" s="1"/>
  <c r="N159" i="1"/>
  <c r="O159" i="1" s="1"/>
  <c r="L159" i="1"/>
  <c r="Y158" i="1"/>
  <c r="W158" i="1"/>
  <c r="U158" i="1"/>
  <c r="R158" i="1"/>
  <c r="S158" i="1" s="1"/>
  <c r="P158" i="1"/>
  <c r="Q158" i="1" s="1"/>
  <c r="N158" i="1"/>
  <c r="O158" i="1" s="1"/>
  <c r="L158" i="1"/>
  <c r="M158" i="1" s="1"/>
  <c r="Y157" i="1"/>
  <c r="W157" i="1"/>
  <c r="U157" i="1"/>
  <c r="R157" i="1"/>
  <c r="S157" i="1" s="1"/>
  <c r="P157" i="1"/>
  <c r="Q157" i="1" s="1"/>
  <c r="N157" i="1"/>
  <c r="O157" i="1" s="1"/>
  <c r="L157" i="1"/>
  <c r="Y156" i="1"/>
  <c r="W156" i="1"/>
  <c r="U156" i="1"/>
  <c r="R156" i="1"/>
  <c r="S156" i="1" s="1"/>
  <c r="P156" i="1"/>
  <c r="Q156" i="1" s="1"/>
  <c r="N156" i="1"/>
  <c r="O156" i="1" s="1"/>
  <c r="L156" i="1"/>
  <c r="M156" i="1" s="1"/>
  <c r="Y155" i="1"/>
  <c r="W155" i="1"/>
  <c r="U155" i="1"/>
  <c r="R155" i="1"/>
  <c r="S155" i="1" s="1"/>
  <c r="P155" i="1"/>
  <c r="Q155" i="1" s="1"/>
  <c r="N155" i="1"/>
  <c r="O155" i="1" s="1"/>
  <c r="L155" i="1"/>
  <c r="Y154" i="1"/>
  <c r="W154" i="1"/>
  <c r="U154" i="1"/>
  <c r="R154" i="1"/>
  <c r="S154" i="1" s="1"/>
  <c r="P154" i="1"/>
  <c r="Q154" i="1" s="1"/>
  <c r="N154" i="1"/>
  <c r="O154" i="1" s="1"/>
  <c r="L154" i="1"/>
  <c r="Y153" i="1"/>
  <c r="W153" i="1"/>
  <c r="U153" i="1"/>
  <c r="R153" i="1"/>
  <c r="S153" i="1" s="1"/>
  <c r="P153" i="1"/>
  <c r="Q153" i="1" s="1"/>
  <c r="N153" i="1"/>
  <c r="O153" i="1" s="1"/>
  <c r="L153" i="1"/>
  <c r="Y152" i="1"/>
  <c r="W152" i="1"/>
  <c r="U152" i="1"/>
  <c r="R152" i="1"/>
  <c r="S152" i="1" s="1"/>
  <c r="P152" i="1"/>
  <c r="Q152" i="1" s="1"/>
  <c r="N152" i="1"/>
  <c r="O152" i="1" s="1"/>
  <c r="L152" i="1"/>
  <c r="Y151" i="1"/>
  <c r="W151" i="1"/>
  <c r="U151" i="1"/>
  <c r="R151" i="1"/>
  <c r="S151" i="1" s="1"/>
  <c r="P151" i="1"/>
  <c r="Q151" i="1" s="1"/>
  <c r="N151" i="1"/>
  <c r="O151" i="1" s="1"/>
  <c r="L151" i="1"/>
  <c r="Y150" i="1"/>
  <c r="W150" i="1"/>
  <c r="U150" i="1"/>
  <c r="R150" i="1"/>
  <c r="S150" i="1" s="1"/>
  <c r="P150" i="1"/>
  <c r="Q150" i="1" s="1"/>
  <c r="N150" i="1"/>
  <c r="O150" i="1" s="1"/>
  <c r="L150" i="1"/>
  <c r="Y149" i="1"/>
  <c r="W149" i="1"/>
  <c r="U149" i="1"/>
  <c r="R149" i="1"/>
  <c r="S149" i="1" s="1"/>
  <c r="P149" i="1"/>
  <c r="Q149" i="1" s="1"/>
  <c r="N149" i="1"/>
  <c r="O149" i="1" s="1"/>
  <c r="L149" i="1"/>
  <c r="M149" i="1" s="1"/>
  <c r="Y148" i="1"/>
  <c r="W148" i="1"/>
  <c r="U148" i="1"/>
  <c r="R148" i="1"/>
  <c r="S148" i="1" s="1"/>
  <c r="P148" i="1"/>
  <c r="Q148" i="1" s="1"/>
  <c r="N148" i="1"/>
  <c r="O148" i="1" s="1"/>
  <c r="L148" i="1"/>
  <c r="Y147" i="1"/>
  <c r="W147" i="1"/>
  <c r="U147" i="1"/>
  <c r="R147" i="1"/>
  <c r="S147" i="1" s="1"/>
  <c r="P147" i="1"/>
  <c r="Q147" i="1" s="1"/>
  <c r="N147" i="1"/>
  <c r="O147" i="1" s="1"/>
  <c r="L147" i="1"/>
  <c r="Y146" i="1"/>
  <c r="W146" i="1"/>
  <c r="U146" i="1"/>
  <c r="R146" i="1"/>
  <c r="S146" i="1" s="1"/>
  <c r="P146" i="1"/>
  <c r="Q146" i="1" s="1"/>
  <c r="N146" i="1"/>
  <c r="O146" i="1" s="1"/>
  <c r="L146" i="1"/>
  <c r="Y145" i="1"/>
  <c r="W145" i="1"/>
  <c r="U145" i="1"/>
  <c r="R145" i="1"/>
  <c r="S145" i="1" s="1"/>
  <c r="P145" i="1"/>
  <c r="Q145" i="1" s="1"/>
  <c r="N145" i="1"/>
  <c r="O145" i="1" s="1"/>
  <c r="L145" i="1"/>
  <c r="M145" i="1" s="1"/>
  <c r="Y144" i="1"/>
  <c r="W144" i="1"/>
  <c r="U144" i="1"/>
  <c r="R144" i="1"/>
  <c r="S144" i="1" s="1"/>
  <c r="P144" i="1"/>
  <c r="Q144" i="1" s="1"/>
  <c r="N144" i="1"/>
  <c r="O144" i="1" s="1"/>
  <c r="L144" i="1"/>
  <c r="Y143" i="1"/>
  <c r="W143" i="1"/>
  <c r="U143" i="1"/>
  <c r="R143" i="1"/>
  <c r="S143" i="1" s="1"/>
  <c r="P143" i="1"/>
  <c r="Q143" i="1" s="1"/>
  <c r="N143" i="1"/>
  <c r="O143" i="1" s="1"/>
  <c r="L143" i="1"/>
  <c r="Y142" i="1"/>
  <c r="W142" i="1"/>
  <c r="U142" i="1"/>
  <c r="R142" i="1"/>
  <c r="S142" i="1" s="1"/>
  <c r="P142" i="1"/>
  <c r="Q142" i="1" s="1"/>
  <c r="N142" i="1"/>
  <c r="O142" i="1" s="1"/>
  <c r="L142" i="1"/>
  <c r="Y141" i="1"/>
  <c r="W141" i="1"/>
  <c r="U141" i="1"/>
  <c r="R141" i="1"/>
  <c r="S141" i="1" s="1"/>
  <c r="P141" i="1"/>
  <c r="Q141" i="1" s="1"/>
  <c r="N141" i="1"/>
  <c r="O141" i="1" s="1"/>
  <c r="L141" i="1"/>
  <c r="Y140" i="1"/>
  <c r="W140" i="1"/>
  <c r="U140" i="1"/>
  <c r="R140" i="1"/>
  <c r="S140" i="1" s="1"/>
  <c r="P140" i="1"/>
  <c r="Q140" i="1" s="1"/>
  <c r="N140" i="1"/>
  <c r="O140" i="1" s="1"/>
  <c r="L140" i="1"/>
  <c r="Y139" i="1"/>
  <c r="W139" i="1"/>
  <c r="U139" i="1"/>
  <c r="R139" i="1"/>
  <c r="S139" i="1" s="1"/>
  <c r="P139" i="1"/>
  <c r="Q139" i="1" s="1"/>
  <c r="N139" i="1"/>
  <c r="O139" i="1" s="1"/>
  <c r="L139" i="1"/>
  <c r="Y138" i="1"/>
  <c r="W138" i="1"/>
  <c r="U138" i="1"/>
  <c r="R138" i="1"/>
  <c r="S138" i="1" s="1"/>
  <c r="P138" i="1"/>
  <c r="Q138" i="1" s="1"/>
  <c r="N138" i="1"/>
  <c r="O138" i="1" s="1"/>
  <c r="L138" i="1"/>
  <c r="Y137" i="1"/>
  <c r="W137" i="1"/>
  <c r="U137" i="1"/>
  <c r="R137" i="1"/>
  <c r="S137" i="1" s="1"/>
  <c r="P137" i="1"/>
  <c r="Q137" i="1" s="1"/>
  <c r="N137" i="1"/>
  <c r="O137" i="1" s="1"/>
  <c r="L137" i="1"/>
  <c r="V137" i="1" s="1"/>
  <c r="Y136" i="1"/>
  <c r="W136" i="1"/>
  <c r="U136" i="1"/>
  <c r="R136" i="1"/>
  <c r="S136" i="1" s="1"/>
  <c r="P136" i="1"/>
  <c r="Q136" i="1" s="1"/>
  <c r="N136" i="1"/>
  <c r="O136" i="1" s="1"/>
  <c r="L136" i="1"/>
  <c r="Y135" i="1"/>
  <c r="W135" i="1"/>
  <c r="U135" i="1"/>
  <c r="R135" i="1"/>
  <c r="S135" i="1" s="1"/>
  <c r="P135" i="1"/>
  <c r="Q135" i="1" s="1"/>
  <c r="N135" i="1"/>
  <c r="O135" i="1" s="1"/>
  <c r="L135" i="1"/>
  <c r="Y134" i="1"/>
  <c r="W134" i="1"/>
  <c r="U134" i="1"/>
  <c r="R134" i="1"/>
  <c r="S134" i="1" s="1"/>
  <c r="P134" i="1"/>
  <c r="Q134" i="1" s="1"/>
  <c r="N134" i="1"/>
  <c r="O134" i="1" s="1"/>
  <c r="L134" i="1"/>
  <c r="Y133" i="1"/>
  <c r="W133" i="1"/>
  <c r="U133" i="1"/>
  <c r="R133" i="1"/>
  <c r="S133" i="1" s="1"/>
  <c r="P133" i="1"/>
  <c r="Q133" i="1" s="1"/>
  <c r="N133" i="1"/>
  <c r="O133" i="1" s="1"/>
  <c r="L133" i="1"/>
  <c r="Y132" i="1"/>
  <c r="W132" i="1"/>
  <c r="U132" i="1"/>
  <c r="R132" i="1"/>
  <c r="S132" i="1" s="1"/>
  <c r="P132" i="1"/>
  <c r="Q132" i="1" s="1"/>
  <c r="N132" i="1"/>
  <c r="O132" i="1" s="1"/>
  <c r="L132" i="1"/>
  <c r="Y131" i="1"/>
  <c r="W131" i="1"/>
  <c r="U131" i="1"/>
  <c r="R131" i="1"/>
  <c r="S131" i="1" s="1"/>
  <c r="P131" i="1"/>
  <c r="Q131" i="1" s="1"/>
  <c r="N131" i="1"/>
  <c r="O131" i="1" s="1"/>
  <c r="L131" i="1"/>
  <c r="Y130" i="1"/>
  <c r="W130" i="1"/>
  <c r="U130" i="1"/>
  <c r="R130" i="1"/>
  <c r="S130" i="1" s="1"/>
  <c r="P130" i="1"/>
  <c r="Q130" i="1" s="1"/>
  <c r="N130" i="1"/>
  <c r="O130" i="1" s="1"/>
  <c r="L130" i="1"/>
  <c r="Y129" i="1"/>
  <c r="W129" i="1"/>
  <c r="U129" i="1"/>
  <c r="R129" i="1"/>
  <c r="S129" i="1" s="1"/>
  <c r="P129" i="1"/>
  <c r="Q129" i="1" s="1"/>
  <c r="N129" i="1"/>
  <c r="O129" i="1" s="1"/>
  <c r="L129" i="1"/>
  <c r="Y128" i="1"/>
  <c r="W128" i="1"/>
  <c r="U128" i="1"/>
  <c r="R128" i="1"/>
  <c r="S128" i="1" s="1"/>
  <c r="P128" i="1"/>
  <c r="Q128" i="1" s="1"/>
  <c r="N128" i="1"/>
  <c r="O128" i="1" s="1"/>
  <c r="L128" i="1"/>
  <c r="Y127" i="1"/>
  <c r="W127" i="1"/>
  <c r="U127" i="1"/>
  <c r="R127" i="1"/>
  <c r="S127" i="1" s="1"/>
  <c r="P127" i="1"/>
  <c r="Q127" i="1" s="1"/>
  <c r="N127" i="1"/>
  <c r="O127" i="1" s="1"/>
  <c r="L127" i="1"/>
  <c r="Y126" i="1"/>
  <c r="W126" i="1"/>
  <c r="U126" i="1"/>
  <c r="R126" i="1"/>
  <c r="S126" i="1" s="1"/>
  <c r="P126" i="1"/>
  <c r="Q126" i="1" s="1"/>
  <c r="N126" i="1"/>
  <c r="O126" i="1" s="1"/>
  <c r="L126" i="1"/>
  <c r="Y125" i="1"/>
  <c r="W125" i="1"/>
  <c r="U125" i="1"/>
  <c r="R125" i="1"/>
  <c r="S125" i="1" s="1"/>
  <c r="P125" i="1"/>
  <c r="Q125" i="1" s="1"/>
  <c r="N125" i="1"/>
  <c r="O125" i="1" s="1"/>
  <c r="L125" i="1"/>
  <c r="Y124" i="1"/>
  <c r="W124" i="1"/>
  <c r="U124" i="1"/>
  <c r="R124" i="1"/>
  <c r="S124" i="1" s="1"/>
  <c r="P124" i="1"/>
  <c r="Q124" i="1" s="1"/>
  <c r="N124" i="1"/>
  <c r="O124" i="1" s="1"/>
  <c r="L124" i="1"/>
  <c r="Y123" i="1"/>
  <c r="W123" i="1"/>
  <c r="U123" i="1"/>
  <c r="R123" i="1"/>
  <c r="S123" i="1" s="1"/>
  <c r="P123" i="1"/>
  <c r="Q123" i="1" s="1"/>
  <c r="N123" i="1"/>
  <c r="O123" i="1" s="1"/>
  <c r="L123" i="1"/>
  <c r="Y122" i="1"/>
  <c r="W122" i="1"/>
  <c r="U122" i="1"/>
  <c r="R122" i="1"/>
  <c r="S122" i="1" s="1"/>
  <c r="P122" i="1"/>
  <c r="Q122" i="1" s="1"/>
  <c r="N122" i="1"/>
  <c r="O122" i="1" s="1"/>
  <c r="L122" i="1"/>
  <c r="Y121" i="1"/>
  <c r="W121" i="1"/>
  <c r="U121" i="1"/>
  <c r="R121" i="1"/>
  <c r="S121" i="1" s="1"/>
  <c r="P121" i="1"/>
  <c r="Q121" i="1" s="1"/>
  <c r="N121" i="1"/>
  <c r="O121" i="1" s="1"/>
  <c r="L121" i="1"/>
  <c r="Y120" i="1"/>
  <c r="W120" i="1"/>
  <c r="U120" i="1"/>
  <c r="R120" i="1"/>
  <c r="S120" i="1" s="1"/>
  <c r="P120" i="1"/>
  <c r="Q120" i="1" s="1"/>
  <c r="N120" i="1"/>
  <c r="O120" i="1" s="1"/>
  <c r="L120" i="1"/>
  <c r="Y119" i="1"/>
  <c r="W119" i="1"/>
  <c r="U119" i="1"/>
  <c r="R119" i="1"/>
  <c r="S119" i="1" s="1"/>
  <c r="P119" i="1"/>
  <c r="Q119" i="1" s="1"/>
  <c r="N119" i="1"/>
  <c r="O119" i="1" s="1"/>
  <c r="L119" i="1"/>
  <c r="Y118" i="1"/>
  <c r="W118" i="1"/>
  <c r="U118" i="1"/>
  <c r="R118" i="1"/>
  <c r="S118" i="1" s="1"/>
  <c r="P118" i="1"/>
  <c r="Q118" i="1" s="1"/>
  <c r="N118" i="1"/>
  <c r="O118" i="1" s="1"/>
  <c r="L118" i="1"/>
  <c r="Y117" i="1"/>
  <c r="W117" i="1"/>
  <c r="U117" i="1"/>
  <c r="R117" i="1"/>
  <c r="S117" i="1" s="1"/>
  <c r="P117" i="1"/>
  <c r="Q117" i="1" s="1"/>
  <c r="N117" i="1"/>
  <c r="O117" i="1" s="1"/>
  <c r="L117" i="1"/>
  <c r="Y116" i="1"/>
  <c r="W116" i="1"/>
  <c r="U116" i="1"/>
  <c r="R116" i="1"/>
  <c r="S116" i="1" s="1"/>
  <c r="P116" i="1"/>
  <c r="Q116" i="1" s="1"/>
  <c r="N116" i="1"/>
  <c r="O116" i="1" s="1"/>
  <c r="L116" i="1"/>
  <c r="Y115" i="1"/>
  <c r="W115" i="1"/>
  <c r="U115" i="1"/>
  <c r="R115" i="1"/>
  <c r="S115" i="1" s="1"/>
  <c r="P115" i="1"/>
  <c r="Q115" i="1" s="1"/>
  <c r="N115" i="1"/>
  <c r="O115" i="1" s="1"/>
  <c r="L115" i="1"/>
  <c r="Y114" i="1"/>
  <c r="W114" i="1"/>
  <c r="U114" i="1"/>
  <c r="R114" i="1"/>
  <c r="S114" i="1" s="1"/>
  <c r="P114" i="1"/>
  <c r="Q114" i="1" s="1"/>
  <c r="N114" i="1"/>
  <c r="O114" i="1" s="1"/>
  <c r="L114" i="1"/>
  <c r="Y113" i="1"/>
  <c r="W113" i="1"/>
  <c r="U113" i="1"/>
  <c r="R113" i="1"/>
  <c r="S113" i="1" s="1"/>
  <c r="P113" i="1"/>
  <c r="Q113" i="1" s="1"/>
  <c r="N113" i="1"/>
  <c r="O113" i="1" s="1"/>
  <c r="L113" i="1"/>
  <c r="Y112" i="1"/>
  <c r="W112" i="1"/>
  <c r="U112" i="1"/>
  <c r="R112" i="1"/>
  <c r="S112" i="1" s="1"/>
  <c r="P112" i="1"/>
  <c r="Q112" i="1" s="1"/>
  <c r="N112" i="1"/>
  <c r="O112" i="1" s="1"/>
  <c r="L112" i="1"/>
  <c r="Y111" i="1"/>
  <c r="W111" i="1"/>
  <c r="U111" i="1"/>
  <c r="R111" i="1"/>
  <c r="S111" i="1" s="1"/>
  <c r="P111" i="1"/>
  <c r="Q111" i="1" s="1"/>
  <c r="N111" i="1"/>
  <c r="O111" i="1" s="1"/>
  <c r="L111" i="1"/>
  <c r="Y110" i="1"/>
  <c r="W110" i="1"/>
  <c r="U110" i="1"/>
  <c r="R110" i="1"/>
  <c r="S110" i="1" s="1"/>
  <c r="P110" i="1"/>
  <c r="Q110" i="1" s="1"/>
  <c r="N110" i="1"/>
  <c r="O110" i="1" s="1"/>
  <c r="L110" i="1"/>
  <c r="Y109" i="1"/>
  <c r="W109" i="1"/>
  <c r="U109" i="1"/>
  <c r="R109" i="1"/>
  <c r="S109" i="1" s="1"/>
  <c r="P109" i="1"/>
  <c r="Q109" i="1" s="1"/>
  <c r="N109" i="1"/>
  <c r="O109" i="1" s="1"/>
  <c r="L109" i="1"/>
  <c r="V109" i="1" s="1"/>
  <c r="Y108" i="1"/>
  <c r="W108" i="1"/>
  <c r="U108" i="1"/>
  <c r="R108" i="1"/>
  <c r="S108" i="1" s="1"/>
  <c r="P108" i="1"/>
  <c r="Q108" i="1" s="1"/>
  <c r="N108" i="1"/>
  <c r="O108" i="1" s="1"/>
  <c r="L108" i="1"/>
  <c r="Y107" i="1"/>
  <c r="W107" i="1"/>
  <c r="U107" i="1"/>
  <c r="R107" i="1"/>
  <c r="S107" i="1" s="1"/>
  <c r="P107" i="1"/>
  <c r="Q107" i="1" s="1"/>
  <c r="N107" i="1"/>
  <c r="O107" i="1" s="1"/>
  <c r="L107" i="1"/>
  <c r="M107" i="1" s="1"/>
  <c r="Y106" i="1"/>
  <c r="W106" i="1"/>
  <c r="U106" i="1"/>
  <c r="R106" i="1"/>
  <c r="S106" i="1" s="1"/>
  <c r="P106" i="1"/>
  <c r="Q106" i="1" s="1"/>
  <c r="N106" i="1"/>
  <c r="O106" i="1" s="1"/>
  <c r="L106" i="1"/>
  <c r="Y105" i="1"/>
  <c r="W105" i="1"/>
  <c r="U105" i="1"/>
  <c r="R105" i="1"/>
  <c r="S105" i="1" s="1"/>
  <c r="P105" i="1"/>
  <c r="Q105" i="1" s="1"/>
  <c r="N105" i="1"/>
  <c r="O105" i="1" s="1"/>
  <c r="L105" i="1"/>
  <c r="V105" i="1" s="1"/>
  <c r="Y104" i="1"/>
  <c r="W104" i="1"/>
  <c r="U104" i="1"/>
  <c r="R104" i="1"/>
  <c r="S104" i="1" s="1"/>
  <c r="P104" i="1"/>
  <c r="Q104" i="1" s="1"/>
  <c r="N104" i="1"/>
  <c r="O104" i="1" s="1"/>
  <c r="L104" i="1"/>
  <c r="Y103" i="1"/>
  <c r="W103" i="1"/>
  <c r="U103" i="1"/>
  <c r="R103" i="1"/>
  <c r="S103" i="1" s="1"/>
  <c r="P103" i="1"/>
  <c r="Q103" i="1" s="1"/>
  <c r="N103" i="1"/>
  <c r="O103" i="1" s="1"/>
  <c r="L103" i="1"/>
  <c r="M103" i="1" s="1"/>
  <c r="Y102" i="1"/>
  <c r="W102" i="1"/>
  <c r="U102" i="1"/>
  <c r="R102" i="1"/>
  <c r="S102" i="1" s="1"/>
  <c r="P102" i="1"/>
  <c r="Q102" i="1" s="1"/>
  <c r="N102" i="1"/>
  <c r="O102" i="1" s="1"/>
  <c r="L102" i="1"/>
  <c r="M102" i="1" s="1"/>
  <c r="Y101" i="1"/>
  <c r="W101" i="1"/>
  <c r="U101" i="1"/>
  <c r="R101" i="1"/>
  <c r="S101" i="1" s="1"/>
  <c r="P101" i="1"/>
  <c r="Q101" i="1" s="1"/>
  <c r="N101" i="1"/>
  <c r="O101" i="1" s="1"/>
  <c r="L101" i="1"/>
  <c r="Y100" i="1"/>
  <c r="W100" i="1"/>
  <c r="U100" i="1"/>
  <c r="R100" i="1"/>
  <c r="S100" i="1" s="1"/>
  <c r="P100" i="1"/>
  <c r="Q100" i="1" s="1"/>
  <c r="N100" i="1"/>
  <c r="O100" i="1" s="1"/>
  <c r="L100" i="1"/>
  <c r="Y99" i="1"/>
  <c r="W99" i="1"/>
  <c r="U99" i="1"/>
  <c r="R99" i="1"/>
  <c r="S99" i="1" s="1"/>
  <c r="P99" i="1"/>
  <c r="Q99" i="1" s="1"/>
  <c r="N99" i="1"/>
  <c r="O99" i="1" s="1"/>
  <c r="L99" i="1"/>
  <c r="Y98" i="1"/>
  <c r="W98" i="1"/>
  <c r="U98" i="1"/>
  <c r="R98" i="1"/>
  <c r="S98" i="1" s="1"/>
  <c r="P98" i="1"/>
  <c r="Q98" i="1" s="1"/>
  <c r="N98" i="1"/>
  <c r="O98" i="1" s="1"/>
  <c r="L98" i="1"/>
  <c r="Y97" i="1"/>
  <c r="W97" i="1"/>
  <c r="U97" i="1"/>
  <c r="R97" i="1"/>
  <c r="S97" i="1" s="1"/>
  <c r="P97" i="1"/>
  <c r="Q97" i="1" s="1"/>
  <c r="N97" i="1"/>
  <c r="O97" i="1" s="1"/>
  <c r="L97" i="1"/>
  <c r="Y96" i="1"/>
  <c r="W96" i="1"/>
  <c r="U96" i="1"/>
  <c r="R96" i="1"/>
  <c r="S96" i="1" s="1"/>
  <c r="P96" i="1"/>
  <c r="Q96" i="1" s="1"/>
  <c r="N96" i="1"/>
  <c r="O96" i="1" s="1"/>
  <c r="L96" i="1"/>
  <c r="Y95" i="1"/>
  <c r="W95" i="1"/>
  <c r="U95" i="1"/>
  <c r="R95" i="1"/>
  <c r="S95" i="1" s="1"/>
  <c r="P95" i="1"/>
  <c r="Q95" i="1" s="1"/>
  <c r="N95" i="1"/>
  <c r="O95" i="1" s="1"/>
  <c r="L95" i="1"/>
  <c r="V95" i="1" s="1"/>
  <c r="Y94" i="1"/>
  <c r="W94" i="1"/>
  <c r="U94" i="1"/>
  <c r="R94" i="1"/>
  <c r="S94" i="1" s="1"/>
  <c r="P94" i="1"/>
  <c r="Q94" i="1" s="1"/>
  <c r="N94" i="1"/>
  <c r="O94" i="1" s="1"/>
  <c r="L94" i="1"/>
  <c r="Y93" i="1"/>
  <c r="W93" i="1"/>
  <c r="U93" i="1"/>
  <c r="R93" i="1"/>
  <c r="S93" i="1" s="1"/>
  <c r="P93" i="1"/>
  <c r="Q93" i="1" s="1"/>
  <c r="N93" i="1"/>
  <c r="O93" i="1" s="1"/>
  <c r="L93" i="1"/>
  <c r="Y92" i="1"/>
  <c r="W92" i="1"/>
  <c r="U92" i="1"/>
  <c r="R92" i="1"/>
  <c r="S92" i="1" s="1"/>
  <c r="P92" i="1"/>
  <c r="Q92" i="1" s="1"/>
  <c r="N92" i="1"/>
  <c r="O92" i="1" s="1"/>
  <c r="L92" i="1"/>
  <c r="Y91" i="1"/>
  <c r="W91" i="1"/>
  <c r="U91" i="1"/>
  <c r="R91" i="1"/>
  <c r="S91" i="1" s="1"/>
  <c r="P91" i="1"/>
  <c r="Q91" i="1" s="1"/>
  <c r="N91" i="1"/>
  <c r="O91" i="1" s="1"/>
  <c r="L91" i="1"/>
  <c r="Y90" i="1"/>
  <c r="W90" i="1"/>
  <c r="U90" i="1"/>
  <c r="R90" i="1"/>
  <c r="S90" i="1" s="1"/>
  <c r="P90" i="1"/>
  <c r="Q90" i="1" s="1"/>
  <c r="N90" i="1"/>
  <c r="O90" i="1" s="1"/>
  <c r="L90" i="1"/>
  <c r="Y89" i="1"/>
  <c r="W89" i="1"/>
  <c r="U89" i="1"/>
  <c r="R89" i="1"/>
  <c r="S89" i="1" s="1"/>
  <c r="P89" i="1"/>
  <c r="Q89" i="1" s="1"/>
  <c r="N89" i="1"/>
  <c r="O89" i="1" s="1"/>
  <c r="L89" i="1"/>
  <c r="Y88" i="1"/>
  <c r="W88" i="1"/>
  <c r="U88" i="1"/>
  <c r="R88" i="1"/>
  <c r="S88" i="1" s="1"/>
  <c r="P88" i="1"/>
  <c r="Q88" i="1" s="1"/>
  <c r="N88" i="1"/>
  <c r="O88" i="1" s="1"/>
  <c r="L88" i="1"/>
  <c r="Y87" i="1"/>
  <c r="W87" i="1"/>
  <c r="U87" i="1"/>
  <c r="R87" i="1"/>
  <c r="S87" i="1" s="1"/>
  <c r="P87" i="1"/>
  <c r="Q87" i="1" s="1"/>
  <c r="N87" i="1"/>
  <c r="O87" i="1" s="1"/>
  <c r="L87" i="1"/>
  <c r="Y86" i="1"/>
  <c r="W86" i="1"/>
  <c r="U86" i="1"/>
  <c r="R86" i="1"/>
  <c r="S86" i="1" s="1"/>
  <c r="P86" i="1"/>
  <c r="Q86" i="1" s="1"/>
  <c r="N86" i="1"/>
  <c r="O86" i="1" s="1"/>
  <c r="L86" i="1"/>
  <c r="Y85" i="1"/>
  <c r="W85" i="1"/>
  <c r="U85" i="1"/>
  <c r="R85" i="1"/>
  <c r="S85" i="1" s="1"/>
  <c r="P85" i="1"/>
  <c r="Q85" i="1" s="1"/>
  <c r="N85" i="1"/>
  <c r="O85" i="1" s="1"/>
  <c r="L85" i="1"/>
  <c r="Y84" i="1"/>
  <c r="W84" i="1"/>
  <c r="U84" i="1"/>
  <c r="R84" i="1"/>
  <c r="S84" i="1" s="1"/>
  <c r="P84" i="1"/>
  <c r="Q84" i="1" s="1"/>
  <c r="N84" i="1"/>
  <c r="O84" i="1" s="1"/>
  <c r="L84" i="1"/>
  <c r="Y83" i="1"/>
  <c r="W83" i="1"/>
  <c r="U83" i="1"/>
  <c r="R83" i="1"/>
  <c r="S83" i="1" s="1"/>
  <c r="P83" i="1"/>
  <c r="Q83" i="1" s="1"/>
  <c r="N83" i="1"/>
  <c r="O83" i="1" s="1"/>
  <c r="L83" i="1"/>
  <c r="V83" i="1" s="1"/>
  <c r="Y82" i="1"/>
  <c r="W82" i="1"/>
  <c r="U82" i="1"/>
  <c r="R82" i="1"/>
  <c r="S82" i="1" s="1"/>
  <c r="P82" i="1"/>
  <c r="Q82" i="1" s="1"/>
  <c r="N82" i="1"/>
  <c r="O82" i="1" s="1"/>
  <c r="L82" i="1"/>
  <c r="Y81" i="1"/>
  <c r="W81" i="1"/>
  <c r="U81" i="1"/>
  <c r="R81" i="1"/>
  <c r="S81" i="1" s="1"/>
  <c r="P81" i="1"/>
  <c r="Q81" i="1" s="1"/>
  <c r="N81" i="1"/>
  <c r="O81" i="1" s="1"/>
  <c r="L81" i="1"/>
  <c r="Y80" i="1"/>
  <c r="W80" i="1"/>
  <c r="U80" i="1"/>
  <c r="R80" i="1"/>
  <c r="S80" i="1" s="1"/>
  <c r="P80" i="1"/>
  <c r="Q80" i="1" s="1"/>
  <c r="N80" i="1"/>
  <c r="O80" i="1" s="1"/>
  <c r="L80" i="1"/>
  <c r="Y79" i="1"/>
  <c r="W79" i="1"/>
  <c r="U79" i="1"/>
  <c r="R79" i="1"/>
  <c r="S79" i="1" s="1"/>
  <c r="P79" i="1"/>
  <c r="Q79" i="1" s="1"/>
  <c r="N79" i="1"/>
  <c r="O79" i="1" s="1"/>
  <c r="L79" i="1"/>
  <c r="Y78" i="1"/>
  <c r="W78" i="1"/>
  <c r="U78" i="1"/>
  <c r="R78" i="1"/>
  <c r="S78" i="1" s="1"/>
  <c r="P78" i="1"/>
  <c r="Q78" i="1" s="1"/>
  <c r="N78" i="1"/>
  <c r="O78" i="1" s="1"/>
  <c r="L78" i="1"/>
  <c r="Y77" i="1"/>
  <c r="W77" i="1"/>
  <c r="U77" i="1"/>
  <c r="R77" i="1"/>
  <c r="S77" i="1" s="1"/>
  <c r="P77" i="1"/>
  <c r="Q77" i="1" s="1"/>
  <c r="N77" i="1"/>
  <c r="O77" i="1" s="1"/>
  <c r="L77" i="1"/>
  <c r="M77" i="1" s="1"/>
  <c r="Y76" i="1"/>
  <c r="W76" i="1"/>
  <c r="U76" i="1"/>
  <c r="R76" i="1"/>
  <c r="S76" i="1" s="1"/>
  <c r="P76" i="1"/>
  <c r="Q76" i="1" s="1"/>
  <c r="N76" i="1"/>
  <c r="O76" i="1" s="1"/>
  <c r="L76" i="1"/>
  <c r="Y75" i="1"/>
  <c r="W75" i="1"/>
  <c r="U75" i="1"/>
  <c r="R75" i="1"/>
  <c r="S75" i="1" s="1"/>
  <c r="P75" i="1"/>
  <c r="Q75" i="1" s="1"/>
  <c r="N75" i="1"/>
  <c r="O75" i="1" s="1"/>
  <c r="L75" i="1"/>
  <c r="Y74" i="1"/>
  <c r="W74" i="1"/>
  <c r="U74" i="1"/>
  <c r="R74" i="1"/>
  <c r="S74" i="1" s="1"/>
  <c r="P74" i="1"/>
  <c r="Q74" i="1" s="1"/>
  <c r="N74" i="1"/>
  <c r="O74" i="1" s="1"/>
  <c r="L74" i="1"/>
  <c r="Y73" i="1"/>
  <c r="W73" i="1"/>
  <c r="U73" i="1"/>
  <c r="R73" i="1"/>
  <c r="S73" i="1" s="1"/>
  <c r="P73" i="1"/>
  <c r="Q73" i="1" s="1"/>
  <c r="N73" i="1"/>
  <c r="O73" i="1" s="1"/>
  <c r="L73" i="1"/>
  <c r="Y72" i="1"/>
  <c r="W72" i="1"/>
  <c r="U72" i="1"/>
  <c r="R72" i="1"/>
  <c r="S72" i="1" s="1"/>
  <c r="P72" i="1"/>
  <c r="Q72" i="1" s="1"/>
  <c r="N72" i="1"/>
  <c r="O72" i="1" s="1"/>
  <c r="L72" i="1"/>
  <c r="Y71" i="1"/>
  <c r="W71" i="1"/>
  <c r="U71" i="1"/>
  <c r="R71" i="1"/>
  <c r="S71" i="1" s="1"/>
  <c r="P71" i="1"/>
  <c r="Q71" i="1" s="1"/>
  <c r="N71" i="1"/>
  <c r="O71" i="1" s="1"/>
  <c r="L71" i="1"/>
  <c r="M71" i="1" s="1"/>
  <c r="Y70" i="1"/>
  <c r="W70" i="1"/>
  <c r="U70" i="1"/>
  <c r="R70" i="1"/>
  <c r="S70" i="1" s="1"/>
  <c r="P70" i="1"/>
  <c r="Q70" i="1" s="1"/>
  <c r="N70" i="1"/>
  <c r="O70" i="1" s="1"/>
  <c r="L70" i="1"/>
  <c r="Y69" i="1"/>
  <c r="W69" i="1"/>
  <c r="U69" i="1"/>
  <c r="R69" i="1"/>
  <c r="S69" i="1" s="1"/>
  <c r="P69" i="1"/>
  <c r="Q69" i="1" s="1"/>
  <c r="N69" i="1"/>
  <c r="O69" i="1" s="1"/>
  <c r="L69" i="1"/>
  <c r="Y68" i="1"/>
  <c r="W68" i="1"/>
  <c r="U68" i="1"/>
  <c r="R68" i="1"/>
  <c r="S68" i="1" s="1"/>
  <c r="P68" i="1"/>
  <c r="Q68" i="1" s="1"/>
  <c r="N68" i="1"/>
  <c r="O68" i="1" s="1"/>
  <c r="L68" i="1"/>
  <c r="Y67" i="1"/>
  <c r="W67" i="1"/>
  <c r="U67" i="1"/>
  <c r="R67" i="1"/>
  <c r="S67" i="1" s="1"/>
  <c r="P67" i="1"/>
  <c r="Q67" i="1" s="1"/>
  <c r="N67" i="1"/>
  <c r="O67" i="1" s="1"/>
  <c r="L67" i="1"/>
  <c r="Y66" i="1"/>
  <c r="W66" i="1"/>
  <c r="U66" i="1"/>
  <c r="R66" i="1"/>
  <c r="S66" i="1" s="1"/>
  <c r="P66" i="1"/>
  <c r="Q66" i="1" s="1"/>
  <c r="N66" i="1"/>
  <c r="O66" i="1" s="1"/>
  <c r="L66" i="1"/>
  <c r="Y65" i="1"/>
  <c r="W65" i="1"/>
  <c r="U65" i="1"/>
  <c r="R65" i="1"/>
  <c r="S65" i="1" s="1"/>
  <c r="P65" i="1"/>
  <c r="Q65" i="1" s="1"/>
  <c r="N65" i="1"/>
  <c r="O65" i="1" s="1"/>
  <c r="L65" i="1"/>
  <c r="Y64" i="1"/>
  <c r="W64" i="1"/>
  <c r="U64" i="1"/>
  <c r="R64" i="1"/>
  <c r="S64" i="1" s="1"/>
  <c r="P64" i="1"/>
  <c r="Q64" i="1" s="1"/>
  <c r="N64" i="1"/>
  <c r="O64" i="1" s="1"/>
  <c r="L64" i="1"/>
  <c r="Y63" i="1"/>
  <c r="W63" i="1"/>
  <c r="U63" i="1"/>
  <c r="R63" i="1"/>
  <c r="S63" i="1" s="1"/>
  <c r="P63" i="1"/>
  <c r="Q63" i="1" s="1"/>
  <c r="N63" i="1"/>
  <c r="O63" i="1" s="1"/>
  <c r="L63" i="1"/>
  <c r="Y62" i="1"/>
  <c r="W62" i="1"/>
  <c r="U62" i="1"/>
  <c r="R62" i="1"/>
  <c r="S62" i="1" s="1"/>
  <c r="P62" i="1"/>
  <c r="Q62" i="1" s="1"/>
  <c r="N62" i="1"/>
  <c r="O62" i="1" s="1"/>
  <c r="L62" i="1"/>
  <c r="Y61" i="1"/>
  <c r="W61" i="1"/>
  <c r="U61" i="1"/>
  <c r="R61" i="1"/>
  <c r="S61" i="1" s="1"/>
  <c r="P61" i="1"/>
  <c r="Q61" i="1" s="1"/>
  <c r="N61" i="1"/>
  <c r="O61" i="1" s="1"/>
  <c r="L61" i="1"/>
  <c r="Y60" i="1"/>
  <c r="W60" i="1"/>
  <c r="U60" i="1"/>
  <c r="R60" i="1"/>
  <c r="S60" i="1" s="1"/>
  <c r="P60" i="1"/>
  <c r="Q60" i="1" s="1"/>
  <c r="N60" i="1"/>
  <c r="O60" i="1" s="1"/>
  <c r="L60" i="1"/>
  <c r="M60" i="1" s="1"/>
  <c r="Y59" i="1"/>
  <c r="W59" i="1"/>
  <c r="U59" i="1"/>
  <c r="R59" i="1"/>
  <c r="S59" i="1" s="1"/>
  <c r="P59" i="1"/>
  <c r="Q59" i="1" s="1"/>
  <c r="N59" i="1"/>
  <c r="O59" i="1" s="1"/>
  <c r="L59" i="1"/>
  <c r="Y58" i="1"/>
  <c r="W58" i="1"/>
  <c r="U58" i="1"/>
  <c r="R58" i="1"/>
  <c r="S58" i="1" s="1"/>
  <c r="P58" i="1"/>
  <c r="Q58" i="1" s="1"/>
  <c r="N58" i="1"/>
  <c r="O58" i="1" s="1"/>
  <c r="L58" i="1"/>
  <c r="Y57" i="1"/>
  <c r="W57" i="1"/>
  <c r="U57" i="1"/>
  <c r="R57" i="1"/>
  <c r="S57" i="1" s="1"/>
  <c r="P57" i="1"/>
  <c r="Q57" i="1" s="1"/>
  <c r="N57" i="1"/>
  <c r="O57" i="1" s="1"/>
  <c r="L57" i="1"/>
  <c r="Y56" i="1"/>
  <c r="W56" i="1"/>
  <c r="U56" i="1"/>
  <c r="R56" i="1"/>
  <c r="S56" i="1" s="1"/>
  <c r="P56" i="1"/>
  <c r="Q56" i="1" s="1"/>
  <c r="N56" i="1"/>
  <c r="O56" i="1" s="1"/>
  <c r="L56" i="1"/>
  <c r="Y55" i="1"/>
  <c r="W55" i="1"/>
  <c r="U55" i="1"/>
  <c r="R55" i="1"/>
  <c r="S55" i="1" s="1"/>
  <c r="P55" i="1"/>
  <c r="Q55" i="1" s="1"/>
  <c r="N55" i="1"/>
  <c r="O55" i="1" s="1"/>
  <c r="L55" i="1"/>
  <c r="Y54" i="1"/>
  <c r="W54" i="1"/>
  <c r="U54" i="1"/>
  <c r="R54" i="1"/>
  <c r="S54" i="1" s="1"/>
  <c r="P54" i="1"/>
  <c r="Q54" i="1" s="1"/>
  <c r="N54" i="1"/>
  <c r="O54" i="1" s="1"/>
  <c r="L54" i="1"/>
  <c r="Y53" i="1"/>
  <c r="W53" i="1"/>
  <c r="U53" i="1"/>
  <c r="R53" i="1"/>
  <c r="S53" i="1" s="1"/>
  <c r="P53" i="1"/>
  <c r="Q53" i="1" s="1"/>
  <c r="N53" i="1"/>
  <c r="O53" i="1" s="1"/>
  <c r="L53" i="1"/>
  <c r="V53" i="1" s="1"/>
  <c r="Y52" i="1"/>
  <c r="W52" i="1"/>
  <c r="U52" i="1"/>
  <c r="R52" i="1"/>
  <c r="S52" i="1" s="1"/>
  <c r="P52" i="1"/>
  <c r="Q52" i="1" s="1"/>
  <c r="N52" i="1"/>
  <c r="O52" i="1" s="1"/>
  <c r="L52" i="1"/>
  <c r="Y51" i="1"/>
  <c r="W51" i="1"/>
  <c r="U51" i="1"/>
  <c r="R51" i="1"/>
  <c r="S51" i="1" s="1"/>
  <c r="P51" i="1"/>
  <c r="Q51" i="1" s="1"/>
  <c r="N51" i="1"/>
  <c r="O51" i="1" s="1"/>
  <c r="L51" i="1"/>
  <c r="Y50" i="1"/>
  <c r="W50" i="1"/>
  <c r="U50" i="1"/>
  <c r="R50" i="1"/>
  <c r="S50" i="1" s="1"/>
  <c r="P50" i="1"/>
  <c r="Q50" i="1" s="1"/>
  <c r="N50" i="1"/>
  <c r="O50" i="1" s="1"/>
  <c r="L50" i="1"/>
  <c r="M50" i="1" s="1"/>
  <c r="Y49" i="1"/>
  <c r="W49" i="1"/>
  <c r="U49" i="1"/>
  <c r="R49" i="1"/>
  <c r="S49" i="1" s="1"/>
  <c r="P49" i="1"/>
  <c r="Q49" i="1" s="1"/>
  <c r="N49" i="1"/>
  <c r="O49" i="1" s="1"/>
  <c r="L49" i="1"/>
  <c r="Y48" i="1"/>
  <c r="W48" i="1"/>
  <c r="U48" i="1"/>
  <c r="R48" i="1"/>
  <c r="S48" i="1" s="1"/>
  <c r="P48" i="1"/>
  <c r="Q48" i="1" s="1"/>
  <c r="N48" i="1"/>
  <c r="O48" i="1" s="1"/>
  <c r="L48" i="1"/>
  <c r="Y320" i="1"/>
  <c r="W320" i="1"/>
  <c r="U320" i="1"/>
  <c r="R320" i="1"/>
  <c r="S320" i="1" s="1"/>
  <c r="P320" i="1"/>
  <c r="Q320" i="1" s="1"/>
  <c r="N320" i="1"/>
  <c r="O320" i="1" s="1"/>
  <c r="L320" i="1"/>
  <c r="V320" i="1" s="1"/>
  <c r="Y319" i="1"/>
  <c r="W319" i="1"/>
  <c r="U319" i="1"/>
  <c r="R319" i="1"/>
  <c r="S319" i="1" s="1"/>
  <c r="P319" i="1"/>
  <c r="Q319" i="1" s="1"/>
  <c r="N319" i="1"/>
  <c r="O319" i="1" s="1"/>
  <c r="L319" i="1"/>
  <c r="Y318" i="1"/>
  <c r="W318" i="1"/>
  <c r="U318" i="1"/>
  <c r="R318" i="1"/>
  <c r="S318" i="1" s="1"/>
  <c r="P318" i="1"/>
  <c r="Q318" i="1" s="1"/>
  <c r="N318" i="1"/>
  <c r="O318" i="1" s="1"/>
  <c r="L318" i="1"/>
  <c r="M318" i="1" s="1"/>
  <c r="Y47" i="1"/>
  <c r="W47" i="1"/>
  <c r="U47" i="1"/>
  <c r="R47" i="1"/>
  <c r="S47" i="1" s="1"/>
  <c r="P47" i="1"/>
  <c r="Q47" i="1" s="1"/>
  <c r="N47" i="1"/>
  <c r="O47" i="1" s="1"/>
  <c r="L47" i="1"/>
  <c r="Y46" i="1"/>
  <c r="W46" i="1"/>
  <c r="U46" i="1"/>
  <c r="R46" i="1"/>
  <c r="S46" i="1" s="1"/>
  <c r="P46" i="1"/>
  <c r="Q46" i="1" s="1"/>
  <c r="N46" i="1"/>
  <c r="O46" i="1" s="1"/>
  <c r="L46" i="1"/>
  <c r="V46" i="1" s="1"/>
  <c r="Y45" i="1"/>
  <c r="W45" i="1"/>
  <c r="U45" i="1"/>
  <c r="R45" i="1"/>
  <c r="S45" i="1" s="1"/>
  <c r="P45" i="1"/>
  <c r="Q45" i="1" s="1"/>
  <c r="N45" i="1"/>
  <c r="O45" i="1" s="1"/>
  <c r="L45" i="1"/>
  <c r="Y44" i="1"/>
  <c r="W44" i="1"/>
  <c r="U44" i="1"/>
  <c r="R44" i="1"/>
  <c r="S44" i="1" s="1"/>
  <c r="P44" i="1"/>
  <c r="Q44" i="1" s="1"/>
  <c r="N44" i="1"/>
  <c r="O44" i="1" s="1"/>
  <c r="L44" i="1"/>
  <c r="M44" i="1" s="1"/>
  <c r="Y43" i="1"/>
  <c r="W43" i="1"/>
  <c r="U43" i="1"/>
  <c r="R43" i="1"/>
  <c r="S43" i="1" s="1"/>
  <c r="P43" i="1"/>
  <c r="Q43" i="1" s="1"/>
  <c r="N43" i="1"/>
  <c r="O43" i="1" s="1"/>
  <c r="L43" i="1"/>
  <c r="Y42" i="1"/>
  <c r="W42" i="1"/>
  <c r="U42" i="1"/>
  <c r="R42" i="1"/>
  <c r="S42" i="1" s="1"/>
  <c r="P42" i="1"/>
  <c r="Q42" i="1" s="1"/>
  <c r="N42" i="1"/>
  <c r="O42" i="1" s="1"/>
  <c r="L42" i="1"/>
  <c r="V42" i="1" s="1"/>
  <c r="Y41" i="1"/>
  <c r="W41" i="1"/>
  <c r="U41" i="1"/>
  <c r="R41" i="1"/>
  <c r="S41" i="1" s="1"/>
  <c r="P41" i="1"/>
  <c r="Q41" i="1" s="1"/>
  <c r="N41" i="1"/>
  <c r="O41" i="1" s="1"/>
  <c r="L41" i="1"/>
  <c r="M41" i="1" s="1"/>
  <c r="Y40" i="1"/>
  <c r="W40" i="1"/>
  <c r="U40" i="1"/>
  <c r="R40" i="1"/>
  <c r="S40" i="1" s="1"/>
  <c r="P40" i="1"/>
  <c r="Q40" i="1" s="1"/>
  <c r="N40" i="1"/>
  <c r="O40" i="1" s="1"/>
  <c r="L40" i="1"/>
  <c r="Y39" i="1"/>
  <c r="W39" i="1"/>
  <c r="U39" i="1"/>
  <c r="R39" i="1"/>
  <c r="S39" i="1" s="1"/>
  <c r="P39" i="1"/>
  <c r="Q39" i="1" s="1"/>
  <c r="N39" i="1"/>
  <c r="O39" i="1" s="1"/>
  <c r="L39" i="1"/>
  <c r="Y38" i="1"/>
  <c r="W38" i="1"/>
  <c r="U38" i="1"/>
  <c r="R38" i="1"/>
  <c r="S38" i="1" s="1"/>
  <c r="P38" i="1"/>
  <c r="Q38" i="1" s="1"/>
  <c r="N38" i="1"/>
  <c r="O38" i="1" s="1"/>
  <c r="L38" i="1"/>
  <c r="Y37" i="1"/>
  <c r="W37" i="1"/>
  <c r="U37" i="1"/>
  <c r="R37" i="1"/>
  <c r="S37" i="1" s="1"/>
  <c r="P37" i="1"/>
  <c r="Q37" i="1" s="1"/>
  <c r="N37" i="1"/>
  <c r="O37" i="1" s="1"/>
  <c r="L37" i="1"/>
  <c r="Y36" i="1"/>
  <c r="W36" i="1"/>
  <c r="U36" i="1"/>
  <c r="R36" i="1"/>
  <c r="S36" i="1" s="1"/>
  <c r="P36" i="1"/>
  <c r="Q36" i="1" s="1"/>
  <c r="N36" i="1"/>
  <c r="O36" i="1" s="1"/>
  <c r="L36" i="1"/>
  <c r="Y35" i="1"/>
  <c r="W35" i="1"/>
  <c r="U35" i="1"/>
  <c r="R35" i="1"/>
  <c r="S35" i="1" s="1"/>
  <c r="P35" i="1"/>
  <c r="Q35" i="1" s="1"/>
  <c r="N35" i="1"/>
  <c r="O35" i="1" s="1"/>
  <c r="L35" i="1"/>
  <c r="Y34" i="1"/>
  <c r="W34" i="1"/>
  <c r="U34" i="1"/>
  <c r="R34" i="1"/>
  <c r="S34" i="1" s="1"/>
  <c r="P34" i="1"/>
  <c r="Q34" i="1" s="1"/>
  <c r="N34" i="1"/>
  <c r="O34" i="1" s="1"/>
  <c r="L34" i="1"/>
  <c r="M34" i="1" s="1"/>
  <c r="Y33" i="1"/>
  <c r="W33" i="1"/>
  <c r="U33" i="1"/>
  <c r="R33" i="1"/>
  <c r="S33" i="1" s="1"/>
  <c r="P33" i="1"/>
  <c r="Q33" i="1" s="1"/>
  <c r="N33" i="1"/>
  <c r="O33" i="1" s="1"/>
  <c r="L33" i="1"/>
  <c r="Y32" i="1"/>
  <c r="W32" i="1"/>
  <c r="U32" i="1"/>
  <c r="R32" i="1"/>
  <c r="S32" i="1" s="1"/>
  <c r="P32" i="1"/>
  <c r="Q32" i="1" s="1"/>
  <c r="N32" i="1"/>
  <c r="O32" i="1" s="1"/>
  <c r="L32" i="1"/>
  <c r="Y31" i="1"/>
  <c r="W31" i="1"/>
  <c r="U31" i="1"/>
  <c r="R31" i="1"/>
  <c r="S31" i="1" s="1"/>
  <c r="P31" i="1"/>
  <c r="Q31" i="1" s="1"/>
  <c r="N31" i="1"/>
  <c r="O31" i="1" s="1"/>
  <c r="L31" i="1"/>
  <c r="Y30" i="1"/>
  <c r="W30" i="1"/>
  <c r="U30" i="1"/>
  <c r="R30" i="1"/>
  <c r="S30" i="1" s="1"/>
  <c r="P30" i="1"/>
  <c r="Q30" i="1" s="1"/>
  <c r="N30" i="1"/>
  <c r="O30" i="1" s="1"/>
  <c r="L30" i="1"/>
  <c r="M30" i="1" s="1"/>
  <c r="Y29" i="1"/>
  <c r="W29" i="1"/>
  <c r="U29" i="1"/>
  <c r="R29" i="1"/>
  <c r="S29" i="1" s="1"/>
  <c r="P29" i="1"/>
  <c r="Q29" i="1" s="1"/>
  <c r="N29" i="1"/>
  <c r="O29" i="1" s="1"/>
  <c r="L29" i="1"/>
  <c r="Y28" i="1"/>
  <c r="W28" i="1"/>
  <c r="U28" i="1"/>
  <c r="R28" i="1"/>
  <c r="S28" i="1" s="1"/>
  <c r="P28" i="1"/>
  <c r="Q28" i="1" s="1"/>
  <c r="N28" i="1"/>
  <c r="O28" i="1" s="1"/>
  <c r="L28" i="1"/>
  <c r="Y27" i="1"/>
  <c r="W27" i="1"/>
  <c r="U27" i="1"/>
  <c r="R27" i="1"/>
  <c r="S27" i="1" s="1"/>
  <c r="P27" i="1"/>
  <c r="Q27" i="1" s="1"/>
  <c r="N27" i="1"/>
  <c r="O27" i="1" s="1"/>
  <c r="L27" i="1"/>
  <c r="Y26" i="1"/>
  <c r="W26" i="1"/>
  <c r="U26" i="1"/>
  <c r="R26" i="1"/>
  <c r="S26" i="1" s="1"/>
  <c r="P26" i="1"/>
  <c r="Q26" i="1" s="1"/>
  <c r="N26" i="1"/>
  <c r="O26" i="1" s="1"/>
  <c r="L26" i="1"/>
  <c r="Y25" i="1"/>
  <c r="W25" i="1"/>
  <c r="U25" i="1"/>
  <c r="R25" i="1"/>
  <c r="S25" i="1" s="1"/>
  <c r="P25" i="1"/>
  <c r="Q25" i="1" s="1"/>
  <c r="N25" i="1"/>
  <c r="O25" i="1" s="1"/>
  <c r="L25" i="1"/>
  <c r="Y24" i="1"/>
  <c r="W24" i="1"/>
  <c r="U24" i="1"/>
  <c r="R24" i="1"/>
  <c r="S24" i="1" s="1"/>
  <c r="P24" i="1"/>
  <c r="Q24" i="1" s="1"/>
  <c r="N24" i="1"/>
  <c r="O24" i="1" s="1"/>
  <c r="L24" i="1"/>
  <c r="Y23" i="1"/>
  <c r="W23" i="1"/>
  <c r="U23" i="1"/>
  <c r="R23" i="1"/>
  <c r="S23" i="1" s="1"/>
  <c r="P23" i="1"/>
  <c r="Q23" i="1" s="1"/>
  <c r="N23" i="1"/>
  <c r="O23" i="1" s="1"/>
  <c r="L23" i="1"/>
  <c r="Y22" i="1"/>
  <c r="W22" i="1"/>
  <c r="U22" i="1"/>
  <c r="R22" i="1"/>
  <c r="S22" i="1" s="1"/>
  <c r="P22" i="1"/>
  <c r="Q22" i="1" s="1"/>
  <c r="N22" i="1"/>
  <c r="O22" i="1" s="1"/>
  <c r="L22" i="1"/>
  <c r="M22" i="1" s="1"/>
  <c r="Y317" i="1"/>
  <c r="W317" i="1"/>
  <c r="U317" i="1"/>
  <c r="R317" i="1"/>
  <c r="S317" i="1" s="1"/>
  <c r="P317" i="1"/>
  <c r="Q317" i="1" s="1"/>
  <c r="N317" i="1"/>
  <c r="O317" i="1" s="1"/>
  <c r="L317" i="1"/>
  <c r="Y21" i="1"/>
  <c r="W21" i="1"/>
  <c r="U21" i="1"/>
  <c r="R21" i="1"/>
  <c r="S21" i="1" s="1"/>
  <c r="P21" i="1"/>
  <c r="Q21" i="1" s="1"/>
  <c r="N21" i="1"/>
  <c r="O21" i="1" s="1"/>
  <c r="L21" i="1"/>
  <c r="Y20" i="1"/>
  <c r="W20" i="1"/>
  <c r="U20" i="1"/>
  <c r="R20" i="1"/>
  <c r="S20" i="1" s="1"/>
  <c r="P20" i="1"/>
  <c r="Q20" i="1" s="1"/>
  <c r="N20" i="1"/>
  <c r="O20" i="1" s="1"/>
  <c r="L20" i="1"/>
  <c r="Y19" i="1"/>
  <c r="W19" i="1"/>
  <c r="U19" i="1"/>
  <c r="R19" i="1"/>
  <c r="S19" i="1" s="1"/>
  <c r="P19" i="1"/>
  <c r="Q19" i="1" s="1"/>
  <c r="N19" i="1"/>
  <c r="O19" i="1" s="1"/>
  <c r="L19" i="1"/>
  <c r="Y18" i="1"/>
  <c r="W18" i="1"/>
  <c r="U18" i="1"/>
  <c r="R18" i="1"/>
  <c r="S18" i="1" s="1"/>
  <c r="P18" i="1"/>
  <c r="Q18" i="1" s="1"/>
  <c r="N18" i="1"/>
  <c r="O18" i="1" s="1"/>
  <c r="L18" i="1"/>
  <c r="Y17" i="1"/>
  <c r="W17" i="1"/>
  <c r="U17" i="1"/>
  <c r="R17" i="1"/>
  <c r="S17" i="1" s="1"/>
  <c r="P17" i="1"/>
  <c r="Q17" i="1" s="1"/>
  <c r="N17" i="1"/>
  <c r="O17" i="1" s="1"/>
  <c r="L17" i="1"/>
  <c r="V17" i="1" s="1"/>
  <c r="Y16" i="1"/>
  <c r="W16" i="1"/>
  <c r="U16" i="1"/>
  <c r="R16" i="1"/>
  <c r="S16" i="1" s="1"/>
  <c r="P16" i="1"/>
  <c r="Q16" i="1" s="1"/>
  <c r="N16" i="1"/>
  <c r="O16" i="1" s="1"/>
  <c r="L16" i="1"/>
  <c r="Y15" i="1"/>
  <c r="W15" i="1"/>
  <c r="U15" i="1"/>
  <c r="R15" i="1"/>
  <c r="S15" i="1" s="1"/>
  <c r="P15" i="1"/>
  <c r="Q15" i="1" s="1"/>
  <c r="N15" i="1"/>
  <c r="O15" i="1" s="1"/>
  <c r="L15" i="1"/>
  <c r="Y14" i="1"/>
  <c r="W14" i="1"/>
  <c r="U14" i="1"/>
  <c r="R14" i="1"/>
  <c r="S14" i="1" s="1"/>
  <c r="P14" i="1"/>
  <c r="Q14" i="1" s="1"/>
  <c r="N14" i="1"/>
  <c r="O14" i="1" s="1"/>
  <c r="L14" i="1"/>
  <c r="Y13" i="1"/>
  <c r="W13" i="1"/>
  <c r="U13" i="1"/>
  <c r="R13" i="1"/>
  <c r="S13" i="1" s="1"/>
  <c r="P13" i="1"/>
  <c r="Q13" i="1" s="1"/>
  <c r="N13" i="1"/>
  <c r="O13" i="1" s="1"/>
  <c r="L13" i="1"/>
  <c r="M13" i="1" s="1"/>
  <c r="Y12" i="1"/>
  <c r="W12" i="1"/>
  <c r="U12" i="1"/>
  <c r="R12" i="1"/>
  <c r="S12" i="1" s="1"/>
  <c r="P12" i="1"/>
  <c r="Q12" i="1" s="1"/>
  <c r="N12" i="1"/>
  <c r="O12" i="1" s="1"/>
  <c r="L12" i="1"/>
  <c r="Y11" i="1"/>
  <c r="W11" i="1"/>
  <c r="U11" i="1"/>
  <c r="R11" i="1"/>
  <c r="S11" i="1" s="1"/>
  <c r="P11" i="1"/>
  <c r="Q11" i="1" s="1"/>
  <c r="N11" i="1"/>
  <c r="O11" i="1" s="1"/>
  <c r="L11" i="1"/>
  <c r="V11" i="1" s="1"/>
  <c r="Y10" i="1"/>
  <c r="W10" i="1"/>
  <c r="U10" i="1"/>
  <c r="R10" i="1"/>
  <c r="S10" i="1" s="1"/>
  <c r="P10" i="1"/>
  <c r="Q10" i="1" s="1"/>
  <c r="N10" i="1"/>
  <c r="O10" i="1" s="1"/>
  <c r="L10" i="1"/>
  <c r="Y9" i="1"/>
  <c r="W9" i="1"/>
  <c r="U9" i="1"/>
  <c r="R9" i="1"/>
  <c r="S9" i="1" s="1"/>
  <c r="P9" i="1"/>
  <c r="Q9" i="1" s="1"/>
  <c r="N9" i="1"/>
  <c r="O9" i="1" s="1"/>
  <c r="L9" i="1"/>
  <c r="Y8" i="1"/>
  <c r="W8" i="1"/>
  <c r="U8" i="1"/>
  <c r="R8" i="1"/>
  <c r="S8" i="1" s="1"/>
  <c r="P8" i="1"/>
  <c r="Q8" i="1" s="1"/>
  <c r="N8" i="1"/>
  <c r="O8" i="1" s="1"/>
  <c r="L8" i="1"/>
  <c r="Y7" i="1"/>
  <c r="W7" i="1"/>
  <c r="U7" i="1"/>
  <c r="R7" i="1"/>
  <c r="S7" i="1" s="1"/>
  <c r="P7" i="1"/>
  <c r="Q7" i="1" s="1"/>
  <c r="N7" i="1"/>
  <c r="O7" i="1" s="1"/>
  <c r="L7" i="1"/>
  <c r="Y6" i="1"/>
  <c r="W6" i="1"/>
  <c r="U6" i="1"/>
  <c r="R6" i="1"/>
  <c r="S6" i="1" s="1"/>
  <c r="P6" i="1"/>
  <c r="Q6" i="1" s="1"/>
  <c r="N6" i="1"/>
  <c r="O6" i="1" s="1"/>
  <c r="L6" i="1"/>
  <c r="Y5" i="1"/>
  <c r="W5" i="1"/>
  <c r="U5" i="1"/>
  <c r="R5" i="1"/>
  <c r="S5" i="1" s="1"/>
  <c r="P5" i="1"/>
  <c r="Q5" i="1" s="1"/>
  <c r="N5" i="1"/>
  <c r="O5" i="1" s="1"/>
  <c r="L5" i="1"/>
  <c r="Y4" i="1"/>
  <c r="W4" i="1"/>
  <c r="U4" i="1"/>
  <c r="R4" i="1"/>
  <c r="S4" i="1" s="1"/>
  <c r="P4" i="1"/>
  <c r="Q4" i="1" s="1"/>
  <c r="N4" i="1"/>
  <c r="O4" i="1" s="1"/>
  <c r="L4" i="1"/>
  <c r="Y3" i="1"/>
  <c r="W3" i="1"/>
  <c r="U3" i="1"/>
  <c r="R3" i="1"/>
  <c r="S3" i="1" s="1"/>
  <c r="P3" i="1"/>
  <c r="Q3" i="1" s="1"/>
  <c r="N3" i="1"/>
  <c r="O3" i="1" s="1"/>
  <c r="L3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AU164" i="17" l="1"/>
  <c r="V36" i="1"/>
  <c r="V65" i="1"/>
  <c r="V61" i="1"/>
  <c r="V29" i="1"/>
  <c r="V110" i="1"/>
  <c r="V237" i="1"/>
  <c r="X134" i="1"/>
  <c r="AE232" i="17"/>
  <c r="W187" i="17"/>
  <c r="AE187" i="17" s="1"/>
  <c r="AE230" i="17"/>
  <c r="W234" i="17"/>
  <c r="AE231" i="17"/>
  <c r="AE233" i="17"/>
  <c r="Z233" i="1"/>
  <c r="Z27" i="1"/>
  <c r="Z115" i="1"/>
  <c r="Z123" i="1"/>
  <c r="X95" i="1"/>
  <c r="Z67" i="1"/>
  <c r="Z32" i="1"/>
  <c r="X66" i="1"/>
  <c r="V271" i="1"/>
  <c r="X6" i="1"/>
  <c r="X14" i="1"/>
  <c r="V33" i="1"/>
  <c r="Z7" i="1"/>
  <c r="X49" i="1"/>
  <c r="X69" i="1"/>
  <c r="X79" i="1"/>
  <c r="X146" i="1"/>
  <c r="X160" i="1"/>
  <c r="X99" i="1"/>
  <c r="Z119" i="1"/>
  <c r="Z127" i="1"/>
  <c r="X136" i="1"/>
  <c r="X141" i="1"/>
  <c r="V60" i="1"/>
  <c r="V102" i="1"/>
  <c r="V69" i="1"/>
  <c r="Z169" i="1"/>
  <c r="M33" i="1"/>
  <c r="V99" i="1"/>
  <c r="M109" i="1"/>
  <c r="V158" i="1"/>
  <c r="Z22" i="1"/>
  <c r="Z318" i="1"/>
  <c r="X57" i="1"/>
  <c r="V73" i="1"/>
  <c r="M73" i="1"/>
  <c r="Z19" i="1"/>
  <c r="V68" i="1"/>
  <c r="M68" i="1"/>
  <c r="X82" i="1"/>
  <c r="M82" i="1"/>
  <c r="X25" i="1"/>
  <c r="Z38" i="1"/>
  <c r="M57" i="1"/>
  <c r="Z57" i="1"/>
  <c r="V57" i="1"/>
  <c r="Z69" i="1"/>
  <c r="Z77" i="1"/>
  <c r="V82" i="1"/>
  <c r="V93" i="1"/>
  <c r="Z93" i="1"/>
  <c r="M93" i="1"/>
  <c r="V19" i="1"/>
  <c r="Z30" i="1"/>
  <c r="X38" i="1"/>
  <c r="M38" i="1"/>
  <c r="Z44" i="1"/>
  <c r="M92" i="1"/>
  <c r="V92" i="1"/>
  <c r="X5" i="1"/>
  <c r="M5" i="1"/>
  <c r="M17" i="1"/>
  <c r="V30" i="1"/>
  <c r="Z48" i="1"/>
  <c r="V103" i="1"/>
  <c r="V207" i="1"/>
  <c r="V5" i="1"/>
  <c r="V13" i="1"/>
  <c r="X47" i="1"/>
  <c r="Z61" i="1"/>
  <c r="Z75" i="1"/>
  <c r="M99" i="1"/>
  <c r="M110" i="1"/>
  <c r="X138" i="1"/>
  <c r="Z99" i="1"/>
  <c r="X106" i="1"/>
  <c r="V121" i="1"/>
  <c r="V129" i="1"/>
  <c r="X142" i="1"/>
  <c r="X153" i="1"/>
  <c r="X4" i="1"/>
  <c r="X21" i="1"/>
  <c r="Z21" i="1"/>
  <c r="M29" i="1"/>
  <c r="Z42" i="1"/>
  <c r="M46" i="1"/>
  <c r="M65" i="1"/>
  <c r="X70" i="1"/>
  <c r="V70" i="1"/>
  <c r="M70" i="1"/>
  <c r="M83" i="1"/>
  <c r="Z83" i="1"/>
  <c r="X89" i="1"/>
  <c r="Z111" i="1"/>
  <c r="M7" i="1"/>
  <c r="M21" i="1"/>
  <c r="X30" i="1"/>
  <c r="Z34" i="1"/>
  <c r="V38" i="1"/>
  <c r="X39" i="1"/>
  <c r="V39" i="1"/>
  <c r="M39" i="1"/>
  <c r="V41" i="1"/>
  <c r="M42" i="1"/>
  <c r="V44" i="1"/>
  <c r="V318" i="1"/>
  <c r="X61" i="1"/>
  <c r="V89" i="1"/>
  <c r="Z89" i="1"/>
  <c r="V100" i="1"/>
  <c r="M100" i="1"/>
  <c r="Z5" i="1"/>
  <c r="X13" i="1"/>
  <c r="Z13" i="1"/>
  <c r="X18" i="1"/>
  <c r="V21" i="1"/>
  <c r="V34" i="1"/>
  <c r="Z36" i="1"/>
  <c r="M36" i="1"/>
  <c r="X37" i="1"/>
  <c r="X40" i="1"/>
  <c r="V40" i="1"/>
  <c r="M40" i="1"/>
  <c r="Z46" i="1"/>
  <c r="X318" i="1"/>
  <c r="M61" i="1"/>
  <c r="M69" i="1"/>
  <c r="X74" i="1"/>
  <c r="V77" i="1"/>
  <c r="Z80" i="1"/>
  <c r="M89" i="1"/>
  <c r="Z101" i="1"/>
  <c r="V101" i="1"/>
  <c r="M101" i="1"/>
  <c r="X101" i="1"/>
  <c r="V111" i="1"/>
  <c r="M111" i="1"/>
  <c r="M131" i="1"/>
  <c r="V131" i="1"/>
  <c r="X77" i="1"/>
  <c r="Z141" i="1"/>
  <c r="V139" i="1"/>
  <c r="M141" i="1"/>
  <c r="V145" i="1"/>
  <c r="X151" i="1"/>
  <c r="X105" i="1"/>
  <c r="X108" i="1"/>
  <c r="Z112" i="1"/>
  <c r="X125" i="1"/>
  <c r="X129" i="1"/>
  <c r="V141" i="1"/>
  <c r="X83" i="1"/>
  <c r="X93" i="1"/>
  <c r="X98" i="1"/>
  <c r="X102" i="1"/>
  <c r="X109" i="1"/>
  <c r="X121" i="1"/>
  <c r="X24" i="1"/>
  <c r="Z24" i="1"/>
  <c r="V24" i="1"/>
  <c r="M24" i="1"/>
  <c r="X58" i="1"/>
  <c r="V58" i="1"/>
  <c r="M58" i="1"/>
  <c r="X15" i="1"/>
  <c r="V15" i="1"/>
  <c r="Z15" i="1"/>
  <c r="M15" i="1"/>
  <c r="Z10" i="1"/>
  <c r="V10" i="1"/>
  <c r="M10" i="1"/>
  <c r="X10" i="1"/>
  <c r="X9" i="1"/>
  <c r="Z9" i="1"/>
  <c r="M9" i="1"/>
  <c r="V9" i="1"/>
  <c r="Z6" i="1"/>
  <c r="V6" i="1"/>
  <c r="M6" i="1"/>
  <c r="Z20" i="1"/>
  <c r="V20" i="1"/>
  <c r="M20" i="1"/>
  <c r="X20" i="1"/>
  <c r="X3" i="1"/>
  <c r="M3" i="1"/>
  <c r="V3" i="1"/>
  <c r="Z3" i="1"/>
  <c r="Z12" i="1"/>
  <c r="V12" i="1"/>
  <c r="M12" i="1"/>
  <c r="X12" i="1"/>
  <c r="Z18" i="1"/>
  <c r="V18" i="1"/>
  <c r="M18" i="1"/>
  <c r="X32" i="1"/>
  <c r="V32" i="1"/>
  <c r="M32" i="1"/>
  <c r="X28" i="1"/>
  <c r="V28" i="1"/>
  <c r="M28" i="1"/>
  <c r="Z28" i="1"/>
  <c r="Z81" i="1"/>
  <c r="V81" i="1"/>
  <c r="M81" i="1"/>
  <c r="X81" i="1"/>
  <c r="X90" i="1"/>
  <c r="V90" i="1"/>
  <c r="M90" i="1"/>
  <c r="X11" i="1"/>
  <c r="M11" i="1"/>
  <c r="Z11" i="1"/>
  <c r="Z317" i="1"/>
  <c r="V317" i="1"/>
  <c r="M317" i="1"/>
  <c r="X317" i="1"/>
  <c r="X22" i="1"/>
  <c r="V22" i="1"/>
  <c r="Z25" i="1"/>
  <c r="V25" i="1"/>
  <c r="M25" i="1"/>
  <c r="V51" i="1"/>
  <c r="Z51" i="1"/>
  <c r="M51" i="1"/>
  <c r="X53" i="1"/>
  <c r="Z53" i="1"/>
  <c r="M53" i="1"/>
  <c r="X54" i="1"/>
  <c r="V54" i="1"/>
  <c r="M54" i="1"/>
  <c r="M55" i="1"/>
  <c r="V55" i="1"/>
  <c r="Z55" i="1"/>
  <c r="Z59" i="1"/>
  <c r="V59" i="1"/>
  <c r="M59" i="1"/>
  <c r="X59" i="1"/>
  <c r="Z63" i="1"/>
  <c r="M63" i="1"/>
  <c r="V63" i="1"/>
  <c r="X78" i="1"/>
  <c r="V78" i="1"/>
  <c r="M78" i="1"/>
  <c r="V26" i="1"/>
  <c r="Z26" i="1"/>
  <c r="M26" i="1"/>
  <c r="X31" i="1"/>
  <c r="V31" i="1"/>
  <c r="M31" i="1"/>
  <c r="Z320" i="1"/>
  <c r="M320" i="1"/>
  <c r="Z79" i="1"/>
  <c r="V79" i="1"/>
  <c r="M79" i="1"/>
  <c r="Z88" i="1"/>
  <c r="Z97" i="1"/>
  <c r="V97" i="1"/>
  <c r="M115" i="1"/>
  <c r="V115" i="1"/>
  <c r="X85" i="1"/>
  <c r="V85" i="1"/>
  <c r="Z85" i="1"/>
  <c r="M85" i="1"/>
  <c r="M87" i="1"/>
  <c r="V87" i="1"/>
  <c r="Z87" i="1"/>
  <c r="X94" i="1"/>
  <c r="V94" i="1"/>
  <c r="M94" i="1"/>
  <c r="M97" i="1"/>
  <c r="Z4" i="1"/>
  <c r="V4" i="1"/>
  <c r="M4" i="1"/>
  <c r="X7" i="1"/>
  <c r="V7" i="1"/>
  <c r="Z14" i="1"/>
  <c r="V14" i="1"/>
  <c r="M14" i="1"/>
  <c r="X17" i="1"/>
  <c r="Z17" i="1"/>
  <c r="X19" i="1"/>
  <c r="M19" i="1"/>
  <c r="X50" i="1"/>
  <c r="V50" i="1"/>
  <c r="Z56" i="1"/>
  <c r="X67" i="1"/>
  <c r="V67" i="1"/>
  <c r="M67" i="1"/>
  <c r="Z71" i="1"/>
  <c r="V71" i="1"/>
  <c r="Z91" i="1"/>
  <c r="V91" i="1"/>
  <c r="M91" i="1"/>
  <c r="X91" i="1"/>
  <c r="Z95" i="1"/>
  <c r="M95" i="1"/>
  <c r="M117" i="1"/>
  <c r="Z117" i="1"/>
  <c r="V117" i="1"/>
  <c r="M119" i="1"/>
  <c r="V119" i="1"/>
  <c r="M123" i="1"/>
  <c r="V123" i="1"/>
  <c r="Z107" i="1"/>
  <c r="V107" i="1"/>
  <c r="V150" i="1"/>
  <c r="M150" i="1"/>
  <c r="X113" i="1"/>
  <c r="V113" i="1"/>
  <c r="Z113" i="1"/>
  <c r="M113" i="1"/>
  <c r="Z8" i="1"/>
  <c r="V8" i="1"/>
  <c r="M8" i="1"/>
  <c r="X8" i="1"/>
  <c r="Z16" i="1"/>
  <c r="V16" i="1"/>
  <c r="M16" i="1"/>
  <c r="X16" i="1"/>
  <c r="Z23" i="1"/>
  <c r="V23" i="1"/>
  <c r="M23" i="1"/>
  <c r="X23" i="1"/>
  <c r="Z40" i="1"/>
  <c r="X45" i="1"/>
  <c r="X319" i="1"/>
  <c r="V319" i="1"/>
  <c r="M319" i="1"/>
  <c r="X320" i="1"/>
  <c r="Z49" i="1"/>
  <c r="V49" i="1"/>
  <c r="M49" i="1"/>
  <c r="X51" i="1"/>
  <c r="X55" i="1"/>
  <c r="Z65" i="1"/>
  <c r="X65" i="1"/>
  <c r="V75" i="1"/>
  <c r="M75" i="1"/>
  <c r="Z105" i="1"/>
  <c r="M105" i="1"/>
  <c r="M125" i="1"/>
  <c r="Z125" i="1"/>
  <c r="V125" i="1"/>
  <c r="M127" i="1"/>
  <c r="V127" i="1"/>
  <c r="X133" i="1"/>
  <c r="M133" i="1"/>
  <c r="V133" i="1"/>
  <c r="X62" i="1"/>
  <c r="V62" i="1"/>
  <c r="M62" i="1"/>
  <c r="X63" i="1"/>
  <c r="X71" i="1"/>
  <c r="X107" i="1"/>
  <c r="X117" i="1"/>
  <c r="X26" i="1"/>
  <c r="Z73" i="1"/>
  <c r="X73" i="1"/>
  <c r="X97" i="1"/>
  <c r="Z109" i="1"/>
  <c r="M121" i="1"/>
  <c r="Z121" i="1"/>
  <c r="M129" i="1"/>
  <c r="Z129" i="1"/>
  <c r="X137" i="1"/>
  <c r="M137" i="1"/>
  <c r="X139" i="1"/>
  <c r="Z139" i="1"/>
  <c r="M139" i="1"/>
  <c r="X140" i="1"/>
  <c r="X147" i="1"/>
  <c r="Z147" i="1"/>
  <c r="M147" i="1"/>
  <c r="Z175" i="1"/>
  <c r="M175" i="1"/>
  <c r="Z131" i="1"/>
  <c r="Z183" i="1"/>
  <c r="M183" i="1"/>
  <c r="X29" i="1"/>
  <c r="X33" i="1"/>
  <c r="X34" i="1"/>
  <c r="X36" i="1"/>
  <c r="X41" i="1"/>
  <c r="X42" i="1"/>
  <c r="X44" i="1"/>
  <c r="X46" i="1"/>
  <c r="X52" i="1"/>
  <c r="X60" i="1"/>
  <c r="X68" i="1"/>
  <c r="X76" i="1"/>
  <c r="X86" i="1"/>
  <c r="V86" i="1"/>
  <c r="M86" i="1"/>
  <c r="X87" i="1"/>
  <c r="Z103" i="1"/>
  <c r="X103" i="1"/>
  <c r="X114" i="1"/>
  <c r="V114" i="1"/>
  <c r="M114" i="1"/>
  <c r="X115" i="1"/>
  <c r="X119" i="1"/>
  <c r="X123" i="1"/>
  <c r="X127" i="1"/>
  <c r="X131" i="1"/>
  <c r="V183" i="1"/>
  <c r="X155" i="1"/>
  <c r="X161" i="1"/>
  <c r="Z162" i="1"/>
  <c r="V175" i="1"/>
  <c r="V199" i="1"/>
  <c r="Z263" i="1"/>
  <c r="X75" i="1"/>
  <c r="X84" i="1"/>
  <c r="X92" i="1"/>
  <c r="X100" i="1"/>
  <c r="X110" i="1"/>
  <c r="X111" i="1"/>
  <c r="Z133" i="1"/>
  <c r="X144" i="1"/>
  <c r="X145" i="1"/>
  <c r="V147" i="1"/>
  <c r="X149" i="1"/>
  <c r="X152" i="1"/>
  <c r="M162" i="1"/>
  <c r="V167" i="1"/>
  <c r="V215" i="1"/>
  <c r="Z249" i="1"/>
  <c r="V267" i="1"/>
  <c r="Z287" i="1"/>
  <c r="X35" i="1"/>
  <c r="V35" i="1"/>
  <c r="M35" i="1"/>
  <c r="Z37" i="1"/>
  <c r="Z47" i="1"/>
  <c r="X64" i="1"/>
  <c r="V64" i="1"/>
  <c r="M64" i="1"/>
  <c r="Z66" i="1"/>
  <c r="Z76" i="1"/>
  <c r="X96" i="1"/>
  <c r="V96" i="1"/>
  <c r="M96" i="1"/>
  <c r="Z98" i="1"/>
  <c r="Z108" i="1"/>
  <c r="Z154" i="1"/>
  <c r="M154" i="1"/>
  <c r="Z35" i="1"/>
  <c r="M37" i="1"/>
  <c r="V37" i="1"/>
  <c r="X43" i="1"/>
  <c r="V43" i="1"/>
  <c r="M43" i="1"/>
  <c r="Z45" i="1"/>
  <c r="M47" i="1"/>
  <c r="V47" i="1"/>
  <c r="Z52" i="1"/>
  <c r="Z64" i="1"/>
  <c r="M66" i="1"/>
  <c r="V66" i="1"/>
  <c r="X72" i="1"/>
  <c r="V72" i="1"/>
  <c r="M72" i="1"/>
  <c r="Z74" i="1"/>
  <c r="M76" i="1"/>
  <c r="V76" i="1"/>
  <c r="Z84" i="1"/>
  <c r="Z96" i="1"/>
  <c r="M98" i="1"/>
  <c r="V98" i="1"/>
  <c r="X104" i="1"/>
  <c r="V104" i="1"/>
  <c r="M104" i="1"/>
  <c r="Z106" i="1"/>
  <c r="M108" i="1"/>
  <c r="V108" i="1"/>
  <c r="X143" i="1"/>
  <c r="V143" i="1"/>
  <c r="M143" i="1"/>
  <c r="Z143" i="1"/>
  <c r="V154" i="1"/>
  <c r="Z31" i="1"/>
  <c r="Z43" i="1"/>
  <c r="M45" i="1"/>
  <c r="V45" i="1"/>
  <c r="X48" i="1"/>
  <c r="V48" i="1"/>
  <c r="M48" i="1"/>
  <c r="Z50" i="1"/>
  <c r="M52" i="1"/>
  <c r="V52" i="1"/>
  <c r="Z60" i="1"/>
  <c r="Z72" i="1"/>
  <c r="M74" i="1"/>
  <c r="V74" i="1"/>
  <c r="X80" i="1"/>
  <c r="V80" i="1"/>
  <c r="M80" i="1"/>
  <c r="Z82" i="1"/>
  <c r="M84" i="1"/>
  <c r="V84" i="1"/>
  <c r="Z92" i="1"/>
  <c r="Z104" i="1"/>
  <c r="M106" i="1"/>
  <c r="V106" i="1"/>
  <c r="X112" i="1"/>
  <c r="V112" i="1"/>
  <c r="M112" i="1"/>
  <c r="Z114" i="1"/>
  <c r="X148" i="1"/>
  <c r="X27" i="1"/>
  <c r="V27" i="1"/>
  <c r="M27" i="1"/>
  <c r="Z29" i="1"/>
  <c r="Z39" i="1"/>
  <c r="X56" i="1"/>
  <c r="V56" i="1"/>
  <c r="M56" i="1"/>
  <c r="Z58" i="1"/>
  <c r="Z68" i="1"/>
  <c r="X88" i="1"/>
  <c r="V88" i="1"/>
  <c r="M88" i="1"/>
  <c r="Z90" i="1"/>
  <c r="Z100" i="1"/>
  <c r="X116" i="1"/>
  <c r="Z116" i="1"/>
  <c r="V116" i="1"/>
  <c r="M116" i="1"/>
  <c r="X118" i="1"/>
  <c r="Z118" i="1"/>
  <c r="V118" i="1"/>
  <c r="M118" i="1"/>
  <c r="X120" i="1"/>
  <c r="Z120" i="1"/>
  <c r="V120" i="1"/>
  <c r="M120" i="1"/>
  <c r="X122" i="1"/>
  <c r="Z122" i="1"/>
  <c r="V122" i="1"/>
  <c r="M122" i="1"/>
  <c r="X124" i="1"/>
  <c r="Z124" i="1"/>
  <c r="V124" i="1"/>
  <c r="M124" i="1"/>
  <c r="X126" i="1"/>
  <c r="Z126" i="1"/>
  <c r="V126" i="1"/>
  <c r="M126" i="1"/>
  <c r="X128" i="1"/>
  <c r="Z128" i="1"/>
  <c r="V128" i="1"/>
  <c r="M128" i="1"/>
  <c r="X130" i="1"/>
  <c r="Z130" i="1"/>
  <c r="V130" i="1"/>
  <c r="M130" i="1"/>
  <c r="X132" i="1"/>
  <c r="Z132" i="1"/>
  <c r="V132" i="1"/>
  <c r="M132" i="1"/>
  <c r="Z33" i="1"/>
  <c r="Z41" i="1"/>
  <c r="Z319" i="1"/>
  <c r="Z54" i="1"/>
  <c r="Z62" i="1"/>
  <c r="Z70" i="1"/>
  <c r="Z78" i="1"/>
  <c r="Z86" i="1"/>
  <c r="Z94" i="1"/>
  <c r="Z102" i="1"/>
  <c r="Z110" i="1"/>
  <c r="X135" i="1"/>
  <c r="V135" i="1"/>
  <c r="M135" i="1"/>
  <c r="Z135" i="1"/>
  <c r="X159" i="1"/>
  <c r="Z156" i="1"/>
  <c r="V191" i="1"/>
  <c r="V223" i="1"/>
  <c r="Z137" i="1"/>
  <c r="Z145" i="1"/>
  <c r="V162" i="1"/>
  <c r="Z243" i="1"/>
  <c r="Z134" i="1"/>
  <c r="V134" i="1"/>
  <c r="M134" i="1"/>
  <c r="Z136" i="1"/>
  <c r="V136" i="1"/>
  <c r="M136" i="1"/>
  <c r="Z138" i="1"/>
  <c r="V138" i="1"/>
  <c r="M138" i="1"/>
  <c r="Z140" i="1"/>
  <c r="V140" i="1"/>
  <c r="M140" i="1"/>
  <c r="Z142" i="1"/>
  <c r="V142" i="1"/>
  <c r="M142" i="1"/>
  <c r="Z144" i="1"/>
  <c r="V144" i="1"/>
  <c r="M144" i="1"/>
  <c r="Z146" i="1"/>
  <c r="V146" i="1"/>
  <c r="M146" i="1"/>
  <c r="Z148" i="1"/>
  <c r="V148" i="1"/>
  <c r="M148" i="1"/>
  <c r="Z171" i="1"/>
  <c r="M171" i="1"/>
  <c r="Z179" i="1"/>
  <c r="M179" i="1"/>
  <c r="V187" i="1"/>
  <c r="M187" i="1"/>
  <c r="V195" i="1"/>
  <c r="M195" i="1"/>
  <c r="V203" i="1"/>
  <c r="M203" i="1"/>
  <c r="V211" i="1"/>
  <c r="M211" i="1"/>
  <c r="V219" i="1"/>
  <c r="M219" i="1"/>
  <c r="M277" i="1"/>
  <c r="Z277" i="1"/>
  <c r="Z150" i="1"/>
  <c r="X157" i="1"/>
  <c r="Z158" i="1"/>
  <c r="Z167" i="1"/>
  <c r="V171" i="1"/>
  <c r="V179" i="1"/>
  <c r="Z239" i="1"/>
  <c r="Z247" i="1"/>
  <c r="V269" i="1"/>
  <c r="Z289" i="1"/>
  <c r="V152" i="1"/>
  <c r="Z152" i="1"/>
  <c r="M152" i="1"/>
  <c r="V160" i="1"/>
  <c r="Z160" i="1"/>
  <c r="M160" i="1"/>
  <c r="M177" i="1"/>
  <c r="Z177" i="1"/>
  <c r="Z163" i="1"/>
  <c r="Z185" i="1"/>
  <c r="Z193" i="1"/>
  <c r="Z201" i="1"/>
  <c r="Z209" i="1"/>
  <c r="Z217" i="1"/>
  <c r="Z225" i="1"/>
  <c r="V279" i="1"/>
  <c r="X154" i="1"/>
  <c r="V156" i="1"/>
  <c r="X162" i="1"/>
  <c r="V169" i="1"/>
  <c r="V177" i="1"/>
  <c r="V185" i="1"/>
  <c r="Z187" i="1"/>
  <c r="V193" i="1"/>
  <c r="Z195" i="1"/>
  <c r="V201" i="1"/>
  <c r="Z203" i="1"/>
  <c r="V209" i="1"/>
  <c r="Z211" i="1"/>
  <c r="V217" i="1"/>
  <c r="Z219" i="1"/>
  <c r="V225" i="1"/>
  <c r="Z227" i="1"/>
  <c r="V233" i="1"/>
  <c r="M239" i="1"/>
  <c r="V239" i="1"/>
  <c r="V257" i="1"/>
  <c r="V259" i="1"/>
  <c r="M261" i="1"/>
  <c r="M263" i="1"/>
  <c r="V263" i="1"/>
  <c r="V283" i="1"/>
  <c r="V285" i="1"/>
  <c r="M287" i="1"/>
  <c r="V287" i="1"/>
  <c r="X313" i="1"/>
  <c r="X334" i="1"/>
  <c r="V343" i="1"/>
  <c r="X156" i="1"/>
  <c r="Z165" i="1"/>
  <c r="Z173" i="1"/>
  <c r="Z181" i="1"/>
  <c r="Z189" i="1"/>
  <c r="Z197" i="1"/>
  <c r="Z205" i="1"/>
  <c r="Z213" i="1"/>
  <c r="Z221" i="1"/>
  <c r="X150" i="1"/>
  <c r="X158" i="1"/>
  <c r="V165" i="1"/>
  <c r="V173" i="1"/>
  <c r="V181" i="1"/>
  <c r="V189" i="1"/>
  <c r="Z191" i="1"/>
  <c r="V197" i="1"/>
  <c r="Z199" i="1"/>
  <c r="V205" i="1"/>
  <c r="Z207" i="1"/>
  <c r="V213" i="1"/>
  <c r="Z215" i="1"/>
  <c r="V221" i="1"/>
  <c r="Z223" i="1"/>
  <c r="M243" i="1"/>
  <c r="V243" i="1"/>
  <c r="Z245" i="1"/>
  <c r="V251" i="1"/>
  <c r="V253" i="1"/>
  <c r="Z257" i="1"/>
  <c r="Z271" i="1"/>
  <c r="V275" i="1"/>
  <c r="Z283" i="1"/>
  <c r="Z285" i="1"/>
  <c r="X345" i="1"/>
  <c r="Z149" i="1"/>
  <c r="V149" i="1"/>
  <c r="Z151" i="1"/>
  <c r="V151" i="1"/>
  <c r="M151" i="1"/>
  <c r="Z153" i="1"/>
  <c r="V153" i="1"/>
  <c r="M153" i="1"/>
  <c r="Z155" i="1"/>
  <c r="V155" i="1"/>
  <c r="M155" i="1"/>
  <c r="Z157" i="1"/>
  <c r="V157" i="1"/>
  <c r="M157" i="1"/>
  <c r="Z159" i="1"/>
  <c r="V159" i="1"/>
  <c r="M159" i="1"/>
  <c r="Z161" i="1"/>
  <c r="V161" i="1"/>
  <c r="M161" i="1"/>
  <c r="V163" i="1"/>
  <c r="M163" i="1"/>
  <c r="Z231" i="1"/>
  <c r="V231" i="1"/>
  <c r="M241" i="1"/>
  <c r="V241" i="1"/>
  <c r="V245" i="1"/>
  <c r="M245" i="1"/>
  <c r="M279" i="1"/>
  <c r="Z279" i="1"/>
  <c r="Z226" i="1"/>
  <c r="X227" i="1"/>
  <c r="V247" i="1"/>
  <c r="Z251" i="1"/>
  <c r="Z253" i="1"/>
  <c r="Z255" i="1"/>
  <c r="Z265" i="1"/>
  <c r="Z273" i="1"/>
  <c r="V289" i="1"/>
  <c r="X163" i="1"/>
  <c r="X165" i="1"/>
  <c r="X167" i="1"/>
  <c r="X169" i="1"/>
  <c r="X171" i="1"/>
  <c r="X173" i="1"/>
  <c r="X175" i="1"/>
  <c r="X177" i="1"/>
  <c r="X179" i="1"/>
  <c r="X181" i="1"/>
  <c r="X183" i="1"/>
  <c r="X185" i="1"/>
  <c r="Z229" i="1"/>
  <c r="V229" i="1"/>
  <c r="V249" i="1"/>
  <c r="V255" i="1"/>
  <c r="Z259" i="1"/>
  <c r="Z267" i="1"/>
  <c r="Z275" i="1"/>
  <c r="X282" i="1"/>
  <c r="Z241" i="1"/>
  <c r="V265" i="1"/>
  <c r="M265" i="1"/>
  <c r="V273" i="1"/>
  <c r="M273" i="1"/>
  <c r="M281" i="1"/>
  <c r="Z281" i="1"/>
  <c r="V281" i="1"/>
  <c r="X332" i="1"/>
  <c r="X187" i="1"/>
  <c r="X189" i="1"/>
  <c r="X191" i="1"/>
  <c r="X193" i="1"/>
  <c r="X195" i="1"/>
  <c r="X197" i="1"/>
  <c r="X199" i="1"/>
  <c r="X201" i="1"/>
  <c r="X203" i="1"/>
  <c r="X205" i="1"/>
  <c r="X207" i="1"/>
  <c r="X209" i="1"/>
  <c r="X211" i="1"/>
  <c r="X213" i="1"/>
  <c r="X215" i="1"/>
  <c r="X217" i="1"/>
  <c r="X219" i="1"/>
  <c r="X221" i="1"/>
  <c r="X223" i="1"/>
  <c r="X225" i="1"/>
  <c r="Z235" i="1"/>
  <c r="V277" i="1"/>
  <c r="Z261" i="1"/>
  <c r="Z269" i="1"/>
  <c r="Z291" i="1"/>
  <c r="X293" i="1"/>
  <c r="V299" i="1"/>
  <c r="X323" i="1"/>
  <c r="Z324" i="1"/>
  <c r="X344" i="1"/>
  <c r="Z170" i="1"/>
  <c r="V170" i="1"/>
  <c r="M170" i="1"/>
  <c r="X170" i="1"/>
  <c r="Z178" i="1"/>
  <c r="V178" i="1"/>
  <c r="M178" i="1"/>
  <c r="X178" i="1"/>
  <c r="Z186" i="1"/>
  <c r="V186" i="1"/>
  <c r="M186" i="1"/>
  <c r="X186" i="1"/>
  <c r="Z222" i="1"/>
  <c r="V222" i="1"/>
  <c r="M222" i="1"/>
  <c r="X222" i="1"/>
  <c r="Z164" i="1"/>
  <c r="V164" i="1"/>
  <c r="M164" i="1"/>
  <c r="X164" i="1"/>
  <c r="Z172" i="1"/>
  <c r="V172" i="1"/>
  <c r="M172" i="1"/>
  <c r="X172" i="1"/>
  <c r="Z180" i="1"/>
  <c r="V180" i="1"/>
  <c r="M180" i="1"/>
  <c r="X180" i="1"/>
  <c r="Z188" i="1"/>
  <c r="V188" i="1"/>
  <c r="M188" i="1"/>
  <c r="X188" i="1"/>
  <c r="Z166" i="1"/>
  <c r="V166" i="1"/>
  <c r="M166" i="1"/>
  <c r="X166" i="1"/>
  <c r="Z174" i="1"/>
  <c r="V174" i="1"/>
  <c r="M174" i="1"/>
  <c r="X174" i="1"/>
  <c r="Z182" i="1"/>
  <c r="V182" i="1"/>
  <c r="M182" i="1"/>
  <c r="X182" i="1"/>
  <c r="Z190" i="1"/>
  <c r="V190" i="1"/>
  <c r="M190" i="1"/>
  <c r="X190" i="1"/>
  <c r="Z168" i="1"/>
  <c r="V168" i="1"/>
  <c r="M168" i="1"/>
  <c r="X168" i="1"/>
  <c r="Z176" i="1"/>
  <c r="V176" i="1"/>
  <c r="M176" i="1"/>
  <c r="X176" i="1"/>
  <c r="Z184" i="1"/>
  <c r="V184" i="1"/>
  <c r="M184" i="1"/>
  <c r="X184" i="1"/>
  <c r="X192" i="1"/>
  <c r="Z192" i="1"/>
  <c r="V192" i="1"/>
  <c r="M192" i="1"/>
  <c r="X194" i="1"/>
  <c r="Z194" i="1"/>
  <c r="V194" i="1"/>
  <c r="M194" i="1"/>
  <c r="X196" i="1"/>
  <c r="Z196" i="1"/>
  <c r="V196" i="1"/>
  <c r="M196" i="1"/>
  <c r="X198" i="1"/>
  <c r="Z198" i="1"/>
  <c r="V198" i="1"/>
  <c r="M198" i="1"/>
  <c r="X200" i="1"/>
  <c r="Z200" i="1"/>
  <c r="V200" i="1"/>
  <c r="M200" i="1"/>
  <c r="X202" i="1"/>
  <c r="Z202" i="1"/>
  <c r="V202" i="1"/>
  <c r="M202" i="1"/>
  <c r="X204" i="1"/>
  <c r="Z204" i="1"/>
  <c r="V204" i="1"/>
  <c r="M204" i="1"/>
  <c r="X206" i="1"/>
  <c r="Z206" i="1"/>
  <c r="V206" i="1"/>
  <c r="M206" i="1"/>
  <c r="X208" i="1"/>
  <c r="Z208" i="1"/>
  <c r="V208" i="1"/>
  <c r="M208" i="1"/>
  <c r="X210" i="1"/>
  <c r="Z210" i="1"/>
  <c r="V210" i="1"/>
  <c r="M210" i="1"/>
  <c r="Z214" i="1"/>
  <c r="V214" i="1"/>
  <c r="M214" i="1"/>
  <c r="X214" i="1"/>
  <c r="Z216" i="1"/>
  <c r="V216" i="1"/>
  <c r="M216" i="1"/>
  <c r="X216" i="1"/>
  <c r="X224" i="1"/>
  <c r="Z224" i="1"/>
  <c r="V224" i="1"/>
  <c r="M224" i="1"/>
  <c r="X226" i="1"/>
  <c r="V226" i="1"/>
  <c r="M226" i="1"/>
  <c r="X312" i="1"/>
  <c r="V312" i="1"/>
  <c r="X347" i="1"/>
  <c r="V347" i="1"/>
  <c r="Z218" i="1"/>
  <c r="V218" i="1"/>
  <c r="M218" i="1"/>
  <c r="X218" i="1"/>
  <c r="Z212" i="1"/>
  <c r="V212" i="1"/>
  <c r="M212" i="1"/>
  <c r="X212" i="1"/>
  <c r="Z220" i="1"/>
  <c r="V220" i="1"/>
  <c r="M220" i="1"/>
  <c r="X220" i="1"/>
  <c r="X229" i="1"/>
  <c r="X231" i="1"/>
  <c r="X233" i="1"/>
  <c r="X235" i="1"/>
  <c r="M227" i="1"/>
  <c r="V227" i="1"/>
  <c r="M229" i="1"/>
  <c r="M231" i="1"/>
  <c r="M233" i="1"/>
  <c r="M235" i="1"/>
  <c r="M237" i="1"/>
  <c r="Z237" i="1"/>
  <c r="Z293" i="1"/>
  <c r="X237" i="1"/>
  <c r="X239" i="1"/>
  <c r="X241" i="1"/>
  <c r="X243" i="1"/>
  <c r="X245" i="1"/>
  <c r="X247" i="1"/>
  <c r="X249" i="1"/>
  <c r="X251" i="1"/>
  <c r="X253" i="1"/>
  <c r="X255" i="1"/>
  <c r="X257" i="1"/>
  <c r="X259" i="1"/>
  <c r="X261" i="1"/>
  <c r="X263" i="1"/>
  <c r="X265" i="1"/>
  <c r="X267" i="1"/>
  <c r="X269" i="1"/>
  <c r="X271" i="1"/>
  <c r="X273" i="1"/>
  <c r="X275" i="1"/>
  <c r="X277" i="1"/>
  <c r="X279" i="1"/>
  <c r="X281" i="1"/>
  <c r="X339" i="1"/>
  <c r="Z351" i="1"/>
  <c r="X353" i="1"/>
  <c r="Z354" i="1"/>
  <c r="X283" i="1"/>
  <c r="X285" i="1"/>
  <c r="X287" i="1"/>
  <c r="X289" i="1"/>
  <c r="X301" i="1"/>
  <c r="Z314" i="1"/>
  <c r="V339" i="1"/>
  <c r="V351" i="1"/>
  <c r="X228" i="1"/>
  <c r="Z228" i="1"/>
  <c r="V228" i="1"/>
  <c r="X230" i="1"/>
  <c r="Z230" i="1"/>
  <c r="V230" i="1"/>
  <c r="M230" i="1"/>
  <c r="X232" i="1"/>
  <c r="Z232" i="1"/>
  <c r="V232" i="1"/>
  <c r="M232" i="1"/>
  <c r="X234" i="1"/>
  <c r="Z234" i="1"/>
  <c r="V234" i="1"/>
  <c r="M234" i="1"/>
  <c r="X236" i="1"/>
  <c r="Z236" i="1"/>
  <c r="V236" i="1"/>
  <c r="M236" i="1"/>
  <c r="X238" i="1"/>
  <c r="Z238" i="1"/>
  <c r="V238" i="1"/>
  <c r="M238" i="1"/>
  <c r="X240" i="1"/>
  <c r="Z240" i="1"/>
  <c r="V240" i="1"/>
  <c r="M240" i="1"/>
  <c r="X242" i="1"/>
  <c r="Z242" i="1"/>
  <c r="V242" i="1"/>
  <c r="M242" i="1"/>
  <c r="X244" i="1"/>
  <c r="Z244" i="1"/>
  <c r="V244" i="1"/>
  <c r="M244" i="1"/>
  <c r="X246" i="1"/>
  <c r="Z246" i="1"/>
  <c r="V246" i="1"/>
  <c r="M246" i="1"/>
  <c r="X248" i="1"/>
  <c r="Z248" i="1"/>
  <c r="V248" i="1"/>
  <c r="M248" i="1"/>
  <c r="X250" i="1"/>
  <c r="Z250" i="1"/>
  <c r="V250" i="1"/>
  <c r="M250" i="1"/>
  <c r="X252" i="1"/>
  <c r="Z252" i="1"/>
  <c r="V252" i="1"/>
  <c r="M252" i="1"/>
  <c r="X254" i="1"/>
  <c r="Z254" i="1"/>
  <c r="V254" i="1"/>
  <c r="M254" i="1"/>
  <c r="X256" i="1"/>
  <c r="Z256" i="1"/>
  <c r="V256" i="1"/>
  <c r="M256" i="1"/>
  <c r="X258" i="1"/>
  <c r="Z258" i="1"/>
  <c r="V258" i="1"/>
  <c r="M258" i="1"/>
  <c r="X260" i="1"/>
  <c r="Z260" i="1"/>
  <c r="V260" i="1"/>
  <c r="M260" i="1"/>
  <c r="X262" i="1"/>
  <c r="Z262" i="1"/>
  <c r="V262" i="1"/>
  <c r="M262" i="1"/>
  <c r="X264" i="1"/>
  <c r="Z264" i="1"/>
  <c r="V264" i="1"/>
  <c r="M264" i="1"/>
  <c r="X266" i="1"/>
  <c r="Z266" i="1"/>
  <c r="V266" i="1"/>
  <c r="M266" i="1"/>
  <c r="X268" i="1"/>
  <c r="Z268" i="1"/>
  <c r="V268" i="1"/>
  <c r="M268" i="1"/>
  <c r="X270" i="1"/>
  <c r="Z270" i="1"/>
  <c r="V270" i="1"/>
  <c r="M270" i="1"/>
  <c r="X272" i="1"/>
  <c r="Z272" i="1"/>
  <c r="V272" i="1"/>
  <c r="M272" i="1"/>
  <c r="X274" i="1"/>
  <c r="Z274" i="1"/>
  <c r="V274" i="1"/>
  <c r="M274" i="1"/>
  <c r="Z282" i="1"/>
  <c r="V282" i="1"/>
  <c r="M282" i="1"/>
  <c r="X326" i="1"/>
  <c r="M326" i="1"/>
  <c r="Z276" i="1"/>
  <c r="V276" i="1"/>
  <c r="M276" i="1"/>
  <c r="X276" i="1"/>
  <c r="Z284" i="1"/>
  <c r="V284" i="1"/>
  <c r="M284" i="1"/>
  <c r="X284" i="1"/>
  <c r="X291" i="1"/>
  <c r="V291" i="1"/>
  <c r="X303" i="1"/>
  <c r="V303" i="1"/>
  <c r="M303" i="1"/>
  <c r="V322" i="1"/>
  <c r="X324" i="1"/>
  <c r="V324" i="1"/>
  <c r="Z333" i="1"/>
  <c r="Z278" i="1"/>
  <c r="V278" i="1"/>
  <c r="M278" i="1"/>
  <c r="X278" i="1"/>
  <c r="Z286" i="1"/>
  <c r="V286" i="1"/>
  <c r="M286" i="1"/>
  <c r="X286" i="1"/>
  <c r="M291" i="1"/>
  <c r="X314" i="1"/>
  <c r="M314" i="1"/>
  <c r="Z280" i="1"/>
  <c r="V280" i="1"/>
  <c r="M280" i="1"/>
  <c r="X280" i="1"/>
  <c r="Z288" i="1"/>
  <c r="V288" i="1"/>
  <c r="M288" i="1"/>
  <c r="X288" i="1"/>
  <c r="Z326" i="1"/>
  <c r="V331" i="1"/>
  <c r="X290" i="1"/>
  <c r="X295" i="1"/>
  <c r="X305" i="1"/>
  <c r="X307" i="1"/>
  <c r="Z307" i="1"/>
  <c r="V314" i="1"/>
  <c r="V326" i="1"/>
  <c r="X335" i="1"/>
  <c r="Z335" i="1"/>
  <c r="Z345" i="1"/>
  <c r="Z353" i="1"/>
  <c r="M295" i="1"/>
  <c r="X297" i="1"/>
  <c r="X299" i="1"/>
  <c r="Z299" i="1"/>
  <c r="M307" i="1"/>
  <c r="X354" i="1"/>
  <c r="Z301" i="1"/>
  <c r="V310" i="1"/>
  <c r="Z312" i="1"/>
  <c r="V330" i="1"/>
  <c r="V335" i="1"/>
  <c r="M339" i="1"/>
  <c r="X343" i="1"/>
  <c r="Z343" i="1"/>
  <c r="M347" i="1"/>
  <c r="X351" i="1"/>
  <c r="Z292" i="1"/>
  <c r="V292" i="1"/>
  <c r="M292" i="1"/>
  <c r="X292" i="1"/>
  <c r="Z300" i="1"/>
  <c r="V300" i="1"/>
  <c r="M300" i="1"/>
  <c r="X300" i="1"/>
  <c r="X308" i="1"/>
  <c r="V308" i="1"/>
  <c r="M308" i="1"/>
  <c r="Z311" i="1"/>
  <c r="V311" i="1"/>
  <c r="M311" i="1"/>
  <c r="Z325" i="1"/>
  <c r="V325" i="1"/>
  <c r="M325" i="1"/>
  <c r="Z336" i="1"/>
  <c r="V336" i="1"/>
  <c r="M336" i="1"/>
  <c r="X336" i="1"/>
  <c r="X337" i="1"/>
  <c r="V337" i="1"/>
  <c r="M337" i="1"/>
  <c r="Z337" i="1"/>
  <c r="Z290" i="1"/>
  <c r="V290" i="1"/>
  <c r="V293" i="1"/>
  <c r="Z294" i="1"/>
  <c r="V294" i="1"/>
  <c r="M294" i="1"/>
  <c r="X294" i="1"/>
  <c r="Z295" i="1"/>
  <c r="M297" i="1"/>
  <c r="V301" i="1"/>
  <c r="Z302" i="1"/>
  <c r="V302" i="1"/>
  <c r="M302" i="1"/>
  <c r="X302" i="1"/>
  <c r="Z303" i="1"/>
  <c r="M305" i="1"/>
  <c r="Z308" i="1"/>
  <c r="X322" i="1"/>
  <c r="M322" i="1"/>
  <c r="Z322" i="1"/>
  <c r="X328" i="1"/>
  <c r="Z328" i="1"/>
  <c r="V328" i="1"/>
  <c r="Z332" i="1"/>
  <c r="V332" i="1"/>
  <c r="M332" i="1"/>
  <c r="Z296" i="1"/>
  <c r="V296" i="1"/>
  <c r="M296" i="1"/>
  <c r="X296" i="1"/>
  <c r="Z297" i="1"/>
  <c r="Z304" i="1"/>
  <c r="V304" i="1"/>
  <c r="M304" i="1"/>
  <c r="X304" i="1"/>
  <c r="Z305" i="1"/>
  <c r="Z313" i="1"/>
  <c r="V313" i="1"/>
  <c r="M313" i="1"/>
  <c r="Z323" i="1"/>
  <c r="V323" i="1"/>
  <c r="M323" i="1"/>
  <c r="X325" i="1"/>
  <c r="Z334" i="1"/>
  <c r="V334" i="1"/>
  <c r="M334" i="1"/>
  <c r="X341" i="1"/>
  <c r="M341" i="1"/>
  <c r="V341" i="1"/>
  <c r="Z341" i="1"/>
  <c r="M293" i="1"/>
  <c r="V297" i="1"/>
  <c r="Z298" i="1"/>
  <c r="V298" i="1"/>
  <c r="M298" i="1"/>
  <c r="X298" i="1"/>
  <c r="M301" i="1"/>
  <c r="V305" i="1"/>
  <c r="Z306" i="1"/>
  <c r="V306" i="1"/>
  <c r="M306" i="1"/>
  <c r="X306" i="1"/>
  <c r="X310" i="1"/>
  <c r="M310" i="1"/>
  <c r="Z310" i="1"/>
  <c r="X311" i="1"/>
  <c r="X316" i="1"/>
  <c r="Z316" i="1"/>
  <c r="V316" i="1"/>
  <c r="Z330" i="1"/>
  <c r="X330" i="1"/>
  <c r="M330" i="1"/>
  <c r="Z309" i="1"/>
  <c r="V309" i="1"/>
  <c r="M309" i="1"/>
  <c r="X309" i="1"/>
  <c r="M312" i="1"/>
  <c r="Z321" i="1"/>
  <c r="V321" i="1"/>
  <c r="M321" i="1"/>
  <c r="X321" i="1"/>
  <c r="M324" i="1"/>
  <c r="Z329" i="1"/>
  <c r="V329" i="1"/>
  <c r="M329" i="1"/>
  <c r="X329" i="1"/>
  <c r="X331" i="1"/>
  <c r="Z331" i="1"/>
  <c r="X333" i="1"/>
  <c r="M333" i="1"/>
  <c r="Z340" i="1"/>
  <c r="V340" i="1"/>
  <c r="M340" i="1"/>
  <c r="Z352" i="1"/>
  <c r="V352" i="1"/>
  <c r="M352" i="1"/>
  <c r="X349" i="1"/>
  <c r="Z349" i="1"/>
  <c r="M349" i="1"/>
  <c r="V349" i="1"/>
  <c r="Z315" i="1"/>
  <c r="V315" i="1"/>
  <c r="M315" i="1"/>
  <c r="X315" i="1"/>
  <c r="Z327" i="1"/>
  <c r="V327" i="1"/>
  <c r="M327" i="1"/>
  <c r="X327" i="1"/>
  <c r="X340" i="1"/>
  <c r="Z344" i="1"/>
  <c r="V344" i="1"/>
  <c r="M344" i="1"/>
  <c r="X352" i="1"/>
  <c r="Z342" i="1"/>
  <c r="V342" i="1"/>
  <c r="M342" i="1"/>
  <c r="X342" i="1"/>
  <c r="M345" i="1"/>
  <c r="Z350" i="1"/>
  <c r="V350" i="1"/>
  <c r="M350" i="1"/>
  <c r="X350" i="1"/>
  <c r="M353" i="1"/>
  <c r="Z338" i="1"/>
  <c r="V338" i="1"/>
  <c r="M338" i="1"/>
  <c r="X338" i="1"/>
  <c r="Z339" i="1"/>
  <c r="V345" i="1"/>
  <c r="Z346" i="1"/>
  <c r="V346" i="1"/>
  <c r="M346" i="1"/>
  <c r="X346" i="1"/>
  <c r="Z347" i="1"/>
  <c r="V353" i="1"/>
  <c r="Z348" i="1"/>
  <c r="V348" i="1"/>
  <c r="M348" i="1"/>
  <c r="X348" i="1"/>
  <c r="M354" i="1"/>
  <c r="V354" i="1"/>
  <c r="R8" i="16" l="1"/>
  <c r="AG149" i="17"/>
  <c r="Q8" i="16"/>
  <c r="P8" i="16"/>
  <c r="O8" i="16"/>
  <c r="N8" i="16"/>
  <c r="R29" i="16" l="1"/>
  <c r="R31" i="16"/>
  <c r="R32" i="16"/>
  <c r="R30" i="16"/>
  <c r="R33" i="16"/>
  <c r="R35" i="16"/>
  <c r="R34" i="16"/>
  <c r="R36" i="16"/>
  <c r="R51" i="16"/>
  <c r="R52" i="16"/>
  <c r="N7" i="8"/>
  <c r="M7" i="8"/>
  <c r="L7" i="8"/>
  <c r="N54" i="6"/>
  <c r="N45" i="6"/>
  <c r="A35" i="16" l="1"/>
  <c r="A34" i="16"/>
  <c r="A33" i="16"/>
  <c r="A32" i="16"/>
  <c r="A30" i="16"/>
  <c r="A31" i="16"/>
  <c r="R57" i="16"/>
  <c r="Q57" i="16"/>
  <c r="P57" i="16"/>
  <c r="O57" i="16"/>
  <c r="N57" i="16"/>
  <c r="Q51" i="16"/>
  <c r="P51" i="16"/>
  <c r="O51" i="16"/>
  <c r="N46" i="16"/>
  <c r="AD132" i="17"/>
  <c r="AC132" i="17"/>
  <c r="AB132" i="17"/>
  <c r="N35" i="16"/>
  <c r="O35" i="16"/>
  <c r="P35" i="16"/>
  <c r="Q35" i="16"/>
  <c r="O36" i="16"/>
  <c r="P36" i="16"/>
  <c r="Q36" i="16"/>
  <c r="AC140" i="17"/>
  <c r="J34" i="16" s="1"/>
  <c r="AC150" i="17"/>
  <c r="J36" i="16" s="1"/>
  <c r="J101" i="16" s="1"/>
  <c r="AC151" i="17"/>
  <c r="AI266" i="17" l="1"/>
  <c r="AI267" i="17" s="1"/>
  <c r="AD140" i="17"/>
  <c r="AA164" i="17"/>
  <c r="AC155" i="17"/>
  <c r="AL149" i="17"/>
  <c r="U170" i="17"/>
  <c r="AA165" i="17"/>
  <c r="AC156" i="17"/>
  <c r="AN149" i="17"/>
  <c r="AA166" i="17"/>
  <c r="AM149" i="17"/>
  <c r="AA167" i="17"/>
  <c r="D36" i="16"/>
  <c r="AD151" i="17"/>
  <c r="AD150" i="17"/>
  <c r="I1803" i="18"/>
  <c r="H1803" i="18"/>
  <c r="I1802" i="18"/>
  <c r="H1802" i="18"/>
  <c r="I1801" i="18"/>
  <c r="H1801" i="18"/>
  <c r="F1801" i="18"/>
  <c r="I1800" i="18"/>
  <c r="H1800" i="18"/>
  <c r="I1799" i="18"/>
  <c r="H1799" i="18"/>
  <c r="I1798" i="18"/>
  <c r="H1798" i="18"/>
  <c r="I1797" i="18"/>
  <c r="H1797" i="18"/>
  <c r="I1796" i="18"/>
  <c r="H1796" i="18"/>
  <c r="I1795" i="18"/>
  <c r="H1795" i="18"/>
  <c r="H1794" i="18"/>
  <c r="F1794" i="18"/>
  <c r="E1794" i="18" s="1"/>
  <c r="I1793" i="18"/>
  <c r="H1793" i="18"/>
  <c r="I1792" i="18"/>
  <c r="H1792" i="18"/>
  <c r="I1791" i="18"/>
  <c r="H1791" i="18"/>
  <c r="I1790" i="18"/>
  <c r="H1790" i="18"/>
  <c r="I1789" i="18"/>
  <c r="H1789" i="18"/>
  <c r="I1788" i="18"/>
  <c r="H1788" i="18"/>
  <c r="I1787" i="18"/>
  <c r="H1787" i="18"/>
  <c r="I1786" i="18"/>
  <c r="H1786" i="18"/>
  <c r="I1785" i="18"/>
  <c r="H1785" i="18"/>
  <c r="I1784" i="18"/>
  <c r="H1784" i="18"/>
  <c r="I1783" i="18"/>
  <c r="H1783" i="18"/>
  <c r="I1782" i="18"/>
  <c r="H1782" i="18"/>
  <c r="I1781" i="18"/>
  <c r="H1781" i="18"/>
  <c r="I1780" i="18"/>
  <c r="H1780" i="18"/>
  <c r="I1779" i="18"/>
  <c r="H1779" i="18"/>
  <c r="I1778" i="18"/>
  <c r="H1778" i="18"/>
  <c r="I1777" i="18"/>
  <c r="H1777" i="18"/>
  <c r="I1776" i="18"/>
  <c r="H1776" i="18"/>
  <c r="I1775" i="18"/>
  <c r="H1775" i="18"/>
  <c r="I1774" i="18"/>
  <c r="H1774" i="18"/>
  <c r="I1773" i="18"/>
  <c r="H1773" i="18"/>
  <c r="I1772" i="18"/>
  <c r="H1772" i="18"/>
  <c r="I1771" i="18"/>
  <c r="H1771" i="18"/>
  <c r="I1770" i="18"/>
  <c r="H1770" i="18"/>
  <c r="I1769" i="18"/>
  <c r="H1769" i="18"/>
  <c r="I1768" i="18"/>
  <c r="H1768" i="18"/>
  <c r="I1767" i="18"/>
  <c r="H1767" i="18"/>
  <c r="I1766" i="18"/>
  <c r="H1766" i="18"/>
  <c r="I1765" i="18"/>
  <c r="H1765" i="18"/>
  <c r="I1764" i="18"/>
  <c r="H1764" i="18"/>
  <c r="I1763" i="18"/>
  <c r="H1763" i="18"/>
  <c r="I1762" i="18"/>
  <c r="H1762" i="18"/>
  <c r="I1761" i="18"/>
  <c r="H1761" i="18"/>
  <c r="I1760" i="18"/>
  <c r="H1760" i="18"/>
  <c r="I1759" i="18"/>
  <c r="H1759" i="18"/>
  <c r="I1758" i="18"/>
  <c r="H1758" i="18"/>
  <c r="I1757" i="18"/>
  <c r="H1757" i="18"/>
  <c r="I1756" i="18"/>
  <c r="H1756" i="18"/>
  <c r="I1755" i="18"/>
  <c r="D1755" i="18"/>
  <c r="H1755" i="18" s="1"/>
  <c r="I1754" i="18"/>
  <c r="H1754" i="18"/>
  <c r="I1753" i="18"/>
  <c r="H1753" i="18"/>
  <c r="I1752" i="18"/>
  <c r="H1752" i="18"/>
  <c r="I1751" i="18"/>
  <c r="H1751" i="18"/>
  <c r="I1750" i="18"/>
  <c r="H1750" i="18"/>
  <c r="I1749" i="18"/>
  <c r="H1749" i="18"/>
  <c r="I1748" i="18"/>
  <c r="H1748" i="18"/>
  <c r="I1747" i="18"/>
  <c r="H1747" i="18"/>
  <c r="I1746" i="18"/>
  <c r="H1746" i="18"/>
  <c r="I1745" i="18"/>
  <c r="H1745" i="18"/>
  <c r="I1744" i="18"/>
  <c r="H1744" i="18"/>
  <c r="I1743" i="18"/>
  <c r="H1743" i="18"/>
  <c r="I1742" i="18"/>
  <c r="H1742" i="18"/>
  <c r="I1741" i="18"/>
  <c r="H1741" i="18"/>
  <c r="I1740" i="18"/>
  <c r="H1740" i="18"/>
  <c r="I1739" i="18"/>
  <c r="H1739" i="18"/>
  <c r="I1738" i="18"/>
  <c r="H1738" i="18"/>
  <c r="I1737" i="18"/>
  <c r="H1737" i="18"/>
  <c r="I1736" i="18"/>
  <c r="H1736" i="18"/>
  <c r="I1735" i="18"/>
  <c r="H1735" i="18"/>
  <c r="I1734" i="18"/>
  <c r="H1734" i="18"/>
  <c r="I1733" i="18"/>
  <c r="H1733" i="18"/>
  <c r="I1732" i="18"/>
  <c r="H1732" i="18"/>
  <c r="I1731" i="18"/>
  <c r="H1731" i="18"/>
  <c r="I1730" i="18"/>
  <c r="H1730" i="18"/>
  <c r="I1729" i="18"/>
  <c r="H1729" i="18"/>
  <c r="I1728" i="18"/>
  <c r="H1728" i="18"/>
  <c r="I1727" i="18"/>
  <c r="H1727" i="18"/>
  <c r="I1726" i="18"/>
  <c r="H1726" i="18"/>
  <c r="I1725" i="18"/>
  <c r="H1725" i="18"/>
  <c r="I1724" i="18"/>
  <c r="H1724" i="18"/>
  <c r="I1723" i="18"/>
  <c r="H1723" i="18"/>
  <c r="I1722" i="18"/>
  <c r="H1722" i="18"/>
  <c r="I1721" i="18"/>
  <c r="H1721" i="18"/>
  <c r="I1720" i="18"/>
  <c r="H1720" i="18"/>
  <c r="I1719" i="18"/>
  <c r="H1719" i="18"/>
  <c r="I1718" i="18"/>
  <c r="H1718" i="18"/>
  <c r="I1717" i="18"/>
  <c r="H1717" i="18"/>
  <c r="I1716" i="18"/>
  <c r="H1716" i="18"/>
  <c r="I1715" i="18"/>
  <c r="H1715" i="18"/>
  <c r="I1714" i="18"/>
  <c r="H1714" i="18"/>
  <c r="I1713" i="18"/>
  <c r="H1713" i="18"/>
  <c r="I1712" i="18"/>
  <c r="H1712" i="18"/>
  <c r="I1711" i="18"/>
  <c r="H1711" i="18"/>
  <c r="I1710" i="18"/>
  <c r="H1710" i="18"/>
  <c r="I1709" i="18"/>
  <c r="H1709" i="18"/>
  <c r="I1708" i="18"/>
  <c r="H1708" i="18"/>
  <c r="I1707" i="18"/>
  <c r="H1707" i="18"/>
  <c r="I1706" i="18"/>
  <c r="H1706" i="18"/>
  <c r="I1705" i="18"/>
  <c r="H1705" i="18"/>
  <c r="I1704" i="18"/>
  <c r="H1704" i="18"/>
  <c r="I1703" i="18"/>
  <c r="H1703" i="18"/>
  <c r="I1702" i="18"/>
  <c r="H1702" i="18"/>
  <c r="I1701" i="18"/>
  <c r="H1701" i="18"/>
  <c r="I1700" i="18"/>
  <c r="H1700" i="18"/>
  <c r="I1699" i="18"/>
  <c r="H1699" i="18"/>
  <c r="I1698" i="18"/>
  <c r="H1698" i="18"/>
  <c r="I1697" i="18"/>
  <c r="H1697" i="18"/>
  <c r="I1696" i="18"/>
  <c r="H1696" i="18"/>
  <c r="I1695" i="18"/>
  <c r="H1695" i="18"/>
  <c r="I1694" i="18"/>
  <c r="H1694" i="18"/>
  <c r="I1693" i="18"/>
  <c r="H1693" i="18"/>
  <c r="I1692" i="18"/>
  <c r="H1692" i="18"/>
  <c r="I1691" i="18"/>
  <c r="H1691" i="18"/>
  <c r="I1690" i="18"/>
  <c r="H1690" i="18"/>
  <c r="I1689" i="18"/>
  <c r="H1689" i="18"/>
  <c r="I1688" i="18"/>
  <c r="H1688" i="18"/>
  <c r="I1687" i="18"/>
  <c r="H1687" i="18"/>
  <c r="I1686" i="18"/>
  <c r="H1686" i="18"/>
  <c r="I1685" i="18"/>
  <c r="H1685" i="18"/>
  <c r="I1684" i="18"/>
  <c r="H1684" i="18"/>
  <c r="I1683" i="18"/>
  <c r="H1683" i="18"/>
  <c r="I1682" i="18"/>
  <c r="H1682" i="18"/>
  <c r="I1681" i="18"/>
  <c r="H1681" i="18"/>
  <c r="I1680" i="18"/>
  <c r="H1680" i="18"/>
  <c r="I1679" i="18"/>
  <c r="H1679" i="18"/>
  <c r="I1678" i="18"/>
  <c r="H1678" i="18"/>
  <c r="I1677" i="18"/>
  <c r="H1677" i="18"/>
  <c r="I1676" i="18"/>
  <c r="H1676" i="18"/>
  <c r="I1675" i="18"/>
  <c r="H1675" i="18"/>
  <c r="I1674" i="18"/>
  <c r="H1674" i="18"/>
  <c r="I1673" i="18"/>
  <c r="H1673" i="18"/>
  <c r="I1672" i="18"/>
  <c r="H1672" i="18"/>
  <c r="I1671" i="18"/>
  <c r="H1671" i="18"/>
  <c r="I1670" i="18"/>
  <c r="H1670" i="18"/>
  <c r="I1669" i="18"/>
  <c r="H1669" i="18"/>
  <c r="I1668" i="18"/>
  <c r="H1668" i="18"/>
  <c r="I1667" i="18"/>
  <c r="H1667" i="18"/>
  <c r="I1666" i="18"/>
  <c r="H1666" i="18"/>
  <c r="I1665" i="18"/>
  <c r="H1665" i="18"/>
  <c r="I1664" i="18"/>
  <c r="H1664" i="18"/>
  <c r="I1663" i="18"/>
  <c r="H1663" i="18"/>
  <c r="I1662" i="18"/>
  <c r="H1662" i="18"/>
  <c r="I1661" i="18"/>
  <c r="H1661" i="18"/>
  <c r="I1660" i="18"/>
  <c r="H1660" i="18"/>
  <c r="I1659" i="18"/>
  <c r="H1659" i="18"/>
  <c r="I1658" i="18"/>
  <c r="H1658" i="18"/>
  <c r="I1657" i="18"/>
  <c r="H1657" i="18"/>
  <c r="I1656" i="18"/>
  <c r="H1656" i="18"/>
  <c r="I1655" i="18"/>
  <c r="H1655" i="18"/>
  <c r="I1654" i="18"/>
  <c r="H1654" i="18"/>
  <c r="I1653" i="18"/>
  <c r="H1653" i="18"/>
  <c r="I1652" i="18"/>
  <c r="H1652" i="18"/>
  <c r="I1651" i="18"/>
  <c r="H1651" i="18"/>
  <c r="I1650" i="18"/>
  <c r="H1650" i="18"/>
  <c r="I1649" i="18"/>
  <c r="H1649" i="18"/>
  <c r="I1648" i="18"/>
  <c r="H1648" i="18"/>
  <c r="I1647" i="18"/>
  <c r="H1647" i="18"/>
  <c r="I1646" i="18"/>
  <c r="H1646" i="18"/>
  <c r="I1645" i="18"/>
  <c r="H1645" i="18"/>
  <c r="I1644" i="18"/>
  <c r="H1644" i="18"/>
  <c r="I1643" i="18"/>
  <c r="H1643" i="18"/>
  <c r="I1642" i="18"/>
  <c r="H1642" i="18"/>
  <c r="I1641" i="18"/>
  <c r="H1641" i="18"/>
  <c r="I1640" i="18"/>
  <c r="H1640" i="18"/>
  <c r="I1639" i="18"/>
  <c r="H1639" i="18"/>
  <c r="I1638" i="18"/>
  <c r="H1638" i="18"/>
  <c r="I1637" i="18"/>
  <c r="H1637" i="18"/>
  <c r="I1636" i="18"/>
  <c r="H1636" i="18"/>
  <c r="I1635" i="18"/>
  <c r="H1635" i="18"/>
  <c r="I1634" i="18"/>
  <c r="H1634" i="18"/>
  <c r="I1633" i="18"/>
  <c r="H1633" i="18"/>
  <c r="I1632" i="18"/>
  <c r="H1632" i="18"/>
  <c r="I1631" i="18"/>
  <c r="H1631" i="18"/>
  <c r="I1630" i="18"/>
  <c r="H1630" i="18"/>
  <c r="I1629" i="18"/>
  <c r="H1629" i="18"/>
  <c r="I1628" i="18"/>
  <c r="H1628" i="18"/>
  <c r="I1627" i="18"/>
  <c r="H1627" i="18"/>
  <c r="I1626" i="18"/>
  <c r="H1626" i="18"/>
  <c r="I1625" i="18"/>
  <c r="H1625" i="18"/>
  <c r="I1624" i="18"/>
  <c r="H1624" i="18"/>
  <c r="I1623" i="18"/>
  <c r="H1623" i="18"/>
  <c r="I1622" i="18"/>
  <c r="H1622" i="18"/>
  <c r="I1621" i="18"/>
  <c r="H1621" i="18"/>
  <c r="I1620" i="18"/>
  <c r="H1620" i="18"/>
  <c r="I1619" i="18"/>
  <c r="H1619" i="18"/>
  <c r="I1618" i="18"/>
  <c r="H1618" i="18"/>
  <c r="I1617" i="18"/>
  <c r="H1617" i="18"/>
  <c r="I1616" i="18"/>
  <c r="H1616" i="18"/>
  <c r="I1615" i="18"/>
  <c r="H1615" i="18"/>
  <c r="I1614" i="18"/>
  <c r="H1614" i="18"/>
  <c r="I1613" i="18"/>
  <c r="H1613" i="18"/>
  <c r="I1612" i="18"/>
  <c r="H1612" i="18"/>
  <c r="I1611" i="18"/>
  <c r="H1611" i="18"/>
  <c r="I1610" i="18"/>
  <c r="H1610" i="18"/>
  <c r="I1609" i="18"/>
  <c r="H1609" i="18"/>
  <c r="I1608" i="18"/>
  <c r="H1608" i="18"/>
  <c r="I1607" i="18"/>
  <c r="H1607" i="18"/>
  <c r="I1606" i="18"/>
  <c r="H1606" i="18"/>
  <c r="I1605" i="18"/>
  <c r="H1605" i="18"/>
  <c r="I1604" i="18"/>
  <c r="H1604" i="18"/>
  <c r="I1603" i="18"/>
  <c r="H1603" i="18"/>
  <c r="I1602" i="18"/>
  <c r="H1602" i="18"/>
  <c r="I1601" i="18"/>
  <c r="H1601" i="18"/>
  <c r="I1600" i="18"/>
  <c r="H1600" i="18"/>
  <c r="I1599" i="18"/>
  <c r="H1599" i="18"/>
  <c r="I1598" i="18"/>
  <c r="H1598" i="18"/>
  <c r="I1597" i="18"/>
  <c r="H1597" i="18"/>
  <c r="I1596" i="18"/>
  <c r="H1596" i="18"/>
  <c r="I1595" i="18"/>
  <c r="H1595" i="18"/>
  <c r="I1594" i="18"/>
  <c r="H1594" i="18"/>
  <c r="I1593" i="18"/>
  <c r="H1593" i="18"/>
  <c r="I1592" i="18"/>
  <c r="H1592" i="18"/>
  <c r="I1591" i="18"/>
  <c r="H1591" i="18"/>
  <c r="I1590" i="18"/>
  <c r="H1590" i="18"/>
  <c r="I1589" i="18"/>
  <c r="H1589" i="18"/>
  <c r="I1588" i="18"/>
  <c r="H1588" i="18"/>
  <c r="I1587" i="18"/>
  <c r="H1587" i="18"/>
  <c r="I1586" i="18"/>
  <c r="H1586" i="18"/>
  <c r="I1585" i="18"/>
  <c r="H1585" i="18"/>
  <c r="I1584" i="18"/>
  <c r="H1584" i="18"/>
  <c r="I1583" i="18"/>
  <c r="H1583" i="18"/>
  <c r="I1582" i="18"/>
  <c r="H1582" i="18"/>
  <c r="I1581" i="18"/>
  <c r="H1581" i="18"/>
  <c r="I1580" i="18"/>
  <c r="H1580" i="18"/>
  <c r="I1579" i="18"/>
  <c r="H1579" i="18"/>
  <c r="I1578" i="18"/>
  <c r="H1578" i="18"/>
  <c r="I1577" i="18"/>
  <c r="H1577" i="18"/>
  <c r="I1576" i="18"/>
  <c r="H1576" i="18"/>
  <c r="I1575" i="18"/>
  <c r="H1575" i="18"/>
  <c r="I1574" i="18"/>
  <c r="H1574" i="18"/>
  <c r="I1573" i="18"/>
  <c r="H1573" i="18"/>
  <c r="I1572" i="18"/>
  <c r="H1572" i="18"/>
  <c r="I1571" i="18"/>
  <c r="H1571" i="18"/>
  <c r="I1570" i="18"/>
  <c r="H1570" i="18"/>
  <c r="I1569" i="18"/>
  <c r="H1569" i="18"/>
  <c r="I1568" i="18"/>
  <c r="H1568" i="18"/>
  <c r="I1567" i="18"/>
  <c r="H1567" i="18"/>
  <c r="I1566" i="18"/>
  <c r="H1566" i="18"/>
  <c r="I1565" i="18"/>
  <c r="H1565" i="18"/>
  <c r="I1564" i="18"/>
  <c r="H1564" i="18"/>
  <c r="I1563" i="18"/>
  <c r="H1563" i="18"/>
  <c r="I1562" i="18"/>
  <c r="H1562" i="18"/>
  <c r="I1561" i="18"/>
  <c r="H1561" i="18"/>
  <c r="I1560" i="18"/>
  <c r="H1560" i="18"/>
  <c r="I1559" i="18"/>
  <c r="H1559" i="18"/>
  <c r="I1558" i="18"/>
  <c r="H1558" i="18"/>
  <c r="I1557" i="18"/>
  <c r="H1557" i="18"/>
  <c r="I1556" i="18"/>
  <c r="H1556" i="18"/>
  <c r="I1555" i="18"/>
  <c r="H1555" i="18"/>
  <c r="I1554" i="18"/>
  <c r="H1554" i="18"/>
  <c r="I1553" i="18"/>
  <c r="H1553" i="18"/>
  <c r="I1552" i="18"/>
  <c r="H1552" i="18"/>
  <c r="I1551" i="18"/>
  <c r="H1551" i="18"/>
  <c r="I1550" i="18"/>
  <c r="H1550" i="18"/>
  <c r="I1549" i="18"/>
  <c r="H1549" i="18"/>
  <c r="I1548" i="18"/>
  <c r="H1548" i="18"/>
  <c r="I1547" i="18"/>
  <c r="H1547" i="18"/>
  <c r="I1546" i="18"/>
  <c r="H1546" i="18"/>
  <c r="I1545" i="18"/>
  <c r="H1545" i="18"/>
  <c r="I1544" i="18"/>
  <c r="H1544" i="18"/>
  <c r="I1543" i="18"/>
  <c r="H1543" i="18"/>
  <c r="I1542" i="18"/>
  <c r="H1542" i="18"/>
  <c r="I1541" i="18"/>
  <c r="H1541" i="18"/>
  <c r="I1540" i="18"/>
  <c r="H1540" i="18"/>
  <c r="I1539" i="18"/>
  <c r="H1539" i="18"/>
  <c r="I1538" i="18"/>
  <c r="H1538" i="18"/>
  <c r="I1537" i="18"/>
  <c r="H1537" i="18"/>
  <c r="I1536" i="18"/>
  <c r="H1536" i="18"/>
  <c r="I1535" i="18"/>
  <c r="H1535" i="18"/>
  <c r="I1534" i="18"/>
  <c r="H1534" i="18"/>
  <c r="I1533" i="18"/>
  <c r="H1533" i="18"/>
  <c r="I1532" i="18"/>
  <c r="H1532" i="18"/>
  <c r="I1531" i="18"/>
  <c r="H1531" i="18"/>
  <c r="I1530" i="18"/>
  <c r="H1530" i="18"/>
  <c r="I1529" i="18"/>
  <c r="H1529" i="18"/>
  <c r="I1528" i="18"/>
  <c r="H1528" i="18"/>
  <c r="I1527" i="18"/>
  <c r="H1527" i="18"/>
  <c r="I1526" i="18"/>
  <c r="H1526" i="18"/>
  <c r="I1525" i="18"/>
  <c r="H1525" i="18"/>
  <c r="I1524" i="18"/>
  <c r="H1524" i="18"/>
  <c r="I1523" i="18"/>
  <c r="H1523" i="18"/>
  <c r="I1522" i="18"/>
  <c r="H1522" i="18"/>
  <c r="I1521" i="18"/>
  <c r="H1521" i="18"/>
  <c r="I1520" i="18"/>
  <c r="H1520" i="18"/>
  <c r="I1519" i="18"/>
  <c r="H1519" i="18"/>
  <c r="I1518" i="18"/>
  <c r="H1518" i="18"/>
  <c r="I1517" i="18"/>
  <c r="H1517" i="18"/>
  <c r="I1516" i="18"/>
  <c r="H1516" i="18"/>
  <c r="I1515" i="18"/>
  <c r="H1515" i="18"/>
  <c r="I1514" i="18"/>
  <c r="H1514" i="18"/>
  <c r="I1513" i="18"/>
  <c r="H1513" i="18"/>
  <c r="I1512" i="18"/>
  <c r="H1512" i="18"/>
  <c r="I1511" i="18"/>
  <c r="H1511" i="18"/>
  <c r="I1510" i="18"/>
  <c r="H1510" i="18"/>
  <c r="I1509" i="18"/>
  <c r="H1509" i="18"/>
  <c r="I1508" i="18"/>
  <c r="H1508" i="18"/>
  <c r="I1507" i="18"/>
  <c r="H1507" i="18"/>
  <c r="I1506" i="18"/>
  <c r="H1506" i="18"/>
  <c r="I1505" i="18"/>
  <c r="H1505" i="18"/>
  <c r="I1504" i="18"/>
  <c r="H1504" i="18"/>
  <c r="I1503" i="18"/>
  <c r="H1503" i="18"/>
  <c r="I1502" i="18"/>
  <c r="H1502" i="18"/>
  <c r="I1501" i="18"/>
  <c r="H1501" i="18"/>
  <c r="I1500" i="18"/>
  <c r="H1500" i="18"/>
  <c r="I1499" i="18"/>
  <c r="H1499" i="18"/>
  <c r="I1498" i="18"/>
  <c r="H1498" i="18"/>
  <c r="I1497" i="18"/>
  <c r="H1497" i="18"/>
  <c r="I1496" i="18"/>
  <c r="H1496" i="18"/>
  <c r="I1495" i="18"/>
  <c r="H1495" i="18"/>
  <c r="I1494" i="18"/>
  <c r="H1494" i="18"/>
  <c r="I1493" i="18"/>
  <c r="H1493" i="18"/>
  <c r="I1492" i="18"/>
  <c r="H1492" i="18"/>
  <c r="I1491" i="18"/>
  <c r="H1491" i="18"/>
  <c r="I1490" i="18"/>
  <c r="H1490" i="18"/>
  <c r="I1489" i="18"/>
  <c r="H1489" i="18"/>
  <c r="I1488" i="18"/>
  <c r="H1488" i="18"/>
  <c r="I1487" i="18"/>
  <c r="H1487" i="18"/>
  <c r="I1486" i="18"/>
  <c r="H1486" i="18"/>
  <c r="I1485" i="18"/>
  <c r="H1485" i="18"/>
  <c r="I1484" i="18"/>
  <c r="H1484" i="18"/>
  <c r="I1483" i="18"/>
  <c r="H1483" i="18"/>
  <c r="I1482" i="18"/>
  <c r="H1482" i="18"/>
  <c r="I1481" i="18"/>
  <c r="H1481" i="18"/>
  <c r="I1480" i="18"/>
  <c r="H1480" i="18"/>
  <c r="I1479" i="18"/>
  <c r="H1479" i="18"/>
  <c r="I1478" i="18"/>
  <c r="H1478" i="18"/>
  <c r="I1477" i="18"/>
  <c r="H1477" i="18"/>
  <c r="I1476" i="18"/>
  <c r="H1476" i="18"/>
  <c r="I1475" i="18"/>
  <c r="H1475" i="18"/>
  <c r="I1474" i="18"/>
  <c r="H1474" i="18"/>
  <c r="I1473" i="18"/>
  <c r="H1473" i="18"/>
  <c r="I1472" i="18"/>
  <c r="H1472" i="18"/>
  <c r="I1471" i="18"/>
  <c r="H1471" i="18"/>
  <c r="I1470" i="18"/>
  <c r="H1470" i="18"/>
  <c r="I1469" i="18"/>
  <c r="H1469" i="18"/>
  <c r="I1468" i="18"/>
  <c r="H1468" i="18"/>
  <c r="I1467" i="18"/>
  <c r="H1467" i="18"/>
  <c r="I1466" i="18"/>
  <c r="H1466" i="18"/>
  <c r="I1465" i="18"/>
  <c r="H1465" i="18"/>
  <c r="I1464" i="18"/>
  <c r="H1464" i="18"/>
  <c r="I1463" i="18"/>
  <c r="H1463" i="18"/>
  <c r="I1462" i="18"/>
  <c r="H1462" i="18"/>
  <c r="I1461" i="18"/>
  <c r="H1461" i="18"/>
  <c r="I1460" i="18"/>
  <c r="H1460" i="18"/>
  <c r="I1459" i="18"/>
  <c r="H1459" i="18"/>
  <c r="I1458" i="18"/>
  <c r="H1458" i="18"/>
  <c r="I1457" i="18"/>
  <c r="H1457" i="18"/>
  <c r="I1456" i="18"/>
  <c r="H1456" i="18"/>
  <c r="I1455" i="18"/>
  <c r="H1455" i="18"/>
  <c r="I1454" i="18"/>
  <c r="H1454" i="18"/>
  <c r="I1453" i="18"/>
  <c r="H1453" i="18"/>
  <c r="I1452" i="18"/>
  <c r="H1452" i="18"/>
  <c r="I1451" i="18"/>
  <c r="H1451" i="18"/>
  <c r="I1450" i="18"/>
  <c r="H1450" i="18"/>
  <c r="I1449" i="18"/>
  <c r="H1449" i="18"/>
  <c r="I1448" i="18"/>
  <c r="H1448" i="18"/>
  <c r="I1447" i="18"/>
  <c r="H1447" i="18"/>
  <c r="I1446" i="18"/>
  <c r="H1446" i="18"/>
  <c r="I1445" i="18"/>
  <c r="H1445" i="18"/>
  <c r="I1444" i="18"/>
  <c r="H1444" i="18"/>
  <c r="I1443" i="18"/>
  <c r="H1443" i="18"/>
  <c r="I1442" i="18"/>
  <c r="H1442" i="18"/>
  <c r="I1441" i="18"/>
  <c r="H1441" i="18"/>
  <c r="I1440" i="18"/>
  <c r="H1440" i="18"/>
  <c r="I1439" i="18"/>
  <c r="H1439" i="18"/>
  <c r="I1438" i="18"/>
  <c r="H1438" i="18"/>
  <c r="I1437" i="18"/>
  <c r="H1437" i="18"/>
  <c r="I1436" i="18"/>
  <c r="H1436" i="18"/>
  <c r="I1435" i="18"/>
  <c r="H1435" i="18"/>
  <c r="I1434" i="18"/>
  <c r="H1434" i="18"/>
  <c r="I1433" i="18"/>
  <c r="H1433" i="18"/>
  <c r="I1432" i="18"/>
  <c r="H1432" i="18"/>
  <c r="I1431" i="18"/>
  <c r="H1431" i="18"/>
  <c r="I1430" i="18"/>
  <c r="H1430" i="18"/>
  <c r="I1429" i="18"/>
  <c r="H1429" i="18"/>
  <c r="I1428" i="18"/>
  <c r="H1428" i="18"/>
  <c r="I1427" i="18"/>
  <c r="H1427" i="18"/>
  <c r="I1426" i="18"/>
  <c r="H1426" i="18"/>
  <c r="I1425" i="18"/>
  <c r="H1425" i="18"/>
  <c r="I1424" i="18"/>
  <c r="H1424" i="18"/>
  <c r="I1423" i="18"/>
  <c r="H1423" i="18"/>
  <c r="I1422" i="18"/>
  <c r="H1422" i="18"/>
  <c r="I1421" i="18"/>
  <c r="H1421" i="18"/>
  <c r="I1420" i="18"/>
  <c r="H1420" i="18"/>
  <c r="I1419" i="18"/>
  <c r="H1419" i="18"/>
  <c r="I1418" i="18"/>
  <c r="H1418" i="18"/>
  <c r="I1417" i="18"/>
  <c r="H1417" i="18"/>
  <c r="I1416" i="18"/>
  <c r="H1416" i="18"/>
  <c r="I1415" i="18"/>
  <c r="H1415" i="18"/>
  <c r="I1414" i="18"/>
  <c r="H1414" i="18"/>
  <c r="I1413" i="18"/>
  <c r="H1413" i="18"/>
  <c r="I1412" i="18"/>
  <c r="H1412" i="18"/>
  <c r="I1411" i="18"/>
  <c r="H1411" i="18"/>
  <c r="I1410" i="18"/>
  <c r="H1410" i="18"/>
  <c r="I1409" i="18"/>
  <c r="H1409" i="18"/>
  <c r="I1408" i="18"/>
  <c r="H1408" i="18"/>
  <c r="I1407" i="18"/>
  <c r="H1407" i="18"/>
  <c r="I1406" i="18"/>
  <c r="H1406" i="18"/>
  <c r="I1405" i="18"/>
  <c r="H1405" i="18"/>
  <c r="I1404" i="18"/>
  <c r="H1404" i="18"/>
  <c r="I1403" i="18"/>
  <c r="H1403" i="18"/>
  <c r="I1402" i="18"/>
  <c r="H1402" i="18"/>
  <c r="I1401" i="18"/>
  <c r="H1401" i="18"/>
  <c r="I1400" i="18"/>
  <c r="H1400" i="18"/>
  <c r="I1399" i="18"/>
  <c r="H1399" i="18"/>
  <c r="I1398" i="18"/>
  <c r="H1398" i="18"/>
  <c r="I1397" i="18"/>
  <c r="H1397" i="18"/>
  <c r="I1396" i="18"/>
  <c r="H1396" i="18"/>
  <c r="I1395" i="18"/>
  <c r="H1395" i="18"/>
  <c r="I1394" i="18"/>
  <c r="H1394" i="18"/>
  <c r="I1393" i="18"/>
  <c r="H1393" i="18"/>
  <c r="I1392" i="18"/>
  <c r="H1392" i="18"/>
  <c r="I1391" i="18"/>
  <c r="H1391" i="18"/>
  <c r="I1390" i="18"/>
  <c r="H1390" i="18"/>
  <c r="I1389" i="18"/>
  <c r="H1389" i="18"/>
  <c r="I1388" i="18"/>
  <c r="H1388" i="18"/>
  <c r="I1387" i="18"/>
  <c r="H1387" i="18"/>
  <c r="I1386" i="18"/>
  <c r="H1386" i="18"/>
  <c r="I1385" i="18"/>
  <c r="H1385" i="18"/>
  <c r="I1384" i="18"/>
  <c r="H1384" i="18"/>
  <c r="I1383" i="18"/>
  <c r="H1383" i="18"/>
  <c r="I1382" i="18"/>
  <c r="H1382" i="18"/>
  <c r="I1381" i="18"/>
  <c r="H1381" i="18"/>
  <c r="I1380" i="18"/>
  <c r="H1380" i="18"/>
  <c r="I1379" i="18"/>
  <c r="H1379" i="18"/>
  <c r="I1378" i="18"/>
  <c r="H1378" i="18"/>
  <c r="I1377" i="18"/>
  <c r="H1377" i="18"/>
  <c r="I1376" i="18"/>
  <c r="H1376" i="18"/>
  <c r="I1375" i="18"/>
  <c r="H1375" i="18"/>
  <c r="I1374" i="18"/>
  <c r="H1374" i="18"/>
  <c r="I1373" i="18"/>
  <c r="H1373" i="18"/>
  <c r="I1372" i="18"/>
  <c r="H1372" i="18"/>
  <c r="I1371" i="18"/>
  <c r="H1371" i="18"/>
  <c r="I1370" i="18"/>
  <c r="H1370" i="18"/>
  <c r="I1369" i="18"/>
  <c r="H1369" i="18"/>
  <c r="I1368" i="18"/>
  <c r="H1368" i="18"/>
  <c r="I1367" i="18"/>
  <c r="H1367" i="18"/>
  <c r="F1367" i="18"/>
  <c r="I1366" i="18"/>
  <c r="H1366" i="18"/>
  <c r="I1365" i="18"/>
  <c r="H1365" i="18"/>
  <c r="I1364" i="18"/>
  <c r="H1364" i="18"/>
  <c r="I1363" i="18"/>
  <c r="H1363" i="18"/>
  <c r="F1363" i="18"/>
  <c r="I1362" i="18"/>
  <c r="H1362" i="18"/>
  <c r="I1361" i="18"/>
  <c r="H1361" i="18"/>
  <c r="I1360" i="18"/>
  <c r="H1360" i="18"/>
  <c r="I1359" i="18"/>
  <c r="H1359" i="18"/>
  <c r="I1358" i="18"/>
  <c r="H1358" i="18"/>
  <c r="I1357" i="18"/>
  <c r="H1357" i="18"/>
  <c r="I1356" i="18"/>
  <c r="H1356" i="18"/>
  <c r="I1355" i="18"/>
  <c r="H1355" i="18"/>
  <c r="I1354" i="18"/>
  <c r="H1354" i="18"/>
  <c r="I1353" i="18"/>
  <c r="H1353" i="18"/>
  <c r="I1352" i="18"/>
  <c r="H1352" i="18"/>
  <c r="I1351" i="18"/>
  <c r="H1351" i="18"/>
  <c r="I1350" i="18"/>
  <c r="H1350" i="18"/>
  <c r="I1349" i="18"/>
  <c r="H1349" i="18"/>
  <c r="I1348" i="18"/>
  <c r="H1348" i="18"/>
  <c r="I1347" i="18"/>
  <c r="H1347" i="18"/>
  <c r="I1346" i="18"/>
  <c r="H1346" i="18"/>
  <c r="I1345" i="18"/>
  <c r="H1345" i="18"/>
  <c r="I1344" i="18"/>
  <c r="H1344" i="18"/>
  <c r="I1343" i="18"/>
  <c r="H1343" i="18"/>
  <c r="I1342" i="18"/>
  <c r="H1342" i="18"/>
  <c r="I1341" i="18"/>
  <c r="H1341" i="18"/>
  <c r="I1340" i="18"/>
  <c r="H1340" i="18"/>
  <c r="I1339" i="18"/>
  <c r="H1339" i="18"/>
  <c r="I1338" i="18"/>
  <c r="H1338" i="18"/>
  <c r="I1337" i="18"/>
  <c r="H1337" i="18"/>
  <c r="I1336" i="18"/>
  <c r="H1336" i="18"/>
  <c r="I1335" i="18"/>
  <c r="H1335" i="18"/>
  <c r="I1334" i="18"/>
  <c r="H1334" i="18"/>
  <c r="I1333" i="18"/>
  <c r="H1333" i="18"/>
  <c r="I1332" i="18"/>
  <c r="H1332" i="18"/>
  <c r="I1331" i="18"/>
  <c r="H1331" i="18"/>
  <c r="I1330" i="18"/>
  <c r="H1330" i="18"/>
  <c r="I1329" i="18"/>
  <c r="H1329" i="18"/>
  <c r="I1328" i="18"/>
  <c r="H1328" i="18"/>
  <c r="I1327" i="18"/>
  <c r="H1327" i="18"/>
  <c r="I1326" i="18"/>
  <c r="H1326" i="18"/>
  <c r="I1325" i="18"/>
  <c r="H1325" i="18"/>
  <c r="I1324" i="18"/>
  <c r="H1324" i="18"/>
  <c r="I1323" i="18"/>
  <c r="H1323" i="18"/>
  <c r="I1322" i="18"/>
  <c r="H1322" i="18"/>
  <c r="I1321" i="18"/>
  <c r="H1321" i="18"/>
  <c r="I1320" i="18"/>
  <c r="H1320" i="18"/>
  <c r="I1319" i="18"/>
  <c r="H1319" i="18"/>
  <c r="I1318" i="18"/>
  <c r="H1318" i="18"/>
  <c r="D1318" i="18"/>
  <c r="I1317" i="18"/>
  <c r="H1317" i="18"/>
  <c r="I1316" i="18"/>
  <c r="H1316" i="18"/>
  <c r="I1315" i="18"/>
  <c r="H1315" i="18"/>
  <c r="I1314" i="18"/>
  <c r="H1314" i="18"/>
  <c r="I1313" i="18"/>
  <c r="H1313" i="18"/>
  <c r="I1312" i="18"/>
  <c r="H1312" i="18"/>
  <c r="I1311" i="18"/>
  <c r="H1311" i="18"/>
  <c r="I1310" i="18"/>
  <c r="H1310" i="18"/>
  <c r="I1309" i="18"/>
  <c r="H1309" i="18"/>
  <c r="I1308" i="18"/>
  <c r="H1308" i="18"/>
  <c r="I1307" i="18"/>
  <c r="H1307" i="18"/>
  <c r="I1306" i="18"/>
  <c r="H1306" i="18"/>
  <c r="I1305" i="18"/>
  <c r="H1305" i="18"/>
  <c r="I1304" i="18"/>
  <c r="H1304" i="18"/>
  <c r="I1303" i="18"/>
  <c r="H1303" i="18"/>
  <c r="I1302" i="18"/>
  <c r="H1302" i="18"/>
  <c r="I1301" i="18"/>
  <c r="H1301" i="18"/>
  <c r="I1300" i="18"/>
  <c r="H1300" i="18"/>
  <c r="I1299" i="18"/>
  <c r="H1299" i="18"/>
  <c r="I1298" i="18"/>
  <c r="H1298" i="18"/>
  <c r="I1297" i="18"/>
  <c r="H1297" i="18"/>
  <c r="I1296" i="18"/>
  <c r="H1296" i="18"/>
  <c r="I1295" i="18"/>
  <c r="H1295" i="18"/>
  <c r="I1294" i="18"/>
  <c r="H1294" i="18"/>
  <c r="I1293" i="18"/>
  <c r="H1293" i="18"/>
  <c r="I1292" i="18"/>
  <c r="H1292" i="18"/>
  <c r="I1291" i="18"/>
  <c r="H1291" i="18"/>
  <c r="I1290" i="18"/>
  <c r="H1290" i="18"/>
  <c r="I1289" i="18"/>
  <c r="H1289" i="18"/>
  <c r="I1288" i="18"/>
  <c r="H1288" i="18"/>
  <c r="I1287" i="18"/>
  <c r="H1287" i="18"/>
  <c r="I1286" i="18"/>
  <c r="H1286" i="18"/>
  <c r="I1285" i="18"/>
  <c r="H1285" i="18"/>
  <c r="I1284" i="18"/>
  <c r="H1284" i="18"/>
  <c r="I1283" i="18"/>
  <c r="H1283" i="18"/>
  <c r="I1282" i="18"/>
  <c r="H1282" i="18"/>
  <c r="I1281" i="18"/>
  <c r="H1281" i="18"/>
  <c r="I1280" i="18"/>
  <c r="H1280" i="18"/>
  <c r="I1279" i="18"/>
  <c r="H1279" i="18"/>
  <c r="I1278" i="18"/>
  <c r="H1278" i="18"/>
  <c r="I1277" i="18"/>
  <c r="H1277" i="18"/>
  <c r="I1276" i="18"/>
  <c r="H1276" i="18"/>
  <c r="I1275" i="18"/>
  <c r="H1275" i="18"/>
  <c r="I1274" i="18"/>
  <c r="H1274" i="18"/>
  <c r="I1273" i="18"/>
  <c r="H1273" i="18"/>
  <c r="I1272" i="18"/>
  <c r="H1272" i="18"/>
  <c r="I1271" i="18"/>
  <c r="H1271" i="18"/>
  <c r="I1270" i="18"/>
  <c r="H1270" i="18"/>
  <c r="I1269" i="18"/>
  <c r="H1269" i="18"/>
  <c r="I1268" i="18"/>
  <c r="H1268" i="18"/>
  <c r="I1267" i="18"/>
  <c r="H1267" i="18"/>
  <c r="I1266" i="18"/>
  <c r="H1266" i="18"/>
  <c r="I1265" i="18"/>
  <c r="H1265" i="18"/>
  <c r="I1264" i="18"/>
  <c r="H1264" i="18"/>
  <c r="I1263" i="18"/>
  <c r="H1263" i="18"/>
  <c r="I1262" i="18"/>
  <c r="H1262" i="18"/>
  <c r="I1261" i="18"/>
  <c r="H1261" i="18"/>
  <c r="I1260" i="18"/>
  <c r="H1260" i="18"/>
  <c r="I1259" i="18"/>
  <c r="H1259" i="18"/>
  <c r="I1258" i="18"/>
  <c r="H1258" i="18"/>
  <c r="I1257" i="18"/>
  <c r="H1257" i="18"/>
  <c r="I1256" i="18"/>
  <c r="H1256" i="18"/>
  <c r="I1255" i="18"/>
  <c r="H1255" i="18"/>
  <c r="I1254" i="18"/>
  <c r="H1254" i="18"/>
  <c r="I1253" i="18"/>
  <c r="H1253" i="18"/>
  <c r="I1252" i="18"/>
  <c r="H1252" i="18"/>
  <c r="I1251" i="18"/>
  <c r="H1251" i="18"/>
  <c r="I1250" i="18"/>
  <c r="H1250" i="18"/>
  <c r="I1249" i="18"/>
  <c r="H1249" i="18"/>
  <c r="I1248" i="18"/>
  <c r="H1248" i="18"/>
  <c r="I1247" i="18"/>
  <c r="H1247" i="18"/>
  <c r="I1246" i="18"/>
  <c r="H1246" i="18"/>
  <c r="I1245" i="18"/>
  <c r="H1245" i="18"/>
  <c r="I1244" i="18"/>
  <c r="H1244" i="18"/>
  <c r="I1243" i="18"/>
  <c r="H1243" i="18"/>
  <c r="I1242" i="18"/>
  <c r="H1242" i="18"/>
  <c r="I1241" i="18"/>
  <c r="H1241" i="18"/>
  <c r="I1240" i="18"/>
  <c r="H1240" i="18"/>
  <c r="I1239" i="18"/>
  <c r="H1239" i="18"/>
  <c r="I1238" i="18"/>
  <c r="H1238" i="18"/>
  <c r="I1237" i="18"/>
  <c r="H1237" i="18"/>
  <c r="I1236" i="18"/>
  <c r="H1236" i="18"/>
  <c r="I1235" i="18"/>
  <c r="H1235" i="18"/>
  <c r="I1234" i="18"/>
  <c r="H1234" i="18"/>
  <c r="I1233" i="18"/>
  <c r="H1233" i="18"/>
  <c r="I1232" i="18"/>
  <c r="H1232" i="18"/>
  <c r="I1231" i="18"/>
  <c r="H1231" i="18"/>
  <c r="I1230" i="18"/>
  <c r="H1230" i="18"/>
  <c r="I1229" i="18"/>
  <c r="H1229" i="18"/>
  <c r="I1228" i="18"/>
  <c r="H1228" i="18"/>
  <c r="I1227" i="18"/>
  <c r="H1227" i="18"/>
  <c r="I1226" i="18"/>
  <c r="H1226" i="18"/>
  <c r="I1225" i="18"/>
  <c r="H1225" i="18"/>
  <c r="I1224" i="18"/>
  <c r="H1224" i="18"/>
  <c r="I1223" i="18"/>
  <c r="H1223" i="18"/>
  <c r="I1222" i="18"/>
  <c r="H1222" i="18"/>
  <c r="I1221" i="18"/>
  <c r="H1221" i="18"/>
  <c r="I1220" i="18"/>
  <c r="H1220" i="18"/>
  <c r="I1219" i="18"/>
  <c r="H1219" i="18"/>
  <c r="I1218" i="18"/>
  <c r="H1218" i="18"/>
  <c r="I1217" i="18"/>
  <c r="H1217" i="18"/>
  <c r="I1216" i="18"/>
  <c r="H1216" i="18"/>
  <c r="I1215" i="18"/>
  <c r="H1215" i="18"/>
  <c r="I1214" i="18"/>
  <c r="H1214" i="18"/>
  <c r="I1213" i="18"/>
  <c r="H1213" i="18"/>
  <c r="I1212" i="18"/>
  <c r="H1212" i="18"/>
  <c r="I1211" i="18"/>
  <c r="H1211" i="18"/>
  <c r="I1210" i="18"/>
  <c r="H1210" i="18"/>
  <c r="I1209" i="18"/>
  <c r="H1209" i="18"/>
  <c r="I1208" i="18"/>
  <c r="H1208" i="18"/>
  <c r="I1207" i="18"/>
  <c r="H1207" i="18"/>
  <c r="I1206" i="18"/>
  <c r="H1206" i="18"/>
  <c r="I1205" i="18"/>
  <c r="H1205" i="18"/>
  <c r="I1204" i="18"/>
  <c r="H1204" i="18"/>
  <c r="I1203" i="18"/>
  <c r="H1203" i="18"/>
  <c r="I1202" i="18"/>
  <c r="H1202" i="18"/>
  <c r="I1201" i="18"/>
  <c r="H1201" i="18"/>
  <c r="I1200" i="18"/>
  <c r="H1200" i="18"/>
  <c r="I1199" i="18"/>
  <c r="H1199" i="18"/>
  <c r="I1198" i="18"/>
  <c r="H1198" i="18"/>
  <c r="I1197" i="18"/>
  <c r="H1197" i="18"/>
  <c r="I1196" i="18"/>
  <c r="H1196" i="18"/>
  <c r="I1195" i="18"/>
  <c r="H1195" i="18"/>
  <c r="I1194" i="18"/>
  <c r="H1194" i="18"/>
  <c r="I1193" i="18"/>
  <c r="H1193" i="18"/>
  <c r="I1192" i="18"/>
  <c r="H1192" i="18"/>
  <c r="I1191" i="18"/>
  <c r="H1191" i="18"/>
  <c r="I1190" i="18"/>
  <c r="H1190" i="18"/>
  <c r="I1189" i="18"/>
  <c r="H1189" i="18"/>
  <c r="I1188" i="18"/>
  <c r="H1188" i="18"/>
  <c r="I1187" i="18"/>
  <c r="H1187" i="18"/>
  <c r="I1186" i="18"/>
  <c r="H1186" i="18"/>
  <c r="I1185" i="18"/>
  <c r="H1185" i="18"/>
  <c r="I1184" i="18"/>
  <c r="H1184" i="18"/>
  <c r="I1183" i="18"/>
  <c r="H1183" i="18"/>
  <c r="I1182" i="18"/>
  <c r="H1182" i="18"/>
  <c r="I1181" i="18"/>
  <c r="H1181" i="18"/>
  <c r="I1180" i="18"/>
  <c r="H1180" i="18"/>
  <c r="I1179" i="18"/>
  <c r="H1179" i="18"/>
  <c r="I1178" i="18"/>
  <c r="H1178" i="18"/>
  <c r="I1177" i="18"/>
  <c r="H1177" i="18"/>
  <c r="I1176" i="18"/>
  <c r="H1176" i="18"/>
  <c r="I1175" i="18"/>
  <c r="H1175" i="18"/>
  <c r="I1174" i="18"/>
  <c r="H1174" i="18"/>
  <c r="I1173" i="18"/>
  <c r="H1173" i="18"/>
  <c r="I1172" i="18"/>
  <c r="H1172" i="18"/>
  <c r="I1171" i="18"/>
  <c r="H1171" i="18"/>
  <c r="I1170" i="18"/>
  <c r="H1170" i="18"/>
  <c r="I1169" i="18"/>
  <c r="H1169" i="18"/>
  <c r="I1168" i="18"/>
  <c r="H1168" i="18"/>
  <c r="I1167" i="18"/>
  <c r="H1167" i="18"/>
  <c r="I1166" i="18"/>
  <c r="H1166" i="18"/>
  <c r="I1165" i="18"/>
  <c r="H1165" i="18"/>
  <c r="I1164" i="18"/>
  <c r="H1164" i="18"/>
  <c r="I1163" i="18"/>
  <c r="H1163" i="18"/>
  <c r="I1162" i="18"/>
  <c r="H1162" i="18"/>
  <c r="I1161" i="18"/>
  <c r="H1161" i="18"/>
  <c r="I1160" i="18"/>
  <c r="H1160" i="18"/>
  <c r="I1159" i="18"/>
  <c r="H1159" i="18"/>
  <c r="I1158" i="18"/>
  <c r="H1158" i="18"/>
  <c r="I1157" i="18"/>
  <c r="H1157" i="18"/>
  <c r="I1156" i="18"/>
  <c r="H1156" i="18"/>
  <c r="I1155" i="18"/>
  <c r="H1155" i="18"/>
  <c r="I1154" i="18"/>
  <c r="H1154" i="18"/>
  <c r="I1153" i="18"/>
  <c r="H1153" i="18"/>
  <c r="I1152" i="18"/>
  <c r="H1152" i="18"/>
  <c r="I1151" i="18"/>
  <c r="H1151" i="18"/>
  <c r="I1150" i="18"/>
  <c r="H1150" i="18"/>
  <c r="I1149" i="18"/>
  <c r="H1149" i="18"/>
  <c r="I1148" i="18"/>
  <c r="H1148" i="18"/>
  <c r="I1147" i="18"/>
  <c r="H1147" i="18"/>
  <c r="I1146" i="18"/>
  <c r="H1146" i="18"/>
  <c r="I1145" i="18"/>
  <c r="H1145" i="18"/>
  <c r="I1144" i="18"/>
  <c r="H1144" i="18"/>
  <c r="I1143" i="18"/>
  <c r="H1143" i="18"/>
  <c r="I1142" i="18"/>
  <c r="H1142" i="18"/>
  <c r="I1141" i="18"/>
  <c r="H1141" i="18"/>
  <c r="I1140" i="18"/>
  <c r="H1140" i="18"/>
  <c r="I1139" i="18"/>
  <c r="H1139" i="18"/>
  <c r="I1138" i="18"/>
  <c r="H1138" i="18"/>
  <c r="I1137" i="18"/>
  <c r="H1137" i="18"/>
  <c r="I1136" i="18"/>
  <c r="H1136" i="18"/>
  <c r="I1135" i="18"/>
  <c r="H1135" i="18"/>
  <c r="I1134" i="18"/>
  <c r="H1134" i="18"/>
  <c r="I1133" i="18"/>
  <c r="H1133" i="18"/>
  <c r="I1132" i="18"/>
  <c r="H1132" i="18"/>
  <c r="I1131" i="18"/>
  <c r="H1131" i="18"/>
  <c r="I1130" i="18"/>
  <c r="H1130" i="18"/>
  <c r="I1129" i="18"/>
  <c r="H1129" i="18"/>
  <c r="I1128" i="18"/>
  <c r="H1128" i="18"/>
  <c r="I1127" i="18"/>
  <c r="H1127" i="18"/>
  <c r="I1126" i="18"/>
  <c r="H1126" i="18"/>
  <c r="I1125" i="18"/>
  <c r="H1125" i="18"/>
  <c r="I1124" i="18"/>
  <c r="H1124" i="18"/>
  <c r="I1123" i="18"/>
  <c r="D1123" i="18"/>
  <c r="H1123" i="18" s="1"/>
  <c r="I1122" i="18"/>
  <c r="H1122" i="18"/>
  <c r="I1121" i="18"/>
  <c r="H1121" i="18"/>
  <c r="I1120" i="18"/>
  <c r="H1120" i="18"/>
  <c r="I1119" i="18"/>
  <c r="H1119" i="18"/>
  <c r="I1118" i="18"/>
  <c r="H1118" i="18"/>
  <c r="I1117" i="18"/>
  <c r="H1117" i="18"/>
  <c r="I1116" i="18"/>
  <c r="H1116" i="18"/>
  <c r="I1115" i="18"/>
  <c r="H1115" i="18"/>
  <c r="I1114" i="18"/>
  <c r="H1114" i="18"/>
  <c r="I1113" i="18"/>
  <c r="H1113" i="18"/>
  <c r="I1112" i="18"/>
  <c r="H1112" i="18"/>
  <c r="I1111" i="18"/>
  <c r="H1111" i="18"/>
  <c r="I1110" i="18"/>
  <c r="H1110" i="18"/>
  <c r="I1109" i="18"/>
  <c r="H1109" i="18"/>
  <c r="I1108" i="18"/>
  <c r="H1108" i="18"/>
  <c r="I1107" i="18"/>
  <c r="H1107" i="18"/>
  <c r="I1106" i="18"/>
  <c r="H1106" i="18"/>
  <c r="I1105" i="18"/>
  <c r="H1105" i="18"/>
  <c r="I1104" i="18"/>
  <c r="H1104" i="18"/>
  <c r="I1103" i="18"/>
  <c r="H1103" i="18"/>
  <c r="I1102" i="18"/>
  <c r="H1102" i="18"/>
  <c r="I1101" i="18"/>
  <c r="H1101" i="18"/>
  <c r="I1100" i="18"/>
  <c r="H1100" i="18"/>
  <c r="I1099" i="18"/>
  <c r="H1099" i="18"/>
  <c r="I1098" i="18"/>
  <c r="H1098" i="18"/>
  <c r="I1097" i="18"/>
  <c r="H1097" i="18"/>
  <c r="I1096" i="18"/>
  <c r="H1096" i="18"/>
  <c r="I1095" i="18"/>
  <c r="H1095" i="18"/>
  <c r="I1094" i="18"/>
  <c r="H1094" i="18"/>
  <c r="I1093" i="18"/>
  <c r="H1093" i="18"/>
  <c r="I1092" i="18"/>
  <c r="H1092" i="18"/>
  <c r="I1091" i="18"/>
  <c r="H1091" i="18"/>
  <c r="I1090" i="18"/>
  <c r="H1090" i="18"/>
  <c r="I1089" i="18"/>
  <c r="H1089" i="18"/>
  <c r="I1088" i="18"/>
  <c r="H1088" i="18"/>
  <c r="I1087" i="18"/>
  <c r="H1087" i="18"/>
  <c r="I1086" i="18"/>
  <c r="H1086" i="18"/>
  <c r="I1085" i="18"/>
  <c r="H1085" i="18"/>
  <c r="I1084" i="18"/>
  <c r="H1084" i="18"/>
  <c r="I1083" i="18"/>
  <c r="H1083" i="18"/>
  <c r="I1082" i="18"/>
  <c r="H1082" i="18"/>
  <c r="I1081" i="18"/>
  <c r="H1081" i="18"/>
  <c r="I1080" i="18"/>
  <c r="H1080" i="18"/>
  <c r="I1079" i="18"/>
  <c r="H1079" i="18"/>
  <c r="I1078" i="18"/>
  <c r="H1078" i="18"/>
  <c r="I1077" i="18"/>
  <c r="H1077" i="18"/>
  <c r="I1076" i="18"/>
  <c r="H1076" i="18"/>
  <c r="I1075" i="18"/>
  <c r="H1075" i="18"/>
  <c r="I1074" i="18"/>
  <c r="H1074" i="18"/>
  <c r="I1073" i="18"/>
  <c r="H1073" i="18"/>
  <c r="I1072" i="18"/>
  <c r="H1072" i="18"/>
  <c r="I1071" i="18"/>
  <c r="H1071" i="18"/>
  <c r="I1070" i="18"/>
  <c r="H1070" i="18"/>
  <c r="I1069" i="18"/>
  <c r="H1069" i="18"/>
  <c r="I1068" i="18"/>
  <c r="H1068" i="18"/>
  <c r="I1067" i="18"/>
  <c r="H1067" i="18"/>
  <c r="I1066" i="18"/>
  <c r="H1066" i="18"/>
  <c r="I1065" i="18"/>
  <c r="H1065" i="18"/>
  <c r="I1064" i="18"/>
  <c r="H1064" i="18"/>
  <c r="I1063" i="18"/>
  <c r="H1063" i="18"/>
  <c r="I1062" i="18"/>
  <c r="H1062" i="18"/>
  <c r="I1061" i="18"/>
  <c r="H1061" i="18"/>
  <c r="I1060" i="18"/>
  <c r="H1060" i="18"/>
  <c r="I1059" i="18"/>
  <c r="H1059" i="18"/>
  <c r="I1058" i="18"/>
  <c r="H1058" i="18"/>
  <c r="I1057" i="18"/>
  <c r="H1057" i="18"/>
  <c r="I1056" i="18"/>
  <c r="H1056" i="18"/>
  <c r="I1055" i="18"/>
  <c r="H1055" i="18"/>
  <c r="I1054" i="18"/>
  <c r="H1054" i="18"/>
  <c r="I1053" i="18"/>
  <c r="H1053" i="18"/>
  <c r="I1052" i="18"/>
  <c r="H1052" i="18"/>
  <c r="I1051" i="18"/>
  <c r="H1051" i="18"/>
  <c r="I1050" i="18"/>
  <c r="H1050" i="18"/>
  <c r="I1049" i="18"/>
  <c r="H1049" i="18"/>
  <c r="I1048" i="18"/>
  <c r="H1048" i="18"/>
  <c r="I1047" i="18"/>
  <c r="H1047" i="18"/>
  <c r="I1046" i="18"/>
  <c r="H1046" i="18"/>
  <c r="I1045" i="18"/>
  <c r="H1045" i="18"/>
  <c r="I1044" i="18"/>
  <c r="H1044" i="18"/>
  <c r="I1043" i="18"/>
  <c r="H1043" i="18"/>
  <c r="I1042" i="18"/>
  <c r="H1042" i="18"/>
  <c r="I1041" i="18"/>
  <c r="H1041" i="18"/>
  <c r="I1040" i="18"/>
  <c r="H1040" i="18"/>
  <c r="I1039" i="18"/>
  <c r="H1039" i="18"/>
  <c r="I1038" i="18"/>
  <c r="H1038" i="18"/>
  <c r="I1037" i="18"/>
  <c r="H1037" i="18"/>
  <c r="I1036" i="18"/>
  <c r="H1036" i="18"/>
  <c r="I1035" i="18"/>
  <c r="H1035" i="18"/>
  <c r="I1034" i="18"/>
  <c r="H1034" i="18"/>
  <c r="I1033" i="18"/>
  <c r="H1033" i="18"/>
  <c r="I1032" i="18"/>
  <c r="H1032" i="18"/>
  <c r="I1031" i="18"/>
  <c r="H1031" i="18"/>
  <c r="I1030" i="18"/>
  <c r="H1030" i="18"/>
  <c r="I1029" i="18"/>
  <c r="H1029" i="18"/>
  <c r="I1028" i="18"/>
  <c r="H1028" i="18"/>
  <c r="I1027" i="18"/>
  <c r="H1027" i="18"/>
  <c r="I1026" i="18"/>
  <c r="H1026" i="18"/>
  <c r="I1025" i="18"/>
  <c r="H1025" i="18"/>
  <c r="I1024" i="18"/>
  <c r="H1024" i="18"/>
  <c r="I1023" i="18"/>
  <c r="H1023" i="18"/>
  <c r="I1022" i="18"/>
  <c r="H1022" i="18"/>
  <c r="I1021" i="18"/>
  <c r="H1021" i="18"/>
  <c r="I1020" i="18"/>
  <c r="H1020" i="18"/>
  <c r="I1019" i="18"/>
  <c r="H1019" i="18"/>
  <c r="I1018" i="18"/>
  <c r="H1018" i="18"/>
  <c r="I1017" i="18"/>
  <c r="H1017" i="18"/>
  <c r="I1016" i="18"/>
  <c r="H1016" i="18"/>
  <c r="I1015" i="18"/>
  <c r="H1015" i="18"/>
  <c r="H1014" i="18"/>
  <c r="F1014" i="18"/>
  <c r="I1014" i="18" s="1"/>
  <c r="I1013" i="18"/>
  <c r="H1013" i="18"/>
  <c r="I1012" i="18"/>
  <c r="H1012" i="18"/>
  <c r="I1011" i="18"/>
  <c r="H1011" i="18"/>
  <c r="I1010" i="18"/>
  <c r="H1010" i="18"/>
  <c r="I1009" i="18"/>
  <c r="H1009" i="18"/>
  <c r="I1008" i="18"/>
  <c r="H1008" i="18"/>
  <c r="I1007" i="18"/>
  <c r="H1007" i="18"/>
  <c r="I1006" i="18"/>
  <c r="H1006" i="18"/>
  <c r="I1005" i="18"/>
  <c r="H1005" i="18"/>
  <c r="I1004" i="18"/>
  <c r="H1004" i="18"/>
  <c r="I1003" i="18"/>
  <c r="H1003" i="18"/>
  <c r="H1002" i="18"/>
  <c r="F1002" i="18"/>
  <c r="I1002" i="18" s="1"/>
  <c r="I1001" i="18"/>
  <c r="H1001" i="18"/>
  <c r="I1000" i="18"/>
  <c r="H1000" i="18"/>
  <c r="I999" i="18"/>
  <c r="H999" i="18"/>
  <c r="I998" i="18"/>
  <c r="H998" i="18"/>
  <c r="I997" i="18"/>
  <c r="H997" i="18"/>
  <c r="I996" i="18"/>
  <c r="H996" i="18"/>
  <c r="I995" i="18"/>
  <c r="H995" i="18"/>
  <c r="I994" i="18"/>
  <c r="H994" i="18"/>
  <c r="I993" i="18"/>
  <c r="H993" i="18"/>
  <c r="I992" i="18"/>
  <c r="H992" i="18"/>
  <c r="I991" i="18"/>
  <c r="H991" i="18"/>
  <c r="I990" i="18"/>
  <c r="H990" i="18"/>
  <c r="F990" i="18"/>
  <c r="I989" i="18"/>
  <c r="H989" i="18"/>
  <c r="I988" i="18"/>
  <c r="H988" i="18"/>
  <c r="I987" i="18"/>
  <c r="H987" i="18"/>
  <c r="I986" i="18"/>
  <c r="H986" i="18"/>
  <c r="I985" i="18"/>
  <c r="H985" i="18"/>
  <c r="I984" i="18"/>
  <c r="H984" i="18"/>
  <c r="I983" i="18"/>
  <c r="H983" i="18"/>
  <c r="I982" i="18"/>
  <c r="H982" i="18"/>
  <c r="I981" i="18"/>
  <c r="H981" i="18"/>
  <c r="I980" i="18"/>
  <c r="H980" i="18"/>
  <c r="I979" i="18"/>
  <c r="H979" i="18"/>
  <c r="I978" i="18"/>
  <c r="H978" i="18"/>
  <c r="I977" i="18"/>
  <c r="H977" i="18"/>
  <c r="I976" i="18"/>
  <c r="H976" i="18"/>
  <c r="I975" i="18"/>
  <c r="H975" i="18"/>
  <c r="I974" i="18"/>
  <c r="H974" i="18"/>
  <c r="I973" i="18"/>
  <c r="H973" i="18"/>
  <c r="I972" i="18"/>
  <c r="H972" i="18"/>
  <c r="I971" i="18"/>
  <c r="H971" i="18"/>
  <c r="I970" i="18"/>
  <c r="D970" i="18"/>
  <c r="H970" i="18" s="1"/>
  <c r="I969" i="18"/>
  <c r="H969" i="18"/>
  <c r="I968" i="18"/>
  <c r="H968" i="18"/>
  <c r="I967" i="18"/>
  <c r="H967" i="18"/>
  <c r="I966" i="18"/>
  <c r="H966" i="18"/>
  <c r="I965" i="18"/>
  <c r="H965" i="18"/>
  <c r="F965" i="18"/>
  <c r="I964" i="18"/>
  <c r="H964" i="18"/>
  <c r="I963" i="18"/>
  <c r="H963" i="18"/>
  <c r="I962" i="18"/>
  <c r="H962" i="18"/>
  <c r="I961" i="18"/>
  <c r="H961" i="18"/>
  <c r="I960" i="18"/>
  <c r="H960" i="18"/>
  <c r="I959" i="18"/>
  <c r="H959" i="18"/>
  <c r="I958" i="18"/>
  <c r="H958" i="18"/>
  <c r="I957" i="18"/>
  <c r="H957" i="18"/>
  <c r="F957" i="18"/>
  <c r="I956" i="18"/>
  <c r="H956" i="18"/>
  <c r="I955" i="18"/>
  <c r="H955" i="18"/>
  <c r="I954" i="18"/>
  <c r="H954" i="18"/>
  <c r="I953" i="18"/>
  <c r="H953" i="18"/>
  <c r="I952" i="18"/>
  <c r="H952" i="18"/>
  <c r="I951" i="18"/>
  <c r="H951" i="18"/>
  <c r="I950" i="18"/>
  <c r="H950" i="18"/>
  <c r="I949" i="18"/>
  <c r="H949" i="18"/>
  <c r="I948" i="18"/>
  <c r="H948" i="18"/>
  <c r="I947" i="18"/>
  <c r="H947" i="18"/>
  <c r="I946" i="18"/>
  <c r="H946" i="18"/>
  <c r="I945" i="18"/>
  <c r="H945" i="18"/>
  <c r="I944" i="18"/>
  <c r="H944" i="18"/>
  <c r="I943" i="18"/>
  <c r="H943" i="18"/>
  <c r="I942" i="18"/>
  <c r="H942" i="18"/>
  <c r="I941" i="18"/>
  <c r="H941" i="18"/>
  <c r="I940" i="18"/>
  <c r="H940" i="18"/>
  <c r="I939" i="18"/>
  <c r="H939" i="18"/>
  <c r="I938" i="18"/>
  <c r="H938" i="18"/>
  <c r="F938" i="18"/>
  <c r="I937" i="18"/>
  <c r="H937" i="18"/>
  <c r="I936" i="18"/>
  <c r="H936" i="18"/>
  <c r="I935" i="18"/>
  <c r="H935" i="18"/>
  <c r="I934" i="18"/>
  <c r="H934" i="18"/>
  <c r="I933" i="18"/>
  <c r="H933" i="18"/>
  <c r="I932" i="18"/>
  <c r="H932" i="18"/>
  <c r="I931" i="18"/>
  <c r="H931" i="18"/>
  <c r="I930" i="18"/>
  <c r="H930" i="18"/>
  <c r="I929" i="18"/>
  <c r="H929" i="18"/>
  <c r="I928" i="18"/>
  <c r="H928" i="18"/>
  <c r="I927" i="18"/>
  <c r="H927" i="18"/>
  <c r="I926" i="18"/>
  <c r="H926" i="18"/>
  <c r="I925" i="18"/>
  <c r="H925" i="18"/>
  <c r="I924" i="18"/>
  <c r="H924" i="18"/>
  <c r="I923" i="18"/>
  <c r="H923" i="18"/>
  <c r="I922" i="18"/>
  <c r="H922" i="18"/>
  <c r="I921" i="18"/>
  <c r="H921" i="18"/>
  <c r="I920" i="18"/>
  <c r="H920" i="18"/>
  <c r="I919" i="18"/>
  <c r="H919" i="18"/>
  <c r="I918" i="18"/>
  <c r="H918" i="18"/>
  <c r="I917" i="18"/>
  <c r="H917" i="18"/>
  <c r="I916" i="18"/>
  <c r="H916" i="18"/>
  <c r="I915" i="18"/>
  <c r="H915" i="18"/>
  <c r="I914" i="18"/>
  <c r="H914" i="18"/>
  <c r="I913" i="18"/>
  <c r="H913" i="18"/>
  <c r="I912" i="18"/>
  <c r="H912" i="18"/>
  <c r="I911" i="18"/>
  <c r="H911" i="18"/>
  <c r="I910" i="18"/>
  <c r="H910" i="18"/>
  <c r="I909" i="18"/>
  <c r="H909" i="18"/>
  <c r="I908" i="18"/>
  <c r="H908" i="18"/>
  <c r="I907" i="18"/>
  <c r="H907" i="18"/>
  <c r="I906" i="18"/>
  <c r="H906" i="18"/>
  <c r="I905" i="18"/>
  <c r="H905" i="18"/>
  <c r="I904" i="18"/>
  <c r="H904" i="18"/>
  <c r="I903" i="18"/>
  <c r="H903" i="18"/>
  <c r="I902" i="18"/>
  <c r="H902" i="18"/>
  <c r="I901" i="18"/>
  <c r="H901" i="18"/>
  <c r="I900" i="18"/>
  <c r="H900" i="18"/>
  <c r="I899" i="18"/>
  <c r="H899" i="18"/>
  <c r="I898" i="18"/>
  <c r="H898" i="18"/>
  <c r="I897" i="18"/>
  <c r="H897" i="18"/>
  <c r="I896" i="18"/>
  <c r="H896" i="18"/>
  <c r="F896" i="18"/>
  <c r="I895" i="18"/>
  <c r="H895" i="18"/>
  <c r="I894" i="18"/>
  <c r="H894" i="18"/>
  <c r="I893" i="18"/>
  <c r="H893" i="18"/>
  <c r="I892" i="18"/>
  <c r="H892" i="18"/>
  <c r="I891" i="18"/>
  <c r="H891" i="18"/>
  <c r="I890" i="18"/>
  <c r="H890" i="18"/>
  <c r="I889" i="18"/>
  <c r="H889" i="18"/>
  <c r="I888" i="18"/>
  <c r="H888" i="18"/>
  <c r="I887" i="18"/>
  <c r="H887" i="18"/>
  <c r="I886" i="18"/>
  <c r="H886" i="18"/>
  <c r="I885" i="18"/>
  <c r="H885" i="18"/>
  <c r="I884" i="18"/>
  <c r="H884" i="18"/>
  <c r="D884" i="18"/>
  <c r="I883" i="18"/>
  <c r="H883" i="18"/>
  <c r="I882" i="18"/>
  <c r="H882" i="18"/>
  <c r="I881" i="18"/>
  <c r="H881" i="18"/>
  <c r="I880" i="18"/>
  <c r="H880" i="18"/>
  <c r="I879" i="18"/>
  <c r="H879" i="18"/>
  <c r="H878" i="18"/>
  <c r="F878" i="18"/>
  <c r="I878" i="18" s="1"/>
  <c r="I877" i="18"/>
  <c r="H877" i="18"/>
  <c r="I876" i="18"/>
  <c r="H876" i="18"/>
  <c r="I875" i="18"/>
  <c r="H875" i="18"/>
  <c r="I874" i="18"/>
  <c r="H874" i="18"/>
  <c r="I873" i="18"/>
  <c r="H873" i="18"/>
  <c r="I872" i="18"/>
  <c r="H872" i="18"/>
  <c r="I871" i="18"/>
  <c r="H871" i="18"/>
  <c r="I870" i="18"/>
  <c r="H870" i="18"/>
  <c r="I869" i="18"/>
  <c r="H869" i="18"/>
  <c r="I868" i="18"/>
  <c r="H868" i="18"/>
  <c r="I867" i="18"/>
  <c r="H867" i="18"/>
  <c r="I866" i="18"/>
  <c r="H866" i="18"/>
  <c r="I865" i="18"/>
  <c r="H865" i="18"/>
  <c r="I864" i="18"/>
  <c r="H864" i="18"/>
  <c r="I863" i="18"/>
  <c r="H863" i="18"/>
  <c r="I862" i="18"/>
  <c r="H862" i="18"/>
  <c r="D862" i="18"/>
  <c r="I861" i="18"/>
  <c r="H861" i="18"/>
  <c r="I860" i="18"/>
  <c r="H860" i="18"/>
  <c r="I859" i="18"/>
  <c r="H859" i="18"/>
  <c r="I858" i="18"/>
  <c r="H858" i="18"/>
  <c r="I857" i="18"/>
  <c r="H857" i="18"/>
  <c r="I856" i="18"/>
  <c r="H856" i="18"/>
  <c r="I855" i="18"/>
  <c r="H855" i="18"/>
  <c r="I854" i="18"/>
  <c r="H854" i="18"/>
  <c r="I853" i="18"/>
  <c r="H853" i="18"/>
  <c r="I852" i="18"/>
  <c r="H852" i="18"/>
  <c r="I851" i="18"/>
  <c r="D851" i="18"/>
  <c r="H851" i="18" s="1"/>
  <c r="I850" i="18"/>
  <c r="H850" i="18"/>
  <c r="I849" i="18"/>
  <c r="H849" i="18"/>
  <c r="I848" i="18"/>
  <c r="H848" i="18"/>
  <c r="I847" i="18"/>
  <c r="H847" i="18"/>
  <c r="I846" i="18"/>
  <c r="H846" i="18"/>
  <c r="I845" i="18"/>
  <c r="H845" i="18"/>
  <c r="I844" i="18"/>
  <c r="H844" i="18"/>
  <c r="I843" i="18"/>
  <c r="H843" i="18"/>
  <c r="I842" i="18"/>
  <c r="H842" i="18"/>
  <c r="I841" i="18"/>
  <c r="H841" i="18"/>
  <c r="I840" i="18"/>
  <c r="H840" i="18"/>
  <c r="I839" i="18"/>
  <c r="H839" i="18"/>
  <c r="I838" i="18"/>
  <c r="H838" i="18"/>
  <c r="I837" i="18"/>
  <c r="H837" i="18"/>
  <c r="I836" i="18"/>
  <c r="H836" i="18"/>
  <c r="I835" i="18"/>
  <c r="H835" i="18"/>
  <c r="I834" i="18"/>
  <c r="H834" i="18"/>
  <c r="I833" i="18"/>
  <c r="H833" i="18"/>
  <c r="I832" i="18"/>
  <c r="H832" i="18"/>
  <c r="I831" i="18"/>
  <c r="H831" i="18"/>
  <c r="I830" i="18"/>
  <c r="H830" i="18"/>
  <c r="I829" i="18"/>
  <c r="H829" i="18"/>
  <c r="I828" i="18"/>
  <c r="H828" i="18"/>
  <c r="I827" i="18"/>
  <c r="H827" i="18"/>
  <c r="I826" i="18"/>
  <c r="H826" i="18"/>
  <c r="I825" i="18"/>
  <c r="H825" i="18"/>
  <c r="I824" i="18"/>
  <c r="H824" i="18"/>
  <c r="I823" i="18"/>
  <c r="H823" i="18"/>
  <c r="I822" i="18"/>
  <c r="H822" i="18"/>
  <c r="I821" i="18"/>
  <c r="H821" i="18"/>
  <c r="I820" i="18"/>
  <c r="H820" i="18"/>
  <c r="I819" i="18"/>
  <c r="H819" i="18"/>
  <c r="I818" i="18"/>
  <c r="H818" i="18"/>
  <c r="I817" i="18"/>
  <c r="H817" i="18"/>
  <c r="I816" i="18"/>
  <c r="H816" i="18"/>
  <c r="I815" i="18"/>
  <c r="H815" i="18"/>
  <c r="I814" i="18"/>
  <c r="H814" i="18"/>
  <c r="I813" i="18"/>
  <c r="H813" i="18"/>
  <c r="I812" i="18"/>
  <c r="H812" i="18"/>
  <c r="I811" i="18"/>
  <c r="H811" i="18"/>
  <c r="I810" i="18"/>
  <c r="H810" i="18"/>
  <c r="I809" i="18"/>
  <c r="H809" i="18"/>
  <c r="I808" i="18"/>
  <c r="H808" i="18"/>
  <c r="I807" i="18"/>
  <c r="H807" i="18"/>
  <c r="I806" i="18"/>
  <c r="H806" i="18"/>
  <c r="D806" i="18"/>
  <c r="I805" i="18"/>
  <c r="H805" i="18"/>
  <c r="I804" i="18"/>
  <c r="H804" i="18"/>
  <c r="I803" i="18"/>
  <c r="H803" i="18"/>
  <c r="I802" i="18"/>
  <c r="H802" i="18"/>
  <c r="I801" i="18"/>
  <c r="H801" i="18"/>
  <c r="I800" i="18"/>
  <c r="H800" i="18"/>
  <c r="I799" i="18"/>
  <c r="H799" i="18"/>
  <c r="I798" i="18"/>
  <c r="H798" i="18"/>
  <c r="I797" i="18"/>
  <c r="H797" i="18"/>
  <c r="I796" i="18"/>
  <c r="H796" i="18"/>
  <c r="I795" i="18"/>
  <c r="H795" i="18"/>
  <c r="I794" i="18"/>
  <c r="H794" i="18"/>
  <c r="I793" i="18"/>
  <c r="H793" i="18"/>
  <c r="I792" i="18"/>
  <c r="H792" i="18"/>
  <c r="I791" i="18"/>
  <c r="H791" i="18"/>
  <c r="I790" i="18"/>
  <c r="H790" i="18"/>
  <c r="I789" i="18"/>
  <c r="H789" i="18"/>
  <c r="I788" i="18"/>
  <c r="D788" i="18"/>
  <c r="H788" i="18" s="1"/>
  <c r="I787" i="18"/>
  <c r="H787" i="18"/>
  <c r="I786" i="18"/>
  <c r="H786" i="18"/>
  <c r="I785" i="18"/>
  <c r="H785" i="18"/>
  <c r="D785" i="18"/>
  <c r="I784" i="18"/>
  <c r="H784" i="18"/>
  <c r="I783" i="18"/>
  <c r="H783" i="18"/>
  <c r="I782" i="18"/>
  <c r="H782" i="18"/>
  <c r="I781" i="18"/>
  <c r="H781" i="18"/>
  <c r="I780" i="18"/>
  <c r="D780" i="18"/>
  <c r="H780" i="18" s="1"/>
  <c r="I779" i="18"/>
  <c r="H779" i="18"/>
  <c r="I778" i="18"/>
  <c r="H778" i="18"/>
  <c r="I777" i="18"/>
  <c r="H777" i="18"/>
  <c r="I776" i="18"/>
  <c r="H776" i="18"/>
  <c r="I775" i="18"/>
  <c r="H775" i="18"/>
  <c r="I774" i="18"/>
  <c r="H774" i="18"/>
  <c r="I773" i="18"/>
  <c r="H773" i="18"/>
  <c r="I772" i="18"/>
  <c r="H772" i="18"/>
  <c r="I771" i="18"/>
  <c r="H771" i="18"/>
  <c r="I770" i="18"/>
  <c r="H770" i="18"/>
  <c r="I769" i="18"/>
  <c r="H769" i="18"/>
  <c r="I768" i="18"/>
  <c r="H768" i="18"/>
  <c r="I767" i="18"/>
  <c r="H767" i="18"/>
  <c r="I766" i="18"/>
  <c r="H766" i="18"/>
  <c r="I765" i="18"/>
  <c r="H765" i="18"/>
  <c r="I764" i="18"/>
  <c r="H764" i="18"/>
  <c r="I763" i="18"/>
  <c r="H763" i="18"/>
  <c r="I762" i="18"/>
  <c r="H762" i="18"/>
  <c r="I761" i="18"/>
  <c r="H761" i="18"/>
  <c r="I760" i="18"/>
  <c r="H760" i="18"/>
  <c r="I759" i="18"/>
  <c r="H759" i="18"/>
  <c r="I758" i="18"/>
  <c r="H758" i="18"/>
  <c r="I757" i="18"/>
  <c r="H757" i="18"/>
  <c r="I756" i="18"/>
  <c r="H756" i="18"/>
  <c r="I755" i="18"/>
  <c r="H755" i="18"/>
  <c r="I754" i="18"/>
  <c r="H754" i="18"/>
  <c r="I753" i="18"/>
  <c r="H753" i="18"/>
  <c r="I752" i="18"/>
  <c r="H752" i="18"/>
  <c r="I751" i="18"/>
  <c r="H751" i="18"/>
  <c r="I750" i="18"/>
  <c r="H750" i="18"/>
  <c r="I749" i="18"/>
  <c r="H749" i="18"/>
  <c r="I748" i="18"/>
  <c r="H748" i="18"/>
  <c r="I747" i="18"/>
  <c r="H747" i="18"/>
  <c r="I746" i="18"/>
  <c r="H746" i="18"/>
  <c r="I745" i="18"/>
  <c r="H745" i="18"/>
  <c r="I744" i="18"/>
  <c r="H744" i="18"/>
  <c r="I743" i="18"/>
  <c r="H743" i="18"/>
  <c r="I742" i="18"/>
  <c r="H742" i="18"/>
  <c r="I741" i="18"/>
  <c r="H741" i="18"/>
  <c r="I740" i="18"/>
  <c r="H740" i="18"/>
  <c r="I739" i="18"/>
  <c r="H739" i="18"/>
  <c r="I738" i="18"/>
  <c r="H738" i="18"/>
  <c r="I737" i="18"/>
  <c r="H737" i="18"/>
  <c r="I736" i="18"/>
  <c r="H736" i="18"/>
  <c r="I735" i="18"/>
  <c r="H735" i="18"/>
  <c r="I734" i="18"/>
  <c r="H734" i="18"/>
  <c r="I733" i="18"/>
  <c r="H733" i="18"/>
  <c r="I732" i="18"/>
  <c r="H732" i="18"/>
  <c r="I731" i="18"/>
  <c r="H731" i="18"/>
  <c r="I730" i="18"/>
  <c r="H730" i="18"/>
  <c r="I729" i="18"/>
  <c r="H729" i="18"/>
  <c r="I728" i="18"/>
  <c r="H728" i="18"/>
  <c r="I727" i="18"/>
  <c r="H727" i="18"/>
  <c r="I726" i="18"/>
  <c r="H726" i="18"/>
  <c r="I725" i="18"/>
  <c r="H725" i="18"/>
  <c r="I724" i="18"/>
  <c r="H724" i="18"/>
  <c r="I723" i="18"/>
  <c r="H723" i="18"/>
  <c r="I722" i="18"/>
  <c r="H722" i="18"/>
  <c r="I721" i="18"/>
  <c r="H721" i="18"/>
  <c r="I720" i="18"/>
  <c r="H720" i="18"/>
  <c r="I719" i="18"/>
  <c r="H719" i="18"/>
  <c r="I718" i="18"/>
  <c r="H718" i="18"/>
  <c r="I717" i="18"/>
  <c r="H717" i="18"/>
  <c r="I716" i="18"/>
  <c r="H716" i="18"/>
  <c r="I715" i="18"/>
  <c r="H715" i="18"/>
  <c r="I714" i="18"/>
  <c r="H714" i="18"/>
  <c r="I713" i="18"/>
  <c r="H713" i="18"/>
  <c r="I712" i="18"/>
  <c r="H712" i="18"/>
  <c r="I711" i="18"/>
  <c r="H711" i="18"/>
  <c r="I710" i="18"/>
  <c r="H710" i="18"/>
  <c r="I709" i="18"/>
  <c r="H709" i="18"/>
  <c r="I708" i="18"/>
  <c r="H708" i="18"/>
  <c r="I707" i="18"/>
  <c r="H707" i="18"/>
  <c r="I706" i="18"/>
  <c r="H706" i="18"/>
  <c r="I705" i="18"/>
  <c r="H705" i="18"/>
  <c r="I704" i="18"/>
  <c r="H704" i="18"/>
  <c r="I703" i="18"/>
  <c r="H703" i="18"/>
  <c r="I702" i="18"/>
  <c r="H702" i="18"/>
  <c r="I701" i="18"/>
  <c r="H701" i="18"/>
  <c r="I700" i="18"/>
  <c r="H700" i="18"/>
  <c r="I699" i="18"/>
  <c r="H699" i="18"/>
  <c r="I698" i="18"/>
  <c r="H698" i="18"/>
  <c r="I697" i="18"/>
  <c r="H697" i="18"/>
  <c r="I696" i="18"/>
  <c r="H696" i="18"/>
  <c r="I695" i="18"/>
  <c r="H695" i="18"/>
  <c r="I694" i="18"/>
  <c r="H694" i="18"/>
  <c r="I693" i="18"/>
  <c r="H693" i="18"/>
  <c r="I692" i="18"/>
  <c r="H692" i="18"/>
  <c r="I691" i="18"/>
  <c r="H691" i="18"/>
  <c r="I690" i="18"/>
  <c r="H690" i="18"/>
  <c r="I689" i="18"/>
  <c r="H689" i="18"/>
  <c r="I688" i="18"/>
  <c r="H688" i="18"/>
  <c r="I687" i="18"/>
  <c r="H687" i="18"/>
  <c r="I686" i="18"/>
  <c r="H686" i="18"/>
  <c r="I685" i="18"/>
  <c r="H685" i="18"/>
  <c r="D685" i="18"/>
  <c r="I684" i="18"/>
  <c r="H684" i="18"/>
  <c r="I683" i="18"/>
  <c r="H683" i="18"/>
  <c r="I682" i="18"/>
  <c r="H682" i="18"/>
  <c r="I681" i="18"/>
  <c r="H681" i="18"/>
  <c r="I680" i="18"/>
  <c r="H680" i="18"/>
  <c r="I679" i="18"/>
  <c r="H679" i="18"/>
  <c r="I678" i="18"/>
  <c r="H678" i="18"/>
  <c r="I677" i="18"/>
  <c r="H677" i="18"/>
  <c r="I676" i="18"/>
  <c r="H676" i="18"/>
  <c r="I675" i="18"/>
  <c r="H675" i="18"/>
  <c r="I674" i="18"/>
  <c r="H674" i="18"/>
  <c r="I673" i="18"/>
  <c r="H673" i="18"/>
  <c r="I672" i="18"/>
  <c r="H672" i="18"/>
  <c r="I671" i="18"/>
  <c r="H671" i="18"/>
  <c r="I670" i="18"/>
  <c r="H670" i="18"/>
  <c r="I669" i="18"/>
  <c r="H669" i="18"/>
  <c r="I668" i="18"/>
  <c r="H668" i="18"/>
  <c r="I667" i="18"/>
  <c r="H667" i="18"/>
  <c r="I666" i="18"/>
  <c r="H666" i="18"/>
  <c r="I665" i="18"/>
  <c r="H665" i="18"/>
  <c r="I664" i="18"/>
  <c r="H664" i="18"/>
  <c r="I663" i="18"/>
  <c r="H663" i="18"/>
  <c r="I662" i="18"/>
  <c r="H662" i="18"/>
  <c r="I661" i="18"/>
  <c r="H661" i="18"/>
  <c r="I660" i="18"/>
  <c r="H660" i="18"/>
  <c r="I659" i="18"/>
  <c r="H659" i="18"/>
  <c r="I658" i="18"/>
  <c r="H658" i="18"/>
  <c r="I657" i="18"/>
  <c r="H657" i="18"/>
  <c r="I656" i="18"/>
  <c r="H656" i="18"/>
  <c r="I655" i="18"/>
  <c r="H655" i="18"/>
  <c r="I654" i="18"/>
  <c r="H654" i="18"/>
  <c r="I653" i="18"/>
  <c r="H653" i="18"/>
  <c r="I652" i="18"/>
  <c r="H652" i="18"/>
  <c r="I651" i="18"/>
  <c r="H651" i="18"/>
  <c r="I650" i="18"/>
  <c r="H650" i="18"/>
  <c r="I649" i="18"/>
  <c r="H649" i="18"/>
  <c r="I648" i="18"/>
  <c r="H648" i="18"/>
  <c r="I647" i="18"/>
  <c r="H647" i="18"/>
  <c r="I646" i="18"/>
  <c r="H646" i="18"/>
  <c r="I645" i="18"/>
  <c r="H645" i="18"/>
  <c r="I644" i="18"/>
  <c r="H644" i="18"/>
  <c r="I643" i="18"/>
  <c r="D643" i="18"/>
  <c r="H643" i="18" s="1"/>
  <c r="I642" i="18"/>
  <c r="H642" i="18"/>
  <c r="D642" i="18"/>
  <c r="I641" i="18"/>
  <c r="H641" i="18"/>
  <c r="I640" i="18"/>
  <c r="H640" i="18"/>
  <c r="I639" i="18"/>
  <c r="H639" i="18"/>
  <c r="I638" i="18"/>
  <c r="H638" i="18"/>
  <c r="I637" i="18"/>
  <c r="H637" i="18"/>
  <c r="I636" i="18"/>
  <c r="H636" i="18"/>
  <c r="I635" i="18"/>
  <c r="H635" i="18"/>
  <c r="I634" i="18"/>
  <c r="H634" i="18"/>
  <c r="I633" i="18"/>
  <c r="D633" i="18"/>
  <c r="H633" i="18" s="1"/>
  <c r="I632" i="18"/>
  <c r="H632" i="18"/>
  <c r="I631" i="18"/>
  <c r="H631" i="18"/>
  <c r="I630" i="18"/>
  <c r="H630" i="18"/>
  <c r="I629" i="18"/>
  <c r="H629" i="18"/>
  <c r="I628" i="18"/>
  <c r="H628" i="18"/>
  <c r="I627" i="18"/>
  <c r="H627" i="18"/>
  <c r="D627" i="18"/>
  <c r="I626" i="18"/>
  <c r="H626" i="18"/>
  <c r="I625" i="18"/>
  <c r="H625" i="18"/>
  <c r="I624" i="18"/>
  <c r="H624" i="18"/>
  <c r="I623" i="18"/>
  <c r="H623" i="18"/>
  <c r="I622" i="18"/>
  <c r="H622" i="18"/>
  <c r="I621" i="18"/>
  <c r="H621" i="18"/>
  <c r="I620" i="18"/>
  <c r="H620" i="18"/>
  <c r="I619" i="18"/>
  <c r="H619" i="18"/>
  <c r="I618" i="18"/>
  <c r="H618" i="18"/>
  <c r="I617" i="18"/>
  <c r="H617" i="18"/>
  <c r="I616" i="18"/>
  <c r="H616" i="18"/>
  <c r="I615" i="18"/>
  <c r="H615" i="18"/>
  <c r="I614" i="18"/>
  <c r="H614" i="18"/>
  <c r="I613" i="18"/>
  <c r="H613" i="18"/>
  <c r="I612" i="18"/>
  <c r="D612" i="18"/>
  <c r="H612" i="18" s="1"/>
  <c r="I611" i="18"/>
  <c r="H611" i="18"/>
  <c r="I610" i="18"/>
  <c r="H610" i="18"/>
  <c r="I609" i="18"/>
  <c r="H609" i="18"/>
  <c r="I608" i="18"/>
  <c r="H608" i="18"/>
  <c r="I607" i="18"/>
  <c r="H607" i="18"/>
  <c r="I606" i="18"/>
  <c r="H606" i="18"/>
  <c r="I605" i="18"/>
  <c r="H605" i="18"/>
  <c r="I604" i="18"/>
  <c r="H604" i="18"/>
  <c r="I603" i="18"/>
  <c r="H603" i="18"/>
  <c r="I602" i="18"/>
  <c r="H602" i="18"/>
  <c r="I601" i="18"/>
  <c r="H601" i="18"/>
  <c r="I600" i="18"/>
  <c r="H600" i="18"/>
  <c r="I599" i="18"/>
  <c r="H599" i="18"/>
  <c r="I598" i="18"/>
  <c r="H598" i="18"/>
  <c r="I597" i="18"/>
  <c r="H597" i="18"/>
  <c r="I596" i="18"/>
  <c r="H596" i="18"/>
  <c r="I595" i="18"/>
  <c r="H595" i="18"/>
  <c r="I594" i="18"/>
  <c r="H594" i="18"/>
  <c r="I593" i="18"/>
  <c r="H593" i="18"/>
  <c r="I592" i="18"/>
  <c r="H592" i="18"/>
  <c r="I591" i="18"/>
  <c r="H591" i="18"/>
  <c r="I590" i="18"/>
  <c r="H590" i="18"/>
  <c r="I589" i="18"/>
  <c r="H589" i="18"/>
  <c r="I588" i="18"/>
  <c r="H588" i="18"/>
  <c r="I587" i="18"/>
  <c r="H587" i="18"/>
  <c r="I586" i="18"/>
  <c r="H586" i="18"/>
  <c r="I585" i="18"/>
  <c r="H585" i="18"/>
  <c r="I584" i="18"/>
  <c r="H584" i="18"/>
  <c r="I583" i="18"/>
  <c r="H583" i="18"/>
  <c r="I582" i="18"/>
  <c r="H582" i="18"/>
  <c r="I581" i="18"/>
  <c r="H581" i="18"/>
  <c r="I580" i="18"/>
  <c r="H580" i="18"/>
  <c r="I579" i="18"/>
  <c r="H579" i="18"/>
  <c r="I578" i="18"/>
  <c r="H578" i="18"/>
  <c r="I577" i="18"/>
  <c r="H577" i="18"/>
  <c r="I576" i="18"/>
  <c r="H576" i="18"/>
  <c r="I575" i="18"/>
  <c r="H575" i="18"/>
  <c r="I574" i="18"/>
  <c r="H574" i="18"/>
  <c r="I573" i="18"/>
  <c r="H573" i="18"/>
  <c r="I572" i="18"/>
  <c r="H572" i="18"/>
  <c r="I571" i="18"/>
  <c r="H571" i="18"/>
  <c r="I570" i="18"/>
  <c r="H570" i="18"/>
  <c r="I569" i="18"/>
  <c r="H569" i="18"/>
  <c r="I568" i="18"/>
  <c r="H568" i="18"/>
  <c r="I567" i="18"/>
  <c r="H567" i="18"/>
  <c r="I566" i="18"/>
  <c r="H566" i="18"/>
  <c r="I565" i="18"/>
  <c r="H565" i="18"/>
  <c r="I564" i="18"/>
  <c r="H564" i="18"/>
  <c r="I563" i="18"/>
  <c r="H563" i="18"/>
  <c r="I562" i="18"/>
  <c r="H562" i="18"/>
  <c r="I561" i="18"/>
  <c r="H561" i="18"/>
  <c r="I560" i="18"/>
  <c r="H560" i="18"/>
  <c r="I559" i="18"/>
  <c r="H559" i="18"/>
  <c r="I558" i="18"/>
  <c r="H558" i="18"/>
  <c r="I557" i="18"/>
  <c r="H557" i="18"/>
  <c r="I556" i="18"/>
  <c r="H556" i="18"/>
  <c r="I555" i="18"/>
  <c r="H555" i="18"/>
  <c r="I554" i="18"/>
  <c r="H554" i="18"/>
  <c r="I553" i="18"/>
  <c r="H553" i="18"/>
  <c r="I552" i="18"/>
  <c r="H552" i="18"/>
  <c r="I551" i="18"/>
  <c r="H551" i="18"/>
  <c r="I550" i="18"/>
  <c r="H550" i="18"/>
  <c r="I549" i="18"/>
  <c r="H549" i="18"/>
  <c r="I548" i="18"/>
  <c r="H548" i="18"/>
  <c r="I547" i="18"/>
  <c r="H547" i="18"/>
  <c r="I546" i="18"/>
  <c r="H546" i="18"/>
  <c r="I545" i="18"/>
  <c r="H545" i="18"/>
  <c r="I544" i="18"/>
  <c r="H544" i="18"/>
  <c r="I543" i="18"/>
  <c r="H543" i="18"/>
  <c r="I542" i="18"/>
  <c r="H542" i="18"/>
  <c r="I541" i="18"/>
  <c r="H541" i="18"/>
  <c r="I540" i="18"/>
  <c r="H540" i="18"/>
  <c r="I539" i="18"/>
  <c r="H539" i="18"/>
  <c r="I538" i="18"/>
  <c r="H538" i="18"/>
  <c r="I537" i="18"/>
  <c r="H537" i="18"/>
  <c r="I536" i="18"/>
  <c r="H536" i="18"/>
  <c r="I535" i="18"/>
  <c r="H535" i="18"/>
  <c r="I534" i="18"/>
  <c r="H534" i="18"/>
  <c r="I533" i="18"/>
  <c r="H533" i="18"/>
  <c r="I532" i="18"/>
  <c r="H532" i="18"/>
  <c r="I531" i="18"/>
  <c r="H531" i="18"/>
  <c r="I530" i="18"/>
  <c r="H530" i="18"/>
  <c r="I529" i="18"/>
  <c r="H529" i="18"/>
  <c r="I528" i="18"/>
  <c r="H528" i="18"/>
  <c r="I527" i="18"/>
  <c r="H527" i="18"/>
  <c r="I526" i="18"/>
  <c r="H526" i="18"/>
  <c r="I525" i="18"/>
  <c r="H525" i="18"/>
  <c r="I524" i="18"/>
  <c r="H524" i="18"/>
  <c r="I523" i="18"/>
  <c r="H523" i="18"/>
  <c r="I522" i="18"/>
  <c r="H522" i="18"/>
  <c r="I521" i="18"/>
  <c r="H521" i="18"/>
  <c r="I520" i="18"/>
  <c r="H520" i="18"/>
  <c r="I519" i="18"/>
  <c r="H519" i="18"/>
  <c r="I518" i="18"/>
  <c r="H518" i="18"/>
  <c r="I517" i="18"/>
  <c r="H517" i="18"/>
  <c r="I516" i="18"/>
  <c r="H516" i="18"/>
  <c r="D516" i="18"/>
  <c r="I515" i="18"/>
  <c r="H515" i="18"/>
  <c r="I514" i="18"/>
  <c r="H514" i="18"/>
  <c r="I513" i="18"/>
  <c r="H513" i="18"/>
  <c r="I512" i="18"/>
  <c r="H512" i="18"/>
  <c r="I511" i="18"/>
  <c r="H511" i="18"/>
  <c r="I510" i="18"/>
  <c r="H510" i="18"/>
  <c r="I509" i="18"/>
  <c r="H509" i="18"/>
  <c r="I508" i="18"/>
  <c r="H508" i="18"/>
  <c r="I507" i="18"/>
  <c r="H507" i="18"/>
  <c r="I506" i="18"/>
  <c r="H506" i="18"/>
  <c r="I505" i="18"/>
  <c r="H505" i="18"/>
  <c r="I504" i="18"/>
  <c r="H504" i="18"/>
  <c r="I503" i="18"/>
  <c r="H503" i="18"/>
  <c r="I502" i="18"/>
  <c r="H502" i="18"/>
  <c r="I501" i="18"/>
  <c r="H501" i="18"/>
  <c r="I500" i="18"/>
  <c r="H500" i="18"/>
  <c r="I499" i="18"/>
  <c r="H499" i="18"/>
  <c r="I498" i="18"/>
  <c r="H498" i="18"/>
  <c r="I497" i="18"/>
  <c r="H497" i="18"/>
  <c r="I496" i="18"/>
  <c r="H496" i="18"/>
  <c r="I495" i="18"/>
  <c r="H495" i="18"/>
  <c r="I494" i="18"/>
  <c r="H494" i="18"/>
  <c r="I493" i="18"/>
  <c r="H493" i="18"/>
  <c r="I492" i="18"/>
  <c r="H492" i="18"/>
  <c r="I491" i="18"/>
  <c r="H491" i="18"/>
  <c r="I490" i="18"/>
  <c r="H490" i="18"/>
  <c r="I489" i="18"/>
  <c r="H489" i="18"/>
  <c r="I488" i="18"/>
  <c r="H488" i="18"/>
  <c r="I487" i="18"/>
  <c r="H487" i="18"/>
  <c r="I486" i="18"/>
  <c r="H486" i="18"/>
  <c r="I485" i="18"/>
  <c r="H485" i="18"/>
  <c r="I484" i="18"/>
  <c r="H484" i="18"/>
  <c r="I483" i="18"/>
  <c r="H483" i="18"/>
  <c r="I482" i="18"/>
  <c r="H482" i="18"/>
  <c r="I481" i="18"/>
  <c r="H481" i="18"/>
  <c r="I480" i="18"/>
  <c r="H480" i="18"/>
  <c r="I479" i="18"/>
  <c r="H479" i="18"/>
  <c r="I478" i="18"/>
  <c r="H478" i="18"/>
  <c r="I477" i="18"/>
  <c r="H477" i="18"/>
  <c r="I476" i="18"/>
  <c r="H476" i="18"/>
  <c r="I475" i="18"/>
  <c r="H475" i="18"/>
  <c r="I474" i="18"/>
  <c r="H474" i="18"/>
  <c r="I473" i="18"/>
  <c r="H473" i="18"/>
  <c r="I472" i="18"/>
  <c r="H472" i="18"/>
  <c r="I471" i="18"/>
  <c r="H471" i="18"/>
  <c r="I470" i="18"/>
  <c r="H470" i="18"/>
  <c r="I469" i="18"/>
  <c r="H469" i="18"/>
  <c r="I468" i="18"/>
  <c r="H468" i="18"/>
  <c r="I467" i="18"/>
  <c r="H467" i="18"/>
  <c r="I466" i="18"/>
  <c r="H466" i="18"/>
  <c r="I465" i="18"/>
  <c r="H465" i="18"/>
  <c r="I464" i="18"/>
  <c r="H464" i="18"/>
  <c r="I463" i="18"/>
  <c r="H463" i="18"/>
  <c r="I462" i="18"/>
  <c r="H462" i="18"/>
  <c r="I461" i="18"/>
  <c r="H461" i="18"/>
  <c r="I460" i="18"/>
  <c r="H460" i="18"/>
  <c r="I459" i="18"/>
  <c r="H459" i="18"/>
  <c r="I458" i="18"/>
  <c r="H458" i="18"/>
  <c r="I457" i="18"/>
  <c r="H457" i="18"/>
  <c r="I456" i="18"/>
  <c r="H456" i="18"/>
  <c r="I455" i="18"/>
  <c r="H455" i="18"/>
  <c r="I454" i="18"/>
  <c r="H454" i="18"/>
  <c r="I453" i="18"/>
  <c r="H453" i="18"/>
  <c r="I452" i="18"/>
  <c r="D452" i="18"/>
  <c r="H452" i="18" s="1"/>
  <c r="I451" i="18"/>
  <c r="H451" i="18"/>
  <c r="I450" i="18"/>
  <c r="H450" i="18"/>
  <c r="I449" i="18"/>
  <c r="H449" i="18"/>
  <c r="I448" i="18"/>
  <c r="H448" i="18"/>
  <c r="I447" i="18"/>
  <c r="H447" i="18"/>
  <c r="I446" i="18"/>
  <c r="H446" i="18"/>
  <c r="I445" i="18"/>
  <c r="H445" i="18"/>
  <c r="I444" i="18"/>
  <c r="H444" i="18"/>
  <c r="I443" i="18"/>
  <c r="H443" i="18"/>
  <c r="I442" i="18"/>
  <c r="H442" i="18"/>
  <c r="I441" i="18"/>
  <c r="H441" i="18"/>
  <c r="I440" i="18"/>
  <c r="H440" i="18"/>
  <c r="I439" i="18"/>
  <c r="H439" i="18"/>
  <c r="I438" i="18"/>
  <c r="H438" i="18"/>
  <c r="I437" i="18"/>
  <c r="H437" i="18"/>
  <c r="I436" i="18"/>
  <c r="H436" i="18"/>
  <c r="I435" i="18"/>
  <c r="H435" i="18"/>
  <c r="I434" i="18"/>
  <c r="H434" i="18"/>
  <c r="I433" i="18"/>
  <c r="H433" i="18"/>
  <c r="I432" i="18"/>
  <c r="H432" i="18"/>
  <c r="I431" i="18"/>
  <c r="H431" i="18"/>
  <c r="I430" i="18"/>
  <c r="H430" i="18"/>
  <c r="I429" i="18"/>
  <c r="H429" i="18"/>
  <c r="I428" i="18"/>
  <c r="H428" i="18"/>
  <c r="I427" i="18"/>
  <c r="H427" i="18"/>
  <c r="I426" i="18"/>
  <c r="H426" i="18"/>
  <c r="I425" i="18"/>
  <c r="H425" i="18"/>
  <c r="I424" i="18"/>
  <c r="H424" i="18"/>
  <c r="I423" i="18"/>
  <c r="H423" i="18"/>
  <c r="I422" i="18"/>
  <c r="H422" i="18"/>
  <c r="I421" i="18"/>
  <c r="H421" i="18"/>
  <c r="I420" i="18"/>
  <c r="H420" i="18"/>
  <c r="I419" i="18"/>
  <c r="H419" i="18"/>
  <c r="I418" i="18"/>
  <c r="H418" i="18"/>
  <c r="I417" i="18"/>
  <c r="H417" i="18"/>
  <c r="I416" i="18"/>
  <c r="H416" i="18"/>
  <c r="I415" i="18"/>
  <c r="H415" i="18"/>
  <c r="I414" i="18"/>
  <c r="H414" i="18"/>
  <c r="I413" i="18"/>
  <c r="H413" i="18"/>
  <c r="I412" i="18"/>
  <c r="H412" i="18"/>
  <c r="I411" i="18"/>
  <c r="H411" i="18"/>
  <c r="I410" i="18"/>
  <c r="H410" i="18"/>
  <c r="I409" i="18"/>
  <c r="H409" i="18"/>
  <c r="I408" i="18"/>
  <c r="H408" i="18"/>
  <c r="D408" i="18"/>
  <c r="I407" i="18"/>
  <c r="H407" i="18"/>
  <c r="I406" i="18"/>
  <c r="H406" i="18"/>
  <c r="I405" i="18"/>
  <c r="H405" i="18"/>
  <c r="I404" i="18"/>
  <c r="H404" i="18"/>
  <c r="I403" i="18"/>
  <c r="H403" i="18"/>
  <c r="I402" i="18"/>
  <c r="H402" i="18"/>
  <c r="I401" i="18"/>
  <c r="H401" i="18"/>
  <c r="I400" i="18"/>
  <c r="H400" i="18"/>
  <c r="I399" i="18"/>
  <c r="H399" i="18"/>
  <c r="I398" i="18"/>
  <c r="H398" i="18"/>
  <c r="I397" i="18"/>
  <c r="H397" i="18"/>
  <c r="I396" i="18"/>
  <c r="H396" i="18"/>
  <c r="I395" i="18"/>
  <c r="H395" i="18"/>
  <c r="I394" i="18"/>
  <c r="H394" i="18"/>
  <c r="I393" i="18"/>
  <c r="H393" i="18"/>
  <c r="I392" i="18"/>
  <c r="H392" i="18"/>
  <c r="I391" i="18"/>
  <c r="H391" i="18"/>
  <c r="I390" i="18"/>
  <c r="H390" i="18"/>
  <c r="I389" i="18"/>
  <c r="H389" i="18"/>
  <c r="I388" i="18"/>
  <c r="H388" i="18"/>
  <c r="I387" i="18"/>
  <c r="H387" i="18"/>
  <c r="I386" i="18"/>
  <c r="H386" i="18"/>
  <c r="I385" i="18"/>
  <c r="H385" i="18"/>
  <c r="I384" i="18"/>
  <c r="H384" i="18"/>
  <c r="I383" i="18"/>
  <c r="H383" i="18"/>
  <c r="I382" i="18"/>
  <c r="H382" i="18"/>
  <c r="I381" i="18"/>
  <c r="H381" i="18"/>
  <c r="I380" i="18"/>
  <c r="H380" i="18"/>
  <c r="I379" i="18"/>
  <c r="H379" i="18"/>
  <c r="I378" i="18"/>
  <c r="H378" i="18"/>
  <c r="I377" i="18"/>
  <c r="H377" i="18"/>
  <c r="I376" i="18"/>
  <c r="H376" i="18"/>
  <c r="I375" i="18"/>
  <c r="H375" i="18"/>
  <c r="I374" i="18"/>
  <c r="H374" i="18"/>
  <c r="I373" i="18"/>
  <c r="H373" i="18"/>
  <c r="I372" i="18"/>
  <c r="H372" i="18"/>
  <c r="I371" i="18"/>
  <c r="H371" i="18"/>
  <c r="I370" i="18"/>
  <c r="H370" i="18"/>
  <c r="I369" i="18"/>
  <c r="H369" i="18"/>
  <c r="I368" i="18"/>
  <c r="H368" i="18"/>
  <c r="I367" i="18"/>
  <c r="H367" i="18"/>
  <c r="I366" i="18"/>
  <c r="H366" i="18"/>
  <c r="I365" i="18"/>
  <c r="H365" i="18"/>
  <c r="I364" i="18"/>
  <c r="H364" i="18"/>
  <c r="I363" i="18"/>
  <c r="H363" i="18"/>
  <c r="I362" i="18"/>
  <c r="H362" i="18"/>
  <c r="I361" i="18"/>
  <c r="H361" i="18"/>
  <c r="I360" i="18"/>
  <c r="H360" i="18"/>
  <c r="I359" i="18"/>
  <c r="H359" i="18"/>
  <c r="I358" i="18"/>
  <c r="H358" i="18"/>
  <c r="I357" i="18"/>
  <c r="H357" i="18"/>
  <c r="I356" i="18"/>
  <c r="H356" i="18"/>
  <c r="I355" i="18"/>
  <c r="H355" i="18"/>
  <c r="I354" i="18"/>
  <c r="H354" i="18"/>
  <c r="I353" i="18"/>
  <c r="H353" i="18"/>
  <c r="I352" i="18"/>
  <c r="H352" i="18"/>
  <c r="I351" i="18"/>
  <c r="H351" i="18"/>
  <c r="I350" i="18"/>
  <c r="H350" i="18"/>
  <c r="I349" i="18"/>
  <c r="H349" i="18"/>
  <c r="I348" i="18"/>
  <c r="H348" i="18"/>
  <c r="I347" i="18"/>
  <c r="H347" i="18"/>
  <c r="I346" i="18"/>
  <c r="H346" i="18"/>
  <c r="I345" i="18"/>
  <c r="H345" i="18"/>
  <c r="I344" i="18"/>
  <c r="H344" i="18"/>
  <c r="I343" i="18"/>
  <c r="H343" i="18"/>
  <c r="I342" i="18"/>
  <c r="D342" i="18"/>
  <c r="H342" i="18" s="1"/>
  <c r="I341" i="18"/>
  <c r="H341" i="18"/>
  <c r="I340" i="18"/>
  <c r="H340" i="18"/>
  <c r="I339" i="18"/>
  <c r="H339" i="18"/>
  <c r="I338" i="18"/>
  <c r="H338" i="18"/>
  <c r="I337" i="18"/>
  <c r="H337" i="18"/>
  <c r="I336" i="18"/>
  <c r="H336" i="18"/>
  <c r="I335" i="18"/>
  <c r="H335" i="18"/>
  <c r="I334" i="18"/>
  <c r="H334" i="18"/>
  <c r="I333" i="18"/>
  <c r="H333" i="18"/>
  <c r="I332" i="18"/>
  <c r="H332" i="18"/>
  <c r="I331" i="18"/>
  <c r="H331" i="18"/>
  <c r="I330" i="18"/>
  <c r="H330" i="18"/>
  <c r="I329" i="18"/>
  <c r="H329" i="18"/>
  <c r="I328" i="18"/>
  <c r="H328" i="18"/>
  <c r="I327" i="18"/>
  <c r="H327" i="18"/>
  <c r="I326" i="18"/>
  <c r="H326" i="18"/>
  <c r="I325" i="18"/>
  <c r="H325" i="18"/>
  <c r="I324" i="18"/>
  <c r="H324" i="18"/>
  <c r="I323" i="18"/>
  <c r="H323" i="18"/>
  <c r="I322" i="18"/>
  <c r="H322" i="18"/>
  <c r="I321" i="18"/>
  <c r="H321" i="18"/>
  <c r="I320" i="18"/>
  <c r="H320" i="18"/>
  <c r="I319" i="18"/>
  <c r="H319" i="18"/>
  <c r="I318" i="18"/>
  <c r="H318" i="18"/>
  <c r="I317" i="18"/>
  <c r="H317" i="18"/>
  <c r="I316" i="18"/>
  <c r="H316" i="18"/>
  <c r="I315" i="18"/>
  <c r="H315" i="18"/>
  <c r="I314" i="18"/>
  <c r="H314" i="18"/>
  <c r="I313" i="18"/>
  <c r="H313" i="18"/>
  <c r="I312" i="18"/>
  <c r="H312" i="18"/>
  <c r="I311" i="18"/>
  <c r="H311" i="18"/>
  <c r="I310" i="18"/>
  <c r="H310" i="18"/>
  <c r="I309" i="18"/>
  <c r="H309" i="18"/>
  <c r="I308" i="18"/>
  <c r="H308" i="18"/>
  <c r="I307" i="18"/>
  <c r="H307" i="18"/>
  <c r="I306" i="18"/>
  <c r="H306" i="18"/>
  <c r="I305" i="18"/>
  <c r="H305" i="18"/>
  <c r="I304" i="18"/>
  <c r="H304" i="18"/>
  <c r="I303" i="18"/>
  <c r="H303" i="18"/>
  <c r="I302" i="18"/>
  <c r="H302" i="18"/>
  <c r="I301" i="18"/>
  <c r="H301" i="18"/>
  <c r="I300" i="18"/>
  <c r="H300" i="18"/>
  <c r="I299" i="18"/>
  <c r="H299" i="18"/>
  <c r="I298" i="18"/>
  <c r="H298" i="18"/>
  <c r="I297" i="18"/>
  <c r="H297" i="18"/>
  <c r="I296" i="18"/>
  <c r="H296" i="18"/>
  <c r="I295" i="18"/>
  <c r="H295" i="18"/>
  <c r="I294" i="18"/>
  <c r="H294" i="18"/>
  <c r="I293" i="18"/>
  <c r="H293" i="18"/>
  <c r="I292" i="18"/>
  <c r="H292" i="18"/>
  <c r="I291" i="18"/>
  <c r="H291" i="18"/>
  <c r="I290" i="18"/>
  <c r="H290" i="18"/>
  <c r="I289" i="18"/>
  <c r="H289" i="18"/>
  <c r="I288" i="18"/>
  <c r="H288" i="18"/>
  <c r="I287" i="18"/>
  <c r="H287" i="18"/>
  <c r="I286" i="18"/>
  <c r="H286" i="18"/>
  <c r="I285" i="18"/>
  <c r="H285" i="18"/>
  <c r="I284" i="18"/>
  <c r="H284" i="18"/>
  <c r="I283" i="18"/>
  <c r="H283" i="18"/>
  <c r="I282" i="18"/>
  <c r="H282" i="18"/>
  <c r="I281" i="18"/>
  <c r="H281" i="18"/>
  <c r="I280" i="18"/>
  <c r="H280" i="18"/>
  <c r="I279" i="18"/>
  <c r="H279" i="18"/>
  <c r="I278" i="18"/>
  <c r="H278" i="18"/>
  <c r="I277" i="18"/>
  <c r="H277" i="18"/>
  <c r="I276" i="18"/>
  <c r="H276" i="18"/>
  <c r="I275" i="18"/>
  <c r="H275" i="18"/>
  <c r="I274" i="18"/>
  <c r="H274" i="18"/>
  <c r="I273" i="18"/>
  <c r="H273" i="18"/>
  <c r="I272" i="18"/>
  <c r="H272" i="18"/>
  <c r="I271" i="18"/>
  <c r="H271" i="18"/>
  <c r="I270" i="18"/>
  <c r="H270" i="18"/>
  <c r="I269" i="18"/>
  <c r="H269" i="18"/>
  <c r="I268" i="18"/>
  <c r="H268" i="18"/>
  <c r="I267" i="18"/>
  <c r="H267" i="18"/>
  <c r="I266" i="18"/>
  <c r="H266" i="18"/>
  <c r="I265" i="18"/>
  <c r="H265" i="18"/>
  <c r="I264" i="18"/>
  <c r="H264" i="18"/>
  <c r="I263" i="18"/>
  <c r="H263" i="18"/>
  <c r="I262" i="18"/>
  <c r="H262" i="18"/>
  <c r="I261" i="18"/>
  <c r="H261" i="18"/>
  <c r="I260" i="18"/>
  <c r="H260" i="18"/>
  <c r="I259" i="18"/>
  <c r="H259" i="18"/>
  <c r="I258" i="18"/>
  <c r="H258" i="18"/>
  <c r="I257" i="18"/>
  <c r="H257" i="18"/>
  <c r="I256" i="18"/>
  <c r="H256" i="18"/>
  <c r="I255" i="18"/>
  <c r="H255" i="18"/>
  <c r="I254" i="18"/>
  <c r="H254" i="18"/>
  <c r="I253" i="18"/>
  <c r="H253" i="18"/>
  <c r="I252" i="18"/>
  <c r="H252" i="18"/>
  <c r="I251" i="18"/>
  <c r="H251" i="18"/>
  <c r="I250" i="18"/>
  <c r="H250" i="18"/>
  <c r="I249" i="18"/>
  <c r="H249" i="18"/>
  <c r="I248" i="18"/>
  <c r="H248" i="18"/>
  <c r="I247" i="18"/>
  <c r="H247" i="18"/>
  <c r="I246" i="18"/>
  <c r="H246" i="18"/>
  <c r="I245" i="18"/>
  <c r="H245" i="18"/>
  <c r="I244" i="18"/>
  <c r="H244" i="18"/>
  <c r="I243" i="18"/>
  <c r="H243" i="18"/>
  <c r="I242" i="18"/>
  <c r="H242" i="18"/>
  <c r="I241" i="18"/>
  <c r="H241" i="18"/>
  <c r="I240" i="18"/>
  <c r="H240" i="18"/>
  <c r="I239" i="18"/>
  <c r="H239" i="18"/>
  <c r="I238" i="18"/>
  <c r="H238" i="18"/>
  <c r="I237" i="18"/>
  <c r="H237" i="18"/>
  <c r="I236" i="18"/>
  <c r="H236" i="18"/>
  <c r="I235" i="18"/>
  <c r="H235" i="18"/>
  <c r="I234" i="18"/>
  <c r="H234" i="18"/>
  <c r="I233" i="18"/>
  <c r="H233" i="18"/>
  <c r="I232" i="18"/>
  <c r="H232" i="18"/>
  <c r="I231" i="18"/>
  <c r="H231" i="18"/>
  <c r="I230" i="18"/>
  <c r="H230" i="18"/>
  <c r="I229" i="18"/>
  <c r="H229" i="18"/>
  <c r="I228" i="18"/>
  <c r="H228" i="18"/>
  <c r="I227" i="18"/>
  <c r="H227" i="18"/>
  <c r="I226" i="18"/>
  <c r="H226" i="18"/>
  <c r="I225" i="18"/>
  <c r="H225" i="18"/>
  <c r="I224" i="18"/>
  <c r="H224" i="18"/>
  <c r="I223" i="18"/>
  <c r="H223" i="18"/>
  <c r="I222" i="18"/>
  <c r="H222" i="18"/>
  <c r="I221" i="18"/>
  <c r="H221" i="18"/>
  <c r="I220" i="18"/>
  <c r="H220" i="18"/>
  <c r="I219" i="18"/>
  <c r="H219" i="18"/>
  <c r="I218" i="18"/>
  <c r="H218" i="18"/>
  <c r="I217" i="18"/>
  <c r="H217" i="18"/>
  <c r="I216" i="18"/>
  <c r="H216" i="18"/>
  <c r="I215" i="18"/>
  <c r="H215" i="18"/>
  <c r="I214" i="18"/>
  <c r="H214" i="18"/>
  <c r="I213" i="18"/>
  <c r="H213" i="18"/>
  <c r="I212" i="18"/>
  <c r="H212" i="18"/>
  <c r="I211" i="18"/>
  <c r="H211" i="18"/>
  <c r="I210" i="18"/>
  <c r="H210" i="18"/>
  <c r="I209" i="18"/>
  <c r="H209" i="18"/>
  <c r="I208" i="18"/>
  <c r="H208" i="18"/>
  <c r="I207" i="18"/>
  <c r="H207" i="18"/>
  <c r="I206" i="18"/>
  <c r="H206" i="18"/>
  <c r="I205" i="18"/>
  <c r="H205" i="18"/>
  <c r="I204" i="18"/>
  <c r="H204" i="18"/>
  <c r="I203" i="18"/>
  <c r="H203" i="18"/>
  <c r="I202" i="18"/>
  <c r="H202" i="18"/>
  <c r="I201" i="18"/>
  <c r="H201" i="18"/>
  <c r="I200" i="18"/>
  <c r="H200" i="18"/>
  <c r="I199" i="18"/>
  <c r="H199" i="18"/>
  <c r="I198" i="18"/>
  <c r="H198" i="18"/>
  <c r="I197" i="18"/>
  <c r="H197" i="18"/>
  <c r="I196" i="18"/>
  <c r="H196" i="18"/>
  <c r="I195" i="18"/>
  <c r="H195" i="18"/>
  <c r="I194" i="18"/>
  <c r="H194" i="18"/>
  <c r="I193" i="18"/>
  <c r="H193" i="18"/>
  <c r="I192" i="18"/>
  <c r="H192" i="18"/>
  <c r="I191" i="18"/>
  <c r="H191" i="18"/>
  <c r="I190" i="18"/>
  <c r="H190" i="18"/>
  <c r="I189" i="18"/>
  <c r="H189" i="18"/>
  <c r="I188" i="18"/>
  <c r="H188" i="18"/>
  <c r="I187" i="18"/>
  <c r="H187" i="18"/>
  <c r="I186" i="18"/>
  <c r="H186" i="18"/>
  <c r="I185" i="18"/>
  <c r="H185" i="18"/>
  <c r="I184" i="18"/>
  <c r="H184" i="18"/>
  <c r="I183" i="18"/>
  <c r="H183" i="18"/>
  <c r="I182" i="18"/>
  <c r="H182" i="18"/>
  <c r="I181" i="18"/>
  <c r="H181" i="18"/>
  <c r="I180" i="18"/>
  <c r="H180" i="18"/>
  <c r="I179" i="18"/>
  <c r="H179" i="18"/>
  <c r="I178" i="18"/>
  <c r="H178" i="18"/>
  <c r="I177" i="18"/>
  <c r="H177" i="18"/>
  <c r="I176" i="18"/>
  <c r="H176" i="18"/>
  <c r="I175" i="18"/>
  <c r="H175" i="18"/>
  <c r="I174" i="18"/>
  <c r="H174" i="18"/>
  <c r="I173" i="18"/>
  <c r="H173" i="18"/>
  <c r="I172" i="18"/>
  <c r="H172" i="18"/>
  <c r="I171" i="18"/>
  <c r="H171" i="18"/>
  <c r="I170" i="18"/>
  <c r="H170" i="18"/>
  <c r="I169" i="18"/>
  <c r="H169" i="18"/>
  <c r="I168" i="18"/>
  <c r="H168" i="18"/>
  <c r="I167" i="18"/>
  <c r="H167" i="18"/>
  <c r="I166" i="18"/>
  <c r="H166" i="18"/>
  <c r="I165" i="18"/>
  <c r="H165" i="18"/>
  <c r="I164" i="18"/>
  <c r="H164" i="18"/>
  <c r="I163" i="18"/>
  <c r="H163" i="18"/>
  <c r="I162" i="18"/>
  <c r="H162" i="18"/>
  <c r="I161" i="18"/>
  <c r="H161" i="18"/>
  <c r="I160" i="18"/>
  <c r="H160" i="18"/>
  <c r="I159" i="18"/>
  <c r="H159" i="18"/>
  <c r="I158" i="18"/>
  <c r="H158" i="18"/>
  <c r="I157" i="18"/>
  <c r="H157" i="18"/>
  <c r="I156" i="18"/>
  <c r="H156" i="18"/>
  <c r="I155" i="18"/>
  <c r="H155" i="18"/>
  <c r="I154" i="18"/>
  <c r="H154" i="18"/>
  <c r="I153" i="18"/>
  <c r="H153" i="18"/>
  <c r="I152" i="18"/>
  <c r="H152" i="18"/>
  <c r="I151" i="18"/>
  <c r="H151" i="18"/>
  <c r="I150" i="18"/>
  <c r="H150" i="18"/>
  <c r="I149" i="18"/>
  <c r="H149" i="18"/>
  <c r="I148" i="18"/>
  <c r="H148" i="18"/>
  <c r="I147" i="18"/>
  <c r="H147" i="18"/>
  <c r="I146" i="18"/>
  <c r="H146" i="18"/>
  <c r="I145" i="18"/>
  <c r="H145" i="18"/>
  <c r="I144" i="18"/>
  <c r="H144" i="18"/>
  <c r="I143" i="18"/>
  <c r="H143" i="18"/>
  <c r="I142" i="18"/>
  <c r="H142" i="18"/>
  <c r="I141" i="18"/>
  <c r="H141" i="18"/>
  <c r="I140" i="18"/>
  <c r="H140" i="18"/>
  <c r="I139" i="18"/>
  <c r="H139" i="18"/>
  <c r="I138" i="18"/>
  <c r="H138" i="18"/>
  <c r="I137" i="18"/>
  <c r="H137" i="18"/>
  <c r="I136" i="18"/>
  <c r="H136" i="18"/>
  <c r="I135" i="18"/>
  <c r="H135" i="18"/>
  <c r="I134" i="18"/>
  <c r="H134" i="18"/>
  <c r="I133" i="18"/>
  <c r="H133" i="18"/>
  <c r="I132" i="18"/>
  <c r="H132" i="18"/>
  <c r="I131" i="18"/>
  <c r="H131" i="18"/>
  <c r="I130" i="18"/>
  <c r="H130" i="18"/>
  <c r="I129" i="18"/>
  <c r="H129" i="18"/>
  <c r="I128" i="18"/>
  <c r="H128" i="18"/>
  <c r="I127" i="18"/>
  <c r="H127" i="18"/>
  <c r="I126" i="18"/>
  <c r="H126" i="18"/>
  <c r="I125" i="18"/>
  <c r="H125" i="18"/>
  <c r="I124" i="18"/>
  <c r="H124" i="18"/>
  <c r="I123" i="18"/>
  <c r="H123" i="18"/>
  <c r="I122" i="18"/>
  <c r="H122" i="18"/>
  <c r="I121" i="18"/>
  <c r="H121" i="18"/>
  <c r="I120" i="18"/>
  <c r="H120" i="18"/>
  <c r="I119" i="18"/>
  <c r="H119" i="18"/>
  <c r="I118" i="18"/>
  <c r="H118" i="18"/>
  <c r="I117" i="18"/>
  <c r="H117" i="18"/>
  <c r="I116" i="18"/>
  <c r="H116" i="18"/>
  <c r="I115" i="18"/>
  <c r="H115" i="18"/>
  <c r="I114" i="18"/>
  <c r="H114" i="18"/>
  <c r="I113" i="18"/>
  <c r="H113" i="18"/>
  <c r="I112" i="18"/>
  <c r="H112" i="18"/>
  <c r="I111" i="18"/>
  <c r="H111" i="18"/>
  <c r="I110" i="18"/>
  <c r="H110" i="18"/>
  <c r="I109" i="18"/>
  <c r="H109" i="18"/>
  <c r="I108" i="18"/>
  <c r="H108" i="18"/>
  <c r="I107" i="18"/>
  <c r="H107" i="18"/>
  <c r="I106" i="18"/>
  <c r="H106" i="18"/>
  <c r="I105" i="18"/>
  <c r="H105" i="18"/>
  <c r="I104" i="18"/>
  <c r="H104" i="18"/>
  <c r="I103" i="18"/>
  <c r="H103" i="18"/>
  <c r="I102" i="18"/>
  <c r="H102" i="18"/>
  <c r="I101" i="18"/>
  <c r="H101" i="18"/>
  <c r="I100" i="18"/>
  <c r="H100" i="18"/>
  <c r="I99" i="18"/>
  <c r="H99" i="18"/>
  <c r="I98" i="18"/>
  <c r="H98" i="18"/>
  <c r="I97" i="18"/>
  <c r="H97" i="18"/>
  <c r="I96" i="18"/>
  <c r="H96" i="18"/>
  <c r="I95" i="18"/>
  <c r="H95" i="18"/>
  <c r="I94" i="18"/>
  <c r="H94" i="18"/>
  <c r="I93" i="18"/>
  <c r="H93" i="18"/>
  <c r="I92" i="18"/>
  <c r="H92" i="18"/>
  <c r="I91" i="18"/>
  <c r="H91" i="18"/>
  <c r="I90" i="18"/>
  <c r="H90" i="18"/>
  <c r="I89" i="18"/>
  <c r="H89" i="18"/>
  <c r="I88" i="18"/>
  <c r="H88" i="18"/>
  <c r="I87" i="18"/>
  <c r="H87" i="18"/>
  <c r="I86" i="18"/>
  <c r="H86" i="18"/>
  <c r="I85" i="18"/>
  <c r="H85" i="18"/>
  <c r="I84" i="18"/>
  <c r="H84" i="18"/>
  <c r="I83" i="18"/>
  <c r="H83" i="18"/>
  <c r="I82" i="18"/>
  <c r="H82" i="18"/>
  <c r="I81" i="18"/>
  <c r="H81" i="18"/>
  <c r="I80" i="18"/>
  <c r="H80" i="18"/>
  <c r="I79" i="18"/>
  <c r="H79" i="18"/>
  <c r="I78" i="18"/>
  <c r="H78" i="18"/>
  <c r="I77" i="18"/>
  <c r="H77" i="18"/>
  <c r="I76" i="18"/>
  <c r="H76" i="18"/>
  <c r="I75" i="18"/>
  <c r="H75" i="18"/>
  <c r="I74" i="18"/>
  <c r="H74" i="18"/>
  <c r="I73" i="18"/>
  <c r="H73" i="18"/>
  <c r="I72" i="18"/>
  <c r="H72" i="18"/>
  <c r="I71" i="18"/>
  <c r="H71" i="18"/>
  <c r="I70" i="18"/>
  <c r="H70" i="18"/>
  <c r="I69" i="18"/>
  <c r="H69" i="18"/>
  <c r="I68" i="18"/>
  <c r="H68" i="18"/>
  <c r="I67" i="18"/>
  <c r="H67" i="18"/>
  <c r="I66" i="18"/>
  <c r="H66" i="18"/>
  <c r="I65" i="18"/>
  <c r="H65" i="18"/>
  <c r="I64" i="18"/>
  <c r="H64" i="18"/>
  <c r="I63" i="18"/>
  <c r="H63" i="18"/>
  <c r="I62" i="18"/>
  <c r="H62" i="18"/>
  <c r="I61" i="18"/>
  <c r="H61" i="18"/>
  <c r="I60" i="18"/>
  <c r="H60" i="18"/>
  <c r="I59" i="18"/>
  <c r="H59" i="18"/>
  <c r="I58" i="18"/>
  <c r="H58" i="18"/>
  <c r="I57" i="18"/>
  <c r="H57" i="18"/>
  <c r="I56" i="18"/>
  <c r="H56" i="18"/>
  <c r="I55" i="18"/>
  <c r="H55" i="18"/>
  <c r="I54" i="18"/>
  <c r="H54" i="18"/>
  <c r="I53" i="18"/>
  <c r="H53" i="18"/>
  <c r="I52" i="18"/>
  <c r="H52" i="18"/>
  <c r="I51" i="18"/>
  <c r="H51" i="18"/>
  <c r="I50" i="18"/>
  <c r="H50" i="18"/>
  <c r="I49" i="18"/>
  <c r="H49" i="18"/>
  <c r="I48" i="18"/>
  <c r="H48" i="18"/>
  <c r="I47" i="18"/>
  <c r="H47" i="18"/>
  <c r="I46" i="18"/>
  <c r="H46" i="18"/>
  <c r="I45" i="18"/>
  <c r="H45" i="18"/>
  <c r="I44" i="18"/>
  <c r="H44" i="18"/>
  <c r="I43" i="18"/>
  <c r="H43" i="18"/>
  <c r="I42" i="18"/>
  <c r="H42" i="18"/>
  <c r="I41" i="18"/>
  <c r="H41" i="18"/>
  <c r="I40" i="18"/>
  <c r="H40" i="18"/>
  <c r="I39" i="18"/>
  <c r="H39" i="18"/>
  <c r="I38" i="18"/>
  <c r="H38" i="18"/>
  <c r="I37" i="18"/>
  <c r="H37" i="18"/>
  <c r="I36" i="18"/>
  <c r="H36" i="18"/>
  <c r="I35" i="18"/>
  <c r="H35" i="18"/>
  <c r="I34" i="18"/>
  <c r="H34" i="18"/>
  <c r="I33" i="18"/>
  <c r="H33" i="18"/>
  <c r="I32" i="18"/>
  <c r="H32" i="18"/>
  <c r="I31" i="18"/>
  <c r="H31" i="18"/>
  <c r="I30" i="18"/>
  <c r="H30" i="18"/>
  <c r="I29" i="18"/>
  <c r="H29" i="18"/>
  <c r="I28" i="18"/>
  <c r="H28" i="18"/>
  <c r="I27" i="18"/>
  <c r="H27" i="18"/>
  <c r="I26" i="18"/>
  <c r="H26" i="18"/>
  <c r="I25" i="18"/>
  <c r="H25" i="18"/>
  <c r="I24" i="18"/>
  <c r="H24" i="18"/>
  <c r="I23" i="18"/>
  <c r="H23" i="18"/>
  <c r="I22" i="18"/>
  <c r="H22" i="18"/>
  <c r="I21" i="18"/>
  <c r="H21" i="18"/>
  <c r="I20" i="18"/>
  <c r="H20" i="18"/>
  <c r="I19" i="18"/>
  <c r="H19" i="18"/>
  <c r="I18" i="18"/>
  <c r="H18" i="18"/>
  <c r="I17" i="18"/>
  <c r="H17" i="18"/>
  <c r="I16" i="18"/>
  <c r="H16" i="18"/>
  <c r="I15" i="18"/>
  <c r="H15" i="18"/>
  <c r="I14" i="18"/>
  <c r="H14" i="18"/>
  <c r="I13" i="18"/>
  <c r="H13" i="18"/>
  <c r="I12" i="18"/>
  <c r="H12" i="18"/>
  <c r="I11" i="18"/>
  <c r="H11" i="18"/>
  <c r="I10" i="18"/>
  <c r="H10" i="18"/>
  <c r="I9" i="18"/>
  <c r="H9" i="18"/>
  <c r="I8" i="18"/>
  <c r="H8" i="18"/>
  <c r="I7" i="18"/>
  <c r="H7" i="18"/>
  <c r="I6" i="18"/>
  <c r="H6" i="18"/>
  <c r="I5" i="18"/>
  <c r="H5" i="18"/>
  <c r="I4" i="18"/>
  <c r="H4" i="18"/>
  <c r="I3" i="18"/>
  <c r="H3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47" i="18"/>
  <c r="U748" i="18"/>
  <c r="U749" i="18"/>
  <c r="U750" i="18"/>
  <c r="U751" i="18"/>
  <c r="U752" i="18"/>
  <c r="U753" i="18"/>
  <c r="U754" i="18"/>
  <c r="U755" i="18"/>
  <c r="U756" i="18"/>
  <c r="U757" i="18"/>
  <c r="U758" i="18"/>
  <c r="U759" i="18"/>
  <c r="U760" i="18"/>
  <c r="U761" i="18"/>
  <c r="U762" i="18"/>
  <c r="U763" i="18"/>
  <c r="U764" i="18"/>
  <c r="U765" i="18"/>
  <c r="U766" i="18"/>
  <c r="U767" i="18"/>
  <c r="U768" i="18"/>
  <c r="U769" i="18"/>
  <c r="U770" i="18"/>
  <c r="U771" i="18"/>
  <c r="U772" i="18"/>
  <c r="U773" i="18"/>
  <c r="U774" i="18"/>
  <c r="U775" i="18"/>
  <c r="U776" i="18"/>
  <c r="U777" i="18"/>
  <c r="U778" i="18"/>
  <c r="U779" i="18"/>
  <c r="U780" i="18"/>
  <c r="U781" i="18"/>
  <c r="U782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U809" i="18"/>
  <c r="U810" i="18"/>
  <c r="U811" i="18"/>
  <c r="U812" i="18"/>
  <c r="U813" i="18"/>
  <c r="U814" i="18"/>
  <c r="U815" i="18"/>
  <c r="U816" i="18"/>
  <c r="U817" i="18"/>
  <c r="U818" i="18"/>
  <c r="U819" i="18"/>
  <c r="U820" i="18"/>
  <c r="U821" i="18"/>
  <c r="U822" i="18"/>
  <c r="U823" i="18"/>
  <c r="U824" i="18"/>
  <c r="U825" i="18"/>
  <c r="U826" i="18"/>
  <c r="U827" i="18"/>
  <c r="U828" i="18"/>
  <c r="U829" i="18"/>
  <c r="U830" i="18"/>
  <c r="U831" i="18"/>
  <c r="U832" i="18"/>
  <c r="U833" i="18"/>
  <c r="U834" i="18"/>
  <c r="U835" i="18"/>
  <c r="U836" i="18"/>
  <c r="U837" i="18"/>
  <c r="U838" i="18"/>
  <c r="U839" i="18"/>
  <c r="U840" i="18"/>
  <c r="U841" i="18"/>
  <c r="U842" i="18"/>
  <c r="U843" i="18"/>
  <c r="U844" i="18"/>
  <c r="U845" i="18"/>
  <c r="U846" i="18"/>
  <c r="U847" i="18"/>
  <c r="U848" i="18"/>
  <c r="U849" i="18"/>
  <c r="U850" i="18"/>
  <c r="U851" i="18"/>
  <c r="U852" i="18"/>
  <c r="U853" i="18"/>
  <c r="U854" i="18"/>
  <c r="U855" i="18"/>
  <c r="U856" i="18"/>
  <c r="U857" i="18"/>
  <c r="U858" i="18"/>
  <c r="U859" i="18"/>
  <c r="U860" i="18"/>
  <c r="U861" i="18"/>
  <c r="U862" i="18"/>
  <c r="U863" i="18"/>
  <c r="U864" i="18"/>
  <c r="U865" i="18"/>
  <c r="U866" i="18"/>
  <c r="U867" i="18"/>
  <c r="U868" i="18"/>
  <c r="U869" i="18"/>
  <c r="U870" i="18"/>
  <c r="U871" i="18"/>
  <c r="U872" i="18"/>
  <c r="U873" i="18"/>
  <c r="U874" i="18"/>
  <c r="U875" i="18"/>
  <c r="U876" i="18"/>
  <c r="U877" i="18"/>
  <c r="U878" i="18"/>
  <c r="U879" i="18"/>
  <c r="U880" i="18"/>
  <c r="U881" i="18"/>
  <c r="U882" i="18"/>
  <c r="U883" i="18"/>
  <c r="U884" i="18"/>
  <c r="U885" i="18"/>
  <c r="U886" i="18"/>
  <c r="U887" i="18"/>
  <c r="U888" i="18"/>
  <c r="U889" i="18"/>
  <c r="U890" i="18"/>
  <c r="U891" i="18"/>
  <c r="U892" i="18"/>
  <c r="U893" i="18"/>
  <c r="U894" i="18"/>
  <c r="U895" i="18"/>
  <c r="U896" i="18"/>
  <c r="U897" i="18"/>
  <c r="U898" i="18"/>
  <c r="U899" i="18"/>
  <c r="U900" i="18"/>
  <c r="U901" i="18"/>
  <c r="U902" i="18"/>
  <c r="U903" i="18"/>
  <c r="U904" i="18"/>
  <c r="U905" i="18"/>
  <c r="U906" i="18"/>
  <c r="U907" i="18"/>
  <c r="U908" i="18"/>
  <c r="U909" i="18"/>
  <c r="U910" i="18"/>
  <c r="U911" i="18"/>
  <c r="U912" i="18"/>
  <c r="U913" i="18"/>
  <c r="U914" i="18"/>
  <c r="U915" i="18"/>
  <c r="U916" i="18"/>
  <c r="U917" i="18"/>
  <c r="U918" i="18"/>
  <c r="U919" i="18"/>
  <c r="U920" i="18"/>
  <c r="U921" i="18"/>
  <c r="U922" i="18"/>
  <c r="U923" i="18"/>
  <c r="U924" i="18"/>
  <c r="U925" i="18"/>
  <c r="U926" i="18"/>
  <c r="U927" i="18"/>
  <c r="U928" i="18"/>
  <c r="U929" i="18"/>
  <c r="U930" i="18"/>
  <c r="U931" i="18"/>
  <c r="U932" i="18"/>
  <c r="U933" i="18"/>
  <c r="U934" i="18"/>
  <c r="U935" i="18"/>
  <c r="U936" i="18"/>
  <c r="U937" i="18"/>
  <c r="U938" i="18"/>
  <c r="U939" i="18"/>
  <c r="U940" i="18"/>
  <c r="U941" i="18"/>
  <c r="U942" i="18"/>
  <c r="U943" i="18"/>
  <c r="U944" i="18"/>
  <c r="U945" i="18"/>
  <c r="U946" i="18"/>
  <c r="U947" i="18"/>
  <c r="U948" i="18"/>
  <c r="U949" i="18"/>
  <c r="U950" i="18"/>
  <c r="U951" i="18"/>
  <c r="U952" i="18"/>
  <c r="U953" i="18"/>
  <c r="U954" i="18"/>
  <c r="U955" i="18"/>
  <c r="U956" i="18"/>
  <c r="U957" i="18"/>
  <c r="U958" i="18"/>
  <c r="U959" i="18"/>
  <c r="U960" i="18"/>
  <c r="U961" i="18"/>
  <c r="U962" i="18"/>
  <c r="U963" i="18"/>
  <c r="U964" i="18"/>
  <c r="U965" i="18"/>
  <c r="U966" i="18"/>
  <c r="U967" i="18"/>
  <c r="U968" i="18"/>
  <c r="U969" i="18"/>
  <c r="U970" i="18"/>
  <c r="U971" i="18"/>
  <c r="U972" i="18"/>
  <c r="U973" i="18"/>
  <c r="U974" i="18"/>
  <c r="U975" i="18"/>
  <c r="U976" i="18"/>
  <c r="U977" i="18"/>
  <c r="U978" i="18"/>
  <c r="U979" i="18"/>
  <c r="U980" i="18"/>
  <c r="U981" i="18"/>
  <c r="U982" i="18"/>
  <c r="U983" i="18"/>
  <c r="U984" i="18"/>
  <c r="U985" i="18"/>
  <c r="U986" i="18"/>
  <c r="U987" i="18"/>
  <c r="U988" i="18"/>
  <c r="U989" i="18"/>
  <c r="U990" i="18"/>
  <c r="U991" i="18"/>
  <c r="U992" i="18"/>
  <c r="U993" i="18"/>
  <c r="U994" i="18"/>
  <c r="U995" i="18"/>
  <c r="U996" i="18"/>
  <c r="U997" i="18"/>
  <c r="U998" i="18"/>
  <c r="U999" i="18"/>
  <c r="U1000" i="18"/>
  <c r="U1001" i="18"/>
  <c r="U1002" i="18"/>
  <c r="U1003" i="18"/>
  <c r="U1004" i="18"/>
  <c r="U1005" i="18"/>
  <c r="U1006" i="18"/>
  <c r="U1007" i="18"/>
  <c r="U1008" i="18"/>
  <c r="U1009" i="18"/>
  <c r="U1010" i="18"/>
  <c r="U1011" i="18"/>
  <c r="U1012" i="18"/>
  <c r="U1013" i="18"/>
  <c r="U1014" i="18"/>
  <c r="U1015" i="18"/>
  <c r="U1016" i="18"/>
  <c r="U1017" i="18"/>
  <c r="U1018" i="18"/>
  <c r="U1019" i="18"/>
  <c r="U1020" i="18"/>
  <c r="U1021" i="18"/>
  <c r="U1022" i="18"/>
  <c r="U1023" i="18"/>
  <c r="U1024" i="18"/>
  <c r="U1025" i="18"/>
  <c r="U1026" i="18"/>
  <c r="U1027" i="18"/>
  <c r="U1028" i="18"/>
  <c r="U1029" i="18"/>
  <c r="U1030" i="18"/>
  <c r="U1031" i="18"/>
  <c r="U1032" i="18"/>
  <c r="U1033" i="18"/>
  <c r="U1034" i="18"/>
  <c r="U1035" i="18"/>
  <c r="U1036" i="18"/>
  <c r="U1037" i="18"/>
  <c r="U1038" i="18"/>
  <c r="U1039" i="18"/>
  <c r="U1040" i="18"/>
  <c r="U1041" i="18"/>
  <c r="U1042" i="18"/>
  <c r="U1043" i="18"/>
  <c r="U1044" i="18"/>
  <c r="U1045" i="18"/>
  <c r="U1046" i="18"/>
  <c r="U1047" i="18"/>
  <c r="U1048" i="18"/>
  <c r="U1049" i="18"/>
  <c r="U1050" i="18"/>
  <c r="U1051" i="18"/>
  <c r="U1052" i="18"/>
  <c r="U1053" i="18"/>
  <c r="U1054" i="18"/>
  <c r="U1055" i="18"/>
  <c r="U1056" i="18"/>
  <c r="U1057" i="18"/>
  <c r="U1058" i="18"/>
  <c r="U1059" i="18"/>
  <c r="U1060" i="18"/>
  <c r="U1061" i="18"/>
  <c r="U1062" i="18"/>
  <c r="U1063" i="18"/>
  <c r="U1064" i="18"/>
  <c r="U1065" i="18"/>
  <c r="U1066" i="18"/>
  <c r="U1067" i="18"/>
  <c r="U1068" i="18"/>
  <c r="U1069" i="18"/>
  <c r="U1070" i="18"/>
  <c r="U1071" i="18"/>
  <c r="U1072" i="18"/>
  <c r="U1073" i="18"/>
  <c r="U1074" i="18"/>
  <c r="U1075" i="18"/>
  <c r="U1076" i="18"/>
  <c r="U1077" i="18"/>
  <c r="U1078" i="18"/>
  <c r="U1079" i="18"/>
  <c r="U1080" i="18"/>
  <c r="U1081" i="18"/>
  <c r="U1082" i="18"/>
  <c r="U1083" i="18"/>
  <c r="U1084" i="18"/>
  <c r="U1085" i="18"/>
  <c r="U1086" i="18"/>
  <c r="U1087" i="18"/>
  <c r="U1088" i="18"/>
  <c r="U1089" i="18"/>
  <c r="U1090" i="18"/>
  <c r="U1091" i="18"/>
  <c r="U1092" i="18"/>
  <c r="U1093" i="18"/>
  <c r="U1094" i="18"/>
  <c r="U1095" i="18"/>
  <c r="U1096" i="18"/>
  <c r="U1097" i="18"/>
  <c r="U1098" i="18"/>
  <c r="U1099" i="18"/>
  <c r="U1100" i="18"/>
  <c r="U1101" i="18"/>
  <c r="U1102" i="18"/>
  <c r="U1103" i="18"/>
  <c r="U1104" i="18"/>
  <c r="U1105" i="18"/>
  <c r="U1106" i="18"/>
  <c r="U1107" i="18"/>
  <c r="U1108" i="18"/>
  <c r="U1109" i="18"/>
  <c r="U1110" i="18"/>
  <c r="U1111" i="18"/>
  <c r="U1112" i="18"/>
  <c r="U1113" i="18"/>
  <c r="U1114" i="18"/>
  <c r="U1115" i="18"/>
  <c r="U1116" i="18"/>
  <c r="U1117" i="18"/>
  <c r="U1118" i="18"/>
  <c r="U1119" i="18"/>
  <c r="U1120" i="18"/>
  <c r="U1121" i="18"/>
  <c r="U1122" i="18"/>
  <c r="U1123" i="18"/>
  <c r="U1124" i="18"/>
  <c r="U1125" i="18"/>
  <c r="U1126" i="18"/>
  <c r="U1127" i="18"/>
  <c r="U1128" i="18"/>
  <c r="U1129" i="18"/>
  <c r="U1130" i="18"/>
  <c r="U1131" i="18"/>
  <c r="U1132" i="18"/>
  <c r="U1133" i="18"/>
  <c r="U1134" i="18"/>
  <c r="U1135" i="18"/>
  <c r="U1136" i="18"/>
  <c r="U1137" i="18"/>
  <c r="U1138" i="18"/>
  <c r="U1139" i="18"/>
  <c r="U1140" i="18"/>
  <c r="U1141" i="18"/>
  <c r="U1142" i="18"/>
  <c r="U1143" i="18"/>
  <c r="U1144" i="18"/>
  <c r="U1145" i="18"/>
  <c r="U1146" i="18"/>
  <c r="U1147" i="18"/>
  <c r="U1148" i="18"/>
  <c r="U1149" i="18"/>
  <c r="U1150" i="18"/>
  <c r="U1151" i="18"/>
  <c r="U1152" i="18"/>
  <c r="U1153" i="18"/>
  <c r="U1154" i="18"/>
  <c r="U1155" i="18"/>
  <c r="U1156" i="18"/>
  <c r="U1157" i="18"/>
  <c r="U1158" i="18"/>
  <c r="U1159" i="18"/>
  <c r="U1160" i="18"/>
  <c r="U1161" i="18"/>
  <c r="U1162" i="18"/>
  <c r="U1163" i="18"/>
  <c r="U1164" i="18"/>
  <c r="U1165" i="18"/>
  <c r="U1166" i="18"/>
  <c r="U1167" i="18"/>
  <c r="U1168" i="18"/>
  <c r="U1169" i="18"/>
  <c r="U1170" i="18"/>
  <c r="U1171" i="18"/>
  <c r="U1172" i="18"/>
  <c r="U1173" i="18"/>
  <c r="U1174" i="18"/>
  <c r="U1175" i="18"/>
  <c r="U1176" i="18"/>
  <c r="U1177" i="18"/>
  <c r="U1178" i="18"/>
  <c r="U1179" i="18"/>
  <c r="U1180" i="18"/>
  <c r="U1181" i="18"/>
  <c r="U1182" i="18"/>
  <c r="U1183" i="18"/>
  <c r="U1184" i="18"/>
  <c r="U1185" i="18"/>
  <c r="U1186" i="18"/>
  <c r="U1187" i="18"/>
  <c r="U1188" i="18"/>
  <c r="U1189" i="18"/>
  <c r="U1190" i="18"/>
  <c r="U1191" i="18"/>
  <c r="U1192" i="18"/>
  <c r="U1193" i="18"/>
  <c r="U1194" i="18"/>
  <c r="U1195" i="18"/>
  <c r="U1196" i="18"/>
  <c r="U1197" i="18"/>
  <c r="U1198" i="18"/>
  <c r="U1199" i="18"/>
  <c r="U1200" i="18"/>
  <c r="U1201" i="18"/>
  <c r="U1202" i="18"/>
  <c r="U1203" i="18"/>
  <c r="U1204" i="18"/>
  <c r="U1205" i="18"/>
  <c r="U1206" i="18"/>
  <c r="U1207" i="18"/>
  <c r="U1208" i="18"/>
  <c r="U1209" i="18"/>
  <c r="U1210" i="18"/>
  <c r="U1211" i="18"/>
  <c r="U1212" i="18"/>
  <c r="U1213" i="18"/>
  <c r="U1214" i="18"/>
  <c r="U1215" i="18"/>
  <c r="U1216" i="18"/>
  <c r="U1217" i="18"/>
  <c r="U1218" i="18"/>
  <c r="U1219" i="18"/>
  <c r="U1220" i="18"/>
  <c r="U1221" i="18"/>
  <c r="U1222" i="18"/>
  <c r="U1223" i="18"/>
  <c r="U1224" i="18"/>
  <c r="U1225" i="18"/>
  <c r="U1226" i="18"/>
  <c r="U1227" i="18"/>
  <c r="U1228" i="18"/>
  <c r="U1229" i="18"/>
  <c r="U1230" i="18"/>
  <c r="U1231" i="18"/>
  <c r="U1232" i="18"/>
  <c r="U1233" i="18"/>
  <c r="U1234" i="18"/>
  <c r="U1235" i="18"/>
  <c r="U1236" i="18"/>
  <c r="U1237" i="18"/>
  <c r="U1238" i="18"/>
  <c r="U1239" i="18"/>
  <c r="U1240" i="18"/>
  <c r="U1241" i="18"/>
  <c r="U1242" i="18"/>
  <c r="U1243" i="18"/>
  <c r="U1244" i="18"/>
  <c r="U1245" i="18"/>
  <c r="U1246" i="18"/>
  <c r="U1247" i="18"/>
  <c r="U1248" i="18"/>
  <c r="U1249" i="18"/>
  <c r="U1250" i="18"/>
  <c r="U1251" i="18"/>
  <c r="U1252" i="18"/>
  <c r="U1253" i="18"/>
  <c r="U1254" i="18"/>
  <c r="U1255" i="18"/>
  <c r="U1256" i="18"/>
  <c r="U1257" i="18"/>
  <c r="U1258" i="18"/>
  <c r="U1259" i="18"/>
  <c r="U1260" i="18"/>
  <c r="U1261" i="18"/>
  <c r="U1262" i="18"/>
  <c r="U1263" i="18"/>
  <c r="U1264" i="18"/>
  <c r="U1265" i="18"/>
  <c r="U1266" i="18"/>
  <c r="U1267" i="18"/>
  <c r="U1268" i="18"/>
  <c r="U1269" i="18"/>
  <c r="U1270" i="18"/>
  <c r="U1271" i="18"/>
  <c r="U1272" i="18"/>
  <c r="U1273" i="18"/>
  <c r="U1274" i="18"/>
  <c r="U1275" i="18"/>
  <c r="U1276" i="18"/>
  <c r="U1277" i="18"/>
  <c r="U1278" i="18"/>
  <c r="U1279" i="18"/>
  <c r="U1280" i="18"/>
  <c r="U1281" i="18"/>
  <c r="U1282" i="18"/>
  <c r="U1283" i="18"/>
  <c r="U1284" i="18"/>
  <c r="U1285" i="18"/>
  <c r="U1286" i="18"/>
  <c r="U1287" i="18"/>
  <c r="U1288" i="18"/>
  <c r="U1289" i="18"/>
  <c r="U1290" i="18"/>
  <c r="U1291" i="18"/>
  <c r="U1292" i="18"/>
  <c r="U1293" i="18"/>
  <c r="U1294" i="18"/>
  <c r="U1295" i="18"/>
  <c r="U1296" i="18"/>
  <c r="U1297" i="18"/>
  <c r="U1298" i="18"/>
  <c r="U1299" i="18"/>
  <c r="U1300" i="18"/>
  <c r="U1301" i="18"/>
  <c r="U1302" i="18"/>
  <c r="U1303" i="18"/>
  <c r="U1304" i="18"/>
  <c r="U1305" i="18"/>
  <c r="U1306" i="18"/>
  <c r="U1307" i="18"/>
  <c r="U1308" i="18"/>
  <c r="U1309" i="18"/>
  <c r="U1310" i="18"/>
  <c r="U1311" i="18"/>
  <c r="U1312" i="18"/>
  <c r="U1313" i="18"/>
  <c r="U1314" i="18"/>
  <c r="U1315" i="18"/>
  <c r="U1316" i="18"/>
  <c r="U1317" i="18"/>
  <c r="U1318" i="18"/>
  <c r="U1319" i="18"/>
  <c r="U1320" i="18"/>
  <c r="U1321" i="18"/>
  <c r="U1322" i="18"/>
  <c r="U1323" i="18"/>
  <c r="U1324" i="18"/>
  <c r="U1325" i="18"/>
  <c r="U1326" i="18"/>
  <c r="U1327" i="18"/>
  <c r="U1328" i="18"/>
  <c r="U1329" i="18"/>
  <c r="U1330" i="18"/>
  <c r="U1331" i="18"/>
  <c r="U1332" i="18"/>
  <c r="U1333" i="18"/>
  <c r="U1334" i="18"/>
  <c r="U1335" i="18"/>
  <c r="U1336" i="18"/>
  <c r="U1337" i="18"/>
  <c r="U1338" i="18"/>
  <c r="U1339" i="18"/>
  <c r="U1340" i="18"/>
  <c r="U1341" i="18"/>
  <c r="U1342" i="18"/>
  <c r="U1343" i="18"/>
  <c r="U1344" i="18"/>
  <c r="U1345" i="18"/>
  <c r="U1346" i="18"/>
  <c r="U1347" i="18"/>
  <c r="U1348" i="18"/>
  <c r="U1349" i="18"/>
  <c r="U1350" i="18"/>
  <c r="U1351" i="18"/>
  <c r="U1352" i="18"/>
  <c r="U1353" i="18"/>
  <c r="U1354" i="18"/>
  <c r="U1355" i="18"/>
  <c r="U1356" i="18"/>
  <c r="U1357" i="18"/>
  <c r="U1358" i="18"/>
  <c r="U1359" i="18"/>
  <c r="U1360" i="18"/>
  <c r="U1361" i="18"/>
  <c r="U1362" i="18"/>
  <c r="U1363" i="18"/>
  <c r="U1364" i="18"/>
  <c r="U1365" i="18"/>
  <c r="U1366" i="18"/>
  <c r="U1367" i="18"/>
  <c r="U1368" i="18"/>
  <c r="U1369" i="18"/>
  <c r="U1370" i="18"/>
  <c r="U1371" i="18"/>
  <c r="U1372" i="18"/>
  <c r="U1373" i="18"/>
  <c r="U1374" i="18"/>
  <c r="U1375" i="18"/>
  <c r="U1376" i="18"/>
  <c r="U1377" i="18"/>
  <c r="U1378" i="18"/>
  <c r="U1379" i="18"/>
  <c r="U1380" i="18"/>
  <c r="U1381" i="18"/>
  <c r="U1382" i="18"/>
  <c r="U1383" i="18"/>
  <c r="U1384" i="18"/>
  <c r="U1385" i="18"/>
  <c r="U1386" i="18"/>
  <c r="U1387" i="18"/>
  <c r="U1388" i="18"/>
  <c r="U1389" i="18"/>
  <c r="U1390" i="18"/>
  <c r="U1391" i="18"/>
  <c r="U1392" i="18"/>
  <c r="U1393" i="18"/>
  <c r="U1394" i="18"/>
  <c r="U1395" i="18"/>
  <c r="U1396" i="18"/>
  <c r="U1397" i="18"/>
  <c r="U1398" i="18"/>
  <c r="U1399" i="18"/>
  <c r="U1400" i="18"/>
  <c r="U1401" i="18"/>
  <c r="U1402" i="18"/>
  <c r="U1403" i="18"/>
  <c r="U1404" i="18"/>
  <c r="U1405" i="18"/>
  <c r="U1406" i="18"/>
  <c r="U1407" i="18"/>
  <c r="U1408" i="18"/>
  <c r="U1409" i="18"/>
  <c r="U1410" i="18"/>
  <c r="U1411" i="18"/>
  <c r="U1412" i="18"/>
  <c r="U1413" i="18"/>
  <c r="U1414" i="18"/>
  <c r="U1415" i="18"/>
  <c r="U1416" i="18"/>
  <c r="U1417" i="18"/>
  <c r="U1418" i="18"/>
  <c r="U1419" i="18"/>
  <c r="U1420" i="18"/>
  <c r="U1421" i="18"/>
  <c r="U1422" i="18"/>
  <c r="U1423" i="18"/>
  <c r="U1424" i="18"/>
  <c r="U1425" i="18"/>
  <c r="U1426" i="18"/>
  <c r="U1427" i="18"/>
  <c r="U1428" i="18"/>
  <c r="U1429" i="18"/>
  <c r="U1430" i="18"/>
  <c r="U1431" i="18"/>
  <c r="U1432" i="18"/>
  <c r="U1433" i="18"/>
  <c r="U1434" i="18"/>
  <c r="U1435" i="18"/>
  <c r="U1436" i="18"/>
  <c r="U1437" i="18"/>
  <c r="U1438" i="18"/>
  <c r="U1439" i="18"/>
  <c r="U1440" i="18"/>
  <c r="U1441" i="18"/>
  <c r="U1442" i="18"/>
  <c r="U1443" i="18"/>
  <c r="U1444" i="18"/>
  <c r="U1445" i="18"/>
  <c r="U1446" i="18"/>
  <c r="U1447" i="18"/>
  <c r="U1448" i="18"/>
  <c r="U1449" i="18"/>
  <c r="U1450" i="18"/>
  <c r="U1451" i="18"/>
  <c r="U1452" i="18"/>
  <c r="U1453" i="18"/>
  <c r="U1454" i="18"/>
  <c r="U1455" i="18"/>
  <c r="U1456" i="18"/>
  <c r="U1457" i="18"/>
  <c r="U1458" i="18"/>
  <c r="U1459" i="18"/>
  <c r="U1460" i="18"/>
  <c r="U1461" i="18"/>
  <c r="U1462" i="18"/>
  <c r="U1463" i="18"/>
  <c r="U1464" i="18"/>
  <c r="U1465" i="18"/>
  <c r="U1466" i="18"/>
  <c r="U1467" i="18"/>
  <c r="U1468" i="18"/>
  <c r="U1469" i="18"/>
  <c r="U1470" i="18"/>
  <c r="U1471" i="18"/>
  <c r="U1472" i="18"/>
  <c r="U1473" i="18"/>
  <c r="U1474" i="18"/>
  <c r="U1475" i="18"/>
  <c r="U1476" i="18"/>
  <c r="U1477" i="18"/>
  <c r="U1478" i="18"/>
  <c r="U1479" i="18"/>
  <c r="U1480" i="18"/>
  <c r="U1481" i="18"/>
  <c r="U1482" i="18"/>
  <c r="U1483" i="18"/>
  <c r="U1484" i="18"/>
  <c r="U1485" i="18"/>
  <c r="U1486" i="18"/>
  <c r="U1487" i="18"/>
  <c r="U1488" i="18"/>
  <c r="U1489" i="18"/>
  <c r="U1490" i="18"/>
  <c r="U1491" i="18"/>
  <c r="U1492" i="18"/>
  <c r="U1493" i="18"/>
  <c r="U1494" i="18"/>
  <c r="U1495" i="18"/>
  <c r="U1496" i="18"/>
  <c r="U1497" i="18"/>
  <c r="U1498" i="18"/>
  <c r="U1499" i="18"/>
  <c r="U1500" i="18"/>
  <c r="U1501" i="18"/>
  <c r="U1502" i="18"/>
  <c r="U1503" i="18"/>
  <c r="U1504" i="18"/>
  <c r="U1505" i="18"/>
  <c r="U1506" i="18"/>
  <c r="U1507" i="18"/>
  <c r="U1508" i="18"/>
  <c r="U1509" i="18"/>
  <c r="U1510" i="18"/>
  <c r="U1511" i="18"/>
  <c r="U1512" i="18"/>
  <c r="U1513" i="18"/>
  <c r="U1514" i="18"/>
  <c r="U1515" i="18"/>
  <c r="U1516" i="18"/>
  <c r="U1517" i="18"/>
  <c r="U1518" i="18"/>
  <c r="U1519" i="18"/>
  <c r="U1520" i="18"/>
  <c r="U1521" i="18"/>
  <c r="U1522" i="18"/>
  <c r="U1523" i="18"/>
  <c r="U1524" i="18"/>
  <c r="U1525" i="18"/>
  <c r="U1526" i="18"/>
  <c r="U1527" i="18"/>
  <c r="U1528" i="18"/>
  <c r="U1529" i="18"/>
  <c r="U1530" i="18"/>
  <c r="U1531" i="18"/>
  <c r="U1532" i="18"/>
  <c r="U1533" i="18"/>
  <c r="U1534" i="18"/>
  <c r="U1535" i="18"/>
  <c r="U1536" i="18"/>
  <c r="U1537" i="18"/>
  <c r="U1538" i="18"/>
  <c r="U1539" i="18"/>
  <c r="U1540" i="18"/>
  <c r="U1541" i="18"/>
  <c r="U1542" i="18"/>
  <c r="U1543" i="18"/>
  <c r="U1544" i="18"/>
  <c r="U1545" i="18"/>
  <c r="U1546" i="18"/>
  <c r="U1547" i="18"/>
  <c r="U1548" i="18"/>
  <c r="U1549" i="18"/>
  <c r="U1550" i="18"/>
  <c r="U1551" i="18"/>
  <c r="U1552" i="18"/>
  <c r="U1553" i="18"/>
  <c r="U1554" i="18"/>
  <c r="U1555" i="18"/>
  <c r="U1556" i="18"/>
  <c r="U1557" i="18"/>
  <c r="U1558" i="18"/>
  <c r="U1559" i="18"/>
  <c r="U1560" i="18"/>
  <c r="U1561" i="18"/>
  <c r="U1562" i="18"/>
  <c r="U1563" i="18"/>
  <c r="U1564" i="18"/>
  <c r="U1565" i="18"/>
  <c r="U1566" i="18"/>
  <c r="U1567" i="18"/>
  <c r="U1568" i="18"/>
  <c r="U1569" i="18"/>
  <c r="U1570" i="18"/>
  <c r="U1571" i="18"/>
  <c r="U1572" i="18"/>
  <c r="U1573" i="18"/>
  <c r="U1574" i="18"/>
  <c r="U1575" i="18"/>
  <c r="U1576" i="18"/>
  <c r="U1577" i="18"/>
  <c r="U1578" i="18"/>
  <c r="U1579" i="18"/>
  <c r="U1580" i="18"/>
  <c r="U1581" i="18"/>
  <c r="U1582" i="18"/>
  <c r="U1583" i="18"/>
  <c r="U1584" i="18"/>
  <c r="U1585" i="18"/>
  <c r="U1586" i="18"/>
  <c r="U1587" i="18"/>
  <c r="U1588" i="18"/>
  <c r="U1589" i="18"/>
  <c r="U1590" i="18"/>
  <c r="U1591" i="18"/>
  <c r="U1592" i="18"/>
  <c r="U1593" i="18"/>
  <c r="U1594" i="18"/>
  <c r="U1595" i="18"/>
  <c r="U1596" i="18"/>
  <c r="U1597" i="18"/>
  <c r="U1598" i="18"/>
  <c r="U1599" i="18"/>
  <c r="U1600" i="18"/>
  <c r="U1601" i="18"/>
  <c r="U1602" i="18"/>
  <c r="U1603" i="18"/>
  <c r="U1604" i="18"/>
  <c r="U1605" i="18"/>
  <c r="U1606" i="18"/>
  <c r="U1607" i="18"/>
  <c r="U1608" i="18"/>
  <c r="U1609" i="18"/>
  <c r="U1610" i="18"/>
  <c r="U1611" i="18"/>
  <c r="U1612" i="18"/>
  <c r="U1613" i="18"/>
  <c r="U1614" i="18"/>
  <c r="U1615" i="18"/>
  <c r="U1616" i="18"/>
  <c r="U1617" i="18"/>
  <c r="U1618" i="18"/>
  <c r="U1619" i="18"/>
  <c r="U1620" i="18"/>
  <c r="U1621" i="18"/>
  <c r="U1622" i="18"/>
  <c r="U1623" i="18"/>
  <c r="U1624" i="18"/>
  <c r="U1625" i="18"/>
  <c r="U1626" i="18"/>
  <c r="U1627" i="18"/>
  <c r="U1628" i="18"/>
  <c r="U1629" i="18"/>
  <c r="U1630" i="18"/>
  <c r="U1631" i="18"/>
  <c r="U1632" i="18"/>
  <c r="U1633" i="18"/>
  <c r="U1634" i="18"/>
  <c r="U1635" i="18"/>
  <c r="U1636" i="18"/>
  <c r="U1637" i="18"/>
  <c r="U1638" i="18"/>
  <c r="U1639" i="18"/>
  <c r="U1640" i="18"/>
  <c r="U1641" i="18"/>
  <c r="U1642" i="18"/>
  <c r="U1643" i="18"/>
  <c r="U1644" i="18"/>
  <c r="U1645" i="18"/>
  <c r="U1646" i="18"/>
  <c r="U1647" i="18"/>
  <c r="U1648" i="18"/>
  <c r="U1649" i="18"/>
  <c r="U1650" i="18"/>
  <c r="U1651" i="18"/>
  <c r="U1652" i="18"/>
  <c r="U1653" i="18"/>
  <c r="U1654" i="18"/>
  <c r="U1655" i="18"/>
  <c r="U1656" i="18"/>
  <c r="U1657" i="18"/>
  <c r="U1658" i="18"/>
  <c r="U1659" i="18"/>
  <c r="U1660" i="18"/>
  <c r="U1661" i="18"/>
  <c r="U1662" i="18"/>
  <c r="U1663" i="18"/>
  <c r="U1664" i="18"/>
  <c r="U1665" i="18"/>
  <c r="U1666" i="18"/>
  <c r="U1667" i="18"/>
  <c r="U1668" i="18"/>
  <c r="U1669" i="18"/>
  <c r="U1670" i="18"/>
  <c r="U1671" i="18"/>
  <c r="U1672" i="18"/>
  <c r="U1673" i="18"/>
  <c r="U1674" i="18"/>
  <c r="U1675" i="18"/>
  <c r="U1676" i="18"/>
  <c r="U1677" i="18"/>
  <c r="U1678" i="18"/>
  <c r="U1679" i="18"/>
  <c r="U1680" i="18"/>
  <c r="U1681" i="18"/>
  <c r="U1682" i="18"/>
  <c r="U1683" i="18"/>
  <c r="U1684" i="18"/>
  <c r="U1685" i="18"/>
  <c r="U1686" i="18"/>
  <c r="U1687" i="18"/>
  <c r="U1688" i="18"/>
  <c r="U1689" i="18"/>
  <c r="U1690" i="18"/>
  <c r="U1691" i="18"/>
  <c r="U1692" i="18"/>
  <c r="U1693" i="18"/>
  <c r="U1694" i="18"/>
  <c r="U1695" i="18"/>
  <c r="U1696" i="18"/>
  <c r="U1697" i="18"/>
  <c r="U1698" i="18"/>
  <c r="U1699" i="18"/>
  <c r="U1700" i="18"/>
  <c r="U1701" i="18"/>
  <c r="U1702" i="18"/>
  <c r="U1703" i="18"/>
  <c r="U1704" i="18"/>
  <c r="U1705" i="18"/>
  <c r="U1706" i="18"/>
  <c r="U1707" i="18"/>
  <c r="U1708" i="18"/>
  <c r="U1709" i="18"/>
  <c r="U1710" i="18"/>
  <c r="U1711" i="18"/>
  <c r="U1712" i="18"/>
  <c r="U1713" i="18"/>
  <c r="U1714" i="18"/>
  <c r="U1715" i="18"/>
  <c r="U1716" i="18"/>
  <c r="U1717" i="18"/>
  <c r="U1718" i="18"/>
  <c r="U1719" i="18"/>
  <c r="U1720" i="18"/>
  <c r="U1721" i="18"/>
  <c r="U1722" i="18"/>
  <c r="U1723" i="18"/>
  <c r="U1724" i="18"/>
  <c r="U1725" i="18"/>
  <c r="U1726" i="18"/>
  <c r="U1727" i="18"/>
  <c r="U1728" i="18"/>
  <c r="U1729" i="18"/>
  <c r="U1730" i="18"/>
  <c r="U1731" i="18"/>
  <c r="U1732" i="18"/>
  <c r="U1733" i="18"/>
  <c r="U1734" i="18"/>
  <c r="U1735" i="18"/>
  <c r="U1736" i="18"/>
  <c r="U1737" i="18"/>
  <c r="U1738" i="18"/>
  <c r="U1739" i="18"/>
  <c r="U1740" i="18"/>
  <c r="U1741" i="18"/>
  <c r="U1742" i="18"/>
  <c r="U1743" i="18"/>
  <c r="U1744" i="18"/>
  <c r="U1745" i="18"/>
  <c r="U1746" i="18"/>
  <c r="U1747" i="18"/>
  <c r="U1748" i="18"/>
  <c r="U1749" i="18"/>
  <c r="U1750" i="18"/>
  <c r="U1751" i="18"/>
  <c r="U1752" i="18"/>
  <c r="U1753" i="18"/>
  <c r="U1754" i="18"/>
  <c r="U1755" i="18"/>
  <c r="U1756" i="18"/>
  <c r="U1757" i="18"/>
  <c r="U1758" i="18"/>
  <c r="U1759" i="18"/>
  <c r="U1760" i="18"/>
  <c r="U1761" i="18"/>
  <c r="U1762" i="18"/>
  <c r="U1763" i="18"/>
  <c r="U1764" i="18"/>
  <c r="U1765" i="18"/>
  <c r="U1766" i="18"/>
  <c r="U1767" i="18"/>
  <c r="U1768" i="18"/>
  <c r="U1769" i="18"/>
  <c r="U1770" i="18"/>
  <c r="U1771" i="18"/>
  <c r="U1772" i="18"/>
  <c r="U1773" i="18"/>
  <c r="U1774" i="18"/>
  <c r="U1775" i="18"/>
  <c r="U1776" i="18"/>
  <c r="U1777" i="18"/>
  <c r="U1778" i="18"/>
  <c r="U1779" i="18"/>
  <c r="U1780" i="18"/>
  <c r="U1781" i="18"/>
  <c r="U1782" i="18"/>
  <c r="U1783" i="18"/>
  <c r="U1784" i="18"/>
  <c r="U1785" i="18"/>
  <c r="U1786" i="18"/>
  <c r="U1787" i="18"/>
  <c r="U1788" i="18"/>
  <c r="U1789" i="18"/>
  <c r="U1790" i="18"/>
  <c r="U1791" i="18"/>
  <c r="U1792" i="18"/>
  <c r="U1793" i="18"/>
  <c r="U1794" i="18"/>
  <c r="U1795" i="18"/>
  <c r="U1796" i="18"/>
  <c r="U1797" i="18"/>
  <c r="U1798" i="18"/>
  <c r="U1799" i="18"/>
  <c r="U1800" i="18"/>
  <c r="U1801" i="18"/>
  <c r="U1802" i="18"/>
  <c r="U1803" i="18"/>
  <c r="U1804" i="18"/>
  <c r="U1805" i="18"/>
  <c r="U1806" i="18"/>
  <c r="U1807" i="18"/>
  <c r="U1808" i="18"/>
  <c r="U1809" i="18"/>
  <c r="U1810" i="18"/>
  <c r="U1811" i="18"/>
  <c r="U1812" i="18"/>
  <c r="U1813" i="18"/>
  <c r="U1814" i="18"/>
  <c r="U1815" i="18"/>
  <c r="U1816" i="18"/>
  <c r="U1817" i="18"/>
  <c r="U1818" i="18"/>
  <c r="U1819" i="18"/>
  <c r="U1820" i="18"/>
  <c r="U1821" i="18"/>
  <c r="U1822" i="18"/>
  <c r="U1823" i="18"/>
  <c r="U1824" i="18"/>
  <c r="U1825" i="18"/>
  <c r="U1826" i="18"/>
  <c r="U1827" i="18"/>
  <c r="U1828" i="18"/>
  <c r="U1829" i="18"/>
  <c r="U1830" i="18"/>
  <c r="U1831" i="18"/>
  <c r="U1832" i="18"/>
  <c r="U1833" i="18"/>
  <c r="U1834" i="18"/>
  <c r="U1835" i="18"/>
  <c r="U1836" i="18"/>
  <c r="U1837" i="18"/>
  <c r="U1838" i="18"/>
  <c r="U1839" i="18"/>
  <c r="U1840" i="18"/>
  <c r="U1841" i="18"/>
  <c r="U1842" i="18"/>
  <c r="U1843" i="18"/>
  <c r="U1844" i="18"/>
  <c r="U1845" i="18"/>
  <c r="U1846" i="18"/>
  <c r="U1847" i="18"/>
  <c r="U1848" i="18"/>
  <c r="U1849" i="18"/>
  <c r="U1850" i="18"/>
  <c r="U1851" i="18"/>
  <c r="U1852" i="18"/>
  <c r="U1853" i="18"/>
  <c r="U1854" i="18"/>
  <c r="U1855" i="18"/>
  <c r="U1856" i="18"/>
  <c r="U1857" i="18"/>
  <c r="U1858" i="18"/>
  <c r="U1859" i="18"/>
  <c r="U1860" i="18"/>
  <c r="U1861" i="18"/>
  <c r="U1862" i="18"/>
  <c r="U1863" i="18"/>
  <c r="U1864" i="18"/>
  <c r="U1865" i="18"/>
  <c r="U1866" i="18"/>
  <c r="U1867" i="18"/>
  <c r="U1868" i="18"/>
  <c r="U1869" i="18"/>
  <c r="U1870" i="18"/>
  <c r="U1871" i="18"/>
  <c r="U1872" i="18"/>
  <c r="U1873" i="18"/>
  <c r="U1874" i="18"/>
  <c r="U1875" i="18"/>
  <c r="U1876" i="18"/>
  <c r="U1877" i="18"/>
  <c r="U1878" i="18"/>
  <c r="U1879" i="18"/>
  <c r="U1880" i="18"/>
  <c r="U1881" i="18"/>
  <c r="U1882" i="18"/>
  <c r="U1883" i="18"/>
  <c r="U1884" i="18"/>
  <c r="U1885" i="18"/>
  <c r="U1886" i="18"/>
  <c r="U1887" i="18"/>
  <c r="U1888" i="18"/>
  <c r="U1889" i="18"/>
  <c r="U1890" i="18"/>
  <c r="U1891" i="18"/>
  <c r="U1892" i="18"/>
  <c r="U1893" i="18"/>
  <c r="U1894" i="18"/>
  <c r="U1895" i="18"/>
  <c r="U1896" i="18"/>
  <c r="U1897" i="18"/>
  <c r="U1898" i="18"/>
  <c r="U1899" i="18"/>
  <c r="U1900" i="18"/>
  <c r="U1901" i="18"/>
  <c r="U1902" i="18"/>
  <c r="U1903" i="18"/>
  <c r="U1904" i="18"/>
  <c r="U1905" i="18"/>
  <c r="U1906" i="18"/>
  <c r="U1907" i="18"/>
  <c r="U1908" i="18"/>
  <c r="U1909" i="18"/>
  <c r="U1910" i="18"/>
  <c r="U1911" i="18"/>
  <c r="U1912" i="18"/>
  <c r="U1913" i="18"/>
  <c r="U1914" i="18"/>
  <c r="U1915" i="18"/>
  <c r="U1916" i="18"/>
  <c r="U1917" i="18"/>
  <c r="U1918" i="18"/>
  <c r="U1919" i="18"/>
  <c r="U1920" i="18"/>
  <c r="U1921" i="18"/>
  <c r="U1922" i="18"/>
  <c r="U1923" i="18"/>
  <c r="U1924" i="18"/>
  <c r="U1925" i="18"/>
  <c r="U1926" i="18"/>
  <c r="U1927" i="18"/>
  <c r="U1928" i="18"/>
  <c r="U1929" i="18"/>
  <c r="U1930" i="18"/>
  <c r="U1931" i="18"/>
  <c r="U1932" i="18"/>
  <c r="U1933" i="18"/>
  <c r="U1934" i="18"/>
  <c r="U1935" i="18"/>
  <c r="U1936" i="18"/>
  <c r="U1937" i="18"/>
  <c r="U1938" i="18"/>
  <c r="U1939" i="18"/>
  <c r="U1940" i="18"/>
  <c r="U1941" i="18"/>
  <c r="U1942" i="18"/>
  <c r="U1943" i="18"/>
  <c r="U1944" i="18"/>
  <c r="U1945" i="18"/>
  <c r="U1946" i="18"/>
  <c r="U1947" i="18"/>
  <c r="U1948" i="18"/>
  <c r="U1949" i="18"/>
  <c r="U1950" i="18"/>
  <c r="U1951" i="18"/>
  <c r="U1952" i="18"/>
  <c r="U1953" i="18"/>
  <c r="U1954" i="18"/>
  <c r="U1955" i="18"/>
  <c r="U1956" i="18"/>
  <c r="U1957" i="18"/>
  <c r="U1958" i="18"/>
  <c r="U1959" i="18"/>
  <c r="U1960" i="18"/>
  <c r="U1961" i="18"/>
  <c r="U1962" i="18"/>
  <c r="U1963" i="18"/>
  <c r="U1964" i="18"/>
  <c r="U1965" i="18"/>
  <c r="U1966" i="18"/>
  <c r="U1967" i="18"/>
  <c r="U1968" i="18"/>
  <c r="U1969" i="18"/>
  <c r="U1970" i="18"/>
  <c r="U1971" i="18"/>
  <c r="U1972" i="18"/>
  <c r="U1973" i="18"/>
  <c r="U1974" i="18"/>
  <c r="U1975" i="18"/>
  <c r="U1976" i="18"/>
  <c r="U1977" i="18"/>
  <c r="U1978" i="18"/>
  <c r="U1979" i="18"/>
  <c r="U1980" i="18"/>
  <c r="U1981" i="18"/>
  <c r="U1982" i="18"/>
  <c r="U1983" i="18"/>
  <c r="U1984" i="18"/>
  <c r="U1985" i="18"/>
  <c r="U1986" i="18"/>
  <c r="U1987" i="18"/>
  <c r="U1988" i="18"/>
  <c r="U1989" i="18"/>
  <c r="U1990" i="18"/>
  <c r="U1991" i="18"/>
  <c r="U1992" i="18"/>
  <c r="U1993" i="18"/>
  <c r="U1994" i="18"/>
  <c r="U1995" i="18"/>
  <c r="U1996" i="18"/>
  <c r="U1997" i="18"/>
  <c r="U1998" i="18"/>
  <c r="U1999" i="18"/>
  <c r="U2000" i="18"/>
  <c r="U2001" i="18"/>
  <c r="U2002" i="18"/>
  <c r="U2003" i="18"/>
  <c r="U2004" i="18"/>
  <c r="U2005" i="18"/>
  <c r="U2006" i="18"/>
  <c r="U2007" i="18"/>
  <c r="U2008" i="18"/>
  <c r="U2009" i="18"/>
  <c r="U2010" i="18"/>
  <c r="U2011" i="18"/>
  <c r="U2012" i="18"/>
  <c r="U2013" i="18"/>
  <c r="U2014" i="18"/>
  <c r="U2015" i="18"/>
  <c r="U2016" i="18"/>
  <c r="U2017" i="18"/>
  <c r="U2018" i="18"/>
  <c r="U2019" i="18"/>
  <c r="U2020" i="18"/>
  <c r="U2021" i="18"/>
  <c r="U2022" i="18"/>
  <c r="U2023" i="18"/>
  <c r="U2024" i="18"/>
  <c r="U2025" i="18"/>
  <c r="U2026" i="18"/>
  <c r="U2027" i="18"/>
  <c r="U2028" i="18"/>
  <c r="U2029" i="18"/>
  <c r="U2030" i="18"/>
  <c r="U2031" i="18"/>
  <c r="U2032" i="18"/>
  <c r="U2033" i="18"/>
  <c r="U2034" i="18"/>
  <c r="U2035" i="18"/>
  <c r="U2036" i="18"/>
  <c r="U2037" i="18"/>
  <c r="U2038" i="18"/>
  <c r="U2039" i="18"/>
  <c r="U2040" i="18"/>
  <c r="U2041" i="18"/>
  <c r="U2042" i="18"/>
  <c r="U2043" i="18"/>
  <c r="U2044" i="18"/>
  <c r="U2045" i="18"/>
  <c r="U2046" i="18"/>
  <c r="U2047" i="18"/>
  <c r="U2048" i="18"/>
  <c r="U2049" i="18"/>
  <c r="U2050" i="18"/>
  <c r="U2051" i="18"/>
  <c r="U2052" i="18"/>
  <c r="U2053" i="18"/>
  <c r="U2054" i="18"/>
  <c r="U2055" i="18"/>
  <c r="U2056" i="18"/>
  <c r="U2057" i="18"/>
  <c r="U2058" i="18"/>
  <c r="U2059" i="18"/>
  <c r="U2060" i="18"/>
  <c r="U2061" i="18"/>
  <c r="U2062" i="18"/>
  <c r="U2063" i="18"/>
  <c r="U2064" i="18"/>
  <c r="U2065" i="18"/>
  <c r="U2066" i="18"/>
  <c r="U2067" i="18"/>
  <c r="U2068" i="18"/>
  <c r="U2069" i="18"/>
  <c r="U2070" i="18"/>
  <c r="U2071" i="18"/>
  <c r="U2072" i="18"/>
  <c r="U2073" i="18"/>
  <c r="U2074" i="18"/>
  <c r="U2075" i="18"/>
  <c r="U2076" i="18"/>
  <c r="U2077" i="18"/>
  <c r="U2078" i="18"/>
  <c r="U2079" i="18"/>
  <c r="U2080" i="18"/>
  <c r="U2081" i="18"/>
  <c r="U2082" i="18"/>
  <c r="U2083" i="18"/>
  <c r="U2084" i="18"/>
  <c r="U2085" i="18"/>
  <c r="U2086" i="18"/>
  <c r="U2087" i="18"/>
  <c r="U2088" i="18"/>
  <c r="U2089" i="18"/>
  <c r="U2090" i="18"/>
  <c r="U2091" i="18"/>
  <c r="U2092" i="18"/>
  <c r="U2093" i="18"/>
  <c r="U2094" i="18"/>
  <c r="U2095" i="18"/>
  <c r="U2096" i="18"/>
  <c r="U2097" i="18"/>
  <c r="U2098" i="18"/>
  <c r="U2099" i="18"/>
  <c r="U2100" i="18"/>
  <c r="U2101" i="18"/>
  <c r="U2102" i="18"/>
  <c r="U2103" i="18"/>
  <c r="U2104" i="18"/>
  <c r="U2105" i="18"/>
  <c r="U2106" i="18"/>
  <c r="U2107" i="18"/>
  <c r="U2108" i="18"/>
  <c r="U2109" i="18"/>
  <c r="U2110" i="18"/>
  <c r="U2111" i="18"/>
  <c r="U2112" i="18"/>
  <c r="U2113" i="18"/>
  <c r="U2114" i="18"/>
  <c r="U2115" i="18"/>
  <c r="U2116" i="18"/>
  <c r="U2117" i="18"/>
  <c r="U2118" i="18"/>
  <c r="U2119" i="18"/>
  <c r="U2120" i="18"/>
  <c r="U2121" i="18"/>
  <c r="U2122" i="18"/>
  <c r="U2123" i="18"/>
  <c r="U2124" i="18"/>
  <c r="U2125" i="18"/>
  <c r="U2126" i="18"/>
  <c r="U2127" i="18"/>
  <c r="U2128" i="18"/>
  <c r="U2129" i="18"/>
  <c r="U2130" i="18"/>
  <c r="U2131" i="18"/>
  <c r="U2132" i="18"/>
  <c r="U2133" i="18"/>
  <c r="U2134" i="18"/>
  <c r="U2135" i="18"/>
  <c r="U2136" i="18"/>
  <c r="U2137" i="18"/>
  <c r="U2138" i="18"/>
  <c r="U2139" i="18"/>
  <c r="U2140" i="18"/>
  <c r="U2141" i="18"/>
  <c r="U2142" i="18"/>
  <c r="U2143" i="18"/>
  <c r="U2144" i="18"/>
  <c r="U2145" i="18"/>
  <c r="U2146" i="18"/>
  <c r="U2147" i="18"/>
  <c r="U2148" i="18"/>
  <c r="U2149" i="18"/>
  <c r="U2150" i="18"/>
  <c r="U2151" i="18"/>
  <c r="U2152" i="18"/>
  <c r="U2153" i="18"/>
  <c r="U2154" i="18"/>
  <c r="U2155" i="18"/>
  <c r="U2156" i="18"/>
  <c r="U2157" i="18"/>
  <c r="U2158" i="18"/>
  <c r="U2159" i="18"/>
  <c r="U2160" i="18"/>
  <c r="U2161" i="18"/>
  <c r="U2162" i="18"/>
  <c r="U2163" i="18"/>
  <c r="U2164" i="18"/>
  <c r="U2165" i="18"/>
  <c r="U2166" i="18"/>
  <c r="U2167" i="18"/>
  <c r="U2168" i="18"/>
  <c r="U2169" i="18"/>
  <c r="U2170" i="18"/>
  <c r="U2171" i="18"/>
  <c r="U2172" i="18"/>
  <c r="U2173" i="18"/>
  <c r="U2174" i="18"/>
  <c r="U2175" i="18"/>
  <c r="U2176" i="18"/>
  <c r="U2177" i="18"/>
  <c r="U2178" i="18"/>
  <c r="U2179" i="18"/>
  <c r="U2180" i="18"/>
  <c r="U2181" i="18"/>
  <c r="U2182" i="18"/>
  <c r="U2183" i="18"/>
  <c r="U2184" i="18"/>
  <c r="U2185" i="18"/>
  <c r="U2186" i="18"/>
  <c r="U2187" i="18"/>
  <c r="U2188" i="18"/>
  <c r="U2189" i="18"/>
  <c r="U2190" i="18"/>
  <c r="U2191" i="18"/>
  <c r="U2192" i="18"/>
  <c r="U2193" i="18"/>
  <c r="U2194" i="18"/>
  <c r="U2195" i="18"/>
  <c r="U2196" i="18"/>
  <c r="U2197" i="18"/>
  <c r="U2198" i="18"/>
  <c r="U2199" i="18"/>
  <c r="U2200" i="18"/>
  <c r="U2201" i="18"/>
  <c r="U2202" i="18"/>
  <c r="U2203" i="18"/>
  <c r="U2204" i="18"/>
  <c r="U2205" i="18"/>
  <c r="U2206" i="18"/>
  <c r="U2207" i="18"/>
  <c r="U2208" i="18"/>
  <c r="U2209" i="18"/>
  <c r="U2210" i="18"/>
  <c r="U2211" i="18"/>
  <c r="U2212" i="18"/>
  <c r="U2213" i="18"/>
  <c r="U2214" i="18"/>
  <c r="U2215" i="18"/>
  <c r="U2216" i="18"/>
  <c r="U2217" i="18"/>
  <c r="U2218" i="18"/>
  <c r="U2219" i="18"/>
  <c r="U2220" i="18"/>
  <c r="U2221" i="18"/>
  <c r="U2222" i="18"/>
  <c r="U2223" i="18"/>
  <c r="U2224" i="18"/>
  <c r="U2225" i="18"/>
  <c r="U2226" i="18"/>
  <c r="U2227" i="18"/>
  <c r="U2228" i="18"/>
  <c r="U2229" i="18"/>
  <c r="U2230" i="18"/>
  <c r="U2231" i="18"/>
  <c r="U2232" i="18"/>
  <c r="U2233" i="18"/>
  <c r="U2234" i="18"/>
  <c r="U2235" i="18"/>
  <c r="U2236" i="18"/>
  <c r="U2237" i="18"/>
  <c r="U2238" i="18"/>
  <c r="U2239" i="18"/>
  <c r="U2240" i="18"/>
  <c r="U2241" i="18"/>
  <c r="U2242" i="18"/>
  <c r="U2243" i="18"/>
  <c r="U2244" i="18"/>
  <c r="U2245" i="18"/>
  <c r="U2246" i="18"/>
  <c r="U2247" i="18"/>
  <c r="U2248" i="18"/>
  <c r="U2249" i="18"/>
  <c r="U2250" i="18"/>
  <c r="U2251" i="18"/>
  <c r="U2252" i="18"/>
  <c r="U2253" i="18"/>
  <c r="U2254" i="18"/>
  <c r="U2255" i="18"/>
  <c r="U2256" i="18"/>
  <c r="U2257" i="18"/>
  <c r="U2258" i="18"/>
  <c r="U2259" i="18"/>
  <c r="U2260" i="18"/>
  <c r="U2261" i="18"/>
  <c r="U2262" i="18"/>
  <c r="U2263" i="18"/>
  <c r="U2264" i="18"/>
  <c r="U2265" i="18"/>
  <c r="U2266" i="18"/>
  <c r="U2267" i="18"/>
  <c r="U2268" i="18"/>
  <c r="U2269" i="18"/>
  <c r="U2270" i="18"/>
  <c r="U2271" i="18"/>
  <c r="U2272" i="18"/>
  <c r="U2273" i="18"/>
  <c r="U2274" i="18"/>
  <c r="U2275" i="18"/>
  <c r="U2276" i="18"/>
  <c r="U2277" i="18"/>
  <c r="U2278" i="18"/>
  <c r="U2279" i="18"/>
  <c r="U2280" i="18"/>
  <c r="U2281" i="18"/>
  <c r="U2282" i="18"/>
  <c r="U2283" i="18"/>
  <c r="U2284" i="18"/>
  <c r="U2285" i="18"/>
  <c r="U2286" i="18"/>
  <c r="U2287" i="18"/>
  <c r="U2288" i="18"/>
  <c r="U2289" i="18"/>
  <c r="U2290" i="18"/>
  <c r="U2291" i="18"/>
  <c r="U2292" i="18"/>
  <c r="U2293" i="18"/>
  <c r="U2294" i="18"/>
  <c r="U2295" i="18"/>
  <c r="U2296" i="18"/>
  <c r="U2297" i="18"/>
  <c r="U2298" i="18"/>
  <c r="U2299" i="18"/>
  <c r="U2300" i="18"/>
  <c r="U2301" i="18"/>
  <c r="U2302" i="18"/>
  <c r="U2303" i="18"/>
  <c r="U2304" i="18"/>
  <c r="U2305" i="18"/>
  <c r="U2306" i="18"/>
  <c r="U2307" i="18"/>
  <c r="U2308" i="18"/>
  <c r="U2309" i="18"/>
  <c r="U2310" i="18"/>
  <c r="U2311" i="18"/>
  <c r="U2312" i="18"/>
  <c r="U2313" i="18"/>
  <c r="U2314" i="18"/>
  <c r="U2315" i="18"/>
  <c r="U2316" i="18"/>
  <c r="U2317" i="18"/>
  <c r="U2318" i="18"/>
  <c r="U2319" i="18"/>
  <c r="U2320" i="18"/>
  <c r="U2321" i="18"/>
  <c r="U2322" i="18"/>
  <c r="U2323" i="18"/>
  <c r="U2324" i="18"/>
  <c r="U2325" i="18"/>
  <c r="U2326" i="18"/>
  <c r="U2327" i="18"/>
  <c r="U2328" i="18"/>
  <c r="U2329" i="18"/>
  <c r="U2330" i="18"/>
  <c r="U2331" i="18"/>
  <c r="U2332" i="18"/>
  <c r="U2333" i="18"/>
  <c r="U2334" i="18"/>
  <c r="U2335" i="18"/>
  <c r="U2336" i="18"/>
  <c r="U2337" i="18"/>
  <c r="U2338" i="18"/>
  <c r="U2339" i="18"/>
  <c r="U2340" i="18"/>
  <c r="U2341" i="18"/>
  <c r="U2342" i="18"/>
  <c r="U2343" i="18"/>
  <c r="U2344" i="18"/>
  <c r="U2345" i="18"/>
  <c r="U2346" i="18"/>
  <c r="U2347" i="18"/>
  <c r="U2348" i="18"/>
  <c r="U2349" i="18"/>
  <c r="U2350" i="18"/>
  <c r="U2351" i="18"/>
  <c r="U2352" i="18"/>
  <c r="U2353" i="18"/>
  <c r="U2354" i="18"/>
  <c r="U2355" i="18"/>
  <c r="U2356" i="18"/>
  <c r="U2357" i="18"/>
  <c r="U2358" i="18"/>
  <c r="U2359" i="18"/>
  <c r="U2360" i="18"/>
  <c r="U2361" i="18"/>
  <c r="U2362" i="18"/>
  <c r="U2363" i="18"/>
  <c r="U2364" i="18"/>
  <c r="U2365" i="18"/>
  <c r="U2366" i="18"/>
  <c r="U2367" i="18"/>
  <c r="U2368" i="18"/>
  <c r="U2369" i="18"/>
  <c r="U2370" i="18"/>
  <c r="U2371" i="18"/>
  <c r="U2372" i="18"/>
  <c r="U2373" i="18"/>
  <c r="U2374" i="18"/>
  <c r="U2375" i="18"/>
  <c r="U2376" i="18"/>
  <c r="U2377" i="18"/>
  <c r="U2378" i="18"/>
  <c r="U2379" i="18"/>
  <c r="U2380" i="18"/>
  <c r="U2381" i="18"/>
  <c r="U2382" i="18"/>
  <c r="U2383" i="18"/>
  <c r="U2384" i="18"/>
  <c r="U2385" i="18"/>
  <c r="U2386" i="18"/>
  <c r="U2387" i="18"/>
  <c r="U2388" i="18"/>
  <c r="U2389" i="18"/>
  <c r="U2390" i="18"/>
  <c r="U2391" i="18"/>
  <c r="U2392" i="18"/>
  <c r="U2393" i="18"/>
  <c r="U2394" i="18"/>
  <c r="U2395" i="18"/>
  <c r="U2396" i="18"/>
  <c r="U2397" i="18"/>
  <c r="U2398" i="18"/>
  <c r="U2399" i="18"/>
  <c r="U2400" i="18"/>
  <c r="U2401" i="18"/>
  <c r="U2402" i="18"/>
  <c r="U2403" i="18"/>
  <c r="U2404" i="18"/>
  <c r="U2405" i="18"/>
  <c r="U2406" i="18"/>
  <c r="U2407" i="18"/>
  <c r="U2408" i="18"/>
  <c r="U2409" i="18"/>
  <c r="U2410" i="18"/>
  <c r="U2411" i="18"/>
  <c r="U2412" i="18"/>
  <c r="U2413" i="18"/>
  <c r="U2414" i="18"/>
  <c r="U2415" i="18"/>
  <c r="U2416" i="18"/>
  <c r="U2417" i="18"/>
  <c r="U2418" i="18"/>
  <c r="U2419" i="18"/>
  <c r="U2420" i="18"/>
  <c r="U2421" i="18"/>
  <c r="U2422" i="18"/>
  <c r="U2423" i="18"/>
  <c r="U2424" i="18"/>
  <c r="U2425" i="18"/>
  <c r="U2426" i="18"/>
  <c r="U2427" i="18"/>
  <c r="U2428" i="18"/>
  <c r="U2429" i="18"/>
  <c r="U2430" i="18"/>
  <c r="U2431" i="18"/>
  <c r="U2432" i="18"/>
  <c r="U2433" i="18"/>
  <c r="U2434" i="18"/>
  <c r="U2435" i="18"/>
  <c r="U2436" i="18"/>
  <c r="U2437" i="18"/>
  <c r="U2438" i="18"/>
  <c r="U2439" i="18"/>
  <c r="U2440" i="18"/>
  <c r="U2441" i="18"/>
  <c r="U2442" i="18"/>
  <c r="U2443" i="18"/>
  <c r="U2444" i="18"/>
  <c r="U2445" i="18"/>
  <c r="U2446" i="18"/>
  <c r="U2447" i="18"/>
  <c r="U2448" i="18"/>
  <c r="U2449" i="18"/>
  <c r="U2450" i="18"/>
  <c r="U2451" i="18"/>
  <c r="U2452" i="18"/>
  <c r="U2453" i="18"/>
  <c r="U2454" i="18"/>
  <c r="U2455" i="18"/>
  <c r="U2456" i="18"/>
  <c r="U2457" i="18"/>
  <c r="U2458" i="18"/>
  <c r="U2459" i="18"/>
  <c r="U2460" i="18"/>
  <c r="U2461" i="18"/>
  <c r="U2462" i="18"/>
  <c r="U2463" i="18"/>
  <c r="U2464" i="18"/>
  <c r="U2465" i="18"/>
  <c r="U2466" i="18"/>
  <c r="U2467" i="18"/>
  <c r="U2468" i="18"/>
  <c r="U2469" i="18"/>
  <c r="U2470" i="18"/>
  <c r="U2471" i="18"/>
  <c r="U2472" i="18"/>
  <c r="U2473" i="18"/>
  <c r="U2474" i="18"/>
  <c r="U2475" i="18"/>
  <c r="U2476" i="18"/>
  <c r="U2477" i="18"/>
  <c r="U2478" i="18"/>
  <c r="U2479" i="18"/>
  <c r="U2480" i="18"/>
  <c r="U2481" i="18"/>
  <c r="U2482" i="18"/>
  <c r="U2483" i="18"/>
  <c r="U2484" i="18"/>
  <c r="U2485" i="18"/>
  <c r="U2486" i="18"/>
  <c r="U2487" i="18"/>
  <c r="U2488" i="18"/>
  <c r="U2489" i="18"/>
  <c r="U2490" i="18"/>
  <c r="U2491" i="18"/>
  <c r="U2492" i="18"/>
  <c r="U2493" i="18"/>
  <c r="U2494" i="18"/>
  <c r="U2495" i="18"/>
  <c r="U2496" i="18"/>
  <c r="U2497" i="18"/>
  <c r="U2498" i="18"/>
  <c r="U2499" i="18"/>
  <c r="U2500" i="18"/>
  <c r="U2501" i="18"/>
  <c r="U2502" i="18"/>
  <c r="U2503" i="18"/>
  <c r="U2504" i="18"/>
  <c r="U2505" i="18"/>
  <c r="U2506" i="18"/>
  <c r="U2507" i="18"/>
  <c r="U2508" i="18"/>
  <c r="U2509" i="18"/>
  <c r="U2510" i="18"/>
  <c r="U2511" i="18"/>
  <c r="U2512" i="18"/>
  <c r="U2513" i="18"/>
  <c r="U2514" i="18"/>
  <c r="U2515" i="18"/>
  <c r="U2516" i="18"/>
  <c r="U2517" i="18"/>
  <c r="U2518" i="18"/>
  <c r="U2519" i="18"/>
  <c r="U2520" i="18"/>
  <c r="U2521" i="18"/>
  <c r="U2522" i="18"/>
  <c r="U2523" i="18"/>
  <c r="U2524" i="18"/>
  <c r="U2525" i="18"/>
  <c r="U2526" i="18"/>
  <c r="U2527" i="18"/>
  <c r="U2528" i="18"/>
  <c r="U2529" i="18"/>
  <c r="U2530" i="18"/>
  <c r="U2531" i="18"/>
  <c r="U2532" i="18"/>
  <c r="U2533" i="18"/>
  <c r="U2534" i="18"/>
  <c r="U2535" i="18"/>
  <c r="U2536" i="18"/>
  <c r="U2537" i="18"/>
  <c r="U2538" i="18"/>
  <c r="U2539" i="18"/>
  <c r="U2540" i="18"/>
  <c r="U2541" i="18"/>
  <c r="U2542" i="18"/>
  <c r="U2543" i="18"/>
  <c r="U2544" i="18"/>
  <c r="U2545" i="18"/>
  <c r="U2546" i="18"/>
  <c r="U2547" i="18"/>
  <c r="U2548" i="18"/>
  <c r="U2549" i="18"/>
  <c r="U2550" i="18"/>
  <c r="U2551" i="18"/>
  <c r="U2552" i="18"/>
  <c r="U2553" i="18"/>
  <c r="U2554" i="18"/>
  <c r="U2555" i="18"/>
  <c r="U2556" i="18"/>
  <c r="U2557" i="18"/>
  <c r="U2558" i="18"/>
  <c r="U2559" i="18"/>
  <c r="U2560" i="18"/>
  <c r="U2561" i="18"/>
  <c r="U2562" i="18"/>
  <c r="U2563" i="18"/>
  <c r="U2564" i="18"/>
  <c r="U2565" i="18"/>
  <c r="U2566" i="18"/>
  <c r="U2567" i="18"/>
  <c r="U2568" i="18"/>
  <c r="U2569" i="18"/>
  <c r="U2570" i="18"/>
  <c r="U2571" i="18"/>
  <c r="U2572" i="18"/>
  <c r="U2573" i="18"/>
  <c r="U2574" i="18"/>
  <c r="U2575" i="18"/>
  <c r="U2576" i="18"/>
  <c r="U2577" i="18"/>
  <c r="U2578" i="18"/>
  <c r="U2579" i="18"/>
  <c r="U2580" i="18"/>
  <c r="U2581" i="18"/>
  <c r="U2582" i="18"/>
  <c r="U2583" i="18"/>
  <c r="U2584" i="18"/>
  <c r="U2585" i="18"/>
  <c r="U2586" i="18"/>
  <c r="U2587" i="18"/>
  <c r="U2588" i="18"/>
  <c r="U2589" i="18"/>
  <c r="U2590" i="18"/>
  <c r="U2591" i="18"/>
  <c r="U2592" i="18"/>
  <c r="U2593" i="18"/>
  <c r="U2594" i="18"/>
  <c r="U2595" i="18"/>
  <c r="U2596" i="18"/>
  <c r="U2597" i="18"/>
  <c r="U2598" i="18"/>
  <c r="U2599" i="18"/>
  <c r="U2600" i="18"/>
  <c r="U2601" i="18"/>
  <c r="U2602" i="18"/>
  <c r="U2603" i="18"/>
  <c r="U2604" i="18"/>
  <c r="U2605" i="18"/>
  <c r="U2606" i="18"/>
  <c r="U2607" i="18"/>
  <c r="U2608" i="18"/>
  <c r="U2609" i="18"/>
  <c r="U2610" i="18"/>
  <c r="U2611" i="18"/>
  <c r="U2612" i="18"/>
  <c r="U2613" i="18"/>
  <c r="U2614" i="18"/>
  <c r="U2615" i="18"/>
  <c r="U2616" i="18"/>
  <c r="U2617" i="18"/>
  <c r="U2618" i="18"/>
  <c r="U2619" i="18"/>
  <c r="U2620" i="18"/>
  <c r="U2621" i="18"/>
  <c r="U2622" i="18"/>
  <c r="U2623" i="18"/>
  <c r="U2624" i="18"/>
  <c r="U2625" i="18"/>
  <c r="U2626" i="18"/>
  <c r="U2627" i="18"/>
  <c r="U2628" i="18"/>
  <c r="U2629" i="18"/>
  <c r="U2630" i="18"/>
  <c r="U2631" i="18"/>
  <c r="U2632" i="18"/>
  <c r="U2633" i="18"/>
  <c r="U2634" i="18"/>
  <c r="U2635" i="18"/>
  <c r="U2636" i="18"/>
  <c r="U2637" i="18"/>
  <c r="U2638" i="18"/>
  <c r="U2639" i="18"/>
  <c r="U2640" i="18"/>
  <c r="U2641" i="18"/>
  <c r="U2642" i="18"/>
  <c r="U2643" i="18"/>
  <c r="U2644" i="18"/>
  <c r="U2645" i="18"/>
  <c r="U2646" i="18"/>
  <c r="U2647" i="18"/>
  <c r="U2648" i="18"/>
  <c r="U2649" i="18"/>
  <c r="U2650" i="18"/>
  <c r="U2651" i="18"/>
  <c r="U2652" i="18"/>
  <c r="U2653" i="18"/>
  <c r="U2654" i="18"/>
  <c r="U2655" i="18"/>
  <c r="U2656" i="18"/>
  <c r="U2657" i="18"/>
  <c r="U2658" i="18"/>
  <c r="U2659" i="18"/>
  <c r="U2660" i="18"/>
  <c r="U2661" i="18"/>
  <c r="U2662" i="18"/>
  <c r="U2663" i="18"/>
  <c r="U2664" i="18"/>
  <c r="U2665" i="18"/>
  <c r="U2666" i="18"/>
  <c r="U2667" i="18"/>
  <c r="U2668" i="18"/>
  <c r="U2669" i="18"/>
  <c r="U2670" i="18"/>
  <c r="U2671" i="18"/>
  <c r="U2672" i="18"/>
  <c r="U2673" i="18"/>
  <c r="U2674" i="18"/>
  <c r="U2675" i="18"/>
  <c r="U2676" i="18"/>
  <c r="U2677" i="18"/>
  <c r="U2678" i="18"/>
  <c r="U2679" i="18"/>
  <c r="U2680" i="18"/>
  <c r="U2681" i="18"/>
  <c r="U2682" i="18"/>
  <c r="U2683" i="18"/>
  <c r="U2684" i="18"/>
  <c r="U2685" i="18"/>
  <c r="U2686" i="18"/>
  <c r="U2687" i="18"/>
  <c r="U2688" i="18"/>
  <c r="U2689" i="18"/>
  <c r="U2690" i="18"/>
  <c r="U2691" i="18"/>
  <c r="U2692" i="18"/>
  <c r="U2693" i="18"/>
  <c r="U2694" i="18"/>
  <c r="U2695" i="18"/>
  <c r="U2696" i="18"/>
  <c r="U2697" i="18"/>
  <c r="U2698" i="18"/>
  <c r="U2699" i="18"/>
  <c r="U2700" i="18"/>
  <c r="U2701" i="18"/>
  <c r="U2702" i="18"/>
  <c r="U2703" i="18"/>
  <c r="U2704" i="18"/>
  <c r="U2705" i="18"/>
  <c r="U2706" i="18"/>
  <c r="U2707" i="18"/>
  <c r="U2708" i="18"/>
  <c r="U2709" i="18"/>
  <c r="U2710" i="18"/>
  <c r="U2711" i="18"/>
  <c r="U2712" i="18"/>
  <c r="U2713" i="18"/>
  <c r="U2714" i="18"/>
  <c r="U2715" i="18"/>
  <c r="U2716" i="18"/>
  <c r="U2717" i="18"/>
  <c r="U2718" i="18"/>
  <c r="U2719" i="18"/>
  <c r="U2720" i="18"/>
  <c r="U2721" i="18"/>
  <c r="U2722" i="18"/>
  <c r="U2723" i="18"/>
  <c r="U2724" i="18"/>
  <c r="U2725" i="18"/>
  <c r="U2726" i="18"/>
  <c r="U2727" i="18"/>
  <c r="U2728" i="18"/>
  <c r="U2729" i="18"/>
  <c r="U2730" i="18"/>
  <c r="U2731" i="18"/>
  <c r="U2732" i="18"/>
  <c r="U2733" i="18"/>
  <c r="U2734" i="18"/>
  <c r="U2735" i="18"/>
  <c r="U2736" i="18"/>
  <c r="U2737" i="18"/>
  <c r="U2738" i="18"/>
  <c r="U2739" i="18"/>
  <c r="U2740" i="18"/>
  <c r="U2741" i="18"/>
  <c r="U2742" i="18"/>
  <c r="U2743" i="18"/>
  <c r="U2744" i="18"/>
  <c r="U2745" i="18"/>
  <c r="U2746" i="18"/>
  <c r="U2747" i="18"/>
  <c r="U2748" i="18"/>
  <c r="U2749" i="18"/>
  <c r="U2750" i="18"/>
  <c r="U2751" i="18"/>
  <c r="U2752" i="18"/>
  <c r="U2753" i="18"/>
  <c r="U2754" i="18"/>
  <c r="U2755" i="18"/>
  <c r="U2756" i="18"/>
  <c r="U2757" i="18"/>
  <c r="U2758" i="18"/>
  <c r="U2759" i="18"/>
  <c r="U2760" i="18"/>
  <c r="U2761" i="18"/>
  <c r="U2762" i="18"/>
  <c r="U2763" i="18"/>
  <c r="U2764" i="18"/>
  <c r="U2765" i="18"/>
  <c r="U2766" i="18"/>
  <c r="U2767" i="18"/>
  <c r="U2768" i="18"/>
  <c r="U2769" i="18"/>
  <c r="U2770" i="18"/>
  <c r="U2771" i="18"/>
  <c r="U2772" i="18"/>
  <c r="U2773" i="18"/>
  <c r="U2774" i="18"/>
  <c r="U2775" i="18"/>
  <c r="U2776" i="18"/>
  <c r="U2777" i="18"/>
  <c r="U2778" i="18"/>
  <c r="U2779" i="18"/>
  <c r="U2780" i="18"/>
  <c r="U2781" i="18"/>
  <c r="U2782" i="18"/>
  <c r="U2783" i="18"/>
  <c r="U2784" i="18"/>
  <c r="U2785" i="18"/>
  <c r="U2786" i="18"/>
  <c r="U2787" i="18"/>
  <c r="U2788" i="18"/>
  <c r="U2789" i="18"/>
  <c r="U2790" i="18"/>
  <c r="U2791" i="18"/>
  <c r="U2792" i="18"/>
  <c r="U2793" i="18"/>
  <c r="U2794" i="18"/>
  <c r="U2795" i="18"/>
  <c r="U2796" i="18"/>
  <c r="U2797" i="18"/>
  <c r="U2798" i="18"/>
  <c r="U2799" i="18"/>
  <c r="U2800" i="18"/>
  <c r="U2801" i="18"/>
  <c r="U2802" i="18"/>
  <c r="U2803" i="18"/>
  <c r="U2804" i="18"/>
  <c r="U2805" i="18"/>
  <c r="U2806" i="18"/>
  <c r="U2807" i="18"/>
  <c r="U2808" i="18"/>
  <c r="U2809" i="18"/>
  <c r="U2810" i="18"/>
  <c r="U2811" i="18"/>
  <c r="U2812" i="18"/>
  <c r="U2813" i="18"/>
  <c r="U2814" i="18"/>
  <c r="U2815" i="18"/>
  <c r="U2816" i="18"/>
  <c r="U2817" i="18"/>
  <c r="U2818" i="18"/>
  <c r="U2819" i="18"/>
  <c r="U2820" i="18"/>
  <c r="U2821" i="18"/>
  <c r="U2822" i="18"/>
  <c r="U2823" i="18"/>
  <c r="U2824" i="18"/>
  <c r="U2825" i="18"/>
  <c r="U2826" i="18"/>
  <c r="U2827" i="18"/>
  <c r="U2828" i="18"/>
  <c r="U2829" i="18"/>
  <c r="U2830" i="18"/>
  <c r="U2831" i="18"/>
  <c r="U2832" i="18"/>
  <c r="U2833" i="18"/>
  <c r="U2834" i="18"/>
  <c r="U2835" i="18"/>
  <c r="U2836" i="18"/>
  <c r="U2837" i="18"/>
  <c r="U2838" i="18"/>
  <c r="U2839" i="18"/>
  <c r="U2840" i="18"/>
  <c r="U2841" i="18"/>
  <c r="U2842" i="18"/>
  <c r="U2843" i="18"/>
  <c r="U2844" i="18"/>
  <c r="U2845" i="18"/>
  <c r="U2846" i="18"/>
  <c r="U2847" i="18"/>
  <c r="U2848" i="18"/>
  <c r="U2849" i="18"/>
  <c r="U2850" i="18"/>
  <c r="U2851" i="18"/>
  <c r="U2852" i="18"/>
  <c r="U2853" i="18"/>
  <c r="U2854" i="18"/>
  <c r="U2855" i="18"/>
  <c r="U2856" i="18"/>
  <c r="U2857" i="18"/>
  <c r="U2858" i="18"/>
  <c r="U2859" i="18"/>
  <c r="U2860" i="18"/>
  <c r="U2861" i="18"/>
  <c r="U2862" i="18"/>
  <c r="U2863" i="18"/>
  <c r="U2864" i="18"/>
  <c r="U2865" i="18"/>
  <c r="U2866" i="18"/>
  <c r="U2867" i="18"/>
  <c r="U2868" i="18"/>
  <c r="U2869" i="18"/>
  <c r="U2870" i="18"/>
  <c r="U2871" i="18"/>
  <c r="U2872" i="18"/>
  <c r="U2873" i="18"/>
  <c r="U2874" i="18"/>
  <c r="U2875" i="18"/>
  <c r="U2876" i="18"/>
  <c r="U2877" i="18"/>
  <c r="U2878" i="18"/>
  <c r="U2879" i="18"/>
  <c r="U2880" i="18"/>
  <c r="U2881" i="18"/>
  <c r="U2882" i="18"/>
  <c r="U2883" i="18"/>
  <c r="U2884" i="18"/>
  <c r="U2885" i="18"/>
  <c r="U2886" i="18"/>
  <c r="U2887" i="18"/>
  <c r="U2888" i="18"/>
  <c r="U2889" i="18"/>
  <c r="U2890" i="18"/>
  <c r="U2891" i="18"/>
  <c r="U2892" i="18"/>
  <c r="U2893" i="18"/>
  <c r="U2894" i="18"/>
  <c r="U2895" i="18"/>
  <c r="U2896" i="18"/>
  <c r="U2897" i="18"/>
  <c r="U2898" i="18"/>
  <c r="U2899" i="18"/>
  <c r="U2900" i="18"/>
  <c r="U2901" i="18"/>
  <c r="U2902" i="18"/>
  <c r="U2903" i="18"/>
  <c r="U2904" i="18"/>
  <c r="U2905" i="18"/>
  <c r="U2906" i="18"/>
  <c r="U2907" i="18"/>
  <c r="U2908" i="18"/>
  <c r="U2909" i="18"/>
  <c r="U2910" i="18"/>
  <c r="U2911" i="18"/>
  <c r="U2912" i="18"/>
  <c r="U2913" i="18"/>
  <c r="U2914" i="18"/>
  <c r="U2915" i="18"/>
  <c r="U2916" i="18"/>
  <c r="U2917" i="18"/>
  <c r="U2918" i="18"/>
  <c r="U2919" i="18"/>
  <c r="U2920" i="18"/>
  <c r="U2921" i="18"/>
  <c r="U2922" i="18"/>
  <c r="U2923" i="18"/>
  <c r="U2924" i="18"/>
  <c r="U2925" i="18"/>
  <c r="U2926" i="18"/>
  <c r="U2927" i="18"/>
  <c r="U2928" i="18"/>
  <c r="U2929" i="18"/>
  <c r="U2930" i="18"/>
  <c r="U2931" i="18"/>
  <c r="U2932" i="18"/>
  <c r="U2933" i="18"/>
  <c r="U2934" i="18"/>
  <c r="U2935" i="18"/>
  <c r="U2936" i="18"/>
  <c r="U2937" i="18"/>
  <c r="U2938" i="18"/>
  <c r="U2939" i="18"/>
  <c r="U2940" i="18"/>
  <c r="U2941" i="18"/>
  <c r="U2942" i="18"/>
  <c r="U2943" i="18"/>
  <c r="U2944" i="18"/>
  <c r="U2945" i="18"/>
  <c r="U2946" i="18"/>
  <c r="U2947" i="18"/>
  <c r="U2948" i="18"/>
  <c r="U2949" i="18"/>
  <c r="U2950" i="18"/>
  <c r="U2951" i="18"/>
  <c r="U2952" i="18"/>
  <c r="U2953" i="18"/>
  <c r="U2954" i="18"/>
  <c r="U2955" i="18"/>
  <c r="U2956" i="18"/>
  <c r="U2957" i="18"/>
  <c r="U2958" i="18"/>
  <c r="U2959" i="18"/>
  <c r="U2960" i="18"/>
  <c r="U2961" i="18"/>
  <c r="U2962" i="18"/>
  <c r="U2963" i="18"/>
  <c r="U2964" i="18"/>
  <c r="U2965" i="18"/>
  <c r="U2966" i="18"/>
  <c r="U2967" i="18"/>
  <c r="U2968" i="18"/>
  <c r="U2969" i="18"/>
  <c r="U2970" i="18"/>
  <c r="U2971" i="18"/>
  <c r="U2972" i="18"/>
  <c r="U2973" i="18"/>
  <c r="U2974" i="18"/>
  <c r="U2975" i="18"/>
  <c r="U2976" i="18"/>
  <c r="U2977" i="18"/>
  <c r="U2978" i="18"/>
  <c r="U2979" i="18"/>
  <c r="U2980" i="18"/>
  <c r="U2981" i="18"/>
  <c r="U2982" i="18"/>
  <c r="U2983" i="18"/>
  <c r="U2984" i="18"/>
  <c r="U2985" i="18"/>
  <c r="U2986" i="18"/>
  <c r="U2987" i="18"/>
  <c r="U2988" i="18"/>
  <c r="U2989" i="18"/>
  <c r="U2990" i="18"/>
  <c r="U2991" i="18"/>
  <c r="U2992" i="18"/>
  <c r="U2993" i="18"/>
  <c r="U2994" i="18"/>
  <c r="U2995" i="18"/>
  <c r="U2996" i="18"/>
  <c r="U2997" i="18"/>
  <c r="U2998" i="18"/>
  <c r="U2999" i="18"/>
  <c r="U3000" i="18"/>
  <c r="U3001" i="18"/>
  <c r="U3002" i="18"/>
  <c r="U3003" i="18"/>
  <c r="U3004" i="18"/>
  <c r="U3005" i="18"/>
  <c r="U3006" i="18"/>
  <c r="U3007" i="18"/>
  <c r="U3008" i="18"/>
  <c r="U3009" i="18"/>
  <c r="U3010" i="18"/>
  <c r="U3011" i="18"/>
  <c r="U3012" i="18"/>
  <c r="U3013" i="18"/>
  <c r="U3014" i="18"/>
  <c r="U3015" i="18"/>
  <c r="U3016" i="18"/>
  <c r="U3017" i="18"/>
  <c r="U3018" i="18"/>
  <c r="U3019" i="18"/>
  <c r="U3020" i="18"/>
  <c r="U3021" i="18"/>
  <c r="U3022" i="18"/>
  <c r="U3023" i="18"/>
  <c r="U3024" i="18"/>
  <c r="U3025" i="18"/>
  <c r="U3026" i="18"/>
  <c r="U3027" i="18"/>
  <c r="U3028" i="18"/>
  <c r="U3029" i="18"/>
  <c r="U3030" i="18"/>
  <c r="U3031" i="18"/>
  <c r="U3032" i="18"/>
  <c r="U3033" i="18"/>
  <c r="U3034" i="18"/>
  <c r="U3035" i="18"/>
  <c r="U3036" i="18"/>
  <c r="U3037" i="18"/>
  <c r="U3038" i="18"/>
  <c r="U3039" i="18"/>
  <c r="U3040" i="18"/>
  <c r="U3041" i="18"/>
  <c r="U3042" i="18"/>
  <c r="U3043" i="18"/>
  <c r="U3044" i="18"/>
  <c r="U3045" i="18"/>
  <c r="U3046" i="18"/>
  <c r="U3047" i="18"/>
  <c r="U3048" i="18"/>
  <c r="U3049" i="18"/>
  <c r="U3050" i="18"/>
  <c r="U3051" i="18"/>
  <c r="U3052" i="18"/>
  <c r="U3053" i="18"/>
  <c r="U3054" i="18"/>
  <c r="U3055" i="18"/>
  <c r="U3056" i="18"/>
  <c r="U3057" i="18"/>
  <c r="U3058" i="18"/>
  <c r="U3059" i="18"/>
  <c r="U3060" i="18"/>
  <c r="U3061" i="18"/>
  <c r="U3062" i="18"/>
  <c r="U3063" i="18"/>
  <c r="U3064" i="18"/>
  <c r="U3065" i="18"/>
  <c r="U3066" i="18"/>
  <c r="U3067" i="18"/>
  <c r="U3068" i="18"/>
  <c r="U3069" i="18"/>
  <c r="U3070" i="18"/>
  <c r="U3071" i="18"/>
  <c r="U3072" i="18"/>
  <c r="U3073" i="18"/>
  <c r="U3074" i="18"/>
  <c r="U3075" i="18"/>
  <c r="U3076" i="18"/>
  <c r="U3077" i="18"/>
  <c r="U3078" i="18"/>
  <c r="U3079" i="18"/>
  <c r="U3080" i="18"/>
  <c r="U3081" i="18"/>
  <c r="U3082" i="18"/>
  <c r="U3083" i="18"/>
  <c r="U3084" i="18"/>
  <c r="U3085" i="18"/>
  <c r="U3086" i="18"/>
  <c r="U3087" i="18"/>
  <c r="U3088" i="18"/>
  <c r="U3089" i="18"/>
  <c r="U3090" i="18"/>
  <c r="U3091" i="18"/>
  <c r="U3092" i="18"/>
  <c r="U3093" i="18"/>
  <c r="U3094" i="18"/>
  <c r="U3095" i="18"/>
  <c r="U3096" i="18"/>
  <c r="U3097" i="18"/>
  <c r="U3098" i="18"/>
  <c r="U3099" i="18"/>
  <c r="U3100" i="18"/>
  <c r="U3101" i="18"/>
  <c r="U3102" i="18"/>
  <c r="U3103" i="18"/>
  <c r="U3104" i="18"/>
  <c r="U3105" i="18"/>
  <c r="U3106" i="18"/>
  <c r="U3107" i="18"/>
  <c r="U3108" i="18"/>
  <c r="U3109" i="18"/>
  <c r="U3110" i="18"/>
  <c r="U3111" i="18"/>
  <c r="U3112" i="18"/>
  <c r="U3113" i="18"/>
  <c r="U3114" i="18"/>
  <c r="U3115" i="18"/>
  <c r="U3116" i="18"/>
  <c r="U3117" i="18"/>
  <c r="U3118" i="18"/>
  <c r="U3119" i="18"/>
  <c r="U3120" i="18"/>
  <c r="U3121" i="18"/>
  <c r="U3122" i="18"/>
  <c r="U3123" i="18"/>
  <c r="U3124" i="18"/>
  <c r="U3125" i="18"/>
  <c r="U3126" i="18"/>
  <c r="U3127" i="18"/>
  <c r="U3128" i="18"/>
  <c r="U3129" i="18"/>
  <c r="U3130" i="18"/>
  <c r="U3131" i="18"/>
  <c r="U3132" i="18"/>
  <c r="U3133" i="18"/>
  <c r="U3134" i="18"/>
  <c r="U3135" i="18"/>
  <c r="U3136" i="18"/>
  <c r="U3137" i="18"/>
  <c r="U3138" i="18"/>
  <c r="U3139" i="18"/>
  <c r="U3140" i="18"/>
  <c r="U3141" i="18"/>
  <c r="U3142" i="18"/>
  <c r="U3143" i="18"/>
  <c r="U3144" i="18"/>
  <c r="U3145" i="18"/>
  <c r="U3146" i="18"/>
  <c r="U3147" i="18"/>
  <c r="U3148" i="18"/>
  <c r="U3149" i="18"/>
  <c r="U3150" i="18"/>
  <c r="U3151" i="18"/>
  <c r="U3152" i="18"/>
  <c r="U3153" i="18"/>
  <c r="U3154" i="18"/>
  <c r="U3155" i="18"/>
  <c r="U3156" i="18"/>
  <c r="U3157" i="18"/>
  <c r="U3158" i="18"/>
  <c r="U3159" i="18"/>
  <c r="U3160" i="18"/>
  <c r="U3161" i="18"/>
  <c r="U3162" i="18"/>
  <c r="U3163" i="18"/>
  <c r="U3164" i="18"/>
  <c r="U3165" i="18"/>
  <c r="U3166" i="18"/>
  <c r="U3167" i="18"/>
  <c r="U3168" i="18"/>
  <c r="U3169" i="18"/>
  <c r="U3170" i="18"/>
  <c r="U3171" i="18"/>
  <c r="U3172" i="18"/>
  <c r="U3173" i="18"/>
  <c r="U3174" i="18"/>
  <c r="U3175" i="18"/>
  <c r="U3176" i="18"/>
  <c r="U3177" i="18"/>
  <c r="U3178" i="18"/>
  <c r="U3179" i="18"/>
  <c r="U3180" i="18"/>
  <c r="U3181" i="18"/>
  <c r="U3182" i="18"/>
  <c r="U3183" i="18"/>
  <c r="U3184" i="18"/>
  <c r="U3185" i="18"/>
  <c r="U3186" i="18"/>
  <c r="U3187" i="18"/>
  <c r="U3188" i="18"/>
  <c r="U3189" i="18"/>
  <c r="U3190" i="18"/>
  <c r="U3191" i="18"/>
  <c r="U3192" i="18"/>
  <c r="U3193" i="18"/>
  <c r="U3194" i="18"/>
  <c r="U3195" i="18"/>
  <c r="U3196" i="18"/>
  <c r="U3197" i="18"/>
  <c r="U3198" i="18"/>
  <c r="U3199" i="18"/>
  <c r="U3200" i="18"/>
  <c r="U3201" i="18"/>
  <c r="U3202" i="18"/>
  <c r="U3203" i="18"/>
  <c r="U3204" i="18"/>
  <c r="U3205" i="18"/>
  <c r="U3206" i="18"/>
  <c r="U3207" i="18"/>
  <c r="U3208" i="18"/>
  <c r="U3209" i="18"/>
  <c r="U3210" i="18"/>
  <c r="U3211" i="18"/>
  <c r="U3212" i="18"/>
  <c r="U3213" i="18"/>
  <c r="U3214" i="18"/>
  <c r="U3215" i="18"/>
  <c r="U3216" i="18"/>
  <c r="U3217" i="18"/>
  <c r="U3218" i="18"/>
  <c r="U3219" i="18"/>
  <c r="U3220" i="18"/>
  <c r="U3221" i="18"/>
  <c r="U3222" i="18"/>
  <c r="U3223" i="18"/>
  <c r="U3224" i="18"/>
  <c r="U3225" i="18"/>
  <c r="U3226" i="18"/>
  <c r="U3227" i="18"/>
  <c r="U3228" i="18"/>
  <c r="U3229" i="18"/>
  <c r="U3230" i="18"/>
  <c r="U3231" i="18"/>
  <c r="U3232" i="18"/>
  <c r="U3233" i="18"/>
  <c r="U3234" i="18"/>
  <c r="U3235" i="18"/>
  <c r="U3236" i="18"/>
  <c r="U3237" i="18"/>
  <c r="U3238" i="18"/>
  <c r="U3239" i="18"/>
  <c r="U3240" i="18"/>
  <c r="U3241" i="18"/>
  <c r="U3242" i="18"/>
  <c r="U3243" i="18"/>
  <c r="U3244" i="18"/>
  <c r="U3245" i="18"/>
  <c r="U3246" i="18"/>
  <c r="U3247" i="18"/>
  <c r="U3248" i="18"/>
  <c r="U3249" i="18"/>
  <c r="U3250" i="18"/>
  <c r="U3251" i="18"/>
  <c r="U3252" i="18"/>
  <c r="U3253" i="18"/>
  <c r="U3254" i="18"/>
  <c r="U3255" i="18"/>
  <c r="U3256" i="18"/>
  <c r="U3257" i="18"/>
  <c r="U3258" i="18"/>
  <c r="U3259" i="18"/>
  <c r="U3260" i="18"/>
  <c r="U3261" i="18"/>
  <c r="U3262" i="18"/>
  <c r="U3263" i="18"/>
  <c r="U3264" i="18"/>
  <c r="U3265" i="18"/>
  <c r="U3266" i="18"/>
  <c r="U3267" i="18"/>
  <c r="U3268" i="18"/>
  <c r="U3269" i="18"/>
  <c r="U3270" i="18"/>
  <c r="U3271" i="18"/>
  <c r="U3272" i="18"/>
  <c r="U3273" i="18"/>
  <c r="U3274" i="18"/>
  <c r="U3275" i="18"/>
  <c r="U3276" i="18"/>
  <c r="U3277" i="18"/>
  <c r="U3278" i="18"/>
  <c r="U3279" i="18"/>
  <c r="U3280" i="18"/>
  <c r="U3281" i="18"/>
  <c r="U3282" i="18"/>
  <c r="U3283" i="18"/>
  <c r="U3284" i="18"/>
  <c r="U3285" i="18"/>
  <c r="U3286" i="18"/>
  <c r="U3287" i="18"/>
  <c r="U3288" i="18"/>
  <c r="U3289" i="18"/>
  <c r="U3290" i="18"/>
  <c r="U3291" i="18"/>
  <c r="U3292" i="18"/>
  <c r="U3293" i="18"/>
  <c r="U3294" i="18"/>
  <c r="U3295" i="18"/>
  <c r="U3296" i="18"/>
  <c r="U3297" i="18"/>
  <c r="U3298" i="18"/>
  <c r="U3299" i="18"/>
  <c r="U3300" i="18"/>
  <c r="U3301" i="18"/>
  <c r="U3302" i="18"/>
  <c r="U3303" i="18"/>
  <c r="U3304" i="18"/>
  <c r="U3305" i="18"/>
  <c r="U3306" i="18"/>
  <c r="U3307" i="18"/>
  <c r="U3308" i="18"/>
  <c r="U3309" i="18"/>
  <c r="U3310" i="18"/>
  <c r="U3311" i="18"/>
  <c r="U3312" i="18"/>
  <c r="U3313" i="18"/>
  <c r="U3314" i="18"/>
  <c r="U3315" i="18"/>
  <c r="U3316" i="18"/>
  <c r="U3317" i="18"/>
  <c r="U3318" i="18"/>
  <c r="U3319" i="18"/>
  <c r="U3320" i="18"/>
  <c r="U3321" i="18"/>
  <c r="U3322" i="18"/>
  <c r="U3323" i="18"/>
  <c r="U3324" i="18"/>
  <c r="U3325" i="18"/>
  <c r="U3326" i="18"/>
  <c r="U3327" i="18"/>
  <c r="U3328" i="18"/>
  <c r="U3329" i="18"/>
  <c r="U3330" i="18"/>
  <c r="U3331" i="18"/>
  <c r="U3332" i="18"/>
  <c r="U3333" i="18"/>
  <c r="U3334" i="18"/>
  <c r="U3335" i="18"/>
  <c r="U3336" i="18"/>
  <c r="U3337" i="18"/>
  <c r="U3338" i="18"/>
  <c r="U3339" i="18"/>
  <c r="U3340" i="18"/>
  <c r="U3341" i="18"/>
  <c r="U3342" i="18"/>
  <c r="U3343" i="18"/>
  <c r="U3344" i="18"/>
  <c r="U3345" i="18"/>
  <c r="AD156" i="17" l="1"/>
  <c r="AD155" i="17"/>
  <c r="I1794" i="18"/>
  <c r="A36" i="16" l="1"/>
  <c r="Q31" i="16"/>
  <c r="P31" i="16"/>
  <c r="O31" i="16"/>
  <c r="N31" i="16"/>
  <c r="AG131" i="17"/>
  <c r="R15" i="16"/>
  <c r="R16" i="16"/>
  <c r="R17" i="16"/>
  <c r="R18" i="16"/>
  <c r="R19" i="16"/>
  <c r="AG161" i="17"/>
  <c r="AG152" i="17"/>
  <c r="R6" i="16" l="1"/>
  <c r="R7" i="16"/>
  <c r="R11" i="16"/>
  <c r="R12" i="16"/>
  <c r="R9" i="16"/>
  <c r="R10" i="16"/>
  <c r="N9" i="16" l="1"/>
  <c r="O9" i="16"/>
  <c r="P9" i="16"/>
  <c r="Q9" i="16"/>
  <c r="Q10" i="16"/>
  <c r="P10" i="16"/>
  <c r="N10" i="16"/>
  <c r="O10" i="16"/>
  <c r="N36" i="16"/>
  <c r="N6" i="16"/>
  <c r="N12" i="16"/>
  <c r="N7" i="16"/>
  <c r="N34" i="16"/>
  <c r="N33" i="16"/>
  <c r="N32" i="16"/>
  <c r="N29" i="16"/>
  <c r="O11" i="16"/>
  <c r="P11" i="16"/>
  <c r="Q11" i="16"/>
  <c r="AV144" i="17" l="1"/>
  <c r="AV145" i="17"/>
  <c r="AV146" i="17"/>
  <c r="AV147" i="17"/>
  <c r="AV143" i="17"/>
  <c r="P30" i="15"/>
  <c r="L9" i="8"/>
  <c r="M9" i="8"/>
  <c r="N9" i="8"/>
  <c r="O9" i="8"/>
  <c r="P31" i="15" l="1"/>
  <c r="N11" i="16"/>
  <c r="N17" i="16"/>
  <c r="N18" i="16"/>
  <c r="AV151" i="17"/>
  <c r="AG151" i="17"/>
  <c r="AG150" i="17"/>
  <c r="AG140" i="17"/>
  <c r="AG139" i="17"/>
  <c r="AG138" i="17"/>
  <c r="AG137" i="17"/>
  <c r="AG136" i="17"/>
  <c r="AG135" i="17"/>
  <c r="AG134" i="17"/>
  <c r="AG133" i="17"/>
  <c r="AG132" i="17"/>
  <c r="N30" i="16" l="1"/>
  <c r="Q18" i="16"/>
  <c r="P18" i="16"/>
  <c r="O18" i="16"/>
  <c r="Q17" i="16"/>
  <c r="P17" i="16"/>
  <c r="O17" i="16"/>
  <c r="Q6" i="16"/>
  <c r="P6" i="16"/>
  <c r="O6" i="16"/>
  <c r="Q12" i="16"/>
  <c r="P12" i="16"/>
  <c r="O12" i="16"/>
  <c r="Q7" i="16"/>
  <c r="P7" i="16"/>
  <c r="O7" i="16"/>
  <c r="Q34" i="16"/>
  <c r="P34" i="16"/>
  <c r="O34" i="16"/>
  <c r="Q33" i="16"/>
  <c r="P33" i="16"/>
  <c r="O33" i="16"/>
  <c r="Q30" i="16"/>
  <c r="P30" i="16"/>
  <c r="O30" i="16"/>
  <c r="Q32" i="16"/>
  <c r="P32" i="16"/>
  <c r="O32" i="16"/>
  <c r="Q29" i="16"/>
  <c r="P29" i="16"/>
  <c r="O29" i="16"/>
  <c r="AC167" i="17"/>
  <c r="J43" i="16" s="1"/>
  <c r="J93" i="16" s="1"/>
  <c r="AC161" i="17"/>
  <c r="AC159" i="17"/>
  <c r="J19" i="16" s="1"/>
  <c r="AC152" i="17"/>
  <c r="AU166" i="17" l="1"/>
  <c r="AU167" i="17"/>
  <c r="AC165" i="17"/>
  <c r="J41" i="16" s="1"/>
  <c r="AD134" i="17"/>
  <c r="J15" i="16"/>
  <c r="D15" i="16" s="1"/>
  <c r="AD161" i="17"/>
  <c r="AD164" i="17"/>
  <c r="AC134" i="17"/>
  <c r="J32" i="16" s="1"/>
  <c r="J97" i="16" s="1"/>
  <c r="AD136" i="17"/>
  <c r="AD159" i="17"/>
  <c r="AC135" i="17"/>
  <c r="AD131" i="17"/>
  <c r="AD152" i="17"/>
  <c r="J16" i="16"/>
  <c r="AD167" i="17"/>
  <c r="AC131" i="17"/>
  <c r="J29" i="16" s="1"/>
  <c r="J95" i="16" s="1"/>
  <c r="D43" i="16"/>
  <c r="AC136" i="17"/>
  <c r="D19" i="16"/>
  <c r="AC163" i="17"/>
  <c r="J39" i="16" s="1"/>
  <c r="J89" i="16" s="1"/>
  <c r="AC164" i="17"/>
  <c r="J40" i="16" s="1"/>
  <c r="J90" i="16" s="1"/>
  <c r="AD135" i="17"/>
  <c r="W325" i="18"/>
  <c r="W293" i="18"/>
  <c r="W261" i="18"/>
  <c r="W229" i="18"/>
  <c r="W197" i="18"/>
  <c r="W165" i="18"/>
  <c r="W133" i="18"/>
  <c r="W101" i="18"/>
  <c r="W69" i="18"/>
  <c r="W37" i="18"/>
  <c r="W5" i="18"/>
  <c r="X3345" i="18"/>
  <c r="W3345" i="18" s="1"/>
  <c r="X3344" i="18"/>
  <c r="W3344" i="18" s="1"/>
  <c r="X3343" i="18"/>
  <c r="W3343" i="18" s="1"/>
  <c r="X3342" i="18"/>
  <c r="W3342" i="18" s="1"/>
  <c r="X3341" i="18"/>
  <c r="W3341" i="18" s="1"/>
  <c r="X3340" i="18"/>
  <c r="W3340" i="18" s="1"/>
  <c r="X3339" i="18"/>
  <c r="W3339" i="18" s="1"/>
  <c r="X3338" i="18"/>
  <c r="W3338" i="18" s="1"/>
  <c r="X3337" i="18"/>
  <c r="W3337" i="18" s="1"/>
  <c r="X3336" i="18"/>
  <c r="W3336" i="18" s="1"/>
  <c r="X3335" i="18"/>
  <c r="W3335" i="18" s="1"/>
  <c r="X3334" i="18"/>
  <c r="W3334" i="18" s="1"/>
  <c r="X3333" i="18"/>
  <c r="W3333" i="18" s="1"/>
  <c r="X3332" i="18"/>
  <c r="W3332" i="18" s="1"/>
  <c r="X3331" i="18"/>
  <c r="W3331" i="18" s="1"/>
  <c r="X3330" i="18"/>
  <c r="W3330" i="18" s="1"/>
  <c r="X3329" i="18"/>
  <c r="W3329" i="18" s="1"/>
  <c r="X3328" i="18"/>
  <c r="W3328" i="18" s="1"/>
  <c r="X3327" i="18"/>
  <c r="W3327" i="18" s="1"/>
  <c r="X3326" i="18"/>
  <c r="W3326" i="18" s="1"/>
  <c r="X3325" i="18"/>
  <c r="W3325" i="18" s="1"/>
  <c r="X3324" i="18"/>
  <c r="W3324" i="18" s="1"/>
  <c r="X3323" i="18"/>
  <c r="W3323" i="18" s="1"/>
  <c r="X3322" i="18"/>
  <c r="W3322" i="18" s="1"/>
  <c r="X3321" i="18"/>
  <c r="W3321" i="18" s="1"/>
  <c r="X3320" i="18"/>
  <c r="W3320" i="18" s="1"/>
  <c r="X3319" i="18"/>
  <c r="W3319" i="18" s="1"/>
  <c r="X3318" i="18"/>
  <c r="W3318" i="18" s="1"/>
  <c r="X3317" i="18"/>
  <c r="W3317" i="18" s="1"/>
  <c r="X3316" i="18"/>
  <c r="W3316" i="18" s="1"/>
  <c r="X3315" i="18"/>
  <c r="W3315" i="18" s="1"/>
  <c r="X3314" i="18"/>
  <c r="W3314" i="18" s="1"/>
  <c r="X3313" i="18"/>
  <c r="W3313" i="18" s="1"/>
  <c r="X3312" i="18"/>
  <c r="W3312" i="18" s="1"/>
  <c r="X3311" i="18"/>
  <c r="W3311" i="18" s="1"/>
  <c r="X3310" i="18"/>
  <c r="W3310" i="18" s="1"/>
  <c r="X3309" i="18"/>
  <c r="W3309" i="18" s="1"/>
  <c r="X3308" i="18"/>
  <c r="W3308" i="18" s="1"/>
  <c r="X3307" i="18"/>
  <c r="W3307" i="18" s="1"/>
  <c r="X3306" i="18"/>
  <c r="W3306" i="18" s="1"/>
  <c r="X3305" i="18"/>
  <c r="W3305" i="18" s="1"/>
  <c r="X3304" i="18"/>
  <c r="W3304" i="18" s="1"/>
  <c r="X3303" i="18"/>
  <c r="W3303" i="18" s="1"/>
  <c r="X3302" i="18"/>
  <c r="W3302" i="18" s="1"/>
  <c r="X3301" i="18"/>
  <c r="W3301" i="18" s="1"/>
  <c r="X3300" i="18"/>
  <c r="W3300" i="18" s="1"/>
  <c r="X3299" i="18"/>
  <c r="W3299" i="18" s="1"/>
  <c r="X3298" i="18"/>
  <c r="W3298" i="18" s="1"/>
  <c r="X3297" i="18"/>
  <c r="W3297" i="18" s="1"/>
  <c r="X3296" i="18"/>
  <c r="W3296" i="18" s="1"/>
  <c r="X3295" i="18"/>
  <c r="W3295" i="18" s="1"/>
  <c r="X3294" i="18"/>
  <c r="W3294" i="18" s="1"/>
  <c r="X3293" i="18"/>
  <c r="W3293" i="18" s="1"/>
  <c r="X3292" i="18"/>
  <c r="W3292" i="18" s="1"/>
  <c r="X3291" i="18"/>
  <c r="W3291" i="18" s="1"/>
  <c r="X3290" i="18"/>
  <c r="W3290" i="18" s="1"/>
  <c r="X3289" i="18"/>
  <c r="W3289" i="18" s="1"/>
  <c r="X3288" i="18"/>
  <c r="W3288" i="18" s="1"/>
  <c r="X3287" i="18"/>
  <c r="W3287" i="18" s="1"/>
  <c r="X3286" i="18"/>
  <c r="W3286" i="18" s="1"/>
  <c r="X3285" i="18"/>
  <c r="W3285" i="18" s="1"/>
  <c r="X3284" i="18"/>
  <c r="W3284" i="18" s="1"/>
  <c r="X3283" i="18"/>
  <c r="W3283" i="18" s="1"/>
  <c r="X3282" i="18"/>
  <c r="W3282" i="18" s="1"/>
  <c r="X3281" i="18"/>
  <c r="W3281" i="18" s="1"/>
  <c r="X3280" i="18"/>
  <c r="W3280" i="18" s="1"/>
  <c r="X3279" i="18"/>
  <c r="W3279" i="18" s="1"/>
  <c r="X3278" i="18"/>
  <c r="W3278" i="18" s="1"/>
  <c r="X3277" i="18"/>
  <c r="W3277" i="18" s="1"/>
  <c r="X3276" i="18"/>
  <c r="W3276" i="18" s="1"/>
  <c r="X3275" i="18"/>
  <c r="W3275" i="18" s="1"/>
  <c r="X3274" i="18"/>
  <c r="W3274" i="18" s="1"/>
  <c r="X3273" i="18"/>
  <c r="W3273" i="18" s="1"/>
  <c r="X3272" i="18"/>
  <c r="W3272" i="18" s="1"/>
  <c r="X3271" i="18"/>
  <c r="W3271" i="18" s="1"/>
  <c r="X3270" i="18"/>
  <c r="W3270" i="18" s="1"/>
  <c r="X3269" i="18"/>
  <c r="W3269" i="18" s="1"/>
  <c r="X3268" i="18"/>
  <c r="W3268" i="18" s="1"/>
  <c r="X3267" i="18"/>
  <c r="W3267" i="18" s="1"/>
  <c r="X3266" i="18"/>
  <c r="W3266" i="18" s="1"/>
  <c r="X3265" i="18"/>
  <c r="W3265" i="18" s="1"/>
  <c r="X3264" i="18"/>
  <c r="W3264" i="18" s="1"/>
  <c r="X3263" i="18"/>
  <c r="W3263" i="18" s="1"/>
  <c r="X3262" i="18"/>
  <c r="W3262" i="18" s="1"/>
  <c r="X3261" i="18"/>
  <c r="W3261" i="18" s="1"/>
  <c r="X3260" i="18"/>
  <c r="W3260" i="18" s="1"/>
  <c r="X3259" i="18"/>
  <c r="W3259" i="18" s="1"/>
  <c r="X3258" i="18"/>
  <c r="W3258" i="18" s="1"/>
  <c r="X3257" i="18"/>
  <c r="W3257" i="18" s="1"/>
  <c r="X3256" i="18"/>
  <c r="W3256" i="18" s="1"/>
  <c r="X3255" i="18"/>
  <c r="W3255" i="18" s="1"/>
  <c r="X3254" i="18"/>
  <c r="W3254" i="18" s="1"/>
  <c r="X3253" i="18"/>
  <c r="W3253" i="18" s="1"/>
  <c r="X3252" i="18"/>
  <c r="W3252" i="18" s="1"/>
  <c r="X3251" i="18"/>
  <c r="W3251" i="18" s="1"/>
  <c r="X3250" i="18"/>
  <c r="W3250" i="18" s="1"/>
  <c r="X3249" i="18"/>
  <c r="W3249" i="18" s="1"/>
  <c r="X3248" i="18"/>
  <c r="W3248" i="18" s="1"/>
  <c r="X3247" i="18"/>
  <c r="W3247" i="18" s="1"/>
  <c r="X3246" i="18"/>
  <c r="W3246" i="18" s="1"/>
  <c r="X3245" i="18"/>
  <c r="W3245" i="18" s="1"/>
  <c r="X3244" i="18"/>
  <c r="W3244" i="18" s="1"/>
  <c r="X3243" i="18"/>
  <c r="W3243" i="18" s="1"/>
  <c r="X3242" i="18"/>
  <c r="W3242" i="18" s="1"/>
  <c r="X3241" i="18"/>
  <c r="W3241" i="18" s="1"/>
  <c r="X3240" i="18"/>
  <c r="W3240" i="18" s="1"/>
  <c r="X3239" i="18"/>
  <c r="W3239" i="18" s="1"/>
  <c r="X3238" i="18"/>
  <c r="W3238" i="18" s="1"/>
  <c r="X3237" i="18"/>
  <c r="W3237" i="18" s="1"/>
  <c r="X3236" i="18"/>
  <c r="W3236" i="18" s="1"/>
  <c r="X3235" i="18"/>
  <c r="W3235" i="18" s="1"/>
  <c r="X3234" i="18"/>
  <c r="W3234" i="18" s="1"/>
  <c r="X3233" i="18"/>
  <c r="W3233" i="18" s="1"/>
  <c r="X3232" i="18"/>
  <c r="W3232" i="18" s="1"/>
  <c r="X3231" i="18"/>
  <c r="W3231" i="18" s="1"/>
  <c r="X3230" i="18"/>
  <c r="W3230" i="18" s="1"/>
  <c r="X3229" i="18"/>
  <c r="W3229" i="18" s="1"/>
  <c r="X3228" i="18"/>
  <c r="W3228" i="18" s="1"/>
  <c r="X3227" i="18"/>
  <c r="W3227" i="18" s="1"/>
  <c r="X3226" i="18"/>
  <c r="W3226" i="18" s="1"/>
  <c r="X3225" i="18"/>
  <c r="W3225" i="18" s="1"/>
  <c r="X3224" i="18"/>
  <c r="W3224" i="18" s="1"/>
  <c r="X3223" i="18"/>
  <c r="W3223" i="18" s="1"/>
  <c r="X3222" i="18"/>
  <c r="W3222" i="18" s="1"/>
  <c r="X3221" i="18"/>
  <c r="W3221" i="18" s="1"/>
  <c r="X3220" i="18"/>
  <c r="W3220" i="18" s="1"/>
  <c r="X3219" i="18"/>
  <c r="W3219" i="18" s="1"/>
  <c r="X3218" i="18"/>
  <c r="W3218" i="18" s="1"/>
  <c r="X3217" i="18"/>
  <c r="W3217" i="18" s="1"/>
  <c r="X3216" i="18"/>
  <c r="W3216" i="18" s="1"/>
  <c r="X3215" i="18"/>
  <c r="W3215" i="18" s="1"/>
  <c r="X3214" i="18"/>
  <c r="W3214" i="18" s="1"/>
  <c r="X3213" i="18"/>
  <c r="W3213" i="18" s="1"/>
  <c r="X3212" i="18"/>
  <c r="W3212" i="18" s="1"/>
  <c r="X3211" i="18"/>
  <c r="W3211" i="18" s="1"/>
  <c r="X3210" i="18"/>
  <c r="W3210" i="18" s="1"/>
  <c r="X3209" i="18"/>
  <c r="W3209" i="18" s="1"/>
  <c r="X3208" i="18"/>
  <c r="W3208" i="18" s="1"/>
  <c r="X3207" i="18"/>
  <c r="W3207" i="18" s="1"/>
  <c r="X3206" i="18"/>
  <c r="W3206" i="18" s="1"/>
  <c r="X3205" i="18"/>
  <c r="W3205" i="18" s="1"/>
  <c r="X3204" i="18"/>
  <c r="W3204" i="18" s="1"/>
  <c r="X3203" i="18"/>
  <c r="W3203" i="18" s="1"/>
  <c r="X3202" i="18"/>
  <c r="W3202" i="18" s="1"/>
  <c r="X3201" i="18"/>
  <c r="W3201" i="18" s="1"/>
  <c r="X3200" i="18"/>
  <c r="W3200" i="18" s="1"/>
  <c r="X3199" i="18"/>
  <c r="W3199" i="18" s="1"/>
  <c r="X3198" i="18"/>
  <c r="W3198" i="18" s="1"/>
  <c r="X3197" i="18"/>
  <c r="W3197" i="18" s="1"/>
  <c r="X3196" i="18"/>
  <c r="W3196" i="18" s="1"/>
  <c r="X3195" i="18"/>
  <c r="W3195" i="18" s="1"/>
  <c r="X3194" i="18"/>
  <c r="W3194" i="18" s="1"/>
  <c r="X3193" i="18"/>
  <c r="W3193" i="18" s="1"/>
  <c r="X3192" i="18"/>
  <c r="W3192" i="18" s="1"/>
  <c r="X3191" i="18"/>
  <c r="W3191" i="18" s="1"/>
  <c r="X3190" i="18"/>
  <c r="W3190" i="18" s="1"/>
  <c r="X3189" i="18"/>
  <c r="W3189" i="18" s="1"/>
  <c r="X3188" i="18"/>
  <c r="W3188" i="18" s="1"/>
  <c r="X3187" i="18"/>
  <c r="W3187" i="18" s="1"/>
  <c r="X3186" i="18"/>
  <c r="W3186" i="18" s="1"/>
  <c r="X3185" i="18"/>
  <c r="W3185" i="18" s="1"/>
  <c r="X3184" i="18"/>
  <c r="W3184" i="18" s="1"/>
  <c r="X3183" i="18"/>
  <c r="W3183" i="18" s="1"/>
  <c r="X3182" i="18"/>
  <c r="W3182" i="18" s="1"/>
  <c r="X3181" i="18"/>
  <c r="W3181" i="18" s="1"/>
  <c r="X3180" i="18"/>
  <c r="W3180" i="18" s="1"/>
  <c r="X3179" i="18"/>
  <c r="W3179" i="18" s="1"/>
  <c r="X3178" i="18"/>
  <c r="W3178" i="18" s="1"/>
  <c r="X3177" i="18"/>
  <c r="W3177" i="18" s="1"/>
  <c r="X3176" i="18"/>
  <c r="W3176" i="18" s="1"/>
  <c r="X3175" i="18"/>
  <c r="W3175" i="18" s="1"/>
  <c r="X3174" i="18"/>
  <c r="W3174" i="18" s="1"/>
  <c r="X3173" i="18"/>
  <c r="W3173" i="18" s="1"/>
  <c r="X3172" i="18"/>
  <c r="W3172" i="18" s="1"/>
  <c r="X3171" i="18"/>
  <c r="W3171" i="18" s="1"/>
  <c r="X3170" i="18"/>
  <c r="W3170" i="18" s="1"/>
  <c r="X3169" i="18"/>
  <c r="W3169" i="18" s="1"/>
  <c r="X3168" i="18"/>
  <c r="W3168" i="18" s="1"/>
  <c r="X3167" i="18"/>
  <c r="W3167" i="18" s="1"/>
  <c r="X3166" i="18"/>
  <c r="W3166" i="18" s="1"/>
  <c r="X3165" i="18"/>
  <c r="W3165" i="18" s="1"/>
  <c r="X3164" i="18"/>
  <c r="W3164" i="18" s="1"/>
  <c r="X3163" i="18"/>
  <c r="W3163" i="18" s="1"/>
  <c r="X3162" i="18"/>
  <c r="W3162" i="18" s="1"/>
  <c r="X3161" i="18"/>
  <c r="W3161" i="18" s="1"/>
  <c r="X3160" i="18"/>
  <c r="W3160" i="18" s="1"/>
  <c r="X3159" i="18"/>
  <c r="W3159" i="18" s="1"/>
  <c r="X3158" i="18"/>
  <c r="W3158" i="18" s="1"/>
  <c r="X3157" i="18"/>
  <c r="W3157" i="18" s="1"/>
  <c r="X3156" i="18"/>
  <c r="W3156" i="18" s="1"/>
  <c r="X3155" i="18"/>
  <c r="W3155" i="18" s="1"/>
  <c r="X3154" i="18"/>
  <c r="W3154" i="18" s="1"/>
  <c r="X3153" i="18"/>
  <c r="W3153" i="18" s="1"/>
  <c r="X3152" i="18"/>
  <c r="W3152" i="18" s="1"/>
  <c r="X3151" i="18"/>
  <c r="W3151" i="18" s="1"/>
  <c r="X3150" i="18"/>
  <c r="W3150" i="18" s="1"/>
  <c r="X3149" i="18"/>
  <c r="W3149" i="18" s="1"/>
  <c r="X3148" i="18"/>
  <c r="W3148" i="18" s="1"/>
  <c r="X3147" i="18"/>
  <c r="W3147" i="18" s="1"/>
  <c r="X3146" i="18"/>
  <c r="W3146" i="18" s="1"/>
  <c r="X3145" i="18"/>
  <c r="W3145" i="18" s="1"/>
  <c r="X3144" i="18"/>
  <c r="W3144" i="18" s="1"/>
  <c r="X3143" i="18"/>
  <c r="W3143" i="18" s="1"/>
  <c r="X3142" i="18"/>
  <c r="W3142" i="18" s="1"/>
  <c r="X3141" i="18"/>
  <c r="W3141" i="18" s="1"/>
  <c r="X3140" i="18"/>
  <c r="W3140" i="18" s="1"/>
  <c r="X3139" i="18"/>
  <c r="W3139" i="18" s="1"/>
  <c r="X3138" i="18"/>
  <c r="W3138" i="18" s="1"/>
  <c r="X3137" i="18"/>
  <c r="W3137" i="18" s="1"/>
  <c r="X3136" i="18"/>
  <c r="W3136" i="18" s="1"/>
  <c r="X3135" i="18"/>
  <c r="W3135" i="18" s="1"/>
  <c r="X3134" i="18"/>
  <c r="W3134" i="18" s="1"/>
  <c r="X3133" i="18"/>
  <c r="W3133" i="18" s="1"/>
  <c r="X3132" i="18"/>
  <c r="W3132" i="18" s="1"/>
  <c r="X3131" i="18"/>
  <c r="W3131" i="18" s="1"/>
  <c r="X3130" i="18"/>
  <c r="W3130" i="18" s="1"/>
  <c r="X3129" i="18"/>
  <c r="W3129" i="18" s="1"/>
  <c r="X3128" i="18"/>
  <c r="W3128" i="18" s="1"/>
  <c r="X3127" i="18"/>
  <c r="W3127" i="18" s="1"/>
  <c r="X3126" i="18"/>
  <c r="W3126" i="18" s="1"/>
  <c r="X3125" i="18"/>
  <c r="W3125" i="18" s="1"/>
  <c r="X3124" i="18"/>
  <c r="W3124" i="18" s="1"/>
  <c r="X3123" i="18"/>
  <c r="W3123" i="18" s="1"/>
  <c r="X3122" i="18"/>
  <c r="W3122" i="18" s="1"/>
  <c r="X3121" i="18"/>
  <c r="W3121" i="18" s="1"/>
  <c r="X3120" i="18"/>
  <c r="W3120" i="18" s="1"/>
  <c r="X3119" i="18"/>
  <c r="W3119" i="18" s="1"/>
  <c r="X3118" i="18"/>
  <c r="W3118" i="18" s="1"/>
  <c r="X3117" i="18"/>
  <c r="W3117" i="18" s="1"/>
  <c r="X3116" i="18"/>
  <c r="W3116" i="18" s="1"/>
  <c r="X3115" i="18"/>
  <c r="W3115" i="18" s="1"/>
  <c r="X3114" i="18"/>
  <c r="W3114" i="18" s="1"/>
  <c r="X3113" i="18"/>
  <c r="W3113" i="18" s="1"/>
  <c r="X3112" i="18"/>
  <c r="W3112" i="18" s="1"/>
  <c r="X3111" i="18"/>
  <c r="W3111" i="18" s="1"/>
  <c r="X3110" i="18"/>
  <c r="W3110" i="18" s="1"/>
  <c r="X3109" i="18"/>
  <c r="W3109" i="18" s="1"/>
  <c r="X3108" i="18"/>
  <c r="W3108" i="18" s="1"/>
  <c r="X3107" i="18"/>
  <c r="W3107" i="18" s="1"/>
  <c r="X3106" i="18"/>
  <c r="W3106" i="18" s="1"/>
  <c r="X3105" i="18"/>
  <c r="W3105" i="18" s="1"/>
  <c r="X3104" i="18"/>
  <c r="W3104" i="18" s="1"/>
  <c r="X3103" i="18"/>
  <c r="W3103" i="18" s="1"/>
  <c r="X3102" i="18"/>
  <c r="W3102" i="18" s="1"/>
  <c r="X3101" i="18"/>
  <c r="W3101" i="18" s="1"/>
  <c r="X3100" i="18"/>
  <c r="W3100" i="18" s="1"/>
  <c r="X3099" i="18"/>
  <c r="W3099" i="18" s="1"/>
  <c r="X3098" i="18"/>
  <c r="W3098" i="18" s="1"/>
  <c r="X3097" i="18"/>
  <c r="W3097" i="18" s="1"/>
  <c r="X3096" i="18"/>
  <c r="W3096" i="18" s="1"/>
  <c r="X3095" i="18"/>
  <c r="W3095" i="18" s="1"/>
  <c r="X3094" i="18"/>
  <c r="W3094" i="18" s="1"/>
  <c r="X3093" i="18"/>
  <c r="W3093" i="18" s="1"/>
  <c r="X3092" i="18"/>
  <c r="W3092" i="18" s="1"/>
  <c r="X3091" i="18"/>
  <c r="W3091" i="18" s="1"/>
  <c r="X3090" i="18"/>
  <c r="W3090" i="18" s="1"/>
  <c r="X3089" i="18"/>
  <c r="W3089" i="18" s="1"/>
  <c r="X3088" i="18"/>
  <c r="W3088" i="18" s="1"/>
  <c r="X3087" i="18"/>
  <c r="W3087" i="18" s="1"/>
  <c r="X3086" i="18"/>
  <c r="W3086" i="18" s="1"/>
  <c r="X3085" i="18"/>
  <c r="W3085" i="18" s="1"/>
  <c r="X3084" i="18"/>
  <c r="W3084" i="18" s="1"/>
  <c r="X3083" i="18"/>
  <c r="W3083" i="18" s="1"/>
  <c r="X3082" i="18"/>
  <c r="W3082" i="18" s="1"/>
  <c r="X3081" i="18"/>
  <c r="W3081" i="18" s="1"/>
  <c r="X3080" i="18"/>
  <c r="W3080" i="18" s="1"/>
  <c r="X3079" i="18"/>
  <c r="W3079" i="18" s="1"/>
  <c r="X3078" i="18"/>
  <c r="W3078" i="18" s="1"/>
  <c r="X3077" i="18"/>
  <c r="W3077" i="18" s="1"/>
  <c r="X3076" i="18"/>
  <c r="W3076" i="18" s="1"/>
  <c r="X3075" i="18"/>
  <c r="W3075" i="18" s="1"/>
  <c r="X3074" i="18"/>
  <c r="W3074" i="18" s="1"/>
  <c r="X3073" i="18"/>
  <c r="W3073" i="18" s="1"/>
  <c r="X3072" i="18"/>
  <c r="W3072" i="18" s="1"/>
  <c r="X3071" i="18"/>
  <c r="W3071" i="18" s="1"/>
  <c r="X3070" i="18"/>
  <c r="W3070" i="18" s="1"/>
  <c r="X3069" i="18"/>
  <c r="W3069" i="18" s="1"/>
  <c r="X3068" i="18"/>
  <c r="W3068" i="18" s="1"/>
  <c r="X3067" i="18"/>
  <c r="W3067" i="18" s="1"/>
  <c r="X3066" i="18"/>
  <c r="W3066" i="18" s="1"/>
  <c r="X3065" i="18"/>
  <c r="W3065" i="18" s="1"/>
  <c r="X3064" i="18"/>
  <c r="W3064" i="18" s="1"/>
  <c r="X3063" i="18"/>
  <c r="W3063" i="18" s="1"/>
  <c r="X3062" i="18"/>
  <c r="W3062" i="18" s="1"/>
  <c r="X3061" i="18"/>
  <c r="W3061" i="18" s="1"/>
  <c r="X3060" i="18"/>
  <c r="W3060" i="18" s="1"/>
  <c r="X3059" i="18"/>
  <c r="W3059" i="18" s="1"/>
  <c r="X3058" i="18"/>
  <c r="W3058" i="18" s="1"/>
  <c r="X3057" i="18"/>
  <c r="W3057" i="18" s="1"/>
  <c r="X3056" i="18"/>
  <c r="W3056" i="18" s="1"/>
  <c r="X3055" i="18"/>
  <c r="W3055" i="18" s="1"/>
  <c r="X3054" i="18"/>
  <c r="W3054" i="18" s="1"/>
  <c r="X3053" i="18"/>
  <c r="W3053" i="18" s="1"/>
  <c r="X3052" i="18"/>
  <c r="W3052" i="18" s="1"/>
  <c r="X3051" i="18"/>
  <c r="W3051" i="18" s="1"/>
  <c r="X3050" i="18"/>
  <c r="W3050" i="18" s="1"/>
  <c r="X3049" i="18"/>
  <c r="W3049" i="18" s="1"/>
  <c r="X3048" i="18"/>
  <c r="W3048" i="18" s="1"/>
  <c r="X3047" i="18"/>
  <c r="W3047" i="18" s="1"/>
  <c r="X3046" i="18"/>
  <c r="W3046" i="18" s="1"/>
  <c r="X3045" i="18"/>
  <c r="W3045" i="18" s="1"/>
  <c r="X3044" i="18"/>
  <c r="W3044" i="18" s="1"/>
  <c r="X3043" i="18"/>
  <c r="W3043" i="18" s="1"/>
  <c r="X3042" i="18"/>
  <c r="W3042" i="18" s="1"/>
  <c r="X3041" i="18"/>
  <c r="W3041" i="18" s="1"/>
  <c r="X3040" i="18"/>
  <c r="W3040" i="18" s="1"/>
  <c r="X3039" i="18"/>
  <c r="W3039" i="18" s="1"/>
  <c r="X3038" i="18"/>
  <c r="W3038" i="18" s="1"/>
  <c r="X3037" i="18"/>
  <c r="W3037" i="18" s="1"/>
  <c r="X3036" i="18"/>
  <c r="W3036" i="18" s="1"/>
  <c r="X3035" i="18"/>
  <c r="W3035" i="18" s="1"/>
  <c r="X3034" i="18"/>
  <c r="W3034" i="18" s="1"/>
  <c r="X3033" i="18"/>
  <c r="W3033" i="18" s="1"/>
  <c r="X3032" i="18"/>
  <c r="W3032" i="18" s="1"/>
  <c r="X3031" i="18"/>
  <c r="W3031" i="18" s="1"/>
  <c r="X3030" i="18"/>
  <c r="W3030" i="18" s="1"/>
  <c r="X3029" i="18"/>
  <c r="W3029" i="18" s="1"/>
  <c r="X3028" i="18"/>
  <c r="W3028" i="18" s="1"/>
  <c r="X3027" i="18"/>
  <c r="W3027" i="18" s="1"/>
  <c r="X3026" i="18"/>
  <c r="W3026" i="18" s="1"/>
  <c r="X3025" i="18"/>
  <c r="W3025" i="18" s="1"/>
  <c r="X3024" i="18"/>
  <c r="W3024" i="18" s="1"/>
  <c r="X3023" i="18"/>
  <c r="W3023" i="18" s="1"/>
  <c r="X3022" i="18"/>
  <c r="W3022" i="18" s="1"/>
  <c r="X3021" i="18"/>
  <c r="W3021" i="18" s="1"/>
  <c r="X3020" i="18"/>
  <c r="W3020" i="18" s="1"/>
  <c r="X3019" i="18"/>
  <c r="W3019" i="18" s="1"/>
  <c r="X3018" i="18"/>
  <c r="W3018" i="18" s="1"/>
  <c r="X3017" i="18"/>
  <c r="W3017" i="18" s="1"/>
  <c r="X3016" i="18"/>
  <c r="W3016" i="18" s="1"/>
  <c r="X3015" i="18"/>
  <c r="W3015" i="18" s="1"/>
  <c r="X3014" i="18"/>
  <c r="W3014" i="18" s="1"/>
  <c r="X3013" i="18"/>
  <c r="W3013" i="18" s="1"/>
  <c r="X3012" i="18"/>
  <c r="W3012" i="18" s="1"/>
  <c r="X3011" i="18"/>
  <c r="W3011" i="18" s="1"/>
  <c r="X3010" i="18"/>
  <c r="W3010" i="18" s="1"/>
  <c r="X3009" i="18"/>
  <c r="W3009" i="18" s="1"/>
  <c r="X3008" i="18"/>
  <c r="W3008" i="18" s="1"/>
  <c r="X3007" i="18"/>
  <c r="W3007" i="18" s="1"/>
  <c r="X3006" i="18"/>
  <c r="W3006" i="18" s="1"/>
  <c r="X3005" i="18"/>
  <c r="W3005" i="18" s="1"/>
  <c r="X3004" i="18"/>
  <c r="W3004" i="18" s="1"/>
  <c r="X3003" i="18"/>
  <c r="W3003" i="18" s="1"/>
  <c r="X3002" i="18"/>
  <c r="W3002" i="18" s="1"/>
  <c r="X3001" i="18"/>
  <c r="W3001" i="18" s="1"/>
  <c r="X3000" i="18"/>
  <c r="W3000" i="18" s="1"/>
  <c r="X2999" i="18"/>
  <c r="W2999" i="18" s="1"/>
  <c r="X2998" i="18"/>
  <c r="W2998" i="18" s="1"/>
  <c r="X2997" i="18"/>
  <c r="W2997" i="18" s="1"/>
  <c r="X2996" i="18"/>
  <c r="W2996" i="18" s="1"/>
  <c r="X2995" i="18"/>
  <c r="W2995" i="18" s="1"/>
  <c r="X2994" i="18"/>
  <c r="W2994" i="18" s="1"/>
  <c r="X2993" i="18"/>
  <c r="W2993" i="18" s="1"/>
  <c r="X2992" i="18"/>
  <c r="W2992" i="18" s="1"/>
  <c r="X2991" i="18"/>
  <c r="W2991" i="18" s="1"/>
  <c r="X2990" i="18"/>
  <c r="W2990" i="18" s="1"/>
  <c r="X2989" i="18"/>
  <c r="W2989" i="18" s="1"/>
  <c r="X2988" i="18"/>
  <c r="W2988" i="18" s="1"/>
  <c r="X2987" i="18"/>
  <c r="W2987" i="18" s="1"/>
  <c r="X2986" i="18"/>
  <c r="W2986" i="18" s="1"/>
  <c r="X2985" i="18"/>
  <c r="W2985" i="18" s="1"/>
  <c r="X2984" i="18"/>
  <c r="W2984" i="18" s="1"/>
  <c r="X2983" i="18"/>
  <c r="W2983" i="18" s="1"/>
  <c r="X2982" i="18"/>
  <c r="W2982" i="18" s="1"/>
  <c r="X2981" i="18"/>
  <c r="W2981" i="18" s="1"/>
  <c r="X2980" i="18"/>
  <c r="W2980" i="18" s="1"/>
  <c r="X2979" i="18"/>
  <c r="W2979" i="18" s="1"/>
  <c r="X2978" i="18"/>
  <c r="W2978" i="18" s="1"/>
  <c r="X2977" i="18"/>
  <c r="W2977" i="18" s="1"/>
  <c r="X2976" i="18"/>
  <c r="W2976" i="18" s="1"/>
  <c r="X2975" i="18"/>
  <c r="W2975" i="18" s="1"/>
  <c r="X2974" i="18"/>
  <c r="W2974" i="18" s="1"/>
  <c r="X2973" i="18"/>
  <c r="W2973" i="18" s="1"/>
  <c r="X2972" i="18"/>
  <c r="W2972" i="18" s="1"/>
  <c r="X2971" i="18"/>
  <c r="W2971" i="18" s="1"/>
  <c r="X2970" i="18"/>
  <c r="W2970" i="18" s="1"/>
  <c r="X2969" i="18"/>
  <c r="W2969" i="18" s="1"/>
  <c r="X2968" i="18"/>
  <c r="W2968" i="18" s="1"/>
  <c r="X2967" i="18"/>
  <c r="W2967" i="18" s="1"/>
  <c r="X2966" i="18"/>
  <c r="W2966" i="18" s="1"/>
  <c r="X2965" i="18"/>
  <c r="W2965" i="18" s="1"/>
  <c r="X2964" i="18"/>
  <c r="W2964" i="18" s="1"/>
  <c r="X2963" i="18"/>
  <c r="W2963" i="18" s="1"/>
  <c r="X2962" i="18"/>
  <c r="W2962" i="18" s="1"/>
  <c r="X2961" i="18"/>
  <c r="W2961" i="18" s="1"/>
  <c r="X2960" i="18"/>
  <c r="W2960" i="18" s="1"/>
  <c r="X2959" i="18"/>
  <c r="W2959" i="18" s="1"/>
  <c r="X2958" i="18"/>
  <c r="W2958" i="18" s="1"/>
  <c r="X2957" i="18"/>
  <c r="W2957" i="18" s="1"/>
  <c r="X2956" i="18"/>
  <c r="W2956" i="18" s="1"/>
  <c r="X2955" i="18"/>
  <c r="W2955" i="18" s="1"/>
  <c r="X2954" i="18"/>
  <c r="W2954" i="18" s="1"/>
  <c r="X2953" i="18"/>
  <c r="W2953" i="18" s="1"/>
  <c r="X2952" i="18"/>
  <c r="W2952" i="18" s="1"/>
  <c r="X2951" i="18"/>
  <c r="W2951" i="18" s="1"/>
  <c r="X2950" i="18"/>
  <c r="W2950" i="18" s="1"/>
  <c r="X2949" i="18"/>
  <c r="W2949" i="18" s="1"/>
  <c r="X2948" i="18"/>
  <c r="W2948" i="18" s="1"/>
  <c r="X2947" i="18"/>
  <c r="W2947" i="18" s="1"/>
  <c r="X2946" i="18"/>
  <c r="W2946" i="18" s="1"/>
  <c r="X2945" i="18"/>
  <c r="W2945" i="18" s="1"/>
  <c r="X2944" i="18"/>
  <c r="W2944" i="18" s="1"/>
  <c r="X2943" i="18"/>
  <c r="W2943" i="18" s="1"/>
  <c r="X2942" i="18"/>
  <c r="W2942" i="18" s="1"/>
  <c r="X2941" i="18"/>
  <c r="W2941" i="18" s="1"/>
  <c r="X2940" i="18"/>
  <c r="W2940" i="18" s="1"/>
  <c r="X2939" i="18"/>
  <c r="W2939" i="18" s="1"/>
  <c r="X2938" i="18"/>
  <c r="W2938" i="18" s="1"/>
  <c r="X2937" i="18"/>
  <c r="W2937" i="18" s="1"/>
  <c r="X2936" i="18"/>
  <c r="W2936" i="18" s="1"/>
  <c r="X2935" i="18"/>
  <c r="W2935" i="18" s="1"/>
  <c r="X2934" i="18"/>
  <c r="W2934" i="18" s="1"/>
  <c r="X2933" i="18"/>
  <c r="W2933" i="18" s="1"/>
  <c r="X2932" i="18"/>
  <c r="W2932" i="18" s="1"/>
  <c r="X2931" i="18"/>
  <c r="W2931" i="18" s="1"/>
  <c r="X2930" i="18"/>
  <c r="W2930" i="18" s="1"/>
  <c r="X2929" i="18"/>
  <c r="W2929" i="18" s="1"/>
  <c r="X2928" i="18"/>
  <c r="W2928" i="18" s="1"/>
  <c r="X2927" i="18"/>
  <c r="W2927" i="18" s="1"/>
  <c r="X2926" i="18"/>
  <c r="W2926" i="18" s="1"/>
  <c r="X2925" i="18"/>
  <c r="W2925" i="18" s="1"/>
  <c r="X2924" i="18"/>
  <c r="W2924" i="18" s="1"/>
  <c r="X2923" i="18"/>
  <c r="W2923" i="18" s="1"/>
  <c r="X2922" i="18"/>
  <c r="W2922" i="18" s="1"/>
  <c r="X2921" i="18"/>
  <c r="W2921" i="18" s="1"/>
  <c r="X2920" i="18"/>
  <c r="W2920" i="18" s="1"/>
  <c r="X2919" i="18"/>
  <c r="W2919" i="18" s="1"/>
  <c r="X2918" i="18"/>
  <c r="W2918" i="18" s="1"/>
  <c r="X2917" i="18"/>
  <c r="W2917" i="18" s="1"/>
  <c r="X2916" i="18"/>
  <c r="W2916" i="18" s="1"/>
  <c r="X2915" i="18"/>
  <c r="W2915" i="18" s="1"/>
  <c r="X2914" i="18"/>
  <c r="W2914" i="18" s="1"/>
  <c r="X2913" i="18"/>
  <c r="W2913" i="18" s="1"/>
  <c r="X2912" i="18"/>
  <c r="W2912" i="18" s="1"/>
  <c r="X2911" i="18"/>
  <c r="W2911" i="18" s="1"/>
  <c r="X2910" i="18"/>
  <c r="W2910" i="18" s="1"/>
  <c r="X2909" i="18"/>
  <c r="W2909" i="18" s="1"/>
  <c r="X2908" i="18"/>
  <c r="W2908" i="18" s="1"/>
  <c r="X2907" i="18"/>
  <c r="W2907" i="18" s="1"/>
  <c r="X2906" i="18"/>
  <c r="W2906" i="18" s="1"/>
  <c r="X2905" i="18"/>
  <c r="W2905" i="18" s="1"/>
  <c r="X2904" i="18"/>
  <c r="W2904" i="18" s="1"/>
  <c r="X2903" i="18"/>
  <c r="W2903" i="18" s="1"/>
  <c r="X2902" i="18"/>
  <c r="W2902" i="18" s="1"/>
  <c r="X2901" i="18"/>
  <c r="W2901" i="18" s="1"/>
  <c r="X2900" i="18"/>
  <c r="W2900" i="18" s="1"/>
  <c r="X2899" i="18"/>
  <c r="W2899" i="18" s="1"/>
  <c r="X2898" i="18"/>
  <c r="W2898" i="18" s="1"/>
  <c r="X2897" i="18"/>
  <c r="W2897" i="18" s="1"/>
  <c r="X2896" i="18"/>
  <c r="W2896" i="18" s="1"/>
  <c r="X2895" i="18"/>
  <c r="W2895" i="18" s="1"/>
  <c r="X2894" i="18"/>
  <c r="W2894" i="18" s="1"/>
  <c r="X2893" i="18"/>
  <c r="W2893" i="18" s="1"/>
  <c r="X2892" i="18"/>
  <c r="W2892" i="18" s="1"/>
  <c r="X2891" i="18"/>
  <c r="W2891" i="18" s="1"/>
  <c r="X2890" i="18"/>
  <c r="W2890" i="18" s="1"/>
  <c r="X2889" i="18"/>
  <c r="W2889" i="18" s="1"/>
  <c r="X2888" i="18"/>
  <c r="W2888" i="18" s="1"/>
  <c r="X2887" i="18"/>
  <c r="W2887" i="18" s="1"/>
  <c r="X2886" i="18"/>
  <c r="W2886" i="18" s="1"/>
  <c r="X2885" i="18"/>
  <c r="W2885" i="18" s="1"/>
  <c r="X2884" i="18"/>
  <c r="W2884" i="18" s="1"/>
  <c r="X2883" i="18"/>
  <c r="W2883" i="18" s="1"/>
  <c r="X2882" i="18"/>
  <c r="W2882" i="18" s="1"/>
  <c r="X2881" i="18"/>
  <c r="W2881" i="18" s="1"/>
  <c r="X2880" i="18"/>
  <c r="W2880" i="18" s="1"/>
  <c r="X2879" i="18"/>
  <c r="W2879" i="18" s="1"/>
  <c r="X2878" i="18"/>
  <c r="W2878" i="18" s="1"/>
  <c r="X2877" i="18"/>
  <c r="W2877" i="18" s="1"/>
  <c r="X2876" i="18"/>
  <c r="W2876" i="18" s="1"/>
  <c r="X2875" i="18"/>
  <c r="W2875" i="18" s="1"/>
  <c r="X2874" i="18"/>
  <c r="W2874" i="18" s="1"/>
  <c r="X2873" i="18"/>
  <c r="W2873" i="18" s="1"/>
  <c r="X2872" i="18"/>
  <c r="W2872" i="18" s="1"/>
  <c r="X2871" i="18"/>
  <c r="W2871" i="18" s="1"/>
  <c r="X2870" i="18"/>
  <c r="W2870" i="18" s="1"/>
  <c r="X2869" i="18"/>
  <c r="W2869" i="18" s="1"/>
  <c r="X2868" i="18"/>
  <c r="W2868" i="18" s="1"/>
  <c r="X2867" i="18"/>
  <c r="W2867" i="18" s="1"/>
  <c r="X2866" i="18"/>
  <c r="W2866" i="18" s="1"/>
  <c r="X2865" i="18"/>
  <c r="W2865" i="18" s="1"/>
  <c r="X2864" i="18"/>
  <c r="W2864" i="18" s="1"/>
  <c r="X2863" i="18"/>
  <c r="W2863" i="18" s="1"/>
  <c r="X2862" i="18"/>
  <c r="W2862" i="18" s="1"/>
  <c r="X2861" i="18"/>
  <c r="W2861" i="18" s="1"/>
  <c r="X2860" i="18"/>
  <c r="W2860" i="18" s="1"/>
  <c r="X2859" i="18"/>
  <c r="W2859" i="18" s="1"/>
  <c r="X2858" i="18"/>
  <c r="W2858" i="18" s="1"/>
  <c r="X2857" i="18"/>
  <c r="W2857" i="18" s="1"/>
  <c r="X2856" i="18"/>
  <c r="W2856" i="18" s="1"/>
  <c r="X2855" i="18"/>
  <c r="W2855" i="18" s="1"/>
  <c r="X2854" i="18"/>
  <c r="W2854" i="18" s="1"/>
  <c r="X2853" i="18"/>
  <c r="W2853" i="18" s="1"/>
  <c r="X2852" i="18"/>
  <c r="W2852" i="18" s="1"/>
  <c r="X2851" i="18"/>
  <c r="W2851" i="18" s="1"/>
  <c r="X2850" i="18"/>
  <c r="W2850" i="18" s="1"/>
  <c r="X2849" i="18"/>
  <c r="W2849" i="18" s="1"/>
  <c r="X2848" i="18"/>
  <c r="W2848" i="18" s="1"/>
  <c r="X2847" i="18"/>
  <c r="W2847" i="18" s="1"/>
  <c r="X2846" i="18"/>
  <c r="W2846" i="18" s="1"/>
  <c r="X2845" i="18"/>
  <c r="W2845" i="18" s="1"/>
  <c r="X2844" i="18"/>
  <c r="W2844" i="18" s="1"/>
  <c r="X2843" i="18"/>
  <c r="W2843" i="18" s="1"/>
  <c r="X2842" i="18"/>
  <c r="W2842" i="18" s="1"/>
  <c r="X2841" i="18"/>
  <c r="W2841" i="18" s="1"/>
  <c r="X2840" i="18"/>
  <c r="W2840" i="18" s="1"/>
  <c r="X2839" i="18"/>
  <c r="W2839" i="18" s="1"/>
  <c r="X2838" i="18"/>
  <c r="W2838" i="18" s="1"/>
  <c r="X2837" i="18"/>
  <c r="W2837" i="18" s="1"/>
  <c r="X2836" i="18"/>
  <c r="W2836" i="18" s="1"/>
  <c r="X2835" i="18"/>
  <c r="W2835" i="18" s="1"/>
  <c r="X2834" i="18"/>
  <c r="W2834" i="18" s="1"/>
  <c r="X2833" i="18"/>
  <c r="W2833" i="18" s="1"/>
  <c r="X2832" i="18"/>
  <c r="W2832" i="18" s="1"/>
  <c r="X2831" i="18"/>
  <c r="W2831" i="18" s="1"/>
  <c r="X2830" i="18"/>
  <c r="W2830" i="18" s="1"/>
  <c r="X2829" i="18"/>
  <c r="W2829" i="18" s="1"/>
  <c r="X2828" i="18"/>
  <c r="W2828" i="18" s="1"/>
  <c r="X2827" i="18"/>
  <c r="W2827" i="18" s="1"/>
  <c r="X2826" i="18"/>
  <c r="W2826" i="18" s="1"/>
  <c r="X2825" i="18"/>
  <c r="W2825" i="18" s="1"/>
  <c r="X2824" i="18"/>
  <c r="W2824" i="18" s="1"/>
  <c r="X2823" i="18"/>
  <c r="W2823" i="18" s="1"/>
  <c r="X2822" i="18"/>
  <c r="W2822" i="18" s="1"/>
  <c r="X2821" i="18"/>
  <c r="W2821" i="18" s="1"/>
  <c r="X2820" i="18"/>
  <c r="W2820" i="18" s="1"/>
  <c r="X2819" i="18"/>
  <c r="W2819" i="18" s="1"/>
  <c r="X2818" i="18"/>
  <c r="W2818" i="18" s="1"/>
  <c r="X2817" i="18"/>
  <c r="W2817" i="18" s="1"/>
  <c r="X2816" i="18"/>
  <c r="W2816" i="18" s="1"/>
  <c r="X2815" i="18"/>
  <c r="W2815" i="18" s="1"/>
  <c r="X2814" i="18"/>
  <c r="W2814" i="18" s="1"/>
  <c r="X2813" i="18"/>
  <c r="W2813" i="18" s="1"/>
  <c r="X2812" i="18"/>
  <c r="W2812" i="18" s="1"/>
  <c r="X2811" i="18"/>
  <c r="W2811" i="18" s="1"/>
  <c r="X2810" i="18"/>
  <c r="W2810" i="18" s="1"/>
  <c r="X2809" i="18"/>
  <c r="W2809" i="18" s="1"/>
  <c r="X2808" i="18"/>
  <c r="W2808" i="18" s="1"/>
  <c r="X2807" i="18"/>
  <c r="W2807" i="18" s="1"/>
  <c r="X2806" i="18"/>
  <c r="W2806" i="18" s="1"/>
  <c r="X2805" i="18"/>
  <c r="W2805" i="18" s="1"/>
  <c r="X2804" i="18"/>
  <c r="W2804" i="18" s="1"/>
  <c r="X2803" i="18"/>
  <c r="W2803" i="18" s="1"/>
  <c r="X2802" i="18"/>
  <c r="W2802" i="18" s="1"/>
  <c r="X2801" i="18"/>
  <c r="W2801" i="18" s="1"/>
  <c r="X2800" i="18"/>
  <c r="W2800" i="18" s="1"/>
  <c r="X2799" i="18"/>
  <c r="W2799" i="18" s="1"/>
  <c r="X2798" i="18"/>
  <c r="W2798" i="18" s="1"/>
  <c r="X2797" i="18"/>
  <c r="W2797" i="18" s="1"/>
  <c r="X2796" i="18"/>
  <c r="W2796" i="18" s="1"/>
  <c r="X2795" i="18"/>
  <c r="W2795" i="18" s="1"/>
  <c r="X2794" i="18"/>
  <c r="W2794" i="18" s="1"/>
  <c r="X2793" i="18"/>
  <c r="W2793" i="18" s="1"/>
  <c r="X2792" i="18"/>
  <c r="W2792" i="18" s="1"/>
  <c r="X2791" i="18"/>
  <c r="W2791" i="18" s="1"/>
  <c r="X2790" i="18"/>
  <c r="W2790" i="18" s="1"/>
  <c r="X2789" i="18"/>
  <c r="W2789" i="18" s="1"/>
  <c r="X2788" i="18"/>
  <c r="W2788" i="18" s="1"/>
  <c r="X2787" i="18"/>
  <c r="W2787" i="18" s="1"/>
  <c r="X2786" i="18"/>
  <c r="W2786" i="18" s="1"/>
  <c r="X2785" i="18"/>
  <c r="W2785" i="18" s="1"/>
  <c r="X2784" i="18"/>
  <c r="W2784" i="18" s="1"/>
  <c r="X2783" i="18"/>
  <c r="W2783" i="18" s="1"/>
  <c r="X2782" i="18"/>
  <c r="W2782" i="18" s="1"/>
  <c r="X2781" i="18"/>
  <c r="W2781" i="18" s="1"/>
  <c r="X2780" i="18"/>
  <c r="W2780" i="18" s="1"/>
  <c r="X2779" i="18"/>
  <c r="W2779" i="18" s="1"/>
  <c r="X2778" i="18"/>
  <c r="W2778" i="18" s="1"/>
  <c r="X2777" i="18"/>
  <c r="W2777" i="18" s="1"/>
  <c r="X2776" i="18"/>
  <c r="W2776" i="18" s="1"/>
  <c r="X2775" i="18"/>
  <c r="W2775" i="18" s="1"/>
  <c r="X2774" i="18"/>
  <c r="W2774" i="18" s="1"/>
  <c r="X2773" i="18"/>
  <c r="W2773" i="18" s="1"/>
  <c r="X2772" i="18"/>
  <c r="W2772" i="18" s="1"/>
  <c r="X2771" i="18"/>
  <c r="W2771" i="18" s="1"/>
  <c r="X2770" i="18"/>
  <c r="W2770" i="18" s="1"/>
  <c r="X2769" i="18"/>
  <c r="W2769" i="18" s="1"/>
  <c r="X2768" i="18"/>
  <c r="W2768" i="18" s="1"/>
  <c r="X2767" i="18"/>
  <c r="W2767" i="18" s="1"/>
  <c r="X2766" i="18"/>
  <c r="W2766" i="18" s="1"/>
  <c r="X2765" i="18"/>
  <c r="W2765" i="18" s="1"/>
  <c r="X2764" i="18"/>
  <c r="W2764" i="18" s="1"/>
  <c r="X2763" i="18"/>
  <c r="W2763" i="18" s="1"/>
  <c r="X2762" i="18"/>
  <c r="W2762" i="18" s="1"/>
  <c r="X2761" i="18"/>
  <c r="W2761" i="18" s="1"/>
  <c r="X2760" i="18"/>
  <c r="W2760" i="18" s="1"/>
  <c r="X2759" i="18"/>
  <c r="W2759" i="18" s="1"/>
  <c r="X2758" i="18"/>
  <c r="W2758" i="18" s="1"/>
  <c r="X2757" i="18"/>
  <c r="W2757" i="18" s="1"/>
  <c r="X2756" i="18"/>
  <c r="W2756" i="18" s="1"/>
  <c r="X2755" i="18"/>
  <c r="W2755" i="18" s="1"/>
  <c r="X2754" i="18"/>
  <c r="W2754" i="18" s="1"/>
  <c r="X2753" i="18"/>
  <c r="W2753" i="18" s="1"/>
  <c r="X2752" i="18"/>
  <c r="W2752" i="18" s="1"/>
  <c r="X2751" i="18"/>
  <c r="W2751" i="18" s="1"/>
  <c r="X2750" i="18"/>
  <c r="W2750" i="18" s="1"/>
  <c r="X2749" i="18"/>
  <c r="W2749" i="18" s="1"/>
  <c r="X2748" i="18"/>
  <c r="W2748" i="18" s="1"/>
  <c r="X2747" i="18"/>
  <c r="W2747" i="18" s="1"/>
  <c r="X2746" i="18"/>
  <c r="W2746" i="18" s="1"/>
  <c r="X2745" i="18"/>
  <c r="W2745" i="18" s="1"/>
  <c r="X2744" i="18"/>
  <c r="W2744" i="18" s="1"/>
  <c r="X2743" i="18"/>
  <c r="W2743" i="18" s="1"/>
  <c r="X2742" i="18"/>
  <c r="W2742" i="18" s="1"/>
  <c r="X2741" i="18"/>
  <c r="W2741" i="18" s="1"/>
  <c r="X2740" i="18"/>
  <c r="W2740" i="18" s="1"/>
  <c r="X2739" i="18"/>
  <c r="W2739" i="18" s="1"/>
  <c r="X2738" i="18"/>
  <c r="W2738" i="18" s="1"/>
  <c r="X2737" i="18"/>
  <c r="W2737" i="18" s="1"/>
  <c r="X2736" i="18"/>
  <c r="W2736" i="18" s="1"/>
  <c r="X2735" i="18"/>
  <c r="W2735" i="18" s="1"/>
  <c r="X2734" i="18"/>
  <c r="W2734" i="18" s="1"/>
  <c r="X2733" i="18"/>
  <c r="W2733" i="18" s="1"/>
  <c r="X2732" i="18"/>
  <c r="W2732" i="18" s="1"/>
  <c r="X2731" i="18"/>
  <c r="W2731" i="18" s="1"/>
  <c r="X2730" i="18"/>
  <c r="W2730" i="18" s="1"/>
  <c r="X2729" i="18"/>
  <c r="W2729" i="18" s="1"/>
  <c r="X2728" i="18"/>
  <c r="W2728" i="18" s="1"/>
  <c r="X2727" i="18"/>
  <c r="W2727" i="18" s="1"/>
  <c r="X2726" i="18"/>
  <c r="W2726" i="18" s="1"/>
  <c r="X2725" i="18"/>
  <c r="W2725" i="18" s="1"/>
  <c r="X2724" i="18"/>
  <c r="W2724" i="18" s="1"/>
  <c r="X2723" i="18"/>
  <c r="W2723" i="18" s="1"/>
  <c r="X2722" i="18"/>
  <c r="W2722" i="18" s="1"/>
  <c r="X2721" i="18"/>
  <c r="W2721" i="18" s="1"/>
  <c r="X2720" i="18"/>
  <c r="W2720" i="18" s="1"/>
  <c r="X2719" i="18"/>
  <c r="W2719" i="18" s="1"/>
  <c r="X2718" i="18"/>
  <c r="W2718" i="18" s="1"/>
  <c r="X2717" i="18"/>
  <c r="W2717" i="18" s="1"/>
  <c r="X2716" i="18"/>
  <c r="W2716" i="18" s="1"/>
  <c r="X2715" i="18"/>
  <c r="W2715" i="18" s="1"/>
  <c r="X2714" i="18"/>
  <c r="W2714" i="18" s="1"/>
  <c r="X2713" i="18"/>
  <c r="W2713" i="18" s="1"/>
  <c r="X2712" i="18"/>
  <c r="W2712" i="18" s="1"/>
  <c r="X2711" i="18"/>
  <c r="W2711" i="18" s="1"/>
  <c r="X2710" i="18"/>
  <c r="W2710" i="18" s="1"/>
  <c r="X2709" i="18"/>
  <c r="W2709" i="18" s="1"/>
  <c r="X2708" i="18"/>
  <c r="W2708" i="18" s="1"/>
  <c r="X2707" i="18"/>
  <c r="W2707" i="18" s="1"/>
  <c r="X2706" i="18"/>
  <c r="W2706" i="18" s="1"/>
  <c r="X2705" i="18"/>
  <c r="W2705" i="18" s="1"/>
  <c r="X2704" i="18"/>
  <c r="W2704" i="18" s="1"/>
  <c r="X2703" i="18"/>
  <c r="W2703" i="18" s="1"/>
  <c r="X2702" i="18"/>
  <c r="W2702" i="18" s="1"/>
  <c r="X2701" i="18"/>
  <c r="W2701" i="18" s="1"/>
  <c r="X2700" i="18"/>
  <c r="W2700" i="18" s="1"/>
  <c r="X2699" i="18"/>
  <c r="W2699" i="18" s="1"/>
  <c r="X2698" i="18"/>
  <c r="W2698" i="18" s="1"/>
  <c r="X2697" i="18"/>
  <c r="W2697" i="18" s="1"/>
  <c r="X2696" i="18"/>
  <c r="W2696" i="18" s="1"/>
  <c r="X2695" i="18"/>
  <c r="W2695" i="18" s="1"/>
  <c r="X2694" i="18"/>
  <c r="W2694" i="18" s="1"/>
  <c r="X2693" i="18"/>
  <c r="W2693" i="18" s="1"/>
  <c r="X2692" i="18"/>
  <c r="W2692" i="18" s="1"/>
  <c r="X2691" i="18"/>
  <c r="W2691" i="18" s="1"/>
  <c r="X2690" i="18"/>
  <c r="W2690" i="18" s="1"/>
  <c r="X2689" i="18"/>
  <c r="W2689" i="18" s="1"/>
  <c r="X2688" i="18"/>
  <c r="W2688" i="18" s="1"/>
  <c r="X2687" i="18"/>
  <c r="W2687" i="18" s="1"/>
  <c r="X2686" i="18"/>
  <c r="W2686" i="18" s="1"/>
  <c r="X2685" i="18"/>
  <c r="W2685" i="18" s="1"/>
  <c r="X2684" i="18"/>
  <c r="W2684" i="18" s="1"/>
  <c r="X2683" i="18"/>
  <c r="W2683" i="18" s="1"/>
  <c r="X2682" i="18"/>
  <c r="W2682" i="18" s="1"/>
  <c r="X2681" i="18"/>
  <c r="W2681" i="18" s="1"/>
  <c r="X2680" i="18"/>
  <c r="W2680" i="18" s="1"/>
  <c r="X2679" i="18"/>
  <c r="W2679" i="18" s="1"/>
  <c r="X2678" i="18"/>
  <c r="W2678" i="18" s="1"/>
  <c r="X2677" i="18"/>
  <c r="W2677" i="18" s="1"/>
  <c r="X2676" i="18"/>
  <c r="W2676" i="18" s="1"/>
  <c r="X2675" i="18"/>
  <c r="W2675" i="18" s="1"/>
  <c r="X2674" i="18"/>
  <c r="W2674" i="18" s="1"/>
  <c r="X2673" i="18"/>
  <c r="W2673" i="18" s="1"/>
  <c r="X2672" i="18"/>
  <c r="W2672" i="18" s="1"/>
  <c r="X2671" i="18"/>
  <c r="W2671" i="18" s="1"/>
  <c r="X2670" i="18"/>
  <c r="W2670" i="18" s="1"/>
  <c r="X2669" i="18"/>
  <c r="W2669" i="18" s="1"/>
  <c r="X2668" i="18"/>
  <c r="W2668" i="18" s="1"/>
  <c r="X2667" i="18"/>
  <c r="W2667" i="18" s="1"/>
  <c r="X2666" i="18"/>
  <c r="W2666" i="18" s="1"/>
  <c r="X2665" i="18"/>
  <c r="W2665" i="18" s="1"/>
  <c r="X2664" i="18"/>
  <c r="W2664" i="18" s="1"/>
  <c r="X2663" i="18"/>
  <c r="W2663" i="18" s="1"/>
  <c r="X2662" i="18"/>
  <c r="W2662" i="18" s="1"/>
  <c r="X2661" i="18"/>
  <c r="W2661" i="18" s="1"/>
  <c r="X2660" i="18"/>
  <c r="W2660" i="18" s="1"/>
  <c r="X2659" i="18"/>
  <c r="W2659" i="18" s="1"/>
  <c r="X2658" i="18"/>
  <c r="W2658" i="18" s="1"/>
  <c r="X2657" i="18"/>
  <c r="W2657" i="18" s="1"/>
  <c r="X2656" i="18"/>
  <c r="W2656" i="18" s="1"/>
  <c r="X2655" i="18"/>
  <c r="W2655" i="18" s="1"/>
  <c r="X2654" i="18"/>
  <c r="W2654" i="18" s="1"/>
  <c r="X2653" i="18"/>
  <c r="W2653" i="18" s="1"/>
  <c r="X2652" i="18"/>
  <c r="W2652" i="18" s="1"/>
  <c r="X2651" i="18"/>
  <c r="W2651" i="18" s="1"/>
  <c r="X2650" i="18"/>
  <c r="W2650" i="18" s="1"/>
  <c r="X2649" i="18"/>
  <c r="W2649" i="18" s="1"/>
  <c r="X2648" i="18"/>
  <c r="W2648" i="18" s="1"/>
  <c r="X2647" i="18"/>
  <c r="W2647" i="18" s="1"/>
  <c r="X2646" i="18"/>
  <c r="W2646" i="18" s="1"/>
  <c r="X2645" i="18"/>
  <c r="W2645" i="18" s="1"/>
  <c r="X2644" i="18"/>
  <c r="W2644" i="18" s="1"/>
  <c r="X2643" i="18"/>
  <c r="W2643" i="18" s="1"/>
  <c r="X2642" i="18"/>
  <c r="W2642" i="18" s="1"/>
  <c r="X2641" i="18"/>
  <c r="W2641" i="18" s="1"/>
  <c r="X2640" i="18"/>
  <c r="W2640" i="18" s="1"/>
  <c r="X2639" i="18"/>
  <c r="W2639" i="18" s="1"/>
  <c r="X2638" i="18"/>
  <c r="W2638" i="18" s="1"/>
  <c r="X2637" i="18"/>
  <c r="W2637" i="18" s="1"/>
  <c r="X2636" i="18"/>
  <c r="W2636" i="18" s="1"/>
  <c r="X2635" i="18"/>
  <c r="W2635" i="18" s="1"/>
  <c r="X2634" i="18"/>
  <c r="W2634" i="18" s="1"/>
  <c r="X2633" i="18"/>
  <c r="W2633" i="18" s="1"/>
  <c r="X2632" i="18"/>
  <c r="W2632" i="18" s="1"/>
  <c r="X2631" i="18"/>
  <c r="W2631" i="18" s="1"/>
  <c r="X2630" i="18"/>
  <c r="W2630" i="18" s="1"/>
  <c r="X2629" i="18"/>
  <c r="W2629" i="18" s="1"/>
  <c r="X2628" i="18"/>
  <c r="W2628" i="18" s="1"/>
  <c r="X2627" i="18"/>
  <c r="W2627" i="18" s="1"/>
  <c r="X2626" i="18"/>
  <c r="W2626" i="18" s="1"/>
  <c r="X2625" i="18"/>
  <c r="W2625" i="18" s="1"/>
  <c r="X2624" i="18"/>
  <c r="W2624" i="18" s="1"/>
  <c r="X2623" i="18"/>
  <c r="W2623" i="18" s="1"/>
  <c r="X2622" i="18"/>
  <c r="W2622" i="18" s="1"/>
  <c r="X2621" i="18"/>
  <c r="W2621" i="18" s="1"/>
  <c r="X2620" i="18"/>
  <c r="W2620" i="18" s="1"/>
  <c r="X2619" i="18"/>
  <c r="W2619" i="18" s="1"/>
  <c r="X2618" i="18"/>
  <c r="W2618" i="18" s="1"/>
  <c r="X2617" i="18"/>
  <c r="W2617" i="18" s="1"/>
  <c r="X2616" i="18"/>
  <c r="W2616" i="18" s="1"/>
  <c r="X2615" i="18"/>
  <c r="W2615" i="18" s="1"/>
  <c r="X2614" i="18"/>
  <c r="W2614" i="18" s="1"/>
  <c r="X2613" i="18"/>
  <c r="W2613" i="18" s="1"/>
  <c r="X2612" i="18"/>
  <c r="W2612" i="18" s="1"/>
  <c r="X2611" i="18"/>
  <c r="W2611" i="18" s="1"/>
  <c r="X2610" i="18"/>
  <c r="W2610" i="18" s="1"/>
  <c r="X2609" i="18"/>
  <c r="W2609" i="18" s="1"/>
  <c r="X2608" i="18"/>
  <c r="W2608" i="18" s="1"/>
  <c r="X2607" i="18"/>
  <c r="W2607" i="18" s="1"/>
  <c r="X2606" i="18"/>
  <c r="W2606" i="18" s="1"/>
  <c r="X2605" i="18"/>
  <c r="W2605" i="18" s="1"/>
  <c r="X2604" i="18"/>
  <c r="W2604" i="18" s="1"/>
  <c r="X2603" i="18"/>
  <c r="W2603" i="18" s="1"/>
  <c r="X2602" i="18"/>
  <c r="W2602" i="18" s="1"/>
  <c r="X2601" i="18"/>
  <c r="W2601" i="18" s="1"/>
  <c r="X2600" i="18"/>
  <c r="W2600" i="18" s="1"/>
  <c r="X2599" i="18"/>
  <c r="W2599" i="18" s="1"/>
  <c r="X2598" i="18"/>
  <c r="W2598" i="18" s="1"/>
  <c r="X2597" i="18"/>
  <c r="W2597" i="18" s="1"/>
  <c r="X2596" i="18"/>
  <c r="W2596" i="18" s="1"/>
  <c r="X2595" i="18"/>
  <c r="W2595" i="18" s="1"/>
  <c r="X2594" i="18"/>
  <c r="W2594" i="18" s="1"/>
  <c r="X2593" i="18"/>
  <c r="W2593" i="18" s="1"/>
  <c r="X2592" i="18"/>
  <c r="W2592" i="18" s="1"/>
  <c r="X2591" i="18"/>
  <c r="W2591" i="18" s="1"/>
  <c r="X2590" i="18"/>
  <c r="W2590" i="18" s="1"/>
  <c r="X2589" i="18"/>
  <c r="W2589" i="18" s="1"/>
  <c r="X2588" i="18"/>
  <c r="W2588" i="18" s="1"/>
  <c r="X2587" i="18"/>
  <c r="W2587" i="18" s="1"/>
  <c r="X2586" i="18"/>
  <c r="W2586" i="18" s="1"/>
  <c r="X2585" i="18"/>
  <c r="W2585" i="18" s="1"/>
  <c r="X2584" i="18"/>
  <c r="W2584" i="18" s="1"/>
  <c r="X2583" i="18"/>
  <c r="W2583" i="18" s="1"/>
  <c r="X2582" i="18"/>
  <c r="W2582" i="18" s="1"/>
  <c r="X2581" i="18"/>
  <c r="W2581" i="18" s="1"/>
  <c r="X2580" i="18"/>
  <c r="W2580" i="18" s="1"/>
  <c r="X2579" i="18"/>
  <c r="W2579" i="18" s="1"/>
  <c r="X2578" i="18"/>
  <c r="W2578" i="18" s="1"/>
  <c r="X2577" i="18"/>
  <c r="W2577" i="18" s="1"/>
  <c r="X2576" i="18"/>
  <c r="W2576" i="18" s="1"/>
  <c r="X2575" i="18"/>
  <c r="W2575" i="18" s="1"/>
  <c r="X2574" i="18"/>
  <c r="W2574" i="18" s="1"/>
  <c r="X2573" i="18"/>
  <c r="W2573" i="18" s="1"/>
  <c r="X2572" i="18"/>
  <c r="W2572" i="18" s="1"/>
  <c r="X2571" i="18"/>
  <c r="W2571" i="18" s="1"/>
  <c r="X2570" i="18"/>
  <c r="W2570" i="18" s="1"/>
  <c r="X2569" i="18"/>
  <c r="W2569" i="18" s="1"/>
  <c r="X2568" i="18"/>
  <c r="W2568" i="18" s="1"/>
  <c r="X2567" i="18"/>
  <c r="W2567" i="18" s="1"/>
  <c r="X2566" i="18"/>
  <c r="W2566" i="18" s="1"/>
  <c r="X2565" i="18"/>
  <c r="W2565" i="18" s="1"/>
  <c r="X2564" i="18"/>
  <c r="W2564" i="18" s="1"/>
  <c r="X2563" i="18"/>
  <c r="W2563" i="18" s="1"/>
  <c r="X2562" i="18"/>
  <c r="W2562" i="18" s="1"/>
  <c r="X2561" i="18"/>
  <c r="W2561" i="18" s="1"/>
  <c r="X2560" i="18"/>
  <c r="W2560" i="18" s="1"/>
  <c r="X2559" i="18"/>
  <c r="W2559" i="18" s="1"/>
  <c r="X2558" i="18"/>
  <c r="W2558" i="18" s="1"/>
  <c r="X2557" i="18"/>
  <c r="W2557" i="18" s="1"/>
  <c r="X2556" i="18"/>
  <c r="W2556" i="18" s="1"/>
  <c r="X2555" i="18"/>
  <c r="W2555" i="18" s="1"/>
  <c r="X2554" i="18"/>
  <c r="W2554" i="18" s="1"/>
  <c r="X2553" i="18"/>
  <c r="W2553" i="18" s="1"/>
  <c r="X2552" i="18"/>
  <c r="W2552" i="18" s="1"/>
  <c r="X2551" i="18"/>
  <c r="W2551" i="18" s="1"/>
  <c r="X2550" i="18"/>
  <c r="W2550" i="18" s="1"/>
  <c r="X2549" i="18"/>
  <c r="W2549" i="18" s="1"/>
  <c r="X2548" i="18"/>
  <c r="W2548" i="18" s="1"/>
  <c r="X2547" i="18"/>
  <c r="W2547" i="18" s="1"/>
  <c r="X2546" i="18"/>
  <c r="W2546" i="18" s="1"/>
  <c r="X2545" i="18"/>
  <c r="W2545" i="18" s="1"/>
  <c r="X2544" i="18"/>
  <c r="W2544" i="18" s="1"/>
  <c r="X2543" i="18"/>
  <c r="W2543" i="18" s="1"/>
  <c r="X2542" i="18"/>
  <c r="W2542" i="18" s="1"/>
  <c r="X2541" i="18"/>
  <c r="W2541" i="18" s="1"/>
  <c r="X2540" i="18"/>
  <c r="W2540" i="18" s="1"/>
  <c r="X2539" i="18"/>
  <c r="W2539" i="18" s="1"/>
  <c r="X2538" i="18"/>
  <c r="W2538" i="18" s="1"/>
  <c r="X2537" i="18"/>
  <c r="W2537" i="18" s="1"/>
  <c r="X2536" i="18"/>
  <c r="W2536" i="18" s="1"/>
  <c r="X2535" i="18"/>
  <c r="W2535" i="18" s="1"/>
  <c r="X2534" i="18"/>
  <c r="W2534" i="18" s="1"/>
  <c r="X2533" i="18"/>
  <c r="W2533" i="18" s="1"/>
  <c r="X2532" i="18"/>
  <c r="W2532" i="18" s="1"/>
  <c r="X2531" i="18"/>
  <c r="W2531" i="18" s="1"/>
  <c r="X2530" i="18"/>
  <c r="W2530" i="18" s="1"/>
  <c r="X2529" i="18"/>
  <c r="W2529" i="18" s="1"/>
  <c r="X2528" i="18"/>
  <c r="W2528" i="18" s="1"/>
  <c r="X2527" i="18"/>
  <c r="W2527" i="18" s="1"/>
  <c r="X2526" i="18"/>
  <c r="W2526" i="18" s="1"/>
  <c r="X2525" i="18"/>
  <c r="W2525" i="18" s="1"/>
  <c r="X2524" i="18"/>
  <c r="W2524" i="18" s="1"/>
  <c r="X2523" i="18"/>
  <c r="W2523" i="18" s="1"/>
  <c r="X2522" i="18"/>
  <c r="W2522" i="18" s="1"/>
  <c r="X2521" i="18"/>
  <c r="W2521" i="18" s="1"/>
  <c r="X2520" i="18"/>
  <c r="W2520" i="18" s="1"/>
  <c r="X2519" i="18"/>
  <c r="W2519" i="18" s="1"/>
  <c r="X2518" i="18"/>
  <c r="W2518" i="18" s="1"/>
  <c r="X2517" i="18"/>
  <c r="W2517" i="18" s="1"/>
  <c r="X2516" i="18"/>
  <c r="W2516" i="18" s="1"/>
  <c r="X2515" i="18"/>
  <c r="W2515" i="18" s="1"/>
  <c r="X2514" i="18"/>
  <c r="W2514" i="18" s="1"/>
  <c r="X2513" i="18"/>
  <c r="W2513" i="18" s="1"/>
  <c r="X2512" i="18"/>
  <c r="W2512" i="18" s="1"/>
  <c r="X2511" i="18"/>
  <c r="W2511" i="18" s="1"/>
  <c r="X2510" i="18"/>
  <c r="W2510" i="18" s="1"/>
  <c r="X2509" i="18"/>
  <c r="W2509" i="18" s="1"/>
  <c r="X2508" i="18"/>
  <c r="W2508" i="18" s="1"/>
  <c r="X2507" i="18"/>
  <c r="W2507" i="18" s="1"/>
  <c r="X2506" i="18"/>
  <c r="W2506" i="18" s="1"/>
  <c r="X2505" i="18"/>
  <c r="W2505" i="18" s="1"/>
  <c r="X2504" i="18"/>
  <c r="W2504" i="18" s="1"/>
  <c r="X2503" i="18"/>
  <c r="W2503" i="18" s="1"/>
  <c r="X2502" i="18"/>
  <c r="W2502" i="18" s="1"/>
  <c r="X2501" i="18"/>
  <c r="W2501" i="18" s="1"/>
  <c r="X2500" i="18"/>
  <c r="W2500" i="18" s="1"/>
  <c r="X2499" i="18"/>
  <c r="W2499" i="18" s="1"/>
  <c r="X2498" i="18"/>
  <c r="W2498" i="18" s="1"/>
  <c r="X2497" i="18"/>
  <c r="W2497" i="18" s="1"/>
  <c r="X2496" i="18"/>
  <c r="W2496" i="18" s="1"/>
  <c r="X2495" i="18"/>
  <c r="W2495" i="18" s="1"/>
  <c r="X2494" i="18"/>
  <c r="W2494" i="18" s="1"/>
  <c r="X2493" i="18"/>
  <c r="W2493" i="18" s="1"/>
  <c r="X2492" i="18"/>
  <c r="W2492" i="18" s="1"/>
  <c r="X2491" i="18"/>
  <c r="W2491" i="18" s="1"/>
  <c r="X2490" i="18"/>
  <c r="W2490" i="18" s="1"/>
  <c r="X2489" i="18"/>
  <c r="W2489" i="18" s="1"/>
  <c r="X2488" i="18"/>
  <c r="W2488" i="18" s="1"/>
  <c r="X2487" i="18"/>
  <c r="W2487" i="18" s="1"/>
  <c r="X2486" i="18"/>
  <c r="W2486" i="18" s="1"/>
  <c r="X2485" i="18"/>
  <c r="W2485" i="18" s="1"/>
  <c r="X2484" i="18"/>
  <c r="W2484" i="18" s="1"/>
  <c r="X2483" i="18"/>
  <c r="W2483" i="18" s="1"/>
  <c r="X2482" i="18"/>
  <c r="W2482" i="18" s="1"/>
  <c r="X2481" i="18"/>
  <c r="W2481" i="18" s="1"/>
  <c r="X2480" i="18"/>
  <c r="W2480" i="18" s="1"/>
  <c r="X2479" i="18"/>
  <c r="W2479" i="18" s="1"/>
  <c r="X2478" i="18"/>
  <c r="W2478" i="18" s="1"/>
  <c r="X2477" i="18"/>
  <c r="W2477" i="18" s="1"/>
  <c r="X2476" i="18"/>
  <c r="W2476" i="18" s="1"/>
  <c r="X2475" i="18"/>
  <c r="W2475" i="18" s="1"/>
  <c r="X2474" i="18"/>
  <c r="W2474" i="18" s="1"/>
  <c r="X2473" i="18"/>
  <c r="W2473" i="18" s="1"/>
  <c r="X2472" i="18"/>
  <c r="W2472" i="18" s="1"/>
  <c r="X2471" i="18"/>
  <c r="W2471" i="18" s="1"/>
  <c r="X2470" i="18"/>
  <c r="W2470" i="18" s="1"/>
  <c r="X2469" i="18"/>
  <c r="W2469" i="18" s="1"/>
  <c r="X2468" i="18"/>
  <c r="W2468" i="18" s="1"/>
  <c r="X2467" i="18"/>
  <c r="W2467" i="18" s="1"/>
  <c r="X2466" i="18"/>
  <c r="W2466" i="18" s="1"/>
  <c r="X2465" i="18"/>
  <c r="W2465" i="18" s="1"/>
  <c r="X2464" i="18"/>
  <c r="W2464" i="18" s="1"/>
  <c r="X2463" i="18"/>
  <c r="W2463" i="18" s="1"/>
  <c r="X2462" i="18"/>
  <c r="W2462" i="18" s="1"/>
  <c r="X2461" i="18"/>
  <c r="W2461" i="18" s="1"/>
  <c r="X2460" i="18"/>
  <c r="W2460" i="18" s="1"/>
  <c r="X2459" i="18"/>
  <c r="W2459" i="18" s="1"/>
  <c r="X2458" i="18"/>
  <c r="W2458" i="18" s="1"/>
  <c r="X2457" i="18"/>
  <c r="W2457" i="18" s="1"/>
  <c r="X2456" i="18"/>
  <c r="W2456" i="18" s="1"/>
  <c r="X2455" i="18"/>
  <c r="W2455" i="18" s="1"/>
  <c r="X2454" i="18"/>
  <c r="W2454" i="18" s="1"/>
  <c r="X2453" i="18"/>
  <c r="W2453" i="18" s="1"/>
  <c r="X2452" i="18"/>
  <c r="W2452" i="18" s="1"/>
  <c r="X2451" i="18"/>
  <c r="W2451" i="18" s="1"/>
  <c r="X2450" i="18"/>
  <c r="W2450" i="18" s="1"/>
  <c r="X2449" i="18"/>
  <c r="W2449" i="18" s="1"/>
  <c r="X2448" i="18"/>
  <c r="W2448" i="18" s="1"/>
  <c r="X2447" i="18"/>
  <c r="W2447" i="18" s="1"/>
  <c r="X2446" i="18"/>
  <c r="W2446" i="18" s="1"/>
  <c r="X2445" i="18"/>
  <c r="W2445" i="18" s="1"/>
  <c r="X2444" i="18"/>
  <c r="W2444" i="18" s="1"/>
  <c r="X2443" i="18"/>
  <c r="W2443" i="18" s="1"/>
  <c r="X2442" i="18"/>
  <c r="W2442" i="18" s="1"/>
  <c r="X2441" i="18"/>
  <c r="W2441" i="18" s="1"/>
  <c r="X2440" i="18"/>
  <c r="W2440" i="18" s="1"/>
  <c r="X2439" i="18"/>
  <c r="W2439" i="18" s="1"/>
  <c r="X2438" i="18"/>
  <c r="W2438" i="18" s="1"/>
  <c r="X2437" i="18"/>
  <c r="W2437" i="18" s="1"/>
  <c r="X2436" i="18"/>
  <c r="W2436" i="18" s="1"/>
  <c r="X2435" i="18"/>
  <c r="W2435" i="18" s="1"/>
  <c r="X2434" i="18"/>
  <c r="W2434" i="18" s="1"/>
  <c r="X2433" i="18"/>
  <c r="W2433" i="18" s="1"/>
  <c r="X2432" i="18"/>
  <c r="W2432" i="18" s="1"/>
  <c r="X2431" i="18"/>
  <c r="W2431" i="18" s="1"/>
  <c r="X2430" i="18"/>
  <c r="W2430" i="18" s="1"/>
  <c r="X2429" i="18"/>
  <c r="W2429" i="18" s="1"/>
  <c r="X2428" i="18"/>
  <c r="W2428" i="18" s="1"/>
  <c r="X2427" i="18"/>
  <c r="W2427" i="18" s="1"/>
  <c r="X2426" i="18"/>
  <c r="W2426" i="18" s="1"/>
  <c r="X2425" i="18"/>
  <c r="W2425" i="18" s="1"/>
  <c r="X2424" i="18"/>
  <c r="W2424" i="18" s="1"/>
  <c r="X2423" i="18"/>
  <c r="W2423" i="18" s="1"/>
  <c r="X2422" i="18"/>
  <c r="W2422" i="18" s="1"/>
  <c r="X2421" i="18"/>
  <c r="W2421" i="18" s="1"/>
  <c r="X2420" i="18"/>
  <c r="W2420" i="18" s="1"/>
  <c r="X2419" i="18"/>
  <c r="W2419" i="18" s="1"/>
  <c r="X2418" i="18"/>
  <c r="W2418" i="18" s="1"/>
  <c r="X2417" i="18"/>
  <c r="W2417" i="18" s="1"/>
  <c r="X2416" i="18"/>
  <c r="W2416" i="18" s="1"/>
  <c r="X2415" i="18"/>
  <c r="W2415" i="18" s="1"/>
  <c r="X2414" i="18"/>
  <c r="W2414" i="18" s="1"/>
  <c r="X2413" i="18"/>
  <c r="W2413" i="18" s="1"/>
  <c r="X2412" i="18"/>
  <c r="W2412" i="18" s="1"/>
  <c r="X2411" i="18"/>
  <c r="W2411" i="18" s="1"/>
  <c r="X2410" i="18"/>
  <c r="W2410" i="18" s="1"/>
  <c r="X2409" i="18"/>
  <c r="W2409" i="18" s="1"/>
  <c r="X2408" i="18"/>
  <c r="W2408" i="18" s="1"/>
  <c r="X2407" i="18"/>
  <c r="W2407" i="18" s="1"/>
  <c r="X2406" i="18"/>
  <c r="W2406" i="18" s="1"/>
  <c r="X2405" i="18"/>
  <c r="W2405" i="18" s="1"/>
  <c r="X2404" i="18"/>
  <c r="W2404" i="18" s="1"/>
  <c r="X2403" i="18"/>
  <c r="W2403" i="18" s="1"/>
  <c r="X2402" i="18"/>
  <c r="W2402" i="18" s="1"/>
  <c r="X2401" i="18"/>
  <c r="W2401" i="18" s="1"/>
  <c r="X2400" i="18"/>
  <c r="W2400" i="18" s="1"/>
  <c r="X2399" i="18"/>
  <c r="W2399" i="18" s="1"/>
  <c r="X2398" i="18"/>
  <c r="W2398" i="18" s="1"/>
  <c r="X2397" i="18"/>
  <c r="W2397" i="18" s="1"/>
  <c r="X2396" i="18"/>
  <c r="W2396" i="18" s="1"/>
  <c r="X2395" i="18"/>
  <c r="W2395" i="18" s="1"/>
  <c r="X2394" i="18"/>
  <c r="W2394" i="18" s="1"/>
  <c r="X2393" i="18"/>
  <c r="W2393" i="18" s="1"/>
  <c r="X2392" i="18"/>
  <c r="W2392" i="18" s="1"/>
  <c r="X2391" i="18"/>
  <c r="W2391" i="18" s="1"/>
  <c r="X2390" i="18"/>
  <c r="W2390" i="18" s="1"/>
  <c r="X2389" i="18"/>
  <c r="W2389" i="18" s="1"/>
  <c r="X2388" i="18"/>
  <c r="W2388" i="18" s="1"/>
  <c r="X2387" i="18"/>
  <c r="W2387" i="18" s="1"/>
  <c r="X2386" i="18"/>
  <c r="W2386" i="18" s="1"/>
  <c r="X2385" i="18"/>
  <c r="W2385" i="18" s="1"/>
  <c r="X2384" i="18"/>
  <c r="W2384" i="18" s="1"/>
  <c r="X2383" i="18"/>
  <c r="W2383" i="18" s="1"/>
  <c r="X2382" i="18"/>
  <c r="W2382" i="18" s="1"/>
  <c r="X2381" i="18"/>
  <c r="W2381" i="18" s="1"/>
  <c r="X2380" i="18"/>
  <c r="W2380" i="18" s="1"/>
  <c r="X2379" i="18"/>
  <c r="W2379" i="18" s="1"/>
  <c r="X2378" i="18"/>
  <c r="W2378" i="18" s="1"/>
  <c r="X2377" i="18"/>
  <c r="W2377" i="18" s="1"/>
  <c r="X2376" i="18"/>
  <c r="W2376" i="18" s="1"/>
  <c r="X2375" i="18"/>
  <c r="W2375" i="18" s="1"/>
  <c r="X2374" i="18"/>
  <c r="W2374" i="18" s="1"/>
  <c r="X2373" i="18"/>
  <c r="W2373" i="18" s="1"/>
  <c r="X2372" i="18"/>
  <c r="W2372" i="18" s="1"/>
  <c r="X2371" i="18"/>
  <c r="W2371" i="18" s="1"/>
  <c r="X2370" i="18"/>
  <c r="W2370" i="18" s="1"/>
  <c r="X2369" i="18"/>
  <c r="W2369" i="18" s="1"/>
  <c r="X2368" i="18"/>
  <c r="W2368" i="18" s="1"/>
  <c r="X2367" i="18"/>
  <c r="W2367" i="18" s="1"/>
  <c r="X2366" i="18"/>
  <c r="W2366" i="18" s="1"/>
  <c r="X2365" i="18"/>
  <c r="W2365" i="18" s="1"/>
  <c r="X2364" i="18"/>
  <c r="W2364" i="18" s="1"/>
  <c r="X2363" i="18"/>
  <c r="W2363" i="18" s="1"/>
  <c r="X2362" i="18"/>
  <c r="W2362" i="18" s="1"/>
  <c r="X2361" i="18"/>
  <c r="W2361" i="18" s="1"/>
  <c r="X2360" i="18"/>
  <c r="W2360" i="18" s="1"/>
  <c r="X2359" i="18"/>
  <c r="W2359" i="18" s="1"/>
  <c r="X2358" i="18"/>
  <c r="W2358" i="18" s="1"/>
  <c r="X2357" i="18"/>
  <c r="W2357" i="18" s="1"/>
  <c r="X2356" i="18"/>
  <c r="W2356" i="18" s="1"/>
  <c r="X2355" i="18"/>
  <c r="W2355" i="18" s="1"/>
  <c r="X2354" i="18"/>
  <c r="W2354" i="18" s="1"/>
  <c r="X2353" i="18"/>
  <c r="W2353" i="18" s="1"/>
  <c r="X2352" i="18"/>
  <c r="W2352" i="18" s="1"/>
  <c r="X2351" i="18"/>
  <c r="W2351" i="18" s="1"/>
  <c r="X2350" i="18"/>
  <c r="W2350" i="18" s="1"/>
  <c r="X2349" i="18"/>
  <c r="W2349" i="18" s="1"/>
  <c r="X2348" i="18"/>
  <c r="W2348" i="18" s="1"/>
  <c r="X2347" i="18"/>
  <c r="W2347" i="18" s="1"/>
  <c r="X2346" i="18"/>
  <c r="W2346" i="18" s="1"/>
  <c r="X2345" i="18"/>
  <c r="W2345" i="18" s="1"/>
  <c r="X2344" i="18"/>
  <c r="W2344" i="18" s="1"/>
  <c r="X2343" i="18"/>
  <c r="W2343" i="18" s="1"/>
  <c r="X2342" i="18"/>
  <c r="W2342" i="18" s="1"/>
  <c r="X2341" i="18"/>
  <c r="W2341" i="18" s="1"/>
  <c r="X2340" i="18"/>
  <c r="W2340" i="18" s="1"/>
  <c r="X2339" i="18"/>
  <c r="W2339" i="18" s="1"/>
  <c r="X2338" i="18"/>
  <c r="W2338" i="18" s="1"/>
  <c r="X2337" i="18"/>
  <c r="W2337" i="18" s="1"/>
  <c r="X2336" i="18"/>
  <c r="W2336" i="18" s="1"/>
  <c r="X2335" i="18"/>
  <c r="W2335" i="18" s="1"/>
  <c r="X2334" i="18"/>
  <c r="W2334" i="18" s="1"/>
  <c r="X2333" i="18"/>
  <c r="W2333" i="18" s="1"/>
  <c r="X2332" i="18"/>
  <c r="W2332" i="18" s="1"/>
  <c r="X2331" i="18"/>
  <c r="W2331" i="18" s="1"/>
  <c r="X2330" i="18"/>
  <c r="W2330" i="18" s="1"/>
  <c r="X2329" i="18"/>
  <c r="W2329" i="18" s="1"/>
  <c r="X2328" i="18"/>
  <c r="W2328" i="18" s="1"/>
  <c r="X2327" i="18"/>
  <c r="W2327" i="18" s="1"/>
  <c r="X2326" i="18"/>
  <c r="W2326" i="18" s="1"/>
  <c r="X2325" i="18"/>
  <c r="W2325" i="18" s="1"/>
  <c r="X2324" i="18"/>
  <c r="W2324" i="18" s="1"/>
  <c r="X2323" i="18"/>
  <c r="W2323" i="18" s="1"/>
  <c r="X2322" i="18"/>
  <c r="W2322" i="18" s="1"/>
  <c r="X2321" i="18"/>
  <c r="W2321" i="18" s="1"/>
  <c r="X2320" i="18"/>
  <c r="W2320" i="18" s="1"/>
  <c r="X2319" i="18"/>
  <c r="W2319" i="18" s="1"/>
  <c r="X2318" i="18"/>
  <c r="W2318" i="18" s="1"/>
  <c r="X2317" i="18"/>
  <c r="W2317" i="18" s="1"/>
  <c r="X2316" i="18"/>
  <c r="W2316" i="18" s="1"/>
  <c r="X2315" i="18"/>
  <c r="W2315" i="18" s="1"/>
  <c r="X2314" i="18"/>
  <c r="W2314" i="18" s="1"/>
  <c r="X2313" i="18"/>
  <c r="W2313" i="18" s="1"/>
  <c r="X2312" i="18"/>
  <c r="W2312" i="18" s="1"/>
  <c r="X2311" i="18"/>
  <c r="W2311" i="18" s="1"/>
  <c r="X2310" i="18"/>
  <c r="W2310" i="18" s="1"/>
  <c r="X2309" i="18"/>
  <c r="W2309" i="18" s="1"/>
  <c r="X2308" i="18"/>
  <c r="W2308" i="18" s="1"/>
  <c r="X2307" i="18"/>
  <c r="W2307" i="18" s="1"/>
  <c r="X2306" i="18"/>
  <c r="W2306" i="18" s="1"/>
  <c r="X2305" i="18"/>
  <c r="W2305" i="18" s="1"/>
  <c r="X2304" i="18"/>
  <c r="W2304" i="18" s="1"/>
  <c r="X2303" i="18"/>
  <c r="W2303" i="18" s="1"/>
  <c r="X2302" i="18"/>
  <c r="W2302" i="18" s="1"/>
  <c r="X2301" i="18"/>
  <c r="W2301" i="18" s="1"/>
  <c r="X2300" i="18"/>
  <c r="W2300" i="18" s="1"/>
  <c r="X2299" i="18"/>
  <c r="W2299" i="18" s="1"/>
  <c r="X2298" i="18"/>
  <c r="W2298" i="18" s="1"/>
  <c r="X2297" i="18"/>
  <c r="W2297" i="18" s="1"/>
  <c r="X2296" i="18"/>
  <c r="W2296" i="18" s="1"/>
  <c r="X2295" i="18"/>
  <c r="W2295" i="18" s="1"/>
  <c r="X2294" i="18"/>
  <c r="W2294" i="18" s="1"/>
  <c r="X2293" i="18"/>
  <c r="W2293" i="18" s="1"/>
  <c r="X2292" i="18"/>
  <c r="W2292" i="18" s="1"/>
  <c r="X2291" i="18"/>
  <c r="W2291" i="18" s="1"/>
  <c r="X2290" i="18"/>
  <c r="W2290" i="18" s="1"/>
  <c r="X2289" i="18"/>
  <c r="W2289" i="18" s="1"/>
  <c r="X2288" i="18"/>
  <c r="W2288" i="18" s="1"/>
  <c r="X2287" i="18"/>
  <c r="W2287" i="18" s="1"/>
  <c r="X2286" i="18"/>
  <c r="W2286" i="18" s="1"/>
  <c r="X2285" i="18"/>
  <c r="W2285" i="18" s="1"/>
  <c r="X2284" i="18"/>
  <c r="W2284" i="18" s="1"/>
  <c r="X2283" i="18"/>
  <c r="W2283" i="18" s="1"/>
  <c r="X2282" i="18"/>
  <c r="W2282" i="18" s="1"/>
  <c r="X2281" i="18"/>
  <c r="W2281" i="18" s="1"/>
  <c r="X2280" i="18"/>
  <c r="W2280" i="18" s="1"/>
  <c r="X2279" i="18"/>
  <c r="W2279" i="18" s="1"/>
  <c r="X2278" i="18"/>
  <c r="W2278" i="18" s="1"/>
  <c r="X2277" i="18"/>
  <c r="W2277" i="18" s="1"/>
  <c r="X2276" i="18"/>
  <c r="W2276" i="18" s="1"/>
  <c r="X2275" i="18"/>
  <c r="W2275" i="18" s="1"/>
  <c r="X2274" i="18"/>
  <c r="W2274" i="18" s="1"/>
  <c r="X2273" i="18"/>
  <c r="W2273" i="18" s="1"/>
  <c r="X2272" i="18"/>
  <c r="W2272" i="18" s="1"/>
  <c r="X2271" i="18"/>
  <c r="W2271" i="18" s="1"/>
  <c r="X2270" i="18"/>
  <c r="W2270" i="18" s="1"/>
  <c r="X2269" i="18"/>
  <c r="W2269" i="18" s="1"/>
  <c r="X2268" i="18"/>
  <c r="W2268" i="18" s="1"/>
  <c r="X2267" i="18"/>
  <c r="W2267" i="18" s="1"/>
  <c r="X2266" i="18"/>
  <c r="W2266" i="18" s="1"/>
  <c r="X2265" i="18"/>
  <c r="W2265" i="18" s="1"/>
  <c r="X2264" i="18"/>
  <c r="W2264" i="18" s="1"/>
  <c r="X2263" i="18"/>
  <c r="W2263" i="18" s="1"/>
  <c r="X2262" i="18"/>
  <c r="W2262" i="18" s="1"/>
  <c r="X2261" i="18"/>
  <c r="W2261" i="18" s="1"/>
  <c r="X2260" i="18"/>
  <c r="W2260" i="18" s="1"/>
  <c r="X2259" i="18"/>
  <c r="W2259" i="18" s="1"/>
  <c r="X2258" i="18"/>
  <c r="W2258" i="18" s="1"/>
  <c r="X2257" i="18"/>
  <c r="W2257" i="18" s="1"/>
  <c r="X2256" i="18"/>
  <c r="W2256" i="18" s="1"/>
  <c r="X2255" i="18"/>
  <c r="W2255" i="18" s="1"/>
  <c r="X2254" i="18"/>
  <c r="W2254" i="18" s="1"/>
  <c r="X2253" i="18"/>
  <c r="W2253" i="18" s="1"/>
  <c r="X2252" i="18"/>
  <c r="W2252" i="18" s="1"/>
  <c r="X2251" i="18"/>
  <c r="W2251" i="18" s="1"/>
  <c r="X2250" i="18"/>
  <c r="W2250" i="18" s="1"/>
  <c r="X2249" i="18"/>
  <c r="W2249" i="18" s="1"/>
  <c r="X2248" i="18"/>
  <c r="W2248" i="18" s="1"/>
  <c r="X2247" i="18"/>
  <c r="W2247" i="18" s="1"/>
  <c r="X2246" i="18"/>
  <c r="W2246" i="18" s="1"/>
  <c r="X2245" i="18"/>
  <c r="W2245" i="18" s="1"/>
  <c r="X2244" i="18"/>
  <c r="W2244" i="18" s="1"/>
  <c r="X2243" i="18"/>
  <c r="W2243" i="18" s="1"/>
  <c r="X2242" i="18"/>
  <c r="W2242" i="18" s="1"/>
  <c r="X2241" i="18"/>
  <c r="W2241" i="18" s="1"/>
  <c r="X2240" i="18"/>
  <c r="W2240" i="18" s="1"/>
  <c r="X2239" i="18"/>
  <c r="W2239" i="18" s="1"/>
  <c r="X2238" i="18"/>
  <c r="W2238" i="18" s="1"/>
  <c r="X2237" i="18"/>
  <c r="W2237" i="18" s="1"/>
  <c r="X2236" i="18"/>
  <c r="W2236" i="18" s="1"/>
  <c r="X2235" i="18"/>
  <c r="W2235" i="18" s="1"/>
  <c r="X2234" i="18"/>
  <c r="W2234" i="18" s="1"/>
  <c r="X2233" i="18"/>
  <c r="W2233" i="18" s="1"/>
  <c r="X2232" i="18"/>
  <c r="W2232" i="18" s="1"/>
  <c r="X2231" i="18"/>
  <c r="W2231" i="18" s="1"/>
  <c r="X2230" i="18"/>
  <c r="W2230" i="18" s="1"/>
  <c r="X2229" i="18"/>
  <c r="W2229" i="18" s="1"/>
  <c r="X2228" i="18"/>
  <c r="W2228" i="18" s="1"/>
  <c r="X2227" i="18"/>
  <c r="W2227" i="18" s="1"/>
  <c r="X2226" i="18"/>
  <c r="W2226" i="18" s="1"/>
  <c r="X2225" i="18"/>
  <c r="W2225" i="18" s="1"/>
  <c r="X2224" i="18"/>
  <c r="W2224" i="18" s="1"/>
  <c r="X2223" i="18"/>
  <c r="W2223" i="18" s="1"/>
  <c r="X2222" i="18"/>
  <c r="W2222" i="18" s="1"/>
  <c r="X2221" i="18"/>
  <c r="W2221" i="18" s="1"/>
  <c r="X2220" i="18"/>
  <c r="W2220" i="18" s="1"/>
  <c r="X2219" i="18"/>
  <c r="W2219" i="18" s="1"/>
  <c r="X2218" i="18"/>
  <c r="W2218" i="18" s="1"/>
  <c r="X2217" i="18"/>
  <c r="W2217" i="18" s="1"/>
  <c r="X2216" i="18"/>
  <c r="W2216" i="18" s="1"/>
  <c r="X2215" i="18"/>
  <c r="W2215" i="18" s="1"/>
  <c r="X2214" i="18"/>
  <c r="W2214" i="18" s="1"/>
  <c r="X2213" i="18"/>
  <c r="W2213" i="18" s="1"/>
  <c r="X2212" i="18"/>
  <c r="W2212" i="18" s="1"/>
  <c r="X2211" i="18"/>
  <c r="W2211" i="18" s="1"/>
  <c r="X2210" i="18"/>
  <c r="W2210" i="18" s="1"/>
  <c r="X2209" i="18"/>
  <c r="W2209" i="18" s="1"/>
  <c r="X2208" i="18"/>
  <c r="W2208" i="18" s="1"/>
  <c r="X2207" i="18"/>
  <c r="W2207" i="18" s="1"/>
  <c r="X2206" i="18"/>
  <c r="W2206" i="18" s="1"/>
  <c r="X2205" i="18"/>
  <c r="W2205" i="18" s="1"/>
  <c r="X2204" i="18"/>
  <c r="W2204" i="18" s="1"/>
  <c r="X2203" i="18"/>
  <c r="W2203" i="18" s="1"/>
  <c r="X2202" i="18"/>
  <c r="W2202" i="18" s="1"/>
  <c r="X2201" i="18"/>
  <c r="W2201" i="18" s="1"/>
  <c r="X2200" i="18"/>
  <c r="W2200" i="18" s="1"/>
  <c r="X2199" i="18"/>
  <c r="W2199" i="18" s="1"/>
  <c r="X2198" i="18"/>
  <c r="W2198" i="18" s="1"/>
  <c r="X2197" i="18"/>
  <c r="W2197" i="18" s="1"/>
  <c r="X2196" i="18"/>
  <c r="W2196" i="18" s="1"/>
  <c r="X2195" i="18"/>
  <c r="W2195" i="18" s="1"/>
  <c r="X2194" i="18"/>
  <c r="W2194" i="18" s="1"/>
  <c r="X2193" i="18"/>
  <c r="W2193" i="18" s="1"/>
  <c r="X2192" i="18"/>
  <c r="W2192" i="18" s="1"/>
  <c r="X2191" i="18"/>
  <c r="W2191" i="18" s="1"/>
  <c r="X2190" i="18"/>
  <c r="W2190" i="18" s="1"/>
  <c r="X2189" i="18"/>
  <c r="W2189" i="18" s="1"/>
  <c r="X2188" i="18"/>
  <c r="W2188" i="18" s="1"/>
  <c r="X2187" i="18"/>
  <c r="W2187" i="18" s="1"/>
  <c r="X2186" i="18"/>
  <c r="W2186" i="18" s="1"/>
  <c r="X2185" i="18"/>
  <c r="W2185" i="18" s="1"/>
  <c r="X2184" i="18"/>
  <c r="W2184" i="18" s="1"/>
  <c r="X2183" i="18"/>
  <c r="W2183" i="18" s="1"/>
  <c r="X2182" i="18"/>
  <c r="W2182" i="18" s="1"/>
  <c r="X2181" i="18"/>
  <c r="W2181" i="18" s="1"/>
  <c r="X2180" i="18"/>
  <c r="W2180" i="18" s="1"/>
  <c r="X2179" i="18"/>
  <c r="W2179" i="18" s="1"/>
  <c r="X2178" i="18"/>
  <c r="W2178" i="18" s="1"/>
  <c r="X2177" i="18"/>
  <c r="W2177" i="18" s="1"/>
  <c r="X2176" i="18"/>
  <c r="W2176" i="18" s="1"/>
  <c r="X2175" i="18"/>
  <c r="W2175" i="18" s="1"/>
  <c r="X2174" i="18"/>
  <c r="W2174" i="18" s="1"/>
  <c r="X2173" i="18"/>
  <c r="W2173" i="18" s="1"/>
  <c r="X2172" i="18"/>
  <c r="W2172" i="18" s="1"/>
  <c r="X2171" i="18"/>
  <c r="W2171" i="18" s="1"/>
  <c r="X2170" i="18"/>
  <c r="W2170" i="18" s="1"/>
  <c r="X2169" i="18"/>
  <c r="W2169" i="18" s="1"/>
  <c r="X2168" i="18"/>
  <c r="W2168" i="18" s="1"/>
  <c r="X2167" i="18"/>
  <c r="W2167" i="18" s="1"/>
  <c r="X2166" i="18"/>
  <c r="W2166" i="18" s="1"/>
  <c r="X2165" i="18"/>
  <c r="W2165" i="18" s="1"/>
  <c r="X2164" i="18"/>
  <c r="W2164" i="18" s="1"/>
  <c r="X2163" i="18"/>
  <c r="W2163" i="18" s="1"/>
  <c r="X2162" i="18"/>
  <c r="W2162" i="18" s="1"/>
  <c r="X2161" i="18"/>
  <c r="W2161" i="18" s="1"/>
  <c r="X2160" i="18"/>
  <c r="W2160" i="18" s="1"/>
  <c r="X2159" i="18"/>
  <c r="W2159" i="18" s="1"/>
  <c r="X2158" i="18"/>
  <c r="W2158" i="18" s="1"/>
  <c r="X2157" i="18"/>
  <c r="W2157" i="18" s="1"/>
  <c r="X2156" i="18"/>
  <c r="W2156" i="18" s="1"/>
  <c r="X2155" i="18"/>
  <c r="W2155" i="18" s="1"/>
  <c r="X2154" i="18"/>
  <c r="W2154" i="18" s="1"/>
  <c r="X2153" i="18"/>
  <c r="W2153" i="18" s="1"/>
  <c r="X2152" i="18"/>
  <c r="W2152" i="18" s="1"/>
  <c r="X2151" i="18"/>
  <c r="W2151" i="18" s="1"/>
  <c r="X2150" i="18"/>
  <c r="W2150" i="18" s="1"/>
  <c r="X2149" i="18"/>
  <c r="W2149" i="18" s="1"/>
  <c r="X2148" i="18"/>
  <c r="W2148" i="18" s="1"/>
  <c r="X2147" i="18"/>
  <c r="W2147" i="18" s="1"/>
  <c r="X2146" i="18"/>
  <c r="W2146" i="18" s="1"/>
  <c r="X2145" i="18"/>
  <c r="W2145" i="18" s="1"/>
  <c r="X2144" i="18"/>
  <c r="W2144" i="18" s="1"/>
  <c r="X2143" i="18"/>
  <c r="W2143" i="18" s="1"/>
  <c r="X2142" i="18"/>
  <c r="W2142" i="18" s="1"/>
  <c r="X2141" i="18"/>
  <c r="W2141" i="18" s="1"/>
  <c r="X2140" i="18"/>
  <c r="W2140" i="18" s="1"/>
  <c r="X2139" i="18"/>
  <c r="W2139" i="18" s="1"/>
  <c r="X2138" i="18"/>
  <c r="W2138" i="18" s="1"/>
  <c r="X2137" i="18"/>
  <c r="W2137" i="18" s="1"/>
  <c r="X2136" i="18"/>
  <c r="W2136" i="18" s="1"/>
  <c r="X2135" i="18"/>
  <c r="W2135" i="18" s="1"/>
  <c r="X2134" i="18"/>
  <c r="W2134" i="18" s="1"/>
  <c r="X2133" i="18"/>
  <c r="W2133" i="18" s="1"/>
  <c r="X2132" i="18"/>
  <c r="W2132" i="18" s="1"/>
  <c r="X2131" i="18"/>
  <c r="W2131" i="18" s="1"/>
  <c r="X2130" i="18"/>
  <c r="W2130" i="18" s="1"/>
  <c r="X2129" i="18"/>
  <c r="W2129" i="18" s="1"/>
  <c r="X2128" i="18"/>
  <c r="W2128" i="18" s="1"/>
  <c r="X2127" i="18"/>
  <c r="W2127" i="18" s="1"/>
  <c r="X2126" i="18"/>
  <c r="W2126" i="18" s="1"/>
  <c r="X2125" i="18"/>
  <c r="W2125" i="18" s="1"/>
  <c r="X2124" i="18"/>
  <c r="W2124" i="18" s="1"/>
  <c r="X2123" i="18"/>
  <c r="W2123" i="18" s="1"/>
  <c r="X2122" i="18"/>
  <c r="W2122" i="18" s="1"/>
  <c r="X2121" i="18"/>
  <c r="W2121" i="18" s="1"/>
  <c r="X2120" i="18"/>
  <c r="W2120" i="18" s="1"/>
  <c r="X2119" i="18"/>
  <c r="W2119" i="18" s="1"/>
  <c r="X2118" i="18"/>
  <c r="W2118" i="18" s="1"/>
  <c r="X2117" i="18"/>
  <c r="W2117" i="18" s="1"/>
  <c r="X2116" i="18"/>
  <c r="W2116" i="18" s="1"/>
  <c r="X2115" i="18"/>
  <c r="W2115" i="18" s="1"/>
  <c r="X2114" i="18"/>
  <c r="W2114" i="18" s="1"/>
  <c r="X2113" i="18"/>
  <c r="W2113" i="18" s="1"/>
  <c r="X2112" i="18"/>
  <c r="W2112" i="18" s="1"/>
  <c r="X2111" i="18"/>
  <c r="W2111" i="18" s="1"/>
  <c r="X2110" i="18"/>
  <c r="W2110" i="18" s="1"/>
  <c r="X2109" i="18"/>
  <c r="W2109" i="18" s="1"/>
  <c r="X2108" i="18"/>
  <c r="W2108" i="18" s="1"/>
  <c r="X2107" i="18"/>
  <c r="W2107" i="18" s="1"/>
  <c r="X2106" i="18"/>
  <c r="W2106" i="18" s="1"/>
  <c r="X2105" i="18"/>
  <c r="W2105" i="18" s="1"/>
  <c r="X2104" i="18"/>
  <c r="W2104" i="18" s="1"/>
  <c r="X2103" i="18"/>
  <c r="W2103" i="18" s="1"/>
  <c r="X2102" i="18"/>
  <c r="W2102" i="18" s="1"/>
  <c r="X2101" i="18"/>
  <c r="W2101" i="18" s="1"/>
  <c r="X2100" i="18"/>
  <c r="W2100" i="18" s="1"/>
  <c r="X2099" i="18"/>
  <c r="W2099" i="18" s="1"/>
  <c r="X2098" i="18"/>
  <c r="W2098" i="18" s="1"/>
  <c r="X2097" i="18"/>
  <c r="W2097" i="18" s="1"/>
  <c r="X2096" i="18"/>
  <c r="W2096" i="18" s="1"/>
  <c r="X2095" i="18"/>
  <c r="W2095" i="18" s="1"/>
  <c r="X2094" i="18"/>
  <c r="W2094" i="18" s="1"/>
  <c r="X2093" i="18"/>
  <c r="W2093" i="18" s="1"/>
  <c r="X2092" i="18"/>
  <c r="W2092" i="18" s="1"/>
  <c r="X2091" i="18"/>
  <c r="W2091" i="18" s="1"/>
  <c r="X2090" i="18"/>
  <c r="W2090" i="18" s="1"/>
  <c r="X2089" i="18"/>
  <c r="W2089" i="18" s="1"/>
  <c r="X2088" i="18"/>
  <c r="W2088" i="18" s="1"/>
  <c r="X2087" i="18"/>
  <c r="W2087" i="18" s="1"/>
  <c r="X2086" i="18"/>
  <c r="W2086" i="18" s="1"/>
  <c r="X2085" i="18"/>
  <c r="W2085" i="18" s="1"/>
  <c r="X2084" i="18"/>
  <c r="W2084" i="18" s="1"/>
  <c r="X2083" i="18"/>
  <c r="W2083" i="18" s="1"/>
  <c r="X2082" i="18"/>
  <c r="W2082" i="18" s="1"/>
  <c r="X2081" i="18"/>
  <c r="W2081" i="18" s="1"/>
  <c r="X2080" i="18"/>
  <c r="W2080" i="18" s="1"/>
  <c r="X2079" i="18"/>
  <c r="W2079" i="18" s="1"/>
  <c r="X2078" i="18"/>
  <c r="W2078" i="18" s="1"/>
  <c r="X2077" i="18"/>
  <c r="W2077" i="18" s="1"/>
  <c r="X2076" i="18"/>
  <c r="W2076" i="18" s="1"/>
  <c r="X2075" i="18"/>
  <c r="W2075" i="18" s="1"/>
  <c r="X2074" i="18"/>
  <c r="W2074" i="18" s="1"/>
  <c r="X2073" i="18"/>
  <c r="W2073" i="18" s="1"/>
  <c r="X2072" i="18"/>
  <c r="W2072" i="18" s="1"/>
  <c r="X2071" i="18"/>
  <c r="W2071" i="18" s="1"/>
  <c r="X2070" i="18"/>
  <c r="W2070" i="18" s="1"/>
  <c r="X2069" i="18"/>
  <c r="W2069" i="18" s="1"/>
  <c r="X2068" i="18"/>
  <c r="W2068" i="18" s="1"/>
  <c r="X2067" i="18"/>
  <c r="W2067" i="18" s="1"/>
  <c r="X2066" i="18"/>
  <c r="W2066" i="18" s="1"/>
  <c r="X2065" i="18"/>
  <c r="W2065" i="18" s="1"/>
  <c r="X2064" i="18"/>
  <c r="W2064" i="18" s="1"/>
  <c r="X2063" i="18"/>
  <c r="W2063" i="18" s="1"/>
  <c r="X2062" i="18"/>
  <c r="W2062" i="18" s="1"/>
  <c r="X2061" i="18"/>
  <c r="W2061" i="18" s="1"/>
  <c r="X2060" i="18"/>
  <c r="W2060" i="18" s="1"/>
  <c r="X2059" i="18"/>
  <c r="W2059" i="18" s="1"/>
  <c r="X2058" i="18"/>
  <c r="W2058" i="18" s="1"/>
  <c r="X2057" i="18"/>
  <c r="W2057" i="18" s="1"/>
  <c r="X2056" i="18"/>
  <c r="W2056" i="18" s="1"/>
  <c r="X2055" i="18"/>
  <c r="W2055" i="18" s="1"/>
  <c r="X2054" i="18"/>
  <c r="W2054" i="18" s="1"/>
  <c r="X2053" i="18"/>
  <c r="W2053" i="18" s="1"/>
  <c r="X2052" i="18"/>
  <c r="W2052" i="18" s="1"/>
  <c r="X2051" i="18"/>
  <c r="W2051" i="18" s="1"/>
  <c r="X2050" i="18"/>
  <c r="W2050" i="18" s="1"/>
  <c r="X2049" i="18"/>
  <c r="W2049" i="18" s="1"/>
  <c r="X2048" i="18"/>
  <c r="W2048" i="18" s="1"/>
  <c r="X2047" i="18"/>
  <c r="W2047" i="18" s="1"/>
  <c r="X2046" i="18"/>
  <c r="W2046" i="18" s="1"/>
  <c r="X2045" i="18"/>
  <c r="W2045" i="18" s="1"/>
  <c r="X2044" i="18"/>
  <c r="W2044" i="18" s="1"/>
  <c r="X2043" i="18"/>
  <c r="W2043" i="18" s="1"/>
  <c r="X2042" i="18"/>
  <c r="W2042" i="18" s="1"/>
  <c r="X2041" i="18"/>
  <c r="W2041" i="18" s="1"/>
  <c r="X2040" i="18"/>
  <c r="W2040" i="18" s="1"/>
  <c r="X2039" i="18"/>
  <c r="W2039" i="18" s="1"/>
  <c r="X2038" i="18"/>
  <c r="W2038" i="18" s="1"/>
  <c r="X2037" i="18"/>
  <c r="W2037" i="18" s="1"/>
  <c r="X2036" i="18"/>
  <c r="W2036" i="18" s="1"/>
  <c r="X2035" i="18"/>
  <c r="W2035" i="18" s="1"/>
  <c r="X2034" i="18"/>
  <c r="W2034" i="18" s="1"/>
  <c r="X2033" i="18"/>
  <c r="W2033" i="18" s="1"/>
  <c r="X2032" i="18"/>
  <c r="W2032" i="18" s="1"/>
  <c r="X2031" i="18"/>
  <c r="W2031" i="18" s="1"/>
  <c r="X2030" i="18"/>
  <c r="W2030" i="18" s="1"/>
  <c r="X2029" i="18"/>
  <c r="W2029" i="18" s="1"/>
  <c r="X2028" i="18"/>
  <c r="W2028" i="18" s="1"/>
  <c r="X2027" i="18"/>
  <c r="W2027" i="18" s="1"/>
  <c r="X2026" i="18"/>
  <c r="W2026" i="18" s="1"/>
  <c r="X2025" i="18"/>
  <c r="W2025" i="18" s="1"/>
  <c r="X2024" i="18"/>
  <c r="W2024" i="18" s="1"/>
  <c r="X2023" i="18"/>
  <c r="W2023" i="18" s="1"/>
  <c r="X2022" i="18"/>
  <c r="W2022" i="18" s="1"/>
  <c r="X2021" i="18"/>
  <c r="W2021" i="18" s="1"/>
  <c r="X2020" i="18"/>
  <c r="W2020" i="18" s="1"/>
  <c r="X2019" i="18"/>
  <c r="W2019" i="18" s="1"/>
  <c r="X2018" i="18"/>
  <c r="W2018" i="18" s="1"/>
  <c r="X2017" i="18"/>
  <c r="W2017" i="18" s="1"/>
  <c r="X2016" i="18"/>
  <c r="W2016" i="18" s="1"/>
  <c r="X2015" i="18"/>
  <c r="W2015" i="18" s="1"/>
  <c r="X2014" i="18"/>
  <c r="W2014" i="18" s="1"/>
  <c r="X2013" i="18"/>
  <c r="W2013" i="18" s="1"/>
  <c r="X2012" i="18"/>
  <c r="W2012" i="18" s="1"/>
  <c r="X2011" i="18"/>
  <c r="W2011" i="18" s="1"/>
  <c r="X2010" i="18"/>
  <c r="W2010" i="18" s="1"/>
  <c r="X2009" i="18"/>
  <c r="W2009" i="18" s="1"/>
  <c r="X2008" i="18"/>
  <c r="W2008" i="18" s="1"/>
  <c r="X2007" i="18"/>
  <c r="W2007" i="18" s="1"/>
  <c r="X2006" i="18"/>
  <c r="W2006" i="18" s="1"/>
  <c r="X2005" i="18"/>
  <c r="W2005" i="18" s="1"/>
  <c r="X2004" i="18"/>
  <c r="W2004" i="18" s="1"/>
  <c r="X2003" i="18"/>
  <c r="W2003" i="18" s="1"/>
  <c r="X2002" i="18"/>
  <c r="W2002" i="18" s="1"/>
  <c r="X2001" i="18"/>
  <c r="W2001" i="18" s="1"/>
  <c r="X2000" i="18"/>
  <c r="W2000" i="18" s="1"/>
  <c r="X1999" i="18"/>
  <c r="W1999" i="18" s="1"/>
  <c r="X1998" i="18"/>
  <c r="W1998" i="18" s="1"/>
  <c r="X1997" i="18"/>
  <c r="W1997" i="18" s="1"/>
  <c r="X1996" i="18"/>
  <c r="W1996" i="18" s="1"/>
  <c r="X1995" i="18"/>
  <c r="W1995" i="18" s="1"/>
  <c r="X1994" i="18"/>
  <c r="W1994" i="18" s="1"/>
  <c r="X1993" i="18"/>
  <c r="W1993" i="18" s="1"/>
  <c r="X1992" i="18"/>
  <c r="W1992" i="18" s="1"/>
  <c r="X1991" i="18"/>
  <c r="W1991" i="18" s="1"/>
  <c r="X1990" i="18"/>
  <c r="W1990" i="18" s="1"/>
  <c r="X1989" i="18"/>
  <c r="W1989" i="18" s="1"/>
  <c r="X1988" i="18"/>
  <c r="W1988" i="18" s="1"/>
  <c r="X1987" i="18"/>
  <c r="W1987" i="18" s="1"/>
  <c r="X1986" i="18"/>
  <c r="W1986" i="18" s="1"/>
  <c r="X1985" i="18"/>
  <c r="W1985" i="18" s="1"/>
  <c r="X1984" i="18"/>
  <c r="W1984" i="18" s="1"/>
  <c r="X1983" i="18"/>
  <c r="W1983" i="18" s="1"/>
  <c r="X1982" i="18"/>
  <c r="W1982" i="18" s="1"/>
  <c r="X1981" i="18"/>
  <c r="W1981" i="18" s="1"/>
  <c r="X1980" i="18"/>
  <c r="W1980" i="18" s="1"/>
  <c r="X1979" i="18"/>
  <c r="W1979" i="18" s="1"/>
  <c r="X1978" i="18"/>
  <c r="W1978" i="18" s="1"/>
  <c r="X1977" i="18"/>
  <c r="W1977" i="18" s="1"/>
  <c r="X1976" i="18"/>
  <c r="W1976" i="18" s="1"/>
  <c r="X1975" i="18"/>
  <c r="W1975" i="18" s="1"/>
  <c r="X1974" i="18"/>
  <c r="W1974" i="18" s="1"/>
  <c r="X1973" i="18"/>
  <c r="W1973" i="18" s="1"/>
  <c r="X1972" i="18"/>
  <c r="W1972" i="18" s="1"/>
  <c r="X1971" i="18"/>
  <c r="W1971" i="18" s="1"/>
  <c r="X1970" i="18"/>
  <c r="W1970" i="18" s="1"/>
  <c r="X1969" i="18"/>
  <c r="W1969" i="18" s="1"/>
  <c r="X1968" i="18"/>
  <c r="W1968" i="18" s="1"/>
  <c r="X1967" i="18"/>
  <c r="W1967" i="18" s="1"/>
  <c r="X1966" i="18"/>
  <c r="W1966" i="18" s="1"/>
  <c r="X1965" i="18"/>
  <c r="W1965" i="18" s="1"/>
  <c r="X1964" i="18"/>
  <c r="W1964" i="18" s="1"/>
  <c r="X1963" i="18"/>
  <c r="W1963" i="18" s="1"/>
  <c r="X1962" i="18"/>
  <c r="W1962" i="18" s="1"/>
  <c r="X1961" i="18"/>
  <c r="W1961" i="18" s="1"/>
  <c r="X1960" i="18"/>
  <c r="W1960" i="18" s="1"/>
  <c r="X1959" i="18"/>
  <c r="W1959" i="18" s="1"/>
  <c r="X1958" i="18"/>
  <c r="W1958" i="18" s="1"/>
  <c r="X1957" i="18"/>
  <c r="W1957" i="18" s="1"/>
  <c r="X1956" i="18"/>
  <c r="W1956" i="18" s="1"/>
  <c r="X1955" i="18"/>
  <c r="W1955" i="18" s="1"/>
  <c r="X1954" i="18"/>
  <c r="W1954" i="18" s="1"/>
  <c r="X1953" i="18"/>
  <c r="W1953" i="18" s="1"/>
  <c r="X1952" i="18"/>
  <c r="W1952" i="18" s="1"/>
  <c r="X1951" i="18"/>
  <c r="W1951" i="18" s="1"/>
  <c r="X1950" i="18"/>
  <c r="W1950" i="18" s="1"/>
  <c r="X1949" i="18"/>
  <c r="W1949" i="18" s="1"/>
  <c r="X1948" i="18"/>
  <c r="W1948" i="18" s="1"/>
  <c r="X1947" i="18"/>
  <c r="W1947" i="18" s="1"/>
  <c r="X1946" i="18"/>
  <c r="W1946" i="18" s="1"/>
  <c r="X1945" i="18"/>
  <c r="W1945" i="18" s="1"/>
  <c r="X1944" i="18"/>
  <c r="W1944" i="18" s="1"/>
  <c r="X1943" i="18"/>
  <c r="W1943" i="18" s="1"/>
  <c r="X1942" i="18"/>
  <c r="W1942" i="18" s="1"/>
  <c r="X1941" i="18"/>
  <c r="W1941" i="18" s="1"/>
  <c r="X1940" i="18"/>
  <c r="W1940" i="18" s="1"/>
  <c r="X1939" i="18"/>
  <c r="W1939" i="18" s="1"/>
  <c r="X1938" i="18"/>
  <c r="W1938" i="18" s="1"/>
  <c r="X1937" i="18"/>
  <c r="W1937" i="18" s="1"/>
  <c r="X1936" i="18"/>
  <c r="W1936" i="18" s="1"/>
  <c r="X1935" i="18"/>
  <c r="W1935" i="18" s="1"/>
  <c r="X1934" i="18"/>
  <c r="W1934" i="18" s="1"/>
  <c r="X1933" i="18"/>
  <c r="W1933" i="18" s="1"/>
  <c r="X1932" i="18"/>
  <c r="W1932" i="18" s="1"/>
  <c r="X1931" i="18"/>
  <c r="W1931" i="18" s="1"/>
  <c r="X1930" i="18"/>
  <c r="W1930" i="18" s="1"/>
  <c r="X1929" i="18"/>
  <c r="W1929" i="18" s="1"/>
  <c r="X1928" i="18"/>
  <c r="W1928" i="18" s="1"/>
  <c r="X1927" i="18"/>
  <c r="W1927" i="18" s="1"/>
  <c r="X1926" i="18"/>
  <c r="W1926" i="18" s="1"/>
  <c r="X1925" i="18"/>
  <c r="W1925" i="18" s="1"/>
  <c r="X1924" i="18"/>
  <c r="W1924" i="18" s="1"/>
  <c r="X1923" i="18"/>
  <c r="W1923" i="18" s="1"/>
  <c r="X1922" i="18"/>
  <c r="W1922" i="18" s="1"/>
  <c r="X1921" i="18"/>
  <c r="W1921" i="18" s="1"/>
  <c r="X1920" i="18"/>
  <c r="W1920" i="18" s="1"/>
  <c r="X1919" i="18"/>
  <c r="W1919" i="18" s="1"/>
  <c r="X1918" i="18"/>
  <c r="W1918" i="18" s="1"/>
  <c r="X1917" i="18"/>
  <c r="W1917" i="18" s="1"/>
  <c r="X1916" i="18"/>
  <c r="W1916" i="18" s="1"/>
  <c r="X1915" i="18"/>
  <c r="W1915" i="18" s="1"/>
  <c r="X1914" i="18"/>
  <c r="W1914" i="18" s="1"/>
  <c r="X1913" i="18"/>
  <c r="W1913" i="18" s="1"/>
  <c r="X1912" i="18"/>
  <c r="W1912" i="18" s="1"/>
  <c r="X1911" i="18"/>
  <c r="W1911" i="18" s="1"/>
  <c r="X1910" i="18"/>
  <c r="W1910" i="18" s="1"/>
  <c r="X1909" i="18"/>
  <c r="W1909" i="18" s="1"/>
  <c r="X1908" i="18"/>
  <c r="W1908" i="18" s="1"/>
  <c r="X1907" i="18"/>
  <c r="W1907" i="18" s="1"/>
  <c r="X1906" i="18"/>
  <c r="W1906" i="18" s="1"/>
  <c r="X1905" i="18"/>
  <c r="W1905" i="18" s="1"/>
  <c r="X1904" i="18"/>
  <c r="W1904" i="18" s="1"/>
  <c r="X1903" i="18"/>
  <c r="W1903" i="18" s="1"/>
  <c r="X1902" i="18"/>
  <c r="W1902" i="18" s="1"/>
  <c r="X1901" i="18"/>
  <c r="W1901" i="18" s="1"/>
  <c r="X1900" i="18"/>
  <c r="W1900" i="18" s="1"/>
  <c r="X1899" i="18"/>
  <c r="W1899" i="18" s="1"/>
  <c r="X1898" i="18"/>
  <c r="W1898" i="18" s="1"/>
  <c r="X1897" i="18"/>
  <c r="W1897" i="18" s="1"/>
  <c r="X1896" i="18"/>
  <c r="W1896" i="18" s="1"/>
  <c r="X1895" i="18"/>
  <c r="W1895" i="18" s="1"/>
  <c r="X1894" i="18"/>
  <c r="W1894" i="18" s="1"/>
  <c r="X1893" i="18"/>
  <c r="W1893" i="18" s="1"/>
  <c r="X1892" i="18"/>
  <c r="W1892" i="18" s="1"/>
  <c r="X1891" i="18"/>
  <c r="W1891" i="18" s="1"/>
  <c r="X1890" i="18"/>
  <c r="W1890" i="18" s="1"/>
  <c r="X1889" i="18"/>
  <c r="W1889" i="18" s="1"/>
  <c r="X1888" i="18"/>
  <c r="W1888" i="18" s="1"/>
  <c r="X1887" i="18"/>
  <c r="W1887" i="18" s="1"/>
  <c r="X1886" i="18"/>
  <c r="W1886" i="18" s="1"/>
  <c r="X1885" i="18"/>
  <c r="W1885" i="18" s="1"/>
  <c r="X1884" i="18"/>
  <c r="W1884" i="18" s="1"/>
  <c r="X1883" i="18"/>
  <c r="W1883" i="18" s="1"/>
  <c r="X1882" i="18"/>
  <c r="W1882" i="18" s="1"/>
  <c r="X1881" i="18"/>
  <c r="W1881" i="18" s="1"/>
  <c r="X1880" i="18"/>
  <c r="W1880" i="18" s="1"/>
  <c r="X1879" i="18"/>
  <c r="W1879" i="18" s="1"/>
  <c r="X1878" i="18"/>
  <c r="W1878" i="18" s="1"/>
  <c r="X1877" i="18"/>
  <c r="W1877" i="18" s="1"/>
  <c r="X1876" i="18"/>
  <c r="W1876" i="18" s="1"/>
  <c r="X1875" i="18"/>
  <c r="W1875" i="18" s="1"/>
  <c r="X1874" i="18"/>
  <c r="W1874" i="18" s="1"/>
  <c r="X1873" i="18"/>
  <c r="W1873" i="18" s="1"/>
  <c r="X1872" i="18"/>
  <c r="W1872" i="18" s="1"/>
  <c r="X1871" i="18"/>
  <c r="W1871" i="18" s="1"/>
  <c r="X1870" i="18"/>
  <c r="W1870" i="18" s="1"/>
  <c r="X1869" i="18"/>
  <c r="W1869" i="18" s="1"/>
  <c r="X1868" i="18"/>
  <c r="W1868" i="18" s="1"/>
  <c r="X1867" i="18"/>
  <c r="W1867" i="18" s="1"/>
  <c r="X1866" i="18"/>
  <c r="W1866" i="18" s="1"/>
  <c r="X1865" i="18"/>
  <c r="W1865" i="18" s="1"/>
  <c r="X1864" i="18"/>
  <c r="W1864" i="18" s="1"/>
  <c r="X1863" i="18"/>
  <c r="W1863" i="18" s="1"/>
  <c r="X1862" i="18"/>
  <c r="W1862" i="18" s="1"/>
  <c r="X1861" i="18"/>
  <c r="W1861" i="18" s="1"/>
  <c r="X1860" i="18"/>
  <c r="W1860" i="18" s="1"/>
  <c r="X1859" i="18"/>
  <c r="W1859" i="18" s="1"/>
  <c r="X1858" i="18"/>
  <c r="W1858" i="18" s="1"/>
  <c r="X1857" i="18"/>
  <c r="W1857" i="18" s="1"/>
  <c r="X1856" i="18"/>
  <c r="W1856" i="18" s="1"/>
  <c r="X1855" i="18"/>
  <c r="W1855" i="18" s="1"/>
  <c r="X1854" i="18"/>
  <c r="W1854" i="18" s="1"/>
  <c r="X1853" i="18"/>
  <c r="W1853" i="18" s="1"/>
  <c r="X1852" i="18"/>
  <c r="W1852" i="18" s="1"/>
  <c r="X1851" i="18"/>
  <c r="W1851" i="18" s="1"/>
  <c r="X1850" i="18"/>
  <c r="W1850" i="18" s="1"/>
  <c r="X1849" i="18"/>
  <c r="W1849" i="18" s="1"/>
  <c r="X1848" i="18"/>
  <c r="W1848" i="18" s="1"/>
  <c r="X1847" i="18"/>
  <c r="W1847" i="18" s="1"/>
  <c r="X1846" i="18"/>
  <c r="W1846" i="18" s="1"/>
  <c r="X1845" i="18"/>
  <c r="W1845" i="18" s="1"/>
  <c r="X1844" i="18"/>
  <c r="W1844" i="18" s="1"/>
  <c r="X1843" i="18"/>
  <c r="W1843" i="18" s="1"/>
  <c r="X1842" i="18"/>
  <c r="W1842" i="18" s="1"/>
  <c r="X1841" i="18"/>
  <c r="W1841" i="18" s="1"/>
  <c r="X1840" i="18"/>
  <c r="W1840" i="18" s="1"/>
  <c r="X1839" i="18"/>
  <c r="W1839" i="18" s="1"/>
  <c r="X1838" i="18"/>
  <c r="W1838" i="18" s="1"/>
  <c r="X1837" i="18"/>
  <c r="W1837" i="18" s="1"/>
  <c r="X1836" i="18"/>
  <c r="W1836" i="18" s="1"/>
  <c r="X1835" i="18"/>
  <c r="W1835" i="18" s="1"/>
  <c r="X1834" i="18"/>
  <c r="W1834" i="18" s="1"/>
  <c r="X1833" i="18"/>
  <c r="W1833" i="18" s="1"/>
  <c r="X1832" i="18"/>
  <c r="W1832" i="18" s="1"/>
  <c r="X1831" i="18"/>
  <c r="W1831" i="18" s="1"/>
  <c r="X1830" i="18"/>
  <c r="W1830" i="18" s="1"/>
  <c r="X1829" i="18"/>
  <c r="W1829" i="18" s="1"/>
  <c r="X1828" i="18"/>
  <c r="W1828" i="18" s="1"/>
  <c r="X1827" i="18"/>
  <c r="W1827" i="18" s="1"/>
  <c r="X1826" i="18"/>
  <c r="W1826" i="18" s="1"/>
  <c r="X1825" i="18"/>
  <c r="W1825" i="18" s="1"/>
  <c r="X1824" i="18"/>
  <c r="W1824" i="18" s="1"/>
  <c r="X1823" i="18"/>
  <c r="W1823" i="18" s="1"/>
  <c r="X1822" i="18"/>
  <c r="W1822" i="18" s="1"/>
  <c r="X1821" i="18"/>
  <c r="W1821" i="18" s="1"/>
  <c r="X1820" i="18"/>
  <c r="W1820" i="18" s="1"/>
  <c r="X1819" i="18"/>
  <c r="W1819" i="18" s="1"/>
  <c r="X1818" i="18"/>
  <c r="W1818" i="18" s="1"/>
  <c r="X1817" i="18"/>
  <c r="W1817" i="18" s="1"/>
  <c r="X1816" i="18"/>
  <c r="W1816" i="18" s="1"/>
  <c r="X1815" i="18"/>
  <c r="W1815" i="18" s="1"/>
  <c r="X1814" i="18"/>
  <c r="W1814" i="18" s="1"/>
  <c r="X1813" i="18"/>
  <c r="W1813" i="18" s="1"/>
  <c r="X1812" i="18"/>
  <c r="W1812" i="18" s="1"/>
  <c r="X1811" i="18"/>
  <c r="W1811" i="18" s="1"/>
  <c r="X1810" i="18"/>
  <c r="W1810" i="18" s="1"/>
  <c r="X1809" i="18"/>
  <c r="W1809" i="18" s="1"/>
  <c r="X1808" i="18"/>
  <c r="W1808" i="18" s="1"/>
  <c r="X1807" i="18"/>
  <c r="W1807" i="18" s="1"/>
  <c r="X1806" i="18"/>
  <c r="W1806" i="18" s="1"/>
  <c r="X1805" i="18"/>
  <c r="W1805" i="18" s="1"/>
  <c r="X1804" i="18"/>
  <c r="W1804" i="18" s="1"/>
  <c r="X1803" i="18"/>
  <c r="W1803" i="18" s="1"/>
  <c r="X1802" i="18"/>
  <c r="W1802" i="18" s="1"/>
  <c r="X1801" i="18"/>
  <c r="W1801" i="18" s="1"/>
  <c r="X1800" i="18"/>
  <c r="W1800" i="18" s="1"/>
  <c r="X1799" i="18"/>
  <c r="W1799" i="18" s="1"/>
  <c r="X1798" i="18"/>
  <c r="W1798" i="18" s="1"/>
  <c r="X1797" i="18"/>
  <c r="W1797" i="18" s="1"/>
  <c r="X1796" i="18"/>
  <c r="W1796" i="18" s="1"/>
  <c r="X1795" i="18"/>
  <c r="W1795" i="18" s="1"/>
  <c r="X1794" i="18"/>
  <c r="W1794" i="18" s="1"/>
  <c r="X1793" i="18"/>
  <c r="W1793" i="18" s="1"/>
  <c r="X1792" i="18"/>
  <c r="W1792" i="18" s="1"/>
  <c r="X1791" i="18"/>
  <c r="W1791" i="18" s="1"/>
  <c r="X1790" i="18"/>
  <c r="W1790" i="18" s="1"/>
  <c r="X1789" i="18"/>
  <c r="W1789" i="18" s="1"/>
  <c r="X1788" i="18"/>
  <c r="W1788" i="18" s="1"/>
  <c r="X1787" i="18"/>
  <c r="W1787" i="18" s="1"/>
  <c r="X1786" i="18"/>
  <c r="W1786" i="18" s="1"/>
  <c r="X1785" i="18"/>
  <c r="W1785" i="18" s="1"/>
  <c r="X1784" i="18"/>
  <c r="W1784" i="18" s="1"/>
  <c r="X1783" i="18"/>
  <c r="W1783" i="18" s="1"/>
  <c r="X1782" i="18"/>
  <c r="W1782" i="18" s="1"/>
  <c r="X1781" i="18"/>
  <c r="W1781" i="18" s="1"/>
  <c r="X1780" i="18"/>
  <c r="W1780" i="18" s="1"/>
  <c r="X1779" i="18"/>
  <c r="W1779" i="18" s="1"/>
  <c r="X1778" i="18"/>
  <c r="W1778" i="18" s="1"/>
  <c r="X1777" i="18"/>
  <c r="W1777" i="18" s="1"/>
  <c r="X1776" i="18"/>
  <c r="W1776" i="18" s="1"/>
  <c r="X1775" i="18"/>
  <c r="W1775" i="18" s="1"/>
  <c r="X1774" i="18"/>
  <c r="W1774" i="18" s="1"/>
  <c r="X1773" i="18"/>
  <c r="W1773" i="18" s="1"/>
  <c r="X1772" i="18"/>
  <c r="W1772" i="18" s="1"/>
  <c r="X1771" i="18"/>
  <c r="W1771" i="18" s="1"/>
  <c r="X1770" i="18"/>
  <c r="W1770" i="18" s="1"/>
  <c r="X1769" i="18"/>
  <c r="W1769" i="18" s="1"/>
  <c r="X1768" i="18"/>
  <c r="W1768" i="18" s="1"/>
  <c r="X1767" i="18"/>
  <c r="W1767" i="18" s="1"/>
  <c r="X1766" i="18"/>
  <c r="W1766" i="18" s="1"/>
  <c r="X1765" i="18"/>
  <c r="W1765" i="18" s="1"/>
  <c r="X1764" i="18"/>
  <c r="W1764" i="18" s="1"/>
  <c r="X1763" i="18"/>
  <c r="W1763" i="18" s="1"/>
  <c r="X1762" i="18"/>
  <c r="W1762" i="18" s="1"/>
  <c r="X1761" i="18"/>
  <c r="W1761" i="18" s="1"/>
  <c r="X1760" i="18"/>
  <c r="W1760" i="18" s="1"/>
  <c r="X1759" i="18"/>
  <c r="W1759" i="18" s="1"/>
  <c r="X1758" i="18"/>
  <c r="W1758" i="18" s="1"/>
  <c r="X1757" i="18"/>
  <c r="W1757" i="18" s="1"/>
  <c r="X1756" i="18"/>
  <c r="W1756" i="18" s="1"/>
  <c r="X1755" i="18"/>
  <c r="W1755" i="18" s="1"/>
  <c r="X1754" i="18"/>
  <c r="W1754" i="18" s="1"/>
  <c r="X1753" i="18"/>
  <c r="W1753" i="18" s="1"/>
  <c r="X1752" i="18"/>
  <c r="W1752" i="18" s="1"/>
  <c r="X1751" i="18"/>
  <c r="W1751" i="18" s="1"/>
  <c r="X1750" i="18"/>
  <c r="W1750" i="18" s="1"/>
  <c r="X1749" i="18"/>
  <c r="W1749" i="18" s="1"/>
  <c r="X1748" i="18"/>
  <c r="W1748" i="18" s="1"/>
  <c r="X1747" i="18"/>
  <c r="W1747" i="18" s="1"/>
  <c r="X1746" i="18"/>
  <c r="W1746" i="18" s="1"/>
  <c r="X1745" i="18"/>
  <c r="W1745" i="18" s="1"/>
  <c r="X1744" i="18"/>
  <c r="W1744" i="18" s="1"/>
  <c r="X1743" i="18"/>
  <c r="W1743" i="18" s="1"/>
  <c r="X1742" i="18"/>
  <c r="W1742" i="18" s="1"/>
  <c r="X1741" i="18"/>
  <c r="W1741" i="18" s="1"/>
  <c r="X1740" i="18"/>
  <c r="W1740" i="18" s="1"/>
  <c r="X1739" i="18"/>
  <c r="W1739" i="18" s="1"/>
  <c r="X1738" i="18"/>
  <c r="W1738" i="18" s="1"/>
  <c r="X1737" i="18"/>
  <c r="W1737" i="18" s="1"/>
  <c r="X1736" i="18"/>
  <c r="W1736" i="18" s="1"/>
  <c r="X1735" i="18"/>
  <c r="W1735" i="18" s="1"/>
  <c r="X1734" i="18"/>
  <c r="W1734" i="18" s="1"/>
  <c r="X1733" i="18"/>
  <c r="W1733" i="18" s="1"/>
  <c r="X1732" i="18"/>
  <c r="W1732" i="18" s="1"/>
  <c r="X1731" i="18"/>
  <c r="W1731" i="18" s="1"/>
  <c r="X1730" i="18"/>
  <c r="W1730" i="18" s="1"/>
  <c r="X1729" i="18"/>
  <c r="W1729" i="18" s="1"/>
  <c r="X1728" i="18"/>
  <c r="W1728" i="18" s="1"/>
  <c r="X1727" i="18"/>
  <c r="W1727" i="18" s="1"/>
  <c r="X1726" i="18"/>
  <c r="W1726" i="18" s="1"/>
  <c r="X1725" i="18"/>
  <c r="W1725" i="18" s="1"/>
  <c r="X1724" i="18"/>
  <c r="W1724" i="18" s="1"/>
  <c r="X1723" i="18"/>
  <c r="W1723" i="18" s="1"/>
  <c r="X1722" i="18"/>
  <c r="W1722" i="18" s="1"/>
  <c r="X1721" i="18"/>
  <c r="W1721" i="18" s="1"/>
  <c r="X1720" i="18"/>
  <c r="W1720" i="18" s="1"/>
  <c r="X1719" i="18"/>
  <c r="W1719" i="18" s="1"/>
  <c r="X1718" i="18"/>
  <c r="W1718" i="18" s="1"/>
  <c r="X1717" i="18"/>
  <c r="W1717" i="18" s="1"/>
  <c r="X1716" i="18"/>
  <c r="W1716" i="18" s="1"/>
  <c r="X1715" i="18"/>
  <c r="W1715" i="18" s="1"/>
  <c r="X1714" i="18"/>
  <c r="W1714" i="18" s="1"/>
  <c r="X1713" i="18"/>
  <c r="W1713" i="18" s="1"/>
  <c r="X1712" i="18"/>
  <c r="W1712" i="18" s="1"/>
  <c r="X1711" i="18"/>
  <c r="W1711" i="18" s="1"/>
  <c r="X1710" i="18"/>
  <c r="W1710" i="18" s="1"/>
  <c r="X1709" i="18"/>
  <c r="W1709" i="18" s="1"/>
  <c r="X1708" i="18"/>
  <c r="W1708" i="18" s="1"/>
  <c r="X1707" i="18"/>
  <c r="W1707" i="18" s="1"/>
  <c r="X1706" i="18"/>
  <c r="W1706" i="18" s="1"/>
  <c r="X1705" i="18"/>
  <c r="W1705" i="18" s="1"/>
  <c r="X1704" i="18"/>
  <c r="W1704" i="18" s="1"/>
  <c r="X1703" i="18"/>
  <c r="W1703" i="18" s="1"/>
  <c r="X1702" i="18"/>
  <c r="W1702" i="18" s="1"/>
  <c r="X1701" i="18"/>
  <c r="W1701" i="18" s="1"/>
  <c r="X1700" i="18"/>
  <c r="W1700" i="18" s="1"/>
  <c r="X1699" i="18"/>
  <c r="W1699" i="18" s="1"/>
  <c r="X1698" i="18"/>
  <c r="W1698" i="18" s="1"/>
  <c r="X1697" i="18"/>
  <c r="W1697" i="18" s="1"/>
  <c r="X1696" i="18"/>
  <c r="W1696" i="18" s="1"/>
  <c r="X1695" i="18"/>
  <c r="W1695" i="18" s="1"/>
  <c r="X1694" i="18"/>
  <c r="W1694" i="18" s="1"/>
  <c r="X1693" i="18"/>
  <c r="W1693" i="18" s="1"/>
  <c r="X1692" i="18"/>
  <c r="W1692" i="18" s="1"/>
  <c r="X1691" i="18"/>
  <c r="W1691" i="18" s="1"/>
  <c r="X1690" i="18"/>
  <c r="W1690" i="18" s="1"/>
  <c r="X1689" i="18"/>
  <c r="W1689" i="18" s="1"/>
  <c r="X1688" i="18"/>
  <c r="W1688" i="18" s="1"/>
  <c r="X1687" i="18"/>
  <c r="W1687" i="18" s="1"/>
  <c r="X1686" i="18"/>
  <c r="W1686" i="18" s="1"/>
  <c r="X1685" i="18"/>
  <c r="W1685" i="18" s="1"/>
  <c r="X1684" i="18"/>
  <c r="W1684" i="18" s="1"/>
  <c r="X1683" i="18"/>
  <c r="W1683" i="18" s="1"/>
  <c r="X1682" i="18"/>
  <c r="W1682" i="18" s="1"/>
  <c r="X1681" i="18"/>
  <c r="W1681" i="18" s="1"/>
  <c r="X1680" i="18"/>
  <c r="W1680" i="18" s="1"/>
  <c r="X1679" i="18"/>
  <c r="W1679" i="18" s="1"/>
  <c r="X1678" i="18"/>
  <c r="W1678" i="18" s="1"/>
  <c r="X1677" i="18"/>
  <c r="W1677" i="18" s="1"/>
  <c r="X1676" i="18"/>
  <c r="W1676" i="18" s="1"/>
  <c r="X1675" i="18"/>
  <c r="W1675" i="18" s="1"/>
  <c r="X1674" i="18"/>
  <c r="W1674" i="18" s="1"/>
  <c r="X1673" i="18"/>
  <c r="W1673" i="18" s="1"/>
  <c r="X1672" i="18"/>
  <c r="W1672" i="18" s="1"/>
  <c r="X1671" i="18"/>
  <c r="W1671" i="18" s="1"/>
  <c r="X1670" i="18"/>
  <c r="W1670" i="18" s="1"/>
  <c r="X1669" i="18"/>
  <c r="W1669" i="18" s="1"/>
  <c r="X1668" i="18"/>
  <c r="W1668" i="18" s="1"/>
  <c r="X1667" i="18"/>
  <c r="W1667" i="18" s="1"/>
  <c r="X1666" i="18"/>
  <c r="W1666" i="18" s="1"/>
  <c r="X1665" i="18"/>
  <c r="W1665" i="18" s="1"/>
  <c r="X1664" i="18"/>
  <c r="W1664" i="18" s="1"/>
  <c r="X1663" i="18"/>
  <c r="W1663" i="18" s="1"/>
  <c r="X1662" i="18"/>
  <c r="W1662" i="18" s="1"/>
  <c r="X1661" i="18"/>
  <c r="W1661" i="18" s="1"/>
  <c r="X1660" i="18"/>
  <c r="W1660" i="18" s="1"/>
  <c r="X1659" i="18"/>
  <c r="W1659" i="18" s="1"/>
  <c r="X1658" i="18"/>
  <c r="W1658" i="18" s="1"/>
  <c r="X1657" i="18"/>
  <c r="W1657" i="18" s="1"/>
  <c r="X1656" i="18"/>
  <c r="W1656" i="18" s="1"/>
  <c r="X1655" i="18"/>
  <c r="W1655" i="18" s="1"/>
  <c r="X1654" i="18"/>
  <c r="W1654" i="18" s="1"/>
  <c r="X1653" i="18"/>
  <c r="W1653" i="18" s="1"/>
  <c r="X1652" i="18"/>
  <c r="W1652" i="18" s="1"/>
  <c r="X1651" i="18"/>
  <c r="W1651" i="18" s="1"/>
  <c r="X1650" i="18"/>
  <c r="W1650" i="18" s="1"/>
  <c r="X1649" i="18"/>
  <c r="W1649" i="18" s="1"/>
  <c r="X1648" i="18"/>
  <c r="W1648" i="18" s="1"/>
  <c r="X1647" i="18"/>
  <c r="W1647" i="18" s="1"/>
  <c r="X1646" i="18"/>
  <c r="W1646" i="18" s="1"/>
  <c r="X1645" i="18"/>
  <c r="W1645" i="18" s="1"/>
  <c r="X1644" i="18"/>
  <c r="W1644" i="18" s="1"/>
  <c r="X1643" i="18"/>
  <c r="W1643" i="18" s="1"/>
  <c r="X1642" i="18"/>
  <c r="W1642" i="18" s="1"/>
  <c r="X1641" i="18"/>
  <c r="W1641" i="18" s="1"/>
  <c r="X1640" i="18"/>
  <c r="W1640" i="18" s="1"/>
  <c r="X1639" i="18"/>
  <c r="W1639" i="18" s="1"/>
  <c r="X1638" i="18"/>
  <c r="W1638" i="18" s="1"/>
  <c r="X1637" i="18"/>
  <c r="W1637" i="18" s="1"/>
  <c r="X1636" i="18"/>
  <c r="W1636" i="18" s="1"/>
  <c r="X1635" i="18"/>
  <c r="W1635" i="18" s="1"/>
  <c r="X1634" i="18"/>
  <c r="W1634" i="18" s="1"/>
  <c r="X1633" i="18"/>
  <c r="W1633" i="18" s="1"/>
  <c r="X1632" i="18"/>
  <c r="W1632" i="18" s="1"/>
  <c r="X1631" i="18"/>
  <c r="W1631" i="18" s="1"/>
  <c r="X1630" i="18"/>
  <c r="W1630" i="18" s="1"/>
  <c r="X1629" i="18"/>
  <c r="W1629" i="18" s="1"/>
  <c r="X1628" i="18"/>
  <c r="W1628" i="18" s="1"/>
  <c r="X1627" i="18"/>
  <c r="W1627" i="18" s="1"/>
  <c r="X1626" i="18"/>
  <c r="W1626" i="18" s="1"/>
  <c r="X1625" i="18"/>
  <c r="W1625" i="18" s="1"/>
  <c r="X1624" i="18"/>
  <c r="W1624" i="18" s="1"/>
  <c r="X1623" i="18"/>
  <c r="W1623" i="18" s="1"/>
  <c r="X1622" i="18"/>
  <c r="W1622" i="18" s="1"/>
  <c r="X1621" i="18"/>
  <c r="W1621" i="18" s="1"/>
  <c r="X1620" i="18"/>
  <c r="W1620" i="18" s="1"/>
  <c r="X1619" i="18"/>
  <c r="W1619" i="18" s="1"/>
  <c r="X1618" i="18"/>
  <c r="W1618" i="18" s="1"/>
  <c r="X1617" i="18"/>
  <c r="W1617" i="18" s="1"/>
  <c r="X1616" i="18"/>
  <c r="W1616" i="18" s="1"/>
  <c r="X1615" i="18"/>
  <c r="W1615" i="18" s="1"/>
  <c r="X1614" i="18"/>
  <c r="W1614" i="18" s="1"/>
  <c r="X1613" i="18"/>
  <c r="W1613" i="18" s="1"/>
  <c r="X1612" i="18"/>
  <c r="W1612" i="18" s="1"/>
  <c r="X1611" i="18"/>
  <c r="W1611" i="18" s="1"/>
  <c r="X1610" i="18"/>
  <c r="W1610" i="18" s="1"/>
  <c r="X1609" i="18"/>
  <c r="W1609" i="18" s="1"/>
  <c r="X1608" i="18"/>
  <c r="W1608" i="18" s="1"/>
  <c r="X1607" i="18"/>
  <c r="W1607" i="18" s="1"/>
  <c r="X1606" i="18"/>
  <c r="W1606" i="18" s="1"/>
  <c r="X1605" i="18"/>
  <c r="W1605" i="18" s="1"/>
  <c r="X1604" i="18"/>
  <c r="W1604" i="18" s="1"/>
  <c r="X1603" i="18"/>
  <c r="W1603" i="18" s="1"/>
  <c r="X1602" i="18"/>
  <c r="W1602" i="18" s="1"/>
  <c r="X1601" i="18"/>
  <c r="W1601" i="18" s="1"/>
  <c r="X1600" i="18"/>
  <c r="W1600" i="18" s="1"/>
  <c r="X1599" i="18"/>
  <c r="W1599" i="18" s="1"/>
  <c r="X1598" i="18"/>
  <c r="W1598" i="18" s="1"/>
  <c r="X1597" i="18"/>
  <c r="W1597" i="18" s="1"/>
  <c r="X1596" i="18"/>
  <c r="W1596" i="18" s="1"/>
  <c r="X1595" i="18"/>
  <c r="W1595" i="18" s="1"/>
  <c r="X1594" i="18"/>
  <c r="W1594" i="18" s="1"/>
  <c r="X1593" i="18"/>
  <c r="W1593" i="18" s="1"/>
  <c r="X1592" i="18"/>
  <c r="W1592" i="18" s="1"/>
  <c r="X1591" i="18"/>
  <c r="W1591" i="18" s="1"/>
  <c r="X1590" i="18"/>
  <c r="W1590" i="18" s="1"/>
  <c r="X1589" i="18"/>
  <c r="W1589" i="18" s="1"/>
  <c r="X1588" i="18"/>
  <c r="W1588" i="18" s="1"/>
  <c r="X1587" i="18"/>
  <c r="W1587" i="18" s="1"/>
  <c r="X1586" i="18"/>
  <c r="W1586" i="18" s="1"/>
  <c r="X1585" i="18"/>
  <c r="W1585" i="18" s="1"/>
  <c r="X1584" i="18"/>
  <c r="W1584" i="18" s="1"/>
  <c r="X1583" i="18"/>
  <c r="W1583" i="18" s="1"/>
  <c r="X1582" i="18"/>
  <c r="W1582" i="18" s="1"/>
  <c r="X1581" i="18"/>
  <c r="W1581" i="18" s="1"/>
  <c r="X1580" i="18"/>
  <c r="W1580" i="18" s="1"/>
  <c r="X1579" i="18"/>
  <c r="W1579" i="18" s="1"/>
  <c r="X1578" i="18"/>
  <c r="W1578" i="18" s="1"/>
  <c r="X1577" i="18"/>
  <c r="W1577" i="18" s="1"/>
  <c r="X1576" i="18"/>
  <c r="W1576" i="18" s="1"/>
  <c r="X1575" i="18"/>
  <c r="W1575" i="18" s="1"/>
  <c r="X1574" i="18"/>
  <c r="W1574" i="18" s="1"/>
  <c r="X1573" i="18"/>
  <c r="W1573" i="18" s="1"/>
  <c r="X1572" i="18"/>
  <c r="W1572" i="18" s="1"/>
  <c r="X1571" i="18"/>
  <c r="W1571" i="18" s="1"/>
  <c r="X1570" i="18"/>
  <c r="W1570" i="18" s="1"/>
  <c r="X1569" i="18"/>
  <c r="W1569" i="18" s="1"/>
  <c r="X1568" i="18"/>
  <c r="W1568" i="18" s="1"/>
  <c r="X1567" i="18"/>
  <c r="W1567" i="18" s="1"/>
  <c r="X1566" i="18"/>
  <c r="W1566" i="18" s="1"/>
  <c r="X1565" i="18"/>
  <c r="W1565" i="18" s="1"/>
  <c r="X1564" i="18"/>
  <c r="W1564" i="18" s="1"/>
  <c r="X1563" i="18"/>
  <c r="W1563" i="18" s="1"/>
  <c r="X1562" i="18"/>
  <c r="W1562" i="18" s="1"/>
  <c r="X1561" i="18"/>
  <c r="W1561" i="18" s="1"/>
  <c r="X1560" i="18"/>
  <c r="W1560" i="18" s="1"/>
  <c r="X1559" i="18"/>
  <c r="W1559" i="18" s="1"/>
  <c r="X1558" i="18"/>
  <c r="W1558" i="18" s="1"/>
  <c r="X1557" i="18"/>
  <c r="W1557" i="18" s="1"/>
  <c r="X1556" i="18"/>
  <c r="W1556" i="18" s="1"/>
  <c r="X1555" i="18"/>
  <c r="W1555" i="18" s="1"/>
  <c r="X1554" i="18"/>
  <c r="W1554" i="18" s="1"/>
  <c r="X1553" i="18"/>
  <c r="W1553" i="18" s="1"/>
  <c r="X1552" i="18"/>
  <c r="W1552" i="18" s="1"/>
  <c r="X1551" i="18"/>
  <c r="W1551" i="18" s="1"/>
  <c r="X1550" i="18"/>
  <c r="W1550" i="18" s="1"/>
  <c r="X1549" i="18"/>
  <c r="W1549" i="18" s="1"/>
  <c r="X1548" i="18"/>
  <c r="W1548" i="18" s="1"/>
  <c r="X1547" i="18"/>
  <c r="W1547" i="18" s="1"/>
  <c r="X1546" i="18"/>
  <c r="W1546" i="18" s="1"/>
  <c r="X1545" i="18"/>
  <c r="W1545" i="18" s="1"/>
  <c r="X1544" i="18"/>
  <c r="W1544" i="18" s="1"/>
  <c r="X1543" i="18"/>
  <c r="W1543" i="18" s="1"/>
  <c r="X1542" i="18"/>
  <c r="W1542" i="18" s="1"/>
  <c r="X1541" i="18"/>
  <c r="W1541" i="18" s="1"/>
  <c r="X1540" i="18"/>
  <c r="W1540" i="18" s="1"/>
  <c r="X1539" i="18"/>
  <c r="W1539" i="18" s="1"/>
  <c r="X1538" i="18"/>
  <c r="W1538" i="18" s="1"/>
  <c r="X1537" i="18"/>
  <c r="W1537" i="18" s="1"/>
  <c r="X1536" i="18"/>
  <c r="W1536" i="18" s="1"/>
  <c r="X1535" i="18"/>
  <c r="W1535" i="18" s="1"/>
  <c r="X1534" i="18"/>
  <c r="W1534" i="18" s="1"/>
  <c r="X1533" i="18"/>
  <c r="W1533" i="18" s="1"/>
  <c r="X1532" i="18"/>
  <c r="W1532" i="18" s="1"/>
  <c r="X1531" i="18"/>
  <c r="W1531" i="18" s="1"/>
  <c r="X1530" i="18"/>
  <c r="W1530" i="18" s="1"/>
  <c r="X1529" i="18"/>
  <c r="W1529" i="18" s="1"/>
  <c r="X1528" i="18"/>
  <c r="W1528" i="18" s="1"/>
  <c r="X1527" i="18"/>
  <c r="W1527" i="18" s="1"/>
  <c r="X1526" i="18"/>
  <c r="W1526" i="18" s="1"/>
  <c r="X1525" i="18"/>
  <c r="W1525" i="18" s="1"/>
  <c r="X1524" i="18"/>
  <c r="W1524" i="18" s="1"/>
  <c r="X1523" i="18"/>
  <c r="W1523" i="18" s="1"/>
  <c r="X1522" i="18"/>
  <c r="W1522" i="18" s="1"/>
  <c r="X1521" i="18"/>
  <c r="W1521" i="18" s="1"/>
  <c r="X1520" i="18"/>
  <c r="W1520" i="18" s="1"/>
  <c r="X1519" i="18"/>
  <c r="W1519" i="18" s="1"/>
  <c r="X1518" i="18"/>
  <c r="W1518" i="18" s="1"/>
  <c r="X1517" i="18"/>
  <c r="W1517" i="18" s="1"/>
  <c r="X1516" i="18"/>
  <c r="W1516" i="18" s="1"/>
  <c r="X1515" i="18"/>
  <c r="W1515" i="18" s="1"/>
  <c r="X1514" i="18"/>
  <c r="W1514" i="18" s="1"/>
  <c r="X1513" i="18"/>
  <c r="W1513" i="18" s="1"/>
  <c r="X1512" i="18"/>
  <c r="W1512" i="18" s="1"/>
  <c r="X1511" i="18"/>
  <c r="W1511" i="18" s="1"/>
  <c r="X1510" i="18"/>
  <c r="W1510" i="18" s="1"/>
  <c r="X1509" i="18"/>
  <c r="W1509" i="18" s="1"/>
  <c r="X1508" i="18"/>
  <c r="W1508" i="18" s="1"/>
  <c r="X1507" i="18"/>
  <c r="W1507" i="18" s="1"/>
  <c r="X1506" i="18"/>
  <c r="W1506" i="18" s="1"/>
  <c r="X1505" i="18"/>
  <c r="W1505" i="18" s="1"/>
  <c r="X1504" i="18"/>
  <c r="W1504" i="18" s="1"/>
  <c r="X1503" i="18"/>
  <c r="W1503" i="18" s="1"/>
  <c r="X1502" i="18"/>
  <c r="W1502" i="18" s="1"/>
  <c r="X1501" i="18"/>
  <c r="W1501" i="18" s="1"/>
  <c r="X1500" i="18"/>
  <c r="W1500" i="18" s="1"/>
  <c r="X1499" i="18"/>
  <c r="W1499" i="18" s="1"/>
  <c r="X1498" i="18"/>
  <c r="W1498" i="18" s="1"/>
  <c r="X1497" i="18"/>
  <c r="W1497" i="18" s="1"/>
  <c r="X1496" i="18"/>
  <c r="W1496" i="18" s="1"/>
  <c r="X1495" i="18"/>
  <c r="W1495" i="18" s="1"/>
  <c r="X1494" i="18"/>
  <c r="W1494" i="18" s="1"/>
  <c r="X1493" i="18"/>
  <c r="W1493" i="18" s="1"/>
  <c r="X1492" i="18"/>
  <c r="W1492" i="18" s="1"/>
  <c r="X1491" i="18"/>
  <c r="W1491" i="18" s="1"/>
  <c r="X1490" i="18"/>
  <c r="W1490" i="18" s="1"/>
  <c r="X1489" i="18"/>
  <c r="W1489" i="18" s="1"/>
  <c r="X1488" i="18"/>
  <c r="W1488" i="18" s="1"/>
  <c r="X1487" i="18"/>
  <c r="W1487" i="18" s="1"/>
  <c r="X1486" i="18"/>
  <c r="W1486" i="18" s="1"/>
  <c r="X1485" i="18"/>
  <c r="W1485" i="18" s="1"/>
  <c r="X1484" i="18"/>
  <c r="W1484" i="18" s="1"/>
  <c r="X1483" i="18"/>
  <c r="W1483" i="18" s="1"/>
  <c r="X1482" i="18"/>
  <c r="W1482" i="18" s="1"/>
  <c r="X1481" i="18"/>
  <c r="W1481" i="18" s="1"/>
  <c r="X1480" i="18"/>
  <c r="W1480" i="18" s="1"/>
  <c r="X1479" i="18"/>
  <c r="W1479" i="18" s="1"/>
  <c r="X1478" i="18"/>
  <c r="W1478" i="18" s="1"/>
  <c r="X1477" i="18"/>
  <c r="W1477" i="18" s="1"/>
  <c r="X1476" i="18"/>
  <c r="W1476" i="18" s="1"/>
  <c r="X1475" i="18"/>
  <c r="W1475" i="18" s="1"/>
  <c r="X1474" i="18"/>
  <c r="W1474" i="18" s="1"/>
  <c r="X1473" i="18"/>
  <c r="W1473" i="18" s="1"/>
  <c r="X1472" i="18"/>
  <c r="W1472" i="18" s="1"/>
  <c r="X1471" i="18"/>
  <c r="W1471" i="18" s="1"/>
  <c r="X1470" i="18"/>
  <c r="W1470" i="18" s="1"/>
  <c r="X1469" i="18"/>
  <c r="W1469" i="18" s="1"/>
  <c r="X1468" i="18"/>
  <c r="W1468" i="18" s="1"/>
  <c r="X1467" i="18"/>
  <c r="W1467" i="18" s="1"/>
  <c r="X1466" i="18"/>
  <c r="W1466" i="18" s="1"/>
  <c r="X1465" i="18"/>
  <c r="W1465" i="18" s="1"/>
  <c r="X1464" i="18"/>
  <c r="W1464" i="18" s="1"/>
  <c r="X1463" i="18"/>
  <c r="W1463" i="18" s="1"/>
  <c r="X1462" i="18"/>
  <c r="W1462" i="18" s="1"/>
  <c r="X1461" i="18"/>
  <c r="W1461" i="18" s="1"/>
  <c r="X1460" i="18"/>
  <c r="W1460" i="18" s="1"/>
  <c r="X1459" i="18"/>
  <c r="W1459" i="18" s="1"/>
  <c r="X1458" i="18"/>
  <c r="W1458" i="18" s="1"/>
  <c r="X1457" i="18"/>
  <c r="W1457" i="18" s="1"/>
  <c r="X1456" i="18"/>
  <c r="W1456" i="18" s="1"/>
  <c r="X1455" i="18"/>
  <c r="W1455" i="18" s="1"/>
  <c r="X1454" i="18"/>
  <c r="W1454" i="18" s="1"/>
  <c r="X1453" i="18"/>
  <c r="W1453" i="18" s="1"/>
  <c r="X1452" i="18"/>
  <c r="W1452" i="18" s="1"/>
  <c r="X1451" i="18"/>
  <c r="W1451" i="18" s="1"/>
  <c r="X1450" i="18"/>
  <c r="W1450" i="18" s="1"/>
  <c r="X1449" i="18"/>
  <c r="W1449" i="18" s="1"/>
  <c r="X1448" i="18"/>
  <c r="W1448" i="18" s="1"/>
  <c r="X1447" i="18"/>
  <c r="W1447" i="18" s="1"/>
  <c r="X1446" i="18"/>
  <c r="W1446" i="18" s="1"/>
  <c r="X1445" i="18"/>
  <c r="W1445" i="18" s="1"/>
  <c r="X1444" i="18"/>
  <c r="W1444" i="18" s="1"/>
  <c r="X1443" i="18"/>
  <c r="W1443" i="18" s="1"/>
  <c r="X1442" i="18"/>
  <c r="W1442" i="18" s="1"/>
  <c r="X1441" i="18"/>
  <c r="W1441" i="18" s="1"/>
  <c r="X1440" i="18"/>
  <c r="W1440" i="18" s="1"/>
  <c r="X1439" i="18"/>
  <c r="W1439" i="18" s="1"/>
  <c r="X1438" i="18"/>
  <c r="W1438" i="18" s="1"/>
  <c r="X1437" i="18"/>
  <c r="W1437" i="18" s="1"/>
  <c r="X1436" i="18"/>
  <c r="W1436" i="18" s="1"/>
  <c r="X1435" i="18"/>
  <c r="W1435" i="18" s="1"/>
  <c r="X1434" i="18"/>
  <c r="W1434" i="18" s="1"/>
  <c r="X1433" i="18"/>
  <c r="W1433" i="18" s="1"/>
  <c r="X1432" i="18"/>
  <c r="W1432" i="18" s="1"/>
  <c r="X1431" i="18"/>
  <c r="W1431" i="18" s="1"/>
  <c r="X1430" i="18"/>
  <c r="W1430" i="18" s="1"/>
  <c r="X1429" i="18"/>
  <c r="W1429" i="18" s="1"/>
  <c r="X1428" i="18"/>
  <c r="W1428" i="18" s="1"/>
  <c r="X1427" i="18"/>
  <c r="W1427" i="18" s="1"/>
  <c r="X1426" i="18"/>
  <c r="W1426" i="18" s="1"/>
  <c r="X1425" i="18"/>
  <c r="W1425" i="18" s="1"/>
  <c r="X1424" i="18"/>
  <c r="W1424" i="18" s="1"/>
  <c r="X1423" i="18"/>
  <c r="W1423" i="18" s="1"/>
  <c r="X1422" i="18"/>
  <c r="W1422" i="18" s="1"/>
  <c r="X1421" i="18"/>
  <c r="W1421" i="18" s="1"/>
  <c r="X1420" i="18"/>
  <c r="W1420" i="18" s="1"/>
  <c r="X1419" i="18"/>
  <c r="W1419" i="18" s="1"/>
  <c r="X1418" i="18"/>
  <c r="W1418" i="18" s="1"/>
  <c r="X1417" i="18"/>
  <c r="W1417" i="18" s="1"/>
  <c r="X1416" i="18"/>
  <c r="W1416" i="18" s="1"/>
  <c r="X1415" i="18"/>
  <c r="W1415" i="18" s="1"/>
  <c r="X1414" i="18"/>
  <c r="W1414" i="18" s="1"/>
  <c r="X1413" i="18"/>
  <c r="W1413" i="18" s="1"/>
  <c r="X1412" i="18"/>
  <c r="W1412" i="18" s="1"/>
  <c r="X1411" i="18"/>
  <c r="W1411" i="18" s="1"/>
  <c r="X1410" i="18"/>
  <c r="W1410" i="18" s="1"/>
  <c r="X1409" i="18"/>
  <c r="W1409" i="18" s="1"/>
  <c r="X1408" i="18"/>
  <c r="W1408" i="18" s="1"/>
  <c r="X1407" i="18"/>
  <c r="W1407" i="18" s="1"/>
  <c r="X1406" i="18"/>
  <c r="W1406" i="18" s="1"/>
  <c r="X1405" i="18"/>
  <c r="W1405" i="18" s="1"/>
  <c r="X1404" i="18"/>
  <c r="W1404" i="18" s="1"/>
  <c r="X1403" i="18"/>
  <c r="W1403" i="18" s="1"/>
  <c r="X1402" i="18"/>
  <c r="W1402" i="18" s="1"/>
  <c r="X1401" i="18"/>
  <c r="W1401" i="18" s="1"/>
  <c r="X1400" i="18"/>
  <c r="W1400" i="18" s="1"/>
  <c r="X1399" i="18"/>
  <c r="W1399" i="18" s="1"/>
  <c r="X1398" i="18"/>
  <c r="W1398" i="18" s="1"/>
  <c r="X1397" i="18"/>
  <c r="W1397" i="18" s="1"/>
  <c r="X1396" i="18"/>
  <c r="W1396" i="18" s="1"/>
  <c r="X1395" i="18"/>
  <c r="W1395" i="18" s="1"/>
  <c r="X1394" i="18"/>
  <c r="W1394" i="18" s="1"/>
  <c r="X1393" i="18"/>
  <c r="W1393" i="18" s="1"/>
  <c r="X1392" i="18"/>
  <c r="W1392" i="18" s="1"/>
  <c r="X1391" i="18"/>
  <c r="W1391" i="18" s="1"/>
  <c r="X1390" i="18"/>
  <c r="W1390" i="18" s="1"/>
  <c r="X1389" i="18"/>
  <c r="W1389" i="18" s="1"/>
  <c r="X1388" i="18"/>
  <c r="W1388" i="18" s="1"/>
  <c r="X1387" i="18"/>
  <c r="W1387" i="18" s="1"/>
  <c r="X1386" i="18"/>
  <c r="W1386" i="18" s="1"/>
  <c r="X1385" i="18"/>
  <c r="W1385" i="18" s="1"/>
  <c r="X1384" i="18"/>
  <c r="W1384" i="18" s="1"/>
  <c r="X1383" i="18"/>
  <c r="W1383" i="18" s="1"/>
  <c r="X1382" i="18"/>
  <c r="W1382" i="18" s="1"/>
  <c r="X1381" i="18"/>
  <c r="W1381" i="18" s="1"/>
  <c r="X1380" i="18"/>
  <c r="W1380" i="18" s="1"/>
  <c r="X1379" i="18"/>
  <c r="W1379" i="18" s="1"/>
  <c r="X1378" i="18"/>
  <c r="W1378" i="18" s="1"/>
  <c r="X1377" i="18"/>
  <c r="W1377" i="18" s="1"/>
  <c r="X1376" i="18"/>
  <c r="W1376" i="18" s="1"/>
  <c r="X1375" i="18"/>
  <c r="W1375" i="18" s="1"/>
  <c r="X1374" i="18"/>
  <c r="W1374" i="18" s="1"/>
  <c r="X1373" i="18"/>
  <c r="W1373" i="18" s="1"/>
  <c r="X1372" i="18"/>
  <c r="W1372" i="18" s="1"/>
  <c r="X1371" i="18"/>
  <c r="W1371" i="18" s="1"/>
  <c r="X1370" i="18"/>
  <c r="W1370" i="18" s="1"/>
  <c r="X1369" i="18"/>
  <c r="W1369" i="18" s="1"/>
  <c r="X1368" i="18"/>
  <c r="W1368" i="18" s="1"/>
  <c r="X1367" i="18"/>
  <c r="W1367" i="18" s="1"/>
  <c r="X1366" i="18"/>
  <c r="W1366" i="18" s="1"/>
  <c r="X1365" i="18"/>
  <c r="W1365" i="18" s="1"/>
  <c r="X1364" i="18"/>
  <c r="W1364" i="18" s="1"/>
  <c r="X1363" i="18"/>
  <c r="W1363" i="18" s="1"/>
  <c r="X1362" i="18"/>
  <c r="W1362" i="18" s="1"/>
  <c r="X1361" i="18"/>
  <c r="W1361" i="18" s="1"/>
  <c r="X1360" i="18"/>
  <c r="W1360" i="18" s="1"/>
  <c r="X1359" i="18"/>
  <c r="W1359" i="18" s="1"/>
  <c r="X1358" i="18"/>
  <c r="W1358" i="18" s="1"/>
  <c r="X1357" i="18"/>
  <c r="W1357" i="18" s="1"/>
  <c r="X1356" i="18"/>
  <c r="W1356" i="18" s="1"/>
  <c r="X1355" i="18"/>
  <c r="W1355" i="18" s="1"/>
  <c r="X1354" i="18"/>
  <c r="W1354" i="18" s="1"/>
  <c r="X1353" i="18"/>
  <c r="W1353" i="18" s="1"/>
  <c r="X1352" i="18"/>
  <c r="W1352" i="18" s="1"/>
  <c r="X1351" i="18"/>
  <c r="W1351" i="18" s="1"/>
  <c r="X1350" i="18"/>
  <c r="W1350" i="18" s="1"/>
  <c r="X1349" i="18"/>
  <c r="W1349" i="18" s="1"/>
  <c r="X1348" i="18"/>
  <c r="W1348" i="18" s="1"/>
  <c r="X1347" i="18"/>
  <c r="W1347" i="18" s="1"/>
  <c r="X1346" i="18"/>
  <c r="W1346" i="18" s="1"/>
  <c r="X1345" i="18"/>
  <c r="W1345" i="18" s="1"/>
  <c r="X1344" i="18"/>
  <c r="W1344" i="18" s="1"/>
  <c r="X1343" i="18"/>
  <c r="W1343" i="18" s="1"/>
  <c r="X1342" i="18"/>
  <c r="W1342" i="18" s="1"/>
  <c r="X1341" i="18"/>
  <c r="W1341" i="18" s="1"/>
  <c r="X1340" i="18"/>
  <c r="W1340" i="18" s="1"/>
  <c r="X1339" i="18"/>
  <c r="W1339" i="18" s="1"/>
  <c r="X1338" i="18"/>
  <c r="W1338" i="18" s="1"/>
  <c r="X1337" i="18"/>
  <c r="W1337" i="18" s="1"/>
  <c r="X1336" i="18"/>
  <c r="W1336" i="18" s="1"/>
  <c r="X1335" i="18"/>
  <c r="W1335" i="18" s="1"/>
  <c r="X1334" i="18"/>
  <c r="W1334" i="18" s="1"/>
  <c r="X1333" i="18"/>
  <c r="W1333" i="18" s="1"/>
  <c r="X1332" i="18"/>
  <c r="W1332" i="18" s="1"/>
  <c r="X1331" i="18"/>
  <c r="W1331" i="18" s="1"/>
  <c r="X1330" i="18"/>
  <c r="W1330" i="18" s="1"/>
  <c r="X1329" i="18"/>
  <c r="W1329" i="18" s="1"/>
  <c r="X1328" i="18"/>
  <c r="W1328" i="18" s="1"/>
  <c r="X1327" i="18"/>
  <c r="W1327" i="18" s="1"/>
  <c r="X1326" i="18"/>
  <c r="W1326" i="18" s="1"/>
  <c r="X1325" i="18"/>
  <c r="W1325" i="18" s="1"/>
  <c r="X1324" i="18"/>
  <c r="W1324" i="18" s="1"/>
  <c r="X1323" i="18"/>
  <c r="W1323" i="18" s="1"/>
  <c r="X1322" i="18"/>
  <c r="W1322" i="18" s="1"/>
  <c r="X1321" i="18"/>
  <c r="W1321" i="18" s="1"/>
  <c r="X1320" i="18"/>
  <c r="W1320" i="18" s="1"/>
  <c r="X1319" i="18"/>
  <c r="W1319" i="18" s="1"/>
  <c r="X1318" i="18"/>
  <c r="W1318" i="18" s="1"/>
  <c r="X1317" i="18"/>
  <c r="W1317" i="18" s="1"/>
  <c r="X1316" i="18"/>
  <c r="W1316" i="18" s="1"/>
  <c r="X1315" i="18"/>
  <c r="W1315" i="18" s="1"/>
  <c r="X1314" i="18"/>
  <c r="W1314" i="18" s="1"/>
  <c r="X1313" i="18"/>
  <c r="W1313" i="18" s="1"/>
  <c r="X1312" i="18"/>
  <c r="W1312" i="18" s="1"/>
  <c r="X1311" i="18"/>
  <c r="W1311" i="18" s="1"/>
  <c r="X1310" i="18"/>
  <c r="W1310" i="18" s="1"/>
  <c r="X1309" i="18"/>
  <c r="W1309" i="18" s="1"/>
  <c r="X1308" i="18"/>
  <c r="W1308" i="18" s="1"/>
  <c r="X1307" i="18"/>
  <c r="W1307" i="18" s="1"/>
  <c r="X1306" i="18"/>
  <c r="W1306" i="18" s="1"/>
  <c r="X1305" i="18"/>
  <c r="W1305" i="18" s="1"/>
  <c r="X1304" i="18"/>
  <c r="W1304" i="18" s="1"/>
  <c r="X1303" i="18"/>
  <c r="W1303" i="18" s="1"/>
  <c r="X1302" i="18"/>
  <c r="W1302" i="18" s="1"/>
  <c r="X1301" i="18"/>
  <c r="W1301" i="18" s="1"/>
  <c r="X1300" i="18"/>
  <c r="W1300" i="18" s="1"/>
  <c r="X1299" i="18"/>
  <c r="W1299" i="18" s="1"/>
  <c r="X1298" i="18"/>
  <c r="W1298" i="18" s="1"/>
  <c r="X1297" i="18"/>
  <c r="W1297" i="18" s="1"/>
  <c r="X1296" i="18"/>
  <c r="W1296" i="18" s="1"/>
  <c r="X1295" i="18"/>
  <c r="W1295" i="18" s="1"/>
  <c r="X1294" i="18"/>
  <c r="W1294" i="18" s="1"/>
  <c r="X1293" i="18"/>
  <c r="W1293" i="18" s="1"/>
  <c r="X1292" i="18"/>
  <c r="W1292" i="18" s="1"/>
  <c r="X1291" i="18"/>
  <c r="W1291" i="18" s="1"/>
  <c r="X1290" i="18"/>
  <c r="W1290" i="18" s="1"/>
  <c r="X1289" i="18"/>
  <c r="W1289" i="18" s="1"/>
  <c r="X1288" i="18"/>
  <c r="W1288" i="18" s="1"/>
  <c r="X1287" i="18"/>
  <c r="W1287" i="18" s="1"/>
  <c r="X1286" i="18"/>
  <c r="W1286" i="18" s="1"/>
  <c r="X1285" i="18"/>
  <c r="W1285" i="18" s="1"/>
  <c r="X1284" i="18"/>
  <c r="W1284" i="18" s="1"/>
  <c r="X1283" i="18"/>
  <c r="W1283" i="18" s="1"/>
  <c r="X1282" i="18"/>
  <c r="W1282" i="18" s="1"/>
  <c r="X1281" i="18"/>
  <c r="W1281" i="18" s="1"/>
  <c r="X1280" i="18"/>
  <c r="W1280" i="18" s="1"/>
  <c r="X1279" i="18"/>
  <c r="W1279" i="18" s="1"/>
  <c r="X1278" i="18"/>
  <c r="W1278" i="18" s="1"/>
  <c r="X1277" i="18"/>
  <c r="W1277" i="18" s="1"/>
  <c r="X1276" i="18"/>
  <c r="W1276" i="18" s="1"/>
  <c r="X1275" i="18"/>
  <c r="W1275" i="18" s="1"/>
  <c r="X1274" i="18"/>
  <c r="W1274" i="18" s="1"/>
  <c r="X1273" i="18"/>
  <c r="W1273" i="18" s="1"/>
  <c r="X1272" i="18"/>
  <c r="W1272" i="18" s="1"/>
  <c r="X1271" i="18"/>
  <c r="W1271" i="18" s="1"/>
  <c r="X1270" i="18"/>
  <c r="W1270" i="18" s="1"/>
  <c r="X1269" i="18"/>
  <c r="W1269" i="18" s="1"/>
  <c r="X1268" i="18"/>
  <c r="W1268" i="18" s="1"/>
  <c r="X1267" i="18"/>
  <c r="W1267" i="18" s="1"/>
  <c r="X1266" i="18"/>
  <c r="W1266" i="18" s="1"/>
  <c r="X1265" i="18"/>
  <c r="W1265" i="18" s="1"/>
  <c r="X1264" i="18"/>
  <c r="W1264" i="18" s="1"/>
  <c r="X1263" i="18"/>
  <c r="W1263" i="18" s="1"/>
  <c r="X1262" i="18"/>
  <c r="W1262" i="18" s="1"/>
  <c r="X1261" i="18"/>
  <c r="W1261" i="18" s="1"/>
  <c r="X1260" i="18"/>
  <c r="W1260" i="18" s="1"/>
  <c r="X1259" i="18"/>
  <c r="W1259" i="18" s="1"/>
  <c r="X1258" i="18"/>
  <c r="W1258" i="18" s="1"/>
  <c r="X1257" i="18"/>
  <c r="W1257" i="18" s="1"/>
  <c r="X1256" i="18"/>
  <c r="W1256" i="18" s="1"/>
  <c r="X1255" i="18"/>
  <c r="W1255" i="18" s="1"/>
  <c r="X1254" i="18"/>
  <c r="W1254" i="18" s="1"/>
  <c r="X1253" i="18"/>
  <c r="W1253" i="18" s="1"/>
  <c r="X1252" i="18"/>
  <c r="W1252" i="18" s="1"/>
  <c r="X1251" i="18"/>
  <c r="W1251" i="18" s="1"/>
  <c r="X1250" i="18"/>
  <c r="W1250" i="18" s="1"/>
  <c r="X1249" i="18"/>
  <c r="W1249" i="18" s="1"/>
  <c r="X1248" i="18"/>
  <c r="W1248" i="18" s="1"/>
  <c r="X1247" i="18"/>
  <c r="W1247" i="18" s="1"/>
  <c r="X1246" i="18"/>
  <c r="W1246" i="18" s="1"/>
  <c r="X1245" i="18"/>
  <c r="W1245" i="18" s="1"/>
  <c r="X1244" i="18"/>
  <c r="W1244" i="18" s="1"/>
  <c r="X1243" i="18"/>
  <c r="W1243" i="18" s="1"/>
  <c r="X1242" i="18"/>
  <c r="W1242" i="18" s="1"/>
  <c r="X1241" i="18"/>
  <c r="W1241" i="18" s="1"/>
  <c r="X1240" i="18"/>
  <c r="W1240" i="18" s="1"/>
  <c r="X1239" i="18"/>
  <c r="W1239" i="18" s="1"/>
  <c r="X1238" i="18"/>
  <c r="W1238" i="18" s="1"/>
  <c r="X1237" i="18"/>
  <c r="W1237" i="18" s="1"/>
  <c r="X1236" i="18"/>
  <c r="W1236" i="18" s="1"/>
  <c r="X1235" i="18"/>
  <c r="W1235" i="18" s="1"/>
  <c r="X1234" i="18"/>
  <c r="W1234" i="18" s="1"/>
  <c r="X1233" i="18"/>
  <c r="W1233" i="18" s="1"/>
  <c r="X1232" i="18"/>
  <c r="W1232" i="18" s="1"/>
  <c r="X1231" i="18"/>
  <c r="W1231" i="18" s="1"/>
  <c r="X1230" i="18"/>
  <c r="W1230" i="18" s="1"/>
  <c r="X1229" i="18"/>
  <c r="W1229" i="18" s="1"/>
  <c r="X1228" i="18"/>
  <c r="W1228" i="18" s="1"/>
  <c r="X1227" i="18"/>
  <c r="W1227" i="18" s="1"/>
  <c r="X1226" i="18"/>
  <c r="W1226" i="18" s="1"/>
  <c r="X1225" i="18"/>
  <c r="W1225" i="18" s="1"/>
  <c r="X1224" i="18"/>
  <c r="W1224" i="18" s="1"/>
  <c r="X1223" i="18"/>
  <c r="W1223" i="18" s="1"/>
  <c r="X1222" i="18"/>
  <c r="W1222" i="18" s="1"/>
  <c r="X1221" i="18"/>
  <c r="W1221" i="18" s="1"/>
  <c r="X1220" i="18"/>
  <c r="W1220" i="18" s="1"/>
  <c r="X1219" i="18"/>
  <c r="W1219" i="18" s="1"/>
  <c r="X1218" i="18"/>
  <c r="W1218" i="18" s="1"/>
  <c r="X1217" i="18"/>
  <c r="W1217" i="18" s="1"/>
  <c r="X1216" i="18"/>
  <c r="W1216" i="18" s="1"/>
  <c r="X1215" i="18"/>
  <c r="W1215" i="18" s="1"/>
  <c r="X1214" i="18"/>
  <c r="W1214" i="18" s="1"/>
  <c r="X1213" i="18"/>
  <c r="W1213" i="18" s="1"/>
  <c r="X1212" i="18"/>
  <c r="W1212" i="18" s="1"/>
  <c r="X1211" i="18"/>
  <c r="W1211" i="18" s="1"/>
  <c r="X1210" i="18"/>
  <c r="W1210" i="18" s="1"/>
  <c r="X1209" i="18"/>
  <c r="W1209" i="18" s="1"/>
  <c r="X1208" i="18"/>
  <c r="W1208" i="18" s="1"/>
  <c r="X1207" i="18"/>
  <c r="W1207" i="18" s="1"/>
  <c r="X1206" i="18"/>
  <c r="W1206" i="18" s="1"/>
  <c r="X1205" i="18"/>
  <c r="W1205" i="18" s="1"/>
  <c r="X1204" i="18"/>
  <c r="W1204" i="18" s="1"/>
  <c r="X1203" i="18"/>
  <c r="W1203" i="18" s="1"/>
  <c r="X1202" i="18"/>
  <c r="W1202" i="18" s="1"/>
  <c r="X1201" i="18"/>
  <c r="W1201" i="18" s="1"/>
  <c r="X1200" i="18"/>
  <c r="W1200" i="18" s="1"/>
  <c r="X1199" i="18"/>
  <c r="W1199" i="18" s="1"/>
  <c r="X1198" i="18"/>
  <c r="W1198" i="18" s="1"/>
  <c r="X1197" i="18"/>
  <c r="W1197" i="18" s="1"/>
  <c r="X1196" i="18"/>
  <c r="W1196" i="18" s="1"/>
  <c r="X1195" i="18"/>
  <c r="W1195" i="18" s="1"/>
  <c r="X1194" i="18"/>
  <c r="W1194" i="18" s="1"/>
  <c r="X1193" i="18"/>
  <c r="W1193" i="18" s="1"/>
  <c r="X1192" i="18"/>
  <c r="W1192" i="18" s="1"/>
  <c r="X1191" i="18"/>
  <c r="W1191" i="18" s="1"/>
  <c r="X1190" i="18"/>
  <c r="W1190" i="18" s="1"/>
  <c r="X1189" i="18"/>
  <c r="W1189" i="18" s="1"/>
  <c r="X1188" i="18"/>
  <c r="W1188" i="18" s="1"/>
  <c r="X1187" i="18"/>
  <c r="W1187" i="18" s="1"/>
  <c r="X1186" i="18"/>
  <c r="W1186" i="18" s="1"/>
  <c r="X1185" i="18"/>
  <c r="W1185" i="18" s="1"/>
  <c r="X1184" i="18"/>
  <c r="W1184" i="18" s="1"/>
  <c r="X1183" i="18"/>
  <c r="W1183" i="18" s="1"/>
  <c r="X1182" i="18"/>
  <c r="W1182" i="18" s="1"/>
  <c r="X1181" i="18"/>
  <c r="W1181" i="18" s="1"/>
  <c r="X1180" i="18"/>
  <c r="W1180" i="18" s="1"/>
  <c r="X1179" i="18"/>
  <c r="W1179" i="18" s="1"/>
  <c r="X1178" i="18"/>
  <c r="W1178" i="18" s="1"/>
  <c r="X1177" i="18"/>
  <c r="W1177" i="18" s="1"/>
  <c r="X1176" i="18"/>
  <c r="W1176" i="18" s="1"/>
  <c r="X1175" i="18"/>
  <c r="W1175" i="18" s="1"/>
  <c r="X1174" i="18"/>
  <c r="W1174" i="18" s="1"/>
  <c r="X1173" i="18"/>
  <c r="W1173" i="18" s="1"/>
  <c r="X1172" i="18"/>
  <c r="W1172" i="18" s="1"/>
  <c r="X1171" i="18"/>
  <c r="W1171" i="18" s="1"/>
  <c r="X1170" i="18"/>
  <c r="W1170" i="18" s="1"/>
  <c r="X1169" i="18"/>
  <c r="W1169" i="18" s="1"/>
  <c r="X1168" i="18"/>
  <c r="W1168" i="18" s="1"/>
  <c r="X1167" i="18"/>
  <c r="W1167" i="18" s="1"/>
  <c r="X1166" i="18"/>
  <c r="W1166" i="18" s="1"/>
  <c r="X1165" i="18"/>
  <c r="W1165" i="18" s="1"/>
  <c r="X1164" i="18"/>
  <c r="W1164" i="18" s="1"/>
  <c r="X1163" i="18"/>
  <c r="W1163" i="18" s="1"/>
  <c r="X1162" i="18"/>
  <c r="W1162" i="18" s="1"/>
  <c r="X1161" i="18"/>
  <c r="W1161" i="18" s="1"/>
  <c r="X1160" i="18"/>
  <c r="W1160" i="18" s="1"/>
  <c r="X1159" i="18"/>
  <c r="W1159" i="18" s="1"/>
  <c r="X1158" i="18"/>
  <c r="W1158" i="18" s="1"/>
  <c r="X1157" i="18"/>
  <c r="W1157" i="18" s="1"/>
  <c r="X1156" i="18"/>
  <c r="W1156" i="18" s="1"/>
  <c r="X1155" i="18"/>
  <c r="W1155" i="18" s="1"/>
  <c r="X1154" i="18"/>
  <c r="W1154" i="18" s="1"/>
  <c r="X1153" i="18"/>
  <c r="W1153" i="18" s="1"/>
  <c r="X1152" i="18"/>
  <c r="W1152" i="18" s="1"/>
  <c r="X1151" i="18"/>
  <c r="W1151" i="18" s="1"/>
  <c r="X1150" i="18"/>
  <c r="W1150" i="18" s="1"/>
  <c r="X1149" i="18"/>
  <c r="W1149" i="18" s="1"/>
  <c r="X1148" i="18"/>
  <c r="W1148" i="18" s="1"/>
  <c r="X1147" i="18"/>
  <c r="W1147" i="18" s="1"/>
  <c r="X1146" i="18"/>
  <c r="W1146" i="18" s="1"/>
  <c r="X1145" i="18"/>
  <c r="W1145" i="18" s="1"/>
  <c r="X1144" i="18"/>
  <c r="W1144" i="18" s="1"/>
  <c r="X1143" i="18"/>
  <c r="W1143" i="18" s="1"/>
  <c r="X1142" i="18"/>
  <c r="W1142" i="18" s="1"/>
  <c r="X1141" i="18"/>
  <c r="W1141" i="18" s="1"/>
  <c r="X1140" i="18"/>
  <c r="W1140" i="18" s="1"/>
  <c r="X1139" i="18"/>
  <c r="W1139" i="18" s="1"/>
  <c r="X1138" i="18"/>
  <c r="W1138" i="18" s="1"/>
  <c r="X1137" i="18"/>
  <c r="W1137" i="18" s="1"/>
  <c r="X1136" i="18"/>
  <c r="W1136" i="18" s="1"/>
  <c r="X1135" i="18"/>
  <c r="W1135" i="18" s="1"/>
  <c r="X1134" i="18"/>
  <c r="W1134" i="18" s="1"/>
  <c r="X1133" i="18"/>
  <c r="W1133" i="18" s="1"/>
  <c r="X1132" i="18"/>
  <c r="W1132" i="18" s="1"/>
  <c r="X1131" i="18"/>
  <c r="W1131" i="18" s="1"/>
  <c r="X1130" i="18"/>
  <c r="W1130" i="18" s="1"/>
  <c r="X1129" i="18"/>
  <c r="W1129" i="18" s="1"/>
  <c r="X1128" i="18"/>
  <c r="W1128" i="18" s="1"/>
  <c r="X1127" i="18"/>
  <c r="W1127" i="18" s="1"/>
  <c r="X1126" i="18"/>
  <c r="W1126" i="18" s="1"/>
  <c r="X1125" i="18"/>
  <c r="W1125" i="18" s="1"/>
  <c r="X1124" i="18"/>
  <c r="W1124" i="18" s="1"/>
  <c r="X1123" i="18"/>
  <c r="W1123" i="18" s="1"/>
  <c r="X1122" i="18"/>
  <c r="W1122" i="18" s="1"/>
  <c r="X1121" i="18"/>
  <c r="W1121" i="18" s="1"/>
  <c r="X1120" i="18"/>
  <c r="W1120" i="18" s="1"/>
  <c r="X1119" i="18"/>
  <c r="W1119" i="18" s="1"/>
  <c r="X1118" i="18"/>
  <c r="W1118" i="18" s="1"/>
  <c r="X1117" i="18"/>
  <c r="W1117" i="18" s="1"/>
  <c r="X1116" i="18"/>
  <c r="W1116" i="18" s="1"/>
  <c r="X1115" i="18"/>
  <c r="W1115" i="18" s="1"/>
  <c r="X1114" i="18"/>
  <c r="W1114" i="18" s="1"/>
  <c r="X1113" i="18"/>
  <c r="W1113" i="18" s="1"/>
  <c r="X1112" i="18"/>
  <c r="W1112" i="18" s="1"/>
  <c r="X1111" i="18"/>
  <c r="W1111" i="18" s="1"/>
  <c r="X1110" i="18"/>
  <c r="W1110" i="18" s="1"/>
  <c r="X1109" i="18"/>
  <c r="W1109" i="18" s="1"/>
  <c r="X1108" i="18"/>
  <c r="W1108" i="18" s="1"/>
  <c r="X1107" i="18"/>
  <c r="W1107" i="18" s="1"/>
  <c r="X1106" i="18"/>
  <c r="W1106" i="18" s="1"/>
  <c r="X1105" i="18"/>
  <c r="W1105" i="18" s="1"/>
  <c r="X1104" i="18"/>
  <c r="W1104" i="18" s="1"/>
  <c r="X1103" i="18"/>
  <c r="W1103" i="18" s="1"/>
  <c r="X1102" i="18"/>
  <c r="W1102" i="18" s="1"/>
  <c r="X1101" i="18"/>
  <c r="W1101" i="18" s="1"/>
  <c r="X1100" i="18"/>
  <c r="W1100" i="18" s="1"/>
  <c r="X1099" i="18"/>
  <c r="W1099" i="18" s="1"/>
  <c r="X1098" i="18"/>
  <c r="W1098" i="18" s="1"/>
  <c r="X1097" i="18"/>
  <c r="W1097" i="18" s="1"/>
  <c r="X1096" i="18"/>
  <c r="W1096" i="18" s="1"/>
  <c r="X1095" i="18"/>
  <c r="W1095" i="18" s="1"/>
  <c r="X1094" i="18"/>
  <c r="W1094" i="18" s="1"/>
  <c r="X1093" i="18"/>
  <c r="W1093" i="18" s="1"/>
  <c r="X1092" i="18"/>
  <c r="W1092" i="18" s="1"/>
  <c r="X1091" i="18"/>
  <c r="W1091" i="18" s="1"/>
  <c r="X1090" i="18"/>
  <c r="W1090" i="18" s="1"/>
  <c r="X1089" i="18"/>
  <c r="W1089" i="18" s="1"/>
  <c r="X1088" i="18"/>
  <c r="W1088" i="18" s="1"/>
  <c r="X1087" i="18"/>
  <c r="W1087" i="18" s="1"/>
  <c r="X1086" i="18"/>
  <c r="W1086" i="18" s="1"/>
  <c r="X1085" i="18"/>
  <c r="W1085" i="18" s="1"/>
  <c r="X1084" i="18"/>
  <c r="W1084" i="18" s="1"/>
  <c r="X1083" i="18"/>
  <c r="W1083" i="18" s="1"/>
  <c r="X1082" i="18"/>
  <c r="W1082" i="18" s="1"/>
  <c r="X1081" i="18"/>
  <c r="W1081" i="18" s="1"/>
  <c r="X1080" i="18"/>
  <c r="W1080" i="18" s="1"/>
  <c r="X1079" i="18"/>
  <c r="W1079" i="18" s="1"/>
  <c r="X1078" i="18"/>
  <c r="W1078" i="18" s="1"/>
  <c r="X1077" i="18"/>
  <c r="W1077" i="18" s="1"/>
  <c r="X1076" i="18"/>
  <c r="W1076" i="18" s="1"/>
  <c r="X1075" i="18"/>
  <c r="W1075" i="18" s="1"/>
  <c r="X1074" i="18"/>
  <c r="W1074" i="18" s="1"/>
  <c r="X1073" i="18"/>
  <c r="W1073" i="18" s="1"/>
  <c r="X1072" i="18"/>
  <c r="W1072" i="18" s="1"/>
  <c r="X1071" i="18"/>
  <c r="W1071" i="18" s="1"/>
  <c r="X1070" i="18"/>
  <c r="W1070" i="18" s="1"/>
  <c r="X1069" i="18"/>
  <c r="W1069" i="18" s="1"/>
  <c r="X1068" i="18"/>
  <c r="W1068" i="18" s="1"/>
  <c r="X1067" i="18"/>
  <c r="W1067" i="18" s="1"/>
  <c r="X1066" i="18"/>
  <c r="W1066" i="18" s="1"/>
  <c r="X1065" i="18"/>
  <c r="W1065" i="18" s="1"/>
  <c r="X1064" i="18"/>
  <c r="W1064" i="18" s="1"/>
  <c r="X1063" i="18"/>
  <c r="W1063" i="18" s="1"/>
  <c r="X1062" i="18"/>
  <c r="W1062" i="18" s="1"/>
  <c r="X1061" i="18"/>
  <c r="W1061" i="18" s="1"/>
  <c r="X1060" i="18"/>
  <c r="W1060" i="18" s="1"/>
  <c r="X1059" i="18"/>
  <c r="W1059" i="18" s="1"/>
  <c r="X1058" i="18"/>
  <c r="W1058" i="18" s="1"/>
  <c r="X1057" i="18"/>
  <c r="W1057" i="18" s="1"/>
  <c r="X1056" i="18"/>
  <c r="W1056" i="18" s="1"/>
  <c r="X1055" i="18"/>
  <c r="W1055" i="18" s="1"/>
  <c r="X1054" i="18"/>
  <c r="W1054" i="18" s="1"/>
  <c r="X1053" i="18"/>
  <c r="W1053" i="18" s="1"/>
  <c r="X1052" i="18"/>
  <c r="W1052" i="18" s="1"/>
  <c r="X1051" i="18"/>
  <c r="W1051" i="18" s="1"/>
  <c r="X1050" i="18"/>
  <c r="W1050" i="18" s="1"/>
  <c r="X1049" i="18"/>
  <c r="W1049" i="18" s="1"/>
  <c r="X1048" i="18"/>
  <c r="W1048" i="18" s="1"/>
  <c r="X1047" i="18"/>
  <c r="W1047" i="18" s="1"/>
  <c r="X1046" i="18"/>
  <c r="W1046" i="18" s="1"/>
  <c r="X1045" i="18"/>
  <c r="W1045" i="18" s="1"/>
  <c r="X1044" i="18"/>
  <c r="W1044" i="18" s="1"/>
  <c r="X1043" i="18"/>
  <c r="W1043" i="18" s="1"/>
  <c r="X1042" i="18"/>
  <c r="W1042" i="18" s="1"/>
  <c r="X1041" i="18"/>
  <c r="W1041" i="18" s="1"/>
  <c r="X1040" i="18"/>
  <c r="W1040" i="18" s="1"/>
  <c r="X1039" i="18"/>
  <c r="W1039" i="18" s="1"/>
  <c r="X1038" i="18"/>
  <c r="W1038" i="18" s="1"/>
  <c r="X1037" i="18"/>
  <c r="W1037" i="18" s="1"/>
  <c r="X1036" i="18"/>
  <c r="W1036" i="18" s="1"/>
  <c r="X1035" i="18"/>
  <c r="W1035" i="18" s="1"/>
  <c r="X1034" i="18"/>
  <c r="W1034" i="18" s="1"/>
  <c r="X1033" i="18"/>
  <c r="W1033" i="18" s="1"/>
  <c r="X1032" i="18"/>
  <c r="W1032" i="18" s="1"/>
  <c r="X1031" i="18"/>
  <c r="W1031" i="18" s="1"/>
  <c r="X1030" i="18"/>
  <c r="W1030" i="18" s="1"/>
  <c r="X1029" i="18"/>
  <c r="W1029" i="18" s="1"/>
  <c r="X1028" i="18"/>
  <c r="W1028" i="18" s="1"/>
  <c r="X1027" i="18"/>
  <c r="W1027" i="18" s="1"/>
  <c r="X1026" i="18"/>
  <c r="W1026" i="18" s="1"/>
  <c r="X1025" i="18"/>
  <c r="W1025" i="18" s="1"/>
  <c r="X1024" i="18"/>
  <c r="W1024" i="18" s="1"/>
  <c r="X1023" i="18"/>
  <c r="W1023" i="18" s="1"/>
  <c r="X1022" i="18"/>
  <c r="W1022" i="18" s="1"/>
  <c r="X1021" i="18"/>
  <c r="W1021" i="18" s="1"/>
  <c r="X1020" i="18"/>
  <c r="W1020" i="18" s="1"/>
  <c r="X1019" i="18"/>
  <c r="W1019" i="18" s="1"/>
  <c r="X1018" i="18"/>
  <c r="W1018" i="18" s="1"/>
  <c r="X1017" i="18"/>
  <c r="W1017" i="18" s="1"/>
  <c r="X1016" i="18"/>
  <c r="W1016" i="18" s="1"/>
  <c r="X1015" i="18"/>
  <c r="W1015" i="18" s="1"/>
  <c r="X1014" i="18"/>
  <c r="W1014" i="18" s="1"/>
  <c r="X1013" i="18"/>
  <c r="W1013" i="18" s="1"/>
  <c r="X1012" i="18"/>
  <c r="W1012" i="18" s="1"/>
  <c r="X1011" i="18"/>
  <c r="W1011" i="18" s="1"/>
  <c r="X1010" i="18"/>
  <c r="W1010" i="18" s="1"/>
  <c r="X1009" i="18"/>
  <c r="W1009" i="18" s="1"/>
  <c r="X1008" i="18"/>
  <c r="W1008" i="18" s="1"/>
  <c r="X1007" i="18"/>
  <c r="W1007" i="18" s="1"/>
  <c r="X1006" i="18"/>
  <c r="W1006" i="18" s="1"/>
  <c r="X1005" i="18"/>
  <c r="W1005" i="18" s="1"/>
  <c r="X1004" i="18"/>
  <c r="W1004" i="18" s="1"/>
  <c r="X1003" i="18"/>
  <c r="W1003" i="18" s="1"/>
  <c r="X1002" i="18"/>
  <c r="W1002" i="18" s="1"/>
  <c r="X1001" i="18"/>
  <c r="W1001" i="18" s="1"/>
  <c r="X1000" i="18"/>
  <c r="W1000" i="18" s="1"/>
  <c r="X999" i="18"/>
  <c r="W999" i="18" s="1"/>
  <c r="X998" i="18"/>
  <c r="W998" i="18" s="1"/>
  <c r="X997" i="18"/>
  <c r="W997" i="18" s="1"/>
  <c r="X996" i="18"/>
  <c r="W996" i="18" s="1"/>
  <c r="X995" i="18"/>
  <c r="W995" i="18" s="1"/>
  <c r="X994" i="18"/>
  <c r="W994" i="18" s="1"/>
  <c r="X993" i="18"/>
  <c r="W993" i="18" s="1"/>
  <c r="X992" i="18"/>
  <c r="W992" i="18" s="1"/>
  <c r="X991" i="18"/>
  <c r="W991" i="18" s="1"/>
  <c r="X990" i="18"/>
  <c r="W990" i="18" s="1"/>
  <c r="X989" i="18"/>
  <c r="W989" i="18" s="1"/>
  <c r="X988" i="18"/>
  <c r="W988" i="18" s="1"/>
  <c r="X987" i="18"/>
  <c r="W987" i="18" s="1"/>
  <c r="X986" i="18"/>
  <c r="W986" i="18" s="1"/>
  <c r="X985" i="18"/>
  <c r="W985" i="18" s="1"/>
  <c r="X984" i="18"/>
  <c r="W984" i="18" s="1"/>
  <c r="X983" i="18"/>
  <c r="W983" i="18" s="1"/>
  <c r="X982" i="18"/>
  <c r="W982" i="18" s="1"/>
  <c r="X981" i="18"/>
  <c r="W981" i="18" s="1"/>
  <c r="X980" i="18"/>
  <c r="W980" i="18" s="1"/>
  <c r="X979" i="18"/>
  <c r="W979" i="18" s="1"/>
  <c r="X978" i="18"/>
  <c r="W978" i="18" s="1"/>
  <c r="X977" i="18"/>
  <c r="W977" i="18" s="1"/>
  <c r="X976" i="18"/>
  <c r="W976" i="18" s="1"/>
  <c r="X975" i="18"/>
  <c r="W975" i="18" s="1"/>
  <c r="X974" i="18"/>
  <c r="W974" i="18" s="1"/>
  <c r="X973" i="18"/>
  <c r="W973" i="18" s="1"/>
  <c r="X972" i="18"/>
  <c r="W972" i="18" s="1"/>
  <c r="X971" i="18"/>
  <c r="W971" i="18" s="1"/>
  <c r="X970" i="18"/>
  <c r="W970" i="18" s="1"/>
  <c r="X969" i="18"/>
  <c r="W969" i="18" s="1"/>
  <c r="X968" i="18"/>
  <c r="W968" i="18" s="1"/>
  <c r="X967" i="18"/>
  <c r="W967" i="18" s="1"/>
  <c r="X966" i="18"/>
  <c r="W966" i="18" s="1"/>
  <c r="X965" i="18"/>
  <c r="W965" i="18" s="1"/>
  <c r="X964" i="18"/>
  <c r="W964" i="18" s="1"/>
  <c r="X963" i="18"/>
  <c r="W963" i="18" s="1"/>
  <c r="X962" i="18"/>
  <c r="W962" i="18" s="1"/>
  <c r="X961" i="18"/>
  <c r="W961" i="18" s="1"/>
  <c r="X960" i="18"/>
  <c r="W960" i="18" s="1"/>
  <c r="X959" i="18"/>
  <c r="W959" i="18" s="1"/>
  <c r="X958" i="18"/>
  <c r="W958" i="18" s="1"/>
  <c r="X957" i="18"/>
  <c r="W957" i="18" s="1"/>
  <c r="X956" i="18"/>
  <c r="W956" i="18" s="1"/>
  <c r="X955" i="18"/>
  <c r="W955" i="18" s="1"/>
  <c r="X954" i="18"/>
  <c r="W954" i="18" s="1"/>
  <c r="X953" i="18"/>
  <c r="W953" i="18" s="1"/>
  <c r="X952" i="18"/>
  <c r="W952" i="18" s="1"/>
  <c r="X951" i="18"/>
  <c r="W951" i="18" s="1"/>
  <c r="X950" i="18"/>
  <c r="W950" i="18" s="1"/>
  <c r="X949" i="18"/>
  <c r="W949" i="18" s="1"/>
  <c r="X948" i="18"/>
  <c r="W948" i="18" s="1"/>
  <c r="X947" i="18"/>
  <c r="W947" i="18" s="1"/>
  <c r="X946" i="18"/>
  <c r="W946" i="18" s="1"/>
  <c r="X945" i="18"/>
  <c r="W945" i="18" s="1"/>
  <c r="X944" i="18"/>
  <c r="W944" i="18" s="1"/>
  <c r="X943" i="18"/>
  <c r="W943" i="18" s="1"/>
  <c r="X942" i="18"/>
  <c r="W942" i="18" s="1"/>
  <c r="X941" i="18"/>
  <c r="W941" i="18" s="1"/>
  <c r="X940" i="18"/>
  <c r="W940" i="18" s="1"/>
  <c r="X939" i="18"/>
  <c r="W939" i="18" s="1"/>
  <c r="X938" i="18"/>
  <c r="W938" i="18" s="1"/>
  <c r="X937" i="18"/>
  <c r="W937" i="18" s="1"/>
  <c r="X936" i="18"/>
  <c r="W936" i="18" s="1"/>
  <c r="X935" i="18"/>
  <c r="W935" i="18" s="1"/>
  <c r="X934" i="18"/>
  <c r="W934" i="18" s="1"/>
  <c r="X933" i="18"/>
  <c r="W933" i="18" s="1"/>
  <c r="X932" i="18"/>
  <c r="W932" i="18" s="1"/>
  <c r="X931" i="18"/>
  <c r="W931" i="18" s="1"/>
  <c r="X930" i="18"/>
  <c r="W930" i="18" s="1"/>
  <c r="X929" i="18"/>
  <c r="W929" i="18" s="1"/>
  <c r="X928" i="18"/>
  <c r="W928" i="18" s="1"/>
  <c r="X927" i="18"/>
  <c r="W927" i="18" s="1"/>
  <c r="X926" i="18"/>
  <c r="W926" i="18" s="1"/>
  <c r="X925" i="18"/>
  <c r="W925" i="18" s="1"/>
  <c r="X924" i="18"/>
  <c r="W924" i="18" s="1"/>
  <c r="X923" i="18"/>
  <c r="W923" i="18" s="1"/>
  <c r="X922" i="18"/>
  <c r="W922" i="18" s="1"/>
  <c r="X921" i="18"/>
  <c r="W921" i="18" s="1"/>
  <c r="X920" i="18"/>
  <c r="W920" i="18" s="1"/>
  <c r="X919" i="18"/>
  <c r="W919" i="18" s="1"/>
  <c r="X918" i="18"/>
  <c r="W918" i="18" s="1"/>
  <c r="X917" i="18"/>
  <c r="W917" i="18" s="1"/>
  <c r="X916" i="18"/>
  <c r="W916" i="18" s="1"/>
  <c r="X915" i="18"/>
  <c r="W915" i="18" s="1"/>
  <c r="X914" i="18"/>
  <c r="W914" i="18" s="1"/>
  <c r="X913" i="18"/>
  <c r="W913" i="18" s="1"/>
  <c r="X912" i="18"/>
  <c r="W912" i="18" s="1"/>
  <c r="X911" i="18"/>
  <c r="W911" i="18" s="1"/>
  <c r="X910" i="18"/>
  <c r="W910" i="18" s="1"/>
  <c r="X909" i="18"/>
  <c r="W909" i="18" s="1"/>
  <c r="X908" i="18"/>
  <c r="W908" i="18" s="1"/>
  <c r="X907" i="18"/>
  <c r="W907" i="18" s="1"/>
  <c r="X906" i="18"/>
  <c r="W906" i="18" s="1"/>
  <c r="X905" i="18"/>
  <c r="W905" i="18" s="1"/>
  <c r="X904" i="18"/>
  <c r="W904" i="18" s="1"/>
  <c r="X903" i="18"/>
  <c r="W903" i="18" s="1"/>
  <c r="X902" i="18"/>
  <c r="W902" i="18" s="1"/>
  <c r="X901" i="18"/>
  <c r="W901" i="18" s="1"/>
  <c r="X900" i="18"/>
  <c r="W900" i="18" s="1"/>
  <c r="X899" i="18"/>
  <c r="W899" i="18" s="1"/>
  <c r="X898" i="18"/>
  <c r="W898" i="18" s="1"/>
  <c r="X897" i="18"/>
  <c r="W897" i="18" s="1"/>
  <c r="X896" i="18"/>
  <c r="W896" i="18" s="1"/>
  <c r="X895" i="18"/>
  <c r="W895" i="18" s="1"/>
  <c r="X894" i="18"/>
  <c r="W894" i="18" s="1"/>
  <c r="X893" i="18"/>
  <c r="W893" i="18" s="1"/>
  <c r="X892" i="18"/>
  <c r="W892" i="18" s="1"/>
  <c r="X891" i="18"/>
  <c r="W891" i="18" s="1"/>
  <c r="X890" i="18"/>
  <c r="W890" i="18" s="1"/>
  <c r="X889" i="18"/>
  <c r="W889" i="18" s="1"/>
  <c r="X888" i="18"/>
  <c r="W888" i="18" s="1"/>
  <c r="X887" i="18"/>
  <c r="W887" i="18" s="1"/>
  <c r="X886" i="18"/>
  <c r="W886" i="18" s="1"/>
  <c r="X885" i="18"/>
  <c r="W885" i="18" s="1"/>
  <c r="X884" i="18"/>
  <c r="W884" i="18" s="1"/>
  <c r="X883" i="18"/>
  <c r="W883" i="18" s="1"/>
  <c r="X882" i="18"/>
  <c r="W882" i="18" s="1"/>
  <c r="X881" i="18"/>
  <c r="W881" i="18" s="1"/>
  <c r="X880" i="18"/>
  <c r="W880" i="18" s="1"/>
  <c r="X879" i="18"/>
  <c r="W879" i="18" s="1"/>
  <c r="X878" i="18"/>
  <c r="W878" i="18" s="1"/>
  <c r="X877" i="18"/>
  <c r="W877" i="18" s="1"/>
  <c r="X876" i="18"/>
  <c r="W876" i="18" s="1"/>
  <c r="X875" i="18"/>
  <c r="W875" i="18" s="1"/>
  <c r="X874" i="18"/>
  <c r="W874" i="18" s="1"/>
  <c r="X873" i="18"/>
  <c r="W873" i="18" s="1"/>
  <c r="X872" i="18"/>
  <c r="W872" i="18" s="1"/>
  <c r="X871" i="18"/>
  <c r="W871" i="18" s="1"/>
  <c r="X870" i="18"/>
  <c r="W870" i="18" s="1"/>
  <c r="X869" i="18"/>
  <c r="W869" i="18" s="1"/>
  <c r="X868" i="18"/>
  <c r="W868" i="18" s="1"/>
  <c r="X867" i="18"/>
  <c r="W867" i="18" s="1"/>
  <c r="X866" i="18"/>
  <c r="W866" i="18" s="1"/>
  <c r="X865" i="18"/>
  <c r="W865" i="18" s="1"/>
  <c r="X864" i="18"/>
  <c r="W864" i="18" s="1"/>
  <c r="X863" i="18"/>
  <c r="W863" i="18" s="1"/>
  <c r="X862" i="18"/>
  <c r="W862" i="18" s="1"/>
  <c r="X861" i="18"/>
  <c r="W861" i="18" s="1"/>
  <c r="X860" i="18"/>
  <c r="W860" i="18" s="1"/>
  <c r="X859" i="18"/>
  <c r="W859" i="18" s="1"/>
  <c r="X858" i="18"/>
  <c r="W858" i="18" s="1"/>
  <c r="X857" i="18"/>
  <c r="W857" i="18" s="1"/>
  <c r="X856" i="18"/>
  <c r="W856" i="18" s="1"/>
  <c r="X855" i="18"/>
  <c r="W855" i="18" s="1"/>
  <c r="X854" i="18"/>
  <c r="W854" i="18" s="1"/>
  <c r="X853" i="18"/>
  <c r="W853" i="18" s="1"/>
  <c r="X852" i="18"/>
  <c r="W852" i="18" s="1"/>
  <c r="X851" i="18"/>
  <c r="W851" i="18" s="1"/>
  <c r="X850" i="18"/>
  <c r="W850" i="18" s="1"/>
  <c r="X849" i="18"/>
  <c r="W849" i="18" s="1"/>
  <c r="X848" i="18"/>
  <c r="W848" i="18" s="1"/>
  <c r="X847" i="18"/>
  <c r="W847" i="18" s="1"/>
  <c r="X846" i="18"/>
  <c r="W846" i="18" s="1"/>
  <c r="X845" i="18"/>
  <c r="W845" i="18" s="1"/>
  <c r="X844" i="18"/>
  <c r="W844" i="18" s="1"/>
  <c r="X843" i="18"/>
  <c r="W843" i="18" s="1"/>
  <c r="X842" i="18"/>
  <c r="W842" i="18" s="1"/>
  <c r="X841" i="18"/>
  <c r="W841" i="18" s="1"/>
  <c r="X840" i="18"/>
  <c r="W840" i="18" s="1"/>
  <c r="X839" i="18"/>
  <c r="W839" i="18" s="1"/>
  <c r="X838" i="18"/>
  <c r="W838" i="18" s="1"/>
  <c r="X837" i="18"/>
  <c r="W837" i="18" s="1"/>
  <c r="X836" i="18"/>
  <c r="W836" i="18" s="1"/>
  <c r="X835" i="18"/>
  <c r="W835" i="18" s="1"/>
  <c r="X834" i="18"/>
  <c r="W834" i="18" s="1"/>
  <c r="X833" i="18"/>
  <c r="W833" i="18" s="1"/>
  <c r="X832" i="18"/>
  <c r="W832" i="18" s="1"/>
  <c r="X831" i="18"/>
  <c r="W831" i="18" s="1"/>
  <c r="X830" i="18"/>
  <c r="W830" i="18" s="1"/>
  <c r="X829" i="18"/>
  <c r="W829" i="18" s="1"/>
  <c r="X828" i="18"/>
  <c r="W828" i="18" s="1"/>
  <c r="X827" i="18"/>
  <c r="W827" i="18" s="1"/>
  <c r="X826" i="18"/>
  <c r="W826" i="18" s="1"/>
  <c r="X825" i="18"/>
  <c r="W825" i="18" s="1"/>
  <c r="X824" i="18"/>
  <c r="W824" i="18" s="1"/>
  <c r="X823" i="18"/>
  <c r="W823" i="18" s="1"/>
  <c r="X822" i="18"/>
  <c r="W822" i="18" s="1"/>
  <c r="X821" i="18"/>
  <c r="W821" i="18" s="1"/>
  <c r="X820" i="18"/>
  <c r="W820" i="18" s="1"/>
  <c r="X819" i="18"/>
  <c r="W819" i="18" s="1"/>
  <c r="X818" i="18"/>
  <c r="W818" i="18" s="1"/>
  <c r="X817" i="18"/>
  <c r="W817" i="18" s="1"/>
  <c r="X816" i="18"/>
  <c r="W816" i="18" s="1"/>
  <c r="X815" i="18"/>
  <c r="W815" i="18" s="1"/>
  <c r="X814" i="18"/>
  <c r="W814" i="18" s="1"/>
  <c r="X813" i="18"/>
  <c r="W813" i="18" s="1"/>
  <c r="X812" i="18"/>
  <c r="W812" i="18" s="1"/>
  <c r="X811" i="18"/>
  <c r="W811" i="18" s="1"/>
  <c r="X810" i="18"/>
  <c r="W810" i="18" s="1"/>
  <c r="X809" i="18"/>
  <c r="W809" i="18" s="1"/>
  <c r="X808" i="18"/>
  <c r="W808" i="18" s="1"/>
  <c r="X807" i="18"/>
  <c r="W807" i="18" s="1"/>
  <c r="X806" i="18"/>
  <c r="W806" i="18" s="1"/>
  <c r="X805" i="18"/>
  <c r="W805" i="18" s="1"/>
  <c r="X804" i="18"/>
  <c r="W804" i="18" s="1"/>
  <c r="X803" i="18"/>
  <c r="W803" i="18" s="1"/>
  <c r="X802" i="18"/>
  <c r="W802" i="18" s="1"/>
  <c r="X801" i="18"/>
  <c r="W801" i="18" s="1"/>
  <c r="X800" i="18"/>
  <c r="W800" i="18" s="1"/>
  <c r="X799" i="18"/>
  <c r="W799" i="18" s="1"/>
  <c r="X798" i="18"/>
  <c r="W798" i="18" s="1"/>
  <c r="X797" i="18"/>
  <c r="W797" i="18" s="1"/>
  <c r="X796" i="18"/>
  <c r="W796" i="18" s="1"/>
  <c r="X795" i="18"/>
  <c r="W795" i="18" s="1"/>
  <c r="X794" i="18"/>
  <c r="W794" i="18" s="1"/>
  <c r="X793" i="18"/>
  <c r="W793" i="18" s="1"/>
  <c r="X792" i="18"/>
  <c r="W792" i="18" s="1"/>
  <c r="X791" i="18"/>
  <c r="W791" i="18" s="1"/>
  <c r="X790" i="18"/>
  <c r="W790" i="18" s="1"/>
  <c r="X789" i="18"/>
  <c r="W789" i="18" s="1"/>
  <c r="X788" i="18"/>
  <c r="W788" i="18" s="1"/>
  <c r="X787" i="18"/>
  <c r="W787" i="18" s="1"/>
  <c r="X786" i="18"/>
  <c r="W786" i="18" s="1"/>
  <c r="X785" i="18"/>
  <c r="W785" i="18" s="1"/>
  <c r="X784" i="18"/>
  <c r="W784" i="18" s="1"/>
  <c r="X783" i="18"/>
  <c r="W783" i="18" s="1"/>
  <c r="X782" i="18"/>
  <c r="W782" i="18" s="1"/>
  <c r="X781" i="18"/>
  <c r="W781" i="18" s="1"/>
  <c r="X780" i="18"/>
  <c r="W780" i="18" s="1"/>
  <c r="X779" i="18"/>
  <c r="W779" i="18" s="1"/>
  <c r="X778" i="18"/>
  <c r="W778" i="18" s="1"/>
  <c r="X777" i="18"/>
  <c r="W777" i="18" s="1"/>
  <c r="X776" i="18"/>
  <c r="W776" i="18" s="1"/>
  <c r="X775" i="18"/>
  <c r="W775" i="18" s="1"/>
  <c r="X774" i="18"/>
  <c r="W774" i="18" s="1"/>
  <c r="X773" i="18"/>
  <c r="W773" i="18" s="1"/>
  <c r="X772" i="18"/>
  <c r="W772" i="18" s="1"/>
  <c r="X771" i="18"/>
  <c r="W771" i="18" s="1"/>
  <c r="X770" i="18"/>
  <c r="W770" i="18" s="1"/>
  <c r="X769" i="18"/>
  <c r="W769" i="18" s="1"/>
  <c r="X768" i="18"/>
  <c r="W768" i="18" s="1"/>
  <c r="X767" i="18"/>
  <c r="W767" i="18" s="1"/>
  <c r="X766" i="18"/>
  <c r="W766" i="18" s="1"/>
  <c r="X765" i="18"/>
  <c r="W765" i="18" s="1"/>
  <c r="X764" i="18"/>
  <c r="W764" i="18" s="1"/>
  <c r="X763" i="18"/>
  <c r="W763" i="18" s="1"/>
  <c r="X762" i="18"/>
  <c r="W762" i="18" s="1"/>
  <c r="X761" i="18"/>
  <c r="W761" i="18" s="1"/>
  <c r="X760" i="18"/>
  <c r="W760" i="18" s="1"/>
  <c r="X759" i="18"/>
  <c r="W759" i="18" s="1"/>
  <c r="X758" i="18"/>
  <c r="W758" i="18" s="1"/>
  <c r="X757" i="18"/>
  <c r="W757" i="18" s="1"/>
  <c r="X756" i="18"/>
  <c r="W756" i="18" s="1"/>
  <c r="X755" i="18"/>
  <c r="W755" i="18" s="1"/>
  <c r="X754" i="18"/>
  <c r="W754" i="18" s="1"/>
  <c r="X753" i="18"/>
  <c r="W753" i="18" s="1"/>
  <c r="X752" i="18"/>
  <c r="W752" i="18" s="1"/>
  <c r="X751" i="18"/>
  <c r="W751" i="18" s="1"/>
  <c r="X750" i="18"/>
  <c r="W750" i="18" s="1"/>
  <c r="X749" i="18"/>
  <c r="W749" i="18" s="1"/>
  <c r="X748" i="18"/>
  <c r="W748" i="18" s="1"/>
  <c r="X747" i="18"/>
  <c r="W747" i="18" s="1"/>
  <c r="X746" i="18"/>
  <c r="W746" i="18" s="1"/>
  <c r="X745" i="18"/>
  <c r="W745" i="18" s="1"/>
  <c r="X744" i="18"/>
  <c r="W744" i="18" s="1"/>
  <c r="X743" i="18"/>
  <c r="W743" i="18" s="1"/>
  <c r="X742" i="18"/>
  <c r="W742" i="18" s="1"/>
  <c r="X741" i="18"/>
  <c r="W741" i="18" s="1"/>
  <c r="X740" i="18"/>
  <c r="W740" i="18" s="1"/>
  <c r="X739" i="18"/>
  <c r="W739" i="18" s="1"/>
  <c r="X738" i="18"/>
  <c r="W738" i="18" s="1"/>
  <c r="X737" i="18"/>
  <c r="W737" i="18" s="1"/>
  <c r="X736" i="18"/>
  <c r="W736" i="18" s="1"/>
  <c r="X735" i="18"/>
  <c r="W735" i="18" s="1"/>
  <c r="X734" i="18"/>
  <c r="W734" i="18" s="1"/>
  <c r="X733" i="18"/>
  <c r="W733" i="18" s="1"/>
  <c r="X732" i="18"/>
  <c r="W732" i="18" s="1"/>
  <c r="X731" i="18"/>
  <c r="W731" i="18" s="1"/>
  <c r="X730" i="18"/>
  <c r="W730" i="18" s="1"/>
  <c r="X729" i="18"/>
  <c r="W729" i="18" s="1"/>
  <c r="X728" i="18"/>
  <c r="W728" i="18" s="1"/>
  <c r="X727" i="18"/>
  <c r="W727" i="18" s="1"/>
  <c r="X726" i="18"/>
  <c r="W726" i="18" s="1"/>
  <c r="X725" i="18"/>
  <c r="W725" i="18" s="1"/>
  <c r="X724" i="18"/>
  <c r="W724" i="18" s="1"/>
  <c r="X723" i="18"/>
  <c r="W723" i="18" s="1"/>
  <c r="X722" i="18"/>
  <c r="W722" i="18" s="1"/>
  <c r="X721" i="18"/>
  <c r="W721" i="18" s="1"/>
  <c r="X720" i="18"/>
  <c r="W720" i="18" s="1"/>
  <c r="X719" i="18"/>
  <c r="W719" i="18" s="1"/>
  <c r="X718" i="18"/>
  <c r="W718" i="18" s="1"/>
  <c r="X717" i="18"/>
  <c r="W717" i="18" s="1"/>
  <c r="X716" i="18"/>
  <c r="W716" i="18" s="1"/>
  <c r="X715" i="18"/>
  <c r="W715" i="18" s="1"/>
  <c r="X714" i="18"/>
  <c r="W714" i="18" s="1"/>
  <c r="X713" i="18"/>
  <c r="W713" i="18" s="1"/>
  <c r="X712" i="18"/>
  <c r="W712" i="18" s="1"/>
  <c r="X711" i="18"/>
  <c r="W711" i="18" s="1"/>
  <c r="X710" i="18"/>
  <c r="W710" i="18" s="1"/>
  <c r="X709" i="18"/>
  <c r="W709" i="18" s="1"/>
  <c r="X708" i="18"/>
  <c r="W708" i="18" s="1"/>
  <c r="X707" i="18"/>
  <c r="W707" i="18" s="1"/>
  <c r="X706" i="18"/>
  <c r="W706" i="18" s="1"/>
  <c r="X705" i="18"/>
  <c r="W705" i="18" s="1"/>
  <c r="X704" i="18"/>
  <c r="W704" i="18" s="1"/>
  <c r="X703" i="18"/>
  <c r="W703" i="18" s="1"/>
  <c r="X702" i="18"/>
  <c r="W702" i="18" s="1"/>
  <c r="X701" i="18"/>
  <c r="W701" i="18" s="1"/>
  <c r="X700" i="18"/>
  <c r="W700" i="18" s="1"/>
  <c r="X699" i="18"/>
  <c r="W699" i="18" s="1"/>
  <c r="X698" i="18"/>
  <c r="W698" i="18" s="1"/>
  <c r="X697" i="18"/>
  <c r="W697" i="18" s="1"/>
  <c r="X696" i="18"/>
  <c r="W696" i="18" s="1"/>
  <c r="X695" i="18"/>
  <c r="W695" i="18" s="1"/>
  <c r="X694" i="18"/>
  <c r="W694" i="18" s="1"/>
  <c r="X693" i="18"/>
  <c r="W693" i="18" s="1"/>
  <c r="X692" i="18"/>
  <c r="W692" i="18" s="1"/>
  <c r="X691" i="18"/>
  <c r="W691" i="18" s="1"/>
  <c r="X690" i="18"/>
  <c r="W690" i="18" s="1"/>
  <c r="X689" i="18"/>
  <c r="W689" i="18" s="1"/>
  <c r="X688" i="18"/>
  <c r="W688" i="18" s="1"/>
  <c r="X687" i="18"/>
  <c r="W687" i="18" s="1"/>
  <c r="X686" i="18"/>
  <c r="W686" i="18" s="1"/>
  <c r="X685" i="18"/>
  <c r="W685" i="18" s="1"/>
  <c r="X684" i="18"/>
  <c r="W684" i="18" s="1"/>
  <c r="X683" i="18"/>
  <c r="W683" i="18" s="1"/>
  <c r="X682" i="18"/>
  <c r="W682" i="18" s="1"/>
  <c r="X681" i="18"/>
  <c r="W681" i="18" s="1"/>
  <c r="X680" i="18"/>
  <c r="W680" i="18" s="1"/>
  <c r="X679" i="18"/>
  <c r="W679" i="18" s="1"/>
  <c r="X678" i="18"/>
  <c r="W678" i="18" s="1"/>
  <c r="X677" i="18"/>
  <c r="W677" i="18" s="1"/>
  <c r="X676" i="18"/>
  <c r="W676" i="18" s="1"/>
  <c r="X675" i="18"/>
  <c r="W675" i="18" s="1"/>
  <c r="X674" i="18"/>
  <c r="W674" i="18" s="1"/>
  <c r="X673" i="18"/>
  <c r="W673" i="18" s="1"/>
  <c r="X672" i="18"/>
  <c r="W672" i="18" s="1"/>
  <c r="X671" i="18"/>
  <c r="W671" i="18" s="1"/>
  <c r="X670" i="18"/>
  <c r="W670" i="18" s="1"/>
  <c r="X669" i="18"/>
  <c r="W669" i="18" s="1"/>
  <c r="X668" i="18"/>
  <c r="W668" i="18" s="1"/>
  <c r="X667" i="18"/>
  <c r="W667" i="18" s="1"/>
  <c r="X666" i="18"/>
  <c r="W666" i="18" s="1"/>
  <c r="X665" i="18"/>
  <c r="W665" i="18" s="1"/>
  <c r="X664" i="18"/>
  <c r="W664" i="18" s="1"/>
  <c r="X663" i="18"/>
  <c r="W663" i="18" s="1"/>
  <c r="X662" i="18"/>
  <c r="W662" i="18" s="1"/>
  <c r="X661" i="18"/>
  <c r="W661" i="18" s="1"/>
  <c r="X660" i="18"/>
  <c r="W660" i="18" s="1"/>
  <c r="X659" i="18"/>
  <c r="W659" i="18" s="1"/>
  <c r="X658" i="18"/>
  <c r="W658" i="18" s="1"/>
  <c r="X657" i="18"/>
  <c r="W657" i="18" s="1"/>
  <c r="X656" i="18"/>
  <c r="W656" i="18" s="1"/>
  <c r="X655" i="18"/>
  <c r="W655" i="18" s="1"/>
  <c r="X654" i="18"/>
  <c r="W654" i="18" s="1"/>
  <c r="X653" i="18"/>
  <c r="W653" i="18" s="1"/>
  <c r="X652" i="18"/>
  <c r="W652" i="18" s="1"/>
  <c r="X651" i="18"/>
  <c r="W651" i="18" s="1"/>
  <c r="X650" i="18"/>
  <c r="W650" i="18" s="1"/>
  <c r="X649" i="18"/>
  <c r="W649" i="18" s="1"/>
  <c r="X648" i="18"/>
  <c r="W648" i="18" s="1"/>
  <c r="X647" i="18"/>
  <c r="W647" i="18" s="1"/>
  <c r="X646" i="18"/>
  <c r="W646" i="18" s="1"/>
  <c r="X645" i="18"/>
  <c r="W645" i="18" s="1"/>
  <c r="X644" i="18"/>
  <c r="W644" i="18" s="1"/>
  <c r="X643" i="18"/>
  <c r="W643" i="18" s="1"/>
  <c r="X642" i="18"/>
  <c r="W642" i="18" s="1"/>
  <c r="X641" i="18"/>
  <c r="W641" i="18" s="1"/>
  <c r="X640" i="18"/>
  <c r="W640" i="18" s="1"/>
  <c r="X639" i="18"/>
  <c r="W639" i="18" s="1"/>
  <c r="X638" i="18"/>
  <c r="W638" i="18" s="1"/>
  <c r="X637" i="18"/>
  <c r="W637" i="18" s="1"/>
  <c r="X636" i="18"/>
  <c r="W636" i="18" s="1"/>
  <c r="X635" i="18"/>
  <c r="W635" i="18" s="1"/>
  <c r="X634" i="18"/>
  <c r="W634" i="18" s="1"/>
  <c r="X633" i="18"/>
  <c r="W633" i="18" s="1"/>
  <c r="X632" i="18"/>
  <c r="W632" i="18" s="1"/>
  <c r="X631" i="18"/>
  <c r="W631" i="18" s="1"/>
  <c r="X630" i="18"/>
  <c r="W630" i="18" s="1"/>
  <c r="X629" i="18"/>
  <c r="W629" i="18" s="1"/>
  <c r="X628" i="18"/>
  <c r="W628" i="18" s="1"/>
  <c r="X627" i="18"/>
  <c r="W627" i="18" s="1"/>
  <c r="X626" i="18"/>
  <c r="W626" i="18" s="1"/>
  <c r="X625" i="18"/>
  <c r="W625" i="18" s="1"/>
  <c r="X624" i="18"/>
  <c r="W624" i="18" s="1"/>
  <c r="X623" i="18"/>
  <c r="W623" i="18" s="1"/>
  <c r="X622" i="18"/>
  <c r="W622" i="18" s="1"/>
  <c r="X621" i="18"/>
  <c r="W621" i="18" s="1"/>
  <c r="X620" i="18"/>
  <c r="W620" i="18" s="1"/>
  <c r="X619" i="18"/>
  <c r="W619" i="18" s="1"/>
  <c r="X618" i="18"/>
  <c r="W618" i="18" s="1"/>
  <c r="X617" i="18"/>
  <c r="W617" i="18" s="1"/>
  <c r="X616" i="18"/>
  <c r="W616" i="18" s="1"/>
  <c r="X615" i="18"/>
  <c r="W615" i="18" s="1"/>
  <c r="X614" i="18"/>
  <c r="W614" i="18" s="1"/>
  <c r="X613" i="18"/>
  <c r="W613" i="18" s="1"/>
  <c r="X612" i="18"/>
  <c r="W612" i="18" s="1"/>
  <c r="X611" i="18"/>
  <c r="W611" i="18" s="1"/>
  <c r="X610" i="18"/>
  <c r="W610" i="18" s="1"/>
  <c r="X609" i="18"/>
  <c r="W609" i="18" s="1"/>
  <c r="X608" i="18"/>
  <c r="W608" i="18" s="1"/>
  <c r="X607" i="18"/>
  <c r="W607" i="18" s="1"/>
  <c r="X606" i="18"/>
  <c r="W606" i="18" s="1"/>
  <c r="X605" i="18"/>
  <c r="W605" i="18" s="1"/>
  <c r="X604" i="18"/>
  <c r="W604" i="18" s="1"/>
  <c r="X603" i="18"/>
  <c r="W603" i="18" s="1"/>
  <c r="X602" i="18"/>
  <c r="W602" i="18" s="1"/>
  <c r="X601" i="18"/>
  <c r="W601" i="18" s="1"/>
  <c r="X600" i="18"/>
  <c r="W600" i="18" s="1"/>
  <c r="X599" i="18"/>
  <c r="W599" i="18" s="1"/>
  <c r="X598" i="18"/>
  <c r="W598" i="18" s="1"/>
  <c r="X597" i="18"/>
  <c r="W597" i="18" s="1"/>
  <c r="X596" i="18"/>
  <c r="W596" i="18" s="1"/>
  <c r="X595" i="18"/>
  <c r="W595" i="18" s="1"/>
  <c r="X594" i="18"/>
  <c r="W594" i="18" s="1"/>
  <c r="X593" i="18"/>
  <c r="W593" i="18" s="1"/>
  <c r="X592" i="18"/>
  <c r="W592" i="18" s="1"/>
  <c r="X591" i="18"/>
  <c r="W591" i="18" s="1"/>
  <c r="X590" i="18"/>
  <c r="W590" i="18" s="1"/>
  <c r="X589" i="18"/>
  <c r="W589" i="18" s="1"/>
  <c r="X588" i="18"/>
  <c r="W588" i="18" s="1"/>
  <c r="X587" i="18"/>
  <c r="W587" i="18" s="1"/>
  <c r="X586" i="18"/>
  <c r="W586" i="18" s="1"/>
  <c r="X585" i="18"/>
  <c r="W585" i="18" s="1"/>
  <c r="X584" i="18"/>
  <c r="W584" i="18" s="1"/>
  <c r="X583" i="18"/>
  <c r="W583" i="18" s="1"/>
  <c r="X582" i="18"/>
  <c r="W582" i="18" s="1"/>
  <c r="X581" i="18"/>
  <c r="W581" i="18" s="1"/>
  <c r="X580" i="18"/>
  <c r="W580" i="18" s="1"/>
  <c r="X579" i="18"/>
  <c r="W579" i="18" s="1"/>
  <c r="X578" i="18"/>
  <c r="W578" i="18" s="1"/>
  <c r="X577" i="18"/>
  <c r="W577" i="18" s="1"/>
  <c r="X576" i="18"/>
  <c r="W576" i="18" s="1"/>
  <c r="X575" i="18"/>
  <c r="W575" i="18" s="1"/>
  <c r="X574" i="18"/>
  <c r="W574" i="18" s="1"/>
  <c r="X573" i="18"/>
  <c r="W573" i="18" s="1"/>
  <c r="X572" i="18"/>
  <c r="W572" i="18" s="1"/>
  <c r="X571" i="18"/>
  <c r="W571" i="18" s="1"/>
  <c r="X570" i="18"/>
  <c r="W570" i="18" s="1"/>
  <c r="X569" i="18"/>
  <c r="W569" i="18" s="1"/>
  <c r="X568" i="18"/>
  <c r="W568" i="18" s="1"/>
  <c r="X567" i="18"/>
  <c r="W567" i="18" s="1"/>
  <c r="X566" i="18"/>
  <c r="W566" i="18" s="1"/>
  <c r="X565" i="18"/>
  <c r="W565" i="18" s="1"/>
  <c r="X564" i="18"/>
  <c r="W564" i="18" s="1"/>
  <c r="X563" i="18"/>
  <c r="W563" i="18" s="1"/>
  <c r="X562" i="18"/>
  <c r="W562" i="18" s="1"/>
  <c r="X561" i="18"/>
  <c r="W561" i="18" s="1"/>
  <c r="X560" i="18"/>
  <c r="W560" i="18" s="1"/>
  <c r="X559" i="18"/>
  <c r="W559" i="18" s="1"/>
  <c r="X558" i="18"/>
  <c r="W558" i="18" s="1"/>
  <c r="X557" i="18"/>
  <c r="W557" i="18" s="1"/>
  <c r="X556" i="18"/>
  <c r="W556" i="18" s="1"/>
  <c r="X555" i="18"/>
  <c r="W555" i="18" s="1"/>
  <c r="X554" i="18"/>
  <c r="W554" i="18" s="1"/>
  <c r="X553" i="18"/>
  <c r="W553" i="18" s="1"/>
  <c r="X552" i="18"/>
  <c r="W552" i="18" s="1"/>
  <c r="X551" i="18"/>
  <c r="W551" i="18" s="1"/>
  <c r="X550" i="18"/>
  <c r="W550" i="18" s="1"/>
  <c r="X549" i="18"/>
  <c r="W549" i="18" s="1"/>
  <c r="X548" i="18"/>
  <c r="W548" i="18" s="1"/>
  <c r="X547" i="18"/>
  <c r="W547" i="18" s="1"/>
  <c r="X546" i="18"/>
  <c r="W546" i="18" s="1"/>
  <c r="X545" i="18"/>
  <c r="W545" i="18" s="1"/>
  <c r="X544" i="18"/>
  <c r="W544" i="18" s="1"/>
  <c r="X543" i="18"/>
  <c r="W543" i="18" s="1"/>
  <c r="X542" i="18"/>
  <c r="W542" i="18" s="1"/>
  <c r="X541" i="18"/>
  <c r="W541" i="18" s="1"/>
  <c r="X540" i="18"/>
  <c r="W540" i="18" s="1"/>
  <c r="X539" i="18"/>
  <c r="W539" i="18" s="1"/>
  <c r="X538" i="18"/>
  <c r="W538" i="18" s="1"/>
  <c r="X537" i="18"/>
  <c r="W537" i="18" s="1"/>
  <c r="X536" i="18"/>
  <c r="W536" i="18" s="1"/>
  <c r="X535" i="18"/>
  <c r="W535" i="18" s="1"/>
  <c r="X534" i="18"/>
  <c r="W534" i="18" s="1"/>
  <c r="X533" i="18"/>
  <c r="W533" i="18" s="1"/>
  <c r="X532" i="18"/>
  <c r="W532" i="18" s="1"/>
  <c r="X531" i="18"/>
  <c r="W531" i="18" s="1"/>
  <c r="X530" i="18"/>
  <c r="W530" i="18" s="1"/>
  <c r="X529" i="18"/>
  <c r="W529" i="18" s="1"/>
  <c r="X528" i="18"/>
  <c r="W528" i="18" s="1"/>
  <c r="X527" i="18"/>
  <c r="W527" i="18" s="1"/>
  <c r="X526" i="18"/>
  <c r="W526" i="18" s="1"/>
  <c r="X525" i="18"/>
  <c r="W525" i="18" s="1"/>
  <c r="X524" i="18"/>
  <c r="W524" i="18" s="1"/>
  <c r="X523" i="18"/>
  <c r="W523" i="18" s="1"/>
  <c r="X522" i="18"/>
  <c r="W522" i="18" s="1"/>
  <c r="X521" i="18"/>
  <c r="W521" i="18" s="1"/>
  <c r="X520" i="18"/>
  <c r="W520" i="18" s="1"/>
  <c r="X519" i="18"/>
  <c r="W519" i="18" s="1"/>
  <c r="X518" i="18"/>
  <c r="W518" i="18" s="1"/>
  <c r="X517" i="18"/>
  <c r="W517" i="18" s="1"/>
  <c r="X516" i="18"/>
  <c r="W516" i="18" s="1"/>
  <c r="X515" i="18"/>
  <c r="W515" i="18" s="1"/>
  <c r="X514" i="18"/>
  <c r="W514" i="18" s="1"/>
  <c r="X513" i="18"/>
  <c r="W513" i="18" s="1"/>
  <c r="X512" i="18"/>
  <c r="W512" i="18" s="1"/>
  <c r="X511" i="18"/>
  <c r="W511" i="18" s="1"/>
  <c r="X510" i="18"/>
  <c r="W510" i="18" s="1"/>
  <c r="X509" i="18"/>
  <c r="W509" i="18" s="1"/>
  <c r="X508" i="18"/>
  <c r="W508" i="18" s="1"/>
  <c r="X507" i="18"/>
  <c r="W507" i="18" s="1"/>
  <c r="X506" i="18"/>
  <c r="W506" i="18" s="1"/>
  <c r="X505" i="18"/>
  <c r="W505" i="18" s="1"/>
  <c r="X504" i="18"/>
  <c r="W504" i="18" s="1"/>
  <c r="X503" i="18"/>
  <c r="W503" i="18" s="1"/>
  <c r="X502" i="18"/>
  <c r="W502" i="18" s="1"/>
  <c r="X501" i="18"/>
  <c r="W501" i="18" s="1"/>
  <c r="X500" i="18"/>
  <c r="W500" i="18" s="1"/>
  <c r="X499" i="18"/>
  <c r="W499" i="18" s="1"/>
  <c r="X498" i="18"/>
  <c r="W498" i="18" s="1"/>
  <c r="X497" i="18"/>
  <c r="W497" i="18" s="1"/>
  <c r="X496" i="18"/>
  <c r="W496" i="18" s="1"/>
  <c r="X495" i="18"/>
  <c r="W495" i="18" s="1"/>
  <c r="X494" i="18"/>
  <c r="W494" i="18" s="1"/>
  <c r="X493" i="18"/>
  <c r="W493" i="18" s="1"/>
  <c r="X492" i="18"/>
  <c r="W492" i="18" s="1"/>
  <c r="X491" i="18"/>
  <c r="W491" i="18" s="1"/>
  <c r="X490" i="18"/>
  <c r="W490" i="18" s="1"/>
  <c r="X489" i="18"/>
  <c r="W489" i="18" s="1"/>
  <c r="X488" i="18"/>
  <c r="W488" i="18" s="1"/>
  <c r="X487" i="18"/>
  <c r="W487" i="18" s="1"/>
  <c r="X486" i="18"/>
  <c r="W486" i="18" s="1"/>
  <c r="X485" i="18"/>
  <c r="W485" i="18" s="1"/>
  <c r="X484" i="18"/>
  <c r="W484" i="18" s="1"/>
  <c r="X483" i="18"/>
  <c r="W483" i="18" s="1"/>
  <c r="X482" i="18"/>
  <c r="W482" i="18" s="1"/>
  <c r="X481" i="18"/>
  <c r="W481" i="18" s="1"/>
  <c r="X480" i="18"/>
  <c r="W480" i="18" s="1"/>
  <c r="X479" i="18"/>
  <c r="W479" i="18" s="1"/>
  <c r="X478" i="18"/>
  <c r="W478" i="18" s="1"/>
  <c r="X477" i="18"/>
  <c r="W477" i="18" s="1"/>
  <c r="X476" i="18"/>
  <c r="W476" i="18" s="1"/>
  <c r="X475" i="18"/>
  <c r="W475" i="18" s="1"/>
  <c r="X474" i="18"/>
  <c r="W474" i="18" s="1"/>
  <c r="X473" i="18"/>
  <c r="W473" i="18" s="1"/>
  <c r="X472" i="18"/>
  <c r="W472" i="18" s="1"/>
  <c r="X471" i="18"/>
  <c r="W471" i="18" s="1"/>
  <c r="X470" i="18"/>
  <c r="W470" i="18" s="1"/>
  <c r="X469" i="18"/>
  <c r="W469" i="18" s="1"/>
  <c r="X468" i="18"/>
  <c r="W468" i="18" s="1"/>
  <c r="X467" i="18"/>
  <c r="W467" i="18" s="1"/>
  <c r="X466" i="18"/>
  <c r="W466" i="18" s="1"/>
  <c r="X465" i="18"/>
  <c r="W465" i="18" s="1"/>
  <c r="X464" i="18"/>
  <c r="W464" i="18" s="1"/>
  <c r="X463" i="18"/>
  <c r="W463" i="18" s="1"/>
  <c r="X462" i="18"/>
  <c r="W462" i="18" s="1"/>
  <c r="X461" i="18"/>
  <c r="W461" i="18" s="1"/>
  <c r="X460" i="18"/>
  <c r="W460" i="18" s="1"/>
  <c r="X459" i="18"/>
  <c r="W459" i="18" s="1"/>
  <c r="X458" i="18"/>
  <c r="W458" i="18" s="1"/>
  <c r="X457" i="18"/>
  <c r="W457" i="18" s="1"/>
  <c r="X456" i="18"/>
  <c r="W456" i="18" s="1"/>
  <c r="X455" i="18"/>
  <c r="W455" i="18" s="1"/>
  <c r="X454" i="18"/>
  <c r="W454" i="18" s="1"/>
  <c r="X453" i="18"/>
  <c r="W453" i="18" s="1"/>
  <c r="X452" i="18"/>
  <c r="W452" i="18" s="1"/>
  <c r="X451" i="18"/>
  <c r="W451" i="18" s="1"/>
  <c r="X450" i="18"/>
  <c r="W450" i="18" s="1"/>
  <c r="X449" i="18"/>
  <c r="W449" i="18" s="1"/>
  <c r="X448" i="18"/>
  <c r="W448" i="18" s="1"/>
  <c r="X447" i="18"/>
  <c r="W447" i="18" s="1"/>
  <c r="X446" i="18"/>
  <c r="W446" i="18" s="1"/>
  <c r="X445" i="18"/>
  <c r="W445" i="18" s="1"/>
  <c r="X444" i="18"/>
  <c r="W444" i="18" s="1"/>
  <c r="X443" i="18"/>
  <c r="W443" i="18" s="1"/>
  <c r="X442" i="18"/>
  <c r="W442" i="18" s="1"/>
  <c r="X441" i="18"/>
  <c r="W441" i="18" s="1"/>
  <c r="X440" i="18"/>
  <c r="W440" i="18" s="1"/>
  <c r="X439" i="18"/>
  <c r="W439" i="18" s="1"/>
  <c r="X438" i="18"/>
  <c r="W438" i="18" s="1"/>
  <c r="X437" i="18"/>
  <c r="W437" i="18" s="1"/>
  <c r="X436" i="18"/>
  <c r="W436" i="18" s="1"/>
  <c r="X435" i="18"/>
  <c r="W435" i="18" s="1"/>
  <c r="X434" i="18"/>
  <c r="W434" i="18" s="1"/>
  <c r="X433" i="18"/>
  <c r="W433" i="18" s="1"/>
  <c r="X432" i="18"/>
  <c r="W432" i="18" s="1"/>
  <c r="X431" i="18"/>
  <c r="W431" i="18" s="1"/>
  <c r="X430" i="18"/>
  <c r="W430" i="18" s="1"/>
  <c r="X429" i="18"/>
  <c r="W429" i="18" s="1"/>
  <c r="X428" i="18"/>
  <c r="W428" i="18" s="1"/>
  <c r="X427" i="18"/>
  <c r="W427" i="18" s="1"/>
  <c r="X426" i="18"/>
  <c r="W426" i="18" s="1"/>
  <c r="X425" i="18"/>
  <c r="W425" i="18" s="1"/>
  <c r="X424" i="18"/>
  <c r="W424" i="18" s="1"/>
  <c r="X423" i="18"/>
  <c r="W423" i="18" s="1"/>
  <c r="X422" i="18"/>
  <c r="W422" i="18" s="1"/>
  <c r="X421" i="18"/>
  <c r="W421" i="18" s="1"/>
  <c r="X420" i="18"/>
  <c r="W420" i="18" s="1"/>
  <c r="X419" i="18"/>
  <c r="W419" i="18" s="1"/>
  <c r="X418" i="18"/>
  <c r="W418" i="18" s="1"/>
  <c r="X417" i="18"/>
  <c r="W417" i="18" s="1"/>
  <c r="X416" i="18"/>
  <c r="W416" i="18" s="1"/>
  <c r="X415" i="18"/>
  <c r="W415" i="18" s="1"/>
  <c r="X414" i="18"/>
  <c r="W414" i="18" s="1"/>
  <c r="X413" i="18"/>
  <c r="W413" i="18" s="1"/>
  <c r="X412" i="18"/>
  <c r="W412" i="18" s="1"/>
  <c r="X411" i="18"/>
  <c r="W411" i="18" s="1"/>
  <c r="X410" i="18"/>
  <c r="W410" i="18" s="1"/>
  <c r="X409" i="18"/>
  <c r="W409" i="18" s="1"/>
  <c r="X408" i="18"/>
  <c r="W408" i="18" s="1"/>
  <c r="X407" i="18"/>
  <c r="W407" i="18" s="1"/>
  <c r="X406" i="18"/>
  <c r="W406" i="18" s="1"/>
  <c r="X405" i="18"/>
  <c r="W405" i="18" s="1"/>
  <c r="X404" i="18"/>
  <c r="W404" i="18" s="1"/>
  <c r="X403" i="18"/>
  <c r="W403" i="18" s="1"/>
  <c r="X402" i="18"/>
  <c r="W402" i="18" s="1"/>
  <c r="X401" i="18"/>
  <c r="W401" i="18" s="1"/>
  <c r="X400" i="18"/>
  <c r="W400" i="18" s="1"/>
  <c r="X399" i="18"/>
  <c r="W399" i="18" s="1"/>
  <c r="X398" i="18"/>
  <c r="W398" i="18" s="1"/>
  <c r="X397" i="18"/>
  <c r="W397" i="18" s="1"/>
  <c r="X396" i="18"/>
  <c r="W396" i="18" s="1"/>
  <c r="X395" i="18"/>
  <c r="W395" i="18" s="1"/>
  <c r="X394" i="18"/>
  <c r="W394" i="18" s="1"/>
  <c r="X393" i="18"/>
  <c r="W393" i="18" s="1"/>
  <c r="X392" i="18"/>
  <c r="W392" i="18" s="1"/>
  <c r="X391" i="18"/>
  <c r="W391" i="18" s="1"/>
  <c r="X390" i="18"/>
  <c r="W390" i="18" s="1"/>
  <c r="X389" i="18"/>
  <c r="W389" i="18" s="1"/>
  <c r="X388" i="18"/>
  <c r="W388" i="18" s="1"/>
  <c r="X387" i="18"/>
  <c r="W387" i="18" s="1"/>
  <c r="X386" i="18"/>
  <c r="W386" i="18" s="1"/>
  <c r="X385" i="18"/>
  <c r="W385" i="18" s="1"/>
  <c r="X384" i="18"/>
  <c r="W384" i="18" s="1"/>
  <c r="X383" i="18"/>
  <c r="W383" i="18" s="1"/>
  <c r="X382" i="18"/>
  <c r="W382" i="18" s="1"/>
  <c r="X381" i="18"/>
  <c r="W381" i="18" s="1"/>
  <c r="X380" i="18"/>
  <c r="W380" i="18" s="1"/>
  <c r="X379" i="18"/>
  <c r="W379" i="18" s="1"/>
  <c r="X378" i="18"/>
  <c r="W378" i="18" s="1"/>
  <c r="X377" i="18"/>
  <c r="W377" i="18" s="1"/>
  <c r="X376" i="18"/>
  <c r="W376" i="18" s="1"/>
  <c r="X375" i="18"/>
  <c r="W375" i="18" s="1"/>
  <c r="X374" i="18"/>
  <c r="W374" i="18" s="1"/>
  <c r="X373" i="18"/>
  <c r="W373" i="18" s="1"/>
  <c r="X372" i="18"/>
  <c r="W372" i="18" s="1"/>
  <c r="X371" i="18"/>
  <c r="W371" i="18" s="1"/>
  <c r="X370" i="18"/>
  <c r="W370" i="18" s="1"/>
  <c r="X369" i="18"/>
  <c r="W369" i="18" s="1"/>
  <c r="X368" i="18"/>
  <c r="W368" i="18" s="1"/>
  <c r="X367" i="18"/>
  <c r="W367" i="18" s="1"/>
  <c r="X366" i="18"/>
  <c r="W366" i="18" s="1"/>
  <c r="X365" i="18"/>
  <c r="W365" i="18" s="1"/>
  <c r="X364" i="18"/>
  <c r="W364" i="18" s="1"/>
  <c r="X363" i="18"/>
  <c r="W363" i="18" s="1"/>
  <c r="X362" i="18"/>
  <c r="W362" i="18" s="1"/>
  <c r="X361" i="18"/>
  <c r="W361" i="18" s="1"/>
  <c r="X360" i="18"/>
  <c r="W360" i="18" s="1"/>
  <c r="X359" i="18"/>
  <c r="W359" i="18" s="1"/>
  <c r="X358" i="18"/>
  <c r="W358" i="18" s="1"/>
  <c r="X357" i="18"/>
  <c r="W357" i="18" s="1"/>
  <c r="X356" i="18"/>
  <c r="W356" i="18" s="1"/>
  <c r="X355" i="18"/>
  <c r="W355" i="18" s="1"/>
  <c r="X354" i="18"/>
  <c r="W354" i="18" s="1"/>
  <c r="X353" i="18"/>
  <c r="W353" i="18" s="1"/>
  <c r="X352" i="18"/>
  <c r="W352" i="18" s="1"/>
  <c r="X351" i="18"/>
  <c r="W351" i="18" s="1"/>
  <c r="X350" i="18"/>
  <c r="W350" i="18" s="1"/>
  <c r="X349" i="18"/>
  <c r="W349" i="18" s="1"/>
  <c r="X348" i="18"/>
  <c r="W348" i="18" s="1"/>
  <c r="X347" i="18"/>
  <c r="W347" i="18" s="1"/>
  <c r="X346" i="18"/>
  <c r="W346" i="18" s="1"/>
  <c r="X345" i="18"/>
  <c r="W345" i="18" s="1"/>
  <c r="X344" i="18"/>
  <c r="W344" i="18" s="1"/>
  <c r="X343" i="18"/>
  <c r="W343" i="18" s="1"/>
  <c r="X342" i="18"/>
  <c r="W342" i="18" s="1"/>
  <c r="X341" i="18"/>
  <c r="W341" i="18" s="1"/>
  <c r="X340" i="18"/>
  <c r="W340" i="18" s="1"/>
  <c r="X339" i="18"/>
  <c r="W339" i="18" s="1"/>
  <c r="X338" i="18"/>
  <c r="W338" i="18" s="1"/>
  <c r="X337" i="18"/>
  <c r="W337" i="18" s="1"/>
  <c r="X336" i="18"/>
  <c r="W336" i="18" s="1"/>
  <c r="X335" i="18"/>
  <c r="W335" i="18" s="1"/>
  <c r="X334" i="18"/>
  <c r="W334" i="18" s="1"/>
  <c r="X333" i="18"/>
  <c r="W333" i="18" s="1"/>
  <c r="X332" i="18"/>
  <c r="W332" i="18" s="1"/>
  <c r="X331" i="18"/>
  <c r="W331" i="18" s="1"/>
  <c r="X330" i="18"/>
  <c r="W330" i="18" s="1"/>
  <c r="X329" i="18"/>
  <c r="W329" i="18" s="1"/>
  <c r="X328" i="18"/>
  <c r="W328" i="18" s="1"/>
  <c r="X327" i="18"/>
  <c r="W327" i="18" s="1"/>
  <c r="X326" i="18"/>
  <c r="W326" i="18" s="1"/>
  <c r="X325" i="18"/>
  <c r="X324" i="18"/>
  <c r="W324" i="18" s="1"/>
  <c r="X323" i="18"/>
  <c r="W323" i="18" s="1"/>
  <c r="X322" i="18"/>
  <c r="W322" i="18" s="1"/>
  <c r="X321" i="18"/>
  <c r="W321" i="18" s="1"/>
  <c r="X320" i="18"/>
  <c r="W320" i="18" s="1"/>
  <c r="X319" i="18"/>
  <c r="W319" i="18" s="1"/>
  <c r="X318" i="18"/>
  <c r="W318" i="18" s="1"/>
  <c r="X317" i="18"/>
  <c r="W317" i="18" s="1"/>
  <c r="X316" i="18"/>
  <c r="W316" i="18" s="1"/>
  <c r="X315" i="18"/>
  <c r="W315" i="18" s="1"/>
  <c r="X314" i="18"/>
  <c r="W314" i="18" s="1"/>
  <c r="X313" i="18"/>
  <c r="W313" i="18" s="1"/>
  <c r="X312" i="18"/>
  <c r="W312" i="18" s="1"/>
  <c r="X311" i="18"/>
  <c r="W311" i="18" s="1"/>
  <c r="X310" i="18"/>
  <c r="W310" i="18" s="1"/>
  <c r="X309" i="18"/>
  <c r="W309" i="18" s="1"/>
  <c r="X308" i="18"/>
  <c r="W308" i="18" s="1"/>
  <c r="X307" i="18"/>
  <c r="W307" i="18" s="1"/>
  <c r="X306" i="18"/>
  <c r="W306" i="18" s="1"/>
  <c r="X305" i="18"/>
  <c r="W305" i="18" s="1"/>
  <c r="X304" i="18"/>
  <c r="W304" i="18" s="1"/>
  <c r="X303" i="18"/>
  <c r="W303" i="18" s="1"/>
  <c r="X302" i="18"/>
  <c r="W302" i="18" s="1"/>
  <c r="X301" i="18"/>
  <c r="W301" i="18" s="1"/>
  <c r="X300" i="18"/>
  <c r="W300" i="18" s="1"/>
  <c r="X299" i="18"/>
  <c r="W299" i="18" s="1"/>
  <c r="X298" i="18"/>
  <c r="W298" i="18" s="1"/>
  <c r="X297" i="18"/>
  <c r="W297" i="18" s="1"/>
  <c r="X296" i="18"/>
  <c r="W296" i="18" s="1"/>
  <c r="X295" i="18"/>
  <c r="W295" i="18" s="1"/>
  <c r="X294" i="18"/>
  <c r="W294" i="18" s="1"/>
  <c r="X293" i="18"/>
  <c r="X292" i="18"/>
  <c r="W292" i="18" s="1"/>
  <c r="X291" i="18"/>
  <c r="W291" i="18" s="1"/>
  <c r="X290" i="18"/>
  <c r="W290" i="18" s="1"/>
  <c r="X289" i="18"/>
  <c r="W289" i="18" s="1"/>
  <c r="X288" i="18"/>
  <c r="W288" i="18" s="1"/>
  <c r="X287" i="18"/>
  <c r="W287" i="18" s="1"/>
  <c r="X286" i="18"/>
  <c r="W286" i="18" s="1"/>
  <c r="X285" i="18"/>
  <c r="W285" i="18" s="1"/>
  <c r="X284" i="18"/>
  <c r="W284" i="18" s="1"/>
  <c r="X283" i="18"/>
  <c r="W283" i="18" s="1"/>
  <c r="X282" i="18"/>
  <c r="W282" i="18" s="1"/>
  <c r="X281" i="18"/>
  <c r="W281" i="18" s="1"/>
  <c r="X280" i="18"/>
  <c r="W280" i="18" s="1"/>
  <c r="X279" i="18"/>
  <c r="W279" i="18" s="1"/>
  <c r="X278" i="18"/>
  <c r="W278" i="18" s="1"/>
  <c r="X277" i="18"/>
  <c r="W277" i="18" s="1"/>
  <c r="X276" i="18"/>
  <c r="W276" i="18" s="1"/>
  <c r="X275" i="18"/>
  <c r="W275" i="18" s="1"/>
  <c r="X274" i="18"/>
  <c r="W274" i="18" s="1"/>
  <c r="X273" i="18"/>
  <c r="W273" i="18" s="1"/>
  <c r="X272" i="18"/>
  <c r="W272" i="18" s="1"/>
  <c r="X271" i="18"/>
  <c r="W271" i="18" s="1"/>
  <c r="X270" i="18"/>
  <c r="W270" i="18" s="1"/>
  <c r="X269" i="18"/>
  <c r="W269" i="18" s="1"/>
  <c r="X268" i="18"/>
  <c r="W268" i="18" s="1"/>
  <c r="X267" i="18"/>
  <c r="W267" i="18" s="1"/>
  <c r="X266" i="18"/>
  <c r="W266" i="18" s="1"/>
  <c r="X265" i="18"/>
  <c r="W265" i="18" s="1"/>
  <c r="X264" i="18"/>
  <c r="W264" i="18" s="1"/>
  <c r="X263" i="18"/>
  <c r="W263" i="18" s="1"/>
  <c r="X262" i="18"/>
  <c r="W262" i="18" s="1"/>
  <c r="X261" i="18"/>
  <c r="X260" i="18"/>
  <c r="W260" i="18" s="1"/>
  <c r="X259" i="18"/>
  <c r="W259" i="18" s="1"/>
  <c r="X258" i="18"/>
  <c r="W258" i="18" s="1"/>
  <c r="X257" i="18"/>
  <c r="W257" i="18" s="1"/>
  <c r="X256" i="18"/>
  <c r="W256" i="18" s="1"/>
  <c r="X255" i="18"/>
  <c r="W255" i="18" s="1"/>
  <c r="X254" i="18"/>
  <c r="W254" i="18" s="1"/>
  <c r="X253" i="18"/>
  <c r="W253" i="18" s="1"/>
  <c r="X252" i="18"/>
  <c r="W252" i="18" s="1"/>
  <c r="X251" i="18"/>
  <c r="W251" i="18" s="1"/>
  <c r="X250" i="18"/>
  <c r="W250" i="18" s="1"/>
  <c r="X249" i="18"/>
  <c r="W249" i="18" s="1"/>
  <c r="X248" i="18"/>
  <c r="W248" i="18" s="1"/>
  <c r="X247" i="18"/>
  <c r="W247" i="18" s="1"/>
  <c r="X246" i="18"/>
  <c r="W246" i="18" s="1"/>
  <c r="X245" i="18"/>
  <c r="W245" i="18" s="1"/>
  <c r="X244" i="18"/>
  <c r="W244" i="18" s="1"/>
  <c r="X243" i="18"/>
  <c r="W243" i="18" s="1"/>
  <c r="X242" i="18"/>
  <c r="W242" i="18" s="1"/>
  <c r="X241" i="18"/>
  <c r="W241" i="18" s="1"/>
  <c r="X240" i="18"/>
  <c r="W240" i="18" s="1"/>
  <c r="X239" i="18"/>
  <c r="W239" i="18" s="1"/>
  <c r="X238" i="18"/>
  <c r="W238" i="18" s="1"/>
  <c r="X237" i="18"/>
  <c r="W237" i="18" s="1"/>
  <c r="X236" i="18"/>
  <c r="W236" i="18" s="1"/>
  <c r="X235" i="18"/>
  <c r="W235" i="18" s="1"/>
  <c r="X234" i="18"/>
  <c r="W234" i="18" s="1"/>
  <c r="X233" i="18"/>
  <c r="W233" i="18" s="1"/>
  <c r="X232" i="18"/>
  <c r="W232" i="18" s="1"/>
  <c r="X231" i="18"/>
  <c r="W231" i="18" s="1"/>
  <c r="X230" i="18"/>
  <c r="W230" i="18" s="1"/>
  <c r="X229" i="18"/>
  <c r="X228" i="18"/>
  <c r="W228" i="18" s="1"/>
  <c r="X227" i="18"/>
  <c r="W227" i="18" s="1"/>
  <c r="X226" i="18"/>
  <c r="W226" i="18" s="1"/>
  <c r="X225" i="18"/>
  <c r="W225" i="18" s="1"/>
  <c r="X224" i="18"/>
  <c r="W224" i="18" s="1"/>
  <c r="X223" i="18"/>
  <c r="W223" i="18" s="1"/>
  <c r="X222" i="18"/>
  <c r="W222" i="18" s="1"/>
  <c r="X221" i="18"/>
  <c r="W221" i="18" s="1"/>
  <c r="X220" i="18"/>
  <c r="W220" i="18" s="1"/>
  <c r="X219" i="18"/>
  <c r="W219" i="18" s="1"/>
  <c r="X218" i="18"/>
  <c r="W218" i="18" s="1"/>
  <c r="X217" i="18"/>
  <c r="W217" i="18" s="1"/>
  <c r="X216" i="18"/>
  <c r="W216" i="18" s="1"/>
  <c r="X215" i="18"/>
  <c r="W215" i="18" s="1"/>
  <c r="X214" i="18"/>
  <c r="W214" i="18" s="1"/>
  <c r="X213" i="18"/>
  <c r="W213" i="18" s="1"/>
  <c r="X212" i="18"/>
  <c r="W212" i="18" s="1"/>
  <c r="X211" i="18"/>
  <c r="W211" i="18" s="1"/>
  <c r="X210" i="18"/>
  <c r="W210" i="18" s="1"/>
  <c r="X209" i="18"/>
  <c r="W209" i="18" s="1"/>
  <c r="X208" i="18"/>
  <c r="W208" i="18" s="1"/>
  <c r="X207" i="18"/>
  <c r="W207" i="18" s="1"/>
  <c r="X206" i="18"/>
  <c r="W206" i="18" s="1"/>
  <c r="X205" i="18"/>
  <c r="W205" i="18" s="1"/>
  <c r="X204" i="18"/>
  <c r="W204" i="18" s="1"/>
  <c r="X203" i="18"/>
  <c r="W203" i="18" s="1"/>
  <c r="X202" i="18"/>
  <c r="W202" i="18" s="1"/>
  <c r="X201" i="18"/>
  <c r="W201" i="18" s="1"/>
  <c r="X200" i="18"/>
  <c r="W200" i="18" s="1"/>
  <c r="X199" i="18"/>
  <c r="W199" i="18" s="1"/>
  <c r="X198" i="18"/>
  <c r="W198" i="18" s="1"/>
  <c r="X197" i="18"/>
  <c r="X196" i="18"/>
  <c r="W196" i="18" s="1"/>
  <c r="X195" i="18"/>
  <c r="W195" i="18" s="1"/>
  <c r="X194" i="18"/>
  <c r="W194" i="18" s="1"/>
  <c r="X193" i="18"/>
  <c r="W193" i="18" s="1"/>
  <c r="X192" i="18"/>
  <c r="W192" i="18" s="1"/>
  <c r="X191" i="18"/>
  <c r="W191" i="18" s="1"/>
  <c r="X190" i="18"/>
  <c r="W190" i="18" s="1"/>
  <c r="X189" i="18"/>
  <c r="W189" i="18" s="1"/>
  <c r="X188" i="18"/>
  <c r="W188" i="18" s="1"/>
  <c r="X187" i="18"/>
  <c r="W187" i="18" s="1"/>
  <c r="X186" i="18"/>
  <c r="W186" i="18" s="1"/>
  <c r="X185" i="18"/>
  <c r="W185" i="18" s="1"/>
  <c r="X184" i="18"/>
  <c r="W184" i="18" s="1"/>
  <c r="X183" i="18"/>
  <c r="W183" i="18" s="1"/>
  <c r="X182" i="18"/>
  <c r="W182" i="18" s="1"/>
  <c r="X181" i="18"/>
  <c r="W181" i="18" s="1"/>
  <c r="X180" i="18"/>
  <c r="W180" i="18" s="1"/>
  <c r="X179" i="18"/>
  <c r="W179" i="18" s="1"/>
  <c r="X178" i="18"/>
  <c r="W178" i="18" s="1"/>
  <c r="X177" i="18"/>
  <c r="W177" i="18" s="1"/>
  <c r="X176" i="18"/>
  <c r="W176" i="18" s="1"/>
  <c r="X175" i="18"/>
  <c r="W175" i="18" s="1"/>
  <c r="X174" i="18"/>
  <c r="W174" i="18" s="1"/>
  <c r="X173" i="18"/>
  <c r="W173" i="18" s="1"/>
  <c r="X172" i="18"/>
  <c r="W172" i="18" s="1"/>
  <c r="X171" i="18"/>
  <c r="W171" i="18" s="1"/>
  <c r="X170" i="18"/>
  <c r="W170" i="18" s="1"/>
  <c r="X169" i="18"/>
  <c r="W169" i="18" s="1"/>
  <c r="X168" i="18"/>
  <c r="W168" i="18" s="1"/>
  <c r="X167" i="18"/>
  <c r="W167" i="18" s="1"/>
  <c r="X166" i="18"/>
  <c r="W166" i="18" s="1"/>
  <c r="X165" i="18"/>
  <c r="X164" i="18"/>
  <c r="W164" i="18" s="1"/>
  <c r="X163" i="18"/>
  <c r="W163" i="18" s="1"/>
  <c r="X162" i="18"/>
  <c r="W162" i="18" s="1"/>
  <c r="X161" i="18"/>
  <c r="W161" i="18" s="1"/>
  <c r="X160" i="18"/>
  <c r="W160" i="18" s="1"/>
  <c r="X159" i="18"/>
  <c r="W159" i="18" s="1"/>
  <c r="X158" i="18"/>
  <c r="W158" i="18" s="1"/>
  <c r="X157" i="18"/>
  <c r="W157" i="18" s="1"/>
  <c r="X156" i="18"/>
  <c r="W156" i="18" s="1"/>
  <c r="X155" i="18"/>
  <c r="W155" i="18" s="1"/>
  <c r="X154" i="18"/>
  <c r="W154" i="18" s="1"/>
  <c r="X153" i="18"/>
  <c r="W153" i="18" s="1"/>
  <c r="X152" i="18"/>
  <c r="W152" i="18" s="1"/>
  <c r="X151" i="18"/>
  <c r="W151" i="18" s="1"/>
  <c r="X150" i="18"/>
  <c r="W150" i="18" s="1"/>
  <c r="X149" i="18"/>
  <c r="W149" i="18" s="1"/>
  <c r="X148" i="18"/>
  <c r="W148" i="18" s="1"/>
  <c r="X147" i="18"/>
  <c r="W147" i="18" s="1"/>
  <c r="X146" i="18"/>
  <c r="W146" i="18" s="1"/>
  <c r="X145" i="18"/>
  <c r="W145" i="18" s="1"/>
  <c r="X144" i="18"/>
  <c r="W144" i="18" s="1"/>
  <c r="X143" i="18"/>
  <c r="W143" i="18" s="1"/>
  <c r="X142" i="18"/>
  <c r="W142" i="18" s="1"/>
  <c r="X141" i="18"/>
  <c r="W141" i="18" s="1"/>
  <c r="X140" i="18"/>
  <c r="W140" i="18" s="1"/>
  <c r="X139" i="18"/>
  <c r="W139" i="18" s="1"/>
  <c r="X138" i="18"/>
  <c r="W138" i="18" s="1"/>
  <c r="X137" i="18"/>
  <c r="W137" i="18" s="1"/>
  <c r="X136" i="18"/>
  <c r="W136" i="18" s="1"/>
  <c r="X135" i="18"/>
  <c r="W135" i="18" s="1"/>
  <c r="X134" i="18"/>
  <c r="W134" i="18" s="1"/>
  <c r="X133" i="18"/>
  <c r="X132" i="18"/>
  <c r="W132" i="18" s="1"/>
  <c r="X131" i="18"/>
  <c r="W131" i="18" s="1"/>
  <c r="X130" i="18"/>
  <c r="W130" i="18" s="1"/>
  <c r="X129" i="18"/>
  <c r="W129" i="18" s="1"/>
  <c r="X128" i="18"/>
  <c r="W128" i="18" s="1"/>
  <c r="X127" i="18"/>
  <c r="W127" i="18" s="1"/>
  <c r="X126" i="18"/>
  <c r="W126" i="18" s="1"/>
  <c r="X125" i="18"/>
  <c r="W125" i="18" s="1"/>
  <c r="X124" i="18"/>
  <c r="W124" i="18" s="1"/>
  <c r="X123" i="18"/>
  <c r="W123" i="18" s="1"/>
  <c r="X122" i="18"/>
  <c r="W122" i="18" s="1"/>
  <c r="X121" i="18"/>
  <c r="W121" i="18" s="1"/>
  <c r="X120" i="18"/>
  <c r="W120" i="18" s="1"/>
  <c r="X119" i="18"/>
  <c r="W119" i="18" s="1"/>
  <c r="X118" i="18"/>
  <c r="W118" i="18" s="1"/>
  <c r="X117" i="18"/>
  <c r="W117" i="18" s="1"/>
  <c r="X116" i="18"/>
  <c r="W116" i="18" s="1"/>
  <c r="X115" i="18"/>
  <c r="W115" i="18" s="1"/>
  <c r="X114" i="18"/>
  <c r="W114" i="18" s="1"/>
  <c r="X113" i="18"/>
  <c r="W113" i="18" s="1"/>
  <c r="X112" i="18"/>
  <c r="W112" i="18" s="1"/>
  <c r="X111" i="18"/>
  <c r="W111" i="18" s="1"/>
  <c r="X110" i="18"/>
  <c r="W110" i="18" s="1"/>
  <c r="X109" i="18"/>
  <c r="W109" i="18" s="1"/>
  <c r="X108" i="18"/>
  <c r="W108" i="18" s="1"/>
  <c r="X107" i="18"/>
  <c r="W107" i="18" s="1"/>
  <c r="X106" i="18"/>
  <c r="W106" i="18" s="1"/>
  <c r="X105" i="18"/>
  <c r="W105" i="18" s="1"/>
  <c r="X104" i="18"/>
  <c r="W104" i="18" s="1"/>
  <c r="X103" i="18"/>
  <c r="W103" i="18" s="1"/>
  <c r="X102" i="18"/>
  <c r="W102" i="18" s="1"/>
  <c r="X101" i="18"/>
  <c r="X100" i="18"/>
  <c r="W100" i="18" s="1"/>
  <c r="X99" i="18"/>
  <c r="W99" i="18" s="1"/>
  <c r="X98" i="18"/>
  <c r="W98" i="18" s="1"/>
  <c r="X97" i="18"/>
  <c r="W97" i="18" s="1"/>
  <c r="X96" i="18"/>
  <c r="W96" i="18" s="1"/>
  <c r="X95" i="18"/>
  <c r="W95" i="18" s="1"/>
  <c r="X94" i="18"/>
  <c r="W94" i="18" s="1"/>
  <c r="X93" i="18"/>
  <c r="W93" i="18" s="1"/>
  <c r="X92" i="18"/>
  <c r="W92" i="18" s="1"/>
  <c r="X91" i="18"/>
  <c r="W91" i="18" s="1"/>
  <c r="X90" i="18"/>
  <c r="W90" i="18" s="1"/>
  <c r="X89" i="18"/>
  <c r="W89" i="18" s="1"/>
  <c r="X88" i="18"/>
  <c r="W88" i="18" s="1"/>
  <c r="X87" i="18"/>
  <c r="W87" i="18" s="1"/>
  <c r="X86" i="18"/>
  <c r="W86" i="18" s="1"/>
  <c r="X85" i="18"/>
  <c r="W85" i="18" s="1"/>
  <c r="X84" i="18"/>
  <c r="W84" i="18" s="1"/>
  <c r="X83" i="18"/>
  <c r="W83" i="18" s="1"/>
  <c r="X82" i="18"/>
  <c r="W82" i="18" s="1"/>
  <c r="X81" i="18"/>
  <c r="W81" i="18" s="1"/>
  <c r="X80" i="18"/>
  <c r="W80" i="18" s="1"/>
  <c r="X79" i="18"/>
  <c r="W79" i="18" s="1"/>
  <c r="X78" i="18"/>
  <c r="W78" i="18" s="1"/>
  <c r="X77" i="18"/>
  <c r="W77" i="18" s="1"/>
  <c r="X76" i="18"/>
  <c r="W76" i="18" s="1"/>
  <c r="X75" i="18"/>
  <c r="W75" i="18" s="1"/>
  <c r="X74" i="18"/>
  <c r="W74" i="18" s="1"/>
  <c r="X73" i="18"/>
  <c r="W73" i="18" s="1"/>
  <c r="X72" i="18"/>
  <c r="W72" i="18" s="1"/>
  <c r="X71" i="18"/>
  <c r="W71" i="18" s="1"/>
  <c r="X70" i="18"/>
  <c r="W70" i="18" s="1"/>
  <c r="X69" i="18"/>
  <c r="X68" i="18"/>
  <c r="W68" i="18" s="1"/>
  <c r="X67" i="18"/>
  <c r="W67" i="18" s="1"/>
  <c r="X66" i="18"/>
  <c r="W66" i="18" s="1"/>
  <c r="X65" i="18"/>
  <c r="W65" i="18" s="1"/>
  <c r="X64" i="18"/>
  <c r="W64" i="18" s="1"/>
  <c r="X63" i="18"/>
  <c r="W63" i="18" s="1"/>
  <c r="X62" i="18"/>
  <c r="W62" i="18" s="1"/>
  <c r="X61" i="18"/>
  <c r="W61" i="18" s="1"/>
  <c r="X60" i="18"/>
  <c r="W60" i="18" s="1"/>
  <c r="X59" i="18"/>
  <c r="W59" i="18" s="1"/>
  <c r="X58" i="18"/>
  <c r="W58" i="18" s="1"/>
  <c r="X57" i="18"/>
  <c r="W57" i="18" s="1"/>
  <c r="X56" i="18"/>
  <c r="W56" i="18" s="1"/>
  <c r="X55" i="18"/>
  <c r="W55" i="18" s="1"/>
  <c r="X54" i="18"/>
  <c r="W54" i="18" s="1"/>
  <c r="X53" i="18"/>
  <c r="W53" i="18" s="1"/>
  <c r="X52" i="18"/>
  <c r="W52" i="18" s="1"/>
  <c r="X51" i="18"/>
  <c r="W51" i="18" s="1"/>
  <c r="X50" i="18"/>
  <c r="W50" i="18" s="1"/>
  <c r="X49" i="18"/>
  <c r="W49" i="18" s="1"/>
  <c r="X48" i="18"/>
  <c r="W48" i="18" s="1"/>
  <c r="X47" i="18"/>
  <c r="W47" i="18" s="1"/>
  <c r="X46" i="18"/>
  <c r="W46" i="18" s="1"/>
  <c r="X45" i="18"/>
  <c r="W45" i="18" s="1"/>
  <c r="X44" i="18"/>
  <c r="W44" i="18" s="1"/>
  <c r="X43" i="18"/>
  <c r="W43" i="18" s="1"/>
  <c r="X42" i="18"/>
  <c r="W42" i="18" s="1"/>
  <c r="X41" i="18"/>
  <c r="W41" i="18" s="1"/>
  <c r="X40" i="18"/>
  <c r="W40" i="18" s="1"/>
  <c r="X39" i="18"/>
  <c r="W39" i="18" s="1"/>
  <c r="X38" i="18"/>
  <c r="W38" i="18" s="1"/>
  <c r="X37" i="18"/>
  <c r="X36" i="18"/>
  <c r="W36" i="18" s="1"/>
  <c r="X35" i="18"/>
  <c r="W35" i="18" s="1"/>
  <c r="X34" i="18"/>
  <c r="W34" i="18" s="1"/>
  <c r="X33" i="18"/>
  <c r="W33" i="18" s="1"/>
  <c r="X32" i="18"/>
  <c r="W32" i="18" s="1"/>
  <c r="X31" i="18"/>
  <c r="W31" i="18" s="1"/>
  <c r="X30" i="18"/>
  <c r="W30" i="18" s="1"/>
  <c r="X29" i="18"/>
  <c r="W29" i="18" s="1"/>
  <c r="X28" i="18"/>
  <c r="W28" i="18" s="1"/>
  <c r="X27" i="18"/>
  <c r="W27" i="18" s="1"/>
  <c r="X26" i="18"/>
  <c r="W26" i="18" s="1"/>
  <c r="X25" i="18"/>
  <c r="W25" i="18" s="1"/>
  <c r="X24" i="18"/>
  <c r="W24" i="18" s="1"/>
  <c r="X23" i="18"/>
  <c r="W23" i="18" s="1"/>
  <c r="X22" i="18"/>
  <c r="W22" i="18" s="1"/>
  <c r="X21" i="18"/>
  <c r="W21" i="18" s="1"/>
  <c r="X20" i="18"/>
  <c r="W20" i="18" s="1"/>
  <c r="X19" i="18"/>
  <c r="W19" i="18" s="1"/>
  <c r="X18" i="18"/>
  <c r="W18" i="18" s="1"/>
  <c r="X17" i="18"/>
  <c r="W17" i="18" s="1"/>
  <c r="X16" i="18"/>
  <c r="W16" i="18" s="1"/>
  <c r="X15" i="18"/>
  <c r="W15" i="18" s="1"/>
  <c r="X14" i="18"/>
  <c r="W14" i="18" s="1"/>
  <c r="X13" i="18"/>
  <c r="W13" i="18" s="1"/>
  <c r="X12" i="18"/>
  <c r="W12" i="18" s="1"/>
  <c r="X11" i="18"/>
  <c r="W11" i="18" s="1"/>
  <c r="X10" i="18"/>
  <c r="W10" i="18" s="1"/>
  <c r="X9" i="18"/>
  <c r="W9" i="18" s="1"/>
  <c r="X8" i="18"/>
  <c r="W8" i="18" s="1"/>
  <c r="X7" i="18"/>
  <c r="W7" i="18" s="1"/>
  <c r="X6" i="18"/>
  <c r="W6" i="18" s="1"/>
  <c r="X5" i="18"/>
  <c r="X4" i="18"/>
  <c r="W4" i="18" s="1"/>
  <c r="X3" i="18"/>
  <c r="W3" i="18" s="1"/>
  <c r="X2" i="18"/>
  <c r="W2" i="18" s="1"/>
  <c r="AC139" i="17" l="1"/>
  <c r="J35" i="16" s="1"/>
  <c r="J100" i="16" s="1"/>
  <c r="AC138" i="17"/>
  <c r="J33" i="16" s="1"/>
  <c r="J99" i="16" s="1"/>
  <c r="AD139" i="17"/>
  <c r="AD138" i="17"/>
  <c r="D41" i="16"/>
  <c r="J91" i="16"/>
  <c r="D29" i="16"/>
  <c r="D32" i="16"/>
  <c r="J30" i="16"/>
  <c r="J98" i="16" s="1"/>
  <c r="AC137" i="17"/>
  <c r="AD137" i="17"/>
  <c r="AD133" i="17"/>
  <c r="AD165" i="17"/>
  <c r="AC133" i="17"/>
  <c r="J31" i="16" s="1"/>
  <c r="J96" i="16" s="1"/>
  <c r="AD163" i="17"/>
  <c r="D39" i="16"/>
  <c r="J24" i="16"/>
  <c r="J88" i="16" s="1"/>
  <c r="D16" i="16"/>
  <c r="D40" i="16"/>
  <c r="D33" i="16" l="1"/>
  <c r="J25" i="16"/>
  <c r="J94" i="16" s="1"/>
  <c r="D31" i="16"/>
  <c r="D30" i="16"/>
  <c r="A29" i="16"/>
  <c r="N43" i="16" l="1"/>
  <c r="A26" i="16"/>
  <c r="A61" i="16"/>
  <c r="A60" i="16"/>
  <c r="A59" i="16"/>
  <c r="A58" i="16"/>
  <c r="A54" i="16"/>
  <c r="A53" i="16"/>
  <c r="A52" i="16"/>
  <c r="A51" i="16"/>
  <c r="A50" i="16"/>
  <c r="A48" i="16"/>
  <c r="A49" i="16"/>
  <c r="A47" i="16"/>
  <c r="N42" i="16" l="1"/>
  <c r="E7" i="9" l="1"/>
  <c r="D7" i="9"/>
  <c r="A73" i="9"/>
  <c r="A62" i="9"/>
  <c r="A51" i="9"/>
  <c r="A7" i="9"/>
  <c r="J101" i="7"/>
  <c r="E101" i="7"/>
  <c r="N101" i="7" s="1"/>
  <c r="B51" i="9" s="1"/>
  <c r="B62" i="9" s="1"/>
  <c r="B73" i="9" s="1"/>
  <c r="O23" i="8"/>
  <c r="O20" i="8"/>
  <c r="O16" i="8"/>
  <c r="P16" i="8" l="1"/>
  <c r="B7" i="9"/>
  <c r="B30" i="12"/>
  <c r="B31" i="12"/>
  <c r="B32" i="12"/>
  <c r="B33" i="12"/>
  <c r="B29" i="12"/>
  <c r="B21" i="12"/>
  <c r="B22" i="12"/>
  <c r="B23" i="12"/>
  <c r="B24" i="12"/>
  <c r="B20" i="12"/>
  <c r="G10" i="12" l="1"/>
  <c r="H10" i="12"/>
  <c r="J10" i="12"/>
  <c r="K10" i="12"/>
  <c r="M10" i="12"/>
  <c r="N10" i="12"/>
  <c r="M11" i="12"/>
  <c r="N11" i="12"/>
  <c r="D10" i="12"/>
  <c r="E10" i="12"/>
  <c r="D11" i="12"/>
  <c r="E11" i="12"/>
  <c r="H38" i="12"/>
  <c r="H39" i="12"/>
  <c r="A39" i="12" s="1"/>
  <c r="A4" i="12" s="1"/>
  <c r="H40" i="12"/>
  <c r="H41" i="12"/>
  <c r="H42" i="12"/>
  <c r="H43" i="12"/>
  <c r="A43" i="12" s="1"/>
  <c r="A8" i="12" s="1"/>
  <c r="H44" i="12"/>
  <c r="H45" i="12"/>
  <c r="H46" i="12"/>
  <c r="H37" i="12"/>
  <c r="A37" i="12" s="1"/>
  <c r="A2" i="12" s="1"/>
  <c r="A45" i="12" l="1"/>
  <c r="A10" i="12" s="1"/>
  <c r="A41" i="12"/>
  <c r="A6" i="12" s="1"/>
  <c r="A46" i="12"/>
  <c r="A11" i="12" s="1"/>
  <c r="A38" i="12"/>
  <c r="A3" i="12" s="1"/>
  <c r="A42" i="12"/>
  <c r="A7" i="12" s="1"/>
  <c r="A44" i="12"/>
  <c r="A9" i="12" s="1"/>
  <c r="A40" i="12"/>
  <c r="A5" i="12" s="1"/>
  <c r="R60" i="16"/>
  <c r="R58" i="16"/>
  <c r="R59" i="16"/>
  <c r="R61" i="16"/>
  <c r="R62" i="16"/>
  <c r="R22" i="16"/>
  <c r="AE253" i="17"/>
  <c r="J60" i="16" s="1"/>
  <c r="J76" i="16" s="1"/>
  <c r="N60" i="16"/>
  <c r="O60" i="16"/>
  <c r="P60" i="16"/>
  <c r="Q60" i="16"/>
  <c r="AE254" i="17"/>
  <c r="J58" i="16" s="1"/>
  <c r="N58" i="16"/>
  <c r="O58" i="16"/>
  <c r="P58" i="16"/>
  <c r="Q58" i="16"/>
  <c r="AE255" i="17"/>
  <c r="J59" i="16" s="1"/>
  <c r="J75" i="16" s="1"/>
  <c r="N59" i="16"/>
  <c r="O59" i="16"/>
  <c r="P59" i="16"/>
  <c r="Q59" i="16"/>
  <c r="AE256" i="17"/>
  <c r="J61" i="16" s="1"/>
  <c r="J77" i="16" s="1"/>
  <c r="N61" i="16"/>
  <c r="O61" i="16"/>
  <c r="P61" i="16"/>
  <c r="Q61" i="16"/>
  <c r="AE257" i="17"/>
  <c r="AE258" i="17"/>
  <c r="AE259" i="17"/>
  <c r="AE260" i="17"/>
  <c r="AE261" i="17"/>
  <c r="AE262" i="17"/>
  <c r="AE263" i="17"/>
  <c r="AE264" i="17"/>
  <c r="N22" i="16"/>
  <c r="O22" i="16"/>
  <c r="P22" i="16"/>
  <c r="Q22" i="16"/>
  <c r="AE252" i="17"/>
  <c r="N51" i="16"/>
  <c r="O23" i="16"/>
  <c r="N23" i="16"/>
  <c r="Q23" i="16"/>
  <c r="P23" i="16"/>
  <c r="S242" i="17"/>
  <c r="R242" i="17"/>
  <c r="J51" i="16"/>
  <c r="O43" i="16"/>
  <c r="P43" i="16"/>
  <c r="Q43" i="16"/>
  <c r="T242" i="17"/>
  <c r="AC130" i="17"/>
  <c r="J86" i="16" l="1"/>
  <c r="D53" i="16"/>
  <c r="J84" i="16"/>
  <c r="D51" i="16"/>
  <c r="J87" i="16"/>
  <c r="D54" i="16"/>
  <c r="J80" i="16"/>
  <c r="J46" i="16"/>
  <c r="D47" i="16"/>
  <c r="J74" i="16"/>
  <c r="J57" i="16"/>
  <c r="J81" i="16"/>
  <c r="D48" i="16"/>
  <c r="J82" i="16"/>
  <c r="D49" i="16"/>
  <c r="J83" i="16"/>
  <c r="D50" i="16"/>
  <c r="J85" i="16"/>
  <c r="D52" i="16"/>
  <c r="J23" i="16"/>
  <c r="J79" i="16" s="1"/>
  <c r="D62" i="16"/>
  <c r="J26" i="16"/>
  <c r="J78" i="16" s="1"/>
  <c r="D60" i="16"/>
  <c r="D58" i="16"/>
  <c r="J22" i="16"/>
  <c r="D59" i="16"/>
  <c r="D61" i="16"/>
  <c r="AF262" i="17"/>
  <c r="AF258" i="17"/>
  <c r="AF254" i="17"/>
  <c r="AD130" i="17"/>
  <c r="AF264" i="17"/>
  <c r="AF260" i="17"/>
  <c r="AF256" i="17"/>
  <c r="Q42" i="16"/>
  <c r="N26" i="16"/>
  <c r="N62" i="16"/>
  <c r="P42" i="16"/>
  <c r="AF261" i="17"/>
  <c r="Q26" i="16"/>
  <c r="Q62" i="16"/>
  <c r="AF257" i="17"/>
  <c r="AF253" i="17"/>
  <c r="O42" i="16"/>
  <c r="P26" i="16"/>
  <c r="P62" i="16"/>
  <c r="O18" i="12"/>
  <c r="AF252" i="17"/>
  <c r="AF263" i="17"/>
  <c r="AF259" i="17"/>
  <c r="O26" i="16"/>
  <c r="O62" i="16"/>
  <c r="AF255" i="17"/>
  <c r="M54" i="16"/>
  <c r="M18" i="12"/>
  <c r="H51" i="16"/>
  <c r="M51" i="16" s="1"/>
  <c r="M53" i="16"/>
  <c r="AB161" i="17"/>
  <c r="U130" i="17"/>
  <c r="AB130" i="17" s="1"/>
  <c r="M48" i="16"/>
  <c r="M49" i="16"/>
  <c r="U242" i="17"/>
  <c r="AB151" i="17"/>
  <c r="AB140" i="17"/>
  <c r="H34" i="16" s="1"/>
  <c r="M50" i="16"/>
  <c r="M52" i="16"/>
  <c r="V262" i="17"/>
  <c r="AD262" i="17" s="1"/>
  <c r="V263" i="17"/>
  <c r="AD263" i="17" s="1"/>
  <c r="V259" i="17"/>
  <c r="AD259" i="17" s="1"/>
  <c r="V255" i="17"/>
  <c r="AD255" i="17" s="1"/>
  <c r="H59" i="16" s="1"/>
  <c r="M59" i="16" s="1"/>
  <c r="V258" i="17"/>
  <c r="AD258" i="17" s="1"/>
  <c r="V254" i="17"/>
  <c r="AD254" i="17" s="1"/>
  <c r="H58" i="16" s="1"/>
  <c r="V264" i="17"/>
  <c r="AD264" i="17" s="1"/>
  <c r="V260" i="17"/>
  <c r="AD260" i="17" s="1"/>
  <c r="V256" i="17"/>
  <c r="AD256" i="17" s="1"/>
  <c r="H61" i="16" s="1"/>
  <c r="M61" i="16" s="1"/>
  <c r="V265" i="17"/>
  <c r="AD265" i="17" s="1"/>
  <c r="V261" i="17"/>
  <c r="AD261" i="17" s="1"/>
  <c r="V257" i="17"/>
  <c r="AD257" i="17" s="1"/>
  <c r="H26" i="16" s="1"/>
  <c r="V253" i="17"/>
  <c r="AD253" i="17" s="1"/>
  <c r="H60" i="16" s="1"/>
  <c r="M60" i="16" s="1"/>
  <c r="V252" i="17"/>
  <c r="AD252" i="17" s="1"/>
  <c r="H7327" i="1"/>
  <c r="N32" i="15"/>
  <c r="M32" i="15"/>
  <c r="N31" i="15"/>
  <c r="M31" i="15"/>
  <c r="N30" i="15"/>
  <c r="M30" i="15"/>
  <c r="J73" i="16" l="1"/>
  <c r="J2" i="16"/>
  <c r="M47" i="16"/>
  <c r="H46" i="16"/>
  <c r="B46" i="16" s="1"/>
  <c r="D46" i="16"/>
  <c r="M58" i="16"/>
  <c r="H57" i="16"/>
  <c r="B57" i="16" s="1"/>
  <c r="D57" i="16"/>
  <c r="AB164" i="17"/>
  <c r="H40" i="16" s="1"/>
  <c r="M40" i="16" s="1"/>
  <c r="AB152" i="17"/>
  <c r="AB150" i="17"/>
  <c r="H36" i="16" s="1"/>
  <c r="M36" i="16" s="1"/>
  <c r="AB167" i="17"/>
  <c r="H43" i="16" s="1"/>
  <c r="H93" i="16" s="1"/>
  <c r="M93" i="16" s="1"/>
  <c r="AB136" i="17"/>
  <c r="AB134" i="17"/>
  <c r="H32" i="16" s="1"/>
  <c r="M32" i="16" s="1"/>
  <c r="AB131" i="17"/>
  <c r="H29" i="16" s="1"/>
  <c r="AB139" i="17"/>
  <c r="AB135" i="17"/>
  <c r="H30" i="16" s="1"/>
  <c r="M30" i="16" s="1"/>
  <c r="M62" i="16"/>
  <c r="B49" i="16"/>
  <c r="H82" i="16"/>
  <c r="M82" i="16" s="1"/>
  <c r="B48" i="16"/>
  <c r="H81" i="16"/>
  <c r="M81" i="16" s="1"/>
  <c r="B54" i="16"/>
  <c r="H87" i="16"/>
  <c r="M87" i="16" s="1"/>
  <c r="D22" i="16"/>
  <c r="B60" i="16"/>
  <c r="H76" i="16"/>
  <c r="M76" i="16" s="1"/>
  <c r="B61" i="16"/>
  <c r="H77" i="16"/>
  <c r="M77" i="16" s="1"/>
  <c r="H74" i="16"/>
  <c r="M74" i="16" s="1"/>
  <c r="B58" i="16"/>
  <c r="H22" i="16"/>
  <c r="B51" i="16"/>
  <c r="H84" i="16"/>
  <c r="M84" i="16" s="1"/>
  <c r="D23" i="16"/>
  <c r="H78" i="16"/>
  <c r="B62" i="16"/>
  <c r="H23" i="16"/>
  <c r="H79" i="16" s="1"/>
  <c r="H80" i="16"/>
  <c r="M80" i="16" s="1"/>
  <c r="B47" i="16"/>
  <c r="B53" i="16"/>
  <c r="H86" i="16"/>
  <c r="M86" i="16" s="1"/>
  <c r="B59" i="16"/>
  <c r="H75" i="16"/>
  <c r="M75" i="16" s="1"/>
  <c r="B50" i="16"/>
  <c r="H83" i="16"/>
  <c r="M83" i="16" s="1"/>
  <c r="B52" i="16"/>
  <c r="H85" i="16"/>
  <c r="M85" i="16" s="1"/>
  <c r="D26" i="16"/>
  <c r="I7327" i="1"/>
  <c r="J7327" i="1"/>
  <c r="J99" i="7"/>
  <c r="B26" i="12"/>
  <c r="L16" i="8"/>
  <c r="M16" i="8"/>
  <c r="N16" i="8"/>
  <c r="L20" i="8"/>
  <c r="M20" i="8"/>
  <c r="N20" i="8"/>
  <c r="L23" i="8"/>
  <c r="M23" i="8"/>
  <c r="N23" i="8"/>
  <c r="H73" i="16" l="1"/>
  <c r="N16" i="16"/>
  <c r="P16" i="16"/>
  <c r="Q16" i="16"/>
  <c r="AB138" i="17"/>
  <c r="H33" i="16" s="1"/>
  <c r="H99" i="16" s="1"/>
  <c r="M99" i="16" s="1"/>
  <c r="N39" i="16"/>
  <c r="AB163" i="17"/>
  <c r="H39" i="16" s="1"/>
  <c r="H89" i="16" s="1"/>
  <c r="M89" i="16" s="1"/>
  <c r="O39" i="16"/>
  <c r="Q39" i="16"/>
  <c r="N19" i="16"/>
  <c r="P19" i="16"/>
  <c r="P15" i="16"/>
  <c r="Q15" i="16"/>
  <c r="N41" i="16"/>
  <c r="O41" i="16"/>
  <c r="O15" i="16"/>
  <c r="AB155" i="17"/>
  <c r="H15" i="16" s="1"/>
  <c r="M15" i="16" s="1"/>
  <c r="AB159" i="17"/>
  <c r="H19" i="16" s="1"/>
  <c r="M19" i="16" s="1"/>
  <c r="O16" i="16"/>
  <c r="P39" i="16"/>
  <c r="N15" i="16"/>
  <c r="AB156" i="17"/>
  <c r="H16" i="16" s="1"/>
  <c r="M16" i="16" s="1"/>
  <c r="Q40" i="16"/>
  <c r="AO149" i="17"/>
  <c r="P40" i="16"/>
  <c r="AB165" i="17"/>
  <c r="H41" i="16" s="1"/>
  <c r="M41" i="16" s="1"/>
  <c r="M57" i="16"/>
  <c r="O40" i="16"/>
  <c r="Q41" i="16"/>
  <c r="M46" i="16"/>
  <c r="N40" i="16"/>
  <c r="M35" i="16"/>
  <c r="H35" i="16"/>
  <c r="H100" i="16" s="1"/>
  <c r="M29" i="16"/>
  <c r="M43" i="16"/>
  <c r="Q19" i="16"/>
  <c r="AB137" i="17"/>
  <c r="O19" i="16"/>
  <c r="AB133" i="17"/>
  <c r="H31" i="16" s="1"/>
  <c r="M31" i="16" s="1"/>
  <c r="M78" i="16"/>
  <c r="H97" i="16"/>
  <c r="M97" i="16" s="1"/>
  <c r="M26" i="16"/>
  <c r="M23" i="16"/>
  <c r="M22" i="16"/>
  <c r="H95" i="16"/>
  <c r="M95" i="16" s="1"/>
  <c r="H101" i="16"/>
  <c r="M101" i="16" s="1"/>
  <c r="M79" i="16"/>
  <c r="P41" i="16"/>
  <c r="M73" i="16"/>
  <c r="H90" i="16"/>
  <c r="M90" i="16" s="1"/>
  <c r="H98" i="16"/>
  <c r="P49" i="8"/>
  <c r="AW146" i="17" s="1"/>
  <c r="P48" i="8"/>
  <c r="AW145" i="17" s="1"/>
  <c r="P47" i="8"/>
  <c r="AW144" i="17" s="1"/>
  <c r="P46" i="8"/>
  <c r="B19" i="16" l="1"/>
  <c r="AB145" i="17"/>
  <c r="AC142" i="17"/>
  <c r="J11" i="16" s="1"/>
  <c r="AD142" i="17"/>
  <c r="AW148" i="17"/>
  <c r="AB149" i="17" s="1"/>
  <c r="H8" i="16" s="1"/>
  <c r="B8" i="16" s="1"/>
  <c r="AC146" i="17"/>
  <c r="J12" i="16" s="1"/>
  <c r="AD146" i="17"/>
  <c r="AB146" i="17"/>
  <c r="H12" i="16" s="1"/>
  <c r="AB142" i="17"/>
  <c r="H11" i="16" s="1"/>
  <c r="AC144" i="17"/>
  <c r="AD144" i="17"/>
  <c r="AB144" i="17"/>
  <c r="AU163" i="17"/>
  <c r="H91" i="16"/>
  <c r="M91" i="16" s="1"/>
  <c r="M33" i="16"/>
  <c r="AU165" i="17"/>
  <c r="M39" i="16"/>
  <c r="H24" i="16"/>
  <c r="P25" i="16"/>
  <c r="O25" i="16"/>
  <c r="N25" i="16"/>
  <c r="Q25" i="16"/>
  <c r="M34" i="16"/>
  <c r="R25" i="16"/>
  <c r="M100" i="16"/>
  <c r="H96" i="16"/>
  <c r="M96" i="16" s="1"/>
  <c r="H25" i="16"/>
  <c r="P50" i="8"/>
  <c r="AW147" i="17" s="1"/>
  <c r="AW143" i="17"/>
  <c r="AC145" i="17"/>
  <c r="AD145" i="17"/>
  <c r="J106" i="7"/>
  <c r="E106" i="7"/>
  <c r="N106" i="7" s="1"/>
  <c r="B73" i="12"/>
  <c r="B83" i="12" s="1"/>
  <c r="B72" i="12"/>
  <c r="B82" i="12" s="1"/>
  <c r="B71" i="12"/>
  <c r="B81" i="12" s="1"/>
  <c r="B70" i="12"/>
  <c r="B80" i="12" s="1"/>
  <c r="B69" i="12"/>
  <c r="B79" i="12" s="1"/>
  <c r="B68" i="12"/>
  <c r="B78" i="12" s="1"/>
  <c r="B67" i="12"/>
  <c r="B77" i="12" s="1"/>
  <c r="B66" i="12"/>
  <c r="B76" i="12" s="1"/>
  <c r="A66" i="12"/>
  <c r="A76" i="12" s="1"/>
  <c r="A63" i="12"/>
  <c r="A73" i="12" s="1"/>
  <c r="A83" i="12" s="1"/>
  <c r="A62" i="12"/>
  <c r="A72" i="12" s="1"/>
  <c r="A82" i="12" s="1"/>
  <c r="A61" i="12"/>
  <c r="A71" i="12" s="1"/>
  <c r="A81" i="12" s="1"/>
  <c r="A60" i="12"/>
  <c r="A70" i="12" s="1"/>
  <c r="A80" i="12" s="1"/>
  <c r="A59" i="12"/>
  <c r="A69" i="12" s="1"/>
  <c r="A79" i="12" s="1"/>
  <c r="A58" i="12"/>
  <c r="A68" i="12" s="1"/>
  <c r="A78" i="12" s="1"/>
  <c r="A57" i="12"/>
  <c r="A67" i="12" s="1"/>
  <c r="A77" i="12" s="1"/>
  <c r="J109" i="7"/>
  <c r="J107" i="7"/>
  <c r="E109" i="7"/>
  <c r="N109" i="7" s="1"/>
  <c r="K60" i="6"/>
  <c r="J60" i="6"/>
  <c r="I60" i="6"/>
  <c r="H60" i="6"/>
  <c r="G60" i="6"/>
  <c r="F60" i="6"/>
  <c r="E60" i="6"/>
  <c r="D60" i="6"/>
  <c r="C60" i="6"/>
  <c r="K59" i="6"/>
  <c r="J59" i="6"/>
  <c r="I59" i="6"/>
  <c r="H59" i="6"/>
  <c r="G59" i="6"/>
  <c r="F59" i="6"/>
  <c r="E59" i="6"/>
  <c r="D59" i="6"/>
  <c r="C59" i="6"/>
  <c r="K58" i="6"/>
  <c r="J58" i="6"/>
  <c r="I58" i="6"/>
  <c r="H58" i="6"/>
  <c r="G58" i="6"/>
  <c r="F58" i="6"/>
  <c r="E58" i="6"/>
  <c r="D58" i="6"/>
  <c r="C58" i="6"/>
  <c r="K57" i="6"/>
  <c r="J57" i="6"/>
  <c r="I57" i="6"/>
  <c r="H57" i="6"/>
  <c r="G57" i="6"/>
  <c r="F57" i="6"/>
  <c r="E57" i="6"/>
  <c r="D57" i="6"/>
  <c r="C57" i="6"/>
  <c r="K56" i="6"/>
  <c r="J56" i="6"/>
  <c r="I56" i="6"/>
  <c r="H56" i="6"/>
  <c r="G56" i="6"/>
  <c r="F56" i="6"/>
  <c r="E56" i="6"/>
  <c r="D56" i="6"/>
  <c r="M24" i="16" l="1"/>
  <c r="H2" i="16"/>
  <c r="D11" i="16"/>
  <c r="AC149" i="17"/>
  <c r="J8" i="16" s="1"/>
  <c r="AD149" i="17"/>
  <c r="Q24" i="16"/>
  <c r="O24" i="16"/>
  <c r="R24" i="16"/>
  <c r="P24" i="16"/>
  <c r="AC143" i="17"/>
  <c r="J6" i="16" s="1"/>
  <c r="D6" i="16" s="1"/>
  <c r="AD143" i="17"/>
  <c r="AB143" i="17"/>
  <c r="H6" i="16" s="1"/>
  <c r="D12" i="16"/>
  <c r="M12" i="16"/>
  <c r="J7" i="16"/>
  <c r="AC147" i="17"/>
  <c r="J9" i="16" s="1"/>
  <c r="AD147" i="17"/>
  <c r="AB147" i="17"/>
  <c r="H9" i="16" s="1"/>
  <c r="H71" i="16" s="1"/>
  <c r="H7" i="16"/>
  <c r="M11" i="16"/>
  <c r="H5961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87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589" i="2"/>
  <c r="D2588" i="2"/>
  <c r="D2587" i="2"/>
  <c r="D2586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80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3097" i="2"/>
  <c r="D3096" i="2"/>
  <c r="D3095" i="2"/>
  <c r="D3094" i="2"/>
  <c r="D3093" i="2"/>
  <c r="D3092" i="2"/>
  <c r="D3091" i="2"/>
  <c r="D3090" i="2"/>
  <c r="D3089" i="2"/>
  <c r="D3059" i="2"/>
  <c r="D3058" i="2"/>
  <c r="D120" i="2"/>
  <c r="D119" i="2"/>
  <c r="D118" i="2"/>
  <c r="D117" i="2"/>
  <c r="D116" i="2"/>
  <c r="D115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114" i="2"/>
  <c r="D113" i="2"/>
  <c r="D112" i="2"/>
  <c r="D111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1165" i="2"/>
  <c r="D1164" i="2"/>
  <c r="D1163" i="2"/>
  <c r="D1162" i="2"/>
  <c r="D1161" i="2"/>
  <c r="D1160" i="2"/>
  <c r="D115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88" i="2"/>
  <c r="D3087" i="2"/>
  <c r="D3086" i="2"/>
  <c r="D3085" i="2"/>
  <c r="D3084" i="2"/>
  <c r="D3083" i="2"/>
  <c r="D3082" i="2"/>
  <c r="D3081" i="2"/>
  <c r="D3080" i="2"/>
  <c r="D3079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110" i="2"/>
  <c r="D109" i="2"/>
  <c r="D108" i="2"/>
  <c r="D2895" i="2"/>
  <c r="D2894" i="2"/>
  <c r="D2893" i="2"/>
  <c r="D2892" i="2"/>
  <c r="D2891" i="2"/>
  <c r="D96" i="2"/>
  <c r="D9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107" i="2"/>
  <c r="D106" i="2"/>
  <c r="D5948" i="2"/>
  <c r="D5945" i="2"/>
  <c r="D5944" i="2"/>
  <c r="D5943" i="2"/>
  <c r="D5907" i="2"/>
  <c r="D5843" i="2"/>
  <c r="D5730" i="2"/>
  <c r="D5714" i="2"/>
  <c r="D5675" i="2"/>
  <c r="D5041" i="2"/>
  <c r="D5027" i="2"/>
  <c r="D4673" i="2"/>
  <c r="D4396" i="2"/>
  <c r="D3098" i="2"/>
  <c r="D2970" i="2"/>
  <c r="D2896" i="2"/>
  <c r="D2796" i="2"/>
  <c r="D2500" i="2"/>
  <c r="D2367" i="2"/>
  <c r="D2246" i="2"/>
  <c r="D1954" i="2"/>
  <c r="D1649" i="2"/>
  <c r="D1182" i="2"/>
  <c r="D1179" i="2"/>
  <c r="D1178" i="2"/>
  <c r="D1177" i="2"/>
  <c r="D1171" i="2"/>
  <c r="D823" i="2"/>
  <c r="D822" i="2"/>
  <c r="D821" i="2"/>
  <c r="D25" i="2"/>
  <c r="D1648" i="2"/>
  <c r="D1647" i="2"/>
  <c r="D1646" i="2"/>
  <c r="D1645" i="2"/>
  <c r="D1644" i="2"/>
  <c r="D38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29" i="2"/>
  <c r="D1521" i="2"/>
  <c r="D1520" i="2"/>
  <c r="D1519" i="2"/>
  <c r="D28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37" i="2"/>
  <c r="D27" i="2"/>
  <c r="D26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76" i="2"/>
  <c r="D1475" i="2"/>
  <c r="D1474" i="2"/>
  <c r="D1473" i="2"/>
  <c r="D1472" i="2"/>
  <c r="D1471" i="2"/>
  <c r="D1470" i="2"/>
  <c r="D1469" i="2"/>
  <c r="D1468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467" i="2"/>
  <c r="D1466" i="2"/>
  <c r="D1465" i="2"/>
  <c r="D1464" i="2"/>
  <c r="D1463" i="2"/>
  <c r="D1462" i="2"/>
  <c r="D1461" i="2"/>
  <c r="D1460" i="2"/>
  <c r="D1459" i="2"/>
  <c r="D1458" i="2"/>
  <c r="D1457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1" i="2"/>
  <c r="D5000" i="2"/>
  <c r="D4999" i="2"/>
  <c r="D4998" i="2"/>
  <c r="D4997" i="2"/>
  <c r="D4996" i="2"/>
  <c r="D4995" i="2"/>
  <c r="D4994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040" i="2"/>
  <c r="D5641" i="2"/>
  <c r="D5640" i="2"/>
  <c r="D5622" i="2"/>
  <c r="D5621" i="2"/>
  <c r="D5620" i="2"/>
  <c r="D5619" i="2"/>
  <c r="D5618" i="2"/>
  <c r="D5617" i="2"/>
  <c r="D5616" i="2"/>
  <c r="D5609" i="2"/>
  <c r="D5608" i="2"/>
  <c r="D5607" i="2"/>
  <c r="D5606" i="2"/>
  <c r="D5605" i="2"/>
  <c r="D5598" i="2"/>
  <c r="D5597" i="2"/>
  <c r="D5596" i="2"/>
  <c r="D5595" i="2"/>
  <c r="D5594" i="2"/>
  <c r="D5571" i="2"/>
  <c r="D5537" i="2"/>
  <c r="D5393" i="2"/>
  <c r="D5392" i="2"/>
  <c r="D5360" i="2"/>
  <c r="D5264" i="2"/>
  <c r="D5237" i="2"/>
  <c r="D5236" i="2"/>
  <c r="D5235" i="2"/>
  <c r="D5234" i="2"/>
  <c r="D5233" i="2"/>
  <c r="D5192" i="2"/>
  <c r="D5191" i="2"/>
  <c r="D5190" i="2"/>
  <c r="D5189" i="2"/>
  <c r="D5172" i="2"/>
  <c r="D5171" i="2"/>
  <c r="D5170" i="2"/>
  <c r="D5169" i="2"/>
  <c r="D5168" i="2"/>
  <c r="D5151" i="2"/>
  <c r="D5150" i="2"/>
  <c r="D5149" i="2"/>
  <c r="D5148" i="2"/>
  <c r="D5147" i="2"/>
  <c r="D5128" i="2"/>
  <c r="D5127" i="2"/>
  <c r="D5126" i="2"/>
  <c r="D5125" i="2"/>
  <c r="D5124" i="2"/>
  <c r="D5123" i="2"/>
  <c r="D5092" i="2"/>
  <c r="D4871" i="2"/>
  <c r="D4870" i="2"/>
  <c r="D4869" i="2"/>
  <c r="D4814" i="2"/>
  <c r="D4813" i="2"/>
  <c r="D4812" i="2"/>
  <c r="D4791" i="2"/>
  <c r="D4783" i="2"/>
  <c r="D4777" i="2"/>
  <c r="D4688" i="2"/>
  <c r="D4687" i="2"/>
  <c r="D4513" i="2"/>
  <c r="D4512" i="2"/>
  <c r="D4511" i="2"/>
  <c r="D3141" i="2"/>
  <c r="D2857" i="2"/>
  <c r="D2856" i="2"/>
  <c r="D2855" i="2"/>
  <c r="D2854" i="2"/>
  <c r="D2853" i="2"/>
  <c r="D2852" i="2"/>
  <c r="D2795" i="2"/>
  <c r="D2400" i="2"/>
  <c r="D2344" i="2"/>
  <c r="D2343" i="2"/>
  <c r="D2331" i="2"/>
  <c r="D5904" i="2"/>
  <c r="D5903" i="2"/>
  <c r="D5902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174" i="2"/>
  <c r="D1173" i="2"/>
  <c r="D1172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7" i="2"/>
  <c r="D5946" i="2"/>
  <c r="D5942" i="2"/>
  <c r="D1941" i="2"/>
  <c r="D1181" i="2"/>
  <c r="D1180" i="2"/>
  <c r="D1176" i="2"/>
  <c r="D1175" i="2"/>
  <c r="D1170" i="2"/>
  <c r="D1169" i="2"/>
  <c r="D36" i="2"/>
  <c r="D35" i="2"/>
  <c r="D24" i="2"/>
  <c r="D23" i="2"/>
  <c r="D22" i="2"/>
  <c r="D13" i="2"/>
  <c r="D12" i="2"/>
  <c r="D11" i="2"/>
  <c r="D10" i="2"/>
  <c r="D9" i="2"/>
  <c r="D8" i="2"/>
  <c r="D7" i="2"/>
  <c r="D6" i="2"/>
  <c r="D5" i="2"/>
  <c r="D4" i="2"/>
  <c r="D3" i="2"/>
  <c r="D1940" i="2"/>
  <c r="D1939" i="2"/>
  <c r="D1938" i="2"/>
  <c r="D1937" i="2"/>
  <c r="D33" i="2"/>
  <c r="D4809" i="2"/>
  <c r="D2969" i="2"/>
  <c r="D2968" i="2"/>
  <c r="D2967" i="2"/>
  <c r="D2966" i="2"/>
  <c r="D2965" i="2"/>
  <c r="D2964" i="2"/>
  <c r="D2963" i="2"/>
  <c r="D2962" i="2"/>
  <c r="D2773" i="2"/>
  <c r="D105" i="2"/>
  <c r="D2961" i="2"/>
  <c r="D2960" i="2"/>
  <c r="D2959" i="2"/>
  <c r="D2958" i="2"/>
  <c r="D2957" i="2"/>
  <c r="D2956" i="2"/>
  <c r="D2955" i="2"/>
  <c r="D2954" i="2"/>
  <c r="D2953" i="2"/>
  <c r="D2952" i="2"/>
  <c r="D2951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1168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94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4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921" i="2"/>
  <c r="D1920" i="2"/>
  <c r="D1919" i="2"/>
  <c r="D1918" i="2"/>
  <c r="D1917" i="2"/>
  <c r="D1916" i="2"/>
  <c r="D1915" i="2"/>
  <c r="D1914" i="2"/>
  <c r="D1913" i="2"/>
  <c r="D1912" i="2"/>
  <c r="D1911" i="2"/>
  <c r="D1936" i="2"/>
  <c r="D1935" i="2"/>
  <c r="D1934" i="2"/>
  <c r="D1933" i="2"/>
  <c r="D1932" i="2"/>
  <c r="D193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21" i="2"/>
  <c r="D20" i="2"/>
  <c r="D19" i="2"/>
  <c r="D18" i="2"/>
  <c r="D17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891" i="2"/>
  <c r="D1890" i="2"/>
  <c r="D1889" i="2"/>
  <c r="D1888" i="2"/>
  <c r="D1887" i="2"/>
  <c r="D1886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30" i="2"/>
  <c r="D5627" i="2"/>
  <c r="D5626" i="2"/>
  <c r="D5625" i="2"/>
  <c r="D5624" i="2"/>
  <c r="D1109" i="2"/>
  <c r="D1108" i="2"/>
  <c r="D1107" i="2"/>
  <c r="D5570" i="2"/>
  <c r="D5569" i="2"/>
  <c r="D5568" i="2"/>
  <c r="D5567" i="2"/>
  <c r="D5566" i="2"/>
  <c r="D1098" i="2"/>
  <c r="D1097" i="2"/>
  <c r="D5623" i="2"/>
  <c r="D5615" i="2"/>
  <c r="D5614" i="2"/>
  <c r="D5613" i="2"/>
  <c r="D5612" i="2"/>
  <c r="D5611" i="2"/>
  <c r="D5610" i="2"/>
  <c r="D5604" i="2"/>
  <c r="D5603" i="2"/>
  <c r="D5602" i="2"/>
  <c r="D5601" i="2"/>
  <c r="D5600" i="2"/>
  <c r="D5599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1106" i="2"/>
  <c r="D1105" i="2"/>
  <c r="D1104" i="2"/>
  <c r="D1103" i="2"/>
  <c r="D1102" i="2"/>
  <c r="D1101" i="2"/>
  <c r="D1100" i="2"/>
  <c r="D1099" i="2"/>
  <c r="D1096" i="2"/>
  <c r="D1095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1063" i="2"/>
  <c r="D1062" i="2"/>
  <c r="D1061" i="2"/>
  <c r="D1060" i="2"/>
  <c r="D1059" i="2"/>
  <c r="D1058" i="2"/>
  <c r="D1057" i="2"/>
  <c r="D1056" i="2"/>
  <c r="D1055" i="2"/>
  <c r="D1054" i="2"/>
  <c r="D5536" i="2"/>
  <c r="D5535" i="2"/>
  <c r="D5534" i="2"/>
  <c r="D5533" i="2"/>
  <c r="D5411" i="2"/>
  <c r="D5410" i="2"/>
  <c r="D5409" i="2"/>
  <c r="D5408" i="2"/>
  <c r="D5407" i="2"/>
  <c r="D5406" i="2"/>
  <c r="D5405" i="2"/>
  <c r="D5404" i="2"/>
  <c r="D1094" i="2"/>
  <c r="D1093" i="2"/>
  <c r="D1092" i="2"/>
  <c r="D1091" i="2"/>
  <c r="D1053" i="2"/>
  <c r="D1052" i="2"/>
  <c r="D1051" i="2"/>
  <c r="D5632" i="2"/>
  <c r="D5451" i="2"/>
  <c r="D5403" i="2"/>
  <c r="D5232" i="2"/>
  <c r="D5188" i="2"/>
  <c r="D5167" i="2"/>
  <c r="D1115" i="2"/>
  <c r="D1075" i="2"/>
  <c r="D1050" i="2"/>
  <c r="D965" i="2"/>
  <c r="D953" i="2"/>
  <c r="D944" i="2"/>
  <c r="D5267" i="2"/>
  <c r="D5266" i="2"/>
  <c r="D5265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4" i="2"/>
  <c r="D963" i="2"/>
  <c r="D962" i="2"/>
  <c r="D961" i="2"/>
  <c r="D960" i="2"/>
  <c r="D959" i="2"/>
  <c r="D958" i="2"/>
  <c r="D957" i="2"/>
  <c r="D956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39" i="2"/>
  <c r="D5638" i="2"/>
  <c r="D5637" i="2"/>
  <c r="D5636" i="2"/>
  <c r="D5635" i="2"/>
  <c r="D5634" i="2"/>
  <c r="D5633" i="2"/>
  <c r="D5631" i="2"/>
  <c r="D5630" i="2"/>
  <c r="D5629" i="2"/>
  <c r="D5628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4" i="2"/>
  <c r="D1113" i="2"/>
  <c r="D1112" i="2"/>
  <c r="D1111" i="2"/>
  <c r="D1110" i="2"/>
  <c r="D5402" i="2"/>
  <c r="D5401" i="2"/>
  <c r="D5400" i="2"/>
  <c r="D5399" i="2"/>
  <c r="D5398" i="2"/>
  <c r="D5397" i="2"/>
  <c r="D5396" i="2"/>
  <c r="D5395" i="2"/>
  <c r="D5394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59" i="2"/>
  <c r="D5358" i="2"/>
  <c r="D5357" i="2"/>
  <c r="D5356" i="2"/>
  <c r="D5355" i="2"/>
  <c r="D5354" i="2"/>
  <c r="D5353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1090" i="2"/>
  <c r="D1089" i="2"/>
  <c r="D1088" i="2"/>
  <c r="D1087" i="2"/>
  <c r="D1086" i="2"/>
  <c r="D1085" i="2"/>
  <c r="D1084" i="2"/>
  <c r="D1083" i="2"/>
  <c r="D1082" i="2"/>
  <c r="D1081" i="2"/>
  <c r="D1080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1079" i="2"/>
  <c r="D1078" i="2"/>
  <c r="D1074" i="2"/>
  <c r="D1073" i="2"/>
  <c r="D1072" i="2"/>
  <c r="D1071" i="2"/>
  <c r="D1070" i="2"/>
  <c r="D1069" i="2"/>
  <c r="D1068" i="2"/>
  <c r="D1067" i="2"/>
  <c r="D1066" i="2"/>
  <c r="D1065" i="2"/>
  <c r="D1064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943" i="2"/>
  <c r="D942" i="2"/>
  <c r="D941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52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955" i="2"/>
  <c r="D954" i="2"/>
  <c r="D952" i="2"/>
  <c r="D951" i="2"/>
  <c r="D950" i="2"/>
  <c r="D949" i="2"/>
  <c r="D948" i="2"/>
  <c r="D947" i="2"/>
  <c r="D946" i="2"/>
  <c r="D945" i="2"/>
  <c r="D940" i="2"/>
  <c r="D939" i="2"/>
  <c r="D938" i="2"/>
  <c r="D937" i="2"/>
  <c r="D936" i="2"/>
  <c r="D935" i="2"/>
  <c r="D934" i="2"/>
  <c r="D933" i="2"/>
  <c r="D932" i="2"/>
  <c r="D5116" i="2"/>
  <c r="D5115" i="2"/>
  <c r="D5114" i="2"/>
  <c r="D5113" i="2"/>
  <c r="D5112" i="2"/>
  <c r="D5111" i="2"/>
  <c r="D5110" i="2"/>
  <c r="D5109" i="2"/>
  <c r="D5108" i="2"/>
  <c r="D5107" i="2"/>
  <c r="D928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1" i="2"/>
  <c r="D927" i="2"/>
  <c r="D5122" i="2"/>
  <c r="D5121" i="2"/>
  <c r="D5120" i="2"/>
  <c r="D5119" i="2"/>
  <c r="D5118" i="2"/>
  <c r="D5117" i="2"/>
  <c r="D5094" i="2"/>
  <c r="D5093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931" i="2"/>
  <c r="D930" i="2"/>
  <c r="D929" i="2"/>
  <c r="D926" i="2"/>
  <c r="D925" i="2"/>
  <c r="D924" i="2"/>
  <c r="D923" i="2"/>
  <c r="D922" i="2"/>
  <c r="D921" i="2"/>
  <c r="D920" i="2"/>
  <c r="D919" i="2"/>
  <c r="D918" i="2"/>
  <c r="D2741" i="2"/>
  <c r="D2740" i="2"/>
  <c r="D2739" i="2"/>
  <c r="D2738" i="2"/>
  <c r="D2737" i="2"/>
  <c r="D2736" i="2"/>
  <c r="D2735" i="2"/>
  <c r="D2734" i="2"/>
  <c r="D2680" i="2"/>
  <c r="D2679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86" i="2"/>
  <c r="D85" i="2"/>
  <c r="D2186" i="2"/>
  <c r="D2185" i="2"/>
  <c r="D2184" i="2"/>
  <c r="D2183" i="2"/>
  <c r="D2182" i="2"/>
  <c r="D2181" i="2"/>
  <c r="D2180" i="2"/>
  <c r="D2179" i="2"/>
  <c r="D2178" i="2"/>
  <c r="D2177" i="2"/>
  <c r="D2176" i="2"/>
  <c r="D56" i="2"/>
  <c r="D55" i="2"/>
  <c r="D54" i="2"/>
  <c r="D53" i="2"/>
  <c r="D52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63" i="2"/>
  <c r="D62" i="2"/>
  <c r="D61" i="2"/>
  <c r="D60" i="2"/>
  <c r="D59" i="2"/>
  <c r="D58" i="2"/>
  <c r="D57" i="2"/>
  <c r="D5729" i="2"/>
  <c r="D1144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6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47" i="2"/>
  <c r="D46" i="2"/>
  <c r="D45" i="2"/>
  <c r="D44" i="2"/>
  <c r="D43" i="2"/>
  <c r="D42" i="2"/>
  <c r="D41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5713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1136" i="2"/>
  <c r="D1135" i="2"/>
  <c r="D1134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5712" i="2"/>
  <c r="D5711" i="2"/>
  <c r="D5710" i="2"/>
  <c r="D5709" i="2"/>
  <c r="D5708" i="2"/>
  <c r="D5707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40" i="2"/>
  <c r="D3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84" i="2"/>
  <c r="D83" i="2"/>
  <c r="D82" i="2"/>
  <c r="D5674" i="2"/>
  <c r="D5673" i="2"/>
  <c r="D5672" i="2"/>
  <c r="D5671" i="2"/>
  <c r="D5670" i="2"/>
  <c r="D5669" i="2"/>
  <c r="D1133" i="2"/>
  <c r="D1132" i="2"/>
  <c r="D1131" i="2"/>
  <c r="D1130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1077" i="2"/>
  <c r="D1076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898" i="2"/>
  <c r="D897" i="2"/>
  <c r="D4844" i="2"/>
  <c r="D4843" i="2"/>
  <c r="D4792" i="2"/>
  <c r="D4785" i="2"/>
  <c r="D4784" i="2"/>
  <c r="D4781" i="2"/>
  <c r="D4780" i="2"/>
  <c r="D4779" i="2"/>
  <c r="D4764" i="2"/>
  <c r="D4763" i="2"/>
  <c r="D4738" i="2"/>
  <c r="D4737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849" i="2"/>
  <c r="D4848" i="2"/>
  <c r="D4847" i="2"/>
  <c r="D4846" i="2"/>
  <c r="D4845" i="2"/>
  <c r="D900" i="2"/>
  <c r="D899" i="2"/>
  <c r="D4858" i="2"/>
  <c r="D4857" i="2"/>
  <c r="D4856" i="2"/>
  <c r="D4855" i="2"/>
  <c r="D4854" i="2"/>
  <c r="D4853" i="2"/>
  <c r="D4852" i="2"/>
  <c r="D4851" i="2"/>
  <c r="D4850" i="2"/>
  <c r="D901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890" i="2"/>
  <c r="D4691" i="2"/>
  <c r="D4690" i="2"/>
  <c r="D4689" i="2"/>
  <c r="D889" i="2"/>
  <c r="D888" i="2"/>
  <c r="D4782" i="2"/>
  <c r="D4778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895" i="2"/>
  <c r="D894" i="2"/>
  <c r="D4790" i="2"/>
  <c r="D4789" i="2"/>
  <c r="D4788" i="2"/>
  <c r="D4787" i="2"/>
  <c r="D4786" i="2"/>
  <c r="D896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893" i="2"/>
  <c r="D892" i="2"/>
  <c r="D891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5002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55" i="2"/>
  <c r="D4954" i="2"/>
  <c r="D4953" i="2"/>
  <c r="D4952" i="2"/>
  <c r="D4951" i="2"/>
  <c r="D4950" i="2"/>
  <c r="D4949" i="2"/>
  <c r="D4948" i="2"/>
  <c r="D4947" i="2"/>
  <c r="D4946" i="2"/>
  <c r="D917" i="2"/>
  <c r="D916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909" i="2"/>
  <c r="D908" i="2"/>
  <c r="D4937" i="2"/>
  <c r="D4936" i="2"/>
  <c r="D4935" i="2"/>
  <c r="D4934" i="2"/>
  <c r="D4933" i="2"/>
  <c r="D4932" i="2"/>
  <c r="D4931" i="2"/>
  <c r="D914" i="2"/>
  <c r="D4944" i="2"/>
  <c r="D4943" i="2"/>
  <c r="D4942" i="2"/>
  <c r="D4941" i="2"/>
  <c r="D4940" i="2"/>
  <c r="D4945" i="2"/>
  <c r="D4888" i="2"/>
  <c r="D4887" i="2"/>
  <c r="D4868" i="2"/>
  <c r="D4867" i="2"/>
  <c r="D4866" i="2"/>
  <c r="D4865" i="2"/>
  <c r="D4864" i="2"/>
  <c r="D4863" i="2"/>
  <c r="D4862" i="2"/>
  <c r="D4861" i="2"/>
  <c r="D4860" i="2"/>
  <c r="D4549" i="2"/>
  <c r="D4548" i="2"/>
  <c r="D4547" i="2"/>
  <c r="D4546" i="2"/>
  <c r="D4545" i="2"/>
  <c r="D4544" i="2"/>
  <c r="D4543" i="2"/>
  <c r="D2844" i="2"/>
  <c r="D906" i="2"/>
  <c r="D905" i="2"/>
  <c r="D904" i="2"/>
  <c r="D903" i="2"/>
  <c r="D865" i="2"/>
  <c r="D93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913" i="2"/>
  <c r="D912" i="2"/>
  <c r="D911" i="2"/>
  <c r="D910" i="2"/>
  <c r="D4889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907" i="2"/>
  <c r="D4939" i="2"/>
  <c r="D4938" i="2"/>
  <c r="D915" i="2"/>
  <c r="D4808" i="2"/>
  <c r="D480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887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616" i="2"/>
  <c r="D4615" i="2"/>
  <c r="D4614" i="2"/>
  <c r="D4613" i="2"/>
  <c r="D875" i="2"/>
  <c r="D874" i="2"/>
  <c r="D873" i="2"/>
  <c r="D872" i="2"/>
  <c r="D4482" i="2"/>
  <c r="D4481" i="2"/>
  <c r="D4480" i="2"/>
  <c r="D4479" i="2"/>
  <c r="D4478" i="2"/>
  <c r="D4477" i="2"/>
  <c r="D4476" i="2"/>
  <c r="D4475" i="2"/>
  <c r="D838" i="2"/>
  <c r="D837" i="2"/>
  <c r="D3975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840" i="2"/>
  <c r="D839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834" i="2"/>
  <c r="D833" i="2"/>
  <c r="D832" i="2"/>
  <c r="D831" i="2"/>
  <c r="D830" i="2"/>
  <c r="D4440" i="2"/>
  <c r="D4439" i="2"/>
  <c r="D4438" i="2"/>
  <c r="D4437" i="2"/>
  <c r="D4436" i="2"/>
  <c r="D4435" i="2"/>
  <c r="D4434" i="2"/>
  <c r="D4433" i="2"/>
  <c r="D4432" i="2"/>
  <c r="D4431" i="2"/>
  <c r="D4430" i="2"/>
  <c r="D829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870" i="2"/>
  <c r="D869" i="2"/>
  <c r="D868" i="2"/>
  <c r="D867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886" i="2"/>
  <c r="D885" i="2"/>
  <c r="D884" i="2"/>
  <c r="D883" i="2"/>
  <c r="D882" i="2"/>
  <c r="D881" i="2"/>
  <c r="D880" i="2"/>
  <c r="D879" i="2"/>
  <c r="D878" i="2"/>
  <c r="D877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876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3994" i="2"/>
  <c r="D3993" i="2"/>
  <c r="D3992" i="2"/>
  <c r="D3991" i="2"/>
  <c r="D3990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496" i="2"/>
  <c r="D495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511" i="2"/>
  <c r="D510" i="2"/>
  <c r="D509" i="2"/>
  <c r="D508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507" i="2"/>
  <c r="D506" i="2"/>
  <c r="D505" i="2"/>
  <c r="D4152" i="2"/>
  <c r="D4151" i="2"/>
  <c r="D4150" i="2"/>
  <c r="D4149" i="2"/>
  <c r="D4148" i="2"/>
  <c r="D4147" i="2"/>
  <c r="D4146" i="2"/>
  <c r="D4145" i="2"/>
  <c r="D4107" i="2"/>
  <c r="D4106" i="2"/>
  <c r="D4105" i="2"/>
  <c r="D4104" i="2"/>
  <c r="D4103" i="2"/>
  <c r="D4102" i="2"/>
  <c r="D4101" i="2"/>
  <c r="D4100" i="2"/>
  <c r="D4099" i="2"/>
  <c r="D4098" i="2"/>
  <c r="D3999" i="2"/>
  <c r="D3998" i="2"/>
  <c r="D3997" i="2"/>
  <c r="D3996" i="2"/>
  <c r="D3995" i="2"/>
  <c r="D3989" i="2"/>
  <c r="D553" i="2"/>
  <c r="D552" i="2"/>
  <c r="D551" i="2"/>
  <c r="D550" i="2"/>
  <c r="D549" i="2"/>
  <c r="D548" i="2"/>
  <c r="D547" i="2"/>
  <c r="D546" i="2"/>
  <c r="D545" i="2"/>
  <c r="D543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494" i="2"/>
  <c r="D493" i="2"/>
  <c r="D492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061" i="2"/>
  <c r="D4060" i="2"/>
  <c r="D4059" i="2"/>
  <c r="D4058" i="2"/>
  <c r="D4057" i="2"/>
  <c r="D4056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15" i="2"/>
  <c r="D514" i="2"/>
  <c r="D513" i="2"/>
  <c r="D512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4333" i="2"/>
  <c r="D4332" i="2"/>
  <c r="D4331" i="2"/>
  <c r="D4330" i="2"/>
  <c r="D4043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504" i="2"/>
  <c r="D503" i="2"/>
  <c r="D502" i="2"/>
  <c r="D501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014" i="2"/>
  <c r="D4013" i="2"/>
  <c r="D4012" i="2"/>
  <c r="D4011" i="2"/>
  <c r="D4010" i="2"/>
  <c r="D4009" i="2"/>
  <c r="D4008" i="2"/>
  <c r="D4007" i="2"/>
  <c r="D4006" i="2"/>
  <c r="D4005" i="2"/>
  <c r="D4004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500" i="2"/>
  <c r="D499" i="2"/>
  <c r="D498" i="2"/>
  <c r="D497" i="2"/>
  <c r="D4119" i="2"/>
  <c r="D4108" i="2"/>
  <c r="D542" i="2"/>
  <c r="D4294" i="2"/>
  <c r="D4118" i="2"/>
  <c r="D4117" i="2"/>
  <c r="D4116" i="2"/>
  <c r="D4115" i="2"/>
  <c r="D4114" i="2"/>
  <c r="D4113" i="2"/>
  <c r="D4112" i="2"/>
  <c r="D4111" i="2"/>
  <c r="D4110" i="2"/>
  <c r="D4109" i="2"/>
  <c r="D4003" i="2"/>
  <c r="D4002" i="2"/>
  <c r="D4001" i="2"/>
  <c r="D4000" i="2"/>
  <c r="D54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018" i="2"/>
  <c r="D4017" i="2"/>
  <c r="D4016" i="2"/>
  <c r="D4015" i="2"/>
  <c r="D717" i="2"/>
  <c r="D716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668" i="2"/>
  <c r="D667" i="2"/>
  <c r="D666" i="2"/>
  <c r="D665" i="2"/>
  <c r="D664" i="2"/>
  <c r="D663" i="2"/>
  <c r="D66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491" i="2"/>
  <c r="D490" i="2"/>
  <c r="D489" i="2"/>
  <c r="D48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3976" i="2"/>
  <c r="D527" i="2"/>
  <c r="D526" i="2"/>
  <c r="D525" i="2"/>
  <c r="D524" i="2"/>
  <c r="D523" i="2"/>
  <c r="D522" i="2"/>
  <c r="D521" i="2"/>
  <c r="D520" i="2"/>
  <c r="D519" i="2"/>
  <c r="D518" i="2"/>
  <c r="D517" i="2"/>
  <c r="D487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866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4612" i="2"/>
  <c r="D4611" i="2"/>
  <c r="D871" i="2"/>
  <c r="D4474" i="2"/>
  <c r="D836" i="2"/>
  <c r="D4610" i="2"/>
  <c r="D4609" i="2"/>
  <c r="D4608" i="2"/>
  <c r="D4607" i="2"/>
  <c r="D4606" i="2"/>
  <c r="D4605" i="2"/>
  <c r="D4604" i="2"/>
  <c r="D4473" i="2"/>
  <c r="D835" i="2"/>
  <c r="D4510" i="2"/>
  <c r="D4509" i="2"/>
  <c r="D4508" i="2"/>
  <c r="D4507" i="2"/>
  <c r="D4506" i="2"/>
  <c r="D4505" i="2"/>
  <c r="D4504" i="2"/>
  <c r="D4503" i="2"/>
  <c r="D4502" i="2"/>
  <c r="D4501" i="2"/>
  <c r="D4500" i="2"/>
  <c r="D843" i="2"/>
  <c r="D842" i="2"/>
  <c r="D841" i="2"/>
  <c r="D4429" i="2"/>
  <c r="D4428" i="2"/>
  <c r="D4427" i="2"/>
  <c r="D4426" i="2"/>
  <c r="D4425" i="2"/>
  <c r="D4424" i="2"/>
  <c r="D4423" i="2"/>
  <c r="D4422" i="2"/>
  <c r="D4421" i="2"/>
  <c r="D828" i="2"/>
  <c r="D827" i="2"/>
  <c r="D826" i="2"/>
  <c r="D825" i="2"/>
  <c r="D824" i="2"/>
  <c r="D3896" i="2"/>
  <c r="D3895" i="2"/>
  <c r="D3894" i="2"/>
  <c r="D3893" i="2"/>
  <c r="D3892" i="2"/>
  <c r="D3891" i="2"/>
  <c r="D3890" i="2"/>
  <c r="D3889" i="2"/>
  <c r="D453" i="2"/>
  <c r="D452" i="2"/>
  <c r="D451" i="2"/>
  <c r="D450" i="2"/>
  <c r="D449" i="2"/>
  <c r="D448" i="2"/>
  <c r="D447" i="2"/>
  <c r="D446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486" i="2"/>
  <c r="D485" i="2"/>
  <c r="D484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445" i="2"/>
  <c r="D444" i="2"/>
  <c r="D443" i="2"/>
  <c r="D442" i="2"/>
  <c r="D441" i="2"/>
  <c r="D440" i="2"/>
  <c r="D439" i="2"/>
  <c r="D438" i="2"/>
  <c r="D437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436" i="2"/>
  <c r="D435" i="2"/>
  <c r="D434" i="2"/>
  <c r="D433" i="2"/>
  <c r="D432" i="2"/>
  <c r="D431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430" i="2"/>
  <c r="D429" i="2"/>
  <c r="D428" i="2"/>
  <c r="D427" i="2"/>
  <c r="D426" i="2"/>
  <c r="D425" i="2"/>
  <c r="D424" i="2"/>
  <c r="D423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422" i="2"/>
  <c r="D421" i="2"/>
  <c r="D420" i="2"/>
  <c r="D419" i="2"/>
  <c r="D418" i="2"/>
  <c r="D417" i="2"/>
  <c r="D416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415" i="2"/>
  <c r="D414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413" i="2"/>
  <c r="D412" i="2"/>
  <c r="D411" i="2"/>
  <c r="D410" i="2"/>
  <c r="D409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408" i="2"/>
  <c r="D407" i="2"/>
  <c r="D406" i="2"/>
  <c r="D405" i="2"/>
  <c r="D404" i="2"/>
  <c r="D403" i="2"/>
  <c r="D402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401" i="2"/>
  <c r="D400" i="2"/>
  <c r="D399" i="2"/>
  <c r="D398" i="2"/>
  <c r="D397" i="2"/>
  <c r="D396" i="2"/>
  <c r="D395" i="2"/>
  <c r="D394" i="2"/>
  <c r="D393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92" i="2"/>
  <c r="D391" i="2"/>
  <c r="D390" i="2"/>
  <c r="D389" i="2"/>
  <c r="D388" i="2"/>
  <c r="D387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86" i="2"/>
  <c r="D385" i="2"/>
  <c r="D384" i="2"/>
  <c r="D383" i="2"/>
  <c r="D382" i="2"/>
  <c r="D381" i="2"/>
  <c r="D380" i="2"/>
  <c r="D379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8" i="2"/>
  <c r="D377" i="2"/>
  <c r="D376" i="2"/>
  <c r="D375" i="2"/>
  <c r="D374" i="2"/>
  <c r="D373" i="2"/>
  <c r="D372" i="2"/>
  <c r="D371" i="2"/>
  <c r="D370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69" i="2"/>
  <c r="D368" i="2"/>
  <c r="D367" i="2"/>
  <c r="D366" i="2"/>
  <c r="D365" i="2"/>
  <c r="D364" i="2"/>
  <c r="D363" i="2"/>
  <c r="D362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1" i="2"/>
  <c r="D360" i="2"/>
  <c r="D359" i="2"/>
  <c r="D358" i="2"/>
  <c r="D357" i="2"/>
  <c r="D356" i="2"/>
  <c r="D355" i="2"/>
  <c r="D354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53" i="2"/>
  <c r="D352" i="2"/>
  <c r="D351" i="2"/>
  <c r="D350" i="2"/>
  <c r="D349" i="2"/>
  <c r="D348" i="2"/>
  <c r="D347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46" i="2"/>
  <c r="D345" i="2"/>
  <c r="D344" i="2"/>
  <c r="D343" i="2"/>
  <c r="D342" i="2"/>
  <c r="D341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40" i="2"/>
  <c r="D339" i="2"/>
  <c r="D338" i="2"/>
  <c r="D337" i="2"/>
  <c r="D336" i="2"/>
  <c r="D335" i="2"/>
  <c r="D334" i="2"/>
  <c r="D333" i="2"/>
  <c r="D332" i="2"/>
  <c r="D331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30" i="2"/>
  <c r="D329" i="2"/>
  <c r="D328" i="2"/>
  <c r="D327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26" i="2"/>
  <c r="D325" i="2"/>
  <c r="D324" i="2"/>
  <c r="D323" i="2"/>
  <c r="D322" i="2"/>
  <c r="D321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20" i="2"/>
  <c r="D319" i="2"/>
  <c r="D318" i="2"/>
  <c r="D317" i="2"/>
  <c r="D316" i="2"/>
  <c r="D315" i="2"/>
  <c r="D314" i="2"/>
  <c r="D3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12" i="2"/>
  <c r="D311" i="2"/>
  <c r="D310" i="2"/>
  <c r="D309" i="2"/>
  <c r="D308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07" i="2"/>
  <c r="D306" i="2"/>
  <c r="D305" i="2"/>
  <c r="D304" i="2"/>
  <c r="D303" i="2"/>
  <c r="D302" i="2"/>
  <c r="D301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00" i="2"/>
  <c r="D299" i="2"/>
  <c r="D298" i="2"/>
  <c r="D297" i="2"/>
  <c r="D296" i="2"/>
  <c r="D295" i="2"/>
  <c r="D294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293" i="2"/>
  <c r="D292" i="2"/>
  <c r="D291" i="2"/>
  <c r="D290" i="2"/>
  <c r="D28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288" i="2"/>
  <c r="D287" i="2"/>
  <c r="D286" i="2"/>
  <c r="D285" i="2"/>
  <c r="D284" i="2"/>
  <c r="D283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282" i="2"/>
  <c r="D281" i="2"/>
  <c r="D280" i="2"/>
  <c r="D279" i="2"/>
  <c r="D278" i="2"/>
  <c r="D277" i="2"/>
  <c r="D276" i="2"/>
  <c r="D275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274" i="2"/>
  <c r="D273" i="2"/>
  <c r="D272" i="2"/>
  <c r="D271" i="2"/>
  <c r="D270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269" i="2"/>
  <c r="D268" i="2"/>
  <c r="D267" i="2"/>
  <c r="D26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265" i="2"/>
  <c r="D264" i="2"/>
  <c r="D263" i="2"/>
  <c r="D262" i="2"/>
  <c r="D261" i="2"/>
  <c r="D260" i="2"/>
  <c r="D259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258" i="2"/>
  <c r="D257" i="2"/>
  <c r="D256" i="2"/>
  <c r="D255" i="2"/>
  <c r="D254" i="2"/>
  <c r="D253" i="2"/>
  <c r="D252" i="2"/>
  <c r="D251" i="2"/>
  <c r="D250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249" i="2"/>
  <c r="D248" i="2"/>
  <c r="D247" i="2"/>
  <c r="D246" i="2"/>
  <c r="D245" i="2"/>
  <c r="D244" i="2"/>
  <c r="D243" i="2"/>
  <c r="D242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241" i="2"/>
  <c r="D240" i="2"/>
  <c r="D239" i="2"/>
  <c r="D238" i="2"/>
  <c r="D237" i="2"/>
  <c r="D236" i="2"/>
  <c r="D235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234" i="2"/>
  <c r="D233" i="2"/>
  <c r="D232" i="2"/>
  <c r="D231" i="2"/>
  <c r="D230" i="2"/>
  <c r="D229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228" i="2"/>
  <c r="D227" i="2"/>
  <c r="D226" i="2"/>
  <c r="D225" i="2"/>
  <c r="D224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223" i="2"/>
  <c r="D222" i="2"/>
  <c r="D221" i="2"/>
  <c r="D220" i="2"/>
  <c r="D219" i="2"/>
  <c r="D218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217" i="2"/>
  <c r="D216" i="2"/>
  <c r="D215" i="2"/>
  <c r="D214" i="2"/>
  <c r="D213" i="2"/>
  <c r="D212" i="2"/>
  <c r="D211" i="2"/>
  <c r="D210" i="2"/>
  <c r="D209" i="2"/>
  <c r="D208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207" i="2"/>
  <c r="D206" i="2"/>
  <c r="D205" i="2"/>
  <c r="D204" i="2"/>
  <c r="D203" i="2"/>
  <c r="D202" i="2"/>
  <c r="D201" i="2"/>
  <c r="D200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199" i="2"/>
  <c r="D198" i="2"/>
  <c r="D197" i="2"/>
  <c r="D196" i="2"/>
  <c r="D195" i="2"/>
  <c r="D194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193" i="2"/>
  <c r="D192" i="2"/>
  <c r="D191" i="2"/>
  <c r="D190" i="2"/>
  <c r="D189" i="2"/>
  <c r="D188" i="2"/>
  <c r="D187" i="2"/>
  <c r="D186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185" i="2"/>
  <c r="D184" i="2"/>
  <c r="D183" i="2"/>
  <c r="D182" i="2"/>
  <c r="D181" i="2"/>
  <c r="D180" i="2"/>
  <c r="D179" i="2"/>
  <c r="D178" i="2"/>
  <c r="D177" i="2"/>
  <c r="D176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175" i="2"/>
  <c r="D3314" i="2"/>
  <c r="D3313" i="2"/>
  <c r="D3312" i="2"/>
  <c r="D3311" i="2"/>
  <c r="D3310" i="2"/>
  <c r="D3309" i="2"/>
  <c r="D3308" i="2"/>
  <c r="D3307" i="2"/>
  <c r="D3306" i="2"/>
  <c r="D3305" i="2"/>
  <c r="D3304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174" i="2"/>
  <c r="D173" i="2"/>
  <c r="D172" i="2"/>
  <c r="D171" i="2"/>
  <c r="D170" i="2"/>
  <c r="D169" i="2"/>
  <c r="D168" i="2"/>
  <c r="D167" i="2"/>
  <c r="D166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163" i="2"/>
  <c r="D162" i="2"/>
  <c r="D161" i="2"/>
  <c r="D160" i="2"/>
  <c r="D159" i="2"/>
  <c r="D158" i="2"/>
  <c r="D157" i="2"/>
  <c r="D156" i="2"/>
  <c r="D155" i="2"/>
  <c r="D154" i="2"/>
  <c r="D153" i="2"/>
  <c r="D3273" i="2"/>
  <c r="D3272" i="2"/>
  <c r="D3271" i="2"/>
  <c r="D3270" i="2"/>
  <c r="D3269" i="2"/>
  <c r="D3268" i="2"/>
  <c r="D3267" i="2"/>
  <c r="D3266" i="2"/>
  <c r="D3265" i="2"/>
  <c r="D3264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152" i="2"/>
  <c r="D151" i="2"/>
  <c r="D150" i="2"/>
  <c r="D149" i="2"/>
  <c r="D148" i="2"/>
  <c r="D147" i="2"/>
  <c r="D146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145" i="2"/>
  <c r="D144" i="2"/>
  <c r="D143" i="2"/>
  <c r="D142" i="2"/>
  <c r="D141" i="2"/>
  <c r="D140" i="2"/>
  <c r="D139" i="2"/>
  <c r="D138" i="2"/>
  <c r="D137" i="2"/>
  <c r="D136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135" i="2"/>
  <c r="D134" i="2"/>
  <c r="D133" i="2"/>
  <c r="D132" i="2"/>
  <c r="D131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4603" i="2"/>
  <c r="D4499" i="2"/>
  <c r="D4065" i="2"/>
  <c r="D4064" i="2"/>
  <c r="D4063" i="2"/>
  <c r="D4062" i="2"/>
  <c r="D3303" i="2"/>
  <c r="D3278" i="2"/>
  <c r="D3277" i="2"/>
  <c r="D3276" i="2"/>
  <c r="D3275" i="2"/>
  <c r="D3274" i="2"/>
  <c r="D3176" i="2"/>
  <c r="D3152" i="2"/>
  <c r="D3151" i="2"/>
  <c r="D3150" i="2"/>
  <c r="D3149" i="2"/>
  <c r="D3148" i="2"/>
  <c r="D3147" i="2"/>
  <c r="D3146" i="2"/>
  <c r="D3140" i="2"/>
  <c r="D3139" i="2"/>
  <c r="D3138" i="2"/>
  <c r="D3137" i="2"/>
  <c r="D3136" i="2"/>
  <c r="D516" i="2"/>
  <c r="D165" i="2"/>
  <c r="D164" i="2"/>
  <c r="D128" i="2"/>
  <c r="D3145" i="2"/>
  <c r="D3144" i="2"/>
  <c r="D3143" i="2"/>
  <c r="D3142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130" i="2"/>
  <c r="D129" i="2"/>
  <c r="D127" i="2"/>
  <c r="D126" i="2"/>
  <c r="D125" i="2"/>
  <c r="D124" i="2"/>
  <c r="D123" i="2"/>
  <c r="D122" i="2"/>
  <c r="D5755" i="2"/>
  <c r="D5754" i="2"/>
  <c r="D1145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5906" i="2"/>
  <c r="D5905" i="2"/>
  <c r="D1167" i="2"/>
  <c r="D1166" i="2"/>
  <c r="D1143" i="2"/>
  <c r="D1142" i="2"/>
  <c r="D1141" i="2"/>
  <c r="D1140" i="2"/>
  <c r="D1139" i="2"/>
  <c r="D1138" i="2"/>
  <c r="D2688" i="2"/>
  <c r="D2687" i="2"/>
  <c r="D2686" i="2"/>
  <c r="D2685" i="2"/>
  <c r="D2684" i="2"/>
  <c r="D2683" i="2"/>
  <c r="D2682" i="2"/>
  <c r="D2681" i="2"/>
  <c r="D2585" i="2"/>
  <c r="D2584" i="2"/>
  <c r="D2583" i="2"/>
  <c r="D2582" i="2"/>
  <c r="D2581" i="2"/>
  <c r="D2580" i="2"/>
  <c r="D2579" i="2"/>
  <c r="D2578" i="2"/>
  <c r="D2577" i="2"/>
  <c r="D2576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81" i="2"/>
  <c r="D2499" i="2"/>
  <c r="D2498" i="2"/>
  <c r="D79" i="2"/>
  <c r="D78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76" i="2"/>
  <c r="D75" i="2"/>
  <c r="D74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77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73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72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71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5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49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48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50" i="2"/>
  <c r="D4736" i="2"/>
  <c r="D4859" i="2"/>
  <c r="D902" i="2"/>
  <c r="D4811" i="2"/>
  <c r="D481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10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103" i="2"/>
  <c r="D102" i="2"/>
  <c r="D101" i="2"/>
  <c r="D100" i="2"/>
  <c r="D99" i="2"/>
  <c r="D2851" i="2"/>
  <c r="D2850" i="2"/>
  <c r="D2849" i="2"/>
  <c r="D2848" i="2"/>
  <c r="D2847" i="2"/>
  <c r="D2846" i="2"/>
  <c r="D284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46" i="2"/>
  <c r="D2745" i="2"/>
  <c r="D2744" i="2"/>
  <c r="D2743" i="2"/>
  <c r="D2742" i="2"/>
  <c r="D88" i="2"/>
  <c r="D2767" i="2"/>
  <c r="D2766" i="2"/>
  <c r="D2765" i="2"/>
  <c r="D2764" i="2"/>
  <c r="D2774" i="2"/>
  <c r="D2772" i="2"/>
  <c r="D2771" i="2"/>
  <c r="D2770" i="2"/>
  <c r="D2769" i="2"/>
  <c r="D2768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90" i="2"/>
  <c r="D89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30" i="2"/>
  <c r="D5829" i="2"/>
  <c r="D5828" i="2"/>
  <c r="D5827" i="2"/>
  <c r="D5826" i="2"/>
  <c r="D5825" i="2"/>
  <c r="D5824" i="2"/>
  <c r="D5823" i="2"/>
  <c r="D582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1146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21" i="2"/>
  <c r="D5758" i="2"/>
  <c r="D5757" i="2"/>
  <c r="D5756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98" i="2"/>
  <c r="D97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1930" i="2"/>
  <c r="D1929" i="2"/>
  <c r="D1928" i="2"/>
  <c r="D1927" i="2"/>
  <c r="D1926" i="2"/>
  <c r="D1925" i="2"/>
  <c r="D1924" i="2"/>
  <c r="D1923" i="2"/>
  <c r="D1922" i="2"/>
  <c r="D92" i="2"/>
  <c r="D91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1324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113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6" i="2"/>
  <c r="D15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70" i="2"/>
  <c r="D69" i="2"/>
  <c r="D68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65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67" i="2"/>
  <c r="D66" i="2"/>
  <c r="D2342" i="2"/>
  <c r="D2341" i="2"/>
  <c r="D2340" i="2"/>
  <c r="D2339" i="2"/>
  <c r="D2338" i="2"/>
  <c r="D2337" i="2"/>
  <c r="D2336" i="2"/>
  <c r="D2335" i="2"/>
  <c r="D2334" i="2"/>
  <c r="D2333" i="2"/>
  <c r="D2332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643" i="2"/>
  <c r="D1642" i="2"/>
  <c r="D1641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32" i="2"/>
  <c r="D31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206" i="2"/>
  <c r="D1205" i="2"/>
  <c r="D1204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34" i="2"/>
  <c r="Y455" i="1"/>
  <c r="W455" i="1"/>
  <c r="U455" i="1"/>
  <c r="R455" i="1"/>
  <c r="S455" i="1" s="1"/>
  <c r="P455" i="1"/>
  <c r="Q455" i="1" s="1"/>
  <c r="N455" i="1"/>
  <c r="O455" i="1" s="1"/>
  <c r="L455" i="1"/>
  <c r="Y436" i="1"/>
  <c r="W436" i="1"/>
  <c r="U436" i="1"/>
  <c r="R436" i="1"/>
  <c r="S436" i="1" s="1"/>
  <c r="P436" i="1"/>
  <c r="Q436" i="1" s="1"/>
  <c r="N436" i="1"/>
  <c r="O436" i="1" s="1"/>
  <c r="L436" i="1"/>
  <c r="Y435" i="1"/>
  <c r="W435" i="1"/>
  <c r="U435" i="1"/>
  <c r="R435" i="1"/>
  <c r="S435" i="1" s="1"/>
  <c r="P435" i="1"/>
  <c r="Q435" i="1" s="1"/>
  <c r="N435" i="1"/>
  <c r="O435" i="1" s="1"/>
  <c r="L435" i="1"/>
  <c r="Y434" i="1"/>
  <c r="W434" i="1"/>
  <c r="U434" i="1"/>
  <c r="R434" i="1"/>
  <c r="S434" i="1" s="1"/>
  <c r="P434" i="1"/>
  <c r="Q434" i="1" s="1"/>
  <c r="N434" i="1"/>
  <c r="O434" i="1" s="1"/>
  <c r="L434" i="1"/>
  <c r="Y523" i="1"/>
  <c r="W523" i="1"/>
  <c r="U523" i="1"/>
  <c r="R523" i="1"/>
  <c r="S523" i="1" s="1"/>
  <c r="P523" i="1"/>
  <c r="Q523" i="1" s="1"/>
  <c r="N523" i="1"/>
  <c r="O523" i="1" s="1"/>
  <c r="L523" i="1"/>
  <c r="Y471" i="1"/>
  <c r="W471" i="1"/>
  <c r="U471" i="1"/>
  <c r="R471" i="1"/>
  <c r="S471" i="1" s="1"/>
  <c r="P471" i="1"/>
  <c r="Q471" i="1" s="1"/>
  <c r="N471" i="1"/>
  <c r="O471" i="1" s="1"/>
  <c r="L471" i="1"/>
  <c r="Y470" i="1"/>
  <c r="W470" i="1"/>
  <c r="U470" i="1"/>
  <c r="R470" i="1"/>
  <c r="S470" i="1" s="1"/>
  <c r="P470" i="1"/>
  <c r="Q470" i="1" s="1"/>
  <c r="N470" i="1"/>
  <c r="O470" i="1" s="1"/>
  <c r="L470" i="1"/>
  <c r="Y469" i="1"/>
  <c r="W469" i="1"/>
  <c r="U469" i="1"/>
  <c r="R469" i="1"/>
  <c r="S469" i="1" s="1"/>
  <c r="P469" i="1"/>
  <c r="Q469" i="1" s="1"/>
  <c r="N469" i="1"/>
  <c r="O469" i="1" s="1"/>
  <c r="L469" i="1"/>
  <c r="Y468" i="1"/>
  <c r="W468" i="1"/>
  <c r="U468" i="1"/>
  <c r="R468" i="1"/>
  <c r="S468" i="1" s="1"/>
  <c r="P468" i="1"/>
  <c r="Q468" i="1" s="1"/>
  <c r="N468" i="1"/>
  <c r="O468" i="1" s="1"/>
  <c r="L468" i="1"/>
  <c r="Y467" i="1"/>
  <c r="W467" i="1"/>
  <c r="U467" i="1"/>
  <c r="R467" i="1"/>
  <c r="S467" i="1" s="1"/>
  <c r="P467" i="1"/>
  <c r="Q467" i="1" s="1"/>
  <c r="N467" i="1"/>
  <c r="O467" i="1" s="1"/>
  <c r="L467" i="1"/>
  <c r="Y466" i="1"/>
  <c r="W466" i="1"/>
  <c r="U466" i="1"/>
  <c r="R466" i="1"/>
  <c r="S466" i="1" s="1"/>
  <c r="P466" i="1"/>
  <c r="Q466" i="1" s="1"/>
  <c r="N466" i="1"/>
  <c r="O466" i="1" s="1"/>
  <c r="L466" i="1"/>
  <c r="Y465" i="1"/>
  <c r="W465" i="1"/>
  <c r="U465" i="1"/>
  <c r="R465" i="1"/>
  <c r="S465" i="1" s="1"/>
  <c r="P465" i="1"/>
  <c r="Q465" i="1" s="1"/>
  <c r="N465" i="1"/>
  <c r="O465" i="1" s="1"/>
  <c r="L465" i="1"/>
  <c r="Y464" i="1"/>
  <c r="W464" i="1"/>
  <c r="U464" i="1"/>
  <c r="R464" i="1"/>
  <c r="S464" i="1" s="1"/>
  <c r="P464" i="1"/>
  <c r="Q464" i="1" s="1"/>
  <c r="N464" i="1"/>
  <c r="O464" i="1" s="1"/>
  <c r="L464" i="1"/>
  <c r="Y463" i="1"/>
  <c r="W463" i="1"/>
  <c r="U463" i="1"/>
  <c r="R463" i="1"/>
  <c r="S463" i="1" s="1"/>
  <c r="P463" i="1"/>
  <c r="Q463" i="1" s="1"/>
  <c r="N463" i="1"/>
  <c r="O463" i="1" s="1"/>
  <c r="L463" i="1"/>
  <c r="Y462" i="1"/>
  <c r="W462" i="1"/>
  <c r="U462" i="1"/>
  <c r="R462" i="1"/>
  <c r="S462" i="1" s="1"/>
  <c r="P462" i="1"/>
  <c r="Q462" i="1" s="1"/>
  <c r="N462" i="1"/>
  <c r="O462" i="1" s="1"/>
  <c r="L462" i="1"/>
  <c r="Y911" i="1"/>
  <c r="W911" i="1"/>
  <c r="U911" i="1"/>
  <c r="R911" i="1"/>
  <c r="S911" i="1" s="1"/>
  <c r="P911" i="1"/>
  <c r="Q911" i="1" s="1"/>
  <c r="N911" i="1"/>
  <c r="O911" i="1" s="1"/>
  <c r="L911" i="1"/>
  <c r="Y358" i="1"/>
  <c r="W358" i="1"/>
  <c r="U358" i="1"/>
  <c r="R358" i="1"/>
  <c r="S358" i="1" s="1"/>
  <c r="P358" i="1"/>
  <c r="Q358" i="1" s="1"/>
  <c r="N358" i="1"/>
  <c r="O358" i="1" s="1"/>
  <c r="L358" i="1"/>
  <c r="V358" i="1" s="1"/>
  <c r="Y461" i="1"/>
  <c r="W461" i="1"/>
  <c r="U461" i="1"/>
  <c r="R461" i="1"/>
  <c r="S461" i="1" s="1"/>
  <c r="P461" i="1"/>
  <c r="Q461" i="1" s="1"/>
  <c r="N461" i="1"/>
  <c r="O461" i="1" s="1"/>
  <c r="L461" i="1"/>
  <c r="Y904" i="1"/>
  <c r="W904" i="1"/>
  <c r="U904" i="1"/>
  <c r="R904" i="1"/>
  <c r="S904" i="1" s="1"/>
  <c r="P904" i="1"/>
  <c r="Q904" i="1" s="1"/>
  <c r="N904" i="1"/>
  <c r="O904" i="1" s="1"/>
  <c r="L904" i="1"/>
  <c r="Y903" i="1"/>
  <c r="W903" i="1"/>
  <c r="U903" i="1"/>
  <c r="R903" i="1"/>
  <c r="S903" i="1" s="1"/>
  <c r="P903" i="1"/>
  <c r="Q903" i="1" s="1"/>
  <c r="N903" i="1"/>
  <c r="O903" i="1" s="1"/>
  <c r="L903" i="1"/>
  <c r="Y902" i="1"/>
  <c r="W902" i="1"/>
  <c r="U902" i="1"/>
  <c r="R902" i="1"/>
  <c r="S902" i="1" s="1"/>
  <c r="P902" i="1"/>
  <c r="Q902" i="1" s="1"/>
  <c r="N902" i="1"/>
  <c r="O902" i="1" s="1"/>
  <c r="L902" i="1"/>
  <c r="Y445" i="1"/>
  <c r="W445" i="1"/>
  <c r="U445" i="1"/>
  <c r="R445" i="1"/>
  <c r="S445" i="1" s="1"/>
  <c r="P445" i="1"/>
  <c r="Q445" i="1" s="1"/>
  <c r="N445" i="1"/>
  <c r="O445" i="1" s="1"/>
  <c r="L445" i="1"/>
  <c r="Y444" i="1"/>
  <c r="W444" i="1"/>
  <c r="U444" i="1"/>
  <c r="R444" i="1"/>
  <c r="S444" i="1" s="1"/>
  <c r="P444" i="1"/>
  <c r="Q444" i="1" s="1"/>
  <c r="N444" i="1"/>
  <c r="O444" i="1" s="1"/>
  <c r="L444" i="1"/>
  <c r="Y460" i="1"/>
  <c r="W460" i="1"/>
  <c r="U460" i="1"/>
  <c r="R460" i="1"/>
  <c r="S460" i="1" s="1"/>
  <c r="P460" i="1"/>
  <c r="Q460" i="1" s="1"/>
  <c r="N460" i="1"/>
  <c r="O460" i="1" s="1"/>
  <c r="L460" i="1"/>
  <c r="Y459" i="1"/>
  <c r="W459" i="1"/>
  <c r="U459" i="1"/>
  <c r="R459" i="1"/>
  <c r="S459" i="1" s="1"/>
  <c r="P459" i="1"/>
  <c r="Q459" i="1" s="1"/>
  <c r="N459" i="1"/>
  <c r="O459" i="1" s="1"/>
  <c r="L459" i="1"/>
  <c r="Y776" i="1"/>
  <c r="W776" i="1"/>
  <c r="U776" i="1"/>
  <c r="R776" i="1"/>
  <c r="S776" i="1" s="1"/>
  <c r="P776" i="1"/>
  <c r="Q776" i="1" s="1"/>
  <c r="N776" i="1"/>
  <c r="O776" i="1" s="1"/>
  <c r="L776" i="1"/>
  <c r="Y695" i="1"/>
  <c r="W695" i="1"/>
  <c r="U695" i="1"/>
  <c r="R695" i="1"/>
  <c r="S695" i="1" s="1"/>
  <c r="P695" i="1"/>
  <c r="Q695" i="1" s="1"/>
  <c r="N695" i="1"/>
  <c r="O695" i="1" s="1"/>
  <c r="L695" i="1"/>
  <c r="Y641" i="1"/>
  <c r="W641" i="1"/>
  <c r="U641" i="1"/>
  <c r="R641" i="1"/>
  <c r="S641" i="1" s="1"/>
  <c r="P641" i="1"/>
  <c r="Q641" i="1" s="1"/>
  <c r="N641" i="1"/>
  <c r="O641" i="1" s="1"/>
  <c r="L641" i="1"/>
  <c r="Y1067" i="1"/>
  <c r="W1067" i="1"/>
  <c r="U1067" i="1"/>
  <c r="R1067" i="1"/>
  <c r="S1067" i="1" s="1"/>
  <c r="P1067" i="1"/>
  <c r="Q1067" i="1" s="1"/>
  <c r="N1067" i="1"/>
  <c r="O1067" i="1" s="1"/>
  <c r="L1067" i="1"/>
  <c r="Y957" i="1"/>
  <c r="W957" i="1"/>
  <c r="U957" i="1"/>
  <c r="R957" i="1"/>
  <c r="S957" i="1" s="1"/>
  <c r="P957" i="1"/>
  <c r="Q957" i="1" s="1"/>
  <c r="N957" i="1"/>
  <c r="O957" i="1" s="1"/>
  <c r="L957" i="1"/>
  <c r="Y943" i="1"/>
  <c r="W943" i="1"/>
  <c r="U943" i="1"/>
  <c r="R943" i="1"/>
  <c r="S943" i="1" s="1"/>
  <c r="P943" i="1"/>
  <c r="Q943" i="1" s="1"/>
  <c r="N943" i="1"/>
  <c r="O943" i="1" s="1"/>
  <c r="L943" i="1"/>
  <c r="Y383" i="1"/>
  <c r="W383" i="1"/>
  <c r="U383" i="1"/>
  <c r="R383" i="1"/>
  <c r="S383" i="1" s="1"/>
  <c r="P383" i="1"/>
  <c r="Q383" i="1" s="1"/>
  <c r="N383" i="1"/>
  <c r="O383" i="1" s="1"/>
  <c r="L383" i="1"/>
  <c r="Y400" i="1"/>
  <c r="W400" i="1"/>
  <c r="U400" i="1"/>
  <c r="R400" i="1"/>
  <c r="S400" i="1" s="1"/>
  <c r="P400" i="1"/>
  <c r="Q400" i="1" s="1"/>
  <c r="N400" i="1"/>
  <c r="O400" i="1" s="1"/>
  <c r="L400" i="1"/>
  <c r="Y388" i="1"/>
  <c r="W388" i="1"/>
  <c r="U388" i="1"/>
  <c r="R388" i="1"/>
  <c r="S388" i="1" s="1"/>
  <c r="P388" i="1"/>
  <c r="Q388" i="1" s="1"/>
  <c r="N388" i="1"/>
  <c r="O388" i="1" s="1"/>
  <c r="L388" i="1"/>
  <c r="Y386" i="1"/>
  <c r="W386" i="1"/>
  <c r="U386" i="1"/>
  <c r="R386" i="1"/>
  <c r="S386" i="1" s="1"/>
  <c r="P386" i="1"/>
  <c r="Q386" i="1" s="1"/>
  <c r="N386" i="1"/>
  <c r="O386" i="1" s="1"/>
  <c r="L386" i="1"/>
  <c r="Y397" i="1"/>
  <c r="W397" i="1"/>
  <c r="U397" i="1"/>
  <c r="R397" i="1"/>
  <c r="S397" i="1" s="1"/>
  <c r="P397" i="1"/>
  <c r="Q397" i="1" s="1"/>
  <c r="N397" i="1"/>
  <c r="O397" i="1" s="1"/>
  <c r="L397" i="1"/>
  <c r="Y385" i="1"/>
  <c r="W385" i="1"/>
  <c r="U385" i="1"/>
  <c r="R385" i="1"/>
  <c r="S385" i="1" s="1"/>
  <c r="P385" i="1"/>
  <c r="Q385" i="1" s="1"/>
  <c r="N385" i="1"/>
  <c r="O385" i="1" s="1"/>
  <c r="L385" i="1"/>
  <c r="Y384" i="1"/>
  <c r="W384" i="1"/>
  <c r="U384" i="1"/>
  <c r="R384" i="1"/>
  <c r="S384" i="1" s="1"/>
  <c r="P384" i="1"/>
  <c r="Q384" i="1" s="1"/>
  <c r="N384" i="1"/>
  <c r="O384" i="1" s="1"/>
  <c r="L384" i="1"/>
  <c r="Y368" i="1"/>
  <c r="W368" i="1"/>
  <c r="U368" i="1"/>
  <c r="R368" i="1"/>
  <c r="S368" i="1" s="1"/>
  <c r="P368" i="1"/>
  <c r="Q368" i="1" s="1"/>
  <c r="N368" i="1"/>
  <c r="O368" i="1" s="1"/>
  <c r="L368" i="1"/>
  <c r="Y942" i="1"/>
  <c r="W942" i="1"/>
  <c r="U942" i="1"/>
  <c r="R942" i="1"/>
  <c r="S942" i="1" s="1"/>
  <c r="P942" i="1"/>
  <c r="Q942" i="1" s="1"/>
  <c r="N942" i="1"/>
  <c r="O942" i="1" s="1"/>
  <c r="L942" i="1"/>
  <c r="Y941" i="1"/>
  <c r="W941" i="1"/>
  <c r="U941" i="1"/>
  <c r="R941" i="1"/>
  <c r="S941" i="1" s="1"/>
  <c r="P941" i="1"/>
  <c r="Q941" i="1" s="1"/>
  <c r="N941" i="1"/>
  <c r="O941" i="1" s="1"/>
  <c r="L941" i="1"/>
  <c r="Y940" i="1"/>
  <c r="W940" i="1"/>
  <c r="U940" i="1"/>
  <c r="R940" i="1"/>
  <c r="S940" i="1" s="1"/>
  <c r="P940" i="1"/>
  <c r="Q940" i="1" s="1"/>
  <c r="N940" i="1"/>
  <c r="O940" i="1" s="1"/>
  <c r="L940" i="1"/>
  <c r="Y939" i="1"/>
  <c r="W939" i="1"/>
  <c r="U939" i="1"/>
  <c r="R939" i="1"/>
  <c r="S939" i="1" s="1"/>
  <c r="P939" i="1"/>
  <c r="Q939" i="1" s="1"/>
  <c r="N939" i="1"/>
  <c r="O939" i="1" s="1"/>
  <c r="L939" i="1"/>
  <c r="Y938" i="1"/>
  <c r="W938" i="1"/>
  <c r="U938" i="1"/>
  <c r="R938" i="1"/>
  <c r="S938" i="1" s="1"/>
  <c r="P938" i="1"/>
  <c r="Q938" i="1" s="1"/>
  <c r="N938" i="1"/>
  <c r="O938" i="1" s="1"/>
  <c r="L938" i="1"/>
  <c r="Y937" i="1"/>
  <c r="W937" i="1"/>
  <c r="U937" i="1"/>
  <c r="R937" i="1"/>
  <c r="S937" i="1" s="1"/>
  <c r="P937" i="1"/>
  <c r="Q937" i="1" s="1"/>
  <c r="N937" i="1"/>
  <c r="O937" i="1" s="1"/>
  <c r="L937" i="1"/>
  <c r="Y936" i="1"/>
  <c r="W936" i="1"/>
  <c r="U936" i="1"/>
  <c r="R936" i="1"/>
  <c r="S936" i="1" s="1"/>
  <c r="P936" i="1"/>
  <c r="Q936" i="1" s="1"/>
  <c r="N936" i="1"/>
  <c r="O936" i="1" s="1"/>
  <c r="L936" i="1"/>
  <c r="Y935" i="1"/>
  <c r="W935" i="1"/>
  <c r="U935" i="1"/>
  <c r="R935" i="1"/>
  <c r="S935" i="1" s="1"/>
  <c r="P935" i="1"/>
  <c r="Q935" i="1" s="1"/>
  <c r="N935" i="1"/>
  <c r="O935" i="1" s="1"/>
  <c r="L935" i="1"/>
  <c r="Y934" i="1"/>
  <c r="W934" i="1"/>
  <c r="U934" i="1"/>
  <c r="R934" i="1"/>
  <c r="S934" i="1" s="1"/>
  <c r="P934" i="1"/>
  <c r="Q934" i="1" s="1"/>
  <c r="N934" i="1"/>
  <c r="O934" i="1" s="1"/>
  <c r="L934" i="1"/>
  <c r="Y933" i="1"/>
  <c r="W933" i="1"/>
  <c r="U933" i="1"/>
  <c r="R933" i="1"/>
  <c r="S933" i="1" s="1"/>
  <c r="P933" i="1"/>
  <c r="Q933" i="1" s="1"/>
  <c r="N933" i="1"/>
  <c r="O933" i="1" s="1"/>
  <c r="L933" i="1"/>
  <c r="Y932" i="1"/>
  <c r="W932" i="1"/>
  <c r="U932" i="1"/>
  <c r="R932" i="1"/>
  <c r="S932" i="1" s="1"/>
  <c r="P932" i="1"/>
  <c r="Q932" i="1" s="1"/>
  <c r="N932" i="1"/>
  <c r="O932" i="1" s="1"/>
  <c r="L932" i="1"/>
  <c r="Y931" i="1"/>
  <c r="W931" i="1"/>
  <c r="U931" i="1"/>
  <c r="R931" i="1"/>
  <c r="S931" i="1" s="1"/>
  <c r="P931" i="1"/>
  <c r="Q931" i="1" s="1"/>
  <c r="N931" i="1"/>
  <c r="O931" i="1" s="1"/>
  <c r="L931" i="1"/>
  <c r="Y930" i="1"/>
  <c r="W930" i="1"/>
  <c r="U930" i="1"/>
  <c r="R930" i="1"/>
  <c r="S930" i="1" s="1"/>
  <c r="P930" i="1"/>
  <c r="Q930" i="1" s="1"/>
  <c r="N930" i="1"/>
  <c r="O930" i="1" s="1"/>
  <c r="L930" i="1"/>
  <c r="Y929" i="1"/>
  <c r="W929" i="1"/>
  <c r="U929" i="1"/>
  <c r="R929" i="1"/>
  <c r="S929" i="1" s="1"/>
  <c r="P929" i="1"/>
  <c r="Q929" i="1" s="1"/>
  <c r="N929" i="1"/>
  <c r="O929" i="1" s="1"/>
  <c r="L929" i="1"/>
  <c r="Y928" i="1"/>
  <c r="W928" i="1"/>
  <c r="U928" i="1"/>
  <c r="R928" i="1"/>
  <c r="S928" i="1" s="1"/>
  <c r="P928" i="1"/>
  <c r="Q928" i="1" s="1"/>
  <c r="N928" i="1"/>
  <c r="O928" i="1" s="1"/>
  <c r="L928" i="1"/>
  <c r="Y927" i="1"/>
  <c r="W927" i="1"/>
  <c r="U927" i="1"/>
  <c r="R927" i="1"/>
  <c r="S927" i="1" s="1"/>
  <c r="P927" i="1"/>
  <c r="Q927" i="1" s="1"/>
  <c r="N927" i="1"/>
  <c r="O927" i="1" s="1"/>
  <c r="L927" i="1"/>
  <c r="Y926" i="1"/>
  <c r="W926" i="1"/>
  <c r="U926" i="1"/>
  <c r="R926" i="1"/>
  <c r="S926" i="1" s="1"/>
  <c r="P926" i="1"/>
  <c r="Q926" i="1" s="1"/>
  <c r="N926" i="1"/>
  <c r="O926" i="1" s="1"/>
  <c r="L926" i="1"/>
  <c r="Y925" i="1"/>
  <c r="W925" i="1"/>
  <c r="U925" i="1"/>
  <c r="R925" i="1"/>
  <c r="S925" i="1" s="1"/>
  <c r="P925" i="1"/>
  <c r="Q925" i="1" s="1"/>
  <c r="N925" i="1"/>
  <c r="O925" i="1" s="1"/>
  <c r="L925" i="1"/>
  <c r="Y924" i="1"/>
  <c r="W924" i="1"/>
  <c r="U924" i="1"/>
  <c r="R924" i="1"/>
  <c r="S924" i="1" s="1"/>
  <c r="P924" i="1"/>
  <c r="Q924" i="1" s="1"/>
  <c r="N924" i="1"/>
  <c r="O924" i="1" s="1"/>
  <c r="L924" i="1"/>
  <c r="Y923" i="1"/>
  <c r="W923" i="1"/>
  <c r="U923" i="1"/>
  <c r="R923" i="1"/>
  <c r="S923" i="1" s="1"/>
  <c r="P923" i="1"/>
  <c r="Q923" i="1" s="1"/>
  <c r="N923" i="1"/>
  <c r="O923" i="1" s="1"/>
  <c r="L923" i="1"/>
  <c r="Y922" i="1"/>
  <c r="W922" i="1"/>
  <c r="U922" i="1"/>
  <c r="R922" i="1"/>
  <c r="S922" i="1" s="1"/>
  <c r="P922" i="1"/>
  <c r="Q922" i="1" s="1"/>
  <c r="N922" i="1"/>
  <c r="O922" i="1" s="1"/>
  <c r="L922" i="1"/>
  <c r="Y921" i="1"/>
  <c r="W921" i="1"/>
  <c r="U921" i="1"/>
  <c r="R921" i="1"/>
  <c r="S921" i="1" s="1"/>
  <c r="P921" i="1"/>
  <c r="Q921" i="1" s="1"/>
  <c r="N921" i="1"/>
  <c r="O921" i="1" s="1"/>
  <c r="L921" i="1"/>
  <c r="Y920" i="1"/>
  <c r="W920" i="1"/>
  <c r="U920" i="1"/>
  <c r="R920" i="1"/>
  <c r="S920" i="1" s="1"/>
  <c r="P920" i="1"/>
  <c r="Q920" i="1" s="1"/>
  <c r="N920" i="1"/>
  <c r="O920" i="1" s="1"/>
  <c r="L920" i="1"/>
  <c r="V920" i="1" s="1"/>
  <c r="Y919" i="1"/>
  <c r="W919" i="1"/>
  <c r="U919" i="1"/>
  <c r="R919" i="1"/>
  <c r="S919" i="1" s="1"/>
  <c r="P919" i="1"/>
  <c r="Q919" i="1" s="1"/>
  <c r="N919" i="1"/>
  <c r="O919" i="1" s="1"/>
  <c r="L919" i="1"/>
  <c r="Y918" i="1"/>
  <c r="W918" i="1"/>
  <c r="U918" i="1"/>
  <c r="R918" i="1"/>
  <c r="S918" i="1" s="1"/>
  <c r="P918" i="1"/>
  <c r="Q918" i="1" s="1"/>
  <c r="N918" i="1"/>
  <c r="O918" i="1" s="1"/>
  <c r="L918" i="1"/>
  <c r="Y917" i="1"/>
  <c r="W917" i="1"/>
  <c r="U917" i="1"/>
  <c r="R917" i="1"/>
  <c r="S917" i="1" s="1"/>
  <c r="P917" i="1"/>
  <c r="Q917" i="1" s="1"/>
  <c r="N917" i="1"/>
  <c r="O917" i="1" s="1"/>
  <c r="L917" i="1"/>
  <c r="Y916" i="1"/>
  <c r="W916" i="1"/>
  <c r="U916" i="1"/>
  <c r="R916" i="1"/>
  <c r="S916" i="1" s="1"/>
  <c r="P916" i="1"/>
  <c r="Q916" i="1" s="1"/>
  <c r="N916" i="1"/>
  <c r="O916" i="1" s="1"/>
  <c r="L916" i="1"/>
  <c r="Y915" i="1"/>
  <c r="W915" i="1"/>
  <c r="U915" i="1"/>
  <c r="R915" i="1"/>
  <c r="S915" i="1" s="1"/>
  <c r="P915" i="1"/>
  <c r="Q915" i="1" s="1"/>
  <c r="N915" i="1"/>
  <c r="O915" i="1" s="1"/>
  <c r="L915" i="1"/>
  <c r="Y914" i="1"/>
  <c r="W914" i="1"/>
  <c r="U914" i="1"/>
  <c r="R914" i="1"/>
  <c r="S914" i="1" s="1"/>
  <c r="P914" i="1"/>
  <c r="Q914" i="1" s="1"/>
  <c r="N914" i="1"/>
  <c r="O914" i="1" s="1"/>
  <c r="L914" i="1"/>
  <c r="Y691" i="1"/>
  <c r="W691" i="1"/>
  <c r="U691" i="1"/>
  <c r="R691" i="1"/>
  <c r="S691" i="1" s="1"/>
  <c r="P691" i="1"/>
  <c r="Q691" i="1" s="1"/>
  <c r="N691" i="1"/>
  <c r="O691" i="1" s="1"/>
  <c r="L691" i="1"/>
  <c r="Y690" i="1"/>
  <c r="W690" i="1"/>
  <c r="U690" i="1"/>
  <c r="R690" i="1"/>
  <c r="S690" i="1" s="1"/>
  <c r="P690" i="1"/>
  <c r="Q690" i="1" s="1"/>
  <c r="N690" i="1"/>
  <c r="O690" i="1" s="1"/>
  <c r="L690" i="1"/>
  <c r="Y689" i="1"/>
  <c r="W689" i="1"/>
  <c r="U689" i="1"/>
  <c r="R689" i="1"/>
  <c r="S689" i="1" s="1"/>
  <c r="P689" i="1"/>
  <c r="Q689" i="1" s="1"/>
  <c r="N689" i="1"/>
  <c r="O689" i="1" s="1"/>
  <c r="L689" i="1"/>
  <c r="Y688" i="1"/>
  <c r="W688" i="1"/>
  <c r="U688" i="1"/>
  <c r="R688" i="1"/>
  <c r="S688" i="1" s="1"/>
  <c r="P688" i="1"/>
  <c r="Q688" i="1" s="1"/>
  <c r="N688" i="1"/>
  <c r="O688" i="1" s="1"/>
  <c r="L688" i="1"/>
  <c r="V688" i="1" s="1"/>
  <c r="Y687" i="1"/>
  <c r="W687" i="1"/>
  <c r="U687" i="1"/>
  <c r="R687" i="1"/>
  <c r="S687" i="1" s="1"/>
  <c r="P687" i="1"/>
  <c r="Q687" i="1" s="1"/>
  <c r="N687" i="1"/>
  <c r="O687" i="1" s="1"/>
  <c r="L687" i="1"/>
  <c r="Y686" i="1"/>
  <c r="W686" i="1"/>
  <c r="U686" i="1"/>
  <c r="R686" i="1"/>
  <c r="S686" i="1" s="1"/>
  <c r="P686" i="1"/>
  <c r="Q686" i="1" s="1"/>
  <c r="N686" i="1"/>
  <c r="O686" i="1" s="1"/>
  <c r="L686" i="1"/>
  <c r="Y685" i="1"/>
  <c r="W685" i="1"/>
  <c r="U685" i="1"/>
  <c r="R685" i="1"/>
  <c r="S685" i="1" s="1"/>
  <c r="P685" i="1"/>
  <c r="Q685" i="1" s="1"/>
  <c r="N685" i="1"/>
  <c r="O685" i="1" s="1"/>
  <c r="L685" i="1"/>
  <c r="Y684" i="1"/>
  <c r="W684" i="1"/>
  <c r="U684" i="1"/>
  <c r="R684" i="1"/>
  <c r="S684" i="1" s="1"/>
  <c r="P684" i="1"/>
  <c r="Q684" i="1" s="1"/>
  <c r="N684" i="1"/>
  <c r="O684" i="1" s="1"/>
  <c r="L684" i="1"/>
  <c r="Y683" i="1"/>
  <c r="W683" i="1"/>
  <c r="U683" i="1"/>
  <c r="R683" i="1"/>
  <c r="S683" i="1" s="1"/>
  <c r="P683" i="1"/>
  <c r="Q683" i="1" s="1"/>
  <c r="N683" i="1"/>
  <c r="O683" i="1" s="1"/>
  <c r="L683" i="1"/>
  <c r="Y682" i="1"/>
  <c r="W682" i="1"/>
  <c r="U682" i="1"/>
  <c r="R682" i="1"/>
  <c r="S682" i="1" s="1"/>
  <c r="P682" i="1"/>
  <c r="Q682" i="1" s="1"/>
  <c r="N682" i="1"/>
  <c r="O682" i="1" s="1"/>
  <c r="L682" i="1"/>
  <c r="Y681" i="1"/>
  <c r="W681" i="1"/>
  <c r="U681" i="1"/>
  <c r="R681" i="1"/>
  <c r="S681" i="1" s="1"/>
  <c r="P681" i="1"/>
  <c r="Q681" i="1" s="1"/>
  <c r="N681" i="1"/>
  <c r="O681" i="1" s="1"/>
  <c r="L681" i="1"/>
  <c r="Y680" i="1"/>
  <c r="W680" i="1"/>
  <c r="U680" i="1"/>
  <c r="R680" i="1"/>
  <c r="S680" i="1" s="1"/>
  <c r="P680" i="1"/>
  <c r="Q680" i="1" s="1"/>
  <c r="N680" i="1"/>
  <c r="O680" i="1" s="1"/>
  <c r="L680" i="1"/>
  <c r="Y604" i="1"/>
  <c r="W604" i="1"/>
  <c r="U604" i="1"/>
  <c r="R604" i="1"/>
  <c r="S604" i="1" s="1"/>
  <c r="P604" i="1"/>
  <c r="Q604" i="1" s="1"/>
  <c r="N604" i="1"/>
  <c r="O604" i="1" s="1"/>
  <c r="L604" i="1"/>
  <c r="Y603" i="1"/>
  <c r="W603" i="1"/>
  <c r="U603" i="1"/>
  <c r="R603" i="1"/>
  <c r="S603" i="1" s="1"/>
  <c r="P603" i="1"/>
  <c r="Q603" i="1" s="1"/>
  <c r="N603" i="1"/>
  <c r="O603" i="1" s="1"/>
  <c r="L603" i="1"/>
  <c r="Y602" i="1"/>
  <c r="W602" i="1"/>
  <c r="U602" i="1"/>
  <c r="R602" i="1"/>
  <c r="S602" i="1" s="1"/>
  <c r="P602" i="1"/>
  <c r="Q602" i="1" s="1"/>
  <c r="N602" i="1"/>
  <c r="O602" i="1" s="1"/>
  <c r="L602" i="1"/>
  <c r="Y601" i="1"/>
  <c r="W601" i="1"/>
  <c r="U601" i="1"/>
  <c r="R601" i="1"/>
  <c r="S601" i="1" s="1"/>
  <c r="P601" i="1"/>
  <c r="Q601" i="1" s="1"/>
  <c r="N601" i="1"/>
  <c r="O601" i="1" s="1"/>
  <c r="L601" i="1"/>
  <c r="Y600" i="1"/>
  <c r="W600" i="1"/>
  <c r="U600" i="1"/>
  <c r="R600" i="1"/>
  <c r="S600" i="1" s="1"/>
  <c r="P600" i="1"/>
  <c r="Q600" i="1" s="1"/>
  <c r="N600" i="1"/>
  <c r="O600" i="1" s="1"/>
  <c r="L600" i="1"/>
  <c r="Y956" i="1"/>
  <c r="W956" i="1"/>
  <c r="U956" i="1"/>
  <c r="R956" i="1"/>
  <c r="S956" i="1" s="1"/>
  <c r="P956" i="1"/>
  <c r="Q956" i="1" s="1"/>
  <c r="N956" i="1"/>
  <c r="O956" i="1" s="1"/>
  <c r="L956" i="1"/>
  <c r="Y593" i="1"/>
  <c r="W593" i="1"/>
  <c r="U593" i="1"/>
  <c r="R593" i="1"/>
  <c r="S593" i="1" s="1"/>
  <c r="P593" i="1"/>
  <c r="Q593" i="1" s="1"/>
  <c r="N593" i="1"/>
  <c r="O593" i="1" s="1"/>
  <c r="L593" i="1"/>
  <c r="Y591" i="1"/>
  <c r="W591" i="1"/>
  <c r="U591" i="1"/>
  <c r="R591" i="1"/>
  <c r="S591" i="1" s="1"/>
  <c r="P591" i="1"/>
  <c r="Q591" i="1" s="1"/>
  <c r="N591" i="1"/>
  <c r="O591" i="1" s="1"/>
  <c r="L591" i="1"/>
  <c r="Y567" i="1"/>
  <c r="W567" i="1"/>
  <c r="U567" i="1"/>
  <c r="R567" i="1"/>
  <c r="S567" i="1" s="1"/>
  <c r="P567" i="1"/>
  <c r="Q567" i="1" s="1"/>
  <c r="N567" i="1"/>
  <c r="O567" i="1" s="1"/>
  <c r="L567" i="1"/>
  <c r="Y566" i="1"/>
  <c r="W566" i="1"/>
  <c r="U566" i="1"/>
  <c r="R566" i="1"/>
  <c r="S566" i="1" s="1"/>
  <c r="P566" i="1"/>
  <c r="Q566" i="1" s="1"/>
  <c r="N566" i="1"/>
  <c r="O566" i="1" s="1"/>
  <c r="L566" i="1"/>
  <c r="Y563" i="1"/>
  <c r="W563" i="1"/>
  <c r="U563" i="1"/>
  <c r="R563" i="1"/>
  <c r="S563" i="1" s="1"/>
  <c r="P563" i="1"/>
  <c r="Q563" i="1" s="1"/>
  <c r="N563" i="1"/>
  <c r="O563" i="1" s="1"/>
  <c r="L563" i="1"/>
  <c r="Y562" i="1"/>
  <c r="W562" i="1"/>
  <c r="U562" i="1"/>
  <c r="R562" i="1"/>
  <c r="S562" i="1" s="1"/>
  <c r="P562" i="1"/>
  <c r="Q562" i="1" s="1"/>
  <c r="N562" i="1"/>
  <c r="O562" i="1" s="1"/>
  <c r="L562" i="1"/>
  <c r="V562" i="1" s="1"/>
  <c r="Y561" i="1"/>
  <c r="W561" i="1"/>
  <c r="U561" i="1"/>
  <c r="R561" i="1"/>
  <c r="S561" i="1" s="1"/>
  <c r="P561" i="1"/>
  <c r="Q561" i="1" s="1"/>
  <c r="N561" i="1"/>
  <c r="O561" i="1" s="1"/>
  <c r="L561" i="1"/>
  <c r="Y560" i="1"/>
  <c r="W560" i="1"/>
  <c r="U560" i="1"/>
  <c r="R560" i="1"/>
  <c r="S560" i="1" s="1"/>
  <c r="P560" i="1"/>
  <c r="Q560" i="1" s="1"/>
  <c r="N560" i="1"/>
  <c r="O560" i="1" s="1"/>
  <c r="L560" i="1"/>
  <c r="Y559" i="1"/>
  <c r="W559" i="1"/>
  <c r="U559" i="1"/>
  <c r="R559" i="1"/>
  <c r="S559" i="1" s="1"/>
  <c r="P559" i="1"/>
  <c r="Q559" i="1" s="1"/>
  <c r="N559" i="1"/>
  <c r="O559" i="1" s="1"/>
  <c r="L559" i="1"/>
  <c r="Y558" i="1"/>
  <c r="W558" i="1"/>
  <c r="U558" i="1"/>
  <c r="R558" i="1"/>
  <c r="S558" i="1" s="1"/>
  <c r="P558" i="1"/>
  <c r="Q558" i="1" s="1"/>
  <c r="N558" i="1"/>
  <c r="O558" i="1" s="1"/>
  <c r="L558" i="1"/>
  <c r="Y557" i="1"/>
  <c r="W557" i="1"/>
  <c r="U557" i="1"/>
  <c r="R557" i="1"/>
  <c r="S557" i="1" s="1"/>
  <c r="P557" i="1"/>
  <c r="Q557" i="1" s="1"/>
  <c r="N557" i="1"/>
  <c r="O557" i="1" s="1"/>
  <c r="L557" i="1"/>
  <c r="Y1114" i="1"/>
  <c r="W1114" i="1"/>
  <c r="U1114" i="1"/>
  <c r="R1114" i="1"/>
  <c r="S1114" i="1" s="1"/>
  <c r="P1114" i="1"/>
  <c r="Q1114" i="1" s="1"/>
  <c r="N1114" i="1"/>
  <c r="O1114" i="1" s="1"/>
  <c r="L1114" i="1"/>
  <c r="Y1113" i="1"/>
  <c r="W1113" i="1"/>
  <c r="U1113" i="1"/>
  <c r="R1113" i="1"/>
  <c r="S1113" i="1" s="1"/>
  <c r="P1113" i="1"/>
  <c r="Q1113" i="1" s="1"/>
  <c r="N1113" i="1"/>
  <c r="O1113" i="1" s="1"/>
  <c r="L1113" i="1"/>
  <c r="Y1112" i="1"/>
  <c r="W1112" i="1"/>
  <c r="U1112" i="1"/>
  <c r="R1112" i="1"/>
  <c r="S1112" i="1" s="1"/>
  <c r="P1112" i="1"/>
  <c r="Q1112" i="1" s="1"/>
  <c r="N1112" i="1"/>
  <c r="O1112" i="1" s="1"/>
  <c r="L1112" i="1"/>
  <c r="V1112" i="1" s="1"/>
  <c r="Y1111" i="1"/>
  <c r="W1111" i="1"/>
  <c r="U1111" i="1"/>
  <c r="R1111" i="1"/>
  <c r="S1111" i="1" s="1"/>
  <c r="P1111" i="1"/>
  <c r="Q1111" i="1" s="1"/>
  <c r="N1111" i="1"/>
  <c r="O1111" i="1" s="1"/>
  <c r="L1111" i="1"/>
  <c r="Y1110" i="1"/>
  <c r="W1110" i="1"/>
  <c r="U1110" i="1"/>
  <c r="R1110" i="1"/>
  <c r="S1110" i="1" s="1"/>
  <c r="P1110" i="1"/>
  <c r="Q1110" i="1" s="1"/>
  <c r="N1110" i="1"/>
  <c r="O1110" i="1" s="1"/>
  <c r="L1110" i="1"/>
  <c r="Y1109" i="1"/>
  <c r="W1109" i="1"/>
  <c r="U1109" i="1"/>
  <c r="R1109" i="1"/>
  <c r="S1109" i="1" s="1"/>
  <c r="P1109" i="1"/>
  <c r="Q1109" i="1" s="1"/>
  <c r="N1109" i="1"/>
  <c r="O1109" i="1" s="1"/>
  <c r="L1109" i="1"/>
  <c r="Y1108" i="1"/>
  <c r="W1108" i="1"/>
  <c r="U1108" i="1"/>
  <c r="R1108" i="1"/>
  <c r="S1108" i="1" s="1"/>
  <c r="P1108" i="1"/>
  <c r="Q1108" i="1" s="1"/>
  <c r="N1108" i="1"/>
  <c r="O1108" i="1" s="1"/>
  <c r="L1108" i="1"/>
  <c r="Y1058" i="1"/>
  <c r="W1058" i="1"/>
  <c r="U1058" i="1"/>
  <c r="R1058" i="1"/>
  <c r="S1058" i="1" s="1"/>
  <c r="P1058" i="1"/>
  <c r="Q1058" i="1" s="1"/>
  <c r="N1058" i="1"/>
  <c r="O1058" i="1" s="1"/>
  <c r="L1058" i="1"/>
  <c r="Y396" i="1"/>
  <c r="W396" i="1"/>
  <c r="U396" i="1"/>
  <c r="R396" i="1"/>
  <c r="S396" i="1" s="1"/>
  <c r="P396" i="1"/>
  <c r="Q396" i="1" s="1"/>
  <c r="N396" i="1"/>
  <c r="O396" i="1" s="1"/>
  <c r="L396" i="1"/>
  <c r="Y395" i="1"/>
  <c r="W395" i="1"/>
  <c r="U395" i="1"/>
  <c r="R395" i="1"/>
  <c r="S395" i="1" s="1"/>
  <c r="P395" i="1"/>
  <c r="Q395" i="1" s="1"/>
  <c r="N395" i="1"/>
  <c r="O395" i="1" s="1"/>
  <c r="L395" i="1"/>
  <c r="Y394" i="1"/>
  <c r="W394" i="1"/>
  <c r="U394" i="1"/>
  <c r="R394" i="1"/>
  <c r="S394" i="1" s="1"/>
  <c r="P394" i="1"/>
  <c r="Q394" i="1" s="1"/>
  <c r="N394" i="1"/>
  <c r="O394" i="1" s="1"/>
  <c r="L394" i="1"/>
  <c r="Y392" i="1"/>
  <c r="W392" i="1"/>
  <c r="U392" i="1"/>
  <c r="R392" i="1"/>
  <c r="S392" i="1" s="1"/>
  <c r="P392" i="1"/>
  <c r="Q392" i="1" s="1"/>
  <c r="N392" i="1"/>
  <c r="O392" i="1" s="1"/>
  <c r="L392" i="1"/>
  <c r="Y379" i="1"/>
  <c r="W379" i="1"/>
  <c r="U379" i="1"/>
  <c r="R379" i="1"/>
  <c r="S379" i="1" s="1"/>
  <c r="P379" i="1"/>
  <c r="Q379" i="1" s="1"/>
  <c r="N379" i="1"/>
  <c r="O379" i="1" s="1"/>
  <c r="L379" i="1"/>
  <c r="Y378" i="1"/>
  <c r="W378" i="1"/>
  <c r="U378" i="1"/>
  <c r="R378" i="1"/>
  <c r="S378" i="1" s="1"/>
  <c r="P378" i="1"/>
  <c r="Q378" i="1" s="1"/>
  <c r="N378" i="1"/>
  <c r="O378" i="1" s="1"/>
  <c r="L378" i="1"/>
  <c r="Y377" i="1"/>
  <c r="W377" i="1"/>
  <c r="U377" i="1"/>
  <c r="R377" i="1"/>
  <c r="S377" i="1" s="1"/>
  <c r="P377" i="1"/>
  <c r="Q377" i="1" s="1"/>
  <c r="N377" i="1"/>
  <c r="O377" i="1" s="1"/>
  <c r="L377" i="1"/>
  <c r="Y367" i="1"/>
  <c r="W367" i="1"/>
  <c r="U367" i="1"/>
  <c r="R367" i="1"/>
  <c r="S367" i="1" s="1"/>
  <c r="P367" i="1"/>
  <c r="Q367" i="1" s="1"/>
  <c r="N367" i="1"/>
  <c r="O367" i="1" s="1"/>
  <c r="L367" i="1"/>
  <c r="Y366" i="1"/>
  <c r="W366" i="1"/>
  <c r="U366" i="1"/>
  <c r="R366" i="1"/>
  <c r="S366" i="1" s="1"/>
  <c r="P366" i="1"/>
  <c r="Q366" i="1" s="1"/>
  <c r="N366" i="1"/>
  <c r="O366" i="1" s="1"/>
  <c r="L366" i="1"/>
  <c r="Y365" i="1"/>
  <c r="W365" i="1"/>
  <c r="U365" i="1"/>
  <c r="R365" i="1"/>
  <c r="S365" i="1" s="1"/>
  <c r="P365" i="1"/>
  <c r="Q365" i="1" s="1"/>
  <c r="N365" i="1"/>
  <c r="O365" i="1" s="1"/>
  <c r="L365" i="1"/>
  <c r="Y364" i="1"/>
  <c r="W364" i="1"/>
  <c r="U364" i="1"/>
  <c r="R364" i="1"/>
  <c r="S364" i="1" s="1"/>
  <c r="P364" i="1"/>
  <c r="Q364" i="1" s="1"/>
  <c r="N364" i="1"/>
  <c r="O364" i="1" s="1"/>
  <c r="L364" i="1"/>
  <c r="Y363" i="1"/>
  <c r="W363" i="1"/>
  <c r="U363" i="1"/>
  <c r="R363" i="1"/>
  <c r="S363" i="1" s="1"/>
  <c r="P363" i="1"/>
  <c r="Q363" i="1" s="1"/>
  <c r="N363" i="1"/>
  <c r="O363" i="1" s="1"/>
  <c r="L363" i="1"/>
  <c r="Y362" i="1"/>
  <c r="W362" i="1"/>
  <c r="U362" i="1"/>
  <c r="R362" i="1"/>
  <c r="S362" i="1" s="1"/>
  <c r="P362" i="1"/>
  <c r="Q362" i="1" s="1"/>
  <c r="N362" i="1"/>
  <c r="O362" i="1" s="1"/>
  <c r="L362" i="1"/>
  <c r="Y361" i="1"/>
  <c r="W361" i="1"/>
  <c r="U361" i="1"/>
  <c r="R361" i="1"/>
  <c r="S361" i="1" s="1"/>
  <c r="P361" i="1"/>
  <c r="Q361" i="1" s="1"/>
  <c r="N361" i="1"/>
  <c r="O361" i="1" s="1"/>
  <c r="L361" i="1"/>
  <c r="Y360" i="1"/>
  <c r="W360" i="1"/>
  <c r="U360" i="1"/>
  <c r="R360" i="1"/>
  <c r="S360" i="1" s="1"/>
  <c r="P360" i="1"/>
  <c r="Q360" i="1" s="1"/>
  <c r="N360" i="1"/>
  <c r="O360" i="1" s="1"/>
  <c r="L360" i="1"/>
  <c r="Y359" i="1"/>
  <c r="W359" i="1"/>
  <c r="U359" i="1"/>
  <c r="R359" i="1"/>
  <c r="S359" i="1" s="1"/>
  <c r="P359" i="1"/>
  <c r="Q359" i="1" s="1"/>
  <c r="N359" i="1"/>
  <c r="O359" i="1" s="1"/>
  <c r="L359" i="1"/>
  <c r="Y356" i="1"/>
  <c r="W356" i="1"/>
  <c r="U356" i="1"/>
  <c r="R356" i="1"/>
  <c r="S356" i="1" s="1"/>
  <c r="P356" i="1"/>
  <c r="Q356" i="1" s="1"/>
  <c r="N356" i="1"/>
  <c r="O356" i="1" s="1"/>
  <c r="L356" i="1"/>
  <c r="Y355" i="1"/>
  <c r="W355" i="1"/>
  <c r="U355" i="1"/>
  <c r="R355" i="1"/>
  <c r="S355" i="1" s="1"/>
  <c r="P355" i="1"/>
  <c r="N355" i="1"/>
  <c r="L355" i="1"/>
  <c r="Y391" i="1"/>
  <c r="W391" i="1"/>
  <c r="U391" i="1"/>
  <c r="R391" i="1"/>
  <c r="S391" i="1" s="1"/>
  <c r="P391" i="1"/>
  <c r="Q391" i="1" s="1"/>
  <c r="N391" i="1"/>
  <c r="O391" i="1" s="1"/>
  <c r="L391" i="1"/>
  <c r="Y458" i="1"/>
  <c r="W458" i="1"/>
  <c r="U458" i="1"/>
  <c r="R458" i="1"/>
  <c r="S458" i="1" s="1"/>
  <c r="P458" i="1"/>
  <c r="Q458" i="1" s="1"/>
  <c r="N458" i="1"/>
  <c r="O458" i="1" s="1"/>
  <c r="L458" i="1"/>
  <c r="Y457" i="1"/>
  <c r="W457" i="1"/>
  <c r="U457" i="1"/>
  <c r="R457" i="1"/>
  <c r="S457" i="1" s="1"/>
  <c r="P457" i="1"/>
  <c r="Q457" i="1" s="1"/>
  <c r="N457" i="1"/>
  <c r="O457" i="1" s="1"/>
  <c r="L457" i="1"/>
  <c r="Y456" i="1"/>
  <c r="W456" i="1"/>
  <c r="U456" i="1"/>
  <c r="R456" i="1"/>
  <c r="S456" i="1" s="1"/>
  <c r="P456" i="1"/>
  <c r="Q456" i="1" s="1"/>
  <c r="N456" i="1"/>
  <c r="O456" i="1" s="1"/>
  <c r="L456" i="1"/>
  <c r="Y443" i="1"/>
  <c r="W443" i="1"/>
  <c r="U443" i="1"/>
  <c r="R443" i="1"/>
  <c r="S443" i="1" s="1"/>
  <c r="P443" i="1"/>
  <c r="Q443" i="1" s="1"/>
  <c r="N443" i="1"/>
  <c r="O443" i="1" s="1"/>
  <c r="L443" i="1"/>
  <c r="Y369" i="1"/>
  <c r="W369" i="1"/>
  <c r="U369" i="1"/>
  <c r="R369" i="1"/>
  <c r="S369" i="1" s="1"/>
  <c r="P369" i="1"/>
  <c r="Q369" i="1" s="1"/>
  <c r="N369" i="1"/>
  <c r="O369" i="1" s="1"/>
  <c r="L369" i="1"/>
  <c r="Y376" i="1"/>
  <c r="W376" i="1"/>
  <c r="U376" i="1"/>
  <c r="R376" i="1"/>
  <c r="S376" i="1" s="1"/>
  <c r="P376" i="1"/>
  <c r="Q376" i="1" s="1"/>
  <c r="N376" i="1"/>
  <c r="O376" i="1" s="1"/>
  <c r="L376" i="1"/>
  <c r="Y375" i="1"/>
  <c r="W375" i="1"/>
  <c r="U375" i="1"/>
  <c r="R375" i="1"/>
  <c r="S375" i="1" s="1"/>
  <c r="P375" i="1"/>
  <c r="Q375" i="1" s="1"/>
  <c r="N375" i="1"/>
  <c r="O375" i="1" s="1"/>
  <c r="L375" i="1"/>
  <c r="Y374" i="1"/>
  <c r="W374" i="1"/>
  <c r="U374" i="1"/>
  <c r="R374" i="1"/>
  <c r="S374" i="1" s="1"/>
  <c r="P374" i="1"/>
  <c r="Q374" i="1" s="1"/>
  <c r="N374" i="1"/>
  <c r="O374" i="1" s="1"/>
  <c r="L374" i="1"/>
  <c r="Y373" i="1"/>
  <c r="W373" i="1"/>
  <c r="U373" i="1"/>
  <c r="R373" i="1"/>
  <c r="S373" i="1" s="1"/>
  <c r="P373" i="1"/>
  <c r="Q373" i="1" s="1"/>
  <c r="N373" i="1"/>
  <c r="O373" i="1" s="1"/>
  <c r="L373" i="1"/>
  <c r="Y372" i="1"/>
  <c r="W372" i="1"/>
  <c r="U372" i="1"/>
  <c r="R372" i="1"/>
  <c r="S372" i="1" s="1"/>
  <c r="P372" i="1"/>
  <c r="Q372" i="1" s="1"/>
  <c r="N372" i="1"/>
  <c r="O372" i="1" s="1"/>
  <c r="L372" i="1"/>
  <c r="Y387" i="1"/>
  <c r="W387" i="1"/>
  <c r="U387" i="1"/>
  <c r="R387" i="1"/>
  <c r="S387" i="1" s="1"/>
  <c r="P387" i="1"/>
  <c r="Q387" i="1" s="1"/>
  <c r="N387" i="1"/>
  <c r="O387" i="1" s="1"/>
  <c r="L387" i="1"/>
  <c r="Y572" i="1"/>
  <c r="W572" i="1"/>
  <c r="U572" i="1"/>
  <c r="R572" i="1"/>
  <c r="S572" i="1" s="1"/>
  <c r="P572" i="1"/>
  <c r="Q572" i="1" s="1"/>
  <c r="N572" i="1"/>
  <c r="O572" i="1" s="1"/>
  <c r="L572" i="1"/>
  <c r="V572" i="1" s="1"/>
  <c r="Y571" i="1"/>
  <c r="W571" i="1"/>
  <c r="U571" i="1"/>
  <c r="R571" i="1"/>
  <c r="S571" i="1" s="1"/>
  <c r="P571" i="1"/>
  <c r="Q571" i="1" s="1"/>
  <c r="N571" i="1"/>
  <c r="O571" i="1" s="1"/>
  <c r="L571" i="1"/>
  <c r="Y570" i="1"/>
  <c r="W570" i="1"/>
  <c r="U570" i="1"/>
  <c r="R570" i="1"/>
  <c r="S570" i="1" s="1"/>
  <c r="P570" i="1"/>
  <c r="Q570" i="1" s="1"/>
  <c r="N570" i="1"/>
  <c r="O570" i="1" s="1"/>
  <c r="L570" i="1"/>
  <c r="Y569" i="1"/>
  <c r="W569" i="1"/>
  <c r="U569" i="1"/>
  <c r="R569" i="1"/>
  <c r="S569" i="1" s="1"/>
  <c r="P569" i="1"/>
  <c r="Q569" i="1" s="1"/>
  <c r="N569" i="1"/>
  <c r="O569" i="1" s="1"/>
  <c r="L569" i="1"/>
  <c r="Y568" i="1"/>
  <c r="W568" i="1"/>
  <c r="U568" i="1"/>
  <c r="R568" i="1"/>
  <c r="S568" i="1" s="1"/>
  <c r="P568" i="1"/>
  <c r="Q568" i="1" s="1"/>
  <c r="N568" i="1"/>
  <c r="O568" i="1" s="1"/>
  <c r="L568" i="1"/>
  <c r="Y579" i="1"/>
  <c r="W579" i="1"/>
  <c r="U579" i="1"/>
  <c r="R579" i="1"/>
  <c r="S579" i="1" s="1"/>
  <c r="P579" i="1"/>
  <c r="Q579" i="1" s="1"/>
  <c r="N579" i="1"/>
  <c r="O579" i="1" s="1"/>
  <c r="L579" i="1"/>
  <c r="Y996" i="1"/>
  <c r="W996" i="1"/>
  <c r="U996" i="1"/>
  <c r="R996" i="1"/>
  <c r="S996" i="1" s="1"/>
  <c r="P996" i="1"/>
  <c r="Q996" i="1" s="1"/>
  <c r="N996" i="1"/>
  <c r="O996" i="1" s="1"/>
  <c r="L996" i="1"/>
  <c r="Y995" i="1"/>
  <c r="W995" i="1"/>
  <c r="U995" i="1"/>
  <c r="R995" i="1"/>
  <c r="S995" i="1" s="1"/>
  <c r="P995" i="1"/>
  <c r="Q995" i="1" s="1"/>
  <c r="N995" i="1"/>
  <c r="O995" i="1" s="1"/>
  <c r="L995" i="1"/>
  <c r="V995" i="1" s="1"/>
  <c r="Y994" i="1"/>
  <c r="W994" i="1"/>
  <c r="U994" i="1"/>
  <c r="R994" i="1"/>
  <c r="S994" i="1" s="1"/>
  <c r="P994" i="1"/>
  <c r="Q994" i="1" s="1"/>
  <c r="N994" i="1"/>
  <c r="O994" i="1" s="1"/>
  <c r="L994" i="1"/>
  <c r="Y993" i="1"/>
  <c r="W993" i="1"/>
  <c r="U993" i="1"/>
  <c r="R993" i="1"/>
  <c r="S993" i="1" s="1"/>
  <c r="P993" i="1"/>
  <c r="Q993" i="1" s="1"/>
  <c r="N993" i="1"/>
  <c r="O993" i="1" s="1"/>
  <c r="L993" i="1"/>
  <c r="Y992" i="1"/>
  <c r="W992" i="1"/>
  <c r="U992" i="1"/>
  <c r="R992" i="1"/>
  <c r="S992" i="1" s="1"/>
  <c r="P992" i="1"/>
  <c r="Q992" i="1" s="1"/>
  <c r="N992" i="1"/>
  <c r="O992" i="1" s="1"/>
  <c r="L992" i="1"/>
  <c r="Y991" i="1"/>
  <c r="W991" i="1"/>
  <c r="U991" i="1"/>
  <c r="R991" i="1"/>
  <c r="S991" i="1" s="1"/>
  <c r="P991" i="1"/>
  <c r="Q991" i="1" s="1"/>
  <c r="N991" i="1"/>
  <c r="O991" i="1" s="1"/>
  <c r="L991" i="1"/>
  <c r="Y990" i="1"/>
  <c r="W990" i="1"/>
  <c r="U990" i="1"/>
  <c r="R990" i="1"/>
  <c r="S990" i="1" s="1"/>
  <c r="P990" i="1"/>
  <c r="Q990" i="1" s="1"/>
  <c r="N990" i="1"/>
  <c r="O990" i="1" s="1"/>
  <c r="L990" i="1"/>
  <c r="Y989" i="1"/>
  <c r="W989" i="1"/>
  <c r="U989" i="1"/>
  <c r="R989" i="1"/>
  <c r="S989" i="1" s="1"/>
  <c r="P989" i="1"/>
  <c r="Q989" i="1" s="1"/>
  <c r="N989" i="1"/>
  <c r="O989" i="1" s="1"/>
  <c r="L989" i="1"/>
  <c r="Y986" i="1"/>
  <c r="W986" i="1"/>
  <c r="U986" i="1"/>
  <c r="R986" i="1"/>
  <c r="S986" i="1" s="1"/>
  <c r="P986" i="1"/>
  <c r="Q986" i="1" s="1"/>
  <c r="N986" i="1"/>
  <c r="O986" i="1" s="1"/>
  <c r="L986" i="1"/>
  <c r="Y985" i="1"/>
  <c r="W985" i="1"/>
  <c r="U985" i="1"/>
  <c r="R985" i="1"/>
  <c r="S985" i="1" s="1"/>
  <c r="P985" i="1"/>
  <c r="Q985" i="1" s="1"/>
  <c r="N985" i="1"/>
  <c r="O985" i="1" s="1"/>
  <c r="L985" i="1"/>
  <c r="V985" i="1" s="1"/>
  <c r="Y984" i="1"/>
  <c r="W984" i="1"/>
  <c r="U984" i="1"/>
  <c r="R984" i="1"/>
  <c r="S984" i="1" s="1"/>
  <c r="P984" i="1"/>
  <c r="Q984" i="1" s="1"/>
  <c r="N984" i="1"/>
  <c r="O984" i="1" s="1"/>
  <c r="L984" i="1"/>
  <c r="Y983" i="1"/>
  <c r="W983" i="1"/>
  <c r="U983" i="1"/>
  <c r="R983" i="1"/>
  <c r="S983" i="1" s="1"/>
  <c r="P983" i="1"/>
  <c r="Q983" i="1" s="1"/>
  <c r="N983" i="1"/>
  <c r="O983" i="1" s="1"/>
  <c r="L983" i="1"/>
  <c r="Y982" i="1"/>
  <c r="W982" i="1"/>
  <c r="U982" i="1"/>
  <c r="R982" i="1"/>
  <c r="S982" i="1" s="1"/>
  <c r="P982" i="1"/>
  <c r="Q982" i="1" s="1"/>
  <c r="N982" i="1"/>
  <c r="O982" i="1" s="1"/>
  <c r="L982" i="1"/>
  <c r="Y981" i="1"/>
  <c r="W981" i="1"/>
  <c r="U981" i="1"/>
  <c r="R981" i="1"/>
  <c r="S981" i="1" s="1"/>
  <c r="P981" i="1"/>
  <c r="Q981" i="1" s="1"/>
  <c r="N981" i="1"/>
  <c r="O981" i="1" s="1"/>
  <c r="L981" i="1"/>
  <c r="Y980" i="1"/>
  <c r="W980" i="1"/>
  <c r="U980" i="1"/>
  <c r="R980" i="1"/>
  <c r="S980" i="1" s="1"/>
  <c r="P980" i="1"/>
  <c r="Q980" i="1" s="1"/>
  <c r="N980" i="1"/>
  <c r="O980" i="1" s="1"/>
  <c r="L980" i="1"/>
  <c r="Y979" i="1"/>
  <c r="W979" i="1"/>
  <c r="U979" i="1"/>
  <c r="R979" i="1"/>
  <c r="S979" i="1" s="1"/>
  <c r="P979" i="1"/>
  <c r="Q979" i="1" s="1"/>
  <c r="N979" i="1"/>
  <c r="O979" i="1" s="1"/>
  <c r="L979" i="1"/>
  <c r="Y978" i="1"/>
  <c r="W978" i="1"/>
  <c r="U978" i="1"/>
  <c r="R978" i="1"/>
  <c r="S978" i="1" s="1"/>
  <c r="P978" i="1"/>
  <c r="Q978" i="1" s="1"/>
  <c r="N978" i="1"/>
  <c r="O978" i="1" s="1"/>
  <c r="L978" i="1"/>
  <c r="Y599" i="1"/>
  <c r="W599" i="1"/>
  <c r="U599" i="1"/>
  <c r="R599" i="1"/>
  <c r="S599" i="1" s="1"/>
  <c r="P599" i="1"/>
  <c r="Q599" i="1" s="1"/>
  <c r="N599" i="1"/>
  <c r="O599" i="1" s="1"/>
  <c r="L599" i="1"/>
  <c r="Y598" i="1"/>
  <c r="W598" i="1"/>
  <c r="U598" i="1"/>
  <c r="R598" i="1"/>
  <c r="S598" i="1" s="1"/>
  <c r="P598" i="1"/>
  <c r="Q598" i="1" s="1"/>
  <c r="N598" i="1"/>
  <c r="O598" i="1" s="1"/>
  <c r="L598" i="1"/>
  <c r="Y597" i="1"/>
  <c r="W597" i="1"/>
  <c r="U597" i="1"/>
  <c r="R597" i="1"/>
  <c r="S597" i="1" s="1"/>
  <c r="P597" i="1"/>
  <c r="Q597" i="1" s="1"/>
  <c r="N597" i="1"/>
  <c r="O597" i="1" s="1"/>
  <c r="L597" i="1"/>
  <c r="V597" i="1" s="1"/>
  <c r="Y596" i="1"/>
  <c r="W596" i="1"/>
  <c r="U596" i="1"/>
  <c r="R596" i="1"/>
  <c r="S596" i="1" s="1"/>
  <c r="P596" i="1"/>
  <c r="Q596" i="1" s="1"/>
  <c r="N596" i="1"/>
  <c r="O596" i="1" s="1"/>
  <c r="L596" i="1"/>
  <c r="Y595" i="1"/>
  <c r="W595" i="1"/>
  <c r="U595" i="1"/>
  <c r="R595" i="1"/>
  <c r="S595" i="1" s="1"/>
  <c r="P595" i="1"/>
  <c r="Q595" i="1" s="1"/>
  <c r="N595" i="1"/>
  <c r="O595" i="1" s="1"/>
  <c r="L595" i="1"/>
  <c r="Y594" i="1"/>
  <c r="W594" i="1"/>
  <c r="U594" i="1"/>
  <c r="R594" i="1"/>
  <c r="S594" i="1" s="1"/>
  <c r="P594" i="1"/>
  <c r="Q594" i="1" s="1"/>
  <c r="N594" i="1"/>
  <c r="O594" i="1" s="1"/>
  <c r="L594" i="1"/>
  <c r="Y590" i="1"/>
  <c r="W590" i="1"/>
  <c r="U590" i="1"/>
  <c r="R590" i="1"/>
  <c r="S590" i="1" s="1"/>
  <c r="P590" i="1"/>
  <c r="Q590" i="1" s="1"/>
  <c r="N590" i="1"/>
  <c r="O590" i="1" s="1"/>
  <c r="L590" i="1"/>
  <c r="Y589" i="1"/>
  <c r="W589" i="1"/>
  <c r="U589" i="1"/>
  <c r="R589" i="1"/>
  <c r="S589" i="1" s="1"/>
  <c r="P589" i="1"/>
  <c r="Q589" i="1" s="1"/>
  <c r="N589" i="1"/>
  <c r="O589" i="1" s="1"/>
  <c r="L589" i="1"/>
  <c r="Y588" i="1"/>
  <c r="W588" i="1"/>
  <c r="U588" i="1"/>
  <c r="R588" i="1"/>
  <c r="S588" i="1" s="1"/>
  <c r="P588" i="1"/>
  <c r="Q588" i="1" s="1"/>
  <c r="N588" i="1"/>
  <c r="O588" i="1" s="1"/>
  <c r="L588" i="1"/>
  <c r="Y587" i="1"/>
  <c r="W587" i="1"/>
  <c r="U587" i="1"/>
  <c r="R587" i="1"/>
  <c r="S587" i="1" s="1"/>
  <c r="P587" i="1"/>
  <c r="Q587" i="1" s="1"/>
  <c r="N587" i="1"/>
  <c r="O587" i="1" s="1"/>
  <c r="L587" i="1"/>
  <c r="Y586" i="1"/>
  <c r="W586" i="1"/>
  <c r="U586" i="1"/>
  <c r="R586" i="1"/>
  <c r="S586" i="1" s="1"/>
  <c r="P586" i="1"/>
  <c r="Q586" i="1" s="1"/>
  <c r="N586" i="1"/>
  <c r="O586" i="1" s="1"/>
  <c r="L586" i="1"/>
  <c r="Y585" i="1"/>
  <c r="W585" i="1"/>
  <c r="U585" i="1"/>
  <c r="R585" i="1"/>
  <c r="S585" i="1" s="1"/>
  <c r="P585" i="1"/>
  <c r="Q585" i="1" s="1"/>
  <c r="N585" i="1"/>
  <c r="O585" i="1" s="1"/>
  <c r="L585" i="1"/>
  <c r="Y584" i="1"/>
  <c r="W584" i="1"/>
  <c r="U584" i="1"/>
  <c r="R584" i="1"/>
  <c r="S584" i="1" s="1"/>
  <c r="P584" i="1"/>
  <c r="Q584" i="1" s="1"/>
  <c r="N584" i="1"/>
  <c r="O584" i="1" s="1"/>
  <c r="L584" i="1"/>
  <c r="Y583" i="1"/>
  <c r="W583" i="1"/>
  <c r="U583" i="1"/>
  <c r="R583" i="1"/>
  <c r="S583" i="1" s="1"/>
  <c r="P583" i="1"/>
  <c r="Q583" i="1" s="1"/>
  <c r="N583" i="1"/>
  <c r="O583" i="1" s="1"/>
  <c r="L583" i="1"/>
  <c r="Y582" i="1"/>
  <c r="W582" i="1"/>
  <c r="U582" i="1"/>
  <c r="R582" i="1"/>
  <c r="S582" i="1" s="1"/>
  <c r="P582" i="1"/>
  <c r="Q582" i="1" s="1"/>
  <c r="N582" i="1"/>
  <c r="O582" i="1" s="1"/>
  <c r="L582" i="1"/>
  <c r="Y581" i="1"/>
  <c r="W581" i="1"/>
  <c r="U581" i="1"/>
  <c r="R581" i="1"/>
  <c r="S581" i="1" s="1"/>
  <c r="P581" i="1"/>
  <c r="Q581" i="1" s="1"/>
  <c r="N581" i="1"/>
  <c r="O581" i="1" s="1"/>
  <c r="L581" i="1"/>
  <c r="Y580" i="1"/>
  <c r="W580" i="1"/>
  <c r="U580" i="1"/>
  <c r="R580" i="1"/>
  <c r="S580" i="1" s="1"/>
  <c r="P580" i="1"/>
  <c r="Q580" i="1" s="1"/>
  <c r="N580" i="1"/>
  <c r="O580" i="1" s="1"/>
  <c r="L580" i="1"/>
  <c r="V580" i="1" s="1"/>
  <c r="Y578" i="1"/>
  <c r="W578" i="1"/>
  <c r="U578" i="1"/>
  <c r="R578" i="1"/>
  <c r="S578" i="1" s="1"/>
  <c r="P578" i="1"/>
  <c r="Q578" i="1" s="1"/>
  <c r="N578" i="1"/>
  <c r="O578" i="1" s="1"/>
  <c r="L578" i="1"/>
  <c r="Y577" i="1"/>
  <c r="W577" i="1"/>
  <c r="U577" i="1"/>
  <c r="R577" i="1"/>
  <c r="S577" i="1" s="1"/>
  <c r="P577" i="1"/>
  <c r="Q577" i="1" s="1"/>
  <c r="N577" i="1"/>
  <c r="O577" i="1" s="1"/>
  <c r="L577" i="1"/>
  <c r="Y576" i="1"/>
  <c r="W576" i="1"/>
  <c r="U576" i="1"/>
  <c r="R576" i="1"/>
  <c r="S576" i="1" s="1"/>
  <c r="P576" i="1"/>
  <c r="Q576" i="1" s="1"/>
  <c r="N576" i="1"/>
  <c r="O576" i="1" s="1"/>
  <c r="L576" i="1"/>
  <c r="Y575" i="1"/>
  <c r="W575" i="1"/>
  <c r="U575" i="1"/>
  <c r="R575" i="1"/>
  <c r="S575" i="1" s="1"/>
  <c r="P575" i="1"/>
  <c r="Q575" i="1" s="1"/>
  <c r="N575" i="1"/>
  <c r="O575" i="1" s="1"/>
  <c r="L575" i="1"/>
  <c r="Y574" i="1"/>
  <c r="W574" i="1"/>
  <c r="U574" i="1"/>
  <c r="R574" i="1"/>
  <c r="S574" i="1" s="1"/>
  <c r="P574" i="1"/>
  <c r="Q574" i="1" s="1"/>
  <c r="N574" i="1"/>
  <c r="O574" i="1" s="1"/>
  <c r="L574" i="1"/>
  <c r="Y573" i="1"/>
  <c r="W573" i="1"/>
  <c r="U573" i="1"/>
  <c r="R573" i="1"/>
  <c r="S573" i="1" s="1"/>
  <c r="P573" i="1"/>
  <c r="Q573" i="1" s="1"/>
  <c r="N573" i="1"/>
  <c r="O573" i="1" s="1"/>
  <c r="L573" i="1"/>
  <c r="Y907" i="1"/>
  <c r="W907" i="1"/>
  <c r="U907" i="1"/>
  <c r="R907" i="1"/>
  <c r="S907" i="1" s="1"/>
  <c r="P907" i="1"/>
  <c r="Q907" i="1" s="1"/>
  <c r="N907" i="1"/>
  <c r="O907" i="1" s="1"/>
  <c r="L907" i="1"/>
  <c r="Y610" i="1"/>
  <c r="W610" i="1"/>
  <c r="U610" i="1"/>
  <c r="R610" i="1"/>
  <c r="S610" i="1" s="1"/>
  <c r="P610" i="1"/>
  <c r="Q610" i="1" s="1"/>
  <c r="N610" i="1"/>
  <c r="O610" i="1" s="1"/>
  <c r="L610" i="1"/>
  <c r="Y357" i="1"/>
  <c r="W357" i="1"/>
  <c r="U357" i="1"/>
  <c r="R357" i="1"/>
  <c r="S357" i="1" s="1"/>
  <c r="P357" i="1"/>
  <c r="Q357" i="1" s="1"/>
  <c r="N357" i="1"/>
  <c r="O357" i="1" s="1"/>
  <c r="L357" i="1"/>
  <c r="Y1119" i="1"/>
  <c r="W1119" i="1"/>
  <c r="U1119" i="1"/>
  <c r="R1119" i="1"/>
  <c r="S1119" i="1" s="1"/>
  <c r="P1119" i="1"/>
  <c r="Q1119" i="1" s="1"/>
  <c r="N1119" i="1"/>
  <c r="O1119" i="1" s="1"/>
  <c r="L1119" i="1"/>
  <c r="Y1118" i="1"/>
  <c r="W1118" i="1"/>
  <c r="U1118" i="1"/>
  <c r="R1118" i="1"/>
  <c r="S1118" i="1" s="1"/>
  <c r="P1118" i="1"/>
  <c r="Q1118" i="1" s="1"/>
  <c r="N1118" i="1"/>
  <c r="O1118" i="1" s="1"/>
  <c r="L1118" i="1"/>
  <c r="Y1117" i="1"/>
  <c r="W1117" i="1"/>
  <c r="U1117" i="1"/>
  <c r="R1117" i="1"/>
  <c r="S1117" i="1" s="1"/>
  <c r="P1117" i="1"/>
  <c r="Q1117" i="1" s="1"/>
  <c r="N1117" i="1"/>
  <c r="O1117" i="1" s="1"/>
  <c r="L1117" i="1"/>
  <c r="Y1116" i="1"/>
  <c r="W1116" i="1"/>
  <c r="U1116" i="1"/>
  <c r="R1116" i="1"/>
  <c r="S1116" i="1" s="1"/>
  <c r="P1116" i="1"/>
  <c r="Q1116" i="1" s="1"/>
  <c r="N1116" i="1"/>
  <c r="O1116" i="1" s="1"/>
  <c r="L1116" i="1"/>
  <c r="Y1115" i="1"/>
  <c r="W1115" i="1"/>
  <c r="U1115" i="1"/>
  <c r="R1115" i="1"/>
  <c r="S1115" i="1" s="1"/>
  <c r="P1115" i="1"/>
  <c r="Q1115" i="1" s="1"/>
  <c r="N1115" i="1"/>
  <c r="O1115" i="1" s="1"/>
  <c r="L1115" i="1"/>
  <c r="Y1057" i="1"/>
  <c r="W1057" i="1"/>
  <c r="U1057" i="1"/>
  <c r="R1057" i="1"/>
  <c r="S1057" i="1" s="1"/>
  <c r="P1057" i="1"/>
  <c r="Q1057" i="1" s="1"/>
  <c r="N1057" i="1"/>
  <c r="O1057" i="1" s="1"/>
  <c r="L1057" i="1"/>
  <c r="Y1051" i="1"/>
  <c r="W1051" i="1"/>
  <c r="U1051" i="1"/>
  <c r="R1051" i="1"/>
  <c r="S1051" i="1" s="1"/>
  <c r="P1051" i="1"/>
  <c r="Q1051" i="1" s="1"/>
  <c r="N1051" i="1"/>
  <c r="O1051" i="1" s="1"/>
  <c r="L1051" i="1"/>
  <c r="Y1050" i="1"/>
  <c r="W1050" i="1"/>
  <c r="U1050" i="1"/>
  <c r="R1050" i="1"/>
  <c r="S1050" i="1" s="1"/>
  <c r="P1050" i="1"/>
  <c r="Q1050" i="1" s="1"/>
  <c r="N1050" i="1"/>
  <c r="O1050" i="1" s="1"/>
  <c r="L1050" i="1"/>
  <c r="Y1049" i="1"/>
  <c r="W1049" i="1"/>
  <c r="U1049" i="1"/>
  <c r="R1049" i="1"/>
  <c r="S1049" i="1" s="1"/>
  <c r="P1049" i="1"/>
  <c r="Q1049" i="1" s="1"/>
  <c r="N1049" i="1"/>
  <c r="O1049" i="1" s="1"/>
  <c r="L1049" i="1"/>
  <c r="Y1048" i="1"/>
  <c r="W1048" i="1"/>
  <c r="U1048" i="1"/>
  <c r="R1048" i="1"/>
  <c r="S1048" i="1" s="1"/>
  <c r="P1048" i="1"/>
  <c r="Q1048" i="1" s="1"/>
  <c r="N1048" i="1"/>
  <c r="O1048" i="1" s="1"/>
  <c r="L1048" i="1"/>
  <c r="Y1047" i="1"/>
  <c r="W1047" i="1"/>
  <c r="U1047" i="1"/>
  <c r="R1047" i="1"/>
  <c r="S1047" i="1" s="1"/>
  <c r="P1047" i="1"/>
  <c r="Q1047" i="1" s="1"/>
  <c r="N1047" i="1"/>
  <c r="O1047" i="1" s="1"/>
  <c r="L1047" i="1"/>
  <c r="Y1046" i="1"/>
  <c r="W1046" i="1"/>
  <c r="U1046" i="1"/>
  <c r="R1046" i="1"/>
  <c r="S1046" i="1" s="1"/>
  <c r="P1046" i="1"/>
  <c r="Q1046" i="1" s="1"/>
  <c r="N1046" i="1"/>
  <c r="O1046" i="1" s="1"/>
  <c r="L1046" i="1"/>
  <c r="Y1045" i="1"/>
  <c r="W1045" i="1"/>
  <c r="U1045" i="1"/>
  <c r="R1045" i="1"/>
  <c r="S1045" i="1" s="1"/>
  <c r="P1045" i="1"/>
  <c r="Q1045" i="1" s="1"/>
  <c r="N1045" i="1"/>
  <c r="O1045" i="1" s="1"/>
  <c r="L1045" i="1"/>
  <c r="Y1044" i="1"/>
  <c r="W1044" i="1"/>
  <c r="U1044" i="1"/>
  <c r="R1044" i="1"/>
  <c r="S1044" i="1" s="1"/>
  <c r="P1044" i="1"/>
  <c r="Q1044" i="1" s="1"/>
  <c r="N1044" i="1"/>
  <c r="O1044" i="1" s="1"/>
  <c r="L1044" i="1"/>
  <c r="Y1043" i="1"/>
  <c r="W1043" i="1"/>
  <c r="U1043" i="1"/>
  <c r="R1043" i="1"/>
  <c r="S1043" i="1" s="1"/>
  <c r="P1043" i="1"/>
  <c r="Q1043" i="1" s="1"/>
  <c r="N1043" i="1"/>
  <c r="O1043" i="1" s="1"/>
  <c r="L1043" i="1"/>
  <c r="Y1042" i="1"/>
  <c r="W1042" i="1"/>
  <c r="U1042" i="1"/>
  <c r="R1042" i="1"/>
  <c r="S1042" i="1" s="1"/>
  <c r="P1042" i="1"/>
  <c r="Q1042" i="1" s="1"/>
  <c r="N1042" i="1"/>
  <c r="O1042" i="1" s="1"/>
  <c r="L1042" i="1"/>
  <c r="Y1041" i="1"/>
  <c r="W1041" i="1"/>
  <c r="U1041" i="1"/>
  <c r="R1041" i="1"/>
  <c r="S1041" i="1" s="1"/>
  <c r="P1041" i="1"/>
  <c r="Q1041" i="1" s="1"/>
  <c r="N1041" i="1"/>
  <c r="O1041" i="1" s="1"/>
  <c r="L1041" i="1"/>
  <c r="Y1040" i="1"/>
  <c r="W1040" i="1"/>
  <c r="U1040" i="1"/>
  <c r="R1040" i="1"/>
  <c r="S1040" i="1" s="1"/>
  <c r="P1040" i="1"/>
  <c r="Q1040" i="1" s="1"/>
  <c r="N1040" i="1"/>
  <c r="O1040" i="1" s="1"/>
  <c r="L1040" i="1"/>
  <c r="Y1039" i="1"/>
  <c r="W1039" i="1"/>
  <c r="U1039" i="1"/>
  <c r="R1039" i="1"/>
  <c r="S1039" i="1" s="1"/>
  <c r="P1039" i="1"/>
  <c r="Q1039" i="1" s="1"/>
  <c r="N1039" i="1"/>
  <c r="O1039" i="1" s="1"/>
  <c r="L1039" i="1"/>
  <c r="Y1038" i="1"/>
  <c r="W1038" i="1"/>
  <c r="U1038" i="1"/>
  <c r="R1038" i="1"/>
  <c r="S1038" i="1" s="1"/>
  <c r="P1038" i="1"/>
  <c r="Q1038" i="1" s="1"/>
  <c r="N1038" i="1"/>
  <c r="O1038" i="1" s="1"/>
  <c r="L1038" i="1"/>
  <c r="V1038" i="1" s="1"/>
  <c r="Y1037" i="1"/>
  <c r="W1037" i="1"/>
  <c r="U1037" i="1"/>
  <c r="R1037" i="1"/>
  <c r="S1037" i="1" s="1"/>
  <c r="P1037" i="1"/>
  <c r="Q1037" i="1" s="1"/>
  <c r="N1037" i="1"/>
  <c r="O1037" i="1" s="1"/>
  <c r="L1037" i="1"/>
  <c r="Y1036" i="1"/>
  <c r="W1036" i="1"/>
  <c r="U1036" i="1"/>
  <c r="R1036" i="1"/>
  <c r="S1036" i="1" s="1"/>
  <c r="P1036" i="1"/>
  <c r="Q1036" i="1" s="1"/>
  <c r="N1036" i="1"/>
  <c r="O1036" i="1" s="1"/>
  <c r="L1036" i="1"/>
  <c r="Y1035" i="1"/>
  <c r="W1035" i="1"/>
  <c r="U1035" i="1"/>
  <c r="R1035" i="1"/>
  <c r="S1035" i="1" s="1"/>
  <c r="P1035" i="1"/>
  <c r="Q1035" i="1" s="1"/>
  <c r="N1035" i="1"/>
  <c r="O1035" i="1" s="1"/>
  <c r="L1035" i="1"/>
  <c r="Y1034" i="1"/>
  <c r="W1034" i="1"/>
  <c r="U1034" i="1"/>
  <c r="R1034" i="1"/>
  <c r="S1034" i="1" s="1"/>
  <c r="P1034" i="1"/>
  <c r="Q1034" i="1" s="1"/>
  <c r="N1034" i="1"/>
  <c r="O1034" i="1" s="1"/>
  <c r="L1034" i="1"/>
  <c r="Y1033" i="1"/>
  <c r="W1033" i="1"/>
  <c r="U1033" i="1"/>
  <c r="R1033" i="1"/>
  <c r="S1033" i="1" s="1"/>
  <c r="P1033" i="1"/>
  <c r="Q1033" i="1" s="1"/>
  <c r="N1033" i="1"/>
  <c r="O1033" i="1" s="1"/>
  <c r="L1033" i="1"/>
  <c r="Y1032" i="1"/>
  <c r="W1032" i="1"/>
  <c r="U1032" i="1"/>
  <c r="R1032" i="1"/>
  <c r="S1032" i="1" s="1"/>
  <c r="P1032" i="1"/>
  <c r="Q1032" i="1" s="1"/>
  <c r="N1032" i="1"/>
  <c r="O1032" i="1" s="1"/>
  <c r="L1032" i="1"/>
  <c r="Y1031" i="1"/>
  <c r="W1031" i="1"/>
  <c r="U1031" i="1"/>
  <c r="R1031" i="1"/>
  <c r="S1031" i="1" s="1"/>
  <c r="P1031" i="1"/>
  <c r="Q1031" i="1" s="1"/>
  <c r="N1031" i="1"/>
  <c r="O1031" i="1" s="1"/>
  <c r="L1031" i="1"/>
  <c r="Y1030" i="1"/>
  <c r="W1030" i="1"/>
  <c r="U1030" i="1"/>
  <c r="R1030" i="1"/>
  <c r="S1030" i="1" s="1"/>
  <c r="P1030" i="1"/>
  <c r="Q1030" i="1" s="1"/>
  <c r="N1030" i="1"/>
  <c r="O1030" i="1" s="1"/>
  <c r="L1030" i="1"/>
  <c r="Y1107" i="1"/>
  <c r="W1107" i="1"/>
  <c r="U1107" i="1"/>
  <c r="R1107" i="1"/>
  <c r="S1107" i="1" s="1"/>
  <c r="P1107" i="1"/>
  <c r="Q1107" i="1" s="1"/>
  <c r="N1107" i="1"/>
  <c r="O1107" i="1" s="1"/>
  <c r="L1107" i="1"/>
  <c r="Y1106" i="1"/>
  <c r="W1106" i="1"/>
  <c r="U1106" i="1"/>
  <c r="R1106" i="1"/>
  <c r="S1106" i="1" s="1"/>
  <c r="P1106" i="1"/>
  <c r="Q1106" i="1" s="1"/>
  <c r="N1106" i="1"/>
  <c r="O1106" i="1" s="1"/>
  <c r="L1106" i="1"/>
  <c r="Y1105" i="1"/>
  <c r="W1105" i="1"/>
  <c r="U1105" i="1"/>
  <c r="R1105" i="1"/>
  <c r="S1105" i="1" s="1"/>
  <c r="P1105" i="1"/>
  <c r="Q1105" i="1" s="1"/>
  <c r="N1105" i="1"/>
  <c r="O1105" i="1" s="1"/>
  <c r="L1105" i="1"/>
  <c r="Y1104" i="1"/>
  <c r="W1104" i="1"/>
  <c r="U1104" i="1"/>
  <c r="R1104" i="1"/>
  <c r="S1104" i="1" s="1"/>
  <c r="P1104" i="1"/>
  <c r="Q1104" i="1" s="1"/>
  <c r="N1104" i="1"/>
  <c r="O1104" i="1" s="1"/>
  <c r="L1104" i="1"/>
  <c r="Y1103" i="1"/>
  <c r="W1103" i="1"/>
  <c r="U1103" i="1"/>
  <c r="R1103" i="1"/>
  <c r="S1103" i="1" s="1"/>
  <c r="P1103" i="1"/>
  <c r="Q1103" i="1" s="1"/>
  <c r="N1103" i="1"/>
  <c r="O1103" i="1" s="1"/>
  <c r="L1103" i="1"/>
  <c r="Y1102" i="1"/>
  <c r="W1102" i="1"/>
  <c r="U1102" i="1"/>
  <c r="R1102" i="1"/>
  <c r="S1102" i="1" s="1"/>
  <c r="P1102" i="1"/>
  <c r="Q1102" i="1" s="1"/>
  <c r="N1102" i="1"/>
  <c r="O1102" i="1" s="1"/>
  <c r="L1102" i="1"/>
  <c r="Y1101" i="1"/>
  <c r="W1101" i="1"/>
  <c r="U1101" i="1"/>
  <c r="R1101" i="1"/>
  <c r="S1101" i="1" s="1"/>
  <c r="P1101" i="1"/>
  <c r="Q1101" i="1" s="1"/>
  <c r="N1101" i="1"/>
  <c r="O1101" i="1" s="1"/>
  <c r="L1101" i="1"/>
  <c r="Y1100" i="1"/>
  <c r="W1100" i="1"/>
  <c r="U1100" i="1"/>
  <c r="R1100" i="1"/>
  <c r="S1100" i="1" s="1"/>
  <c r="P1100" i="1"/>
  <c r="Q1100" i="1" s="1"/>
  <c r="N1100" i="1"/>
  <c r="O1100" i="1" s="1"/>
  <c r="L1100" i="1"/>
  <c r="Y1099" i="1"/>
  <c r="W1099" i="1"/>
  <c r="U1099" i="1"/>
  <c r="R1099" i="1"/>
  <c r="S1099" i="1" s="1"/>
  <c r="P1099" i="1"/>
  <c r="Q1099" i="1" s="1"/>
  <c r="N1099" i="1"/>
  <c r="O1099" i="1" s="1"/>
  <c r="L1099" i="1"/>
  <c r="Y1098" i="1"/>
  <c r="W1098" i="1"/>
  <c r="U1098" i="1"/>
  <c r="R1098" i="1"/>
  <c r="S1098" i="1" s="1"/>
  <c r="P1098" i="1"/>
  <c r="Q1098" i="1" s="1"/>
  <c r="N1098" i="1"/>
  <c r="O1098" i="1" s="1"/>
  <c r="L1098" i="1"/>
  <c r="Y1060" i="1"/>
  <c r="W1060" i="1"/>
  <c r="U1060" i="1"/>
  <c r="R1060" i="1"/>
  <c r="S1060" i="1" s="1"/>
  <c r="P1060" i="1"/>
  <c r="Q1060" i="1" s="1"/>
  <c r="N1060" i="1"/>
  <c r="O1060" i="1" s="1"/>
  <c r="L1060" i="1"/>
  <c r="Y1059" i="1"/>
  <c r="W1059" i="1"/>
  <c r="U1059" i="1"/>
  <c r="R1059" i="1"/>
  <c r="S1059" i="1" s="1"/>
  <c r="P1059" i="1"/>
  <c r="Q1059" i="1" s="1"/>
  <c r="N1059" i="1"/>
  <c r="O1059" i="1" s="1"/>
  <c r="L1059" i="1"/>
  <c r="V1059" i="1" s="1"/>
  <c r="Y1029" i="1"/>
  <c r="W1029" i="1"/>
  <c r="U1029" i="1"/>
  <c r="R1029" i="1"/>
  <c r="S1029" i="1" s="1"/>
  <c r="P1029" i="1"/>
  <c r="Q1029" i="1" s="1"/>
  <c r="N1029" i="1"/>
  <c r="O1029" i="1" s="1"/>
  <c r="L1029" i="1"/>
  <c r="Y1028" i="1"/>
  <c r="W1028" i="1"/>
  <c r="U1028" i="1"/>
  <c r="R1028" i="1"/>
  <c r="S1028" i="1" s="1"/>
  <c r="P1028" i="1"/>
  <c r="Q1028" i="1" s="1"/>
  <c r="N1028" i="1"/>
  <c r="O1028" i="1" s="1"/>
  <c r="L1028" i="1"/>
  <c r="Y1027" i="1"/>
  <c r="W1027" i="1"/>
  <c r="U1027" i="1"/>
  <c r="R1027" i="1"/>
  <c r="S1027" i="1" s="1"/>
  <c r="P1027" i="1"/>
  <c r="Q1027" i="1" s="1"/>
  <c r="N1027" i="1"/>
  <c r="O1027" i="1" s="1"/>
  <c r="L1027" i="1"/>
  <c r="Y1026" i="1"/>
  <c r="W1026" i="1"/>
  <c r="U1026" i="1"/>
  <c r="R1026" i="1"/>
  <c r="S1026" i="1" s="1"/>
  <c r="P1026" i="1"/>
  <c r="Q1026" i="1" s="1"/>
  <c r="N1026" i="1"/>
  <c r="O1026" i="1" s="1"/>
  <c r="L1026" i="1"/>
  <c r="Y1025" i="1"/>
  <c r="W1025" i="1"/>
  <c r="U1025" i="1"/>
  <c r="R1025" i="1"/>
  <c r="S1025" i="1" s="1"/>
  <c r="P1025" i="1"/>
  <c r="Q1025" i="1" s="1"/>
  <c r="N1025" i="1"/>
  <c r="O1025" i="1" s="1"/>
  <c r="L1025" i="1"/>
  <c r="Y1024" i="1"/>
  <c r="W1024" i="1"/>
  <c r="U1024" i="1"/>
  <c r="R1024" i="1"/>
  <c r="S1024" i="1" s="1"/>
  <c r="P1024" i="1"/>
  <c r="Q1024" i="1" s="1"/>
  <c r="N1024" i="1"/>
  <c r="O1024" i="1" s="1"/>
  <c r="L1024" i="1"/>
  <c r="Y1023" i="1"/>
  <c r="W1023" i="1"/>
  <c r="U1023" i="1"/>
  <c r="R1023" i="1"/>
  <c r="S1023" i="1" s="1"/>
  <c r="P1023" i="1"/>
  <c r="Q1023" i="1" s="1"/>
  <c r="N1023" i="1"/>
  <c r="O1023" i="1" s="1"/>
  <c r="L1023" i="1"/>
  <c r="Y1022" i="1"/>
  <c r="W1022" i="1"/>
  <c r="U1022" i="1"/>
  <c r="R1022" i="1"/>
  <c r="S1022" i="1" s="1"/>
  <c r="P1022" i="1"/>
  <c r="Q1022" i="1" s="1"/>
  <c r="N1022" i="1"/>
  <c r="O1022" i="1" s="1"/>
  <c r="L1022" i="1"/>
  <c r="Y1021" i="1"/>
  <c r="W1021" i="1"/>
  <c r="U1021" i="1"/>
  <c r="R1021" i="1"/>
  <c r="S1021" i="1" s="1"/>
  <c r="P1021" i="1"/>
  <c r="Q1021" i="1" s="1"/>
  <c r="N1021" i="1"/>
  <c r="O1021" i="1" s="1"/>
  <c r="L1021" i="1"/>
  <c r="Y1020" i="1"/>
  <c r="W1020" i="1"/>
  <c r="U1020" i="1"/>
  <c r="R1020" i="1"/>
  <c r="S1020" i="1" s="1"/>
  <c r="P1020" i="1"/>
  <c r="Q1020" i="1" s="1"/>
  <c r="N1020" i="1"/>
  <c r="O1020" i="1" s="1"/>
  <c r="L1020" i="1"/>
  <c r="Y1018" i="1"/>
  <c r="W1018" i="1"/>
  <c r="U1018" i="1"/>
  <c r="R1018" i="1"/>
  <c r="S1018" i="1" s="1"/>
  <c r="P1018" i="1"/>
  <c r="Q1018" i="1" s="1"/>
  <c r="N1018" i="1"/>
  <c r="O1018" i="1" s="1"/>
  <c r="L1018" i="1"/>
  <c r="Y1017" i="1"/>
  <c r="W1017" i="1"/>
  <c r="U1017" i="1"/>
  <c r="R1017" i="1"/>
  <c r="S1017" i="1" s="1"/>
  <c r="P1017" i="1"/>
  <c r="Q1017" i="1" s="1"/>
  <c r="N1017" i="1"/>
  <c r="O1017" i="1" s="1"/>
  <c r="L1017" i="1"/>
  <c r="Y1016" i="1"/>
  <c r="W1016" i="1"/>
  <c r="U1016" i="1"/>
  <c r="R1016" i="1"/>
  <c r="S1016" i="1" s="1"/>
  <c r="P1016" i="1"/>
  <c r="Q1016" i="1" s="1"/>
  <c r="N1016" i="1"/>
  <c r="O1016" i="1" s="1"/>
  <c r="L1016" i="1"/>
  <c r="Y1015" i="1"/>
  <c r="W1015" i="1"/>
  <c r="U1015" i="1"/>
  <c r="R1015" i="1"/>
  <c r="S1015" i="1" s="1"/>
  <c r="P1015" i="1"/>
  <c r="Q1015" i="1" s="1"/>
  <c r="N1015" i="1"/>
  <c r="O1015" i="1" s="1"/>
  <c r="L1015" i="1"/>
  <c r="Y1014" i="1"/>
  <c r="W1014" i="1"/>
  <c r="U1014" i="1"/>
  <c r="R1014" i="1"/>
  <c r="S1014" i="1" s="1"/>
  <c r="P1014" i="1"/>
  <c r="Q1014" i="1" s="1"/>
  <c r="N1014" i="1"/>
  <c r="O1014" i="1" s="1"/>
  <c r="L1014" i="1"/>
  <c r="Y1013" i="1"/>
  <c r="W1013" i="1"/>
  <c r="U1013" i="1"/>
  <c r="R1013" i="1"/>
  <c r="S1013" i="1" s="1"/>
  <c r="P1013" i="1"/>
  <c r="Q1013" i="1" s="1"/>
  <c r="N1013" i="1"/>
  <c r="O1013" i="1" s="1"/>
  <c r="L1013" i="1"/>
  <c r="V1013" i="1" s="1"/>
  <c r="Y1012" i="1"/>
  <c r="W1012" i="1"/>
  <c r="U1012" i="1"/>
  <c r="R1012" i="1"/>
  <c r="S1012" i="1" s="1"/>
  <c r="P1012" i="1"/>
  <c r="Q1012" i="1" s="1"/>
  <c r="N1012" i="1"/>
  <c r="O1012" i="1" s="1"/>
  <c r="L1012" i="1"/>
  <c r="Y1011" i="1"/>
  <c r="W1011" i="1"/>
  <c r="U1011" i="1"/>
  <c r="R1011" i="1"/>
  <c r="S1011" i="1" s="1"/>
  <c r="P1011" i="1"/>
  <c r="Q1011" i="1" s="1"/>
  <c r="N1011" i="1"/>
  <c r="O1011" i="1" s="1"/>
  <c r="L1011" i="1"/>
  <c r="Y1010" i="1"/>
  <c r="W1010" i="1"/>
  <c r="U1010" i="1"/>
  <c r="R1010" i="1"/>
  <c r="S1010" i="1" s="1"/>
  <c r="P1010" i="1"/>
  <c r="Q1010" i="1" s="1"/>
  <c r="N1010" i="1"/>
  <c r="O1010" i="1" s="1"/>
  <c r="L1010" i="1"/>
  <c r="Y1009" i="1"/>
  <c r="W1009" i="1"/>
  <c r="U1009" i="1"/>
  <c r="R1009" i="1"/>
  <c r="S1009" i="1" s="1"/>
  <c r="P1009" i="1"/>
  <c r="Q1009" i="1" s="1"/>
  <c r="N1009" i="1"/>
  <c r="O1009" i="1" s="1"/>
  <c r="L1009" i="1"/>
  <c r="Y1008" i="1"/>
  <c r="W1008" i="1"/>
  <c r="U1008" i="1"/>
  <c r="R1008" i="1"/>
  <c r="S1008" i="1" s="1"/>
  <c r="P1008" i="1"/>
  <c r="Q1008" i="1" s="1"/>
  <c r="N1008" i="1"/>
  <c r="O1008" i="1" s="1"/>
  <c r="L1008" i="1"/>
  <c r="Y1007" i="1"/>
  <c r="W1007" i="1"/>
  <c r="U1007" i="1"/>
  <c r="R1007" i="1"/>
  <c r="S1007" i="1" s="1"/>
  <c r="P1007" i="1"/>
  <c r="Q1007" i="1" s="1"/>
  <c r="N1007" i="1"/>
  <c r="O1007" i="1" s="1"/>
  <c r="L1007" i="1"/>
  <c r="Y1006" i="1"/>
  <c r="W1006" i="1"/>
  <c r="U1006" i="1"/>
  <c r="R1006" i="1"/>
  <c r="S1006" i="1" s="1"/>
  <c r="P1006" i="1"/>
  <c r="Q1006" i="1" s="1"/>
  <c r="N1006" i="1"/>
  <c r="O1006" i="1" s="1"/>
  <c r="L1006" i="1"/>
  <c r="Y1005" i="1"/>
  <c r="W1005" i="1"/>
  <c r="U1005" i="1"/>
  <c r="R1005" i="1"/>
  <c r="S1005" i="1" s="1"/>
  <c r="P1005" i="1"/>
  <c r="Q1005" i="1" s="1"/>
  <c r="N1005" i="1"/>
  <c r="O1005" i="1" s="1"/>
  <c r="L1005" i="1"/>
  <c r="V1005" i="1" s="1"/>
  <c r="Y1004" i="1"/>
  <c r="W1004" i="1"/>
  <c r="U1004" i="1"/>
  <c r="R1004" i="1"/>
  <c r="S1004" i="1" s="1"/>
  <c r="P1004" i="1"/>
  <c r="Q1004" i="1" s="1"/>
  <c r="N1004" i="1"/>
  <c r="O1004" i="1" s="1"/>
  <c r="L1004" i="1"/>
  <c r="Y1003" i="1"/>
  <c r="W1003" i="1"/>
  <c r="U1003" i="1"/>
  <c r="R1003" i="1"/>
  <c r="S1003" i="1" s="1"/>
  <c r="P1003" i="1"/>
  <c r="Q1003" i="1" s="1"/>
  <c r="N1003" i="1"/>
  <c r="O1003" i="1" s="1"/>
  <c r="L1003" i="1"/>
  <c r="Y1002" i="1"/>
  <c r="W1002" i="1"/>
  <c r="U1002" i="1"/>
  <c r="R1002" i="1"/>
  <c r="S1002" i="1" s="1"/>
  <c r="P1002" i="1"/>
  <c r="Q1002" i="1" s="1"/>
  <c r="N1002" i="1"/>
  <c r="O1002" i="1" s="1"/>
  <c r="L1002" i="1"/>
  <c r="Y1001" i="1"/>
  <c r="W1001" i="1"/>
  <c r="U1001" i="1"/>
  <c r="R1001" i="1"/>
  <c r="S1001" i="1" s="1"/>
  <c r="P1001" i="1"/>
  <c r="Q1001" i="1" s="1"/>
  <c r="N1001" i="1"/>
  <c r="O1001" i="1" s="1"/>
  <c r="L1001" i="1"/>
  <c r="Y1000" i="1"/>
  <c r="W1000" i="1"/>
  <c r="U1000" i="1"/>
  <c r="R1000" i="1"/>
  <c r="S1000" i="1" s="1"/>
  <c r="P1000" i="1"/>
  <c r="Q1000" i="1" s="1"/>
  <c r="N1000" i="1"/>
  <c r="O1000" i="1" s="1"/>
  <c r="L1000" i="1"/>
  <c r="Y999" i="1"/>
  <c r="W999" i="1"/>
  <c r="U999" i="1"/>
  <c r="R999" i="1"/>
  <c r="S999" i="1" s="1"/>
  <c r="P999" i="1"/>
  <c r="Q999" i="1" s="1"/>
  <c r="N999" i="1"/>
  <c r="O999" i="1" s="1"/>
  <c r="L999" i="1"/>
  <c r="Y998" i="1"/>
  <c r="W998" i="1"/>
  <c r="U998" i="1"/>
  <c r="R998" i="1"/>
  <c r="S998" i="1" s="1"/>
  <c r="P998" i="1"/>
  <c r="Q998" i="1" s="1"/>
  <c r="N998" i="1"/>
  <c r="O998" i="1" s="1"/>
  <c r="L998" i="1"/>
  <c r="Y997" i="1"/>
  <c r="W997" i="1"/>
  <c r="U997" i="1"/>
  <c r="R997" i="1"/>
  <c r="S997" i="1" s="1"/>
  <c r="P997" i="1"/>
  <c r="Q997" i="1" s="1"/>
  <c r="N997" i="1"/>
  <c r="O997" i="1" s="1"/>
  <c r="L997" i="1"/>
  <c r="V997" i="1" s="1"/>
  <c r="Y977" i="1"/>
  <c r="W977" i="1"/>
  <c r="U977" i="1"/>
  <c r="R977" i="1"/>
  <c r="S977" i="1" s="1"/>
  <c r="P977" i="1"/>
  <c r="Q977" i="1" s="1"/>
  <c r="N977" i="1"/>
  <c r="O977" i="1" s="1"/>
  <c r="L977" i="1"/>
  <c r="Y976" i="1"/>
  <c r="W976" i="1"/>
  <c r="U976" i="1"/>
  <c r="R976" i="1"/>
  <c r="S976" i="1" s="1"/>
  <c r="P976" i="1"/>
  <c r="Q976" i="1" s="1"/>
  <c r="N976" i="1"/>
  <c r="O976" i="1" s="1"/>
  <c r="L976" i="1"/>
  <c r="Y975" i="1"/>
  <c r="W975" i="1"/>
  <c r="U975" i="1"/>
  <c r="R975" i="1"/>
  <c r="S975" i="1" s="1"/>
  <c r="P975" i="1"/>
  <c r="Q975" i="1" s="1"/>
  <c r="N975" i="1"/>
  <c r="O975" i="1" s="1"/>
  <c r="L975" i="1"/>
  <c r="Y974" i="1"/>
  <c r="W974" i="1"/>
  <c r="U974" i="1"/>
  <c r="R974" i="1"/>
  <c r="S974" i="1" s="1"/>
  <c r="P974" i="1"/>
  <c r="Q974" i="1" s="1"/>
  <c r="N974" i="1"/>
  <c r="O974" i="1" s="1"/>
  <c r="L974" i="1"/>
  <c r="Y973" i="1"/>
  <c r="W973" i="1"/>
  <c r="U973" i="1"/>
  <c r="R973" i="1"/>
  <c r="S973" i="1" s="1"/>
  <c r="P973" i="1"/>
  <c r="Q973" i="1" s="1"/>
  <c r="N973" i="1"/>
  <c r="O973" i="1" s="1"/>
  <c r="L973" i="1"/>
  <c r="Y972" i="1"/>
  <c r="W972" i="1"/>
  <c r="U972" i="1"/>
  <c r="R972" i="1"/>
  <c r="S972" i="1" s="1"/>
  <c r="P972" i="1"/>
  <c r="Q972" i="1" s="1"/>
  <c r="N972" i="1"/>
  <c r="O972" i="1" s="1"/>
  <c r="L972" i="1"/>
  <c r="Y971" i="1"/>
  <c r="W971" i="1"/>
  <c r="U971" i="1"/>
  <c r="R971" i="1"/>
  <c r="S971" i="1" s="1"/>
  <c r="P971" i="1"/>
  <c r="Q971" i="1" s="1"/>
  <c r="N971" i="1"/>
  <c r="O971" i="1" s="1"/>
  <c r="L971" i="1"/>
  <c r="Y970" i="1"/>
  <c r="W970" i="1"/>
  <c r="U970" i="1"/>
  <c r="R970" i="1"/>
  <c r="S970" i="1" s="1"/>
  <c r="P970" i="1"/>
  <c r="Q970" i="1" s="1"/>
  <c r="N970" i="1"/>
  <c r="O970" i="1" s="1"/>
  <c r="L970" i="1"/>
  <c r="V970" i="1" s="1"/>
  <c r="Y969" i="1"/>
  <c r="W969" i="1"/>
  <c r="U969" i="1"/>
  <c r="R969" i="1"/>
  <c r="S969" i="1" s="1"/>
  <c r="P969" i="1"/>
  <c r="Q969" i="1" s="1"/>
  <c r="N969" i="1"/>
  <c r="O969" i="1" s="1"/>
  <c r="L969" i="1"/>
  <c r="Y968" i="1"/>
  <c r="W968" i="1"/>
  <c r="U968" i="1"/>
  <c r="R968" i="1"/>
  <c r="S968" i="1" s="1"/>
  <c r="P968" i="1"/>
  <c r="Q968" i="1" s="1"/>
  <c r="N968" i="1"/>
  <c r="O968" i="1" s="1"/>
  <c r="L968" i="1"/>
  <c r="Y967" i="1"/>
  <c r="W967" i="1"/>
  <c r="U967" i="1"/>
  <c r="R967" i="1"/>
  <c r="S967" i="1" s="1"/>
  <c r="P967" i="1"/>
  <c r="Q967" i="1" s="1"/>
  <c r="N967" i="1"/>
  <c r="O967" i="1" s="1"/>
  <c r="L967" i="1"/>
  <c r="Y966" i="1"/>
  <c r="W966" i="1"/>
  <c r="U966" i="1"/>
  <c r="R966" i="1"/>
  <c r="S966" i="1" s="1"/>
  <c r="P966" i="1"/>
  <c r="Q966" i="1" s="1"/>
  <c r="N966" i="1"/>
  <c r="O966" i="1" s="1"/>
  <c r="L966" i="1"/>
  <c r="Y965" i="1"/>
  <c r="W965" i="1"/>
  <c r="U965" i="1"/>
  <c r="R965" i="1"/>
  <c r="S965" i="1" s="1"/>
  <c r="P965" i="1"/>
  <c r="Q965" i="1" s="1"/>
  <c r="N965" i="1"/>
  <c r="O965" i="1" s="1"/>
  <c r="L965" i="1"/>
  <c r="Y964" i="1"/>
  <c r="W964" i="1"/>
  <c r="U964" i="1"/>
  <c r="R964" i="1"/>
  <c r="S964" i="1" s="1"/>
  <c r="P964" i="1"/>
  <c r="Q964" i="1" s="1"/>
  <c r="N964" i="1"/>
  <c r="O964" i="1" s="1"/>
  <c r="L964" i="1"/>
  <c r="Y963" i="1"/>
  <c r="W963" i="1"/>
  <c r="U963" i="1"/>
  <c r="R963" i="1"/>
  <c r="S963" i="1" s="1"/>
  <c r="P963" i="1"/>
  <c r="Q963" i="1" s="1"/>
  <c r="N963" i="1"/>
  <c r="O963" i="1" s="1"/>
  <c r="L963" i="1"/>
  <c r="Y962" i="1"/>
  <c r="W962" i="1"/>
  <c r="U962" i="1"/>
  <c r="R962" i="1"/>
  <c r="S962" i="1" s="1"/>
  <c r="P962" i="1"/>
  <c r="Q962" i="1" s="1"/>
  <c r="N962" i="1"/>
  <c r="O962" i="1" s="1"/>
  <c r="L962" i="1"/>
  <c r="Y961" i="1"/>
  <c r="W961" i="1"/>
  <c r="U961" i="1"/>
  <c r="R961" i="1"/>
  <c r="S961" i="1" s="1"/>
  <c r="P961" i="1"/>
  <c r="Q961" i="1" s="1"/>
  <c r="N961" i="1"/>
  <c r="O961" i="1" s="1"/>
  <c r="L961" i="1"/>
  <c r="Y960" i="1"/>
  <c r="W960" i="1"/>
  <c r="U960" i="1"/>
  <c r="R960" i="1"/>
  <c r="S960" i="1" s="1"/>
  <c r="P960" i="1"/>
  <c r="Q960" i="1" s="1"/>
  <c r="N960" i="1"/>
  <c r="O960" i="1" s="1"/>
  <c r="L960" i="1"/>
  <c r="Y959" i="1"/>
  <c r="W959" i="1"/>
  <c r="U959" i="1"/>
  <c r="R959" i="1"/>
  <c r="S959" i="1" s="1"/>
  <c r="P959" i="1"/>
  <c r="Q959" i="1" s="1"/>
  <c r="N959" i="1"/>
  <c r="O959" i="1" s="1"/>
  <c r="L959" i="1"/>
  <c r="Y958" i="1"/>
  <c r="W958" i="1"/>
  <c r="U958" i="1"/>
  <c r="R958" i="1"/>
  <c r="S958" i="1" s="1"/>
  <c r="P958" i="1"/>
  <c r="Q958" i="1" s="1"/>
  <c r="N958" i="1"/>
  <c r="O958" i="1" s="1"/>
  <c r="L958" i="1"/>
  <c r="Y433" i="1"/>
  <c r="W433" i="1"/>
  <c r="U433" i="1"/>
  <c r="R433" i="1"/>
  <c r="S433" i="1" s="1"/>
  <c r="P433" i="1"/>
  <c r="Q433" i="1" s="1"/>
  <c r="N433" i="1"/>
  <c r="O433" i="1" s="1"/>
  <c r="L433" i="1"/>
  <c r="Y449" i="1"/>
  <c r="W449" i="1"/>
  <c r="U449" i="1"/>
  <c r="R449" i="1"/>
  <c r="S449" i="1" s="1"/>
  <c r="P449" i="1"/>
  <c r="Q449" i="1" s="1"/>
  <c r="N449" i="1"/>
  <c r="O449" i="1" s="1"/>
  <c r="L449" i="1"/>
  <c r="Y545" i="1"/>
  <c r="W545" i="1"/>
  <c r="U545" i="1"/>
  <c r="R545" i="1"/>
  <c r="S545" i="1" s="1"/>
  <c r="P545" i="1"/>
  <c r="Q545" i="1" s="1"/>
  <c r="N545" i="1"/>
  <c r="O545" i="1" s="1"/>
  <c r="L545" i="1"/>
  <c r="Y544" i="1"/>
  <c r="W544" i="1"/>
  <c r="U544" i="1"/>
  <c r="R544" i="1"/>
  <c r="S544" i="1" s="1"/>
  <c r="P544" i="1"/>
  <c r="Q544" i="1" s="1"/>
  <c r="N544" i="1"/>
  <c r="O544" i="1" s="1"/>
  <c r="L544" i="1"/>
  <c r="Y543" i="1"/>
  <c r="W543" i="1"/>
  <c r="U543" i="1"/>
  <c r="R543" i="1"/>
  <c r="S543" i="1" s="1"/>
  <c r="P543" i="1"/>
  <c r="Q543" i="1" s="1"/>
  <c r="N543" i="1"/>
  <c r="O543" i="1" s="1"/>
  <c r="L543" i="1"/>
  <c r="Y542" i="1"/>
  <c r="W542" i="1"/>
  <c r="U542" i="1"/>
  <c r="R542" i="1"/>
  <c r="S542" i="1" s="1"/>
  <c r="P542" i="1"/>
  <c r="Q542" i="1" s="1"/>
  <c r="N542" i="1"/>
  <c r="O542" i="1" s="1"/>
  <c r="L542" i="1"/>
  <c r="Y541" i="1"/>
  <c r="W541" i="1"/>
  <c r="U541" i="1"/>
  <c r="R541" i="1"/>
  <c r="S541" i="1" s="1"/>
  <c r="P541" i="1"/>
  <c r="Q541" i="1" s="1"/>
  <c r="N541" i="1"/>
  <c r="O541" i="1" s="1"/>
  <c r="L541" i="1"/>
  <c r="Y553" i="1"/>
  <c r="W553" i="1"/>
  <c r="U553" i="1"/>
  <c r="R553" i="1"/>
  <c r="S553" i="1" s="1"/>
  <c r="P553" i="1"/>
  <c r="Q553" i="1" s="1"/>
  <c r="N553" i="1"/>
  <c r="O553" i="1" s="1"/>
  <c r="L553" i="1"/>
  <c r="Y552" i="1"/>
  <c r="W552" i="1"/>
  <c r="U552" i="1"/>
  <c r="R552" i="1"/>
  <c r="S552" i="1" s="1"/>
  <c r="P552" i="1"/>
  <c r="Q552" i="1" s="1"/>
  <c r="N552" i="1"/>
  <c r="O552" i="1" s="1"/>
  <c r="L552" i="1"/>
  <c r="Y550" i="1"/>
  <c r="W550" i="1"/>
  <c r="U550" i="1"/>
  <c r="R550" i="1"/>
  <c r="S550" i="1" s="1"/>
  <c r="P550" i="1"/>
  <c r="Q550" i="1" s="1"/>
  <c r="N550" i="1"/>
  <c r="O550" i="1" s="1"/>
  <c r="L550" i="1"/>
  <c r="Y549" i="1"/>
  <c r="W549" i="1"/>
  <c r="U549" i="1"/>
  <c r="R549" i="1"/>
  <c r="S549" i="1" s="1"/>
  <c r="P549" i="1"/>
  <c r="Q549" i="1" s="1"/>
  <c r="N549" i="1"/>
  <c r="O549" i="1" s="1"/>
  <c r="L549" i="1"/>
  <c r="Y548" i="1"/>
  <c r="W548" i="1"/>
  <c r="U548" i="1"/>
  <c r="R548" i="1"/>
  <c r="S548" i="1" s="1"/>
  <c r="P548" i="1"/>
  <c r="Q548" i="1" s="1"/>
  <c r="N548" i="1"/>
  <c r="O548" i="1" s="1"/>
  <c r="L548" i="1"/>
  <c r="Y547" i="1"/>
  <c r="W547" i="1"/>
  <c r="U547" i="1"/>
  <c r="R547" i="1"/>
  <c r="S547" i="1" s="1"/>
  <c r="P547" i="1"/>
  <c r="Q547" i="1" s="1"/>
  <c r="N547" i="1"/>
  <c r="O547" i="1" s="1"/>
  <c r="L547" i="1"/>
  <c r="Y546" i="1"/>
  <c r="W546" i="1"/>
  <c r="U546" i="1"/>
  <c r="R546" i="1"/>
  <c r="S546" i="1" s="1"/>
  <c r="P546" i="1"/>
  <c r="Q546" i="1" s="1"/>
  <c r="N546" i="1"/>
  <c r="O546" i="1" s="1"/>
  <c r="L546" i="1"/>
  <c r="Y694" i="1"/>
  <c r="W694" i="1"/>
  <c r="U694" i="1"/>
  <c r="R694" i="1"/>
  <c r="S694" i="1" s="1"/>
  <c r="P694" i="1"/>
  <c r="Q694" i="1" s="1"/>
  <c r="N694" i="1"/>
  <c r="O694" i="1" s="1"/>
  <c r="L694" i="1"/>
  <c r="Y554" i="1"/>
  <c r="W554" i="1"/>
  <c r="U554" i="1"/>
  <c r="R554" i="1"/>
  <c r="S554" i="1" s="1"/>
  <c r="P554" i="1"/>
  <c r="Q554" i="1" s="1"/>
  <c r="N554" i="1"/>
  <c r="O554" i="1" s="1"/>
  <c r="L554" i="1"/>
  <c r="Y535" i="1"/>
  <c r="W535" i="1"/>
  <c r="U535" i="1"/>
  <c r="R535" i="1"/>
  <c r="S535" i="1" s="1"/>
  <c r="P535" i="1"/>
  <c r="Q535" i="1" s="1"/>
  <c r="N535" i="1"/>
  <c r="O535" i="1" s="1"/>
  <c r="L535" i="1"/>
  <c r="Y534" i="1"/>
  <c r="W534" i="1"/>
  <c r="U534" i="1"/>
  <c r="R534" i="1"/>
  <c r="S534" i="1" s="1"/>
  <c r="P534" i="1"/>
  <c r="Q534" i="1" s="1"/>
  <c r="N534" i="1"/>
  <c r="O534" i="1" s="1"/>
  <c r="L534" i="1"/>
  <c r="Y533" i="1"/>
  <c r="W533" i="1"/>
  <c r="U533" i="1"/>
  <c r="R533" i="1"/>
  <c r="S533" i="1" s="1"/>
  <c r="P533" i="1"/>
  <c r="Q533" i="1" s="1"/>
  <c r="N533" i="1"/>
  <c r="O533" i="1" s="1"/>
  <c r="L533" i="1"/>
  <c r="Y532" i="1"/>
  <c r="W532" i="1"/>
  <c r="U532" i="1"/>
  <c r="R532" i="1"/>
  <c r="S532" i="1" s="1"/>
  <c r="P532" i="1"/>
  <c r="Q532" i="1" s="1"/>
  <c r="N532" i="1"/>
  <c r="O532" i="1" s="1"/>
  <c r="L532" i="1"/>
  <c r="Y531" i="1"/>
  <c r="W531" i="1"/>
  <c r="U531" i="1"/>
  <c r="R531" i="1"/>
  <c r="S531" i="1" s="1"/>
  <c r="P531" i="1"/>
  <c r="Q531" i="1" s="1"/>
  <c r="N531" i="1"/>
  <c r="O531" i="1" s="1"/>
  <c r="L531" i="1"/>
  <c r="Y530" i="1"/>
  <c r="W530" i="1"/>
  <c r="U530" i="1"/>
  <c r="R530" i="1"/>
  <c r="S530" i="1" s="1"/>
  <c r="P530" i="1"/>
  <c r="Q530" i="1" s="1"/>
  <c r="N530" i="1"/>
  <c r="O530" i="1" s="1"/>
  <c r="L530" i="1"/>
  <c r="Y529" i="1"/>
  <c r="W529" i="1"/>
  <c r="U529" i="1"/>
  <c r="R529" i="1"/>
  <c r="S529" i="1" s="1"/>
  <c r="P529" i="1"/>
  <c r="Q529" i="1" s="1"/>
  <c r="N529" i="1"/>
  <c r="O529" i="1" s="1"/>
  <c r="L529" i="1"/>
  <c r="Y528" i="1"/>
  <c r="W528" i="1"/>
  <c r="U528" i="1"/>
  <c r="R528" i="1"/>
  <c r="S528" i="1" s="1"/>
  <c r="P528" i="1"/>
  <c r="Q528" i="1" s="1"/>
  <c r="N528" i="1"/>
  <c r="O528" i="1" s="1"/>
  <c r="L528" i="1"/>
  <c r="Y527" i="1"/>
  <c r="W527" i="1"/>
  <c r="U527" i="1"/>
  <c r="R527" i="1"/>
  <c r="S527" i="1" s="1"/>
  <c r="P527" i="1"/>
  <c r="Q527" i="1" s="1"/>
  <c r="N527" i="1"/>
  <c r="O527" i="1" s="1"/>
  <c r="L527" i="1"/>
  <c r="Y640" i="1"/>
  <c r="W640" i="1"/>
  <c r="U640" i="1"/>
  <c r="R640" i="1"/>
  <c r="S640" i="1" s="1"/>
  <c r="P640" i="1"/>
  <c r="Q640" i="1" s="1"/>
  <c r="N640" i="1"/>
  <c r="O640" i="1" s="1"/>
  <c r="L640" i="1"/>
  <c r="Y633" i="1"/>
  <c r="W633" i="1"/>
  <c r="U633" i="1"/>
  <c r="R633" i="1"/>
  <c r="S633" i="1" s="1"/>
  <c r="P633" i="1"/>
  <c r="Q633" i="1" s="1"/>
  <c r="N633" i="1"/>
  <c r="O633" i="1" s="1"/>
  <c r="L633" i="1"/>
  <c r="Y627" i="1"/>
  <c r="W627" i="1"/>
  <c r="U627" i="1"/>
  <c r="R627" i="1"/>
  <c r="S627" i="1" s="1"/>
  <c r="P627" i="1"/>
  <c r="Q627" i="1" s="1"/>
  <c r="N627" i="1"/>
  <c r="O627" i="1" s="1"/>
  <c r="L627" i="1"/>
  <c r="Y611" i="1"/>
  <c r="W611" i="1"/>
  <c r="U611" i="1"/>
  <c r="R611" i="1"/>
  <c r="S611" i="1" s="1"/>
  <c r="P611" i="1"/>
  <c r="Q611" i="1" s="1"/>
  <c r="N611" i="1"/>
  <c r="O611" i="1" s="1"/>
  <c r="L611" i="1"/>
  <c r="Y605" i="1"/>
  <c r="W605" i="1"/>
  <c r="U605" i="1"/>
  <c r="R605" i="1"/>
  <c r="S605" i="1" s="1"/>
  <c r="P605" i="1"/>
  <c r="Q605" i="1" s="1"/>
  <c r="N605" i="1"/>
  <c r="O605" i="1" s="1"/>
  <c r="L605" i="1"/>
  <c r="V605" i="1" s="1"/>
  <c r="Y1097" i="1"/>
  <c r="W1097" i="1"/>
  <c r="U1097" i="1"/>
  <c r="R1097" i="1"/>
  <c r="S1097" i="1" s="1"/>
  <c r="P1097" i="1"/>
  <c r="Q1097" i="1" s="1"/>
  <c r="N1097" i="1"/>
  <c r="O1097" i="1" s="1"/>
  <c r="L1097" i="1"/>
  <c r="Y1096" i="1"/>
  <c r="W1096" i="1"/>
  <c r="U1096" i="1"/>
  <c r="R1096" i="1"/>
  <c r="S1096" i="1" s="1"/>
  <c r="P1096" i="1"/>
  <c r="Q1096" i="1" s="1"/>
  <c r="N1096" i="1"/>
  <c r="O1096" i="1" s="1"/>
  <c r="L1096" i="1"/>
  <c r="Y1093" i="1"/>
  <c r="W1093" i="1"/>
  <c r="U1093" i="1"/>
  <c r="R1093" i="1"/>
  <c r="S1093" i="1" s="1"/>
  <c r="P1093" i="1"/>
  <c r="Q1093" i="1" s="1"/>
  <c r="N1093" i="1"/>
  <c r="O1093" i="1" s="1"/>
  <c r="L1093" i="1"/>
  <c r="Y1092" i="1"/>
  <c r="W1092" i="1"/>
  <c r="U1092" i="1"/>
  <c r="R1092" i="1"/>
  <c r="S1092" i="1" s="1"/>
  <c r="P1092" i="1"/>
  <c r="Q1092" i="1" s="1"/>
  <c r="N1092" i="1"/>
  <c r="O1092" i="1" s="1"/>
  <c r="L1092" i="1"/>
  <c r="Y1091" i="1"/>
  <c r="W1091" i="1"/>
  <c r="U1091" i="1"/>
  <c r="R1091" i="1"/>
  <c r="S1091" i="1" s="1"/>
  <c r="P1091" i="1"/>
  <c r="Q1091" i="1" s="1"/>
  <c r="N1091" i="1"/>
  <c r="O1091" i="1" s="1"/>
  <c r="L1091" i="1"/>
  <c r="Y1090" i="1"/>
  <c r="W1090" i="1"/>
  <c r="U1090" i="1"/>
  <c r="R1090" i="1"/>
  <c r="S1090" i="1" s="1"/>
  <c r="P1090" i="1"/>
  <c r="Q1090" i="1" s="1"/>
  <c r="N1090" i="1"/>
  <c r="O1090" i="1" s="1"/>
  <c r="L1090" i="1"/>
  <c r="Y1089" i="1"/>
  <c r="W1089" i="1"/>
  <c r="U1089" i="1"/>
  <c r="R1089" i="1"/>
  <c r="S1089" i="1" s="1"/>
  <c r="P1089" i="1"/>
  <c r="Q1089" i="1" s="1"/>
  <c r="N1089" i="1"/>
  <c r="O1089" i="1" s="1"/>
  <c r="L1089" i="1"/>
  <c r="Y1088" i="1"/>
  <c r="W1088" i="1"/>
  <c r="U1088" i="1"/>
  <c r="R1088" i="1"/>
  <c r="S1088" i="1" s="1"/>
  <c r="P1088" i="1"/>
  <c r="Q1088" i="1" s="1"/>
  <c r="N1088" i="1"/>
  <c r="O1088" i="1" s="1"/>
  <c r="L1088" i="1"/>
  <c r="V1088" i="1" s="1"/>
  <c r="Y1087" i="1"/>
  <c r="W1087" i="1"/>
  <c r="U1087" i="1"/>
  <c r="R1087" i="1"/>
  <c r="S1087" i="1" s="1"/>
  <c r="P1087" i="1"/>
  <c r="Q1087" i="1" s="1"/>
  <c r="N1087" i="1"/>
  <c r="O1087" i="1" s="1"/>
  <c r="L1087" i="1"/>
  <c r="Y1086" i="1"/>
  <c r="W1086" i="1"/>
  <c r="U1086" i="1"/>
  <c r="R1086" i="1"/>
  <c r="S1086" i="1" s="1"/>
  <c r="P1086" i="1"/>
  <c r="Q1086" i="1" s="1"/>
  <c r="N1086" i="1"/>
  <c r="O1086" i="1" s="1"/>
  <c r="L1086" i="1"/>
  <c r="Y1085" i="1"/>
  <c r="W1085" i="1"/>
  <c r="U1085" i="1"/>
  <c r="R1085" i="1"/>
  <c r="S1085" i="1" s="1"/>
  <c r="P1085" i="1"/>
  <c r="Q1085" i="1" s="1"/>
  <c r="N1085" i="1"/>
  <c r="O1085" i="1" s="1"/>
  <c r="L1085" i="1"/>
  <c r="Y1084" i="1"/>
  <c r="W1084" i="1"/>
  <c r="U1084" i="1"/>
  <c r="R1084" i="1"/>
  <c r="S1084" i="1" s="1"/>
  <c r="P1084" i="1"/>
  <c r="Q1084" i="1" s="1"/>
  <c r="N1084" i="1"/>
  <c r="O1084" i="1" s="1"/>
  <c r="L1084" i="1"/>
  <c r="Y1083" i="1"/>
  <c r="W1083" i="1"/>
  <c r="U1083" i="1"/>
  <c r="R1083" i="1"/>
  <c r="S1083" i="1" s="1"/>
  <c r="P1083" i="1"/>
  <c r="Q1083" i="1" s="1"/>
  <c r="N1083" i="1"/>
  <c r="O1083" i="1" s="1"/>
  <c r="L1083" i="1"/>
  <c r="Y1082" i="1"/>
  <c r="W1082" i="1"/>
  <c r="U1082" i="1"/>
  <c r="R1082" i="1"/>
  <c r="S1082" i="1" s="1"/>
  <c r="P1082" i="1"/>
  <c r="Q1082" i="1" s="1"/>
  <c r="N1082" i="1"/>
  <c r="O1082" i="1" s="1"/>
  <c r="L1082" i="1"/>
  <c r="Y1081" i="1"/>
  <c r="W1081" i="1"/>
  <c r="U1081" i="1"/>
  <c r="R1081" i="1"/>
  <c r="S1081" i="1" s="1"/>
  <c r="P1081" i="1"/>
  <c r="Q1081" i="1" s="1"/>
  <c r="N1081" i="1"/>
  <c r="O1081" i="1" s="1"/>
  <c r="L1081" i="1"/>
  <c r="Y1080" i="1"/>
  <c r="W1080" i="1"/>
  <c r="U1080" i="1"/>
  <c r="R1080" i="1"/>
  <c r="S1080" i="1" s="1"/>
  <c r="P1080" i="1"/>
  <c r="Q1080" i="1" s="1"/>
  <c r="N1080" i="1"/>
  <c r="O1080" i="1" s="1"/>
  <c r="L1080" i="1"/>
  <c r="V1080" i="1" s="1"/>
  <c r="Y1079" i="1"/>
  <c r="W1079" i="1"/>
  <c r="U1079" i="1"/>
  <c r="R1079" i="1"/>
  <c r="S1079" i="1" s="1"/>
  <c r="P1079" i="1"/>
  <c r="Q1079" i="1" s="1"/>
  <c r="N1079" i="1"/>
  <c r="O1079" i="1" s="1"/>
  <c r="L1079" i="1"/>
  <c r="Y1078" i="1"/>
  <c r="W1078" i="1"/>
  <c r="U1078" i="1"/>
  <c r="R1078" i="1"/>
  <c r="S1078" i="1" s="1"/>
  <c r="P1078" i="1"/>
  <c r="Q1078" i="1" s="1"/>
  <c r="N1078" i="1"/>
  <c r="O1078" i="1" s="1"/>
  <c r="L1078" i="1"/>
  <c r="Y1077" i="1"/>
  <c r="W1077" i="1"/>
  <c r="U1077" i="1"/>
  <c r="R1077" i="1"/>
  <c r="S1077" i="1" s="1"/>
  <c r="P1077" i="1"/>
  <c r="Q1077" i="1" s="1"/>
  <c r="N1077" i="1"/>
  <c r="O1077" i="1" s="1"/>
  <c r="L1077" i="1"/>
  <c r="Y1076" i="1"/>
  <c r="W1076" i="1"/>
  <c r="U1076" i="1"/>
  <c r="R1076" i="1"/>
  <c r="S1076" i="1" s="1"/>
  <c r="P1076" i="1"/>
  <c r="Q1076" i="1" s="1"/>
  <c r="N1076" i="1"/>
  <c r="O1076" i="1" s="1"/>
  <c r="L1076" i="1"/>
  <c r="Y1075" i="1"/>
  <c r="W1075" i="1"/>
  <c r="U1075" i="1"/>
  <c r="R1075" i="1"/>
  <c r="S1075" i="1" s="1"/>
  <c r="P1075" i="1"/>
  <c r="Q1075" i="1" s="1"/>
  <c r="N1075" i="1"/>
  <c r="O1075" i="1" s="1"/>
  <c r="L1075" i="1"/>
  <c r="Y1074" i="1"/>
  <c r="W1074" i="1"/>
  <c r="U1074" i="1"/>
  <c r="R1074" i="1"/>
  <c r="S1074" i="1" s="1"/>
  <c r="P1074" i="1"/>
  <c r="Q1074" i="1" s="1"/>
  <c r="N1074" i="1"/>
  <c r="O1074" i="1" s="1"/>
  <c r="L1074" i="1"/>
  <c r="Y1073" i="1"/>
  <c r="W1073" i="1"/>
  <c r="U1073" i="1"/>
  <c r="R1073" i="1"/>
  <c r="S1073" i="1" s="1"/>
  <c r="P1073" i="1"/>
  <c r="Q1073" i="1" s="1"/>
  <c r="N1073" i="1"/>
  <c r="O1073" i="1" s="1"/>
  <c r="L1073" i="1"/>
  <c r="Y1072" i="1"/>
  <c r="W1072" i="1"/>
  <c r="U1072" i="1"/>
  <c r="R1072" i="1"/>
  <c r="S1072" i="1" s="1"/>
  <c r="P1072" i="1"/>
  <c r="Q1072" i="1" s="1"/>
  <c r="N1072" i="1"/>
  <c r="O1072" i="1" s="1"/>
  <c r="L1072" i="1"/>
  <c r="V1072" i="1" s="1"/>
  <c r="Y1071" i="1"/>
  <c r="W1071" i="1"/>
  <c r="U1071" i="1"/>
  <c r="R1071" i="1"/>
  <c r="S1071" i="1" s="1"/>
  <c r="P1071" i="1"/>
  <c r="Q1071" i="1" s="1"/>
  <c r="N1071" i="1"/>
  <c r="O1071" i="1" s="1"/>
  <c r="L1071" i="1"/>
  <c r="Y1070" i="1"/>
  <c r="W1070" i="1"/>
  <c r="U1070" i="1"/>
  <c r="R1070" i="1"/>
  <c r="S1070" i="1" s="1"/>
  <c r="P1070" i="1"/>
  <c r="Q1070" i="1" s="1"/>
  <c r="N1070" i="1"/>
  <c r="O1070" i="1" s="1"/>
  <c r="L1070" i="1"/>
  <c r="Y1069" i="1"/>
  <c r="W1069" i="1"/>
  <c r="U1069" i="1"/>
  <c r="R1069" i="1"/>
  <c r="S1069" i="1" s="1"/>
  <c r="P1069" i="1"/>
  <c r="Q1069" i="1" s="1"/>
  <c r="N1069" i="1"/>
  <c r="O1069" i="1" s="1"/>
  <c r="L1069" i="1"/>
  <c r="Y1068" i="1"/>
  <c r="W1068" i="1"/>
  <c r="U1068" i="1"/>
  <c r="R1068" i="1"/>
  <c r="S1068" i="1" s="1"/>
  <c r="P1068" i="1"/>
  <c r="Q1068" i="1" s="1"/>
  <c r="N1068" i="1"/>
  <c r="O1068" i="1" s="1"/>
  <c r="L1068" i="1"/>
  <c r="Y639" i="1"/>
  <c r="W639" i="1"/>
  <c r="U639" i="1"/>
  <c r="R639" i="1"/>
  <c r="S639" i="1" s="1"/>
  <c r="P639" i="1"/>
  <c r="Q639" i="1" s="1"/>
  <c r="N639" i="1"/>
  <c r="O639" i="1" s="1"/>
  <c r="L639" i="1"/>
  <c r="Y638" i="1"/>
  <c r="W638" i="1"/>
  <c r="U638" i="1"/>
  <c r="R638" i="1"/>
  <c r="S638" i="1" s="1"/>
  <c r="P638" i="1"/>
  <c r="Q638" i="1" s="1"/>
  <c r="N638" i="1"/>
  <c r="O638" i="1" s="1"/>
  <c r="L638" i="1"/>
  <c r="Y637" i="1"/>
  <c r="W637" i="1"/>
  <c r="U637" i="1"/>
  <c r="R637" i="1"/>
  <c r="S637" i="1" s="1"/>
  <c r="P637" i="1"/>
  <c r="Q637" i="1" s="1"/>
  <c r="N637" i="1"/>
  <c r="O637" i="1" s="1"/>
  <c r="L637" i="1"/>
  <c r="Y636" i="1"/>
  <c r="W636" i="1"/>
  <c r="U636" i="1"/>
  <c r="R636" i="1"/>
  <c r="S636" i="1" s="1"/>
  <c r="P636" i="1"/>
  <c r="Q636" i="1" s="1"/>
  <c r="N636" i="1"/>
  <c r="O636" i="1" s="1"/>
  <c r="L636" i="1"/>
  <c r="Y635" i="1"/>
  <c r="W635" i="1"/>
  <c r="U635" i="1"/>
  <c r="R635" i="1"/>
  <c r="S635" i="1" s="1"/>
  <c r="P635" i="1"/>
  <c r="Q635" i="1" s="1"/>
  <c r="N635" i="1"/>
  <c r="O635" i="1" s="1"/>
  <c r="L635" i="1"/>
  <c r="Y634" i="1"/>
  <c r="W634" i="1"/>
  <c r="U634" i="1"/>
  <c r="R634" i="1"/>
  <c r="S634" i="1" s="1"/>
  <c r="P634" i="1"/>
  <c r="Q634" i="1" s="1"/>
  <c r="N634" i="1"/>
  <c r="O634" i="1" s="1"/>
  <c r="L634" i="1"/>
  <c r="Y382" i="1"/>
  <c r="W382" i="1"/>
  <c r="U382" i="1"/>
  <c r="R382" i="1"/>
  <c r="S382" i="1" s="1"/>
  <c r="P382" i="1"/>
  <c r="Q382" i="1" s="1"/>
  <c r="N382" i="1"/>
  <c r="O382" i="1" s="1"/>
  <c r="L382" i="1"/>
  <c r="Y381" i="1"/>
  <c r="W381" i="1"/>
  <c r="U381" i="1"/>
  <c r="R381" i="1"/>
  <c r="S381" i="1" s="1"/>
  <c r="P381" i="1"/>
  <c r="Q381" i="1" s="1"/>
  <c r="N381" i="1"/>
  <c r="O381" i="1" s="1"/>
  <c r="L381" i="1"/>
  <c r="Y380" i="1"/>
  <c r="W380" i="1"/>
  <c r="U380" i="1"/>
  <c r="R380" i="1"/>
  <c r="S380" i="1" s="1"/>
  <c r="P380" i="1"/>
  <c r="Q380" i="1" s="1"/>
  <c r="N380" i="1"/>
  <c r="O380" i="1" s="1"/>
  <c r="L380" i="1"/>
  <c r="Y448" i="1"/>
  <c r="W448" i="1"/>
  <c r="U448" i="1"/>
  <c r="R448" i="1"/>
  <c r="S448" i="1" s="1"/>
  <c r="P448" i="1"/>
  <c r="Q448" i="1" s="1"/>
  <c r="N448" i="1"/>
  <c r="O448" i="1" s="1"/>
  <c r="L448" i="1"/>
  <c r="Y526" i="1"/>
  <c r="W526" i="1"/>
  <c r="U526" i="1"/>
  <c r="R526" i="1"/>
  <c r="S526" i="1" s="1"/>
  <c r="P526" i="1"/>
  <c r="Q526" i="1" s="1"/>
  <c r="N526" i="1"/>
  <c r="O526" i="1" s="1"/>
  <c r="L526" i="1"/>
  <c r="Y525" i="1"/>
  <c r="W525" i="1"/>
  <c r="U525" i="1"/>
  <c r="R525" i="1"/>
  <c r="S525" i="1" s="1"/>
  <c r="P525" i="1"/>
  <c r="Q525" i="1" s="1"/>
  <c r="N525" i="1"/>
  <c r="O525" i="1" s="1"/>
  <c r="L525" i="1"/>
  <c r="Y1066" i="1"/>
  <c r="W1066" i="1"/>
  <c r="U1066" i="1"/>
  <c r="R1066" i="1"/>
  <c r="S1066" i="1" s="1"/>
  <c r="P1066" i="1"/>
  <c r="Q1066" i="1" s="1"/>
  <c r="N1066" i="1"/>
  <c r="O1066" i="1" s="1"/>
  <c r="L1066" i="1"/>
  <c r="Y1065" i="1"/>
  <c r="W1065" i="1"/>
  <c r="U1065" i="1"/>
  <c r="R1065" i="1"/>
  <c r="S1065" i="1" s="1"/>
  <c r="P1065" i="1"/>
  <c r="Q1065" i="1" s="1"/>
  <c r="N1065" i="1"/>
  <c r="O1065" i="1" s="1"/>
  <c r="L1065" i="1"/>
  <c r="Y1064" i="1"/>
  <c r="W1064" i="1"/>
  <c r="U1064" i="1"/>
  <c r="R1064" i="1"/>
  <c r="S1064" i="1" s="1"/>
  <c r="P1064" i="1"/>
  <c r="Q1064" i="1" s="1"/>
  <c r="N1064" i="1"/>
  <c r="O1064" i="1" s="1"/>
  <c r="L1064" i="1"/>
  <c r="Y1063" i="1"/>
  <c r="W1063" i="1"/>
  <c r="U1063" i="1"/>
  <c r="R1063" i="1"/>
  <c r="S1063" i="1" s="1"/>
  <c r="P1063" i="1"/>
  <c r="Q1063" i="1" s="1"/>
  <c r="N1063" i="1"/>
  <c r="O1063" i="1" s="1"/>
  <c r="L1063" i="1"/>
  <c r="Y1062" i="1"/>
  <c r="W1062" i="1"/>
  <c r="U1062" i="1"/>
  <c r="R1062" i="1"/>
  <c r="S1062" i="1" s="1"/>
  <c r="P1062" i="1"/>
  <c r="Q1062" i="1" s="1"/>
  <c r="N1062" i="1"/>
  <c r="O1062" i="1" s="1"/>
  <c r="L1062" i="1"/>
  <c r="Y1061" i="1"/>
  <c r="W1061" i="1"/>
  <c r="U1061" i="1"/>
  <c r="R1061" i="1"/>
  <c r="S1061" i="1" s="1"/>
  <c r="P1061" i="1"/>
  <c r="Q1061" i="1" s="1"/>
  <c r="N1061" i="1"/>
  <c r="O1061" i="1" s="1"/>
  <c r="L1061" i="1"/>
  <c r="Y913" i="1"/>
  <c r="W913" i="1"/>
  <c r="U913" i="1"/>
  <c r="R913" i="1"/>
  <c r="S913" i="1" s="1"/>
  <c r="P913" i="1"/>
  <c r="Q913" i="1" s="1"/>
  <c r="N913" i="1"/>
  <c r="O913" i="1" s="1"/>
  <c r="L913" i="1"/>
  <c r="Y912" i="1"/>
  <c r="W912" i="1"/>
  <c r="U912" i="1"/>
  <c r="R912" i="1"/>
  <c r="S912" i="1" s="1"/>
  <c r="P912" i="1"/>
  <c r="Q912" i="1" s="1"/>
  <c r="N912" i="1"/>
  <c r="O912" i="1" s="1"/>
  <c r="L912" i="1"/>
  <c r="V912" i="1" s="1"/>
  <c r="V936" i="1" l="1"/>
  <c r="V1030" i="1"/>
  <c r="J71" i="16"/>
  <c r="M71" i="16" s="1"/>
  <c r="V1104" i="1"/>
  <c r="V1046" i="1"/>
  <c r="V588" i="1"/>
  <c r="V1064" i="1"/>
  <c r="V928" i="1"/>
  <c r="D8" i="16"/>
  <c r="M8" i="16"/>
  <c r="M6" i="16"/>
  <c r="V1022" i="1"/>
  <c r="M9" i="16"/>
  <c r="J70" i="16"/>
  <c r="M7" i="16"/>
  <c r="H70" i="16"/>
  <c r="D7" i="16"/>
  <c r="D9" i="16"/>
  <c r="V680" i="1"/>
  <c r="V962" i="1"/>
  <c r="V638" i="1"/>
  <c r="O355" i="1"/>
  <c r="K906" i="1"/>
  <c r="K781" i="1"/>
  <c r="K777" i="1"/>
  <c r="K773" i="1"/>
  <c r="K769" i="1"/>
  <c r="K765" i="1"/>
  <c r="K761" i="1"/>
  <c r="K755" i="1"/>
  <c r="K751" i="1"/>
  <c r="K748" i="1"/>
  <c r="K745" i="1"/>
  <c r="K741" i="1"/>
  <c r="K737" i="1"/>
  <c r="K792" i="1"/>
  <c r="K788" i="1"/>
  <c r="K784" i="1"/>
  <c r="K734" i="1"/>
  <c r="K730" i="1"/>
  <c r="K726" i="1"/>
  <c r="K722" i="1"/>
  <c r="K718" i="1"/>
  <c r="K712" i="1"/>
  <c r="K708" i="1"/>
  <c r="K704" i="1"/>
  <c r="K678" i="1"/>
  <c r="K674" i="1"/>
  <c r="K670" i="1"/>
  <c r="K666" i="1"/>
  <c r="K662" i="1"/>
  <c r="K700" i="1"/>
  <c r="K696" i="1"/>
  <c r="K692" i="1"/>
  <c r="K652" i="1"/>
  <c r="K648" i="1"/>
  <c r="K644" i="1"/>
  <c r="K640" i="1"/>
  <c r="K636" i="1"/>
  <c r="K627" i="1"/>
  <c r="K1096" i="1"/>
  <c r="K1090" i="1"/>
  <c r="K1086" i="1"/>
  <c r="K1082" i="1"/>
  <c r="K1078" i="1"/>
  <c r="K1070" i="1"/>
  <c r="K1066" i="1"/>
  <c r="K1062" i="1"/>
  <c r="K690" i="1"/>
  <c r="K686" i="1"/>
  <c r="K682" i="1"/>
  <c r="K603" i="1"/>
  <c r="K599" i="1"/>
  <c r="K595" i="1"/>
  <c r="K590" i="1"/>
  <c r="K586" i="1"/>
  <c r="K582" i="1"/>
  <c r="K578" i="1"/>
  <c r="K574" i="1"/>
  <c r="K570" i="1"/>
  <c r="K560" i="1"/>
  <c r="K993" i="1"/>
  <c r="K989" i="1"/>
  <c r="K979" i="1"/>
  <c r="K1118" i="1"/>
  <c r="K1114" i="1"/>
  <c r="K1110" i="1"/>
  <c r="K1098" i="1"/>
  <c r="K1057" i="1"/>
  <c r="K1048" i="1"/>
  <c r="K1044" i="1"/>
  <c r="K1040" i="1"/>
  <c r="K1036" i="1"/>
  <c r="K1032" i="1"/>
  <c r="K1028" i="1"/>
  <c r="K1024" i="1"/>
  <c r="K1020" i="1"/>
  <c r="K1015" i="1"/>
  <c r="K1011" i="1"/>
  <c r="K1007" i="1"/>
  <c r="K1003" i="1"/>
  <c r="K999" i="1"/>
  <c r="K976" i="1"/>
  <c r="K972" i="1"/>
  <c r="K968" i="1"/>
  <c r="K964" i="1"/>
  <c r="K960" i="1"/>
  <c r="K956" i="1"/>
  <c r="K952" i="1"/>
  <c r="K948" i="1"/>
  <c r="K944" i="1"/>
  <c r="K938" i="1"/>
  <c r="K934" i="1"/>
  <c r="K930" i="1"/>
  <c r="K926" i="1"/>
  <c r="K922" i="1"/>
  <c r="K918" i="1"/>
  <c r="K914" i="1"/>
  <c r="K355" i="1"/>
  <c r="K908" i="1"/>
  <c r="K911" i="1"/>
  <c r="K910" i="1"/>
  <c r="K905" i="1"/>
  <c r="K607" i="1"/>
  <c r="K488" i="1"/>
  <c r="K450" i="1"/>
  <c r="K610" i="1"/>
  <c r="K358" i="1"/>
  <c r="K909" i="1"/>
  <c r="K778" i="1"/>
  <c r="K774" i="1"/>
  <c r="K770" i="1"/>
  <c r="K766" i="1"/>
  <c r="K762" i="1"/>
  <c r="K756" i="1"/>
  <c r="K752" i="1"/>
  <c r="K749" i="1"/>
  <c r="K746" i="1"/>
  <c r="K742" i="1"/>
  <c r="K738" i="1"/>
  <c r="K793" i="1"/>
  <c r="K789" i="1"/>
  <c r="K785" i="1"/>
  <c r="K735" i="1"/>
  <c r="K731" i="1"/>
  <c r="K727" i="1"/>
  <c r="K723" i="1"/>
  <c r="K719" i="1"/>
  <c r="K713" i="1"/>
  <c r="K709" i="1"/>
  <c r="K705" i="1"/>
  <c r="K701" i="1"/>
  <c r="K679" i="1"/>
  <c r="K675" i="1"/>
  <c r="K671" i="1"/>
  <c r="K667" i="1"/>
  <c r="K663" i="1"/>
  <c r="K656" i="1"/>
  <c r="K697" i="1"/>
  <c r="K653" i="1"/>
  <c r="K645" i="1"/>
  <c r="K641" i="1"/>
  <c r="K637" i="1"/>
  <c r="K633" i="1"/>
  <c r="K1097" i="1"/>
  <c r="K1091" i="1"/>
  <c r="K1087" i="1"/>
  <c r="K1083" i="1"/>
  <c r="K1079" i="1"/>
  <c r="K1075" i="1"/>
  <c r="K1071" i="1"/>
  <c r="K1067" i="1"/>
  <c r="K1063" i="1"/>
  <c r="K687" i="1"/>
  <c r="K604" i="1"/>
  <c r="K600" i="1"/>
  <c r="K596" i="1"/>
  <c r="K591" i="1"/>
  <c r="K587" i="1"/>
  <c r="K583" i="1"/>
  <c r="K579" i="1"/>
  <c r="K575" i="1"/>
  <c r="K571" i="1"/>
  <c r="K567" i="1"/>
  <c r="K561" i="1"/>
  <c r="K994" i="1"/>
  <c r="K990" i="1"/>
  <c r="K984" i="1"/>
  <c r="K980" i="1"/>
  <c r="K1119" i="1"/>
  <c r="K1115" i="1"/>
  <c r="K1111" i="1"/>
  <c r="K1099" i="1"/>
  <c r="K1058" i="1"/>
  <c r="K1049" i="1"/>
  <c r="K1045" i="1"/>
  <c r="K1041" i="1"/>
  <c r="K1037" i="1"/>
  <c r="K1033" i="1"/>
  <c r="K1029" i="1"/>
  <c r="K1025" i="1"/>
  <c r="K1021" i="1"/>
  <c r="K1016" i="1"/>
  <c r="K1012" i="1"/>
  <c r="K1008" i="1"/>
  <c r="K1004" i="1"/>
  <c r="K1000" i="1"/>
  <c r="K977" i="1"/>
  <c r="K973" i="1"/>
  <c r="K969" i="1"/>
  <c r="K965" i="1"/>
  <c r="K961" i="1"/>
  <c r="K957" i="1"/>
  <c r="K953" i="1"/>
  <c r="K949" i="1"/>
  <c r="K945" i="1"/>
  <c r="K939" i="1"/>
  <c r="K935" i="1"/>
  <c r="K931" i="1"/>
  <c r="K927" i="1"/>
  <c r="K923" i="1"/>
  <c r="K919" i="1"/>
  <c r="K915" i="1"/>
  <c r="K780" i="1"/>
  <c r="K776" i="1"/>
  <c r="K772" i="1"/>
  <c r="K768" i="1"/>
  <c r="K764" i="1"/>
  <c r="K760" i="1"/>
  <c r="K754" i="1"/>
  <c r="K744" i="1"/>
  <c r="K740" i="1"/>
  <c r="K736" i="1"/>
  <c r="K787" i="1"/>
  <c r="K733" i="1"/>
  <c r="K729" i="1"/>
  <c r="K725" i="1"/>
  <c r="K721" i="1"/>
  <c r="K715" i="1"/>
  <c r="K711" i="1"/>
  <c r="K707" i="1"/>
  <c r="K677" i="1"/>
  <c r="K673" i="1"/>
  <c r="K669" i="1"/>
  <c r="K665" i="1"/>
  <c r="K661" i="1"/>
  <c r="K699" i="1"/>
  <c r="K695" i="1"/>
  <c r="K655" i="1"/>
  <c r="K651" i="1"/>
  <c r="K647" i="1"/>
  <c r="K643" i="1"/>
  <c r="K639" i="1"/>
  <c r="K635" i="1"/>
  <c r="K611" i="1"/>
  <c r="K1093" i="1"/>
  <c r="K1089" i="1"/>
  <c r="K1085" i="1"/>
  <c r="K1081" i="1"/>
  <c r="K1077" i="1"/>
  <c r="K1073" i="1"/>
  <c r="K1069" i="1"/>
  <c r="K1065" i="1"/>
  <c r="K1061" i="1"/>
  <c r="K689" i="1"/>
  <c r="K685" i="1"/>
  <c r="K681" i="1"/>
  <c r="K602" i="1"/>
  <c r="K598" i="1"/>
  <c r="K594" i="1"/>
  <c r="K589" i="1"/>
  <c r="K585" i="1"/>
  <c r="K581" i="1"/>
  <c r="K577" i="1"/>
  <c r="K573" i="1"/>
  <c r="K569" i="1"/>
  <c r="K563" i="1"/>
  <c r="K559" i="1"/>
  <c r="K357" i="1"/>
  <c r="K996" i="1"/>
  <c r="K992" i="1"/>
  <c r="K986" i="1"/>
  <c r="K982" i="1"/>
  <c r="K978" i="1"/>
  <c r="K1117" i="1"/>
  <c r="K1113" i="1"/>
  <c r="K1109" i="1"/>
  <c r="K1101" i="1"/>
  <c r="K1060" i="1"/>
  <c r="K1051" i="1"/>
  <c r="K1047" i="1"/>
  <c r="K1043" i="1"/>
  <c r="K1039" i="1"/>
  <c r="K1035" i="1"/>
  <c r="K1031" i="1"/>
  <c r="K1027" i="1"/>
  <c r="K1023" i="1"/>
  <c r="K1018" i="1"/>
  <c r="K1014" i="1"/>
  <c r="K1010" i="1"/>
  <c r="K1006" i="1"/>
  <c r="K1002" i="1"/>
  <c r="K998" i="1"/>
  <c r="K975" i="1"/>
  <c r="K971" i="1"/>
  <c r="K967" i="1"/>
  <c r="K963" i="1"/>
  <c r="K959" i="1"/>
  <c r="K955" i="1"/>
  <c r="K951" i="1"/>
  <c r="K947" i="1"/>
  <c r="K943" i="1"/>
  <c r="K937" i="1"/>
  <c r="K933" i="1"/>
  <c r="K929" i="1"/>
  <c r="K925" i="1"/>
  <c r="K921" i="1"/>
  <c r="K917" i="1"/>
  <c r="K913" i="1"/>
  <c r="K779" i="1"/>
  <c r="K775" i="1"/>
  <c r="K771" i="1"/>
  <c r="K767" i="1"/>
  <c r="K763" i="1"/>
  <c r="K757" i="1"/>
  <c r="K753" i="1"/>
  <c r="K750" i="1"/>
  <c r="K747" i="1"/>
  <c r="K743" i="1"/>
  <c r="K739" i="1"/>
  <c r="K794" i="1"/>
  <c r="K790" i="1"/>
  <c r="K786" i="1"/>
  <c r="K782" i="1"/>
  <c r="K732" i="1"/>
  <c r="K728" i="1"/>
  <c r="K724" i="1"/>
  <c r="K720" i="1"/>
  <c r="K714" i="1"/>
  <c r="K710" i="1"/>
  <c r="K706" i="1"/>
  <c r="K702" i="1"/>
  <c r="K676" i="1"/>
  <c r="K672" i="1"/>
  <c r="K668" i="1"/>
  <c r="K664" i="1"/>
  <c r="K657" i="1"/>
  <c r="K698" i="1"/>
  <c r="K694" i="1"/>
  <c r="K654" i="1"/>
  <c r="K650" i="1"/>
  <c r="K646" i="1"/>
  <c r="K642" i="1"/>
  <c r="K638" i="1"/>
  <c r="K634" i="1"/>
  <c r="K605" i="1"/>
  <c r="K1092" i="1"/>
  <c r="K1088" i="1"/>
  <c r="K1084" i="1"/>
  <c r="K1080" i="1"/>
  <c r="K1076" i="1"/>
  <c r="K1072" i="1"/>
  <c r="K1068" i="1"/>
  <c r="K1064" i="1"/>
  <c r="K688" i="1"/>
  <c r="K684" i="1"/>
  <c r="K680" i="1"/>
  <c r="K601" i="1"/>
  <c r="K597" i="1"/>
  <c r="K593" i="1"/>
  <c r="K588" i="1"/>
  <c r="K584" i="1"/>
  <c r="K580" i="1"/>
  <c r="K576" i="1"/>
  <c r="K572" i="1"/>
  <c r="K568" i="1"/>
  <c r="K562" i="1"/>
  <c r="K558" i="1"/>
  <c r="K995" i="1"/>
  <c r="K991" i="1"/>
  <c r="K985" i="1"/>
  <c r="K981" i="1"/>
  <c r="K1116" i="1"/>
  <c r="K1112" i="1"/>
  <c r="K1100" i="1"/>
  <c r="K1059" i="1"/>
  <c r="K1050" i="1"/>
  <c r="K1046" i="1"/>
  <c r="K1042" i="1"/>
  <c r="K1038" i="1"/>
  <c r="K1034" i="1"/>
  <c r="K1030" i="1"/>
  <c r="K1022" i="1"/>
  <c r="K1017" i="1"/>
  <c r="K1013" i="1"/>
  <c r="K1009" i="1"/>
  <c r="K1005" i="1"/>
  <c r="K1001" i="1"/>
  <c r="K997" i="1"/>
  <c r="K974" i="1"/>
  <c r="K970" i="1"/>
  <c r="K966" i="1"/>
  <c r="K962" i="1"/>
  <c r="K958" i="1"/>
  <c r="K954" i="1"/>
  <c r="K950" i="1"/>
  <c r="K946" i="1"/>
  <c r="K940" i="1"/>
  <c r="K936" i="1"/>
  <c r="K928" i="1"/>
  <c r="K924" i="1"/>
  <c r="K920" i="1"/>
  <c r="K916" i="1"/>
  <c r="K912" i="1"/>
  <c r="K1094" i="1"/>
  <c r="K1054" i="1"/>
  <c r="K848" i="1"/>
  <c r="K844" i="1"/>
  <c r="K836" i="1"/>
  <c r="K832" i="1"/>
  <c r="K828" i="1"/>
  <c r="K824" i="1"/>
  <c r="K907" i="1"/>
  <c r="K1056" i="1"/>
  <c r="K1052" i="1"/>
  <c r="K988" i="1"/>
  <c r="K846" i="1"/>
  <c r="K842" i="1"/>
  <c r="K834" i="1"/>
  <c r="K830" i="1"/>
  <c r="K826" i="1"/>
  <c r="K822" i="1"/>
  <c r="K818" i="1"/>
  <c r="K814" i="1"/>
  <c r="K810" i="1"/>
  <c r="K806" i="1"/>
  <c r="K798" i="1"/>
  <c r="K856" i="1"/>
  <c r="K898" i="1"/>
  <c r="K894" i="1"/>
  <c r="K890" i="1"/>
  <c r="K886" i="1"/>
  <c r="K882" i="1"/>
  <c r="K878" i="1"/>
  <c r="K874" i="1"/>
  <c r="K870" i="1"/>
  <c r="K866" i="1"/>
  <c r="K862" i="1"/>
  <c r="K858" i="1"/>
  <c r="K853" i="1"/>
  <c r="K849" i="1"/>
  <c r="K800" i="1"/>
  <c r="K716" i="1"/>
  <c r="K820" i="1"/>
  <c r="K816" i="1"/>
  <c r="K812" i="1"/>
  <c r="K808" i="1"/>
  <c r="K804" i="1"/>
  <c r="K796" i="1"/>
  <c r="K900" i="1"/>
  <c r="K896" i="1"/>
  <c r="K892" i="1"/>
  <c r="K888" i="1"/>
  <c r="K884" i="1"/>
  <c r="K880" i="1"/>
  <c r="K876" i="1"/>
  <c r="K872" i="1"/>
  <c r="K868" i="1"/>
  <c r="K864" i="1"/>
  <c r="K860" i="1"/>
  <c r="K855" i="1"/>
  <c r="K851" i="1"/>
  <c r="K802" i="1"/>
  <c r="K758" i="1"/>
  <c r="K431" i="1"/>
  <c r="K427" i="1"/>
  <c r="K423" i="1"/>
  <c r="K419" i="1"/>
  <c r="K415" i="1"/>
  <c r="K411" i="1"/>
  <c r="K407" i="1"/>
  <c r="K403" i="1"/>
  <c r="K503" i="1"/>
  <c r="K499" i="1"/>
  <c r="K495" i="1"/>
  <c r="K487" i="1"/>
  <c r="K483" i="1"/>
  <c r="K658" i="1"/>
  <c r="K606" i="1"/>
  <c r="K480" i="1"/>
  <c r="K476" i="1"/>
  <c r="K472" i="1"/>
  <c r="K468" i="1"/>
  <c r="K464" i="1"/>
  <c r="K904" i="1"/>
  <c r="K459" i="1"/>
  <c r="K455" i="1"/>
  <c r="K451" i="1"/>
  <c r="K445" i="1"/>
  <c r="K441" i="1"/>
  <c r="K437" i="1"/>
  <c r="K433" i="1"/>
  <c r="K525" i="1"/>
  <c r="K521" i="1"/>
  <c r="K517" i="1"/>
  <c r="K513" i="1"/>
  <c r="K556" i="1"/>
  <c r="K552" i="1"/>
  <c r="K547" i="1"/>
  <c r="K543" i="1"/>
  <c r="K539" i="1"/>
  <c r="K395" i="1"/>
  <c r="K391" i="1"/>
  <c r="K387" i="1"/>
  <c r="K383" i="1"/>
  <c r="K376" i="1"/>
  <c r="K372" i="1"/>
  <c r="K364" i="1"/>
  <c r="K360" i="1"/>
  <c r="K1055" i="1"/>
  <c r="K807" i="1"/>
  <c r="K429" i="1"/>
  <c r="K425" i="1"/>
  <c r="K421" i="1"/>
  <c r="K417" i="1"/>
  <c r="K413" i="1"/>
  <c r="K409" i="1"/>
  <c r="K405" i="1"/>
  <c r="K401" i="1"/>
  <c r="K501" i="1"/>
  <c r="K497" i="1"/>
  <c r="K493" i="1"/>
  <c r="K489" i="1"/>
  <c r="K485" i="1"/>
  <c r="K660" i="1"/>
  <c r="K608" i="1"/>
  <c r="K592" i="1"/>
  <c r="K564" i="1"/>
  <c r="K478" i="1"/>
  <c r="K474" i="1"/>
  <c r="K470" i="1"/>
  <c r="K466" i="1"/>
  <c r="K462" i="1"/>
  <c r="K902" i="1"/>
  <c r="K457" i="1"/>
  <c r="K453" i="1"/>
  <c r="K447" i="1"/>
  <c r="K443" i="1"/>
  <c r="K439" i="1"/>
  <c r="K435" i="1"/>
  <c r="K448" i="1"/>
  <c r="K523" i="1"/>
  <c r="K519" i="1"/>
  <c r="K515" i="1"/>
  <c r="K511" i="1"/>
  <c r="K554" i="1"/>
  <c r="K549" i="1"/>
  <c r="K545" i="1"/>
  <c r="K541" i="1"/>
  <c r="K536" i="1"/>
  <c r="K532" i="1"/>
  <c r="K528" i="1"/>
  <c r="K380" i="1"/>
  <c r="K397" i="1"/>
  <c r="K393" i="1"/>
  <c r="K389" i="1"/>
  <c r="K385" i="1"/>
  <c r="K378" i="1"/>
  <c r="K374" i="1"/>
  <c r="K370" i="1"/>
  <c r="K366" i="1"/>
  <c r="K362" i="1"/>
  <c r="K356" i="1"/>
  <c r="K1095" i="1"/>
  <c r="K1019" i="1"/>
  <c r="K1053" i="1"/>
  <c r="K847" i="1"/>
  <c r="K843" i="1"/>
  <c r="K835" i="1"/>
  <c r="K831" i="1"/>
  <c r="K827" i="1"/>
  <c r="K823" i="1"/>
  <c r="K819" i="1"/>
  <c r="K815" i="1"/>
  <c r="K811" i="1"/>
  <c r="K799" i="1"/>
  <c r="K795" i="1"/>
  <c r="K895" i="1"/>
  <c r="K891" i="1"/>
  <c r="K887" i="1"/>
  <c r="K883" i="1"/>
  <c r="K879" i="1"/>
  <c r="K875" i="1"/>
  <c r="K871" i="1"/>
  <c r="K867" i="1"/>
  <c r="K863" i="1"/>
  <c r="K859" i="1"/>
  <c r="K854" i="1"/>
  <c r="K850" i="1"/>
  <c r="K801" i="1"/>
  <c r="K555" i="1"/>
  <c r="K987" i="1"/>
  <c r="K845" i="1"/>
  <c r="K829" i="1"/>
  <c r="K825" i="1"/>
  <c r="K821" i="1"/>
  <c r="K817" i="1"/>
  <c r="K813" i="1"/>
  <c r="K809" i="1"/>
  <c r="K805" i="1"/>
  <c r="K797" i="1"/>
  <c r="K901" i="1"/>
  <c r="K897" i="1"/>
  <c r="K893" i="1"/>
  <c r="K889" i="1"/>
  <c r="K885" i="1"/>
  <c r="K881" i="1"/>
  <c r="K877" i="1"/>
  <c r="K873" i="1"/>
  <c r="K869" i="1"/>
  <c r="K865" i="1"/>
  <c r="K857" i="1"/>
  <c r="K852" i="1"/>
  <c r="K803" i="1"/>
  <c r="K759" i="1"/>
  <c r="K505" i="1"/>
  <c r="K432" i="1"/>
  <c r="K428" i="1"/>
  <c r="K424" i="1"/>
  <c r="K416" i="1"/>
  <c r="K396" i="1"/>
  <c r="K717" i="1"/>
  <c r="K430" i="1"/>
  <c r="K426" i="1"/>
  <c r="K422" i="1"/>
  <c r="K418" i="1"/>
  <c r="K414" i="1"/>
  <c r="K410" i="1"/>
  <c r="K406" i="1"/>
  <c r="K402" i="1"/>
  <c r="K502" i="1"/>
  <c r="K498" i="1"/>
  <c r="K494" i="1"/>
  <c r="K490" i="1"/>
  <c r="K486" i="1"/>
  <c r="K565" i="1"/>
  <c r="K537" i="1"/>
  <c r="K479" i="1"/>
  <c r="K475" i="1"/>
  <c r="K471" i="1"/>
  <c r="K467" i="1"/>
  <c r="K463" i="1"/>
  <c r="K903" i="1"/>
  <c r="K454" i="1"/>
  <c r="K444" i="1"/>
  <c r="K440" i="1"/>
  <c r="K449" i="1"/>
  <c r="K524" i="1"/>
  <c r="K520" i="1"/>
  <c r="K516" i="1"/>
  <c r="K512" i="1"/>
  <c r="K550" i="1"/>
  <c r="K546" i="1"/>
  <c r="K542" i="1"/>
  <c r="K538" i="1"/>
  <c r="K533" i="1"/>
  <c r="K529" i="1"/>
  <c r="K381" i="1"/>
  <c r="K390" i="1"/>
  <c r="K386" i="1"/>
  <c r="K379" i="1"/>
  <c r="K375" i="1"/>
  <c r="K371" i="1"/>
  <c r="K367" i="1"/>
  <c r="K363" i="1"/>
  <c r="K359" i="1"/>
  <c r="K420" i="1"/>
  <c r="K412" i="1"/>
  <c r="K408" i="1"/>
  <c r="K404" i="1"/>
  <c r="K504" i="1"/>
  <c r="K500" i="1"/>
  <c r="K496" i="1"/>
  <c r="K492" i="1"/>
  <c r="K484" i="1"/>
  <c r="K659" i="1"/>
  <c r="K551" i="1"/>
  <c r="K481" i="1"/>
  <c r="K477" i="1"/>
  <c r="K473" i="1"/>
  <c r="K469" i="1"/>
  <c r="K465" i="1"/>
  <c r="K460" i="1"/>
  <c r="K452" i="1"/>
  <c r="K446" i="1"/>
  <c r="K442" i="1"/>
  <c r="K438" i="1"/>
  <c r="K526" i="1"/>
  <c r="K518" i="1"/>
  <c r="K514" i="1"/>
  <c r="K510" i="1"/>
  <c r="K506" i="1"/>
  <c r="K553" i="1"/>
  <c r="K548" i="1"/>
  <c r="K544" i="1"/>
  <c r="K540" i="1"/>
  <c r="K535" i="1"/>
  <c r="K531" i="1"/>
  <c r="K527" i="1"/>
  <c r="K400" i="1"/>
  <c r="K388" i="1"/>
  <c r="K384" i="1"/>
  <c r="K377" i="1"/>
  <c r="K373" i="1"/>
  <c r="K369" i="1"/>
  <c r="K365" i="1"/>
  <c r="K361" i="1"/>
  <c r="M912" i="1"/>
  <c r="Z912" i="1"/>
  <c r="X912" i="1"/>
  <c r="M913" i="1"/>
  <c r="Z913" i="1"/>
  <c r="V913" i="1"/>
  <c r="X913" i="1"/>
  <c r="M1061" i="1"/>
  <c r="V1061" i="1"/>
  <c r="Z1061" i="1"/>
  <c r="X1061" i="1"/>
  <c r="M1062" i="1"/>
  <c r="Z1062" i="1"/>
  <c r="X1062" i="1"/>
  <c r="V1062" i="1"/>
  <c r="M1063" i="1"/>
  <c r="Z1063" i="1"/>
  <c r="X1063" i="1"/>
  <c r="V1063" i="1"/>
  <c r="M1064" i="1"/>
  <c r="Z1064" i="1"/>
  <c r="X1064" i="1"/>
  <c r="M1065" i="1"/>
  <c r="Z1065" i="1"/>
  <c r="V1065" i="1"/>
  <c r="X1065" i="1"/>
  <c r="M1066" i="1"/>
  <c r="Z1066" i="1"/>
  <c r="X1066" i="1"/>
  <c r="V1066" i="1"/>
  <c r="M525" i="1"/>
  <c r="Z525" i="1"/>
  <c r="X525" i="1"/>
  <c r="V525" i="1"/>
  <c r="M526" i="1"/>
  <c r="Z526" i="1"/>
  <c r="X526" i="1"/>
  <c r="V526" i="1"/>
  <c r="M448" i="1"/>
  <c r="Z448" i="1"/>
  <c r="X448" i="1"/>
  <c r="V448" i="1"/>
  <c r="M380" i="1"/>
  <c r="Z380" i="1"/>
  <c r="X380" i="1"/>
  <c r="V380" i="1"/>
  <c r="M381" i="1"/>
  <c r="Z381" i="1"/>
  <c r="X381" i="1"/>
  <c r="V381" i="1"/>
  <c r="M382" i="1"/>
  <c r="Z382" i="1"/>
  <c r="X382" i="1"/>
  <c r="V382" i="1"/>
  <c r="M634" i="1"/>
  <c r="Z634" i="1"/>
  <c r="X634" i="1"/>
  <c r="V634" i="1"/>
  <c r="M635" i="1"/>
  <c r="Z635" i="1"/>
  <c r="V635" i="1"/>
  <c r="X635" i="1"/>
  <c r="M636" i="1"/>
  <c r="Z636" i="1"/>
  <c r="X636" i="1"/>
  <c r="V636" i="1"/>
  <c r="M637" i="1"/>
  <c r="Z637" i="1"/>
  <c r="X637" i="1"/>
  <c r="V637" i="1"/>
  <c r="M638" i="1"/>
  <c r="Z638" i="1"/>
  <c r="X638" i="1"/>
  <c r="M639" i="1"/>
  <c r="Z639" i="1"/>
  <c r="V639" i="1"/>
  <c r="X639" i="1"/>
  <c r="M1068" i="1"/>
  <c r="Z1068" i="1"/>
  <c r="X1068" i="1"/>
  <c r="V1068" i="1"/>
  <c r="M1069" i="1"/>
  <c r="Z1069" i="1"/>
  <c r="V1069" i="1"/>
  <c r="X1069" i="1"/>
  <c r="M1070" i="1"/>
  <c r="Z1070" i="1"/>
  <c r="X1070" i="1"/>
  <c r="V1070" i="1"/>
  <c r="M1071" i="1"/>
  <c r="Z1071" i="1"/>
  <c r="X1071" i="1"/>
  <c r="V1071" i="1"/>
  <c r="M1072" i="1"/>
  <c r="Z1072" i="1"/>
  <c r="X1072" i="1"/>
  <c r="M1073" i="1"/>
  <c r="Z1073" i="1"/>
  <c r="V1073" i="1"/>
  <c r="X1073" i="1"/>
  <c r="M1074" i="1"/>
  <c r="Z1074" i="1"/>
  <c r="X1074" i="1"/>
  <c r="V1074" i="1"/>
  <c r="M1075" i="1"/>
  <c r="Z1075" i="1"/>
  <c r="X1075" i="1"/>
  <c r="V1075" i="1"/>
  <c r="M1076" i="1"/>
  <c r="Z1076" i="1"/>
  <c r="X1076" i="1"/>
  <c r="V1076" i="1"/>
  <c r="M1077" i="1"/>
  <c r="Z1077" i="1"/>
  <c r="V1077" i="1"/>
  <c r="X1077" i="1"/>
  <c r="M1078" i="1"/>
  <c r="Z1078" i="1"/>
  <c r="X1078" i="1"/>
  <c r="V1078" i="1"/>
  <c r="M1079" i="1"/>
  <c r="Z1079" i="1"/>
  <c r="X1079" i="1"/>
  <c r="V1079" i="1"/>
  <c r="M1080" i="1"/>
  <c r="Z1080" i="1"/>
  <c r="X1080" i="1"/>
  <c r="M1081" i="1"/>
  <c r="Z1081" i="1"/>
  <c r="V1081" i="1"/>
  <c r="X1081" i="1"/>
  <c r="M1082" i="1"/>
  <c r="Z1082" i="1"/>
  <c r="X1082" i="1"/>
  <c r="V1082" i="1"/>
  <c r="M1083" i="1"/>
  <c r="Z1083" i="1"/>
  <c r="X1083" i="1"/>
  <c r="V1083" i="1"/>
  <c r="M1084" i="1"/>
  <c r="Z1084" i="1"/>
  <c r="X1084" i="1"/>
  <c r="V1084" i="1"/>
  <c r="M1085" i="1"/>
  <c r="Z1085" i="1"/>
  <c r="V1085" i="1"/>
  <c r="X1085" i="1"/>
  <c r="M1086" i="1"/>
  <c r="Z1086" i="1"/>
  <c r="X1086" i="1"/>
  <c r="V1086" i="1"/>
  <c r="M1087" i="1"/>
  <c r="Z1087" i="1"/>
  <c r="X1087" i="1"/>
  <c r="V1087" i="1"/>
  <c r="M1088" i="1"/>
  <c r="Z1088" i="1"/>
  <c r="X1088" i="1"/>
  <c r="M1089" i="1"/>
  <c r="Z1089" i="1"/>
  <c r="V1089" i="1"/>
  <c r="X1089" i="1"/>
  <c r="M1090" i="1"/>
  <c r="Z1090" i="1"/>
  <c r="X1090" i="1"/>
  <c r="V1090" i="1"/>
  <c r="M1091" i="1"/>
  <c r="Z1091" i="1"/>
  <c r="X1091" i="1"/>
  <c r="V1091" i="1"/>
  <c r="M1092" i="1"/>
  <c r="Z1092" i="1"/>
  <c r="X1092" i="1"/>
  <c r="V1092" i="1"/>
  <c r="M1093" i="1"/>
  <c r="V1093" i="1"/>
  <c r="Z1093" i="1"/>
  <c r="X1093" i="1"/>
  <c r="M1096" i="1"/>
  <c r="Z1096" i="1"/>
  <c r="X1096" i="1"/>
  <c r="V1096" i="1"/>
  <c r="M1097" i="1"/>
  <c r="Z1097" i="1"/>
  <c r="X1097" i="1"/>
  <c r="V1097" i="1"/>
  <c r="M605" i="1"/>
  <c r="Z605" i="1"/>
  <c r="X605" i="1"/>
  <c r="M611" i="1"/>
  <c r="Z611" i="1"/>
  <c r="V611" i="1"/>
  <c r="X611" i="1"/>
  <c r="M627" i="1"/>
  <c r="Z627" i="1"/>
  <c r="X627" i="1"/>
  <c r="V627" i="1"/>
  <c r="M633" i="1"/>
  <c r="Z633" i="1"/>
  <c r="X633" i="1"/>
  <c r="V633" i="1"/>
  <c r="M640" i="1"/>
  <c r="Z640" i="1"/>
  <c r="X640" i="1"/>
  <c r="V640" i="1"/>
  <c r="M527" i="1"/>
  <c r="Z527" i="1"/>
  <c r="X527" i="1"/>
  <c r="V527" i="1"/>
  <c r="M528" i="1"/>
  <c r="Z528" i="1"/>
  <c r="X528" i="1"/>
  <c r="V528" i="1"/>
  <c r="M529" i="1"/>
  <c r="Z529" i="1"/>
  <c r="X529" i="1"/>
  <c r="V529" i="1"/>
  <c r="M530" i="1"/>
  <c r="Z530" i="1"/>
  <c r="X530" i="1"/>
  <c r="V530" i="1"/>
  <c r="M531" i="1"/>
  <c r="Z531" i="1"/>
  <c r="X531" i="1"/>
  <c r="V531" i="1"/>
  <c r="M532" i="1"/>
  <c r="Z532" i="1"/>
  <c r="X532" i="1"/>
  <c r="V532" i="1"/>
  <c r="M533" i="1"/>
  <c r="Z533" i="1"/>
  <c r="X533" i="1"/>
  <c r="V533" i="1"/>
  <c r="M534" i="1"/>
  <c r="Z534" i="1"/>
  <c r="X534" i="1"/>
  <c r="V534" i="1"/>
  <c r="M535" i="1"/>
  <c r="Z535" i="1"/>
  <c r="X535" i="1"/>
  <c r="V535" i="1"/>
  <c r="M554" i="1"/>
  <c r="Z554" i="1"/>
  <c r="X554" i="1"/>
  <c r="V554" i="1"/>
  <c r="M694" i="1"/>
  <c r="Z694" i="1"/>
  <c r="X694" i="1"/>
  <c r="V694" i="1"/>
  <c r="M546" i="1"/>
  <c r="Z546" i="1"/>
  <c r="X546" i="1"/>
  <c r="V546" i="1"/>
  <c r="M547" i="1"/>
  <c r="Z547" i="1"/>
  <c r="X547" i="1"/>
  <c r="V547" i="1"/>
  <c r="M548" i="1"/>
  <c r="Z548" i="1"/>
  <c r="X548" i="1"/>
  <c r="V548" i="1"/>
  <c r="M549" i="1"/>
  <c r="X549" i="1"/>
  <c r="Z549" i="1"/>
  <c r="V549" i="1"/>
  <c r="M550" i="1"/>
  <c r="Z550" i="1"/>
  <c r="X550" i="1"/>
  <c r="V550" i="1"/>
  <c r="M552" i="1"/>
  <c r="Z552" i="1"/>
  <c r="X552" i="1"/>
  <c r="V552" i="1"/>
  <c r="M553" i="1"/>
  <c r="Z553" i="1"/>
  <c r="X553" i="1"/>
  <c r="V553" i="1"/>
  <c r="M541" i="1"/>
  <c r="Z541" i="1"/>
  <c r="X541" i="1"/>
  <c r="V541" i="1"/>
  <c r="M542" i="1"/>
  <c r="Z542" i="1"/>
  <c r="X542" i="1"/>
  <c r="V542" i="1"/>
  <c r="M543" i="1"/>
  <c r="Z543" i="1"/>
  <c r="X543" i="1"/>
  <c r="V543" i="1"/>
  <c r="M544" i="1"/>
  <c r="Z544" i="1"/>
  <c r="X544" i="1"/>
  <c r="V544" i="1"/>
  <c r="M545" i="1"/>
  <c r="Z545" i="1"/>
  <c r="X545" i="1"/>
  <c r="V545" i="1"/>
  <c r="M449" i="1"/>
  <c r="Z449" i="1"/>
  <c r="X449" i="1"/>
  <c r="V449" i="1"/>
  <c r="M433" i="1"/>
  <c r="Z433" i="1"/>
  <c r="X433" i="1"/>
  <c r="V433" i="1"/>
  <c r="M958" i="1"/>
  <c r="Z958" i="1"/>
  <c r="X958" i="1"/>
  <c r="V958" i="1"/>
  <c r="M959" i="1"/>
  <c r="Z959" i="1"/>
  <c r="V959" i="1"/>
  <c r="X959" i="1"/>
  <c r="M960" i="1"/>
  <c r="Z960" i="1"/>
  <c r="X960" i="1"/>
  <c r="V960" i="1"/>
  <c r="M961" i="1"/>
  <c r="Z961" i="1"/>
  <c r="X961" i="1"/>
  <c r="V961" i="1"/>
  <c r="M962" i="1"/>
  <c r="Z962" i="1"/>
  <c r="X962" i="1"/>
  <c r="M963" i="1"/>
  <c r="Z963" i="1"/>
  <c r="V963" i="1"/>
  <c r="X963" i="1"/>
  <c r="M964" i="1"/>
  <c r="Z964" i="1"/>
  <c r="X964" i="1"/>
  <c r="V964" i="1"/>
  <c r="M965" i="1"/>
  <c r="Z965" i="1"/>
  <c r="X965" i="1"/>
  <c r="V965" i="1"/>
  <c r="M966" i="1"/>
  <c r="Z966" i="1"/>
  <c r="X966" i="1"/>
  <c r="V966" i="1"/>
  <c r="M967" i="1"/>
  <c r="Z967" i="1"/>
  <c r="V967" i="1"/>
  <c r="X967" i="1"/>
  <c r="M968" i="1"/>
  <c r="Z968" i="1"/>
  <c r="X968" i="1"/>
  <c r="V968" i="1"/>
  <c r="M969" i="1"/>
  <c r="Z969" i="1"/>
  <c r="X969" i="1"/>
  <c r="V969" i="1"/>
  <c r="M970" i="1"/>
  <c r="Z970" i="1"/>
  <c r="X970" i="1"/>
  <c r="M971" i="1"/>
  <c r="Z971" i="1"/>
  <c r="V971" i="1"/>
  <c r="X971" i="1"/>
  <c r="M972" i="1"/>
  <c r="Z972" i="1"/>
  <c r="X972" i="1"/>
  <c r="V972" i="1"/>
  <c r="M973" i="1"/>
  <c r="Z973" i="1"/>
  <c r="X973" i="1"/>
  <c r="V973" i="1"/>
  <c r="M974" i="1"/>
  <c r="Z974" i="1"/>
  <c r="X974" i="1"/>
  <c r="V974" i="1"/>
  <c r="M975" i="1"/>
  <c r="Z975" i="1"/>
  <c r="V975" i="1"/>
  <c r="X975" i="1"/>
  <c r="M976" i="1"/>
  <c r="Z976" i="1"/>
  <c r="X976" i="1"/>
  <c r="V976" i="1"/>
  <c r="M977" i="1"/>
  <c r="Z977" i="1"/>
  <c r="X977" i="1"/>
  <c r="V977" i="1"/>
  <c r="M997" i="1"/>
  <c r="Z997" i="1"/>
  <c r="X997" i="1"/>
  <c r="M998" i="1"/>
  <c r="Z998" i="1"/>
  <c r="V998" i="1"/>
  <c r="X998" i="1"/>
  <c r="M999" i="1"/>
  <c r="Z999" i="1"/>
  <c r="X999" i="1"/>
  <c r="V999" i="1"/>
  <c r="M1000" i="1"/>
  <c r="Z1000" i="1"/>
  <c r="X1000" i="1"/>
  <c r="V1000" i="1"/>
  <c r="M1001" i="1"/>
  <c r="Z1001" i="1"/>
  <c r="X1001" i="1"/>
  <c r="V1001" i="1"/>
  <c r="M1002" i="1"/>
  <c r="V1002" i="1"/>
  <c r="Z1002" i="1"/>
  <c r="X1002" i="1"/>
  <c r="M1003" i="1"/>
  <c r="Z1003" i="1"/>
  <c r="X1003" i="1"/>
  <c r="V1003" i="1"/>
  <c r="M1004" i="1"/>
  <c r="Z1004" i="1"/>
  <c r="X1004" i="1"/>
  <c r="V1004" i="1"/>
  <c r="M1005" i="1"/>
  <c r="Z1005" i="1"/>
  <c r="X1005" i="1"/>
  <c r="M1006" i="1"/>
  <c r="Z1006" i="1"/>
  <c r="V1006" i="1"/>
  <c r="X1006" i="1"/>
  <c r="M1007" i="1"/>
  <c r="Z1007" i="1"/>
  <c r="X1007" i="1"/>
  <c r="V1007" i="1"/>
  <c r="M1008" i="1"/>
  <c r="Z1008" i="1"/>
  <c r="X1008" i="1"/>
  <c r="V1008" i="1"/>
  <c r="M1009" i="1"/>
  <c r="Z1009" i="1"/>
  <c r="X1009" i="1"/>
  <c r="V1009" i="1"/>
  <c r="M1010" i="1"/>
  <c r="Z1010" i="1"/>
  <c r="V1010" i="1"/>
  <c r="X1010" i="1"/>
  <c r="M1011" i="1"/>
  <c r="Z1011" i="1"/>
  <c r="X1011" i="1"/>
  <c r="V1011" i="1"/>
  <c r="M1012" i="1"/>
  <c r="Z1012" i="1"/>
  <c r="X1012" i="1"/>
  <c r="V1012" i="1"/>
  <c r="M1013" i="1"/>
  <c r="Z1013" i="1"/>
  <c r="X1013" i="1"/>
  <c r="M1014" i="1"/>
  <c r="Z1014" i="1"/>
  <c r="V1014" i="1"/>
  <c r="X1014" i="1"/>
  <c r="M1015" i="1"/>
  <c r="Z1015" i="1"/>
  <c r="X1015" i="1"/>
  <c r="V1015" i="1"/>
  <c r="M1016" i="1"/>
  <c r="Z1016" i="1"/>
  <c r="X1016" i="1"/>
  <c r="V1016" i="1"/>
  <c r="M1017" i="1"/>
  <c r="Z1017" i="1"/>
  <c r="X1017" i="1"/>
  <c r="V1017" i="1"/>
  <c r="M1018" i="1"/>
  <c r="Z1018" i="1"/>
  <c r="V1018" i="1"/>
  <c r="X1018" i="1"/>
  <c r="M1020" i="1"/>
  <c r="Z1020" i="1"/>
  <c r="X1020" i="1"/>
  <c r="V1020" i="1"/>
  <c r="M1021" i="1"/>
  <c r="Z1021" i="1"/>
  <c r="X1021" i="1"/>
  <c r="V1021" i="1"/>
  <c r="M1022" i="1"/>
  <c r="Z1022" i="1"/>
  <c r="X1022" i="1"/>
  <c r="M1023" i="1"/>
  <c r="Z1023" i="1"/>
  <c r="V1023" i="1"/>
  <c r="X1023" i="1"/>
  <c r="M1024" i="1"/>
  <c r="Z1024" i="1"/>
  <c r="X1024" i="1"/>
  <c r="V1024" i="1"/>
  <c r="M1025" i="1"/>
  <c r="Z1025" i="1"/>
  <c r="X1025" i="1"/>
  <c r="V1025" i="1"/>
  <c r="M1026" i="1"/>
  <c r="Z1026" i="1"/>
  <c r="X1026" i="1"/>
  <c r="V1026" i="1"/>
  <c r="M1027" i="1"/>
  <c r="Z1027" i="1"/>
  <c r="V1027" i="1"/>
  <c r="X1027" i="1"/>
  <c r="M1028" i="1"/>
  <c r="Z1028" i="1"/>
  <c r="X1028" i="1"/>
  <c r="V1028" i="1"/>
  <c r="M1029" i="1"/>
  <c r="Z1029" i="1"/>
  <c r="X1029" i="1"/>
  <c r="V1029" i="1"/>
  <c r="M1059" i="1"/>
  <c r="Z1059" i="1"/>
  <c r="X1059" i="1"/>
  <c r="M1060" i="1"/>
  <c r="Z1060" i="1"/>
  <c r="V1060" i="1"/>
  <c r="X1060" i="1"/>
  <c r="M1098" i="1"/>
  <c r="Z1098" i="1"/>
  <c r="X1098" i="1"/>
  <c r="V1098" i="1"/>
  <c r="M1099" i="1"/>
  <c r="Z1099" i="1"/>
  <c r="X1099" i="1"/>
  <c r="V1099" i="1"/>
  <c r="M1100" i="1"/>
  <c r="Z1100" i="1"/>
  <c r="X1100" i="1"/>
  <c r="V1100" i="1"/>
  <c r="M1101" i="1"/>
  <c r="Z1101" i="1"/>
  <c r="V1101" i="1"/>
  <c r="X1101" i="1"/>
  <c r="M1102" i="1"/>
  <c r="Z1102" i="1"/>
  <c r="X1102" i="1"/>
  <c r="V1102" i="1"/>
  <c r="M1103" i="1"/>
  <c r="Z1103" i="1"/>
  <c r="X1103" i="1"/>
  <c r="V1103" i="1"/>
  <c r="M1104" i="1"/>
  <c r="Z1104" i="1"/>
  <c r="X1104" i="1"/>
  <c r="M1105" i="1"/>
  <c r="Z1105" i="1"/>
  <c r="V1105" i="1"/>
  <c r="X1105" i="1"/>
  <c r="M1106" i="1"/>
  <c r="Z1106" i="1"/>
  <c r="X1106" i="1"/>
  <c r="V1106" i="1"/>
  <c r="M1107" i="1"/>
  <c r="Z1107" i="1"/>
  <c r="X1107" i="1"/>
  <c r="V1107" i="1"/>
  <c r="M1030" i="1"/>
  <c r="Z1030" i="1"/>
  <c r="X1030" i="1"/>
  <c r="M1031" i="1"/>
  <c r="Z1031" i="1"/>
  <c r="V1031" i="1"/>
  <c r="X1031" i="1"/>
  <c r="M1032" i="1"/>
  <c r="Z1032" i="1"/>
  <c r="X1032" i="1"/>
  <c r="V1032" i="1"/>
  <c r="M1033" i="1"/>
  <c r="Z1033" i="1"/>
  <c r="X1033" i="1"/>
  <c r="V1033" i="1"/>
  <c r="M1034" i="1"/>
  <c r="Z1034" i="1"/>
  <c r="X1034" i="1"/>
  <c r="V1034" i="1"/>
  <c r="M1035" i="1"/>
  <c r="V1035" i="1"/>
  <c r="Z1035" i="1"/>
  <c r="X1035" i="1"/>
  <c r="M1036" i="1"/>
  <c r="Z1036" i="1"/>
  <c r="X1036" i="1"/>
  <c r="V1036" i="1"/>
  <c r="M1037" i="1"/>
  <c r="Z1037" i="1"/>
  <c r="X1037" i="1"/>
  <c r="V1037" i="1"/>
  <c r="M1038" i="1"/>
  <c r="Z1038" i="1"/>
  <c r="X1038" i="1"/>
  <c r="M1039" i="1"/>
  <c r="Z1039" i="1"/>
  <c r="V1039" i="1"/>
  <c r="X1039" i="1"/>
  <c r="M1040" i="1"/>
  <c r="Z1040" i="1"/>
  <c r="X1040" i="1"/>
  <c r="V1040" i="1"/>
  <c r="M1041" i="1"/>
  <c r="Z1041" i="1"/>
  <c r="X1041" i="1"/>
  <c r="V1041" i="1"/>
  <c r="M1042" i="1"/>
  <c r="Z1042" i="1"/>
  <c r="X1042" i="1"/>
  <c r="V1042" i="1"/>
  <c r="M1043" i="1"/>
  <c r="Z1043" i="1"/>
  <c r="V1043" i="1"/>
  <c r="X1043" i="1"/>
  <c r="M1044" i="1"/>
  <c r="Z1044" i="1"/>
  <c r="X1044" i="1"/>
  <c r="V1044" i="1"/>
  <c r="M1045" i="1"/>
  <c r="Z1045" i="1"/>
  <c r="X1045" i="1"/>
  <c r="V1045" i="1"/>
  <c r="M1046" i="1"/>
  <c r="Z1046" i="1"/>
  <c r="X1046" i="1"/>
  <c r="M1047" i="1"/>
  <c r="Z1047" i="1"/>
  <c r="V1047" i="1"/>
  <c r="X1047" i="1"/>
  <c r="M1048" i="1"/>
  <c r="Z1048" i="1"/>
  <c r="X1048" i="1"/>
  <c r="V1048" i="1"/>
  <c r="M1049" i="1"/>
  <c r="Z1049" i="1"/>
  <c r="X1049" i="1"/>
  <c r="V1049" i="1"/>
  <c r="M1050" i="1"/>
  <c r="Z1050" i="1"/>
  <c r="X1050" i="1"/>
  <c r="V1050" i="1"/>
  <c r="M1051" i="1"/>
  <c r="Z1051" i="1"/>
  <c r="V1051" i="1"/>
  <c r="X1051" i="1"/>
  <c r="M1057" i="1"/>
  <c r="Z1057" i="1"/>
  <c r="X1057" i="1"/>
  <c r="V1057" i="1"/>
  <c r="M1115" i="1"/>
  <c r="Z1115" i="1"/>
  <c r="X1115" i="1"/>
  <c r="V1115" i="1"/>
  <c r="M1116" i="1"/>
  <c r="Z1116" i="1"/>
  <c r="X1116" i="1"/>
  <c r="V1116" i="1"/>
  <c r="M1117" i="1"/>
  <c r="Z1117" i="1"/>
  <c r="V1117" i="1"/>
  <c r="X1117" i="1"/>
  <c r="M1118" i="1"/>
  <c r="Z1118" i="1"/>
  <c r="X1118" i="1"/>
  <c r="V1118" i="1"/>
  <c r="M1119" i="1"/>
  <c r="Z1119" i="1"/>
  <c r="X1119" i="1"/>
  <c r="V1119" i="1"/>
  <c r="M357" i="1"/>
  <c r="Z357" i="1"/>
  <c r="V357" i="1"/>
  <c r="X357" i="1"/>
  <c r="M610" i="1"/>
  <c r="Z610" i="1"/>
  <c r="X610" i="1"/>
  <c r="V610" i="1"/>
  <c r="M907" i="1"/>
  <c r="Z907" i="1"/>
  <c r="X907" i="1"/>
  <c r="V907" i="1"/>
  <c r="M573" i="1"/>
  <c r="Z573" i="1"/>
  <c r="V573" i="1"/>
  <c r="X573" i="1"/>
  <c r="M574" i="1"/>
  <c r="Z574" i="1"/>
  <c r="X574" i="1"/>
  <c r="V574" i="1"/>
  <c r="M575" i="1"/>
  <c r="Z575" i="1"/>
  <c r="X575" i="1"/>
  <c r="V575" i="1"/>
  <c r="M576" i="1"/>
  <c r="Z576" i="1"/>
  <c r="X576" i="1"/>
  <c r="V576" i="1"/>
  <c r="M577" i="1"/>
  <c r="Z577" i="1"/>
  <c r="V577" i="1"/>
  <c r="X577" i="1"/>
  <c r="M578" i="1"/>
  <c r="Z578" i="1"/>
  <c r="X578" i="1"/>
  <c r="V578" i="1"/>
  <c r="M580" i="1"/>
  <c r="Z580" i="1"/>
  <c r="X580" i="1"/>
  <c r="M581" i="1"/>
  <c r="Z581" i="1"/>
  <c r="V581" i="1"/>
  <c r="X581" i="1"/>
  <c r="M582" i="1"/>
  <c r="Z582" i="1"/>
  <c r="X582" i="1"/>
  <c r="V582" i="1"/>
  <c r="M583" i="1"/>
  <c r="Z583" i="1"/>
  <c r="X583" i="1"/>
  <c r="V583" i="1"/>
  <c r="M584" i="1"/>
  <c r="Z584" i="1"/>
  <c r="X584" i="1"/>
  <c r="V584" i="1"/>
  <c r="M585" i="1"/>
  <c r="V585" i="1"/>
  <c r="Z585" i="1"/>
  <c r="X585" i="1"/>
  <c r="M586" i="1"/>
  <c r="Z586" i="1"/>
  <c r="X586" i="1"/>
  <c r="V586" i="1"/>
  <c r="M587" i="1"/>
  <c r="Z587" i="1"/>
  <c r="X587" i="1"/>
  <c r="V587" i="1"/>
  <c r="M588" i="1"/>
  <c r="Z588" i="1"/>
  <c r="X588" i="1"/>
  <c r="M589" i="1"/>
  <c r="Z589" i="1"/>
  <c r="V589" i="1"/>
  <c r="X589" i="1"/>
  <c r="M590" i="1"/>
  <c r="Z590" i="1"/>
  <c r="X590" i="1"/>
  <c r="V590" i="1"/>
  <c r="M594" i="1"/>
  <c r="Z594" i="1"/>
  <c r="V594" i="1"/>
  <c r="X594" i="1"/>
  <c r="M595" i="1"/>
  <c r="Z595" i="1"/>
  <c r="X595" i="1"/>
  <c r="V595" i="1"/>
  <c r="M596" i="1"/>
  <c r="Z596" i="1"/>
  <c r="X596" i="1"/>
  <c r="V596" i="1"/>
  <c r="M597" i="1"/>
  <c r="Z597" i="1"/>
  <c r="X597" i="1"/>
  <c r="M598" i="1"/>
  <c r="Z598" i="1"/>
  <c r="V598" i="1"/>
  <c r="X598" i="1"/>
  <c r="M599" i="1"/>
  <c r="Z599" i="1"/>
  <c r="X599" i="1"/>
  <c r="V599" i="1"/>
  <c r="M978" i="1"/>
  <c r="Z978" i="1"/>
  <c r="V978" i="1"/>
  <c r="X978" i="1"/>
  <c r="M979" i="1"/>
  <c r="Z979" i="1"/>
  <c r="X979" i="1"/>
  <c r="V979" i="1"/>
  <c r="M980" i="1"/>
  <c r="Z980" i="1"/>
  <c r="X980" i="1"/>
  <c r="V980" i="1"/>
  <c r="M981" i="1"/>
  <c r="Z981" i="1"/>
  <c r="X981" i="1"/>
  <c r="V981" i="1"/>
  <c r="M982" i="1"/>
  <c r="Z982" i="1"/>
  <c r="V982" i="1"/>
  <c r="X982" i="1"/>
  <c r="M983" i="1"/>
  <c r="Z983" i="1"/>
  <c r="X983" i="1"/>
  <c r="V983" i="1"/>
  <c r="M984" i="1"/>
  <c r="Z984" i="1"/>
  <c r="X984" i="1"/>
  <c r="V984" i="1"/>
  <c r="M985" i="1"/>
  <c r="Z985" i="1"/>
  <c r="X985" i="1"/>
  <c r="M986" i="1"/>
  <c r="Z986" i="1"/>
  <c r="V986" i="1"/>
  <c r="X986" i="1"/>
  <c r="M989" i="1"/>
  <c r="Z989" i="1"/>
  <c r="X989" i="1"/>
  <c r="V989" i="1"/>
  <c r="M990" i="1"/>
  <c r="Z990" i="1"/>
  <c r="X990" i="1"/>
  <c r="V990" i="1"/>
  <c r="M991" i="1"/>
  <c r="Z991" i="1"/>
  <c r="X991" i="1"/>
  <c r="V991" i="1"/>
  <c r="M992" i="1"/>
  <c r="Z992" i="1"/>
  <c r="V992" i="1"/>
  <c r="X992" i="1"/>
  <c r="M993" i="1"/>
  <c r="Z993" i="1"/>
  <c r="X993" i="1"/>
  <c r="V993" i="1"/>
  <c r="M994" i="1"/>
  <c r="Z994" i="1"/>
  <c r="X994" i="1"/>
  <c r="V994" i="1"/>
  <c r="M995" i="1"/>
  <c r="Z995" i="1"/>
  <c r="X995" i="1"/>
  <c r="M996" i="1"/>
  <c r="Z996" i="1"/>
  <c r="V996" i="1"/>
  <c r="X996" i="1"/>
  <c r="M579" i="1"/>
  <c r="Z579" i="1"/>
  <c r="X579" i="1"/>
  <c r="V579" i="1"/>
  <c r="M568" i="1"/>
  <c r="Z568" i="1"/>
  <c r="X568" i="1"/>
  <c r="V568" i="1"/>
  <c r="M569" i="1"/>
  <c r="Z569" i="1"/>
  <c r="V569" i="1"/>
  <c r="X569" i="1"/>
  <c r="M570" i="1"/>
  <c r="Z570" i="1"/>
  <c r="X570" i="1"/>
  <c r="V570" i="1"/>
  <c r="M571" i="1"/>
  <c r="Z571" i="1"/>
  <c r="X571" i="1"/>
  <c r="V571" i="1"/>
  <c r="M572" i="1"/>
  <c r="Z572" i="1"/>
  <c r="X572" i="1"/>
  <c r="M387" i="1"/>
  <c r="Z387" i="1"/>
  <c r="X387" i="1"/>
  <c r="V387" i="1"/>
  <c r="M372" i="1"/>
  <c r="Z372" i="1"/>
  <c r="X372" i="1"/>
  <c r="V372" i="1"/>
  <c r="M373" i="1"/>
  <c r="Z373" i="1"/>
  <c r="X373" i="1"/>
  <c r="V373" i="1"/>
  <c r="M374" i="1"/>
  <c r="Z374" i="1"/>
  <c r="X374" i="1"/>
  <c r="V374" i="1"/>
  <c r="M375" i="1"/>
  <c r="Z375" i="1"/>
  <c r="X375" i="1"/>
  <c r="V375" i="1"/>
  <c r="M376" i="1"/>
  <c r="Z376" i="1"/>
  <c r="X376" i="1"/>
  <c r="V376" i="1"/>
  <c r="M369" i="1"/>
  <c r="Z369" i="1"/>
  <c r="X369" i="1"/>
  <c r="V369" i="1"/>
  <c r="M443" i="1"/>
  <c r="Z443" i="1"/>
  <c r="X443" i="1"/>
  <c r="V443" i="1"/>
  <c r="M456" i="1"/>
  <c r="Z456" i="1"/>
  <c r="X456" i="1"/>
  <c r="V456" i="1"/>
  <c r="M457" i="1"/>
  <c r="Z457" i="1"/>
  <c r="X457" i="1"/>
  <c r="V457" i="1"/>
  <c r="M458" i="1"/>
  <c r="Z458" i="1"/>
  <c r="X458" i="1"/>
  <c r="V458" i="1"/>
  <c r="M391" i="1"/>
  <c r="Z391" i="1"/>
  <c r="X391" i="1"/>
  <c r="V391" i="1"/>
  <c r="M355" i="1"/>
  <c r="Z355" i="1"/>
  <c r="X355" i="1"/>
  <c r="V355" i="1"/>
  <c r="M356" i="1"/>
  <c r="X356" i="1"/>
  <c r="V356" i="1"/>
  <c r="Z356" i="1"/>
  <c r="M359" i="1"/>
  <c r="Z359" i="1"/>
  <c r="X359" i="1"/>
  <c r="V359" i="1"/>
  <c r="M360" i="1"/>
  <c r="Z360" i="1"/>
  <c r="X360" i="1"/>
  <c r="V360" i="1"/>
  <c r="M361" i="1"/>
  <c r="Z361" i="1"/>
  <c r="X361" i="1"/>
  <c r="V361" i="1"/>
  <c r="M362" i="1"/>
  <c r="Z362" i="1"/>
  <c r="X362" i="1"/>
  <c r="V362" i="1"/>
  <c r="M363" i="1"/>
  <c r="Z363" i="1"/>
  <c r="X363" i="1"/>
  <c r="V363" i="1"/>
  <c r="M364" i="1"/>
  <c r="Z364" i="1"/>
  <c r="X364" i="1"/>
  <c r="V364" i="1"/>
  <c r="M365" i="1"/>
  <c r="Z365" i="1"/>
  <c r="X365" i="1"/>
  <c r="V365" i="1"/>
  <c r="M366" i="1"/>
  <c r="Z366" i="1"/>
  <c r="X366" i="1"/>
  <c r="V366" i="1"/>
  <c r="M367" i="1"/>
  <c r="Z367" i="1"/>
  <c r="X367" i="1"/>
  <c r="V367" i="1"/>
  <c r="M377" i="1"/>
  <c r="Z377" i="1"/>
  <c r="X377" i="1"/>
  <c r="V377" i="1"/>
  <c r="M378" i="1"/>
  <c r="Z378" i="1"/>
  <c r="X378" i="1"/>
  <c r="V378" i="1"/>
  <c r="M379" i="1"/>
  <c r="Z379" i="1"/>
  <c r="X379" i="1"/>
  <c r="V379" i="1"/>
  <c r="M392" i="1"/>
  <c r="Z392" i="1"/>
  <c r="X392" i="1"/>
  <c r="V392" i="1"/>
  <c r="M394" i="1"/>
  <c r="Z394" i="1"/>
  <c r="X394" i="1"/>
  <c r="V394" i="1"/>
  <c r="M395" i="1"/>
  <c r="Z395" i="1"/>
  <c r="X395" i="1"/>
  <c r="V395" i="1"/>
  <c r="M396" i="1"/>
  <c r="Z396" i="1"/>
  <c r="X396" i="1"/>
  <c r="V396" i="1"/>
  <c r="M1058" i="1"/>
  <c r="Z1058" i="1"/>
  <c r="X1058" i="1"/>
  <c r="V1058" i="1"/>
  <c r="M1108" i="1"/>
  <c r="Z1108" i="1"/>
  <c r="X1108" i="1"/>
  <c r="V1108" i="1"/>
  <c r="M1109" i="1"/>
  <c r="V1109" i="1"/>
  <c r="Z1109" i="1"/>
  <c r="X1109" i="1"/>
  <c r="M1110" i="1"/>
  <c r="Z1110" i="1"/>
  <c r="X1110" i="1"/>
  <c r="V1110" i="1"/>
  <c r="M1111" i="1"/>
  <c r="Z1111" i="1"/>
  <c r="X1111" i="1"/>
  <c r="V1111" i="1"/>
  <c r="M1112" i="1"/>
  <c r="Z1112" i="1"/>
  <c r="X1112" i="1"/>
  <c r="M1113" i="1"/>
  <c r="Z1113" i="1"/>
  <c r="V1113" i="1"/>
  <c r="X1113" i="1"/>
  <c r="M1114" i="1"/>
  <c r="Z1114" i="1"/>
  <c r="X1114" i="1"/>
  <c r="V1114" i="1"/>
  <c r="M557" i="1"/>
  <c r="Z557" i="1"/>
  <c r="X557" i="1"/>
  <c r="V557" i="1"/>
  <c r="M558" i="1"/>
  <c r="Z558" i="1"/>
  <c r="X558" i="1"/>
  <c r="V558" i="1"/>
  <c r="M559" i="1"/>
  <c r="Z559" i="1"/>
  <c r="V559" i="1"/>
  <c r="X559" i="1"/>
  <c r="M560" i="1"/>
  <c r="Z560" i="1"/>
  <c r="X560" i="1"/>
  <c r="V560" i="1"/>
  <c r="M561" i="1"/>
  <c r="Z561" i="1"/>
  <c r="X561" i="1"/>
  <c r="V561" i="1"/>
  <c r="M562" i="1"/>
  <c r="Z562" i="1"/>
  <c r="X562" i="1"/>
  <c r="M563" i="1"/>
  <c r="Z563" i="1"/>
  <c r="V563" i="1"/>
  <c r="X563" i="1"/>
  <c r="M566" i="1"/>
  <c r="Z566" i="1"/>
  <c r="X566" i="1"/>
  <c r="V566" i="1"/>
  <c r="M567" i="1"/>
  <c r="Z567" i="1"/>
  <c r="X567" i="1"/>
  <c r="V567" i="1"/>
  <c r="M591" i="1"/>
  <c r="Z591" i="1"/>
  <c r="X591" i="1"/>
  <c r="V591" i="1"/>
  <c r="M593" i="1"/>
  <c r="Z593" i="1"/>
  <c r="X593" i="1"/>
  <c r="V593" i="1"/>
  <c r="M956" i="1"/>
  <c r="Z956" i="1"/>
  <c r="X956" i="1"/>
  <c r="V956" i="1"/>
  <c r="M600" i="1"/>
  <c r="Z600" i="1"/>
  <c r="X600" i="1"/>
  <c r="V600" i="1"/>
  <c r="M601" i="1"/>
  <c r="Z601" i="1"/>
  <c r="X601" i="1"/>
  <c r="V601" i="1"/>
  <c r="M602" i="1"/>
  <c r="Z602" i="1"/>
  <c r="V602" i="1"/>
  <c r="X602" i="1"/>
  <c r="M603" i="1"/>
  <c r="Z603" i="1"/>
  <c r="X603" i="1"/>
  <c r="V603" i="1"/>
  <c r="M604" i="1"/>
  <c r="Z604" i="1"/>
  <c r="X604" i="1"/>
  <c r="V604" i="1"/>
  <c r="M680" i="1"/>
  <c r="Z680" i="1"/>
  <c r="X680" i="1"/>
  <c r="M681" i="1"/>
  <c r="Z681" i="1"/>
  <c r="V681" i="1"/>
  <c r="X681" i="1"/>
  <c r="M682" i="1"/>
  <c r="Z682" i="1"/>
  <c r="X682" i="1"/>
  <c r="V682" i="1"/>
  <c r="M683" i="1"/>
  <c r="Z683" i="1"/>
  <c r="X683" i="1"/>
  <c r="V683" i="1"/>
  <c r="M684" i="1"/>
  <c r="Z684" i="1"/>
  <c r="X684" i="1"/>
  <c r="V684" i="1"/>
  <c r="M685" i="1"/>
  <c r="Z685" i="1"/>
  <c r="V685" i="1"/>
  <c r="X685" i="1"/>
  <c r="M686" i="1"/>
  <c r="Z686" i="1"/>
  <c r="X686" i="1"/>
  <c r="V686" i="1"/>
  <c r="M687" i="1"/>
  <c r="Z687" i="1"/>
  <c r="X687" i="1"/>
  <c r="V687" i="1"/>
  <c r="M688" i="1"/>
  <c r="Z688" i="1"/>
  <c r="X688" i="1"/>
  <c r="M689" i="1"/>
  <c r="Z689" i="1"/>
  <c r="V689" i="1"/>
  <c r="X689" i="1"/>
  <c r="M690" i="1"/>
  <c r="Z690" i="1"/>
  <c r="X690" i="1"/>
  <c r="V690" i="1"/>
  <c r="M691" i="1"/>
  <c r="Z691" i="1"/>
  <c r="X691" i="1"/>
  <c r="V691" i="1"/>
  <c r="M914" i="1"/>
  <c r="Z914" i="1"/>
  <c r="X914" i="1"/>
  <c r="V914" i="1"/>
  <c r="M915" i="1"/>
  <c r="Z915" i="1"/>
  <c r="X915" i="1"/>
  <c r="V915" i="1"/>
  <c r="M916" i="1"/>
  <c r="Z916" i="1"/>
  <c r="X916" i="1"/>
  <c r="V916" i="1"/>
  <c r="M917" i="1"/>
  <c r="Z917" i="1"/>
  <c r="V917" i="1"/>
  <c r="X917" i="1"/>
  <c r="M918" i="1"/>
  <c r="Z918" i="1"/>
  <c r="X918" i="1"/>
  <c r="V918" i="1"/>
  <c r="M919" i="1"/>
  <c r="Z919" i="1"/>
  <c r="X919" i="1"/>
  <c r="V919" i="1"/>
  <c r="M920" i="1"/>
  <c r="Z920" i="1"/>
  <c r="X920" i="1"/>
  <c r="M921" i="1"/>
  <c r="Z921" i="1"/>
  <c r="V921" i="1"/>
  <c r="X921" i="1"/>
  <c r="M922" i="1"/>
  <c r="Z922" i="1"/>
  <c r="X922" i="1"/>
  <c r="V922" i="1"/>
  <c r="M923" i="1"/>
  <c r="Z923" i="1"/>
  <c r="X923" i="1"/>
  <c r="V923" i="1"/>
  <c r="M924" i="1"/>
  <c r="Z924" i="1"/>
  <c r="X924" i="1"/>
  <c r="V924" i="1"/>
  <c r="M925" i="1"/>
  <c r="V925" i="1"/>
  <c r="Z925" i="1"/>
  <c r="X925" i="1"/>
  <c r="M926" i="1"/>
  <c r="Z926" i="1"/>
  <c r="X926" i="1"/>
  <c r="V926" i="1"/>
  <c r="M927" i="1"/>
  <c r="Z927" i="1"/>
  <c r="X927" i="1"/>
  <c r="V927" i="1"/>
  <c r="M928" i="1"/>
  <c r="Z928" i="1"/>
  <c r="X928" i="1"/>
  <c r="M929" i="1"/>
  <c r="Z929" i="1"/>
  <c r="V929" i="1"/>
  <c r="X929" i="1"/>
  <c r="M930" i="1"/>
  <c r="Z930" i="1"/>
  <c r="X930" i="1"/>
  <c r="V930" i="1"/>
  <c r="M931" i="1"/>
  <c r="Z931" i="1"/>
  <c r="X931" i="1"/>
  <c r="V931" i="1"/>
  <c r="M932" i="1"/>
  <c r="Z932" i="1"/>
  <c r="X932" i="1"/>
  <c r="V932" i="1"/>
  <c r="M933" i="1"/>
  <c r="Z933" i="1"/>
  <c r="V933" i="1"/>
  <c r="X933" i="1"/>
  <c r="M934" i="1"/>
  <c r="Z934" i="1"/>
  <c r="X934" i="1"/>
  <c r="V934" i="1"/>
  <c r="M935" i="1"/>
  <c r="Z935" i="1"/>
  <c r="X935" i="1"/>
  <c r="V935" i="1"/>
  <c r="M936" i="1"/>
  <c r="Z936" i="1"/>
  <c r="X936" i="1"/>
  <c r="M937" i="1"/>
  <c r="Z937" i="1"/>
  <c r="V937" i="1"/>
  <c r="X937" i="1"/>
  <c r="M938" i="1"/>
  <c r="Z938" i="1"/>
  <c r="X938" i="1"/>
  <c r="V938" i="1"/>
  <c r="M939" i="1"/>
  <c r="Z939" i="1"/>
  <c r="X939" i="1"/>
  <c r="V939" i="1"/>
  <c r="M940" i="1"/>
  <c r="Z940" i="1"/>
  <c r="X940" i="1"/>
  <c r="V940" i="1"/>
  <c r="M941" i="1"/>
  <c r="Z941" i="1"/>
  <c r="X941" i="1"/>
  <c r="V941" i="1"/>
  <c r="M942" i="1"/>
  <c r="Z942" i="1"/>
  <c r="X942" i="1"/>
  <c r="V942" i="1"/>
  <c r="M368" i="1"/>
  <c r="Z368" i="1"/>
  <c r="X368" i="1"/>
  <c r="V368" i="1"/>
  <c r="M384" i="1"/>
  <c r="Z384" i="1"/>
  <c r="X384" i="1"/>
  <c r="V384" i="1"/>
  <c r="M385" i="1"/>
  <c r="Z385" i="1"/>
  <c r="X385" i="1"/>
  <c r="V385" i="1"/>
  <c r="M397" i="1"/>
  <c r="Z397" i="1"/>
  <c r="X397" i="1"/>
  <c r="V397" i="1"/>
  <c r="M386" i="1"/>
  <c r="Z386" i="1"/>
  <c r="X386" i="1"/>
  <c r="V386" i="1"/>
  <c r="M388" i="1"/>
  <c r="Z388" i="1"/>
  <c r="X388" i="1"/>
  <c r="V388" i="1"/>
  <c r="M400" i="1"/>
  <c r="Z400" i="1"/>
  <c r="X400" i="1"/>
  <c r="V400" i="1"/>
  <c r="M383" i="1"/>
  <c r="Z383" i="1"/>
  <c r="X383" i="1"/>
  <c r="V383" i="1"/>
  <c r="M943" i="1"/>
  <c r="Z943" i="1"/>
  <c r="V943" i="1"/>
  <c r="X943" i="1"/>
  <c r="M957" i="1"/>
  <c r="Z957" i="1"/>
  <c r="X957" i="1"/>
  <c r="V957" i="1"/>
  <c r="M1067" i="1"/>
  <c r="Z1067" i="1"/>
  <c r="X1067" i="1"/>
  <c r="V1067" i="1"/>
  <c r="M641" i="1"/>
  <c r="Z641" i="1"/>
  <c r="X641" i="1"/>
  <c r="V641" i="1"/>
  <c r="M695" i="1"/>
  <c r="V695" i="1"/>
  <c r="Z695" i="1"/>
  <c r="X695" i="1"/>
  <c r="M776" i="1"/>
  <c r="Z776" i="1"/>
  <c r="V776" i="1"/>
  <c r="X776" i="1"/>
  <c r="M459" i="1"/>
  <c r="Z459" i="1"/>
  <c r="X459" i="1"/>
  <c r="V459" i="1"/>
  <c r="M460" i="1"/>
  <c r="Z460" i="1"/>
  <c r="X460" i="1"/>
  <c r="V460" i="1"/>
  <c r="M444" i="1"/>
  <c r="Z444" i="1"/>
  <c r="X444" i="1"/>
  <c r="V444" i="1"/>
  <c r="M445" i="1"/>
  <c r="Z445" i="1"/>
  <c r="X445" i="1"/>
  <c r="V445" i="1"/>
  <c r="M902" i="1"/>
  <c r="Z902" i="1"/>
  <c r="X902" i="1"/>
  <c r="V902" i="1"/>
  <c r="M903" i="1"/>
  <c r="Z903" i="1"/>
  <c r="X903" i="1"/>
  <c r="V903" i="1"/>
  <c r="M904" i="1"/>
  <c r="Z904" i="1"/>
  <c r="X904" i="1"/>
  <c r="V904" i="1"/>
  <c r="M461" i="1"/>
  <c r="Z461" i="1"/>
  <c r="X461" i="1"/>
  <c r="V461" i="1"/>
  <c r="M358" i="1"/>
  <c r="Z358" i="1"/>
  <c r="X358" i="1"/>
  <c r="M911" i="1"/>
  <c r="Z911" i="1"/>
  <c r="V911" i="1"/>
  <c r="X911" i="1"/>
  <c r="M462" i="1"/>
  <c r="Z462" i="1"/>
  <c r="X462" i="1"/>
  <c r="V462" i="1"/>
  <c r="M463" i="1"/>
  <c r="Z463" i="1"/>
  <c r="X463" i="1"/>
  <c r="V463" i="1"/>
  <c r="M464" i="1"/>
  <c r="Z464" i="1"/>
  <c r="X464" i="1"/>
  <c r="V464" i="1"/>
  <c r="M465" i="1"/>
  <c r="Z465" i="1"/>
  <c r="X465" i="1"/>
  <c r="V465" i="1"/>
  <c r="M466" i="1"/>
  <c r="X466" i="1"/>
  <c r="V466" i="1"/>
  <c r="Z466" i="1"/>
  <c r="M467" i="1"/>
  <c r="Z467" i="1"/>
  <c r="X467" i="1"/>
  <c r="V467" i="1"/>
  <c r="M468" i="1"/>
  <c r="Z468" i="1"/>
  <c r="X468" i="1"/>
  <c r="V468" i="1"/>
  <c r="M469" i="1"/>
  <c r="Z469" i="1"/>
  <c r="X469" i="1"/>
  <c r="V469" i="1"/>
  <c r="M470" i="1"/>
  <c r="Z470" i="1"/>
  <c r="X470" i="1"/>
  <c r="V470" i="1"/>
  <c r="M471" i="1"/>
  <c r="Z471" i="1"/>
  <c r="X471" i="1"/>
  <c r="V471" i="1"/>
  <c r="M523" i="1"/>
  <c r="Z523" i="1"/>
  <c r="X523" i="1"/>
  <c r="V523" i="1"/>
  <c r="M434" i="1"/>
  <c r="Z434" i="1"/>
  <c r="X434" i="1"/>
  <c r="V434" i="1"/>
  <c r="M435" i="1"/>
  <c r="Z435" i="1"/>
  <c r="X435" i="1"/>
  <c r="V435" i="1"/>
  <c r="M436" i="1"/>
  <c r="Z436" i="1"/>
  <c r="X436" i="1"/>
  <c r="V436" i="1"/>
  <c r="M455" i="1"/>
  <c r="Z455" i="1"/>
  <c r="X455" i="1"/>
  <c r="V455" i="1"/>
  <c r="Q355" i="1"/>
  <c r="M70" i="16" l="1"/>
  <c r="E258" i="7"/>
  <c r="H258" i="7"/>
  <c r="D243" i="7"/>
  <c r="O46" i="15" l="1"/>
  <c r="O36" i="15"/>
  <c r="K55" i="6"/>
  <c r="J55" i="6"/>
  <c r="I55" i="6"/>
  <c r="H55" i="6"/>
  <c r="G55" i="6"/>
  <c r="F55" i="6"/>
  <c r="E55" i="6"/>
  <c r="D55" i="6"/>
  <c r="C55" i="6"/>
  <c r="C27" i="15"/>
  <c r="D27" i="15"/>
  <c r="E27" i="15"/>
  <c r="F27" i="15"/>
  <c r="G27" i="15"/>
  <c r="L27" i="15"/>
  <c r="M27" i="15"/>
  <c r="K46" i="6"/>
  <c r="J46" i="6"/>
  <c r="I46" i="6"/>
  <c r="H46" i="6"/>
  <c r="G46" i="6"/>
  <c r="F46" i="6"/>
  <c r="E46" i="6"/>
  <c r="D46" i="6"/>
  <c r="C46" i="6"/>
  <c r="F25" i="15"/>
  <c r="F26" i="15" s="1"/>
  <c r="G25" i="15"/>
  <c r="M25" i="15"/>
  <c r="L25" i="15"/>
  <c r="L26" i="15" s="1"/>
  <c r="O9" i="15"/>
  <c r="O49" i="15" s="1"/>
  <c r="C30" i="15"/>
  <c r="D30" i="15"/>
  <c r="E30" i="15"/>
  <c r="F30" i="15"/>
  <c r="G30" i="15"/>
  <c r="L30" i="15"/>
  <c r="C31" i="15"/>
  <c r="D31" i="15"/>
  <c r="E31" i="15"/>
  <c r="F31" i="15"/>
  <c r="G31" i="15"/>
  <c r="L31" i="15"/>
  <c r="C32" i="15"/>
  <c r="D32" i="15"/>
  <c r="E32" i="15"/>
  <c r="F32" i="15"/>
  <c r="G32" i="15"/>
  <c r="L32" i="15"/>
  <c r="B32" i="15"/>
  <c r="B31" i="15"/>
  <c r="B30" i="15"/>
  <c r="C269" i="7" l="1"/>
  <c r="O6" i="15"/>
  <c r="G26" i="15"/>
  <c r="M26" i="15"/>
  <c r="O39" i="15" l="1"/>
  <c r="O30" i="15"/>
  <c r="O4" i="15"/>
  <c r="O5" i="15" s="1"/>
  <c r="O31" i="15"/>
  <c r="C268" i="7"/>
  <c r="Q75" i="12"/>
  <c r="P75" i="12"/>
  <c r="O75" i="12"/>
  <c r="N75" i="12"/>
  <c r="M75" i="12"/>
  <c r="L75" i="12"/>
  <c r="K75" i="12"/>
  <c r="J75" i="12"/>
  <c r="I75" i="12"/>
  <c r="G75" i="12"/>
  <c r="G11" i="12" s="1"/>
  <c r="F75" i="12"/>
  <c r="E75" i="12"/>
  <c r="D75" i="12"/>
  <c r="C75" i="12"/>
  <c r="Q65" i="12"/>
  <c r="P65" i="12"/>
  <c r="O65" i="12"/>
  <c r="N65" i="12"/>
  <c r="M65" i="12"/>
  <c r="L65" i="12"/>
  <c r="K65" i="12"/>
  <c r="J65" i="12"/>
  <c r="I65" i="12"/>
  <c r="G65" i="12"/>
  <c r="J11" i="12" s="1"/>
  <c r="F65" i="12"/>
  <c r="E65" i="12"/>
  <c r="D65" i="12"/>
  <c r="C65" i="12"/>
  <c r="Q55" i="12"/>
  <c r="P55" i="12"/>
  <c r="O55" i="12"/>
  <c r="N55" i="12"/>
  <c r="M55" i="12"/>
  <c r="L55" i="12"/>
  <c r="K55" i="12"/>
  <c r="J55" i="12"/>
  <c r="I55" i="12"/>
  <c r="G55" i="12"/>
  <c r="F55" i="12"/>
  <c r="E55" i="12"/>
  <c r="D55" i="12"/>
  <c r="C55" i="12"/>
  <c r="Q36" i="12"/>
  <c r="P36" i="12"/>
  <c r="O36" i="12"/>
  <c r="N36" i="12"/>
  <c r="M36" i="12"/>
  <c r="L36" i="12"/>
  <c r="K36" i="12"/>
  <c r="J36" i="12"/>
  <c r="I36" i="12"/>
  <c r="G36" i="12"/>
  <c r="F36" i="12"/>
  <c r="E36" i="12"/>
  <c r="D36" i="12"/>
  <c r="C36" i="12"/>
  <c r="Q78" i="9"/>
  <c r="P78" i="9"/>
  <c r="O78" i="9"/>
  <c r="N78" i="9"/>
  <c r="M78" i="9"/>
  <c r="L78" i="9"/>
  <c r="K78" i="9"/>
  <c r="J78" i="9"/>
  <c r="I78" i="9"/>
  <c r="Q67" i="9"/>
  <c r="P67" i="9"/>
  <c r="O67" i="9"/>
  <c r="N67" i="9"/>
  <c r="M67" i="9"/>
  <c r="L67" i="9"/>
  <c r="K67" i="9"/>
  <c r="J67" i="9"/>
  <c r="I67" i="9"/>
  <c r="Q56" i="9"/>
  <c r="P56" i="9"/>
  <c r="O56" i="9"/>
  <c r="N56" i="9"/>
  <c r="M56" i="9"/>
  <c r="L56" i="9"/>
  <c r="K56" i="9"/>
  <c r="J56" i="9"/>
  <c r="I56" i="9"/>
  <c r="Q45" i="9"/>
  <c r="P45" i="9"/>
  <c r="O45" i="9"/>
  <c r="N45" i="9"/>
  <c r="M45" i="9"/>
  <c r="L45" i="9"/>
  <c r="K45" i="9"/>
  <c r="J45" i="9"/>
  <c r="I45" i="9"/>
  <c r="F31" i="9"/>
  <c r="G31" i="9" s="1"/>
  <c r="H31" i="9" s="1"/>
  <c r="L35" i="9"/>
  <c r="M35" i="9" s="1"/>
  <c r="N35" i="9" s="1"/>
  <c r="I33" i="9"/>
  <c r="J33" i="9" s="1"/>
  <c r="K33" i="9" s="1"/>
  <c r="G78" i="9"/>
  <c r="F78" i="9"/>
  <c r="E78" i="9"/>
  <c r="D78" i="9"/>
  <c r="C78" i="9"/>
  <c r="G67" i="9"/>
  <c r="F67" i="9"/>
  <c r="E67" i="9"/>
  <c r="D67" i="9"/>
  <c r="C67" i="9"/>
  <c r="G56" i="9"/>
  <c r="F56" i="9"/>
  <c r="E56" i="9"/>
  <c r="D56" i="9"/>
  <c r="C56" i="9"/>
  <c r="G45" i="9"/>
  <c r="F45" i="9"/>
  <c r="E45" i="9"/>
  <c r="D45" i="9"/>
  <c r="C45" i="9"/>
  <c r="A10" i="9"/>
  <c r="A54" i="9" s="1"/>
  <c r="A9" i="9"/>
  <c r="A53" i="9" s="1"/>
  <c r="A8" i="9"/>
  <c r="A52" i="9" s="1"/>
  <c r="A6" i="9"/>
  <c r="A50" i="9" s="1"/>
  <c r="A5" i="9"/>
  <c r="A49" i="9" s="1"/>
  <c r="A4" i="9"/>
  <c r="A48" i="9" s="1"/>
  <c r="A3" i="9"/>
  <c r="A47" i="9" s="1"/>
  <c r="A2" i="9"/>
  <c r="A46" i="9" s="1"/>
  <c r="I34" i="9"/>
  <c r="J34" i="9" s="1"/>
  <c r="K34" i="9" s="1"/>
  <c r="F34" i="9"/>
  <c r="G34" i="9" s="1"/>
  <c r="H34" i="9" s="1"/>
  <c r="F33" i="9"/>
  <c r="G33" i="9" s="1"/>
  <c r="H33" i="9" s="1"/>
  <c r="I32" i="9"/>
  <c r="J32" i="9" s="1"/>
  <c r="K32" i="9" s="1"/>
  <c r="C32" i="9"/>
  <c r="D32" i="9" s="1"/>
  <c r="E32" i="9" s="1"/>
  <c r="I31" i="9"/>
  <c r="J31" i="9" s="1"/>
  <c r="K31" i="9" s="1"/>
  <c r="N8" i="8"/>
  <c r="K7" i="8"/>
  <c r="J7" i="8"/>
  <c r="I7" i="8"/>
  <c r="H7" i="8"/>
  <c r="G7" i="8"/>
  <c r="F7" i="8"/>
  <c r="E7" i="8"/>
  <c r="D7" i="8"/>
  <c r="C7" i="8"/>
  <c r="L26" i="12" l="1"/>
  <c r="R18" i="8"/>
  <c r="R20" i="8"/>
  <c r="R19" i="8"/>
  <c r="M26" i="12"/>
  <c r="H11" i="12"/>
  <c r="K11" i="12"/>
  <c r="L28" i="8"/>
  <c r="L29" i="8"/>
  <c r="L30" i="8"/>
  <c r="L27" i="8"/>
  <c r="M28" i="8"/>
  <c r="M27" i="8"/>
  <c r="M30" i="8"/>
  <c r="M29" i="8"/>
  <c r="C33" i="9"/>
  <c r="D33" i="9" s="1"/>
  <c r="E33" i="9" s="1"/>
  <c r="F32" i="9"/>
  <c r="G32" i="9" s="1"/>
  <c r="H32" i="9" s="1"/>
  <c r="C26" i="12"/>
  <c r="D26" i="12" s="1"/>
  <c r="C34" i="9"/>
  <c r="D34" i="9" s="1"/>
  <c r="E34" i="9" s="1"/>
  <c r="I26" i="12"/>
  <c r="E26" i="12" s="1"/>
  <c r="M8" i="8"/>
  <c r="C31" i="9"/>
  <c r="D31" i="9" s="1"/>
  <c r="E31" i="9" s="1"/>
  <c r="O8" i="8"/>
  <c r="E269" i="7"/>
  <c r="E268" i="7"/>
  <c r="A60" i="9"/>
  <c r="A65" i="9"/>
  <c r="A58" i="9"/>
  <c r="A63" i="9"/>
  <c r="A57" i="9"/>
  <c r="A59" i="9"/>
  <c r="A61" i="9"/>
  <c r="A64" i="9"/>
  <c r="I35" i="9"/>
  <c r="J35" i="9" s="1"/>
  <c r="K35" i="9" s="1"/>
  <c r="AB157" i="17" l="1"/>
  <c r="H17" i="16" s="1"/>
  <c r="AC157" i="17"/>
  <c r="J17" i="16" s="1"/>
  <c r="D17" i="16" s="1"/>
  <c r="AD157" i="17"/>
  <c r="R21" i="8"/>
  <c r="AD148" i="17" s="1"/>
  <c r="AD158" i="17"/>
  <c r="AC158" i="17"/>
  <c r="J18" i="16" s="1"/>
  <c r="D18" i="16" s="1"/>
  <c r="AB158" i="17"/>
  <c r="H18" i="16" s="1"/>
  <c r="AC166" i="17"/>
  <c r="AD166" i="17"/>
  <c r="AB166" i="17"/>
  <c r="E273" i="7"/>
  <c r="N26" i="12"/>
  <c r="F26" i="12"/>
  <c r="G26" i="12" s="1"/>
  <c r="H26" i="12" s="1"/>
  <c r="J26" i="12"/>
  <c r="K26" i="12" s="1"/>
  <c r="F35" i="9"/>
  <c r="G35" i="9" s="1"/>
  <c r="H35" i="9" s="1"/>
  <c r="C35" i="9"/>
  <c r="D35" i="9" s="1"/>
  <c r="E35" i="9" s="1"/>
  <c r="L33" i="9"/>
  <c r="A71" i="9"/>
  <c r="A72" i="9"/>
  <c r="A69" i="9"/>
  <c r="A75" i="9"/>
  <c r="A68" i="9"/>
  <c r="A74" i="9"/>
  <c r="A76" i="9"/>
  <c r="A70" i="9"/>
  <c r="L34" i="9"/>
  <c r="M34" i="9" s="1"/>
  <c r="N34" i="9" s="1"/>
  <c r="L31" i="9"/>
  <c r="L32" i="9"/>
  <c r="AB148" i="17" l="1"/>
  <c r="H10" i="16" s="1"/>
  <c r="AC148" i="17"/>
  <c r="J10" i="16" s="1"/>
  <c r="D10" i="16" s="1"/>
  <c r="M17" i="16"/>
  <c r="M18" i="16"/>
  <c r="H42" i="16"/>
  <c r="J42" i="16"/>
  <c r="J92" i="16" s="1"/>
  <c r="J72" i="16" s="1"/>
  <c r="M31" i="9"/>
  <c r="N31" i="9" s="1"/>
  <c r="M32" i="9"/>
  <c r="N32" i="9" s="1"/>
  <c r="M33" i="9"/>
  <c r="N33" i="9" s="1"/>
  <c r="AW151" i="17"/>
  <c r="A79" i="9"/>
  <c r="A81" i="9"/>
  <c r="A87" i="9"/>
  <c r="A80" i="9"/>
  <c r="A82" i="9"/>
  <c r="A86" i="9"/>
  <c r="A83" i="9"/>
  <c r="A85" i="9"/>
  <c r="D246" i="7"/>
  <c r="D245" i="7"/>
  <c r="G246" i="7"/>
  <c r="C246" i="7"/>
  <c r="K203" i="7"/>
  <c r="D203" i="7"/>
  <c r="E203" i="7"/>
  <c r="F203" i="7"/>
  <c r="G203" i="7"/>
  <c r="E246" i="7" s="1"/>
  <c r="H203" i="7"/>
  <c r="I203" i="7"/>
  <c r="F246" i="7" s="1"/>
  <c r="J203" i="7"/>
  <c r="C203" i="7"/>
  <c r="D165" i="7"/>
  <c r="E165" i="7"/>
  <c r="F165" i="7"/>
  <c r="G165" i="7"/>
  <c r="E245" i="7" s="1"/>
  <c r="H165" i="7"/>
  <c r="I165" i="7"/>
  <c r="F245" i="7" s="1"/>
  <c r="J165" i="7"/>
  <c r="K165" i="7"/>
  <c r="C165" i="7"/>
  <c r="J160" i="7"/>
  <c r="N160" i="7" s="1"/>
  <c r="J158" i="7"/>
  <c r="J155" i="7"/>
  <c r="N155" i="7" s="1"/>
  <c r="J154" i="7"/>
  <c r="J153" i="7"/>
  <c r="N153" i="7" s="1"/>
  <c r="J152" i="7"/>
  <c r="N152" i="7" s="1"/>
  <c r="J151" i="7"/>
  <c r="N151" i="7" s="1"/>
  <c r="J150" i="7"/>
  <c r="N150" i="7" s="1"/>
  <c r="J149" i="7"/>
  <c r="N149" i="7" s="1"/>
  <c r="J148" i="7"/>
  <c r="N148" i="7" s="1"/>
  <c r="J147" i="7"/>
  <c r="N147" i="7" s="1"/>
  <c r="J146" i="7"/>
  <c r="N146" i="7" s="1"/>
  <c r="J145" i="7"/>
  <c r="N145" i="7" s="1"/>
  <c r="J144" i="7"/>
  <c r="N144" i="7" s="1"/>
  <c r="J143" i="7"/>
  <c r="N143" i="7" s="1"/>
  <c r="J142" i="7"/>
  <c r="J141" i="7"/>
  <c r="N141" i="7" s="1"/>
  <c r="J140" i="7"/>
  <c r="N140" i="7" s="1"/>
  <c r="J139" i="7"/>
  <c r="J137" i="7"/>
  <c r="J136" i="7"/>
  <c r="N136" i="7" s="1"/>
  <c r="J135" i="7"/>
  <c r="J134" i="7"/>
  <c r="J133" i="7"/>
  <c r="J132" i="7"/>
  <c r="J131" i="7"/>
  <c r="J130" i="7"/>
  <c r="J129" i="7"/>
  <c r="J125" i="7"/>
  <c r="J124" i="7"/>
  <c r="J123" i="7"/>
  <c r="J122" i="7"/>
  <c r="J121" i="7"/>
  <c r="J120" i="7"/>
  <c r="J119" i="7"/>
  <c r="J118" i="7"/>
  <c r="J117" i="7"/>
  <c r="J113" i="7"/>
  <c r="J112" i="7"/>
  <c r="J111" i="7"/>
  <c r="J110" i="7"/>
  <c r="J108" i="7"/>
  <c r="J105" i="7"/>
  <c r="J103" i="7"/>
  <c r="J102" i="7"/>
  <c r="J100" i="7"/>
  <c r="J98" i="7"/>
  <c r="J97" i="7"/>
  <c r="J96" i="7"/>
  <c r="J95" i="7"/>
  <c r="J94" i="7"/>
  <c r="J93" i="7"/>
  <c r="J92" i="7"/>
  <c r="J91" i="7"/>
  <c r="J88" i="7"/>
  <c r="J82" i="7"/>
  <c r="J81" i="7"/>
  <c r="J77" i="7"/>
  <c r="J76" i="7"/>
  <c r="J75" i="7"/>
  <c r="J74" i="7"/>
  <c r="J73" i="7"/>
  <c r="J70" i="7"/>
  <c r="J67" i="7"/>
  <c r="J66" i="7"/>
  <c r="J65" i="7"/>
  <c r="J64" i="7"/>
  <c r="J60" i="7"/>
  <c r="J59" i="7"/>
  <c r="J57" i="7"/>
  <c r="J55" i="7"/>
  <c r="J54" i="7"/>
  <c r="J53" i="7"/>
  <c r="J51" i="7"/>
  <c r="J50" i="7"/>
  <c r="J29" i="7"/>
  <c r="N29" i="7" s="1"/>
  <c r="J28" i="7"/>
  <c r="N28" i="7" s="1"/>
  <c r="J27" i="7"/>
  <c r="N27" i="7" s="1"/>
  <c r="J26" i="7"/>
  <c r="N26" i="7" s="1"/>
  <c r="J25" i="7"/>
  <c r="N25" i="7" s="1"/>
  <c r="J24" i="7"/>
  <c r="N24" i="7" s="1"/>
  <c r="J23" i="7"/>
  <c r="N23" i="7" s="1"/>
  <c r="J22" i="7"/>
  <c r="N22" i="7" s="1"/>
  <c r="J21" i="7"/>
  <c r="N21" i="7" s="1"/>
  <c r="J20" i="7"/>
  <c r="N20" i="7" s="1"/>
  <c r="J19" i="7"/>
  <c r="N19" i="7" s="1"/>
  <c r="J18" i="7"/>
  <c r="N18" i="7" s="1"/>
  <c r="J17" i="7"/>
  <c r="N17" i="7" s="1"/>
  <c r="J16" i="7"/>
  <c r="N16" i="7" s="1"/>
  <c r="J15" i="7"/>
  <c r="N15" i="7" s="1"/>
  <c r="J14" i="7"/>
  <c r="N14" i="7" s="1"/>
  <c r="J13" i="7"/>
  <c r="N13" i="7" s="1"/>
  <c r="J12" i="7"/>
  <c r="N12" i="7" s="1"/>
  <c r="E30" i="7"/>
  <c r="N30" i="7" s="1"/>
  <c r="E31" i="7"/>
  <c r="N31" i="7" s="1"/>
  <c r="E32" i="7"/>
  <c r="N32" i="7" s="1"/>
  <c r="E33" i="7"/>
  <c r="N33" i="7" s="1"/>
  <c r="E34" i="7"/>
  <c r="N34" i="7" s="1"/>
  <c r="E35" i="7"/>
  <c r="N35" i="7" s="1"/>
  <c r="E36" i="7"/>
  <c r="N36" i="7" s="1"/>
  <c r="E37" i="7"/>
  <c r="N37" i="7" s="1"/>
  <c r="E38" i="7"/>
  <c r="N38" i="7" s="1"/>
  <c r="E39" i="7"/>
  <c r="N39" i="7" s="1"/>
  <c r="E40" i="7"/>
  <c r="N40" i="7" s="1"/>
  <c r="E41" i="7"/>
  <c r="N41" i="7" s="1"/>
  <c r="E42" i="7"/>
  <c r="N42" i="7" s="1"/>
  <c r="E43" i="7"/>
  <c r="N43" i="7" s="1"/>
  <c r="E44" i="7"/>
  <c r="N44" i="7" s="1"/>
  <c r="E45" i="7"/>
  <c r="N45" i="7" s="1"/>
  <c r="E46" i="7"/>
  <c r="N46" i="7" s="1"/>
  <c r="E47" i="7"/>
  <c r="N47" i="7" s="1"/>
  <c r="E48" i="7"/>
  <c r="N48" i="7" s="1"/>
  <c r="E49" i="7"/>
  <c r="N49" i="7" s="1"/>
  <c r="E50" i="7"/>
  <c r="N50" i="7" s="1"/>
  <c r="E51" i="7"/>
  <c r="N51" i="7" s="1"/>
  <c r="E52" i="7"/>
  <c r="N52" i="7" s="1"/>
  <c r="E53" i="7"/>
  <c r="N53" i="7" s="1"/>
  <c r="E54" i="7"/>
  <c r="N54" i="7" s="1"/>
  <c r="E55" i="7"/>
  <c r="N55" i="7" s="1"/>
  <c r="E56" i="7"/>
  <c r="N56" i="7" s="1"/>
  <c r="E57" i="7"/>
  <c r="N57" i="7" s="1"/>
  <c r="E58" i="7"/>
  <c r="N58" i="7" s="1"/>
  <c r="E59" i="7"/>
  <c r="N59" i="7" s="1"/>
  <c r="E60" i="7"/>
  <c r="N60" i="7" s="1"/>
  <c r="E61" i="7"/>
  <c r="N61" i="7" s="1"/>
  <c r="E62" i="7"/>
  <c r="N62" i="7" s="1"/>
  <c r="E63" i="7"/>
  <c r="N63" i="7" s="1"/>
  <c r="E64" i="7"/>
  <c r="N64" i="7" s="1"/>
  <c r="E65" i="7"/>
  <c r="N65" i="7" s="1"/>
  <c r="E66" i="7"/>
  <c r="N66" i="7" s="1"/>
  <c r="E67" i="7"/>
  <c r="N67" i="7" s="1"/>
  <c r="E68" i="7"/>
  <c r="N68" i="7" s="1"/>
  <c r="E69" i="7"/>
  <c r="N69" i="7" s="1"/>
  <c r="E70" i="7"/>
  <c r="N70" i="7" s="1"/>
  <c r="E71" i="7"/>
  <c r="N71" i="7" s="1"/>
  <c r="E72" i="7"/>
  <c r="N72" i="7" s="1"/>
  <c r="E73" i="7"/>
  <c r="N73" i="7" s="1"/>
  <c r="E74" i="7"/>
  <c r="N74" i="7" s="1"/>
  <c r="E75" i="7"/>
  <c r="N75" i="7" s="1"/>
  <c r="E76" i="7"/>
  <c r="N76" i="7" s="1"/>
  <c r="E77" i="7"/>
  <c r="N77" i="7" s="1"/>
  <c r="E78" i="7"/>
  <c r="N78" i="7" s="1"/>
  <c r="E79" i="7"/>
  <c r="N79" i="7" s="1"/>
  <c r="E80" i="7"/>
  <c r="N80" i="7" s="1"/>
  <c r="E81" i="7"/>
  <c r="N81" i="7" s="1"/>
  <c r="E82" i="7"/>
  <c r="N82" i="7" s="1"/>
  <c r="E83" i="7"/>
  <c r="N83" i="7" s="1"/>
  <c r="E84" i="7"/>
  <c r="N84" i="7" s="1"/>
  <c r="E85" i="7"/>
  <c r="N85" i="7" s="1"/>
  <c r="E86" i="7"/>
  <c r="N86" i="7" s="1"/>
  <c r="E87" i="7"/>
  <c r="N87" i="7" s="1"/>
  <c r="E88" i="7"/>
  <c r="N88" i="7" s="1"/>
  <c r="E89" i="7"/>
  <c r="N89" i="7" s="1"/>
  <c r="E90" i="7"/>
  <c r="N90" i="7" s="1"/>
  <c r="E91" i="7"/>
  <c r="N91" i="7" s="1"/>
  <c r="E92" i="7"/>
  <c r="N92" i="7" s="1"/>
  <c r="E93" i="7"/>
  <c r="N93" i="7" s="1"/>
  <c r="E94" i="7"/>
  <c r="N94" i="7" s="1"/>
  <c r="E95" i="7"/>
  <c r="N95" i="7" s="1"/>
  <c r="E96" i="7"/>
  <c r="E97" i="7"/>
  <c r="E98" i="7"/>
  <c r="E99" i="7"/>
  <c r="E100" i="7"/>
  <c r="E102" i="7"/>
  <c r="E103" i="7"/>
  <c r="E104" i="7"/>
  <c r="E105" i="7"/>
  <c r="N105" i="7" s="1"/>
  <c r="E107" i="7"/>
  <c r="N107" i="7" s="1"/>
  <c r="E108" i="7"/>
  <c r="N108" i="7" s="1"/>
  <c r="E110" i="7"/>
  <c r="N110" i="7" s="1"/>
  <c r="E111" i="7"/>
  <c r="N111" i="7" s="1"/>
  <c r="E112" i="7"/>
  <c r="N112" i="7" s="1"/>
  <c r="E113" i="7"/>
  <c r="N113" i="7" s="1"/>
  <c r="E114" i="7"/>
  <c r="N114" i="7" s="1"/>
  <c r="E115" i="7"/>
  <c r="N115" i="7" s="1"/>
  <c r="E116" i="7"/>
  <c r="N116" i="7" s="1"/>
  <c r="E117" i="7"/>
  <c r="N117" i="7" s="1"/>
  <c r="E118" i="7"/>
  <c r="E119" i="7"/>
  <c r="E120" i="7"/>
  <c r="E121" i="7"/>
  <c r="E122" i="7"/>
  <c r="E123" i="7"/>
  <c r="E124" i="7"/>
  <c r="E125" i="7"/>
  <c r="E126" i="7"/>
  <c r="N126" i="7" s="1"/>
  <c r="E127" i="7"/>
  <c r="N127" i="7" s="1"/>
  <c r="E128" i="7"/>
  <c r="N128" i="7" s="1"/>
  <c r="E129" i="7"/>
  <c r="N129" i="7" s="1"/>
  <c r="E130" i="7"/>
  <c r="N130" i="7" s="1"/>
  <c r="E131" i="7"/>
  <c r="N131" i="7" s="1"/>
  <c r="E132" i="7"/>
  <c r="N132" i="7" s="1"/>
  <c r="E133" i="7"/>
  <c r="N133" i="7" s="1"/>
  <c r="E134" i="7"/>
  <c r="N134" i="7" s="1"/>
  <c r="E135" i="7"/>
  <c r="N135" i="7" s="1"/>
  <c r="E137" i="7"/>
  <c r="N137" i="7" s="1"/>
  <c r="E138" i="7"/>
  <c r="N138" i="7" s="1"/>
  <c r="E139" i="7"/>
  <c r="N139" i="7" s="1"/>
  <c r="E142" i="7"/>
  <c r="N142" i="7" s="1"/>
  <c r="E154" i="7"/>
  <c r="N154" i="7" s="1"/>
  <c r="E156" i="7"/>
  <c r="N156" i="7" s="1"/>
  <c r="E157" i="7"/>
  <c r="N157" i="7" s="1"/>
  <c r="E158" i="7"/>
  <c r="N158" i="7" s="1"/>
  <c r="E159" i="7"/>
  <c r="N159" i="7" s="1"/>
  <c r="E3" i="7"/>
  <c r="N3" i="7" s="1"/>
  <c r="E4" i="7"/>
  <c r="N4" i="7" s="1"/>
  <c r="E5" i="7"/>
  <c r="N5" i="7" s="1"/>
  <c r="E6" i="7"/>
  <c r="N6" i="7" s="1"/>
  <c r="E7" i="7"/>
  <c r="N7" i="7" s="1"/>
  <c r="E8" i="7"/>
  <c r="N8" i="7" s="1"/>
  <c r="E9" i="7"/>
  <c r="N9" i="7" s="1"/>
  <c r="E10" i="7"/>
  <c r="N10" i="7" s="1"/>
  <c r="E11" i="7"/>
  <c r="N11" i="7" s="1"/>
  <c r="E2" i="7"/>
  <c r="N2" i="7" s="1"/>
  <c r="K2" i="7"/>
  <c r="D37" i="6"/>
  <c r="E37" i="6"/>
  <c r="F37" i="6"/>
  <c r="G37" i="6"/>
  <c r="H37" i="6"/>
  <c r="I37" i="6"/>
  <c r="J37" i="6"/>
  <c r="K37" i="6"/>
  <c r="C37" i="6"/>
  <c r="D25" i="6"/>
  <c r="E25" i="6"/>
  <c r="F25" i="6"/>
  <c r="G25" i="6"/>
  <c r="H25" i="6"/>
  <c r="I25" i="6"/>
  <c r="J25" i="6"/>
  <c r="K25" i="6"/>
  <c r="C25" i="6"/>
  <c r="Y442" i="1"/>
  <c r="Y988" i="1"/>
  <c r="Y987" i="1"/>
  <c r="Y848" i="1"/>
  <c r="Y847" i="1"/>
  <c r="Y1095" i="1"/>
  <c r="Y1094" i="1"/>
  <c r="Y1056" i="1"/>
  <c r="Y1055" i="1"/>
  <c r="Y1054" i="1"/>
  <c r="Y1053" i="1"/>
  <c r="Y1052" i="1"/>
  <c r="Y1019" i="1"/>
  <c r="Y846" i="1"/>
  <c r="Y845" i="1"/>
  <c r="Y844" i="1"/>
  <c r="Y843" i="1"/>
  <c r="Y842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799" i="1"/>
  <c r="Y798" i="1"/>
  <c r="Y797" i="1"/>
  <c r="Y796" i="1"/>
  <c r="Y795" i="1"/>
  <c r="Y856" i="1"/>
  <c r="Y901" i="1"/>
  <c r="Y900" i="1"/>
  <c r="Y899" i="1"/>
  <c r="Y898" i="1"/>
  <c r="Y836" i="1"/>
  <c r="Y835" i="1"/>
  <c r="Y834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5" i="1"/>
  <c r="Y854" i="1"/>
  <c r="Y853" i="1"/>
  <c r="Y852" i="1"/>
  <c r="Y851" i="1"/>
  <c r="Y850" i="1"/>
  <c r="Y849" i="1"/>
  <c r="Y803" i="1"/>
  <c r="Y802" i="1"/>
  <c r="Y801" i="1"/>
  <c r="Y800" i="1"/>
  <c r="Y759" i="1"/>
  <c r="Y758" i="1"/>
  <c r="Y505" i="1"/>
  <c r="Y717" i="1"/>
  <c r="Y716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660" i="1"/>
  <c r="Y659" i="1"/>
  <c r="Y658" i="1"/>
  <c r="Y609" i="1"/>
  <c r="Y608" i="1"/>
  <c r="Y607" i="1"/>
  <c r="Y606" i="1"/>
  <c r="Y592" i="1"/>
  <c r="Y565" i="1"/>
  <c r="Y564" i="1"/>
  <c r="Y841" i="1"/>
  <c r="Y840" i="1"/>
  <c r="Y839" i="1"/>
  <c r="Y838" i="1"/>
  <c r="Y837" i="1"/>
  <c r="Y551" i="1"/>
  <c r="Y537" i="1"/>
  <c r="Y479" i="1"/>
  <c r="Y481" i="1"/>
  <c r="Y480" i="1"/>
  <c r="Y478" i="1"/>
  <c r="Y477" i="1"/>
  <c r="Y476" i="1"/>
  <c r="Y475" i="1"/>
  <c r="Y474" i="1"/>
  <c r="Y473" i="1"/>
  <c r="Y678" i="1"/>
  <c r="Y677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57" i="1"/>
  <c r="Y656" i="1"/>
  <c r="Y700" i="1"/>
  <c r="Y699" i="1"/>
  <c r="Y698" i="1"/>
  <c r="Y697" i="1"/>
  <c r="Y696" i="1"/>
  <c r="Y524" i="1"/>
  <c r="Y522" i="1"/>
  <c r="Y521" i="1"/>
  <c r="Y520" i="1"/>
  <c r="Y518" i="1"/>
  <c r="Y517" i="1"/>
  <c r="Y516" i="1"/>
  <c r="Y519" i="1"/>
  <c r="Y515" i="1"/>
  <c r="Y514" i="1"/>
  <c r="Y513" i="1"/>
  <c r="Y540" i="1"/>
  <c r="Y539" i="1"/>
  <c r="Y536" i="1"/>
  <c r="Y538" i="1"/>
  <c r="Y910" i="1"/>
  <c r="Y909" i="1"/>
  <c r="Y908" i="1"/>
  <c r="Y906" i="1"/>
  <c r="Y905" i="1"/>
  <c r="Y781" i="1"/>
  <c r="Y780" i="1"/>
  <c r="Y779" i="1"/>
  <c r="Y778" i="1"/>
  <c r="Y777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454" i="1"/>
  <c r="Y453" i="1"/>
  <c r="Y452" i="1"/>
  <c r="Y451" i="1"/>
  <c r="Y450" i="1"/>
  <c r="Y437" i="1"/>
  <c r="Y439" i="1"/>
  <c r="Y438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94" i="1"/>
  <c r="Y763" i="1"/>
  <c r="Y762" i="1"/>
  <c r="Y761" i="1"/>
  <c r="Y760" i="1"/>
  <c r="Y757" i="1"/>
  <c r="Y756" i="1"/>
  <c r="Y755" i="1"/>
  <c r="Y754" i="1"/>
  <c r="Y753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679" i="1"/>
  <c r="Y472" i="1"/>
  <c r="Y447" i="1"/>
  <c r="Y446" i="1"/>
  <c r="Y441" i="1"/>
  <c r="Y440" i="1"/>
  <c r="Y693" i="1"/>
  <c r="Y692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399" i="1"/>
  <c r="Y371" i="1"/>
  <c r="Y370" i="1"/>
  <c r="Y512" i="1"/>
  <c r="Y511" i="1"/>
  <c r="Y510" i="1"/>
  <c r="Y509" i="1"/>
  <c r="Y555" i="1"/>
  <c r="Y506" i="1"/>
  <c r="Y556" i="1"/>
  <c r="Y508" i="1"/>
  <c r="Y507" i="1"/>
  <c r="Y390" i="1"/>
  <c r="Y389" i="1"/>
  <c r="Y398" i="1"/>
  <c r="W442" i="1"/>
  <c r="W988" i="1"/>
  <c r="W987" i="1"/>
  <c r="W848" i="1"/>
  <c r="W847" i="1"/>
  <c r="W1095" i="1"/>
  <c r="W1094" i="1"/>
  <c r="W1056" i="1"/>
  <c r="W1055" i="1"/>
  <c r="W1054" i="1"/>
  <c r="W1053" i="1"/>
  <c r="W1052" i="1"/>
  <c r="W1019" i="1"/>
  <c r="W846" i="1"/>
  <c r="W845" i="1"/>
  <c r="W844" i="1"/>
  <c r="W843" i="1"/>
  <c r="W842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799" i="1"/>
  <c r="W798" i="1"/>
  <c r="W797" i="1"/>
  <c r="W796" i="1"/>
  <c r="W795" i="1"/>
  <c r="W856" i="1"/>
  <c r="W901" i="1"/>
  <c r="W900" i="1"/>
  <c r="W899" i="1"/>
  <c r="W898" i="1"/>
  <c r="W836" i="1"/>
  <c r="W835" i="1"/>
  <c r="W834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5" i="1"/>
  <c r="W854" i="1"/>
  <c r="W853" i="1"/>
  <c r="W852" i="1"/>
  <c r="W851" i="1"/>
  <c r="W850" i="1"/>
  <c r="W849" i="1"/>
  <c r="W803" i="1"/>
  <c r="W802" i="1"/>
  <c r="W801" i="1"/>
  <c r="W800" i="1"/>
  <c r="W759" i="1"/>
  <c r="W758" i="1"/>
  <c r="W505" i="1"/>
  <c r="W717" i="1"/>
  <c r="W716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660" i="1"/>
  <c r="W659" i="1"/>
  <c r="W658" i="1"/>
  <c r="W609" i="1"/>
  <c r="W608" i="1"/>
  <c r="W607" i="1"/>
  <c r="W606" i="1"/>
  <c r="W592" i="1"/>
  <c r="W565" i="1"/>
  <c r="W564" i="1"/>
  <c r="W841" i="1"/>
  <c r="W840" i="1"/>
  <c r="W839" i="1"/>
  <c r="W838" i="1"/>
  <c r="W837" i="1"/>
  <c r="W551" i="1"/>
  <c r="W537" i="1"/>
  <c r="W479" i="1"/>
  <c r="W481" i="1"/>
  <c r="W480" i="1"/>
  <c r="W478" i="1"/>
  <c r="W477" i="1"/>
  <c r="W476" i="1"/>
  <c r="W475" i="1"/>
  <c r="W474" i="1"/>
  <c r="W473" i="1"/>
  <c r="W678" i="1"/>
  <c r="W677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57" i="1"/>
  <c r="W656" i="1"/>
  <c r="W700" i="1"/>
  <c r="W699" i="1"/>
  <c r="W698" i="1"/>
  <c r="W697" i="1"/>
  <c r="W696" i="1"/>
  <c r="W524" i="1"/>
  <c r="W522" i="1"/>
  <c r="W521" i="1"/>
  <c r="W520" i="1"/>
  <c r="W518" i="1"/>
  <c r="W517" i="1"/>
  <c r="W516" i="1"/>
  <c r="W519" i="1"/>
  <c r="W515" i="1"/>
  <c r="W514" i="1"/>
  <c r="W513" i="1"/>
  <c r="W540" i="1"/>
  <c r="W539" i="1"/>
  <c r="W536" i="1"/>
  <c r="W538" i="1"/>
  <c r="W910" i="1"/>
  <c r="W909" i="1"/>
  <c r="W908" i="1"/>
  <c r="W906" i="1"/>
  <c r="W905" i="1"/>
  <c r="W781" i="1"/>
  <c r="W780" i="1"/>
  <c r="W779" i="1"/>
  <c r="W778" i="1"/>
  <c r="W777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454" i="1"/>
  <c r="W453" i="1"/>
  <c r="W452" i="1"/>
  <c r="W451" i="1"/>
  <c r="W450" i="1"/>
  <c r="W437" i="1"/>
  <c r="W439" i="1"/>
  <c r="W438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94" i="1"/>
  <c r="W763" i="1"/>
  <c r="W762" i="1"/>
  <c r="W761" i="1"/>
  <c r="W760" i="1"/>
  <c r="W757" i="1"/>
  <c r="W756" i="1"/>
  <c r="W755" i="1"/>
  <c r="W754" i="1"/>
  <c r="W753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679" i="1"/>
  <c r="W472" i="1"/>
  <c r="W447" i="1"/>
  <c r="W446" i="1"/>
  <c r="W441" i="1"/>
  <c r="W440" i="1"/>
  <c r="W693" i="1"/>
  <c r="W692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399" i="1"/>
  <c r="W371" i="1"/>
  <c r="W370" i="1"/>
  <c r="W512" i="1"/>
  <c r="W511" i="1"/>
  <c r="W510" i="1"/>
  <c r="W509" i="1"/>
  <c r="W555" i="1"/>
  <c r="W506" i="1"/>
  <c r="W556" i="1"/>
  <c r="W508" i="1"/>
  <c r="W507" i="1"/>
  <c r="W390" i="1"/>
  <c r="W389" i="1"/>
  <c r="W398" i="1"/>
  <c r="U442" i="1"/>
  <c r="U988" i="1"/>
  <c r="U987" i="1"/>
  <c r="U848" i="1"/>
  <c r="U847" i="1"/>
  <c r="U1095" i="1"/>
  <c r="U1094" i="1"/>
  <c r="U1056" i="1"/>
  <c r="U1055" i="1"/>
  <c r="U1054" i="1"/>
  <c r="U1053" i="1"/>
  <c r="U1052" i="1"/>
  <c r="U1019" i="1"/>
  <c r="U846" i="1"/>
  <c r="U845" i="1"/>
  <c r="U844" i="1"/>
  <c r="U843" i="1"/>
  <c r="U842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799" i="1"/>
  <c r="U798" i="1"/>
  <c r="U797" i="1"/>
  <c r="U796" i="1"/>
  <c r="U795" i="1"/>
  <c r="U856" i="1"/>
  <c r="U901" i="1"/>
  <c r="U900" i="1"/>
  <c r="U899" i="1"/>
  <c r="U898" i="1"/>
  <c r="U836" i="1"/>
  <c r="U835" i="1"/>
  <c r="U834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5" i="1"/>
  <c r="U854" i="1"/>
  <c r="U853" i="1"/>
  <c r="U852" i="1"/>
  <c r="U851" i="1"/>
  <c r="U850" i="1"/>
  <c r="U849" i="1"/>
  <c r="U803" i="1"/>
  <c r="U802" i="1"/>
  <c r="U801" i="1"/>
  <c r="U800" i="1"/>
  <c r="U759" i="1"/>
  <c r="U758" i="1"/>
  <c r="U505" i="1"/>
  <c r="U717" i="1"/>
  <c r="U716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660" i="1"/>
  <c r="U659" i="1"/>
  <c r="U658" i="1"/>
  <c r="U609" i="1"/>
  <c r="U608" i="1"/>
  <c r="U607" i="1"/>
  <c r="U606" i="1"/>
  <c r="U592" i="1"/>
  <c r="U565" i="1"/>
  <c r="U564" i="1"/>
  <c r="U841" i="1"/>
  <c r="U840" i="1"/>
  <c r="U839" i="1"/>
  <c r="U838" i="1"/>
  <c r="U837" i="1"/>
  <c r="U551" i="1"/>
  <c r="U537" i="1"/>
  <c r="U479" i="1"/>
  <c r="U481" i="1"/>
  <c r="U480" i="1"/>
  <c r="U478" i="1"/>
  <c r="U477" i="1"/>
  <c r="U476" i="1"/>
  <c r="U475" i="1"/>
  <c r="U474" i="1"/>
  <c r="U473" i="1"/>
  <c r="U678" i="1"/>
  <c r="U677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57" i="1"/>
  <c r="U656" i="1"/>
  <c r="U700" i="1"/>
  <c r="U699" i="1"/>
  <c r="U698" i="1"/>
  <c r="U697" i="1"/>
  <c r="U696" i="1"/>
  <c r="U524" i="1"/>
  <c r="U522" i="1"/>
  <c r="U521" i="1"/>
  <c r="U520" i="1"/>
  <c r="U518" i="1"/>
  <c r="U517" i="1"/>
  <c r="U516" i="1"/>
  <c r="U519" i="1"/>
  <c r="U515" i="1"/>
  <c r="U514" i="1"/>
  <c r="U513" i="1"/>
  <c r="U540" i="1"/>
  <c r="U539" i="1"/>
  <c r="U536" i="1"/>
  <c r="U538" i="1"/>
  <c r="U910" i="1"/>
  <c r="U909" i="1"/>
  <c r="U908" i="1"/>
  <c r="U906" i="1"/>
  <c r="U905" i="1"/>
  <c r="U781" i="1"/>
  <c r="U780" i="1"/>
  <c r="U779" i="1"/>
  <c r="U778" i="1"/>
  <c r="U777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454" i="1"/>
  <c r="U453" i="1"/>
  <c r="U452" i="1"/>
  <c r="U451" i="1"/>
  <c r="U450" i="1"/>
  <c r="U437" i="1"/>
  <c r="U439" i="1"/>
  <c r="U438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94" i="1"/>
  <c r="U763" i="1"/>
  <c r="U762" i="1"/>
  <c r="U761" i="1"/>
  <c r="U760" i="1"/>
  <c r="U757" i="1"/>
  <c r="U756" i="1"/>
  <c r="U755" i="1"/>
  <c r="U754" i="1"/>
  <c r="U753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679" i="1"/>
  <c r="U472" i="1"/>
  <c r="U447" i="1"/>
  <c r="U446" i="1"/>
  <c r="U441" i="1"/>
  <c r="U440" i="1"/>
  <c r="U693" i="1"/>
  <c r="U692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399" i="1"/>
  <c r="U371" i="1"/>
  <c r="U370" i="1"/>
  <c r="U512" i="1"/>
  <c r="U511" i="1"/>
  <c r="U510" i="1"/>
  <c r="U509" i="1"/>
  <c r="U555" i="1"/>
  <c r="U506" i="1"/>
  <c r="U556" i="1"/>
  <c r="U508" i="1"/>
  <c r="U507" i="1"/>
  <c r="U390" i="1"/>
  <c r="U389" i="1"/>
  <c r="U398" i="1"/>
  <c r="Y393" i="1"/>
  <c r="W393" i="1"/>
  <c r="U393" i="1"/>
  <c r="R442" i="1"/>
  <c r="S442" i="1" s="1"/>
  <c r="R988" i="1"/>
  <c r="S988" i="1" s="1"/>
  <c r="R987" i="1"/>
  <c r="S987" i="1" s="1"/>
  <c r="R848" i="1"/>
  <c r="S848" i="1" s="1"/>
  <c r="R847" i="1"/>
  <c r="S847" i="1" s="1"/>
  <c r="R1095" i="1"/>
  <c r="S1095" i="1" s="1"/>
  <c r="R1094" i="1"/>
  <c r="S1094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19" i="1"/>
  <c r="S1019" i="1" s="1"/>
  <c r="R846" i="1"/>
  <c r="S846" i="1" s="1"/>
  <c r="R845" i="1"/>
  <c r="S845" i="1" s="1"/>
  <c r="R844" i="1"/>
  <c r="S844" i="1" s="1"/>
  <c r="R843" i="1"/>
  <c r="S843" i="1" s="1"/>
  <c r="R842" i="1"/>
  <c r="S842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799" i="1"/>
  <c r="S799" i="1" s="1"/>
  <c r="R798" i="1"/>
  <c r="S798" i="1" s="1"/>
  <c r="R797" i="1"/>
  <c r="S797" i="1" s="1"/>
  <c r="R796" i="1"/>
  <c r="S796" i="1" s="1"/>
  <c r="R795" i="1"/>
  <c r="S795" i="1" s="1"/>
  <c r="R856" i="1"/>
  <c r="S856" i="1" s="1"/>
  <c r="R901" i="1"/>
  <c r="S901" i="1" s="1"/>
  <c r="R900" i="1"/>
  <c r="S900" i="1" s="1"/>
  <c r="R899" i="1"/>
  <c r="S899" i="1" s="1"/>
  <c r="R898" i="1"/>
  <c r="S898" i="1" s="1"/>
  <c r="R836" i="1"/>
  <c r="S836" i="1" s="1"/>
  <c r="R835" i="1"/>
  <c r="S835" i="1" s="1"/>
  <c r="R834" i="1"/>
  <c r="S834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03" i="1"/>
  <c r="S803" i="1" s="1"/>
  <c r="R802" i="1"/>
  <c r="S802" i="1" s="1"/>
  <c r="R801" i="1"/>
  <c r="S801" i="1" s="1"/>
  <c r="R800" i="1"/>
  <c r="S800" i="1" s="1"/>
  <c r="R759" i="1"/>
  <c r="S759" i="1" s="1"/>
  <c r="R758" i="1"/>
  <c r="S758" i="1" s="1"/>
  <c r="R505" i="1"/>
  <c r="S505" i="1" s="1"/>
  <c r="R717" i="1"/>
  <c r="S717" i="1" s="1"/>
  <c r="R716" i="1"/>
  <c r="S716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660" i="1"/>
  <c r="S660" i="1" s="1"/>
  <c r="R659" i="1"/>
  <c r="S659" i="1" s="1"/>
  <c r="R658" i="1"/>
  <c r="S658" i="1" s="1"/>
  <c r="R609" i="1"/>
  <c r="S609" i="1" s="1"/>
  <c r="R608" i="1"/>
  <c r="S608" i="1" s="1"/>
  <c r="R607" i="1"/>
  <c r="S607" i="1" s="1"/>
  <c r="R606" i="1"/>
  <c r="S606" i="1" s="1"/>
  <c r="R592" i="1"/>
  <c r="S592" i="1" s="1"/>
  <c r="R565" i="1"/>
  <c r="S565" i="1" s="1"/>
  <c r="R564" i="1"/>
  <c r="S564" i="1" s="1"/>
  <c r="R841" i="1"/>
  <c r="S841" i="1" s="1"/>
  <c r="R840" i="1"/>
  <c r="S840" i="1" s="1"/>
  <c r="R839" i="1"/>
  <c r="S839" i="1" s="1"/>
  <c r="R838" i="1"/>
  <c r="S838" i="1" s="1"/>
  <c r="R837" i="1"/>
  <c r="S837" i="1" s="1"/>
  <c r="R551" i="1"/>
  <c r="S551" i="1" s="1"/>
  <c r="R537" i="1"/>
  <c r="S537" i="1" s="1"/>
  <c r="R479" i="1"/>
  <c r="S479" i="1" s="1"/>
  <c r="R481" i="1"/>
  <c r="S481" i="1" s="1"/>
  <c r="R480" i="1"/>
  <c r="S480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678" i="1"/>
  <c r="S678" i="1" s="1"/>
  <c r="R677" i="1"/>
  <c r="S677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57" i="1"/>
  <c r="S657" i="1" s="1"/>
  <c r="R656" i="1"/>
  <c r="S656" i="1" s="1"/>
  <c r="R700" i="1"/>
  <c r="S700" i="1" s="1"/>
  <c r="R699" i="1"/>
  <c r="S699" i="1" s="1"/>
  <c r="R698" i="1"/>
  <c r="S698" i="1" s="1"/>
  <c r="R697" i="1"/>
  <c r="S697" i="1" s="1"/>
  <c r="R696" i="1"/>
  <c r="S696" i="1" s="1"/>
  <c r="R524" i="1"/>
  <c r="S524" i="1" s="1"/>
  <c r="R522" i="1"/>
  <c r="S522" i="1" s="1"/>
  <c r="R521" i="1"/>
  <c r="S521" i="1" s="1"/>
  <c r="R520" i="1"/>
  <c r="S520" i="1" s="1"/>
  <c r="R518" i="1"/>
  <c r="S518" i="1" s="1"/>
  <c r="R517" i="1"/>
  <c r="S517" i="1" s="1"/>
  <c r="R516" i="1"/>
  <c r="S516" i="1" s="1"/>
  <c r="R519" i="1"/>
  <c r="S519" i="1" s="1"/>
  <c r="R515" i="1"/>
  <c r="S515" i="1" s="1"/>
  <c r="R514" i="1"/>
  <c r="S514" i="1" s="1"/>
  <c r="R513" i="1"/>
  <c r="S513" i="1" s="1"/>
  <c r="R540" i="1"/>
  <c r="S540" i="1" s="1"/>
  <c r="R539" i="1"/>
  <c r="S539" i="1" s="1"/>
  <c r="R536" i="1"/>
  <c r="S536" i="1" s="1"/>
  <c r="R538" i="1"/>
  <c r="S538" i="1" s="1"/>
  <c r="R910" i="1"/>
  <c r="S910" i="1" s="1"/>
  <c r="R909" i="1"/>
  <c r="S909" i="1" s="1"/>
  <c r="R908" i="1"/>
  <c r="S908" i="1" s="1"/>
  <c r="R906" i="1"/>
  <c r="S906" i="1" s="1"/>
  <c r="R905" i="1"/>
  <c r="S905" i="1" s="1"/>
  <c r="R781" i="1"/>
  <c r="S781" i="1" s="1"/>
  <c r="R780" i="1"/>
  <c r="S780" i="1" s="1"/>
  <c r="R779" i="1"/>
  <c r="S779" i="1" s="1"/>
  <c r="R778" i="1"/>
  <c r="S778" i="1" s="1"/>
  <c r="R777" i="1"/>
  <c r="S777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454" i="1"/>
  <c r="S454" i="1" s="1"/>
  <c r="R453" i="1"/>
  <c r="S453" i="1" s="1"/>
  <c r="R452" i="1"/>
  <c r="S452" i="1" s="1"/>
  <c r="R451" i="1"/>
  <c r="S451" i="1" s="1"/>
  <c r="R450" i="1"/>
  <c r="S450" i="1" s="1"/>
  <c r="R437" i="1"/>
  <c r="S437" i="1" s="1"/>
  <c r="R439" i="1"/>
  <c r="S439" i="1" s="1"/>
  <c r="R438" i="1"/>
  <c r="S438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94" i="1"/>
  <c r="S794" i="1" s="1"/>
  <c r="R763" i="1"/>
  <c r="S763" i="1" s="1"/>
  <c r="R762" i="1"/>
  <c r="S762" i="1" s="1"/>
  <c r="R761" i="1"/>
  <c r="S761" i="1" s="1"/>
  <c r="R760" i="1"/>
  <c r="S760" i="1" s="1"/>
  <c r="R757" i="1"/>
  <c r="S757" i="1" s="1"/>
  <c r="R756" i="1"/>
  <c r="S756" i="1" s="1"/>
  <c r="R755" i="1"/>
  <c r="S755" i="1" s="1"/>
  <c r="R754" i="1"/>
  <c r="S754" i="1" s="1"/>
  <c r="R753" i="1"/>
  <c r="S753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679" i="1"/>
  <c r="S679" i="1" s="1"/>
  <c r="R472" i="1"/>
  <c r="S472" i="1" s="1"/>
  <c r="R447" i="1"/>
  <c r="S447" i="1" s="1"/>
  <c r="R446" i="1"/>
  <c r="S446" i="1" s="1"/>
  <c r="R441" i="1"/>
  <c r="S441" i="1" s="1"/>
  <c r="R440" i="1"/>
  <c r="S440" i="1" s="1"/>
  <c r="R693" i="1"/>
  <c r="S693" i="1" s="1"/>
  <c r="R692" i="1"/>
  <c r="S692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399" i="1"/>
  <c r="S399" i="1" s="1"/>
  <c r="R371" i="1"/>
  <c r="S371" i="1" s="1"/>
  <c r="R370" i="1"/>
  <c r="S370" i="1" s="1"/>
  <c r="R512" i="1"/>
  <c r="S512" i="1" s="1"/>
  <c r="R511" i="1"/>
  <c r="S511" i="1" s="1"/>
  <c r="R510" i="1"/>
  <c r="S510" i="1" s="1"/>
  <c r="R509" i="1"/>
  <c r="S509" i="1" s="1"/>
  <c r="R555" i="1"/>
  <c r="S555" i="1" s="1"/>
  <c r="R506" i="1"/>
  <c r="S506" i="1" s="1"/>
  <c r="R556" i="1"/>
  <c r="S556" i="1" s="1"/>
  <c r="R508" i="1"/>
  <c r="S508" i="1" s="1"/>
  <c r="R507" i="1"/>
  <c r="S507" i="1" s="1"/>
  <c r="R390" i="1"/>
  <c r="S390" i="1" s="1"/>
  <c r="R389" i="1"/>
  <c r="S389" i="1" s="1"/>
  <c r="R398" i="1"/>
  <c r="S398" i="1" s="1"/>
  <c r="R393" i="1"/>
  <c r="S393" i="1" s="1"/>
  <c r="P442" i="1"/>
  <c r="Q442" i="1" s="1"/>
  <c r="P988" i="1"/>
  <c r="Q988" i="1" s="1"/>
  <c r="P987" i="1"/>
  <c r="Q987" i="1" s="1"/>
  <c r="P848" i="1"/>
  <c r="Q848" i="1" s="1"/>
  <c r="P847" i="1"/>
  <c r="Q847" i="1" s="1"/>
  <c r="P1095" i="1"/>
  <c r="Q1095" i="1" s="1"/>
  <c r="P1094" i="1"/>
  <c r="Q1094" i="1" s="1"/>
  <c r="P1056" i="1"/>
  <c r="Q1056" i="1" s="1"/>
  <c r="P1055" i="1"/>
  <c r="Q1055" i="1" s="1"/>
  <c r="P1054" i="1"/>
  <c r="Q1054" i="1" s="1"/>
  <c r="P1053" i="1"/>
  <c r="Q1053" i="1" s="1"/>
  <c r="P1052" i="1"/>
  <c r="Q1052" i="1" s="1"/>
  <c r="P1019" i="1"/>
  <c r="Q1019" i="1" s="1"/>
  <c r="P846" i="1"/>
  <c r="Q846" i="1" s="1"/>
  <c r="P845" i="1"/>
  <c r="Q845" i="1" s="1"/>
  <c r="P844" i="1"/>
  <c r="Q844" i="1" s="1"/>
  <c r="P843" i="1"/>
  <c r="Q843" i="1" s="1"/>
  <c r="P842" i="1"/>
  <c r="Q842" i="1" s="1"/>
  <c r="P833" i="1"/>
  <c r="Q833" i="1" s="1"/>
  <c r="P832" i="1"/>
  <c r="Q832" i="1" s="1"/>
  <c r="P831" i="1"/>
  <c r="Q831" i="1" s="1"/>
  <c r="P830" i="1"/>
  <c r="Q830" i="1" s="1"/>
  <c r="P829" i="1"/>
  <c r="Q829" i="1" s="1"/>
  <c r="P828" i="1"/>
  <c r="Q828" i="1" s="1"/>
  <c r="P827" i="1"/>
  <c r="Q827" i="1" s="1"/>
  <c r="P826" i="1"/>
  <c r="Q826" i="1" s="1"/>
  <c r="P825" i="1"/>
  <c r="Q825" i="1" s="1"/>
  <c r="P824" i="1"/>
  <c r="Q824" i="1" s="1"/>
  <c r="P823" i="1"/>
  <c r="Q823" i="1" s="1"/>
  <c r="P822" i="1"/>
  <c r="Q822" i="1" s="1"/>
  <c r="P821" i="1"/>
  <c r="Q821" i="1" s="1"/>
  <c r="P820" i="1"/>
  <c r="Q820" i="1" s="1"/>
  <c r="P819" i="1"/>
  <c r="Q819" i="1" s="1"/>
  <c r="P818" i="1"/>
  <c r="Q818" i="1" s="1"/>
  <c r="P817" i="1"/>
  <c r="Q817" i="1" s="1"/>
  <c r="P816" i="1"/>
  <c r="Q816" i="1" s="1"/>
  <c r="P815" i="1"/>
  <c r="Q815" i="1" s="1"/>
  <c r="P814" i="1"/>
  <c r="Q814" i="1" s="1"/>
  <c r="P813" i="1"/>
  <c r="Q813" i="1" s="1"/>
  <c r="P812" i="1"/>
  <c r="Q812" i="1" s="1"/>
  <c r="P811" i="1"/>
  <c r="Q811" i="1" s="1"/>
  <c r="P810" i="1"/>
  <c r="Q810" i="1" s="1"/>
  <c r="P809" i="1"/>
  <c r="Q809" i="1" s="1"/>
  <c r="P808" i="1"/>
  <c r="Q808" i="1" s="1"/>
  <c r="P807" i="1"/>
  <c r="Q807" i="1" s="1"/>
  <c r="P806" i="1"/>
  <c r="Q806" i="1" s="1"/>
  <c r="P805" i="1"/>
  <c r="Q805" i="1" s="1"/>
  <c r="P804" i="1"/>
  <c r="Q804" i="1" s="1"/>
  <c r="P799" i="1"/>
  <c r="Q799" i="1" s="1"/>
  <c r="P798" i="1"/>
  <c r="Q798" i="1" s="1"/>
  <c r="P797" i="1"/>
  <c r="Q797" i="1" s="1"/>
  <c r="P796" i="1"/>
  <c r="Q796" i="1" s="1"/>
  <c r="P795" i="1"/>
  <c r="Q795" i="1" s="1"/>
  <c r="P856" i="1"/>
  <c r="Q856" i="1" s="1"/>
  <c r="P901" i="1"/>
  <c r="Q901" i="1" s="1"/>
  <c r="P900" i="1"/>
  <c r="Q900" i="1" s="1"/>
  <c r="P899" i="1"/>
  <c r="Q899" i="1" s="1"/>
  <c r="P898" i="1"/>
  <c r="Q898" i="1" s="1"/>
  <c r="P836" i="1"/>
  <c r="Q836" i="1" s="1"/>
  <c r="P835" i="1"/>
  <c r="Q835" i="1" s="1"/>
  <c r="P834" i="1"/>
  <c r="Q834" i="1" s="1"/>
  <c r="P897" i="1"/>
  <c r="Q897" i="1" s="1"/>
  <c r="P896" i="1"/>
  <c r="Q896" i="1" s="1"/>
  <c r="P895" i="1"/>
  <c r="Q895" i="1" s="1"/>
  <c r="P894" i="1"/>
  <c r="Q894" i="1" s="1"/>
  <c r="P893" i="1"/>
  <c r="Q893" i="1" s="1"/>
  <c r="P892" i="1"/>
  <c r="Q892" i="1" s="1"/>
  <c r="P891" i="1"/>
  <c r="Q891" i="1" s="1"/>
  <c r="P890" i="1"/>
  <c r="Q890" i="1" s="1"/>
  <c r="P889" i="1"/>
  <c r="Q889" i="1" s="1"/>
  <c r="P888" i="1"/>
  <c r="Q888" i="1" s="1"/>
  <c r="P887" i="1"/>
  <c r="Q887" i="1" s="1"/>
  <c r="P886" i="1"/>
  <c r="Q886" i="1" s="1"/>
  <c r="P885" i="1"/>
  <c r="Q885" i="1" s="1"/>
  <c r="P884" i="1"/>
  <c r="Q884" i="1" s="1"/>
  <c r="P883" i="1"/>
  <c r="Q883" i="1" s="1"/>
  <c r="P882" i="1"/>
  <c r="Q882" i="1" s="1"/>
  <c r="P881" i="1"/>
  <c r="Q881" i="1" s="1"/>
  <c r="P880" i="1"/>
  <c r="Q880" i="1" s="1"/>
  <c r="P879" i="1"/>
  <c r="Q879" i="1" s="1"/>
  <c r="P878" i="1"/>
  <c r="Q878" i="1" s="1"/>
  <c r="P877" i="1"/>
  <c r="Q877" i="1" s="1"/>
  <c r="P876" i="1"/>
  <c r="Q876" i="1" s="1"/>
  <c r="P875" i="1"/>
  <c r="Q875" i="1" s="1"/>
  <c r="P874" i="1"/>
  <c r="Q874" i="1" s="1"/>
  <c r="P873" i="1"/>
  <c r="Q873" i="1" s="1"/>
  <c r="P872" i="1"/>
  <c r="Q872" i="1" s="1"/>
  <c r="P871" i="1"/>
  <c r="Q871" i="1" s="1"/>
  <c r="P870" i="1"/>
  <c r="Q870" i="1" s="1"/>
  <c r="P869" i="1"/>
  <c r="Q869" i="1" s="1"/>
  <c r="P868" i="1"/>
  <c r="Q868" i="1" s="1"/>
  <c r="P867" i="1"/>
  <c r="Q867" i="1" s="1"/>
  <c r="P866" i="1"/>
  <c r="Q866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5" i="1"/>
  <c r="Q855" i="1" s="1"/>
  <c r="P854" i="1"/>
  <c r="Q854" i="1" s="1"/>
  <c r="P853" i="1"/>
  <c r="Q853" i="1" s="1"/>
  <c r="P852" i="1"/>
  <c r="Q852" i="1" s="1"/>
  <c r="P851" i="1"/>
  <c r="Q851" i="1" s="1"/>
  <c r="P850" i="1"/>
  <c r="Q850" i="1" s="1"/>
  <c r="P849" i="1"/>
  <c r="Q849" i="1" s="1"/>
  <c r="P803" i="1"/>
  <c r="Q803" i="1" s="1"/>
  <c r="P802" i="1"/>
  <c r="Q802" i="1" s="1"/>
  <c r="P801" i="1"/>
  <c r="Q801" i="1" s="1"/>
  <c r="P800" i="1"/>
  <c r="Q800" i="1" s="1"/>
  <c r="P759" i="1"/>
  <c r="Q759" i="1" s="1"/>
  <c r="P758" i="1"/>
  <c r="Q758" i="1" s="1"/>
  <c r="P505" i="1"/>
  <c r="Q505" i="1" s="1"/>
  <c r="P717" i="1"/>
  <c r="Q717" i="1" s="1"/>
  <c r="P716" i="1"/>
  <c r="Q716" i="1" s="1"/>
  <c r="P432" i="1"/>
  <c r="Q432" i="1" s="1"/>
  <c r="P431" i="1"/>
  <c r="Q431" i="1" s="1"/>
  <c r="P430" i="1"/>
  <c r="Q430" i="1" s="1"/>
  <c r="P429" i="1"/>
  <c r="Q429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P407" i="1"/>
  <c r="Q407" i="1" s="1"/>
  <c r="P406" i="1"/>
  <c r="Q406" i="1" s="1"/>
  <c r="P405" i="1"/>
  <c r="Q405" i="1" s="1"/>
  <c r="P404" i="1"/>
  <c r="Q404" i="1" s="1"/>
  <c r="P403" i="1"/>
  <c r="Q403" i="1" s="1"/>
  <c r="P402" i="1"/>
  <c r="Q402" i="1" s="1"/>
  <c r="P401" i="1"/>
  <c r="Q401" i="1" s="1"/>
  <c r="P504" i="1"/>
  <c r="Q504" i="1" s="1"/>
  <c r="P503" i="1"/>
  <c r="Q503" i="1" s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660" i="1"/>
  <c r="Q660" i="1" s="1"/>
  <c r="P659" i="1"/>
  <c r="Q659" i="1" s="1"/>
  <c r="P658" i="1"/>
  <c r="Q658" i="1" s="1"/>
  <c r="P609" i="1"/>
  <c r="Q609" i="1" s="1"/>
  <c r="P608" i="1"/>
  <c r="Q608" i="1" s="1"/>
  <c r="P607" i="1"/>
  <c r="Q607" i="1" s="1"/>
  <c r="P606" i="1"/>
  <c r="Q606" i="1" s="1"/>
  <c r="P592" i="1"/>
  <c r="Q592" i="1" s="1"/>
  <c r="P565" i="1"/>
  <c r="Q565" i="1" s="1"/>
  <c r="P564" i="1"/>
  <c r="Q564" i="1" s="1"/>
  <c r="P841" i="1"/>
  <c r="Q841" i="1" s="1"/>
  <c r="P840" i="1"/>
  <c r="Q840" i="1" s="1"/>
  <c r="P839" i="1"/>
  <c r="Q839" i="1" s="1"/>
  <c r="P838" i="1"/>
  <c r="Q838" i="1" s="1"/>
  <c r="P837" i="1"/>
  <c r="Q837" i="1" s="1"/>
  <c r="P551" i="1"/>
  <c r="Q551" i="1" s="1"/>
  <c r="P537" i="1"/>
  <c r="Q537" i="1" s="1"/>
  <c r="P479" i="1"/>
  <c r="Q479" i="1" s="1"/>
  <c r="P481" i="1"/>
  <c r="Q481" i="1" s="1"/>
  <c r="P480" i="1"/>
  <c r="Q480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678" i="1"/>
  <c r="Q678" i="1" s="1"/>
  <c r="P677" i="1"/>
  <c r="Q677" i="1" s="1"/>
  <c r="P775" i="1"/>
  <c r="Q775" i="1" s="1"/>
  <c r="P774" i="1"/>
  <c r="Q774" i="1" s="1"/>
  <c r="P773" i="1"/>
  <c r="Q773" i="1" s="1"/>
  <c r="P772" i="1"/>
  <c r="Q772" i="1" s="1"/>
  <c r="P771" i="1"/>
  <c r="Q771" i="1" s="1"/>
  <c r="P770" i="1"/>
  <c r="Q770" i="1" s="1"/>
  <c r="P769" i="1"/>
  <c r="Q769" i="1" s="1"/>
  <c r="P768" i="1"/>
  <c r="Q768" i="1" s="1"/>
  <c r="P767" i="1"/>
  <c r="Q767" i="1" s="1"/>
  <c r="P766" i="1"/>
  <c r="Q766" i="1" s="1"/>
  <c r="P765" i="1"/>
  <c r="Q765" i="1" s="1"/>
  <c r="P764" i="1"/>
  <c r="Q764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Q665" i="1" s="1"/>
  <c r="P664" i="1"/>
  <c r="Q664" i="1" s="1"/>
  <c r="P663" i="1"/>
  <c r="Q663" i="1" s="1"/>
  <c r="P662" i="1"/>
  <c r="Q662" i="1" s="1"/>
  <c r="P661" i="1"/>
  <c r="Q661" i="1" s="1"/>
  <c r="P657" i="1"/>
  <c r="Q657" i="1" s="1"/>
  <c r="P656" i="1"/>
  <c r="Q656" i="1" s="1"/>
  <c r="P700" i="1"/>
  <c r="Q700" i="1" s="1"/>
  <c r="P699" i="1"/>
  <c r="Q699" i="1" s="1"/>
  <c r="P698" i="1"/>
  <c r="Q698" i="1" s="1"/>
  <c r="P697" i="1"/>
  <c r="Q697" i="1" s="1"/>
  <c r="P696" i="1"/>
  <c r="Q696" i="1" s="1"/>
  <c r="P524" i="1"/>
  <c r="Q524" i="1" s="1"/>
  <c r="P522" i="1"/>
  <c r="Q522" i="1" s="1"/>
  <c r="P521" i="1"/>
  <c r="Q521" i="1" s="1"/>
  <c r="P520" i="1"/>
  <c r="Q520" i="1" s="1"/>
  <c r="P518" i="1"/>
  <c r="Q518" i="1" s="1"/>
  <c r="P517" i="1"/>
  <c r="Q517" i="1" s="1"/>
  <c r="P516" i="1"/>
  <c r="Q516" i="1" s="1"/>
  <c r="P519" i="1"/>
  <c r="Q519" i="1" s="1"/>
  <c r="P515" i="1"/>
  <c r="Q515" i="1" s="1"/>
  <c r="P514" i="1"/>
  <c r="Q514" i="1" s="1"/>
  <c r="P513" i="1"/>
  <c r="Q513" i="1" s="1"/>
  <c r="P540" i="1"/>
  <c r="Q540" i="1" s="1"/>
  <c r="P539" i="1"/>
  <c r="Q539" i="1" s="1"/>
  <c r="P536" i="1"/>
  <c r="Q536" i="1" s="1"/>
  <c r="P538" i="1"/>
  <c r="Q538" i="1" s="1"/>
  <c r="P910" i="1"/>
  <c r="Q910" i="1" s="1"/>
  <c r="P909" i="1"/>
  <c r="Q909" i="1" s="1"/>
  <c r="P908" i="1"/>
  <c r="Q908" i="1" s="1"/>
  <c r="P906" i="1"/>
  <c r="Q906" i="1" s="1"/>
  <c r="P905" i="1"/>
  <c r="Q905" i="1" s="1"/>
  <c r="P781" i="1"/>
  <c r="Q781" i="1" s="1"/>
  <c r="P780" i="1"/>
  <c r="Q780" i="1" s="1"/>
  <c r="P779" i="1"/>
  <c r="Q779" i="1" s="1"/>
  <c r="P778" i="1"/>
  <c r="Q778" i="1" s="1"/>
  <c r="P777" i="1"/>
  <c r="Q777" i="1" s="1"/>
  <c r="P955" i="1"/>
  <c r="Q955" i="1" s="1"/>
  <c r="P954" i="1"/>
  <c r="Q954" i="1" s="1"/>
  <c r="P953" i="1"/>
  <c r="Q953" i="1" s="1"/>
  <c r="P952" i="1"/>
  <c r="Q952" i="1" s="1"/>
  <c r="P951" i="1"/>
  <c r="Q951" i="1" s="1"/>
  <c r="P950" i="1"/>
  <c r="Q950" i="1" s="1"/>
  <c r="P949" i="1"/>
  <c r="Q949" i="1" s="1"/>
  <c r="P948" i="1"/>
  <c r="Q948" i="1" s="1"/>
  <c r="P947" i="1"/>
  <c r="Q947" i="1" s="1"/>
  <c r="P946" i="1"/>
  <c r="Q946" i="1" s="1"/>
  <c r="P945" i="1"/>
  <c r="Q945" i="1" s="1"/>
  <c r="P944" i="1"/>
  <c r="Q944" i="1" s="1"/>
  <c r="P454" i="1"/>
  <c r="Q454" i="1" s="1"/>
  <c r="P453" i="1"/>
  <c r="Q453" i="1" s="1"/>
  <c r="P452" i="1"/>
  <c r="Q452" i="1" s="1"/>
  <c r="P451" i="1"/>
  <c r="Q451" i="1" s="1"/>
  <c r="P450" i="1"/>
  <c r="Q450" i="1" s="1"/>
  <c r="P437" i="1"/>
  <c r="Q437" i="1" s="1"/>
  <c r="P439" i="1"/>
  <c r="Q439" i="1" s="1"/>
  <c r="P438" i="1"/>
  <c r="Q438" i="1" s="1"/>
  <c r="P752" i="1"/>
  <c r="Q752" i="1" s="1"/>
  <c r="P751" i="1"/>
  <c r="Q751" i="1" s="1"/>
  <c r="P750" i="1"/>
  <c r="Q750" i="1" s="1"/>
  <c r="P749" i="1"/>
  <c r="Q749" i="1" s="1"/>
  <c r="P748" i="1"/>
  <c r="Q748" i="1" s="1"/>
  <c r="P747" i="1"/>
  <c r="Q747" i="1" s="1"/>
  <c r="P746" i="1"/>
  <c r="Q746" i="1" s="1"/>
  <c r="P745" i="1"/>
  <c r="Q745" i="1" s="1"/>
  <c r="P744" i="1"/>
  <c r="Q744" i="1" s="1"/>
  <c r="P743" i="1"/>
  <c r="Q743" i="1" s="1"/>
  <c r="P742" i="1"/>
  <c r="Q742" i="1" s="1"/>
  <c r="P741" i="1"/>
  <c r="Q741" i="1" s="1"/>
  <c r="P740" i="1"/>
  <c r="Q740" i="1" s="1"/>
  <c r="P739" i="1"/>
  <c r="Q739" i="1" s="1"/>
  <c r="P738" i="1"/>
  <c r="Q738" i="1" s="1"/>
  <c r="P737" i="1"/>
  <c r="Q737" i="1" s="1"/>
  <c r="P736" i="1"/>
  <c r="Q736" i="1" s="1"/>
  <c r="P794" i="1"/>
  <c r="Q794" i="1" s="1"/>
  <c r="P763" i="1"/>
  <c r="Q763" i="1" s="1"/>
  <c r="P762" i="1"/>
  <c r="Q762" i="1" s="1"/>
  <c r="P761" i="1"/>
  <c r="Q761" i="1" s="1"/>
  <c r="P760" i="1"/>
  <c r="Q760" i="1" s="1"/>
  <c r="P757" i="1"/>
  <c r="Q757" i="1" s="1"/>
  <c r="P756" i="1"/>
  <c r="Q756" i="1" s="1"/>
  <c r="P755" i="1"/>
  <c r="Q755" i="1" s="1"/>
  <c r="P754" i="1"/>
  <c r="Q754" i="1" s="1"/>
  <c r="P753" i="1"/>
  <c r="Q753" i="1" s="1"/>
  <c r="P793" i="1"/>
  <c r="Q793" i="1" s="1"/>
  <c r="P792" i="1"/>
  <c r="Q792" i="1" s="1"/>
  <c r="P791" i="1"/>
  <c r="Q791" i="1" s="1"/>
  <c r="P790" i="1"/>
  <c r="Q790" i="1" s="1"/>
  <c r="P789" i="1"/>
  <c r="Q789" i="1" s="1"/>
  <c r="P788" i="1"/>
  <c r="Q788" i="1" s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35" i="1"/>
  <c r="Q735" i="1" s="1"/>
  <c r="P734" i="1"/>
  <c r="Q734" i="1" s="1"/>
  <c r="P733" i="1"/>
  <c r="Q733" i="1" s="1"/>
  <c r="P732" i="1"/>
  <c r="Q732" i="1" s="1"/>
  <c r="P731" i="1"/>
  <c r="Q731" i="1" s="1"/>
  <c r="P730" i="1"/>
  <c r="Q730" i="1" s="1"/>
  <c r="P729" i="1"/>
  <c r="Q729" i="1" s="1"/>
  <c r="P728" i="1"/>
  <c r="Q728" i="1" s="1"/>
  <c r="P727" i="1"/>
  <c r="Q727" i="1" s="1"/>
  <c r="P726" i="1"/>
  <c r="Q726" i="1" s="1"/>
  <c r="P725" i="1"/>
  <c r="Q725" i="1" s="1"/>
  <c r="P724" i="1"/>
  <c r="Q724" i="1" s="1"/>
  <c r="P723" i="1"/>
  <c r="Q723" i="1" s="1"/>
  <c r="P722" i="1"/>
  <c r="Q722" i="1" s="1"/>
  <c r="P721" i="1"/>
  <c r="Q721" i="1" s="1"/>
  <c r="P720" i="1"/>
  <c r="Q720" i="1" s="1"/>
  <c r="P719" i="1"/>
  <c r="Q719" i="1" s="1"/>
  <c r="P718" i="1"/>
  <c r="Q718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679" i="1"/>
  <c r="Q679" i="1" s="1"/>
  <c r="P472" i="1"/>
  <c r="Q472" i="1" s="1"/>
  <c r="P447" i="1"/>
  <c r="Q447" i="1" s="1"/>
  <c r="P446" i="1"/>
  <c r="Q446" i="1" s="1"/>
  <c r="P441" i="1"/>
  <c r="Q441" i="1" s="1"/>
  <c r="P440" i="1"/>
  <c r="Q440" i="1" s="1"/>
  <c r="P693" i="1"/>
  <c r="Q693" i="1" s="1"/>
  <c r="P692" i="1"/>
  <c r="Q692" i="1" s="1"/>
  <c r="P655" i="1"/>
  <c r="Q655" i="1" s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399" i="1"/>
  <c r="Q399" i="1" s="1"/>
  <c r="P371" i="1"/>
  <c r="Q371" i="1" s="1"/>
  <c r="P370" i="1"/>
  <c r="P512" i="1"/>
  <c r="Q512" i="1" s="1"/>
  <c r="P511" i="1"/>
  <c r="Q511" i="1" s="1"/>
  <c r="P510" i="1"/>
  <c r="Q510" i="1" s="1"/>
  <c r="P509" i="1"/>
  <c r="Q509" i="1" s="1"/>
  <c r="P555" i="1"/>
  <c r="Q555" i="1" s="1"/>
  <c r="P506" i="1"/>
  <c r="Q506" i="1" s="1"/>
  <c r="P556" i="1"/>
  <c r="Q556" i="1" s="1"/>
  <c r="P508" i="1"/>
  <c r="Q508" i="1" s="1"/>
  <c r="P507" i="1"/>
  <c r="Q507" i="1" s="1"/>
  <c r="P390" i="1"/>
  <c r="Q390" i="1" s="1"/>
  <c r="P389" i="1"/>
  <c r="Q389" i="1" s="1"/>
  <c r="P398" i="1"/>
  <c r="Q398" i="1" s="1"/>
  <c r="P393" i="1"/>
  <c r="N442" i="1"/>
  <c r="O442" i="1" s="1"/>
  <c r="N988" i="1"/>
  <c r="O988" i="1" s="1"/>
  <c r="N987" i="1"/>
  <c r="O987" i="1" s="1"/>
  <c r="N848" i="1"/>
  <c r="O848" i="1" s="1"/>
  <c r="N847" i="1"/>
  <c r="O847" i="1" s="1"/>
  <c r="N1095" i="1"/>
  <c r="O1095" i="1" s="1"/>
  <c r="N1094" i="1"/>
  <c r="O1094" i="1" s="1"/>
  <c r="N1056" i="1"/>
  <c r="O1056" i="1" s="1"/>
  <c r="N1055" i="1"/>
  <c r="O1055" i="1" s="1"/>
  <c r="N1054" i="1"/>
  <c r="O1054" i="1" s="1"/>
  <c r="N1053" i="1"/>
  <c r="O1053" i="1" s="1"/>
  <c r="N1052" i="1"/>
  <c r="O1052" i="1" s="1"/>
  <c r="N1019" i="1"/>
  <c r="O1019" i="1" s="1"/>
  <c r="N846" i="1"/>
  <c r="O846" i="1" s="1"/>
  <c r="N845" i="1"/>
  <c r="O845" i="1" s="1"/>
  <c r="N844" i="1"/>
  <c r="O844" i="1" s="1"/>
  <c r="N843" i="1"/>
  <c r="O843" i="1" s="1"/>
  <c r="N842" i="1"/>
  <c r="O842" i="1" s="1"/>
  <c r="N833" i="1"/>
  <c r="O833" i="1" s="1"/>
  <c r="N832" i="1"/>
  <c r="O832" i="1" s="1"/>
  <c r="N831" i="1"/>
  <c r="O831" i="1" s="1"/>
  <c r="N830" i="1"/>
  <c r="O830" i="1" s="1"/>
  <c r="N829" i="1"/>
  <c r="O829" i="1" s="1"/>
  <c r="N828" i="1"/>
  <c r="O828" i="1" s="1"/>
  <c r="N827" i="1"/>
  <c r="O827" i="1" s="1"/>
  <c r="N826" i="1"/>
  <c r="O826" i="1" s="1"/>
  <c r="N825" i="1"/>
  <c r="O825" i="1" s="1"/>
  <c r="N824" i="1"/>
  <c r="O824" i="1" s="1"/>
  <c r="N823" i="1"/>
  <c r="O823" i="1" s="1"/>
  <c r="N822" i="1"/>
  <c r="O822" i="1" s="1"/>
  <c r="N821" i="1"/>
  <c r="O821" i="1" s="1"/>
  <c r="N820" i="1"/>
  <c r="O820" i="1" s="1"/>
  <c r="N819" i="1"/>
  <c r="O819" i="1" s="1"/>
  <c r="N818" i="1"/>
  <c r="O818" i="1" s="1"/>
  <c r="N817" i="1"/>
  <c r="O817" i="1" s="1"/>
  <c r="N816" i="1"/>
  <c r="O816" i="1" s="1"/>
  <c r="N815" i="1"/>
  <c r="O815" i="1" s="1"/>
  <c r="N814" i="1"/>
  <c r="O814" i="1" s="1"/>
  <c r="N813" i="1"/>
  <c r="O813" i="1" s="1"/>
  <c r="N812" i="1"/>
  <c r="O812" i="1" s="1"/>
  <c r="N811" i="1"/>
  <c r="O811" i="1" s="1"/>
  <c r="N810" i="1"/>
  <c r="O810" i="1" s="1"/>
  <c r="N809" i="1"/>
  <c r="O809" i="1" s="1"/>
  <c r="N808" i="1"/>
  <c r="O808" i="1" s="1"/>
  <c r="N807" i="1"/>
  <c r="O807" i="1" s="1"/>
  <c r="N806" i="1"/>
  <c r="O806" i="1" s="1"/>
  <c r="N805" i="1"/>
  <c r="O805" i="1" s="1"/>
  <c r="N804" i="1"/>
  <c r="O804" i="1" s="1"/>
  <c r="N799" i="1"/>
  <c r="O799" i="1" s="1"/>
  <c r="N798" i="1"/>
  <c r="O798" i="1" s="1"/>
  <c r="N797" i="1"/>
  <c r="O797" i="1" s="1"/>
  <c r="N796" i="1"/>
  <c r="O796" i="1" s="1"/>
  <c r="N795" i="1"/>
  <c r="O795" i="1" s="1"/>
  <c r="N856" i="1"/>
  <c r="O856" i="1" s="1"/>
  <c r="N901" i="1"/>
  <c r="O901" i="1" s="1"/>
  <c r="N900" i="1"/>
  <c r="O900" i="1" s="1"/>
  <c r="N899" i="1"/>
  <c r="O899" i="1" s="1"/>
  <c r="N898" i="1"/>
  <c r="O898" i="1" s="1"/>
  <c r="N836" i="1"/>
  <c r="O836" i="1" s="1"/>
  <c r="N835" i="1"/>
  <c r="O835" i="1" s="1"/>
  <c r="N834" i="1"/>
  <c r="O834" i="1" s="1"/>
  <c r="N897" i="1"/>
  <c r="O897" i="1" s="1"/>
  <c r="N896" i="1"/>
  <c r="O896" i="1" s="1"/>
  <c r="N895" i="1"/>
  <c r="O895" i="1" s="1"/>
  <c r="N894" i="1"/>
  <c r="O894" i="1" s="1"/>
  <c r="N893" i="1"/>
  <c r="O893" i="1" s="1"/>
  <c r="N892" i="1"/>
  <c r="O892" i="1" s="1"/>
  <c r="N891" i="1"/>
  <c r="O891" i="1" s="1"/>
  <c r="N890" i="1"/>
  <c r="O890" i="1" s="1"/>
  <c r="N889" i="1"/>
  <c r="O889" i="1" s="1"/>
  <c r="N888" i="1"/>
  <c r="O888" i="1" s="1"/>
  <c r="N887" i="1"/>
  <c r="O887" i="1" s="1"/>
  <c r="N886" i="1"/>
  <c r="O886" i="1" s="1"/>
  <c r="N885" i="1"/>
  <c r="O885" i="1" s="1"/>
  <c r="N884" i="1"/>
  <c r="O884" i="1" s="1"/>
  <c r="N883" i="1"/>
  <c r="O883" i="1" s="1"/>
  <c r="N882" i="1"/>
  <c r="O882" i="1" s="1"/>
  <c r="N881" i="1"/>
  <c r="O881" i="1" s="1"/>
  <c r="N880" i="1"/>
  <c r="O880" i="1" s="1"/>
  <c r="N879" i="1"/>
  <c r="O879" i="1" s="1"/>
  <c r="N878" i="1"/>
  <c r="O878" i="1" s="1"/>
  <c r="N877" i="1"/>
  <c r="O877" i="1" s="1"/>
  <c r="N876" i="1"/>
  <c r="O876" i="1" s="1"/>
  <c r="N875" i="1"/>
  <c r="O875" i="1" s="1"/>
  <c r="N874" i="1"/>
  <c r="O874" i="1" s="1"/>
  <c r="N873" i="1"/>
  <c r="O873" i="1" s="1"/>
  <c r="N872" i="1"/>
  <c r="O872" i="1" s="1"/>
  <c r="N871" i="1"/>
  <c r="O871" i="1" s="1"/>
  <c r="N870" i="1"/>
  <c r="O870" i="1" s="1"/>
  <c r="N869" i="1"/>
  <c r="O869" i="1" s="1"/>
  <c r="N868" i="1"/>
  <c r="O868" i="1" s="1"/>
  <c r="N867" i="1"/>
  <c r="O867" i="1" s="1"/>
  <c r="N866" i="1"/>
  <c r="O866" i="1" s="1"/>
  <c r="N865" i="1"/>
  <c r="O865" i="1" s="1"/>
  <c r="N864" i="1"/>
  <c r="O864" i="1" s="1"/>
  <c r="N863" i="1"/>
  <c r="O863" i="1" s="1"/>
  <c r="N862" i="1"/>
  <c r="O862" i="1" s="1"/>
  <c r="N861" i="1"/>
  <c r="O861" i="1" s="1"/>
  <c r="N860" i="1"/>
  <c r="O860" i="1" s="1"/>
  <c r="N859" i="1"/>
  <c r="O859" i="1" s="1"/>
  <c r="N858" i="1"/>
  <c r="O858" i="1" s="1"/>
  <c r="N857" i="1"/>
  <c r="O857" i="1" s="1"/>
  <c r="N855" i="1"/>
  <c r="O855" i="1" s="1"/>
  <c r="N854" i="1"/>
  <c r="O854" i="1" s="1"/>
  <c r="N853" i="1"/>
  <c r="O853" i="1" s="1"/>
  <c r="N852" i="1"/>
  <c r="O852" i="1" s="1"/>
  <c r="N851" i="1"/>
  <c r="O851" i="1" s="1"/>
  <c r="N850" i="1"/>
  <c r="O850" i="1" s="1"/>
  <c r="N849" i="1"/>
  <c r="O849" i="1" s="1"/>
  <c r="N803" i="1"/>
  <c r="O803" i="1" s="1"/>
  <c r="N802" i="1"/>
  <c r="O802" i="1" s="1"/>
  <c r="N801" i="1"/>
  <c r="O801" i="1" s="1"/>
  <c r="N800" i="1"/>
  <c r="O800" i="1" s="1"/>
  <c r="N759" i="1"/>
  <c r="O759" i="1" s="1"/>
  <c r="N758" i="1"/>
  <c r="O758" i="1" s="1"/>
  <c r="N505" i="1"/>
  <c r="O505" i="1" s="1"/>
  <c r="N717" i="1"/>
  <c r="O717" i="1" s="1"/>
  <c r="N716" i="1"/>
  <c r="O716" i="1" s="1"/>
  <c r="N432" i="1"/>
  <c r="O432" i="1" s="1"/>
  <c r="N431" i="1"/>
  <c r="O431" i="1" s="1"/>
  <c r="N430" i="1"/>
  <c r="O430" i="1" s="1"/>
  <c r="N429" i="1"/>
  <c r="O429" i="1" s="1"/>
  <c r="N428" i="1"/>
  <c r="O428" i="1" s="1"/>
  <c r="N427" i="1"/>
  <c r="O427" i="1" s="1"/>
  <c r="N426" i="1"/>
  <c r="O426" i="1" s="1"/>
  <c r="N425" i="1"/>
  <c r="O425" i="1" s="1"/>
  <c r="N424" i="1"/>
  <c r="O424" i="1" s="1"/>
  <c r="N423" i="1"/>
  <c r="O423" i="1" s="1"/>
  <c r="N422" i="1"/>
  <c r="O422" i="1" s="1"/>
  <c r="N421" i="1"/>
  <c r="O421" i="1" s="1"/>
  <c r="N420" i="1"/>
  <c r="O420" i="1" s="1"/>
  <c r="N419" i="1"/>
  <c r="O419" i="1" s="1"/>
  <c r="N418" i="1"/>
  <c r="O418" i="1" s="1"/>
  <c r="N417" i="1"/>
  <c r="O417" i="1" s="1"/>
  <c r="N416" i="1"/>
  <c r="O416" i="1" s="1"/>
  <c r="N415" i="1"/>
  <c r="O415" i="1" s="1"/>
  <c r="N414" i="1"/>
  <c r="O414" i="1" s="1"/>
  <c r="N413" i="1"/>
  <c r="O413" i="1" s="1"/>
  <c r="N412" i="1"/>
  <c r="O412" i="1" s="1"/>
  <c r="N411" i="1"/>
  <c r="O411" i="1" s="1"/>
  <c r="N410" i="1"/>
  <c r="O410" i="1" s="1"/>
  <c r="N409" i="1"/>
  <c r="O409" i="1" s="1"/>
  <c r="N408" i="1"/>
  <c r="O408" i="1" s="1"/>
  <c r="N407" i="1"/>
  <c r="O407" i="1" s="1"/>
  <c r="N406" i="1"/>
  <c r="O406" i="1" s="1"/>
  <c r="N405" i="1"/>
  <c r="O405" i="1" s="1"/>
  <c r="N404" i="1"/>
  <c r="O404" i="1" s="1"/>
  <c r="N403" i="1"/>
  <c r="O403" i="1" s="1"/>
  <c r="N402" i="1"/>
  <c r="O402" i="1" s="1"/>
  <c r="N401" i="1"/>
  <c r="O401" i="1" s="1"/>
  <c r="N504" i="1"/>
  <c r="O504" i="1" s="1"/>
  <c r="N503" i="1"/>
  <c r="O503" i="1" s="1"/>
  <c r="N502" i="1"/>
  <c r="O502" i="1" s="1"/>
  <c r="N501" i="1"/>
  <c r="O501" i="1" s="1"/>
  <c r="N500" i="1"/>
  <c r="O500" i="1" s="1"/>
  <c r="N499" i="1"/>
  <c r="O499" i="1" s="1"/>
  <c r="N498" i="1"/>
  <c r="O498" i="1" s="1"/>
  <c r="N497" i="1"/>
  <c r="O497" i="1" s="1"/>
  <c r="N496" i="1"/>
  <c r="O496" i="1" s="1"/>
  <c r="N495" i="1"/>
  <c r="O495" i="1" s="1"/>
  <c r="N494" i="1"/>
  <c r="O494" i="1" s="1"/>
  <c r="N493" i="1"/>
  <c r="O493" i="1" s="1"/>
  <c r="N492" i="1"/>
  <c r="O492" i="1" s="1"/>
  <c r="N491" i="1"/>
  <c r="O491" i="1" s="1"/>
  <c r="N490" i="1"/>
  <c r="O490" i="1" s="1"/>
  <c r="N489" i="1"/>
  <c r="O489" i="1" s="1"/>
  <c r="N488" i="1"/>
  <c r="O488" i="1" s="1"/>
  <c r="N487" i="1"/>
  <c r="O487" i="1" s="1"/>
  <c r="N486" i="1"/>
  <c r="O486" i="1" s="1"/>
  <c r="N485" i="1"/>
  <c r="O485" i="1" s="1"/>
  <c r="N484" i="1"/>
  <c r="O484" i="1" s="1"/>
  <c r="N483" i="1"/>
  <c r="O483" i="1" s="1"/>
  <c r="N482" i="1"/>
  <c r="O482" i="1" s="1"/>
  <c r="N660" i="1"/>
  <c r="O660" i="1" s="1"/>
  <c r="N659" i="1"/>
  <c r="O659" i="1" s="1"/>
  <c r="N658" i="1"/>
  <c r="O658" i="1" s="1"/>
  <c r="N609" i="1"/>
  <c r="O609" i="1" s="1"/>
  <c r="N608" i="1"/>
  <c r="O608" i="1" s="1"/>
  <c r="N607" i="1"/>
  <c r="O607" i="1" s="1"/>
  <c r="N606" i="1"/>
  <c r="O606" i="1" s="1"/>
  <c r="N592" i="1"/>
  <c r="O592" i="1" s="1"/>
  <c r="N565" i="1"/>
  <c r="O565" i="1" s="1"/>
  <c r="N564" i="1"/>
  <c r="O564" i="1" s="1"/>
  <c r="N841" i="1"/>
  <c r="O841" i="1" s="1"/>
  <c r="N840" i="1"/>
  <c r="O840" i="1" s="1"/>
  <c r="N839" i="1"/>
  <c r="O839" i="1" s="1"/>
  <c r="N838" i="1"/>
  <c r="O838" i="1" s="1"/>
  <c r="N837" i="1"/>
  <c r="O837" i="1" s="1"/>
  <c r="N551" i="1"/>
  <c r="O551" i="1" s="1"/>
  <c r="N537" i="1"/>
  <c r="O537" i="1" s="1"/>
  <c r="N479" i="1"/>
  <c r="O479" i="1" s="1"/>
  <c r="N481" i="1"/>
  <c r="O481" i="1" s="1"/>
  <c r="N480" i="1"/>
  <c r="O480" i="1" s="1"/>
  <c r="N478" i="1"/>
  <c r="O478" i="1" s="1"/>
  <c r="N477" i="1"/>
  <c r="O477" i="1" s="1"/>
  <c r="N476" i="1"/>
  <c r="O476" i="1" s="1"/>
  <c r="N475" i="1"/>
  <c r="O475" i="1" s="1"/>
  <c r="N474" i="1"/>
  <c r="O474" i="1" s="1"/>
  <c r="N473" i="1"/>
  <c r="O473" i="1" s="1"/>
  <c r="N678" i="1"/>
  <c r="O678" i="1" s="1"/>
  <c r="N677" i="1"/>
  <c r="O677" i="1" s="1"/>
  <c r="N775" i="1"/>
  <c r="O775" i="1" s="1"/>
  <c r="N774" i="1"/>
  <c r="O774" i="1" s="1"/>
  <c r="N773" i="1"/>
  <c r="O773" i="1" s="1"/>
  <c r="N772" i="1"/>
  <c r="O772" i="1" s="1"/>
  <c r="N771" i="1"/>
  <c r="O771" i="1" s="1"/>
  <c r="N770" i="1"/>
  <c r="O770" i="1" s="1"/>
  <c r="N769" i="1"/>
  <c r="O769" i="1" s="1"/>
  <c r="N768" i="1"/>
  <c r="O768" i="1" s="1"/>
  <c r="N767" i="1"/>
  <c r="O767" i="1" s="1"/>
  <c r="N766" i="1"/>
  <c r="O766" i="1" s="1"/>
  <c r="N765" i="1"/>
  <c r="O765" i="1" s="1"/>
  <c r="N764" i="1"/>
  <c r="O764" i="1" s="1"/>
  <c r="N676" i="1"/>
  <c r="O676" i="1" s="1"/>
  <c r="N675" i="1"/>
  <c r="O675" i="1" s="1"/>
  <c r="N674" i="1"/>
  <c r="O674" i="1" s="1"/>
  <c r="N673" i="1"/>
  <c r="O673" i="1" s="1"/>
  <c r="N672" i="1"/>
  <c r="O672" i="1" s="1"/>
  <c r="N671" i="1"/>
  <c r="O671" i="1" s="1"/>
  <c r="N670" i="1"/>
  <c r="O670" i="1" s="1"/>
  <c r="N669" i="1"/>
  <c r="O669" i="1" s="1"/>
  <c r="N668" i="1"/>
  <c r="O668" i="1" s="1"/>
  <c r="N667" i="1"/>
  <c r="O667" i="1" s="1"/>
  <c r="N666" i="1"/>
  <c r="O666" i="1" s="1"/>
  <c r="N665" i="1"/>
  <c r="O665" i="1" s="1"/>
  <c r="N664" i="1"/>
  <c r="O664" i="1" s="1"/>
  <c r="N663" i="1"/>
  <c r="O663" i="1" s="1"/>
  <c r="N662" i="1"/>
  <c r="O662" i="1" s="1"/>
  <c r="N661" i="1"/>
  <c r="O661" i="1" s="1"/>
  <c r="N657" i="1"/>
  <c r="O657" i="1" s="1"/>
  <c r="N656" i="1"/>
  <c r="O656" i="1" s="1"/>
  <c r="N700" i="1"/>
  <c r="O700" i="1" s="1"/>
  <c r="N699" i="1"/>
  <c r="O699" i="1" s="1"/>
  <c r="N698" i="1"/>
  <c r="O698" i="1" s="1"/>
  <c r="N697" i="1"/>
  <c r="O697" i="1" s="1"/>
  <c r="N696" i="1"/>
  <c r="O696" i="1" s="1"/>
  <c r="N524" i="1"/>
  <c r="O524" i="1" s="1"/>
  <c r="N522" i="1"/>
  <c r="O522" i="1" s="1"/>
  <c r="N521" i="1"/>
  <c r="O521" i="1" s="1"/>
  <c r="N520" i="1"/>
  <c r="O520" i="1" s="1"/>
  <c r="N518" i="1"/>
  <c r="O518" i="1" s="1"/>
  <c r="N517" i="1"/>
  <c r="O517" i="1" s="1"/>
  <c r="N516" i="1"/>
  <c r="O516" i="1" s="1"/>
  <c r="N519" i="1"/>
  <c r="O519" i="1" s="1"/>
  <c r="N515" i="1"/>
  <c r="O515" i="1" s="1"/>
  <c r="N514" i="1"/>
  <c r="O514" i="1" s="1"/>
  <c r="N513" i="1"/>
  <c r="O513" i="1" s="1"/>
  <c r="N540" i="1"/>
  <c r="O540" i="1" s="1"/>
  <c r="N539" i="1"/>
  <c r="O539" i="1" s="1"/>
  <c r="N536" i="1"/>
  <c r="O536" i="1" s="1"/>
  <c r="N538" i="1"/>
  <c r="O538" i="1" s="1"/>
  <c r="N910" i="1"/>
  <c r="O910" i="1" s="1"/>
  <c r="N909" i="1"/>
  <c r="O909" i="1" s="1"/>
  <c r="N908" i="1"/>
  <c r="O908" i="1" s="1"/>
  <c r="N906" i="1"/>
  <c r="O906" i="1" s="1"/>
  <c r="N905" i="1"/>
  <c r="O905" i="1" s="1"/>
  <c r="N781" i="1"/>
  <c r="O781" i="1" s="1"/>
  <c r="N780" i="1"/>
  <c r="O780" i="1" s="1"/>
  <c r="N779" i="1"/>
  <c r="O779" i="1" s="1"/>
  <c r="N778" i="1"/>
  <c r="O778" i="1" s="1"/>
  <c r="N777" i="1"/>
  <c r="O777" i="1" s="1"/>
  <c r="N955" i="1"/>
  <c r="O955" i="1" s="1"/>
  <c r="N954" i="1"/>
  <c r="O954" i="1" s="1"/>
  <c r="N953" i="1"/>
  <c r="O953" i="1" s="1"/>
  <c r="N952" i="1"/>
  <c r="O952" i="1" s="1"/>
  <c r="N951" i="1"/>
  <c r="O951" i="1" s="1"/>
  <c r="N950" i="1"/>
  <c r="O950" i="1" s="1"/>
  <c r="N949" i="1"/>
  <c r="O949" i="1" s="1"/>
  <c r="N948" i="1"/>
  <c r="O948" i="1" s="1"/>
  <c r="N947" i="1"/>
  <c r="O947" i="1" s="1"/>
  <c r="N946" i="1"/>
  <c r="O946" i="1" s="1"/>
  <c r="N945" i="1"/>
  <c r="O945" i="1" s="1"/>
  <c r="N944" i="1"/>
  <c r="O944" i="1" s="1"/>
  <c r="N454" i="1"/>
  <c r="O454" i="1" s="1"/>
  <c r="N453" i="1"/>
  <c r="O453" i="1" s="1"/>
  <c r="N452" i="1"/>
  <c r="O452" i="1" s="1"/>
  <c r="N451" i="1"/>
  <c r="O451" i="1" s="1"/>
  <c r="N450" i="1"/>
  <c r="O450" i="1" s="1"/>
  <c r="N437" i="1"/>
  <c r="O437" i="1" s="1"/>
  <c r="N439" i="1"/>
  <c r="O439" i="1" s="1"/>
  <c r="N438" i="1"/>
  <c r="O438" i="1" s="1"/>
  <c r="N752" i="1"/>
  <c r="O752" i="1" s="1"/>
  <c r="N751" i="1"/>
  <c r="O751" i="1" s="1"/>
  <c r="N750" i="1"/>
  <c r="O750" i="1" s="1"/>
  <c r="N749" i="1"/>
  <c r="O749" i="1" s="1"/>
  <c r="N748" i="1"/>
  <c r="O748" i="1" s="1"/>
  <c r="N747" i="1"/>
  <c r="O747" i="1" s="1"/>
  <c r="N746" i="1"/>
  <c r="O746" i="1" s="1"/>
  <c r="N745" i="1"/>
  <c r="O745" i="1" s="1"/>
  <c r="N744" i="1"/>
  <c r="O744" i="1" s="1"/>
  <c r="N743" i="1"/>
  <c r="O743" i="1" s="1"/>
  <c r="N742" i="1"/>
  <c r="O742" i="1" s="1"/>
  <c r="N741" i="1"/>
  <c r="O741" i="1" s="1"/>
  <c r="N740" i="1"/>
  <c r="O740" i="1" s="1"/>
  <c r="N739" i="1"/>
  <c r="O739" i="1" s="1"/>
  <c r="N738" i="1"/>
  <c r="O738" i="1" s="1"/>
  <c r="N737" i="1"/>
  <c r="O737" i="1" s="1"/>
  <c r="N736" i="1"/>
  <c r="O736" i="1" s="1"/>
  <c r="N794" i="1"/>
  <c r="O794" i="1" s="1"/>
  <c r="N763" i="1"/>
  <c r="O763" i="1" s="1"/>
  <c r="N762" i="1"/>
  <c r="O762" i="1" s="1"/>
  <c r="N761" i="1"/>
  <c r="O761" i="1" s="1"/>
  <c r="N760" i="1"/>
  <c r="O760" i="1" s="1"/>
  <c r="N757" i="1"/>
  <c r="O757" i="1" s="1"/>
  <c r="N756" i="1"/>
  <c r="O756" i="1" s="1"/>
  <c r="N755" i="1"/>
  <c r="O755" i="1" s="1"/>
  <c r="N754" i="1"/>
  <c r="O754" i="1" s="1"/>
  <c r="N753" i="1"/>
  <c r="O753" i="1" s="1"/>
  <c r="N793" i="1"/>
  <c r="O793" i="1" s="1"/>
  <c r="N792" i="1"/>
  <c r="O792" i="1" s="1"/>
  <c r="N791" i="1"/>
  <c r="O791" i="1" s="1"/>
  <c r="N790" i="1"/>
  <c r="O790" i="1" s="1"/>
  <c r="N789" i="1"/>
  <c r="O789" i="1" s="1"/>
  <c r="N788" i="1"/>
  <c r="O788" i="1" s="1"/>
  <c r="N787" i="1"/>
  <c r="O787" i="1" s="1"/>
  <c r="N786" i="1"/>
  <c r="O786" i="1" s="1"/>
  <c r="N785" i="1"/>
  <c r="O785" i="1" s="1"/>
  <c r="N784" i="1"/>
  <c r="O784" i="1" s="1"/>
  <c r="N783" i="1"/>
  <c r="O783" i="1" s="1"/>
  <c r="N782" i="1"/>
  <c r="O782" i="1" s="1"/>
  <c r="N735" i="1"/>
  <c r="O735" i="1" s="1"/>
  <c r="N734" i="1"/>
  <c r="O734" i="1" s="1"/>
  <c r="N733" i="1"/>
  <c r="O733" i="1" s="1"/>
  <c r="N732" i="1"/>
  <c r="O732" i="1" s="1"/>
  <c r="N731" i="1"/>
  <c r="O731" i="1" s="1"/>
  <c r="N730" i="1"/>
  <c r="O730" i="1" s="1"/>
  <c r="N729" i="1"/>
  <c r="O729" i="1" s="1"/>
  <c r="N728" i="1"/>
  <c r="O728" i="1" s="1"/>
  <c r="N727" i="1"/>
  <c r="O727" i="1" s="1"/>
  <c r="N726" i="1"/>
  <c r="O726" i="1" s="1"/>
  <c r="N725" i="1"/>
  <c r="O725" i="1" s="1"/>
  <c r="N724" i="1"/>
  <c r="O724" i="1" s="1"/>
  <c r="N723" i="1"/>
  <c r="O723" i="1" s="1"/>
  <c r="N722" i="1"/>
  <c r="O722" i="1" s="1"/>
  <c r="N721" i="1"/>
  <c r="O721" i="1" s="1"/>
  <c r="N720" i="1"/>
  <c r="O720" i="1" s="1"/>
  <c r="N719" i="1"/>
  <c r="O719" i="1" s="1"/>
  <c r="N718" i="1"/>
  <c r="O718" i="1" s="1"/>
  <c r="N715" i="1"/>
  <c r="O715" i="1" s="1"/>
  <c r="N714" i="1"/>
  <c r="O714" i="1" s="1"/>
  <c r="N713" i="1"/>
  <c r="O713" i="1" s="1"/>
  <c r="N712" i="1"/>
  <c r="O712" i="1" s="1"/>
  <c r="N711" i="1"/>
  <c r="O711" i="1" s="1"/>
  <c r="N710" i="1"/>
  <c r="O710" i="1" s="1"/>
  <c r="N709" i="1"/>
  <c r="O709" i="1" s="1"/>
  <c r="N708" i="1"/>
  <c r="O708" i="1" s="1"/>
  <c r="N707" i="1"/>
  <c r="O707" i="1" s="1"/>
  <c r="N706" i="1"/>
  <c r="O706" i="1" s="1"/>
  <c r="N705" i="1"/>
  <c r="O705" i="1" s="1"/>
  <c r="N704" i="1"/>
  <c r="O704" i="1" s="1"/>
  <c r="N703" i="1"/>
  <c r="O703" i="1" s="1"/>
  <c r="N702" i="1"/>
  <c r="O702" i="1" s="1"/>
  <c r="N701" i="1"/>
  <c r="O701" i="1" s="1"/>
  <c r="N679" i="1"/>
  <c r="O679" i="1" s="1"/>
  <c r="N472" i="1"/>
  <c r="O472" i="1" s="1"/>
  <c r="N447" i="1"/>
  <c r="O447" i="1" s="1"/>
  <c r="N446" i="1"/>
  <c r="O446" i="1" s="1"/>
  <c r="N441" i="1"/>
  <c r="O441" i="1" s="1"/>
  <c r="N440" i="1"/>
  <c r="O440" i="1" s="1"/>
  <c r="N693" i="1"/>
  <c r="O693" i="1" s="1"/>
  <c r="N692" i="1"/>
  <c r="O692" i="1" s="1"/>
  <c r="N655" i="1"/>
  <c r="O655" i="1" s="1"/>
  <c r="N654" i="1"/>
  <c r="O654" i="1" s="1"/>
  <c r="N653" i="1"/>
  <c r="O653" i="1" s="1"/>
  <c r="N652" i="1"/>
  <c r="O652" i="1" s="1"/>
  <c r="N651" i="1"/>
  <c r="O651" i="1" s="1"/>
  <c r="N650" i="1"/>
  <c r="O650" i="1" s="1"/>
  <c r="N649" i="1"/>
  <c r="O649" i="1" s="1"/>
  <c r="N648" i="1"/>
  <c r="O648" i="1" s="1"/>
  <c r="N647" i="1"/>
  <c r="O647" i="1" s="1"/>
  <c r="N646" i="1"/>
  <c r="O646" i="1" s="1"/>
  <c r="N645" i="1"/>
  <c r="O645" i="1" s="1"/>
  <c r="N644" i="1"/>
  <c r="O644" i="1" s="1"/>
  <c r="N643" i="1"/>
  <c r="O643" i="1" s="1"/>
  <c r="N642" i="1"/>
  <c r="O642" i="1" s="1"/>
  <c r="N399" i="1"/>
  <c r="O399" i="1" s="1"/>
  <c r="N371" i="1"/>
  <c r="O371" i="1" s="1"/>
  <c r="N370" i="1"/>
  <c r="N512" i="1"/>
  <c r="O512" i="1" s="1"/>
  <c r="N511" i="1"/>
  <c r="O511" i="1" s="1"/>
  <c r="N510" i="1"/>
  <c r="O510" i="1" s="1"/>
  <c r="N509" i="1"/>
  <c r="O509" i="1" s="1"/>
  <c r="N555" i="1"/>
  <c r="O555" i="1" s="1"/>
  <c r="N506" i="1"/>
  <c r="O506" i="1" s="1"/>
  <c r="N556" i="1"/>
  <c r="O556" i="1" s="1"/>
  <c r="N508" i="1"/>
  <c r="O508" i="1" s="1"/>
  <c r="N507" i="1"/>
  <c r="O507" i="1" s="1"/>
  <c r="N390" i="1"/>
  <c r="O390" i="1" s="1"/>
  <c r="N389" i="1"/>
  <c r="O389" i="1" s="1"/>
  <c r="N398" i="1"/>
  <c r="O398" i="1" s="1"/>
  <c r="N393" i="1"/>
  <c r="O393" i="1" s="1"/>
  <c r="L442" i="1"/>
  <c r="M442" i="1" s="1"/>
  <c r="L988" i="1"/>
  <c r="M988" i="1" s="1"/>
  <c r="L987" i="1"/>
  <c r="M987" i="1" s="1"/>
  <c r="L848" i="1"/>
  <c r="M848" i="1" s="1"/>
  <c r="L847" i="1"/>
  <c r="M847" i="1" s="1"/>
  <c r="L1095" i="1"/>
  <c r="M1095" i="1" s="1"/>
  <c r="L1094" i="1"/>
  <c r="M1094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19" i="1"/>
  <c r="M1019" i="1" s="1"/>
  <c r="L846" i="1"/>
  <c r="M846" i="1" s="1"/>
  <c r="L845" i="1"/>
  <c r="M845" i="1" s="1"/>
  <c r="L844" i="1"/>
  <c r="M844" i="1" s="1"/>
  <c r="L843" i="1"/>
  <c r="M843" i="1" s="1"/>
  <c r="L842" i="1"/>
  <c r="M842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799" i="1"/>
  <c r="M799" i="1" s="1"/>
  <c r="L798" i="1"/>
  <c r="M798" i="1" s="1"/>
  <c r="L797" i="1"/>
  <c r="M797" i="1" s="1"/>
  <c r="L796" i="1"/>
  <c r="M796" i="1" s="1"/>
  <c r="L795" i="1"/>
  <c r="M795" i="1" s="1"/>
  <c r="L856" i="1"/>
  <c r="M856" i="1" s="1"/>
  <c r="L901" i="1"/>
  <c r="M901" i="1" s="1"/>
  <c r="L900" i="1"/>
  <c r="M900" i="1" s="1"/>
  <c r="L899" i="1"/>
  <c r="M899" i="1" s="1"/>
  <c r="L898" i="1"/>
  <c r="M898" i="1" s="1"/>
  <c r="L836" i="1"/>
  <c r="M836" i="1" s="1"/>
  <c r="L835" i="1"/>
  <c r="M835" i="1" s="1"/>
  <c r="L834" i="1"/>
  <c r="M834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03" i="1"/>
  <c r="M803" i="1" s="1"/>
  <c r="L802" i="1"/>
  <c r="M802" i="1" s="1"/>
  <c r="L801" i="1"/>
  <c r="M801" i="1" s="1"/>
  <c r="L800" i="1"/>
  <c r="M800" i="1" s="1"/>
  <c r="L759" i="1"/>
  <c r="M759" i="1" s="1"/>
  <c r="L758" i="1"/>
  <c r="M758" i="1" s="1"/>
  <c r="L505" i="1"/>
  <c r="M505" i="1" s="1"/>
  <c r="L717" i="1"/>
  <c r="M717" i="1" s="1"/>
  <c r="L716" i="1"/>
  <c r="M716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660" i="1"/>
  <c r="M660" i="1" s="1"/>
  <c r="L659" i="1"/>
  <c r="M659" i="1" s="1"/>
  <c r="L658" i="1"/>
  <c r="M658" i="1" s="1"/>
  <c r="L609" i="1"/>
  <c r="M609" i="1" s="1"/>
  <c r="L608" i="1"/>
  <c r="M608" i="1" s="1"/>
  <c r="L607" i="1"/>
  <c r="M607" i="1" s="1"/>
  <c r="L606" i="1"/>
  <c r="M606" i="1" s="1"/>
  <c r="L592" i="1"/>
  <c r="M592" i="1" s="1"/>
  <c r="L565" i="1"/>
  <c r="M565" i="1" s="1"/>
  <c r="L564" i="1"/>
  <c r="M564" i="1" s="1"/>
  <c r="L841" i="1"/>
  <c r="M841" i="1" s="1"/>
  <c r="L840" i="1"/>
  <c r="M840" i="1" s="1"/>
  <c r="L839" i="1"/>
  <c r="M839" i="1" s="1"/>
  <c r="L838" i="1"/>
  <c r="M838" i="1" s="1"/>
  <c r="L837" i="1"/>
  <c r="M837" i="1" s="1"/>
  <c r="L551" i="1"/>
  <c r="M551" i="1" s="1"/>
  <c r="L537" i="1"/>
  <c r="M537" i="1" s="1"/>
  <c r="L479" i="1"/>
  <c r="M479" i="1" s="1"/>
  <c r="L481" i="1"/>
  <c r="M481" i="1" s="1"/>
  <c r="L480" i="1"/>
  <c r="M480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678" i="1"/>
  <c r="M678" i="1" s="1"/>
  <c r="L677" i="1"/>
  <c r="M677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57" i="1"/>
  <c r="M657" i="1" s="1"/>
  <c r="L656" i="1"/>
  <c r="M656" i="1" s="1"/>
  <c r="L700" i="1"/>
  <c r="M700" i="1" s="1"/>
  <c r="L699" i="1"/>
  <c r="M699" i="1" s="1"/>
  <c r="L698" i="1"/>
  <c r="M698" i="1" s="1"/>
  <c r="L697" i="1"/>
  <c r="M697" i="1" s="1"/>
  <c r="L696" i="1"/>
  <c r="M696" i="1" s="1"/>
  <c r="L524" i="1"/>
  <c r="M524" i="1" s="1"/>
  <c r="L522" i="1"/>
  <c r="M522" i="1" s="1"/>
  <c r="L521" i="1"/>
  <c r="M521" i="1" s="1"/>
  <c r="L520" i="1"/>
  <c r="M520" i="1" s="1"/>
  <c r="L518" i="1"/>
  <c r="M518" i="1" s="1"/>
  <c r="L517" i="1"/>
  <c r="M517" i="1" s="1"/>
  <c r="L516" i="1"/>
  <c r="M516" i="1" s="1"/>
  <c r="L519" i="1"/>
  <c r="M519" i="1" s="1"/>
  <c r="L515" i="1"/>
  <c r="M515" i="1" s="1"/>
  <c r="L514" i="1"/>
  <c r="M514" i="1" s="1"/>
  <c r="L513" i="1"/>
  <c r="M513" i="1" s="1"/>
  <c r="L540" i="1"/>
  <c r="M540" i="1" s="1"/>
  <c r="L539" i="1"/>
  <c r="M539" i="1" s="1"/>
  <c r="L536" i="1"/>
  <c r="M536" i="1" s="1"/>
  <c r="L538" i="1"/>
  <c r="M538" i="1" s="1"/>
  <c r="L910" i="1"/>
  <c r="M910" i="1" s="1"/>
  <c r="L909" i="1"/>
  <c r="M909" i="1" s="1"/>
  <c r="L908" i="1"/>
  <c r="M908" i="1" s="1"/>
  <c r="L906" i="1"/>
  <c r="M906" i="1" s="1"/>
  <c r="L905" i="1"/>
  <c r="M905" i="1" s="1"/>
  <c r="L781" i="1"/>
  <c r="M781" i="1" s="1"/>
  <c r="L780" i="1"/>
  <c r="M780" i="1" s="1"/>
  <c r="L779" i="1"/>
  <c r="M779" i="1" s="1"/>
  <c r="L778" i="1"/>
  <c r="M778" i="1" s="1"/>
  <c r="L777" i="1"/>
  <c r="M777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454" i="1"/>
  <c r="M454" i="1" s="1"/>
  <c r="L453" i="1"/>
  <c r="M453" i="1" s="1"/>
  <c r="L452" i="1"/>
  <c r="M452" i="1" s="1"/>
  <c r="L451" i="1"/>
  <c r="M451" i="1" s="1"/>
  <c r="L450" i="1"/>
  <c r="M450" i="1" s="1"/>
  <c r="L437" i="1"/>
  <c r="M437" i="1" s="1"/>
  <c r="L439" i="1"/>
  <c r="M439" i="1" s="1"/>
  <c r="L438" i="1"/>
  <c r="M438" i="1" s="1"/>
  <c r="L752" i="1"/>
  <c r="M752" i="1" s="1"/>
  <c r="L751" i="1"/>
  <c r="M751" i="1" s="1"/>
  <c r="L750" i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94" i="1"/>
  <c r="L763" i="1"/>
  <c r="M763" i="1" s="1"/>
  <c r="L762" i="1"/>
  <c r="M762" i="1" s="1"/>
  <c r="L761" i="1"/>
  <c r="M761" i="1" s="1"/>
  <c r="L760" i="1"/>
  <c r="M760" i="1" s="1"/>
  <c r="L757" i="1"/>
  <c r="M757" i="1" s="1"/>
  <c r="L756" i="1"/>
  <c r="M756" i="1" s="1"/>
  <c r="L755" i="1"/>
  <c r="M755" i="1" s="1"/>
  <c r="L754" i="1"/>
  <c r="M754" i="1" s="1"/>
  <c r="L753" i="1"/>
  <c r="M753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679" i="1"/>
  <c r="M679" i="1" s="1"/>
  <c r="L472" i="1"/>
  <c r="M472" i="1" s="1"/>
  <c r="L447" i="1"/>
  <c r="M447" i="1" s="1"/>
  <c r="L446" i="1"/>
  <c r="M446" i="1" s="1"/>
  <c r="L441" i="1"/>
  <c r="M441" i="1" s="1"/>
  <c r="L440" i="1"/>
  <c r="M440" i="1" s="1"/>
  <c r="L693" i="1"/>
  <c r="M693" i="1" s="1"/>
  <c r="L692" i="1"/>
  <c r="M692" i="1" s="1"/>
  <c r="L655" i="1"/>
  <c r="M655" i="1" s="1"/>
  <c r="L654" i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L645" i="1"/>
  <c r="M645" i="1" s="1"/>
  <c r="L644" i="1"/>
  <c r="M644" i="1" s="1"/>
  <c r="L643" i="1"/>
  <c r="M643" i="1" s="1"/>
  <c r="L642" i="1"/>
  <c r="M642" i="1" s="1"/>
  <c r="L399" i="1"/>
  <c r="M399" i="1" s="1"/>
  <c r="L371" i="1"/>
  <c r="M371" i="1" s="1"/>
  <c r="L370" i="1"/>
  <c r="L512" i="1"/>
  <c r="M512" i="1" s="1"/>
  <c r="L511" i="1"/>
  <c r="M511" i="1" s="1"/>
  <c r="L510" i="1"/>
  <c r="M510" i="1" s="1"/>
  <c r="L509" i="1"/>
  <c r="M509" i="1" s="1"/>
  <c r="L555" i="1"/>
  <c r="M555" i="1" s="1"/>
  <c r="L506" i="1"/>
  <c r="M506" i="1" s="1"/>
  <c r="L556" i="1"/>
  <c r="M556" i="1" s="1"/>
  <c r="L508" i="1"/>
  <c r="M508" i="1" s="1"/>
  <c r="L507" i="1"/>
  <c r="M507" i="1" s="1"/>
  <c r="L390" i="1"/>
  <c r="M390" i="1" s="1"/>
  <c r="L389" i="1"/>
  <c r="M389" i="1" s="1"/>
  <c r="L398" i="1"/>
  <c r="M398" i="1" s="1"/>
  <c r="L393" i="1"/>
  <c r="M393" i="1" s="1"/>
  <c r="M10" i="16" l="1"/>
  <c r="V646" i="1"/>
  <c r="V654" i="1"/>
  <c r="M42" i="16"/>
  <c r="H92" i="16"/>
  <c r="H72" i="16" s="1"/>
  <c r="D42" i="16"/>
  <c r="V664" i="1"/>
  <c r="V767" i="1"/>
  <c r="V698" i="1"/>
  <c r="V672" i="1"/>
  <c r="V775" i="1"/>
  <c r="G47" i="6"/>
  <c r="G49" i="6"/>
  <c r="G51" i="6"/>
  <c r="H47" i="6"/>
  <c r="H49" i="6"/>
  <c r="H51" i="6"/>
  <c r="I47" i="6"/>
  <c r="I49" i="6"/>
  <c r="I51" i="6"/>
  <c r="F48" i="6"/>
  <c r="F50" i="6"/>
  <c r="C50" i="6"/>
  <c r="K47" i="6"/>
  <c r="K49" i="6"/>
  <c r="K51" i="6"/>
  <c r="D48" i="6"/>
  <c r="D50" i="6"/>
  <c r="C48" i="6"/>
  <c r="E48" i="6"/>
  <c r="E50" i="6"/>
  <c r="C49" i="6"/>
  <c r="J48" i="6"/>
  <c r="J50" i="6"/>
  <c r="G48" i="6"/>
  <c r="G50" i="6"/>
  <c r="C51" i="6"/>
  <c r="H48" i="6"/>
  <c r="H50" i="6"/>
  <c r="C47" i="6"/>
  <c r="I48" i="6"/>
  <c r="I50" i="6"/>
  <c r="F47" i="6"/>
  <c r="F49" i="6"/>
  <c r="F51" i="6"/>
  <c r="K48" i="6"/>
  <c r="K50" i="6"/>
  <c r="D47" i="6"/>
  <c r="D49" i="6"/>
  <c r="D51" i="6"/>
  <c r="E47" i="6"/>
  <c r="E49" i="6"/>
  <c r="E51" i="6"/>
  <c r="J47" i="6"/>
  <c r="J49" i="6"/>
  <c r="J51" i="6"/>
  <c r="G101" i="7"/>
  <c r="B101" i="7"/>
  <c r="H101" i="7"/>
  <c r="C101" i="7"/>
  <c r="P73" i="9"/>
  <c r="D62" i="9"/>
  <c r="J51" i="9"/>
  <c r="C7" i="9"/>
  <c r="F73" i="9"/>
  <c r="K51" i="9"/>
  <c r="J73" i="9"/>
  <c r="O62" i="9"/>
  <c r="I101" i="7"/>
  <c r="Q73" i="9"/>
  <c r="C62" i="9"/>
  <c r="I51" i="9"/>
  <c r="L73" i="9"/>
  <c r="I62" i="9"/>
  <c r="N51" i="9"/>
  <c r="L7" i="9"/>
  <c r="E62" i="9"/>
  <c r="O51" i="9"/>
  <c r="E73" i="9"/>
  <c r="L51" i="9"/>
  <c r="D101" i="7"/>
  <c r="M101" i="7" s="1"/>
  <c r="M73" i="9"/>
  <c r="G62" i="9"/>
  <c r="J7" i="9" s="1"/>
  <c r="M51" i="9"/>
  <c r="G73" i="9"/>
  <c r="G7" i="9" s="1"/>
  <c r="M62" i="9"/>
  <c r="C51" i="9"/>
  <c r="O73" i="9"/>
  <c r="J62" i="9"/>
  <c r="D51" i="9"/>
  <c r="F62" i="9"/>
  <c r="P51" i="9"/>
  <c r="F7" i="9"/>
  <c r="I73" i="9"/>
  <c r="L62" i="9"/>
  <c r="Q51" i="9"/>
  <c r="C73" i="9"/>
  <c r="Q62" i="9"/>
  <c r="G51" i="9"/>
  <c r="M7" i="9" s="1"/>
  <c r="K73" i="9"/>
  <c r="N62" i="9"/>
  <c r="N73" i="9"/>
  <c r="K62" i="9"/>
  <c r="E51" i="9"/>
  <c r="I7" i="9"/>
  <c r="D73" i="9"/>
  <c r="P62" i="9"/>
  <c r="F51" i="9"/>
  <c r="K40" i="12"/>
  <c r="K45" i="12"/>
  <c r="N39" i="12"/>
  <c r="N44" i="12"/>
  <c r="Q46" i="12"/>
  <c r="I41" i="12"/>
  <c r="L40" i="12"/>
  <c r="L42" i="12"/>
  <c r="P46" i="12"/>
  <c r="C10" i="12"/>
  <c r="Q43" i="12"/>
  <c r="M46" i="12"/>
  <c r="T41" i="12"/>
  <c r="B41" i="12" s="1"/>
  <c r="B6" i="12" s="1"/>
  <c r="J46" i="12"/>
  <c r="K44" i="12"/>
  <c r="Q41" i="12"/>
  <c r="M40" i="12"/>
  <c r="N46" i="12"/>
  <c r="I39" i="12"/>
  <c r="I42" i="12"/>
  <c r="F11" i="12"/>
  <c r="L39" i="12"/>
  <c r="I10" i="12"/>
  <c r="L10" i="12"/>
  <c r="O43" i="12"/>
  <c r="O42" i="12"/>
  <c r="T39" i="12"/>
  <c r="B39" i="12" s="1"/>
  <c r="B4" i="12" s="1"/>
  <c r="L44" i="12"/>
  <c r="J45" i="12"/>
  <c r="I45" i="12"/>
  <c r="L43" i="12"/>
  <c r="P42" i="12"/>
  <c r="M41" i="12"/>
  <c r="Q44" i="12"/>
  <c r="J42" i="12"/>
  <c r="O44" i="12"/>
  <c r="P45" i="12"/>
  <c r="I43" i="12"/>
  <c r="K43" i="12"/>
  <c r="O45" i="12"/>
  <c r="T37" i="12"/>
  <c r="B37" i="12" s="1"/>
  <c r="B2" i="12" s="1"/>
  <c r="J40" i="12"/>
  <c r="T42" i="12"/>
  <c r="B42" i="12" s="1"/>
  <c r="B7" i="12" s="1"/>
  <c r="P39" i="12"/>
  <c r="I44" i="12"/>
  <c r="I11" i="12"/>
  <c r="I9" i="12"/>
  <c r="C9" i="12"/>
  <c r="O41" i="12"/>
  <c r="K42" i="12"/>
  <c r="F10" i="12"/>
  <c r="N42" i="12"/>
  <c r="Q42" i="12"/>
  <c r="L45" i="12"/>
  <c r="T45" i="12"/>
  <c r="B45" i="12" s="1"/>
  <c r="B10" i="12" s="1"/>
  <c r="L46" i="12"/>
  <c r="Q40" i="12"/>
  <c r="J43" i="12"/>
  <c r="M39" i="12"/>
  <c r="M42" i="12"/>
  <c r="I40" i="12"/>
  <c r="T38" i="12"/>
  <c r="B38" i="12" s="1"/>
  <c r="B3" i="12" s="1"/>
  <c r="M45" i="12"/>
  <c r="K41" i="12"/>
  <c r="T44" i="12"/>
  <c r="B44" i="12" s="1"/>
  <c r="B9" i="12" s="1"/>
  <c r="M43" i="12"/>
  <c r="I46" i="12"/>
  <c r="K39" i="12"/>
  <c r="P44" i="12"/>
  <c r="F9" i="12"/>
  <c r="C11" i="12"/>
  <c r="K46" i="12"/>
  <c r="J44" i="12"/>
  <c r="N43" i="12"/>
  <c r="Q39" i="12"/>
  <c r="J41" i="12"/>
  <c r="T40" i="12"/>
  <c r="B40" i="12" s="1"/>
  <c r="B5" i="12" s="1"/>
  <c r="O39" i="12"/>
  <c r="P41" i="12"/>
  <c r="J39" i="12"/>
  <c r="N40" i="12"/>
  <c r="T46" i="12"/>
  <c r="B46" i="12" s="1"/>
  <c r="B11" i="12" s="1"/>
  <c r="O40" i="12"/>
  <c r="T43" i="12"/>
  <c r="B43" i="12" s="1"/>
  <c r="B8" i="12" s="1"/>
  <c r="N41" i="12"/>
  <c r="O46" i="12"/>
  <c r="Q45" i="12"/>
  <c r="M44" i="12"/>
  <c r="P40" i="12"/>
  <c r="P43" i="12"/>
  <c r="L41" i="12"/>
  <c r="N45" i="12"/>
  <c r="L9" i="12"/>
  <c r="L11" i="12"/>
  <c r="C196" i="7"/>
  <c r="I197" i="7"/>
  <c r="E199" i="7"/>
  <c r="K195" i="7"/>
  <c r="J197" i="7"/>
  <c r="J199" i="7"/>
  <c r="I196" i="7"/>
  <c r="E198" i="7"/>
  <c r="K199" i="7"/>
  <c r="J196" i="7"/>
  <c r="J198" i="7"/>
  <c r="J195" i="7"/>
  <c r="G196" i="7"/>
  <c r="C198" i="7"/>
  <c r="I199" i="7"/>
  <c r="D196" i="7"/>
  <c r="D198" i="7"/>
  <c r="D195" i="7"/>
  <c r="C197" i="7"/>
  <c r="I198" i="7"/>
  <c r="E195" i="7"/>
  <c r="D197" i="7"/>
  <c r="D199" i="7"/>
  <c r="K196" i="7"/>
  <c r="G198" i="7"/>
  <c r="C195" i="7"/>
  <c r="H196" i="7"/>
  <c r="H198" i="7"/>
  <c r="H195" i="7"/>
  <c r="G197" i="7"/>
  <c r="C199" i="7"/>
  <c r="I195" i="7"/>
  <c r="H197" i="7"/>
  <c r="H199" i="7"/>
  <c r="E197" i="7"/>
  <c r="K198" i="7"/>
  <c r="G195" i="7"/>
  <c r="F197" i="7"/>
  <c r="F199" i="7"/>
  <c r="E196" i="7"/>
  <c r="K197" i="7"/>
  <c r="G199" i="7"/>
  <c r="F196" i="7"/>
  <c r="F198" i="7"/>
  <c r="F195" i="7"/>
  <c r="J193" i="7"/>
  <c r="D193" i="7"/>
  <c r="E193" i="7"/>
  <c r="C193" i="7"/>
  <c r="H193" i="7"/>
  <c r="I193" i="7"/>
  <c r="G193" i="7"/>
  <c r="F193" i="7"/>
  <c r="K193" i="7"/>
  <c r="J229" i="7"/>
  <c r="C228" i="7"/>
  <c r="E225" i="7"/>
  <c r="F228" i="7"/>
  <c r="H225" i="7"/>
  <c r="I228" i="7"/>
  <c r="K225" i="7"/>
  <c r="G229" i="7"/>
  <c r="I227" i="7"/>
  <c r="F229" i="7"/>
  <c r="H227" i="7"/>
  <c r="I229" i="7"/>
  <c r="K227" i="7"/>
  <c r="D225" i="7"/>
  <c r="E228" i="7"/>
  <c r="G225" i="7"/>
  <c r="C229" i="7"/>
  <c r="E227" i="7"/>
  <c r="K228" i="7"/>
  <c r="D227" i="7"/>
  <c r="E229" i="7"/>
  <c r="G227" i="7"/>
  <c r="H229" i="7"/>
  <c r="J227" i="7"/>
  <c r="C225" i="7"/>
  <c r="H228" i="7"/>
  <c r="J225" i="7"/>
  <c r="G228" i="7"/>
  <c r="I225" i="7"/>
  <c r="J228" i="7"/>
  <c r="C227" i="7"/>
  <c r="D229" i="7"/>
  <c r="F227" i="7"/>
  <c r="K229" i="7"/>
  <c r="D228" i="7"/>
  <c r="F225" i="7"/>
  <c r="C223" i="7"/>
  <c r="H223" i="7"/>
  <c r="J223" i="7"/>
  <c r="G223" i="7"/>
  <c r="E223" i="7"/>
  <c r="K223" i="7"/>
  <c r="I223" i="7"/>
  <c r="D223" i="7"/>
  <c r="F223" i="7"/>
  <c r="M370" i="1"/>
  <c r="G99" i="7"/>
  <c r="C13" i="6"/>
  <c r="H99" i="7"/>
  <c r="I99" i="7"/>
  <c r="M646" i="1"/>
  <c r="M654" i="1"/>
  <c r="V794" i="1"/>
  <c r="M794" i="1"/>
  <c r="V750" i="1"/>
  <c r="M750" i="1"/>
  <c r="V743" i="1"/>
  <c r="M743" i="1"/>
  <c r="G106" i="7"/>
  <c r="B106" i="7"/>
  <c r="H106" i="7"/>
  <c r="C106" i="7"/>
  <c r="I106" i="7"/>
  <c r="D106" i="7"/>
  <c r="V946" i="1"/>
  <c r="V954" i="1"/>
  <c r="N66" i="12"/>
  <c r="M56" i="12"/>
  <c r="M37" i="12"/>
  <c r="L69" i="12"/>
  <c r="K59" i="12"/>
  <c r="P72" i="12"/>
  <c r="O62" i="12"/>
  <c r="I60" i="12"/>
  <c r="Q72" i="12"/>
  <c r="K69" i="12"/>
  <c r="J59" i="12"/>
  <c r="L68" i="12"/>
  <c r="I61" i="12"/>
  <c r="L38" i="12"/>
  <c r="Q71" i="12"/>
  <c r="P61" i="12"/>
  <c r="N67" i="12"/>
  <c r="M57" i="12"/>
  <c r="M38" i="12"/>
  <c r="I71" i="12"/>
  <c r="Q60" i="12"/>
  <c r="J70" i="12"/>
  <c r="P62" i="12"/>
  <c r="K58" i="12"/>
  <c r="J71" i="12"/>
  <c r="M67" i="12"/>
  <c r="L57" i="12"/>
  <c r="B109" i="7"/>
  <c r="G109" i="7"/>
  <c r="G107" i="7"/>
  <c r="C109" i="7"/>
  <c r="H107" i="7"/>
  <c r="H109" i="7"/>
  <c r="P71" i="12"/>
  <c r="I70" i="12"/>
  <c r="K68" i="12"/>
  <c r="M66" i="12"/>
  <c r="O61" i="12"/>
  <c r="Q59" i="12"/>
  <c r="J58" i="12"/>
  <c r="L56" i="12"/>
  <c r="L37" i="12"/>
  <c r="J72" i="12"/>
  <c r="L70" i="12"/>
  <c r="N68" i="12"/>
  <c r="P66" i="12"/>
  <c r="I62" i="12"/>
  <c r="K60" i="12"/>
  <c r="M58" i="12"/>
  <c r="O56" i="12"/>
  <c r="O37" i="12"/>
  <c r="N71" i="12"/>
  <c r="I68" i="12"/>
  <c r="M61" i="12"/>
  <c r="Q57" i="12"/>
  <c r="Q38" i="12"/>
  <c r="M71" i="12"/>
  <c r="Q67" i="12"/>
  <c r="L61" i="12"/>
  <c r="P57" i="12"/>
  <c r="P38" i="12"/>
  <c r="M68" i="12"/>
  <c r="L58" i="12"/>
  <c r="L71" i="12"/>
  <c r="N69" i="12"/>
  <c r="P67" i="12"/>
  <c r="I66" i="12"/>
  <c r="K61" i="12"/>
  <c r="M59" i="12"/>
  <c r="O57" i="12"/>
  <c r="I37" i="12"/>
  <c r="O38" i="12"/>
  <c r="I109" i="7"/>
  <c r="O71" i="12"/>
  <c r="Q69" i="12"/>
  <c r="J68" i="12"/>
  <c r="L66" i="12"/>
  <c r="N61" i="12"/>
  <c r="P59" i="12"/>
  <c r="I58" i="12"/>
  <c r="K56" i="12"/>
  <c r="K37" i="12"/>
  <c r="O70" i="12"/>
  <c r="J67" i="12"/>
  <c r="N60" i="12"/>
  <c r="I57" i="12"/>
  <c r="I38" i="12"/>
  <c r="N70" i="12"/>
  <c r="I67" i="12"/>
  <c r="M60" i="12"/>
  <c r="Q56" i="12"/>
  <c r="Q37" i="12"/>
  <c r="O66" i="12"/>
  <c r="N56" i="12"/>
  <c r="N37" i="12"/>
  <c r="O72" i="12"/>
  <c r="Q70" i="12"/>
  <c r="J69" i="12"/>
  <c r="L67" i="12"/>
  <c r="N62" i="12"/>
  <c r="P60" i="12"/>
  <c r="I59" i="12"/>
  <c r="K57" i="12"/>
  <c r="K38" i="12"/>
  <c r="K71" i="12"/>
  <c r="M69" i="12"/>
  <c r="O67" i="12"/>
  <c r="Q62" i="12"/>
  <c r="J61" i="12"/>
  <c r="L59" i="12"/>
  <c r="N57" i="12"/>
  <c r="N38" i="12"/>
  <c r="I107" i="7"/>
  <c r="P69" i="12"/>
  <c r="K66" i="12"/>
  <c r="O59" i="12"/>
  <c r="J56" i="12"/>
  <c r="J37" i="12"/>
  <c r="O69" i="12"/>
  <c r="J66" i="12"/>
  <c r="N59" i="12"/>
  <c r="I56" i="12"/>
  <c r="I72" i="12"/>
  <c r="Q61" i="12"/>
  <c r="K72" i="12"/>
  <c r="M70" i="12"/>
  <c r="O68" i="12"/>
  <c r="Q66" i="12"/>
  <c r="J62" i="12"/>
  <c r="L60" i="12"/>
  <c r="N58" i="12"/>
  <c r="P56" i="12"/>
  <c r="P37" i="12"/>
  <c r="N72" i="12"/>
  <c r="P70" i="12"/>
  <c r="I69" i="12"/>
  <c r="K67" i="12"/>
  <c r="M62" i="12"/>
  <c r="O60" i="12"/>
  <c r="Q58" i="12"/>
  <c r="J57" i="12"/>
  <c r="J38" i="12"/>
  <c r="D109" i="7"/>
  <c r="M72" i="12"/>
  <c r="Q68" i="12"/>
  <c r="L62" i="12"/>
  <c r="P58" i="12"/>
  <c r="L72" i="12"/>
  <c r="P68" i="12"/>
  <c r="K62" i="12"/>
  <c r="O58" i="12"/>
  <c r="K70" i="12"/>
  <c r="J60" i="12"/>
  <c r="O83" i="12"/>
  <c r="M82" i="12"/>
  <c r="K81" i="12"/>
  <c r="I80" i="12"/>
  <c r="F79" i="12"/>
  <c r="D78" i="12"/>
  <c r="Q76" i="12"/>
  <c r="O73" i="12"/>
  <c r="F69" i="12"/>
  <c r="D68" i="12"/>
  <c r="O63" i="12"/>
  <c r="F59" i="12"/>
  <c r="D58" i="12"/>
  <c r="E83" i="12"/>
  <c r="C82" i="12"/>
  <c r="P80" i="12"/>
  <c r="N79" i="12"/>
  <c r="L78" i="12"/>
  <c r="J77" i="12"/>
  <c r="G76" i="12"/>
  <c r="E73" i="12"/>
  <c r="C72" i="12"/>
  <c r="G66" i="12"/>
  <c r="G2" i="12" s="1"/>
  <c r="E63" i="12"/>
  <c r="C62" i="12"/>
  <c r="G56" i="12"/>
  <c r="J2" i="12" s="1"/>
  <c r="E44" i="12"/>
  <c r="C43" i="12"/>
  <c r="F83" i="12"/>
  <c r="O81" i="12"/>
  <c r="D80" i="12"/>
  <c r="M78" i="12"/>
  <c r="F77" i="12"/>
  <c r="K73" i="12"/>
  <c r="D72" i="12"/>
  <c r="D66" i="12"/>
  <c r="F42" i="12"/>
  <c r="P82" i="12"/>
  <c r="J81" i="12"/>
  <c r="C80" i="12"/>
  <c r="G78" i="12"/>
  <c r="P76" i="12"/>
  <c r="J73" i="12"/>
  <c r="G70" i="12"/>
  <c r="G6" i="12" s="1"/>
  <c r="E67" i="12"/>
  <c r="N63" i="12"/>
  <c r="G62" i="12"/>
  <c r="J8" i="12" s="1"/>
  <c r="J18" i="12" s="1"/>
  <c r="E59" i="12"/>
  <c r="C56" i="12"/>
  <c r="E42" i="12"/>
  <c r="D83" i="12"/>
  <c r="O80" i="12"/>
  <c r="K78" i="12"/>
  <c r="F76" i="12"/>
  <c r="D63" i="12"/>
  <c r="F56" i="12"/>
  <c r="P83" i="12"/>
  <c r="L81" i="12"/>
  <c r="G79" i="12"/>
  <c r="C77" i="12"/>
  <c r="E68" i="12"/>
  <c r="P63" i="12"/>
  <c r="G59" i="12"/>
  <c r="J5" i="12" s="1"/>
  <c r="C57" i="12"/>
  <c r="L79" i="12"/>
  <c r="C73" i="12"/>
  <c r="G57" i="12"/>
  <c r="J3" i="12" s="1"/>
  <c r="G38" i="12"/>
  <c r="M3" i="12" s="1"/>
  <c r="E37" i="12"/>
  <c r="M87" i="9"/>
  <c r="K86" i="9"/>
  <c r="I85" i="9"/>
  <c r="F83" i="9"/>
  <c r="D82" i="9"/>
  <c r="Q80" i="9"/>
  <c r="O79" i="9"/>
  <c r="M77" i="9"/>
  <c r="E76" i="9"/>
  <c r="C75" i="9"/>
  <c r="P72" i="9"/>
  <c r="Q82" i="12"/>
  <c r="F81" i="12"/>
  <c r="O79" i="12"/>
  <c r="I78" i="12"/>
  <c r="M76" i="12"/>
  <c r="F73" i="12"/>
  <c r="D70" i="12"/>
  <c r="F67" i="12"/>
  <c r="K63" i="12"/>
  <c r="D62" i="12"/>
  <c r="D56" i="12"/>
  <c r="L82" i="12"/>
  <c r="E81" i="12"/>
  <c r="J79" i="12"/>
  <c r="C78" i="12"/>
  <c r="L76" i="12"/>
  <c r="C70" i="12"/>
  <c r="G68" i="12"/>
  <c r="G4" i="12" s="1"/>
  <c r="G15" i="12" s="1"/>
  <c r="J63" i="12"/>
  <c r="G60" i="12"/>
  <c r="J6" i="12" s="1"/>
  <c r="E57" i="12"/>
  <c r="G43" i="12"/>
  <c r="M8" i="12" s="1"/>
  <c r="K82" i="12"/>
  <c r="F80" i="12"/>
  <c r="Q77" i="12"/>
  <c r="M73" i="12"/>
  <c r="D69" i="12"/>
  <c r="K83" i="12"/>
  <c r="D82" i="12"/>
  <c r="M80" i="12"/>
  <c r="Q78" i="12"/>
  <c r="K77" i="12"/>
  <c r="D76" i="12"/>
  <c r="F61" i="12"/>
  <c r="F44" i="12"/>
  <c r="D41" i="12"/>
  <c r="J83" i="12"/>
  <c r="N81" i="12"/>
  <c r="G80" i="12"/>
  <c r="P78" i="12"/>
  <c r="E77" i="12"/>
  <c r="N73" i="12"/>
  <c r="G72" i="12"/>
  <c r="G8" i="12" s="1"/>
  <c r="G18" i="12" s="1"/>
  <c r="E69" i="12"/>
  <c r="C66" i="12"/>
  <c r="E61" i="12"/>
  <c r="C58" i="12"/>
  <c r="C41" i="12"/>
  <c r="M83" i="12"/>
  <c r="I81" i="12"/>
  <c r="D79" i="12"/>
  <c r="O76" i="12"/>
  <c r="F70" i="12"/>
  <c r="K79" i="12"/>
  <c r="F71" i="12"/>
  <c r="F63" i="12"/>
  <c r="F57" i="12"/>
  <c r="E79" i="12"/>
  <c r="E71" i="12"/>
  <c r="M79" i="12"/>
  <c r="E82" i="12"/>
  <c r="N78" i="12"/>
  <c r="P73" i="12"/>
  <c r="C71" i="12"/>
  <c r="J78" i="12"/>
  <c r="C63" i="12"/>
  <c r="E56" i="12"/>
  <c r="C40" i="12"/>
  <c r="P88" i="9"/>
  <c r="D87" i="9"/>
  <c r="M85" i="9"/>
  <c r="Q82" i="9"/>
  <c r="K81" i="9"/>
  <c r="D80" i="9"/>
  <c r="I77" i="9"/>
  <c r="L75" i="9"/>
  <c r="E74" i="9"/>
  <c r="N71" i="9"/>
  <c r="L70" i="9"/>
  <c r="J69" i="9"/>
  <c r="G68" i="9"/>
  <c r="G2" i="9" s="1"/>
  <c r="O65" i="9"/>
  <c r="M64" i="9"/>
  <c r="K63" i="9"/>
  <c r="I61" i="9"/>
  <c r="F60" i="9"/>
  <c r="D59" i="9"/>
  <c r="Q57" i="9"/>
  <c r="M81" i="12"/>
  <c r="D77" i="12"/>
  <c r="Q63" i="12"/>
  <c r="D81" i="12"/>
  <c r="K76" i="12"/>
  <c r="I63" i="12"/>
  <c r="F43" i="12"/>
  <c r="O77" i="12"/>
  <c r="N83" i="12"/>
  <c r="N77" i="12"/>
  <c r="I77" i="12"/>
  <c r="D59" i="12"/>
  <c r="C81" i="12"/>
  <c r="E78" i="12"/>
  <c r="G73" i="12"/>
  <c r="G9" i="12" s="1"/>
  <c r="C67" i="12"/>
  <c r="E62" i="12"/>
  <c r="C42" i="12"/>
  <c r="C83" i="12"/>
  <c r="G77" i="12"/>
  <c r="C44" i="12"/>
  <c r="C38" i="12"/>
  <c r="L88" i="9"/>
  <c r="O86" i="9"/>
  <c r="D85" i="9"/>
  <c r="M82" i="9"/>
  <c r="F81" i="9"/>
  <c r="K79" i="9"/>
  <c r="N76" i="9"/>
  <c r="G75" i="9"/>
  <c r="L72" i="9"/>
  <c r="J71" i="9"/>
  <c r="G70" i="9"/>
  <c r="G4" i="9" s="1"/>
  <c r="E69" i="9"/>
  <c r="C68" i="9"/>
  <c r="K65" i="9"/>
  <c r="I64" i="9"/>
  <c r="F63" i="9"/>
  <c r="D61" i="9"/>
  <c r="Q59" i="9"/>
  <c r="O58" i="9"/>
  <c r="K80" i="12"/>
  <c r="Q73" i="12"/>
  <c r="F58" i="12"/>
  <c r="Q79" i="12"/>
  <c r="I73" i="12"/>
  <c r="F62" i="12"/>
  <c r="D42" i="12"/>
  <c r="F37" i="12"/>
  <c r="Q80" i="12"/>
  <c r="L80" i="12"/>
  <c r="G58" i="12"/>
  <c r="J4" i="12" s="1"/>
  <c r="J15" i="12" s="1"/>
  <c r="G41" i="12"/>
  <c r="Q81" i="12"/>
  <c r="M63" i="12"/>
  <c r="F60" i="12"/>
  <c r="F40" i="12"/>
  <c r="N82" i="12"/>
  <c r="P79" i="12"/>
  <c r="J76" i="12"/>
  <c r="G63" i="12"/>
  <c r="J9" i="12" s="1"/>
  <c r="E43" i="12"/>
  <c r="G40" i="12"/>
  <c r="M5" i="12" s="1"/>
  <c r="N80" i="12"/>
  <c r="E66" i="12"/>
  <c r="I87" i="9"/>
  <c r="Q85" i="9"/>
  <c r="K83" i="9"/>
  <c r="O81" i="9"/>
  <c r="I80" i="9"/>
  <c r="Q77" i="9"/>
  <c r="P75" i="9"/>
  <c r="J74" i="9"/>
  <c r="C72" i="9"/>
  <c r="P70" i="9"/>
  <c r="N69" i="9"/>
  <c r="L68" i="9"/>
  <c r="J66" i="9"/>
  <c r="Q64" i="9"/>
  <c r="O63" i="9"/>
  <c r="M61" i="9"/>
  <c r="K60" i="9"/>
  <c r="I59" i="9"/>
  <c r="F58" i="9"/>
  <c r="O82" i="12"/>
  <c r="F78" i="12"/>
  <c r="D67" i="12"/>
  <c r="D39" i="12"/>
  <c r="F82" i="12"/>
  <c r="M77" i="12"/>
  <c r="D71" i="12"/>
  <c r="D40" i="12"/>
  <c r="M88" i="9"/>
  <c r="P87" i="9"/>
  <c r="E86" i="9"/>
  <c r="M83" i="9"/>
  <c r="E82" i="9"/>
  <c r="L80" i="9"/>
  <c r="D79" i="9"/>
  <c r="F76" i="9"/>
  <c r="M74" i="9"/>
  <c r="E72" i="9"/>
  <c r="M70" i="9"/>
  <c r="D69" i="9"/>
  <c r="L66" i="9"/>
  <c r="N64" i="9"/>
  <c r="E63" i="9"/>
  <c r="M60" i="9"/>
  <c r="E59" i="9"/>
  <c r="M57" i="9"/>
  <c r="K55" i="9"/>
  <c r="C54" i="9"/>
  <c r="P52" i="9"/>
  <c r="N50" i="9"/>
  <c r="L49" i="9"/>
  <c r="J48" i="9"/>
  <c r="G47" i="9"/>
  <c r="M3" i="9" s="1"/>
  <c r="E46" i="9"/>
  <c r="I6" i="9"/>
  <c r="I18" i="9" s="1"/>
  <c r="I26" i="9" s="1"/>
  <c r="I2" i="9"/>
  <c r="I148" i="7"/>
  <c r="I135" i="7"/>
  <c r="D126" i="7"/>
  <c r="M126" i="7" s="1"/>
  <c r="D118" i="7"/>
  <c r="D107" i="7"/>
  <c r="D96" i="7"/>
  <c r="D86" i="7"/>
  <c r="M86" i="7" s="1"/>
  <c r="C79" i="12"/>
  <c r="C37" i="12"/>
  <c r="F87" i="9"/>
  <c r="N85" i="9"/>
  <c r="E83" i="9"/>
  <c r="M81" i="9"/>
  <c r="E80" i="9"/>
  <c r="L77" i="9"/>
  <c r="N75" i="9"/>
  <c r="F74" i="9"/>
  <c r="M71" i="9"/>
  <c r="E70" i="9"/>
  <c r="M68" i="9"/>
  <c r="N65" i="9"/>
  <c r="F64" i="9"/>
  <c r="N61" i="9"/>
  <c r="E60" i="9"/>
  <c r="M58" i="9"/>
  <c r="G57" i="9"/>
  <c r="O54" i="9"/>
  <c r="M53" i="9"/>
  <c r="K52" i="9"/>
  <c r="I50" i="9"/>
  <c r="F49" i="9"/>
  <c r="D48" i="9"/>
  <c r="Q46" i="9"/>
  <c r="F10" i="9"/>
  <c r="F21" i="9" s="1"/>
  <c r="F5" i="9"/>
  <c r="F17" i="9" s="1"/>
  <c r="F25" i="9" s="1"/>
  <c r="D159" i="7"/>
  <c r="M159" i="7" s="1"/>
  <c r="N76" i="12"/>
  <c r="C87" i="9"/>
  <c r="K85" i="9"/>
  <c r="C83" i="9"/>
  <c r="J81" i="9"/>
  <c r="Q79" i="9"/>
  <c r="J77" i="9"/>
  <c r="K75" i="9"/>
  <c r="C74" i="9"/>
  <c r="K71" i="9"/>
  <c r="Q69" i="9"/>
  <c r="J68" i="9"/>
  <c r="L65" i="9"/>
  <c r="C64" i="9"/>
  <c r="K61" i="9"/>
  <c r="C60" i="9"/>
  <c r="J58" i="9"/>
  <c r="E57" i="9"/>
  <c r="M54" i="9"/>
  <c r="K53" i="9"/>
  <c r="I52" i="9"/>
  <c r="F50" i="9"/>
  <c r="D49" i="9"/>
  <c r="Q47" i="9"/>
  <c r="O46" i="9"/>
  <c r="L9" i="9"/>
  <c r="L4" i="9"/>
  <c r="I154" i="7"/>
  <c r="I140" i="7"/>
  <c r="D131" i="7"/>
  <c r="I121" i="7"/>
  <c r="D112" i="7"/>
  <c r="D100" i="7"/>
  <c r="I91" i="7"/>
  <c r="D79" i="7"/>
  <c r="M79" i="7" s="1"/>
  <c r="L87" i="9"/>
  <c r="J80" i="9"/>
  <c r="Q71" i="9"/>
  <c r="K64" i="9"/>
  <c r="K57" i="9"/>
  <c r="L50" i="9"/>
  <c r="C46" i="9"/>
  <c r="I145" i="7"/>
  <c r="M145" i="7" s="1"/>
  <c r="I124" i="7"/>
  <c r="D104" i="7"/>
  <c r="D83" i="7"/>
  <c r="D70" i="7"/>
  <c r="I59" i="7"/>
  <c r="D50" i="7"/>
  <c r="D34" i="7"/>
  <c r="I18" i="7"/>
  <c r="D2" i="7"/>
  <c r="E87" i="9"/>
  <c r="C80" i="9"/>
  <c r="L71" i="9"/>
  <c r="E64" i="9"/>
  <c r="F57" i="9"/>
  <c r="G50" i="9"/>
  <c r="C10" i="9"/>
  <c r="C21" i="9" s="1"/>
  <c r="I142" i="7"/>
  <c r="D123" i="7"/>
  <c r="I102" i="7"/>
  <c r="I81" i="7"/>
  <c r="I70" i="7"/>
  <c r="D60" i="7"/>
  <c r="I50" i="7"/>
  <c r="D35" i="7"/>
  <c r="M35" i="7" s="1"/>
  <c r="I19" i="7"/>
  <c r="M19" i="7" s="1"/>
  <c r="D3" i="7"/>
  <c r="I76" i="12"/>
  <c r="C76" i="12"/>
  <c r="L77" i="12"/>
  <c r="C61" i="12"/>
  <c r="E76" i="12"/>
  <c r="E39" i="12"/>
  <c r="F86" i="9"/>
  <c r="F79" i="9"/>
  <c r="E71" i="9"/>
  <c r="F65" i="9"/>
  <c r="M59" i="9"/>
  <c r="F72" i="12"/>
  <c r="J87" i="9"/>
  <c r="E80" i="12"/>
  <c r="G42" i="12"/>
  <c r="M7" i="12" s="1"/>
  <c r="L86" i="9"/>
  <c r="G83" i="9"/>
  <c r="I81" i="9"/>
  <c r="J79" i="9"/>
  <c r="O75" i="9"/>
  <c r="Q72" i="9"/>
  <c r="C71" i="9"/>
  <c r="N68" i="9"/>
  <c r="J65" i="9"/>
  <c r="L63" i="9"/>
  <c r="G60" i="9"/>
  <c r="J5" i="9" s="1"/>
  <c r="J17" i="9" s="1"/>
  <c r="J25" i="9" s="1"/>
  <c r="I58" i="9"/>
  <c r="O55" i="9"/>
  <c r="N53" i="9"/>
  <c r="G52" i="9"/>
  <c r="M8" i="9" s="1"/>
  <c r="P49" i="9"/>
  <c r="E48" i="9"/>
  <c r="N46" i="9"/>
  <c r="I8" i="9"/>
  <c r="I158" i="7"/>
  <c r="I141" i="7"/>
  <c r="I129" i="7"/>
  <c r="D115" i="7"/>
  <c r="I100" i="7"/>
  <c r="D89" i="7"/>
  <c r="E38" i="12"/>
  <c r="O87" i="9"/>
  <c r="G85" i="9"/>
  <c r="J82" i="9"/>
  <c r="K80" i="9"/>
  <c r="P76" i="9"/>
  <c r="Q74" i="9"/>
  <c r="D72" i="9"/>
  <c r="O69" i="9"/>
  <c r="P66" i="9"/>
  <c r="L64" i="9"/>
  <c r="G61" i="9"/>
  <c r="J6" i="9" s="1"/>
  <c r="J18" i="9" s="1"/>
  <c r="J26" i="9" s="1"/>
  <c r="J59" i="9"/>
  <c r="L57" i="9"/>
  <c r="K54" i="9"/>
  <c r="D53" i="9"/>
  <c r="M50" i="9"/>
  <c r="Q48" i="9"/>
  <c r="K47" i="9"/>
  <c r="D46" i="9"/>
  <c r="F4" i="9"/>
  <c r="I153" i="7"/>
  <c r="M153" i="7" s="1"/>
  <c r="G81" i="12"/>
  <c r="G86" i="9"/>
  <c r="I83" i="9"/>
  <c r="D81" i="9"/>
  <c r="E79" i="9"/>
  <c r="Q75" i="9"/>
  <c r="M72" i="9"/>
  <c r="N70" i="9"/>
  <c r="O68" i="9"/>
  <c r="E65" i="9"/>
  <c r="G63" i="9"/>
  <c r="I60" i="9"/>
  <c r="D58" i="9"/>
  <c r="L55" i="9"/>
  <c r="O53" i="9"/>
  <c r="D52" i="9"/>
  <c r="M49" i="9"/>
  <c r="F48" i="9"/>
  <c r="K46" i="9"/>
  <c r="L6" i="9"/>
  <c r="D158" i="7"/>
  <c r="M158" i="7" s="1"/>
  <c r="I137" i="7"/>
  <c r="I125" i="7"/>
  <c r="D114" i="7"/>
  <c r="M114" i="7" s="1"/>
  <c r="I97" i="7"/>
  <c r="D85" i="7"/>
  <c r="E60" i="12"/>
  <c r="J83" i="9"/>
  <c r="K74" i="9"/>
  <c r="C63" i="9"/>
  <c r="P53" i="9"/>
  <c r="E47" i="9"/>
  <c r="D139" i="7"/>
  <c r="D116" i="7"/>
  <c r="D90" i="7"/>
  <c r="D67" i="7"/>
  <c r="I54" i="7"/>
  <c r="D38" i="7"/>
  <c r="I14" i="7"/>
  <c r="P77" i="12"/>
  <c r="L85" i="9"/>
  <c r="M75" i="9"/>
  <c r="M65" i="9"/>
  <c r="N54" i="9"/>
  <c r="C48" i="9"/>
  <c r="I150" i="7"/>
  <c r="D119" i="7"/>
  <c r="D93" i="7"/>
  <c r="I73" i="7"/>
  <c r="C68" i="12"/>
  <c r="E72" i="12"/>
  <c r="E58" i="12"/>
  <c r="G67" i="12"/>
  <c r="G3" i="12" s="1"/>
  <c r="O83" i="9"/>
  <c r="J76" i="9"/>
  <c r="C70" i="9"/>
  <c r="D64" i="9"/>
  <c r="K58" i="9"/>
  <c r="F68" i="12"/>
  <c r="F39" i="12"/>
  <c r="Q88" i="9"/>
  <c r="L73" i="12"/>
  <c r="O88" i="9"/>
  <c r="O85" i="9"/>
  <c r="P82" i="9"/>
  <c r="C81" i="9"/>
  <c r="N77" i="9"/>
  <c r="J75" i="9"/>
  <c r="K72" i="9"/>
  <c r="F70" i="9"/>
  <c r="I68" i="9"/>
  <c r="D65" i="9"/>
  <c r="O61" i="9"/>
  <c r="P59" i="9"/>
  <c r="C58" i="9"/>
  <c r="P54" i="9"/>
  <c r="J53" i="9"/>
  <c r="C52" i="9"/>
  <c r="G49" i="9"/>
  <c r="M5" i="9" s="1"/>
  <c r="M17" i="9" s="1"/>
  <c r="M25" i="9" s="1"/>
  <c r="P47" i="9"/>
  <c r="J46" i="9"/>
  <c r="I5" i="9"/>
  <c r="I17" i="9" s="1"/>
  <c r="I25" i="9" s="1"/>
  <c r="I155" i="7"/>
  <c r="D138" i="7"/>
  <c r="M138" i="7" s="1"/>
  <c r="D124" i="7"/>
  <c r="I112" i="7"/>
  <c r="D98" i="7"/>
  <c r="I82" i="7"/>
  <c r="G61" i="12"/>
  <c r="J7" i="12" s="1"/>
  <c r="P86" i="9"/>
  <c r="Q83" i="9"/>
  <c r="C82" i="9"/>
  <c r="N79" i="9"/>
  <c r="K76" i="9"/>
  <c r="L74" i="9"/>
  <c r="G71" i="9"/>
  <c r="G5" i="9" s="1"/>
  <c r="G17" i="9" s="1"/>
  <c r="G25" i="9" s="1"/>
  <c r="I69" i="9"/>
  <c r="K66" i="9"/>
  <c r="P63" i="9"/>
  <c r="Q60" i="9"/>
  <c r="C59" i="9"/>
  <c r="C57" i="9"/>
  <c r="F54" i="9"/>
  <c r="O52" i="9"/>
  <c r="D50" i="9"/>
  <c r="M48" i="9"/>
  <c r="F47" i="9"/>
  <c r="F9" i="9"/>
  <c r="F3" i="9"/>
  <c r="E70" i="12"/>
  <c r="J88" i="9"/>
  <c r="P85" i="9"/>
  <c r="L82" i="9"/>
  <c r="N80" i="9"/>
  <c r="O77" i="9"/>
  <c r="E75" i="9"/>
  <c r="F72" i="9"/>
  <c r="I70" i="9"/>
  <c r="D68" i="9"/>
  <c r="O64" i="9"/>
  <c r="P61" i="9"/>
  <c r="L59" i="9"/>
  <c r="N57" i="9"/>
  <c r="Q54" i="9"/>
  <c r="F53" i="9"/>
  <c r="O50" i="9"/>
  <c r="I49" i="9"/>
  <c r="M47" i="9"/>
  <c r="F46" i="9"/>
  <c r="L5" i="9"/>
  <c r="L17" i="9" s="1"/>
  <c r="L25" i="9" s="1"/>
  <c r="I151" i="7"/>
  <c r="D135" i="7"/>
  <c r="I123" i="7"/>
  <c r="D110" i="7"/>
  <c r="I95" i="7"/>
  <c r="D82" i="7"/>
  <c r="M82" i="7" s="1"/>
  <c r="Q81" i="9"/>
  <c r="J70" i="9"/>
  <c r="J60" i="9"/>
  <c r="N52" i="9"/>
  <c r="C6" i="9"/>
  <c r="D134" i="7"/>
  <c r="D111" i="7"/>
  <c r="D77" i="7"/>
  <c r="D65" i="7"/>
  <c r="D52" i="7"/>
  <c r="M52" i="7" s="1"/>
  <c r="D30" i="7"/>
  <c r="D10" i="7"/>
  <c r="M10" i="7" s="1"/>
  <c r="D83" i="9"/>
  <c r="D74" i="9"/>
  <c r="L61" i="9"/>
  <c r="L53" i="9"/>
  <c r="P46" i="9"/>
  <c r="D137" i="7"/>
  <c r="I113" i="7"/>
  <c r="D88" i="7"/>
  <c r="I82" i="12"/>
  <c r="D43" i="12"/>
  <c r="G82" i="12"/>
  <c r="D8" i="12" s="1"/>
  <c r="D18" i="12" s="1"/>
  <c r="F66" i="12"/>
  <c r="F41" i="12"/>
  <c r="J80" i="12"/>
  <c r="P81" i="12"/>
  <c r="Q87" i="9"/>
  <c r="M80" i="9"/>
  <c r="G72" i="9"/>
  <c r="G6" i="9" s="1"/>
  <c r="G18" i="9" s="1"/>
  <c r="G26" i="9" s="1"/>
  <c r="N66" i="9"/>
  <c r="O60" i="9"/>
  <c r="I79" i="12"/>
  <c r="D57" i="12"/>
  <c r="D37" i="12"/>
  <c r="O78" i="12"/>
  <c r="N87" i="9"/>
  <c r="Q86" i="9"/>
  <c r="C85" i="9"/>
  <c r="N81" i="9"/>
  <c r="P79" i="9"/>
  <c r="L76" i="9"/>
  <c r="G74" i="9"/>
  <c r="G8" i="9" s="1"/>
  <c r="I71" i="9"/>
  <c r="K69" i="9"/>
  <c r="P65" i="9"/>
  <c r="Q63" i="9"/>
  <c r="C61" i="9"/>
  <c r="N58" i="9"/>
  <c r="D57" i="9"/>
  <c r="G54" i="9"/>
  <c r="M10" i="9" s="1"/>
  <c r="M21" i="9" s="1"/>
  <c r="L52" i="9"/>
  <c r="E50" i="9"/>
  <c r="N48" i="9"/>
  <c r="C47" i="9"/>
  <c r="I9" i="9"/>
  <c r="I3" i="9"/>
  <c r="I144" i="7"/>
  <c r="I131" i="7"/>
  <c r="D120" i="7"/>
  <c r="I103" i="7"/>
  <c r="D92" i="7"/>
  <c r="G39" i="12"/>
  <c r="M4" i="12" s="1"/>
  <c r="N88" i="9"/>
  <c r="D86" i="9"/>
  <c r="O82" i="9"/>
  <c r="P80" i="9"/>
  <c r="C79" i="9"/>
  <c r="I75" i="9"/>
  <c r="J72" i="9"/>
  <c r="K70" i="9"/>
  <c r="F68" i="9"/>
  <c r="C65" i="9"/>
  <c r="D63" i="9"/>
  <c r="O59" i="9"/>
  <c r="P57" i="9"/>
  <c r="J55" i="9"/>
  <c r="I53" i="9"/>
  <c r="Q50" i="9"/>
  <c r="K49" i="9"/>
  <c r="O47" i="9"/>
  <c r="I46" i="9"/>
  <c r="F6" i="9"/>
  <c r="F18" i="9" s="1"/>
  <c r="F26" i="9" s="1"/>
  <c r="D156" i="7"/>
  <c r="M156" i="7" s="1"/>
  <c r="C59" i="12"/>
  <c r="M86" i="9"/>
  <c r="N83" i="9"/>
  <c r="P81" i="9"/>
  <c r="L79" i="9"/>
  <c r="G76" i="9"/>
  <c r="G10" i="9" s="1"/>
  <c r="G21" i="9" s="1"/>
  <c r="I74" i="9"/>
  <c r="D71" i="9"/>
  <c r="F69" i="9"/>
  <c r="Q65" i="9"/>
  <c r="M63" i="9"/>
  <c r="N60" i="9"/>
  <c r="P58" i="9"/>
  <c r="P55" i="9"/>
  <c r="D54" i="9"/>
  <c r="M52" i="9"/>
  <c r="Q49" i="9"/>
  <c r="K48" i="9"/>
  <c r="D47" i="9"/>
  <c r="L8" i="9"/>
  <c r="L2" i="9"/>
  <c r="I143" i="7"/>
  <c r="D129" i="7"/>
  <c r="I117" i="7"/>
  <c r="D103" i="7"/>
  <c r="M103" i="7" s="1"/>
  <c r="I88" i="7"/>
  <c r="J82" i="12"/>
  <c r="C86" i="9"/>
  <c r="C76" i="9"/>
  <c r="I66" i="9"/>
  <c r="I55" i="9"/>
  <c r="G48" i="9"/>
  <c r="M4" i="9" s="1"/>
  <c r="D154" i="7"/>
  <c r="I120" i="7"/>
  <c r="I94" i="7"/>
  <c r="D73" i="7"/>
  <c r="D57" i="7"/>
  <c r="D42" i="7"/>
  <c r="I22" i="7"/>
  <c r="K77" i="9"/>
  <c r="K68" i="9"/>
  <c r="L58" i="9"/>
  <c r="E49" i="9"/>
  <c r="D157" i="7"/>
  <c r="M157" i="7" s="1"/>
  <c r="D128" i="7"/>
  <c r="M128" i="7" s="1"/>
  <c r="D97" i="7"/>
  <c r="I75" i="7"/>
  <c r="D63" i="7"/>
  <c r="M63" i="7" s="1"/>
  <c r="D47" i="7"/>
  <c r="M47" i="7" s="1"/>
  <c r="I27" i="7"/>
  <c r="D7" i="7"/>
  <c r="M7" i="7" s="1"/>
  <c r="I86" i="9"/>
  <c r="G79" i="9"/>
  <c r="O70" i="9"/>
  <c r="I63" i="9"/>
  <c r="M55" i="9"/>
  <c r="N49" i="9"/>
  <c r="C8" i="9"/>
  <c r="I134" i="7"/>
  <c r="D117" i="7"/>
  <c r="M117" i="7" s="1"/>
  <c r="D95" i="7"/>
  <c r="I76" i="7"/>
  <c r="M76" i="7" s="1"/>
  <c r="I66" i="7"/>
  <c r="D56" i="7"/>
  <c r="M56" i="7" s="1"/>
  <c r="D45" i="7"/>
  <c r="M45" i="7" s="1"/>
  <c r="I29" i="7"/>
  <c r="I13" i="7"/>
  <c r="M69" i="9"/>
  <c r="C4" i="9"/>
  <c r="D81" i="7"/>
  <c r="D44" i="7"/>
  <c r="E68" i="9"/>
  <c r="I149" i="7"/>
  <c r="M149" i="7" s="1"/>
  <c r="D68" i="7"/>
  <c r="I16" i="7"/>
  <c r="N86" i="9"/>
  <c r="Q55" i="9"/>
  <c r="I118" i="7"/>
  <c r="I53" i="7"/>
  <c r="E81" i="9"/>
  <c r="D4" i="7"/>
  <c r="M4" i="7" s="1"/>
  <c r="D71" i="7"/>
  <c r="I82" i="9"/>
  <c r="D61" i="12"/>
  <c r="C69" i="12"/>
  <c r="J85" i="9"/>
  <c r="D75" i="9"/>
  <c r="G64" i="9"/>
  <c r="J9" i="9" s="1"/>
  <c r="L54" i="9"/>
  <c r="L47" i="9"/>
  <c r="I133" i="7"/>
  <c r="D80" i="7"/>
  <c r="M80" i="7" s="1"/>
  <c r="I79" i="9"/>
  <c r="C69" i="9"/>
  <c r="G58" i="9"/>
  <c r="J3" i="9" s="1"/>
  <c r="O49" i="9"/>
  <c r="F2" i="9"/>
  <c r="G80" i="9"/>
  <c r="L69" i="9"/>
  <c r="F59" i="9"/>
  <c r="K50" i="9"/>
  <c r="L3" i="9"/>
  <c r="I105" i="7"/>
  <c r="J49" i="9"/>
  <c r="D75" i="7"/>
  <c r="D6" i="7"/>
  <c r="M6" i="7" s="1"/>
  <c r="D70" i="9"/>
  <c r="I132" i="7"/>
  <c r="I65" i="7"/>
  <c r="D43" i="7"/>
  <c r="M43" i="7" s="1"/>
  <c r="I15" i="7"/>
  <c r="C39" i="12"/>
  <c r="G82" i="9"/>
  <c r="I72" i="9"/>
  <c r="P60" i="9"/>
  <c r="C53" i="9"/>
  <c r="G46" i="9"/>
  <c r="M2" i="9" s="1"/>
  <c r="I130" i="7"/>
  <c r="D105" i="7"/>
  <c r="D78" i="7"/>
  <c r="M78" i="7" s="1"/>
  <c r="I64" i="7"/>
  <c r="I51" i="7"/>
  <c r="D33" i="7"/>
  <c r="D9" i="7"/>
  <c r="M9" i="7" s="1"/>
  <c r="F85" i="9"/>
  <c r="P48" i="9"/>
  <c r="D76" i="7"/>
  <c r="I12" i="7"/>
  <c r="M12" i="7" s="1"/>
  <c r="F75" i="9"/>
  <c r="D127" i="7"/>
  <c r="D48" i="7"/>
  <c r="C50" i="9"/>
  <c r="D74" i="7"/>
  <c r="D8" i="7"/>
  <c r="E58" i="9"/>
  <c r="I160" i="7"/>
  <c r="M160" i="7" s="1"/>
  <c r="I92" i="7"/>
  <c r="C60" i="12"/>
  <c r="G83" i="12"/>
  <c r="D9" i="12" s="1"/>
  <c r="N74" i="9"/>
  <c r="Q83" i="12"/>
  <c r="D38" i="12"/>
  <c r="G37" i="12"/>
  <c r="M2" i="12" s="1"/>
  <c r="K82" i="9"/>
  <c r="O71" i="9"/>
  <c r="J61" i="9"/>
  <c r="E53" i="9"/>
  <c r="I10" i="9"/>
  <c r="I21" i="9" s="1"/>
  <c r="D122" i="7"/>
  <c r="L83" i="12"/>
  <c r="J86" i="9"/>
  <c r="D76" i="9"/>
  <c r="I65" i="9"/>
  <c r="N55" i="9"/>
  <c r="I48" i="9"/>
  <c r="K87" i="9"/>
  <c r="M76" i="9"/>
  <c r="M66" i="9"/>
  <c r="J57" i="9"/>
  <c r="O48" i="9"/>
  <c r="I147" i="7"/>
  <c r="M147" i="7" s="1"/>
  <c r="I93" i="7"/>
  <c r="P77" i="9"/>
  <c r="C2" i="9"/>
  <c r="D62" i="7"/>
  <c r="M62" i="7" s="1"/>
  <c r="D60" i="9"/>
  <c r="I108" i="7"/>
  <c r="I57" i="7"/>
  <c r="D39" i="7"/>
  <c r="M39" i="7" s="1"/>
  <c r="D11" i="7"/>
  <c r="O80" i="9"/>
  <c r="G69" i="9"/>
  <c r="G3" i="9" s="1"/>
  <c r="G59" i="9"/>
  <c r="J4" i="9" s="1"/>
  <c r="P50" i="9"/>
  <c r="C3" i="9"/>
  <c r="D125" i="7"/>
  <c r="D99" i="7"/>
  <c r="I74" i="7"/>
  <c r="D61" i="7"/>
  <c r="M61" i="7" s="1"/>
  <c r="D49" i="7"/>
  <c r="M49" i="7" s="1"/>
  <c r="I25" i="7"/>
  <c r="M25" i="7" s="1"/>
  <c r="D5" i="7"/>
  <c r="O76" i="9"/>
  <c r="D142" i="7"/>
  <c r="D66" i="7"/>
  <c r="G71" i="12"/>
  <c r="G7" i="12" s="1"/>
  <c r="N59" i="9"/>
  <c r="D108" i="7"/>
  <c r="D32" i="7"/>
  <c r="M32" i="7" s="1"/>
  <c r="M79" i="9"/>
  <c r="C9" i="9"/>
  <c r="D64" i="7"/>
  <c r="G65" i="9"/>
  <c r="J10" i="9" s="1"/>
  <c r="J21" i="9" s="1"/>
  <c r="D132" i="7"/>
  <c r="I60" i="7"/>
  <c r="I20" i="7"/>
  <c r="M20" i="7" s="1"/>
  <c r="D73" i="12"/>
  <c r="G69" i="12"/>
  <c r="G5" i="12" s="1"/>
  <c r="P68" i="9"/>
  <c r="I88" i="9"/>
  <c r="F80" i="9"/>
  <c r="P69" i="9"/>
  <c r="K59" i="9"/>
  <c r="J50" i="9"/>
  <c r="I4" i="9"/>
  <c r="I110" i="7"/>
  <c r="E41" i="12"/>
  <c r="L83" i="9"/>
  <c r="O72" i="9"/>
  <c r="J63" i="9"/>
  <c r="Q53" i="9"/>
  <c r="M46" i="9"/>
  <c r="L63" i="12"/>
  <c r="E85" i="9"/>
  <c r="O74" i="9"/>
  <c r="J64" i="9"/>
  <c r="I54" i="9"/>
  <c r="I47" i="9"/>
  <c r="D133" i="7"/>
  <c r="M133" i="7" s="1"/>
  <c r="Q68" i="9"/>
  <c r="D130" i="7"/>
  <c r="D46" i="7"/>
  <c r="M46" i="7" s="1"/>
  <c r="J52" i="9"/>
  <c r="I77" i="7"/>
  <c r="D55" i="7"/>
  <c r="D31" i="7"/>
  <c r="M31" i="7" s="1"/>
  <c r="K88" i="9"/>
  <c r="I76" i="9"/>
  <c r="O66" i="9"/>
  <c r="O57" i="9"/>
  <c r="L48" i="9"/>
  <c r="I146" i="7"/>
  <c r="M146" i="7" s="1"/>
  <c r="D121" i="7"/>
  <c r="D91" i="7"/>
  <c r="D72" i="7"/>
  <c r="M72" i="7" s="1"/>
  <c r="D59" i="7"/>
  <c r="D41" i="7"/>
  <c r="M41" i="7" s="1"/>
  <c r="I21" i="7"/>
  <c r="M21" i="7" s="1"/>
  <c r="F61" i="9"/>
  <c r="I122" i="7"/>
  <c r="I55" i="7"/>
  <c r="G53" i="9"/>
  <c r="M9" i="9" s="1"/>
  <c r="D87" i="7"/>
  <c r="M87" i="7" s="1"/>
  <c r="E40" i="12"/>
  <c r="F71" i="9"/>
  <c r="I136" i="7"/>
  <c r="D40" i="7"/>
  <c r="M40" i="7" s="1"/>
  <c r="D113" i="7"/>
  <c r="D51" i="7"/>
  <c r="N72" i="9"/>
  <c r="D60" i="12"/>
  <c r="D44" i="12"/>
  <c r="G44" i="12"/>
  <c r="M9" i="12" s="1"/>
  <c r="Q61" i="9"/>
  <c r="F38" i="12"/>
  <c r="I83" i="12"/>
  <c r="G87" i="9"/>
  <c r="D10" i="9" s="1"/>
  <c r="D21" i="9" s="1"/>
  <c r="Q76" i="9"/>
  <c r="Q66" i="9"/>
  <c r="I57" i="9"/>
  <c r="C49" i="9"/>
  <c r="I152" i="7"/>
  <c r="D94" i="7"/>
  <c r="G81" i="9"/>
  <c r="Q70" i="9"/>
  <c r="L60" i="9"/>
  <c r="F52" i="9"/>
  <c r="F8" i="9"/>
  <c r="F82" i="9"/>
  <c r="P71" i="9"/>
  <c r="E61" i="9"/>
  <c r="Q52" i="9"/>
  <c r="L10" i="9"/>
  <c r="L21" i="9" s="1"/>
  <c r="I119" i="7"/>
  <c r="M119" i="7" s="1"/>
  <c r="Q58" i="9"/>
  <c r="I98" i="7"/>
  <c r="I26" i="7"/>
  <c r="M26" i="7" s="1"/>
  <c r="L81" i="9"/>
  <c r="C5" i="9"/>
  <c r="I67" i="7"/>
  <c r="D53" i="7"/>
  <c r="I23" i="7"/>
  <c r="M23" i="7" s="1"/>
  <c r="P83" i="9"/>
  <c r="P74" i="9"/>
  <c r="P64" i="9"/>
  <c r="E54" i="9"/>
  <c r="J47" i="9"/>
  <c r="I139" i="7"/>
  <c r="I111" i="7"/>
  <c r="D84" i="7"/>
  <c r="M84" i="7" s="1"/>
  <c r="D69" i="7"/>
  <c r="M69" i="7" s="1"/>
  <c r="D54" i="7"/>
  <c r="D37" i="7"/>
  <c r="M37" i="7" s="1"/>
  <c r="I17" i="7"/>
  <c r="M17" i="7" s="1"/>
  <c r="J54" i="9"/>
  <c r="D102" i="7"/>
  <c r="I28" i="7"/>
  <c r="M28" i="7" s="1"/>
  <c r="N82" i="9"/>
  <c r="N47" i="9"/>
  <c r="D58" i="7"/>
  <c r="M58" i="7" s="1"/>
  <c r="N63" i="9"/>
  <c r="I96" i="7"/>
  <c r="I24" i="7"/>
  <c r="M24" i="7" s="1"/>
  <c r="D36" i="7"/>
  <c r="M36" i="7" s="1"/>
  <c r="E52" i="9"/>
  <c r="L46" i="9"/>
  <c r="C20" i="6"/>
  <c r="F21" i="6"/>
  <c r="O370" i="1"/>
  <c r="G249" i="7"/>
  <c r="J230" i="7"/>
  <c r="C226" i="7"/>
  <c r="E222" i="7"/>
  <c r="G220" i="7"/>
  <c r="I218" i="7"/>
  <c r="K216" i="7"/>
  <c r="E247" i="7"/>
  <c r="H224" i="7"/>
  <c r="F221" i="7"/>
  <c r="D219" i="7"/>
  <c r="G216" i="7"/>
  <c r="I214" i="7"/>
  <c r="K212" i="7"/>
  <c r="D211" i="7"/>
  <c r="F209" i="7"/>
  <c r="H207" i="7"/>
  <c r="J205" i="7"/>
  <c r="C204" i="7"/>
  <c r="E200" i="7"/>
  <c r="I192" i="7"/>
  <c r="K189" i="7"/>
  <c r="D187" i="7"/>
  <c r="F185" i="7"/>
  <c r="H182" i="7"/>
  <c r="J180" i="7"/>
  <c r="C179" i="7"/>
  <c r="E173" i="7"/>
  <c r="G171" i="7"/>
  <c r="C158" i="7"/>
  <c r="H143" i="7"/>
  <c r="L143" i="7" s="1"/>
  <c r="C133" i="7"/>
  <c r="H123" i="7"/>
  <c r="C114" i="7"/>
  <c r="L114" i="7" s="1"/>
  <c r="C103" i="7"/>
  <c r="H93" i="7"/>
  <c r="C82" i="7"/>
  <c r="G248" i="7"/>
  <c r="E230" i="7"/>
  <c r="G224" i="7"/>
  <c r="I221" i="7"/>
  <c r="K219" i="7"/>
  <c r="D218" i="7"/>
  <c r="F216" i="7"/>
  <c r="H214" i="7"/>
  <c r="J212" i="7"/>
  <c r="C211" i="7"/>
  <c r="E209" i="7"/>
  <c r="G207" i="7"/>
  <c r="I205" i="7"/>
  <c r="K201" i="7"/>
  <c r="D200" i="7"/>
  <c r="F250" i="7"/>
  <c r="F230" i="7"/>
  <c r="D224" i="7"/>
  <c r="K220" i="7"/>
  <c r="E218" i="7"/>
  <c r="C216" i="7"/>
  <c r="E214" i="7"/>
  <c r="G212" i="7"/>
  <c r="I210" i="7"/>
  <c r="K208" i="7"/>
  <c r="D207" i="7"/>
  <c r="F205" i="7"/>
  <c r="H201" i="7"/>
  <c r="E192" i="7"/>
  <c r="G189" i="7"/>
  <c r="J238" i="7" s="1"/>
  <c r="H262" i="7" s="1"/>
  <c r="I186" i="7"/>
  <c r="K183" i="7"/>
  <c r="D182" i="7"/>
  <c r="F180" i="7"/>
  <c r="H178" i="7"/>
  <c r="J172" i="7"/>
  <c r="C171" i="7"/>
  <c r="H154" i="7"/>
  <c r="H140" i="7"/>
  <c r="L140" i="7" s="1"/>
  <c r="C131" i="7"/>
  <c r="H121" i="7"/>
  <c r="C112" i="7"/>
  <c r="C100" i="7"/>
  <c r="H91" i="7"/>
  <c r="C79" i="7"/>
  <c r="L79" i="7" s="1"/>
  <c r="C248" i="7"/>
  <c r="J226" i="7"/>
  <c r="C224" i="7"/>
  <c r="E221" i="7"/>
  <c r="G219" i="7"/>
  <c r="I217" i="7"/>
  <c r="K215" i="7"/>
  <c r="D214" i="7"/>
  <c r="F212" i="7"/>
  <c r="H210" i="7"/>
  <c r="J208" i="7"/>
  <c r="C207" i="7"/>
  <c r="E205" i="7"/>
  <c r="D248" i="7"/>
  <c r="G226" i="7"/>
  <c r="J221" i="7"/>
  <c r="H219" i="7"/>
  <c r="F217" i="7"/>
  <c r="D215" i="7"/>
  <c r="F213" i="7"/>
  <c r="H211" i="7"/>
  <c r="J209" i="7"/>
  <c r="C208" i="7"/>
  <c r="E206" i="7"/>
  <c r="G204" i="7"/>
  <c r="I200" i="7"/>
  <c r="D194" i="7"/>
  <c r="F191" i="7"/>
  <c r="H187" i="7"/>
  <c r="J185" i="7"/>
  <c r="C183" i="7"/>
  <c r="E181" i="7"/>
  <c r="G179" i="7"/>
  <c r="I173" i="7"/>
  <c r="K171" i="7"/>
  <c r="D170" i="7"/>
  <c r="H147" i="7"/>
  <c r="L147" i="7" s="1"/>
  <c r="C135" i="7"/>
  <c r="H125" i="7"/>
  <c r="H117" i="7"/>
  <c r="H105" i="7"/>
  <c r="H95" i="7"/>
  <c r="C85" i="7"/>
  <c r="L85" i="7" s="1"/>
  <c r="F249" i="7"/>
  <c r="I230" i="7"/>
  <c r="K224" i="7"/>
  <c r="D222" i="7"/>
  <c r="F220" i="7"/>
  <c r="H218" i="7"/>
  <c r="J216" i="7"/>
  <c r="C215" i="7"/>
  <c r="E213" i="7"/>
  <c r="G211" i="7"/>
  <c r="I209" i="7"/>
  <c r="K207" i="7"/>
  <c r="D206" i="7"/>
  <c r="F204" i="7"/>
  <c r="H200" i="7"/>
  <c r="C194" i="7"/>
  <c r="E191" i="7"/>
  <c r="G187" i="7"/>
  <c r="J237" i="7" s="1"/>
  <c r="H261" i="7" s="1"/>
  <c r="I185" i="7"/>
  <c r="K182" i="7"/>
  <c r="D181" i="7"/>
  <c r="F179" i="7"/>
  <c r="H173" i="7"/>
  <c r="J171" i="7"/>
  <c r="C170" i="7"/>
  <c r="C250" i="7"/>
  <c r="K230" i="7"/>
  <c r="D226" i="7"/>
  <c r="F222" i="7"/>
  <c r="H220" i="7"/>
  <c r="J218" i="7"/>
  <c r="C217" i="7"/>
  <c r="E215" i="7"/>
  <c r="G213" i="7"/>
  <c r="I211" i="7"/>
  <c r="K209" i="7"/>
  <c r="D208" i="7"/>
  <c r="F206" i="7"/>
  <c r="H204" i="7"/>
  <c r="J200" i="7"/>
  <c r="E194" i="7"/>
  <c r="G191" i="7"/>
  <c r="I187" i="7"/>
  <c r="K185" i="7"/>
  <c r="D183" i="7"/>
  <c r="F181" i="7"/>
  <c r="H179" i="7"/>
  <c r="J173" i="7"/>
  <c r="C172" i="7"/>
  <c r="E170" i="7"/>
  <c r="H150" i="7"/>
  <c r="L150" i="7" s="1"/>
  <c r="C137" i="7"/>
  <c r="C128" i="7"/>
  <c r="L128" i="7" s="1"/>
  <c r="C119" i="7"/>
  <c r="H108" i="7"/>
  <c r="C97" i="7"/>
  <c r="C88" i="7"/>
  <c r="G247" i="7"/>
  <c r="F219" i="7"/>
  <c r="E212" i="7"/>
  <c r="D205" i="7"/>
  <c r="C192" i="7"/>
  <c r="K181" i="7"/>
  <c r="J170" i="7"/>
  <c r="H131" i="7"/>
  <c r="H112" i="7"/>
  <c r="C92" i="7"/>
  <c r="H74" i="7"/>
  <c r="H64" i="7"/>
  <c r="C54" i="7"/>
  <c r="C41" i="7"/>
  <c r="L41" i="7" s="1"/>
  <c r="H25" i="7"/>
  <c r="L25" i="7" s="1"/>
  <c r="C9" i="7"/>
  <c r="L9" i="7" s="1"/>
  <c r="C30" i="6"/>
  <c r="E28" i="6"/>
  <c r="G222" i="7"/>
  <c r="F215" i="7"/>
  <c r="E208" i="7"/>
  <c r="C186" i="7"/>
  <c r="E236" i="7" s="1"/>
  <c r="K173" i="7"/>
  <c r="H145" i="7"/>
  <c r="L145" i="7" s="1"/>
  <c r="H124" i="7"/>
  <c r="C104" i="7"/>
  <c r="L104" i="7" s="1"/>
  <c r="C83" i="7"/>
  <c r="L83" i="7" s="1"/>
  <c r="C70" i="7"/>
  <c r="H59" i="7"/>
  <c r="C50" i="7"/>
  <c r="C34" i="7"/>
  <c r="L34" i="7" s="1"/>
  <c r="H18" i="7"/>
  <c r="L18" i="7" s="1"/>
  <c r="C2" i="7"/>
  <c r="L2" i="7" s="1"/>
  <c r="G29" i="6"/>
  <c r="F248" i="7"/>
  <c r="J219" i="7"/>
  <c r="I212" i="7"/>
  <c r="H205" i="7"/>
  <c r="G192" i="7"/>
  <c r="F182" i="7"/>
  <c r="E171" i="7"/>
  <c r="H136" i="7"/>
  <c r="L136" i="7" s="1"/>
  <c r="H118" i="7"/>
  <c r="H96" i="7"/>
  <c r="C249" i="7"/>
  <c r="J217" i="7"/>
  <c r="E210" i="7"/>
  <c r="D201" i="7"/>
  <c r="C189" i="7"/>
  <c r="E238" i="7" s="1"/>
  <c r="K179" i="7"/>
  <c r="H151" i="7"/>
  <c r="L151" i="7" s="1"/>
  <c r="C110" i="7"/>
  <c r="D247" i="7"/>
  <c r="C219" i="7"/>
  <c r="K211" i="7"/>
  <c r="J204" i="7"/>
  <c r="H192" i="7"/>
  <c r="F189" i="7"/>
  <c r="D186" i="7"/>
  <c r="G182" i="7"/>
  <c r="E180" i="7"/>
  <c r="C178" i="7"/>
  <c r="F171" i="7"/>
  <c r="H155" i="7"/>
  <c r="L155" i="7" s="1"/>
  <c r="F247" i="7"/>
  <c r="I224" i="7"/>
  <c r="G221" i="7"/>
  <c r="E219" i="7"/>
  <c r="H216" i="7"/>
  <c r="F214" i="7"/>
  <c r="D212" i="7"/>
  <c r="G209" i="7"/>
  <c r="E207" i="7"/>
  <c r="C205" i="7"/>
  <c r="F200" i="7"/>
  <c r="K191" i="7"/>
  <c r="E187" i="7"/>
  <c r="C185" i="7"/>
  <c r="J181" i="7"/>
  <c r="D179" i="7"/>
  <c r="K172" i="7"/>
  <c r="I170" i="7"/>
  <c r="H146" i="7"/>
  <c r="L146" i="7" s="1"/>
  <c r="H132" i="7"/>
  <c r="C121" i="7"/>
  <c r="C105" i="7"/>
  <c r="C93" i="7"/>
  <c r="C78" i="7"/>
  <c r="L78" i="7" s="1"/>
  <c r="H217" i="7"/>
  <c r="I208" i="7"/>
  <c r="J194" i="7"/>
  <c r="D180" i="7"/>
  <c r="H141" i="7"/>
  <c r="L141" i="7" s="1"/>
  <c r="C118" i="7"/>
  <c r="C86" i="7"/>
  <c r="L86" i="7" s="1"/>
  <c r="C69" i="7"/>
  <c r="L69" i="7" s="1"/>
  <c r="C56" i="7"/>
  <c r="L56" i="7" s="1"/>
  <c r="C37" i="7"/>
  <c r="L37" i="7" s="1"/>
  <c r="H17" i="7"/>
  <c r="L17" i="7" s="1"/>
  <c r="G30" i="6"/>
  <c r="D250" i="7"/>
  <c r="K218" i="7"/>
  <c r="C210" i="7"/>
  <c r="F194" i="7"/>
  <c r="G181" i="7"/>
  <c r="H153" i="7"/>
  <c r="L153" i="7" s="1"/>
  <c r="H120" i="7"/>
  <c r="H94" i="7"/>
  <c r="C73" i="7"/>
  <c r="C57" i="7"/>
  <c r="C42" i="7"/>
  <c r="L42" i="7" s="1"/>
  <c r="H22" i="7"/>
  <c r="L22" i="7" s="1"/>
  <c r="J30" i="6"/>
  <c r="H28" i="6"/>
  <c r="H221" i="7"/>
  <c r="K210" i="7"/>
  <c r="C200" i="7"/>
  <c r="D185" i="7"/>
  <c r="K226" i="7"/>
  <c r="H215" i="7"/>
  <c r="G208" i="7"/>
  <c r="E186" i="7"/>
  <c r="D178" i="7"/>
  <c r="H137" i="7"/>
  <c r="H97" i="7"/>
  <c r="F226" i="7"/>
  <c r="E217" i="7"/>
  <c r="D210" i="7"/>
  <c r="G201" i="7"/>
  <c r="D192" i="7"/>
  <c r="K187" i="7"/>
  <c r="E185" i="7"/>
  <c r="C182" i="7"/>
  <c r="J179" i="7"/>
  <c r="D173" i="7"/>
  <c r="K170" i="7"/>
  <c r="G250" i="7"/>
  <c r="G230" i="7"/>
  <c r="E224" i="7"/>
  <c r="C221" i="7"/>
  <c r="F218" i="7"/>
  <c r="D216" i="7"/>
  <c r="K213" i="7"/>
  <c r="E211" i="7"/>
  <c r="C209" i="7"/>
  <c r="J206" i="7"/>
  <c r="D204" i="7"/>
  <c r="I194" i="7"/>
  <c r="C191" i="7"/>
  <c r="J186" i="7"/>
  <c r="H183" i="7"/>
  <c r="K180" i="7"/>
  <c r="I178" i="7"/>
  <c r="G172" i="7"/>
  <c r="H160" i="7"/>
  <c r="L160" i="7" s="1"/>
  <c r="H142" i="7"/>
  <c r="H130" i="7"/>
  <c r="C117" i="7"/>
  <c r="H102" i="7"/>
  <c r="C91" i="7"/>
  <c r="I226" i="7"/>
  <c r="J215" i="7"/>
  <c r="K206" i="7"/>
  <c r="E189" i="7"/>
  <c r="F178" i="7"/>
  <c r="H135" i="7"/>
  <c r="C107" i="7"/>
  <c r="C80" i="7"/>
  <c r="L80" i="7" s="1"/>
  <c r="H66" i="7"/>
  <c r="H51" i="7"/>
  <c r="C33" i="7"/>
  <c r="L33" i="7" s="1"/>
  <c r="H13" i="7"/>
  <c r="L13" i="7" s="1"/>
  <c r="H29" i="6"/>
  <c r="C247" i="7"/>
  <c r="D217" i="7"/>
  <c r="G206" i="7"/>
  <c r="H191" i="7"/>
  <c r="I179" i="7"/>
  <c r="C139" i="7"/>
  <c r="C116" i="7"/>
  <c r="L116" i="7" s="1"/>
  <c r="C90" i="7"/>
  <c r="L90" i="7" s="1"/>
  <c r="C67" i="7"/>
  <c r="H54" i="7"/>
  <c r="C38" i="7"/>
  <c r="L38" i="7" s="1"/>
  <c r="H14" i="7"/>
  <c r="L14" i="7" s="1"/>
  <c r="F30" i="6"/>
  <c r="C220" i="7"/>
  <c r="C212" i="7"/>
  <c r="K204" i="7"/>
  <c r="J191" i="7"/>
  <c r="I181" i="7"/>
  <c r="H170" i="7"/>
  <c r="H119" i="7"/>
  <c r="E250" i="7"/>
  <c r="J220" i="7"/>
  <c r="I213" i="7"/>
  <c r="H206" i="7"/>
  <c r="G194" i="7"/>
  <c r="J189" i="7"/>
  <c r="H186" i="7"/>
  <c r="F183" i="7"/>
  <c r="I180" i="7"/>
  <c r="G178" i="7"/>
  <c r="E172" i="7"/>
  <c r="H158" i="7"/>
  <c r="E248" i="7"/>
  <c r="H226" i="7"/>
  <c r="K221" i="7"/>
  <c r="I219" i="7"/>
  <c r="G217" i="7"/>
  <c r="J214" i="7"/>
  <c r="H212" i="7"/>
  <c r="F210" i="7"/>
  <c r="I207" i="7"/>
  <c r="G205" i="7"/>
  <c r="E201" i="7"/>
  <c r="F192" i="7"/>
  <c r="D189" i="7"/>
  <c r="G185" i="7"/>
  <c r="E182" i="7"/>
  <c r="C180" i="7"/>
  <c r="F173" i="7"/>
  <c r="D171" i="7"/>
  <c r="C154" i="7"/>
  <c r="H134" i="7"/>
  <c r="C123" i="7"/>
  <c r="H111" i="7"/>
  <c r="C95" i="7"/>
  <c r="H81" i="7"/>
  <c r="D221" i="7"/>
  <c r="G210" i="7"/>
  <c r="I183" i="7"/>
  <c r="H148" i="7"/>
  <c r="L148" i="7" s="1"/>
  <c r="C122" i="7"/>
  <c r="C96" i="7"/>
  <c r="C72" i="7"/>
  <c r="L72" i="7" s="1"/>
  <c r="C59" i="7"/>
  <c r="C45" i="7"/>
  <c r="L45" i="7" s="1"/>
  <c r="H21" i="7"/>
  <c r="L21" i="7" s="1"/>
  <c r="K30" i="6"/>
  <c r="I28" i="6"/>
  <c r="I220" i="7"/>
  <c r="J211" i="7"/>
  <c r="K200" i="7"/>
  <c r="E183" i="7"/>
  <c r="F170" i="7"/>
  <c r="C130" i="7"/>
  <c r="H98" i="7"/>
  <c r="C75" i="7"/>
  <c r="C62" i="7"/>
  <c r="L62" i="7" s="1"/>
  <c r="C46" i="7"/>
  <c r="L46" i="7" s="1"/>
  <c r="H26" i="7"/>
  <c r="L26" i="7" s="1"/>
  <c r="C6" i="7"/>
  <c r="L6" i="7" s="1"/>
  <c r="C29" i="6"/>
  <c r="F224" i="7"/>
  <c r="G214" i="7"/>
  <c r="J201" i="7"/>
  <c r="K186" i="7"/>
  <c r="C173" i="7"/>
  <c r="C132" i="7"/>
  <c r="L132" i="7" s="1"/>
  <c r="C108" i="7"/>
  <c r="C81" i="7"/>
  <c r="C68" i="7"/>
  <c r="L68" i="7" s="1"/>
  <c r="C58" i="7"/>
  <c r="L58" i="7" s="1"/>
  <c r="C48" i="7"/>
  <c r="L48" i="7" s="1"/>
  <c r="C32" i="7"/>
  <c r="L32" i="7" s="1"/>
  <c r="H16" i="7"/>
  <c r="L16" i="7" s="1"/>
  <c r="H30" i="6"/>
  <c r="J28" i="6"/>
  <c r="J207" i="7"/>
  <c r="H152" i="7"/>
  <c r="L152" i="7" s="1"/>
  <c r="H73" i="7"/>
  <c r="H23" i="7"/>
  <c r="L23" i="7" s="1"/>
  <c r="E249" i="7"/>
  <c r="K192" i="7"/>
  <c r="C115" i="7"/>
  <c r="L115" i="7" s="1"/>
  <c r="C55" i="7"/>
  <c r="E30" i="6"/>
  <c r="H209" i="7"/>
  <c r="C156" i="7"/>
  <c r="L156" i="7" s="1"/>
  <c r="H82" i="7"/>
  <c r="C35" i="7"/>
  <c r="L35" i="7" s="1"/>
  <c r="H230" i="7"/>
  <c r="H15" i="7"/>
  <c r="L15" i="7" s="1"/>
  <c r="H77" i="7"/>
  <c r="C47" i="7"/>
  <c r="L47" i="7" s="1"/>
  <c r="J29" i="6"/>
  <c r="I206" i="7"/>
  <c r="C129" i="7"/>
  <c r="F208" i="7"/>
  <c r="C187" i="7"/>
  <c r="E237" i="7" s="1"/>
  <c r="I172" i="7"/>
  <c r="J222" i="7"/>
  <c r="C213" i="7"/>
  <c r="I201" i="7"/>
  <c r="F186" i="7"/>
  <c r="H171" i="7"/>
  <c r="H113" i="7"/>
  <c r="C214" i="7"/>
  <c r="C126" i="7"/>
  <c r="L126" i="7" s="1"/>
  <c r="C49" i="7"/>
  <c r="L49" i="7" s="1"/>
  <c r="E226" i="7"/>
  <c r="D172" i="7"/>
  <c r="C65" i="7"/>
  <c r="K29" i="6"/>
  <c r="E216" i="7"/>
  <c r="I189" i="7"/>
  <c r="H149" i="7"/>
  <c r="L149" i="7" s="1"/>
  <c r="C113" i="7"/>
  <c r="C76" i="7"/>
  <c r="C64" i="7"/>
  <c r="C51" i="7"/>
  <c r="H28" i="7"/>
  <c r="L28" i="7" s="1"/>
  <c r="C8" i="7"/>
  <c r="L8" i="7" s="1"/>
  <c r="E29" i="6"/>
  <c r="H110" i="7"/>
  <c r="L110" i="7" s="1"/>
  <c r="C39" i="7"/>
  <c r="L39" i="7" s="1"/>
  <c r="E220" i="7"/>
  <c r="I171" i="7"/>
  <c r="H65" i="7"/>
  <c r="G28" i="6"/>
  <c r="F187" i="7"/>
  <c r="H103" i="7"/>
  <c r="H19" i="7"/>
  <c r="L19" i="7" s="1"/>
  <c r="C138" i="7"/>
  <c r="L138" i="7" s="1"/>
  <c r="C181" i="7"/>
  <c r="E204" i="7"/>
  <c r="H194" i="7"/>
  <c r="H88" i="7"/>
  <c r="C201" i="7"/>
  <c r="J183" i="7"/>
  <c r="G170" i="7"/>
  <c r="D220" i="7"/>
  <c r="J210" i="7"/>
  <c r="I182" i="7"/>
  <c r="C157" i="7"/>
  <c r="L157" i="7" s="1"/>
  <c r="C99" i="7"/>
  <c r="L99" i="7" s="1"/>
  <c r="F201" i="7"/>
  <c r="H100" i="7"/>
  <c r="H29" i="7"/>
  <c r="L29" i="7" s="1"/>
  <c r="H213" i="7"/>
  <c r="C134" i="7"/>
  <c r="C52" i="7"/>
  <c r="L52" i="7" s="1"/>
  <c r="D28" i="6"/>
  <c r="D209" i="7"/>
  <c r="H180" i="7"/>
  <c r="C142" i="7"/>
  <c r="C102" i="7"/>
  <c r="C74" i="7"/>
  <c r="H60" i="7"/>
  <c r="C44" i="7"/>
  <c r="L44" i="7" s="1"/>
  <c r="H24" i="7"/>
  <c r="L24" i="7" s="1"/>
  <c r="C4" i="7"/>
  <c r="L4" i="7" s="1"/>
  <c r="F28" i="6"/>
  <c r="H185" i="7"/>
  <c r="C89" i="7"/>
  <c r="L89" i="7" s="1"/>
  <c r="C7" i="7"/>
  <c r="L7" i="7" s="1"/>
  <c r="D213" i="7"/>
  <c r="H133" i="7"/>
  <c r="C43" i="7"/>
  <c r="L43" i="7" s="1"/>
  <c r="J224" i="7"/>
  <c r="E179" i="7"/>
  <c r="H70" i="7"/>
  <c r="C3" i="7"/>
  <c r="L3" i="7" s="1"/>
  <c r="H67" i="7"/>
  <c r="C31" i="7"/>
  <c r="L31" i="7" s="1"/>
  <c r="C120" i="7"/>
  <c r="J213" i="7"/>
  <c r="F172" i="7"/>
  <c r="G215" i="7"/>
  <c r="I191" i="7"/>
  <c r="K178" i="7"/>
  <c r="C230" i="7"/>
  <c r="I215" i="7"/>
  <c r="K205" i="7"/>
  <c r="H189" i="7"/>
  <c r="E178" i="7"/>
  <c r="C125" i="7"/>
  <c r="K222" i="7"/>
  <c r="H172" i="7"/>
  <c r="C61" i="7"/>
  <c r="L61" i="7" s="1"/>
  <c r="D29" i="6"/>
  <c r="J187" i="7"/>
  <c r="C77" i="7"/>
  <c r="C10" i="7"/>
  <c r="L10" i="7" s="1"/>
  <c r="C218" i="7"/>
  <c r="C159" i="7"/>
  <c r="L159" i="7" s="1"/>
  <c r="H122" i="7"/>
  <c r="C87" i="7"/>
  <c r="L87" i="7" s="1"/>
  <c r="C66" i="7"/>
  <c r="H53" i="7"/>
  <c r="C36" i="7"/>
  <c r="L36" i="7" s="1"/>
  <c r="H12" i="7"/>
  <c r="L12" i="7" s="1"/>
  <c r="I29" i="6"/>
  <c r="K214" i="7"/>
  <c r="H129" i="7"/>
  <c r="C53" i="7"/>
  <c r="K28" i="6"/>
  <c r="J182" i="7"/>
  <c r="H75" i="7"/>
  <c r="C11" i="7"/>
  <c r="L11" i="7" s="1"/>
  <c r="G200" i="7"/>
  <c r="C124" i="7"/>
  <c r="H50" i="7"/>
  <c r="D191" i="7"/>
  <c r="G218" i="7"/>
  <c r="C98" i="7"/>
  <c r="G183" i="7"/>
  <c r="D249" i="7"/>
  <c r="G180" i="7"/>
  <c r="H76" i="7"/>
  <c r="C30" i="7"/>
  <c r="L30" i="7" s="1"/>
  <c r="C127" i="7"/>
  <c r="L127" i="7" s="1"/>
  <c r="C40" i="7"/>
  <c r="L40" i="7" s="1"/>
  <c r="G173" i="7"/>
  <c r="C94" i="7"/>
  <c r="L94" i="7" s="1"/>
  <c r="C60" i="7"/>
  <c r="H57" i="7"/>
  <c r="L57" i="7" s="1"/>
  <c r="H222" i="7"/>
  <c r="K217" i="7"/>
  <c r="H139" i="7"/>
  <c r="C5" i="7"/>
  <c r="L5" i="7" s="1"/>
  <c r="D230" i="7"/>
  <c r="H92" i="7"/>
  <c r="H20" i="7"/>
  <c r="L20" i="7" s="1"/>
  <c r="C63" i="7"/>
  <c r="L63" i="7" s="1"/>
  <c r="H27" i="7"/>
  <c r="L27" i="7" s="1"/>
  <c r="F29" i="6"/>
  <c r="I222" i="7"/>
  <c r="H181" i="7"/>
  <c r="J192" i="7"/>
  <c r="G186" i="7"/>
  <c r="J236" i="7" s="1"/>
  <c r="H260" i="7" s="1"/>
  <c r="C111" i="7"/>
  <c r="J178" i="7"/>
  <c r="H55" i="7"/>
  <c r="C222" i="7"/>
  <c r="C206" i="7"/>
  <c r="H144" i="7"/>
  <c r="L144" i="7" s="1"/>
  <c r="F211" i="7"/>
  <c r="I204" i="7"/>
  <c r="I30" i="6"/>
  <c r="K194" i="7"/>
  <c r="F207" i="7"/>
  <c r="I216" i="7"/>
  <c r="C84" i="7"/>
  <c r="L84" i="7" s="1"/>
  <c r="D30" i="6"/>
  <c r="H208" i="7"/>
  <c r="C28" i="6"/>
  <c r="C71" i="7"/>
  <c r="L71" i="7" s="1"/>
  <c r="G160" i="7"/>
  <c r="K160" i="7" s="1"/>
  <c r="G146" i="7"/>
  <c r="K146" i="7" s="1"/>
  <c r="G134" i="7"/>
  <c r="B125" i="7"/>
  <c r="B117" i="7"/>
  <c r="B105" i="7"/>
  <c r="B95" i="7"/>
  <c r="B84" i="7"/>
  <c r="K84" i="7" s="1"/>
  <c r="B159" i="7"/>
  <c r="K159" i="7" s="1"/>
  <c r="G145" i="7"/>
  <c r="K145" i="7" s="1"/>
  <c r="B134" i="7"/>
  <c r="K134" i="7" s="1"/>
  <c r="G124" i="7"/>
  <c r="B116" i="7"/>
  <c r="K116" i="7" s="1"/>
  <c r="B104" i="7"/>
  <c r="K104" i="7" s="1"/>
  <c r="G94" i="7"/>
  <c r="B83" i="7"/>
  <c r="K83" i="7" s="1"/>
  <c r="G143" i="7"/>
  <c r="K143" i="7" s="1"/>
  <c r="G123" i="7"/>
  <c r="B103" i="7"/>
  <c r="B82" i="7"/>
  <c r="B71" i="7"/>
  <c r="K71" i="7" s="1"/>
  <c r="G60" i="7"/>
  <c r="B51" i="7"/>
  <c r="B36" i="7"/>
  <c r="K36" i="7" s="1"/>
  <c r="G20" i="7"/>
  <c r="K20" i="7" s="1"/>
  <c r="B4" i="7"/>
  <c r="K4" i="7" s="1"/>
  <c r="G41" i="6"/>
  <c r="I39" i="6"/>
  <c r="J27" i="6"/>
  <c r="C26" i="6"/>
  <c r="C5" i="6"/>
  <c r="G135" i="7"/>
  <c r="B118" i="7"/>
  <c r="B96" i="7"/>
  <c r="G76" i="7"/>
  <c r="G66" i="7"/>
  <c r="B56" i="7"/>
  <c r="K56" i="7" s="1"/>
  <c r="B45" i="7"/>
  <c r="K45" i="7" s="1"/>
  <c r="G29" i="7"/>
  <c r="K29" i="7" s="1"/>
  <c r="G13" i="7"/>
  <c r="K13" i="7" s="1"/>
  <c r="E42" i="6"/>
  <c r="G40" i="6"/>
  <c r="I38" i="6"/>
  <c r="J26" i="6"/>
  <c r="H14" i="6"/>
  <c r="H6" i="6"/>
  <c r="B157" i="7"/>
  <c r="K157" i="7" s="1"/>
  <c r="G142" i="7"/>
  <c r="G132" i="7"/>
  <c r="B123" i="7"/>
  <c r="K123" i="7" s="1"/>
  <c r="G113" i="7"/>
  <c r="G102" i="7"/>
  <c r="B93" i="7"/>
  <c r="G81" i="7"/>
  <c r="B156" i="7"/>
  <c r="K156" i="7" s="1"/>
  <c r="B142" i="7"/>
  <c r="K142" i="7" s="1"/>
  <c r="B132" i="7"/>
  <c r="K132" i="7" s="1"/>
  <c r="G122" i="7"/>
  <c r="B113" i="7"/>
  <c r="B102" i="7"/>
  <c r="K102" i="7" s="1"/>
  <c r="G92" i="7"/>
  <c r="B81" i="7"/>
  <c r="K81" i="7" s="1"/>
  <c r="G137" i="7"/>
  <c r="G119" i="7"/>
  <c r="G97" i="7"/>
  <c r="B78" i="7"/>
  <c r="K78" i="7" s="1"/>
  <c r="B68" i="7"/>
  <c r="K68" i="7" s="1"/>
  <c r="B58" i="7"/>
  <c r="K58" i="7" s="1"/>
  <c r="B48" i="7"/>
  <c r="K48" i="7" s="1"/>
  <c r="B32" i="7"/>
  <c r="K32" i="7" s="1"/>
  <c r="G16" i="7"/>
  <c r="K16" i="7" s="1"/>
  <c r="J42" i="6"/>
  <c r="C41" i="6"/>
  <c r="E39" i="6"/>
  <c r="F27" i="6"/>
  <c r="C16" i="6"/>
  <c r="C8" i="6"/>
  <c r="C4" i="6"/>
  <c r="G131" i="7"/>
  <c r="G112" i="7"/>
  <c r="B92" i="7"/>
  <c r="K92" i="7" s="1"/>
  <c r="G74" i="7"/>
  <c r="G64" i="7"/>
  <c r="B54" i="7"/>
  <c r="B41" i="7"/>
  <c r="K41" i="7" s="1"/>
  <c r="G25" i="7"/>
  <c r="K25" i="7" s="1"/>
  <c r="B9" i="7"/>
  <c r="K9" i="7" s="1"/>
  <c r="J41" i="6"/>
  <c r="C40" i="6"/>
  <c r="E38" i="6"/>
  <c r="F26" i="6"/>
  <c r="H13" i="6"/>
  <c r="H5" i="6"/>
  <c r="G144" i="7"/>
  <c r="K144" i="7" s="1"/>
  <c r="G150" i="7"/>
  <c r="K150" i="7" s="1"/>
  <c r="B137" i="7"/>
  <c r="B128" i="7"/>
  <c r="K128" i="7" s="1"/>
  <c r="B119" i="7"/>
  <c r="G108" i="7"/>
  <c r="B97" i="7"/>
  <c r="B88" i="7"/>
  <c r="G154" i="7"/>
  <c r="G149" i="7"/>
  <c r="K149" i="7" s="1"/>
  <c r="G136" i="7"/>
  <c r="K136" i="7" s="1"/>
  <c r="B127" i="7"/>
  <c r="K127" i="7" s="1"/>
  <c r="G118" i="7"/>
  <c r="B108" i="7"/>
  <c r="K108" i="7" s="1"/>
  <c r="G96" i="7"/>
  <c r="B87" i="7"/>
  <c r="K87" i="7" s="1"/>
  <c r="G151" i="7"/>
  <c r="K151" i="7" s="1"/>
  <c r="B129" i="7"/>
  <c r="B110" i="7"/>
  <c r="G88" i="7"/>
  <c r="B74" i="7"/>
  <c r="K74" i="7" s="1"/>
  <c r="B64" i="7"/>
  <c r="G53" i="7"/>
  <c r="B40" i="7"/>
  <c r="K40" i="7" s="1"/>
  <c r="G24" i="7"/>
  <c r="K24" i="7" s="1"/>
  <c r="B8" i="7"/>
  <c r="K8" i="7" s="1"/>
  <c r="K41" i="6"/>
  <c r="D40" i="6"/>
  <c r="F38" i="6"/>
  <c r="G26" i="6"/>
  <c r="C14" i="6"/>
  <c r="C6" i="6"/>
  <c r="G141" i="7"/>
  <c r="K141" i="7" s="1"/>
  <c r="B122" i="7"/>
  <c r="G100" i="7"/>
  <c r="B80" i="7"/>
  <c r="K80" i="7" s="1"/>
  <c r="B69" i="7"/>
  <c r="K69" i="7" s="1"/>
  <c r="B59" i="7"/>
  <c r="B49" i="7"/>
  <c r="K49" i="7" s="1"/>
  <c r="B33" i="7"/>
  <c r="K33" i="7" s="1"/>
  <c r="G17" i="7"/>
  <c r="K17" i="7" s="1"/>
  <c r="I42" i="6"/>
  <c r="K40" i="6"/>
  <c r="D39" i="6"/>
  <c r="E27" i="6"/>
  <c r="H15" i="6"/>
  <c r="H7" i="6"/>
  <c r="G155" i="7"/>
  <c r="K155" i="7" s="1"/>
  <c r="G133" i="7"/>
  <c r="B115" i="7"/>
  <c r="K115" i="7" s="1"/>
  <c r="B94" i="7"/>
  <c r="G75" i="7"/>
  <c r="G65" i="7"/>
  <c r="B55" i="7"/>
  <c r="B43" i="7"/>
  <c r="K43" i="7" s="1"/>
  <c r="G27" i="7"/>
  <c r="K27" i="7" s="1"/>
  <c r="B11" i="7"/>
  <c r="K11" i="7" s="1"/>
  <c r="G42" i="6"/>
  <c r="I40" i="6"/>
  <c r="K38" i="6"/>
  <c r="G27" i="6"/>
  <c r="D16" i="6"/>
  <c r="D8" i="6"/>
  <c r="D4" i="6"/>
  <c r="B70" i="7"/>
  <c r="G18" i="7"/>
  <c r="K18" i="7" s="1"/>
  <c r="F13" i="6"/>
  <c r="B100" i="7"/>
  <c r="B52" i="7"/>
  <c r="K52" i="7" s="1"/>
  <c r="H42" i="6"/>
  <c r="F16" i="6"/>
  <c r="B112" i="7"/>
  <c r="B57" i="7"/>
  <c r="I41" i="6"/>
  <c r="F14" i="6"/>
  <c r="D42" i="6"/>
  <c r="F40" i="6"/>
  <c r="G26" i="7"/>
  <c r="K26" i="7" s="1"/>
  <c r="B42" i="7"/>
  <c r="K42" i="7" s="1"/>
  <c r="B154" i="7"/>
  <c r="G111" i="7"/>
  <c r="G153" i="7"/>
  <c r="K153" i="7" s="1"/>
  <c r="B111" i="7"/>
  <c r="B133" i="7"/>
  <c r="B66" i="7"/>
  <c r="G12" i="7"/>
  <c r="K12" i="7" s="1"/>
  <c r="K26" i="6"/>
  <c r="B126" i="7"/>
  <c r="K126" i="7" s="1"/>
  <c r="B61" i="7"/>
  <c r="K61" i="7" s="1"/>
  <c r="B5" i="7"/>
  <c r="K5" i="7" s="1"/>
  <c r="H16" i="6"/>
  <c r="B138" i="7"/>
  <c r="K138" i="7" s="1"/>
  <c r="G110" i="7"/>
  <c r="G82" i="7"/>
  <c r="G67" i="7"/>
  <c r="B53" i="7"/>
  <c r="B35" i="7"/>
  <c r="K35" i="7" s="1"/>
  <c r="G15" i="7"/>
  <c r="K15" i="7" s="1"/>
  <c r="C42" i="6"/>
  <c r="J39" i="6"/>
  <c r="K27" i="6"/>
  <c r="D15" i="6"/>
  <c r="D6" i="6"/>
  <c r="G95" i="7"/>
  <c r="E41" i="6"/>
  <c r="G140" i="7"/>
  <c r="K140" i="7" s="1"/>
  <c r="B62" i="7"/>
  <c r="K62" i="7" s="1"/>
  <c r="J40" i="6"/>
  <c r="F4" i="6"/>
  <c r="B67" i="7"/>
  <c r="K39" i="6"/>
  <c r="B85" i="7"/>
  <c r="K85" i="7" s="1"/>
  <c r="B10" i="7"/>
  <c r="K10" i="7" s="1"/>
  <c r="H38" i="6"/>
  <c r="G139" i="7"/>
  <c r="B99" i="7"/>
  <c r="B139" i="7"/>
  <c r="G98" i="7"/>
  <c r="B114" i="7"/>
  <c r="K114" i="7" s="1"/>
  <c r="G55" i="7"/>
  <c r="F42" i="6"/>
  <c r="C15" i="6"/>
  <c r="B107" i="7"/>
  <c r="K107" i="7" s="1"/>
  <c r="G51" i="7"/>
  <c r="F41" i="6"/>
  <c r="H8" i="6"/>
  <c r="G129" i="7"/>
  <c r="G103" i="7"/>
  <c r="G77" i="7"/>
  <c r="B63" i="7"/>
  <c r="K63" i="7" s="1"/>
  <c r="G50" i="7"/>
  <c r="B31" i="7"/>
  <c r="K31" i="7" s="1"/>
  <c r="B7" i="7"/>
  <c r="K7" i="7" s="1"/>
  <c r="H41" i="6"/>
  <c r="F39" i="6"/>
  <c r="C27" i="6"/>
  <c r="D14" i="6"/>
  <c r="D5" i="6"/>
  <c r="G59" i="7"/>
  <c r="G39" i="6"/>
  <c r="G121" i="7"/>
  <c r="B38" i="7"/>
  <c r="K38" i="7" s="1"/>
  <c r="C39" i="6"/>
  <c r="B131" i="7"/>
  <c r="B46" i="7"/>
  <c r="K46" i="7" s="1"/>
  <c r="D38" i="6"/>
  <c r="G54" i="7"/>
  <c r="K54" i="7" s="1"/>
  <c r="E26" i="6"/>
  <c r="F15" i="6"/>
  <c r="B121" i="7"/>
  <c r="B158" i="7"/>
  <c r="G120" i="7"/>
  <c r="G158" i="7"/>
  <c r="B76" i="7"/>
  <c r="K76" i="7" s="1"/>
  <c r="G28" i="7"/>
  <c r="K28" i="7" s="1"/>
  <c r="J38" i="6"/>
  <c r="G148" i="7"/>
  <c r="K148" i="7" s="1"/>
  <c r="B72" i="7"/>
  <c r="K72" i="7" s="1"/>
  <c r="G21" i="7"/>
  <c r="K21" i="7" s="1"/>
  <c r="I27" i="6"/>
  <c r="G152" i="7"/>
  <c r="K152" i="7" s="1"/>
  <c r="B120" i="7"/>
  <c r="B89" i="7"/>
  <c r="K89" i="7" s="1"/>
  <c r="G70" i="7"/>
  <c r="G57" i="7"/>
  <c r="B39" i="7"/>
  <c r="K39" i="7" s="1"/>
  <c r="G19" i="7"/>
  <c r="K19" i="7" s="1"/>
  <c r="K42" i="6"/>
  <c r="E40" i="6"/>
  <c r="C38" i="6"/>
  <c r="D26" i="6"/>
  <c r="D7" i="6"/>
  <c r="G117" i="7"/>
  <c r="B34" i="7"/>
  <c r="K34" i="7" s="1"/>
  <c r="F5" i="6"/>
  <c r="B73" i="7"/>
  <c r="B6" i="7"/>
  <c r="K6" i="7" s="1"/>
  <c r="F8" i="6"/>
  <c r="B77" i="7"/>
  <c r="G14" i="7"/>
  <c r="K14" i="7" s="1"/>
  <c r="F6" i="6"/>
  <c r="B65" i="7"/>
  <c r="B75" i="7"/>
  <c r="F7" i="6"/>
  <c r="G130" i="7"/>
  <c r="G93" i="7"/>
  <c r="B86" i="7"/>
  <c r="K86" i="7" s="1"/>
  <c r="B124" i="7"/>
  <c r="B47" i="7"/>
  <c r="K47" i="7" s="1"/>
  <c r="G38" i="6"/>
  <c r="B50" i="7"/>
  <c r="K50" i="7" s="1"/>
  <c r="I26" i="6"/>
  <c r="G105" i="7"/>
  <c r="K105" i="7" s="1"/>
  <c r="B91" i="7"/>
  <c r="B44" i="7"/>
  <c r="K44" i="7" s="1"/>
  <c r="B37" i="7"/>
  <c r="K37" i="7" s="1"/>
  <c r="B98" i="7"/>
  <c r="G23" i="7"/>
  <c r="K23" i="7" s="1"/>
  <c r="H26" i="6"/>
  <c r="D27" i="6"/>
  <c r="G91" i="7"/>
  <c r="G125" i="7"/>
  <c r="B90" i="7"/>
  <c r="K90" i="7" s="1"/>
  <c r="C7" i="6"/>
  <c r="H4" i="6"/>
  <c r="B60" i="7"/>
  <c r="D41" i="6"/>
  <c r="B135" i="7"/>
  <c r="G22" i="7"/>
  <c r="K22" i="7" s="1"/>
  <c r="H27" i="6"/>
  <c r="B130" i="7"/>
  <c r="B3" i="7"/>
  <c r="K3" i="7" s="1"/>
  <c r="G147" i="7"/>
  <c r="K147" i="7" s="1"/>
  <c r="H40" i="6"/>
  <c r="D13" i="6"/>
  <c r="G73" i="7"/>
  <c r="K73" i="7" s="1"/>
  <c r="B30" i="7"/>
  <c r="K30" i="7" s="1"/>
  <c r="H39" i="6"/>
  <c r="B79" i="7"/>
  <c r="K79" i="7" s="1"/>
  <c r="V706" i="1"/>
  <c r="V714" i="1"/>
  <c r="V724" i="1"/>
  <c r="V732" i="1"/>
  <c r="V786" i="1"/>
  <c r="V757" i="1"/>
  <c r="X393" i="1"/>
  <c r="Z393" i="1"/>
  <c r="V393" i="1"/>
  <c r="Z398" i="1"/>
  <c r="X398" i="1"/>
  <c r="V398" i="1"/>
  <c r="Z389" i="1"/>
  <c r="X389" i="1"/>
  <c r="V389" i="1"/>
  <c r="Z390" i="1"/>
  <c r="X390" i="1"/>
  <c r="V390" i="1"/>
  <c r="Z507" i="1"/>
  <c r="X507" i="1"/>
  <c r="V507" i="1"/>
  <c r="Z508" i="1"/>
  <c r="X508" i="1"/>
  <c r="V508" i="1"/>
  <c r="Z556" i="1"/>
  <c r="X556" i="1"/>
  <c r="V556" i="1"/>
  <c r="Z506" i="1"/>
  <c r="X506" i="1"/>
  <c r="V506" i="1"/>
  <c r="Z555" i="1"/>
  <c r="X555" i="1"/>
  <c r="V555" i="1"/>
  <c r="Z509" i="1"/>
  <c r="X509" i="1"/>
  <c r="V509" i="1"/>
  <c r="Z510" i="1"/>
  <c r="X510" i="1"/>
  <c r="V510" i="1"/>
  <c r="Z511" i="1"/>
  <c r="X511" i="1"/>
  <c r="V511" i="1"/>
  <c r="Z512" i="1"/>
  <c r="X512" i="1"/>
  <c r="V512" i="1"/>
  <c r="Z370" i="1"/>
  <c r="X370" i="1"/>
  <c r="V370" i="1"/>
  <c r="Z371" i="1"/>
  <c r="X371" i="1"/>
  <c r="V371" i="1"/>
  <c r="Z399" i="1"/>
  <c r="X399" i="1"/>
  <c r="V399" i="1"/>
  <c r="Z642" i="1"/>
  <c r="X642" i="1"/>
  <c r="V642" i="1"/>
  <c r="Z643" i="1"/>
  <c r="V643" i="1"/>
  <c r="X643" i="1"/>
  <c r="Z644" i="1"/>
  <c r="X644" i="1"/>
  <c r="V644" i="1"/>
  <c r="Z645" i="1"/>
  <c r="X645" i="1"/>
  <c r="V645" i="1"/>
  <c r="Z646" i="1"/>
  <c r="X646" i="1"/>
  <c r="Z647" i="1"/>
  <c r="V647" i="1"/>
  <c r="X647" i="1"/>
  <c r="Z648" i="1"/>
  <c r="X648" i="1"/>
  <c r="V648" i="1"/>
  <c r="Z649" i="1"/>
  <c r="X649" i="1"/>
  <c r="V649" i="1"/>
  <c r="Z650" i="1"/>
  <c r="X650" i="1"/>
  <c r="V650" i="1"/>
  <c r="Z651" i="1"/>
  <c r="V651" i="1"/>
  <c r="X651" i="1"/>
  <c r="Z652" i="1"/>
  <c r="X652" i="1"/>
  <c r="V652" i="1"/>
  <c r="Z653" i="1"/>
  <c r="X653" i="1"/>
  <c r="V653" i="1"/>
  <c r="Z654" i="1"/>
  <c r="X654" i="1"/>
  <c r="Z655" i="1"/>
  <c r="V655" i="1"/>
  <c r="X655" i="1"/>
  <c r="Z692" i="1"/>
  <c r="X692" i="1"/>
  <c r="V692" i="1"/>
  <c r="Z693" i="1"/>
  <c r="X693" i="1"/>
  <c r="V693" i="1"/>
  <c r="Z440" i="1"/>
  <c r="X440" i="1"/>
  <c r="V440" i="1"/>
  <c r="Z441" i="1"/>
  <c r="X441" i="1"/>
  <c r="V441" i="1"/>
  <c r="Z446" i="1"/>
  <c r="X446" i="1"/>
  <c r="V446" i="1"/>
  <c r="Z447" i="1"/>
  <c r="X447" i="1"/>
  <c r="V447" i="1"/>
  <c r="Z472" i="1"/>
  <c r="X472" i="1"/>
  <c r="V472" i="1"/>
  <c r="Z679" i="1"/>
  <c r="X679" i="1"/>
  <c r="V679" i="1"/>
  <c r="Z701" i="1"/>
  <c r="X701" i="1"/>
  <c r="V701" i="1"/>
  <c r="Z702" i="1"/>
  <c r="X702" i="1"/>
  <c r="V702" i="1"/>
  <c r="V703" i="1"/>
  <c r="Z703" i="1"/>
  <c r="X703" i="1"/>
  <c r="Z704" i="1"/>
  <c r="X704" i="1"/>
  <c r="V704" i="1"/>
  <c r="Z705" i="1"/>
  <c r="X705" i="1"/>
  <c r="V705" i="1"/>
  <c r="Z706" i="1"/>
  <c r="X706" i="1"/>
  <c r="Z707" i="1"/>
  <c r="V707" i="1"/>
  <c r="X707" i="1"/>
  <c r="Z708" i="1"/>
  <c r="X708" i="1"/>
  <c r="V708" i="1"/>
  <c r="Z709" i="1"/>
  <c r="X709" i="1"/>
  <c r="V709" i="1"/>
  <c r="Z710" i="1"/>
  <c r="X710" i="1"/>
  <c r="V710" i="1"/>
  <c r="Z711" i="1"/>
  <c r="V711" i="1"/>
  <c r="X711" i="1"/>
  <c r="Z712" i="1"/>
  <c r="X712" i="1"/>
  <c r="V712" i="1"/>
  <c r="Z713" i="1"/>
  <c r="X713" i="1"/>
  <c r="V713" i="1"/>
  <c r="Z714" i="1"/>
  <c r="X714" i="1"/>
  <c r="Z715" i="1"/>
  <c r="V715" i="1"/>
  <c r="X715" i="1"/>
  <c r="Z718" i="1"/>
  <c r="X718" i="1"/>
  <c r="V718" i="1"/>
  <c r="Z719" i="1"/>
  <c r="X719" i="1"/>
  <c r="V719" i="1"/>
  <c r="Z720" i="1"/>
  <c r="X720" i="1"/>
  <c r="V720" i="1"/>
  <c r="Z721" i="1"/>
  <c r="V721" i="1"/>
  <c r="X721" i="1"/>
  <c r="Z722" i="1"/>
  <c r="X722" i="1"/>
  <c r="V722" i="1"/>
  <c r="Z723" i="1"/>
  <c r="X723" i="1"/>
  <c r="V723" i="1"/>
  <c r="Z724" i="1"/>
  <c r="X724" i="1"/>
  <c r="Z725" i="1"/>
  <c r="V725" i="1"/>
  <c r="X725" i="1"/>
  <c r="Z726" i="1"/>
  <c r="X726" i="1"/>
  <c r="V726" i="1"/>
  <c r="Z727" i="1"/>
  <c r="X727" i="1"/>
  <c r="V727" i="1"/>
  <c r="Z728" i="1"/>
  <c r="X728" i="1"/>
  <c r="V728" i="1"/>
  <c r="Z729" i="1"/>
  <c r="V729" i="1"/>
  <c r="X729" i="1"/>
  <c r="Z730" i="1"/>
  <c r="X730" i="1"/>
  <c r="V730" i="1"/>
  <c r="Z731" i="1"/>
  <c r="X731" i="1"/>
  <c r="V731" i="1"/>
  <c r="Z732" i="1"/>
  <c r="X732" i="1"/>
  <c r="Z733" i="1"/>
  <c r="V733" i="1"/>
  <c r="X733" i="1"/>
  <c r="Z734" i="1"/>
  <c r="X734" i="1"/>
  <c r="V734" i="1"/>
  <c r="Z735" i="1"/>
  <c r="X735" i="1"/>
  <c r="V735" i="1"/>
  <c r="Z782" i="1"/>
  <c r="X782" i="1"/>
  <c r="V782" i="1"/>
  <c r="V783" i="1"/>
  <c r="Z783" i="1"/>
  <c r="X783" i="1"/>
  <c r="Z784" i="1"/>
  <c r="X784" i="1"/>
  <c r="V784" i="1"/>
  <c r="Z785" i="1"/>
  <c r="X785" i="1"/>
  <c r="V785" i="1"/>
  <c r="Z786" i="1"/>
  <c r="X786" i="1"/>
  <c r="Z787" i="1"/>
  <c r="V787" i="1"/>
  <c r="X787" i="1"/>
  <c r="Z788" i="1"/>
  <c r="X788" i="1"/>
  <c r="V788" i="1"/>
  <c r="Z789" i="1"/>
  <c r="X789" i="1"/>
  <c r="V789" i="1"/>
  <c r="Z790" i="1"/>
  <c r="X790" i="1"/>
  <c r="V790" i="1"/>
  <c r="Z791" i="1"/>
  <c r="V791" i="1"/>
  <c r="X791" i="1"/>
  <c r="Z792" i="1"/>
  <c r="X792" i="1"/>
  <c r="V792" i="1"/>
  <c r="Z793" i="1"/>
  <c r="X793" i="1"/>
  <c r="V793" i="1"/>
  <c r="Z753" i="1"/>
  <c r="X753" i="1"/>
  <c r="V753" i="1"/>
  <c r="V754" i="1"/>
  <c r="Z754" i="1"/>
  <c r="X754" i="1"/>
  <c r="Z755" i="1"/>
  <c r="X755" i="1"/>
  <c r="V755" i="1"/>
  <c r="Z756" i="1"/>
  <c r="X756" i="1"/>
  <c r="V756" i="1"/>
  <c r="Z757" i="1"/>
  <c r="X757" i="1"/>
  <c r="Z760" i="1"/>
  <c r="V760" i="1"/>
  <c r="X760" i="1"/>
  <c r="Z761" i="1"/>
  <c r="X761" i="1"/>
  <c r="V761" i="1"/>
  <c r="Z762" i="1"/>
  <c r="X762" i="1"/>
  <c r="V762" i="1"/>
  <c r="Z763" i="1"/>
  <c r="X763" i="1"/>
  <c r="V763" i="1"/>
  <c r="Z794" i="1"/>
  <c r="X794" i="1"/>
  <c r="Z736" i="1"/>
  <c r="V736" i="1"/>
  <c r="X736" i="1"/>
  <c r="Z737" i="1"/>
  <c r="X737" i="1"/>
  <c r="V737" i="1"/>
  <c r="Z738" i="1"/>
  <c r="X738" i="1"/>
  <c r="V738" i="1"/>
  <c r="Z739" i="1"/>
  <c r="X739" i="1"/>
  <c r="V739" i="1"/>
  <c r="Z740" i="1"/>
  <c r="V740" i="1"/>
  <c r="X740" i="1"/>
  <c r="Z741" i="1"/>
  <c r="X741" i="1"/>
  <c r="V741" i="1"/>
  <c r="Z742" i="1"/>
  <c r="X742" i="1"/>
  <c r="V742" i="1"/>
  <c r="Z743" i="1"/>
  <c r="X743" i="1"/>
  <c r="Z744" i="1"/>
  <c r="V744" i="1"/>
  <c r="X744" i="1"/>
  <c r="Z745" i="1"/>
  <c r="X745" i="1"/>
  <c r="V745" i="1"/>
  <c r="Z746" i="1"/>
  <c r="X746" i="1"/>
  <c r="V746" i="1"/>
  <c r="Z747" i="1"/>
  <c r="X747" i="1"/>
  <c r="V747" i="1"/>
  <c r="Z748" i="1"/>
  <c r="X748" i="1"/>
  <c r="V748" i="1"/>
  <c r="Z749" i="1"/>
  <c r="X749" i="1"/>
  <c r="V749" i="1"/>
  <c r="Z750" i="1"/>
  <c r="X750" i="1"/>
  <c r="Z751" i="1"/>
  <c r="X751" i="1"/>
  <c r="V751" i="1"/>
  <c r="Z752" i="1"/>
  <c r="X752" i="1"/>
  <c r="V752" i="1"/>
  <c r="Z438" i="1"/>
  <c r="X438" i="1"/>
  <c r="V438" i="1"/>
  <c r="Z439" i="1"/>
  <c r="X439" i="1"/>
  <c r="V439" i="1"/>
  <c r="Z437" i="1"/>
  <c r="X437" i="1"/>
  <c r="V437" i="1"/>
  <c r="Z450" i="1"/>
  <c r="X450" i="1"/>
  <c r="V450" i="1"/>
  <c r="Z451" i="1"/>
  <c r="X451" i="1"/>
  <c r="V451" i="1"/>
  <c r="Z452" i="1"/>
  <c r="X452" i="1"/>
  <c r="V452" i="1"/>
  <c r="Z453" i="1"/>
  <c r="X453" i="1"/>
  <c r="V453" i="1"/>
  <c r="Z454" i="1"/>
  <c r="X454" i="1"/>
  <c r="V454" i="1"/>
  <c r="Z944" i="1"/>
  <c r="X944" i="1"/>
  <c r="V944" i="1"/>
  <c r="Z945" i="1"/>
  <c r="X945" i="1"/>
  <c r="V945" i="1"/>
  <c r="Z946" i="1"/>
  <c r="X946" i="1"/>
  <c r="Z947" i="1"/>
  <c r="V947" i="1"/>
  <c r="X947" i="1"/>
  <c r="Z948" i="1"/>
  <c r="X948" i="1"/>
  <c r="V948" i="1"/>
  <c r="Z949" i="1"/>
  <c r="X949" i="1"/>
  <c r="V949" i="1"/>
  <c r="Z950" i="1"/>
  <c r="X950" i="1"/>
  <c r="V950" i="1"/>
  <c r="V951" i="1"/>
  <c r="Z951" i="1"/>
  <c r="X951" i="1"/>
  <c r="Z952" i="1"/>
  <c r="X952" i="1"/>
  <c r="V952" i="1"/>
  <c r="Z953" i="1"/>
  <c r="X953" i="1"/>
  <c r="V953" i="1"/>
  <c r="Z954" i="1"/>
  <c r="X954" i="1"/>
  <c r="Z955" i="1"/>
  <c r="V955" i="1"/>
  <c r="X955" i="1"/>
  <c r="Z777" i="1"/>
  <c r="X777" i="1"/>
  <c r="V777" i="1"/>
  <c r="Z778" i="1"/>
  <c r="X778" i="1"/>
  <c r="V778" i="1"/>
  <c r="Z779" i="1"/>
  <c r="X779" i="1"/>
  <c r="V779" i="1"/>
  <c r="Z780" i="1"/>
  <c r="V780" i="1"/>
  <c r="X780" i="1"/>
  <c r="Z781" i="1"/>
  <c r="X781" i="1"/>
  <c r="V781" i="1"/>
  <c r="Z905" i="1"/>
  <c r="V905" i="1"/>
  <c r="X905" i="1"/>
  <c r="Z906" i="1"/>
  <c r="X906" i="1"/>
  <c r="V906" i="1"/>
  <c r="Z908" i="1"/>
  <c r="X908" i="1"/>
  <c r="V908" i="1"/>
  <c r="Z909" i="1"/>
  <c r="X909" i="1"/>
  <c r="V909" i="1"/>
  <c r="Z910" i="1"/>
  <c r="V910" i="1"/>
  <c r="X910" i="1"/>
  <c r="Z538" i="1"/>
  <c r="X538" i="1"/>
  <c r="V538" i="1"/>
  <c r="Z536" i="1"/>
  <c r="X536" i="1"/>
  <c r="V536" i="1"/>
  <c r="Z539" i="1"/>
  <c r="X539" i="1"/>
  <c r="V539" i="1"/>
  <c r="Z540" i="1"/>
  <c r="X540" i="1"/>
  <c r="V540" i="1"/>
  <c r="Z513" i="1"/>
  <c r="X513" i="1"/>
  <c r="V513" i="1"/>
  <c r="Z514" i="1"/>
  <c r="X514" i="1"/>
  <c r="V514" i="1"/>
  <c r="Z515" i="1"/>
  <c r="X515" i="1"/>
  <c r="V515" i="1"/>
  <c r="Z519" i="1"/>
  <c r="X519" i="1"/>
  <c r="V519" i="1"/>
  <c r="Z516" i="1"/>
  <c r="X516" i="1"/>
  <c r="V516" i="1"/>
  <c r="Z517" i="1"/>
  <c r="X517" i="1"/>
  <c r="V517" i="1"/>
  <c r="Z518" i="1"/>
  <c r="X518" i="1"/>
  <c r="V518" i="1"/>
  <c r="Z520" i="1"/>
  <c r="X520" i="1"/>
  <c r="V520" i="1"/>
  <c r="Z521" i="1"/>
  <c r="X521" i="1"/>
  <c r="V521" i="1"/>
  <c r="Z522" i="1"/>
  <c r="X522" i="1"/>
  <c r="V522" i="1"/>
  <c r="Z524" i="1"/>
  <c r="X524" i="1"/>
  <c r="V524" i="1"/>
  <c r="Z696" i="1"/>
  <c r="X696" i="1"/>
  <c r="V696" i="1"/>
  <c r="Z697" i="1"/>
  <c r="X697" i="1"/>
  <c r="V697" i="1"/>
  <c r="Z698" i="1"/>
  <c r="X698" i="1"/>
  <c r="Z699" i="1"/>
  <c r="V699" i="1"/>
  <c r="X699" i="1"/>
  <c r="Z700" i="1"/>
  <c r="X700" i="1"/>
  <c r="V700" i="1"/>
  <c r="Z656" i="1"/>
  <c r="X656" i="1"/>
  <c r="V656" i="1"/>
  <c r="Z657" i="1"/>
  <c r="X657" i="1"/>
  <c r="V657" i="1"/>
  <c r="Z661" i="1"/>
  <c r="V661" i="1"/>
  <c r="X661" i="1"/>
  <c r="Z662" i="1"/>
  <c r="X662" i="1"/>
  <c r="V662" i="1"/>
  <c r="Z663" i="1"/>
  <c r="X663" i="1"/>
  <c r="V663" i="1"/>
  <c r="Z664" i="1"/>
  <c r="X664" i="1"/>
  <c r="Z665" i="1"/>
  <c r="V665" i="1"/>
  <c r="X665" i="1"/>
  <c r="Z666" i="1"/>
  <c r="X666" i="1"/>
  <c r="V666" i="1"/>
  <c r="Z667" i="1"/>
  <c r="X667" i="1"/>
  <c r="V667" i="1"/>
  <c r="Z668" i="1"/>
  <c r="X668" i="1"/>
  <c r="V668" i="1"/>
  <c r="Z669" i="1"/>
  <c r="V669" i="1"/>
  <c r="X669" i="1"/>
  <c r="Z670" i="1"/>
  <c r="X670" i="1"/>
  <c r="V670" i="1"/>
  <c r="Z671" i="1"/>
  <c r="X671" i="1"/>
  <c r="V671" i="1"/>
  <c r="Z672" i="1"/>
  <c r="X672" i="1"/>
  <c r="Z673" i="1"/>
  <c r="V673" i="1"/>
  <c r="X673" i="1"/>
  <c r="Z674" i="1"/>
  <c r="X674" i="1"/>
  <c r="V674" i="1"/>
  <c r="Z675" i="1"/>
  <c r="X675" i="1"/>
  <c r="V675" i="1"/>
  <c r="Z676" i="1"/>
  <c r="X676" i="1"/>
  <c r="V676" i="1"/>
  <c r="Z764" i="1"/>
  <c r="V764" i="1"/>
  <c r="X764" i="1"/>
  <c r="Z765" i="1"/>
  <c r="X765" i="1"/>
  <c r="V765" i="1"/>
  <c r="Z766" i="1"/>
  <c r="X766" i="1"/>
  <c r="V766" i="1"/>
  <c r="Z767" i="1"/>
  <c r="X767" i="1"/>
  <c r="Z768" i="1"/>
  <c r="V768" i="1"/>
  <c r="X768" i="1"/>
  <c r="Z769" i="1"/>
  <c r="X769" i="1"/>
  <c r="V769" i="1"/>
  <c r="Z770" i="1"/>
  <c r="X770" i="1"/>
  <c r="V770" i="1"/>
  <c r="Z771" i="1"/>
  <c r="X771" i="1"/>
  <c r="V771" i="1"/>
  <c r="Z772" i="1"/>
  <c r="V772" i="1"/>
  <c r="X772" i="1"/>
  <c r="Z773" i="1"/>
  <c r="X773" i="1"/>
  <c r="V773" i="1"/>
  <c r="Z774" i="1"/>
  <c r="X774" i="1"/>
  <c r="V774" i="1"/>
  <c r="Z775" i="1"/>
  <c r="X775" i="1"/>
  <c r="Z677" i="1"/>
  <c r="V677" i="1"/>
  <c r="X677" i="1"/>
  <c r="Z678" i="1"/>
  <c r="X678" i="1"/>
  <c r="V678" i="1"/>
  <c r="Z473" i="1"/>
  <c r="X473" i="1"/>
  <c r="V473" i="1"/>
  <c r="Z474" i="1"/>
  <c r="X474" i="1"/>
  <c r="V474" i="1"/>
  <c r="Z475" i="1"/>
  <c r="X475" i="1"/>
  <c r="V475" i="1"/>
  <c r="Z476" i="1"/>
  <c r="X476" i="1"/>
  <c r="V476" i="1"/>
  <c r="Z477" i="1"/>
  <c r="X477" i="1"/>
  <c r="V477" i="1"/>
  <c r="Z478" i="1"/>
  <c r="X478" i="1"/>
  <c r="V478" i="1"/>
  <c r="Z480" i="1"/>
  <c r="X480" i="1"/>
  <c r="V480" i="1"/>
  <c r="Z481" i="1"/>
  <c r="X481" i="1"/>
  <c r="V481" i="1"/>
  <c r="Z479" i="1"/>
  <c r="X479" i="1"/>
  <c r="V479" i="1"/>
  <c r="Z537" i="1"/>
  <c r="X537" i="1"/>
  <c r="V537" i="1"/>
  <c r="Z551" i="1"/>
  <c r="X551" i="1"/>
  <c r="V551" i="1"/>
  <c r="Z837" i="1"/>
  <c r="X837" i="1"/>
  <c r="V837" i="1"/>
  <c r="Z838" i="1"/>
  <c r="X838" i="1"/>
  <c r="V838" i="1"/>
  <c r="Z839" i="1"/>
  <c r="X839" i="1"/>
  <c r="V839" i="1"/>
  <c r="Z840" i="1"/>
  <c r="X840" i="1"/>
  <c r="V840" i="1"/>
  <c r="Z841" i="1"/>
  <c r="X841" i="1"/>
  <c r="V841" i="1"/>
  <c r="Z564" i="1"/>
  <c r="X564" i="1"/>
  <c r="V564" i="1"/>
  <c r="Z565" i="1"/>
  <c r="X565" i="1"/>
  <c r="V565" i="1"/>
  <c r="Z592" i="1"/>
  <c r="X592" i="1"/>
  <c r="V592" i="1"/>
  <c r="Z606" i="1"/>
  <c r="X606" i="1"/>
  <c r="V606" i="1"/>
  <c r="Z607" i="1"/>
  <c r="X607" i="1"/>
  <c r="V607" i="1"/>
  <c r="Z608" i="1"/>
  <c r="X608" i="1"/>
  <c r="V608" i="1"/>
  <c r="Z609" i="1"/>
  <c r="X609" i="1"/>
  <c r="V609" i="1"/>
  <c r="Z658" i="1"/>
  <c r="X658" i="1"/>
  <c r="V658" i="1"/>
  <c r="Z659" i="1"/>
  <c r="X659" i="1"/>
  <c r="V659" i="1"/>
  <c r="Z660" i="1"/>
  <c r="X660" i="1"/>
  <c r="V660" i="1"/>
  <c r="Z482" i="1"/>
  <c r="X482" i="1"/>
  <c r="V482" i="1"/>
  <c r="Z483" i="1"/>
  <c r="X483" i="1"/>
  <c r="V483" i="1"/>
  <c r="Z484" i="1"/>
  <c r="X484" i="1"/>
  <c r="V484" i="1"/>
  <c r="X485" i="1"/>
  <c r="Z485" i="1"/>
  <c r="V485" i="1"/>
  <c r="Z486" i="1"/>
  <c r="X486" i="1"/>
  <c r="V486" i="1"/>
  <c r="Z487" i="1"/>
  <c r="X487" i="1"/>
  <c r="V487" i="1"/>
  <c r="Z488" i="1"/>
  <c r="X488" i="1"/>
  <c r="V488" i="1"/>
  <c r="Z489" i="1"/>
  <c r="X489" i="1"/>
  <c r="V489" i="1"/>
  <c r="Z490" i="1"/>
  <c r="X490" i="1"/>
  <c r="V490" i="1"/>
  <c r="Z491" i="1"/>
  <c r="X491" i="1"/>
  <c r="V491" i="1"/>
  <c r="Z492" i="1"/>
  <c r="X492" i="1"/>
  <c r="V492" i="1"/>
  <c r="Z493" i="1"/>
  <c r="X493" i="1"/>
  <c r="V493" i="1"/>
  <c r="Z494" i="1"/>
  <c r="X494" i="1"/>
  <c r="V494" i="1"/>
  <c r="Z495" i="1"/>
  <c r="X495" i="1"/>
  <c r="V495" i="1"/>
  <c r="Z496" i="1"/>
  <c r="X496" i="1"/>
  <c r="V496" i="1"/>
  <c r="Z497" i="1"/>
  <c r="X497" i="1"/>
  <c r="V497" i="1"/>
  <c r="Z498" i="1"/>
  <c r="X498" i="1"/>
  <c r="V498" i="1"/>
  <c r="Z499" i="1"/>
  <c r="X499" i="1"/>
  <c r="V499" i="1"/>
  <c r="Z500" i="1"/>
  <c r="X500" i="1"/>
  <c r="V500" i="1"/>
  <c r="Z501" i="1"/>
  <c r="X501" i="1"/>
  <c r="V501" i="1"/>
  <c r="Z502" i="1"/>
  <c r="X502" i="1"/>
  <c r="V502" i="1"/>
  <c r="Z503" i="1"/>
  <c r="X503" i="1"/>
  <c r="V503" i="1"/>
  <c r="Z504" i="1"/>
  <c r="X504" i="1"/>
  <c r="V504" i="1"/>
  <c r="Z401" i="1"/>
  <c r="X401" i="1"/>
  <c r="V401" i="1"/>
  <c r="Z402" i="1"/>
  <c r="X402" i="1"/>
  <c r="V402" i="1"/>
  <c r="Z403" i="1"/>
  <c r="X403" i="1"/>
  <c r="V403" i="1"/>
  <c r="Z404" i="1"/>
  <c r="X404" i="1"/>
  <c r="V404" i="1"/>
  <c r="Z405" i="1"/>
  <c r="X405" i="1"/>
  <c r="V405" i="1"/>
  <c r="Z406" i="1"/>
  <c r="X406" i="1"/>
  <c r="V406" i="1"/>
  <c r="Z407" i="1"/>
  <c r="X407" i="1"/>
  <c r="V407" i="1"/>
  <c r="Z408" i="1"/>
  <c r="X408" i="1"/>
  <c r="V408" i="1"/>
  <c r="Z409" i="1"/>
  <c r="X409" i="1"/>
  <c r="V409" i="1"/>
  <c r="Z410" i="1"/>
  <c r="X410" i="1"/>
  <c r="V410" i="1"/>
  <c r="Z411" i="1"/>
  <c r="X411" i="1"/>
  <c r="V411" i="1"/>
  <c r="Z412" i="1"/>
  <c r="X412" i="1"/>
  <c r="V412" i="1"/>
  <c r="X413" i="1"/>
  <c r="Z413" i="1"/>
  <c r="V413" i="1"/>
  <c r="Z414" i="1"/>
  <c r="X414" i="1"/>
  <c r="V414" i="1"/>
  <c r="Z415" i="1"/>
  <c r="X415" i="1"/>
  <c r="V415" i="1"/>
  <c r="Z416" i="1"/>
  <c r="X416" i="1"/>
  <c r="V416" i="1"/>
  <c r="Z417" i="1"/>
  <c r="X417" i="1"/>
  <c r="V417" i="1"/>
  <c r="Z418" i="1"/>
  <c r="X418" i="1"/>
  <c r="V418" i="1"/>
  <c r="Z419" i="1"/>
  <c r="X419" i="1"/>
  <c r="V419" i="1"/>
  <c r="Z420" i="1"/>
  <c r="X420" i="1"/>
  <c r="V420" i="1"/>
  <c r="Z421" i="1"/>
  <c r="X421" i="1"/>
  <c r="V421" i="1"/>
  <c r="Z422" i="1"/>
  <c r="X422" i="1"/>
  <c r="V422" i="1"/>
  <c r="Z423" i="1"/>
  <c r="X423" i="1"/>
  <c r="V423" i="1"/>
  <c r="Z424" i="1"/>
  <c r="X424" i="1"/>
  <c r="V424" i="1"/>
  <c r="Z425" i="1"/>
  <c r="X425" i="1"/>
  <c r="V425" i="1"/>
  <c r="Z426" i="1"/>
  <c r="X426" i="1"/>
  <c r="V426" i="1"/>
  <c r="Z427" i="1"/>
  <c r="X427" i="1"/>
  <c r="V427" i="1"/>
  <c r="Z428" i="1"/>
  <c r="X428" i="1"/>
  <c r="V428" i="1"/>
  <c r="Z429" i="1"/>
  <c r="X429" i="1"/>
  <c r="V429" i="1"/>
  <c r="Z430" i="1"/>
  <c r="X430" i="1"/>
  <c r="V430" i="1"/>
  <c r="Z431" i="1"/>
  <c r="X431" i="1"/>
  <c r="V431" i="1"/>
  <c r="Z432" i="1"/>
  <c r="X432" i="1"/>
  <c r="V432" i="1"/>
  <c r="Z716" i="1"/>
  <c r="X716" i="1"/>
  <c r="V716" i="1"/>
  <c r="Z717" i="1"/>
  <c r="X717" i="1"/>
  <c r="V717" i="1"/>
  <c r="Z505" i="1"/>
  <c r="X505" i="1"/>
  <c r="V505" i="1"/>
  <c r="Z758" i="1"/>
  <c r="X758" i="1"/>
  <c r="V758" i="1"/>
  <c r="Z759" i="1"/>
  <c r="X759" i="1"/>
  <c r="V759" i="1"/>
  <c r="Z800" i="1"/>
  <c r="X800" i="1"/>
  <c r="V800" i="1"/>
  <c r="Z801" i="1"/>
  <c r="X801" i="1"/>
  <c r="V801" i="1"/>
  <c r="Z802" i="1"/>
  <c r="X802" i="1"/>
  <c r="V802" i="1"/>
  <c r="Z803" i="1"/>
  <c r="X803" i="1"/>
  <c r="V803" i="1"/>
  <c r="Z849" i="1"/>
  <c r="X849" i="1"/>
  <c r="V849" i="1"/>
  <c r="Z850" i="1"/>
  <c r="X850" i="1"/>
  <c r="V850" i="1"/>
  <c r="Z851" i="1"/>
  <c r="X851" i="1"/>
  <c r="V851" i="1"/>
  <c r="Z852" i="1"/>
  <c r="X852" i="1"/>
  <c r="V852" i="1"/>
  <c r="Z853" i="1"/>
  <c r="X853" i="1"/>
  <c r="V853" i="1"/>
  <c r="Z854" i="1"/>
  <c r="X854" i="1"/>
  <c r="V854" i="1"/>
  <c r="Z855" i="1"/>
  <c r="X855" i="1"/>
  <c r="V855" i="1"/>
  <c r="Z857" i="1"/>
  <c r="X857" i="1"/>
  <c r="V857" i="1"/>
  <c r="Z858" i="1"/>
  <c r="X858" i="1"/>
  <c r="V858" i="1"/>
  <c r="Z859" i="1"/>
  <c r="X859" i="1"/>
  <c r="V859" i="1"/>
  <c r="Z860" i="1"/>
  <c r="X860" i="1"/>
  <c r="V860" i="1"/>
  <c r="Z861" i="1"/>
  <c r="X861" i="1"/>
  <c r="V861" i="1"/>
  <c r="Z862" i="1"/>
  <c r="X862" i="1"/>
  <c r="V862" i="1"/>
  <c r="Z863" i="1"/>
  <c r="X863" i="1"/>
  <c r="V863" i="1"/>
  <c r="Z864" i="1"/>
  <c r="X864" i="1"/>
  <c r="V864" i="1"/>
  <c r="Z865" i="1"/>
  <c r="X865" i="1"/>
  <c r="V865" i="1"/>
  <c r="Z866" i="1"/>
  <c r="X866" i="1"/>
  <c r="V866" i="1"/>
  <c r="Z867" i="1"/>
  <c r="X867" i="1"/>
  <c r="V867" i="1"/>
  <c r="Z868" i="1"/>
  <c r="X868" i="1"/>
  <c r="V868" i="1"/>
  <c r="Z869" i="1"/>
  <c r="X869" i="1"/>
  <c r="V869" i="1"/>
  <c r="X870" i="1"/>
  <c r="Z870" i="1"/>
  <c r="V870" i="1"/>
  <c r="Z871" i="1"/>
  <c r="X871" i="1"/>
  <c r="V871" i="1"/>
  <c r="Z872" i="1"/>
  <c r="X872" i="1"/>
  <c r="V872" i="1"/>
  <c r="Z873" i="1"/>
  <c r="X873" i="1"/>
  <c r="V873" i="1"/>
  <c r="Z874" i="1"/>
  <c r="X874" i="1"/>
  <c r="V874" i="1"/>
  <c r="Z875" i="1"/>
  <c r="X875" i="1"/>
  <c r="V875" i="1"/>
  <c r="Z876" i="1"/>
  <c r="X876" i="1"/>
  <c r="V876" i="1"/>
  <c r="Z877" i="1"/>
  <c r="X877" i="1"/>
  <c r="V877" i="1"/>
  <c r="Z878" i="1"/>
  <c r="X878" i="1"/>
  <c r="V878" i="1"/>
  <c r="Z879" i="1"/>
  <c r="X879" i="1"/>
  <c r="V879" i="1"/>
  <c r="Z880" i="1"/>
  <c r="X880" i="1"/>
  <c r="V880" i="1"/>
  <c r="Z881" i="1"/>
  <c r="X881" i="1"/>
  <c r="V881" i="1"/>
  <c r="Z882" i="1"/>
  <c r="X882" i="1"/>
  <c r="V882" i="1"/>
  <c r="Z883" i="1"/>
  <c r="X883" i="1"/>
  <c r="V883" i="1"/>
  <c r="Z884" i="1"/>
  <c r="X884" i="1"/>
  <c r="V884" i="1"/>
  <c r="Z885" i="1"/>
  <c r="X885" i="1"/>
  <c r="V885" i="1"/>
  <c r="Z886" i="1"/>
  <c r="X886" i="1"/>
  <c r="V886" i="1"/>
  <c r="Z887" i="1"/>
  <c r="X887" i="1"/>
  <c r="V887" i="1"/>
  <c r="Z888" i="1"/>
  <c r="X888" i="1"/>
  <c r="V888" i="1"/>
  <c r="Z889" i="1"/>
  <c r="X889" i="1"/>
  <c r="V889" i="1"/>
  <c r="Z890" i="1"/>
  <c r="X890" i="1"/>
  <c r="V890" i="1"/>
  <c r="Z891" i="1"/>
  <c r="X891" i="1"/>
  <c r="V891" i="1"/>
  <c r="Z892" i="1"/>
  <c r="X892" i="1"/>
  <c r="V892" i="1"/>
  <c r="Z893" i="1"/>
  <c r="X893" i="1"/>
  <c r="V893" i="1"/>
  <c r="Z894" i="1"/>
  <c r="X894" i="1"/>
  <c r="V894" i="1"/>
  <c r="Z895" i="1"/>
  <c r="X895" i="1"/>
  <c r="V895" i="1"/>
  <c r="Z896" i="1"/>
  <c r="X896" i="1"/>
  <c r="V896" i="1"/>
  <c r="Z897" i="1"/>
  <c r="X897" i="1"/>
  <c r="V897" i="1"/>
  <c r="Z834" i="1"/>
  <c r="X834" i="1"/>
  <c r="V834" i="1"/>
  <c r="Z835" i="1"/>
  <c r="X835" i="1"/>
  <c r="V835" i="1"/>
  <c r="Z836" i="1"/>
  <c r="X836" i="1"/>
  <c r="V836" i="1"/>
  <c r="Z898" i="1"/>
  <c r="X898" i="1"/>
  <c r="V898" i="1"/>
  <c r="Z899" i="1"/>
  <c r="X899" i="1"/>
  <c r="V899" i="1"/>
  <c r="Z900" i="1"/>
  <c r="X900" i="1"/>
  <c r="V900" i="1"/>
  <c r="Z901" i="1"/>
  <c r="X901" i="1"/>
  <c r="V901" i="1"/>
  <c r="Z856" i="1"/>
  <c r="X856" i="1"/>
  <c r="V856" i="1"/>
  <c r="Z795" i="1"/>
  <c r="X795" i="1"/>
  <c r="V795" i="1"/>
  <c r="Z796" i="1"/>
  <c r="X796" i="1"/>
  <c r="V796" i="1"/>
  <c r="Z797" i="1"/>
  <c r="X797" i="1"/>
  <c r="V797" i="1"/>
  <c r="Z798" i="1"/>
  <c r="X798" i="1"/>
  <c r="V798" i="1"/>
  <c r="Z799" i="1"/>
  <c r="X799" i="1"/>
  <c r="V799" i="1"/>
  <c r="Z804" i="1"/>
  <c r="X804" i="1"/>
  <c r="V804" i="1"/>
  <c r="Z805" i="1"/>
  <c r="X805" i="1"/>
  <c r="V805" i="1"/>
  <c r="Z806" i="1"/>
  <c r="X806" i="1"/>
  <c r="V806" i="1"/>
  <c r="Z807" i="1"/>
  <c r="X807" i="1"/>
  <c r="V807" i="1"/>
  <c r="Z808" i="1"/>
  <c r="X808" i="1"/>
  <c r="V808" i="1"/>
  <c r="Z809" i="1"/>
  <c r="X809" i="1"/>
  <c r="V809" i="1"/>
  <c r="Z810" i="1"/>
  <c r="X810" i="1"/>
  <c r="V810" i="1"/>
  <c r="Z811" i="1"/>
  <c r="X811" i="1"/>
  <c r="V811" i="1"/>
  <c r="Z812" i="1"/>
  <c r="X812" i="1"/>
  <c r="V812" i="1"/>
  <c r="Z813" i="1"/>
  <c r="X813" i="1"/>
  <c r="V813" i="1"/>
  <c r="Z814" i="1"/>
  <c r="X814" i="1"/>
  <c r="V814" i="1"/>
  <c r="Z815" i="1"/>
  <c r="X815" i="1"/>
  <c r="V815" i="1"/>
  <c r="Z816" i="1"/>
  <c r="X816" i="1"/>
  <c r="V816" i="1"/>
  <c r="Z817" i="1"/>
  <c r="X817" i="1"/>
  <c r="V817" i="1"/>
  <c r="Z818" i="1"/>
  <c r="X818" i="1"/>
  <c r="V818" i="1"/>
  <c r="Z819" i="1"/>
  <c r="X819" i="1"/>
  <c r="V819" i="1"/>
  <c r="Z820" i="1"/>
  <c r="X820" i="1"/>
  <c r="V820" i="1"/>
  <c r="Z821" i="1"/>
  <c r="X821" i="1"/>
  <c r="V821" i="1"/>
  <c r="Z822" i="1"/>
  <c r="X822" i="1"/>
  <c r="V822" i="1"/>
  <c r="Z823" i="1"/>
  <c r="X823" i="1"/>
  <c r="V823" i="1"/>
  <c r="Z824" i="1"/>
  <c r="X824" i="1"/>
  <c r="V824" i="1"/>
  <c r="Z825" i="1"/>
  <c r="X825" i="1"/>
  <c r="V825" i="1"/>
  <c r="Z826" i="1"/>
  <c r="X826" i="1"/>
  <c r="V826" i="1"/>
  <c r="Z827" i="1"/>
  <c r="X827" i="1"/>
  <c r="V827" i="1"/>
  <c r="Z828" i="1"/>
  <c r="X828" i="1"/>
  <c r="V828" i="1"/>
  <c r="Z829" i="1"/>
  <c r="X829" i="1"/>
  <c r="V829" i="1"/>
  <c r="X830" i="1"/>
  <c r="V830" i="1"/>
  <c r="Z830" i="1"/>
  <c r="Z831" i="1"/>
  <c r="X831" i="1"/>
  <c r="V831" i="1"/>
  <c r="Z832" i="1"/>
  <c r="X832" i="1"/>
  <c r="V832" i="1"/>
  <c r="Z833" i="1"/>
  <c r="X833" i="1"/>
  <c r="V833" i="1"/>
  <c r="Z842" i="1"/>
  <c r="X842" i="1"/>
  <c r="V842" i="1"/>
  <c r="Z843" i="1"/>
  <c r="X843" i="1"/>
  <c r="V843" i="1"/>
  <c r="Z844" i="1"/>
  <c r="X844" i="1"/>
  <c r="V844" i="1"/>
  <c r="Z845" i="1"/>
  <c r="X845" i="1"/>
  <c r="V845" i="1"/>
  <c r="Z846" i="1"/>
  <c r="X846" i="1"/>
  <c r="V846" i="1"/>
  <c r="Z1019" i="1"/>
  <c r="X1019" i="1"/>
  <c r="V1019" i="1"/>
  <c r="Z1052" i="1"/>
  <c r="X1052" i="1"/>
  <c r="V1052" i="1"/>
  <c r="Z1053" i="1"/>
  <c r="X1053" i="1"/>
  <c r="V1053" i="1"/>
  <c r="Z1054" i="1"/>
  <c r="X1054" i="1"/>
  <c r="V1054" i="1"/>
  <c r="Z1055" i="1"/>
  <c r="X1055" i="1"/>
  <c r="V1055" i="1"/>
  <c r="Z1056" i="1"/>
  <c r="X1056" i="1"/>
  <c r="V1056" i="1"/>
  <c r="Z1094" i="1"/>
  <c r="X1094" i="1"/>
  <c r="V1094" i="1"/>
  <c r="Z1095" i="1"/>
  <c r="X1095" i="1"/>
  <c r="V1095" i="1"/>
  <c r="Z847" i="1"/>
  <c r="X847" i="1"/>
  <c r="V847" i="1"/>
  <c r="Z848" i="1"/>
  <c r="X848" i="1"/>
  <c r="V848" i="1"/>
  <c r="Z987" i="1"/>
  <c r="X987" i="1"/>
  <c r="V987" i="1"/>
  <c r="Z988" i="1"/>
  <c r="X988" i="1"/>
  <c r="V988" i="1"/>
  <c r="Z442" i="1"/>
  <c r="X442" i="1"/>
  <c r="V442" i="1"/>
  <c r="Q370" i="1"/>
  <c r="C56" i="6"/>
  <c r="L8" i="12"/>
  <c r="I7" i="12"/>
  <c r="I17" i="12" s="1"/>
  <c r="I23" i="12" s="1"/>
  <c r="F6" i="12"/>
  <c r="F16" i="12" s="1"/>
  <c r="L4" i="12"/>
  <c r="I3" i="12"/>
  <c r="F2" i="12"/>
  <c r="I8" i="12"/>
  <c r="I18" i="12" s="1"/>
  <c r="F7" i="12"/>
  <c r="L5" i="12"/>
  <c r="I4" i="12"/>
  <c r="I15" i="12" s="1"/>
  <c r="F3" i="12"/>
  <c r="L7" i="12"/>
  <c r="I6" i="12"/>
  <c r="I16" i="12" s="1"/>
  <c r="F5" i="12"/>
  <c r="L3" i="12"/>
  <c r="F8" i="12"/>
  <c r="F18" i="12" s="1"/>
  <c r="L2" i="12"/>
  <c r="M6" i="12"/>
  <c r="L6" i="12"/>
  <c r="I5" i="12"/>
  <c r="F4" i="12"/>
  <c r="I2" i="12"/>
  <c r="N123" i="7"/>
  <c r="N119" i="7"/>
  <c r="N124" i="7"/>
  <c r="N120" i="7"/>
  <c r="N125" i="7"/>
  <c r="N121" i="7"/>
  <c r="N122" i="7"/>
  <c r="N118" i="7"/>
  <c r="Q393" i="1"/>
  <c r="M6" i="9"/>
  <c r="M18" i="9" s="1"/>
  <c r="M26" i="9" s="1"/>
  <c r="L18" i="9"/>
  <c r="L26" i="9" s="1"/>
  <c r="J2" i="9"/>
  <c r="J8" i="9"/>
  <c r="N100" i="7"/>
  <c r="B6" i="9"/>
  <c r="N96" i="7"/>
  <c r="B2" i="9"/>
  <c r="N102" i="7"/>
  <c r="B8" i="9"/>
  <c r="N97" i="7"/>
  <c r="B3" i="9"/>
  <c r="N103" i="7"/>
  <c r="B9" i="9"/>
  <c r="N98" i="7"/>
  <c r="B4" i="9"/>
  <c r="N104" i="7"/>
  <c r="B10" i="9"/>
  <c r="B21" i="9" s="1"/>
  <c r="N99" i="7"/>
  <c r="B5" i="9"/>
  <c r="G9" i="9"/>
  <c r="M71" i="7"/>
  <c r="M5" i="7"/>
  <c r="M13" i="7"/>
  <c r="M29" i="7"/>
  <c r="M16" i="7"/>
  <c r="M155" i="7"/>
  <c r="M151" i="7"/>
  <c r="M143" i="7"/>
  <c r="M115" i="7"/>
  <c r="M127" i="7"/>
  <c r="M2" i="7"/>
  <c r="M68" i="7"/>
  <c r="M48" i="7"/>
  <c r="M44" i="7"/>
  <c r="M150" i="7"/>
  <c r="M85" i="7"/>
  <c r="M89" i="7"/>
  <c r="M107" i="7"/>
  <c r="M116" i="7"/>
  <c r="M33" i="7"/>
  <c r="M11" i="7"/>
  <c r="M3" i="7"/>
  <c r="M15" i="7"/>
  <c r="M100" i="7"/>
  <c r="M27" i="7"/>
  <c r="M18" i="7"/>
  <c r="M141" i="7"/>
  <c r="M136" i="7"/>
  <c r="M90" i="7"/>
  <c r="M42" i="7"/>
  <c r="M38" i="7"/>
  <c r="M34" i="7"/>
  <c r="M30" i="7"/>
  <c r="M8" i="7"/>
  <c r="M14" i="7"/>
  <c r="M105" i="7"/>
  <c r="M22" i="7"/>
  <c r="M152" i="7"/>
  <c r="M148" i="7"/>
  <c r="M144" i="7"/>
  <c r="M140" i="7"/>
  <c r="M131" i="7"/>
  <c r="M83" i="7"/>
  <c r="M104" i="7"/>
  <c r="M66" i="7"/>
  <c r="M137" i="7"/>
  <c r="M97" i="7"/>
  <c r="M129" i="7"/>
  <c r="C4" i="12"/>
  <c r="C15" i="12" s="1"/>
  <c r="D4" i="12"/>
  <c r="D15" i="12" s="1"/>
  <c r="D2" i="12"/>
  <c r="M110" i="7" l="1"/>
  <c r="M96" i="7"/>
  <c r="M74" i="7"/>
  <c r="M95" i="7"/>
  <c r="M112" i="7"/>
  <c r="M59" i="7"/>
  <c r="M102" i="7"/>
  <c r="M98" i="7"/>
  <c r="L91" i="7"/>
  <c r="M60" i="7"/>
  <c r="M134" i="7"/>
  <c r="M53" i="7"/>
  <c r="M99" i="7"/>
  <c r="M123" i="7"/>
  <c r="L118" i="7"/>
  <c r="M88" i="7"/>
  <c r="L88" i="7"/>
  <c r="M54" i="7"/>
  <c r="M122" i="7"/>
  <c r="M64" i="7"/>
  <c r="M142" i="7"/>
  <c r="M125" i="7"/>
  <c r="M57" i="7"/>
  <c r="M51" i="7"/>
  <c r="M92" i="7"/>
  <c r="L137" i="7"/>
  <c r="M55" i="7"/>
  <c r="M132" i="7"/>
  <c r="M93" i="7"/>
  <c r="M108" i="7"/>
  <c r="M120" i="7"/>
  <c r="M77" i="7"/>
  <c r="M67" i="7"/>
  <c r="M81" i="7"/>
  <c r="K113" i="7"/>
  <c r="K99" i="7"/>
  <c r="M121" i="7"/>
  <c r="L107" i="7"/>
  <c r="L154" i="7"/>
  <c r="L131" i="7"/>
  <c r="D20" i="6"/>
  <c r="E20" i="6" s="1"/>
  <c r="C21" i="6"/>
  <c r="L121" i="7"/>
  <c r="H238" i="7"/>
  <c r="F262" i="7" s="1"/>
  <c r="L70" i="7"/>
  <c r="H21" i="6"/>
  <c r="I21" i="6" s="1"/>
  <c r="F20" i="6"/>
  <c r="D21" i="6"/>
  <c r="G21" i="6" s="1"/>
  <c r="H20" i="6"/>
  <c r="L105" i="7"/>
  <c r="L124" i="7"/>
  <c r="M92" i="16"/>
  <c r="J239" i="7"/>
  <c r="H263" i="7" s="1"/>
  <c r="L125" i="7"/>
  <c r="L102" i="7"/>
  <c r="L95" i="7"/>
  <c r="E9" i="12"/>
  <c r="L81" i="7"/>
  <c r="L51" i="7"/>
  <c r="L133" i="7"/>
  <c r="K101" i="7"/>
  <c r="H18" i="12"/>
  <c r="H24" i="12" s="1"/>
  <c r="M17" i="12"/>
  <c r="M23" i="12" s="1"/>
  <c r="L139" i="7"/>
  <c r="G31" i="6"/>
  <c r="G32" i="6" s="1"/>
  <c r="L101" i="7"/>
  <c r="L20" i="9"/>
  <c r="L28" i="9" s="1"/>
  <c r="R46" i="12"/>
  <c r="R62" i="9"/>
  <c r="N7" i="9"/>
  <c r="R45" i="12"/>
  <c r="R73" i="9"/>
  <c r="R51" i="9"/>
  <c r="R44" i="12"/>
  <c r="I20" i="9"/>
  <c r="F20" i="9"/>
  <c r="C20" i="9"/>
  <c r="L66" i="7"/>
  <c r="L117" i="7"/>
  <c r="M20" i="9"/>
  <c r="M28" i="9" s="1"/>
  <c r="L74" i="7"/>
  <c r="K21" i="9"/>
  <c r="H21" i="9"/>
  <c r="E21" i="9"/>
  <c r="J20" i="9"/>
  <c r="N21" i="9"/>
  <c r="G20" i="9"/>
  <c r="H7" i="9"/>
  <c r="K7" i="9"/>
  <c r="L134" i="7"/>
  <c r="L113" i="7"/>
  <c r="L15" i="9"/>
  <c r="L23" i="9" s="1"/>
  <c r="L60" i="7"/>
  <c r="L67" i="7"/>
  <c r="L92" i="7"/>
  <c r="L122" i="7"/>
  <c r="M15" i="12"/>
  <c r="M21" i="12" s="1"/>
  <c r="M16" i="12"/>
  <c r="M22" i="12" s="1"/>
  <c r="L18" i="12"/>
  <c r="L24" i="12" s="1"/>
  <c r="L17" i="12"/>
  <c r="L23" i="12" s="1"/>
  <c r="L14" i="12"/>
  <c r="L20" i="12" s="1"/>
  <c r="M14" i="12"/>
  <c r="M20" i="12" s="1"/>
  <c r="L16" i="12"/>
  <c r="L15" i="12"/>
  <c r="L21" i="12" s="1"/>
  <c r="K9" i="12"/>
  <c r="H9" i="12"/>
  <c r="N9" i="12"/>
  <c r="O17" i="12" s="1"/>
  <c r="G14" i="12"/>
  <c r="L75" i="7"/>
  <c r="L129" i="7"/>
  <c r="L55" i="7"/>
  <c r="L98" i="7"/>
  <c r="L142" i="7"/>
  <c r="L130" i="7"/>
  <c r="L96" i="7"/>
  <c r="L195" i="7"/>
  <c r="L196" i="7"/>
  <c r="K94" i="7"/>
  <c r="L199" i="7"/>
  <c r="L197" i="7"/>
  <c r="L198" i="7"/>
  <c r="I236" i="7"/>
  <c r="G260" i="7" s="1"/>
  <c r="H239" i="7"/>
  <c r="F263" i="7" s="1"/>
  <c r="L193" i="7"/>
  <c r="H240" i="7"/>
  <c r="F264" i="7" s="1"/>
  <c r="L77" i="7"/>
  <c r="L53" i="7"/>
  <c r="L227" i="7"/>
  <c r="M197" i="7" s="1"/>
  <c r="L228" i="7"/>
  <c r="M198" i="7" s="1"/>
  <c r="L225" i="7"/>
  <c r="M195" i="7" s="1"/>
  <c r="L229" i="7"/>
  <c r="M199" i="7" s="1"/>
  <c r="K96" i="7"/>
  <c r="K125" i="7"/>
  <c r="K135" i="7"/>
  <c r="K124" i="7"/>
  <c r="L223" i="7"/>
  <c r="M193" i="7" s="1"/>
  <c r="K137" i="7"/>
  <c r="K53" i="7"/>
  <c r="K112" i="7"/>
  <c r="K31" i="6"/>
  <c r="K32" i="6" s="1"/>
  <c r="M106" i="7"/>
  <c r="K110" i="7"/>
  <c r="K66" i="7"/>
  <c r="K111" i="7"/>
  <c r="K118" i="7"/>
  <c r="K119" i="7"/>
  <c r="K59" i="7"/>
  <c r="K106" i="7"/>
  <c r="K103" i="7"/>
  <c r="K95" i="7"/>
  <c r="L106" i="7"/>
  <c r="K154" i="7"/>
  <c r="K100" i="7"/>
  <c r="K77" i="7"/>
  <c r="J14" i="12"/>
  <c r="I14" i="12"/>
  <c r="I20" i="12" s="1"/>
  <c r="K60" i="7"/>
  <c r="K82" i="7"/>
  <c r="K129" i="7"/>
  <c r="C31" i="6"/>
  <c r="C32" i="6" s="1"/>
  <c r="F14" i="12"/>
  <c r="K120" i="7"/>
  <c r="K131" i="7"/>
  <c r="K55" i="7"/>
  <c r="K109" i="7"/>
  <c r="K57" i="7"/>
  <c r="M109" i="7"/>
  <c r="K70" i="7"/>
  <c r="K133" i="7"/>
  <c r="E15" i="12"/>
  <c r="K15" i="12"/>
  <c r="K65" i="7"/>
  <c r="K75" i="7"/>
  <c r="K97" i="7"/>
  <c r="L109" i="7"/>
  <c r="K18" i="12"/>
  <c r="K24" i="12" s="1"/>
  <c r="K67" i="7"/>
  <c r="G24" i="12"/>
  <c r="G17" i="12"/>
  <c r="G23" i="12" s="1"/>
  <c r="G16" i="12"/>
  <c r="H16" i="12" s="1"/>
  <c r="H22" i="12" s="1"/>
  <c r="J16" i="12"/>
  <c r="K16" i="12" s="1"/>
  <c r="K22" i="12" s="1"/>
  <c r="J24" i="12"/>
  <c r="J17" i="12"/>
  <c r="M24" i="12"/>
  <c r="F17" i="12"/>
  <c r="F23" i="12" s="1"/>
  <c r="F15" i="12"/>
  <c r="H15" i="12" s="1"/>
  <c r="H21" i="12" s="1"/>
  <c r="K88" i="7"/>
  <c r="K93" i="7"/>
  <c r="K117" i="7"/>
  <c r="K158" i="7"/>
  <c r="K139" i="7"/>
  <c r="K91" i="7"/>
  <c r="K98" i="7"/>
  <c r="K130" i="7"/>
  <c r="K121" i="7"/>
  <c r="D31" i="6"/>
  <c r="D32" i="6" s="1"/>
  <c r="J31" i="6"/>
  <c r="J32" i="6" s="1"/>
  <c r="I31" i="6"/>
  <c r="I32" i="6" s="1"/>
  <c r="E31" i="6"/>
  <c r="E32" i="6" s="1"/>
  <c r="F31" i="6"/>
  <c r="F32" i="6" s="1"/>
  <c r="H31" i="6"/>
  <c r="H32" i="6" s="1"/>
  <c r="F61" i="6"/>
  <c r="M113" i="7"/>
  <c r="H249" i="7"/>
  <c r="N249" i="7" s="1"/>
  <c r="L158" i="7"/>
  <c r="L135" i="7"/>
  <c r="L100" i="7"/>
  <c r="L76" i="7"/>
  <c r="L65" i="7"/>
  <c r="L120" i="7"/>
  <c r="L64" i="7"/>
  <c r="M111" i="7"/>
  <c r="M75" i="7"/>
  <c r="M118" i="7"/>
  <c r="L111" i="7"/>
  <c r="E239" i="7"/>
  <c r="L108" i="7"/>
  <c r="M135" i="7"/>
  <c r="K64" i="7"/>
  <c r="M139" i="7"/>
  <c r="M130" i="7"/>
  <c r="L50" i="7"/>
  <c r="L112" i="7"/>
  <c r="J15" i="9"/>
  <c r="J23" i="9" s="1"/>
  <c r="G61" i="6"/>
  <c r="G15" i="9"/>
  <c r="G23" i="9" s="1"/>
  <c r="L230" i="7"/>
  <c r="M201" i="7" s="1"/>
  <c r="K122" i="7"/>
  <c r="M65" i="7"/>
  <c r="J240" i="7"/>
  <c r="H264" i="7" s="1"/>
  <c r="M94" i="7"/>
  <c r="L73" i="7"/>
  <c r="M73" i="7"/>
  <c r="I52" i="6"/>
  <c r="L93" i="7"/>
  <c r="B17" i="16"/>
  <c r="L54" i="7"/>
  <c r="I16" i="6"/>
  <c r="E43" i="6"/>
  <c r="F43" i="6"/>
  <c r="I43" i="6"/>
  <c r="D43" i="6"/>
  <c r="F52" i="6"/>
  <c r="K52" i="6"/>
  <c r="E240" i="7"/>
  <c r="L103" i="7"/>
  <c r="D5" i="9"/>
  <c r="D17" i="9" s="1"/>
  <c r="D25" i="9" s="1"/>
  <c r="L47" i="6"/>
  <c r="C52" i="6"/>
  <c r="M47" i="6"/>
  <c r="M60" i="6"/>
  <c r="N60" i="6" s="1"/>
  <c r="L60" i="6"/>
  <c r="C61" i="6"/>
  <c r="L56" i="6"/>
  <c r="M56" i="6"/>
  <c r="H43" i="6"/>
  <c r="K51" i="7"/>
  <c r="H52" i="6"/>
  <c r="M59" i="6"/>
  <c r="N59" i="6" s="1"/>
  <c r="L59" i="6"/>
  <c r="L51" i="6"/>
  <c r="M51" i="6"/>
  <c r="N51" i="6" s="1"/>
  <c r="L57" i="6"/>
  <c r="M57" i="6"/>
  <c r="N57" i="6" s="1"/>
  <c r="E61" i="6"/>
  <c r="J61" i="6"/>
  <c r="D52" i="6"/>
  <c r="L48" i="6"/>
  <c r="M48" i="6"/>
  <c r="N48" i="6" s="1"/>
  <c r="L214" i="7"/>
  <c r="M184" i="7" s="1"/>
  <c r="N184" i="7" s="1"/>
  <c r="L224" i="7"/>
  <c r="M194" i="7" s="1"/>
  <c r="L82" i="7"/>
  <c r="G52" i="6"/>
  <c r="J52" i="6"/>
  <c r="H61" i="6"/>
  <c r="M50" i="6"/>
  <c r="N50" i="6" s="1"/>
  <c r="L50" i="6"/>
  <c r="L58" i="6"/>
  <c r="M58" i="6"/>
  <c r="N58" i="6" s="1"/>
  <c r="M49" i="6"/>
  <c r="N49" i="6" s="1"/>
  <c r="L49" i="6"/>
  <c r="L41" i="6"/>
  <c r="E52" i="6"/>
  <c r="K61" i="6"/>
  <c r="I61" i="6"/>
  <c r="D61" i="6"/>
  <c r="B30" i="16"/>
  <c r="C2" i="12"/>
  <c r="K43" i="6"/>
  <c r="J43" i="6"/>
  <c r="M39" i="6"/>
  <c r="N39" i="6" s="1"/>
  <c r="H234" i="7"/>
  <c r="G43" i="6"/>
  <c r="M41" i="6"/>
  <c r="N41" i="6" s="1"/>
  <c r="H250" i="7"/>
  <c r="N250" i="7" s="1"/>
  <c r="G16" i="9"/>
  <c r="G24" i="9" s="1"/>
  <c r="B32" i="16"/>
  <c r="M40" i="6"/>
  <c r="N40" i="6" s="1"/>
  <c r="M91" i="7"/>
  <c r="L97" i="7"/>
  <c r="C43" i="6"/>
  <c r="M42" i="6"/>
  <c r="N42" i="6" s="1"/>
  <c r="M38" i="6"/>
  <c r="I234" i="7"/>
  <c r="G258" i="7" s="1"/>
  <c r="K3" i="9"/>
  <c r="H2" i="9"/>
  <c r="H4" i="9"/>
  <c r="H9" i="9"/>
  <c r="K26" i="9"/>
  <c r="H10" i="9"/>
  <c r="K10" i="9"/>
  <c r="K8" i="9"/>
  <c r="H26" i="9"/>
  <c r="K9" i="9"/>
  <c r="I16" i="9"/>
  <c r="I24" i="9" s="1"/>
  <c r="L210" i="7"/>
  <c r="M180" i="7" s="1"/>
  <c r="L221" i="7"/>
  <c r="M191" i="7" s="1"/>
  <c r="M50" i="7"/>
  <c r="L226" i="7"/>
  <c r="M196" i="7" s="1"/>
  <c r="M124" i="7"/>
  <c r="K2" i="9"/>
  <c r="H3" i="9"/>
  <c r="K6" i="9"/>
  <c r="R49" i="9"/>
  <c r="E235" i="7"/>
  <c r="L186" i="7"/>
  <c r="L205" i="7"/>
  <c r="M175" i="7" s="1"/>
  <c r="N175" i="7" s="1"/>
  <c r="L212" i="7"/>
  <c r="M182" i="7" s="1"/>
  <c r="L219" i="7"/>
  <c r="C238" i="7" s="1"/>
  <c r="C262" i="7" s="1"/>
  <c r="L222" i="7"/>
  <c r="M192" i="7" s="1"/>
  <c r="H248" i="7"/>
  <c r="N248" i="7" s="1"/>
  <c r="L123" i="7"/>
  <c r="K4" i="9"/>
  <c r="F15" i="9"/>
  <c r="F23" i="9" s="1"/>
  <c r="H25" i="9"/>
  <c r="K25" i="9"/>
  <c r="H5" i="9"/>
  <c r="J16" i="9"/>
  <c r="J24" i="9" s="1"/>
  <c r="B12" i="16"/>
  <c r="C19" i="9"/>
  <c r="C27" i="9" s="1"/>
  <c r="C18" i="9"/>
  <c r="C26" i="9" s="1"/>
  <c r="L119" i="7"/>
  <c r="C3" i="12"/>
  <c r="D3" i="12"/>
  <c r="D21" i="12" s="1"/>
  <c r="L200" i="7"/>
  <c r="N200" i="7" s="1"/>
  <c r="L204" i="7"/>
  <c r="I24" i="12"/>
  <c r="R67" i="12"/>
  <c r="R41" i="12"/>
  <c r="R38" i="12"/>
  <c r="N6" i="12"/>
  <c r="L171" i="7"/>
  <c r="N171" i="7" s="1"/>
  <c r="L192" i="7"/>
  <c r="G240" i="7"/>
  <c r="E264" i="7" s="1"/>
  <c r="L207" i="7"/>
  <c r="M177" i="7" s="1"/>
  <c r="N177" i="7" s="1"/>
  <c r="L209" i="7"/>
  <c r="M179" i="7" s="1"/>
  <c r="L216" i="7"/>
  <c r="M186" i="7" s="1"/>
  <c r="H8" i="9"/>
  <c r="H6" i="9"/>
  <c r="R68" i="12"/>
  <c r="L189" i="7"/>
  <c r="L30" i="6"/>
  <c r="G236" i="7"/>
  <c r="E260" i="7" s="1"/>
  <c r="L170" i="7"/>
  <c r="N170" i="7" s="1"/>
  <c r="L173" i="7"/>
  <c r="N173" i="7" s="1"/>
  <c r="L179" i="7"/>
  <c r="G235" i="7"/>
  <c r="L183" i="7"/>
  <c r="K202" i="7"/>
  <c r="L187" i="7"/>
  <c r="I240" i="7"/>
  <c r="G264" i="7" s="1"/>
  <c r="L206" i="7"/>
  <c r="M176" i="7" s="1"/>
  <c r="N176" i="7" s="1"/>
  <c r="L208" i="7"/>
  <c r="M178" i="7" s="1"/>
  <c r="L211" i="7"/>
  <c r="M181" i="7" s="1"/>
  <c r="L213" i="7"/>
  <c r="M183" i="7" s="1"/>
  <c r="L215" i="7"/>
  <c r="M185" i="7" s="1"/>
  <c r="L217" i="7"/>
  <c r="M187" i="7" s="1"/>
  <c r="L218" i="7"/>
  <c r="L220" i="7"/>
  <c r="M190" i="7" s="1"/>
  <c r="N190" i="7" s="1"/>
  <c r="H247" i="7"/>
  <c r="N247" i="7" s="1"/>
  <c r="L201" i="7"/>
  <c r="G239" i="7"/>
  <c r="E263" i="7" s="1"/>
  <c r="L194" i="7"/>
  <c r="F202" i="7"/>
  <c r="J202" i="7"/>
  <c r="K5" i="9"/>
  <c r="R74" i="9"/>
  <c r="R71" i="12"/>
  <c r="G21" i="12"/>
  <c r="R73" i="12"/>
  <c r="M64" i="12"/>
  <c r="O74" i="12"/>
  <c r="R57" i="12"/>
  <c r="N2" i="12"/>
  <c r="L64" i="12"/>
  <c r="R63" i="12"/>
  <c r="P64" i="12"/>
  <c r="R43" i="12"/>
  <c r="R40" i="12"/>
  <c r="H235" i="7"/>
  <c r="F259" i="7" s="1"/>
  <c r="G202" i="7"/>
  <c r="E202" i="7"/>
  <c r="C202" i="7"/>
  <c r="D202" i="7"/>
  <c r="R72" i="12"/>
  <c r="L74" i="12"/>
  <c r="R69" i="12"/>
  <c r="J64" i="12"/>
  <c r="P74" i="12"/>
  <c r="N64" i="12"/>
  <c r="R59" i="12"/>
  <c r="O64" i="12"/>
  <c r="R70" i="12"/>
  <c r="N7" i="12"/>
  <c r="N4" i="12"/>
  <c r="R58" i="9"/>
  <c r="R53" i="9"/>
  <c r="R58" i="12"/>
  <c r="Q64" i="12"/>
  <c r="Q74" i="12"/>
  <c r="R42" i="12"/>
  <c r="K64" i="12"/>
  <c r="M74" i="12"/>
  <c r="R39" i="12"/>
  <c r="N74" i="12"/>
  <c r="J74" i="12"/>
  <c r="R61" i="12"/>
  <c r="R62" i="12"/>
  <c r="R60" i="12"/>
  <c r="K74" i="12"/>
  <c r="J21" i="12"/>
  <c r="N5" i="12"/>
  <c r="N3" i="12"/>
  <c r="N8" i="12"/>
  <c r="E2" i="12"/>
  <c r="E14" i="6"/>
  <c r="D5" i="12"/>
  <c r="E3" i="12"/>
  <c r="R78" i="12"/>
  <c r="E5" i="6"/>
  <c r="E5" i="12"/>
  <c r="E8" i="12"/>
  <c r="E4" i="12"/>
  <c r="H8" i="12"/>
  <c r="K8" i="12"/>
  <c r="H3" i="12"/>
  <c r="K3" i="12"/>
  <c r="H7" i="12"/>
  <c r="K7" i="12"/>
  <c r="H4" i="12"/>
  <c r="K4" i="12"/>
  <c r="I64" i="12"/>
  <c r="R56" i="12"/>
  <c r="K2" i="12"/>
  <c r="H2" i="12"/>
  <c r="K5" i="12"/>
  <c r="H5" i="12"/>
  <c r="K6" i="12"/>
  <c r="H6" i="12"/>
  <c r="R76" i="12"/>
  <c r="I74" i="12"/>
  <c r="R66" i="12"/>
  <c r="I22" i="12"/>
  <c r="R37" i="12"/>
  <c r="I21" i="12"/>
  <c r="D2" i="9"/>
  <c r="D19" i="9" s="1"/>
  <c r="D27" i="9" s="1"/>
  <c r="D6" i="9"/>
  <c r="D18" i="9" s="1"/>
  <c r="D26" i="9" s="1"/>
  <c r="D3" i="9"/>
  <c r="D4" i="9"/>
  <c r="I6" i="6"/>
  <c r="L181" i="7"/>
  <c r="L182" i="7"/>
  <c r="L172" i="7"/>
  <c r="N172" i="7" s="1"/>
  <c r="I235" i="7"/>
  <c r="L16" i="9"/>
  <c r="L24" i="9" s="1"/>
  <c r="L39" i="6"/>
  <c r="I202" i="7"/>
  <c r="B53" i="9"/>
  <c r="B64" i="9" s="1"/>
  <c r="B75" i="9" s="1"/>
  <c r="B86" i="9" s="1"/>
  <c r="B47" i="9"/>
  <c r="B58" i="9" s="1"/>
  <c r="B69" i="9" s="1"/>
  <c r="B80" i="9" s="1"/>
  <c r="F19" i="9"/>
  <c r="F27" i="9" s="1"/>
  <c r="N18" i="9"/>
  <c r="M19" i="9"/>
  <c r="M27" i="9" s="1"/>
  <c r="N17" i="9"/>
  <c r="K17" i="9"/>
  <c r="R47" i="9"/>
  <c r="R61" i="9"/>
  <c r="R64" i="9"/>
  <c r="B49" i="9"/>
  <c r="B60" i="9" s="1"/>
  <c r="B71" i="9" s="1"/>
  <c r="B82" i="9" s="1"/>
  <c r="B52" i="9"/>
  <c r="B63" i="9" s="1"/>
  <c r="B74" i="9" s="1"/>
  <c r="B85" i="9" s="1"/>
  <c r="R57" i="9"/>
  <c r="L180" i="7"/>
  <c r="L191" i="7"/>
  <c r="H237" i="7"/>
  <c r="F261" i="7" s="1"/>
  <c r="J235" i="7"/>
  <c r="E234" i="7"/>
  <c r="H202" i="7"/>
  <c r="C15" i="9"/>
  <c r="C23" i="9" s="1"/>
  <c r="N10" i="9"/>
  <c r="O21" i="9" s="1"/>
  <c r="M15" i="9"/>
  <c r="M23" i="9" s="1"/>
  <c r="I15" i="9"/>
  <c r="I23" i="9" s="1"/>
  <c r="N2" i="9"/>
  <c r="O19" i="9" s="1"/>
  <c r="O27" i="9" s="1"/>
  <c r="R54" i="9"/>
  <c r="R76" i="9"/>
  <c r="R59" i="9"/>
  <c r="R87" i="9"/>
  <c r="B54" i="9"/>
  <c r="B65" i="9" s="1"/>
  <c r="B76" i="9" s="1"/>
  <c r="B87" i="9" s="1"/>
  <c r="G19" i="9"/>
  <c r="G27" i="9" s="1"/>
  <c r="B46" i="9"/>
  <c r="B57" i="9" s="1"/>
  <c r="B68" i="9" s="1"/>
  <c r="B79" i="9" s="1"/>
  <c r="K18" i="9"/>
  <c r="J19" i="9"/>
  <c r="J27" i="9" s="1"/>
  <c r="H18" i="9"/>
  <c r="L19" i="9"/>
  <c r="E3" i="9"/>
  <c r="N6" i="9"/>
  <c r="O18" i="9" s="1"/>
  <c r="O26" i="9" s="1"/>
  <c r="N26" i="9" s="1"/>
  <c r="L41" i="9" s="1"/>
  <c r="N3" i="9"/>
  <c r="N8" i="9"/>
  <c r="R63" i="9"/>
  <c r="R52" i="9"/>
  <c r="R71" i="9"/>
  <c r="R69" i="9"/>
  <c r="R48" i="9"/>
  <c r="R65" i="9"/>
  <c r="R50" i="9"/>
  <c r="R72" i="9"/>
  <c r="R75" i="9"/>
  <c r="B48" i="9"/>
  <c r="B59" i="9" s="1"/>
  <c r="B70" i="9" s="1"/>
  <c r="B81" i="9" s="1"/>
  <c r="B50" i="9"/>
  <c r="B61" i="9" s="1"/>
  <c r="B72" i="9" s="1"/>
  <c r="B83" i="9" s="1"/>
  <c r="H17" i="9"/>
  <c r="I19" i="9"/>
  <c r="R46" i="9"/>
  <c r="R68" i="9"/>
  <c r="L185" i="7"/>
  <c r="N9" i="9"/>
  <c r="N4" i="9"/>
  <c r="F16" i="9"/>
  <c r="F24" i="9" s="1"/>
  <c r="M16" i="9"/>
  <c r="N5" i="9"/>
  <c r="O17" i="9" s="1"/>
  <c r="O25" i="9" s="1"/>
  <c r="N25" i="9" s="1"/>
  <c r="L40" i="9" s="1"/>
  <c r="R60" i="9"/>
  <c r="R70" i="9"/>
  <c r="E2" i="9"/>
  <c r="E5" i="9"/>
  <c r="E4" i="9"/>
  <c r="E10" i="9"/>
  <c r="E6" i="9"/>
  <c r="E8" i="9"/>
  <c r="E9" i="9"/>
  <c r="G238" i="7"/>
  <c r="M154" i="7"/>
  <c r="I237" i="7"/>
  <c r="G261" i="7" s="1"/>
  <c r="I239" i="7"/>
  <c r="L29" i="6"/>
  <c r="L28" i="6"/>
  <c r="L178" i="7"/>
  <c r="M70" i="7"/>
  <c r="G237" i="7"/>
  <c r="E261" i="7" s="1"/>
  <c r="H236" i="7"/>
  <c r="I238" i="7"/>
  <c r="L59" i="7"/>
  <c r="L40" i="6"/>
  <c r="L42" i="6"/>
  <c r="E8" i="6"/>
  <c r="E13" i="6"/>
  <c r="L38" i="6"/>
  <c r="E7" i="6"/>
  <c r="I4" i="6"/>
  <c r="G6" i="6"/>
  <c r="E4" i="6"/>
  <c r="E6" i="6"/>
  <c r="I7" i="6"/>
  <c r="I14" i="6"/>
  <c r="I5" i="6"/>
  <c r="H17" i="6"/>
  <c r="G15" i="6"/>
  <c r="I8" i="6"/>
  <c r="G13" i="6"/>
  <c r="H9" i="6"/>
  <c r="D9" i="6"/>
  <c r="G7" i="6"/>
  <c r="I15" i="6"/>
  <c r="G5" i="6"/>
  <c r="G16" i="6"/>
  <c r="I13" i="6"/>
  <c r="F17" i="6"/>
  <c r="G8" i="6"/>
  <c r="D17" i="6"/>
  <c r="G4" i="6"/>
  <c r="G14" i="6"/>
  <c r="L27" i="6"/>
  <c r="F9" i="6"/>
  <c r="D8" i="9"/>
  <c r="D7" i="12"/>
  <c r="C17" i="9"/>
  <c r="C25" i="9" s="1"/>
  <c r="D9" i="9"/>
  <c r="D20" i="9" s="1"/>
  <c r="E6" i="12"/>
  <c r="E7" i="12"/>
  <c r="G20" i="6" l="1"/>
  <c r="N16" i="12"/>
  <c r="I20" i="6"/>
  <c r="E21" i="6"/>
  <c r="O16" i="12"/>
  <c r="M72" i="16"/>
  <c r="H94" i="16"/>
  <c r="M25" i="16"/>
  <c r="O20" i="9"/>
  <c r="O28" i="9" s="1"/>
  <c r="N28" i="9" s="1"/>
  <c r="N18" i="12"/>
  <c r="N24" i="12" s="1"/>
  <c r="L33" i="12" s="1"/>
  <c r="M33" i="12" s="1"/>
  <c r="E20" i="9"/>
  <c r="H20" i="9"/>
  <c r="K20" i="9"/>
  <c r="E262" i="7"/>
  <c r="D262" i="7" s="1"/>
  <c r="O16" i="9"/>
  <c r="O24" i="9" s="1"/>
  <c r="O15" i="12"/>
  <c r="N20" i="9"/>
  <c r="O15" i="9"/>
  <c r="O23" i="9" s="1"/>
  <c r="N23" i="9" s="1"/>
  <c r="L38" i="9" s="1"/>
  <c r="G259" i="7"/>
  <c r="O14" i="12"/>
  <c r="B6" i="16"/>
  <c r="N17" i="12"/>
  <c r="N23" i="12" s="1"/>
  <c r="L32" i="12" s="1"/>
  <c r="M32" i="12" s="1"/>
  <c r="N15" i="12"/>
  <c r="B18" i="16"/>
  <c r="K17" i="12"/>
  <c r="K23" i="12" s="1"/>
  <c r="I33" i="12" s="1"/>
  <c r="J33" i="12" s="1"/>
  <c r="J23" i="12"/>
  <c r="B43" i="16"/>
  <c r="H14" i="12"/>
  <c r="H20" i="12" s="1"/>
  <c r="N195" i="7"/>
  <c r="N197" i="7"/>
  <c r="M174" i="7"/>
  <c r="N174" i="7" s="1"/>
  <c r="L231" i="7"/>
  <c r="N183" i="7"/>
  <c r="N199" i="7"/>
  <c r="N187" i="7"/>
  <c r="N198" i="7"/>
  <c r="N196" i="7"/>
  <c r="N193" i="7"/>
  <c r="C239" i="7"/>
  <c r="C263" i="7" s="1"/>
  <c r="C281" i="7" s="1"/>
  <c r="K14" i="12"/>
  <c r="K20" i="12" s="1"/>
  <c r="I29" i="12" s="1"/>
  <c r="J29" i="12" s="1"/>
  <c r="G22" i="12"/>
  <c r="N186" i="7"/>
  <c r="D14" i="12"/>
  <c r="D20" i="12" s="1"/>
  <c r="N14" i="12"/>
  <c r="C14" i="12"/>
  <c r="C20" i="12" s="1"/>
  <c r="F20" i="12"/>
  <c r="K16" i="9"/>
  <c r="N180" i="7"/>
  <c r="J22" i="12"/>
  <c r="N182" i="7"/>
  <c r="H17" i="12"/>
  <c r="H23" i="12" s="1"/>
  <c r="D24" i="12"/>
  <c r="D17" i="12"/>
  <c r="D23" i="12" s="1"/>
  <c r="F21" i="12"/>
  <c r="F30" i="12" s="1"/>
  <c r="G30" i="12" s="1"/>
  <c r="F24" i="12"/>
  <c r="F22" i="12"/>
  <c r="F31" i="12" s="1"/>
  <c r="G31" i="12" s="1"/>
  <c r="C236" i="7"/>
  <c r="C260" i="7" s="1"/>
  <c r="C278" i="7" s="1"/>
  <c r="K23" i="9"/>
  <c r="I38" i="9" s="1"/>
  <c r="J38" i="9" s="1"/>
  <c r="N201" i="7"/>
  <c r="N192" i="7"/>
  <c r="N181" i="7"/>
  <c r="H24" i="9"/>
  <c r="C240" i="7"/>
  <c r="C264" i="7" s="1"/>
  <c r="M188" i="7"/>
  <c r="N188" i="7" s="1"/>
  <c r="F240" i="7"/>
  <c r="K240" i="7" s="1"/>
  <c r="E18" i="9"/>
  <c r="M189" i="7"/>
  <c r="N189" i="7" s="1"/>
  <c r="I17" i="6"/>
  <c r="F234" i="7"/>
  <c r="K234" i="7" s="1"/>
  <c r="N179" i="7"/>
  <c r="C237" i="7"/>
  <c r="C261" i="7" s="1"/>
  <c r="D261" i="7" s="1"/>
  <c r="N194" i="7"/>
  <c r="L31" i="6"/>
  <c r="C235" i="7"/>
  <c r="C259" i="7" s="1"/>
  <c r="C277" i="7" s="1"/>
  <c r="C234" i="7"/>
  <c r="C258" i="7" s="1"/>
  <c r="N185" i="7"/>
  <c r="N191" i="7"/>
  <c r="H15" i="9"/>
  <c r="H23" i="9"/>
  <c r="F38" i="9" s="1"/>
  <c r="G38" i="9" s="1"/>
  <c r="L43" i="6"/>
  <c r="L44" i="6" s="1"/>
  <c r="R82" i="9"/>
  <c r="D6" i="12"/>
  <c r="R77" i="12"/>
  <c r="L52" i="6"/>
  <c r="N47" i="6"/>
  <c r="N52" i="6" s="1"/>
  <c r="M52" i="6"/>
  <c r="L61" i="6"/>
  <c r="N56" i="6"/>
  <c r="N61" i="6" s="1"/>
  <c r="M61" i="6"/>
  <c r="M62" i="6" s="1"/>
  <c r="B36" i="16"/>
  <c r="G17" i="6"/>
  <c r="F236" i="7"/>
  <c r="K236" i="7" s="1"/>
  <c r="F260" i="7"/>
  <c r="F239" i="7"/>
  <c r="K239" i="7" s="1"/>
  <c r="G263" i="7"/>
  <c r="F235" i="7"/>
  <c r="K235" i="7" s="1"/>
  <c r="H259" i="7"/>
  <c r="B39" i="16"/>
  <c r="B33" i="16"/>
  <c r="C280" i="7"/>
  <c r="B31" i="16"/>
  <c r="R80" i="9"/>
  <c r="K24" i="9"/>
  <c r="B42" i="16"/>
  <c r="B40" i="16"/>
  <c r="N38" i="6"/>
  <c r="N43" i="6" s="1"/>
  <c r="M43" i="6"/>
  <c r="B29" i="16"/>
  <c r="F258" i="7"/>
  <c r="C270" i="7"/>
  <c r="B11" i="16"/>
  <c r="G20" i="12"/>
  <c r="H27" i="9"/>
  <c r="F42" i="9" s="1"/>
  <c r="G42" i="9" s="1"/>
  <c r="E241" i="7"/>
  <c r="N16" i="9"/>
  <c r="M24" i="9"/>
  <c r="K19" i="9"/>
  <c r="I27" i="9"/>
  <c r="N19" i="9"/>
  <c r="L27" i="9"/>
  <c r="B7" i="16"/>
  <c r="J20" i="12"/>
  <c r="K21" i="12"/>
  <c r="I30" i="12" s="1"/>
  <c r="J30" i="12" s="1"/>
  <c r="L22" i="12"/>
  <c r="R79" i="9"/>
  <c r="I241" i="7"/>
  <c r="C7" i="12"/>
  <c r="C17" i="12" s="1"/>
  <c r="C23" i="12" s="1"/>
  <c r="I31" i="12"/>
  <c r="J31" i="12" s="1"/>
  <c r="C5" i="12"/>
  <c r="R86" i="9"/>
  <c r="C6" i="12"/>
  <c r="C8" i="12"/>
  <c r="C18" i="12" s="1"/>
  <c r="E18" i="12" s="1"/>
  <c r="R83" i="9"/>
  <c r="E27" i="9"/>
  <c r="C42" i="9" s="1"/>
  <c r="D42" i="9" s="1"/>
  <c r="D15" i="9"/>
  <c r="D23" i="9" s="1"/>
  <c r="E19" i="9"/>
  <c r="D16" i="9"/>
  <c r="D24" i="9" s="1"/>
  <c r="R81" i="9"/>
  <c r="F40" i="9"/>
  <c r="G40" i="9" s="1"/>
  <c r="F41" i="9"/>
  <c r="G41" i="9" s="1"/>
  <c r="G241" i="7"/>
  <c r="N15" i="9"/>
  <c r="N178" i="7"/>
  <c r="F237" i="7"/>
  <c r="K237" i="7" s="1"/>
  <c r="I40" i="9"/>
  <c r="J40" i="9" s="1"/>
  <c r="H16" i="9"/>
  <c r="E17" i="9"/>
  <c r="C16" i="9"/>
  <c r="C24" i="9" s="1"/>
  <c r="H19" i="9"/>
  <c r="K15" i="9"/>
  <c r="M41" i="9"/>
  <c r="R85" i="9"/>
  <c r="H241" i="7"/>
  <c r="F238" i="7"/>
  <c r="K238" i="7" s="1"/>
  <c r="C9" i="6"/>
  <c r="E9" i="6" s="1"/>
  <c r="I9" i="6"/>
  <c r="E16" i="6"/>
  <c r="L26" i="6"/>
  <c r="G9" i="6"/>
  <c r="N22" i="12" l="1"/>
  <c r="L31" i="12" s="1"/>
  <c r="M31" i="12" s="1"/>
  <c r="M53" i="6"/>
  <c r="M54" i="6" s="1"/>
  <c r="M44" i="6"/>
  <c r="M45" i="6" s="1"/>
  <c r="Q33" i="15"/>
  <c r="Q32" i="15" s="1"/>
  <c r="P32" i="15" s="1"/>
  <c r="H88" i="16"/>
  <c r="M88" i="16" s="1"/>
  <c r="N24" i="16"/>
  <c r="I32" i="12"/>
  <c r="J32" i="12" s="1"/>
  <c r="D25" i="16"/>
  <c r="M94" i="16"/>
  <c r="D24" i="16"/>
  <c r="J68" i="16"/>
  <c r="J3" i="16"/>
  <c r="D3" i="16" s="1"/>
  <c r="N24" i="9"/>
  <c r="L39" i="9" s="1"/>
  <c r="M39" i="9" s="1"/>
  <c r="N27" i="9"/>
  <c r="L42" i="9" s="1"/>
  <c r="M42" i="9" s="1"/>
  <c r="N20" i="12"/>
  <c r="L29" i="12" s="1"/>
  <c r="M29" i="12" s="1"/>
  <c r="N21" i="12"/>
  <c r="L30" i="12" s="1"/>
  <c r="M30" i="12" s="1"/>
  <c r="B10" i="16"/>
  <c r="F29" i="12"/>
  <c r="G29" i="12" s="1"/>
  <c r="L32" i="6"/>
  <c r="C279" i="7"/>
  <c r="B25" i="16"/>
  <c r="E14" i="12"/>
  <c r="E20" i="12" s="1"/>
  <c r="C29" i="12" s="1"/>
  <c r="D29" i="12" s="1"/>
  <c r="F32" i="12"/>
  <c r="G32" i="12" s="1"/>
  <c r="D260" i="7"/>
  <c r="E17" i="12"/>
  <c r="E23" i="12" s="1"/>
  <c r="C16" i="12"/>
  <c r="C22" i="12" s="1"/>
  <c r="D16" i="12"/>
  <c r="D22" i="12" s="1"/>
  <c r="F33" i="12"/>
  <c r="G33" i="12" s="1"/>
  <c r="D239" i="7"/>
  <c r="D263" i="7"/>
  <c r="D240" i="7"/>
  <c r="D236" i="7"/>
  <c r="D259" i="7"/>
  <c r="D234" i="7"/>
  <c r="C241" i="7"/>
  <c r="D235" i="7"/>
  <c r="R81" i="12"/>
  <c r="E270" i="7"/>
  <c r="C276" i="7"/>
  <c r="D258" i="7"/>
  <c r="B24" i="16"/>
  <c r="B23" i="16"/>
  <c r="B16" i="16"/>
  <c r="B15" i="16"/>
  <c r="C282" i="7"/>
  <c r="D264" i="7"/>
  <c r="K27" i="9"/>
  <c r="I42" i="9" s="1"/>
  <c r="J42" i="9" s="1"/>
  <c r="E24" i="12"/>
  <c r="C24" i="12"/>
  <c r="R82" i="12"/>
  <c r="I41" i="9"/>
  <c r="J41" i="9" s="1"/>
  <c r="R79" i="12"/>
  <c r="E21" i="12"/>
  <c r="C21" i="12"/>
  <c r="R80" i="12"/>
  <c r="R83" i="12"/>
  <c r="E15" i="9"/>
  <c r="E16" i="9"/>
  <c r="M38" i="9"/>
  <c r="E23" i="9"/>
  <c r="C38" i="9" s="1"/>
  <c r="D38" i="9" s="1"/>
  <c r="E26" i="9"/>
  <c r="C41" i="9" s="1"/>
  <c r="D41" i="9" s="1"/>
  <c r="I39" i="9"/>
  <c r="J39" i="9" s="1"/>
  <c r="D237" i="7"/>
  <c r="M40" i="9"/>
  <c r="E25" i="9"/>
  <c r="C40" i="9" s="1"/>
  <c r="D40" i="9" s="1"/>
  <c r="F39" i="9"/>
  <c r="G39" i="9" s="1"/>
  <c r="D238" i="7"/>
  <c r="F241" i="7"/>
  <c r="E15" i="6"/>
  <c r="C17" i="6"/>
  <c r="E17" i="6" s="1"/>
  <c r="L33" i="6" l="1"/>
  <c r="L34" i="6"/>
  <c r="L35" i="6" s="1"/>
  <c r="J69" i="16"/>
  <c r="O2" i="15"/>
  <c r="O32" i="15" s="1"/>
  <c r="H102" i="16"/>
  <c r="D2" i="16"/>
  <c r="C32" i="12"/>
  <c r="D32" i="12" s="1"/>
  <c r="E16" i="12"/>
  <c r="E22" i="12" s="1"/>
  <c r="C31" i="12" s="1"/>
  <c r="D31" i="12" s="1"/>
  <c r="K241" i="7"/>
  <c r="H68" i="16"/>
  <c r="B22" i="16"/>
  <c r="H3" i="16"/>
  <c r="B3" i="16" s="1"/>
  <c r="B26" i="16"/>
  <c r="B41" i="16"/>
  <c r="B9" i="16"/>
  <c r="C30" i="12"/>
  <c r="D30" i="12" s="1"/>
  <c r="C33" i="12"/>
  <c r="D33" i="12" s="1"/>
  <c r="E24" i="9"/>
  <c r="C39" i="9" s="1"/>
  <c r="D39" i="9" s="1"/>
  <c r="D241" i="7"/>
  <c r="M68" i="16" l="1"/>
  <c r="R2" i="16"/>
  <c r="M2" i="16"/>
  <c r="O2" i="16"/>
  <c r="Q2" i="16"/>
  <c r="P2" i="16"/>
  <c r="N2" i="16"/>
  <c r="H69" i="16"/>
  <c r="M69" i="16" s="1"/>
  <c r="B2" i="16"/>
  <c r="D242" i="7"/>
  <c r="D244" i="7" s="1"/>
  <c r="C271" i="7"/>
  <c r="E271" i="7" l="1"/>
  <c r="C272" i="7"/>
  <c r="D271" i="7" s="1"/>
  <c r="D268" i="7" l="1"/>
  <c r="D269" i="7"/>
  <c r="D270" i="7"/>
  <c r="D273" i="7" l="1"/>
  <c r="E277" i="7"/>
  <c r="D281" i="7"/>
  <c r="D280" i="7"/>
  <c r="E281" i="7"/>
  <c r="E278" i="7"/>
  <c r="D278" i="7"/>
  <c r="D277" i="7"/>
  <c r="D279" i="7"/>
  <c r="E279" i="7"/>
  <c r="E276" i="7"/>
  <c r="E280" i="7"/>
  <c r="D282" i="7"/>
  <c r="E282" i="7"/>
  <c r="D276" i="7"/>
  <c r="F279" i="7"/>
  <c r="F277" i="7"/>
  <c r="F280" i="7"/>
  <c r="F281" i="7"/>
  <c r="F278" i="7"/>
  <c r="F282" i="7"/>
  <c r="F276" i="7"/>
  <c r="AG268" i="17" l="1"/>
  <c r="AH268" i="17"/>
  <c r="AG269" i="17"/>
  <c r="AH269" i="17"/>
  <c r="AI208" i="17"/>
  <c r="AK208" i="17" s="1"/>
  <c r="AI215" i="17"/>
  <c r="AI211" i="17"/>
  <c r="AH216" i="17"/>
  <c r="AH212" i="17"/>
  <c r="AH207" i="17"/>
  <c r="AH201" i="17"/>
  <c r="AH198" i="17"/>
  <c r="AH190" i="17"/>
  <c r="AI206" i="17"/>
  <c r="AH214" i="17"/>
  <c r="AH210" i="17"/>
  <c r="AH205" i="17"/>
  <c r="AI207" i="17"/>
  <c r="AI214" i="17"/>
  <c r="AI210" i="17"/>
  <c r="AK210" i="17" s="1"/>
  <c r="AH222" i="17"/>
  <c r="AH215" i="17"/>
  <c r="AH211" i="17"/>
  <c r="AH206" i="17"/>
  <c r="AH200" i="17"/>
  <c r="AI201" i="17"/>
  <c r="AI205" i="17"/>
  <c r="AI212" i="17"/>
  <c r="AH220" i="17"/>
  <c r="AH213" i="17"/>
  <c r="AH208" i="17"/>
  <c r="AH203" i="17"/>
  <c r="AH202" i="17" s="1"/>
  <c r="K53" i="16" s="1"/>
  <c r="AI198" i="17"/>
  <c r="AI190" i="17"/>
  <c r="AI213" i="17"/>
  <c r="AK213" i="17" s="1"/>
  <c r="AH221" i="17"/>
  <c r="AI222" i="17"/>
  <c r="AI233" i="17"/>
  <c r="AK233" i="17" s="1"/>
  <c r="AI231" i="17"/>
  <c r="AI228" i="17"/>
  <c r="AK228" i="17" s="1"/>
  <c r="AH233" i="17"/>
  <c r="AH231" i="17"/>
  <c r="AI230" i="17"/>
  <c r="AH228" i="17"/>
  <c r="AI232" i="17"/>
  <c r="AK232" i="17" s="1"/>
  <c r="AH230" i="17"/>
  <c r="AI229" i="17"/>
  <c r="AK229" i="17" s="1"/>
  <c r="AH232" i="17"/>
  <c r="AH229" i="17"/>
  <c r="AG265" i="17"/>
  <c r="AH265" i="17"/>
  <c r="AJ265" i="17" s="1"/>
  <c r="AI221" i="17"/>
  <c r="AK221" i="17" s="1"/>
  <c r="AH218" i="17"/>
  <c r="AI220" i="17"/>
  <c r="AI219" i="17"/>
  <c r="AH219" i="17"/>
  <c r="AI218" i="17"/>
  <c r="AI224" i="17"/>
  <c r="AH224" i="17"/>
  <c r="AH226" i="17"/>
  <c r="AI225" i="17"/>
  <c r="AI197" i="17"/>
  <c r="AK197" i="17" s="1"/>
  <c r="AH194" i="17"/>
  <c r="AI193" i="17"/>
  <c r="AI187" i="17"/>
  <c r="AK187" i="17" s="1"/>
  <c r="AI216" i="17"/>
  <c r="AK216" i="17" s="1"/>
  <c r="AI200" i="17"/>
  <c r="AI196" i="17"/>
  <c r="AK196" i="17" s="1"/>
  <c r="AI203" i="17"/>
  <c r="AI202" i="17" s="1"/>
  <c r="I53" i="16" s="1"/>
  <c r="AH196" i="17"/>
  <c r="AI191" i="17"/>
  <c r="AK191" i="17" s="1"/>
  <c r="AI189" i="17"/>
  <c r="AH227" i="17"/>
  <c r="AI226" i="17"/>
  <c r="AH195" i="17"/>
  <c r="AI194" i="17"/>
  <c r="AK194" i="17" s="1"/>
  <c r="AH191" i="17"/>
  <c r="AH189" i="17"/>
  <c r="AH225" i="17"/>
  <c r="AH197" i="17"/>
  <c r="AH193" i="17"/>
  <c r="AH187" i="17"/>
  <c r="AI227" i="17"/>
  <c r="AK227" i="17" s="1"/>
  <c r="AI195" i="17"/>
  <c r="AF157" i="17"/>
  <c r="AE157" i="17"/>
  <c r="AE158" i="17"/>
  <c r="K18" i="16" s="1"/>
  <c r="AF158" i="17"/>
  <c r="I18" i="16" s="1"/>
  <c r="C18" i="16" s="1"/>
  <c r="AE146" i="17"/>
  <c r="K12" i="16" s="1"/>
  <c r="AF142" i="17"/>
  <c r="AF149" i="17"/>
  <c r="AE142" i="17"/>
  <c r="AE149" i="17"/>
  <c r="AF146" i="17"/>
  <c r="I12" i="16" s="1"/>
  <c r="AE140" i="17"/>
  <c r="K34" i="16" s="1"/>
  <c r="AE138" i="17"/>
  <c r="K33" i="16" s="1"/>
  <c r="K99" i="16" s="1"/>
  <c r="AE136" i="17"/>
  <c r="AE134" i="17"/>
  <c r="K32" i="16" s="1"/>
  <c r="AF131" i="17"/>
  <c r="I29" i="16" s="1"/>
  <c r="AF132" i="17"/>
  <c r="AH132" i="17" s="1"/>
  <c r="AF139" i="17"/>
  <c r="I35" i="16" s="1"/>
  <c r="AF137" i="17"/>
  <c r="AF135" i="17"/>
  <c r="I30" i="16" s="1"/>
  <c r="AF133" i="17"/>
  <c r="I31" i="16" s="1"/>
  <c r="AE132" i="17"/>
  <c r="AE139" i="17"/>
  <c r="K35" i="16" s="1"/>
  <c r="AE137" i="17"/>
  <c r="AE135" i="17"/>
  <c r="K30" i="16" s="1"/>
  <c r="AE133" i="17"/>
  <c r="K31" i="16" s="1"/>
  <c r="AF140" i="17"/>
  <c r="AF138" i="17"/>
  <c r="I33" i="16" s="1"/>
  <c r="I99" i="16" s="1"/>
  <c r="AF136" i="17"/>
  <c r="AF134" i="17"/>
  <c r="I32" i="16" s="1"/>
  <c r="AE131" i="17"/>
  <c r="K29" i="16" s="1"/>
  <c r="K95" i="16" s="1"/>
  <c r="AE151" i="17"/>
  <c r="AF145" i="17"/>
  <c r="AF151" i="17"/>
  <c r="AE156" i="17"/>
  <c r="K16" i="16" s="1"/>
  <c r="AE145" i="17"/>
  <c r="AF150" i="17"/>
  <c r="I36" i="16" s="1"/>
  <c r="AE150" i="17"/>
  <c r="K36" i="16" s="1"/>
  <c r="AF156" i="17"/>
  <c r="I16" i="16" s="1"/>
  <c r="C16" i="16" s="1"/>
  <c r="AE155" i="17"/>
  <c r="K15" i="16" s="1"/>
  <c r="AF155" i="17"/>
  <c r="I15" i="16" s="1"/>
  <c r="C15" i="16" s="1"/>
  <c r="AE165" i="17"/>
  <c r="AE163" i="17"/>
  <c r="AF166" i="17"/>
  <c r="AE166" i="17"/>
  <c r="AF159" i="17"/>
  <c r="I19" i="16" s="1"/>
  <c r="C19" i="16" s="1"/>
  <c r="AF163" i="17"/>
  <c r="AF165" i="17"/>
  <c r="AF164" i="17"/>
  <c r="AF167" i="17"/>
  <c r="AE164" i="17"/>
  <c r="AE159" i="17"/>
  <c r="K19" i="16" s="1"/>
  <c r="AF148" i="17"/>
  <c r="I10" i="16" s="1"/>
  <c r="C10" i="16" s="1"/>
  <c r="AF144" i="17"/>
  <c r="AE147" i="17"/>
  <c r="K9" i="16" s="1"/>
  <c r="AE167" i="17"/>
  <c r="AF147" i="17"/>
  <c r="I9" i="16" s="1"/>
  <c r="AE144" i="17"/>
  <c r="AE148" i="17"/>
  <c r="K10" i="16" s="1"/>
  <c r="AF143" i="17"/>
  <c r="I6" i="16" s="1"/>
  <c r="C6" i="16" s="1"/>
  <c r="AE143" i="17"/>
  <c r="K6" i="16" s="1"/>
  <c r="AE161" i="17"/>
  <c r="AF161" i="17"/>
  <c r="AH161" i="17" s="1"/>
  <c r="AF152" i="17"/>
  <c r="AH152" i="17" s="1"/>
  <c r="AE152" i="17"/>
  <c r="AG264" i="17"/>
  <c r="AH263" i="17"/>
  <c r="AJ263" i="17" s="1"/>
  <c r="AG260" i="17"/>
  <c r="AH259" i="17"/>
  <c r="AG256" i="17"/>
  <c r="K61" i="16" s="1"/>
  <c r="AH255" i="17"/>
  <c r="I59" i="16" s="1"/>
  <c r="I75" i="16" s="1"/>
  <c r="AG252" i="17"/>
  <c r="AF130" i="17"/>
  <c r="AH130" i="17" s="1"/>
  <c r="AG263" i="17"/>
  <c r="AH262" i="17"/>
  <c r="AJ262" i="17" s="1"/>
  <c r="AG259" i="17"/>
  <c r="AH258" i="17"/>
  <c r="C63" i="16" s="1"/>
  <c r="AG255" i="17"/>
  <c r="K59" i="16" s="1"/>
  <c r="AH254" i="17"/>
  <c r="I58" i="16" s="1"/>
  <c r="AG262" i="17"/>
  <c r="AH261" i="17"/>
  <c r="AJ261" i="17" s="1"/>
  <c r="AG258" i="17"/>
  <c r="AH257" i="17"/>
  <c r="AG254" i="17"/>
  <c r="K58" i="16" s="1"/>
  <c r="AH253" i="17"/>
  <c r="I60" i="16" s="1"/>
  <c r="I76" i="16" s="1"/>
  <c r="AH264" i="17"/>
  <c r="AG261" i="17"/>
  <c r="AH260" i="17"/>
  <c r="AG257" i="17"/>
  <c r="AH256" i="17"/>
  <c r="I61" i="16" s="1"/>
  <c r="I77" i="16" s="1"/>
  <c r="AG253" i="17"/>
  <c r="K60" i="16" s="1"/>
  <c r="AH252" i="17"/>
  <c r="AJ252" i="17" s="1"/>
  <c r="AE130" i="17"/>
  <c r="AH271" i="17" l="1"/>
  <c r="L63" i="16"/>
  <c r="E63" i="16"/>
  <c r="E64" i="16"/>
  <c r="AJ259" i="17"/>
  <c r="C64" i="16"/>
  <c r="AK269" i="17"/>
  <c r="AJ269" i="17"/>
  <c r="AK268" i="17"/>
  <c r="AJ268" i="17"/>
  <c r="AH199" i="17"/>
  <c r="K54" i="16" s="1"/>
  <c r="E54" i="16" s="1"/>
  <c r="AI204" i="17"/>
  <c r="I52" i="16" s="1"/>
  <c r="AI199" i="17"/>
  <c r="I54" i="16" s="1"/>
  <c r="AH223" i="17"/>
  <c r="K49" i="16" s="1"/>
  <c r="E49" i="16" s="1"/>
  <c r="AL228" i="17"/>
  <c r="AH192" i="17"/>
  <c r="K50" i="16" s="1"/>
  <c r="E50" i="16" s="1"/>
  <c r="AI192" i="17"/>
  <c r="AO190" i="17" s="1"/>
  <c r="AI223" i="17"/>
  <c r="I49" i="16" s="1"/>
  <c r="AI217" i="17"/>
  <c r="AH217" i="17"/>
  <c r="K47" i="16" s="1"/>
  <c r="E47" i="16" s="1"/>
  <c r="AH204" i="17"/>
  <c r="K52" i="16" s="1"/>
  <c r="E52" i="16" s="1"/>
  <c r="AH188" i="17"/>
  <c r="K51" i="16" s="1"/>
  <c r="AI188" i="17"/>
  <c r="I51" i="16" s="1"/>
  <c r="AI209" i="17"/>
  <c r="AK209" i="17" s="1"/>
  <c r="AH209" i="17"/>
  <c r="K48" i="16" s="1"/>
  <c r="E48" i="16" s="1"/>
  <c r="AL231" i="17"/>
  <c r="AL233" i="17"/>
  <c r="AL232" i="17"/>
  <c r="AL229" i="17"/>
  <c r="AL230" i="17"/>
  <c r="AK230" i="17"/>
  <c r="AK231" i="17"/>
  <c r="AG237" i="17"/>
  <c r="AK265" i="17"/>
  <c r="AM257" i="17"/>
  <c r="AJ258" i="17"/>
  <c r="AN257" i="17"/>
  <c r="AK189" i="17"/>
  <c r="AK218" i="17"/>
  <c r="AL218" i="17"/>
  <c r="AK224" i="17"/>
  <c r="AK205" i="17"/>
  <c r="AK206" i="17"/>
  <c r="AK225" i="17"/>
  <c r="AK219" i="17"/>
  <c r="I74" i="16"/>
  <c r="I57" i="16"/>
  <c r="C57" i="16" s="1"/>
  <c r="AH140" i="17"/>
  <c r="I34" i="16"/>
  <c r="I100" i="16" s="1"/>
  <c r="K100" i="16"/>
  <c r="K57" i="16"/>
  <c r="K8" i="16"/>
  <c r="K71" i="16" s="1"/>
  <c r="AI149" i="17"/>
  <c r="K11" i="16"/>
  <c r="AI142" i="17"/>
  <c r="I8" i="16"/>
  <c r="C8" i="16" s="1"/>
  <c r="AH149" i="17"/>
  <c r="AH142" i="17"/>
  <c r="I11" i="16"/>
  <c r="C11" i="16" s="1"/>
  <c r="C9" i="16"/>
  <c r="L62" i="16"/>
  <c r="E19" i="16"/>
  <c r="L19" i="16"/>
  <c r="L60" i="16"/>
  <c r="K76" i="16"/>
  <c r="E6" i="16"/>
  <c r="L6" i="16"/>
  <c r="E9" i="16"/>
  <c r="L9" i="16"/>
  <c r="C36" i="16"/>
  <c r="I101" i="16"/>
  <c r="E16" i="16"/>
  <c r="L16" i="16"/>
  <c r="L61" i="16"/>
  <c r="K77" i="16"/>
  <c r="E18" i="16"/>
  <c r="L18" i="16"/>
  <c r="L58" i="16"/>
  <c r="K74" i="16"/>
  <c r="L59" i="16"/>
  <c r="K75" i="16"/>
  <c r="E10" i="16"/>
  <c r="L10" i="16"/>
  <c r="L12" i="16"/>
  <c r="E15" i="16"/>
  <c r="L15" i="16"/>
  <c r="E36" i="16"/>
  <c r="L36" i="16"/>
  <c r="K101" i="16"/>
  <c r="E30" i="16"/>
  <c r="L30" i="16"/>
  <c r="K98" i="16"/>
  <c r="E32" i="16"/>
  <c r="L32" i="16"/>
  <c r="K97" i="16"/>
  <c r="E33" i="16"/>
  <c r="C30" i="16"/>
  <c r="I98" i="16"/>
  <c r="E31" i="16"/>
  <c r="L31" i="16"/>
  <c r="K96" i="16"/>
  <c r="C32" i="16"/>
  <c r="I97" i="16"/>
  <c r="C31" i="16"/>
  <c r="I96" i="16"/>
  <c r="L29" i="16"/>
  <c r="I95" i="16"/>
  <c r="AH133" i="17"/>
  <c r="AH150" i="17"/>
  <c r="AH151" i="17"/>
  <c r="AK214" i="17"/>
  <c r="AH137" i="17"/>
  <c r="L33" i="16"/>
  <c r="AK220" i="17"/>
  <c r="AK200" i="17"/>
  <c r="AK226" i="17"/>
  <c r="E29" i="16"/>
  <c r="C29" i="16"/>
  <c r="AH158" i="17"/>
  <c r="AI148" i="17"/>
  <c r="AH148" i="17"/>
  <c r="AI145" i="17"/>
  <c r="AH145" i="17"/>
  <c r="AH147" i="17"/>
  <c r="AH155" i="17"/>
  <c r="AI158" i="17"/>
  <c r="AH146" i="17"/>
  <c r="AI132" i="17"/>
  <c r="AI140" i="17"/>
  <c r="AH143" i="17"/>
  <c r="AH156" i="17"/>
  <c r="AH159" i="17"/>
  <c r="AK202" i="17"/>
  <c r="E60" i="16"/>
  <c r="C61" i="16"/>
  <c r="K26" i="16"/>
  <c r="E62" i="16"/>
  <c r="AK207" i="17"/>
  <c r="AK215" i="17"/>
  <c r="C60" i="16"/>
  <c r="K22" i="16"/>
  <c r="E58" i="16"/>
  <c r="C62" i="16"/>
  <c r="I26" i="16"/>
  <c r="I78" i="16" s="1"/>
  <c r="I22" i="16"/>
  <c r="C58" i="16"/>
  <c r="E59" i="16"/>
  <c r="AK193" i="17"/>
  <c r="C59" i="16"/>
  <c r="E61" i="16"/>
  <c r="AH134" i="17"/>
  <c r="AI135" i="17"/>
  <c r="AH138" i="17"/>
  <c r="AH135" i="17"/>
  <c r="AH139" i="17"/>
  <c r="AH136" i="17"/>
  <c r="C12" i="16"/>
  <c r="K7" i="16"/>
  <c r="AI144" i="17"/>
  <c r="K43" i="16"/>
  <c r="AI167" i="17"/>
  <c r="E12" i="16"/>
  <c r="I7" i="16"/>
  <c r="I70" i="16" s="1"/>
  <c r="AH144" i="17"/>
  <c r="AI164" i="17"/>
  <c r="K40" i="16"/>
  <c r="AH167" i="17"/>
  <c r="I43" i="16"/>
  <c r="I93" i="16" s="1"/>
  <c r="I40" i="16"/>
  <c r="I90" i="16" s="1"/>
  <c r="AH164" i="17"/>
  <c r="K17" i="16"/>
  <c r="AI157" i="17"/>
  <c r="I41" i="16"/>
  <c r="I91" i="16" s="1"/>
  <c r="AH165" i="17"/>
  <c r="I39" i="16"/>
  <c r="I89" i="16" s="1"/>
  <c r="AH163" i="17"/>
  <c r="K42" i="16"/>
  <c r="I17" i="16"/>
  <c r="C17" i="16" s="1"/>
  <c r="AH157" i="17"/>
  <c r="AI166" i="17"/>
  <c r="I42" i="16"/>
  <c r="I92" i="16" s="1"/>
  <c r="I72" i="16" s="1"/>
  <c r="AH166" i="17"/>
  <c r="AH131" i="17"/>
  <c r="AI131" i="17"/>
  <c r="K39" i="16"/>
  <c r="AI163" i="17"/>
  <c r="K41" i="16"/>
  <c r="AI165" i="17"/>
  <c r="AI152" i="17"/>
  <c r="AI139" i="17"/>
  <c r="AI136" i="17"/>
  <c r="AK204" i="17"/>
  <c r="AL213" i="17"/>
  <c r="AI146" i="17"/>
  <c r="AI159" i="17"/>
  <c r="AI143" i="17"/>
  <c r="AI156" i="17"/>
  <c r="AI161" i="17"/>
  <c r="AI137" i="17"/>
  <c r="AI133" i="17"/>
  <c r="AI150" i="17"/>
  <c r="AI134" i="17"/>
  <c r="AI151" i="17"/>
  <c r="AI138" i="17"/>
  <c r="AI147" i="17"/>
  <c r="AI155" i="17"/>
  <c r="AL221" i="17"/>
  <c r="AL189" i="17"/>
  <c r="AL197" i="17"/>
  <c r="AL225" i="17"/>
  <c r="AK259" i="17"/>
  <c r="AL206" i="17"/>
  <c r="AL216" i="17"/>
  <c r="AL193" i="17"/>
  <c r="AL210" i="17"/>
  <c r="AL207" i="17"/>
  <c r="AL208" i="17"/>
  <c r="AL224" i="17"/>
  <c r="AL200" i="17"/>
  <c r="AL196" i="17"/>
  <c r="AL195" i="17"/>
  <c r="AL194" i="17"/>
  <c r="AL226" i="17"/>
  <c r="AK203" i="17"/>
  <c r="AL202" i="17"/>
  <c r="AL212" i="17"/>
  <c r="AL187" i="17"/>
  <c r="AK212" i="17"/>
  <c r="AL203" i="17"/>
  <c r="AL220" i="17"/>
  <c r="AK195" i="17"/>
  <c r="AK262" i="17"/>
  <c r="AL214" i="17"/>
  <c r="AL215" i="17"/>
  <c r="AL227" i="17"/>
  <c r="AL191" i="17"/>
  <c r="AK252" i="17"/>
  <c r="AK261" i="17"/>
  <c r="AL219" i="17"/>
  <c r="AK263" i="17"/>
  <c r="AK258" i="17"/>
  <c r="AI130" i="17"/>
  <c r="AJ255" i="17"/>
  <c r="AK260" i="17"/>
  <c r="AJ260" i="17"/>
  <c r="AK253" i="17"/>
  <c r="AJ253" i="17"/>
  <c r="AK255" i="17"/>
  <c r="AK254" i="17"/>
  <c r="AK256" i="17"/>
  <c r="AJ256" i="17"/>
  <c r="AK257" i="17"/>
  <c r="AK264" i="17"/>
  <c r="AJ264" i="17"/>
  <c r="AJ254" i="17"/>
  <c r="AJ257" i="17"/>
  <c r="L64" i="16" l="1"/>
  <c r="I73" i="16"/>
  <c r="AL188" i="17"/>
  <c r="AL223" i="17"/>
  <c r="AK223" i="17"/>
  <c r="AK199" i="17"/>
  <c r="AL204" i="17"/>
  <c r="AL209" i="17"/>
  <c r="I48" i="16"/>
  <c r="C48" i="16" s="1"/>
  <c r="I84" i="16"/>
  <c r="C51" i="16"/>
  <c r="E51" i="16"/>
  <c r="K84" i="16"/>
  <c r="L51" i="16"/>
  <c r="AK188" i="17"/>
  <c r="AL192" i="17"/>
  <c r="AN190" i="17"/>
  <c r="I50" i="16"/>
  <c r="C50" i="16" s="1"/>
  <c r="AK192" i="17"/>
  <c r="AL199" i="17"/>
  <c r="K83" i="16"/>
  <c r="K87" i="16"/>
  <c r="K81" i="16"/>
  <c r="K82" i="16"/>
  <c r="AK217" i="17"/>
  <c r="I47" i="16"/>
  <c r="C47" i="16" s="1"/>
  <c r="AK201" i="17"/>
  <c r="AL201" i="17"/>
  <c r="AK222" i="17"/>
  <c r="I82" i="16"/>
  <c r="AL222" i="17"/>
  <c r="AN187" i="17"/>
  <c r="AK198" i="17"/>
  <c r="AO187" i="17"/>
  <c r="AK211" i="17"/>
  <c r="AL217" i="17"/>
  <c r="AL190" i="17"/>
  <c r="AL198" i="17"/>
  <c r="K85" i="16"/>
  <c r="AL205" i="17"/>
  <c r="AL211" i="17"/>
  <c r="AK190" i="17"/>
  <c r="K80" i="16"/>
  <c r="L35" i="16"/>
  <c r="E57" i="16"/>
  <c r="L57" i="16"/>
  <c r="I87" i="16"/>
  <c r="C54" i="16"/>
  <c r="I81" i="16"/>
  <c r="I71" i="16"/>
  <c r="E8" i="16"/>
  <c r="L8" i="16"/>
  <c r="L40" i="16"/>
  <c r="K90" i="16"/>
  <c r="L26" i="16"/>
  <c r="K78" i="16"/>
  <c r="L41" i="16"/>
  <c r="K91" i="16"/>
  <c r="L42" i="16"/>
  <c r="K92" i="16"/>
  <c r="K72" i="16" s="1"/>
  <c r="L22" i="16"/>
  <c r="K73" i="16"/>
  <c r="E11" i="16"/>
  <c r="L11" i="16"/>
  <c r="L39" i="16"/>
  <c r="K89" i="16"/>
  <c r="E17" i="16"/>
  <c r="L17" i="16"/>
  <c r="L54" i="16"/>
  <c r="K70" i="16"/>
  <c r="L7" i="16"/>
  <c r="L43" i="16"/>
  <c r="K93" i="16"/>
  <c r="C33" i="16"/>
  <c r="K25" i="16"/>
  <c r="K94" i="16" s="1"/>
  <c r="L34" i="16"/>
  <c r="I25" i="16"/>
  <c r="E26" i="16"/>
  <c r="C26" i="16"/>
  <c r="E41" i="16"/>
  <c r="E39" i="16"/>
  <c r="C42" i="16"/>
  <c r="E42" i="16"/>
  <c r="C39" i="16"/>
  <c r="C41" i="16"/>
  <c r="C40" i="16"/>
  <c r="I24" i="16"/>
  <c r="I88" i="16" s="1"/>
  <c r="C43" i="16"/>
  <c r="E40" i="16"/>
  <c r="C7" i="16"/>
  <c r="E43" i="16"/>
  <c r="K24" i="16"/>
  <c r="E7" i="16"/>
  <c r="L48" i="16" l="1"/>
  <c r="L50" i="16"/>
  <c r="I83" i="16"/>
  <c r="L49" i="16"/>
  <c r="C49" i="16"/>
  <c r="K86" i="16"/>
  <c r="E53" i="16"/>
  <c r="L53" i="16"/>
  <c r="I80" i="16"/>
  <c r="I23" i="16"/>
  <c r="K46" i="16"/>
  <c r="E46" i="16" s="1"/>
  <c r="K23" i="16"/>
  <c r="L47" i="16"/>
  <c r="I86" i="16"/>
  <c r="C53" i="16"/>
  <c r="I46" i="16"/>
  <c r="C46" i="16" s="1"/>
  <c r="L52" i="16"/>
  <c r="C52" i="16"/>
  <c r="I85" i="16"/>
  <c r="L24" i="16"/>
  <c r="K88" i="16"/>
  <c r="L25" i="16"/>
  <c r="I94" i="16"/>
  <c r="C24" i="16"/>
  <c r="E22" i="16"/>
  <c r="E25" i="16"/>
  <c r="E24" i="16"/>
  <c r="C22" i="16"/>
  <c r="K79" i="16" l="1"/>
  <c r="K2" i="16"/>
  <c r="K68" i="16" s="1"/>
  <c r="I79" i="16"/>
  <c r="I2" i="16"/>
  <c r="I68" i="16" s="1"/>
  <c r="L23" i="16"/>
  <c r="C23" i="16"/>
  <c r="K3" i="16"/>
  <c r="E3" i="16" s="1"/>
  <c r="E23" i="16"/>
  <c r="L46" i="16"/>
  <c r="C25" i="16"/>
  <c r="I3" i="16"/>
  <c r="E2" i="16" l="1"/>
  <c r="C2" i="16"/>
  <c r="K69" i="16"/>
  <c r="I69" i="16"/>
  <c r="L2" i="16"/>
  <c r="N68" i="16"/>
  <c r="C3" i="16"/>
  <c r="L3" i="16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Arial"/>
            <family val="2"/>
          </rPr>
          <t>243 in official docs.
See https://github.com/hasadna/omuni-budget/issues/53 for explanation of why I changed it.
	-Paul Walsh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indexed="8"/>
            <rFont val="Arial"/>
            <family val="2"/>
          </rPr>
          <t>243 in official docs.
See https://github.com/hasadna/omuni-budget/issues/53 for explanation of why I changed it.
	-Paul Walsh</t>
        </r>
      </text>
    </comment>
  </commentList>
</comments>
</file>

<file path=xl/sharedStrings.xml><?xml version="1.0" encoding="utf-8"?>
<sst xmlns="http://schemas.openxmlformats.org/spreadsheetml/2006/main" count="28648" uniqueCount="8915">
  <si>
    <t>חגיגות יום העצמאות</t>
  </si>
  <si>
    <t xml:space="preserve">השתלמויות והדרכות </t>
  </si>
  <si>
    <t>חטיבות ביניים</t>
  </si>
  <si>
    <t>אחוז השינוי מול 2014</t>
  </si>
  <si>
    <t>הצעה
2015</t>
  </si>
  <si>
    <t>תקציב  מקורי
2014</t>
  </si>
  <si>
    <t>ביצוע
2013</t>
  </si>
  <si>
    <t xml:space="preserve">קרן השתלמות לשכ"ל </t>
  </si>
  <si>
    <t>מדידות</t>
  </si>
  <si>
    <t>הפרשות לקרנות תקציביות</t>
  </si>
  <si>
    <t>רווחת הפרט והמשפחה</t>
  </si>
  <si>
    <t xml:space="preserve">פרוייקטים מיוחדים </t>
  </si>
  <si>
    <t>בטוח אלמנטרי לרשות</t>
  </si>
  <si>
    <t>בטיחות בדרכים</t>
  </si>
  <si>
    <t>מינהל שמירה ובטחון</t>
  </si>
  <si>
    <t>שעות נוספות</t>
  </si>
  <si>
    <t>השכר הקובע</t>
  </si>
  <si>
    <t>עידוד תעשיה ומלאכה</t>
  </si>
  <si>
    <t>ביטוח</t>
  </si>
  <si>
    <t>כבוי אש</t>
  </si>
  <si>
    <t>תקציבי עזר</t>
  </si>
  <si>
    <t>תשלומים</t>
  </si>
  <si>
    <t>סעיף</t>
  </si>
  <si>
    <t>פרק</t>
  </si>
  <si>
    <t>ספר</t>
  </si>
  <si>
    <t>שם</t>
  </si>
  <si>
    <t>סוג</t>
  </si>
  <si>
    <t>הצעת   התקציב   הרגיל   לשנת   2013   בש"ח</t>
  </si>
  <si>
    <t>אחוז השינוי מול 2012</t>
  </si>
  <si>
    <t>הצעה
2013</t>
  </si>
  <si>
    <t>הצעה
2012</t>
  </si>
  <si>
    <t>ביצוע
2011</t>
  </si>
  <si>
    <t>תרבות תורנית</t>
  </si>
  <si>
    <t>קוד מלא</t>
  </si>
  <si>
    <t>CODE</t>
  </si>
  <si>
    <t>PARENT</t>
  </si>
  <si>
    <t>PARENT SCOPE</t>
  </si>
  <si>
    <t>DIRECTION</t>
  </si>
  <si>
    <t>INVERSE</t>
  </si>
  <si>
    <t>INVERSE SCOPE</t>
  </si>
  <si>
    <t>COMPARABLE</t>
  </si>
  <si>
    <t>NAME</t>
  </si>
  <si>
    <t>NAME_EN</t>
  </si>
  <si>
    <t>NAME_RU</t>
  </si>
  <si>
    <t>NAME_AR</t>
  </si>
  <si>
    <t>DESCRIPTION</t>
  </si>
  <si>
    <t>DESCRIPTION_EN</t>
  </si>
  <si>
    <t>DESCRIPTION_RU</t>
  </si>
  <si>
    <t>DESCRIPTION_AR</t>
  </si>
  <si>
    <t>EXPENDITURE</t>
  </si>
  <si>
    <t>משכורות וש"ע לעובדים לפי תקן</t>
  </si>
  <si>
    <t>1</t>
  </si>
  <si>
    <t>תוספות שאינן נכללות בשכר הקובע</t>
  </si>
  <si>
    <t>החזר הוצאות</t>
  </si>
  <si>
    <t>נלוות לשכר</t>
  </si>
  <si>
    <t>18</t>
  </si>
  <si>
    <t>הפרשות סוציאליות</t>
  </si>
  <si>
    <t>מיסיום ועלויות</t>
  </si>
  <si>
    <t>משכורות וש"ע לעובדים בלי תקן</t>
  </si>
  <si>
    <t>2</t>
  </si>
  <si>
    <t>28</t>
  </si>
  <si>
    <t>פנסיה ופיצויים</t>
  </si>
  <si>
    <t>3</t>
  </si>
  <si>
    <t>פנסיה</t>
  </si>
  <si>
    <t>פיצויים</t>
  </si>
  <si>
    <t>השתתפות בת"ע גמלאות ופיצויים 091</t>
  </si>
  <si>
    <t>אחזקת בינים ואספקת ציוד</t>
  </si>
  <si>
    <t>4</t>
  </si>
  <si>
    <t>שכר דירה ודמי חכירה</t>
  </si>
  <si>
    <t>תחזוקת מבנים</t>
  </si>
  <si>
    <t>42</t>
  </si>
  <si>
    <t>עבודה קבלנית</t>
  </si>
  <si>
    <t>חומרים</t>
  </si>
  <si>
    <t>חשמל, מים וחומרי ניקיון</t>
  </si>
  <si>
    <t>43</t>
  </si>
  <si>
    <t>חשמל</t>
  </si>
  <si>
    <t>מים</t>
  </si>
  <si>
    <t>חומרי ניקיון</t>
  </si>
  <si>
    <t>שירותי ניקיון</t>
  </si>
  <si>
    <t>44</t>
  </si>
  <si>
    <t>שיפור עבור נזקים</t>
  </si>
  <si>
    <t>השתתפות עצמית</t>
  </si>
  <si>
    <t>ריהוט והחזקתו</t>
  </si>
  <si>
    <t>ציוד משרדי מתכלה</t>
  </si>
  <si>
    <t>השתתפות בתקציבי עזר 092</t>
  </si>
  <si>
    <t>הוצאות מנהליות</t>
  </si>
  <si>
    <t>5</t>
  </si>
  <si>
    <t>אש"ל וכיבודים</t>
  </si>
  <si>
    <t>51</t>
  </si>
  <si>
    <t>אירוח וכיבוד</t>
  </si>
  <si>
    <t>אשל ונסיעות</t>
  </si>
  <si>
    <t>נסיעות לחו"ל</t>
  </si>
  <si>
    <t>רכישת מתנות</t>
  </si>
  <si>
    <t>השתלמויות וספרות מקצועית</t>
  </si>
  <si>
    <t>52</t>
  </si>
  <si>
    <t>ספרות מקצועית ועיתונות</t>
  </si>
  <si>
    <t>דמי חבר באירגונים</t>
  </si>
  <si>
    <t>הוצאות רכב מינהלי</t>
  </si>
  <si>
    <t>53</t>
  </si>
  <si>
    <t>דלק ושמנים</t>
  </si>
  <si>
    <t>תיקונים</t>
  </si>
  <si>
    <t>רישוי וביטוח</t>
  </si>
  <si>
    <t>מכירת רכב</t>
  </si>
  <si>
    <t>הוצאות תקשורת</t>
  </si>
  <si>
    <t>הוצאות פרסום</t>
  </si>
  <si>
    <t>הוצאות משרדיות</t>
  </si>
  <si>
    <t>מיכון ועיבוד נתונים</t>
  </si>
  <si>
    <t>הוצאות ארגוניות שונות</t>
  </si>
  <si>
    <t>58</t>
  </si>
  <si>
    <t>הוצאות משפטיות (אגרת בולים)</t>
  </si>
  <si>
    <t>59</t>
  </si>
  <si>
    <t>מיכון ת"ע 093</t>
  </si>
  <si>
    <t>מוסך ורכב ת"ע 096</t>
  </si>
  <si>
    <t>שירותי הסעות והובלה ת"ע 097</t>
  </si>
  <si>
    <t>מימון ופירעון מלוות</t>
  </si>
  <si>
    <t>6</t>
  </si>
  <si>
    <t>עמלות</t>
  </si>
  <si>
    <t>ריבית משיכת יתר</t>
  </si>
  <si>
    <t>ריבית מחזור</t>
  </si>
  <si>
    <t>ריבית ביטוח לאומי ומס הכנסה</t>
  </si>
  <si>
    <t>ריבית פיגורים לספקים ונותני שירות</t>
  </si>
  <si>
    <t>ריבית על קרנות הרשות</t>
  </si>
  <si>
    <t>ריבית על הוצאות אחרות</t>
  </si>
  <si>
    <t>שונות</t>
  </si>
  <si>
    <t>69</t>
  </si>
  <si>
    <t>תשלום ע"ח קרן</t>
  </si>
  <si>
    <t>תשלום ע"ח ריבית</t>
  </si>
  <si>
    <t>תשלום ע"ח הצמדת ערך</t>
  </si>
  <si>
    <t>השתתפות בת"ע פירעון מלוות (099)</t>
  </si>
  <si>
    <t>הוצאות לפעולות</t>
  </si>
  <si>
    <t>7</t>
  </si>
  <si>
    <t>הובלות והסעות קבלניות</t>
  </si>
  <si>
    <t>תחזוקת רכב תפעולי</t>
  </si>
  <si>
    <t>73</t>
  </si>
  <si>
    <t>שכירת רכב</t>
  </si>
  <si>
    <t>כלים, מכשירים וציוד</t>
  </si>
  <si>
    <t>74</t>
  </si>
  <si>
    <t>השכרת כלים, מכשירים וציוד</t>
  </si>
  <si>
    <t>אחזקת כלים, מכשירים וציוד</t>
  </si>
  <si>
    <t>רכישת כלים, מכשירים וציוד</t>
  </si>
  <si>
    <t>עבודות קבלניות</t>
  </si>
  <si>
    <t>קניית שירותים מרשויות ומוסדות</t>
  </si>
  <si>
    <t>חשמל ומים לפעולות</t>
  </si>
  <si>
    <t>77</t>
  </si>
  <si>
    <t>חשמל לפעולות</t>
  </si>
  <si>
    <t>מים לפעולות</t>
  </si>
  <si>
    <t>הוצאות שונות</t>
  </si>
  <si>
    <t>79</t>
  </si>
  <si>
    <t>אפסנאות תקציבי עזר 094</t>
  </si>
  <si>
    <t>בתי מלאכה ת"ע 095</t>
  </si>
  <si>
    <t>מוסך תקציבי עזר 096</t>
  </si>
  <si>
    <t>הסעות תקציבי עזר 097</t>
  </si>
  <si>
    <t>השתתפויות תמיכות ותרומות</t>
  </si>
  <si>
    <t>8</t>
  </si>
  <si>
    <t>השתתפויות ותרומות למוסדות עפ"י חוק והסכמים</t>
  </si>
  <si>
    <t>הקצבות בהמלצת ועדת הקצבות</t>
  </si>
  <si>
    <t>תמיכות רווחה</t>
  </si>
  <si>
    <t>מלגות לתלמידים וסטודנטים</t>
  </si>
  <si>
    <t>הנחות</t>
  </si>
  <si>
    <t>תמיכות ביחידות סמך ומוסדות הרשות</t>
  </si>
  <si>
    <t>הוצאות חד פעמיות</t>
  </si>
  <si>
    <t>9</t>
  </si>
  <si>
    <t>השתתפות בתקציב בלתי רגיל</t>
  </si>
  <si>
    <t>הוצאות לעבודות פיתוח</t>
  </si>
  <si>
    <t>רכישת ציוד יסודי</t>
  </si>
  <si>
    <t>רכישת נדל"ן</t>
  </si>
  <si>
    <t>הוצאות תכנון</t>
  </si>
  <si>
    <t>רזרבה</t>
  </si>
  <si>
    <t>מקדמת על הוצאות עודפות</t>
  </si>
  <si>
    <t>הוצאות אחרות</t>
  </si>
  <si>
    <t>השתתפות בפרקים אחרים</t>
  </si>
  <si>
    <t>העברה (מספר שלילי)</t>
  </si>
  <si>
    <t>REVENUE</t>
  </si>
  <si>
    <t>ארנונות</t>
  </si>
  <si>
    <t>אגרות</t>
  </si>
  <si>
    <t>אגרות מים וביוב</t>
  </si>
  <si>
    <t>פירוט פרק 111 ל- 4 ספרות הינו רשות</t>
  </si>
  <si>
    <t>אגרות בגין שירותים וחומרים</t>
  </si>
  <si>
    <t>אגרות אחרות</t>
  </si>
  <si>
    <t>היטלים</t>
  </si>
  <si>
    <t>שירותים ושכר לימוד</t>
  </si>
  <si>
    <t>שכל"מ מתושבים</t>
  </si>
  <si>
    <t>ראה פרק מקביל 632</t>
  </si>
  <si>
    <t>השתתפויות תושבים בשירותים משלימים</t>
  </si>
  <si>
    <t>ראה פרק מקביל 995</t>
  </si>
  <si>
    <t>השתתפויות מוסדות ורשויות בשכל"מ</t>
  </si>
  <si>
    <t>השתתפויות מוסדות ורשויות בשירותים משלימים</t>
  </si>
  <si>
    <t>החזרות</t>
  </si>
  <si>
    <t>החזרות מתקציב רגיל קודם</t>
  </si>
  <si>
    <t>החזר מחברת ביטוח</t>
  </si>
  <si>
    <t>החזרות מקרנות</t>
  </si>
  <si>
    <t>החזרות אחרות</t>
  </si>
  <si>
    <t>הכנסות מרכוש ומפעלים</t>
  </si>
  <si>
    <t>מכירת חומרים</t>
  </si>
  <si>
    <t>מכירת ציוד יסודי</t>
  </si>
  <si>
    <t>מכירת נכסי דלא ניידי</t>
  </si>
  <si>
    <t>שכ"ד ודמי מפתח</t>
  </si>
  <si>
    <t>דמי שימוש</t>
  </si>
  <si>
    <t>הכנסות מימון</t>
  </si>
  <si>
    <t>66</t>
  </si>
  <si>
    <t>ריבית והצמדה והפרשי שער</t>
  </si>
  <si>
    <t>מדיבידנד</t>
  </si>
  <si>
    <t>מדמי ניהול ותאגידים</t>
  </si>
  <si>
    <t>הכנסות מזכיונות</t>
  </si>
  <si>
    <t>הכנסות שונות</t>
  </si>
  <si>
    <t>השתתפות מוסדות ותרומות</t>
  </si>
  <si>
    <t>חלק מהיטלי הפיתוח מיועד לפירעון מלוות בגין פעולות פיתוח ספציפיות שבוצעו בעבר ומומנו בהלוואות</t>
  </si>
  <si>
    <t>השתתפות ועדים מקומיים</t>
  </si>
  <si>
    <t>השתתפות חברות תחבורה</t>
  </si>
  <si>
    <t>השתתפות מוסד לביטוח לאומי</t>
  </si>
  <si>
    <t>השתתפות מפעל הפיס</t>
  </si>
  <si>
    <t>השתתפות הסוכנות היהודית</t>
  </si>
  <si>
    <t>השתתפות קהילות מחו"ל</t>
  </si>
  <si>
    <t>אשראי/הלוואה ממוסד בנקאי</t>
  </si>
  <si>
    <t>השתתפות מוסדות אחרים</t>
  </si>
  <si>
    <t>השתתפויות בעלים ע"ח עבודות פיתוח</t>
  </si>
  <si>
    <t>השתתפויות בעלים</t>
  </si>
  <si>
    <t>השתתפות משרדי ממשלה</t>
  </si>
  <si>
    <t>השתתפות משרד הפנים</t>
  </si>
  <si>
    <t>השתתפות משרד החינוך והתרבות</t>
  </si>
  <si>
    <t>השתתפות משרד העבודה והרווחה</t>
  </si>
  <si>
    <t>השתתפות משרד הבריאות</t>
  </si>
  <si>
    <t>השתתפות משרד הקליטה</t>
  </si>
  <si>
    <t>השתתפות משרד החקלאות</t>
  </si>
  <si>
    <t>השתתפות משרד הביטחון</t>
  </si>
  <si>
    <t>השתתפות משרד השיכון</t>
  </si>
  <si>
    <t>השתתפות משרדי ממשלה אחרים</t>
  </si>
  <si>
    <t>TRUE</t>
  </si>
  <si>
    <t>הנהלה כללית</t>
  </si>
  <si>
    <t>General Management</t>
  </si>
  <si>
    <t>Генеральное управление</t>
  </si>
  <si>
    <t>إدارة الخدمات العامة</t>
  </si>
  <si>
    <t>61</t>
  </si>
  <si>
    <t>מינהל כללי</t>
  </si>
  <si>
    <t>General Administration</t>
  </si>
  <si>
    <t>Генеральная администрация</t>
  </si>
  <si>
    <t>الادارة العامة</t>
  </si>
  <si>
    <t>611</t>
  </si>
  <si>
    <t>FALSE</t>
  </si>
  <si>
    <t>הנהלה ורשות</t>
  </si>
  <si>
    <t>Management and Municipality</t>
  </si>
  <si>
    <t>Управление и муниципалитет</t>
  </si>
  <si>
    <t>إدارة وسلطة</t>
  </si>
  <si>
    <t>6111</t>
  </si>
  <si>
    <t>ראש הרשות המקומית וסגניו</t>
  </si>
  <si>
    <t>Municipality Head and Deputies</t>
  </si>
  <si>
    <t>Глава муниципалитета и заместители</t>
  </si>
  <si>
    <t>رئيس السلطة المحلية والنواب</t>
  </si>
  <si>
    <t>6112</t>
  </si>
  <si>
    <t>מועצת הרשות</t>
  </si>
  <si>
    <t>Municipal Council</t>
  </si>
  <si>
    <t>Муниципальный комитет</t>
  </si>
  <si>
    <t>مجلس السلطة</t>
  </si>
  <si>
    <t>612</t>
  </si>
  <si>
    <t>מבקר הרשות</t>
  </si>
  <si>
    <t>Municipal Comptroller</t>
  </si>
  <si>
    <t>Муниципальный контролёр</t>
  </si>
  <si>
    <t>مشرف السلطة</t>
  </si>
  <si>
    <t>613</t>
  </si>
  <si>
    <t>מזכירות</t>
  </si>
  <si>
    <t>Secretariate</t>
  </si>
  <si>
    <t>Секретариат</t>
  </si>
  <si>
    <t>سكرتارية</t>
  </si>
  <si>
    <t>614</t>
  </si>
  <si>
    <t>הסברה ויחסי ציבור</t>
  </si>
  <si>
    <t>Spokesmanship and Public Relations</t>
  </si>
  <si>
    <t>Представительность и связи с общественностью</t>
  </si>
  <si>
    <t>الإعلام والعلاقات العامة</t>
  </si>
  <si>
    <t>615</t>
  </si>
  <si>
    <t>מנגנון</t>
  </si>
  <si>
    <t>Administration</t>
  </si>
  <si>
    <t>Административный персонал</t>
  </si>
  <si>
    <t>تقنية</t>
  </si>
  <si>
    <t>616</t>
  </si>
  <si>
    <t>או״ש והדרכה</t>
  </si>
  <si>
    <t>Organization and Methods, and Training</t>
  </si>
  <si>
    <t>Организация и методы, и обучение</t>
  </si>
  <si>
    <t>التنظيم والأساليب والتدريب</t>
  </si>
  <si>
    <t>617</t>
  </si>
  <si>
    <t>שרות משפטי</t>
  </si>
  <si>
    <t>Legal Service</t>
  </si>
  <si>
    <t>Юридическая служба</t>
  </si>
  <si>
    <t>الخدمات القانونية</t>
  </si>
  <si>
    <t>618</t>
  </si>
  <si>
    <t>תכנון ומחקר</t>
  </si>
  <si>
    <t>Planning and Research</t>
  </si>
  <si>
    <t>Проектирование и исследование</t>
  </si>
  <si>
    <t>التخطيط والبحوث</t>
  </si>
  <si>
    <t>619</t>
  </si>
  <si>
    <t>בחירות ברשויות המקומיות</t>
  </si>
  <si>
    <t>Local Government Elections</t>
  </si>
  <si>
    <t>Выборы в муниципалитетах</t>
  </si>
  <si>
    <t>الانتخابات البلدية</t>
  </si>
  <si>
    <t>62</t>
  </si>
  <si>
    <t>מינהל כספי</t>
  </si>
  <si>
    <t>Financial Administration</t>
  </si>
  <si>
    <t>Финансовая администрация</t>
  </si>
  <si>
    <t>الإدارة المالية</t>
  </si>
  <si>
    <t>621</t>
  </si>
  <si>
    <t>הגזברות</t>
  </si>
  <si>
    <t>Accounts department</t>
  </si>
  <si>
    <t>Казначейство</t>
  </si>
  <si>
    <t>أمانة الثروة</t>
  </si>
  <si>
    <t>6211</t>
  </si>
  <si>
    <t>הנהלת הגזברות</t>
  </si>
  <si>
    <t>Accounts department managment</t>
  </si>
  <si>
    <t>Администрация казначейства</t>
  </si>
  <si>
    <t>إدارة الخزانة</t>
  </si>
  <si>
    <t>6212</t>
  </si>
  <si>
    <t>תקציבים וכלכלה</t>
  </si>
  <si>
    <t>Budgets and Economics</t>
  </si>
  <si>
    <t>Бюджеты и экономика</t>
  </si>
  <si>
    <t>الميزانيات والاقتصاد</t>
  </si>
  <si>
    <t>6213</t>
  </si>
  <si>
    <t>הנהלת חשבונות</t>
  </si>
  <si>
    <t>Accounting</t>
  </si>
  <si>
    <t>Бухгалтерия</t>
  </si>
  <si>
    <t>مسك دفاتر</t>
  </si>
  <si>
    <t>6214</t>
  </si>
  <si>
    <t>Payments</t>
  </si>
  <si>
    <t>Оплаты</t>
  </si>
  <si>
    <t>دفوعات</t>
  </si>
  <si>
    <t>6215</t>
  </si>
  <si>
    <t>יחידת שכר</t>
  </si>
  <si>
    <t>Salary Unit/Department</t>
  </si>
  <si>
    <t>Отдел заработной платы</t>
  </si>
  <si>
    <t>وحدة الرواتب</t>
  </si>
  <si>
    <t>6216</t>
  </si>
  <si>
    <t>מעקב אחר הכנסות</t>
  </si>
  <si>
    <t>Revenues Tracking</t>
  </si>
  <si>
    <t>Регулировка взносов</t>
  </si>
  <si>
    <t>تتبع الدخل</t>
  </si>
  <si>
    <t>6217</t>
  </si>
  <si>
    <t>מיכון ואוטומציה</t>
  </si>
  <si>
    <t>Mechanization and Automation</t>
  </si>
  <si>
    <t>Механизация и автоматизация</t>
  </si>
  <si>
    <t>المكننة والأتمتة</t>
  </si>
  <si>
    <t>622</t>
  </si>
  <si>
    <t>שומה</t>
  </si>
  <si>
    <t>Tax Assessment</t>
  </si>
  <si>
    <t>Оценка налогов</t>
  </si>
  <si>
    <t>تقدير</t>
  </si>
  <si>
    <t>623</t>
  </si>
  <si>
    <t>גבייה</t>
  </si>
  <si>
    <t>Collection</t>
  </si>
  <si>
    <t>Сбор</t>
  </si>
  <si>
    <t>جمع</t>
  </si>
  <si>
    <t>6231</t>
  </si>
  <si>
    <t>מזכירות ומינהל</t>
  </si>
  <si>
    <t>Secretariate and Administration</t>
  </si>
  <si>
    <t>Секретариат и администрация</t>
  </si>
  <si>
    <t>السكرتارية والإدارة</t>
  </si>
  <si>
    <t>6232</t>
  </si>
  <si>
    <t>גביית ארנונה</t>
  </si>
  <si>
    <t>Municipal Tax Collection</t>
  </si>
  <si>
    <t>Сбор муниципальных налогов</t>
  </si>
  <si>
    <t>جمع ضريبة الأملاك</t>
  </si>
  <si>
    <t>6233</t>
  </si>
  <si>
    <t>גביית אגרות והיטלים</t>
  </si>
  <si>
    <t>Fees and Levies Collection</t>
  </si>
  <si>
    <t>Сбор оплат и налогов</t>
  </si>
  <si>
    <t>تحصيل الرسوم والجبايات</t>
  </si>
  <si>
    <t>6234</t>
  </si>
  <si>
    <t>גביית תשלומי בעלים</t>
  </si>
  <si>
    <t>Owners' Payments Collection</t>
  </si>
  <si>
    <t>Сбор владельческих оплат</t>
  </si>
  <si>
    <t>جمع دفوعات المالك</t>
  </si>
  <si>
    <t>6235</t>
  </si>
  <si>
    <t>גבייה ממשרדי ממשלה</t>
  </si>
  <si>
    <t>Collection from Government Ministries</t>
  </si>
  <si>
    <t>Сбор с государственных министерств</t>
  </si>
  <si>
    <t>جمع من الوكالات الحكومية</t>
  </si>
  <si>
    <t>6236</t>
  </si>
  <si>
    <t>הוצאות לפועל</t>
  </si>
  <si>
    <t>Execution office</t>
  </si>
  <si>
    <t>Исполнительное бюро</t>
  </si>
  <si>
    <t>النفقات الفعلية</t>
  </si>
  <si>
    <t>624</t>
  </si>
  <si>
    <t>פקוח על חברות הרשות</t>
  </si>
  <si>
    <t>Supervision of Municipal Companies</t>
  </si>
  <si>
    <t>Инспекция муниципальных компаний</t>
  </si>
  <si>
    <t>الإشراف على شركات في السلطة</t>
  </si>
  <si>
    <t>63</t>
  </si>
  <si>
    <t>הוצאות מימון</t>
  </si>
  <si>
    <t>Financing Expenses</t>
  </si>
  <si>
    <t>Финансовые расходы</t>
  </si>
  <si>
    <t>نفقات التمويل</t>
  </si>
  <si>
    <t>631</t>
  </si>
  <si>
    <t>עמלות והוצאות בנקאיות</t>
  </si>
  <si>
    <t>Fees and Bank Expenses</t>
  </si>
  <si>
    <t>Комиссионные и банковые расходы</t>
  </si>
  <si>
    <t>الرسوم ومصاريف البنك</t>
  </si>
  <si>
    <t>632</t>
  </si>
  <si>
    <t>113</t>
  </si>
  <si>
    <t>64</t>
  </si>
  <si>
    <t>פרעון מלוות</t>
  </si>
  <si>
    <t>Loan Redemption/Payment</t>
  </si>
  <si>
    <t>Уплата ссуд</t>
  </si>
  <si>
    <t>سداد القروض</t>
  </si>
  <si>
    <t>648</t>
  </si>
  <si>
    <t>פרעון מלוות לפרעון עצמי</t>
  </si>
  <si>
    <t>Self Redemption Loan Redemption</t>
  </si>
  <si>
    <t>?</t>
  </si>
  <si>
    <t>سداد قروض غير المسددة</t>
  </si>
  <si>
    <t>649</t>
  </si>
  <si>
    <t>פרעון מלוות מוכר</t>
  </si>
  <si>
    <t>Redemption</t>
  </si>
  <si>
    <t>سداد القروض المعترف بها</t>
  </si>
  <si>
    <t>6491</t>
  </si>
  <si>
    <t>פרעון מלוות מוכר לא למחזור</t>
  </si>
  <si>
    <t>سداد القروض المعترف بها ليست قابلة لإعادة التدوير</t>
  </si>
  <si>
    <t>6492</t>
  </si>
  <si>
    <t>פרעון מלוות מוכר למחזור נטו</t>
  </si>
  <si>
    <t>سداد القروض المعترف بها في مرمى</t>
  </si>
  <si>
    <t>שירותים מקומיים</t>
  </si>
  <si>
    <t>Local Services</t>
  </si>
  <si>
    <t>Местные услуги</t>
  </si>
  <si>
    <t>الخدمات المحلية</t>
  </si>
  <si>
    <t>71</t>
  </si>
  <si>
    <t>21</t>
  </si>
  <si>
    <t>תברואה</t>
  </si>
  <si>
    <t>Sanitation</t>
  </si>
  <si>
    <t>Санитация</t>
  </si>
  <si>
    <t>الصرف الصحي</t>
  </si>
  <si>
    <t>711</t>
  </si>
  <si>
    <t>מינהל תברואה</t>
  </si>
  <si>
    <t>Sanitation Administration</t>
  </si>
  <si>
    <t>Санитационная администрация</t>
  </si>
  <si>
    <t>إدارة الصرف الصحي</t>
  </si>
  <si>
    <t>712</t>
  </si>
  <si>
    <t>212</t>
  </si>
  <si>
    <t>Cleaning Services</t>
  </si>
  <si>
    <t>Уборичные услуги</t>
  </si>
  <si>
    <t>خدمات التنظيف</t>
  </si>
  <si>
    <t>7121</t>
  </si>
  <si>
    <t>2121</t>
  </si>
  <si>
    <t>מינהל שירותי ניקיון</t>
  </si>
  <si>
    <t>Cleaning Services Administration</t>
  </si>
  <si>
    <t>Администрация уборочных услуг</t>
  </si>
  <si>
    <t>إدارة خدمات التنظيف</t>
  </si>
  <si>
    <t>7122</t>
  </si>
  <si>
    <t>2122</t>
  </si>
  <si>
    <t>ניקוי רחובות</t>
  </si>
  <si>
    <t>Street cleaning</t>
  </si>
  <si>
    <t>Уличная уборка</t>
  </si>
  <si>
    <t>تنظيف الشوارع</t>
  </si>
  <si>
    <t>7123</t>
  </si>
  <si>
    <t>2123</t>
  </si>
  <si>
    <t>אסוף ובעור אשפה</t>
  </si>
  <si>
    <t>Garbage removal/waste collection and disposal</t>
  </si>
  <si>
    <t>Сбор и ликвидация мусора</t>
  </si>
  <si>
    <t>جمع وإزالة سلة المهملات</t>
  </si>
  <si>
    <t>7124</t>
  </si>
  <si>
    <t>2124</t>
  </si>
  <si>
    <t>ניקוי חצרות</t>
  </si>
  <si>
    <t>Yard Cleaning</t>
  </si>
  <si>
    <t>Уборка дворов</t>
  </si>
  <si>
    <t>تنظيف الساحات</t>
  </si>
  <si>
    <t>7125</t>
  </si>
  <si>
    <t>2125</t>
  </si>
  <si>
    <t>בתי שימוש ציבוריים</t>
  </si>
  <si>
    <t>Public Restrooms</t>
  </si>
  <si>
    <t>Общественный туалет</t>
  </si>
  <si>
    <t>المراحيض العامة</t>
  </si>
  <si>
    <t>713</t>
  </si>
  <si>
    <t>213</t>
  </si>
  <si>
    <t>פיקוח תברואי</t>
  </si>
  <si>
    <t>Sanitary Supervision</t>
  </si>
  <si>
    <t>Санитарный контроль</t>
  </si>
  <si>
    <t>الإشراف الصحي</t>
  </si>
  <si>
    <t>7131</t>
  </si>
  <si>
    <t>2131</t>
  </si>
  <si>
    <t>מינהל הפיקוח התברואי</t>
  </si>
  <si>
    <t>Sanitary Supervision Administration</t>
  </si>
  <si>
    <t>Администрация санитарного контроля</t>
  </si>
  <si>
    <t>إدارة الإشراف الصحي</t>
  </si>
  <si>
    <t>7132</t>
  </si>
  <si>
    <t>2132</t>
  </si>
  <si>
    <t>פקוח תברואי כללי</t>
  </si>
  <si>
    <t>General Sanitation Supervision</t>
  </si>
  <si>
    <t>Генеральный санитарный контроль</t>
  </si>
  <si>
    <t>رقابة صحية عامة</t>
  </si>
  <si>
    <t>7133</t>
  </si>
  <si>
    <t>2133</t>
  </si>
  <si>
    <t>פיקוח על עסקים ומוסדות</t>
  </si>
  <si>
    <t>Business and Institution Supervision</t>
  </si>
  <si>
    <t>Контроль предприятий и учреждений</t>
  </si>
  <si>
    <t>رقابة الشركات والمؤسسات</t>
  </si>
  <si>
    <t>714</t>
  </si>
  <si>
    <t>214</t>
  </si>
  <si>
    <t>שרות וטרינרי</t>
  </si>
  <si>
    <t>Veterinary Service</t>
  </si>
  <si>
    <t>Ветеренарные услуги</t>
  </si>
  <si>
    <t>الخدمات البيطرية</t>
  </si>
  <si>
    <t>7141</t>
  </si>
  <si>
    <t>2141</t>
  </si>
  <si>
    <t>מינהל שרות וטרינרי</t>
  </si>
  <si>
    <t>Veterinary Service Administration</t>
  </si>
  <si>
    <t>Администрация ветеренарных услуг</t>
  </si>
  <si>
    <t>إدارة الخدمات البيطرية</t>
  </si>
  <si>
    <t>7142</t>
  </si>
  <si>
    <t>2142</t>
  </si>
  <si>
    <t>פיקוח וטרינרי</t>
  </si>
  <si>
    <t>Veterinary Supervision</t>
  </si>
  <si>
    <t>Ветеренарный контроль</t>
  </si>
  <si>
    <t>رقابة بيطرية</t>
  </si>
  <si>
    <t>7143</t>
  </si>
  <si>
    <t>2143</t>
  </si>
  <si>
    <t>מלחמה בכלבת</t>
  </si>
  <si>
    <t>Fight against Rabies</t>
  </si>
  <si>
    <t>собачья чума</t>
  </si>
  <si>
    <t>مكافحة داء الكلاب</t>
  </si>
  <si>
    <t>715</t>
  </si>
  <si>
    <t>215</t>
  </si>
  <si>
    <t>תברואה מונעת</t>
  </si>
  <si>
    <t>Preventive Sanitation</t>
  </si>
  <si>
    <t>Профилактическая санитация</t>
  </si>
  <si>
    <t>الصرف الصحي الوقائي</t>
  </si>
  <si>
    <t>7151</t>
  </si>
  <si>
    <t>2151</t>
  </si>
  <si>
    <t>מכירת חומרי תברואה</t>
  </si>
  <si>
    <t>Sanitary Materials Sales</t>
  </si>
  <si>
    <t>Продажа санитарных материалов</t>
  </si>
  <si>
    <t>بيع المواد الصحية</t>
  </si>
  <si>
    <t>7152</t>
  </si>
  <si>
    <t>2152</t>
  </si>
  <si>
    <t>הדברת מחלות מדבקות</t>
  </si>
  <si>
    <t>Elimination of Infectious Diseases</t>
  </si>
  <si>
    <t>Элиминация заразных болезней</t>
  </si>
  <si>
    <t>مكافحة الأمراض المعدية</t>
  </si>
  <si>
    <t>7153</t>
  </si>
  <si>
    <t>2153</t>
  </si>
  <si>
    <t>שרות להדברת מזיקים</t>
  </si>
  <si>
    <t>Pest Control Service</t>
  </si>
  <si>
    <t>Служба контроля вредителей</t>
  </si>
  <si>
    <t>خدمات مكافحة الآفات</t>
  </si>
  <si>
    <t>72</t>
  </si>
  <si>
    <t>22</t>
  </si>
  <si>
    <t>שמירה ובטחון</t>
  </si>
  <si>
    <t>Guarding and Security</t>
  </si>
  <si>
    <t>Охрана</t>
  </si>
  <si>
    <t>حفظ والأمن</t>
  </si>
  <si>
    <t>721</t>
  </si>
  <si>
    <t>221</t>
  </si>
  <si>
    <t>Guarding and Security Administration</t>
  </si>
  <si>
    <t>Администрация охраны и безопасности</t>
  </si>
  <si>
    <t>إدارة الحفظ والأمن</t>
  </si>
  <si>
    <t>722</t>
  </si>
  <si>
    <t>222</t>
  </si>
  <si>
    <t>שמירה ביטחונית</t>
  </si>
  <si>
    <t>Security Guard</t>
  </si>
  <si>
    <t>حارس أمن</t>
  </si>
  <si>
    <t>7221</t>
  </si>
  <si>
    <t>2221</t>
  </si>
  <si>
    <t>משמר אזרחי</t>
  </si>
  <si>
    <t>Civic Police/Guard</t>
  </si>
  <si>
    <t>Гражданская охрана</t>
  </si>
  <si>
    <t>الحرس المدني</t>
  </si>
  <si>
    <t>723</t>
  </si>
  <si>
    <t>223</t>
  </si>
  <si>
    <t>הג״א</t>
  </si>
  <si>
    <t>Civic Defense Force</t>
  </si>
  <si>
    <t>Гражданская оборона</t>
  </si>
  <si>
    <t>قوات الدفاع المدني</t>
  </si>
  <si>
    <t>724</t>
  </si>
  <si>
    <t>224</t>
  </si>
  <si>
    <t>Fire Fighting</t>
  </si>
  <si>
    <t>Пожарная служба</t>
  </si>
  <si>
    <t>مكافحة الحرائق</t>
  </si>
  <si>
    <t>725</t>
  </si>
  <si>
    <t>225</t>
  </si>
  <si>
    <t>בטיחות</t>
  </si>
  <si>
    <t>Safety</t>
  </si>
  <si>
    <t>Безопасность</t>
  </si>
  <si>
    <t>أمان</t>
  </si>
  <si>
    <t>726</t>
  </si>
  <si>
    <t>226</t>
  </si>
  <si>
    <t>מל״ח ופס"ח</t>
  </si>
  <si>
    <t>Emergency services</t>
  </si>
  <si>
    <t>خدمات الطوارئ</t>
  </si>
  <si>
    <t>7261</t>
  </si>
  <si>
    <t>2261</t>
  </si>
  <si>
    <t>מל״ח</t>
  </si>
  <si>
    <t>7262</t>
  </si>
  <si>
    <t>2262</t>
  </si>
  <si>
    <t>פס"ח</t>
  </si>
  <si>
    <t>727</t>
  </si>
  <si>
    <t>227</t>
  </si>
  <si>
    <t>הגמ״ר</t>
  </si>
  <si>
    <t>Civic Defense</t>
  </si>
  <si>
    <t>الدفاع المدني</t>
  </si>
  <si>
    <t>729</t>
  </si>
  <si>
    <t>229</t>
  </si>
  <si>
    <t>כסוי הוצאות לשעת חירום</t>
  </si>
  <si>
    <t>Expenses in State of Emergency</t>
  </si>
  <si>
    <t>تغطية النفقات الطارئة</t>
  </si>
  <si>
    <t>23</t>
  </si>
  <si>
    <t>תכנון ובנין עיר</t>
  </si>
  <si>
    <t>Urban Planning and Construction</t>
  </si>
  <si>
    <t>التخطيط وتقسيم المناطق</t>
  </si>
  <si>
    <t>731</t>
  </si>
  <si>
    <t>231</t>
  </si>
  <si>
    <t>משרד מהנדס הרשות</t>
  </si>
  <si>
    <t>Municipal Engineer's Office</t>
  </si>
  <si>
    <t>مكتب مهندس السلطة</t>
  </si>
  <si>
    <t>732</t>
  </si>
  <si>
    <t>232</t>
  </si>
  <si>
    <t>תכנון עיר</t>
  </si>
  <si>
    <t>Urban Planning</t>
  </si>
  <si>
    <t>تخطيط المدن</t>
  </si>
  <si>
    <t>7321</t>
  </si>
  <si>
    <t>2321</t>
  </si>
  <si>
    <t>תכנון כללי</t>
  </si>
  <si>
    <t>General Planning</t>
  </si>
  <si>
    <t>التخطيط العام</t>
  </si>
  <si>
    <t>7322</t>
  </si>
  <si>
    <t>2322</t>
  </si>
  <si>
    <t>תוכנית אב</t>
  </si>
  <si>
    <t>Master Plan</t>
  </si>
  <si>
    <t>خطة رئيسية</t>
  </si>
  <si>
    <t>7323</t>
  </si>
  <si>
    <t>2323</t>
  </si>
  <si>
    <t>Land Survey Measurements</t>
  </si>
  <si>
    <t>قياسات</t>
  </si>
  <si>
    <t>733</t>
  </si>
  <si>
    <t>233</t>
  </si>
  <si>
    <t>רישוי ופיקוח על הבניה</t>
  </si>
  <si>
    <t>Construction Lisencing and Supervision</t>
  </si>
  <si>
    <t>منح التراخيص والإشراف على البناء</t>
  </si>
  <si>
    <t>7331</t>
  </si>
  <si>
    <t>2331</t>
  </si>
  <si>
    <t>אגרות, רישיונות בניה</t>
  </si>
  <si>
    <t>Construction Lisencing Fees</t>
  </si>
  <si>
    <t>الرسوم، وتراخيص البناء</t>
  </si>
  <si>
    <t>7332</t>
  </si>
  <si>
    <t>2332</t>
  </si>
  <si>
    <t>פקוח על הבניה</t>
  </si>
  <si>
    <t>Construction Supervision</t>
  </si>
  <si>
    <t>الإشراف على البناء</t>
  </si>
  <si>
    <t>7333</t>
  </si>
  <si>
    <t>2333</t>
  </si>
  <si>
    <t>פיקוח על בנינים מסוכנים</t>
  </si>
  <si>
    <t>Dangerous Buildings Supervsion</t>
  </si>
  <si>
    <t>الإشراف على المباني الخطرة</t>
  </si>
  <si>
    <t>7334</t>
  </si>
  <si>
    <t>2334</t>
  </si>
  <si>
    <t>ועדה מקומית לתכנון ובניה</t>
  </si>
  <si>
    <t>Local Planning and Construction Committee</t>
  </si>
  <si>
    <t>اللجنة المحلية للتخطيط والبناء</t>
  </si>
  <si>
    <t>24</t>
  </si>
  <si>
    <t>נכסים ציבוריים</t>
  </si>
  <si>
    <t>Public Assets</t>
  </si>
  <si>
    <t>ممتلكات عامة</t>
  </si>
  <si>
    <t>741</t>
  </si>
  <si>
    <t>241</t>
  </si>
  <si>
    <t>מינהל נכסים ציבוריים</t>
  </si>
  <si>
    <t>Public Assets Administration</t>
  </si>
  <si>
    <t>إدارة ممتلكات عامة</t>
  </si>
  <si>
    <t>742</t>
  </si>
  <si>
    <t>242</t>
  </si>
  <si>
    <t>דרכים ומדרכות</t>
  </si>
  <si>
    <t>Roads and Pavements</t>
  </si>
  <si>
    <t>طرق والأرصفة</t>
  </si>
  <si>
    <t>7421</t>
  </si>
  <si>
    <t>2421</t>
  </si>
  <si>
    <t>אחזקת כבישים עורקים</t>
  </si>
  <si>
    <t>Main Road Maintenance</t>
  </si>
  <si>
    <t>صيانة الطرق الشريانية</t>
  </si>
  <si>
    <t>7422</t>
  </si>
  <si>
    <t>2422</t>
  </si>
  <si>
    <t>אחזקת כבישים פנימיים ומדרכות</t>
  </si>
  <si>
    <t>Internal Road and Pavement Maintenance</t>
  </si>
  <si>
    <t>صيانة الطرق الداخلية والأرصفة</t>
  </si>
  <si>
    <t>743</t>
  </si>
  <si>
    <t>243</t>
  </si>
  <si>
    <t>תאורת רחובות</t>
  </si>
  <si>
    <t>Street Lighting</t>
  </si>
  <si>
    <t>إنارة الشوارع</t>
  </si>
  <si>
    <t>744</t>
  </si>
  <si>
    <t>244</t>
  </si>
  <si>
    <t>Road Safety</t>
  </si>
  <si>
    <t>أمن في الطرق</t>
  </si>
  <si>
    <t>7441</t>
  </si>
  <si>
    <t>2441</t>
  </si>
  <si>
    <t>תחזוקת רמזורים ואיי תנועה</t>
  </si>
  <si>
    <t>Traffic Light and Road Isle Maintenance</t>
  </si>
  <si>
    <t>صيانة إشارات المرور وجزر الحركة</t>
  </si>
  <si>
    <t>7442</t>
  </si>
  <si>
    <t>2442</t>
  </si>
  <si>
    <t>תחזוקת מעברים תת קרקעיים וגשרים</t>
  </si>
  <si>
    <t>Underground Passage and Bridge Maintenance</t>
  </si>
  <si>
    <t>صيانة الأنفاق والجسور</t>
  </si>
  <si>
    <t>7443</t>
  </si>
  <si>
    <t>2443</t>
  </si>
  <si>
    <t>מעקות ואמצעי בטיחות</t>
  </si>
  <si>
    <t>Balisters and Safety Devices</t>
  </si>
  <si>
    <t>السور وتدابير السلامة</t>
  </si>
  <si>
    <t>7444</t>
  </si>
  <si>
    <t>2444</t>
  </si>
  <si>
    <t>שלטים תמרורים וסימוני כבישים</t>
  </si>
  <si>
    <t>Sign Posts, Traffic Sings, and Road Marking</t>
  </si>
  <si>
    <t>علامات الطريق  وإشارات المرور</t>
  </si>
  <si>
    <t>7445</t>
  </si>
  <si>
    <t>2445</t>
  </si>
  <si>
    <t>מטה בטיחות עירוני</t>
  </si>
  <si>
    <t>Municipal Safety Headquaeters</t>
  </si>
  <si>
    <t>قيادة السلامة البلدية</t>
  </si>
  <si>
    <t>745</t>
  </si>
  <si>
    <t>245</t>
  </si>
  <si>
    <t>תיעול וניקוז</t>
  </si>
  <si>
    <t>Canalization and Drainage</t>
  </si>
  <si>
    <t>المجاري والصرف</t>
  </si>
  <si>
    <t>746</t>
  </si>
  <si>
    <t>246</t>
  </si>
  <si>
    <t>גנים ונטיעות</t>
  </si>
  <si>
    <t>Parks and Planting</t>
  </si>
  <si>
    <t>حدائق وزراعة</t>
  </si>
  <si>
    <t>7461</t>
  </si>
  <si>
    <t>2461</t>
  </si>
  <si>
    <t>גינות ציבוריות</t>
  </si>
  <si>
    <t>Public Parks</t>
  </si>
  <si>
    <t>حدائق عامة</t>
  </si>
  <si>
    <t>7462</t>
  </si>
  <si>
    <t>2462</t>
  </si>
  <si>
    <t>טיפוח פינות נוי</t>
  </si>
  <si>
    <t>Street Flora Cultivation</t>
  </si>
  <si>
    <t>العناية بزوايا زخرفية</t>
  </si>
  <si>
    <t>7463</t>
  </si>
  <si>
    <t>2463</t>
  </si>
  <si>
    <t>מזרקות ואלמנטי רחוב אומנותיים</t>
  </si>
  <si>
    <t>Water Fountains and Art Street Elements</t>
  </si>
  <si>
    <t>نوافير وعناصر شارع فنية</t>
  </si>
  <si>
    <t>7464</t>
  </si>
  <si>
    <t>2464</t>
  </si>
  <si>
    <t>ריהוט רחוב ומתקני משחקים</t>
  </si>
  <si>
    <t>Street furniture and Game Installations</t>
  </si>
  <si>
    <t>أثاث الشوارع ومعدات الملعب</t>
  </si>
  <si>
    <t>747</t>
  </si>
  <si>
    <t>247</t>
  </si>
  <si>
    <t>חופים, בריכות ומרחצאות</t>
  </si>
  <si>
    <t>Beaches, Pools and Public Baths</t>
  </si>
  <si>
    <t>شواطئ, برك سباحة والحمامات</t>
  </si>
  <si>
    <t>7472</t>
  </si>
  <si>
    <t>2472</t>
  </si>
  <si>
    <t>חופי רחצה</t>
  </si>
  <si>
    <t>Beaches</t>
  </si>
  <si>
    <t>شواطئ</t>
  </si>
  <si>
    <t>7473</t>
  </si>
  <si>
    <t>2473</t>
  </si>
  <si>
    <t>בריכות שחיה</t>
  </si>
  <si>
    <t>Swimming Pools</t>
  </si>
  <si>
    <t>برك سباحة</t>
  </si>
  <si>
    <t>7474</t>
  </si>
  <si>
    <t>2474</t>
  </si>
  <si>
    <t>מרחצאות</t>
  </si>
  <si>
    <t>Public Baths</t>
  </si>
  <si>
    <t>حمامات</t>
  </si>
  <si>
    <t>748</t>
  </si>
  <si>
    <t>248</t>
  </si>
  <si>
    <t>בתי עלמין</t>
  </si>
  <si>
    <t>Cemeteries</t>
  </si>
  <si>
    <t>مقابر</t>
  </si>
  <si>
    <t>749</t>
  </si>
  <si>
    <t>249</t>
  </si>
  <si>
    <t>נכסים ציבוריים אחרים</t>
  </si>
  <si>
    <t>Other Public Assets</t>
  </si>
  <si>
    <t>الأصول العامة الأخرى</t>
  </si>
  <si>
    <t>75</t>
  </si>
  <si>
    <t>25</t>
  </si>
  <si>
    <t>חגיגות מבצעים ואירועים</t>
  </si>
  <si>
    <t>Celebrations, Projects and Events</t>
  </si>
  <si>
    <t>احتفالات كبيرة واحداث</t>
  </si>
  <si>
    <t>751</t>
  </si>
  <si>
    <t>251</t>
  </si>
  <si>
    <t>Independence Day Celebration</t>
  </si>
  <si>
    <t>احتفالات عيد الاستقلال</t>
  </si>
  <si>
    <t>752</t>
  </si>
  <si>
    <t>252</t>
  </si>
  <si>
    <t>חגיגות וטכסים אחרים</t>
  </si>
  <si>
    <t>Celebrations and other Ceremonies</t>
  </si>
  <si>
    <t>الاحتفالات وغيرها من الطقوس</t>
  </si>
  <si>
    <t>753</t>
  </si>
  <si>
    <t>253</t>
  </si>
  <si>
    <t>פעולות אימוץ</t>
  </si>
  <si>
    <t>Adoption Events/Activities</t>
  </si>
  <si>
    <t>تطبيقات تبني</t>
  </si>
  <si>
    <t>754</t>
  </si>
  <si>
    <t>254</t>
  </si>
  <si>
    <t>קשרים בינלאומיים</t>
  </si>
  <si>
    <t>International Relations</t>
  </si>
  <si>
    <t>علاقات دولية</t>
  </si>
  <si>
    <t>756</t>
  </si>
  <si>
    <t>256</t>
  </si>
  <si>
    <t>כנסים ואירועים בינלאומיים</t>
  </si>
  <si>
    <t>International Conferences and Events</t>
  </si>
  <si>
    <t>المؤتمرات الدولية</t>
  </si>
  <si>
    <t>76</t>
  </si>
  <si>
    <t>26</t>
  </si>
  <si>
    <t>שירותים עירוניים שונים</t>
  </si>
  <si>
    <t>Various Municipal Services</t>
  </si>
  <si>
    <t>خدمات حضرية مختلفة</t>
  </si>
  <si>
    <t>761</t>
  </si>
  <si>
    <t>261</t>
  </si>
  <si>
    <t>מוקד עירוני</t>
  </si>
  <si>
    <t>Municipal Help Center/call line</t>
  </si>
  <si>
    <t>مركز حضري</t>
  </si>
  <si>
    <t>762</t>
  </si>
  <si>
    <t>262</t>
  </si>
  <si>
    <t>מידע לציבור</t>
  </si>
  <si>
    <t>Information for the Public</t>
  </si>
  <si>
    <t>معلومات للجمهور</t>
  </si>
  <si>
    <t>764</t>
  </si>
  <si>
    <t>264</t>
  </si>
  <si>
    <t>תרבות הדיור</t>
  </si>
  <si>
    <t>Association for the Culture of Living</t>
  </si>
  <si>
    <t>ثقافة السكن</t>
  </si>
  <si>
    <t>765</t>
  </si>
  <si>
    <t>265</t>
  </si>
  <si>
    <t>מוסדות כלליים</t>
  </si>
  <si>
    <t>General Institutions</t>
  </si>
  <si>
    <t>المؤسسات العامة</t>
  </si>
  <si>
    <t>766</t>
  </si>
  <si>
    <t>266</t>
  </si>
  <si>
    <t>ועדים מקומיים</t>
  </si>
  <si>
    <t>Local Committees</t>
  </si>
  <si>
    <t>اللجان المحلية</t>
  </si>
  <si>
    <t>767</t>
  </si>
  <si>
    <t>267</t>
  </si>
  <si>
    <t>Municipality Elementary Insurance</t>
  </si>
  <si>
    <t>بلدية التأمين الابتدائية</t>
  </si>
  <si>
    <t>768</t>
  </si>
  <si>
    <t>268</t>
  </si>
  <si>
    <t>מפעם - מרכז הדרכה אזורי</t>
  </si>
  <si>
    <t>Mif'am - Regional Training Center</t>
  </si>
  <si>
    <t>مفعم -مركز الإرشاد الإقليمي</t>
  </si>
  <si>
    <t>769</t>
  </si>
  <si>
    <t>269</t>
  </si>
  <si>
    <t>שירותים שונים</t>
  </si>
  <si>
    <t>Various Services</t>
  </si>
  <si>
    <t>الخدمات المختلفة</t>
  </si>
  <si>
    <t>27</t>
  </si>
  <si>
    <t>פיתוח כלכלי</t>
  </si>
  <si>
    <t>Economic Development</t>
  </si>
  <si>
    <t>التنمية الاقتصادية</t>
  </si>
  <si>
    <t>771</t>
  </si>
  <si>
    <t>271</t>
  </si>
  <si>
    <t>עידוד קייט ותיירות</t>
  </si>
  <si>
    <t>Recreation and Tourist Promotion</t>
  </si>
  <si>
    <t>الترفيه والدعم السياحي</t>
  </si>
  <si>
    <t>772</t>
  </si>
  <si>
    <t>272</t>
  </si>
  <si>
    <t>Industry and Handicraft Promotion</t>
  </si>
  <si>
    <t>تشجيع الصناعة والحرف اليدوية</t>
  </si>
  <si>
    <t>773</t>
  </si>
  <si>
    <t>273</t>
  </si>
  <si>
    <t>חברות עירוניות</t>
  </si>
  <si>
    <t>Municipal Companies/Corporates</t>
  </si>
  <si>
    <t>الشركات البلدية</t>
  </si>
  <si>
    <t>7731</t>
  </si>
  <si>
    <t>2731</t>
  </si>
  <si>
    <t>הון מניות</t>
  </si>
  <si>
    <t>Shares Capital</t>
  </si>
  <si>
    <t>رأس المال</t>
  </si>
  <si>
    <t>7732</t>
  </si>
  <si>
    <t>2732</t>
  </si>
  <si>
    <t>הלוואות בעלים ושטרי הון</t>
  </si>
  <si>
    <t>Owners' Loans and Capital Notes</t>
  </si>
  <si>
    <t>قروض المساهمين، وتلاحظ العاصمة</t>
  </si>
  <si>
    <t>78</t>
  </si>
  <si>
    <t>פיקוח עירוני</t>
  </si>
  <si>
    <t>Municipal Supervision</t>
  </si>
  <si>
    <t>تفتيش البلدية</t>
  </si>
  <si>
    <t>781</t>
  </si>
  <si>
    <t>281</t>
  </si>
  <si>
    <t>פיקוח על חוקי עזר</t>
  </si>
  <si>
    <t>Supervision of By-Laws</t>
  </si>
  <si>
    <t>الإشراف على اللائحة الداخلية</t>
  </si>
  <si>
    <t>782</t>
  </si>
  <si>
    <t>282</t>
  </si>
  <si>
    <t>בית משפט עירוני</t>
  </si>
  <si>
    <t>Municipal Court</t>
  </si>
  <si>
    <t>محكمة البلدية</t>
  </si>
  <si>
    <t>29</t>
  </si>
  <si>
    <t>Agricultural Services</t>
  </si>
  <si>
    <t>خدمات للمزارعين</t>
  </si>
  <si>
    <t>791</t>
  </si>
  <si>
    <t>291</t>
  </si>
  <si>
    <t>מינהל שירותים חקלאים</t>
  </si>
  <si>
    <t>Agricultural Services Administration</t>
  </si>
  <si>
    <t>إدارة خدمات المزارعين</t>
  </si>
  <si>
    <t>792</t>
  </si>
  <si>
    <t>292</t>
  </si>
  <si>
    <t>שרות השדה</t>
  </si>
  <si>
    <t>Field Service</t>
  </si>
  <si>
    <t>الخدمات الميدانية</t>
  </si>
  <si>
    <t>793</t>
  </si>
  <si>
    <t>293</t>
  </si>
  <si>
    <t>מלחמה במזיקים לחקלאות</t>
  </si>
  <si>
    <t>Fighting Harmful Insects to the Agriculture</t>
  </si>
  <si>
    <t>حرب الآفات الزراعية</t>
  </si>
  <si>
    <t>794</t>
  </si>
  <si>
    <t>294</t>
  </si>
  <si>
    <t>תצפיות ותחנות ניסיונות</t>
  </si>
  <si>
    <t>Observation and Experiment Sites</t>
  </si>
  <si>
    <t>مواقع المراقبة والتجربة</t>
  </si>
  <si>
    <t>795</t>
  </si>
  <si>
    <t>295</t>
  </si>
  <si>
    <t>הדרכה חקלאית</t>
  </si>
  <si>
    <t>Agricultural training/support</t>
  </si>
  <si>
    <t>التدريب الزراعي</t>
  </si>
  <si>
    <t>796</t>
  </si>
  <si>
    <t>296</t>
  </si>
  <si>
    <t>עבודות ניקוז מקומי ואזורי</t>
  </si>
  <si>
    <t>Local and Regional Drainage Works</t>
  </si>
  <si>
    <t>تصريف الأعمال المحلية والإقليمية</t>
  </si>
  <si>
    <t>797</t>
  </si>
  <si>
    <t>297</t>
  </si>
  <si>
    <t>שמירת שדות</t>
  </si>
  <si>
    <t>Field Guarding</t>
  </si>
  <si>
    <t>حفظ الحقول</t>
  </si>
  <si>
    <t>799</t>
  </si>
  <si>
    <t>299</t>
  </si>
  <si>
    <t>שירותים חקלאיים אחרים</t>
  </si>
  <si>
    <t>Other Agricaltural Services</t>
  </si>
  <si>
    <t>الخدمات الزراعية الأخرى</t>
  </si>
  <si>
    <t>שירותים ממלכתיים</t>
  </si>
  <si>
    <t>State/Municipal Services</t>
  </si>
  <si>
    <t>الخدمات الحكومية</t>
  </si>
  <si>
    <t>81</t>
  </si>
  <si>
    <t>31</t>
  </si>
  <si>
    <t>חינוך</t>
  </si>
  <si>
    <t>Education</t>
  </si>
  <si>
    <t>تعليم</t>
  </si>
  <si>
    <t>811</t>
  </si>
  <si>
    <t>311</t>
  </si>
  <si>
    <t>מינהל החינוך</t>
  </si>
  <si>
    <t>Educational Administration</t>
  </si>
  <si>
    <t>إدارة التعليم</t>
  </si>
  <si>
    <t>812</t>
  </si>
  <si>
    <t>312</t>
  </si>
  <si>
    <t>חינוך קדם יסודי</t>
  </si>
  <si>
    <t>Pre-School Education</t>
  </si>
  <si>
    <t>التعليم قبل المدرسي</t>
  </si>
  <si>
    <t>8121</t>
  </si>
  <si>
    <t>מינהל החינוך הקדם יסודי</t>
  </si>
  <si>
    <t>Pre-School Education Administration</t>
  </si>
  <si>
    <t>إدارة التعليم قبل المدرسي</t>
  </si>
  <si>
    <t>8122</t>
  </si>
  <si>
    <t>3122</t>
  </si>
  <si>
    <t>גני ילדים גיל חובה</t>
  </si>
  <si>
    <t>Mandatory Kindergardens</t>
  </si>
  <si>
    <t>رياض الأطفال إلزامية</t>
  </si>
  <si>
    <t>8123</t>
  </si>
  <si>
    <t>3123</t>
  </si>
  <si>
    <t>גני ילדים טרום חובה</t>
  </si>
  <si>
    <t>Pre-Mandatory Kindergardens</t>
  </si>
  <si>
    <t>رياض الأطفال ما قبل الإلزامي</t>
  </si>
  <si>
    <t>8124</t>
  </si>
  <si>
    <t>3124</t>
  </si>
  <si>
    <t>מעונות ופעוטונים</t>
  </si>
  <si>
    <t>Day Care and Nursery Schools</t>
  </si>
  <si>
    <t>الرعاية النهارية ودور الحضانة المدارس</t>
  </si>
  <si>
    <t>8125</t>
  </si>
  <si>
    <t>3125</t>
  </si>
  <si>
    <t>גני מועדון וצהרונים</t>
  </si>
  <si>
    <t>Nursery School and After Nursery School Clubs</t>
  </si>
  <si>
    <t>نادي الحدائق وبرامج ما بعد المدرسة</t>
  </si>
  <si>
    <t>8126</t>
  </si>
  <si>
    <t>3126</t>
  </si>
  <si>
    <t>גני ילדים לחינוך מיוחד</t>
  </si>
  <si>
    <t>Special Education Kindergardens</t>
  </si>
  <si>
    <t>رياض الأطفال التربية الخاصة</t>
  </si>
  <si>
    <t>8128</t>
  </si>
  <si>
    <t>3128</t>
  </si>
  <si>
    <t>קייטנה/חודש לימודים נוסף לגנ״י</t>
  </si>
  <si>
    <t>Summer Camp/Additional School Month for Kindergardens</t>
  </si>
  <si>
    <t>مخيم صيفي / مدرسة إضافية شهر لرياض الأطفال</t>
  </si>
  <si>
    <t>813</t>
  </si>
  <si>
    <t>313</t>
  </si>
  <si>
    <t>חינוך יסודי</t>
  </si>
  <si>
    <t>Elementary Education</t>
  </si>
  <si>
    <t>التعليم الإبتدائي</t>
  </si>
  <si>
    <t>8131</t>
  </si>
  <si>
    <t>3131</t>
  </si>
  <si>
    <t>מינהל החינוך היסודי</t>
  </si>
  <si>
    <t>Elementary Education Administration</t>
  </si>
  <si>
    <t>إدارة التعليم الابتدائي</t>
  </si>
  <si>
    <t>8132</t>
  </si>
  <si>
    <t>3132</t>
  </si>
  <si>
    <t>בתי״ס יסודיים</t>
  </si>
  <si>
    <t>Elementary Schools</t>
  </si>
  <si>
    <t>المدارس الابتدائية</t>
  </si>
  <si>
    <t>8133</t>
  </si>
  <si>
    <t>3133</t>
  </si>
  <si>
    <t>חינוך מיוחד</t>
  </si>
  <si>
    <t>Special Education</t>
  </si>
  <si>
    <t>التعليم الخاص</t>
  </si>
  <si>
    <t>8134</t>
  </si>
  <si>
    <t>3134</t>
  </si>
  <si>
    <t>חוגים לתלמידים מחוננים ומוכשרים</t>
  </si>
  <si>
    <t>After School Gifted and Abled Students' Classes</t>
  </si>
  <si>
    <t>فئات الطلبة الموهوبين والمتفوقين</t>
  </si>
  <si>
    <t>8135</t>
  </si>
  <si>
    <t>3135</t>
  </si>
  <si>
    <t>ישיבות קטנות ותלמודי תורה</t>
  </si>
  <si>
    <t>Small Yeshiva's and Talmud Toras</t>
  </si>
  <si>
    <t>الاجتماعات الصغيرة والتلمود التوراة</t>
  </si>
  <si>
    <t>8136</t>
  </si>
  <si>
    <t>3136</t>
  </si>
  <si>
    <t>חינוך משלים בבתי״ס</t>
  </si>
  <si>
    <t>Schools' Complementary Education</t>
  </si>
  <si>
    <t>التعليم التكميلي في المدارس</t>
  </si>
  <si>
    <t>8137</t>
  </si>
  <si>
    <t>3137</t>
  </si>
  <si>
    <t>חוות חקלאיות</t>
  </si>
  <si>
    <t>Agricultural Ranches</t>
  </si>
  <si>
    <t>المزارع</t>
  </si>
  <si>
    <t>8138</t>
  </si>
  <si>
    <t>3138</t>
  </si>
  <si>
    <t>קייטנות לימודיות וחודש לימוד נוסף</t>
  </si>
  <si>
    <t>Educational Summer Camps and Summer-Month Schools</t>
  </si>
  <si>
    <t>مخيمات تعليمية وشهر معرفة المزيد</t>
  </si>
  <si>
    <t>814</t>
  </si>
  <si>
    <t>314</t>
  </si>
  <si>
    <t>Junior High Schools</t>
  </si>
  <si>
    <t>مدارس الأوسط</t>
  </si>
  <si>
    <t>815</t>
  </si>
  <si>
    <t>315</t>
  </si>
  <si>
    <t>חינוך על יסודי</t>
  </si>
  <si>
    <t>Senior High Schools</t>
  </si>
  <si>
    <t>مدرسة ثانوية</t>
  </si>
  <si>
    <t>8151</t>
  </si>
  <si>
    <t>3151</t>
  </si>
  <si>
    <t>מינהל החינוך העל יסודי</t>
  </si>
  <si>
    <t>Senior High Schools Administration</t>
  </si>
  <si>
    <t>إدارة التعليم الثانوي</t>
  </si>
  <si>
    <t>8152</t>
  </si>
  <si>
    <t>3152</t>
  </si>
  <si>
    <t>בתי״ס על יסודיים עיוניים</t>
  </si>
  <si>
    <t>Academic Senior High Schools</t>
  </si>
  <si>
    <t>المدارس الثانوية النظرية</t>
  </si>
  <si>
    <t>8153</t>
  </si>
  <si>
    <t>3153</t>
  </si>
  <si>
    <t>בתי״ס ערב על יסודיים</t>
  </si>
  <si>
    <t>Evening Senior High Schools</t>
  </si>
  <si>
    <t>المدارس المسائية للابتدائية</t>
  </si>
  <si>
    <t>8154</t>
  </si>
  <si>
    <t>3154</t>
  </si>
  <si>
    <t>ישיבות תיכוניות אולפנות ומתיבתאות</t>
  </si>
  <si>
    <t>High School Yeshivas, Female Students' Religious High Schools and מתיבתאות</t>
  </si>
  <si>
    <t>جلسات ثانوية אולפנות ומתיבתאות</t>
  </si>
  <si>
    <t>8155</t>
  </si>
  <si>
    <t>3155</t>
  </si>
  <si>
    <t>בתי״ס על יסודיים מקצועיים</t>
  </si>
  <si>
    <t>Vocational Senior High Schools</t>
  </si>
  <si>
    <t>المدارس الثانوية والمهنية</t>
  </si>
  <si>
    <t>8156</t>
  </si>
  <si>
    <t>3156</t>
  </si>
  <si>
    <t>בתי״ס על יסודיים חקלאיים</t>
  </si>
  <si>
    <t>Agricultural Senior High Schools</t>
  </si>
  <si>
    <t>المدارس الثانوية الزراعية</t>
  </si>
  <si>
    <t>8157</t>
  </si>
  <si>
    <t>3157</t>
  </si>
  <si>
    <t>בתי״ס על יסודיים מקיפים</t>
  </si>
  <si>
    <t>Comprehensive Senior High Schools</t>
  </si>
  <si>
    <t>المدارس الابتدائية الشاملة</t>
  </si>
  <si>
    <t>816</t>
  </si>
  <si>
    <t>316</t>
  </si>
  <si>
    <t>חינוך גבוה</t>
  </si>
  <si>
    <t>Higher Education</t>
  </si>
  <si>
    <t>التعليم العالي</t>
  </si>
  <si>
    <t>8162</t>
  </si>
  <si>
    <t>3162</t>
  </si>
  <si>
    <t>אוניברסיטאות</t>
  </si>
  <si>
    <t>Universities</t>
  </si>
  <si>
    <t>الجامعات</t>
  </si>
  <si>
    <t>8163</t>
  </si>
  <si>
    <t>3163</t>
  </si>
  <si>
    <t>מוסדות להשכלה טכנולוגית גבוהה</t>
  </si>
  <si>
    <t>Technological Higher Education Institutions</t>
  </si>
  <si>
    <t>مؤسسات التعليم التكنولوجي الرفيع</t>
  </si>
  <si>
    <t>8164</t>
  </si>
  <si>
    <t>3164</t>
  </si>
  <si>
    <t>ישיבות גבוהות וכוללים</t>
  </si>
  <si>
    <t>High Yeshivas and כוללים</t>
  </si>
  <si>
    <t>المدارس الدينية اليهودية وتشمل</t>
  </si>
  <si>
    <t>8165</t>
  </si>
  <si>
    <t>3165</t>
  </si>
  <si>
    <t>בתי מדרש למורים</t>
  </si>
  <si>
    <t>Teachers' Colleges</t>
  </si>
  <si>
    <t>بيت مدراش للمعلمين</t>
  </si>
  <si>
    <t>8166</t>
  </si>
  <si>
    <t>3166</t>
  </si>
  <si>
    <t>מכללות</t>
  </si>
  <si>
    <t>Colleges</t>
  </si>
  <si>
    <t>الكليات</t>
  </si>
  <si>
    <t>8167</t>
  </si>
  <si>
    <t>3167</t>
  </si>
  <si>
    <t>אמנות</t>
  </si>
  <si>
    <t>Art</t>
  </si>
  <si>
    <t>فن</t>
  </si>
  <si>
    <t>8168</t>
  </si>
  <si>
    <t>3168</t>
  </si>
  <si>
    <t>קרן מלגות עירונית</t>
  </si>
  <si>
    <t>Municipal Scholarship Fund</t>
  </si>
  <si>
    <t>صندوق المنح الدراسية في المناطق الحضرية</t>
  </si>
  <si>
    <t>817</t>
  </si>
  <si>
    <t>317</t>
  </si>
  <si>
    <t>שירותים נוספים לבתי״ס וגנ״י</t>
  </si>
  <si>
    <t>Schools and Kindergardens Additional Services</t>
  </si>
  <si>
    <t>خدمات للمدارس ورياض الأطفال</t>
  </si>
  <si>
    <t>8171</t>
  </si>
  <si>
    <t>3171</t>
  </si>
  <si>
    <t>קב״ט שמירח ובטחון מוסדות חינוך</t>
  </si>
  <si>
    <t>Educational Institutions' Guard and Security Officer</t>
  </si>
  <si>
    <t>ضابط أمن وأمن مؤسسات التعليم</t>
  </si>
  <si>
    <t>8172</t>
  </si>
  <si>
    <t>3172</t>
  </si>
  <si>
    <t>מרכזית פדגוגית</t>
  </si>
  <si>
    <t>Pedagogical Center</t>
  </si>
  <si>
    <t>مركز التربوية</t>
  </si>
  <si>
    <t>8173</t>
  </si>
  <si>
    <t>3173</t>
  </si>
  <si>
    <t>שרות פסיכולוגי חינוכי</t>
  </si>
  <si>
    <t>Psychoeducational Service</t>
  </si>
  <si>
    <t>الخدمة النفسية التعليمية</t>
  </si>
  <si>
    <t>8174</t>
  </si>
  <si>
    <t>3174</t>
  </si>
  <si>
    <t>שרות בריאות לתלמיד</t>
  </si>
  <si>
    <t>Student Health Service</t>
  </si>
  <si>
    <t>خدمة الصحة الطلابية</t>
  </si>
  <si>
    <t>8175</t>
  </si>
  <si>
    <t>3175</t>
  </si>
  <si>
    <t>בטוח תלמידים</t>
  </si>
  <si>
    <t>Student Insurance</t>
  </si>
  <si>
    <t>تأمين الطلاب</t>
  </si>
  <si>
    <t>8176</t>
  </si>
  <si>
    <t>3176</t>
  </si>
  <si>
    <t>רווחה חינוכית</t>
  </si>
  <si>
    <t>Educational Welfare Service</t>
  </si>
  <si>
    <t>الرعاية التعليمية</t>
  </si>
  <si>
    <t>8177</t>
  </si>
  <si>
    <t>3177</t>
  </si>
  <si>
    <t>קב״סים</t>
  </si>
  <si>
    <t>School Attendance Officers</t>
  </si>
  <si>
    <t>ضباط الحضور في المدارس</t>
  </si>
  <si>
    <t>8178</t>
  </si>
  <si>
    <t>3178</t>
  </si>
  <si>
    <t>הסעות ילדים</t>
  </si>
  <si>
    <t>Children Transportation</t>
  </si>
  <si>
    <t>نقل الأطفال</t>
  </si>
  <si>
    <t>8179</t>
  </si>
  <si>
    <t>3179</t>
  </si>
  <si>
    <t>שירותים אחרים</t>
  </si>
  <si>
    <t>Other Services</t>
  </si>
  <si>
    <t>خدمات أخرى</t>
  </si>
  <si>
    <t>818</t>
  </si>
  <si>
    <t>318</t>
  </si>
  <si>
    <t>חינוך מבוגרים</t>
  </si>
  <si>
    <t>Adult Education</t>
  </si>
  <si>
    <t>تعليم الكبار</t>
  </si>
  <si>
    <t>819</t>
  </si>
  <si>
    <t>319</t>
  </si>
  <si>
    <t>שירותי חינוך מיוחדים</t>
  </si>
  <si>
    <t>Special Educational Services</t>
  </si>
  <si>
    <t>خدمات التعليم الخاص</t>
  </si>
  <si>
    <t>8191</t>
  </si>
  <si>
    <t>3191</t>
  </si>
  <si>
    <t>חינוך מוכר שאינו רשמי</t>
  </si>
  <si>
    <t>Recognized Non-Municipal and Non-State Education</t>
  </si>
  <si>
    <t>التعليم المعترف بها ليس رسميا</t>
  </si>
  <si>
    <t>82</t>
  </si>
  <si>
    <t>32</t>
  </si>
  <si>
    <t>תרבות</t>
  </si>
  <si>
    <t>Culture</t>
  </si>
  <si>
    <t>ثقافة</t>
  </si>
  <si>
    <t>821</t>
  </si>
  <si>
    <t>321</t>
  </si>
  <si>
    <t>מינהל התרבות</t>
  </si>
  <si>
    <t>Culture Administration</t>
  </si>
  <si>
    <t>إدارة الثقافة</t>
  </si>
  <si>
    <t>822</t>
  </si>
  <si>
    <t>322</t>
  </si>
  <si>
    <t>פעולות תרבות</t>
  </si>
  <si>
    <t>Culture Activities/initiatives/Events</t>
  </si>
  <si>
    <t>النشطات الثقافية</t>
  </si>
  <si>
    <t>823</t>
  </si>
  <si>
    <t>323</t>
  </si>
  <si>
    <t>ספריות עירוניות</t>
  </si>
  <si>
    <t>Municipal Libraries</t>
  </si>
  <si>
    <t>المكاتب المدينة</t>
  </si>
  <si>
    <t>824</t>
  </si>
  <si>
    <t>324</t>
  </si>
  <si>
    <t>מתנ״סים</t>
  </si>
  <si>
    <t>Community Centers</t>
  </si>
  <si>
    <t>مراكز اجتماعية</t>
  </si>
  <si>
    <t>825</t>
  </si>
  <si>
    <t>325</t>
  </si>
  <si>
    <t>מוסיקה ומחול</t>
  </si>
  <si>
    <t>Music and Dance</t>
  </si>
  <si>
    <t>الموسيقى والرقص</t>
  </si>
  <si>
    <t>8251</t>
  </si>
  <si>
    <t>3251</t>
  </si>
  <si>
    <t>קונסרבטוריון</t>
  </si>
  <si>
    <t>Music Conservatory</t>
  </si>
  <si>
    <t>موسيقى الكونسرفاتوار</t>
  </si>
  <si>
    <t>8252</t>
  </si>
  <si>
    <t>3252</t>
  </si>
  <si>
    <t>תזמורת עירונית</t>
  </si>
  <si>
    <t>Municipal Orchestra</t>
  </si>
  <si>
    <t>أوركسترا حضرية</t>
  </si>
  <si>
    <t>8254</t>
  </si>
  <si>
    <t>3254</t>
  </si>
  <si>
    <t>מקהלה עירונית</t>
  </si>
  <si>
    <t>Municipal Choir</t>
  </si>
  <si>
    <t>جوقة بلدية</t>
  </si>
  <si>
    <t>826</t>
  </si>
  <si>
    <t>326</t>
  </si>
  <si>
    <t>מוקדי תרבות</t>
  </si>
  <si>
    <t>Cultural Centers</t>
  </si>
  <si>
    <t>المراكز الثقافية</t>
  </si>
  <si>
    <t>8261</t>
  </si>
  <si>
    <t>3261</t>
  </si>
  <si>
    <t>תיאטרונים</t>
  </si>
  <si>
    <t>Theatres</t>
  </si>
  <si>
    <t>مسارح</t>
  </si>
  <si>
    <t>8262</t>
  </si>
  <si>
    <t>3262</t>
  </si>
  <si>
    <t>מוזיאונים</t>
  </si>
  <si>
    <t>Museums</t>
  </si>
  <si>
    <t>متاحف</t>
  </si>
  <si>
    <t>8263</t>
  </si>
  <si>
    <t>3263</t>
  </si>
  <si>
    <t>גן חיות</t>
  </si>
  <si>
    <t>Zoo</t>
  </si>
  <si>
    <t>حديقة الحيوانات</t>
  </si>
  <si>
    <t>8264</t>
  </si>
  <si>
    <t>3264</t>
  </si>
  <si>
    <t>מוקדי תרבות אחרים</t>
  </si>
  <si>
    <t>Other Cultural Centers</t>
  </si>
  <si>
    <t>مراكز ثقافية أخرى</t>
  </si>
  <si>
    <t>827</t>
  </si>
  <si>
    <t>327</t>
  </si>
  <si>
    <t>Jewish Religious Culture</t>
  </si>
  <si>
    <t>الثقافة الدينية</t>
  </si>
  <si>
    <t>828</t>
  </si>
  <si>
    <t>328</t>
  </si>
  <si>
    <t>נוער</t>
  </si>
  <si>
    <t>Youth</t>
  </si>
  <si>
    <t>شباب</t>
  </si>
  <si>
    <t>8281</t>
  </si>
  <si>
    <t>3281</t>
  </si>
  <si>
    <t>מינהל הנוער</t>
  </si>
  <si>
    <t>Youth Administration</t>
  </si>
  <si>
    <t>ادارة الشباب</t>
  </si>
  <si>
    <t>8282</t>
  </si>
  <si>
    <t>3282</t>
  </si>
  <si>
    <t>מוקדי הפעלת נוער</t>
  </si>
  <si>
    <t>Youth Activation Administration</t>
  </si>
  <si>
    <t>مراكز  تشغيل الشباب</t>
  </si>
  <si>
    <t>8283</t>
  </si>
  <si>
    <t>3283</t>
  </si>
  <si>
    <t>חוגי נוער</t>
  </si>
  <si>
    <t>After school youth programs</t>
  </si>
  <si>
    <t>برامج الشباب</t>
  </si>
  <si>
    <t>8284</t>
  </si>
  <si>
    <t>3284</t>
  </si>
  <si>
    <t>קייטנות נוער</t>
  </si>
  <si>
    <t>Youth Summer Camps</t>
  </si>
  <si>
    <t>المخيمات الصيفية للشباب</t>
  </si>
  <si>
    <t>8289</t>
  </si>
  <si>
    <t>3289</t>
  </si>
  <si>
    <t>תנועות נוער</t>
  </si>
  <si>
    <t>Youth Movements</t>
  </si>
  <si>
    <t>حركات الشباب</t>
  </si>
  <si>
    <t>83</t>
  </si>
  <si>
    <t>33</t>
  </si>
  <si>
    <t>בריאות</t>
  </si>
  <si>
    <t>Health</t>
  </si>
  <si>
    <t>الصحة</t>
  </si>
  <si>
    <t>832</t>
  </si>
  <si>
    <t>332</t>
  </si>
  <si>
    <t>מרפאות</t>
  </si>
  <si>
    <t>Clinics</t>
  </si>
  <si>
    <t>عيادات</t>
  </si>
  <si>
    <t>8321</t>
  </si>
  <si>
    <t>3321</t>
  </si>
  <si>
    <t>מרפאות יעוץ</t>
  </si>
  <si>
    <t>Consultation Clinics</t>
  </si>
  <si>
    <t>عيادات تقسيم المناطق</t>
  </si>
  <si>
    <t>8322</t>
  </si>
  <si>
    <t>3322</t>
  </si>
  <si>
    <t>מרפאות כלליות</t>
  </si>
  <si>
    <t>General Clinics</t>
  </si>
  <si>
    <t>عيادات عامة</t>
  </si>
  <si>
    <t>8323</t>
  </si>
  <si>
    <t>3323</t>
  </si>
  <si>
    <t>מרפאות שיניים</t>
  </si>
  <si>
    <t>Dental Clinics</t>
  </si>
  <si>
    <t>عيادات الأسنان</t>
  </si>
  <si>
    <t>8324</t>
  </si>
  <si>
    <t>3324</t>
  </si>
  <si>
    <t>תחנות אם וילד</t>
  </si>
  <si>
    <t>Child and Mother Clinics</t>
  </si>
  <si>
    <t>عيادات الطفل والأم</t>
  </si>
  <si>
    <t>833</t>
  </si>
  <si>
    <t>333</t>
  </si>
  <si>
    <t>בתי חולים</t>
  </si>
  <si>
    <t>Hospitals</t>
  </si>
  <si>
    <t>المستشفيات</t>
  </si>
  <si>
    <t>8331</t>
  </si>
  <si>
    <t>3331</t>
  </si>
  <si>
    <t>בתי חולים כלליים</t>
  </si>
  <si>
    <t>General Hospitals</t>
  </si>
  <si>
    <t>المستشفيات العامة</t>
  </si>
  <si>
    <t>8332</t>
  </si>
  <si>
    <t>3332</t>
  </si>
  <si>
    <t>בתי חולים אחרים</t>
  </si>
  <si>
    <t>Other Hospitals</t>
  </si>
  <si>
    <t>مستشفيات أخرى</t>
  </si>
  <si>
    <t>834</t>
  </si>
  <si>
    <t>334</t>
  </si>
  <si>
    <t>בתי ספר לאחיות</t>
  </si>
  <si>
    <t>Nursing Schools</t>
  </si>
  <si>
    <t>مدارس التمريض</t>
  </si>
  <si>
    <t>835</t>
  </si>
  <si>
    <t>335</t>
  </si>
  <si>
    <t>מוסדות בריאות אחרים</t>
  </si>
  <si>
    <t>Other Health Institutions</t>
  </si>
  <si>
    <t>المؤسسات الصحية الأخرى</t>
  </si>
  <si>
    <t>836</t>
  </si>
  <si>
    <t>336</t>
  </si>
  <si>
    <t>שירותי חירום ריפואים</t>
  </si>
  <si>
    <t>Emergency Health Services</t>
  </si>
  <si>
    <t>الخدمات الطبية الطارئة</t>
  </si>
  <si>
    <t>8361</t>
  </si>
  <si>
    <t>3361</t>
  </si>
  <si>
    <t>מד״א</t>
  </si>
  <si>
    <t>Red David Shield</t>
  </si>
  <si>
    <t>ماجن دافيد أدوم</t>
  </si>
  <si>
    <t>8362</t>
  </si>
  <si>
    <t>3362</t>
  </si>
  <si>
    <t>נט״ן</t>
  </si>
  <si>
    <t>Intensive Care Unit</t>
  </si>
  <si>
    <t>وحدة العناية الطارئة</t>
  </si>
  <si>
    <t>8363</t>
  </si>
  <si>
    <t>3363</t>
  </si>
  <si>
    <t>מוקד לתורנויות של רופאים</t>
  </si>
  <si>
    <t>Physician call center</t>
  </si>
  <si>
    <t>مركز تناوب الأطباء</t>
  </si>
  <si>
    <t>837</t>
  </si>
  <si>
    <t>פעולות מחקר</t>
  </si>
  <si>
    <t>Reserach Activities</t>
  </si>
  <si>
    <t>عمليات بحوث</t>
  </si>
  <si>
    <t>839</t>
  </si>
  <si>
    <t>מוסדות בריאות נתמכים</t>
  </si>
  <si>
    <t>Supported Health Institutions</t>
  </si>
  <si>
    <t>المؤسسات الصحية المدعومة</t>
  </si>
  <si>
    <t>84</t>
  </si>
  <si>
    <t>34</t>
  </si>
  <si>
    <t>רווחה</t>
  </si>
  <si>
    <t>Wellfare</t>
  </si>
  <si>
    <t>الرعاية الاجتماعية</t>
  </si>
  <si>
    <t>841</t>
  </si>
  <si>
    <t>341</t>
  </si>
  <si>
    <t>מינהל הרווחה</t>
  </si>
  <si>
    <t>إدارة الرعاية الاجتماعية</t>
  </si>
  <si>
    <t>842</t>
  </si>
  <si>
    <t>342</t>
  </si>
  <si>
    <t>Individal and Family Welfare</t>
  </si>
  <si>
    <t>رعاية الأسرة والفرد</t>
  </si>
  <si>
    <t>8422</t>
  </si>
  <si>
    <t>3422</t>
  </si>
  <si>
    <t>צרכים מיוחדים</t>
  </si>
  <si>
    <t>Special Needs</t>
  </si>
  <si>
    <t>الاحتياجات الخاصة</t>
  </si>
  <si>
    <t>8424</t>
  </si>
  <si>
    <t>3424</t>
  </si>
  <si>
    <t>הדרכת משפחות</t>
  </si>
  <si>
    <t>Family Guidance and Training</t>
  </si>
  <si>
    <t>الإرشاد الأسري</t>
  </si>
  <si>
    <t>8425</t>
  </si>
  <si>
    <t>3425</t>
  </si>
  <si>
    <t>סמך מקצועי</t>
  </si>
  <si>
    <t>Professional/Occupational Support</t>
  </si>
  <si>
    <t>الدعم المهني</t>
  </si>
  <si>
    <t>843</t>
  </si>
  <si>
    <t>343</t>
  </si>
  <si>
    <t>שירותים לילד ולנוער</t>
  </si>
  <si>
    <t>Child and Youth Services</t>
  </si>
  <si>
    <t>خدمات الأطفال والشباب</t>
  </si>
  <si>
    <t>8435</t>
  </si>
  <si>
    <t>3435</t>
  </si>
  <si>
    <t>פעולות קהילתיות</t>
  </si>
  <si>
    <t>Community Activities</t>
  </si>
  <si>
    <t>الأنشطة المجتمعية</t>
  </si>
  <si>
    <t>8438</t>
  </si>
  <si>
    <t>3438</t>
  </si>
  <si>
    <t>אחזקת ילדים בפנימיות</t>
  </si>
  <si>
    <t>Keeping Children in Boarding Schools</t>
  </si>
  <si>
    <t>إبقاء الأطفال في المدارس الداخلية</t>
  </si>
  <si>
    <t>8439</t>
  </si>
  <si>
    <t>3439</t>
  </si>
  <si>
    <t>אחזקת ילדים במעונות יום ואומנות יומיות</t>
  </si>
  <si>
    <t>Keeping Children in Day Care and Day Foster Homes</t>
  </si>
  <si>
    <t>إبقاء الأطفال في الرعاية النهارية ودور الحضانة</t>
  </si>
  <si>
    <t>844</t>
  </si>
  <si>
    <t>344</t>
  </si>
  <si>
    <t>שירותים לזקן</t>
  </si>
  <si>
    <t>Services to the Elderly</t>
  </si>
  <si>
    <t>خدمات المسنين</t>
  </si>
  <si>
    <t>8443</t>
  </si>
  <si>
    <t>3443</t>
  </si>
  <si>
    <t>שירותים לזקן - מוסדי</t>
  </si>
  <si>
    <t>Services to the Elderly - Institutional</t>
  </si>
  <si>
    <t>خدمات المسنين - المؤسسية</t>
  </si>
  <si>
    <t>8444</t>
  </si>
  <si>
    <t>3444</t>
  </si>
  <si>
    <t>שירותים לזקן - קהילתי</t>
  </si>
  <si>
    <t>Services to the Elderly - Communal</t>
  </si>
  <si>
    <t>خدمات المسنين - المجتمع</t>
  </si>
  <si>
    <t>8445</t>
  </si>
  <si>
    <t>3445</t>
  </si>
  <si>
    <t>תעסוקה ומרכזי יום לקשיש</t>
  </si>
  <si>
    <t>Occupation and Day Centers for the Elderly</t>
  </si>
  <si>
    <t>توظيف والمراكز النهارية للمسنين</t>
  </si>
  <si>
    <t>845</t>
  </si>
  <si>
    <t>345</t>
  </si>
  <si>
    <t>שירותים למפגר</t>
  </si>
  <si>
    <t>Services for the Retarded</t>
  </si>
  <si>
    <t>خدمات للمعاقين</t>
  </si>
  <si>
    <t>8451</t>
  </si>
  <si>
    <t>3451</t>
  </si>
  <si>
    <t>סידור מפגרים במוסדות</t>
  </si>
  <si>
    <t>Placing Retarded People in Institutions</t>
  </si>
  <si>
    <t>تنظيم المعوقين في المؤسسات</t>
  </si>
  <si>
    <t>8452</t>
  </si>
  <si>
    <t>3452</t>
  </si>
  <si>
    <t>סידור מפגרים במסגרות</t>
  </si>
  <si>
    <t>Placing Retarded People in Other Programs</t>
  </si>
  <si>
    <t>تنظيم المعوقين في إطارات</t>
  </si>
  <si>
    <t>8453</t>
  </si>
  <si>
    <t>3453</t>
  </si>
  <si>
    <t>יום שירותים למפגר - קהילתי</t>
  </si>
  <si>
    <t>Day Services for the Retarded - communal</t>
  </si>
  <si>
    <t>خدمات يوم للمعاقين - اجتماعي</t>
  </si>
  <si>
    <t>8454</t>
  </si>
  <si>
    <t>3454</t>
  </si>
  <si>
    <t>מפעלי תעסוקה למפגר ומע״ש</t>
  </si>
  <si>
    <t>Occupational Plants for the Retarded and Maas??</t>
  </si>
  <si>
    <t>مصانع توظيف للمعاقين</t>
  </si>
  <si>
    <t>846</t>
  </si>
  <si>
    <t>346</t>
  </si>
  <si>
    <t>שירותי שיקום</t>
  </si>
  <si>
    <t>Rehabilitation Services</t>
  </si>
  <si>
    <t>خدمات إعادة التأهيل</t>
  </si>
  <si>
    <t>8461</t>
  </si>
  <si>
    <t>3461</t>
  </si>
  <si>
    <t>שיקום העיוור - אחזקה במוסדות</t>
  </si>
  <si>
    <t>Blind Rehabilitation - Keeping in Institutions</t>
  </si>
  <si>
    <t>إعادة تأهيل الأعمى-صيانة المؤسسات</t>
  </si>
  <si>
    <t>8462</t>
  </si>
  <si>
    <t>3462</t>
  </si>
  <si>
    <t>שיקום העיוור - אחזקה</t>
  </si>
  <si>
    <t>Blind Rehabilitation - Maintenance</t>
  </si>
  <si>
    <t>إعادة تأهيل الأعمى-صيانة</t>
  </si>
  <si>
    <t>8463</t>
  </si>
  <si>
    <t>3463</t>
  </si>
  <si>
    <t>טיפול בעיוור בקהילה</t>
  </si>
  <si>
    <t>Treating the Blind in the Community</t>
  </si>
  <si>
    <t>الرعاية المجتمعية للأعمى</t>
  </si>
  <si>
    <t>8464</t>
  </si>
  <si>
    <t>3464</t>
  </si>
  <si>
    <t>מפעלי תעסוקה לעיוורים</t>
  </si>
  <si>
    <t>Occupational Plants for the Blind</t>
  </si>
  <si>
    <t>مصانع توظيف للأعمى</t>
  </si>
  <si>
    <t>8465</t>
  </si>
  <si>
    <t>3465</t>
  </si>
  <si>
    <t>נכים - שיקום במוסדות</t>
  </si>
  <si>
    <t>Disabled - Rehabilitation in Institutions</t>
  </si>
  <si>
    <t>معاق - مؤسسات إعادة التأهيل</t>
  </si>
  <si>
    <t>8466</t>
  </si>
  <si>
    <t>3466</t>
  </si>
  <si>
    <t>נכים - אחזקה במסגרות</t>
  </si>
  <si>
    <t>Disabled - Keeping in Programs</t>
  </si>
  <si>
    <t>معاق - صيانة المؤسسات</t>
  </si>
  <si>
    <t>8467</t>
  </si>
  <si>
    <t>3467</t>
  </si>
  <si>
    <t>יום נכים - טיפול בקהילה</t>
  </si>
  <si>
    <t>Day Disabled - Treating in the Community</t>
  </si>
  <si>
    <t>يوم معاقين - الرعاية المجتمعية</t>
  </si>
  <si>
    <t>8468</t>
  </si>
  <si>
    <t>3469</t>
  </si>
  <si>
    <t>נכים - שיקום במפעלי תעסוקה</t>
  </si>
  <si>
    <t>Disabled - Rehabilitation in Occupational Factories</t>
  </si>
  <si>
    <t>معاق - إعادة التأهيل في مصانع توظيف</t>
  </si>
  <si>
    <t>847</t>
  </si>
  <si>
    <t>347</t>
  </si>
  <si>
    <t>שירותי תיקון</t>
  </si>
  <si>
    <t>Corrective Services</t>
  </si>
  <si>
    <t>خدمات إصلاح</t>
  </si>
  <si>
    <t>8471</t>
  </si>
  <si>
    <t>3471</t>
  </si>
  <si>
    <t>טיפול בחבורות רחוב ונוער במצוקה</t>
  </si>
  <si>
    <t>Treating Street Gangs and At-Risk?? Hardship Youth</t>
  </si>
  <si>
    <t>علاج عصابات الشوارع والشباب المضطرب</t>
  </si>
  <si>
    <t>8472</t>
  </si>
  <si>
    <t>3472</t>
  </si>
  <si>
    <t>חסות נוער</t>
  </si>
  <si>
    <t>Youth Shelter Authority</t>
  </si>
  <si>
    <t>حماية الشباب</t>
  </si>
  <si>
    <t>8473</t>
  </si>
  <si>
    <t>3473</t>
  </si>
  <si>
    <t>סמים</t>
  </si>
  <si>
    <t>Drugs</t>
  </si>
  <si>
    <t>المخدرات</t>
  </si>
  <si>
    <t>8474</t>
  </si>
  <si>
    <t>3474</t>
  </si>
  <si>
    <t>מפתנים</t>
  </si>
  <si>
    <t>Occupational Centers Miftan</t>
  </si>
  <si>
    <t>عتبات</t>
  </si>
  <si>
    <t>848</t>
  </si>
  <si>
    <t>348</t>
  </si>
  <si>
    <t>עבודה קהילתית</t>
  </si>
  <si>
    <t>Community Work</t>
  </si>
  <si>
    <t>العمل الاجتماعي</t>
  </si>
  <si>
    <t>8482</t>
  </si>
  <si>
    <t>3482</t>
  </si>
  <si>
    <t>מרכזים קהילתיים</t>
  </si>
  <si>
    <t>المراكز الاجتماعية</t>
  </si>
  <si>
    <t>8483</t>
  </si>
  <si>
    <t>3483</t>
  </si>
  <si>
    <t>התנדבות</t>
  </si>
  <si>
    <t>Volunteering</t>
  </si>
  <si>
    <t>تطوع</t>
  </si>
  <si>
    <t>8484</t>
  </si>
  <si>
    <t>3484</t>
  </si>
  <si>
    <t>שרות יעוץ לאזרח שי״ל</t>
  </si>
  <si>
    <t>Civic advisory service</t>
  </si>
  <si>
    <t>الخدمات الاستشارية المدنية</t>
  </si>
  <si>
    <t>8485</t>
  </si>
  <si>
    <t>3485</t>
  </si>
  <si>
    <t>שיקום שכונות</t>
  </si>
  <si>
    <t>Neighborhood Rehabilitation</t>
  </si>
  <si>
    <t>تجديد أحياء</t>
  </si>
  <si>
    <t>849</t>
  </si>
  <si>
    <t>349</t>
  </si>
  <si>
    <t>שירותים לעולים</t>
  </si>
  <si>
    <t>emmigrants services</t>
  </si>
  <si>
    <t>خدمات المهاجرين</t>
  </si>
  <si>
    <t>85</t>
  </si>
  <si>
    <t>35</t>
  </si>
  <si>
    <t>דת</t>
  </si>
  <si>
    <t>Religion</t>
  </si>
  <si>
    <t>دين</t>
  </si>
  <si>
    <t>851</t>
  </si>
  <si>
    <t>351</t>
  </si>
  <si>
    <t>השתתפות בתקציב המועצה הדתית</t>
  </si>
  <si>
    <t>Participation in Religious Council Budget</t>
  </si>
  <si>
    <t>المشاركة في المجلس الديني الميزاني</t>
  </si>
  <si>
    <t>852</t>
  </si>
  <si>
    <t>352</t>
  </si>
  <si>
    <t>שירותי דת לקראים</t>
  </si>
  <si>
    <t>Religious Services for Karaim</t>
  </si>
  <si>
    <t>קראים?!</t>
  </si>
  <si>
    <t>853</t>
  </si>
  <si>
    <t>353</t>
  </si>
  <si>
    <t>שירותי דת למוסלמים</t>
  </si>
  <si>
    <t>Religious Services for Muslims</t>
  </si>
  <si>
    <t>الخدمات الدينية للمسلم</t>
  </si>
  <si>
    <t>854</t>
  </si>
  <si>
    <t>354</t>
  </si>
  <si>
    <t>שירותי דת לעדות הנוצריות</t>
  </si>
  <si>
    <t>Religious Services for Christian Groups</t>
  </si>
  <si>
    <t>الخدمات الدينية للطوائف المسيحية</t>
  </si>
  <si>
    <t>855</t>
  </si>
  <si>
    <t>355</t>
  </si>
  <si>
    <t>שירותי דת לדרוזים</t>
  </si>
  <si>
    <t>Religious Services for Drouses</t>
  </si>
  <si>
    <t>الخدمات الدينية للدرزي</t>
  </si>
  <si>
    <t>856</t>
  </si>
  <si>
    <t>356</t>
  </si>
  <si>
    <t>שירותי דת יהודיים כללים</t>
  </si>
  <si>
    <t>General Jewish Religious Services</t>
  </si>
  <si>
    <t>الخدمات الدينية اليهودية العامة</t>
  </si>
  <si>
    <t>857</t>
  </si>
  <si>
    <t>357</t>
  </si>
  <si>
    <t>שירותי דת במועצות אזוריות</t>
  </si>
  <si>
    <t>Religious Services in Regional Municipalities</t>
  </si>
  <si>
    <t>الخدمات الدينية في المجالس الإقليمية</t>
  </si>
  <si>
    <t>859</t>
  </si>
  <si>
    <t>359</t>
  </si>
  <si>
    <t>שירותי דת שונים</t>
  </si>
  <si>
    <t>Various Religious Services</t>
  </si>
  <si>
    <t>الخدمات الدينية المختلفة</t>
  </si>
  <si>
    <t>86</t>
  </si>
  <si>
    <t>36</t>
  </si>
  <si>
    <t>קליטת עליה</t>
  </si>
  <si>
    <t>emmigrant Absorption</t>
  </si>
  <si>
    <t>استيعاب المهاجرين</t>
  </si>
  <si>
    <t>869</t>
  </si>
  <si>
    <t>369</t>
  </si>
  <si>
    <t>שירותים שונים לקליטת העלייה</t>
  </si>
  <si>
    <t>Various Services for emmigrant Absorption</t>
  </si>
  <si>
    <t>خدمات مختلفة لاستيعاب المهاجرين</t>
  </si>
  <si>
    <t>87</t>
  </si>
  <si>
    <t>37</t>
  </si>
  <si>
    <t>איכות הסביבה</t>
  </si>
  <si>
    <t>Environmental Protection/Quality</t>
  </si>
  <si>
    <t>جودة البيئة</t>
  </si>
  <si>
    <t>879</t>
  </si>
  <si>
    <t>379</t>
  </si>
  <si>
    <t>Additional Services for Environmental Protection</t>
  </si>
  <si>
    <t>خدمات أخرى لجودة البيئة</t>
  </si>
  <si>
    <t>מפעלים</t>
  </si>
  <si>
    <t>Projects/Enterprises</t>
  </si>
  <si>
    <t>مصانع</t>
  </si>
  <si>
    <t>91</t>
  </si>
  <si>
    <t>41</t>
  </si>
  <si>
    <t>Water</t>
  </si>
  <si>
    <t>المياه</t>
  </si>
  <si>
    <t>911</t>
  </si>
  <si>
    <t>411</t>
  </si>
  <si>
    <t>מינהל המים</t>
  </si>
  <si>
    <t>Water Administration</t>
  </si>
  <si>
    <t>إدارة المياه</t>
  </si>
  <si>
    <t>912</t>
  </si>
  <si>
    <t>412</t>
  </si>
  <si>
    <t>גביה</t>
  </si>
  <si>
    <t>913</t>
  </si>
  <si>
    <t>413</t>
  </si>
  <si>
    <t>תפעול ואחזקת משק המים</t>
  </si>
  <si>
    <t>Water Infrastructure Operation and Maintenance</t>
  </si>
  <si>
    <t>تشغيل وصيانة المياه</t>
  </si>
  <si>
    <t>9131</t>
  </si>
  <si>
    <t>4131</t>
  </si>
  <si>
    <t>קנית מים</t>
  </si>
  <si>
    <t>Water Purchase</t>
  </si>
  <si>
    <t>شراء المياه</t>
  </si>
  <si>
    <t>9132</t>
  </si>
  <si>
    <t>4132</t>
  </si>
  <si>
    <t>אחזקת מערכת הפקת מים</t>
  </si>
  <si>
    <t>Water Production System Maintenance</t>
  </si>
  <si>
    <t>صيانة نظام إنتاج المياه</t>
  </si>
  <si>
    <t>92</t>
  </si>
  <si>
    <t>בתי מטבחיים</t>
  </si>
  <si>
    <t>Slaughter Houses</t>
  </si>
  <si>
    <t>المسالخ</t>
  </si>
  <si>
    <t>922</t>
  </si>
  <si>
    <t>422</t>
  </si>
  <si>
    <t>בתי מטבחיים עירוניים</t>
  </si>
  <si>
    <t>Municipal Slaughter Houses</t>
  </si>
  <si>
    <t>المسالخ البلدية</t>
  </si>
  <si>
    <t>923</t>
  </si>
  <si>
    <t>423</t>
  </si>
  <si>
    <t>בתי מטבחיים באגוד ערים</t>
  </si>
  <si>
    <t>Associated Municipal Slaughter Houses</t>
  </si>
  <si>
    <t>مسالخ البلدية المرتبطة</t>
  </si>
  <si>
    <t>93</t>
  </si>
  <si>
    <t>נכסים</t>
  </si>
  <si>
    <t>Properties/Assets</t>
  </si>
  <si>
    <t>ممتلكات</t>
  </si>
  <si>
    <t>931</t>
  </si>
  <si>
    <t>431</t>
  </si>
  <si>
    <t>מינהל הנכסים</t>
  </si>
  <si>
    <t>Properties/Assets Administration</t>
  </si>
  <si>
    <t>إدارة الممتلكات</t>
  </si>
  <si>
    <t>932</t>
  </si>
  <si>
    <t>432</t>
  </si>
  <si>
    <t>דירות</t>
  </si>
  <si>
    <t>Apartments</t>
  </si>
  <si>
    <t>الشقق</t>
  </si>
  <si>
    <t>933</t>
  </si>
  <si>
    <t>433</t>
  </si>
  <si>
    <t>משרדים ועסקים</t>
  </si>
  <si>
    <t>Offices and Businesses</t>
  </si>
  <si>
    <t>المكاتب والشركات</t>
  </si>
  <si>
    <t>934</t>
  </si>
  <si>
    <t>434</t>
  </si>
  <si>
    <t>מבני מלאכה ותעשיה</t>
  </si>
  <si>
    <t>Industrial and Craft Buildings</t>
  </si>
  <si>
    <t>ورشة عمل والصناعة</t>
  </si>
  <si>
    <t>935</t>
  </si>
  <si>
    <t>435</t>
  </si>
  <si>
    <t>קרקעות</t>
  </si>
  <si>
    <t>Lands</t>
  </si>
  <si>
    <t>الأراضي</t>
  </si>
  <si>
    <t>936</t>
  </si>
  <si>
    <t>436</t>
  </si>
  <si>
    <t>אכסניות נוער</t>
  </si>
  <si>
    <t>Youth Hostels</t>
  </si>
  <si>
    <t>بيوت الشباب</t>
  </si>
  <si>
    <t>937</t>
  </si>
  <si>
    <t>437</t>
  </si>
  <si>
    <t>שווקים</t>
  </si>
  <si>
    <t>Markets</t>
  </si>
  <si>
    <t>الأسواق</t>
  </si>
  <si>
    <t>938</t>
  </si>
  <si>
    <t>438</t>
  </si>
  <si>
    <t>משרדי הרשות</t>
  </si>
  <si>
    <t>Municipality Offices</t>
  </si>
  <si>
    <t>مكاتب السلطة</t>
  </si>
  <si>
    <t>939</t>
  </si>
  <si>
    <t>439</t>
  </si>
  <si>
    <t>נכסים אחרים</t>
  </si>
  <si>
    <t>Other Properties</t>
  </si>
  <si>
    <t>ممتلكات أخرى</t>
  </si>
  <si>
    <t>94</t>
  </si>
  <si>
    <t>תחבורה</t>
  </si>
  <si>
    <t>Transportation</t>
  </si>
  <si>
    <t>وسيلة نقل</t>
  </si>
  <si>
    <t>942</t>
  </si>
  <si>
    <t>442</t>
  </si>
  <si>
    <t>אוטובוסים</t>
  </si>
  <si>
    <t>Buses</t>
  </si>
  <si>
    <t>الباصات</t>
  </si>
  <si>
    <t>9421</t>
  </si>
  <si>
    <t>4421</t>
  </si>
  <si>
    <t>שרות אוטובוסים בהפעלת הרשות</t>
  </si>
  <si>
    <t>Municipality-Operated Bus Service</t>
  </si>
  <si>
    <t>خدمة خدمة بتشغيل السلطة</t>
  </si>
  <si>
    <t>9422</t>
  </si>
  <si>
    <t>4422</t>
  </si>
  <si>
    <t>שרות אוטובוסים ציבוריים</t>
  </si>
  <si>
    <t>Public Bus Service</t>
  </si>
  <si>
    <t>خدمة الباصات العامة</t>
  </si>
  <si>
    <t>9423</t>
  </si>
  <si>
    <t>4423</t>
  </si>
  <si>
    <t>תחנות אוטובוסים</t>
  </si>
  <si>
    <t>Bus Stations</t>
  </si>
  <si>
    <t>محطات الباصات</t>
  </si>
  <si>
    <t>943</t>
  </si>
  <si>
    <t>443</t>
  </si>
  <si>
    <t>חניה למכוניות</t>
  </si>
  <si>
    <t>Vehicle Parking</t>
  </si>
  <si>
    <t>مواقف للسيارات</t>
  </si>
  <si>
    <t>9431</t>
  </si>
  <si>
    <t>4431</t>
  </si>
  <si>
    <t>מגרשי חניה</t>
  </si>
  <si>
    <t>Parking Lots</t>
  </si>
  <si>
    <t>مواقف</t>
  </si>
  <si>
    <t>9432</t>
  </si>
  <si>
    <t>4432</t>
  </si>
  <si>
    <t>כרטיסי חניה ומדחנים</t>
  </si>
  <si>
    <t>Parking Cards and Street Meters</t>
  </si>
  <si>
    <t>تذاكر وقوف السيارات وعدادات مواقف السيارات</t>
  </si>
  <si>
    <t>944</t>
  </si>
  <si>
    <t>444</t>
  </si>
  <si>
    <t>חניה למוניות</t>
  </si>
  <si>
    <t>Taxi Parking Lots</t>
  </si>
  <si>
    <t>مواقف لسيارات الأجرة</t>
  </si>
  <si>
    <t>945</t>
  </si>
  <si>
    <t>445</t>
  </si>
  <si>
    <t>רכבות</t>
  </si>
  <si>
    <t>Trains</t>
  </si>
  <si>
    <t>القطارات</t>
  </si>
  <si>
    <t>95</t>
  </si>
  <si>
    <t>45</t>
  </si>
  <si>
    <t>מפעלי תעסוקה</t>
  </si>
  <si>
    <t>Occupational Enterprises</t>
  </si>
  <si>
    <t>مصانع توظيف</t>
  </si>
  <si>
    <t>96</t>
  </si>
  <si>
    <t>46</t>
  </si>
  <si>
    <t>Electricity</t>
  </si>
  <si>
    <t>كهرباء</t>
  </si>
  <si>
    <t>97</t>
  </si>
  <si>
    <t>47</t>
  </si>
  <si>
    <t>מפעל הביוב</t>
  </si>
  <si>
    <t>Sewage Plant</t>
  </si>
  <si>
    <t>مصنع لمياه الصرف الصحي</t>
  </si>
  <si>
    <t>971</t>
  </si>
  <si>
    <t>471</t>
  </si>
  <si>
    <t>מינהל הביוב</t>
  </si>
  <si>
    <t>Sewage Administration</t>
  </si>
  <si>
    <t>إدارة مياه الصرف الصحي</t>
  </si>
  <si>
    <t>972</t>
  </si>
  <si>
    <t>472</t>
  </si>
  <si>
    <t>ביוב עירוני</t>
  </si>
  <si>
    <t>Municipal Sewage</t>
  </si>
  <si>
    <t>مياه الصرف الصحي في المناطق الحضرية</t>
  </si>
  <si>
    <t>973</t>
  </si>
  <si>
    <t>473</t>
  </si>
  <si>
    <t>טיהור מי ביוב</t>
  </si>
  <si>
    <t>Sewage Purification</t>
  </si>
  <si>
    <t>اعاده تدوير مياه الصرف الصحي</t>
  </si>
  <si>
    <t>974</t>
  </si>
  <si>
    <t>474</t>
  </si>
  <si>
    <t>ריקון בורות שופכין</t>
  </si>
  <si>
    <t>Sewage Home Pools Drainage</t>
  </si>
  <si>
    <t>تفريغ حفر النفايات</t>
  </si>
  <si>
    <t>98</t>
  </si>
  <si>
    <t>48</t>
  </si>
  <si>
    <t>מפעלים אחרים</t>
  </si>
  <si>
    <t>Other Plants/Enrterprises</t>
  </si>
  <si>
    <t>مصانع أخرى</t>
  </si>
  <si>
    <t>99</t>
  </si>
  <si>
    <t>תשלומים בלתי רגילים</t>
  </si>
  <si>
    <t>Unusual Payments</t>
  </si>
  <si>
    <t>مدفوعات غير عادية</t>
  </si>
  <si>
    <t>991</t>
  </si>
  <si>
    <t>591</t>
  </si>
  <si>
    <t>Provisions to Budgetary Funds</t>
  </si>
  <si>
    <t>أحكام لأموال الميزانية</t>
  </si>
  <si>
    <t>9911</t>
  </si>
  <si>
    <t>5911</t>
  </si>
  <si>
    <t>הפרשה לקרן למחסנים</t>
  </si>
  <si>
    <t>Provision to Storage Fund</t>
  </si>
  <si>
    <t>المساهمات في المستودعات</t>
  </si>
  <si>
    <t>9912</t>
  </si>
  <si>
    <t>5912</t>
  </si>
  <si>
    <t>הפרשה לקרן למניות</t>
  </si>
  <si>
    <t>Provision to Shares/Stock Fund</t>
  </si>
  <si>
    <t>المساهمات في الأسهم</t>
  </si>
  <si>
    <t>9913</t>
  </si>
  <si>
    <t>5913</t>
  </si>
  <si>
    <t>הפרשה לקרן הלוואות לעובדים</t>
  </si>
  <si>
    <t>Provision to Employee Loan Fund</t>
  </si>
  <si>
    <t>المساهمات في قروض موظف</t>
  </si>
  <si>
    <t>9914</t>
  </si>
  <si>
    <t>5914</t>
  </si>
  <si>
    <t>הפרשה לקרן גמ״ח לועדים מקומיים</t>
  </si>
  <si>
    <t>Provision to Local Employees Committees' Non-Profit Loan Fund</t>
  </si>
  <si>
    <t>المساهمات في اللجان المحلية غير الربحية</t>
  </si>
  <si>
    <t>9915</t>
  </si>
  <si>
    <t>5915</t>
  </si>
  <si>
    <t>הפרשה לקרן לחידוש רכב וציוד</t>
  </si>
  <si>
    <t>Provision to Vehicle and Equipment Renewal</t>
  </si>
  <si>
    <t>المساهمات في تجديد المركبات والمعدات</t>
  </si>
  <si>
    <t>9916</t>
  </si>
  <si>
    <t>5916</t>
  </si>
  <si>
    <t>הפרשה לקרן לשיכונים</t>
  </si>
  <si>
    <t>Provision to Neighborhoods' Fund</t>
  </si>
  <si>
    <t>المساهمات في مشاريع الإسكان</t>
  </si>
  <si>
    <t>9919</t>
  </si>
  <si>
    <t>5919</t>
  </si>
  <si>
    <t>הפרשה לקרנות אחרות</t>
  </si>
  <si>
    <t>Provision to Other Funds</t>
  </si>
  <si>
    <t>المساهمات في الصناديق الأخرى</t>
  </si>
  <si>
    <t>992</t>
  </si>
  <si>
    <t>רזרבה תקציבית (כולל התייקרויות)</t>
  </si>
  <si>
    <t>Budgetary Reserve (Including Price Rising)</t>
  </si>
  <si>
    <t>ميزانية الاحتياطي (بما في ذلك الزيادات في الأسعار)</t>
  </si>
  <si>
    <t>993</t>
  </si>
  <si>
    <t>תשלומים להחזר הכנסות מש . ק .</t>
  </si>
  <si>
    <t>Payments for Revenues from ???</t>
  </si>
  <si>
    <t>مدفوعات سداد التكاليف للدخل ???????</t>
  </si>
  <si>
    <t/>
  </si>
  <si>
    <t>994</t>
  </si>
  <si>
    <t>594</t>
  </si>
  <si>
    <t>הוצאות מיוחדות ובלתי נצפות מראש</t>
  </si>
  <si>
    <t>Special and Unexpected Expenses</t>
  </si>
  <si>
    <t>المصروفات الخاصة لغير المخطط لها</t>
  </si>
  <si>
    <t>995</t>
  </si>
  <si>
    <t>115;116;117</t>
  </si>
  <si>
    <t>הנחות ממיסים לפי חוק או תקנות</t>
  </si>
  <si>
    <t>Tax Discount by Law or By-Laws</t>
  </si>
  <si>
    <t>خصم الضريبة بموجب القانون أو لوائح</t>
  </si>
  <si>
    <t>999</t>
  </si>
  <si>
    <t>599</t>
  </si>
  <si>
    <t>העברות לכיסוי גרעון</t>
  </si>
  <si>
    <t>Transfers for Deficit Recovery</t>
  </si>
  <si>
    <t>التحويلات لتغطية العجز</t>
  </si>
  <si>
    <t>9991</t>
  </si>
  <si>
    <t>5991</t>
  </si>
  <si>
    <t>העברת מענק לכיסוי גרעון מצטבר</t>
  </si>
  <si>
    <t>Transfer of Grant for Cummulative Deficit Recovery</t>
  </si>
  <si>
    <t>نقل منح لتغطية العجز المتراكم</t>
  </si>
  <si>
    <t>9992</t>
  </si>
  <si>
    <t>5992</t>
  </si>
  <si>
    <t>העברת עודף תקציבי לכיסוי גרעון</t>
  </si>
  <si>
    <t>Transfer of Budgetary  for Deficit Recovery</t>
  </si>
  <si>
    <t>نقل فائض الميزانية لتغطية العجز</t>
  </si>
  <si>
    <t>9999</t>
  </si>
  <si>
    <t>5999</t>
  </si>
  <si>
    <t>העברת הלוואות לכיסוי גרעון</t>
  </si>
  <si>
    <t>Transfer of Loans for Deficit Recovery</t>
  </si>
  <si>
    <t>نقل القروض لتغطية النقص</t>
  </si>
  <si>
    <t>09</t>
  </si>
  <si>
    <t>Auxiliary Budgets</t>
  </si>
  <si>
    <t>ميزانيات المعونة</t>
  </si>
  <si>
    <t>091</t>
  </si>
  <si>
    <t>גמלאות ופיצויים</t>
  </si>
  <si>
    <t>Pensions and Benefits/Compensations</t>
  </si>
  <si>
    <t>الفوائد والتعويض</t>
  </si>
  <si>
    <t>092</t>
  </si>
  <si>
    <t>משרד הרשות ושירותים</t>
  </si>
  <si>
    <t>Municipality Office and Services</t>
  </si>
  <si>
    <t>مكتب السلطة وخدمات</t>
  </si>
  <si>
    <t>093</t>
  </si>
  <si>
    <t>מיכון</t>
  </si>
  <si>
    <t>Mechanization/Automation</t>
  </si>
  <si>
    <t>مكننة</t>
  </si>
  <si>
    <t>094</t>
  </si>
  <si>
    <t>אפסנאות ומחסנים</t>
  </si>
  <si>
    <t>Logistics and Storages</t>
  </si>
  <si>
    <t>حفظ المخزونات والمخازن</t>
  </si>
  <si>
    <t>095</t>
  </si>
  <si>
    <t>בתי מלאכה</t>
  </si>
  <si>
    <t>Workshops</t>
  </si>
  <si>
    <t>ورش العمل</t>
  </si>
  <si>
    <t>096</t>
  </si>
  <si>
    <t>מוסך ורכב</t>
  </si>
  <si>
    <t>Garage and Vehicles</t>
  </si>
  <si>
    <t>المرآب والمركبات</t>
  </si>
  <si>
    <t>097</t>
  </si>
  <si>
    <t>שירותי הסעה והובלה</t>
  </si>
  <si>
    <t>Transportation and Moving Services</t>
  </si>
  <si>
    <t>خدمات نقل والنقل</t>
  </si>
  <si>
    <t>098</t>
  </si>
  <si>
    <t>החזקת נכסים ציבוריים</t>
  </si>
  <si>
    <t>Maintenance Public Properties</t>
  </si>
  <si>
    <t>صيانة الأصول العامة</t>
  </si>
  <si>
    <t>099</t>
  </si>
  <si>
    <t>פירעון מלוות</t>
  </si>
  <si>
    <t>Loans Redemption</t>
  </si>
  <si>
    <t>מסים ומענק כללי</t>
  </si>
  <si>
    <t>Taxes and General Grant</t>
  </si>
  <si>
    <t>الضرائب والجنرال جرانت</t>
  </si>
  <si>
    <t>11</t>
  </si>
  <si>
    <t>Property Tax</t>
  </si>
  <si>
    <t>الضرائب على الممتلكات</t>
  </si>
  <si>
    <t>111</t>
  </si>
  <si>
    <t>ארנונה כללית</t>
  </si>
  <si>
    <t>General Property Tax</t>
  </si>
  <si>
    <t>ضريبة الأملاك العامة</t>
  </si>
  <si>
    <t>1111</t>
  </si>
  <si>
    <t>ארנונה כללית למגורים - גביה שוטפת</t>
  </si>
  <si>
    <t>General Residential Property Tax - Current Collection</t>
  </si>
  <si>
    <t>ضريبة الأملاك العامة للسكن - المجموعة الحالية</t>
  </si>
  <si>
    <t>1112</t>
  </si>
  <si>
    <t>ארנונה כללית למגורים - גביה מיתרת פיגורים</t>
  </si>
  <si>
    <t>General Residential Property Tax - Collection from Late Payment Balance</t>
  </si>
  <si>
    <t>ضريبة الأملاك العامة للسكن- جمع متأخرات</t>
  </si>
  <si>
    <t>1113</t>
  </si>
  <si>
    <t>ארנונה כללית שלא למגורים גביה שוטפת</t>
  </si>
  <si>
    <t>General Non-Residential Property Tax- Current Collection</t>
  </si>
  <si>
    <t>ضريبة الأملاك العامة ليس للسكن- المجموعة الحالية</t>
  </si>
  <si>
    <t>1114</t>
  </si>
  <si>
    <t>ארנונה כללית שלא למגורים גבית מיתרת פיגורים</t>
  </si>
  <si>
    <t>General Non-Residential Property Tax- Collection from Late Payment Balance</t>
  </si>
  <si>
    <t>ضريبة الأملاك العامة ليس للسكن- جمع متأخرات</t>
  </si>
  <si>
    <t>112</t>
  </si>
  <si>
    <t>הכנסות במקום ארנונה</t>
  </si>
  <si>
    <t>Property Tax replacement Revenues</t>
  </si>
  <si>
    <t>الدخل بدلا من الضرائب على الممتلكات</t>
  </si>
  <si>
    <t>הנחות מימון (ארנונה מראש והסדרי תשלומים)</t>
  </si>
  <si>
    <t>Financing Discounts (Pre-Paid Property Tax and Payent Arrangements)</t>
  </si>
  <si>
    <t>خصم التمويل (ترتيبات الدفع قبل الضرائب)</t>
  </si>
  <si>
    <t>115</t>
  </si>
  <si>
    <t>הנחות לזכאים</t>
  </si>
  <si>
    <t>Discounts for Beneficiaries</t>
  </si>
  <si>
    <t>خصومات مؤهلة</t>
  </si>
  <si>
    <t>116</t>
  </si>
  <si>
    <t>הנחות ועדה בגין מצב חומרי</t>
  </si>
  <si>
    <t>Committee Discounts Due to Phisical Condition</t>
  </si>
  <si>
    <t>خصومات اللجنة نظرا لحالة المادية</t>
  </si>
  <si>
    <t>117</t>
  </si>
  <si>
    <t>הנחות ועדה אחרות</t>
  </si>
  <si>
    <t>Other Committees Discounts</t>
  </si>
  <si>
    <t>خصومات اللجان الأخرى</t>
  </si>
  <si>
    <t>12</t>
  </si>
  <si>
    <t>Fees</t>
  </si>
  <si>
    <t>الرسوم</t>
  </si>
  <si>
    <t>121</t>
  </si>
  <si>
    <t>תעודות ואישורים</t>
  </si>
  <si>
    <t>Documents and Certificates</t>
  </si>
  <si>
    <t>الشهادات والتصريحات</t>
  </si>
  <si>
    <t>122</t>
  </si>
  <si>
    <t>אגרת רשיונות לשלטים</t>
  </si>
  <si>
    <t>Sign Lisences Fee</t>
  </si>
  <si>
    <t>رسوم الترخيص للاشارات</t>
  </si>
  <si>
    <t>124</t>
  </si>
  <si>
    <t>מודעות ופרסומים</t>
  </si>
  <si>
    <t>Advertisements and Publications</t>
  </si>
  <si>
    <t>الإعلانات والمنشورات</t>
  </si>
  <si>
    <t>1241</t>
  </si>
  <si>
    <t>מודעות על לוחות</t>
  </si>
  <si>
    <t>Advertisements on Billboards</t>
  </si>
  <si>
    <t>إعلانات على لوحات</t>
  </si>
  <si>
    <t>1242</t>
  </si>
  <si>
    <t>מודעות על בדי קולנוע</t>
  </si>
  <si>
    <t>Advertisements on Cinema screens</t>
  </si>
  <si>
    <t>الإعلانات في صالات السينما</t>
  </si>
  <si>
    <t>1243</t>
  </si>
  <si>
    <t>מודעות על רכב ציבורי</t>
  </si>
  <si>
    <t>Advertisements on Public Vehicles</t>
  </si>
  <si>
    <t>الإعلانات على المركبات العامة</t>
  </si>
  <si>
    <t>1244</t>
  </si>
  <si>
    <t>פרסום חוצות</t>
  </si>
  <si>
    <t>Street Advertisements</t>
  </si>
  <si>
    <t>اعلان خارجى</t>
  </si>
  <si>
    <t>1245</t>
  </si>
  <si>
    <t>פרסום בכבלים</t>
  </si>
  <si>
    <t>Cable Advertisements</t>
  </si>
  <si>
    <t>الإعلان على التلفزيون</t>
  </si>
  <si>
    <t>129</t>
  </si>
  <si>
    <t>אגרות שונות</t>
  </si>
  <si>
    <t>Various Fees</t>
  </si>
  <si>
    <t>الرسوم المختلفة</t>
  </si>
  <si>
    <t>13</t>
  </si>
  <si>
    <t>Levies</t>
  </si>
  <si>
    <t>الجبايات</t>
  </si>
  <si>
    <t>14</t>
  </si>
  <si>
    <t>מכסות</t>
  </si>
  <si>
    <t>Quotas</t>
  </si>
  <si>
    <t>الحصص</t>
  </si>
  <si>
    <t>141</t>
  </si>
  <si>
    <t>מכסות הועדים המקומיים</t>
  </si>
  <si>
    <t>Local Committees Quota</t>
  </si>
  <si>
    <t>حصص اللجان المحلية</t>
  </si>
  <si>
    <t>142</t>
  </si>
  <si>
    <t>מכסות לאיגודי ערים</t>
  </si>
  <si>
    <t>Municipal Associations Quota</t>
  </si>
  <si>
    <t>تغطية التجمعات السكانية</t>
  </si>
  <si>
    <t>15</t>
  </si>
  <si>
    <t>השתתפויות כלליות של מוסדות</t>
  </si>
  <si>
    <t>General Participation of Institutions</t>
  </si>
  <si>
    <t>مشاركة عامة من المؤسسات</t>
  </si>
  <si>
    <t>155</t>
  </si>
  <si>
    <t>Participation of the Jewish Agency</t>
  </si>
  <si>
    <t>مشاركة الوكالة اليهودية</t>
  </si>
  <si>
    <t>156</t>
  </si>
  <si>
    <t>השתתפות ההסתדרות הכללית</t>
  </si>
  <si>
    <t>Participation of the General Worker Organization</t>
  </si>
  <si>
    <t>المشاركة في الاتحاد العام</t>
  </si>
  <si>
    <t>157</t>
  </si>
  <si>
    <t>Participation of Other Institutes</t>
  </si>
  <si>
    <t>مشاركة المؤسسات الأخرى</t>
  </si>
  <si>
    <t>16</t>
  </si>
  <si>
    <t>Financing Revenues</t>
  </si>
  <si>
    <t>دخل التمويل</t>
  </si>
  <si>
    <t>19</t>
  </si>
  <si>
    <t>מענקים כלליים</t>
  </si>
  <si>
    <t>General Grants</t>
  </si>
  <si>
    <t>المنح العامه</t>
  </si>
  <si>
    <t>191</t>
  </si>
  <si>
    <t>מענק כללי לאיזון</t>
  </si>
  <si>
    <t>General Balancing Grant</t>
  </si>
  <si>
    <t>المنح العامه لتوازن</t>
  </si>
  <si>
    <t>192</t>
  </si>
  <si>
    <t>מענקים חד פעמיים</t>
  </si>
  <si>
    <t>One-Time Grants</t>
  </si>
  <si>
    <t>المنح لمرة واحدة</t>
  </si>
  <si>
    <t>193</t>
  </si>
  <si>
    <t>מענק חבירה (ירושלים)</t>
  </si>
  <si>
    <t>Capital Grant (Jerusalem)</t>
  </si>
  <si>
    <t>منح العاصمة (القدس)</t>
  </si>
  <si>
    <t>194</t>
  </si>
  <si>
    <t>מענק לקליטת העלייה</t>
  </si>
  <si>
    <t>Emmigration Absorption Grant</t>
  </si>
  <si>
    <t>منحة هجرة الامتصاص</t>
  </si>
  <si>
    <t>195</t>
  </si>
  <si>
    <t>מענקי הסדר</t>
  </si>
  <si>
    <t>Arrangement Grants</t>
  </si>
  <si>
    <t>ترتيب المنح</t>
  </si>
  <si>
    <t>196</t>
  </si>
  <si>
    <t>מענקים אחרים</t>
  </si>
  <si>
    <t>Other Grants</t>
  </si>
  <si>
    <t>منح أخرى</t>
  </si>
  <si>
    <t>197</t>
  </si>
  <si>
    <t>מענק - רזרבה להתייקרות</t>
  </si>
  <si>
    <t>Grant - Reserve for Price Rising</t>
  </si>
  <si>
    <t>منحة - احتياطي لزيادة في الأسعار</t>
  </si>
  <si>
    <t>Cleaning services</t>
  </si>
  <si>
    <t>Cleaning services administration</t>
  </si>
  <si>
    <t>Garbage collection and disposal</t>
  </si>
  <si>
    <t>جمع القمامة وحرقها</t>
  </si>
  <si>
    <t>Yard cleaning</t>
  </si>
  <si>
    <t>Public toilets</t>
  </si>
  <si>
    <t>Sanitation supervision</t>
  </si>
  <si>
    <t>Sanitation supervision administration</t>
  </si>
  <si>
    <t>General sanitation supervison</t>
  </si>
  <si>
    <t>الإشراف الصحي العام</t>
  </si>
  <si>
    <t>Business and institutions supervison</t>
  </si>
  <si>
    <t>مراقبة الشركات والمؤسسات</t>
  </si>
  <si>
    <t>Veterinary services</t>
  </si>
  <si>
    <t>Veterinary services administration</t>
  </si>
  <si>
    <t>Veterinary supervison</t>
  </si>
  <si>
    <t>الإشراف البيطري</t>
  </si>
  <si>
    <t>محاربة داء الكلب</t>
  </si>
  <si>
    <t>Preventive sanitation</t>
  </si>
  <si>
    <t>Sanitation products selling</t>
  </si>
  <si>
    <t>Epidemic disease extintion</t>
  </si>
  <si>
    <t>דמי שרות להדברת מזיקים</t>
  </si>
  <si>
    <t>Pesticides service fee</t>
  </si>
  <si>
    <t>رسوم خدمة مكافحة الآفات</t>
  </si>
  <si>
    <t>Guarding and security</t>
  </si>
  <si>
    <t>الحراسة والأمن</t>
  </si>
  <si>
    <t>Guarding and security administration</t>
  </si>
  <si>
    <t>إدارة الحراسة والأمن</t>
  </si>
  <si>
    <t>Security guarding</t>
  </si>
  <si>
    <t>حراسة أمن</t>
  </si>
  <si>
    <t>Civil Guard</t>
  </si>
  <si>
    <t>Civil defence</t>
  </si>
  <si>
    <t>Fire service</t>
  </si>
  <si>
    <t>خدمة الحريق</t>
  </si>
  <si>
    <t>أمن</t>
  </si>
  <si>
    <t>מל״ ח</t>
  </si>
  <si>
    <t>Emergency service</t>
  </si>
  <si>
    <t>פס״ח</t>
  </si>
  <si>
    <t>Areal defence</t>
  </si>
  <si>
    <t>??</t>
  </si>
  <si>
    <t>Emergency expenditure coverage</t>
  </si>
  <si>
    <t>Urban planning and constructing</t>
  </si>
  <si>
    <t>Local authority engineer office</t>
  </si>
  <si>
    <t>City planning</t>
  </si>
  <si>
    <t>General planning</t>
  </si>
  <si>
    <t>Measurements / Land Surveys</t>
  </si>
  <si>
    <t>Building supervison and licensing</t>
  </si>
  <si>
    <t>Fees, building licences</t>
  </si>
  <si>
    <t>Construction supervision</t>
  </si>
  <si>
    <t>Dangeruos houses supervision</t>
  </si>
  <si>
    <t>Local planning and building committee</t>
  </si>
  <si>
    <t>Public property/assets</t>
  </si>
  <si>
    <t>Public property/assets administration</t>
  </si>
  <si>
    <t>Ways and pavements</t>
  </si>
  <si>
    <t>כבישים עורקיים</t>
  </si>
  <si>
    <t>Arterial roads</t>
  </si>
  <si>
    <t>כבישים פנימיים ומדרכות</t>
  </si>
  <si>
    <t>Internal roads and pavements</t>
  </si>
  <si>
    <t>Street lights</t>
  </si>
  <si>
    <t>Road safety</t>
  </si>
  <si>
    <t>רמזורים ואיי תנועה</t>
  </si>
  <si>
    <t>Traffic Lights and Road Isles</t>
  </si>
  <si>
    <t>إشارات المرور وجزر الحركة</t>
  </si>
  <si>
    <t>מעברים תת קרקעיים וגשרים</t>
  </si>
  <si>
    <t>Covered/Underground Passages and Bridges</t>
  </si>
  <si>
    <t>Banisters and Safety Devices</t>
  </si>
  <si>
    <t>Sign Posts Trafiic Signs and Road Marking</t>
  </si>
  <si>
    <t>Municipal Safety Command</t>
  </si>
  <si>
    <t>Gardens and Planting</t>
  </si>
  <si>
    <t>Butifiying Floral Street</t>
  </si>
  <si>
    <t>Fountains and Art Street Elememts</t>
  </si>
  <si>
    <t>Street Furniture and Playground Installations</t>
  </si>
  <si>
    <t>Beaches, Public Pools and Baths</t>
  </si>
  <si>
    <t>Public beaches</t>
  </si>
  <si>
    <t>Pools</t>
  </si>
  <si>
    <t>Baths</t>
  </si>
  <si>
    <t>Cementeries</t>
  </si>
  <si>
    <t>Public Properties</t>
  </si>
  <si>
    <t>Celebrations Projects and Evenets</t>
  </si>
  <si>
    <t>Independence Day Celebraions</t>
  </si>
  <si>
    <t>חגיגת וטכסים אחרים</t>
  </si>
  <si>
    <t>Other Celebrations and Rites</t>
  </si>
  <si>
    <t>Adoption Activities</t>
  </si>
  <si>
    <t>Municipal Emergency Center</t>
  </si>
  <si>
    <t>Public Information</t>
  </si>
  <si>
    <t>263</t>
  </si>
  <si>
    <t>השתת' בהוצאות מועצות אזוריות</t>
  </si>
  <si>
    <t>Participation in Regional Councils' Expenses</t>
  </si>
  <si>
    <t>المشاركة في نفقات المجالس الإقليمية</t>
  </si>
  <si>
    <t>الثقافة والإسكان</t>
  </si>
  <si>
    <t>General Institutes</t>
  </si>
  <si>
    <t>Municipality's Elementary Insurance</t>
  </si>
  <si>
    <t>Mifam - Regional Guidance Center</t>
  </si>
  <si>
    <t>Various Incomes</t>
  </si>
  <si>
    <t>المدخولات المختلفة</t>
  </si>
  <si>
    <t>Economical Development</t>
  </si>
  <si>
    <t>Recreation and Tourism Promotion</t>
  </si>
  <si>
    <t>ייעד תעשיה ומלאכה</t>
  </si>
  <si>
    <t>Industry and Craft ??</t>
  </si>
  <si>
    <t>Municipal Companies</t>
  </si>
  <si>
    <t>By-Laws Supervision</t>
  </si>
  <si>
    <t>שירותים חקלאיים</t>
  </si>
  <si>
    <t>ארנונה כללית על אדמה חקלאית</t>
  </si>
  <si>
    <t>General Property Tax on Agricultural Land</t>
  </si>
  <si>
    <t>Fight against Agri Pests</t>
  </si>
  <si>
    <t>תצפיות ותחנות ניסיוניות</t>
  </si>
  <si>
    <t>Observations and Experimental Stations/Ranches</t>
  </si>
  <si>
    <t>Agricultural Guidance</t>
  </si>
  <si>
    <t>Other Agricultural Services</t>
  </si>
  <si>
    <t>State Services</t>
  </si>
  <si>
    <t>Pre-Elementary Education</t>
  </si>
  <si>
    <t>Pre-Kindergardens</t>
  </si>
  <si>
    <t>Pre-Kindergardens and child day care</t>
  </si>
  <si>
    <t>After School Kindergardens</t>
  </si>
  <si>
    <t>Kindergardens' Summer Camp/Additional Summer Month</t>
  </si>
  <si>
    <t>Elementary Eduacation</t>
  </si>
  <si>
    <t>Gifted and Talented Students' Enrichment/Special Classes</t>
  </si>
  <si>
    <t>Small Yeshivas and Talmoud Torah</t>
  </si>
  <si>
    <t>Complementary Education at Schools</t>
  </si>
  <si>
    <t>קייטנות/לימודיות וחודש לימוד נוסף</t>
  </si>
  <si>
    <t>Summer/Educational Camps and Additional School Month</t>
  </si>
  <si>
    <t>High School Education</t>
  </si>
  <si>
    <t>High Schools' Administration</t>
  </si>
  <si>
    <t>Academic High Schools</t>
  </si>
  <si>
    <t>Evening High Schools</t>
  </si>
  <si>
    <t>High School Yeshivas, Girls' Religious High Schools and ???</t>
  </si>
  <si>
    <t>Vocational High Schools</t>
  </si>
  <si>
    <t>Agricultural High Schools</t>
  </si>
  <si>
    <t>Comprehensive High Schools</t>
  </si>
  <si>
    <t>Higher Technological Education Institutes</t>
  </si>
  <si>
    <t>High Yeshivas and religuos Collelges</t>
  </si>
  <si>
    <t>Teacher Training Colleges</t>
  </si>
  <si>
    <t>Additional Services to Schools and Kindergardens</t>
  </si>
  <si>
    <t>קב״ט שמירה ובטחון מוסדות חינוך</t>
  </si>
  <si>
    <t>Educational Institute Guarding and Security</t>
  </si>
  <si>
    <t>מרכזיה פדגוגית</t>
  </si>
  <si>
    <t>Pedagogical Resource Center</t>
  </si>
  <si>
    <t>Educational Welfare</t>
  </si>
  <si>
    <t>Childrens' Transportation</t>
  </si>
  <si>
    <t>Recognized Non-State Education</t>
  </si>
  <si>
    <t>Cultral Activities/Events</t>
  </si>
  <si>
    <t>Musical Conservatory</t>
  </si>
  <si>
    <t>Torah Culture</t>
  </si>
  <si>
    <t>Youth Activity Center</t>
  </si>
  <si>
    <t>Youth Recreation</t>
  </si>
  <si>
    <t>Child Care Clinics</t>
  </si>
  <si>
    <t>Nurse Education Schools</t>
  </si>
  <si>
    <t>Red Magen David</t>
  </si>
  <si>
    <t>ICU ambulance</t>
  </si>
  <si>
    <t>Doctors' Rotation Call Center</t>
  </si>
  <si>
    <t>Wellfare Administration</t>
  </si>
  <si>
    <t>Individual and Family Wellfare</t>
  </si>
  <si>
    <t>Family Guidance</t>
  </si>
  <si>
    <t>Community Acitivities</t>
  </si>
  <si>
    <t>Hosting Children in Boarding Schools</t>
  </si>
  <si>
    <t>Hosting Children in Day Care and Foster Homes</t>
  </si>
  <si>
    <t>Elderly Services</t>
  </si>
  <si>
    <t>Elderly Services - Institutional</t>
  </si>
  <si>
    <t>Services for the Elderly - Community</t>
  </si>
  <si>
    <t>Occupational and Day Care Centers for the Elderly</t>
  </si>
  <si>
    <t>Services to the Retarded</t>
  </si>
  <si>
    <t>Placement of Retarded in Institutions</t>
  </si>
  <si>
    <t>סידור מפגרים במסגרות יום</t>
  </si>
  <si>
    <t>Placement of Retarded in Daily Establishments</t>
  </si>
  <si>
    <t>שירותים למפגר - קהילתי</t>
  </si>
  <si>
    <t>Community Services for the Retarded</t>
  </si>
  <si>
    <t>מפעלי תעסוקת למפגר ומע״ש</t>
  </si>
  <si>
    <t>Occupational Plants for the Retarded and ???</t>
  </si>
  <si>
    <t>Rehabilitation of the Blind - ?? in Institutions</t>
  </si>
  <si>
    <t>שיקום העיוור - מעונות יום</t>
  </si>
  <si>
    <t>Rehabilitation of the Blind - Day Care Establishments</t>
  </si>
  <si>
    <t>Treatment of the Blind in the Community</t>
  </si>
  <si>
    <t>Disabled - Rehabilitation In Institutes</t>
  </si>
  <si>
    <t>נכים - אחזקה במסגרות יום</t>
  </si>
  <si>
    <t>Disabled - Engagement In Institutes</t>
  </si>
  <si>
    <t>נכים - טיפול בקהילה</t>
  </si>
  <si>
    <t>Disabled - Teatment in the Community</t>
  </si>
  <si>
    <t>Disabled - Rehabilitation in Industrial Plants</t>
  </si>
  <si>
    <t>Correctional Services</t>
  </si>
  <si>
    <t>Treating Street Gangs and at-risk Youth</t>
  </si>
  <si>
    <t>Youth Protection Authority</t>
  </si>
  <si>
    <t>Occupational Plants for youth</t>
  </si>
  <si>
    <t>Citizen Advisory Service</t>
  </si>
  <si>
    <t>Emmigrant Services</t>
  </si>
  <si>
    <t>Religion/Religious</t>
  </si>
  <si>
    <t>שירותים דתיים יהודיים</t>
  </si>
  <si>
    <t>Jewish Religious Services</t>
  </si>
  <si>
    <t>Karaian Religious Services</t>
  </si>
  <si>
    <t>Muslim Religious Services</t>
  </si>
  <si>
    <t>שירותי דת לעדות נוצריות</t>
  </si>
  <si>
    <t>Christian Groups Religious Services</t>
  </si>
  <si>
    <t>Druse Religious Services</t>
  </si>
  <si>
    <t>שירותי דת יהודיים כלליים</t>
  </si>
  <si>
    <t>Religious Services in Regional Municipalities/Governesses</t>
  </si>
  <si>
    <t>Emmigration Absorption</t>
  </si>
  <si>
    <t>Various Emmigration Absorption Services</t>
  </si>
  <si>
    <t>שירותים שונים לאיכות הסביבה</t>
  </si>
  <si>
    <t>Various Services to Environmental Quality</t>
  </si>
  <si>
    <t>Plants/Enterprises</t>
  </si>
  <si>
    <t>Tax Collection</t>
  </si>
  <si>
    <t>משק המים</t>
  </si>
  <si>
    <t>Water Economy</t>
  </si>
  <si>
    <t>אגרות מים (צריכה שוטפת)</t>
  </si>
  <si>
    <t>Water Fees (Consumption)</t>
  </si>
  <si>
    <t>אגרות מים אחרות (מוני מים)</t>
  </si>
  <si>
    <t>Other Water Fees  (Water Meters)</t>
  </si>
  <si>
    <t>Municipal Slaughter House</t>
  </si>
  <si>
    <t>Associated Cities ??Slaughter House</t>
  </si>
  <si>
    <t>Properties</t>
  </si>
  <si>
    <t>Properties Administration</t>
  </si>
  <si>
    <t>Industrial and Worshop Buildings</t>
  </si>
  <si>
    <t>Land</t>
  </si>
  <si>
    <t>Other properties</t>
  </si>
  <si>
    <t>Busses</t>
  </si>
  <si>
    <t>Bus Service Municipality-Operated</t>
  </si>
  <si>
    <t>Car Parking</t>
  </si>
  <si>
    <t>Occupational Plants</t>
  </si>
  <si>
    <t>Cesspool Drainage</t>
  </si>
  <si>
    <t>Other Plants</t>
  </si>
  <si>
    <t>תקבולים בלתי רגילים</t>
  </si>
  <si>
    <t>Unusual  Paybacks</t>
  </si>
  <si>
    <t>ריבית והחזר הוצאות משנים קודמות</t>
  </si>
  <si>
    <t>Previous Years Interest and Expenses Returns</t>
  </si>
  <si>
    <t>الفائدة وسداد المصروفات من السنوات السابقة</t>
  </si>
  <si>
    <t>511</t>
  </si>
  <si>
    <t>ריבית ודיבידנדים</t>
  </si>
  <si>
    <t>Interest and Dividents</t>
  </si>
  <si>
    <t>الفوائد والأرباح</t>
  </si>
  <si>
    <t>513</t>
  </si>
  <si>
    <t>תקבולים מהחזר הוצאות משנים קודמות</t>
  </si>
  <si>
    <t>Revenues from Previous Years Expenses Returns</t>
  </si>
  <si>
    <t>العائدات من سداد نفقات من السنوات السابقة</t>
  </si>
  <si>
    <t>החזר מקרנות והכנסות מיוחדות</t>
  </si>
  <si>
    <t>Returns from Funds and Special Revenues</t>
  </si>
  <si>
    <t>عائدات من الأموال والإيرادات الخاصة</t>
  </si>
  <si>
    <t>Returns from Funds</t>
  </si>
  <si>
    <t>اعادات من الأموال</t>
  </si>
  <si>
    <t>החזרות מקרן למחסנים</t>
  </si>
  <si>
    <t>Returns from Storage Fund</t>
  </si>
  <si>
    <t>عوائد من صندوق التخزين</t>
  </si>
  <si>
    <t>החזרות מקרו למניות</t>
  </si>
  <si>
    <t>Returns from Shares Fund</t>
  </si>
  <si>
    <t>عوائد من صندوق أسهم</t>
  </si>
  <si>
    <t>החזרות מקרן הלוואות לעובדים</t>
  </si>
  <si>
    <t>Paybacks from Employee Loan Fund</t>
  </si>
  <si>
    <t>عوائد من صندوق القروض للموظفين</t>
  </si>
  <si>
    <t>החזרות מקרך גמ״ח לועדים מקומיים</t>
  </si>
  <si>
    <t>Paybacks from Local Employee Representative Non-Profit Help Fund</t>
  </si>
  <si>
    <t>عوائد من صندوق اللجان المحلية</t>
  </si>
  <si>
    <t>החזרות מקרן לחידוש רכב וציוד</t>
  </si>
  <si>
    <t>Returns from Vehicle and Equipment Renewal</t>
  </si>
  <si>
    <t>عوائد من صندوق تجديد وتأجير المعدات</t>
  </si>
  <si>
    <t>החזרות מקרן לשיכונים</t>
  </si>
  <si>
    <t>Returns from Housing Fund</t>
  </si>
  <si>
    <t>عوائد من صندوق الأحياء</t>
  </si>
  <si>
    <t>החזרות מקרנות אחרות</t>
  </si>
  <si>
    <t>Returns from other funds</t>
  </si>
  <si>
    <t>عوائد من صنادبق اخرى</t>
  </si>
  <si>
    <t>הכנסות מיוחדות ובלתי נצפות מראש</t>
  </si>
  <si>
    <t>Special and Unforseenable Revenues</t>
  </si>
  <si>
    <t>دخل خاص غير المخطط له</t>
  </si>
  <si>
    <t>הכנסות לכיסוי גרעון</t>
  </si>
  <si>
    <t>Revenues for Deficit Recovery</t>
  </si>
  <si>
    <t>الإيرادات لتغطية العجز</t>
  </si>
  <si>
    <t>יתרה מתקציבים רגילים קודמים</t>
  </si>
  <si>
    <t>Balance from Regular Budgets</t>
  </si>
  <si>
    <t>موازنة من ميزانيات العادية السابقة</t>
  </si>
  <si>
    <t>הלוואות לאיזון התקציב הרגיל</t>
  </si>
  <si>
    <t>Loans for Regular Budget Balancing</t>
  </si>
  <si>
    <t>القروض لتوازن الميزانية  العادية</t>
  </si>
  <si>
    <t>ספרה 1</t>
  </si>
  <si>
    <t>ספרה 2</t>
  </si>
  <si>
    <t>ספרה 3</t>
  </si>
  <si>
    <t>פרק 1</t>
  </si>
  <si>
    <t>פרק 2</t>
  </si>
  <si>
    <t>פרק 3</t>
  </si>
  <si>
    <t>ספרה 4</t>
  </si>
  <si>
    <t>פרק 4</t>
  </si>
  <si>
    <t>ספרה 56</t>
  </si>
  <si>
    <t>סיווג 1</t>
  </si>
  <si>
    <t>סוג 1</t>
  </si>
  <si>
    <t>סיווג 2</t>
  </si>
  <si>
    <t>סוג 2</t>
  </si>
  <si>
    <t>סיווג 3</t>
  </si>
  <si>
    <t>סוג 3</t>
  </si>
  <si>
    <t>חישובים אוטומטיים לבניה</t>
  </si>
  <si>
    <t>פירוק ברמה 2 ו-3 של הוצאות הנהלה וכלליות</t>
  </si>
  <si>
    <t>פירוק ברמה 2 ו-3 של הכנסות הוצאות שירותים מקומיים</t>
  </si>
  <si>
    <t xml:space="preserve">פירוק ברמה 3 של מפעלים </t>
  </si>
  <si>
    <t>ריכוז כל סעיפי התמיכות וחלוקה שלהם לפי נושאים</t>
  </si>
  <si>
    <t>תקבולים משרותים מקומיים</t>
  </si>
  <si>
    <t>תקבולים משרותים ממלכתיים</t>
  </si>
  <si>
    <t>Grand Total</t>
  </si>
  <si>
    <t>תכנון תקציב 2014</t>
  </si>
  <si>
    <t>תכנון תקציב 2015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</si>
  <si>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</si>
  <si>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</si>
  <si>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</si>
  <si>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</si>
  <si>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</si>
  <si>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</si>
  <si>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</si>
  <si>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</si>
  <si>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</si>
  <si>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</si>
  <si>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</si>
  <si>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</si>
  <si>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</si>
  <si>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</si>
  <si>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</si>
  <si>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</si>
  <si>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</si>
  <si>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</si>
  <si>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</si>
  <si>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מס' פרק</t>
  </si>
  <si>
    <t>מפעלים ותקציבי עזר</t>
  </si>
  <si>
    <t>שרותים ממלכתיים</t>
  </si>
  <si>
    <t>שרותים מקומיים</t>
  </si>
  <si>
    <t>תקציבי עזר - הכנסות</t>
  </si>
  <si>
    <t>תקציבי עזר - הוצאות</t>
  </si>
  <si>
    <t>תרבות נוער וספורט</t>
  </si>
  <si>
    <t>שירותים ממלכתיים אחרים</t>
  </si>
  <si>
    <t>8-81-84-82</t>
  </si>
  <si>
    <t>הנהלה כללית ומפעלים</t>
  </si>
  <si>
    <t>6,9</t>
  </si>
  <si>
    <t>רמה 1</t>
  </si>
  <si>
    <t>רמה 2</t>
  </si>
  <si>
    <t>רמה 3</t>
  </si>
  <si>
    <t>הפרש רמה 1</t>
  </si>
  <si>
    <t>הפרש רמה 2</t>
  </si>
  <si>
    <t>הפרש רמה 3</t>
  </si>
  <si>
    <t>090</t>
  </si>
  <si>
    <t>10</t>
  </si>
  <si>
    <t>50</t>
  </si>
  <si>
    <t>0920</t>
  </si>
  <si>
    <t>0921</t>
  </si>
  <si>
    <t>0940</t>
  </si>
  <si>
    <t>0941</t>
  </si>
  <si>
    <t>0960</t>
  </si>
  <si>
    <t>0961</t>
  </si>
  <si>
    <t>100</t>
  </si>
  <si>
    <t>110</t>
  </si>
  <si>
    <t>120</t>
  </si>
  <si>
    <t>160</t>
  </si>
  <si>
    <t>190</t>
  </si>
  <si>
    <t>329</t>
  </si>
  <si>
    <t>368</t>
  </si>
  <si>
    <t>410</t>
  </si>
  <si>
    <t>430</t>
  </si>
  <si>
    <t>470</t>
  </si>
  <si>
    <t>500</t>
  </si>
  <si>
    <t>510</t>
  </si>
  <si>
    <t>512</t>
  </si>
  <si>
    <t>590</t>
  </si>
  <si>
    <t>633</t>
  </si>
  <si>
    <t>734</t>
  </si>
  <si>
    <t>735</t>
  </si>
  <si>
    <t>829</t>
  </si>
  <si>
    <t>868</t>
  </si>
  <si>
    <t>סה"כ הכנסות</t>
  </si>
  <si>
    <t>סה"כ הוצאות מול הכנסות</t>
  </si>
  <si>
    <t>הפרש</t>
  </si>
  <si>
    <t>הוצאות</t>
  </si>
  <si>
    <t>הכנסות לא ייעודיות (ארנונה, אגרות כלליות ומענקים)</t>
  </si>
  <si>
    <t>סה"כ הכנסות ייעודיות</t>
  </si>
  <si>
    <t>אגרות, שירותים ושכר לימוד</t>
  </si>
  <si>
    <t>השתתפות משרדי ממשלה ומוסדות</t>
  </si>
  <si>
    <t>הכנסות רכוש, היטלים והשתתפויות בעלים</t>
  </si>
  <si>
    <t>חנוך</t>
  </si>
  <si>
    <t>שאר השירותים הממשלתיים</t>
  </si>
  <si>
    <t>הוצאות אל מול הכנסה לא ייעודית</t>
  </si>
  <si>
    <t>מקור הכנסה</t>
  </si>
  <si>
    <t>סוג הוצאה</t>
  </si>
  <si>
    <t>קבוצת אוכלוסייה ודת</t>
  </si>
  <si>
    <t>סה"כ  אוכלוסייה בסוף השנה (אלפים)</t>
  </si>
  <si>
    <t>אחוז גידול האוכלוסייה לעומת שנה קודמת</t>
  </si>
  <si>
    <t>מספר תושבים לפי נתוני הרשות</t>
  </si>
  <si>
    <t>מקור: למ"ס ומשרד הפנים</t>
  </si>
  <si>
    <t>מספר משקי בית לפי נתוני הרשות</t>
  </si>
  <si>
    <t>תאים מודגשים בצהוב הם תחזיות/שיערוך</t>
  </si>
  <si>
    <t>מספר תושבים לפי נתוני למ"ס</t>
  </si>
  <si>
    <t>אחוז גילאי 4-0  באוכלוסייה בסוף השנה</t>
  </si>
  <si>
    <t>אחוז גילאי 9-5  באוכלוסייה בסוף השנה</t>
  </si>
  <si>
    <t>אחוז גילאי 14-10  באוכלוסייה בסוף השנה</t>
  </si>
  <si>
    <t>אחוז גילאי 19-15  באוכלוסייה בסוף השנה</t>
  </si>
  <si>
    <t>אחוז גילאי 0-19 בסוף שנה</t>
  </si>
  <si>
    <t>מקור: למ"ס</t>
  </si>
  <si>
    <t>אחוז גילאי 29-20  באוכלוסייה בסוף השנה</t>
  </si>
  <si>
    <t>אחוז גילאי 44-30  באוכלוסייה בסוף השנה</t>
  </si>
  <si>
    <t>אחוז גילאי 59-45  באוכלוסייה בסוף השנה</t>
  </si>
  <si>
    <t>אחוז גילאי 30-59 בסוף שנה</t>
  </si>
  <si>
    <t>אחוז גילאי 64-60  באוכלוסייה בסוף השנה</t>
  </si>
  <si>
    <t>אחוז גילאי 65 ומעלה  באוכלוסייה בסוף השנה</t>
  </si>
  <si>
    <t>אחוז גילאי 60 ומעלה בסוף שנה</t>
  </si>
  <si>
    <t>אחוז גילאי 17-0  באוכלוסייה בסוף השנה</t>
  </si>
  <si>
    <t>אחוז גילאי 75 ומעלה באוכלוסייה בסוף השנה</t>
  </si>
  <si>
    <t>גנ"י רשמי</t>
  </si>
  <si>
    <t>יסודי רשמי</t>
  </si>
  <si>
    <t>חט"ב רשמי</t>
  </si>
  <si>
    <t>חט"ע רשמי</t>
  </si>
  <si>
    <t>גנ"י מוכר</t>
  </si>
  <si>
    <t>יסודי מוכר</t>
  </si>
  <si>
    <t>חט"ב מוכר</t>
  </si>
  <si>
    <t>חט"ע מוכר</t>
  </si>
  <si>
    <t>גנ"י במימון העירייה</t>
  </si>
  <si>
    <t>מקור: מערכת מבט רחב של משרד החינוך</t>
  </si>
  <si>
    <t>יסודי במימון העירייה</t>
  </si>
  <si>
    <t>החישוב מבוסס על סכימה של כל התלמידים במוסדות הרשמיים ברשות וכן את התלמידים במוסדות המוכרים ששייכים לרשות</t>
  </si>
  <si>
    <t>חט"ב במימון העירייה</t>
  </si>
  <si>
    <t>חט"ע במימון העירייה</t>
  </si>
  <si>
    <t>סה"כ תלמידים במימון העייריה</t>
  </si>
  <si>
    <t>תכנון הכנסות ממשלתיות 2014</t>
  </si>
  <si>
    <t>תכנון הכנסות עצמיות 2014</t>
  </si>
  <si>
    <t>תכנון הכנסות ממשלתיות 2015</t>
  </si>
  <si>
    <t>תכנון הכנסות עצמיות 2015</t>
  </si>
  <si>
    <t>2013 תכנון</t>
  </si>
  <si>
    <t>חנוך קדם יסודי</t>
  </si>
  <si>
    <t>חנוך יסודי</t>
  </si>
  <si>
    <t>חנוך על יסודי</t>
  </si>
  <si>
    <t>שירותים רוחביים</t>
  </si>
  <si>
    <t>ספורט</t>
  </si>
  <si>
    <t>Sports</t>
  </si>
  <si>
    <t>חישוב אוטומטי לטובת סיפור העיר</t>
  </si>
  <si>
    <t>יחס הכנסות בין ארנונה ממגורים וארנונה שאינה ממגורים</t>
  </si>
  <si>
    <t>הכנסות עצמיות של הרשות  (אלפי ש"ח)</t>
  </si>
  <si>
    <t>סה"כ הכנסות עצמיות של הרשות - אחוז שינוי ריאלי לעומת שנה קודמת</t>
  </si>
  <si>
    <t>הכנסות של הרשות מארנונה  (גבייה) (אלפי ש"ח)</t>
  </si>
  <si>
    <t>הכנסות של הרשות מארנונה (גבייה) - אחוז שינוי ריאלי לעומת שנה קודמת</t>
  </si>
  <si>
    <t>הכנסות של הרשות מארנונה למגורים (גבייה) (אלפי ש"ח)</t>
  </si>
  <si>
    <t>הכנסות של הרשות מארנונה למגורים (גבייה) - אחוז שינוי ראלי לעומת שנה קודמת</t>
  </si>
  <si>
    <t>הכנסות של הרשות מארנונה למגורים  -יחס גבייה ב-% לכלל החיובים</t>
  </si>
  <si>
    <t>הכנסות של הרשות מארנונה לא למגורים (גבייה) (אלפי ש"ח)</t>
  </si>
  <si>
    <t>הכנסות עצמיות של הרשות מחינוך (אלפי ש"ח)</t>
  </si>
  <si>
    <t>הכנסות עצמיות של הרשות מחינוך - אחוז שינוי ריאלי לעומת שנה קודמת</t>
  </si>
  <si>
    <t>הכנסות עצמיות של הרשות מרווחה (אלפי ש"ח)</t>
  </si>
  <si>
    <t>הכנסות עצמיות של הרשות מרווחה - אחוז שינוי ריאלי לעומת שנה קודמת</t>
  </si>
  <si>
    <t>חיוב ארנונה סך הכל (באלפי ש"ח) בשנה נוכחית</t>
  </si>
  <si>
    <t>חיוב ארנונה למגורים (באלפי ש"ח) בשנה נוכחית</t>
  </si>
  <si>
    <t>חיוב ארנונה לעסקים (באלפי ש"ח) בשנה נוכחית</t>
  </si>
  <si>
    <t>חיוב ארנונה לתעשייה ומלאכה (באלפי ש"ח) בשנה נוכחית</t>
  </si>
  <si>
    <t>חיוב ארנונה לבנקים (באלפי ש"ח) בשנה נוכחית</t>
  </si>
  <si>
    <t>חיוב ארנונה לבתי מלון (באלפי ש"ח) בשנה נוכחית</t>
  </si>
  <si>
    <t>חיוב ארנונה למוסדות ולמבנים (באלפי ש"ח) בשנה נוכחית</t>
  </si>
  <si>
    <t>חיוב ארנונה לחניונים (באלפי ש"ח) בשנה נוכחית</t>
  </si>
  <si>
    <t>חיוב ארנונה לקרקע תפוסה (באלפי ש"ח) בשנה נוכחית</t>
  </si>
  <si>
    <t>חיוב ארנונה לקרקע חקלאית (באלפי ש"ח) בשנה נוכחית</t>
  </si>
  <si>
    <t>חיוב ארנונה ליתר סוגי נכס (באלפי ש"ח) בשנה נוכחית</t>
  </si>
  <si>
    <t>יתרה לתחילת שנה - ארנונה למגורים</t>
  </si>
  <si>
    <t>חיוב בשנת החשבון - ארנונה למגורים</t>
  </si>
  <si>
    <t>סה"כ פטורים, שחרורים והנחות - ארנונה למגורים</t>
  </si>
  <si>
    <t>העברה לחובות מסופקים - ארנונה למגורים</t>
  </si>
  <si>
    <t>סה"כ חיובים נטו - ארנונה למגורים</t>
  </si>
  <si>
    <t>סה"כ גביות בשנת הדוח - ארנונה למגורים</t>
  </si>
  <si>
    <t>יתרה לסוף השנה - ארנונה למגורים</t>
  </si>
  <si>
    <t>יחס גביה ב - % לחיוב השנתי - ארנונה למגורים</t>
  </si>
  <si>
    <t>יחס גביה ב - % לכלל החיובים - ארנונה למגורים</t>
  </si>
  <si>
    <t>יתרה לתחילת שנה - ארנונה אחרת</t>
  </si>
  <si>
    <t>חיוב בשנת החשבון - ארנונה אחרת</t>
  </si>
  <si>
    <t>סה"כ פטורים, שחרורים והנחות - ארנונה אחרת</t>
  </si>
  <si>
    <t>העברה לחובות מסופקים - ארנונה אחרת</t>
  </si>
  <si>
    <t>סה"כ חיובים נטו - ארנונה אחרת</t>
  </si>
  <si>
    <t>סה"כ גביות בשנת הדוח - ארנונה אחרת</t>
  </si>
  <si>
    <t>יתרה לסוף השנה - ארנונה אחרת</t>
  </si>
  <si>
    <t>יחס גביה ב - % לחיוב השנתי - ארנונה אחרת</t>
  </si>
  <si>
    <t>יחס גביה ב - % לכלל החיובים - ארנונה אחרת</t>
  </si>
  <si>
    <t>שקל לשקל</t>
  </si>
  <si>
    <t>ארנונה ממגורים</t>
  </si>
  <si>
    <t>ארנונה שאינה ממגורים</t>
  </si>
  <si>
    <t>הכנסות עצמיות שאינן מארנונה</t>
  </si>
  <si>
    <t>תקציב בפועל 2013</t>
  </si>
  <si>
    <t>עצמיות בלבד</t>
  </si>
  <si>
    <t>עצמאיות ללא רכוש ומפעלים</t>
  </si>
  <si>
    <t>Total Per resident</t>
  </si>
  <si>
    <t>From resident taxes and payment</t>
  </si>
  <si>
    <t>Funded by government</t>
  </si>
  <si>
    <t>From business taxes and payment</t>
  </si>
  <si>
    <t>Expense on city resident</t>
  </si>
  <si>
    <t>Investment in city resident</t>
  </si>
  <si>
    <t>Education expenses per child</t>
  </si>
  <si>
    <t>Expense on pre-school child</t>
  </si>
  <si>
    <t>Expense on junior high school child</t>
  </si>
  <si>
    <t>Expense on high school child</t>
  </si>
  <si>
    <t>Expenses on target population</t>
  </si>
  <si>
    <t>Handicap</t>
  </si>
  <si>
    <t>Families and communities</t>
  </si>
  <si>
    <t>Elderly (over 70)</t>
  </si>
  <si>
    <t>Culture and sports</t>
  </si>
  <si>
    <t>Other government services</t>
  </si>
  <si>
    <t>General administration</t>
  </si>
  <si>
    <t>Local services</t>
  </si>
  <si>
    <t>מקור המימון</t>
  </si>
  <si>
    <t>לפי הרכב ההכנסה</t>
  </si>
  <si>
    <t>תושבים</t>
  </si>
  <si>
    <t>מדינה</t>
  </si>
  <si>
    <t>עסקים</t>
  </si>
  <si>
    <t>עצמי</t>
  </si>
  <si>
    <t>היקף ההוצאה</t>
  </si>
  <si>
    <t>ארנונה, חניה ומענקים לא ייעודיים</t>
  </si>
  <si>
    <t xml:space="preserve">הנהלה כללית                       </t>
  </si>
  <si>
    <t xml:space="preserve">שרותים מקומיים                    </t>
  </si>
  <si>
    <t xml:space="preserve">מפעלים ותקציבי עזר                </t>
  </si>
  <si>
    <t>הרכב ההכנסה הלא ייעודית</t>
  </si>
  <si>
    <t>ממשלה</t>
  </si>
  <si>
    <t>אחוזים</t>
  </si>
  <si>
    <t>סה"כ</t>
  </si>
  <si>
    <t>Yearly</t>
  </si>
  <si>
    <t>Monthly</t>
  </si>
  <si>
    <t>910</t>
  </si>
  <si>
    <t xml:space="preserve">מ.הפנים-אבטחת רה"ע </t>
  </si>
  <si>
    <t>105</t>
  </si>
  <si>
    <t xml:space="preserve">עובדים זמניים </t>
  </si>
  <si>
    <t xml:space="preserve">שכר קובע </t>
  </si>
  <si>
    <t xml:space="preserve">תוספות שאינן בשכר קובע </t>
  </si>
  <si>
    <t>130</t>
  </si>
  <si>
    <t xml:space="preserve">שעות נוספות </t>
  </si>
  <si>
    <t>140</t>
  </si>
  <si>
    <t xml:space="preserve">החזר הוצאות </t>
  </si>
  <si>
    <t>181</t>
  </si>
  <si>
    <t xml:space="preserve">הפרשות סוציאליות </t>
  </si>
  <si>
    <t>182</t>
  </si>
  <si>
    <t xml:space="preserve">מיסים ועלויות </t>
  </si>
  <si>
    <t xml:space="preserve">אירוח רשמי </t>
  </si>
  <si>
    <t xml:space="preserve">אירוח וכיבוד </t>
  </si>
  <si>
    <t xml:space="preserve">אש"ל ונסיעות </t>
  </si>
  <si>
    <t>514</t>
  </si>
  <si>
    <t xml:space="preserve">החזר שי בתפקיד </t>
  </si>
  <si>
    <t>522</t>
  </si>
  <si>
    <t xml:space="preserve">ספרות מקצועית ועיתונות </t>
  </si>
  <si>
    <t>523</t>
  </si>
  <si>
    <t xml:space="preserve">דמי חבר בפורום סגנים </t>
  </si>
  <si>
    <t>531</t>
  </si>
  <si>
    <t xml:space="preserve">דלק </t>
  </si>
  <si>
    <t>540</t>
  </si>
  <si>
    <t xml:space="preserve">הוצאות תקשורת </t>
  </si>
  <si>
    <t>550</t>
  </si>
  <si>
    <t xml:space="preserve">פרסום והדפסות </t>
  </si>
  <si>
    <t>561</t>
  </si>
  <si>
    <t xml:space="preserve">צילום מסמכים </t>
  </si>
  <si>
    <t>580</t>
  </si>
  <si>
    <t xml:space="preserve">הוצאות אירגוניות </t>
  </si>
  <si>
    <t xml:space="preserve">השכרת רכב </t>
  </si>
  <si>
    <t>759</t>
  </si>
  <si>
    <t xml:space="preserve">אבטחת רה"ע </t>
  </si>
  <si>
    <t xml:space="preserve">שירות לאומי </t>
  </si>
  <si>
    <t>440</t>
  </si>
  <si>
    <t xml:space="preserve">ביטוח תאונות אישיות </t>
  </si>
  <si>
    <t xml:space="preserve">ספרות מקצועית </t>
  </si>
  <si>
    <t>710</t>
  </si>
  <si>
    <t xml:space="preserve">הובלות והסעות </t>
  </si>
  <si>
    <t>750</t>
  </si>
  <si>
    <t xml:space="preserve">שרותי הקלטה ותימלול </t>
  </si>
  <si>
    <t xml:space="preserve">וועדת ערר לארנונה </t>
  </si>
  <si>
    <t xml:space="preserve">השכרת אולם לשבת תרבות </t>
  </si>
  <si>
    <t xml:space="preserve">דמי חבר בארגונים </t>
  </si>
  <si>
    <t>551</t>
  </si>
  <si>
    <t xml:space="preserve">תשדירי רדיו </t>
  </si>
  <si>
    <t>552</t>
  </si>
  <si>
    <t xml:space="preserve">צילום ופיתוח תמונות </t>
  </si>
  <si>
    <t>575</t>
  </si>
  <si>
    <t xml:space="preserve">אתר דוברות-אינטרנט </t>
  </si>
  <si>
    <t xml:space="preserve">רכישת כלים מכשירים וציוד </t>
  </si>
  <si>
    <t xml:space="preserve">תמלול ומערכתINFO </t>
  </si>
  <si>
    <t xml:space="preserve">שבת תרבות </t>
  </si>
  <si>
    <t xml:space="preserve">פרסום בעתונות בשפה זרה </t>
  </si>
  <si>
    <t xml:space="preserve">רכישת מתנות </t>
  </si>
  <si>
    <t xml:space="preserve">פרסום והסברה </t>
  </si>
  <si>
    <t xml:space="preserve">אתר אינטרנט עירוני </t>
  </si>
  <si>
    <t xml:space="preserve">הוצאות ארגוניות </t>
  </si>
  <si>
    <t xml:space="preserve">הסעות והובלות </t>
  </si>
  <si>
    <t xml:space="preserve">הסברה ומיתוג </t>
  </si>
  <si>
    <t>780</t>
  </si>
  <si>
    <t xml:space="preserve">הוצאות פעולה </t>
  </si>
  <si>
    <t>490</t>
  </si>
  <si>
    <t>השתתפות עובדים-מעמד האישה</t>
  </si>
  <si>
    <t>790</t>
  </si>
  <si>
    <t>השתת.רשות פיתוח נגב בהכשר</t>
  </si>
  <si>
    <t xml:space="preserve">הסעות קבלניות </t>
  </si>
  <si>
    <t xml:space="preserve">הוצאות פעולה-מעמד האישה </t>
  </si>
  <si>
    <t>הוצאות ע"ח הכנסות-מ.האישה</t>
  </si>
  <si>
    <t xml:space="preserve">הוצאות תקשורת-בחירות </t>
  </si>
  <si>
    <t xml:space="preserve">אבטחה </t>
  </si>
  <si>
    <t>הוצאות פעולה-בחירות לרשות</t>
  </si>
  <si>
    <t>521</t>
  </si>
  <si>
    <t xml:space="preserve">ימי עיון והשתלמויות </t>
  </si>
  <si>
    <t xml:space="preserve">דמי חבר </t>
  </si>
  <si>
    <t>574</t>
  </si>
  <si>
    <t xml:space="preserve">תקשורת מחשבים </t>
  </si>
  <si>
    <t xml:space="preserve">עבודות ביקורת ויעוץ </t>
  </si>
  <si>
    <t>288</t>
  </si>
  <si>
    <t xml:space="preserve">השתתפות בשי לחגים </t>
  </si>
  <si>
    <t>420</t>
  </si>
  <si>
    <t xml:space="preserve">תחזוקת מבנים </t>
  </si>
  <si>
    <t xml:space="preserve">חשמל </t>
  </si>
  <si>
    <t xml:space="preserve">חומרי נקיון </t>
  </si>
  <si>
    <t xml:space="preserve">שירותי נקיון </t>
  </si>
  <si>
    <t xml:space="preserve">ביטוח מבנה ותכולה </t>
  </si>
  <si>
    <t>441</t>
  </si>
  <si>
    <t xml:space="preserve">ביטוח קטנועים </t>
  </si>
  <si>
    <t xml:space="preserve">ציוד משרדי </t>
  </si>
  <si>
    <t>578</t>
  </si>
  <si>
    <t xml:space="preserve">תוכנת קב"ט </t>
  </si>
  <si>
    <t>585</t>
  </si>
  <si>
    <t xml:space="preserve">אגרת נשקים </t>
  </si>
  <si>
    <t xml:space="preserve">תיקון קטנועים </t>
  </si>
  <si>
    <t xml:space="preserve">אגרת רישוי קטנועים </t>
  </si>
  <si>
    <t xml:space="preserve">שכירת רכב </t>
  </si>
  <si>
    <t xml:space="preserve">אחזקת כלים מכשירים וציוד </t>
  </si>
  <si>
    <t xml:space="preserve">אחזקת מערכות כריזה </t>
  </si>
  <si>
    <t>755</t>
  </si>
  <si>
    <t xml:space="preserve">בטיחות אש </t>
  </si>
  <si>
    <t xml:space="preserve">פרוייקט מגן </t>
  </si>
  <si>
    <t xml:space="preserve">הוצ שונות </t>
  </si>
  <si>
    <t>783</t>
  </si>
  <si>
    <t xml:space="preserve">הוצאות אחרות לפעולה </t>
  </si>
  <si>
    <t>784</t>
  </si>
  <si>
    <t>דיווח טלפוני נוכחות שומרי</t>
  </si>
  <si>
    <t>ביטוח שבר מכני-ציוד לשע"ח</t>
  </si>
  <si>
    <t xml:space="preserve">הוצאות תקשורת-זק"א </t>
  </si>
  <si>
    <t xml:space="preserve">החזרי ביטוח </t>
  </si>
  <si>
    <t xml:space="preserve">שכירות מקלט </t>
  </si>
  <si>
    <t xml:space="preserve">דמי ניהול-מקלט הג"א </t>
  </si>
  <si>
    <t xml:space="preserve">תחזוקת מבנים ומקלטים </t>
  </si>
  <si>
    <t>421</t>
  </si>
  <si>
    <t xml:space="preserve">תחזוקת מחסנים ומפקדות </t>
  </si>
  <si>
    <t xml:space="preserve">חומרים לתחזוקה </t>
  </si>
  <si>
    <t xml:space="preserve">מים </t>
  </si>
  <si>
    <t xml:space="preserve">אבטחת מחסני חירום </t>
  </si>
  <si>
    <t>770</t>
  </si>
  <si>
    <t xml:space="preserve">תוכנה לניהול מקלטים </t>
  </si>
  <si>
    <t>986</t>
  </si>
  <si>
    <t xml:space="preserve">הוצאה מותנית מקלטים </t>
  </si>
  <si>
    <t xml:space="preserve">דמי כניסה למטווח </t>
  </si>
  <si>
    <t>690</t>
  </si>
  <si>
    <t xml:space="preserve">מכירת תחמושת </t>
  </si>
  <si>
    <t xml:space="preserve">תחזוקת מטווח </t>
  </si>
  <si>
    <t xml:space="preserve">ביטוח-מטווח עירוני </t>
  </si>
  <si>
    <t>555</t>
  </si>
  <si>
    <t xml:space="preserve">פרסום בשלטים </t>
  </si>
  <si>
    <t>579</t>
  </si>
  <si>
    <t xml:space="preserve">תוכנת מטווח </t>
  </si>
  <si>
    <t>582</t>
  </si>
  <si>
    <t xml:space="preserve">אגרות מטווח </t>
  </si>
  <si>
    <t>720</t>
  </si>
  <si>
    <t xml:space="preserve">חומרים </t>
  </si>
  <si>
    <t xml:space="preserve">קניית תחמושת </t>
  </si>
  <si>
    <t xml:space="preserve">עבודות קבלניות </t>
  </si>
  <si>
    <t xml:space="preserve">אחזקת גינון </t>
  </si>
  <si>
    <t xml:space="preserve">הוצאות שונות </t>
  </si>
  <si>
    <t>ביטוח אחריות מקצועית-מדרי</t>
  </si>
  <si>
    <t xml:space="preserve">השתתפות משרד הפנים </t>
  </si>
  <si>
    <t xml:space="preserve">תחזוקת בסיסי הפעלה </t>
  </si>
  <si>
    <t xml:space="preserve">הוצאות-לבסיסי הפעלה </t>
  </si>
  <si>
    <t xml:space="preserve">טיפוח המתנדב-ארועים </t>
  </si>
  <si>
    <t>מענק מ.הפנים-חירום ובטחון</t>
  </si>
  <si>
    <t xml:space="preserve">רציפות תפקודית </t>
  </si>
  <si>
    <t>990</t>
  </si>
  <si>
    <t>מס רכוש-שיפוי נזקי עמוד ע</t>
  </si>
  <si>
    <t xml:space="preserve">שעות נוספות-חירום </t>
  </si>
  <si>
    <t xml:space="preserve">ביטוח רכב </t>
  </si>
  <si>
    <t>השתלמויות ע"ח משרד הפנים</t>
  </si>
  <si>
    <t xml:space="preserve">תוכנת מל"ח </t>
  </si>
  <si>
    <t xml:space="preserve">אגרת רישוי רכב </t>
  </si>
  <si>
    <t xml:space="preserve">הוצאות חירום </t>
  </si>
  <si>
    <t xml:space="preserve">הוצאות רכב זק"א </t>
  </si>
  <si>
    <t xml:space="preserve">תרגיל חירום </t>
  </si>
  <si>
    <t>290</t>
  </si>
  <si>
    <t xml:space="preserve">אגרת בקשה למידע </t>
  </si>
  <si>
    <t xml:space="preserve">אגרת הפקת מידע </t>
  </si>
  <si>
    <t xml:space="preserve">כרטיסי איזי פארק </t>
  </si>
  <si>
    <t xml:space="preserve">עבודות ייעוץ </t>
  </si>
  <si>
    <t xml:space="preserve">בקרה בין אגפית </t>
  </si>
  <si>
    <t xml:space="preserve">נסיעות ואשל </t>
  </si>
  <si>
    <t xml:space="preserve">השתלמויות </t>
  </si>
  <si>
    <t>576</t>
  </si>
  <si>
    <t xml:space="preserve">מערכת לניהול מעקב משימות </t>
  </si>
  <si>
    <t xml:space="preserve">קישור לרשת המיחשוב </t>
  </si>
  <si>
    <t xml:space="preserve">משלוחי דאר מסירות אישיות </t>
  </si>
  <si>
    <t xml:space="preserve">שירותי יעוץ </t>
  </si>
  <si>
    <t>930</t>
  </si>
  <si>
    <t xml:space="preserve">שיפור סביבת העבודה לעובד </t>
  </si>
  <si>
    <t xml:space="preserve">ה.מ.-הטמעת תהליך אירגוני </t>
  </si>
  <si>
    <t xml:space="preserve">שדרוג מכשירי סלולר </t>
  </si>
  <si>
    <t xml:space="preserve">השתת.משרד בטחון פנים </t>
  </si>
  <si>
    <t xml:space="preserve">חינוך </t>
  </si>
  <si>
    <t xml:space="preserve">רווחה </t>
  </si>
  <si>
    <t xml:space="preserve">אכיפה </t>
  </si>
  <si>
    <t xml:space="preserve">פנאי </t>
  </si>
  <si>
    <t xml:space="preserve">הקשר רחב </t>
  </si>
  <si>
    <t>785</t>
  </si>
  <si>
    <t xml:space="preserve">עבודות גניזה בקבלנות </t>
  </si>
  <si>
    <t xml:space="preserve">שכר דירה </t>
  </si>
  <si>
    <t xml:space="preserve">שרותי נקיון </t>
  </si>
  <si>
    <t xml:space="preserve">הכנסות-מוקד </t>
  </si>
  <si>
    <t>491</t>
  </si>
  <si>
    <t xml:space="preserve">עמלה מהתאגיד-שירותי מוקד </t>
  </si>
  <si>
    <t>שכר קובע(מענה טלפוני-גביה</t>
  </si>
  <si>
    <t xml:space="preserve">קופות חיוב כרטיסי אשראי </t>
  </si>
  <si>
    <t>760</t>
  </si>
  <si>
    <t xml:space="preserve">דמי חבר באירגונים </t>
  </si>
  <si>
    <t>תוכנה לתכנון וניהול משמרו</t>
  </si>
  <si>
    <t xml:space="preserve">שכירת רכב תפעולי </t>
  </si>
  <si>
    <t xml:space="preserve">רכישת מכשירים כלים וציוד </t>
  </si>
  <si>
    <t xml:space="preserve">כלים למערכות אזעקה </t>
  </si>
  <si>
    <t xml:space="preserve">ביגוד לצרכי עבודה </t>
  </si>
  <si>
    <t xml:space="preserve">בקרת צי רכב </t>
  </si>
  <si>
    <t>757</t>
  </si>
  <si>
    <t xml:space="preserve">בקרת צי רכב חדש </t>
  </si>
  <si>
    <t>שירותי תמיכה למערכת מיחשו</t>
  </si>
  <si>
    <t xml:space="preserve">ציוד אוטומציה </t>
  </si>
  <si>
    <t>570</t>
  </si>
  <si>
    <t xml:space="preserve">מיכון יחידת המיחשוב </t>
  </si>
  <si>
    <t>573</t>
  </si>
  <si>
    <t xml:space="preserve">מיכון-ניהול אוכלוסין </t>
  </si>
  <si>
    <t xml:space="preserve">רישוי תוכנות </t>
  </si>
  <si>
    <t>577</t>
  </si>
  <si>
    <t xml:space="preserve">ציוד תקשורת ע"ח הכנסות </t>
  </si>
  <si>
    <t xml:space="preserve">ציוד מיחשוב מרכזי </t>
  </si>
  <si>
    <t xml:space="preserve">רשם החברות </t>
  </si>
  <si>
    <t xml:space="preserve">אחזקת מיחשוב </t>
  </si>
  <si>
    <t xml:space="preserve">נותני שירות </t>
  </si>
  <si>
    <t xml:space="preserve">שירותי תקשוב </t>
  </si>
  <si>
    <t xml:space="preserve">שירותי תקשורת אינטרנט </t>
  </si>
  <si>
    <t xml:space="preserve">רשתות תקשורת </t>
  </si>
  <si>
    <t xml:space="preserve">ה.מותנית מערכות מיחשוב </t>
  </si>
  <si>
    <t xml:space="preserve">אחזקת מרכזיות תקשורת </t>
  </si>
  <si>
    <t>רכישה ושדרוג מערכות טלפונ</t>
  </si>
  <si>
    <t xml:space="preserve">בקרת הוצאות תקשורת </t>
  </si>
  <si>
    <t xml:space="preserve">הרחבת רשת טלפונים </t>
  </si>
  <si>
    <t xml:space="preserve">ה.מותנית מערכות טלפוניה </t>
  </si>
  <si>
    <t xml:space="preserve">הכנסות לשכה משפטית </t>
  </si>
  <si>
    <t>425</t>
  </si>
  <si>
    <t xml:space="preserve">תחזוקת מזגנים </t>
  </si>
  <si>
    <t xml:space="preserve">ביטוח אחריות מקצועית </t>
  </si>
  <si>
    <t xml:space="preserve">השתלמויות וכנסים </t>
  </si>
  <si>
    <t xml:space="preserve">דמי חבר בלשכת עו"ד </t>
  </si>
  <si>
    <t xml:space="preserve">הוצאות משפטיות </t>
  </si>
  <si>
    <t xml:space="preserve">הובלות והסעות קבלניות </t>
  </si>
  <si>
    <t xml:space="preserve">שכ"ט -עו"ד ויועצים </t>
  </si>
  <si>
    <t xml:space="preserve">איתור ובדיקת חייבים </t>
  </si>
  <si>
    <t>758</t>
  </si>
  <si>
    <t xml:space="preserve">סריקת תיקים </t>
  </si>
  <si>
    <t xml:space="preserve">שכירות ואבטחה </t>
  </si>
  <si>
    <t xml:space="preserve">שכ"ד ודמי אחזקה </t>
  </si>
  <si>
    <t xml:space="preserve">כיבוד </t>
  </si>
  <si>
    <t xml:space="preserve">ימי שיפוט </t>
  </si>
  <si>
    <t>ה.מותנית בי"מ עיניינים מק</t>
  </si>
  <si>
    <t xml:space="preserve">חומרים לאחזקה </t>
  </si>
  <si>
    <t>424</t>
  </si>
  <si>
    <t xml:space="preserve">תחזוקת מעליות </t>
  </si>
  <si>
    <t>426</t>
  </si>
  <si>
    <t xml:space="preserve">אחזקת טלוויזיה בכבלים </t>
  </si>
  <si>
    <t xml:space="preserve">שיפוי עבור נזקים </t>
  </si>
  <si>
    <t xml:space="preserve">נסיעות ואש"ל </t>
  </si>
  <si>
    <t>541</t>
  </si>
  <si>
    <t xml:space="preserve">בולים ודמי משלוח </t>
  </si>
  <si>
    <t>542</t>
  </si>
  <si>
    <t xml:space="preserve">שירות כוכבית המותג </t>
  </si>
  <si>
    <t>543</t>
  </si>
  <si>
    <t>דאר-בית משפט עיניינים מקו</t>
  </si>
  <si>
    <t xml:space="preserve">אגרות </t>
  </si>
  <si>
    <t xml:space="preserve">מתקני מים משרדיים </t>
  </si>
  <si>
    <t xml:space="preserve">מערכות טמ"ס </t>
  </si>
  <si>
    <t xml:space="preserve">הדברה בקבלנות </t>
  </si>
  <si>
    <t xml:space="preserve">אבטחת בית העיריה </t>
  </si>
  <si>
    <t xml:space="preserve">מערכת לניהול שיחות </t>
  </si>
  <si>
    <t>950</t>
  </si>
  <si>
    <t xml:space="preserve">הוצאות תכנון </t>
  </si>
  <si>
    <t>ביטוח שבר מכני-ציוד בית ע</t>
  </si>
  <si>
    <t xml:space="preserve">ציוד משרדי מתכלה </t>
  </si>
  <si>
    <t xml:space="preserve">נייר לצילום והדפסה </t>
  </si>
  <si>
    <t xml:space="preserve">רכישת ערכות פקס </t>
  </si>
  <si>
    <t xml:space="preserve">רכישת ציוד מיחשוב מתכלה </t>
  </si>
  <si>
    <t xml:space="preserve">רכישת ציוד יסודי </t>
  </si>
  <si>
    <t xml:space="preserve">הדברה </t>
  </si>
  <si>
    <t xml:space="preserve">הכנסות עצמיות-אירועים </t>
  </si>
  <si>
    <t xml:space="preserve">השתת.רשות פ.נגב באירועים </t>
  </si>
  <si>
    <t xml:space="preserve">הוצאות פעולה-טכסים </t>
  </si>
  <si>
    <t xml:space="preserve">שבוע התנדבות </t>
  </si>
  <si>
    <t>אירועים בהשתת.ר.פיתוח נגב</t>
  </si>
  <si>
    <t>788</t>
  </si>
  <si>
    <t xml:space="preserve">שבוע הספר העברי </t>
  </si>
  <si>
    <t xml:space="preserve">שעות נוספות-אירועים </t>
  </si>
  <si>
    <t xml:space="preserve">שבוע בריאות </t>
  </si>
  <si>
    <t xml:space="preserve">אירועים ופסטיבלים </t>
  </si>
  <si>
    <t xml:space="preserve">אימוץ חיל ההנדסה </t>
  </si>
  <si>
    <t xml:space="preserve">תמלוגים- אקו"ם </t>
  </si>
  <si>
    <t>תמלוג.פד.מוסיקה ים תיכוני</t>
  </si>
  <si>
    <t xml:space="preserve">תמלוגים-פדרציית תקליטים </t>
  </si>
  <si>
    <t>786</t>
  </si>
  <si>
    <t xml:space="preserve">תמלוגים-אשכולות ועיל"ם </t>
  </si>
  <si>
    <t xml:space="preserve">הכנ.עצמיות ליום העצמאות </t>
  </si>
  <si>
    <t xml:space="preserve">הוצאות פעולה - עצמאות </t>
  </si>
  <si>
    <t>הוצאות ע"ח הכנסות מיוחדות</t>
  </si>
  <si>
    <t xml:space="preserve">מתנות </t>
  </si>
  <si>
    <t xml:space="preserve">שירותי תרגום </t>
  </si>
  <si>
    <t xml:space="preserve">נסיעת משלחות לחו"ל </t>
  </si>
  <si>
    <t xml:space="preserve">אירוח משלחות(חו"ל( </t>
  </si>
  <si>
    <t>870</t>
  </si>
  <si>
    <t>השתתפות בתפעול תרבות הדיו</t>
  </si>
  <si>
    <t xml:space="preserve">הכנסות שונות </t>
  </si>
  <si>
    <t xml:space="preserve">הכנסות מיוחדות </t>
  </si>
  <si>
    <t>610</t>
  </si>
  <si>
    <t xml:space="preserve">מכירת מפות </t>
  </si>
  <si>
    <t>695</t>
  </si>
  <si>
    <t xml:space="preserve">מכירת מזכרות </t>
  </si>
  <si>
    <t>מ.התיירות-תוכנית אב לתייר</t>
  </si>
  <si>
    <t xml:space="preserve">חשמל-באר אברהם </t>
  </si>
  <si>
    <t xml:space="preserve">מים-באר אברהם </t>
  </si>
  <si>
    <t>ביטוח מבנה ותכולה-ב.אברהם</t>
  </si>
  <si>
    <t xml:space="preserve">פרסומים והדפסות </t>
  </si>
  <si>
    <t xml:space="preserve">הובלות והסעות בקבלנות </t>
  </si>
  <si>
    <t xml:space="preserve">רכישת מזכרות </t>
  </si>
  <si>
    <t xml:space="preserve">שיווק תיירות </t>
  </si>
  <si>
    <t xml:space="preserve">עבודות יעוץ </t>
  </si>
  <si>
    <t xml:space="preserve">הדרכה וסיורים </t>
  </si>
  <si>
    <t xml:space="preserve">שיווק פרסום ואירועים </t>
  </si>
  <si>
    <t xml:space="preserve">השתת' רשות לפיתוח הנגב </t>
  </si>
  <si>
    <t xml:space="preserve">פרוייקט 7 זום </t>
  </si>
  <si>
    <t xml:space="preserve">השתתפות בתפעול תיירות </t>
  </si>
  <si>
    <t>871</t>
  </si>
  <si>
    <t>תפעול מרכז מבקרים באר אבר</t>
  </si>
  <si>
    <t xml:space="preserve">תכנון תוכנית אב לתיירות </t>
  </si>
  <si>
    <t xml:space="preserve">ה.מותנית תפעול באר אברהם </t>
  </si>
  <si>
    <t xml:space="preserve">אבטחה-באר אברהם </t>
  </si>
  <si>
    <t xml:space="preserve">ה.מותנית תפעול תיירות </t>
  </si>
  <si>
    <t>ה. מותנית שיווק פרסום איר</t>
  </si>
  <si>
    <t xml:space="preserve">תערוכות </t>
  </si>
  <si>
    <t>השתת.בתפעול מוזיאון ארכיא</t>
  </si>
  <si>
    <t xml:space="preserve">דמי חבר מהנדסי בטיחות </t>
  </si>
  <si>
    <t xml:space="preserve">תוכנת בטיחות ופיתוח </t>
  </si>
  <si>
    <t xml:space="preserve">בטוח מבנים ותכולה </t>
  </si>
  <si>
    <t xml:space="preserve">ביטוח מבנה </t>
  </si>
  <si>
    <t xml:space="preserve">מרכז תרבות יהודי אתיופיה </t>
  </si>
  <si>
    <t>הכנסות תחום חרדי ע.תיכוני</t>
  </si>
  <si>
    <t>השתת.בתפעול ת.על תיכוני ח</t>
  </si>
  <si>
    <t xml:space="preserve">מתנ"ס חרדי קריה חרדית </t>
  </si>
  <si>
    <t xml:space="preserve">תוכנת ניהול צי רכב </t>
  </si>
  <si>
    <t>583</t>
  </si>
  <si>
    <t xml:space="preserve">נסיעות כביש 6 </t>
  </si>
  <si>
    <t xml:space="preserve">דלק ושמנים </t>
  </si>
  <si>
    <t xml:space="preserve">תיקוני רכב </t>
  </si>
  <si>
    <t xml:space="preserve">השתתפות עצמית-נזקי רכב </t>
  </si>
  <si>
    <t xml:space="preserve">השכרת כלים מכשירים וציוד </t>
  </si>
  <si>
    <t xml:space="preserve">שמירה </t>
  </si>
  <si>
    <t xml:space="preserve">שמאות רכב </t>
  </si>
  <si>
    <t>דלק לגנרטורים וציוד עבודה</t>
  </si>
  <si>
    <t xml:space="preserve">רכישת תוכנות </t>
  </si>
  <si>
    <t xml:space="preserve">יעוץ נגישות </t>
  </si>
  <si>
    <t xml:space="preserve">הוצאות ע"ח הכנסות </t>
  </si>
  <si>
    <t>ה.מותנית שירותי מיקור חוץ</t>
  </si>
  <si>
    <t xml:space="preserve">קנסות חוקי עזר-גזרי דין </t>
  </si>
  <si>
    <t xml:space="preserve">אגרת רשיונות לעסקים </t>
  </si>
  <si>
    <t xml:space="preserve">צילום מיסמכים </t>
  </si>
  <si>
    <t xml:space="preserve">מיכון - רישוי עסקים </t>
  </si>
  <si>
    <t xml:space="preserve">גזרי דין רישוי עסקים </t>
  </si>
  <si>
    <t xml:space="preserve">היטל השבחה למימון הנדסה </t>
  </si>
  <si>
    <t>560</t>
  </si>
  <si>
    <t xml:space="preserve">הוצאות משרדיות </t>
  </si>
  <si>
    <t xml:space="preserve">תמיכה בתוכנות </t>
  </si>
  <si>
    <t xml:space="preserve">שדרוג מערכתGIS </t>
  </si>
  <si>
    <t xml:space="preserve">ציוד בטיחות </t>
  </si>
  <si>
    <t xml:space="preserve">שמאות </t>
  </si>
  <si>
    <t xml:space="preserve">יעוץ </t>
  </si>
  <si>
    <t xml:space="preserve">יעוץ משפטי </t>
  </si>
  <si>
    <t xml:space="preserve">הוצאות לפעולה </t>
  </si>
  <si>
    <t xml:space="preserve">ביטוח-עבודות קבלניות </t>
  </si>
  <si>
    <t xml:space="preserve">צילומים והעתקות אור </t>
  </si>
  <si>
    <t xml:space="preserve">תכנון ופיקוח בקבלנות </t>
  </si>
  <si>
    <t>הכנסות מסימון תחנות מוניו</t>
  </si>
  <si>
    <t>220</t>
  </si>
  <si>
    <t xml:space="preserve">אגרת מידע תכנוני </t>
  </si>
  <si>
    <t xml:space="preserve">יעוץ אדריכלי לחזות העיר </t>
  </si>
  <si>
    <t>951</t>
  </si>
  <si>
    <t xml:space="preserve">תב"עות </t>
  </si>
  <si>
    <t xml:space="preserve">מדידות לתכנון ועסקאות </t>
  </si>
  <si>
    <t xml:space="preserve">גזרי דין פיקוח בניה </t>
  </si>
  <si>
    <t xml:space="preserve">בדיקת מבנים מסוכנים </t>
  </si>
  <si>
    <t xml:space="preserve">שרותי צילום </t>
  </si>
  <si>
    <t xml:space="preserve">הריסת מבני ציבור מסוכנים </t>
  </si>
  <si>
    <t xml:space="preserve">אגרת רשיונות בניה </t>
  </si>
  <si>
    <t xml:space="preserve">העברה מקרן עבודות פיתוח </t>
  </si>
  <si>
    <t xml:space="preserve">מכירת תיקי בניה </t>
  </si>
  <si>
    <t xml:space="preserve">מיכון - דמי שמוש במערכת </t>
  </si>
  <si>
    <t xml:space="preserve">יעוץ הנדסי </t>
  </si>
  <si>
    <t xml:space="preserve">הוצ.משפטיות לתביעות השבה </t>
  </si>
  <si>
    <t xml:space="preserve">רישוי זמין-רפורמה בתכנון </t>
  </si>
  <si>
    <t xml:space="preserve">סקרי נכסים </t>
  </si>
  <si>
    <t xml:space="preserve">הכנסות מסימון ת.מוניות </t>
  </si>
  <si>
    <t xml:space="preserve">אחזקת מזגנים </t>
  </si>
  <si>
    <t xml:space="preserve">בקרת הוצאות חשמל </t>
  </si>
  <si>
    <t xml:space="preserve">סקר אנרגיה </t>
  </si>
  <si>
    <t xml:space="preserve">ביטוח עמודי תאורה </t>
  </si>
  <si>
    <t xml:space="preserve">אחזקת רשת תאורה </t>
  </si>
  <si>
    <t xml:space="preserve">אחזקת תשתיות תאורה </t>
  </si>
  <si>
    <t xml:space="preserve">החלפת פנסים </t>
  </si>
  <si>
    <t xml:space="preserve">אחזקת עמודי תאורה </t>
  </si>
  <si>
    <t xml:space="preserve">חשמל לתאורה </t>
  </si>
  <si>
    <t xml:space="preserve">תוספות סוציאליות </t>
  </si>
  <si>
    <t xml:space="preserve">ביטוח רמזורים </t>
  </si>
  <si>
    <t xml:space="preserve">אחזקת רמזורים </t>
  </si>
  <si>
    <t xml:space="preserve">החלפת פנסים בצמתים </t>
  </si>
  <si>
    <t xml:space="preserve">חשמל לרמזורים </t>
  </si>
  <si>
    <t xml:space="preserve">חומרי חשמל </t>
  </si>
  <si>
    <t>210</t>
  </si>
  <si>
    <t xml:space="preserve">אגרת מים-גביה מפיגורים </t>
  </si>
  <si>
    <t xml:space="preserve">אגרת חידוש חיבור מים </t>
  </si>
  <si>
    <t xml:space="preserve">אגרת חיבור מים </t>
  </si>
  <si>
    <t>620</t>
  </si>
  <si>
    <t xml:space="preserve">אגרת מדי מים </t>
  </si>
  <si>
    <t xml:space="preserve">מענק תאגוד רשות המים </t>
  </si>
  <si>
    <t xml:space="preserve">הכנסות מבדיקת מדי מים </t>
  </si>
  <si>
    <t>217</t>
  </si>
  <si>
    <t xml:space="preserve">אגרת ביוב-גביה מפיגורים </t>
  </si>
  <si>
    <t xml:space="preserve">כיסוי הוצאות אספקת מים </t>
  </si>
  <si>
    <t xml:space="preserve">פיקוח-השבת קולחין </t>
  </si>
  <si>
    <t xml:space="preserve">יעוץ-השבת קולחין </t>
  </si>
  <si>
    <t>650</t>
  </si>
  <si>
    <t xml:space="preserve">דמי שימוש חניונים </t>
  </si>
  <si>
    <t>651</t>
  </si>
  <si>
    <t xml:space="preserve">דמי שימוש בנכסים </t>
  </si>
  <si>
    <t>652</t>
  </si>
  <si>
    <t xml:space="preserve">דמי שימוש - חברה כלכלית </t>
  </si>
  <si>
    <t>653</t>
  </si>
  <si>
    <t>דמי שימוש אנטנות סלולריות</t>
  </si>
  <si>
    <t>654</t>
  </si>
  <si>
    <t xml:space="preserve">דמי שימוש-מרכז מורים </t>
  </si>
  <si>
    <t>655</t>
  </si>
  <si>
    <t xml:space="preserve">דמי שימוש מועצה דתית </t>
  </si>
  <si>
    <t>657</t>
  </si>
  <si>
    <t xml:space="preserve">דמי שימוש במקלטים </t>
  </si>
  <si>
    <t>659</t>
  </si>
  <si>
    <t xml:space="preserve">דמי שימוש-בי"ס למשחק </t>
  </si>
  <si>
    <t xml:space="preserve">החזר צריכת חשמל </t>
  </si>
  <si>
    <t xml:space="preserve">השתתפות סינפונייטה באולם </t>
  </si>
  <si>
    <t xml:space="preserve">השתתפות תאטרון באולם </t>
  </si>
  <si>
    <t xml:space="preserve">דמי שימוש-מזנונים </t>
  </si>
  <si>
    <t xml:space="preserve">מיסי ממשלה </t>
  </si>
  <si>
    <t xml:space="preserve">הוצאות - מיסי ועד </t>
  </si>
  <si>
    <t xml:space="preserve">דמי חכירת קרקעות </t>
  </si>
  <si>
    <t xml:space="preserve">הכנת תסריטים ומפות מדידה </t>
  </si>
  <si>
    <t xml:space="preserve">ביטוח נכסים </t>
  </si>
  <si>
    <t xml:space="preserve">תביעות פינוי נכסים </t>
  </si>
  <si>
    <t xml:space="preserve">בקרת הוצאות מים </t>
  </si>
  <si>
    <t xml:space="preserve">עמלת ניהול -חברה כלכלית </t>
  </si>
  <si>
    <t xml:space="preserve">אחזקת נכסים- חברה כלכלית </t>
  </si>
  <si>
    <t xml:space="preserve">דמי שימוש מזנונים(75%( </t>
  </si>
  <si>
    <t xml:space="preserve">הכנסות משווקים </t>
  </si>
  <si>
    <t xml:space="preserve">ביטוח שווקים </t>
  </si>
  <si>
    <t xml:space="preserve">תפעול שווקים עירוניים </t>
  </si>
  <si>
    <t xml:space="preserve">החזר ביטוח למוסדות </t>
  </si>
  <si>
    <t>920</t>
  </si>
  <si>
    <t xml:space="preserve">הכנסות חינוך לפיצול </t>
  </si>
  <si>
    <t>924</t>
  </si>
  <si>
    <t xml:space="preserve">מצטיינים בפיסיקה </t>
  </si>
  <si>
    <t>926</t>
  </si>
  <si>
    <t xml:space="preserve">פרס חינוך ישובי </t>
  </si>
  <si>
    <t>מצוינגב-משרד לפיתוח נגב ג</t>
  </si>
  <si>
    <t xml:space="preserve">הכנסות ועד הורים מרכזי </t>
  </si>
  <si>
    <t xml:space="preserve">העברה מיועדת </t>
  </si>
  <si>
    <t>925</t>
  </si>
  <si>
    <t>927</t>
  </si>
  <si>
    <t xml:space="preserve">שכירת משרדים </t>
  </si>
  <si>
    <t xml:space="preserve">ביטוח תכולה </t>
  </si>
  <si>
    <t>דמי חבר -מנהלי מחלק.חינוך</t>
  </si>
  <si>
    <t xml:space="preserve">מרכזי מצוינות </t>
  </si>
  <si>
    <t xml:space="preserve">יוזמות חינוכיות </t>
  </si>
  <si>
    <t xml:space="preserve">פרס חינוך יישובי </t>
  </si>
  <si>
    <t xml:space="preserve">יום המורה </t>
  </si>
  <si>
    <t>787</t>
  </si>
  <si>
    <t xml:space="preserve">פרוייקט עתיד </t>
  </si>
  <si>
    <t>הכנס השנתי לחינוך למצויינ</t>
  </si>
  <si>
    <t>850</t>
  </si>
  <si>
    <t>סיוע ועידוד תלמידים למצוי</t>
  </si>
  <si>
    <t xml:space="preserve">ה.מותנית חינוך </t>
  </si>
  <si>
    <t xml:space="preserve">הקצבה מיועדת </t>
  </si>
  <si>
    <t>הוצ.פעולה ועד הורים מרכזי</t>
  </si>
  <si>
    <t xml:space="preserve">משלחות תלמידים </t>
  </si>
  <si>
    <t xml:space="preserve">תוכנית אב למערכת החינוך </t>
  </si>
  <si>
    <t>הקצבה להצטיידות טכנולוגית</t>
  </si>
  <si>
    <t xml:space="preserve">מחשב לכל ילד </t>
  </si>
  <si>
    <t>תוכנית תקשוב-הוצאות שוטפו</t>
  </si>
  <si>
    <t>הקצבה למגמות תקשורת-מקיפי</t>
  </si>
  <si>
    <t xml:space="preserve">רישום תלמידים באינטרנט </t>
  </si>
  <si>
    <t xml:space="preserve">שירותי מיחשוב "פורטל" </t>
  </si>
  <si>
    <t xml:space="preserve">מערכת שיבוץ תלמידים </t>
  </si>
  <si>
    <t xml:space="preserve">עת הדעת </t>
  </si>
  <si>
    <t xml:space="preserve">רכישת מערכות מיחשוב </t>
  </si>
  <si>
    <t xml:space="preserve">אינטרנט בגנים </t>
  </si>
  <si>
    <t xml:space="preserve">חותם </t>
  </si>
  <si>
    <t xml:space="preserve">מנב"ס </t>
  </si>
  <si>
    <t xml:space="preserve">עבודות להתאמה למאה 21 </t>
  </si>
  <si>
    <t>עבודות תשתית אינטרנט במקי</t>
  </si>
  <si>
    <t xml:space="preserve">חותם-בתי"ס תיכוניים </t>
  </si>
  <si>
    <t>הצטיידות מגמות תקשורת-מקי</t>
  </si>
  <si>
    <t>789</t>
  </si>
  <si>
    <t xml:space="preserve">למידה מרחוק </t>
  </si>
  <si>
    <t xml:space="preserve">מערכת הסעים </t>
  </si>
  <si>
    <t xml:space="preserve">אחזקת מחשבים במוסד.חינוך </t>
  </si>
  <si>
    <t xml:space="preserve">ביול </t>
  </si>
  <si>
    <t xml:space="preserve">מיכון - קובץ תלמידים </t>
  </si>
  <si>
    <t>571</t>
  </si>
  <si>
    <t xml:space="preserve">מיכון - דו"חות </t>
  </si>
  <si>
    <t xml:space="preserve">מוקד טלפוני לרישום </t>
  </si>
  <si>
    <t>השתתפות הורים-מצעד הספרים</t>
  </si>
  <si>
    <t xml:space="preserve">השתתפות הורים-מדף הספרים </t>
  </si>
  <si>
    <t>428</t>
  </si>
  <si>
    <t xml:space="preserve">השתתפות הורים-מילת </t>
  </si>
  <si>
    <t>429</t>
  </si>
  <si>
    <t xml:space="preserve">השת.הורים בהזנה-יול"א </t>
  </si>
  <si>
    <t xml:space="preserve">שכירת רכב-אבטחת גנים </t>
  </si>
  <si>
    <t xml:space="preserve">תוכנית מיל"ת </t>
  </si>
  <si>
    <t xml:space="preserve">רצף חינוכי </t>
  </si>
  <si>
    <t xml:space="preserve">מצעד הספרים </t>
  </si>
  <si>
    <t>טיפול בשפה ואשכולות חינוך</t>
  </si>
  <si>
    <t xml:space="preserve">מדף הספרים </t>
  </si>
  <si>
    <t xml:space="preserve">הארכת יום לימודים בגנים </t>
  </si>
  <si>
    <t xml:space="preserve">פרוייקט יול"א </t>
  </si>
  <si>
    <t xml:space="preserve">השתת.הורים בהזנה לאומית </t>
  </si>
  <si>
    <t xml:space="preserve">השתתפות הורים בצהרונים </t>
  </si>
  <si>
    <t xml:space="preserve">חוק שילוב סייעות </t>
  </si>
  <si>
    <t>921</t>
  </si>
  <si>
    <t xml:space="preserve">השתת בשכר עוזרות גננות </t>
  </si>
  <si>
    <t xml:space="preserve">עוזרות יוח"א ומילת </t>
  </si>
  <si>
    <t xml:space="preserve">השתת. בילדי השלמה </t>
  </si>
  <si>
    <t xml:space="preserve">סייעות רפואיות </t>
  </si>
  <si>
    <t xml:space="preserve">ציוד ראשוני גנים יוח"א </t>
  </si>
  <si>
    <t>929</t>
  </si>
  <si>
    <t xml:space="preserve">השתת.תשלומי הורים-חומרים </t>
  </si>
  <si>
    <t xml:space="preserve">תשלומי הורים חומרים </t>
  </si>
  <si>
    <t xml:space="preserve">אחזקת גינון בחצרות </t>
  </si>
  <si>
    <t xml:space="preserve">פרוייקט הזנה לאומית </t>
  </si>
  <si>
    <t xml:space="preserve">הוצאות תרבות </t>
  </si>
  <si>
    <t xml:space="preserve">צהרונים סוכות </t>
  </si>
  <si>
    <t xml:space="preserve">הוצאות לפעולה-הקצבה </t>
  </si>
  <si>
    <t xml:space="preserve">שכל"מ מהורים </t>
  </si>
  <si>
    <t xml:space="preserve">תשלום חובות משנים קודמות </t>
  </si>
  <si>
    <t xml:space="preserve">השתת.בשכל"מ ט.חובה(75%( </t>
  </si>
  <si>
    <t xml:space="preserve">שיקום שכונות גיל 4 </t>
  </si>
  <si>
    <t xml:space="preserve">השתת. בילדי עולים </t>
  </si>
  <si>
    <t xml:space="preserve">השתת.בגנ"י ט.חובה(90%( </t>
  </si>
  <si>
    <t xml:space="preserve">מיכון - שכל"מ מהורים </t>
  </si>
  <si>
    <t xml:space="preserve">שכר גננות עובדות מדינה </t>
  </si>
  <si>
    <t xml:space="preserve">פארק אוסטרליה-ח.מ. </t>
  </si>
  <si>
    <t xml:space="preserve">אגרת תלמידי חוץ </t>
  </si>
  <si>
    <t>השתת.הורים בצהרנים-קרן קר</t>
  </si>
  <si>
    <t xml:space="preserve">הזנת יוח"א </t>
  </si>
  <si>
    <t xml:space="preserve">ח.מיוחד פטור ממלכתי </t>
  </si>
  <si>
    <t xml:space="preserve">גנים-יוח"א </t>
  </si>
  <si>
    <t>הש.שכר סייע.כיתתיות וטיפו</t>
  </si>
  <si>
    <t xml:space="preserve">השתת.בהוצ.ארג.נלוות </t>
  </si>
  <si>
    <t>928</t>
  </si>
  <si>
    <t xml:space="preserve">השתת.בפעולות העשרה </t>
  </si>
  <si>
    <t xml:space="preserve">השתת.בשרותי היקף </t>
  </si>
  <si>
    <t xml:space="preserve">שכר קובע (ע.גננות( </t>
  </si>
  <si>
    <t xml:space="preserve">קניית ארוחות חמות-יוח"א </t>
  </si>
  <si>
    <t xml:space="preserve">פעולות העשרה בגנים </t>
  </si>
  <si>
    <t xml:space="preserve">ה.נלוות חינוך מיוחד </t>
  </si>
  <si>
    <t xml:space="preserve">השתת.הורים-מיל"ת </t>
  </si>
  <si>
    <t xml:space="preserve">תוכנת מנב"ס פאר ואסיף </t>
  </si>
  <si>
    <t xml:space="preserve">הל"ב-החינוך לחיים בחברה </t>
  </si>
  <si>
    <t xml:space="preserve">בתי ספר מקדמי בריאות </t>
  </si>
  <si>
    <t xml:space="preserve">השתתפות בעלויות טיולים </t>
  </si>
  <si>
    <t xml:space="preserve">שי לכיתה א ולבוגרים(ו( </t>
  </si>
  <si>
    <t xml:space="preserve">מיכון-מנב"ס </t>
  </si>
  <si>
    <t xml:space="preserve">תוכנות מנב"ס-פאר וכו" </t>
  </si>
  <si>
    <t xml:space="preserve">מפעל הזנה </t>
  </si>
  <si>
    <t xml:space="preserve">פעולות תרבות וחברה </t>
  </si>
  <si>
    <t xml:space="preserve">באר שבע-עיר קוראת </t>
  </si>
  <si>
    <t xml:space="preserve">השאלת ספרים </t>
  </si>
  <si>
    <t xml:space="preserve">מוכנות כיתה א </t>
  </si>
  <si>
    <t xml:space="preserve">פלאי באר שבע </t>
  </si>
  <si>
    <t xml:space="preserve">תגבור לימודי יהדות </t>
  </si>
  <si>
    <t xml:space="preserve">תגבור ידיעת הארץ </t>
  </si>
  <si>
    <t xml:space="preserve">מרכז מחשבים להבה </t>
  </si>
  <si>
    <t xml:space="preserve">חידון תנ"ך עירוני </t>
  </si>
  <si>
    <t xml:space="preserve">חינוך לפסגות </t>
  </si>
  <si>
    <t xml:space="preserve">בתי ספר יחודיים </t>
  </si>
  <si>
    <t xml:space="preserve">קידום הישגים לימודיים </t>
  </si>
  <si>
    <t xml:space="preserve">עלויות טיולים </t>
  </si>
  <si>
    <t xml:space="preserve">סולמות-חינוך מוזיקלי </t>
  </si>
  <si>
    <t xml:space="preserve">שכר קובע (מזכירות( </t>
  </si>
  <si>
    <t xml:space="preserve">שכר קובע(שרתים( </t>
  </si>
  <si>
    <t>878</t>
  </si>
  <si>
    <t xml:space="preserve">סל תלמיד-ניהול עצמי </t>
  </si>
  <si>
    <t xml:space="preserve">שכר קובע (ס.כיתתיות( </t>
  </si>
  <si>
    <t>763</t>
  </si>
  <si>
    <t xml:space="preserve">הכנסות מהורים </t>
  </si>
  <si>
    <t xml:space="preserve">סל תלמיד לעולה </t>
  </si>
  <si>
    <t xml:space="preserve">השתתפות בשכר מזכירות </t>
  </si>
  <si>
    <t>השתת.בשכר שרתים וניהול ע.</t>
  </si>
  <si>
    <t xml:space="preserve">השתת.בשכר סייעות כיתתיות </t>
  </si>
  <si>
    <t xml:space="preserve">אגרת שכפול יסודי </t>
  </si>
  <si>
    <t>השתת.בתשלומי הורים(חומרים</t>
  </si>
  <si>
    <t xml:space="preserve">אגרת שכפול פר תלמיד </t>
  </si>
  <si>
    <t xml:space="preserve">רואה חשבון </t>
  </si>
  <si>
    <t>877</t>
  </si>
  <si>
    <t xml:space="preserve">תוספת דפרנציאלית פדגוגית </t>
  </si>
  <si>
    <t>סל תלמיד עיריה-ניהול עצמי</t>
  </si>
  <si>
    <t xml:space="preserve">מ.הגנת הסביבה-בי"ס ירוק </t>
  </si>
  <si>
    <t xml:space="preserve">בי"ס ירוק </t>
  </si>
  <si>
    <t xml:space="preserve">סל תלמיד לעולי אתיופיה </t>
  </si>
  <si>
    <t xml:space="preserve">מנב"ס מזכירים </t>
  </si>
  <si>
    <t>728</t>
  </si>
  <si>
    <t>סל תלמיד עיריה ניהול עצמי</t>
  </si>
  <si>
    <t xml:space="preserve">השתת.בשכר מזכירות </t>
  </si>
  <si>
    <t xml:space="preserve">תרומת מ.מ. רמת חובב </t>
  </si>
  <si>
    <t xml:space="preserve">סל תלמיד לעולה אתיופיה </t>
  </si>
  <si>
    <t xml:space="preserve">אגרת שכפול"פר תלמיד" </t>
  </si>
  <si>
    <t xml:space="preserve">אגרת שכפול "פר תלמיד" </t>
  </si>
  <si>
    <t xml:space="preserve">סייעות כיתתיות </t>
  </si>
  <si>
    <t xml:space="preserve">אגרת שיכפול יסודי </t>
  </si>
  <si>
    <t xml:space="preserve">אגרות שכפול יסודי </t>
  </si>
  <si>
    <t xml:space="preserve">שכר קבוע </t>
  </si>
  <si>
    <t xml:space="preserve">אגרת שיכפול "פר תלמיד" </t>
  </si>
  <si>
    <t xml:space="preserve">ביטוח מיבנה ותכולה </t>
  </si>
  <si>
    <t xml:space="preserve">השתתפות_בשכר מזכירות </t>
  </si>
  <si>
    <t>סל תלמיד ניהול עצמי עיריה</t>
  </si>
  <si>
    <t xml:space="preserve">הוצאות נלוות ח.מיוחד </t>
  </si>
  <si>
    <t xml:space="preserve">סל תלמיד עולה אתיופיה </t>
  </si>
  <si>
    <t xml:space="preserve">הוצאות נלוות-ח.מיוחד </t>
  </si>
  <si>
    <t>השתת.בתשלומי הורים חומרים</t>
  </si>
  <si>
    <t>השתתפות בשכר שרתים וניהול</t>
  </si>
  <si>
    <t>השתתפןת בשכר סייעות כיתתי</t>
  </si>
  <si>
    <t>השתתפות בתשלומי הורים חומ</t>
  </si>
  <si>
    <t xml:space="preserve">השתת בשכר מזכירות </t>
  </si>
  <si>
    <t xml:space="preserve">השתת בשכר שרתים </t>
  </si>
  <si>
    <t xml:space="preserve">חשמל לפעולות </t>
  </si>
  <si>
    <t xml:space="preserve">מים לפעולות </t>
  </si>
  <si>
    <t xml:space="preserve">סייעות צמודות תלמידי חוץ </t>
  </si>
  <si>
    <t xml:space="preserve">השתת בשכר שרתים וע.נ </t>
  </si>
  <si>
    <t xml:space="preserve">השתת בתלמידי חוץ </t>
  </si>
  <si>
    <t xml:space="preserve">השתת בשכר סייעות כיתתיות </t>
  </si>
  <si>
    <t xml:space="preserve">השתת. בפעולות העשרה </t>
  </si>
  <si>
    <t xml:space="preserve">השתת. בליווי הסעות </t>
  </si>
  <si>
    <t xml:space="preserve">ש.נלווים-דקלים+ספרנים </t>
  </si>
  <si>
    <t xml:space="preserve">מתי"א-מזכירים </t>
  </si>
  <si>
    <t xml:space="preserve">מתי"א-העברה מיועדת </t>
  </si>
  <si>
    <t xml:space="preserve">מתי"א-שרתים </t>
  </si>
  <si>
    <t xml:space="preserve">מתי"א-אגרת שכפול </t>
  </si>
  <si>
    <t xml:space="preserve">חופשות לאוטיסטים </t>
  </si>
  <si>
    <t xml:space="preserve">ליקויי שמיעה-מזכירים </t>
  </si>
  <si>
    <t xml:space="preserve">ליקויי שמיעה-שרתים </t>
  </si>
  <si>
    <t>השת.בשכר סיע.כיתתיות חריג</t>
  </si>
  <si>
    <t xml:space="preserve">לבורנטים חינוך מיוחד </t>
  </si>
  <si>
    <t xml:space="preserve">אגרת שכפול יוח"א </t>
  </si>
  <si>
    <t xml:space="preserve">השתת.בשכר מזכירות/"גשר" </t>
  </si>
  <si>
    <t xml:space="preserve">השתת.בשכר שרתים/"גשר" </t>
  </si>
  <si>
    <t xml:space="preserve">אגרת תלמידי חוץ בדו. </t>
  </si>
  <si>
    <t>ס.תלמיד לעולה ע.יסודי/ח.מ</t>
  </si>
  <si>
    <t xml:space="preserve">שכר קובע (שרתים( </t>
  </si>
  <si>
    <t xml:space="preserve">שכר קובע (סייעות ט(. </t>
  </si>
  <si>
    <t xml:space="preserve">מיכון - ועדות השמה </t>
  </si>
  <si>
    <t xml:space="preserve">העב ממשה"ח מיועדת </t>
  </si>
  <si>
    <t xml:space="preserve">קניית ארוחות יוח"א </t>
  </si>
  <si>
    <t xml:space="preserve">הוצאות לפעולות העשרה </t>
  </si>
  <si>
    <t xml:space="preserve">ליווי ועדות השמה </t>
  </si>
  <si>
    <t xml:space="preserve">פעולות תרבות חברה וחינוך </t>
  </si>
  <si>
    <t xml:space="preserve">פרוייקט +18 </t>
  </si>
  <si>
    <t xml:space="preserve">מרכז שמע </t>
  </si>
  <si>
    <t xml:space="preserve">חיוב בגין ת.חוץ-מ.החינוך </t>
  </si>
  <si>
    <t xml:space="preserve">חיוב בגין ת.חוץ-רשויות </t>
  </si>
  <si>
    <t xml:space="preserve">שילוב ומעורבות חברתית </t>
  </si>
  <si>
    <t xml:space="preserve">תוכנית אתגרים </t>
  </si>
  <si>
    <t xml:space="preserve">הוצ.אגרת שכפול יוח"א </t>
  </si>
  <si>
    <t xml:space="preserve">הוצאות אגרת שכפול יסודי </t>
  </si>
  <si>
    <t xml:space="preserve">הוצאות נלוות חינוך מיוחד </t>
  </si>
  <si>
    <t xml:space="preserve">הוצאת מזכירים/"גשר" </t>
  </si>
  <si>
    <t xml:space="preserve">הוצאות שרתים/"גשר" </t>
  </si>
  <si>
    <t xml:space="preserve">סל תלמיד לעולה על יסודי </t>
  </si>
  <si>
    <t xml:space="preserve">השתתפות בשכר שרתים </t>
  </si>
  <si>
    <t>השתתפות בשכר סייעות כיתתי</t>
  </si>
  <si>
    <t xml:space="preserve">השתת.משה"ח בהוצאות נלוות </t>
  </si>
  <si>
    <t xml:space="preserve">הוצאות נלוות </t>
  </si>
  <si>
    <t xml:space="preserve">פעולות העשרה </t>
  </si>
  <si>
    <t xml:space="preserve">השתת. משה"ח-שכר מזכירות </t>
  </si>
  <si>
    <t xml:space="preserve">השתת.משה"ח-שכר שרתים </t>
  </si>
  <si>
    <t>השתת.משה"ח-שכר סייעות כית</t>
  </si>
  <si>
    <t xml:space="preserve">השתת.מוסדות באבטחה </t>
  </si>
  <si>
    <t xml:space="preserve">השתת משהח בשכר קבטים </t>
  </si>
  <si>
    <t xml:space="preserve">אגרת כלי יריה </t>
  </si>
  <si>
    <t>השתת.מ.לבטחון פנים באבטחה</t>
  </si>
  <si>
    <t xml:space="preserve">העברה מיועדת-מתקני בטחון </t>
  </si>
  <si>
    <t xml:space="preserve">דמי חבר בארגון הקב"טים </t>
  </si>
  <si>
    <t xml:space="preserve">אבטחה במוסדות חינוך </t>
  </si>
  <si>
    <t xml:space="preserve">השתתפות הורים בהיסעים </t>
  </si>
  <si>
    <t xml:space="preserve">השתת. בהסעות תלמידים </t>
  </si>
  <si>
    <t xml:space="preserve">השתת.בהסעות חינוך מיוחד </t>
  </si>
  <si>
    <t xml:space="preserve">הסעות קבלניות חינוך רגיל </t>
  </si>
  <si>
    <t xml:space="preserve">כרטיסיות </t>
  </si>
  <si>
    <t>הסעות קבלניות חינוך מיוחד</t>
  </si>
  <si>
    <t>940</t>
  </si>
  <si>
    <t>שירות דנטלי-השתת.מ.הבריאו</t>
  </si>
  <si>
    <t xml:space="preserve">שירות דנטלי לתלמיד </t>
  </si>
  <si>
    <t>תחזוקת מזגנים מינהל חינוך</t>
  </si>
  <si>
    <t xml:space="preserve">הובלות בקבלנות </t>
  </si>
  <si>
    <t xml:space="preserve">אחזקה ובדיקת מתקני משחק </t>
  </si>
  <si>
    <t xml:space="preserve">מדידות </t>
  </si>
  <si>
    <t xml:space="preserve">סיוע לתלמידים נזקקים </t>
  </si>
  <si>
    <t>מלגות לתלמידים ע"ש טוביהו</t>
  </si>
  <si>
    <t>השתת.בשיפוצים מוסדות חינו</t>
  </si>
  <si>
    <t xml:space="preserve">שיפוצי קיץ במוסדות חינוך </t>
  </si>
  <si>
    <t xml:space="preserve">בי"ס קהילתי להורים </t>
  </si>
  <si>
    <t>מדריכי מניעה במערכת החינו</t>
  </si>
  <si>
    <t>מניעת אלימות בקרב בני נוע</t>
  </si>
  <si>
    <t>941</t>
  </si>
  <si>
    <t>בית פתוח לאמהות לילדים גי</t>
  </si>
  <si>
    <t xml:space="preserve">טיפול בילדים עם הפרעותHD </t>
  </si>
  <si>
    <t>איתור ילדים עם הפרעות התפ</t>
  </si>
  <si>
    <t>תחומי העשרה באומנויות-נ.ב</t>
  </si>
  <si>
    <t xml:space="preserve">הט"ף-הדרכה בטיפוח פעוטות </t>
  </si>
  <si>
    <t xml:space="preserve">אתג"ר-הדרכת הורים וילדים </t>
  </si>
  <si>
    <t>סדנא לשיפור מיומנות חברתי</t>
  </si>
  <si>
    <t>אבחונים והוראה מתקנת/שפ"י</t>
  </si>
  <si>
    <t xml:space="preserve">תוכנית חונכות בגנים </t>
  </si>
  <si>
    <t>952</t>
  </si>
  <si>
    <t>מרכזי נוער-נוער יוצאי אתי</t>
  </si>
  <si>
    <t>953</t>
  </si>
  <si>
    <t>תמיכה ויעוץ למתבגרים עולי</t>
  </si>
  <si>
    <t>איתורן-התערבות לגנ"י ט.חו</t>
  </si>
  <si>
    <t xml:space="preserve">מל"א-מרחב למידה אחר </t>
  </si>
  <si>
    <t>עיצוב התנהגות ע"י אילוף כ</t>
  </si>
  <si>
    <t xml:space="preserve">שכר קובע-מדריכי מניעה </t>
  </si>
  <si>
    <t>תוספות שאינן בשכר קובע/שפ</t>
  </si>
  <si>
    <t xml:space="preserve">הוראה מתקנת/שפ"י </t>
  </si>
  <si>
    <t>צמיחה ירוקה במערכת החינוך</t>
  </si>
  <si>
    <t xml:space="preserve">חינוך סביבתי </t>
  </si>
  <si>
    <t xml:space="preserve">השתת.הורים-מיל"ת(חט"ב( </t>
  </si>
  <si>
    <t xml:space="preserve">פרוייקט אומץ-אמי"ת </t>
  </si>
  <si>
    <t>תוכנית פל"א תלמידים עולים</t>
  </si>
  <si>
    <t xml:space="preserve">הסעות השתלמות למורים </t>
  </si>
  <si>
    <t>שכ"ל על יסודי הסבת אקדמאי</t>
  </si>
  <si>
    <t xml:space="preserve">הסעת עובדי הוראה </t>
  </si>
  <si>
    <t xml:space="preserve">פרוייקט אומץ מנע ונחשון </t>
  </si>
  <si>
    <t xml:space="preserve">תלמידים מחוננים </t>
  </si>
  <si>
    <t xml:space="preserve">מילגה תל.היוצא לפולין </t>
  </si>
  <si>
    <t xml:space="preserve">תוכנית מיל"ת(חט"ב( </t>
  </si>
  <si>
    <t xml:space="preserve">שי לבוגרים </t>
  </si>
  <si>
    <t>דמי חבר עמותה קידום סיעוד</t>
  </si>
  <si>
    <t xml:space="preserve">לימודי יהדות וערכים </t>
  </si>
  <si>
    <t xml:space="preserve">פרוייקט מנוף </t>
  </si>
  <si>
    <t xml:space="preserve">מועצת תלמידים </t>
  </si>
  <si>
    <t xml:space="preserve">פרוייקט הכנה לבגרות </t>
  </si>
  <si>
    <t xml:space="preserve">פרוייקט פר"ח לבגרות </t>
  </si>
  <si>
    <t xml:space="preserve">פרוייקט אומץ/חונכים </t>
  </si>
  <si>
    <t xml:space="preserve">תוכנית בר מצווה </t>
  </si>
  <si>
    <t>810</t>
  </si>
  <si>
    <t xml:space="preserve">בי"ס לנושרים </t>
  </si>
  <si>
    <t xml:space="preserve">תשלום שחיקת שכר מורים </t>
  </si>
  <si>
    <t xml:space="preserve">פרוייקט חוויה בתיכוניים </t>
  </si>
  <si>
    <t xml:space="preserve">סל תלמיד לחט"ב </t>
  </si>
  <si>
    <t xml:space="preserve">השאלת מורים-מקיף א </t>
  </si>
  <si>
    <t xml:space="preserve">סל תלמיד לעולה בחט"ב </t>
  </si>
  <si>
    <t xml:space="preserve">סל חט"ב קהילתיים </t>
  </si>
  <si>
    <t xml:space="preserve">שעות פרטניות עוז לתמורה </t>
  </si>
  <si>
    <t xml:space="preserve">בתי"ס קהילתיים עי"ס </t>
  </si>
  <si>
    <t xml:space="preserve">גמול בגרות </t>
  </si>
  <si>
    <t xml:space="preserve">שעות תומכות עוז לתמורה </t>
  </si>
  <si>
    <t xml:space="preserve">הקטנת תלמידים בכיתה חט"ע </t>
  </si>
  <si>
    <t xml:space="preserve">שעות גיל חט"ע </t>
  </si>
  <si>
    <t xml:space="preserve">עתודה מדעית </t>
  </si>
  <si>
    <t xml:space="preserve">אוריינות מדעית ומתמטית </t>
  </si>
  <si>
    <t xml:space="preserve">דמי שתיה למורים </t>
  </si>
  <si>
    <t xml:space="preserve">מנהל בעוז לתמורה </t>
  </si>
  <si>
    <t xml:space="preserve">גמול ריכוז בתי"ס קטנים </t>
  </si>
  <si>
    <t xml:space="preserve">שעות שילוב חט"ע </t>
  </si>
  <si>
    <t xml:space="preserve">השתתפות בשכר הוראה </t>
  </si>
  <si>
    <t>סל שעות לתפקיד עוז לתמורה</t>
  </si>
  <si>
    <t xml:space="preserve">מענקי השתלמות </t>
  </si>
  <si>
    <t xml:space="preserve">חוגים+ש.עזר לעולים </t>
  </si>
  <si>
    <t xml:space="preserve">אקדמיה בתיכון </t>
  </si>
  <si>
    <t xml:space="preserve">הוראת שפות זרות </t>
  </si>
  <si>
    <t xml:space="preserve">רכב מנהלים וסגנים </t>
  </si>
  <si>
    <t xml:space="preserve">בחינות בגרות אחה"צ </t>
  </si>
  <si>
    <t xml:space="preserve">מסלול 7 משופר </t>
  </si>
  <si>
    <t xml:space="preserve">תשלומי (הורים) חומרים </t>
  </si>
  <si>
    <t xml:space="preserve">דמי שכפול על יסודי </t>
  </si>
  <si>
    <t xml:space="preserve">גמול טיולים-חוץ בית </t>
  </si>
  <si>
    <t xml:space="preserve">טיפוח בגר'.אתיופים </t>
  </si>
  <si>
    <t xml:space="preserve">ש.פרופסיונליות </t>
  </si>
  <si>
    <t xml:space="preserve">חינוך תעבורתי+ב.בדרכים </t>
  </si>
  <si>
    <t xml:space="preserve">דמי בחינות </t>
  </si>
  <si>
    <t xml:space="preserve">הוראת המקצוע/מטה קרמינצר </t>
  </si>
  <si>
    <t xml:space="preserve">תלמידים עם צרכים מיוחדים </t>
  </si>
  <si>
    <t xml:space="preserve">שכר קובע (מנהלה חט"ב( </t>
  </si>
  <si>
    <t xml:space="preserve">שכר קובע (הוראה חט"ב( </t>
  </si>
  <si>
    <t xml:space="preserve">הוצ' פעולה חט"ב </t>
  </si>
  <si>
    <t xml:space="preserve">שכר קובע (מנהלה( </t>
  </si>
  <si>
    <t xml:space="preserve">שכר קובע (הוראה( </t>
  </si>
  <si>
    <t>289</t>
  </si>
  <si>
    <t xml:space="preserve">העב משהח מיועדת </t>
  </si>
  <si>
    <t xml:space="preserve">חומרים ז-ט יא'-יב' </t>
  </si>
  <si>
    <t xml:space="preserve">עבודות קבלניות/רו"ח </t>
  </si>
  <si>
    <t xml:space="preserve">שאילת מורים-מקיף א </t>
  </si>
  <si>
    <t xml:space="preserve">מגמת רדיו </t>
  </si>
  <si>
    <t xml:space="preserve">מגמת כדורגל </t>
  </si>
  <si>
    <t xml:space="preserve">ציוד ספורט </t>
  </si>
  <si>
    <t xml:space="preserve">השתת.רשת אמי"ת </t>
  </si>
  <si>
    <t xml:space="preserve">שכר קובע (הוראה ה(' </t>
  </si>
  <si>
    <t xml:space="preserve">התחשבנות רשת אמית </t>
  </si>
  <si>
    <t xml:space="preserve">תעודה חברתית </t>
  </si>
  <si>
    <t xml:space="preserve">השתת.רשת אמי'ת </t>
  </si>
  <si>
    <t xml:space="preserve">שכר קובע (הוראה ב' חט"ב( </t>
  </si>
  <si>
    <t xml:space="preserve">שכר קובע (הוראה ב(' </t>
  </si>
  <si>
    <t xml:space="preserve">אולפנא-הוצאות פעולה </t>
  </si>
  <si>
    <t xml:space="preserve">ישיבת אמי"ת </t>
  </si>
  <si>
    <t xml:space="preserve">השאלת מורים-מקיף ג </t>
  </si>
  <si>
    <t xml:space="preserve">סל תלמיד לעולה/חט"ב </t>
  </si>
  <si>
    <t xml:space="preserve">גמול בגרות עי"ס </t>
  </si>
  <si>
    <t xml:space="preserve">השלמת כיתת עולים </t>
  </si>
  <si>
    <t xml:space="preserve">הקטנת תלמידים בכיתה עי"ס </t>
  </si>
  <si>
    <t xml:space="preserve">עתודה מדעית טכנולוגית </t>
  </si>
  <si>
    <t>אוריינות מדעית ומתמטית עי</t>
  </si>
  <si>
    <t xml:space="preserve">השתת בשכר הוראה </t>
  </si>
  <si>
    <t xml:space="preserve">השתת במורים עולים </t>
  </si>
  <si>
    <t xml:space="preserve">מנהל עוז לתמורה </t>
  </si>
  <si>
    <t xml:space="preserve">הוראת הגיאוגרפיה </t>
  </si>
  <si>
    <t xml:space="preserve">בי"ס ניסויי-מקיף ג' </t>
  </si>
  <si>
    <t xml:space="preserve">גמול טיולים-בית חוץ </t>
  </si>
  <si>
    <t xml:space="preserve">בטיחות בדרכים-ח.תעבורתי </t>
  </si>
  <si>
    <t xml:space="preserve">מוביל בי"ס מניעת סמים </t>
  </si>
  <si>
    <t xml:space="preserve">סל תלמיד לעולה עי"ס </t>
  </si>
  <si>
    <t xml:space="preserve">שעות פרופסיונליות </t>
  </si>
  <si>
    <t xml:space="preserve">שכר קובע (מינהלה-חט"ב( </t>
  </si>
  <si>
    <t xml:space="preserve">הוצאות פעולה-חט"ב </t>
  </si>
  <si>
    <t>רכישת מכשירים וציוד ספורט</t>
  </si>
  <si>
    <t xml:space="preserve">שאילת מורים-מקיף ג </t>
  </si>
  <si>
    <t xml:space="preserve">ניכוי שכ"ל י"ג-י"ד </t>
  </si>
  <si>
    <t xml:space="preserve">מגמת ספורט </t>
  </si>
  <si>
    <t xml:space="preserve">בי"ס ניסויי </t>
  </si>
  <si>
    <t xml:space="preserve">השאלת מורים-מקיף ו </t>
  </si>
  <si>
    <t xml:space="preserve">חוגים ושעורי עזר </t>
  </si>
  <si>
    <t xml:space="preserve">הוראה שפות זרות </t>
  </si>
  <si>
    <t xml:space="preserve">העשרה חינוך מיוחד </t>
  </si>
  <si>
    <t xml:space="preserve">ה.נלוות ח.מיוחד </t>
  </si>
  <si>
    <t xml:space="preserve">תגבור מב"ר חורף קיץ </t>
  </si>
  <si>
    <t xml:space="preserve">מסים ועלויות </t>
  </si>
  <si>
    <t xml:space="preserve">הוצ.פעולה-חט"ב </t>
  </si>
  <si>
    <t xml:space="preserve">שכר קובע(מנהלה( </t>
  </si>
  <si>
    <t xml:space="preserve">העב ממשהח מיועדת </t>
  </si>
  <si>
    <t xml:space="preserve">שאילת מורים-מקיף ו </t>
  </si>
  <si>
    <t>מגמת תקשורת ואומנויות מסך</t>
  </si>
  <si>
    <t xml:space="preserve">בי"ס מוביל מניעת סמים </t>
  </si>
  <si>
    <t xml:space="preserve">השתתפות בחטיבת ביניים </t>
  </si>
  <si>
    <t xml:space="preserve">הוצאות מים </t>
  </si>
  <si>
    <t xml:space="preserve">השתתפות בחטיבה עליונה </t>
  </si>
  <si>
    <t xml:space="preserve">סייעות כיתתיות חריגות </t>
  </si>
  <si>
    <t xml:space="preserve">שיעורי עזר לעולים </t>
  </si>
  <si>
    <t xml:space="preserve">הקטנת תלמידים בכיתה </t>
  </si>
  <si>
    <t>הוראת המקצוע שנהר וקרמינצ</t>
  </si>
  <si>
    <t xml:space="preserve">תגבור למדעי היהדות </t>
  </si>
  <si>
    <t xml:space="preserve">מדע וטכנולוגיה בחברה </t>
  </si>
  <si>
    <t xml:space="preserve">גמול טיולים-בית וחוץ </t>
  </si>
  <si>
    <t xml:space="preserve">שעות תגבור טו"ב </t>
  </si>
  <si>
    <t xml:space="preserve">גמול הל"ל </t>
  </si>
  <si>
    <t xml:space="preserve">מורים עולים </t>
  </si>
  <si>
    <t xml:space="preserve">שכר קובע הוראה חט"ע </t>
  </si>
  <si>
    <t xml:space="preserve">שאילת מורים-מקיף ח </t>
  </si>
  <si>
    <t xml:space="preserve">השתתפות בשכר מינהלה </t>
  </si>
  <si>
    <t xml:space="preserve">מגמה מועדפת </t>
  </si>
  <si>
    <t xml:space="preserve">רכישת ציוד ספורט </t>
  </si>
  <si>
    <t xml:space="preserve">השאלת מורים-ישיבת א.שלמה </t>
  </si>
  <si>
    <t xml:space="preserve">אוריינות </t>
  </si>
  <si>
    <t xml:space="preserve">חוגים תורניים </t>
  </si>
  <si>
    <t xml:space="preserve">השתתפות בסל תלמיד חט"ב </t>
  </si>
  <si>
    <t xml:space="preserve">השתתפות בשכר מנהלה </t>
  </si>
  <si>
    <t xml:space="preserve">שאילת מורים-ישיבת א.שלמה </t>
  </si>
  <si>
    <t xml:space="preserve">הוצאות פעולה-הקצבה </t>
  </si>
  <si>
    <t xml:space="preserve">סל תלמיד חט"ב </t>
  </si>
  <si>
    <t>השאלת מורים-אולפנ.ב.עקיבא</t>
  </si>
  <si>
    <t xml:space="preserve">רכב מנהלים </t>
  </si>
  <si>
    <t xml:space="preserve">גמול טיולים </t>
  </si>
  <si>
    <t xml:space="preserve">קרן השתלמות </t>
  </si>
  <si>
    <t xml:space="preserve">שכר קובע(הוראה( </t>
  </si>
  <si>
    <t>שאילת מורים-אולפנ.ב.עקיבא</t>
  </si>
  <si>
    <t xml:space="preserve">השאלת מורים-מקיף רבין </t>
  </si>
  <si>
    <t xml:space="preserve">דמי שימוש במבנה </t>
  </si>
  <si>
    <t xml:space="preserve">הוראת הערבית </t>
  </si>
  <si>
    <t xml:space="preserve">ח.תעבורתי+בטיחות בדרכים </t>
  </si>
  <si>
    <t xml:space="preserve">בתי"ס קהילתיים על יסודי </t>
  </si>
  <si>
    <t xml:space="preserve">שכר קובע(מנהלה חט"ב( </t>
  </si>
  <si>
    <t xml:space="preserve">שאילת מורים-מקיף רבין </t>
  </si>
  <si>
    <t xml:space="preserve">מגמת כדור יד </t>
  </si>
  <si>
    <t xml:space="preserve">השאלת מורים-מקיף רגר </t>
  </si>
  <si>
    <t xml:space="preserve">חינוך פיננסי </t>
  </si>
  <si>
    <t xml:space="preserve">הוראת גיאוגרפיה </t>
  </si>
  <si>
    <t xml:space="preserve">טיפוח בגרות אתיופים </t>
  </si>
  <si>
    <t xml:space="preserve">חינוך תעבורתי </t>
  </si>
  <si>
    <t xml:space="preserve">שכר קובע(הוראה חט"ב( </t>
  </si>
  <si>
    <t xml:space="preserve">שאילת מורים-מקיף רגר </t>
  </si>
  <si>
    <t xml:space="preserve">מגמת ספורט(כדורסל בנות( </t>
  </si>
  <si>
    <t xml:space="preserve">השאלת מורים-מקיף טוביהו </t>
  </si>
  <si>
    <t xml:space="preserve">תשלומי הורים (חומרים( </t>
  </si>
  <si>
    <t>חט.ביניים נ.מנחם-שכר קובע</t>
  </si>
  <si>
    <t xml:space="preserve">עבודות קבלניות+רו"ח </t>
  </si>
  <si>
    <t xml:space="preserve">שאילת מורים-מקיף טוביהו </t>
  </si>
  <si>
    <t xml:space="preserve">מחצית שלישית-סמסטר קיץ </t>
  </si>
  <si>
    <t xml:space="preserve">השתת.משרד ב.פנים באבטחה </t>
  </si>
  <si>
    <t xml:space="preserve">שיפוצי קיץ מוסדות ח.ח. </t>
  </si>
  <si>
    <t>ביקורת מוסדות חינוך ורשתו</t>
  </si>
  <si>
    <t>יוזמות חינוכיות ופרוייקטי</t>
  </si>
  <si>
    <t xml:space="preserve">אבטחה מוס"ח בזמן חופשה </t>
  </si>
  <si>
    <t xml:space="preserve">אבטחת מוסדות חינוך </t>
  </si>
  <si>
    <t>הסעות פר קפיטא חינוך חרדי</t>
  </si>
  <si>
    <t xml:space="preserve">הסעות חינוך מיוחד </t>
  </si>
  <si>
    <t xml:space="preserve">פעילות קיץ </t>
  </si>
  <si>
    <t xml:space="preserve">מים-גנ"י ח.ח. </t>
  </si>
  <si>
    <t xml:space="preserve">נ.עצמי-משכן מאיר </t>
  </si>
  <si>
    <t xml:space="preserve">נ.עצמי-אוצר החיים </t>
  </si>
  <si>
    <t xml:space="preserve">נ.עצמי-בנות חייל </t>
  </si>
  <si>
    <t xml:space="preserve">נ.עצמי-באר מים חיים </t>
  </si>
  <si>
    <t xml:space="preserve">נ.עצמי-שובו </t>
  </si>
  <si>
    <t xml:space="preserve">נ.עצמי-רשת גני חמש </t>
  </si>
  <si>
    <t xml:space="preserve">נ.עצמי-גני אגודת ישראל </t>
  </si>
  <si>
    <t xml:space="preserve">נ.עצמי-מצדיקי הרבים </t>
  </si>
  <si>
    <t xml:space="preserve">נ.עצמי-נטע ארז </t>
  </si>
  <si>
    <t xml:space="preserve">השתת.רשת מעיין-מנהלה </t>
  </si>
  <si>
    <t>סייעות רפואיות-באר מים חי</t>
  </si>
  <si>
    <t xml:space="preserve">השתת.במזכירות-ב.יעקב עיר </t>
  </si>
  <si>
    <t xml:space="preserve">השתת.בשרתים-ב.יעקב עיר </t>
  </si>
  <si>
    <t xml:space="preserve">השתת.בסייעות-ב.יעקב עיר </t>
  </si>
  <si>
    <t xml:space="preserve">השתת.בשכר מזכירות-שובו </t>
  </si>
  <si>
    <t xml:space="preserve">השתת.בשכר שרתים-שובו </t>
  </si>
  <si>
    <t xml:space="preserve">השתת.בשכר סייעות כ.-שובו </t>
  </si>
  <si>
    <t>סל תלמיד לעולי אתיופיה-שו</t>
  </si>
  <si>
    <t xml:space="preserve">חשמל-בתי"ס ח.ח. </t>
  </si>
  <si>
    <t xml:space="preserve">מים-בתי"ס ח.ח. </t>
  </si>
  <si>
    <t xml:space="preserve">משכן מאיר-הזנה לאומית </t>
  </si>
  <si>
    <t xml:space="preserve">הזנה לאומית-אוצר החיים </t>
  </si>
  <si>
    <t xml:space="preserve">הזנה לאומית-בנות חייל </t>
  </si>
  <si>
    <t xml:space="preserve">הזנה לאומית-באר מים חיים </t>
  </si>
  <si>
    <t xml:space="preserve">שכר סייעות כ.-ב.יעקב עיר </t>
  </si>
  <si>
    <t xml:space="preserve">נ.עצמי-בית יעקב עיר </t>
  </si>
  <si>
    <t xml:space="preserve">הזנה לאומית-בית יעקב ד </t>
  </si>
  <si>
    <t xml:space="preserve">נ.עצמי-בית יעקב ד </t>
  </si>
  <si>
    <t xml:space="preserve">הזנה לאומית-בי"ס שובו </t>
  </si>
  <si>
    <t xml:space="preserve">נ.עצמי-בי"ס שובו </t>
  </si>
  <si>
    <t xml:space="preserve">נ.עצמי-נווה ציון מנחם </t>
  </si>
  <si>
    <t xml:space="preserve">נ.עצמי-בי"ס ת"ת בית דוד </t>
  </si>
  <si>
    <t xml:space="preserve">נ.עצמי-בית חיה ורבקה </t>
  </si>
  <si>
    <t xml:space="preserve">נ.עצמי-תיכון אור מרגלית </t>
  </si>
  <si>
    <t>נ.עצמי-סמינר בית יעקב חדש</t>
  </si>
  <si>
    <t xml:space="preserve">נ.עצמי-ישיבת תורת אור-עם </t>
  </si>
  <si>
    <t xml:space="preserve">השתת. בשכר לבורנטים </t>
  </si>
  <si>
    <t xml:space="preserve">השתת. בשכר מזכירות </t>
  </si>
  <si>
    <t xml:space="preserve">השתת. בשכר שרתים </t>
  </si>
  <si>
    <t xml:space="preserve">השתתפות במרכז פיסגה </t>
  </si>
  <si>
    <t xml:space="preserve">מרכז פיסגה </t>
  </si>
  <si>
    <t xml:space="preserve">השתת.במרכז משאבים חינוכי </t>
  </si>
  <si>
    <t xml:space="preserve">דמי שימוש מרכז מורים </t>
  </si>
  <si>
    <t xml:space="preserve">השתתפות הורים באבחונים </t>
  </si>
  <si>
    <t xml:space="preserve">השתתפות מוסדות בשכר </t>
  </si>
  <si>
    <t xml:space="preserve">השתת. בשפ"י(64%( </t>
  </si>
  <si>
    <t xml:space="preserve">השתתפות בתשלום אבחונים </t>
  </si>
  <si>
    <t xml:space="preserve">פסיכולוגים מתמחים(75%( </t>
  </si>
  <si>
    <t xml:space="preserve">השתלמויות פסיכולוגים </t>
  </si>
  <si>
    <t xml:space="preserve">ספרים וכתבי עת </t>
  </si>
  <si>
    <t xml:space="preserve">מיכון - שפ"י </t>
  </si>
  <si>
    <t xml:space="preserve">רכישת מבח פסיכולוגים </t>
  </si>
  <si>
    <t xml:space="preserve">פרוייקטים טיפוליים </t>
  </si>
  <si>
    <t xml:space="preserve">שכר קובע (פסיכולוגים( </t>
  </si>
  <si>
    <t xml:space="preserve">השתת.בשכר קבסי"ם </t>
  </si>
  <si>
    <t xml:space="preserve">מניעת נשירה-חונכים </t>
  </si>
  <si>
    <t xml:space="preserve">חונכים למניעת נשירה </t>
  </si>
  <si>
    <t xml:space="preserve">השתת.בהעצמה חינוכית-מ.ע. </t>
  </si>
  <si>
    <t xml:space="preserve">רווחה חינוכית </t>
  </si>
  <si>
    <t xml:space="preserve">שיקום שכונות </t>
  </si>
  <si>
    <t xml:space="preserve">אולפנים ואולפניות </t>
  </si>
  <si>
    <t xml:space="preserve">תהיל"ה </t>
  </si>
  <si>
    <t xml:space="preserve">קתדרה עממית </t>
  </si>
  <si>
    <t xml:space="preserve">תהיל"ה-משרד גמלאים </t>
  </si>
  <si>
    <t xml:space="preserve">פרס התרבות </t>
  </si>
  <si>
    <t xml:space="preserve">הגשר הבנדורי </t>
  </si>
  <si>
    <t xml:space="preserve">השתת. בגן זואולוגי </t>
  </si>
  <si>
    <t>השתת.משרד הקליטה בקייטנות</t>
  </si>
  <si>
    <t xml:space="preserve">קייטנות-כיוונים </t>
  </si>
  <si>
    <t>קייטנות קיץ-קהילה אתיופית</t>
  </si>
  <si>
    <t xml:space="preserve">מועדוניות משולבות </t>
  </si>
  <si>
    <t xml:space="preserve">מילגות לשחמטאים מצטיינים </t>
  </si>
  <si>
    <t xml:space="preserve">קידום נוער </t>
  </si>
  <si>
    <t xml:space="preserve">נוער בסיכון במרחב הפתוח </t>
  </si>
  <si>
    <t xml:space="preserve">נוער עולה בסיכון </t>
  </si>
  <si>
    <t xml:space="preserve">מיכון - קידום נוער </t>
  </si>
  <si>
    <t>970</t>
  </si>
  <si>
    <t>הכוונת חיילים-מענק מ.בטחו</t>
  </si>
  <si>
    <t xml:space="preserve">השתתפות מגשרים בתי ספר </t>
  </si>
  <si>
    <t xml:space="preserve">תרומת ק.קנדה-עמוד ענן </t>
  </si>
  <si>
    <t>ועדת עזבונות-גיוס משמעותי</t>
  </si>
  <si>
    <t>השתת.משה"ח בשכר מנהל מ.נו</t>
  </si>
  <si>
    <t xml:space="preserve">חוסן קהילתי בשעת חירום </t>
  </si>
  <si>
    <t>יעוץ ומידע לחיילים משוחרר</t>
  </si>
  <si>
    <t xml:space="preserve">חשמל-סיירת הורים </t>
  </si>
  <si>
    <t>פרוייקט גרעין עירוני-שכ"ד</t>
  </si>
  <si>
    <t xml:space="preserve">שכ"ד מדריכי נוער </t>
  </si>
  <si>
    <t>תרומת קהילת קנדה-עמוד ענן</t>
  </si>
  <si>
    <t xml:space="preserve">חשמל-קלוב תעופה </t>
  </si>
  <si>
    <t xml:space="preserve">תנועות נוער </t>
  </si>
  <si>
    <t>קרן פראט-פ.חינוכית חברתית</t>
  </si>
  <si>
    <t xml:space="preserve">פעילות חינוכית חברתית </t>
  </si>
  <si>
    <t xml:space="preserve">דמי חוגים </t>
  </si>
  <si>
    <t xml:space="preserve">הכנסות מסדנת בוקר </t>
  </si>
  <si>
    <t xml:space="preserve">שכר קובע(הדרכה( </t>
  </si>
  <si>
    <t xml:space="preserve">ביטוח מבנים ותכולה </t>
  </si>
  <si>
    <t xml:space="preserve">מיכון </t>
  </si>
  <si>
    <t xml:space="preserve">הוצ פעולה הקצבות </t>
  </si>
  <si>
    <t xml:space="preserve">תיאטרון לנוער </t>
  </si>
  <si>
    <t xml:space="preserve">הוצאות סדנת בוקר </t>
  </si>
  <si>
    <t xml:space="preserve">העברה מיועדת-משרד הספורט </t>
  </si>
  <si>
    <t>השתת.בסל ספורט-משרד ספורט</t>
  </si>
  <si>
    <t xml:space="preserve">הוצאות תקשורת-מינהל </t>
  </si>
  <si>
    <t>הפועל ספורט למקומות עבודה</t>
  </si>
  <si>
    <t xml:space="preserve">היכל הספורט רב תכליתי </t>
  </si>
  <si>
    <t xml:space="preserve">ביטוח ת.אישיות-ספורטאים </t>
  </si>
  <si>
    <t>אחזקת מגרשי ספורט ואולמות</t>
  </si>
  <si>
    <t xml:space="preserve">ארועי ספורט ותחרויות </t>
  </si>
  <si>
    <t xml:space="preserve">פעילות ספורט קהילתית </t>
  </si>
  <si>
    <t xml:space="preserve">פעילות ספורט כדורסל </t>
  </si>
  <si>
    <t xml:space="preserve">אתלטיקה קלה </t>
  </si>
  <si>
    <t>מילגות לספורטאים מצטיינים</t>
  </si>
  <si>
    <t xml:space="preserve">סל ספורט-כיוונים </t>
  </si>
  <si>
    <t xml:space="preserve">מרכז הטניס </t>
  </si>
  <si>
    <t xml:space="preserve">חשמל-וסרמיל </t>
  </si>
  <si>
    <t xml:space="preserve">מים-וסרמיל </t>
  </si>
  <si>
    <t xml:space="preserve">אחזקת גינון-וסרמיל </t>
  </si>
  <si>
    <t xml:space="preserve">אחזקת אצטדיון וסרמיל </t>
  </si>
  <si>
    <t>נקיון אצטדיונים ומגרשי א.</t>
  </si>
  <si>
    <t xml:space="preserve">אחזקת מתקני ספורט </t>
  </si>
  <si>
    <t>אחזקת גינון מג.אימון וסרמ</t>
  </si>
  <si>
    <t xml:space="preserve">חשמל-מגרש טאובל </t>
  </si>
  <si>
    <t xml:space="preserve">מים-מגרש טאובל </t>
  </si>
  <si>
    <t xml:space="preserve">ביטוח מבנים-טאובל </t>
  </si>
  <si>
    <t xml:space="preserve">אחזקת גינון מגרש טאובל </t>
  </si>
  <si>
    <t xml:space="preserve">חשמל-מגרש נ.לון </t>
  </si>
  <si>
    <t xml:space="preserve">ביטוח מבנה-מגרש נ.לון </t>
  </si>
  <si>
    <t xml:space="preserve">אחזקת גינון מגרש נ.לון </t>
  </si>
  <si>
    <t xml:space="preserve">מים-מגרש נ.לון </t>
  </si>
  <si>
    <t xml:space="preserve">אחזקת גינון מגרשי נירים </t>
  </si>
  <si>
    <t xml:space="preserve">חשמל-מגרש נ.נוי </t>
  </si>
  <si>
    <t xml:space="preserve">מים-מגרש נ.נוי </t>
  </si>
  <si>
    <t xml:space="preserve">ביטוח-מגרש נ.נוי </t>
  </si>
  <si>
    <t xml:space="preserve">אחזקת גינון מגרש נ.נוי </t>
  </si>
  <si>
    <t xml:space="preserve">אחזקת גינון מגרש מקיף ו </t>
  </si>
  <si>
    <t>חשמל-מגרשי אימונים אצ"ל 1</t>
  </si>
  <si>
    <t xml:space="preserve">מים-מגרשי אימונים אצ"ל 1 </t>
  </si>
  <si>
    <t xml:space="preserve">מגרשי אימונים ומיניפיץ </t>
  </si>
  <si>
    <t xml:space="preserve">השתת.בתקציב המוסד </t>
  </si>
  <si>
    <t xml:space="preserve">מילגות לתלמידים </t>
  </si>
  <si>
    <t xml:space="preserve">מיכון קונסרבטוריון </t>
  </si>
  <si>
    <t xml:space="preserve">אירועים מוזיקלים </t>
  </si>
  <si>
    <t xml:space="preserve">השתת.משרד המדע והתרבות </t>
  </si>
  <si>
    <t xml:space="preserve">הקצבת משרד התרבות </t>
  </si>
  <si>
    <t xml:space="preserve">השתתפות בתפעול מוזיאון </t>
  </si>
  <si>
    <t xml:space="preserve">הכנסות מאירועים ומחול </t>
  </si>
  <si>
    <t xml:space="preserve">שירותי נקיון-מרכז מחול </t>
  </si>
  <si>
    <t xml:space="preserve">רכישת תלבושות </t>
  </si>
  <si>
    <t xml:space="preserve">להקת מחול עירונית </t>
  </si>
  <si>
    <t xml:space="preserve">בי"ס רוקד </t>
  </si>
  <si>
    <t>תזמורת כלי נשיפה ע"ש נ.אל</t>
  </si>
  <si>
    <t xml:space="preserve">הוצאות פעולה ע"ח הכנסות </t>
  </si>
  <si>
    <t xml:space="preserve">הוצ' פעולה מחול וזמר </t>
  </si>
  <si>
    <t xml:space="preserve">להקת מחול "שלווה" </t>
  </si>
  <si>
    <t xml:space="preserve">פסטיבל כרמיאל </t>
  </si>
  <si>
    <t xml:space="preserve">תמיכה בלהקות מחול </t>
  </si>
  <si>
    <t xml:space="preserve">תמיכה מותנית בלהקות מחול </t>
  </si>
  <si>
    <t>הקצבת משרד התרבות זמר ומח</t>
  </si>
  <si>
    <t>מ.התיירות-אירוע פארק הילד</t>
  </si>
  <si>
    <t xml:space="preserve">ארועי חינוך ותרבות </t>
  </si>
  <si>
    <t xml:space="preserve">חבורות זמר </t>
  </si>
  <si>
    <t xml:space="preserve">דמי חבר א.מנהלי ספריות </t>
  </si>
  <si>
    <t>524</t>
  </si>
  <si>
    <t xml:space="preserve">מינויים </t>
  </si>
  <si>
    <t xml:space="preserve">אחזקת תוכנות </t>
  </si>
  <si>
    <t xml:space="preserve">אבטחה בספריה עירונית </t>
  </si>
  <si>
    <t xml:space="preserve">עידוד הקריאה </t>
  </si>
  <si>
    <t xml:space="preserve">הוצאות ע"ח הכנסה </t>
  </si>
  <si>
    <t xml:space="preserve">הוצאות פעולה אומנים </t>
  </si>
  <si>
    <t xml:space="preserve">העברה מיועדת ת. תורנית </t>
  </si>
  <si>
    <t xml:space="preserve">הקצבה מיועדת ת. תורנית </t>
  </si>
  <si>
    <t xml:space="preserve">תרבות תורנית </t>
  </si>
  <si>
    <t>השתת.מ.התרבות באירוע פתיח</t>
  </si>
  <si>
    <t xml:space="preserve">שירותי תוכנה ומיחשוב </t>
  </si>
  <si>
    <t>השתתפות בפעילות המשכן-כיו</t>
  </si>
  <si>
    <t xml:space="preserve">ביטוח שבר מכני-משכן </t>
  </si>
  <si>
    <t xml:space="preserve">ביטוח מבנה ותכולה-מ.קפלן </t>
  </si>
  <si>
    <t xml:space="preserve">מתנ"ס פאני קפלן </t>
  </si>
  <si>
    <t xml:space="preserve">השתתפות בחברת כיוונים </t>
  </si>
  <si>
    <t xml:space="preserve">השתתפות בשכר חב.כיוונים </t>
  </si>
  <si>
    <t>872</t>
  </si>
  <si>
    <t xml:space="preserve">השתת.בפעולות חב.כיוונים </t>
  </si>
  <si>
    <t>873</t>
  </si>
  <si>
    <t xml:space="preserve">מתנ"ס ע"ש לוין-ארנונה </t>
  </si>
  <si>
    <t>874</t>
  </si>
  <si>
    <t xml:space="preserve">ארנונה-נכסי כיוונים </t>
  </si>
  <si>
    <t>876</t>
  </si>
  <si>
    <t xml:space="preserve">עולם הילד-כיוונים </t>
  </si>
  <si>
    <t xml:space="preserve">פעילות תנ"ס-כיוונים </t>
  </si>
  <si>
    <t xml:space="preserve">אחזקת מתנסי"ם-כיוונים </t>
  </si>
  <si>
    <t xml:space="preserve">הוצאה מותנית-כיוונים </t>
  </si>
  <si>
    <t xml:space="preserve">מתנ"ס יוסף קארו </t>
  </si>
  <si>
    <t xml:space="preserve">מתנ"ס רמות </t>
  </si>
  <si>
    <t xml:space="preserve">מתנ"ס נווה זאב </t>
  </si>
  <si>
    <t>820</t>
  </si>
  <si>
    <t xml:space="preserve">תמיכה בתזמורות </t>
  </si>
  <si>
    <t xml:space="preserve">תמיכה מותנית בתזמורות </t>
  </si>
  <si>
    <t xml:space="preserve">ביטוח-אולפן בת דור </t>
  </si>
  <si>
    <t xml:space="preserve">תמיכה בתי"ס למחול </t>
  </si>
  <si>
    <t xml:space="preserve">תמיכה מותנית בתי"ס למחול </t>
  </si>
  <si>
    <t xml:space="preserve">תמיכה בתאטרונים </t>
  </si>
  <si>
    <t xml:space="preserve">תמיכה מותנית בתאטרונים </t>
  </si>
  <si>
    <t xml:space="preserve">מוזיאון סטרומה </t>
  </si>
  <si>
    <t xml:space="preserve">ביטוח מבנה-בי"ס למשחק </t>
  </si>
  <si>
    <t xml:space="preserve">תמיכה בבתי"ס למשחק </t>
  </si>
  <si>
    <t>495</t>
  </si>
  <si>
    <t xml:space="preserve">השתתפות מוסדות באולם </t>
  </si>
  <si>
    <t>מ.הבטחון-שיפוץ חדר זיכרון</t>
  </si>
  <si>
    <t xml:space="preserve">עבודות קבלניות-שיפוץ חדר </t>
  </si>
  <si>
    <t>הפעלת מועדון למשפחות שכול</t>
  </si>
  <si>
    <t>הוצאות ע"ח השתתפות מוסדות</t>
  </si>
  <si>
    <t xml:space="preserve">השתת.רשות למלחמה בסמים </t>
  </si>
  <si>
    <t>גרעינים תורניים-ר.מלחמה ב</t>
  </si>
  <si>
    <t xml:space="preserve">אגרת רישוי טסט </t>
  </si>
  <si>
    <t xml:space="preserve">פרוייקטים יחודיים </t>
  </si>
  <si>
    <t xml:space="preserve">בית ספר להורים </t>
  </si>
  <si>
    <t xml:space="preserve">סיוע לבתי ספר </t>
  </si>
  <si>
    <t xml:space="preserve">פעילות במלחמה בסמים </t>
  </si>
  <si>
    <t xml:space="preserve">ניידת וסיירת הורים </t>
  </si>
  <si>
    <t xml:space="preserve">יום של תכלת </t>
  </si>
  <si>
    <t xml:space="preserve">כן לספורט-לא לסמים </t>
  </si>
  <si>
    <t xml:space="preserve">גרעינים תורניים </t>
  </si>
  <si>
    <t xml:space="preserve">משרד הקליטה-קליטה בקהילה </t>
  </si>
  <si>
    <t xml:space="preserve">מוקד קליטה לעולי אתיופיה </t>
  </si>
  <si>
    <t>954</t>
  </si>
  <si>
    <t xml:space="preserve">פרוייקט עולי קווקז </t>
  </si>
  <si>
    <t xml:space="preserve">שרותי קליטה </t>
  </si>
  <si>
    <t>השת.בפעולות קליטה-כיוונים</t>
  </si>
  <si>
    <t>השתת.במימון מדריכות-זהב"י</t>
  </si>
  <si>
    <t xml:space="preserve">מענק מ.תחבורה-שיפוץ מגרש </t>
  </si>
  <si>
    <t>מימון פעילות בטיחות בדרכי</t>
  </si>
  <si>
    <t xml:space="preserve">חשמל-מרכז הדרכה </t>
  </si>
  <si>
    <t xml:space="preserve">דמי חבר-בטרם בעיר-בטיחות </t>
  </si>
  <si>
    <t xml:space="preserve">הוצאות תקשורת-מרכז הדרכה </t>
  </si>
  <si>
    <t>רכישת אביזרים ושיפוץ מגרש</t>
  </si>
  <si>
    <t xml:space="preserve">הוצא.פעולה בטיחות בדרכים </t>
  </si>
  <si>
    <t xml:space="preserve">פעילות בטיחות בדרכים </t>
  </si>
  <si>
    <t xml:space="preserve">קנסות חוקי עזר-שפ"ע </t>
  </si>
  <si>
    <t xml:space="preserve">דמי חבר א.מנהלי תברואה </t>
  </si>
  <si>
    <t xml:space="preserve">שירותי יעוץ למכרזים </t>
  </si>
  <si>
    <t>השתתפות בתפעול פארק חצרים</t>
  </si>
  <si>
    <t xml:space="preserve">פרוייקטים-איכות הסביבה </t>
  </si>
  <si>
    <t xml:space="preserve">הסברה וחינוך לנקיון </t>
  </si>
  <si>
    <t xml:space="preserve">ה.מותנית שירותי נקיון </t>
  </si>
  <si>
    <t xml:space="preserve">השת משרד איכות הסביבה </t>
  </si>
  <si>
    <t xml:space="preserve">פרוייקטים-מ.להגנת הסביבה </t>
  </si>
  <si>
    <t xml:space="preserve">בדיקת זיהום אויר </t>
  </si>
  <si>
    <t xml:space="preserve">סקרים </t>
  </si>
  <si>
    <t>סקר מזהמים ותוכנית אב ז.א</t>
  </si>
  <si>
    <t xml:space="preserve">פינוי והטמנת אסבסט </t>
  </si>
  <si>
    <t xml:space="preserve">פינוי חומרים מסוכנים </t>
  </si>
  <si>
    <t xml:space="preserve">הוצאה מותנית בדיקת זיהום </t>
  </si>
  <si>
    <t>ביטוח מחסנים מבנים ותכולה</t>
  </si>
  <si>
    <t xml:space="preserve">רכישת ציוד בטיחות אישי </t>
  </si>
  <si>
    <t>נקיון עיר עתיקה ואזור ת.ז</t>
  </si>
  <si>
    <t xml:space="preserve">נקיון רחובות ידני </t>
  </si>
  <si>
    <t xml:space="preserve">טיאוט רחובות מכני </t>
  </si>
  <si>
    <t xml:space="preserve">מבצע נקיון עירוני </t>
  </si>
  <si>
    <t xml:space="preserve">ה.מ.הדברת עשביה בקבלנות </t>
  </si>
  <si>
    <t xml:space="preserve">חובות אגרת פינוי אשפה </t>
  </si>
  <si>
    <t xml:space="preserve">אגרת פינוי אשפ.ממפעלים </t>
  </si>
  <si>
    <t xml:space="preserve">אתר פסולת בניין </t>
  </si>
  <si>
    <t>691</t>
  </si>
  <si>
    <t xml:space="preserve">פינוי פסולת אלקטרוניקה </t>
  </si>
  <si>
    <t>692</t>
  </si>
  <si>
    <t xml:space="preserve">פינוי פסולת טקסטיל </t>
  </si>
  <si>
    <t>693</t>
  </si>
  <si>
    <t xml:space="preserve">פינוי אתרי גרוטאות </t>
  </si>
  <si>
    <t xml:space="preserve">שיקום מפגעי פסולת בנייה </t>
  </si>
  <si>
    <t xml:space="preserve">ביטוח שבר מכני-דחסנים </t>
  </si>
  <si>
    <t xml:space="preserve">השכרת רכב תפעולי </t>
  </si>
  <si>
    <t xml:space="preserve">השכרת כלים וציוד </t>
  </si>
  <si>
    <t xml:space="preserve">חלקי חילוף לכלי אצירה </t>
  </si>
  <si>
    <t xml:space="preserve">נקיון כלי אצירה ומשטחים </t>
  </si>
  <si>
    <t xml:space="preserve">פינוי כלי אצירה וגזם </t>
  </si>
  <si>
    <t xml:space="preserve">פינוי פסולת בניין </t>
  </si>
  <si>
    <t xml:space="preserve">הטמנת אשפה ופסלת-עיריה </t>
  </si>
  <si>
    <t xml:space="preserve">הטמנת אשפה וגזם </t>
  </si>
  <si>
    <t xml:space="preserve">הטמנת פסולת בנין-דודאים </t>
  </si>
  <si>
    <t xml:space="preserve">תשלום היטל הטמנה </t>
  </si>
  <si>
    <t xml:space="preserve">השכרת רכב-מחזור </t>
  </si>
  <si>
    <t xml:space="preserve">פריסת מערך המיחזור </t>
  </si>
  <si>
    <t xml:space="preserve">פועלי אשפה-קבלן </t>
  </si>
  <si>
    <t xml:space="preserve">מפגעי שפכי חברון </t>
  </si>
  <si>
    <t xml:space="preserve">היתר רעלים </t>
  </si>
  <si>
    <t xml:space="preserve">חומרי הדברה וריסוס </t>
  </si>
  <si>
    <t xml:space="preserve">תיקון מכשירי ריסוס </t>
  </si>
  <si>
    <t xml:space="preserve">הדברת יתושים בקבלנות </t>
  </si>
  <si>
    <t xml:space="preserve">חפירת תעלות </t>
  </si>
  <si>
    <t xml:space="preserve">אגרת שחיטה </t>
  </si>
  <si>
    <t xml:space="preserve">אגרת הסגרת כלבים </t>
  </si>
  <si>
    <t xml:space="preserve">אגרת חיסון </t>
  </si>
  <si>
    <t xml:space="preserve">אגרת חיסון ורשיון לכלבים </t>
  </si>
  <si>
    <t xml:space="preserve">המתת כלבים בחסד </t>
  </si>
  <si>
    <t xml:space="preserve">אגרת רשיונות לכלבים </t>
  </si>
  <si>
    <t xml:space="preserve">קנסות חוקי עזר </t>
  </si>
  <si>
    <t>960</t>
  </si>
  <si>
    <t xml:space="preserve">השתת.מ.חקלאות-חתולי רחוב </t>
  </si>
  <si>
    <t xml:space="preserve">דמי שכירות למבנה כלביה </t>
  </si>
  <si>
    <t xml:space="preserve">חומרי חיסון </t>
  </si>
  <si>
    <t xml:space="preserve">חומרי הרדמה וחיטוי </t>
  </si>
  <si>
    <t xml:space="preserve">מזון לבעלי חיים </t>
  </si>
  <si>
    <t xml:space="preserve">תרופות למרפאה וטרינרית </t>
  </si>
  <si>
    <t xml:space="preserve">אגרת רכב </t>
  </si>
  <si>
    <t xml:space="preserve">שבבים לסימון אלקטרוני </t>
  </si>
  <si>
    <t xml:space="preserve">שמירה בקבלנות </t>
  </si>
  <si>
    <t>פרוייקט "טיפול חתולי רחוב</t>
  </si>
  <si>
    <t xml:space="preserve">טיפול בחתולי רחוב </t>
  </si>
  <si>
    <t xml:space="preserve">שירותים וטרינריים </t>
  </si>
  <si>
    <t xml:space="preserve">רישוי כלבים-משרד החקלאות </t>
  </si>
  <si>
    <t xml:space="preserve">ימי אימוץ </t>
  </si>
  <si>
    <t xml:space="preserve">בדיקות משנה מזון טרי </t>
  </si>
  <si>
    <t xml:space="preserve">דמי שירות בדיקות משנה </t>
  </si>
  <si>
    <t xml:space="preserve">דמי בדיקה בשר קפוא </t>
  </si>
  <si>
    <t>496</t>
  </si>
  <si>
    <t xml:space="preserve">דמי בדיקת דגים </t>
  </si>
  <si>
    <t>497</t>
  </si>
  <si>
    <t xml:space="preserve">דמי בדיקת עופות </t>
  </si>
  <si>
    <t xml:space="preserve">שיפוץ פארק רמון-קרן ב"ש </t>
  </si>
  <si>
    <t xml:space="preserve">חומרי ניקיון </t>
  </si>
  <si>
    <t xml:space="preserve">חומרי אינסטלציה וטיפטוף </t>
  </si>
  <si>
    <t xml:space="preserve">חומרים גדרות מעקות </t>
  </si>
  <si>
    <t xml:space="preserve">תיקון כלי עבודה </t>
  </si>
  <si>
    <t xml:space="preserve">כלי עבודה וציוד כללי </t>
  </si>
  <si>
    <t xml:space="preserve">אחזקת שטחי גינון </t>
  </si>
  <si>
    <t xml:space="preserve">גיזום </t>
  </si>
  <si>
    <t xml:space="preserve">אחזקת מע' השקיה ממוחשבת </t>
  </si>
  <si>
    <t xml:space="preserve">בדיקות מעבדה </t>
  </si>
  <si>
    <t xml:space="preserve">עבודות מסגרות ואינסטלציה </t>
  </si>
  <si>
    <t xml:space="preserve">עבודות רג"י בקבלנות </t>
  </si>
  <si>
    <t xml:space="preserve">מים להשקיה </t>
  </si>
  <si>
    <t>השתת.באחזקת גינות קהילתיו</t>
  </si>
  <si>
    <t xml:space="preserve">שיפוץ פארק רמון </t>
  </si>
  <si>
    <t xml:space="preserve">אחזקת מתקני משחק </t>
  </si>
  <si>
    <t xml:space="preserve">פארק נחל ב"ש-אחזקה </t>
  </si>
  <si>
    <t xml:space="preserve">גן הפעמון-עבודות קבלניות </t>
  </si>
  <si>
    <t xml:space="preserve">תרומות כלליות </t>
  </si>
  <si>
    <t xml:space="preserve">צפי לגיוס תרומות </t>
  </si>
  <si>
    <t xml:space="preserve">פעולות ארגוניות </t>
  </si>
  <si>
    <t xml:space="preserve">צפי תוספת תקציב </t>
  </si>
  <si>
    <t xml:space="preserve">סל בטיחות </t>
  </si>
  <si>
    <t xml:space="preserve">השתת. בהוצאות שכר </t>
  </si>
  <si>
    <t xml:space="preserve">הכנסות שונות משרד רווחה </t>
  </si>
  <si>
    <t xml:space="preserve">השתתפות רח"ל בשכר </t>
  </si>
  <si>
    <t xml:space="preserve">מחלקת חירום </t>
  </si>
  <si>
    <t xml:space="preserve">כח אדם לחינוך מיוחד </t>
  </si>
  <si>
    <t xml:space="preserve">שכר קובע(עם תקן( </t>
  </si>
  <si>
    <t xml:space="preserve">תוס.סוציאליות </t>
  </si>
  <si>
    <t>תחזוקת מבנים מוסדות רווחה</t>
  </si>
  <si>
    <t xml:space="preserve">שרותי נקיון מוסדות רווחה </t>
  </si>
  <si>
    <t xml:space="preserve">ביטוח מבנה ותכולה-לשכות </t>
  </si>
  <si>
    <t xml:space="preserve">מיכון - תוכנת רווחה </t>
  </si>
  <si>
    <t xml:space="preserve">הסעות במוניות </t>
  </si>
  <si>
    <t xml:space="preserve">סל שירותי רווחה </t>
  </si>
  <si>
    <t xml:space="preserve">שמירה בלשכות </t>
  </si>
  <si>
    <t xml:space="preserve">בטיחות אש בלשכות </t>
  </si>
  <si>
    <t xml:space="preserve">אחזקת גינון בקבלנות </t>
  </si>
  <si>
    <t xml:space="preserve">ימי עיון לעובדים </t>
  </si>
  <si>
    <t xml:space="preserve">מצבי חירום </t>
  </si>
  <si>
    <t xml:space="preserve">טקסים וחנוכת מבנים </t>
  </si>
  <si>
    <t xml:space="preserve">הדרכת עובדים </t>
  </si>
  <si>
    <t>840</t>
  </si>
  <si>
    <t xml:space="preserve">מיחשוב שירותי רווחה </t>
  </si>
  <si>
    <t xml:space="preserve">הוצאות מנהליות </t>
  </si>
  <si>
    <t xml:space="preserve">שיפור סביבת עבודה לעובד </t>
  </si>
  <si>
    <t xml:space="preserve">שיפוץ מח שירותים חברתיים </t>
  </si>
  <si>
    <t xml:space="preserve">שכר קובע-מחלקת חירום </t>
  </si>
  <si>
    <t xml:space="preserve">שירותים חברתיים לב העיר </t>
  </si>
  <si>
    <t>שכר דירה מח שירותים חברתי</t>
  </si>
  <si>
    <t xml:space="preserve">שכר קובע-שירותים חברתיים </t>
  </si>
  <si>
    <t>שכ"ד מח שירותים חברתיים-ל</t>
  </si>
  <si>
    <t xml:space="preserve">דמי ניהול </t>
  </si>
  <si>
    <t xml:space="preserve">שירותים חברתיים ד רבתי </t>
  </si>
  <si>
    <t xml:space="preserve">הכנסות שונות (משפחה( </t>
  </si>
  <si>
    <t xml:space="preserve">משפחות במצוקה בקהילה </t>
  </si>
  <si>
    <t xml:space="preserve">טיפול במשפחות עם ילדים </t>
  </si>
  <si>
    <t xml:space="preserve">קייטנות לאמהות </t>
  </si>
  <si>
    <t xml:space="preserve">מענק-שיפוץ בית חם </t>
  </si>
  <si>
    <t xml:space="preserve">ביטוח רפואי ואשפוז </t>
  </si>
  <si>
    <t xml:space="preserve">דרי רחוב </t>
  </si>
  <si>
    <t xml:space="preserve">צרכים מיוחדים-מצב חירום </t>
  </si>
  <si>
    <t xml:space="preserve">דרי רחוב רב בעייתי </t>
  </si>
  <si>
    <t xml:space="preserve">מסגרות ארציות לדרי רחוב </t>
  </si>
  <si>
    <t xml:space="preserve">סדנאות למשפחה </t>
  </si>
  <si>
    <t xml:space="preserve">מרכזי טיפול באלימות </t>
  </si>
  <si>
    <t xml:space="preserve">בית נועם </t>
  </si>
  <si>
    <t xml:space="preserve">מניעת אלימות בקרב עולים </t>
  </si>
  <si>
    <t xml:space="preserve">תחנות לטיפול במשפחה </t>
  </si>
  <si>
    <t>מסגרות טיפוליות לגברים אל</t>
  </si>
  <si>
    <t xml:space="preserve">תחנה לטיפול במשפחה-שכ"ע </t>
  </si>
  <si>
    <t xml:space="preserve">מניעת אלימות במשפחה </t>
  </si>
  <si>
    <t xml:space="preserve">מניעת אלימות(פעולה( </t>
  </si>
  <si>
    <t xml:space="preserve">ביטוח מבנה ותכולה-אלימות </t>
  </si>
  <si>
    <t xml:space="preserve">רכישת ציוד מרכז עצמה </t>
  </si>
  <si>
    <t xml:space="preserve">תוכנית מעגל החיים </t>
  </si>
  <si>
    <t xml:space="preserve">טיפול בפרט ומשפחה </t>
  </si>
  <si>
    <t xml:space="preserve">פרוייקט מעגן/ארנונה </t>
  </si>
  <si>
    <t>פרוייקט מחסן ביגוד/ארנונה</t>
  </si>
  <si>
    <t xml:space="preserve">קייטנה לאמהות </t>
  </si>
  <si>
    <t xml:space="preserve">שיפוץ בית חם-מענק </t>
  </si>
  <si>
    <t>שכר קובע-תחנות לטיפול במש</t>
  </si>
  <si>
    <t xml:space="preserve">חשמל-מניעת אלימות </t>
  </si>
  <si>
    <t>שירותי נקיון-מ.למניעת אלי</t>
  </si>
  <si>
    <t>שכר קובע-מניעת אלימות במש</t>
  </si>
  <si>
    <t>שכר קובע-מניעת אלימות(פעו</t>
  </si>
  <si>
    <t xml:space="preserve">השתת.קרובים בבית אבות </t>
  </si>
  <si>
    <t xml:space="preserve">החזקת זקנים במעונות </t>
  </si>
  <si>
    <t xml:space="preserve">נופשון לזקן </t>
  </si>
  <si>
    <t>מניעת התעללות בקשישים-שכ"</t>
  </si>
  <si>
    <t xml:space="preserve">שירותים לזקן </t>
  </si>
  <si>
    <t>492</t>
  </si>
  <si>
    <t xml:space="preserve">הכנסות שונות (צרכים( </t>
  </si>
  <si>
    <t xml:space="preserve">שירותים לניצולי שואה </t>
  </si>
  <si>
    <t xml:space="preserve">מועדונים לזקנים </t>
  </si>
  <si>
    <t xml:space="preserve">טיפול בזקן בקהילה </t>
  </si>
  <si>
    <t xml:space="preserve">שכונה תומכת </t>
  </si>
  <si>
    <t xml:space="preserve">שיפוץ מועדוני קשישים </t>
  </si>
  <si>
    <t xml:space="preserve">השתתפות בפעילות לקשישים </t>
  </si>
  <si>
    <t xml:space="preserve">מועדון לקשיש-העשרה </t>
  </si>
  <si>
    <t xml:space="preserve">תעסוקת זקנים במועדונים </t>
  </si>
  <si>
    <t xml:space="preserve">מועדונים-תוכניות העשרה </t>
  </si>
  <si>
    <t xml:space="preserve">מרכזי ועדות חוק סיעוד </t>
  </si>
  <si>
    <t xml:space="preserve">מאבק באלימות נגד קשישים </t>
  </si>
  <si>
    <t xml:space="preserve">טיפולי שיניים לקשיש </t>
  </si>
  <si>
    <t xml:space="preserve">מסגרות יומיות לזקן </t>
  </si>
  <si>
    <t>שכר קובע-מניעת התעללות בק</t>
  </si>
  <si>
    <t xml:space="preserve">שכר דירה-שופליין </t>
  </si>
  <si>
    <t xml:space="preserve">דמי ניהול-שופליין </t>
  </si>
  <si>
    <t>ביטוח מרכזי יום ומועדונים</t>
  </si>
  <si>
    <t xml:space="preserve">הפעלת שכונה תומכת </t>
  </si>
  <si>
    <t xml:space="preserve">מבצעים לקשיש </t>
  </si>
  <si>
    <t xml:space="preserve">סיירת עוז לקשישים </t>
  </si>
  <si>
    <t xml:space="preserve">תוכנית לתעסוקת מבוגרים </t>
  </si>
  <si>
    <t xml:space="preserve">תוכנית חיל לקשיש </t>
  </si>
  <si>
    <t xml:space="preserve">פעילות גופנית לזקנים </t>
  </si>
  <si>
    <t xml:space="preserve">שכר קובע-שירותים לזקן </t>
  </si>
  <si>
    <t>שכר קובע-מאבק באלימות בקש</t>
  </si>
  <si>
    <t xml:space="preserve">הוצאות תקשורת-מוסדות </t>
  </si>
  <si>
    <t xml:space="preserve">מועדונים לקשישים </t>
  </si>
  <si>
    <t xml:space="preserve">מניעת אלימות כלפי קשישים </t>
  </si>
  <si>
    <t xml:space="preserve">שכר קובע-מרכזי ועדות חוק </t>
  </si>
  <si>
    <t xml:space="preserve">תוכנית בית חם </t>
  </si>
  <si>
    <t xml:space="preserve">סידור מפגרים במוסדות </t>
  </si>
  <si>
    <t xml:space="preserve">מפגרים במוסדות ממשלתי </t>
  </si>
  <si>
    <t xml:space="preserve">החזקת אוטיסטים במסגרות </t>
  </si>
  <si>
    <t xml:space="preserve">טיפול בהורים וילדיהם </t>
  </si>
  <si>
    <t xml:space="preserve">נופשונים וקייטנות </t>
  </si>
  <si>
    <t xml:space="preserve">מעונות יום שיקומיים </t>
  </si>
  <si>
    <t xml:space="preserve">משפחות אומנה למפגר </t>
  </si>
  <si>
    <t xml:space="preserve">משפחות אומנה לשיקום </t>
  </si>
  <si>
    <t xml:space="preserve">מועדונים לילדים </t>
  </si>
  <si>
    <t xml:space="preserve">מ.יום ותעסוקה למבוגרים </t>
  </si>
  <si>
    <t xml:space="preserve">הסעות לאוטיסטים </t>
  </si>
  <si>
    <t xml:space="preserve">הכנסות שונות מעון טיפולי </t>
  </si>
  <si>
    <t xml:space="preserve">מפגרים במעון אימוני </t>
  </si>
  <si>
    <t xml:space="preserve">מפגרים במעון טיפולי </t>
  </si>
  <si>
    <t xml:space="preserve">מעשי"ם </t>
  </si>
  <si>
    <t xml:space="preserve">הסעות למסגרות יום למפגר </t>
  </si>
  <si>
    <t xml:space="preserve">שרותים תומכים למפגר </t>
  </si>
  <si>
    <t xml:space="preserve">תעסוקה מוגנת למוגבל </t>
  </si>
  <si>
    <t xml:space="preserve">נופשון למפגרים </t>
  </si>
  <si>
    <t xml:space="preserve">מועדונים חברתיים למפגר </t>
  </si>
  <si>
    <t xml:space="preserve">השתת. קרובים במע"ש </t>
  </si>
  <si>
    <t xml:space="preserve">הסעות מפגרים </t>
  </si>
  <si>
    <t xml:space="preserve">הפעלת יום ארוך למפגרים </t>
  </si>
  <si>
    <t xml:space="preserve">תאטרון טיפולי למפגרים </t>
  </si>
  <si>
    <t xml:space="preserve">נופשונים למפגר </t>
  </si>
  <si>
    <t xml:space="preserve">ביטוח מבנה ותכולה-מע"ש </t>
  </si>
  <si>
    <t xml:space="preserve">טיפול באלכוהליסטים </t>
  </si>
  <si>
    <t xml:space="preserve">גמילה מאלכוהול </t>
  </si>
  <si>
    <t xml:space="preserve">שכר קובע-גמילה מאלכוהול </t>
  </si>
  <si>
    <t>ביטוח מבנה ותכולה-אלכוהול</t>
  </si>
  <si>
    <t xml:space="preserve">טיפול באלכוהוליסטים </t>
  </si>
  <si>
    <t xml:space="preserve">הכנסות ממטופלים </t>
  </si>
  <si>
    <t xml:space="preserve">השתת.אגודה לשיקום האסיר </t>
  </si>
  <si>
    <t xml:space="preserve">בדיקות למשתמשים בסמים </t>
  </si>
  <si>
    <t xml:space="preserve">מרכזי יום-נפגעי סמים </t>
  </si>
  <si>
    <t xml:space="preserve">סמים - תוכנית לאומית </t>
  </si>
  <si>
    <t>צרכים מיוחדים לנגמלי סמים</t>
  </si>
  <si>
    <t xml:space="preserve">תוכניות תעסוקה </t>
  </si>
  <si>
    <t>טיפול בנפגעי סמים-פרוייקט</t>
  </si>
  <si>
    <t xml:space="preserve">מרכז יום לנוער-סמים </t>
  </si>
  <si>
    <t xml:space="preserve">מרכזי יום </t>
  </si>
  <si>
    <t xml:space="preserve">העברה מיועדת-מ.הבריאות </t>
  </si>
  <si>
    <t xml:space="preserve">תעסוקה לנגמלים-שכ"ע </t>
  </si>
  <si>
    <t xml:space="preserve">טיפול בנפגעי סמים </t>
  </si>
  <si>
    <t xml:space="preserve">שכר קובע-מרכזי יום </t>
  </si>
  <si>
    <t xml:space="preserve">הוצאות פעולה סמים </t>
  </si>
  <si>
    <t xml:space="preserve">טיפול באסירים משוחררים </t>
  </si>
  <si>
    <t xml:space="preserve">שכר קובע-שיקום האסיר </t>
  </si>
  <si>
    <t xml:space="preserve">שכר קובע-תעסוקת נגמלים </t>
  </si>
  <si>
    <t>שכר קובע-טיפול בנגמלי סמי</t>
  </si>
  <si>
    <t xml:space="preserve">מיסיו ועלויות </t>
  </si>
  <si>
    <t>השתתפות הרשות לשיקום האסי</t>
  </si>
  <si>
    <t xml:space="preserve">בדיקות סמים וסיוע </t>
  </si>
  <si>
    <t xml:space="preserve">התמכרויות מבוגרים </t>
  </si>
  <si>
    <t xml:space="preserve">תוכניות תעסוקה למתמכרים </t>
  </si>
  <si>
    <t xml:space="preserve">פרוייקטים לנגמלים </t>
  </si>
  <si>
    <t xml:space="preserve">טיפול בנוער מתמכר </t>
  </si>
  <si>
    <t xml:space="preserve">התמכרויות חוץ ביתי </t>
  </si>
  <si>
    <t xml:space="preserve">השתתפות בשכר-מרכזי יום </t>
  </si>
  <si>
    <t>השתתפות בשכר-תעסוקת נגמלי</t>
  </si>
  <si>
    <t>השתתפות בשכר-טיפול בהתמכר</t>
  </si>
  <si>
    <t xml:space="preserve">ביטוח </t>
  </si>
  <si>
    <t xml:space="preserve">הוצאות פעולה-התמכרויות </t>
  </si>
  <si>
    <t>שכר קובע-טיפול בהתמכרויות</t>
  </si>
  <si>
    <t xml:space="preserve">ילדים עיוורים במוסדות </t>
  </si>
  <si>
    <t xml:space="preserve">הדרכת עיוור ובני ביתו </t>
  </si>
  <si>
    <t xml:space="preserve">שיקום העיוור בקהילה </t>
  </si>
  <si>
    <t xml:space="preserve">מפעלי שיקום לעיור </t>
  </si>
  <si>
    <t xml:space="preserve">מועדונית סורוקה לנכים </t>
  </si>
  <si>
    <t xml:space="preserve">מועדון נכים-מ.הבריאות </t>
  </si>
  <si>
    <t xml:space="preserve">החזקת נכים בפנימיות </t>
  </si>
  <si>
    <t xml:space="preserve">נכים במשפחות אומנה </t>
  </si>
  <si>
    <t xml:space="preserve">מעונות ממשלתיים-שיקום </t>
  </si>
  <si>
    <t xml:space="preserve">מעון נכים גילה </t>
  </si>
  <si>
    <t xml:space="preserve">נכים קשים בקהילה </t>
  </si>
  <si>
    <t xml:space="preserve">שירותי שיקום </t>
  </si>
  <si>
    <t xml:space="preserve">מס.יום לילד המוגבל </t>
  </si>
  <si>
    <t xml:space="preserve">תוכניות לילד החריג </t>
  </si>
  <si>
    <t xml:space="preserve">תוכניות מעבר לחרשים </t>
  </si>
  <si>
    <t xml:space="preserve">מ.יום שיקומי לנכים </t>
  </si>
  <si>
    <t xml:space="preserve">מועדוניות לחרשים </t>
  </si>
  <si>
    <t>הסעות מסגרות יום שיקומיים</t>
  </si>
  <si>
    <t>ליווי מסגרות יום שיקומיים</t>
  </si>
  <si>
    <t xml:space="preserve">מסיכון לסיכוי </t>
  </si>
  <si>
    <t xml:space="preserve">תעסוקה נתמכת לנכים </t>
  </si>
  <si>
    <t xml:space="preserve">קהילה תומכת לנכים </t>
  </si>
  <si>
    <t xml:space="preserve">מועדון חברתי לבוגרים </t>
  </si>
  <si>
    <t xml:space="preserve">איתור לתעסוקה </t>
  </si>
  <si>
    <t>חלופה למסגרות יום שיקומיי</t>
  </si>
  <si>
    <t xml:space="preserve">מרכזי אבחון ושיקום </t>
  </si>
  <si>
    <t xml:space="preserve">שיקום נכים בקהילה </t>
  </si>
  <si>
    <t xml:space="preserve">מועדונים לעוור </t>
  </si>
  <si>
    <t xml:space="preserve">נופשונים להבראה </t>
  </si>
  <si>
    <t xml:space="preserve">מרכזי יום לנכים קשים </t>
  </si>
  <si>
    <t xml:space="preserve">ביטוח-מועדונים ומפעלים </t>
  </si>
  <si>
    <t xml:space="preserve">פיתוח תוכניות לנכים </t>
  </si>
  <si>
    <t xml:space="preserve">שכר קובע-שירותי שיקום </t>
  </si>
  <si>
    <t xml:space="preserve">פר.חברתי פארק אוסטרליה </t>
  </si>
  <si>
    <t xml:space="preserve">מרכז לחיים עצמאיים </t>
  </si>
  <si>
    <t xml:space="preserve">פעילות קשר לנכים </t>
  </si>
  <si>
    <t xml:space="preserve">הפעלת סניף אתגרי </t>
  </si>
  <si>
    <t xml:space="preserve">להקת מחול שיקומית </t>
  </si>
  <si>
    <t xml:space="preserve">מעונות ממשלתיים שיקום </t>
  </si>
  <si>
    <t xml:space="preserve">הוצאות מועדון - נכים </t>
  </si>
  <si>
    <t>הסעות מעונות יום שיקומיים</t>
  </si>
  <si>
    <t xml:space="preserve">פעילות תומכת לנכים </t>
  </si>
  <si>
    <t xml:space="preserve">הכנס.עצמיות מיוע.עולים </t>
  </si>
  <si>
    <t xml:space="preserve">מעונות יום עולים </t>
  </si>
  <si>
    <t xml:space="preserve">מס. יום טיפולי-עולים </t>
  </si>
  <si>
    <t xml:space="preserve">מע"שים - עולים </t>
  </si>
  <si>
    <t xml:space="preserve">תוכנית מגשרים </t>
  </si>
  <si>
    <t xml:space="preserve">התוכנית הביתית </t>
  </si>
  <si>
    <t xml:space="preserve">ילדים בפנימיות-עולים </t>
  </si>
  <si>
    <t xml:space="preserve">טיפול בזקנים - עולים </t>
  </si>
  <si>
    <t xml:space="preserve">תוכ.קב.וקהילה-עולים </t>
  </si>
  <si>
    <t xml:space="preserve">עובדי שכונה-עולים </t>
  </si>
  <si>
    <t xml:space="preserve">טיפול בעוורים עולים </t>
  </si>
  <si>
    <t xml:space="preserve">טיפול בעיוורים עולים </t>
  </si>
  <si>
    <t xml:space="preserve">ילדים במצוקה- עולים </t>
  </si>
  <si>
    <t xml:space="preserve">משפחות עולים במצוקה </t>
  </si>
  <si>
    <t xml:space="preserve">אבח.ושיקום נכים עולים </t>
  </si>
  <si>
    <t xml:space="preserve">מפגרים בפנימיות עולים </t>
  </si>
  <si>
    <t xml:space="preserve">טיפול בעולים נפגעי סמים </t>
  </si>
  <si>
    <t xml:space="preserve">פעילות קהילתית לעולים </t>
  </si>
  <si>
    <t xml:space="preserve">מעונות יום - עולים </t>
  </si>
  <si>
    <t xml:space="preserve">מס.יום טפולי-עולים </t>
  </si>
  <si>
    <t xml:space="preserve">טפול בזקנים עולים </t>
  </si>
  <si>
    <t>שכר קובע-עובדי שכונה עולי</t>
  </si>
  <si>
    <t>פעוטון במרכז קהילתי קווקז</t>
  </si>
  <si>
    <t xml:space="preserve">השתת. הורים מועדוניות </t>
  </si>
  <si>
    <t xml:space="preserve">החזר ה.שימוש-בית לכל ילד </t>
  </si>
  <si>
    <t xml:space="preserve">טיפול בילד בקהילה </t>
  </si>
  <si>
    <t xml:space="preserve">טיפול ילדים בסיכון </t>
  </si>
  <si>
    <t xml:space="preserve">תוכנית מגן </t>
  </si>
  <si>
    <t xml:space="preserve">מועדוניות משותפות </t>
  </si>
  <si>
    <t>הדרכה ויעוץ להורים וילדים</t>
  </si>
  <si>
    <t xml:space="preserve">הפעלת משפחתונים-תמ"ת </t>
  </si>
  <si>
    <t xml:space="preserve">רכזות משפחתונים </t>
  </si>
  <si>
    <t xml:space="preserve">השתת.בשכר מרכז הורים ילד </t>
  </si>
  <si>
    <t xml:space="preserve">מרכז לילד ולמשפחה </t>
  </si>
  <si>
    <t xml:space="preserve">השתת. קרובים בפנימיות </t>
  </si>
  <si>
    <t xml:space="preserve">טפול במשפחות אומנה </t>
  </si>
  <si>
    <t xml:space="preserve">אחזקת ילדים בפנימיות </t>
  </si>
  <si>
    <t xml:space="preserve">קשר הורים ילדים </t>
  </si>
  <si>
    <t xml:space="preserve">סידור ילדים קדם אימוץ </t>
  </si>
  <si>
    <t xml:space="preserve">מרכז קשר-שכ"ע </t>
  </si>
  <si>
    <t xml:space="preserve">השתת.קרובים במעונות </t>
  </si>
  <si>
    <t xml:space="preserve">דמי הרשמה משפחתונים </t>
  </si>
  <si>
    <t xml:space="preserve">ילדים מעונות יום </t>
  </si>
  <si>
    <t xml:space="preserve">העברה מיוע.משרד הבריאות </t>
  </si>
  <si>
    <t xml:space="preserve">שכר קובע-רכזות משפחתונים </t>
  </si>
  <si>
    <t xml:space="preserve">תחזוקה-בית לכל ילד </t>
  </si>
  <si>
    <t xml:space="preserve">הסעות למכון רב-תכליתי </t>
  </si>
  <si>
    <t xml:space="preserve">מוטב יחדיו </t>
  </si>
  <si>
    <t xml:space="preserve">מרכז משפחתי למתבגרים </t>
  </si>
  <si>
    <t xml:space="preserve">עוגן קהילתי </t>
  </si>
  <si>
    <t xml:space="preserve">פר"ח מועדוניות </t>
  </si>
  <si>
    <t xml:space="preserve">פעילות קיץ ילדים בסיכון </t>
  </si>
  <si>
    <t xml:space="preserve">הפחתת אלימות בגני ילדים </t>
  </si>
  <si>
    <t>מועדוניות לילדים בסיכון ש</t>
  </si>
  <si>
    <t xml:space="preserve">צהרון נחל בקע </t>
  </si>
  <si>
    <t xml:space="preserve">מועדניות משותפות </t>
  </si>
  <si>
    <t>שכר קובע-מרכז הורים ילדים</t>
  </si>
  <si>
    <t xml:space="preserve">מועדון הגמל </t>
  </si>
  <si>
    <t xml:space="preserve">ילדים בסיכון </t>
  </si>
  <si>
    <t xml:space="preserve">בתים חמים לנוער בסיכון </t>
  </si>
  <si>
    <t xml:space="preserve">פר.חונכות לילדים בסיכון </t>
  </si>
  <si>
    <t xml:space="preserve">באר שובע-ארנונה </t>
  </si>
  <si>
    <t>שכר קובע-מרכז לילד ולמשפח</t>
  </si>
  <si>
    <t xml:space="preserve">שכר קובע-מרכז קשר </t>
  </si>
  <si>
    <t xml:space="preserve">טיפול במשפחות אומנה </t>
  </si>
  <si>
    <t xml:space="preserve">הוצ.פעולה משפחתונים </t>
  </si>
  <si>
    <t>ת.לאומית נוער משתמש באלכו</t>
  </si>
  <si>
    <t xml:space="preserve">תוכנית לאומית פרט ומשפחה </t>
  </si>
  <si>
    <t xml:space="preserve">תוכנית לאומית ילד ונוער </t>
  </si>
  <si>
    <t>תוכנית לאומית נוער וצעירי</t>
  </si>
  <si>
    <t xml:space="preserve">תוכנית לאומית-התמכרויות </t>
  </si>
  <si>
    <t>ת.לאומית תמיכה למתבגרים ע</t>
  </si>
  <si>
    <t xml:space="preserve">השתת מועדון נוער </t>
  </si>
  <si>
    <t xml:space="preserve">טיפול בנוער וצעירים </t>
  </si>
  <si>
    <t xml:space="preserve">השתתפות בשכר-בית חם </t>
  </si>
  <si>
    <t xml:space="preserve">מפת"ן ממשלתי </t>
  </si>
  <si>
    <t xml:space="preserve">מפת"ן מקומי-החזקה </t>
  </si>
  <si>
    <t>תוכנית מניעת אלימות במפתנ</t>
  </si>
  <si>
    <t xml:space="preserve">מיתר </t>
  </si>
  <si>
    <t xml:space="preserve">שכר קובע-בית חם לנוער </t>
  </si>
  <si>
    <t xml:space="preserve">פרוייקט ידידים </t>
  </si>
  <si>
    <t xml:space="preserve">מפת"ן מקומי החזקה </t>
  </si>
  <si>
    <t>הכנסות עצמיות-נערות במצוק</t>
  </si>
  <si>
    <t xml:space="preserve">טיפול בנערות במצוקה </t>
  </si>
  <si>
    <t>תוכנית נפגעות תקיפה מינית</t>
  </si>
  <si>
    <t xml:space="preserve">מקלטים לנשים מוכות </t>
  </si>
  <si>
    <t xml:space="preserve">טיפול בנשים ונערות </t>
  </si>
  <si>
    <t xml:space="preserve">מקלטים לנערות </t>
  </si>
  <si>
    <t xml:space="preserve">טיפול בנשים בקהילה </t>
  </si>
  <si>
    <t xml:space="preserve">פרוייקט עדי-שכ"ע </t>
  </si>
  <si>
    <t xml:space="preserve">בתים חמים לנערות </t>
  </si>
  <si>
    <t xml:space="preserve">מעונות חסות </t>
  </si>
  <si>
    <t xml:space="preserve">שכר קובע-פרוייקט עד"י </t>
  </si>
  <si>
    <t xml:space="preserve">פ.זינוק לתעסוקת נערות </t>
  </si>
  <si>
    <t>פעילות העשרה בבתים חמים ל</t>
  </si>
  <si>
    <t>מרכזים לנשים נפגעות אלימו</t>
  </si>
  <si>
    <t xml:space="preserve">סיוע לקרבנות אונס </t>
  </si>
  <si>
    <t>730</t>
  </si>
  <si>
    <t xml:space="preserve">פרוייקט החן </t>
  </si>
  <si>
    <t>תוכנית מעגל החיים ותעסוקה</t>
  </si>
  <si>
    <t xml:space="preserve">השתת.מועדון נחל עשן </t>
  </si>
  <si>
    <t xml:space="preserve">השתת. מוסדות באחזקה </t>
  </si>
  <si>
    <t xml:space="preserve">עבודה קהילתית </t>
  </si>
  <si>
    <t xml:space="preserve">נפגעי תאונות דרכים </t>
  </si>
  <si>
    <t xml:space="preserve">תאונות דרכים-שכ"ע </t>
  </si>
  <si>
    <t xml:space="preserve">עבודה קהילתית(פעולה( </t>
  </si>
  <si>
    <t xml:space="preserve">לשכות יעוץ לאזרח </t>
  </si>
  <si>
    <t xml:space="preserve">תוכניות קהילה </t>
  </si>
  <si>
    <t xml:space="preserve">קמחא דפסחא נזקקים </t>
  </si>
  <si>
    <t xml:space="preserve">עזרה לנזקקים </t>
  </si>
  <si>
    <t xml:space="preserve">אוניברסיטה בע"מ </t>
  </si>
  <si>
    <t xml:space="preserve">מרכז "יעל" </t>
  </si>
  <si>
    <t xml:space="preserve">בי"ס להורים </t>
  </si>
  <si>
    <t xml:space="preserve">מרכז ליוצאי קווקז </t>
  </si>
  <si>
    <t xml:space="preserve">למרחב </t>
  </si>
  <si>
    <t xml:space="preserve">ארנונה-מעגל החיים </t>
  </si>
  <si>
    <t xml:space="preserve">תוכנית תעסוקתית לנוער </t>
  </si>
  <si>
    <t xml:space="preserve">טיפול בילדים בעליADHD </t>
  </si>
  <si>
    <t xml:space="preserve">קואליציה קווקזית </t>
  </si>
  <si>
    <t xml:space="preserve">הבית הלבן </t>
  </si>
  <si>
    <t xml:space="preserve">קפה נוער בשכונה ד </t>
  </si>
  <si>
    <t xml:space="preserve">פרוייקט זינוק הכנה לצה"ל </t>
  </si>
  <si>
    <t xml:space="preserve">עיר בריאה </t>
  </si>
  <si>
    <t xml:space="preserve">הפעלת מגרש ארסנל </t>
  </si>
  <si>
    <t xml:space="preserve">מוקדים קהילתיים במקלטים </t>
  </si>
  <si>
    <t xml:space="preserve">מרכז תעסוקה </t>
  </si>
  <si>
    <t xml:space="preserve">הפעלת מרכז חוסן קהילתי </t>
  </si>
  <si>
    <t xml:space="preserve">מרכז זכויות האשה </t>
  </si>
  <si>
    <t>ה.מ.הפעלת מרכז חוסן קהילת</t>
  </si>
  <si>
    <t xml:space="preserve">פיתוח המתודה הקבוצתית </t>
  </si>
  <si>
    <t xml:space="preserve">שכר קובע-תאונות דרכים </t>
  </si>
  <si>
    <t xml:space="preserve">תיקונים ובדק בית </t>
  </si>
  <si>
    <t xml:space="preserve">טלויזיה קהילתית </t>
  </si>
  <si>
    <t xml:space="preserve">פעילות תרבותית </t>
  </si>
  <si>
    <t xml:space="preserve">יד ביד מדור לדור </t>
  </si>
  <si>
    <t xml:space="preserve">גישור קהילתי </t>
  </si>
  <si>
    <t xml:space="preserve">פרוייקט"PACT" </t>
  </si>
  <si>
    <t xml:space="preserve">שכר קובע-עבודה קהילתית </t>
  </si>
  <si>
    <t>שכר קובע-עבודה קהילתית(פע</t>
  </si>
  <si>
    <t xml:space="preserve">הכנסות עצמיות </t>
  </si>
  <si>
    <t xml:space="preserve">פעולות התנדבות </t>
  </si>
  <si>
    <t xml:space="preserve">פרוייקטים התנדבותיים </t>
  </si>
  <si>
    <t xml:space="preserve">פרוייקט רא"ם </t>
  </si>
  <si>
    <t xml:space="preserve">פרוייקט שח"מ </t>
  </si>
  <si>
    <t xml:space="preserve">השתתפות קרובים דרום </t>
  </si>
  <si>
    <t xml:space="preserve">שיקום שכונות-פעולות </t>
  </si>
  <si>
    <t>982</t>
  </si>
  <si>
    <t xml:space="preserve">משרד השיכון-תעסוקה </t>
  </si>
  <si>
    <t xml:space="preserve">ארועים בשכונות </t>
  </si>
  <si>
    <t xml:space="preserve">מ.השיכון-תנופה תעסוקה </t>
  </si>
  <si>
    <t xml:space="preserve">בחירות לועדי שכונות </t>
  </si>
  <si>
    <t xml:space="preserve">השתתפות עובדים </t>
  </si>
  <si>
    <t xml:space="preserve">ביטוח כספי מוסדות עיר </t>
  </si>
  <si>
    <t xml:space="preserve">יעוץ כלכלי וחשבונאי </t>
  </si>
  <si>
    <t xml:space="preserve">שרותי יעוץ </t>
  </si>
  <si>
    <t xml:space="preserve">מיכון - מערכת תקציב </t>
  </si>
  <si>
    <t xml:space="preserve">מיכון - מערכת רכש </t>
  </si>
  <si>
    <t xml:space="preserve">פיקוח קבלנים </t>
  </si>
  <si>
    <t xml:space="preserve">שעות נוספןת </t>
  </si>
  <si>
    <t xml:space="preserve">מיכון-ניהול פרויקטים </t>
  </si>
  <si>
    <t>שירותי פיקוח ובקרה לתמיכו</t>
  </si>
  <si>
    <t xml:space="preserve">שירותי תוכנה לתמיכות </t>
  </si>
  <si>
    <t xml:space="preserve">בקרה פיננסית </t>
  </si>
  <si>
    <t xml:space="preserve">ניהול תיקי השקעות </t>
  </si>
  <si>
    <t>ריכוז ופיקוח תמיכות ותאגי</t>
  </si>
  <si>
    <t xml:space="preserve">מיכון - דו"חות ורשומות </t>
  </si>
  <si>
    <t xml:space="preserve">מיכון - קבצי בנקים </t>
  </si>
  <si>
    <t>572</t>
  </si>
  <si>
    <t xml:space="preserve">מיכון - מלוות </t>
  </si>
  <si>
    <t xml:space="preserve">מיכון-ערבויות </t>
  </si>
  <si>
    <t xml:space="preserve">שרותי הנהלת חשבונות </t>
  </si>
  <si>
    <t xml:space="preserve">משלוח הודעות פקס </t>
  </si>
  <si>
    <t xml:space="preserve">תוכנת בקרה </t>
  </si>
  <si>
    <t xml:space="preserve">יעוץ מחשוב </t>
  </si>
  <si>
    <t xml:space="preserve">חקירות </t>
  </si>
  <si>
    <t>בדיקת פעילות גבייה ע"י עו</t>
  </si>
  <si>
    <t xml:space="preserve">שכירת משרד </t>
  </si>
  <si>
    <t xml:space="preserve">אחזקת בנין </t>
  </si>
  <si>
    <t xml:space="preserve">דואר כמותי </t>
  </si>
  <si>
    <t xml:space="preserve">קו תמסורת </t>
  </si>
  <si>
    <t>מיכון-כרטיס אב מיסים ומים</t>
  </si>
  <si>
    <t xml:space="preserve">מערכת ניהול אכיפת גביה </t>
  </si>
  <si>
    <t xml:space="preserve">הקמת מערכת מיחשוב </t>
  </si>
  <si>
    <t xml:space="preserve">קישור מחשב בייתי </t>
  </si>
  <si>
    <t>581</t>
  </si>
  <si>
    <t xml:space="preserve">הוצאות חניה </t>
  </si>
  <si>
    <t xml:space="preserve">צרכנות מים מוסדות עירייה </t>
  </si>
  <si>
    <t xml:space="preserve">שרותי שמירה בקבלנות </t>
  </si>
  <si>
    <t xml:space="preserve">קופת בנק הדואר </t>
  </si>
  <si>
    <t xml:space="preserve">רכישת מידע עסקי </t>
  </si>
  <si>
    <t>הפרדת מוני מים החלפת מוני</t>
  </si>
  <si>
    <t xml:space="preserve">יעוץ גביה </t>
  </si>
  <si>
    <t>סקר מוני מים מוסדות עירונ</t>
  </si>
  <si>
    <t xml:space="preserve">מערכת ניהול תורים ומדיה </t>
  </si>
  <si>
    <t xml:space="preserve">ימי עיון </t>
  </si>
  <si>
    <t xml:space="preserve">אגרות בית משפט </t>
  </si>
  <si>
    <t xml:space="preserve">עמלת ישראכרט </t>
  </si>
  <si>
    <t xml:space="preserve">אגרת פעולות אכיפה- שוטף </t>
  </si>
  <si>
    <t xml:space="preserve">אגרת פעולות אכיפה -פיגור </t>
  </si>
  <si>
    <t>670</t>
  </si>
  <si>
    <t xml:space="preserve">דמי זכיון </t>
  </si>
  <si>
    <t xml:space="preserve">שירותי מוקד-כרטיסי אשראי </t>
  </si>
  <si>
    <t xml:space="preserve">מערכת טמינו-גבייה </t>
  </si>
  <si>
    <t xml:space="preserve">תשלום באמצעות סלולר </t>
  </si>
  <si>
    <t xml:space="preserve">שליחת שוברי תשלום בדוא"ל </t>
  </si>
  <si>
    <t xml:space="preserve">אגרות והוצאות משפטיות </t>
  </si>
  <si>
    <t>שירותים משפטיים לגביית חו</t>
  </si>
  <si>
    <t xml:space="preserve">חקירות גבייה </t>
  </si>
  <si>
    <t>תוכנית לעידוד מצוינות בשי</t>
  </si>
  <si>
    <t xml:space="preserve">תקשורת מחשבים-מילגם </t>
  </si>
  <si>
    <t xml:space="preserve">עמלת גביה </t>
  </si>
  <si>
    <t xml:space="preserve">חקירות ושכר עו"ד-מילגם </t>
  </si>
  <si>
    <t xml:space="preserve">משרד אחורי-מילגם </t>
  </si>
  <si>
    <t xml:space="preserve">מוקד טלפוני חיצוני-מילגם </t>
  </si>
  <si>
    <t xml:space="preserve">הוצאות אכיפה בגין יתרות </t>
  </si>
  <si>
    <t xml:space="preserve">סקר ארנונה חברות תשתית </t>
  </si>
  <si>
    <t xml:space="preserve">פרוייקט טיוב קובץ נכסים </t>
  </si>
  <si>
    <t xml:space="preserve">פעילות בתחום השומא </t>
  </si>
  <si>
    <t xml:space="preserve">פיקוח ומדידות לפי מ"ר </t>
  </si>
  <si>
    <t xml:space="preserve">תוכנות ורשיונות </t>
  </si>
  <si>
    <t xml:space="preserve">יעוץ כלכלי </t>
  </si>
  <si>
    <t xml:space="preserve">הכנסות ממכירת מכרזים </t>
  </si>
  <si>
    <t xml:space="preserve">שירותי יעוץ מכרזים </t>
  </si>
  <si>
    <t xml:space="preserve">הכנת תיקי מכרזים </t>
  </si>
  <si>
    <t xml:space="preserve">ביטוח אחריות מוניציפלית </t>
  </si>
  <si>
    <t xml:space="preserve">השתתפות בנזקים </t>
  </si>
  <si>
    <t>449</t>
  </si>
  <si>
    <t xml:space="preserve">השתתפות עצמית-איילון </t>
  </si>
  <si>
    <t>שירות טיפול בתביעות להשת.</t>
  </si>
  <si>
    <t xml:space="preserve">שירותי מידע וחקירה </t>
  </si>
  <si>
    <t xml:space="preserve">שרותי ייעוץ- ביטוח </t>
  </si>
  <si>
    <t xml:space="preserve">ביטוח הוצאות משפטיות </t>
  </si>
  <si>
    <t xml:space="preserve">ביטוח-פוליסת אש </t>
  </si>
  <si>
    <t xml:space="preserve">צורכי אחזקה </t>
  </si>
  <si>
    <t xml:space="preserve">מיכון אפסנאות </t>
  </si>
  <si>
    <t xml:space="preserve">מיכון-דוחות </t>
  </si>
  <si>
    <t xml:space="preserve">הובלת ציוד </t>
  </si>
  <si>
    <t xml:space="preserve">השתת.בתפעול איזורי תעשיה </t>
  </si>
  <si>
    <t xml:space="preserve">מרכז עסקים/ארנונה </t>
  </si>
  <si>
    <t xml:space="preserve">מרכז עסקים עירוני-תעסוקה </t>
  </si>
  <si>
    <t>875</t>
  </si>
  <si>
    <t xml:space="preserve">משרדי חב.יעדים-ארנונה </t>
  </si>
  <si>
    <t xml:space="preserve">חידוש מתחמי מסחר </t>
  </si>
  <si>
    <t xml:space="preserve">אירועי עיר עתיקה </t>
  </si>
  <si>
    <t xml:space="preserve">שיווק ופרסום עיר עתיקה </t>
  </si>
  <si>
    <t xml:space="preserve">השתת.בתפעול העיר העתיקה </t>
  </si>
  <si>
    <t xml:space="preserve">משרדי מ.עיר עתיקה/ארנונה </t>
  </si>
  <si>
    <t xml:space="preserve">ה.מותנית עיר עתיקה </t>
  </si>
  <si>
    <t>ה.מותנית שיווק ופרסום עיר</t>
  </si>
  <si>
    <t xml:space="preserve">השתתפות בתפעול מתחם הקטר </t>
  </si>
  <si>
    <t xml:space="preserve">ה.מותנית מתחם הקטר </t>
  </si>
  <si>
    <t>מרכז אומנויות בעיר העתיקה</t>
  </si>
  <si>
    <t>662</t>
  </si>
  <si>
    <t xml:space="preserve">הכנסות מריבית ודיבידנד </t>
  </si>
  <si>
    <t xml:space="preserve">עמלות בנקים </t>
  </si>
  <si>
    <t xml:space="preserve">משיכות יתר ריבית </t>
  </si>
  <si>
    <t>640</t>
  </si>
  <si>
    <t xml:space="preserve">הוצאות מימון מוסדות </t>
  </si>
  <si>
    <t xml:space="preserve">הוצאות מימון ספקים </t>
  </si>
  <si>
    <t xml:space="preserve">ארנונה - גביה שוטפת </t>
  </si>
  <si>
    <t xml:space="preserve">ארנונה - סקר שטחים </t>
  </si>
  <si>
    <t xml:space="preserve">הפרשי ארנונה חברות תשתית </t>
  </si>
  <si>
    <t>114</t>
  </si>
  <si>
    <t xml:space="preserve">מבצע ארנונה 2006/7 </t>
  </si>
  <si>
    <t xml:space="preserve">ארנונה 0.3% </t>
  </si>
  <si>
    <t>118</t>
  </si>
  <si>
    <t xml:space="preserve">ארנונה מותנה </t>
  </si>
  <si>
    <t xml:space="preserve">ארנונה - גביה מפיגורים </t>
  </si>
  <si>
    <t>119</t>
  </si>
  <si>
    <t xml:space="preserve">ארנונה- הנחות מימון </t>
  </si>
  <si>
    <t xml:space="preserve">ארנונה- הנחות לזכאים </t>
  </si>
  <si>
    <t xml:space="preserve">תעודות ואשורים </t>
  </si>
  <si>
    <t xml:space="preserve">אישור תושבות </t>
  </si>
  <si>
    <t xml:space="preserve">החזר ביטוח לאומי-מילואים </t>
  </si>
  <si>
    <t xml:space="preserve">השתתפות ב.לאומי-תאונות </t>
  </si>
  <si>
    <t>החזר ביטוח לאומי-פגיעות א</t>
  </si>
  <si>
    <t>914</t>
  </si>
  <si>
    <t xml:space="preserve">מענק שיפוי קופות גמל </t>
  </si>
  <si>
    <t>916</t>
  </si>
  <si>
    <t xml:space="preserve">מענק/שיפוי פנסיה צוברת </t>
  </si>
  <si>
    <t>661</t>
  </si>
  <si>
    <t xml:space="preserve">ריבית מתאגיד מים וביוב </t>
  </si>
  <si>
    <t xml:space="preserve">החזר הוצאות משנים קודמות </t>
  </si>
  <si>
    <t xml:space="preserve">הכנסות משנים קודמות </t>
  </si>
  <si>
    <t xml:space="preserve">הכנסות ממכירת ציוד </t>
  </si>
  <si>
    <t xml:space="preserve">הוצאות עודפות </t>
  </si>
  <si>
    <t>860</t>
  </si>
  <si>
    <t xml:space="preserve">הנחות מימון-ארנונה </t>
  </si>
  <si>
    <t>980</t>
  </si>
  <si>
    <t>הוצאות עח הכנסות משנים ק.</t>
  </si>
  <si>
    <t xml:space="preserve">הפרשה לקרן מחסנים </t>
  </si>
  <si>
    <t>989</t>
  </si>
  <si>
    <t xml:space="preserve">קרן הדרים </t>
  </si>
  <si>
    <t xml:space="preserve">קרן רווחה לגימלאים </t>
  </si>
  <si>
    <t xml:space="preserve">רזרבת שכר </t>
  </si>
  <si>
    <t xml:space="preserve">הוצאות משנים קודמות </t>
  </si>
  <si>
    <t>981</t>
  </si>
  <si>
    <t>הוצאות מיוחדות בלתי נצפות</t>
  </si>
  <si>
    <t>983</t>
  </si>
  <si>
    <t>984</t>
  </si>
  <si>
    <t>הוצאות משפטיות בלתי נצפות</t>
  </si>
  <si>
    <t>הוצאות מותנות בהכ' ארנונה</t>
  </si>
  <si>
    <t xml:space="preserve">מע"מ לדיווח מקוון </t>
  </si>
  <si>
    <t xml:space="preserve">הנחות לזכאים - ארנונה </t>
  </si>
  <si>
    <t xml:space="preserve">העברה מקרנות פיתוח-קרן </t>
  </si>
  <si>
    <t>592</t>
  </si>
  <si>
    <t xml:space="preserve">העברה מקרנות פיתוח-ריבית </t>
  </si>
  <si>
    <t>593</t>
  </si>
  <si>
    <t xml:space="preserve">העברה מקרנות פיתוח-הצמדה </t>
  </si>
  <si>
    <t xml:space="preserve">פרעון מלוות קרן-איצטדיון </t>
  </si>
  <si>
    <t>פרעון מלוות ריבית-אצטדיון</t>
  </si>
  <si>
    <t>פרעון מלוות הצמדה-אצטדיון</t>
  </si>
  <si>
    <t xml:space="preserve">פ.מ.פיתוח-קרן </t>
  </si>
  <si>
    <t xml:space="preserve">פ.מ.פיתוח-ריבית </t>
  </si>
  <si>
    <t xml:space="preserve">פ.מ.פיתוח-הצמדה </t>
  </si>
  <si>
    <t xml:space="preserve">פרעון מלוות קרן </t>
  </si>
  <si>
    <t xml:space="preserve">פרעון מלוות ריבית </t>
  </si>
  <si>
    <t xml:space="preserve">פרעון מלוות הצמדה </t>
  </si>
  <si>
    <t xml:space="preserve">פרעון מלוות קרן-מדינה </t>
  </si>
  <si>
    <t xml:space="preserve">פרעון מלוות ריבית-מדינה </t>
  </si>
  <si>
    <t xml:space="preserve">פרעון מלוות הצמדה-מדינה </t>
  </si>
  <si>
    <t xml:space="preserve">פרעון מלוות קרן(ביוב( </t>
  </si>
  <si>
    <t xml:space="preserve">פרעון מלוות ריבית(ביוב( </t>
  </si>
  <si>
    <t xml:space="preserve">פרעון מלוות הצמדה(ביוב( </t>
  </si>
  <si>
    <t xml:space="preserve">תקציב הג"א ארצי </t>
  </si>
  <si>
    <t>830</t>
  </si>
  <si>
    <t xml:space="preserve">איגוד ערים לכבאות </t>
  </si>
  <si>
    <t>831</t>
  </si>
  <si>
    <t xml:space="preserve">כיבוי אש-ארנונה </t>
  </si>
  <si>
    <t xml:space="preserve">דמי חבר באגודת ההנדסאים </t>
  </si>
  <si>
    <t xml:space="preserve">אגודת ידידים ב"ש וופרטל </t>
  </si>
  <si>
    <t>ד.חבר למרכז השלטון המקומי</t>
  </si>
  <si>
    <t xml:space="preserve">מרכז טיפוח יזמות </t>
  </si>
  <si>
    <t xml:space="preserve">תמיכות מוסד.כלליים-חלוקה </t>
  </si>
  <si>
    <t xml:space="preserve">צער בעלי חיים </t>
  </si>
  <si>
    <t xml:space="preserve">עמותת מדעני הדרום </t>
  </si>
  <si>
    <t xml:space="preserve">באר שבע אוהבת חיות </t>
  </si>
  <si>
    <t xml:space="preserve">תמיכות חינוך-חלוקה </t>
  </si>
  <si>
    <t xml:space="preserve">עמ.אימפולס מורים לסיוע </t>
  </si>
  <si>
    <t>עמ.על לקידום תוכניות נוער</t>
  </si>
  <si>
    <t xml:space="preserve">מ.פ.ל.מתמטיקה פסיכומטריה </t>
  </si>
  <si>
    <t xml:space="preserve">תמיכות תרבות-חלוקה </t>
  </si>
  <si>
    <t>שיל"ת-עמותה לקידום תיאטרו</t>
  </si>
  <si>
    <t xml:space="preserve">איילות הנגב </t>
  </si>
  <si>
    <t xml:space="preserve">החוג לאופרה קלה בנגב </t>
  </si>
  <si>
    <t xml:space="preserve">עמותת רזי גחלת </t>
  </si>
  <si>
    <t xml:space="preserve">אגודת הציירים והפסלים </t>
  </si>
  <si>
    <t xml:space="preserve">מכון ט.ו.פ </t>
  </si>
  <si>
    <t xml:space="preserve">עמותת היוצרים בנגב </t>
  </si>
  <si>
    <t xml:space="preserve">התנועה המסורתית </t>
  </si>
  <si>
    <t xml:space="preserve">עפרוני במדבר </t>
  </si>
  <si>
    <t xml:space="preserve">נוער ישראלי </t>
  </si>
  <si>
    <t xml:space="preserve">תמיכות רווחה-חלוקה </t>
  </si>
  <si>
    <t xml:space="preserve">האג.הישראלית לטרשת נפוצה </t>
  </si>
  <si>
    <t xml:space="preserve">אלו"ט-אג.לילדים אוטיסטים </t>
  </si>
  <si>
    <t xml:space="preserve">עמותת אלצהיימר </t>
  </si>
  <si>
    <t xml:space="preserve">האגודה למלחמה בסרטן </t>
  </si>
  <si>
    <t xml:space="preserve">נמ"ג ניוון מקולרי גילי </t>
  </si>
  <si>
    <t>אלי"ע-עמותה לילדים עיוורי</t>
  </si>
  <si>
    <t xml:space="preserve">זהבי משפחות ברוכות ילדים </t>
  </si>
  <si>
    <t xml:space="preserve">האגודה לרווחת הקהילה </t>
  </si>
  <si>
    <t xml:space="preserve">עש"ה עמותת שכול הכביש </t>
  </si>
  <si>
    <t xml:space="preserve">עמותת ארודית </t>
  </si>
  <si>
    <t xml:space="preserve">כמוני כמוך </t>
  </si>
  <si>
    <t xml:space="preserve">קו לחיים </t>
  </si>
  <si>
    <t>אנוש-אג.ישראלית לבריאות ה</t>
  </si>
  <si>
    <t xml:space="preserve">יד שרה </t>
  </si>
  <si>
    <t xml:space="preserve">זק"א-איתור חילוץ והצלה </t>
  </si>
  <si>
    <t>קשר הבית של המשפחות המיוח</t>
  </si>
  <si>
    <t xml:space="preserve">קו לרחל </t>
  </si>
  <si>
    <t>האגודה הישראלית לתכנון המ</t>
  </si>
  <si>
    <t xml:space="preserve">פעמונים-ארגון חסד </t>
  </si>
  <si>
    <t xml:space="preserve">במעגלי צדק </t>
  </si>
  <si>
    <t>ניצן קידום יל.ליקויי למיד</t>
  </si>
  <si>
    <t xml:space="preserve">עמ.בית לכל ילד בישראל </t>
  </si>
  <si>
    <t xml:space="preserve">איגוד מורים עולים </t>
  </si>
  <si>
    <t xml:space="preserve">ידיד לחינוך </t>
  </si>
  <si>
    <t>אור שלום למען ילדים בסיכו</t>
  </si>
  <si>
    <t xml:space="preserve">עמותת תארי סלמה </t>
  </si>
  <si>
    <t xml:space="preserve">אגודה למען העיוור </t>
  </si>
  <si>
    <t xml:space="preserve">אקי"ם ישראל סניף ב"ש </t>
  </si>
  <si>
    <t xml:space="preserve">עמותת שמע </t>
  </si>
  <si>
    <t xml:space="preserve">שקד לאסיר </t>
  </si>
  <si>
    <t>טלק נגב עמ.לטלויזיה קהילה</t>
  </si>
  <si>
    <t xml:space="preserve">הת.עולי אמריקה הלטינית </t>
  </si>
  <si>
    <t xml:space="preserve">התאחדות עולי רומניה </t>
  </si>
  <si>
    <t>ויצ"ו הסתדרות עולמית לנשי</t>
  </si>
  <si>
    <t xml:space="preserve">אמונה תנועת אישה דתית </t>
  </si>
  <si>
    <t>מרכז לשמירת מורשת טוניסיה</t>
  </si>
  <si>
    <t>התאח.עולי אמריקה וקנדה בי</t>
  </si>
  <si>
    <t>פדרציה-ישראלים דוברי רוסי</t>
  </si>
  <si>
    <t xml:space="preserve">אנשים אמריקה הלטינית </t>
  </si>
  <si>
    <t xml:space="preserve">נעמת תנועת נשים עובדות </t>
  </si>
  <si>
    <t>ארגון ב.של יהודים יוצאי ק</t>
  </si>
  <si>
    <t xml:space="preserve">ערן עזרה ראשונה נפשית </t>
  </si>
  <si>
    <t xml:space="preserve">עמותת סינגור </t>
  </si>
  <si>
    <t xml:space="preserve">אבני נועם </t>
  </si>
  <si>
    <t xml:space="preserve">אגודה לשמירת זכויות הפרט </t>
  </si>
  <si>
    <t xml:space="preserve">אמרי בינימין </t>
  </si>
  <si>
    <t xml:space="preserve">ארגון לתת סיוע הומניטרי </t>
  </si>
  <si>
    <t xml:space="preserve">פורום מנהיגות מתנדבת </t>
  </si>
  <si>
    <t xml:space="preserve">קרן עזרה לעולים ונזקקים </t>
  </si>
  <si>
    <t xml:space="preserve">עולים למען קהילה מוצלחת </t>
  </si>
  <si>
    <t xml:space="preserve">נט"ן </t>
  </si>
  <si>
    <t xml:space="preserve">תמ.מוסדות דת-חלוקה </t>
  </si>
  <si>
    <t xml:space="preserve">מועצה דתית </t>
  </si>
  <si>
    <t xml:space="preserve">מועצה דתית/ארנונה ומים </t>
  </si>
  <si>
    <t xml:space="preserve">מים-בתי כנסת וכוללים </t>
  </si>
  <si>
    <t xml:space="preserve">מוסדות קראים </t>
  </si>
  <si>
    <t xml:space="preserve">קמחא דפסחא </t>
  </si>
  <si>
    <t xml:space="preserve">בי"כ שבת אחים </t>
  </si>
  <si>
    <t xml:space="preserve">קהילת אשל אברהם </t>
  </si>
  <si>
    <t xml:space="preserve">נאות אברהם </t>
  </si>
  <si>
    <t xml:space="preserve">בית חב"ד מרכזי ב"ש </t>
  </si>
  <si>
    <t xml:space="preserve">משען לתלמיד </t>
  </si>
  <si>
    <t>בי"כ אהבת ישראל עולי גיאו</t>
  </si>
  <si>
    <t xml:space="preserve">אל המעיין </t>
  </si>
  <si>
    <t xml:space="preserve">קול רינה וישועה </t>
  </si>
  <si>
    <t xml:space="preserve">עטרת יצחק </t>
  </si>
  <si>
    <t xml:space="preserve">תמיכות חינוך תורני-חלוקה </t>
  </si>
  <si>
    <t xml:space="preserve">ישיבת בני עקיבא </t>
  </si>
  <si>
    <t xml:space="preserve">מוסדות קול יהודה </t>
  </si>
  <si>
    <t xml:space="preserve">ישיבת רבי חיים חורי </t>
  </si>
  <si>
    <t xml:space="preserve">כולל יגל יעקב </t>
  </si>
  <si>
    <t xml:space="preserve">כולל עופר איילים </t>
  </si>
  <si>
    <t xml:space="preserve">מוסדות יקירי באר שבע </t>
  </si>
  <si>
    <t xml:space="preserve">מוסדות בית מוריה </t>
  </si>
  <si>
    <t xml:space="preserve">מוסדות קול רינה </t>
  </si>
  <si>
    <t xml:space="preserve">מרכז תורני בית יוסף </t>
  </si>
  <si>
    <t xml:space="preserve">כולל בני שלמה </t>
  </si>
  <si>
    <t xml:space="preserve">מרכז תורה וחסד עם רם </t>
  </si>
  <si>
    <t xml:space="preserve">עמותת נווה יוסף חיים </t>
  </si>
  <si>
    <t xml:space="preserve">ישיבת תומכי תמימים </t>
  </si>
  <si>
    <t xml:space="preserve">ישיבת עוסקי תורה </t>
  </si>
  <si>
    <t xml:space="preserve">כולל אהבת שלום </t>
  </si>
  <si>
    <t xml:space="preserve">מכון אורות ישראל </t>
  </si>
  <si>
    <t xml:space="preserve">קדוש ישראל בנתיבות </t>
  </si>
  <si>
    <t xml:space="preserve">ארגון פעילים לב לאחים </t>
  </si>
  <si>
    <t xml:space="preserve">מכון מחקר דביר ביתך </t>
  </si>
  <si>
    <t xml:space="preserve">מרכז רוחני מנחם ציון </t>
  </si>
  <si>
    <t xml:space="preserve">עמותת אמרי יוסף </t>
  </si>
  <si>
    <t xml:space="preserve">ק"ק תורת חסד </t>
  </si>
  <si>
    <t xml:space="preserve">קרן עץ חיים ויצא חט"ר </t>
  </si>
  <si>
    <t xml:space="preserve">תמיכה בדירוג כדורגל </t>
  </si>
  <si>
    <t xml:space="preserve">תמיכה בדירוג כדורסל </t>
  </si>
  <si>
    <t>תמיכה בדירוג אתלטיקה ועוד</t>
  </si>
  <si>
    <t xml:space="preserve">תמיכה בדירוג כדוריד ועוד </t>
  </si>
  <si>
    <t xml:space="preserve">תמיכה בדירוג טניס ועוד </t>
  </si>
  <si>
    <t xml:space="preserve">תמיכה בדירוג שחייה ועוד </t>
  </si>
  <si>
    <t xml:space="preserve">תמיכה בדירוג ספורט עממי </t>
  </si>
  <si>
    <t>תמיכה א.ספורט למעט כדוררג</t>
  </si>
  <si>
    <t xml:space="preserve">הפועל ב"ש-כדורגל </t>
  </si>
  <si>
    <t xml:space="preserve">מכבי ב"ש-כדורגל </t>
  </si>
  <si>
    <t xml:space="preserve">תמיכה באליצור </t>
  </si>
  <si>
    <t xml:space="preserve">אגודת נכים חוסן </t>
  </si>
  <si>
    <t xml:space="preserve">תמיכה בא.ס.א. </t>
  </si>
  <si>
    <t xml:space="preserve">הפועל חובטי אריה </t>
  </si>
  <si>
    <t xml:space="preserve">מ.ס.צעירים בית"ר ב"ש </t>
  </si>
  <si>
    <t>עמותת ספורט למקומות עבודה</t>
  </si>
  <si>
    <t xml:space="preserve">הפועל אתלטיקה כבדה </t>
  </si>
  <si>
    <t xml:space="preserve">עמותת הכדורת </t>
  </si>
  <si>
    <t xml:space="preserve">מכבי ע.מ.י-מועדון האבקות </t>
  </si>
  <si>
    <t xml:space="preserve">סקציית שחיה באר-שבע </t>
  </si>
  <si>
    <t xml:space="preserve">עמותה לקידום כדורגל נשים </t>
  </si>
  <si>
    <t xml:space="preserve">מכבי גבירול ב"ש ט.שולחן </t>
  </si>
  <si>
    <t xml:space="preserve">עמותת מכבי ב"ש נשים </t>
  </si>
  <si>
    <t xml:space="preserve">בית"ר ב"ש טניס שולחן </t>
  </si>
  <si>
    <t xml:space="preserve">עמותה לקידום הסיוף ב"ש </t>
  </si>
  <si>
    <t xml:space="preserve">מכבי דרום מועדון התעמלות </t>
  </si>
  <si>
    <t xml:space="preserve">ניקה </t>
  </si>
  <si>
    <t xml:space="preserve">אריות באר שבע </t>
  </si>
  <si>
    <t xml:space="preserve">בני בית"ר שבע </t>
  </si>
  <si>
    <t xml:space="preserve">מועדון כדוריד ב"ש </t>
  </si>
  <si>
    <t>הפועל ב"ש עתיד הנגב בכדור</t>
  </si>
  <si>
    <t>העמותה לקידום פרוייקטים-ס</t>
  </si>
  <si>
    <t xml:space="preserve">תחזוקה-עבודות וחומרים </t>
  </si>
  <si>
    <t xml:space="preserve">ביטוח חבות מעבידים </t>
  </si>
  <si>
    <t xml:space="preserve">תוכנת איושי משרה </t>
  </si>
  <si>
    <t xml:space="preserve">הסעות בקבלנות </t>
  </si>
  <si>
    <t xml:space="preserve">בדיקה והתאמת כ"א </t>
  </si>
  <si>
    <t xml:space="preserve">ארכיון ממוחשב-תיק עובד </t>
  </si>
  <si>
    <t xml:space="preserve">שיפור איכות השירות </t>
  </si>
  <si>
    <t xml:space="preserve">הטמעת תהליך ארגוני ונהלי </t>
  </si>
  <si>
    <t xml:space="preserve">עידוד מצויינות </t>
  </si>
  <si>
    <t xml:space="preserve">הוצאות רווחה לעובד </t>
  </si>
  <si>
    <t xml:space="preserve">ביטוח נאמנות </t>
  </si>
  <si>
    <t xml:space="preserve">ביטוח אחריות נושאי משרה </t>
  </si>
  <si>
    <t>ה.מ.-ליווי הטמעת תהליך אר</t>
  </si>
  <si>
    <t>מערכת ניהול ימי מחלה מורי</t>
  </si>
  <si>
    <t xml:space="preserve">שירותי תמיכה </t>
  </si>
  <si>
    <t xml:space="preserve">מיכון-משכורת </t>
  </si>
  <si>
    <t xml:space="preserve">אימות גמלאים </t>
  </si>
  <si>
    <t xml:space="preserve">מיכון-תלושי שכר </t>
  </si>
  <si>
    <t xml:space="preserve">מיכון-מערכות פי.סי. </t>
  </si>
  <si>
    <t xml:space="preserve">מיכון-ניהול נוכחות </t>
  </si>
  <si>
    <t xml:space="preserve">אחזקת שעוני נוכחות </t>
  </si>
  <si>
    <t xml:space="preserve">חוות דעת רפואית </t>
  </si>
  <si>
    <t xml:space="preserve">הפעלת מודלים דווח ובקרה </t>
  </si>
  <si>
    <t xml:space="preserve">רכישת שעוני נוכחות </t>
  </si>
  <si>
    <t>ה.מ.-מודול שליטה שעוני נו</t>
  </si>
  <si>
    <t xml:space="preserve">קרו רווחה לעובדי הרשויות </t>
  </si>
  <si>
    <t>השתתפות בהוצאות בי"הד למש</t>
  </si>
  <si>
    <t xml:space="preserve">יעוץ פנסיוני </t>
  </si>
  <si>
    <t xml:space="preserve">השתתפות מפע"ם-אימון אישי </t>
  </si>
  <si>
    <t>השתת.משרד הפנים-אימון איש</t>
  </si>
  <si>
    <t xml:space="preserve">אימון אישי למנהלים </t>
  </si>
  <si>
    <t xml:space="preserve">סדנאות ניהול </t>
  </si>
  <si>
    <t>ת.פיילוט להשלמת 12 שנות ל</t>
  </si>
  <si>
    <t xml:space="preserve">הדרכה-בטיחות </t>
  </si>
  <si>
    <t xml:space="preserve">הדרכות וטיפוח העובד </t>
  </si>
  <si>
    <t xml:space="preserve">ה.מותנית סדנאות ניהול </t>
  </si>
  <si>
    <t xml:space="preserve">הדרכה-מנהל כללי </t>
  </si>
  <si>
    <t>ה.מותנית הדרכות וטיפוח עו</t>
  </si>
  <si>
    <t xml:space="preserve">הדרכה-רישוי עסקים </t>
  </si>
  <si>
    <t xml:space="preserve">הדרכה-הנדסה </t>
  </si>
  <si>
    <t xml:space="preserve">הדרכה-חינוך </t>
  </si>
  <si>
    <t xml:space="preserve">ה.מותנית הדרכה-חינוך </t>
  </si>
  <si>
    <t xml:space="preserve">הדרכה-שפ"ע </t>
  </si>
  <si>
    <t xml:space="preserve">הדרכה-רווחה </t>
  </si>
  <si>
    <t xml:space="preserve">הדרכה-גזברות </t>
  </si>
  <si>
    <t xml:space="preserve">הדרכה-משאבי אנוש </t>
  </si>
  <si>
    <t xml:space="preserve">הדרכה-פיקוח </t>
  </si>
  <si>
    <t xml:space="preserve">הדרכה-אחזקה </t>
  </si>
  <si>
    <t xml:space="preserve">הפקת טקס עובד מצטיין </t>
  </si>
  <si>
    <t xml:space="preserve">ה.מותנית יום עובד מצטיין </t>
  </si>
  <si>
    <t xml:space="preserve">הפקת יום ספורט </t>
  </si>
  <si>
    <t xml:space="preserve">אירוע לסייעות </t>
  </si>
  <si>
    <t xml:space="preserve">הסעות לימי גיבוש </t>
  </si>
  <si>
    <t xml:space="preserve">ימי גיבוש אגפיים </t>
  </si>
  <si>
    <t xml:space="preserve">ימי גיבוש-מנהל כללי </t>
  </si>
  <si>
    <t xml:space="preserve">ימי גיבוש-רישוי עסקים </t>
  </si>
  <si>
    <t xml:space="preserve">ימי גיבוש-הנדסה </t>
  </si>
  <si>
    <t xml:space="preserve">ימי גיבוש-חינוך </t>
  </si>
  <si>
    <t xml:space="preserve">ימי גיבוש-שפ"ע </t>
  </si>
  <si>
    <t xml:space="preserve">ימי גיבוש-רווחה </t>
  </si>
  <si>
    <t xml:space="preserve">ימי גיבוש-גזברות </t>
  </si>
  <si>
    <t xml:space="preserve">ימי גיבוש-משאבי אנוש </t>
  </si>
  <si>
    <t xml:space="preserve">ימי גיבוש-פיקוח </t>
  </si>
  <si>
    <t>ה.מותנית ימי גיבוש אגפיים</t>
  </si>
  <si>
    <t xml:space="preserve">הסעות ללויות </t>
  </si>
  <si>
    <t xml:space="preserve">סדנאות לפורשים </t>
  </si>
  <si>
    <t>ליווי עובדים בניהול משק ב</t>
  </si>
  <si>
    <t xml:space="preserve">סל אבלים </t>
  </si>
  <si>
    <t xml:space="preserve">אירועים לילדי עובדים </t>
  </si>
  <si>
    <t xml:space="preserve">אירוע לפורשים </t>
  </si>
  <si>
    <t xml:space="preserve">הוצאות לפעולה-בחירות </t>
  </si>
  <si>
    <t xml:space="preserve">ערב גיבוש לעובדי חינוך </t>
  </si>
  <si>
    <t xml:space="preserve">תוספות-עובדים מצטיינים </t>
  </si>
  <si>
    <t xml:space="preserve">השתתפות משה"פ בבחירות </t>
  </si>
  <si>
    <t xml:space="preserve">החזר דמי מחלה-משהב"ט </t>
  </si>
  <si>
    <t>השתת.רשתות בימי מחלה ופיצ</t>
  </si>
  <si>
    <t xml:space="preserve">השתתפות משה"ח-פיצויים </t>
  </si>
  <si>
    <t xml:space="preserve">השתתפות משה"ח-ימי מחלה </t>
  </si>
  <si>
    <t xml:space="preserve">החזר מקרנות פנסיה </t>
  </si>
  <si>
    <t xml:space="preserve">החזר גמלאות פנסיה </t>
  </si>
  <si>
    <t xml:space="preserve">החזר גמלאות משארים </t>
  </si>
  <si>
    <t xml:space="preserve">החזר הוצאות שכר </t>
  </si>
  <si>
    <t>320</t>
  </si>
  <si>
    <t xml:space="preserve">פיצויים והסתגלויות </t>
  </si>
  <si>
    <t>שיפוי מכללה טכנולוגית-פיצ</t>
  </si>
  <si>
    <t>310</t>
  </si>
  <si>
    <t xml:space="preserve">תשלומי פנסיה </t>
  </si>
  <si>
    <t xml:space="preserve">השתתפות בשי לפנסיונרים </t>
  </si>
  <si>
    <t xml:space="preserve">פיצויי פיטורין </t>
  </si>
  <si>
    <t xml:space="preserve">השתתפות בקרנות פנסיה </t>
  </si>
  <si>
    <t xml:space="preserve">אגרת פעולות אכיפה-פיקוח </t>
  </si>
  <si>
    <t xml:space="preserve">החזר ביטוח </t>
  </si>
  <si>
    <t xml:space="preserve">הכשרת עובדים </t>
  </si>
  <si>
    <t xml:space="preserve">מיכון-מערכת פיקוח עירוני </t>
  </si>
  <si>
    <t xml:space="preserve">מערכת בתי משפט </t>
  </si>
  <si>
    <t xml:space="preserve">הוצאות אכיפה-פיקוח </t>
  </si>
  <si>
    <t xml:space="preserve">הוצאות מותנות פיקוח </t>
  </si>
  <si>
    <t xml:space="preserve">כרטיס תושב </t>
  </si>
  <si>
    <t>כרטיס תושב-מכירת איזיפארק</t>
  </si>
  <si>
    <t xml:space="preserve">כרטיס תושב-פירסומים </t>
  </si>
  <si>
    <t xml:space="preserve">כרטיס תושב-כלים וציוד </t>
  </si>
  <si>
    <t>כרטיס תושב-רכישת איזיפארק</t>
  </si>
  <si>
    <t xml:space="preserve">כרטיס תושב-ע.קבלניות </t>
  </si>
  <si>
    <t xml:space="preserve">כרטיס תושב-ציוד יסודי </t>
  </si>
  <si>
    <t xml:space="preserve">גרירת גרוטאות רכב </t>
  </si>
  <si>
    <t>ביטוח אחריות מקצועית-פקחי</t>
  </si>
  <si>
    <t xml:space="preserve">מערכת בית משפט </t>
  </si>
  <si>
    <t xml:space="preserve">מערכת אכיפת גביה </t>
  </si>
  <si>
    <t xml:space="preserve">תיקוני קטנועים </t>
  </si>
  <si>
    <t xml:space="preserve">שכירת מסופונים </t>
  </si>
  <si>
    <t xml:space="preserve">גרירת גרוטאות </t>
  </si>
  <si>
    <t xml:space="preserve">עמלת גביה-קנסות חוקי עזר </t>
  </si>
  <si>
    <t>ביטוח תאונות אישיות-פקחים</t>
  </si>
  <si>
    <t xml:space="preserve">שכירת רכבים </t>
  </si>
  <si>
    <t xml:space="preserve">גזרי דין חנייה </t>
  </si>
  <si>
    <t xml:space="preserve">דמי חניה </t>
  </si>
  <si>
    <t xml:space="preserve">גביית חובות חנייה </t>
  </si>
  <si>
    <t xml:space="preserve">זמן חנייה-מדחנים </t>
  </si>
  <si>
    <t>694</t>
  </si>
  <si>
    <t xml:space="preserve">הנפקת תו חנייה </t>
  </si>
  <si>
    <t xml:space="preserve">הנפקת כרטיסי א.פ.לאגפים </t>
  </si>
  <si>
    <t>696</t>
  </si>
  <si>
    <t xml:space="preserve">דמי חניה סלולרית </t>
  </si>
  <si>
    <t xml:space="preserve">שאילתות משרד התחבורה </t>
  </si>
  <si>
    <t xml:space="preserve">משלוחי דואר רשום </t>
  </si>
  <si>
    <t xml:space="preserve">מיכון - דו"חות חניה </t>
  </si>
  <si>
    <t xml:space="preserve">ממשק למסופונים </t>
  </si>
  <si>
    <t xml:space="preserve">תוכנה לטעינת קבצים </t>
  </si>
  <si>
    <t xml:space="preserve">שכירת כלים מכשירים וציוד </t>
  </si>
  <si>
    <t xml:space="preserve">עמלת גביה חניה סלולרית </t>
  </si>
  <si>
    <t xml:space="preserve">עמלת גביה-קנסות חנייה </t>
  </si>
  <si>
    <t xml:space="preserve">הפעלת מדחני חנייה </t>
  </si>
  <si>
    <t>דאר-עמלת מכירת כרטיסי חני</t>
  </si>
  <si>
    <t xml:space="preserve">אחזקת שטחי חניה </t>
  </si>
  <si>
    <t xml:space="preserve">אבטחת חניון מרכז צעירים </t>
  </si>
  <si>
    <t xml:space="preserve">אגרות שונות </t>
  </si>
  <si>
    <t xml:space="preserve">אגרת רשיונות- שלטים </t>
  </si>
  <si>
    <t xml:space="preserve">אגרת מודעות על לוחות </t>
  </si>
  <si>
    <t>שירותי תליית מסרים עירוני</t>
  </si>
  <si>
    <t xml:space="preserve">מיכון - מערכת שילוט </t>
  </si>
  <si>
    <t xml:space="preserve">חומרים להדבקת מודעות </t>
  </si>
  <si>
    <t xml:space="preserve">סקר שילוט עסקים </t>
  </si>
  <si>
    <t xml:space="preserve">עמלת גביה-שילוט </t>
  </si>
  <si>
    <t xml:space="preserve">אחזקת מתקני שילוט </t>
  </si>
  <si>
    <t>ע.קבלניות-תליית מסרים עיר</t>
  </si>
  <si>
    <t>672</t>
  </si>
  <si>
    <t xml:space="preserve">זכיון-שילוט חוצות </t>
  </si>
  <si>
    <t xml:space="preserve">החזר חשמל -ריהוט רחוב </t>
  </si>
  <si>
    <t>671</t>
  </si>
  <si>
    <t xml:space="preserve">זכיון ריהוט רחוב </t>
  </si>
  <si>
    <t xml:space="preserve">החזר חשמל -שילוט חוצות </t>
  </si>
  <si>
    <t xml:space="preserve">זכיון שילוט חוצות </t>
  </si>
  <si>
    <t>זכיון מכוון ת.אוטובוס-פשר</t>
  </si>
  <si>
    <t xml:space="preserve">חשמל ריהוט רחוב </t>
  </si>
  <si>
    <t xml:space="preserve">חשמל שילוט חוצות </t>
  </si>
  <si>
    <t xml:space="preserve">רכישת כלים וציוד </t>
  </si>
  <si>
    <t xml:space="preserve">אחזקה-עיר עתיקה </t>
  </si>
  <si>
    <t xml:space="preserve">ה.מותנית עבודות קבלניות </t>
  </si>
  <si>
    <t xml:space="preserve">השתתפות מוסדות </t>
  </si>
  <si>
    <t xml:space="preserve">ביטוח-תשתית כבישים </t>
  </si>
  <si>
    <t xml:space="preserve">מכשירים כלים וציוד </t>
  </si>
  <si>
    <t xml:space="preserve">אחזקת קווי ניקוז </t>
  </si>
  <si>
    <t xml:space="preserve">אחזקת מעקות תנועה </t>
  </si>
  <si>
    <t xml:space="preserve">עבודות בטיחות </t>
  </si>
  <si>
    <t xml:space="preserve">אחזקת תמרורים </t>
  </si>
  <si>
    <t xml:space="preserve">אחזקת שלטי רחוב </t>
  </si>
  <si>
    <t xml:space="preserve">אחזקת מזרקות </t>
  </si>
  <si>
    <t xml:space="preserve">חשמל למזרקות </t>
  </si>
  <si>
    <t xml:space="preserve">מים למזרקות </t>
  </si>
  <si>
    <t>ת.ממ.אוסטרליה-תחזוקת פארק</t>
  </si>
  <si>
    <t xml:space="preserve">אחזקת מערכות ט.מ.ס. </t>
  </si>
  <si>
    <t xml:space="preserve">שירותי נקיון בפארק </t>
  </si>
  <si>
    <t xml:space="preserve">השתת.משרד הבטחון-אנדרטה </t>
  </si>
  <si>
    <t xml:space="preserve">רכישת מערכות תוכנה </t>
  </si>
  <si>
    <t xml:space="preserve">הוצאות מסים-טאבו </t>
  </si>
  <si>
    <t xml:space="preserve">ח.העשרה-מרמנת קרן קרב </t>
  </si>
  <si>
    <t>הקמת יחידות התפתחויות קהי</t>
  </si>
  <si>
    <t>הילה-השלמת לימודים לתעודה</t>
  </si>
  <si>
    <t xml:space="preserve">ק.מדען צעיר </t>
  </si>
  <si>
    <t xml:space="preserve">קידום נוער עולה בסיכון </t>
  </si>
  <si>
    <t xml:space="preserve">פופרה </t>
  </si>
  <si>
    <t xml:space="preserve">הפעלת מתנסי"ם ועולם הילד </t>
  </si>
  <si>
    <t>משרד הקליטה-קליטה קבוצתית</t>
  </si>
  <si>
    <t xml:space="preserve">שטחי גינון-אחזקה ופיקוח </t>
  </si>
  <si>
    <t xml:space="preserve">החזר הכנסות שנים קודמות </t>
  </si>
  <si>
    <t xml:space="preserve">  הוצאה בפועל 2014</t>
  </si>
  <si>
    <t>הצעת   התקציב   הרגיל   לשנת   2016   בש"ח</t>
  </si>
  <si>
    <t xml:space="preserve">  תקציב בפועל 2014</t>
  </si>
  <si>
    <t>שינוי בין תכנון 2015 לביצוע 2014</t>
  </si>
  <si>
    <t>תכנון תקציב 2016</t>
  </si>
  <si>
    <t>שינוי בין תכנון 2016 לתכנון 2015</t>
  </si>
  <si>
    <t>שינוי בין ביצוע לתכנון 2014</t>
  </si>
  <si>
    <t>תכנון הכנסות ממשלתיות 2016</t>
  </si>
  <si>
    <t>תכנון הכנסות עצמיות 2016</t>
  </si>
  <si>
    <t xml:space="preserve">הכנסות לפעולות תרבות              </t>
  </si>
  <si>
    <t xml:space="preserve">השתתפות בספורט                    </t>
  </si>
  <si>
    <t>2014 בפועל</t>
  </si>
  <si>
    <t xml:space="preserve">סל תרבות </t>
  </si>
  <si>
    <t xml:space="preserve">בתי אבות </t>
  </si>
  <si>
    <t xml:space="preserve">  תקציב מעודכן 2015</t>
  </si>
  <si>
    <t xml:space="preserve">  תקציב חדש 2016</t>
  </si>
  <si>
    <t>באר שבע</t>
  </si>
  <si>
    <t>Sum of   תקציב חדש 2016</t>
  </si>
  <si>
    <t>Column Labels</t>
  </si>
  <si>
    <t>Row Labels</t>
  </si>
  <si>
    <t>#N/A</t>
  </si>
  <si>
    <t>(Multiple Items)</t>
  </si>
  <si>
    <t>במימון המדינה</t>
  </si>
  <si>
    <t>במימון עצמאיות אחרות</t>
  </si>
  <si>
    <t>במימון הארנונה</t>
  </si>
  <si>
    <t>שכר ופנסיה</t>
  </si>
  <si>
    <t>הוצאות מינהליות, אחזקה, ציוד וחד פעמיות</t>
  </si>
  <si>
    <t>הוצאות לפעולות (קבלנים)</t>
  </si>
  <si>
    <t>תמיכות</t>
  </si>
  <si>
    <t>מימון ופרעון מלוות</t>
  </si>
  <si>
    <t>מטה</t>
  </si>
  <si>
    <t>Age</t>
  </si>
  <si>
    <t>3-5</t>
  </si>
  <si>
    <t>15-17</t>
  </si>
  <si>
    <t>12-14</t>
  </si>
  <si>
    <t>6-11</t>
  </si>
  <si>
    <t>איזה אוכלוסיה?</t>
  </si>
  <si>
    <t>להוציא נתוני אוכלוסיה ספציפית</t>
  </si>
  <si>
    <t>כל האוכלוסיה</t>
  </si>
  <si>
    <t>כל הילדים ברשות (0-17)</t>
  </si>
  <si>
    <t>Comment, logic for calculation</t>
  </si>
  <si>
    <t>מתייחס למספר נפשות כולל, סיכום של הסעיפים שמפורטים בothers</t>
  </si>
  <si>
    <t>לא רלוונטי לחישוב</t>
  </si>
  <si>
    <t>להכפלה במספר הילדים בגיל גן</t>
  </si>
  <si>
    <t>להכפלה במספר נפשות כולל</t>
  </si>
  <si>
    <t>להכפלה במספר הילדים בגילאים 6-17</t>
  </si>
  <si>
    <t>להכפלה במספר הילדים בגילאים 0-17</t>
  </si>
  <si>
    <t xml:space="preserve"> לתצוגת פילוח של Expense on city resident</t>
  </si>
  <si>
    <t>ספריות עירוניות ומוקדי תרבות</t>
  </si>
  <si>
    <t>מתנ"סים מוסיקה ומחול</t>
  </si>
  <si>
    <t>823+826</t>
  </si>
  <si>
    <t>מינהלה, פעולות תרבות ותרבות תורנית</t>
  </si>
  <si>
    <t>821+822+827</t>
  </si>
  <si>
    <t>824+825</t>
  </si>
  <si>
    <t>ילדים ונוער (5-17)</t>
  </si>
  <si>
    <t>קשישים (75+)</t>
  </si>
  <si>
    <t>ילדים (0-17)</t>
  </si>
  <si>
    <t>להכפלה במספר הילדים בגיל בית ספר יסודי שנמצאים במערכת החינוך של הרשות</t>
  </si>
  <si>
    <t>להכפלה במספר הילדים בגילאי חטיבה (ז-ט) שנמצאים במערכת החינוך של הרשות, לא משוקף כרגע בשאלון, לבדוק אולי כדאי להוסיף שאלה בשאלון</t>
  </si>
  <si>
    <t>להכפלה במספר הילדים בגילאי תיכון שנמצאים במערכת החינוך של הרשות)</t>
  </si>
  <si>
    <t>להכפלה במספר הילדים הכולל בגילאי מערכת החינוך שנמצאים במערכת החינוך של הרשות</t>
  </si>
  <si>
    <t>פה תהיה קטגוריה חדשה שקשורה להוצאות חינוך שאינן על מערכת החינוך לילדים</t>
  </si>
  <si>
    <t>להכפלה במספר מבוגרים מעל גיל 75</t>
  </si>
  <si>
    <t>Expense on horizontal School services</t>
  </si>
  <si>
    <t>Expenses on Academic and elderly services</t>
  </si>
  <si>
    <t>חינוך מבוגרים וחינוך גבוה</t>
  </si>
  <si>
    <t>לא ילדים</t>
  </si>
  <si>
    <t>חינוך למבוגרים</t>
  </si>
  <si>
    <t>השקעה במערכת החינוך העצמאי</t>
  </si>
  <si>
    <t>פירוק הוצאה על שירותים מקומיים (מלא)</t>
  </si>
  <si>
    <t>כסף ממקורות ממשלתיים</t>
  </si>
  <si>
    <t>כסף ממקורות עצמיים - עסקים</t>
  </si>
  <si>
    <t>כסף ממקורות עצמיים - תושבים</t>
  </si>
  <si>
    <t>סה"כ ממקורות עצמיים</t>
  </si>
  <si>
    <t>יחס ארנונה תושבים לסה"כ</t>
  </si>
  <si>
    <t>יחס תושבים לעסקים בהכנסות אחרות (מי משלם את החשבון)</t>
  </si>
  <si>
    <t>Administration, Cultural activities and Jewish Religious Culture</t>
  </si>
  <si>
    <t>Libraries and Culture Centers</t>
  </si>
  <si>
    <t>Community Centers, Music and Ballet</t>
  </si>
  <si>
    <t>Youth Culture</t>
  </si>
  <si>
    <t>פירוק הוצאה על מנהלה וכלליות</t>
  </si>
  <si>
    <t>Projects/Enterprises and Unusual Payment</t>
  </si>
  <si>
    <t>Salaries and pension</t>
  </si>
  <si>
    <t>Expense on elementary school child</t>
  </si>
  <si>
    <t>Children welfare</t>
  </si>
  <si>
    <t>Administration, maintenance, equipment and incidentals</t>
  </si>
  <si>
    <t>Contracted Work</t>
  </si>
  <si>
    <t>Loads and finance cost</t>
  </si>
  <si>
    <t>NGO Work and Donations</t>
  </si>
  <si>
    <t>חינוך מותאם לסיפור עיר</t>
  </si>
  <si>
    <t>רווחה מותאם לסיפור עיר</t>
  </si>
  <si>
    <t>חינוך גבוה ולמבוגרים</t>
  </si>
  <si>
    <t>שירותים לקהילה</t>
  </si>
  <si>
    <t>שירותים לבעלי צרכים מיוחדים ונכים</t>
  </si>
  <si>
    <t>שירותים לילדים ולנוער</t>
  </si>
  <si>
    <t>שירותים לגיל השלישי</t>
  </si>
  <si>
    <t>מינהלה ושירותים רוחביים</t>
  </si>
  <si>
    <t>תרבות מותאם לסיפור עיר</t>
  </si>
  <si>
    <t>Wellfare Horizontal Services</t>
  </si>
  <si>
    <t>Total for case study</t>
  </si>
  <si>
    <t>General Expenses Aggregated</t>
  </si>
  <si>
    <t>Education Expenses (level 3)</t>
  </si>
  <si>
    <t>General administration (level 1)</t>
  </si>
  <si>
    <t>General Administration (level 2)</t>
  </si>
  <si>
    <t>Financial Administration (level 2)</t>
  </si>
  <si>
    <t>Financing Expenses (level 2)</t>
  </si>
  <si>
    <t>Loan Redemption/Payment (level 2)</t>
  </si>
  <si>
    <t>Local services (level 1)</t>
  </si>
  <si>
    <t>Sanitation (level 2)</t>
  </si>
  <si>
    <t>Guarding and Security (level 2)</t>
  </si>
  <si>
    <t>Urban Planning and Construction (level 2)</t>
  </si>
  <si>
    <t>Public Assets (level 2)</t>
  </si>
  <si>
    <t>Celebrations, Projects and Events (level 2)</t>
  </si>
  <si>
    <t>Various Municipal Services (level 2)</t>
  </si>
  <si>
    <t>Economic Development (level 2)</t>
  </si>
  <si>
    <t>Municipal Supervision (level 2)</t>
  </si>
  <si>
    <t>Culture and sports (level 2)</t>
  </si>
  <si>
    <t>Projects/Enterprises and Unusual Payment (level 1)</t>
  </si>
  <si>
    <t>Administration, Cultural activities and Jewish Religious Culture (level 3)</t>
  </si>
  <si>
    <t>Libraries and Culture Centers (level 3)</t>
  </si>
  <si>
    <t>Community Centers, Music and Ballet (level 3)</t>
  </si>
  <si>
    <t>Youth Culture (level 3)</t>
  </si>
  <si>
    <t>Sports (level 3)</t>
  </si>
  <si>
    <t>Enviromental services</t>
  </si>
  <si>
    <t>Participation in the Religious council</t>
  </si>
  <si>
    <t>Other Religious services</t>
  </si>
  <si>
    <t>Other Healthcase services</t>
  </si>
  <si>
    <t>Immigrant services (Olim)</t>
  </si>
  <si>
    <t>Clinics (level 3)</t>
  </si>
  <si>
    <t>Emergency services (level 3)</t>
  </si>
  <si>
    <t>Participation in the Religious council (level 3)</t>
  </si>
  <si>
    <t>Immigrant services (Olim) (level 2)</t>
  </si>
  <si>
    <t>Environmental services (level 2)</t>
  </si>
  <si>
    <t>Other Healthcare services (level 3 aggregated)</t>
  </si>
  <si>
    <t>Other Religious services (level 3 - aggregated)</t>
  </si>
  <si>
    <t>Other government services (level 1 - aggregated)</t>
  </si>
  <si>
    <t>+</t>
  </si>
  <si>
    <t>עצמי (הכנסות של הרשות מהכספים שאינם ארנונה או ממשלתיים)</t>
  </si>
  <si>
    <t>ממשלה (מענקים לא ייעודיים)</t>
  </si>
  <si>
    <t>Government participation</t>
  </si>
  <si>
    <t xml:space="preserve">חשבון </t>
  </si>
  <si>
    <t xml:space="preserve">שם חשבון </t>
  </si>
  <si>
    <t xml:space="preserve">מחלקה </t>
  </si>
  <si>
    <t xml:space="preserve">מקורי 2015 </t>
  </si>
  <si>
    <t>ביצוע עד ספטמ</t>
  </si>
  <si>
    <t>תקציב 2016-כו</t>
  </si>
  <si>
    <t>תקציב בסיס 2016</t>
  </si>
  <si>
    <t xml:space="preserve">מותנה 2016 </t>
  </si>
  <si>
    <t xml:space="preserve">גביה שוטפת-מגורים </t>
  </si>
  <si>
    <t xml:space="preserve">גבית פיגורים-מגורים </t>
  </si>
  <si>
    <t xml:space="preserve">גביה שוטפת -לא למגורים </t>
  </si>
  <si>
    <t xml:space="preserve">גבית פיגורים-לא למגורים </t>
  </si>
  <si>
    <t>הנחות מימון(ארנונה מראש ו</t>
  </si>
  <si>
    <t>הכנסות מעמלות מתשלום בכ.א</t>
  </si>
  <si>
    <t xml:space="preserve">הנחות לזכאים </t>
  </si>
  <si>
    <t xml:space="preserve">הנחות ועדה אחרות </t>
  </si>
  <si>
    <t xml:space="preserve">אכיפה /טיפול משפטי </t>
  </si>
  <si>
    <t xml:space="preserve">תעודות ואישורים </t>
  </si>
  <si>
    <t xml:space="preserve">אגרת רשיונות לשלטים </t>
  </si>
  <si>
    <t xml:space="preserve">אגרת שמירה </t>
  </si>
  <si>
    <t xml:space="preserve">הטלים </t>
  </si>
  <si>
    <t xml:space="preserve">קרן תאגיד מים </t>
  </si>
  <si>
    <t xml:space="preserve">היטלי מים </t>
  </si>
  <si>
    <t xml:space="preserve">היטלי ביוב </t>
  </si>
  <si>
    <t xml:space="preserve">הטלי כבישים </t>
  </si>
  <si>
    <t xml:space="preserve">הכנסות מימון </t>
  </si>
  <si>
    <t xml:space="preserve">הכנסות מימון- חפ"א </t>
  </si>
  <si>
    <t>בחירות לרשות-הכנ' מ. הפני</t>
  </si>
  <si>
    <t xml:space="preserve">מענקים חד פעמיים </t>
  </si>
  <si>
    <t xml:space="preserve">החזרות מקרנות </t>
  </si>
  <si>
    <t xml:space="preserve">ניקיון עורף הנמל </t>
  </si>
  <si>
    <t xml:space="preserve">מכירת ציוד יסודי - אשפה </t>
  </si>
  <si>
    <t>מכרז-פינוי מכלי מחזור טקס</t>
  </si>
  <si>
    <t xml:space="preserve">חוק האריזות </t>
  </si>
  <si>
    <t xml:space="preserve">תאגיד אל"ה </t>
  </si>
  <si>
    <t>פינוי נייר ובקבוקי פלסטיק</t>
  </si>
  <si>
    <t xml:space="preserve">קיזוז מקבלנים - וונדליזם </t>
  </si>
  <si>
    <t xml:space="preserve">פיקוח על עסקים ומוסדות </t>
  </si>
  <si>
    <t xml:space="preserve">פיקוח - חיסוני כלבים </t>
  </si>
  <si>
    <t xml:space="preserve">קנסות - ווטרינר </t>
  </si>
  <si>
    <t xml:space="preserve">הסגר כלבים בכלבייה </t>
  </si>
  <si>
    <t>השתתפות שכר ווטרינר-בדיקו</t>
  </si>
  <si>
    <t xml:space="preserve">בדיקות בשר עופות ודגים </t>
  </si>
  <si>
    <t xml:space="preserve">ב/בשר דגים-עצמיות </t>
  </si>
  <si>
    <t xml:space="preserve">סירוס חתולים - מ.החקלאות </t>
  </si>
  <si>
    <t xml:space="preserve">החזר משא'ז </t>
  </si>
  <si>
    <t xml:space="preserve">אגרות תיכנון עיר </t>
  </si>
  <si>
    <t xml:space="preserve">תיקון מבנים מסוכנים </t>
  </si>
  <si>
    <t xml:space="preserve">שילוט-תמלוגים </t>
  </si>
  <si>
    <t xml:space="preserve">הכנסות משצפי"ם </t>
  </si>
  <si>
    <t xml:space="preserve">דמי שימוש במדרכה </t>
  </si>
  <si>
    <t xml:space="preserve">מ.התחבורה - סימון כבישים </t>
  </si>
  <si>
    <t xml:space="preserve">מטה בטיחות עירוני </t>
  </si>
  <si>
    <t xml:space="preserve">גינון עורף הנמל </t>
  </si>
  <si>
    <t>קנסות מפיקוח - איכות הסבי</t>
  </si>
  <si>
    <t>מ.איכות סביבה - כנסים ו א</t>
  </si>
  <si>
    <t xml:space="preserve">קולות קוראים איכות סביבה </t>
  </si>
  <si>
    <t xml:space="preserve">שרותי מוקד לתאגיד יובלים </t>
  </si>
  <si>
    <t xml:space="preserve">שירותי מוקד עירוני </t>
  </si>
  <si>
    <t xml:space="preserve">מידע לציבור </t>
  </si>
  <si>
    <t xml:space="preserve">תרבות הדיור </t>
  </si>
  <si>
    <t xml:space="preserve">זיכויים - חב' לאוטומציה </t>
  </si>
  <si>
    <t xml:space="preserve">מכירת טפסי מיכרזים </t>
  </si>
  <si>
    <t xml:space="preserve">הכנ' שכר כוננים במשכן </t>
  </si>
  <si>
    <t xml:space="preserve">מועצת נשים </t>
  </si>
  <si>
    <t>מ.איכות הסביבה-נקיון חופי</t>
  </si>
  <si>
    <t>הכנסות א.הסביבה טיפול בזי</t>
  </si>
  <si>
    <t xml:space="preserve">פיקוח על חו'ע </t>
  </si>
  <si>
    <t xml:space="preserve">קנסות בימ'ש </t>
  </si>
  <si>
    <t xml:space="preserve">פיקוח על החניה </t>
  </si>
  <si>
    <t xml:space="preserve">מדחני צג </t>
  </si>
  <si>
    <t xml:space="preserve">מדחני כרטיס </t>
  </si>
  <si>
    <t>הכנסות בגין קיזוז מקבלן-ח</t>
  </si>
  <si>
    <t xml:space="preserve">איזי פארק </t>
  </si>
  <si>
    <t xml:space="preserve">הכנסה בגין אכיפה מנהלית </t>
  </si>
  <si>
    <t>באמצעות טלפון סלולרי "פאנ</t>
  </si>
  <si>
    <t xml:space="preserve"> באמצעות טלפון סלולרי"סלו</t>
  </si>
  <si>
    <t xml:space="preserve">שכירות </t>
  </si>
  <si>
    <t xml:space="preserve">תקשוב לאומי </t>
  </si>
  <si>
    <t xml:space="preserve">פעילות גנים מדעיים </t>
  </si>
  <si>
    <t xml:space="preserve">תכנית שמיד גנ"י </t>
  </si>
  <si>
    <t xml:space="preserve">גיל חובה-שיפוצים </t>
  </si>
  <si>
    <t xml:space="preserve">גיל חובה/חומרים </t>
  </si>
  <si>
    <t xml:space="preserve">גיל חובה/שכר סייעות </t>
  </si>
  <si>
    <t xml:space="preserve">ט.חובה/תשלומי הורים </t>
  </si>
  <si>
    <t xml:space="preserve">גנ'י/ילדי סטיה והשלמ'מ </t>
  </si>
  <si>
    <t xml:space="preserve">צהרונים /יול'ה </t>
  </si>
  <si>
    <t xml:space="preserve">גני מועד'וצהר'/דמי רישום </t>
  </si>
  <si>
    <t xml:space="preserve">פנימיות יום-גנ'י </t>
  </si>
  <si>
    <t xml:space="preserve">פנמיות יום -גנ'י </t>
  </si>
  <si>
    <t xml:space="preserve">קייטנה חודש לימודים </t>
  </si>
  <si>
    <t xml:space="preserve">הכנסות מתקשורת סלולרית </t>
  </si>
  <si>
    <t xml:space="preserve">שרתים/מזכירים/סייעות </t>
  </si>
  <si>
    <t xml:space="preserve">תכנית שמיד חינוך יסודי </t>
  </si>
  <si>
    <t xml:space="preserve">פנימיות יום-הורים </t>
  </si>
  <si>
    <t xml:space="preserve">קרב-תשלומי ההורים </t>
  </si>
  <si>
    <t xml:space="preserve">ניהול עצמי </t>
  </si>
  <si>
    <t xml:space="preserve">שיפוצים </t>
  </si>
  <si>
    <t xml:space="preserve">שיכפולים/חומרים </t>
  </si>
  <si>
    <t xml:space="preserve">חומרי מלאכה-מ.חינוך </t>
  </si>
  <si>
    <t xml:space="preserve">אגרת עולים חדשים </t>
  </si>
  <si>
    <t xml:space="preserve">בס של הקיץ </t>
  </si>
  <si>
    <t xml:space="preserve">השתתפות מוסדות בפעילויות </t>
  </si>
  <si>
    <t>שרתים מזכירים סייעות/חרדי</t>
  </si>
  <si>
    <t>ישיבות קטנות/שיפוצים/מ.ח.</t>
  </si>
  <si>
    <t xml:space="preserve">תכנית שמיד-חרדי </t>
  </si>
  <si>
    <t xml:space="preserve">הכנסות משמירה </t>
  </si>
  <si>
    <t xml:space="preserve">הסעים הכנסות משרד </t>
  </si>
  <si>
    <t xml:space="preserve">מועדוניות בית ספריות </t>
  </si>
  <si>
    <t>חוו חקלאיות/שרתים מזכירים</t>
  </si>
  <si>
    <t xml:space="preserve">בתי'ס עי'ס/פ.יום הורים </t>
  </si>
  <si>
    <t xml:space="preserve">שיכפולים </t>
  </si>
  <si>
    <t xml:space="preserve">חומרי מלאכה מ.חינוך </t>
  </si>
  <si>
    <t xml:space="preserve">בתי'ס עי'ס/שיפוצים מ.ח </t>
  </si>
  <si>
    <t xml:space="preserve">מנ'ע תגבורים </t>
  </si>
  <si>
    <t xml:space="preserve">תכנית שמיד-חינוך עי"ס </t>
  </si>
  <si>
    <t xml:space="preserve">פרוייקט מניפה </t>
  </si>
  <si>
    <t>שכירות קיוסקים ומכונות שת</t>
  </si>
  <si>
    <t xml:space="preserve">הכנסות מסבסוד טיולים </t>
  </si>
  <si>
    <t xml:space="preserve">חט'ב/מקיף א' </t>
  </si>
  <si>
    <t xml:space="preserve">חט'ב/מקיף ב' </t>
  </si>
  <si>
    <t xml:space="preserve">עי'ס/חט'ב/מקיף ג' </t>
  </si>
  <si>
    <t xml:space="preserve">עי'ס/חט'ב/מקיף ד' </t>
  </si>
  <si>
    <t xml:space="preserve">ע'ס/חט'ב/מקיף ה' </t>
  </si>
  <si>
    <t xml:space="preserve">בתי'ס עי'ס/מקיף ו' </t>
  </si>
  <si>
    <t xml:space="preserve">עי'ס/חט'ב/מקיף ז' </t>
  </si>
  <si>
    <t xml:space="preserve">עי'ס/חט'ב/מקיף ח' </t>
  </si>
  <si>
    <t xml:space="preserve">בתי'ס עי'ס/חט'ב ט' </t>
  </si>
  <si>
    <t xml:space="preserve">עי'ס/חט'ב/מקיף י' </t>
  </si>
  <si>
    <t xml:space="preserve">בתי'ס עי'ס/אולפנא </t>
  </si>
  <si>
    <t xml:space="preserve">ישיבה תיכונית אמי"ת </t>
  </si>
  <si>
    <t xml:space="preserve">מקיף יא חט"ב </t>
  </si>
  <si>
    <t xml:space="preserve">מדרשה לבנות </t>
  </si>
  <si>
    <t xml:space="preserve">עוז לתמורה </t>
  </si>
  <si>
    <t xml:space="preserve">בתי'ס עי'ס/מקיף א' </t>
  </si>
  <si>
    <t xml:space="preserve">הכנסות מזיכויים מקיף ב' </t>
  </si>
  <si>
    <t xml:space="preserve">בת'ס עי'ס/מקיף ב' </t>
  </si>
  <si>
    <t xml:space="preserve">בתי'ס עי'ס/מקיף ג' </t>
  </si>
  <si>
    <t xml:space="preserve">בתי'ס עי'ס/מקיף ד' </t>
  </si>
  <si>
    <t xml:space="preserve">בתי'ס עי'ס/מקיף ה' </t>
  </si>
  <si>
    <t xml:space="preserve">בתי'ס עי'ס/מקיף ז' </t>
  </si>
  <si>
    <t xml:space="preserve">בתי'ס עי'ס/מקיף ח' </t>
  </si>
  <si>
    <t xml:space="preserve">מקיף ט' </t>
  </si>
  <si>
    <t xml:space="preserve">הכנסות מזיכויים מקיף י' </t>
  </si>
  <si>
    <t xml:space="preserve">מקיף יוד חט'ע </t>
  </si>
  <si>
    <t xml:space="preserve">בתי'ס עי'ס/ימי/שרת'+מז </t>
  </si>
  <si>
    <t xml:space="preserve">בתי'ס עי'ס/אשכולות פיס </t>
  </si>
  <si>
    <t xml:space="preserve">בתי'ס עי'ס/נ.הרצוג </t>
  </si>
  <si>
    <t xml:space="preserve">זכויים לישיבה-רשת אמי"ת </t>
  </si>
  <si>
    <t xml:space="preserve">פעילות לחיילים </t>
  </si>
  <si>
    <t xml:space="preserve">הכנסות משרד הבטחון </t>
  </si>
  <si>
    <t xml:space="preserve">חשמל-סמי שמעון </t>
  </si>
  <si>
    <t xml:space="preserve">מלגות הכנסה מ. השיכון </t>
  </si>
  <si>
    <t xml:space="preserve">קבטי'ם-שכר </t>
  </si>
  <si>
    <t xml:space="preserve">שמירה-השתת' משטרת ישראל </t>
  </si>
  <si>
    <t xml:space="preserve">מרפ'ד הכנסות עצמיות </t>
  </si>
  <si>
    <t xml:space="preserve">פסיכולוג חנוכי/שכר </t>
  </si>
  <si>
    <t xml:space="preserve">פסיכולוג חנוכי/השתלמויות </t>
  </si>
  <si>
    <t xml:space="preserve">תכנית שמיד שפי </t>
  </si>
  <si>
    <t xml:space="preserve">ביטוח תלמידים </t>
  </si>
  <si>
    <t xml:space="preserve">תוכנית שיקום שכונות </t>
  </si>
  <si>
    <t xml:space="preserve">קב'סים__שכר </t>
  </si>
  <si>
    <t xml:space="preserve">דמי שימוש שטחי פירסום </t>
  </si>
  <si>
    <t xml:space="preserve">קבס'ים -קידום נוער </t>
  </si>
  <si>
    <t xml:space="preserve">חונכות לתלמידים </t>
  </si>
  <si>
    <t xml:space="preserve">תכנית שמיד-קידום נוער </t>
  </si>
  <si>
    <t xml:space="preserve">הסעות ילדים -מ.ת.מ </t>
  </si>
  <si>
    <t xml:space="preserve">לווי הסעות </t>
  </si>
  <si>
    <t xml:space="preserve">הכנסה מכרטיסיות </t>
  </si>
  <si>
    <t xml:space="preserve">שרותים אחרים/תלמידי חוץ </t>
  </si>
  <si>
    <t>פרויקטים משותפים עם בתה'ס</t>
  </si>
  <si>
    <t>הצטיידות שונות הכנסות משר</t>
  </si>
  <si>
    <t xml:space="preserve">הזנה ונלוות/ח.מיוחד </t>
  </si>
  <si>
    <t xml:space="preserve">ח.מבוגרים/הכנסות עצמיות </t>
  </si>
  <si>
    <t xml:space="preserve">ח.מבוגרים/מת'מ/תהל'ה </t>
  </si>
  <si>
    <t xml:space="preserve">ח.מבוגרים/מ.הקליטה </t>
  </si>
  <si>
    <t xml:space="preserve">החזר הוצאות אחזקת אמפי </t>
  </si>
  <si>
    <t xml:space="preserve">דמי שימוש -איצטדיונים </t>
  </si>
  <si>
    <t xml:space="preserve">דמי שימוש במגרשי ספורט </t>
  </si>
  <si>
    <t xml:space="preserve">סל הספורט-משרד החינוך </t>
  </si>
  <si>
    <t xml:space="preserve">עיר בריאה ופעילה </t>
  </si>
  <si>
    <t xml:space="preserve">משרד הבריאות - סל שיקום </t>
  </si>
  <si>
    <t xml:space="preserve">השתתפות בגין בריאות השן </t>
  </si>
  <si>
    <t xml:space="preserve">גיל הרך - שמיד </t>
  </si>
  <si>
    <t>בריאות בקהילה - גביה עצמי</t>
  </si>
  <si>
    <t xml:space="preserve">תוכנית עידוד - שמיד </t>
  </si>
  <si>
    <t xml:space="preserve">עיר ללא אלימות </t>
  </si>
  <si>
    <t xml:space="preserve">עיר פעילה ובריאה </t>
  </si>
  <si>
    <t xml:space="preserve">הדרכת הורים - שמיד </t>
  </si>
  <si>
    <t xml:space="preserve">השתתפות משרדי ממשלה </t>
  </si>
  <si>
    <t xml:space="preserve">מחשוב מחלקות רווחה </t>
  </si>
  <si>
    <t xml:space="preserve">הרשות לשיקום האסיר </t>
  </si>
  <si>
    <t xml:space="preserve">שכר עובדי המחלקה 1013410 </t>
  </si>
  <si>
    <t>שיפוץ וציוד מ.רווחה השתתפ</t>
  </si>
  <si>
    <t xml:space="preserve">סל בטיחות בסיסי 1014423 </t>
  </si>
  <si>
    <t xml:space="preserve">רכזות משפחתונים-תמ'ת </t>
  </si>
  <si>
    <t xml:space="preserve">כ'א לחינוך מיוחד 1013500 </t>
  </si>
  <si>
    <t xml:space="preserve">תרומות </t>
  </si>
  <si>
    <t xml:space="preserve">פעולות ארגוניות 1014420 </t>
  </si>
  <si>
    <t>בטחון עובדים מאבטחים 4424</t>
  </si>
  <si>
    <t xml:space="preserve">עזרה ביתית </t>
  </si>
  <si>
    <t xml:space="preserve">מיזם הזנחה - ילד ונוער </t>
  </si>
  <si>
    <t>מקלטים לנשים מוכות 025100</t>
  </si>
  <si>
    <t>משפחות במצוקה בקהילה 5410</t>
  </si>
  <si>
    <t xml:space="preserve">טיפול בדרי רחוב 1025510 </t>
  </si>
  <si>
    <t>מס.ארציות לדרי רחוב 25511</t>
  </si>
  <si>
    <t>סיוע למשפחות עם ילדים 418</t>
  </si>
  <si>
    <t>צרכים מיוחדים שעת חרום 11</t>
  </si>
  <si>
    <t>דרי רחוב רב בעייתי 025512</t>
  </si>
  <si>
    <t>מרכזי תעסוקה עירוניים 613</t>
  </si>
  <si>
    <t xml:space="preserve">בית הויס </t>
  </si>
  <si>
    <t xml:space="preserve">סדנאות למשפחה 1026040 </t>
  </si>
  <si>
    <t>טיפול בפרט ובמשפחה 026041</t>
  </si>
  <si>
    <t>מרכזי טיפול באלימות 26090</t>
  </si>
  <si>
    <t>מס. טיפ.לגברים אלימים 093</t>
  </si>
  <si>
    <t>תכנית למניעת אלימות 39630</t>
  </si>
  <si>
    <t>תחנות לטיפול במשפחה 26042</t>
  </si>
  <si>
    <t xml:space="preserve">נושמים לרווחה </t>
  </si>
  <si>
    <t xml:space="preserve">מועדוניות </t>
  </si>
  <si>
    <t xml:space="preserve">מועדוניות ועדת הנחות </t>
  </si>
  <si>
    <t>ת. לאומית ילד ונוער 38400</t>
  </si>
  <si>
    <t xml:space="preserve">הכנסות מרכז הורים ילדים </t>
  </si>
  <si>
    <t>טיפול במשפחות אומנה 38413</t>
  </si>
  <si>
    <t>מרכזי הורים -ילדים 039442</t>
  </si>
  <si>
    <t>יצירת קשר הורים -ילדים 14</t>
  </si>
  <si>
    <t>טיפול בילד בקהילה 1039440</t>
  </si>
  <si>
    <t>מועדוניות משותפות 1039441</t>
  </si>
  <si>
    <t>טיפול בפגיעות מיניות 9483</t>
  </si>
  <si>
    <t>בדיקות פסיכולוגיות 039482</t>
  </si>
  <si>
    <t>אחזקת ילדים בפנימיות 8410</t>
  </si>
  <si>
    <t>תוכנית עם הפנים לקהילה_17</t>
  </si>
  <si>
    <t xml:space="preserve">הכנסות עצמיות משפחתונים </t>
  </si>
  <si>
    <t>ילדים במעונות יום 1039010</t>
  </si>
  <si>
    <t xml:space="preserve">מעונות יום-תמ'ת </t>
  </si>
  <si>
    <t>אחזקת במעונות א. ותיק 410</t>
  </si>
  <si>
    <t>נופשון לאזרח ותיק 1042430</t>
  </si>
  <si>
    <t xml:space="preserve">ארוחות לקשיש </t>
  </si>
  <si>
    <t>מועדונים לא. ותיק 1043430</t>
  </si>
  <si>
    <t>טיפול בקהילה א.ותיק 43440</t>
  </si>
  <si>
    <t>מועדונים תכנית העשרה 3431</t>
  </si>
  <si>
    <t>מרכזי ועדות חוק סיעוד 990</t>
  </si>
  <si>
    <t>שירותים לניצולי שואה 3446</t>
  </si>
  <si>
    <t xml:space="preserve">מיגון וציוד ביתי </t>
  </si>
  <si>
    <t xml:space="preserve">שכונה תומכת 1043510 </t>
  </si>
  <si>
    <t>תעסוקת במועדון א.ותיק 432</t>
  </si>
  <si>
    <t>טיפול שיניים לקשיש 043441</t>
  </si>
  <si>
    <t>סיוע לניצולי שואה 1043446</t>
  </si>
  <si>
    <t xml:space="preserve">מרכז יום </t>
  </si>
  <si>
    <t>מסגרות יומיות לא. ותיק 10</t>
  </si>
  <si>
    <t xml:space="preserve">מועדונים מועשרים 1043412 </t>
  </si>
  <si>
    <t xml:space="preserve">מופת נצולי שואה 1043413 </t>
  </si>
  <si>
    <t>ק. תומכת ניצולי שואה 3414</t>
  </si>
  <si>
    <t>מועדון לעולים העשרה 43448</t>
  </si>
  <si>
    <t xml:space="preserve">שיקום מסגרות כללי </t>
  </si>
  <si>
    <t>סדור מפגרים במוסדות 56410</t>
  </si>
  <si>
    <t>מעון ממשלתי - מש"ה 871920</t>
  </si>
  <si>
    <t>החזקת אוטיסטים במסגרות 50</t>
  </si>
  <si>
    <t>טיפול בהורים ובילדיהם 040</t>
  </si>
  <si>
    <t>מ.יום שיקומי לאוטיסט 2112</t>
  </si>
  <si>
    <t>נופשונים וקייטנות 0881110</t>
  </si>
  <si>
    <t>משפחות אומנה למפגר 856400</t>
  </si>
  <si>
    <t>משפחות אומנה לשיקום 56401</t>
  </si>
  <si>
    <t xml:space="preserve">מועדוניות לילדים 0881042 </t>
  </si>
  <si>
    <t xml:space="preserve">סביבה תומכת 0856411 </t>
  </si>
  <si>
    <t xml:space="preserve">מ. יום תעסוקה לבוגרים </t>
  </si>
  <si>
    <t xml:space="preserve">הסעות לאוטיסים 0881041 </t>
  </si>
  <si>
    <t xml:space="preserve">מרכז לילך </t>
  </si>
  <si>
    <t xml:space="preserve">מרכז לילך הכנסות עצמיות </t>
  </si>
  <si>
    <t xml:space="preserve">מעון יובלים </t>
  </si>
  <si>
    <t>מפגרים במעון אמוני 855410</t>
  </si>
  <si>
    <t xml:space="preserve">בית ספר ניר </t>
  </si>
  <si>
    <t>מפגרים במעון טפולי 855420</t>
  </si>
  <si>
    <t>מעון יובלים-טיפולים פרא-ר</t>
  </si>
  <si>
    <t>מ.יום שיקומי למפגר 622111</t>
  </si>
  <si>
    <t xml:space="preserve">פרא-רפואי המרכז לגיל הרך </t>
  </si>
  <si>
    <t xml:space="preserve">מעש"ים 0855470 </t>
  </si>
  <si>
    <t xml:space="preserve">נופשונים </t>
  </si>
  <si>
    <t>שרותים תומכים למפגר 55430</t>
  </si>
  <si>
    <t xml:space="preserve">נופשונים למפגר 0855920 </t>
  </si>
  <si>
    <t>מועדונים חברתיים למפגר 33</t>
  </si>
  <si>
    <t>הסעות למ.יום למפגר 855431</t>
  </si>
  <si>
    <t xml:space="preserve">מע'ש </t>
  </si>
  <si>
    <t>ילדים עוורים במוסדות 2410</t>
  </si>
  <si>
    <t>שיקום העיוור בקהילה 62083</t>
  </si>
  <si>
    <t>הדרכת עוור ובני ביתו 2430</t>
  </si>
  <si>
    <t>מפעלי שיקום לעוור 0662080</t>
  </si>
  <si>
    <t>מפעלי תעסוקה ומועדון 2082</t>
  </si>
  <si>
    <t>אחזקת נכים בפנימיות 21040</t>
  </si>
  <si>
    <t>נכים במשפחות אומנה 621041</t>
  </si>
  <si>
    <t>תעסוקה מוגנת למוגבל 22010</t>
  </si>
  <si>
    <t xml:space="preserve">מועדוניות לכבדי שמיעה </t>
  </si>
  <si>
    <t>מס.יום לילד המוגבל 622090</t>
  </si>
  <si>
    <t xml:space="preserve">תכנית מעבר 622012 </t>
  </si>
  <si>
    <t xml:space="preserve">הסעות נכים </t>
  </si>
  <si>
    <t>תוכניות לילד החריג 622020</t>
  </si>
  <si>
    <t xml:space="preserve">הסעות נכים 0622015 </t>
  </si>
  <si>
    <t>מרכז יום שיקומי לנכים 110</t>
  </si>
  <si>
    <t xml:space="preserve">נופשונים להבראה 0622140 </t>
  </si>
  <si>
    <t>הסעות למעון יום שיקומי 13</t>
  </si>
  <si>
    <t>ליווי למעון יום שיקומי 14</t>
  </si>
  <si>
    <t xml:space="preserve">מסיכון לסיכוי 0622021 </t>
  </si>
  <si>
    <t>חלופה למ.יום שיקומיים 115</t>
  </si>
  <si>
    <t>מועדון חברתי לבוגרים 2142</t>
  </si>
  <si>
    <t xml:space="preserve">עמית למשפחה 622214 </t>
  </si>
  <si>
    <t xml:space="preserve">איתור לתעסוקה 622013 </t>
  </si>
  <si>
    <t>מרכז יום לנכים קשים 22260</t>
  </si>
  <si>
    <t>מרכזי אבחון ושיקום 618010</t>
  </si>
  <si>
    <t>שיקום נכים בקהילה 0619040</t>
  </si>
  <si>
    <t xml:space="preserve">נכים קשים בקהילה 0621090 </t>
  </si>
  <si>
    <t>בוגרים עיוורים בקהילה 120</t>
  </si>
  <si>
    <t>ילדים עיוורים בקהילה 2121</t>
  </si>
  <si>
    <t>טפול בנוער ובצעירים 64023</t>
  </si>
  <si>
    <t>ת. קהיל. עד"י ומעטפת 5427</t>
  </si>
  <si>
    <t>טפול בנערות במצוקה 165420</t>
  </si>
  <si>
    <t xml:space="preserve">בית נועם 1124260 </t>
  </si>
  <si>
    <t xml:space="preserve">מיתרים חרדים 1164161 </t>
  </si>
  <si>
    <t>נוער וצעיר. חוץ ביתי 5426</t>
  </si>
  <si>
    <t xml:space="preserve">פרוייקט עד"י 1165427 </t>
  </si>
  <si>
    <t>תוכנית מעטפת מבחן נוער 00</t>
  </si>
  <si>
    <t xml:space="preserve">בתים חמים לנערות 1165428 </t>
  </si>
  <si>
    <t xml:space="preserve">פרויקט וינגיט 1164020 </t>
  </si>
  <si>
    <t>מ. לנפגעי תקיפה מינית 429</t>
  </si>
  <si>
    <t xml:space="preserve">קורת גג - חרות לנוער </t>
  </si>
  <si>
    <t>מעונות חסות -ממשלתיים 030</t>
  </si>
  <si>
    <t>התמכרויות מבוגרים 1125061</t>
  </si>
  <si>
    <t>בדיקות סמים וסיוע 1125062</t>
  </si>
  <si>
    <t>תוכניות תעסוקה למתמכרים67</t>
  </si>
  <si>
    <t>טיפול בנוער מתמכר 1125161</t>
  </si>
  <si>
    <t xml:space="preserve">יחידת איתור לנוער </t>
  </si>
  <si>
    <t>התמכרויות חוץ ביתי 125060</t>
  </si>
  <si>
    <t xml:space="preserve">מפת"ן ממשלתי 1132830 </t>
  </si>
  <si>
    <t>מפת"ן מקומי -החזקה 134410</t>
  </si>
  <si>
    <t>פעול משלימות למפתנים 4420</t>
  </si>
  <si>
    <t xml:space="preserve">מית"ר 1134411 </t>
  </si>
  <si>
    <t>ת.למניעת אלימות במפת"ן 21</t>
  </si>
  <si>
    <t xml:space="preserve">מפתן כולל כ"א 1134412 </t>
  </si>
  <si>
    <t>מלגות מ.השיכון - שיקום שכ</t>
  </si>
  <si>
    <t xml:space="preserve">עבודה קהילתית 1072410 </t>
  </si>
  <si>
    <t>פע' התנדבות בקהילה 134050</t>
  </si>
  <si>
    <t>לשכות ייעוץ לאזרח 0132050</t>
  </si>
  <si>
    <t>שיקום שכונות פעולות 72040</t>
  </si>
  <si>
    <t>נכים בפנימיות עולים 21042</t>
  </si>
  <si>
    <t>טיפול בעיוורים עולים 9042</t>
  </si>
  <si>
    <t xml:space="preserve">פיתוח קהיל. בין תרבות </t>
  </si>
  <si>
    <t>מ.יום טפולי עולים 0855421</t>
  </si>
  <si>
    <t xml:space="preserve">מעש"ים עולים 0855471 </t>
  </si>
  <si>
    <t>מפגר בפנימיה - עולים 6412</t>
  </si>
  <si>
    <t>מעונות יום -עולים 1039011</t>
  </si>
  <si>
    <t>ילדים בפנימיות - עולים 11</t>
  </si>
  <si>
    <t>ילדים במצוקה - עולים 9460</t>
  </si>
  <si>
    <t>טיפול בעולים א.ותיק 43447</t>
  </si>
  <si>
    <t xml:space="preserve">התכנית הביתית 1073222 </t>
  </si>
  <si>
    <t xml:space="preserve">תכנית מגשרים 1073221 </t>
  </si>
  <si>
    <t>עובדי שכונה - עולים 73120</t>
  </si>
  <si>
    <t>אבחון ושיקום נכים-עולים90</t>
  </si>
  <si>
    <t xml:space="preserve">עולי צרפת ואוקראינה - מ. </t>
  </si>
  <si>
    <t>תוכניות טיפול בעולים 3230</t>
  </si>
  <si>
    <t>טיפול בעולים נפגעי סמים66</t>
  </si>
  <si>
    <t>מ.טיפול באלימות עולים 420</t>
  </si>
  <si>
    <t xml:space="preserve">תוכנית במעלה 1039472 </t>
  </si>
  <si>
    <t>חומש אתיופים פעולות 73101</t>
  </si>
  <si>
    <t xml:space="preserve">פרויקטים לנגמלים 1125064 </t>
  </si>
  <si>
    <t xml:space="preserve">הכנסות עצמיות-קליטה </t>
  </si>
  <si>
    <t>הכנ' עצמיות מחוזים חדשים)</t>
  </si>
  <si>
    <t>הכנ' מ. הקליטה פעולות חדש</t>
  </si>
  <si>
    <t xml:space="preserve">מוקד שכונתי-אתיופים </t>
  </si>
  <si>
    <t xml:space="preserve">עולי צרפת - הכנ' עצמיות </t>
  </si>
  <si>
    <t xml:space="preserve">קליטת עולי צרפת </t>
  </si>
  <si>
    <t xml:space="preserve">הכנ' עצמיות-עולים על הגל </t>
  </si>
  <si>
    <t>אמריקה הלטינית-הכנ' עצמיו</t>
  </si>
  <si>
    <t xml:space="preserve">עליה-אמריקה הלטינית </t>
  </si>
  <si>
    <t xml:space="preserve">כנס קליטה </t>
  </si>
  <si>
    <t>הכנ' עצמיות - עולי גאורגי</t>
  </si>
  <si>
    <t>הכננ' מ. הקליטה - עולי גא</t>
  </si>
  <si>
    <t>הכנ' עצמיות - עולי תורכיה</t>
  </si>
  <si>
    <t>הכנ' מ. הקליטה - עולי תור</t>
  </si>
  <si>
    <t xml:space="preserve">אגרת מים (צריכה שוטפת( </t>
  </si>
  <si>
    <t>אגרות מים אחרות (מוני מים</t>
  </si>
  <si>
    <t xml:space="preserve">דמי ניהול תאגיד </t>
  </si>
  <si>
    <t>החזר הוצאות שכ"ע ורכב-תאג</t>
  </si>
  <si>
    <t xml:space="preserve">שווקים </t>
  </si>
  <si>
    <t xml:space="preserve">השכרת נכסים </t>
  </si>
  <si>
    <t xml:space="preserve">מכירת רכב משומש </t>
  </si>
  <si>
    <t xml:space="preserve">ביוב עירוני </t>
  </si>
  <si>
    <t xml:space="preserve">תקבולים משנים קודמות </t>
  </si>
  <si>
    <t xml:space="preserve">קרנות הפרשה ועודף נצבר </t>
  </si>
  <si>
    <t xml:space="preserve">החזר בגין דמי פגיעה -ב"ל </t>
  </si>
  <si>
    <t xml:space="preserve">בגין צוק איתן- מס רכוש </t>
  </si>
  <si>
    <t xml:space="preserve">הכנסות "צוק איתן" </t>
  </si>
  <si>
    <t xml:space="preserve">השכר הקובע </t>
  </si>
  <si>
    <t xml:space="preserve">תוספות שלא נכללות בשכר </t>
  </si>
  <si>
    <t xml:space="preserve">החזר הוצאות רכב </t>
  </si>
  <si>
    <t xml:space="preserve">החזר הוצאות אחר </t>
  </si>
  <si>
    <t xml:space="preserve">מיסים ועליות </t>
  </si>
  <si>
    <t xml:space="preserve">תוסםות שלא נכללות בשכר </t>
  </si>
  <si>
    <t xml:space="preserve">שכר זמניים </t>
  </si>
  <si>
    <t xml:space="preserve">מכונות צילום </t>
  </si>
  <si>
    <t xml:space="preserve">אש'ל וכבודים </t>
  </si>
  <si>
    <t xml:space="preserve">ספרות מקצועית ועתונות </t>
  </si>
  <si>
    <t xml:space="preserve">רכב צמוד 4351062 </t>
  </si>
  <si>
    <t xml:space="preserve">דואר וטלפון </t>
  </si>
  <si>
    <t xml:space="preserve">רט"ן-תקשורת סלולרית </t>
  </si>
  <si>
    <t>קנית שרותים מרשויות ומוסד</t>
  </si>
  <si>
    <t xml:space="preserve">ספרות מקצועיות ועתונים </t>
  </si>
  <si>
    <t xml:space="preserve">רכב 7747775 </t>
  </si>
  <si>
    <t xml:space="preserve">שכר עובדים זמניים </t>
  </si>
  <si>
    <t xml:space="preserve">רכב צמוד </t>
  </si>
  <si>
    <t xml:space="preserve">אחז' מכונת צילום </t>
  </si>
  <si>
    <t xml:space="preserve"> 82-117-70</t>
  </si>
  <si>
    <t xml:space="preserve">השכר הקובע ללא תקן </t>
  </si>
  <si>
    <t xml:space="preserve">מ. צילום ופקס </t>
  </si>
  <si>
    <t xml:space="preserve">רט"ן- תקשורת סלולרית </t>
  </si>
  <si>
    <t xml:space="preserve">הוצ' יועצים </t>
  </si>
  <si>
    <t xml:space="preserve">החזר הוצאות אחרות </t>
  </si>
  <si>
    <t xml:space="preserve">אשל וכיבודים </t>
  </si>
  <si>
    <t xml:space="preserve">השכר הקבוע </t>
  </si>
  <si>
    <t xml:space="preserve">הוצאות מ. צילום </t>
  </si>
  <si>
    <t xml:space="preserve">ספרות מקצועית ועתונים </t>
  </si>
  <si>
    <t xml:space="preserve"> 50-699-30</t>
  </si>
  <si>
    <t xml:space="preserve">יועצים ופעולות אירגוניות </t>
  </si>
  <si>
    <t xml:space="preserve">ייעוץ אירגוני </t>
  </si>
  <si>
    <t xml:space="preserve">הצ' אירגוניות </t>
  </si>
  <si>
    <t xml:space="preserve">שטח סטרילי </t>
  </si>
  <si>
    <t xml:space="preserve">בדיקות מיוחדות </t>
  </si>
  <si>
    <t xml:space="preserve">רכישת ערכות אבלים </t>
  </si>
  <si>
    <t xml:space="preserve">קרן הצטיידות </t>
  </si>
  <si>
    <t xml:space="preserve">החזרהוצאות רכב </t>
  </si>
  <si>
    <t xml:space="preserve">ציודמשרדי מתכלה </t>
  </si>
  <si>
    <t xml:space="preserve">אירוח </t>
  </si>
  <si>
    <t xml:space="preserve">השתלמויות - מינהל כללי </t>
  </si>
  <si>
    <t xml:space="preserve">רכב צמוד מספר 8640076 </t>
  </si>
  <si>
    <t xml:space="preserve">ועדת ערר </t>
  </si>
  <si>
    <t>קנית שרותים מרשויות מוסדת</t>
  </si>
  <si>
    <t xml:space="preserve">עשות נוספות </t>
  </si>
  <si>
    <t xml:space="preserve">צ. משרדי </t>
  </si>
  <si>
    <t xml:space="preserve">ס. מקצועית ועיתונים </t>
  </si>
  <si>
    <t xml:space="preserve">הוצ' טלפון </t>
  </si>
  <si>
    <t xml:space="preserve">תוכנה </t>
  </si>
  <si>
    <t xml:space="preserve">הוצ' ע"פ ו. מיחשוב </t>
  </si>
  <si>
    <t xml:space="preserve">חומרה </t>
  </si>
  <si>
    <t xml:space="preserve">שכירות תוכנה </t>
  </si>
  <si>
    <t xml:space="preserve">כ'א מקצועי (גורמי חוץ( </t>
  </si>
  <si>
    <t xml:space="preserve">שירותים שונים </t>
  </si>
  <si>
    <t xml:space="preserve">ייעוץ מקצועי </t>
  </si>
  <si>
    <t xml:space="preserve">תקשורת </t>
  </si>
  <si>
    <t xml:space="preserve">השתלמויות וספרות מקצועית </t>
  </si>
  <si>
    <t xml:space="preserve">פרוייקטים </t>
  </si>
  <si>
    <t xml:space="preserve"> 80-132-72תפעולי </t>
  </si>
  <si>
    <t xml:space="preserve">כלים מכשירים וציוד </t>
  </si>
  <si>
    <t xml:space="preserve">העברת תקציב פיתוח לרגיל </t>
  </si>
  <si>
    <t xml:space="preserve">העברה מתקציב פיתוח </t>
  </si>
  <si>
    <t xml:space="preserve">קרן מיחשוב </t>
  </si>
  <si>
    <t xml:space="preserve">אחזקת המשרד </t>
  </si>
  <si>
    <t xml:space="preserve">מ. צילום </t>
  </si>
  <si>
    <t xml:space="preserve"> 36-927-31</t>
  </si>
  <si>
    <t xml:space="preserve">רט"ן תקשורת סלולרית </t>
  </si>
  <si>
    <t xml:space="preserve">פירסומים </t>
  </si>
  <si>
    <t xml:space="preserve">הוצ' אירגוניות ויועצים </t>
  </si>
  <si>
    <t xml:space="preserve">הוצ' שולחן עגול </t>
  </si>
  <si>
    <t xml:space="preserve">סרט תדמית ומדיה עסקית </t>
  </si>
  <si>
    <t>יוזמות תעסוקה גיוס מפעלים</t>
  </si>
  <si>
    <t>מפת"ח- מרכז פיתוח תעסקה ח</t>
  </si>
  <si>
    <t xml:space="preserve">גיוס מפעלים ויזמים </t>
  </si>
  <si>
    <t xml:space="preserve">חממת שטראוס </t>
  </si>
  <si>
    <t xml:space="preserve">חשמל יחידת תעסוקה </t>
  </si>
  <si>
    <t xml:space="preserve">ספרות מקצועית ועתנות </t>
  </si>
  <si>
    <t xml:space="preserve"> 66-450-30</t>
  </si>
  <si>
    <t xml:space="preserve">משלוחים </t>
  </si>
  <si>
    <t xml:space="preserve">הוצאות דו"ח בקורת </t>
  </si>
  <si>
    <t xml:space="preserve">משכורת זמניים </t>
  </si>
  <si>
    <t xml:space="preserve">דואר ושליחויות </t>
  </si>
  <si>
    <t xml:space="preserve">יועץ תקשורת </t>
  </si>
  <si>
    <t xml:space="preserve">רכב תיפעולי 5316260 </t>
  </si>
  <si>
    <t xml:space="preserve">ארכיב </t>
  </si>
  <si>
    <t xml:space="preserve">העברה מתקציב פיתוח לרגיל </t>
  </si>
  <si>
    <t xml:space="preserve">משכורת זמנית </t>
  </si>
  <si>
    <t xml:space="preserve">אחזקת מכונת צילום </t>
  </si>
  <si>
    <t xml:space="preserve"> - 18-884-34רכב צמוד </t>
  </si>
  <si>
    <t xml:space="preserve">קמפיינים </t>
  </si>
  <si>
    <t xml:space="preserve">רכישת אביזרי פירסום </t>
  </si>
  <si>
    <t xml:space="preserve">אביזרי פרסום לשכת ראה"ע </t>
  </si>
  <si>
    <t xml:space="preserve">פרסום מודעות אבל </t>
  </si>
  <si>
    <t xml:space="preserve">תוכנה ואתר אינטרנט </t>
  </si>
  <si>
    <t xml:space="preserve">יועצים - ע"פ חוזה </t>
  </si>
  <si>
    <t xml:space="preserve">דו"ח לתושב </t>
  </si>
  <si>
    <t xml:space="preserve">עיצוב גרפי </t>
  </si>
  <si>
    <t xml:space="preserve">שרותי הפצה </t>
  </si>
  <si>
    <t xml:space="preserve">צילומים </t>
  </si>
  <si>
    <t xml:space="preserve">סרט תדמית </t>
  </si>
  <si>
    <t xml:space="preserve">מדיה חברתית </t>
  </si>
  <si>
    <t xml:space="preserve">פרסומים - דרושים </t>
  </si>
  <si>
    <t>הוצ' חד פעמיות - צוק איתן</t>
  </si>
  <si>
    <t xml:space="preserve">משכורות זמניים </t>
  </si>
  <si>
    <t xml:space="preserve">הוצ' כיבוד </t>
  </si>
  <si>
    <t xml:space="preserve">הישתתפות העריה-מתנות </t>
  </si>
  <si>
    <t xml:space="preserve">השתלמויות יזומות </t>
  </si>
  <si>
    <t xml:space="preserve">השתלמויות-ו. השתלמויות </t>
  </si>
  <si>
    <t xml:space="preserve">רכב צמוד 7180475 </t>
  </si>
  <si>
    <t xml:space="preserve"> - 6637362רכב צמוד </t>
  </si>
  <si>
    <t xml:space="preserve">כ"א חיצוני </t>
  </si>
  <si>
    <t xml:space="preserve">שרותים שונים </t>
  </si>
  <si>
    <t xml:space="preserve">רווחת העובד </t>
  </si>
  <si>
    <t xml:space="preserve">הרמת כוסית (רשה"ש ופסח( </t>
  </si>
  <si>
    <t xml:space="preserve">מיון והשמה </t>
  </si>
  <si>
    <t xml:space="preserve">אובדן פריט אישי </t>
  </si>
  <si>
    <t xml:space="preserve">אירועים שונים </t>
  </si>
  <si>
    <t xml:space="preserve">יועצים </t>
  </si>
  <si>
    <t xml:space="preserve">חוגים וגנ"י - לעובדים </t>
  </si>
  <si>
    <t xml:space="preserve">רווחת גימלאי העירייה </t>
  </si>
  <si>
    <t xml:space="preserve">חבורת זמר "הגדוד העיברי" </t>
  </si>
  <si>
    <t xml:space="preserve">מועדון גמלאים </t>
  </si>
  <si>
    <t xml:space="preserve">פינויים מד'א </t>
  </si>
  <si>
    <t xml:space="preserve">יעוץ מקצועי והנה"ח </t>
  </si>
  <si>
    <t xml:space="preserve">העסקת שירות לאומי </t>
  </si>
  <si>
    <t xml:space="preserve">ארועים </t>
  </si>
  <si>
    <t xml:space="preserve">פיצויים </t>
  </si>
  <si>
    <t xml:space="preserve">אחז' מכונות צילום </t>
  </si>
  <si>
    <t xml:space="preserve">ועדת השתלמויות </t>
  </si>
  <si>
    <t xml:space="preserve">רט"ן - תקשורת סלולרית </t>
  </si>
  <si>
    <t xml:space="preserve">רכב צמוד 7657471 </t>
  </si>
  <si>
    <t xml:space="preserve"> 89-773-66</t>
  </si>
  <si>
    <t>הוצאות משפטיות(אגרות בול(</t>
  </si>
  <si>
    <t xml:space="preserve">הוצאות משפטיות-ע"פ חוזה </t>
  </si>
  <si>
    <t xml:space="preserve">הוצאות משפטיות שונות </t>
  </si>
  <si>
    <t xml:space="preserve">ניהול אוכלוסין - תוכנה </t>
  </si>
  <si>
    <t xml:space="preserve">שכ"ט מוממחים </t>
  </si>
  <si>
    <t>בית הדין למשמעת - השתת' א</t>
  </si>
  <si>
    <t xml:space="preserve">תוספות שלא נכללות </t>
  </si>
  <si>
    <t xml:space="preserve"> 13-210-30</t>
  </si>
  <si>
    <t xml:space="preserve">הוצ' משרדיות </t>
  </si>
  <si>
    <t xml:space="preserve">שנתון סטטיסטי </t>
  </si>
  <si>
    <t xml:space="preserve">חוברות ועיבודים סטטיסטים </t>
  </si>
  <si>
    <t>תוכנית עבודה מקושרת תקציב</t>
  </si>
  <si>
    <t xml:space="preserve">מיתוג </t>
  </si>
  <si>
    <t xml:space="preserve">קוד אתי </t>
  </si>
  <si>
    <t>הוצ' סקר שביעות רצון תושב</t>
  </si>
  <si>
    <t xml:space="preserve">ימי עיון וכנסים </t>
  </si>
  <si>
    <t xml:space="preserve">תוכנית אב לתרבות </t>
  </si>
  <si>
    <t xml:space="preserve">בת שירות </t>
  </si>
  <si>
    <t xml:space="preserve">שיתוף הציבור </t>
  </si>
  <si>
    <t xml:space="preserve">קרן היחידה האסטרטגית </t>
  </si>
  <si>
    <t xml:space="preserve">בחירות לרשות המקומית </t>
  </si>
  <si>
    <t xml:space="preserve">ציוד מישרדי </t>
  </si>
  <si>
    <t xml:space="preserve">כיבודים </t>
  </si>
  <si>
    <t xml:space="preserve"> 75-182-53ר.צמוד </t>
  </si>
  <si>
    <t xml:space="preserve">שליחויות </t>
  </si>
  <si>
    <t>רט"ן - רשת טלפונים ניידים</t>
  </si>
  <si>
    <t xml:space="preserve">יועצים ופעולות ארגוניות </t>
  </si>
  <si>
    <t xml:space="preserve">התייעלות ומקסום הכנסות </t>
  </si>
  <si>
    <t xml:space="preserve">הסבת מערכות מידע </t>
  </si>
  <si>
    <t xml:space="preserve">בנות שירות לאומי </t>
  </si>
  <si>
    <t xml:space="preserve">תוספות לא נכללות בשכר </t>
  </si>
  <si>
    <t xml:space="preserve"> 33-319-34</t>
  </si>
  <si>
    <t xml:space="preserve">רט"ן - רשת טלפוני </t>
  </si>
  <si>
    <t xml:space="preserve">פיתוח אירגוני </t>
  </si>
  <si>
    <t xml:space="preserve">שרות לאומי </t>
  </si>
  <si>
    <t xml:space="preserve">עובדי כ'א </t>
  </si>
  <si>
    <t xml:space="preserve">מכונותצילום </t>
  </si>
  <si>
    <t xml:space="preserve">רכב -צמוד </t>
  </si>
  <si>
    <t xml:space="preserve">שירותי מחשוב שונים </t>
  </si>
  <si>
    <t xml:space="preserve">פעולות אירגוניות </t>
  </si>
  <si>
    <t xml:space="preserve">התאמת הנה"ח גביה </t>
  </si>
  <si>
    <t xml:space="preserve">מכונות צילום ופקס </t>
  </si>
  <si>
    <t>ליווי ויעוץ למיקסום הכנסו</t>
  </si>
  <si>
    <t xml:space="preserve">הוצ' רכב מנהלי-7989366 </t>
  </si>
  <si>
    <t xml:space="preserve">רט"ן - רשת טלפונית </t>
  </si>
  <si>
    <t xml:space="preserve">בטיחות עובדים </t>
  </si>
  <si>
    <t xml:space="preserve">מיגון </t>
  </si>
  <si>
    <t xml:space="preserve">אחזקת מבנים </t>
  </si>
  <si>
    <t xml:space="preserve">החזקת מבנים חומרים </t>
  </si>
  <si>
    <t xml:space="preserve">ספירות מלאי </t>
  </si>
  <si>
    <t xml:space="preserve">רכישת כלים.מכשירים וציוד </t>
  </si>
  <si>
    <t xml:space="preserve">מגון מחסני העירייה </t>
  </si>
  <si>
    <t xml:space="preserve">הוצאות עבודות פתוח </t>
  </si>
  <si>
    <t xml:space="preserve">ציוד יסודי </t>
  </si>
  <si>
    <t xml:space="preserve">מילוי מקום-שמירה </t>
  </si>
  <si>
    <t xml:space="preserve">דואר </t>
  </si>
  <si>
    <t xml:space="preserve">הפקת החשבונות הדו חודשים </t>
  </si>
  <si>
    <t xml:space="preserve">תוכנות גביה </t>
  </si>
  <si>
    <t xml:space="preserve">פרויקטי מחשוב </t>
  </si>
  <si>
    <t xml:space="preserve">קטנוע- 11-408-70 </t>
  </si>
  <si>
    <t xml:space="preserve"> 79-545-72</t>
  </si>
  <si>
    <t xml:space="preserve">קטנוע 11-689-70 </t>
  </si>
  <si>
    <t xml:space="preserve">העברת תיקים לארכיב מרכזי </t>
  </si>
  <si>
    <t xml:space="preserve">הרחבת בסיס המס </t>
  </si>
  <si>
    <t xml:space="preserve">ביצוע תשלומים במוקדן </t>
  </si>
  <si>
    <t xml:space="preserve">שירותי מוקד אחרים </t>
  </si>
  <si>
    <t xml:space="preserve">טפסים </t>
  </si>
  <si>
    <t xml:space="preserve">החזר הוצ' רכב </t>
  </si>
  <si>
    <t xml:space="preserve">ביגוד עובדי הגבייה </t>
  </si>
  <si>
    <t xml:space="preserve">החר הוצאות אחר </t>
  </si>
  <si>
    <t xml:space="preserve">שכירות ואחזקת מבנה </t>
  </si>
  <si>
    <t xml:space="preserve">כיבוד מח' עסקים </t>
  </si>
  <si>
    <t xml:space="preserve">רט"ן </t>
  </si>
  <si>
    <t xml:space="preserve">יועצים - מח' עסקים </t>
  </si>
  <si>
    <t xml:space="preserve">חשמל למח' עסקים </t>
  </si>
  <si>
    <t xml:space="preserve">מיסים ןעלויות </t>
  </si>
  <si>
    <t xml:space="preserve">אכיפה מנהלית </t>
  </si>
  <si>
    <t xml:space="preserve">מערכות למידע ובירורים </t>
  </si>
  <si>
    <t xml:space="preserve">שכ"ט עו"ד אכיפה משפטית </t>
  </si>
  <si>
    <t xml:space="preserve">עו'ד אכיפה משפטית-אגרו </t>
  </si>
  <si>
    <t xml:space="preserve">אגרות עו"ד חינוך </t>
  </si>
  <si>
    <t xml:space="preserve">עמלות </t>
  </si>
  <si>
    <t xml:space="preserve">עמלות בתשלום יזום </t>
  </si>
  <si>
    <t xml:space="preserve">ריבית ומשיכות יתר </t>
  </si>
  <si>
    <t>ריבית בטוח לאומי מס בכנסה</t>
  </si>
  <si>
    <t xml:space="preserve">תשלום ע'ח קרן </t>
  </si>
  <si>
    <t xml:space="preserve">תשלום ע'ח ריבית </t>
  </si>
  <si>
    <t xml:space="preserve">תשלום ע'ח הצמדה וערך </t>
  </si>
  <si>
    <t xml:space="preserve">תשלום ע"ח קרן-חפ"א </t>
  </si>
  <si>
    <t xml:space="preserve">תשלום ע"ח ריבית - חפ"א </t>
  </si>
  <si>
    <t>תשלום ע"ח הצמדה וערך - חפ</t>
  </si>
  <si>
    <t xml:space="preserve">תשלום ע"ח קרן </t>
  </si>
  <si>
    <t xml:space="preserve">תשלום ע"ח ריבית </t>
  </si>
  <si>
    <t xml:space="preserve">תשלום ע"ח הצמדה וערך </t>
  </si>
  <si>
    <t>תשלום ע"ח קרן - הלוואה למ</t>
  </si>
  <si>
    <t>תשלום ע"ח ריבית -הלוואה ל</t>
  </si>
  <si>
    <t>תשלום ע"ח הצמדה -הלוואה ל</t>
  </si>
  <si>
    <t xml:space="preserve">תוספות שאינן נכללות בשכר </t>
  </si>
  <si>
    <t xml:space="preserve">ר.צמוד 1320830 </t>
  </si>
  <si>
    <t xml:space="preserve">רט"ן - רשת טלפונים נייד </t>
  </si>
  <si>
    <t xml:space="preserve">יועצים והוצ' אירגוניות </t>
  </si>
  <si>
    <t xml:space="preserve">רכב תפעולי 55-926-69- </t>
  </si>
  <si>
    <t xml:space="preserve">אירועי טבע בלצ"מ </t>
  </si>
  <si>
    <t xml:space="preserve">קרן תחזוקה </t>
  </si>
  <si>
    <t>גמישות תפעולית לער"נ תשתי</t>
  </si>
  <si>
    <t xml:space="preserve">פינוי פסולת בנייה </t>
  </si>
  <si>
    <t xml:space="preserve">שכר עובדי זמני </t>
  </si>
  <si>
    <t xml:space="preserve">תחזוקת מבנים אגף תפו"ח </t>
  </si>
  <si>
    <t>ניקיון המבנה כולל ציוד מת</t>
  </si>
  <si>
    <t xml:space="preserve">רכב צמוד 89-849-11 </t>
  </si>
  <si>
    <t xml:space="preserve">פירסום מידע לציבור </t>
  </si>
  <si>
    <t xml:space="preserve">רכב תפעולי 7443972 </t>
  </si>
  <si>
    <t xml:space="preserve">אחזקת מצלמות </t>
  </si>
  <si>
    <t xml:space="preserve">מיגון מבנה תפו"ח </t>
  </si>
  <si>
    <t xml:space="preserve">צילומים + פקס </t>
  </si>
  <si>
    <t xml:space="preserve">ר.צמוד 3261131 </t>
  </si>
  <si>
    <t xml:space="preserve">רכב -74-442-72תפעולי </t>
  </si>
  <si>
    <t>הוצ' 4 קטנועים ו 10אופניי</t>
  </si>
  <si>
    <t xml:space="preserve">נגרר 9730172 </t>
  </si>
  <si>
    <t xml:space="preserve">רכב 5406178 </t>
  </si>
  <si>
    <t xml:space="preserve">טרקטורון 7910934 7911034 </t>
  </si>
  <si>
    <t xml:space="preserve">רכב 5433278 </t>
  </si>
  <si>
    <t xml:space="preserve">רכב 5453478 </t>
  </si>
  <si>
    <t xml:space="preserve">רכב 7456867 </t>
  </si>
  <si>
    <t xml:space="preserve">תפעולי 8308478-8308378 </t>
  </si>
  <si>
    <t xml:space="preserve">רכב תפעולי 8307678 </t>
  </si>
  <si>
    <t xml:space="preserve">אחזקת כלים ומכשירים </t>
  </si>
  <si>
    <t xml:space="preserve">מכונות טיאוט </t>
  </si>
  <si>
    <t xml:space="preserve">נקיון ישובי- עב' נוספות </t>
  </si>
  <si>
    <t xml:space="preserve">ניקיון רובעים </t>
  </si>
  <si>
    <t xml:space="preserve">פינוי ע"י מנוף - טיירו </t>
  </si>
  <si>
    <t xml:space="preserve">התקנת שלטי אזהרה בעיר </t>
  </si>
  <si>
    <t xml:space="preserve">צריכת מים </t>
  </si>
  <si>
    <t xml:space="preserve">חביות לביעור חמץ </t>
  </si>
  <si>
    <t xml:space="preserve">תוספות שאינן שכר </t>
  </si>
  <si>
    <t xml:space="preserve">רכב תפעולי 5191366 </t>
  </si>
  <si>
    <t xml:space="preserve">אחזקת אופנים </t>
  </si>
  <si>
    <t>ניקיון טיילת ספורט מעטפ</t>
  </si>
  <si>
    <t xml:space="preserve">מכונת צילום </t>
  </si>
  <si>
    <t xml:space="preserve">רכב 3261331 </t>
  </si>
  <si>
    <t xml:space="preserve">פרסום מידע לציבור </t>
  </si>
  <si>
    <t xml:space="preserve">רכב - תפעולי32-613-31 </t>
  </si>
  <si>
    <t xml:space="preserve">קטנוע 28-283-57 </t>
  </si>
  <si>
    <t xml:space="preserve">רכב תפעולי 5403778 </t>
  </si>
  <si>
    <t xml:space="preserve">רכב תפעולי 30-522-69 </t>
  </si>
  <si>
    <t xml:space="preserve">רכב תפעולי 7454467 </t>
  </si>
  <si>
    <t xml:space="preserve">פנוי אשפה-י.ר.אב (מזרח( </t>
  </si>
  <si>
    <t xml:space="preserve">פינוי ומיחזור קרטון </t>
  </si>
  <si>
    <t xml:space="preserve">פינוי אשפה - מערב (ד.ח.ס </t>
  </si>
  <si>
    <t xml:space="preserve">ליווי בקרה לווינית </t>
  </si>
  <si>
    <t xml:space="preserve">פינוי מכלי נייר 360 ליטר </t>
  </si>
  <si>
    <t xml:space="preserve">אגרה והיטל הטמנה </t>
  </si>
  <si>
    <t xml:space="preserve">תחנת מעבר </t>
  </si>
  <si>
    <t xml:space="preserve">היטל הטמנה </t>
  </si>
  <si>
    <t xml:space="preserve">אחזקת מבני השירותיים </t>
  </si>
  <si>
    <t xml:space="preserve">ציוד מתכלה - חומרים </t>
  </si>
  <si>
    <t>ניקיון ש"צ-פארקים+חומרי נ</t>
  </si>
  <si>
    <t>החזר כלכלה ונסיעות למתנדב</t>
  </si>
  <si>
    <t xml:space="preserve">מכונת צילום ופקס </t>
  </si>
  <si>
    <t xml:space="preserve">ימי עיון לעסקים </t>
  </si>
  <si>
    <t xml:space="preserve">רכב מנהלי 3261231 </t>
  </si>
  <si>
    <t>משלוח דואר בגין איכות המי</t>
  </si>
  <si>
    <t xml:space="preserve">קמפיין הסברה בנושא רישוי </t>
  </si>
  <si>
    <t xml:space="preserve">תוכנות </t>
  </si>
  <si>
    <t xml:space="preserve">מפגעי תברואה </t>
  </si>
  <si>
    <t xml:space="preserve">מורשי נגישות לרישוין עסק </t>
  </si>
  <si>
    <t xml:space="preserve">בדיקות כימיות </t>
  </si>
  <si>
    <t xml:space="preserve">שאילתות רשם החברות </t>
  </si>
  <si>
    <t xml:space="preserve">שאילתות מ.הפנים </t>
  </si>
  <si>
    <t xml:space="preserve">תחזוקת מערכת מיחשוב </t>
  </si>
  <si>
    <t xml:space="preserve">רכב - 44-235-72 תפעולי </t>
  </si>
  <si>
    <t xml:space="preserve">הוצאות כלבייה </t>
  </si>
  <si>
    <t xml:space="preserve">עיקור סירוס חתולי רחוב </t>
  </si>
  <si>
    <t xml:space="preserve">הסגר בכלביה </t>
  </si>
  <si>
    <t xml:space="preserve">חשמל פקוח וטרינרי </t>
  </si>
  <si>
    <t xml:space="preserve">צריכת מים בכלבייה </t>
  </si>
  <si>
    <t xml:space="preserve">הוצ' בגין תוכנת דוקטורנט </t>
  </si>
  <si>
    <t xml:space="preserve">לכידה וטיפול בבעלי חיים </t>
  </si>
  <si>
    <t xml:space="preserve">כלים ומכשירים בכלבייה </t>
  </si>
  <si>
    <t xml:space="preserve">אחזקת מבנה </t>
  </si>
  <si>
    <t>חומרי ניקיון ואחזקה למבנה</t>
  </si>
  <si>
    <t xml:space="preserve">רכב - 4339572 תפעולי </t>
  </si>
  <si>
    <t xml:space="preserve">סירה-42-542נגרר9234571 </t>
  </si>
  <si>
    <t xml:space="preserve">עב' קבלניות + אגרה </t>
  </si>
  <si>
    <t xml:space="preserve">איגוד ערים-הדברה </t>
  </si>
  <si>
    <t xml:space="preserve">שכר תצפיתנים </t>
  </si>
  <si>
    <t xml:space="preserve">ש. נקיון מ. הפעלה </t>
  </si>
  <si>
    <t xml:space="preserve"> 65-270-30</t>
  </si>
  <si>
    <t xml:space="preserve">רכב תיפעולי 8987850 </t>
  </si>
  <si>
    <t xml:space="preserve">קטנועים ביטחון </t>
  </si>
  <si>
    <t xml:space="preserve">ניגררים ושונות ביטחון </t>
  </si>
  <si>
    <t xml:space="preserve">מירסים </t>
  </si>
  <si>
    <t xml:space="preserve">רכישות אקדחים ותחמושת </t>
  </si>
  <si>
    <t xml:space="preserve">ביפר </t>
  </si>
  <si>
    <t xml:space="preserve">מצלמות צפיה ברחבי העיר </t>
  </si>
  <si>
    <t>אישים מאויימים- הוצ' אבטח</t>
  </si>
  <si>
    <t xml:space="preserve">אבטחת מתחמי בילוי </t>
  </si>
  <si>
    <t xml:space="preserve">אבטחה ושמירה בלתי צפויות </t>
  </si>
  <si>
    <t xml:space="preserve">חשמל ביטחון </t>
  </si>
  <si>
    <t xml:space="preserve">רכישת ציוד </t>
  </si>
  <si>
    <t xml:space="preserve">קרן אגרת שמירה </t>
  </si>
  <si>
    <t xml:space="preserve">תוספת שלא נכללות בשכר </t>
  </si>
  <si>
    <t xml:space="preserve">אחזקת בסיסי הפעלה </t>
  </si>
  <si>
    <t xml:space="preserve">ביגוד שיטור משולב </t>
  </si>
  <si>
    <t xml:space="preserve">בנין השיטור המשולב </t>
  </si>
  <si>
    <t xml:space="preserve">כלכלה ש. משולב </t>
  </si>
  <si>
    <t xml:space="preserve">השתלמויות מקצועיות </t>
  </si>
  <si>
    <t xml:space="preserve">הוצאות טלפון </t>
  </si>
  <si>
    <t xml:space="preserve">פינוי שבחי"ם - הסעות </t>
  </si>
  <si>
    <t xml:space="preserve">מערכת אזעקה-ש.משולב </t>
  </si>
  <si>
    <t xml:space="preserve">השכרת רכב למשמרת ג' </t>
  </si>
  <si>
    <t xml:space="preserve">בטיחות עובדים ש.משולב </t>
  </si>
  <si>
    <t xml:space="preserve">שכר עובדי כ"א </t>
  </si>
  <si>
    <t xml:space="preserve">תיקונים </t>
  </si>
  <si>
    <t xml:space="preserve">חשמל הג"א </t>
  </si>
  <si>
    <t xml:space="preserve">שונות </t>
  </si>
  <si>
    <t xml:space="preserve">דמי אגרה-הג'א </t>
  </si>
  <si>
    <t xml:space="preserve">כיבוי אש - חו"ד ושונות </t>
  </si>
  <si>
    <t xml:space="preserve">אגודי ערים-כיבוי אש </t>
  </si>
  <si>
    <t xml:space="preserve">אחזקה </t>
  </si>
  <si>
    <t xml:space="preserve">הוצ' מכונת צילום </t>
  </si>
  <si>
    <t xml:space="preserve">אחזקת מיבנה-מרכז ההפעלה </t>
  </si>
  <si>
    <t xml:space="preserve">הצטיידות חירום </t>
  </si>
  <si>
    <t xml:space="preserve">תרגילים </t>
  </si>
  <si>
    <t xml:space="preserve">קרן הוצאות ביטחון </t>
  </si>
  <si>
    <t xml:space="preserve">החזרהוצאות אחר </t>
  </si>
  <si>
    <t xml:space="preserve">רכב 16-923-38 </t>
  </si>
  <si>
    <t xml:space="preserve">תקשורת סלולרית </t>
  </si>
  <si>
    <t xml:space="preserve">ניהול תורים </t>
  </si>
  <si>
    <t>בדיקות קרינה אנטנות סלולר</t>
  </si>
  <si>
    <t xml:space="preserve">רכב מס' 37-748-74 </t>
  </si>
  <si>
    <t xml:space="preserve">טלפון </t>
  </si>
  <si>
    <t xml:space="preserve">הוצאות אירגוניות שונות </t>
  </si>
  <si>
    <t xml:space="preserve">שכ"ט שמאים </t>
  </si>
  <si>
    <t xml:space="preserve">בדיקת תוכניות רישוי </t>
  </si>
  <si>
    <t>צילומי אויר לאיתור חריגות</t>
  </si>
  <si>
    <t>בטיחות עובדים -פ. בניה פר</t>
  </si>
  <si>
    <t xml:space="preserve">הריסת מבנים בלתי חוקיים </t>
  </si>
  <si>
    <t xml:space="preserve">תיכנון בניה-צילומים </t>
  </si>
  <si>
    <t xml:space="preserve">ליווי משפטי הועדה לבניין </t>
  </si>
  <si>
    <t xml:space="preserve">רכב 77-591-72 </t>
  </si>
  <si>
    <t xml:space="preserve">הדרכות והטמעות </t>
  </si>
  <si>
    <t xml:space="preserve">פרויקטים </t>
  </si>
  <si>
    <t xml:space="preserve">רכב 62-703-29- אחזקה </t>
  </si>
  <si>
    <t xml:space="preserve">רכב 78-872-63 </t>
  </si>
  <si>
    <t xml:space="preserve">רכב מס' 18-274-34 </t>
  </si>
  <si>
    <t xml:space="preserve">הוצאות רכב 95-254-66 </t>
  </si>
  <si>
    <t xml:space="preserve">שכ"ע עובדי כ"א </t>
  </si>
  <si>
    <t xml:space="preserve">רכב מס' 36-924-31 </t>
  </si>
  <si>
    <t xml:space="preserve">הסדרים קטנים </t>
  </si>
  <si>
    <t xml:space="preserve">רכב 36-925-31 </t>
  </si>
  <si>
    <t xml:space="preserve">רכב 99-867-65 </t>
  </si>
  <si>
    <t xml:space="preserve">החזר מלוות-קרן </t>
  </si>
  <si>
    <t xml:space="preserve">החזר מלוות-ריבית </t>
  </si>
  <si>
    <t xml:space="preserve">החזר מלוות-הצמדה </t>
  </si>
  <si>
    <t xml:space="preserve"> 10-424-67</t>
  </si>
  <si>
    <t xml:space="preserve">תוספות שלו נכללות בשכר </t>
  </si>
  <si>
    <t xml:space="preserve">הוצאות צילום </t>
  </si>
  <si>
    <t xml:space="preserve">מיכון ועיבוד נתונים </t>
  </si>
  <si>
    <t xml:space="preserve">עבודות קבלניות-מוקד </t>
  </si>
  <si>
    <t xml:space="preserve">סימון כבישים </t>
  </si>
  <si>
    <t>ריהוט עב' שקום מדרכות וכב</t>
  </si>
  <si>
    <t>הוצ' תיכנון העתקות וצילומ</t>
  </si>
  <si>
    <t xml:space="preserve">אחזקת תאורה עירונית </t>
  </si>
  <si>
    <t xml:space="preserve">תאונות </t>
  </si>
  <si>
    <t xml:space="preserve">פיקוד ובקרה </t>
  </si>
  <si>
    <t xml:space="preserve">חשמל מאור רחובות </t>
  </si>
  <si>
    <t>עב' פיתוח מערכות תאורה וע</t>
  </si>
  <si>
    <t>עבודות שונות במערכות חשמל</t>
  </si>
  <si>
    <t xml:space="preserve">חשמל רמזורים </t>
  </si>
  <si>
    <t>מעבירי זה"ב - פרוייקט ברו</t>
  </si>
  <si>
    <t xml:space="preserve">משמרת ג' </t>
  </si>
  <si>
    <t xml:space="preserve">תיפעול </t>
  </si>
  <si>
    <t xml:space="preserve">מרכז הדרכה </t>
  </si>
  <si>
    <t xml:space="preserve">נקיון מטה בטיחות בדרכים </t>
  </si>
  <si>
    <t>השתתפות עיריה בהרשאות מ.ת</t>
  </si>
  <si>
    <t>תוספות שאינם ניכללות בשכר</t>
  </si>
  <si>
    <t xml:space="preserve">הוצאות רכב 1561164 </t>
  </si>
  <si>
    <t xml:space="preserve">קריאות מוקד </t>
  </si>
  <si>
    <t xml:space="preserve">בדיקות בנחל </t>
  </si>
  <si>
    <t xml:space="preserve">אגרה לרשות הניקוז </t>
  </si>
  <si>
    <t>תחזוקת מערכת ניקוז חורף נ</t>
  </si>
  <si>
    <t xml:space="preserve">כוח אדם </t>
  </si>
  <si>
    <t>תוכנת ניהול תיקי גן מישחק</t>
  </si>
  <si>
    <t xml:space="preserve">מכלית מים 6238924 </t>
  </si>
  <si>
    <t>תיגבור ניקיון-פארקים ציבו</t>
  </si>
  <si>
    <t xml:space="preserve">אחזקת מתקני משחק וכושר </t>
  </si>
  <si>
    <t>אחזקת מבנים ושירותים ציבו</t>
  </si>
  <si>
    <t xml:space="preserve">חמרי נקיון </t>
  </si>
  <si>
    <t xml:space="preserve">רכב תפעולי-1571378 </t>
  </si>
  <si>
    <t xml:space="preserve">אחזקת זוג אופניים </t>
  </si>
  <si>
    <t xml:space="preserve">טרקטורון 6207168 </t>
  </si>
  <si>
    <t xml:space="preserve">טרקטורון 5071278 </t>
  </si>
  <si>
    <t xml:space="preserve">אחזקת כלים </t>
  </si>
  <si>
    <t>גיזום ניקוש גנים צידי דרכ</t>
  </si>
  <si>
    <t xml:space="preserve">ניקיון פארקים </t>
  </si>
  <si>
    <t xml:space="preserve">טיפול בדקלים </t>
  </si>
  <si>
    <t xml:space="preserve">טיפול בפירות פיקוס </t>
  </si>
  <si>
    <t xml:space="preserve">מיגון מחסן בגן בן גוריון </t>
  </si>
  <si>
    <t xml:space="preserve">רכב 8644170 </t>
  </si>
  <si>
    <t xml:space="preserve">רכב תפעולי 2386268 </t>
  </si>
  <si>
    <t xml:space="preserve">כלים וציוד </t>
  </si>
  <si>
    <t xml:space="preserve">עבודות קבלניות כולל עורף </t>
  </si>
  <si>
    <t xml:space="preserve">טיפול בפירות הפיקוס </t>
  </si>
  <si>
    <t xml:space="preserve">מיגון מחסן </t>
  </si>
  <si>
    <t xml:space="preserve">החזקת מבנים </t>
  </si>
  <si>
    <t xml:space="preserve">רכב תפעולי 2386368 </t>
  </si>
  <si>
    <t xml:space="preserve">בטיחות בגנים ציבוריים </t>
  </si>
  <si>
    <t xml:space="preserve">מיגון במשתלה </t>
  </si>
  <si>
    <t>שיקומים קטנים רכישת ריהוט</t>
  </si>
  <si>
    <t xml:space="preserve">תיקוני מערכות השקיה </t>
  </si>
  <si>
    <t xml:space="preserve">הוצ' תיכנון </t>
  </si>
  <si>
    <t xml:space="preserve">הפרשות סוציאלית </t>
  </si>
  <si>
    <t xml:space="preserve">רכב תפעולי 1571378 </t>
  </si>
  <si>
    <t xml:space="preserve">מים פעולות </t>
  </si>
  <si>
    <t xml:space="preserve">מיגון המבנה </t>
  </si>
  <si>
    <t xml:space="preserve">תוכנת מולטי אס.מ אס </t>
  </si>
  <si>
    <t xml:space="preserve">קרם הגנה </t>
  </si>
  <si>
    <t xml:space="preserve"> 5פולריס לחופים + ( מפוחי</t>
  </si>
  <si>
    <t xml:space="preserve">אופנועי ים - 6 </t>
  </si>
  <si>
    <t xml:space="preserve"> 4נגררים </t>
  </si>
  <si>
    <t xml:space="preserve">רכב תפעולי - 4146569 </t>
  </si>
  <si>
    <t xml:space="preserve">אחזקת 2 נפות </t>
  </si>
  <si>
    <t xml:space="preserve">טרקטור 18-981-72 </t>
  </si>
  <si>
    <t xml:space="preserve">רישוי ואחזקת 2 ניגררים </t>
  </si>
  <si>
    <t>אחזקת כלים מכשירים וציוד</t>
  </si>
  <si>
    <t xml:space="preserve">משקפיים </t>
  </si>
  <si>
    <t xml:space="preserve">נקיון ידני </t>
  </si>
  <si>
    <t xml:space="preserve">עבודות טרקטור ונפה </t>
  </si>
  <si>
    <t xml:space="preserve">שרותי בריאות </t>
  </si>
  <si>
    <t xml:space="preserve">קבלניות-כללי </t>
  </si>
  <si>
    <t xml:space="preserve">הערכות לעונת החורף-חסימת </t>
  </si>
  <si>
    <t xml:space="preserve">שוטרים בשכר -חופים </t>
  </si>
  <si>
    <t>הכנת חופי רחצה לתחילת עונ</t>
  </si>
  <si>
    <t xml:space="preserve">ניקוי שטח לא מוכרז </t>
  </si>
  <si>
    <t xml:space="preserve">חשמל חופי רחצה </t>
  </si>
  <si>
    <t xml:space="preserve">צריכת מים - חופים </t>
  </si>
  <si>
    <t xml:space="preserve">פירוק והצבת קירוי סככות </t>
  </si>
  <si>
    <t xml:space="preserve">דגימת מי ים </t>
  </si>
  <si>
    <t xml:space="preserve">דגל כחול ויוזמות </t>
  </si>
  <si>
    <t xml:space="preserve">נזקי סופה </t>
  </si>
  <si>
    <t xml:space="preserve">בריכות שחיה </t>
  </si>
  <si>
    <t xml:space="preserve">חשמל בריכות א' ב' ח' </t>
  </si>
  <si>
    <t xml:space="preserve">שכר </t>
  </si>
  <si>
    <t xml:space="preserve">שכר-תוספות </t>
  </si>
  <si>
    <t xml:space="preserve">הפרשות סוצאליות </t>
  </si>
  <si>
    <t xml:space="preserve">ציוד מתכלה </t>
  </si>
  <si>
    <t xml:space="preserve">כלכלה וביגוד למתנדבים </t>
  </si>
  <si>
    <t xml:space="preserve">רכב צמוד 1888634 </t>
  </si>
  <si>
    <t xml:space="preserve">טרקטורון 1207412 </t>
  </si>
  <si>
    <t xml:space="preserve">ממונע חשמלי 9703075 </t>
  </si>
  <si>
    <t xml:space="preserve">אחזקת אופניים ( 2( </t>
  </si>
  <si>
    <t xml:space="preserve">נגרר </t>
  </si>
  <si>
    <t xml:space="preserve">רכישת כלים וחומרים </t>
  </si>
  <si>
    <t>נקיון פארק+מעטפת+רחבת המש</t>
  </si>
  <si>
    <t xml:space="preserve">אחזקת אגם ומזרקה </t>
  </si>
  <si>
    <t xml:space="preserve">אחזקת הפארק +רחבת המשכן </t>
  </si>
  <si>
    <t>גינון פארק+ אמפי+ רחבת המ</t>
  </si>
  <si>
    <t xml:space="preserve">אבטחה בפארק </t>
  </si>
  <si>
    <t xml:space="preserve">תיק בטיחות </t>
  </si>
  <si>
    <t xml:space="preserve">חשמל מינהל פרויקטים </t>
  </si>
  <si>
    <t xml:space="preserve">אבטחת פארק אשדוד ים </t>
  </si>
  <si>
    <t xml:space="preserve">חגיגות יום העצמאות </t>
  </si>
  <si>
    <t xml:space="preserve">אירועים </t>
  </si>
  <si>
    <t xml:space="preserve">אירועי שנת ה-60 לאשדוד </t>
  </si>
  <si>
    <t xml:space="preserve">טכסים </t>
  </si>
  <si>
    <t xml:space="preserve">אירועי קיץ </t>
  </si>
  <si>
    <t xml:space="preserve">פסטיבלים </t>
  </si>
  <si>
    <t xml:space="preserve">טכסים עירוניים שונים </t>
  </si>
  <si>
    <t xml:space="preserve">כנס משתחררים/מתגייסים </t>
  </si>
  <si>
    <t xml:space="preserve">פסטיבל היין </t>
  </si>
  <si>
    <t xml:space="preserve">פסטיבל מדטירני </t>
  </si>
  <si>
    <t xml:space="preserve">ג'אז מונמרט ועוד </t>
  </si>
  <si>
    <t xml:space="preserve">פעולות אימוץ יחידות </t>
  </si>
  <si>
    <t xml:space="preserve">תוספות </t>
  </si>
  <si>
    <t xml:space="preserve">הוצ' אחרות </t>
  </si>
  <si>
    <t xml:space="preserve">פעילות - קשרי חוץ </t>
  </si>
  <si>
    <t xml:space="preserve">רכב צמוד 1827934 </t>
  </si>
  <si>
    <t xml:space="preserve">מיכון-אוטומציה </t>
  </si>
  <si>
    <t xml:space="preserve">תוכנת מוקד </t>
  </si>
  <si>
    <t>גלישה סלולארית למהנדס תור</t>
  </si>
  <si>
    <t xml:space="preserve">מענה טלפוני </t>
  </si>
  <si>
    <t xml:space="preserve">התמקצעות והדרכה </t>
  </si>
  <si>
    <t xml:space="preserve">כרטיסיות למתנדבים </t>
  </si>
  <si>
    <t xml:space="preserve"> 55-926-69</t>
  </si>
  <si>
    <t xml:space="preserve">רכב - 3814979תפעולי </t>
  </si>
  <si>
    <t xml:space="preserve">רכב -5592669- תפעולי </t>
  </si>
  <si>
    <t xml:space="preserve">רכב - 14-746-67 תפעולי </t>
  </si>
  <si>
    <t xml:space="preserve">יעה אופני </t>
  </si>
  <si>
    <t xml:space="preserve">טרקטור מוקד90543 </t>
  </si>
  <si>
    <t xml:space="preserve">רכב תפעולי 59-392-64 </t>
  </si>
  <si>
    <t xml:space="preserve">יאה אופני 1248189 </t>
  </si>
  <si>
    <t xml:space="preserve">יעה אופני - 1248189 </t>
  </si>
  <si>
    <t xml:space="preserve">רכישות-מהנדס תורן </t>
  </si>
  <si>
    <t xml:space="preserve">רכישות-כלים לחורף </t>
  </si>
  <si>
    <t xml:space="preserve">שפפי"ם-הסרת מיפגעים </t>
  </si>
  <si>
    <t xml:space="preserve">מוקד רואה </t>
  </si>
  <si>
    <t xml:space="preserve">משוב לתושב </t>
  </si>
  <si>
    <t xml:space="preserve">תוכנת חופש מידע </t>
  </si>
  <si>
    <t xml:space="preserve">נקיון מנהלת א'+טו'+רכזים </t>
  </si>
  <si>
    <t xml:space="preserve">רכב צמוד סיטי - 7657471 </t>
  </si>
  <si>
    <t xml:space="preserve">רכב צמוד - 2138234 </t>
  </si>
  <si>
    <t xml:space="preserve">רכב צמוד - 3331634 </t>
  </si>
  <si>
    <t xml:space="preserve"> 33-317-34</t>
  </si>
  <si>
    <t xml:space="preserve">רכב צמוד 6981752 </t>
  </si>
  <si>
    <t xml:space="preserve">רכב צמוד 1827734 </t>
  </si>
  <si>
    <t xml:space="preserve">רכב צמוד 1827634 </t>
  </si>
  <si>
    <t>רכב צמוד א+סיטי7180475 74</t>
  </si>
  <si>
    <t xml:space="preserve">רכב צמוד 2138334 </t>
  </si>
  <si>
    <t xml:space="preserve">אחזקת אופניים </t>
  </si>
  <si>
    <t xml:space="preserve">התאמות ושיפוצים-מינהלות </t>
  </si>
  <si>
    <t xml:space="preserve">שכירות חדרי מנהלות הרובע </t>
  </si>
  <si>
    <t xml:space="preserve">מיגון מנהלת רובע א'+טו' </t>
  </si>
  <si>
    <t xml:space="preserve">רכב צמוד - 29-590-70 </t>
  </si>
  <si>
    <t xml:space="preserve">רכישות ציוד לועדי בית </t>
  </si>
  <si>
    <t xml:space="preserve">פעולות יזומות לועדי בתים </t>
  </si>
  <si>
    <t>שיפוי-חב ביטוח בגין נזקים</t>
  </si>
  <si>
    <t xml:space="preserve">השתתפות עצמית </t>
  </si>
  <si>
    <t xml:space="preserve">פרסומים לפעולות </t>
  </si>
  <si>
    <t xml:space="preserve">אירועי מ. נשים </t>
  </si>
  <si>
    <t xml:space="preserve">כנס נשים </t>
  </si>
  <si>
    <t xml:space="preserve">דמי-חבר מרכז שלטון מקומי </t>
  </si>
  <si>
    <t xml:space="preserve">עמותות כלליות </t>
  </si>
  <si>
    <t xml:space="preserve">עידוד יזמות </t>
  </si>
  <si>
    <t xml:space="preserve">פארק לכיש-חופית </t>
  </si>
  <si>
    <t xml:space="preserve">פיסול - חופית </t>
  </si>
  <si>
    <t xml:space="preserve">טיילת אחזקה - חופית </t>
  </si>
  <si>
    <t xml:space="preserve">שימור אתרים - חופית </t>
  </si>
  <si>
    <t xml:space="preserve">שדרוג תיירות - חופית </t>
  </si>
  <si>
    <t xml:space="preserve">צפרות - חופים </t>
  </si>
  <si>
    <t xml:space="preserve">לשכת תיירות-אחזקה שוטפת </t>
  </si>
  <si>
    <t xml:space="preserve">הפעלת חניון משאיות </t>
  </si>
  <si>
    <t xml:space="preserve">תוספות של נכללות בשכר </t>
  </si>
  <si>
    <t xml:space="preserve">ביגוד פיקוח עירוני </t>
  </si>
  <si>
    <t xml:space="preserve"> 33-318-34</t>
  </si>
  <si>
    <t xml:space="preserve">חומרה - מחשוב </t>
  </si>
  <si>
    <t>הפעלת יישום סלולרי בפיקוח</t>
  </si>
  <si>
    <t xml:space="preserve">רכב -50-296-11 ליסינג </t>
  </si>
  <si>
    <t xml:space="preserve">קטנועים - 5 </t>
  </si>
  <si>
    <t xml:space="preserve">רכב 9062253 </t>
  </si>
  <si>
    <t xml:space="preserve">רכב 1862474 תפעולי </t>
  </si>
  <si>
    <t>רכב תפעולי 4585552 ליסינג</t>
  </si>
  <si>
    <t>רכב תפעולי 4585652 ליסינג</t>
  </si>
  <si>
    <t xml:space="preserve">רכב 4585752 ליסינג </t>
  </si>
  <si>
    <t xml:space="preserve">שאילתות משרדי ממשלה </t>
  </si>
  <si>
    <t xml:space="preserve">שאילתות משרד הפנים </t>
  </si>
  <si>
    <t xml:space="preserve">בטיחות עבדים </t>
  </si>
  <si>
    <t xml:space="preserve">רכב צמוד 18-278-34 </t>
  </si>
  <si>
    <t xml:space="preserve">דמי שימוש מערכת מיחשוב </t>
  </si>
  <si>
    <t xml:space="preserve">קישור משרדי החניה </t>
  </si>
  <si>
    <t xml:space="preserve">רכב ליסינג - 9284833 </t>
  </si>
  <si>
    <t xml:space="preserve"> 3קטנועים </t>
  </si>
  <si>
    <t>רכב תפעולי 4353752 ליסינג</t>
  </si>
  <si>
    <t>רכב תפעולי 4353852 ליסינג</t>
  </si>
  <si>
    <t xml:space="preserve">אחזקת 4 אופניים </t>
  </si>
  <si>
    <t xml:space="preserve">אכיפת גביה-חניה </t>
  </si>
  <si>
    <t xml:space="preserve">אכיפה - מדחני צג </t>
  </si>
  <si>
    <t xml:space="preserve">אכיפה - מדחני כרטיס </t>
  </si>
  <si>
    <t xml:space="preserve">החזר הוצ' אכיפה מנהלית </t>
  </si>
  <si>
    <t>עמלת תשלום באמצעות נייד/א</t>
  </si>
  <si>
    <t xml:space="preserve">שאילתות מ.התחבורה </t>
  </si>
  <si>
    <t xml:space="preserve">עב' קבלניות </t>
  </si>
  <si>
    <t xml:space="preserve">רכב 50-272-11 ליסינג </t>
  </si>
  <si>
    <t xml:space="preserve">עמלת גביה -שילוט </t>
  </si>
  <si>
    <t xml:space="preserve">אשל וכיבוד </t>
  </si>
  <si>
    <t xml:space="preserve">רכב ראש מינהל 75-183-53 </t>
  </si>
  <si>
    <t xml:space="preserve">רכב צמוד מהנדס מינהל </t>
  </si>
  <si>
    <t xml:space="preserve">בולים ודואר </t>
  </si>
  <si>
    <t xml:space="preserve">פרסומים </t>
  </si>
  <si>
    <t xml:space="preserve">יועצים_למינהל </t>
  </si>
  <si>
    <t xml:space="preserve">תמלוגים -מוסיקה </t>
  </si>
  <si>
    <t xml:space="preserve">יועץ חשמל_והנדסה </t>
  </si>
  <si>
    <t xml:space="preserve">תוכנית לאומית לתקשוב </t>
  </si>
  <si>
    <t xml:space="preserve">חשמל דירות מורות חיילות </t>
  </si>
  <si>
    <t xml:space="preserve">פרויקטים חינוכיים </t>
  </si>
  <si>
    <t>מסע פולין והכנה לצה"ל הכר</t>
  </si>
  <si>
    <t xml:space="preserve">העצמת כ"א בהוראה </t>
  </si>
  <si>
    <t xml:space="preserve">גיבוש לעובדי הוראה </t>
  </si>
  <si>
    <t xml:space="preserve">ערכים ומורשת-יזמות חינוך </t>
  </si>
  <si>
    <t xml:space="preserve">מעורבות חברתית </t>
  </si>
  <si>
    <t xml:space="preserve">שכר הקובע מח רישום </t>
  </si>
  <si>
    <t>הוצאות רישום מוסדות חינוך</t>
  </si>
  <si>
    <t xml:space="preserve">השהשכר הקובע </t>
  </si>
  <si>
    <t xml:space="preserve">מכונות צילום ופקסים </t>
  </si>
  <si>
    <t xml:space="preserve">אינטרנט גנים </t>
  </si>
  <si>
    <t xml:space="preserve"> 67-016-14רכב תפעולי אלי </t>
  </si>
  <si>
    <t xml:space="preserve">92-334-57נגרר </t>
  </si>
  <si>
    <t xml:space="preserve">יוזמות המחלקה </t>
  </si>
  <si>
    <t xml:space="preserve">גנים יחודיים </t>
  </si>
  <si>
    <t xml:space="preserve">פעילות בגנים מדעיים </t>
  </si>
  <si>
    <t xml:space="preserve">פרוייקטים חינוכיים </t>
  </si>
  <si>
    <t xml:space="preserve">פעילות גוגלה גנים </t>
  </si>
  <si>
    <t xml:space="preserve"> 44-227-62קטנוע גנ"י שלומ</t>
  </si>
  <si>
    <t xml:space="preserve">סייעות מגשרות </t>
  </si>
  <si>
    <t xml:space="preserve">השכר הקובע/זמניים </t>
  </si>
  <si>
    <t xml:space="preserve">שירותים שונים-גנים </t>
  </si>
  <si>
    <t xml:space="preserve">דמי מחזור </t>
  </si>
  <si>
    <t xml:space="preserve">ציוד מתכלה למחשוב גנ"י </t>
  </si>
  <si>
    <t xml:space="preserve">מערכות אזעקה </t>
  </si>
  <si>
    <t xml:space="preserve">חשמל גני חובה </t>
  </si>
  <si>
    <t xml:space="preserve">מים גנים </t>
  </si>
  <si>
    <t xml:space="preserve">מיחשוב </t>
  </si>
  <si>
    <t xml:space="preserve">שכר דירה ודמי חכירה </t>
  </si>
  <si>
    <t xml:space="preserve">שאילת גננות טרום חובה </t>
  </si>
  <si>
    <t xml:space="preserve">חשמל גני טרום חובה </t>
  </si>
  <si>
    <t>הצטיידות יסודי לגנים חדשי</t>
  </si>
  <si>
    <t xml:space="preserve">יול'ה -דמי רישום </t>
  </si>
  <si>
    <t xml:space="preserve">יול'ה-שנתי </t>
  </si>
  <si>
    <t xml:space="preserve">חומרי נקיון-ח.מיוחד </t>
  </si>
  <si>
    <t xml:space="preserve">דמי מחזור-חומרי מלאכה </t>
  </si>
  <si>
    <t xml:space="preserve">מערכות אזעקה-ח.מיוחד </t>
  </si>
  <si>
    <t xml:space="preserve">עבודות קבלניות-ח.מיוחד </t>
  </si>
  <si>
    <t xml:space="preserve">יול'ה-קיץ </t>
  </si>
  <si>
    <t>רכב צמוד-מרטין עובדי-7-39</t>
  </si>
  <si>
    <t xml:space="preserve">יסודי-מינהל </t>
  </si>
  <si>
    <t xml:space="preserve">אינטרנט-בהס יסודיים </t>
  </si>
  <si>
    <t xml:space="preserve">מט'ח+תיקוני מחשב </t>
  </si>
  <si>
    <t xml:space="preserve">נקיון יסודי קבלניות </t>
  </si>
  <si>
    <t xml:space="preserve">מזגנים </t>
  </si>
  <si>
    <t xml:space="preserve">חשמל ביה"ס יסודיים </t>
  </si>
  <si>
    <t xml:space="preserve">מים יסודי </t>
  </si>
  <si>
    <t xml:space="preserve">לימודי יהדות-יסודי+גנים </t>
  </si>
  <si>
    <t xml:space="preserve">פנימיות יום </t>
  </si>
  <si>
    <t xml:space="preserve">קרב </t>
  </si>
  <si>
    <t xml:space="preserve">טלפון מועדוניות </t>
  </si>
  <si>
    <t xml:space="preserve">ייעוץ ומעקב בניהול כספים </t>
  </si>
  <si>
    <t xml:space="preserve">העשרה פדגוגית נ.עצמי </t>
  </si>
  <si>
    <t xml:space="preserve">רכישות מוקד </t>
  </si>
  <si>
    <t xml:space="preserve">פרויקט ספרי לימוד </t>
  </si>
  <si>
    <t xml:space="preserve">העשרת ספרי ספריה </t>
  </si>
  <si>
    <t xml:space="preserve">בהס מנגן </t>
  </si>
  <si>
    <t>רכב צמוד-מנהלת ח.מיוח5-72</t>
  </si>
  <si>
    <t xml:space="preserve">יוזמות חינוך מיוחד </t>
  </si>
  <si>
    <t xml:space="preserve">השכר -פרויקטים חינוכיים </t>
  </si>
  <si>
    <t>-18-885-34מנהל/ת מחלקה בח</t>
  </si>
  <si>
    <t xml:space="preserve">אבטחה במרכז מחוננים </t>
  </si>
  <si>
    <t xml:space="preserve">מחונים מוכשרים וגיל הרך </t>
  </si>
  <si>
    <t xml:space="preserve">מחוננים הוצאות טלפון </t>
  </si>
  <si>
    <t xml:space="preserve">נקיון מרכז מחוננים </t>
  </si>
  <si>
    <t xml:space="preserve">השכר -חרדי </t>
  </si>
  <si>
    <t xml:space="preserve">ציוד משרדי חרדי </t>
  </si>
  <si>
    <t xml:space="preserve">צילומים-חינוך חרדי </t>
  </si>
  <si>
    <t xml:space="preserve">בטיחות וכיבוי אש </t>
  </si>
  <si>
    <t xml:space="preserve">שמירה במוסדות חינוך </t>
  </si>
  <si>
    <t xml:space="preserve">הסעות תלמידים </t>
  </si>
  <si>
    <t xml:space="preserve">נקיון חרדי קבלניות </t>
  </si>
  <si>
    <t xml:space="preserve">שרתים ומזכירים </t>
  </si>
  <si>
    <t xml:space="preserve">שיפוצים-הוצאות שעות צבע </t>
  </si>
  <si>
    <t xml:space="preserve">גנ"י מעגן וחצר פעילה </t>
  </si>
  <si>
    <t xml:space="preserve">סל תלמיד </t>
  </si>
  <si>
    <t xml:space="preserve">תכנית שמיד-חינוך חרדי </t>
  </si>
  <si>
    <t xml:space="preserve">הכשרת רכזים </t>
  </si>
  <si>
    <t xml:space="preserve">חשמל ביה"ס חרדיים </t>
  </si>
  <si>
    <t xml:space="preserve">מים חרדי </t>
  </si>
  <si>
    <t xml:space="preserve">שי לבוגר </t>
  </si>
  <si>
    <t xml:space="preserve">ימי היערכות </t>
  </si>
  <si>
    <t xml:space="preserve">אגרות תלמידי חוץ </t>
  </si>
  <si>
    <t xml:space="preserve">הקצבות כוללים </t>
  </si>
  <si>
    <t xml:space="preserve">סל תלמיד תמיכות </t>
  </si>
  <si>
    <t xml:space="preserve">תמיכות כולל ערב </t>
  </si>
  <si>
    <t xml:space="preserve">חונכות סמינר בנות </t>
  </si>
  <si>
    <t xml:space="preserve">קרן חינוך חרדי </t>
  </si>
  <si>
    <t xml:space="preserve">חרדי\תורני-מינהל </t>
  </si>
  <si>
    <t>פרוייקטים חינוכיים ויוזמו</t>
  </si>
  <si>
    <t xml:space="preserve">ריהוט והצטיידות </t>
  </si>
  <si>
    <t xml:space="preserve">מחשוב חרדי </t>
  </si>
  <si>
    <t xml:space="preserve">ציוד למעבדות </t>
  </si>
  <si>
    <t xml:space="preserve">פסיכולוגים חינוכיים </t>
  </si>
  <si>
    <t xml:space="preserve">תגבור ע"יס-בנים\בנות </t>
  </si>
  <si>
    <t xml:space="preserve">סבסוד טיולים </t>
  </si>
  <si>
    <t>הוצאות כנגד הכנסות תלמידי</t>
  </si>
  <si>
    <t xml:space="preserve">הוצ" טלפון מועדוניות </t>
  </si>
  <si>
    <t xml:space="preserve">מועדוניות\רכישות </t>
  </si>
  <si>
    <t xml:space="preserve"> 11-726-54טקטור ח.חקלאית </t>
  </si>
  <si>
    <t xml:space="preserve">חשמל חווה חקלאית </t>
  </si>
  <si>
    <t xml:space="preserve">מים חווה חקלאית </t>
  </si>
  <si>
    <t xml:space="preserve">הוצאות שוטפות </t>
  </si>
  <si>
    <t xml:space="preserve">עלות שכר </t>
  </si>
  <si>
    <t xml:space="preserve"> 79-761-66צמוד דני קליין </t>
  </si>
  <si>
    <t xml:space="preserve">על יסודי-מינהל </t>
  </si>
  <si>
    <t xml:space="preserve">חומרי מלאכה מ. חינוך </t>
  </si>
  <si>
    <t xml:space="preserve">יעוץ פיננסי כלכלי </t>
  </si>
  <si>
    <t xml:space="preserve">פרוייקט מניפה\נחשון </t>
  </si>
  <si>
    <t>החזר הכנסות משכירות קיוסק</t>
  </si>
  <si>
    <t xml:space="preserve">מ"מ על יסודי </t>
  </si>
  <si>
    <t xml:space="preserve">אינטרנט-בה"ס ע"יס </t>
  </si>
  <si>
    <t xml:space="preserve">ביגוד למדריכיםיולבורנטים </t>
  </si>
  <si>
    <t xml:space="preserve">גיוס לצהל ומרכז פסיקה </t>
  </si>
  <si>
    <t xml:space="preserve">דמי מחזור חטי'ב </t>
  </si>
  <si>
    <t xml:space="preserve">מקיף א ע.נקיון </t>
  </si>
  <si>
    <t xml:space="preserve">חשמל מקיף א' </t>
  </si>
  <si>
    <t xml:space="preserve">מים מקיף א </t>
  </si>
  <si>
    <t xml:space="preserve">בגרויות </t>
  </si>
  <si>
    <t xml:space="preserve">מקיף ב' </t>
  </si>
  <si>
    <t xml:space="preserve">מקיף ב\ע.ניקיון </t>
  </si>
  <si>
    <t xml:space="preserve">שאילת מורים מקיף ב </t>
  </si>
  <si>
    <t xml:space="preserve">חשמל מקיף ב' </t>
  </si>
  <si>
    <t xml:space="preserve">מים מקיף ב </t>
  </si>
  <si>
    <t xml:space="preserve">בגרויות מקיף ב </t>
  </si>
  <si>
    <t xml:space="preserve">חומרים-חטי'ע </t>
  </si>
  <si>
    <t xml:space="preserve">מקיף ג'\ע.ניקיון </t>
  </si>
  <si>
    <t xml:space="preserve">חשמל מקיף ג' </t>
  </si>
  <si>
    <t xml:space="preserve">מים מקיף ג </t>
  </si>
  <si>
    <t xml:space="preserve">בגרויות מקיף ג </t>
  </si>
  <si>
    <t xml:space="preserve">חומרים חטי'ע </t>
  </si>
  <si>
    <t xml:space="preserve">מקיף ד\ע.ניקיון </t>
  </si>
  <si>
    <t xml:space="preserve">שאילת מורים מקיף ד" </t>
  </si>
  <si>
    <t xml:space="preserve">חשמל מקיף ד' </t>
  </si>
  <si>
    <t xml:space="preserve">מים מקיף ד </t>
  </si>
  <si>
    <t xml:space="preserve">בגרויות מקיף ד </t>
  </si>
  <si>
    <t xml:space="preserve">מקיף ה\ע.ניקיון </t>
  </si>
  <si>
    <t xml:space="preserve">שאילת מורים-מקיף ה" </t>
  </si>
  <si>
    <t xml:space="preserve">חשמל מקיף ה' </t>
  </si>
  <si>
    <t xml:space="preserve">מים מקיף ה </t>
  </si>
  <si>
    <t xml:space="preserve">בגרויות מקיף ה </t>
  </si>
  <si>
    <t xml:space="preserve">מקיף ו\ע.ניקיון </t>
  </si>
  <si>
    <t xml:space="preserve">חשמל מקיף ו' </t>
  </si>
  <si>
    <t xml:space="preserve">מים מקיף ו </t>
  </si>
  <si>
    <t xml:space="preserve">בגרויות מקיף ו </t>
  </si>
  <si>
    <t xml:space="preserve">מקיף ז\ע.ניקיון </t>
  </si>
  <si>
    <t xml:space="preserve">שאילת מורים-מקיף ז" </t>
  </si>
  <si>
    <t xml:space="preserve">חשמל מקיף ז' </t>
  </si>
  <si>
    <t xml:space="preserve">מים מקיף ז </t>
  </si>
  <si>
    <t xml:space="preserve">בגרויות מקיף ז </t>
  </si>
  <si>
    <t xml:space="preserve">חטי'ב-דמי מחזור </t>
  </si>
  <si>
    <t xml:space="preserve">מקיף ח\ע.ניקיון </t>
  </si>
  <si>
    <t xml:space="preserve">שאילת מורים-מקיף ח" </t>
  </si>
  <si>
    <t xml:space="preserve">חשמל מקיף ח' </t>
  </si>
  <si>
    <t xml:space="preserve">מים מקיף ח </t>
  </si>
  <si>
    <t xml:space="preserve">בגריות מקיף ח </t>
  </si>
  <si>
    <t xml:space="preserve">מקיף ט\ע.ניקיון </t>
  </si>
  <si>
    <t xml:space="preserve">שאילת מורים-מקיף ט </t>
  </si>
  <si>
    <t xml:space="preserve">חשמל מקיף ט' </t>
  </si>
  <si>
    <t xml:space="preserve">מים מקיף ט </t>
  </si>
  <si>
    <t xml:space="preserve">בגרויות מקיף ט </t>
  </si>
  <si>
    <t xml:space="preserve">חטי'ב דמי מחזור </t>
  </si>
  <si>
    <t xml:space="preserve">מקיף י'\ע.ניקיון </t>
  </si>
  <si>
    <t xml:space="preserve">שאילת מורים -מקיך יוד </t>
  </si>
  <si>
    <t xml:space="preserve">חשמל מקיף י' </t>
  </si>
  <si>
    <t xml:space="preserve">מים מקיף י </t>
  </si>
  <si>
    <t xml:space="preserve">בגרויות מקיף י' </t>
  </si>
  <si>
    <t xml:space="preserve">חטי'ב -דמי מחזור </t>
  </si>
  <si>
    <t xml:space="preserve">אולפנא\ע.ניקיון </t>
  </si>
  <si>
    <t xml:space="preserve">שאילת מורים-אולפנא </t>
  </si>
  <si>
    <t xml:space="preserve">מים אולפנא </t>
  </si>
  <si>
    <t xml:space="preserve">בגרויות אולפנא </t>
  </si>
  <si>
    <t xml:space="preserve">שרתים ומזכירים-בי'ס ימ </t>
  </si>
  <si>
    <t xml:space="preserve">חקר ימי </t>
  </si>
  <si>
    <t xml:space="preserve">נקיון אשכול פיס </t>
  </si>
  <si>
    <t xml:space="preserve">א. פיס\הוצאות שוטפות </t>
  </si>
  <si>
    <t xml:space="preserve">חשמל אשכול פי </t>
  </si>
  <si>
    <t xml:space="preserve">חטי'ב-חומרים </t>
  </si>
  <si>
    <t xml:space="preserve">ישיבה תיכונית </t>
  </si>
  <si>
    <t xml:space="preserve">ישיבה תיכונית "אמית" </t>
  </si>
  <si>
    <t xml:space="preserve">ישיבה תחכונית אמי"ת </t>
  </si>
  <si>
    <t xml:space="preserve">מים ישיבה תיכונית אמי"ת </t>
  </si>
  <si>
    <t xml:space="preserve">מקיף יא אזור יז </t>
  </si>
  <si>
    <t xml:space="preserve">מקיף יא נקיון </t>
  </si>
  <si>
    <t xml:space="preserve">מקיף יא חשמל </t>
  </si>
  <si>
    <t xml:space="preserve">מים מקיף יא </t>
  </si>
  <si>
    <t xml:space="preserve">אחזקת מבנה כיוונים </t>
  </si>
  <si>
    <t xml:space="preserve">שכפולים השכלה גבוהה </t>
  </si>
  <si>
    <t xml:space="preserve">השכלה גבוהה טלפון </t>
  </si>
  <si>
    <t>מרכז כיוונים תקשורת סלולר</t>
  </si>
  <si>
    <t xml:space="preserve">ניקיון השכלה גבוהה </t>
  </si>
  <si>
    <t xml:space="preserve">תשלום לאוניברסיטה+מכללות </t>
  </si>
  <si>
    <t xml:space="preserve">מרכז כיוונים </t>
  </si>
  <si>
    <t xml:space="preserve">מים מרכז כיוונים </t>
  </si>
  <si>
    <t xml:space="preserve">פעילות לתלמידי האקדמיה </t>
  </si>
  <si>
    <t xml:space="preserve">הלוואות לסטודנטים-ריבית </t>
  </si>
  <si>
    <t xml:space="preserve">פעילות לחיילים משוחררים </t>
  </si>
  <si>
    <t>פעילות לחיילים כנגד הכנסו</t>
  </si>
  <si>
    <t xml:space="preserve">אוניברסיטה פתוחה </t>
  </si>
  <si>
    <t xml:space="preserve">תשלום לאוניברסיטה-מילגות </t>
  </si>
  <si>
    <t>מכללת אשדוד אוניברסיטה פת</t>
  </si>
  <si>
    <t xml:space="preserve">השכלה גבוהה-מרכז צעירים </t>
  </si>
  <si>
    <t xml:space="preserve">חשמל מכללת סמי שמעון </t>
  </si>
  <si>
    <t xml:space="preserve">מלגות לתלמידים וסטודנטים </t>
  </si>
  <si>
    <t xml:space="preserve">מלגות-תנופה-ושיקום </t>
  </si>
  <si>
    <t xml:space="preserve">שמירה-מוסדות חינוך </t>
  </si>
  <si>
    <t xml:space="preserve">סיורים ממונעים </t>
  </si>
  <si>
    <t xml:space="preserve">אחזקת מיבנה </t>
  </si>
  <si>
    <t xml:space="preserve">אחזקת מיבנה ונקיון </t>
  </si>
  <si>
    <t xml:space="preserve">פסגה ניקיון </t>
  </si>
  <si>
    <t xml:space="preserve">שכר מרצים </t>
  </si>
  <si>
    <t xml:space="preserve">חשמל מרפ"ד </t>
  </si>
  <si>
    <t xml:space="preserve">מים מרפד </t>
  </si>
  <si>
    <t xml:space="preserve">77-553-65צמוד-חביב גלילי </t>
  </si>
  <si>
    <t>תקשורת סלולרית -חביב גליל</t>
  </si>
  <si>
    <t>תכנית שמיד-שרות פסיכולוגי</t>
  </si>
  <si>
    <t xml:space="preserve">חשמל שפ"י </t>
  </si>
  <si>
    <t xml:space="preserve">מים שפ"י </t>
  </si>
  <si>
    <t xml:space="preserve">פעולות רווחה </t>
  </si>
  <si>
    <t xml:space="preserve">טלפון קידום נוער </t>
  </si>
  <si>
    <t xml:space="preserve">תקשורת סלולרית-קבסים </t>
  </si>
  <si>
    <t xml:space="preserve">נקיון קידום נוער </t>
  </si>
  <si>
    <t xml:space="preserve">שמירה קידום נוער </t>
  </si>
  <si>
    <t xml:space="preserve">קידום נוער נקיון </t>
  </si>
  <si>
    <t xml:space="preserve">קידום נוער שכר </t>
  </si>
  <si>
    <t xml:space="preserve">פעילות וציוד ק.נוער </t>
  </si>
  <si>
    <t xml:space="preserve">דמי שימוש בשטחי פרסום </t>
  </si>
  <si>
    <t xml:space="preserve">ליווי הסעות </t>
  </si>
  <si>
    <t xml:space="preserve">החזרי הסעות לבה"ס </t>
  </si>
  <si>
    <t xml:space="preserve">קרן לפיתוח חצרות </t>
  </si>
  <si>
    <t xml:space="preserve">מורשת ישראל </t>
  </si>
  <si>
    <t xml:space="preserve">תוכנה-מחשוב </t>
  </si>
  <si>
    <t xml:space="preserve">תקשורת-חיבורשעון נוכחות </t>
  </si>
  <si>
    <t xml:space="preserve">תלמידי חוץ-חינוך </t>
  </si>
  <si>
    <t xml:space="preserve">תלמידי חוץ-רווחה </t>
  </si>
  <si>
    <t xml:space="preserve">פרויקטים משותפים עם בי'ס </t>
  </si>
  <si>
    <t xml:space="preserve">פריצות-שיפוי </t>
  </si>
  <si>
    <t xml:space="preserve">פריצות-השתתפות עצמית </t>
  </si>
  <si>
    <t xml:space="preserve">שונות-חינוך </t>
  </si>
  <si>
    <t xml:space="preserve">חומרים-נטיעות </t>
  </si>
  <si>
    <t xml:space="preserve">עבודות קבלניות-נטיעות </t>
  </si>
  <si>
    <t xml:space="preserve">לחצני מצוקה מוסדות חינוך </t>
  </si>
  <si>
    <t xml:space="preserve">הזנה-רכישת מזון </t>
  </si>
  <si>
    <t xml:space="preserve">נלוות והזנה </t>
  </si>
  <si>
    <t xml:space="preserve">מ"מ נקיון במוסדות חינוך </t>
  </si>
  <si>
    <t xml:space="preserve">תוספות שלא נככללות בשכר </t>
  </si>
  <si>
    <t xml:space="preserve">הוצ' טלפון- ח.מבוגרים </t>
  </si>
  <si>
    <t xml:space="preserve">חינוך מבוגרים נקיון </t>
  </si>
  <si>
    <t xml:space="preserve">פעילות לימוד העברית </t>
  </si>
  <si>
    <t xml:space="preserve">מים חינוך מבוגרים </t>
  </si>
  <si>
    <t xml:space="preserve">שונות חינוך מבוגרים </t>
  </si>
  <si>
    <t xml:space="preserve">עלויות </t>
  </si>
  <si>
    <t xml:space="preserve">צרכים מיוחדים </t>
  </si>
  <si>
    <t xml:space="preserve">מים-חברה עירונית </t>
  </si>
  <si>
    <t xml:space="preserve">ארנונה חב' עירונית </t>
  </si>
  <si>
    <t xml:space="preserve">חברה עירונית-מינהלה </t>
  </si>
  <si>
    <t>יוזמות תעסוקה -חב' עירוני</t>
  </si>
  <si>
    <t xml:space="preserve">העברה מת. פיתוח לת. רגיל </t>
  </si>
  <si>
    <t xml:space="preserve">פסנתר לתמיד </t>
  </si>
  <si>
    <t xml:space="preserve">תרבות </t>
  </si>
  <si>
    <t xml:space="preserve">חברה וקהילה </t>
  </si>
  <si>
    <t xml:space="preserve">ערוץ קהילתי </t>
  </si>
  <si>
    <t xml:space="preserve">ספריה עירונית </t>
  </si>
  <si>
    <t xml:space="preserve">הרצאות ופעילויות </t>
  </si>
  <si>
    <t>ספריה עירונית - רכישת ספר</t>
  </si>
  <si>
    <t xml:space="preserve">ספריה-שלוחות </t>
  </si>
  <si>
    <t xml:space="preserve">פעילויות קיץ </t>
  </si>
  <si>
    <t xml:space="preserve">חב' עירונית-מתנסים </t>
  </si>
  <si>
    <t xml:space="preserve">קרן -פרויקטים משותפים </t>
  </si>
  <si>
    <t>פעולות בקרב אוכלוסיות חלש</t>
  </si>
  <si>
    <t xml:space="preserve">מוסיקה ומחול </t>
  </si>
  <si>
    <t xml:space="preserve">תזמורת אנדלוסית </t>
  </si>
  <si>
    <t xml:space="preserve">בתי ספר למוסיקה </t>
  </si>
  <si>
    <t xml:space="preserve">תיזמורות סימפוניות </t>
  </si>
  <si>
    <t xml:space="preserve">חשמל-אודיטוריום רמי נעים </t>
  </si>
  <si>
    <t xml:space="preserve">מוקדי תרבות </t>
  </si>
  <si>
    <t xml:space="preserve">מרכז האומניות </t>
  </si>
  <si>
    <t xml:space="preserve">חשמל מוזיאונים </t>
  </si>
  <si>
    <t xml:space="preserve">מרכז האומנויות </t>
  </si>
  <si>
    <t xml:space="preserve">יוזמות קהילתיות </t>
  </si>
  <si>
    <t xml:space="preserve">מוזיאון קורין ממן </t>
  </si>
  <si>
    <t xml:space="preserve">מוזיאון עירוני </t>
  </si>
  <si>
    <t>יד- לבנים - משפחות שכולות</t>
  </si>
  <si>
    <t xml:space="preserve">חשמל יד לבנים </t>
  </si>
  <si>
    <t xml:space="preserve">יד לבנים </t>
  </si>
  <si>
    <t xml:space="preserve">אחזקת מבנה היכל תרבות </t>
  </si>
  <si>
    <t>תפעול משכן לאומנויות הבמה</t>
  </si>
  <si>
    <t xml:space="preserve">הפעלת האמפי פארק </t>
  </si>
  <si>
    <t>חשמל-המשכן לאומנויות הבמה</t>
  </si>
  <si>
    <t xml:space="preserve">פסטיבל "תור הזהב" </t>
  </si>
  <si>
    <t xml:space="preserve">בית תרבות יוצאי גאורגיה </t>
  </si>
  <si>
    <t xml:space="preserve">מרכז בית האומנים </t>
  </si>
  <si>
    <t>בית האומנים - מרכז מבקרים</t>
  </si>
  <si>
    <t xml:space="preserve">פיוט ושירה </t>
  </si>
  <si>
    <t xml:space="preserve">ניידות מידע - נוער משוטט </t>
  </si>
  <si>
    <t xml:space="preserve">מניעה וטיפול נוער בחופשה </t>
  </si>
  <si>
    <t xml:space="preserve">נוער </t>
  </si>
  <si>
    <t xml:space="preserve">קיץ ישראלי </t>
  </si>
  <si>
    <t>מניעה וטיפול בנוער בחופשה</t>
  </si>
  <si>
    <t xml:space="preserve">חשמל מגרשי ספורט </t>
  </si>
  <si>
    <t>כלי איצ' עירוני-דלק012-15</t>
  </si>
  <si>
    <t xml:space="preserve">מיגון האיצטדיון </t>
  </si>
  <si>
    <t xml:space="preserve">דמי שימוש - תמיכה עקיפה </t>
  </si>
  <si>
    <t xml:space="preserve">אחזקת איצטדיונים </t>
  </si>
  <si>
    <t>אחז' מתקנים ואולמות ספורט</t>
  </si>
  <si>
    <t xml:space="preserve">שעות הדרכה-ספורט </t>
  </si>
  <si>
    <t xml:space="preserve">פעולות ספורט </t>
  </si>
  <si>
    <t xml:space="preserve">אגודות ספורט-רשות הספורט </t>
  </si>
  <si>
    <t xml:space="preserve">ספורטיאדה </t>
  </si>
  <si>
    <t xml:space="preserve">ספורט עממי </t>
  </si>
  <si>
    <t xml:space="preserve">אגודות ספורט </t>
  </si>
  <si>
    <t xml:space="preserve">מ.ס אשדוד קבוצה מאוחדת </t>
  </si>
  <si>
    <t>מועדון כדורסל -בנות אשדוד</t>
  </si>
  <si>
    <t xml:space="preserve">כדורסלני מכבי אשדוד </t>
  </si>
  <si>
    <t xml:space="preserve">ספורטאי מכבי אשדוד </t>
  </si>
  <si>
    <t xml:space="preserve">אליצור אשדוד </t>
  </si>
  <si>
    <t xml:space="preserve">הפועל אשדוד ענפים </t>
  </si>
  <si>
    <t xml:space="preserve">הפועל אשדוד טניס שולחן </t>
  </si>
  <si>
    <t xml:space="preserve">ביתר אשדוד </t>
  </si>
  <si>
    <t xml:space="preserve">ביתר אשדוד -טניס שולחן </t>
  </si>
  <si>
    <t xml:space="preserve">עמותת שחייני אשדוד </t>
  </si>
  <si>
    <t xml:space="preserve">עמותת שח-מט אשדוד </t>
  </si>
  <si>
    <t xml:space="preserve">מועדון כדור הזהב </t>
  </si>
  <si>
    <t xml:space="preserve">מועדון כדורת אשדוד </t>
  </si>
  <si>
    <t xml:space="preserve">קידום ספורט הנכים </t>
  </si>
  <si>
    <t xml:space="preserve">פ.ספורט - מח' הספורט </t>
  </si>
  <si>
    <t xml:space="preserve">מיטב לקידום תרבות הספורט </t>
  </si>
  <si>
    <t xml:space="preserve">אלפא דנס ספורט </t>
  </si>
  <si>
    <t xml:space="preserve">הפועל ארזים אשדוד </t>
  </si>
  <si>
    <t xml:space="preserve">אשדוד A קריקט קלאב </t>
  </si>
  <si>
    <t xml:space="preserve">ב"ס השגי להאבקות אשדוד </t>
  </si>
  <si>
    <t xml:space="preserve">גל אולימפי </t>
  </si>
  <si>
    <t xml:space="preserve">מצויינות בספורט </t>
  </si>
  <si>
    <t xml:space="preserve">גלישת גלים </t>
  </si>
  <si>
    <t xml:space="preserve">דרקון הזהב </t>
  </si>
  <si>
    <t>העמותה לעדוד הספורטאי החר</t>
  </si>
  <si>
    <t>סל שיקום -העברה למרפאת הש</t>
  </si>
  <si>
    <t>שכירות מרפאת השיניים בסיט</t>
  </si>
  <si>
    <t xml:space="preserve">בריאות השן לתלמיד </t>
  </si>
  <si>
    <t xml:space="preserve">בריאות השן - מניעתי 1 </t>
  </si>
  <si>
    <t xml:space="preserve">נקיון טיפות חלב </t>
  </si>
  <si>
    <t xml:space="preserve">ממ"ק ניקיון בטיפות חלב </t>
  </si>
  <si>
    <t xml:space="preserve">חשמל טפות חלב </t>
  </si>
  <si>
    <t>שיפוץ מבני רשות למלחמה בס</t>
  </si>
  <si>
    <t xml:space="preserve">צמוד אילנה - 86-315-71 </t>
  </si>
  <si>
    <t>בריאות בקהילה - גבייה עצמ</t>
  </si>
  <si>
    <t xml:space="preserve">ערים בריאות </t>
  </si>
  <si>
    <t>אישפוזית ומעון יום פסיכיא</t>
  </si>
  <si>
    <t xml:space="preserve">חשמל הרשות לסמים </t>
  </si>
  <si>
    <t>שיפוץ מבני הרשות למלחמה ב</t>
  </si>
  <si>
    <t xml:space="preserve">סיוע לארגוני בריאות </t>
  </si>
  <si>
    <t>מרכז שיטור קהילתי רובע ב'</t>
  </si>
  <si>
    <t>הרשות למלחמה בסמים והתמכר</t>
  </si>
  <si>
    <t>מניעה וטיפול בנוער בחופשו</t>
  </si>
  <si>
    <t xml:space="preserve">חושבים הורים </t>
  </si>
  <si>
    <t>טיפול בנוער מסיכון לסיכוי</t>
  </si>
  <si>
    <t xml:space="preserve">הרשות לסמים - מים </t>
  </si>
  <si>
    <t>הרשות לסמים - השתתפות באר</t>
  </si>
  <si>
    <t xml:space="preserve">הרשות למלחמה בסמים </t>
  </si>
  <si>
    <t>פרויקטי הפחתת אלימות נוער</t>
  </si>
  <si>
    <t xml:space="preserve">קיץ בטוח - ואנדליזם </t>
  </si>
  <si>
    <t xml:space="preserve">נט'ן/השתתפ'+תרומות </t>
  </si>
  <si>
    <t xml:space="preserve">אט'ן/השתתפ'+תרומות </t>
  </si>
  <si>
    <t>_מילוי מקום מטפלות בי"ס נ</t>
  </si>
  <si>
    <t xml:space="preserve">ועד בית </t>
  </si>
  <si>
    <t xml:space="preserve">מעליות מבני רווחה </t>
  </si>
  <si>
    <t xml:space="preserve">שיפוץ ותחזוקת מבנה רווחה </t>
  </si>
  <si>
    <t xml:space="preserve">זיפות מבני רווחה </t>
  </si>
  <si>
    <t xml:space="preserve">תחזוקת מבני רווחה </t>
  </si>
  <si>
    <t xml:space="preserve">תחזוקת חשמל במבני רווחה </t>
  </si>
  <si>
    <t xml:space="preserve">אחזקת מזגנים במבני רווחה </t>
  </si>
  <si>
    <t xml:space="preserve">שרותי נקיון/משכ'ל </t>
  </si>
  <si>
    <t xml:space="preserve">רהוט והחזקתו/בלאי </t>
  </si>
  <si>
    <t>מכונות צילום ופקסים - מינ</t>
  </si>
  <si>
    <t>כיבוד לישיבות לשכת ר' מינ</t>
  </si>
  <si>
    <t xml:space="preserve">כנס עובדי רווחה </t>
  </si>
  <si>
    <t xml:space="preserve">חומרים-חשמל ואינסטלציה </t>
  </si>
  <si>
    <t xml:space="preserve">רכב תפעולי 18-623-74 </t>
  </si>
  <si>
    <t xml:space="preserve">שרותי מוקד לחצני מצוקה </t>
  </si>
  <si>
    <t xml:space="preserve">שרותי שמירה בלשכות </t>
  </si>
  <si>
    <t xml:space="preserve">אח' גינון מבני רווחה </t>
  </si>
  <si>
    <t xml:space="preserve">ממ"ק נקיון </t>
  </si>
  <si>
    <t xml:space="preserve">גיל הרך </t>
  </si>
  <si>
    <t xml:space="preserve">בנות שרות לאומי </t>
  </si>
  <si>
    <t xml:space="preserve">שיקום האסיר </t>
  </si>
  <si>
    <t xml:space="preserve">חשמל רווחה </t>
  </si>
  <si>
    <t xml:space="preserve">מים מוסדות רווחה </t>
  </si>
  <si>
    <t>מחשוב מחלקות רווחה 112920</t>
  </si>
  <si>
    <t>מכונות צילום - יחידות ברו</t>
  </si>
  <si>
    <t xml:space="preserve">כיבוד מחלקות וועדת השמה </t>
  </si>
  <si>
    <t xml:space="preserve"> - 1888234מנהל אגף ע </t>
  </si>
  <si>
    <t>יעוץ להתחשבנות משרד הרווח</t>
  </si>
  <si>
    <t>שיפוצים והצטיידות מ.רווחה</t>
  </si>
  <si>
    <t xml:space="preserve">אחזקת מבני רווחה </t>
  </si>
  <si>
    <t xml:space="preserve"> - 1888534מנהלת אגף ש </t>
  </si>
  <si>
    <t xml:space="preserve">יוזמות רווחה </t>
  </si>
  <si>
    <t xml:space="preserve">רכב 69-816-52 ר' מנהל </t>
  </si>
  <si>
    <t xml:space="preserve">מעורבות קהילתית </t>
  </si>
  <si>
    <t xml:space="preserve">רכב 37-749-74 מירן </t>
  </si>
  <si>
    <t xml:space="preserve">הוצאות משפחתונים </t>
  </si>
  <si>
    <t xml:space="preserve">תרומות-העברה </t>
  </si>
  <si>
    <t xml:space="preserve">הפרשות סוציאליןת </t>
  </si>
  <si>
    <t xml:space="preserve">מ.צילום מחלקה א' </t>
  </si>
  <si>
    <t xml:space="preserve">דואר וטלפון - א </t>
  </si>
  <si>
    <t xml:space="preserve">החזר תוספות אחר </t>
  </si>
  <si>
    <t xml:space="preserve">מ. צילום מחלקה ב' </t>
  </si>
  <si>
    <t>דואר וטלפון - ב שיקום ע</t>
  </si>
  <si>
    <t xml:space="preserve">מ. צילום מחלקה ב' קומה 1 </t>
  </si>
  <si>
    <t xml:space="preserve">מ. צילום מחלקה ו' </t>
  </si>
  <si>
    <t xml:space="preserve">דואר וטלפון - ו </t>
  </si>
  <si>
    <t xml:space="preserve">מ.צילום מחלקה יג' </t>
  </si>
  <si>
    <t xml:space="preserve">דואר וטלפון - י </t>
  </si>
  <si>
    <t xml:space="preserve">מ.צילום שיקום מוגבלויות </t>
  </si>
  <si>
    <t>מ.צילום מחלקה לעבודה קהיל</t>
  </si>
  <si>
    <t xml:space="preserve">עזרה ליולדות </t>
  </si>
  <si>
    <t>תגבור למשפחות במצוקה בקהי</t>
  </si>
  <si>
    <t xml:space="preserve">חלוקת סלי מזון לראש השנה </t>
  </si>
  <si>
    <t xml:space="preserve">מים טיפות חלב </t>
  </si>
  <si>
    <t>מכונת צילום מרכז הורים יל</t>
  </si>
  <si>
    <t xml:space="preserve">צהרונים </t>
  </si>
  <si>
    <t xml:space="preserve">ועדת הנחות למועדוניות </t>
  </si>
  <si>
    <t>מכונת צילום הורים ילדים י</t>
  </si>
  <si>
    <t xml:space="preserve">הוצאות מרכז הורים ילדים </t>
  </si>
  <si>
    <t>מרכזי הורים -וילדים 39442</t>
  </si>
  <si>
    <t>יצירת קשר הורים-ילדים 414</t>
  </si>
  <si>
    <t xml:space="preserve">ציוד בסיסי לתלמידים </t>
  </si>
  <si>
    <t xml:space="preserve">קייטנות ובריכות </t>
  </si>
  <si>
    <t xml:space="preserve">בית רשת </t>
  </si>
  <si>
    <t xml:space="preserve">גמל'א </t>
  </si>
  <si>
    <t xml:space="preserve">תוכנית אפיקים </t>
  </si>
  <si>
    <t xml:space="preserve">מיזם קיץ </t>
  </si>
  <si>
    <t>תוכנית עם הפנים לקהילה 17</t>
  </si>
  <si>
    <t xml:space="preserve">ביטוח ילדי משפחתונים </t>
  </si>
  <si>
    <t xml:space="preserve">תכנית למאבק באלימות כלפי </t>
  </si>
  <si>
    <t xml:space="preserve">הצטיידות מועדוני קשישים </t>
  </si>
  <si>
    <t xml:space="preserve">טיפולי שיניים לנזקקים </t>
  </si>
  <si>
    <t xml:space="preserve">שיניים תותבות לקשישים </t>
  </si>
  <si>
    <t xml:space="preserve">טיפול בזקן ובקהילה </t>
  </si>
  <si>
    <t xml:space="preserve">מועדוני קשישים </t>
  </si>
  <si>
    <t xml:space="preserve">פרוייקט ניצולי שואה </t>
  </si>
  <si>
    <t xml:space="preserve">מרכז יום לקשיש </t>
  </si>
  <si>
    <t xml:space="preserve">מ.יום ותעסוקה לבוגרים </t>
  </si>
  <si>
    <t>מעון לילך הוצאות בגין הכנ</t>
  </si>
  <si>
    <t>ביטוח תלמידים מעון יום שי</t>
  </si>
  <si>
    <t>מעון יובלים טיפולים פרא-ר</t>
  </si>
  <si>
    <t xml:space="preserve">מעשי"ם 0855470 </t>
  </si>
  <si>
    <t xml:space="preserve">טיפולים הידרותרפיים </t>
  </si>
  <si>
    <t>אחזת נכים בפנימיות 621040</t>
  </si>
  <si>
    <t>אחזקת נכים במש.אומנה 1041</t>
  </si>
  <si>
    <t xml:space="preserve">קהילה נגישה </t>
  </si>
  <si>
    <t>מרכזים להתפתחות הילד 9043</t>
  </si>
  <si>
    <t>מ.יום שיקומי לנכים 622110</t>
  </si>
  <si>
    <t>תעסוקה נתמכת לנכים 622350</t>
  </si>
  <si>
    <t>מרכזי איבחון ושיקום 18010</t>
  </si>
  <si>
    <t>שיקום נכים בקהילה 0622210</t>
  </si>
  <si>
    <t>מועדון עירוני לנכים - מע"</t>
  </si>
  <si>
    <t xml:space="preserve">מועדון חרשים </t>
  </si>
  <si>
    <t>טיפול בנוער ובצעירים 4023</t>
  </si>
  <si>
    <t xml:space="preserve">נוער חרדי מנותק- עירייה </t>
  </si>
  <si>
    <t xml:space="preserve">מעונות-חסות 1166030 </t>
  </si>
  <si>
    <t xml:space="preserve">פר.תעסוקתי למכורים </t>
  </si>
  <si>
    <t xml:space="preserve">שיקום שיניים לנגמלי סמים </t>
  </si>
  <si>
    <t xml:space="preserve">השתתפות באישפוזית </t>
  </si>
  <si>
    <t xml:space="preserve">חשמל לפעולות מפתן </t>
  </si>
  <si>
    <t xml:space="preserve">מפת'ן ממשלתי 1132830 </t>
  </si>
  <si>
    <t>מפת'ן מקומי - החזקה 34410</t>
  </si>
  <si>
    <t>פעולות משלימות למפתנים 20</t>
  </si>
  <si>
    <t xml:space="preserve">מרכז גישור עירוני </t>
  </si>
  <si>
    <t xml:space="preserve">חברה ורווחה-הקצבות </t>
  </si>
  <si>
    <t xml:space="preserve">שירות אזרחי </t>
  </si>
  <si>
    <t xml:space="preserve">יחידת ההיתנדבות-הפעלה </t>
  </si>
  <si>
    <t xml:space="preserve">עובדי שכונה למגזרים </t>
  </si>
  <si>
    <t xml:space="preserve">מעש"ים- עולים 0855471 </t>
  </si>
  <si>
    <t>משפחות עולים במצוקה 26420</t>
  </si>
  <si>
    <t>ילדים בפנימיות עולים 8411</t>
  </si>
  <si>
    <t>אבח. ושקום נכים-עולים 190</t>
  </si>
  <si>
    <t>טיפ.בעולים נפגעי סמים 066</t>
  </si>
  <si>
    <t>מ.טיפול באלימות עולים 097</t>
  </si>
  <si>
    <t xml:space="preserve">המועצה הדתית </t>
  </si>
  <si>
    <t xml:space="preserve">קראים </t>
  </si>
  <si>
    <t>פעולות קליטה - חוזים חדשי</t>
  </si>
  <si>
    <t xml:space="preserve">פסטיבל 'אידיש' בינלאומ </t>
  </si>
  <si>
    <t xml:space="preserve">פעולות ווטרנים </t>
  </si>
  <si>
    <t xml:space="preserve">עברית לכל עולה </t>
  </si>
  <si>
    <t xml:space="preserve">שיתוף הציבור בנושא קליטה </t>
  </si>
  <si>
    <t xml:space="preserve">שכירות בית קנדה </t>
  </si>
  <si>
    <t>עובדי קליטה-אגודה למען הק</t>
  </si>
  <si>
    <t xml:space="preserve">מוקד שכונתי -אתיופים </t>
  </si>
  <si>
    <t xml:space="preserve">שי לעולים שנה א' </t>
  </si>
  <si>
    <t xml:space="preserve">עולים על הגל </t>
  </si>
  <si>
    <t xml:space="preserve">עלייה - אמריקה הלטינית </t>
  </si>
  <si>
    <t xml:space="preserve">עולי גאורגיה - פעילות </t>
  </si>
  <si>
    <t xml:space="preserve">קליטת עולי תורכיה </t>
  </si>
  <si>
    <t xml:space="preserve">שכר משולב </t>
  </si>
  <si>
    <t xml:space="preserve">הוצאות אחרות </t>
  </si>
  <si>
    <t xml:space="preserve">הוצאות סוציאליות </t>
  </si>
  <si>
    <t xml:space="preserve">ציוד מתכלה - פקחים </t>
  </si>
  <si>
    <t xml:space="preserve">מכונת צילום - פיקוח </t>
  </si>
  <si>
    <t xml:space="preserve">ס. מקצועית </t>
  </si>
  <si>
    <t xml:space="preserve">אחזקת רכב </t>
  </si>
  <si>
    <t>ועידה ארצית לאיכות הסביבה</t>
  </si>
  <si>
    <t xml:space="preserve">רכב 1862374 תפעולי </t>
  </si>
  <si>
    <t xml:space="preserve">רכב תפעולי 7887263 </t>
  </si>
  <si>
    <t xml:space="preserve">אחזקת 23 אופניים </t>
  </si>
  <si>
    <t xml:space="preserve">מעבר למבנה חדש </t>
  </si>
  <si>
    <t xml:space="preserve">יוזמות סביבתיות </t>
  </si>
  <si>
    <t xml:space="preserve">הוצאות קולות קוראים </t>
  </si>
  <si>
    <t xml:space="preserve">אגודי ערים-איכות הסביבה </t>
  </si>
  <si>
    <t xml:space="preserve">שכר משולב פקחים </t>
  </si>
  <si>
    <t xml:space="preserve">תוספות - פקחים </t>
  </si>
  <si>
    <t xml:space="preserve">הוצ' סוציאליות </t>
  </si>
  <si>
    <t xml:space="preserve">רכב תפעולי 87-875-66 </t>
  </si>
  <si>
    <t xml:space="preserve">רכב תפעולי 3775074 </t>
  </si>
  <si>
    <t xml:space="preserve">פינוי פסולת רעילה וחומ"ס </t>
  </si>
  <si>
    <t xml:space="preserve">הוצאות רכב 4225063 </t>
  </si>
  <si>
    <t xml:space="preserve">פרעון מלוות-קרן </t>
  </si>
  <si>
    <t xml:space="preserve">פרעון מלוות-ריבית </t>
  </si>
  <si>
    <t xml:space="preserve">פרעון מלוות-הצמדה </t>
  </si>
  <si>
    <t xml:space="preserve">בטיחות עובדים - נכסים </t>
  </si>
  <si>
    <t xml:space="preserve">רכישת שקיות אשפה </t>
  </si>
  <si>
    <t xml:space="preserve">מאבטחים בשוק הפתוח </t>
  </si>
  <si>
    <t>העסקת שוטרים - שוק עירוני</t>
  </si>
  <si>
    <t xml:space="preserve">ניקיון שוק פתוח </t>
  </si>
  <si>
    <t xml:space="preserve">החזר הוצ' אחרות </t>
  </si>
  <si>
    <t xml:space="preserve">אחזקת מבנים-עב' קבלניות </t>
  </si>
  <si>
    <t xml:space="preserve">שילוט בבניין העירייה </t>
  </si>
  <si>
    <t xml:space="preserve">צילומים - מ. צילום </t>
  </si>
  <si>
    <t xml:space="preserve">חומרים כלל וחשמל </t>
  </si>
  <si>
    <t xml:space="preserve">נקיון בניין העירייה </t>
  </si>
  <si>
    <t xml:space="preserve">אחזקת מעליות </t>
  </si>
  <si>
    <t xml:space="preserve">אחזק' מע' גילוי אש ועשן </t>
  </si>
  <si>
    <t xml:space="preserve">אחז' רשת חשמל וגנרטור </t>
  </si>
  <si>
    <t xml:space="preserve">אבטחת לשכת ראש העיר </t>
  </si>
  <si>
    <t xml:space="preserve">חשמל בניין העירייה </t>
  </si>
  <si>
    <t xml:space="preserve">מים-מבני העריה </t>
  </si>
  <si>
    <t xml:space="preserve">כיבוד אירוח -המרה </t>
  </si>
  <si>
    <t xml:space="preserve"> 32-611-31</t>
  </si>
  <si>
    <t xml:space="preserve"> 37-751-74איגום </t>
  </si>
  <si>
    <t xml:space="preserve">איך אני נוהג - נוהל 6 </t>
  </si>
  <si>
    <t>רכישת רכבים מימון בניים ל</t>
  </si>
  <si>
    <t xml:space="preserve">קרן רכישת רכבים </t>
  </si>
  <si>
    <t xml:space="preserve">פרעון מלוות--ריבית </t>
  </si>
  <si>
    <t xml:space="preserve">הוצאות רכב -1561164חדש </t>
  </si>
  <si>
    <t xml:space="preserve">קרן ניזקי סופה בחופים </t>
  </si>
  <si>
    <t>רזרבה לפעולות והרחבת בסיס</t>
  </si>
  <si>
    <t xml:space="preserve">רזרבה לשכר </t>
  </si>
  <si>
    <t xml:space="preserve">רזרבה-חלק הרשות-רווחה </t>
  </si>
  <si>
    <t xml:space="preserve">רזרבה לקידומי שכר </t>
  </si>
  <si>
    <t xml:space="preserve">החזר ארנונה-משולש חקלאי </t>
  </si>
  <si>
    <t xml:space="preserve">הוצאות - "צוק איתן" </t>
  </si>
  <si>
    <t xml:space="preserve">מקדמות על הוצאות עודפות </t>
  </si>
  <si>
    <t xml:space="preserve">תב. תלויות והסכמי פשרה </t>
  </si>
  <si>
    <t xml:space="preserve">הוצאות שנים קודמות </t>
  </si>
  <si>
    <t xml:space="preserve">הלוואת בעלים תשתית </t>
  </si>
  <si>
    <t xml:space="preserve">הנחות </t>
  </si>
  <si>
    <t xml:space="preserve">הוצאות שכר פנסיה </t>
  </si>
  <si>
    <t xml:space="preserve">השתתפויות בשכר-פנסיה </t>
  </si>
  <si>
    <t xml:space="preserve">השתתפות בקופות גמל </t>
  </si>
  <si>
    <t xml:space="preserve">הוצאות שכר שנים קודמות </t>
  </si>
  <si>
    <t xml:space="preserve">הוצאות "צוק איתן" </t>
  </si>
  <si>
    <t>To do: all local services, education linkage, general expenses</t>
  </si>
  <si>
    <t>על יסודי</t>
  </si>
  <si>
    <t>Other Healthcare facilities</t>
  </si>
  <si>
    <t>ה צ ע ת  התקציב הרגיל לשנת: 2016</t>
  </si>
  <si>
    <t>תקציב</t>
  </si>
  <si>
    <t>אומדן</t>
  </si>
  <si>
    <t>הסעיף</t>
  </si>
  <si>
    <t>הפרק</t>
  </si>
  <si>
    <r>
      <t>ת ק ב ו ל י ם</t>
    </r>
    <r>
      <rPr>
        <b/>
        <sz val="11"/>
        <rFont val="David"/>
        <family val="2"/>
        <charset val="177"/>
      </rPr>
      <t xml:space="preserve">  - באלפי ש"ח</t>
    </r>
  </si>
  <si>
    <t>2016</t>
  </si>
  <si>
    <t>2015</t>
  </si>
  <si>
    <t>סופי 2015</t>
  </si>
  <si>
    <t>ארנונה למגורים  - גבייה שוטפת</t>
  </si>
  <si>
    <t>ארנונה למגורים  - גבייה מיתרת פיגורים</t>
  </si>
  <si>
    <t>ארנונה שלא למגורים - גבייה שוטפת</t>
  </si>
  <si>
    <t>ארנונה שלא למגורים - גבייה מיתרת פיגורים</t>
  </si>
  <si>
    <t>ארנונה - הנחות מימון למשלמים מראש ובהוראות קבע</t>
  </si>
  <si>
    <t>ארנונה - הנחות לזכאים עפ"י דין</t>
  </si>
  <si>
    <t>ארנונה - הנחות ועדה בגין מצב חומרי</t>
  </si>
  <si>
    <t>אגרת תעודות, אישורים ומידע</t>
  </si>
  <si>
    <t>אגרת הדבקת מודעות</t>
  </si>
  <si>
    <t>אגרת ניקוי מגרשים</t>
  </si>
  <si>
    <t>הכנסות בגין ניקוי מגרשים (במקביל בהוצאות בסעיף 712/756)</t>
  </si>
  <si>
    <t>הכנסות בגין איסוף בקבוקי פלסטיק</t>
  </si>
  <si>
    <t xml:space="preserve">החזר בגין פינוי פסולת אריזות -תמי"ר (כולל דמ"ש בפחים כתומים) (במקביל בהוצאות בסעיף 7121/752) </t>
  </si>
  <si>
    <t xml:space="preserve">החזר בגין דמ"ש ופינוי פסולת קרטון (תמי"ר) (במקביל בהוצאות בסעיף 7121/750) </t>
  </si>
  <si>
    <t>הכנסות מאיסוף בגדים ובדים למיחזור ושימוש חוזר - באמצעות חב' רוזניר</t>
  </si>
  <si>
    <t>הכנסות מאיסוף פסולת נייר - אמניר</t>
  </si>
  <si>
    <t>אגרת רישוי עסקים</t>
  </si>
  <si>
    <t>אגרת פיקוח על מכירת מוצרים מן החי (בשר ודגים)</t>
  </si>
  <si>
    <t>אגרת רשיונות לכלבים</t>
  </si>
  <si>
    <t>(אגרת פיקוח על כלבים  (כלביה</t>
  </si>
  <si>
    <t>השתתפות משרד החקלאות בעיקור וסירוס חתולי רחוב</t>
  </si>
  <si>
    <t>השתתפות משרד הפנים למשמר אזרחי</t>
  </si>
  <si>
    <t>אגרת שמירה ואבטחה</t>
  </si>
  <si>
    <t>השתתפות עיריית רמת - השרון להג"א</t>
  </si>
  <si>
    <t>השתתפות מומ"ק כפר שמריהו להג"א</t>
  </si>
  <si>
    <t>השתתפות מומ"ק כפר שמריהו בהוצאות ועדה מרחבית</t>
  </si>
  <si>
    <t xml:space="preserve">השתתפות קע"פ בעלויות תכנון ובניין עיר </t>
  </si>
  <si>
    <t xml:space="preserve">השתתפות קע"פ בעלויות שמאים  (במקביל בהוצאות בסעיף 732/951) </t>
  </si>
  <si>
    <t xml:space="preserve">השתתפות משרד הפנים בעלויות היתרי בניה </t>
  </si>
  <si>
    <t>הכנסות מגביית דמי תכנון</t>
  </si>
  <si>
    <t xml:space="preserve">אגרת רשיונות בנייה </t>
  </si>
  <si>
    <t>החזר בגין תיקון רמזורים ועמודי חשמל כתוצאה מפגיעה</t>
  </si>
  <si>
    <t xml:space="preserve">השתתפות משרד התחבורה להוצאות בטיחות </t>
  </si>
  <si>
    <t>הכנסות מדמי חנייה - מהחב' הכלכלית</t>
  </si>
  <si>
    <t xml:space="preserve">דמי שרותים - חופי רחצה </t>
  </si>
  <si>
    <t>הכנסות מהחברה לפיתוח תיירות עבור שרותי פיקוח</t>
  </si>
  <si>
    <t xml:space="preserve">הכנסות מהחברה לפיתוח תיירות עבור פינוי מכולות </t>
  </si>
  <si>
    <t>הכנסות מזכיונות להפעלת עסקים בחוף הים</t>
  </si>
  <si>
    <t>השתתפות תאגיד מים וביוב בעלויות המוקד העירוני</t>
  </si>
  <si>
    <t>השתתפות תאגיד מים וביוב בעלויות מחסן (תב"ל) (עד 2015 נכלל ב- 269/420)</t>
  </si>
  <si>
    <t>הכנסות שונות - פארק הרצליה</t>
  </si>
  <si>
    <t>הכנסות שונות (זיכויים, מכרזים וכו') (מ- 2016 דמ"ש במחסן ב- 261/421)</t>
  </si>
  <si>
    <t>הכנסות ממכירת כלי רכב וציוד משומש</t>
  </si>
  <si>
    <t xml:space="preserve">הכנסות ממשתתפים - מרכז צעירים (במקביל בהוצאות בסעיף 7692/781) </t>
  </si>
  <si>
    <t>קנסות פיקוח</t>
  </si>
  <si>
    <t>הכנסות מפינוי גרוטאות והחרמות (במקביל בהוצאות  ס.ת 781/781)</t>
  </si>
  <si>
    <t>קנסות בתי - משפט</t>
  </si>
  <si>
    <t>ארנונה חקלאית</t>
  </si>
  <si>
    <t>השתתפות רשויות אחרות במימון עלויות פנסיה עובדי חינוך</t>
  </si>
  <si>
    <t>סל תרבות – הכנסות מהורים</t>
  </si>
  <si>
    <t xml:space="preserve">משרד החינוך  לחומרי לימוד בגנ"י  </t>
  </si>
  <si>
    <t>השתתפות משרד החינוך לסייעות בגני חובה</t>
  </si>
  <si>
    <t>השתתפות משרד החינוך לגננות בגני חובה (במקביל בהוצאות ב- 812/760)</t>
  </si>
  <si>
    <t>השתתפות משרד החינוך לגני טרום חובה (גננות + סייעות)</t>
  </si>
  <si>
    <t>השתתפות משרד החינוך בסייעות רפואיות (ב- 2015 הופרד מסעיף 3132/923)</t>
  </si>
  <si>
    <t>השתתפות משרד החינוך לסייעת שניה בטרום חובה</t>
  </si>
  <si>
    <t>שכר לימוד גני ילדים - טרום חובה</t>
  </si>
  <si>
    <t>השתתפות הורים בלימודי העשרה - תוכנית קרן קרב (ב- 2015 הועבר מסעיף 31792/420)</t>
  </si>
  <si>
    <t>משר"ח לחינוך היסודי  (שרתים ומזכירות, כולל מתי"א)</t>
  </si>
  <si>
    <t>משר"ח לסיוע לניהול עצמי (במקביל בהוצאות בסעיף 8132/105, 8132/756, 8132/877)</t>
  </si>
  <si>
    <t>השתתפות משה"ח במועדוני ספורט בבתיה"ס היסודיים</t>
  </si>
  <si>
    <t>השתתפות משרד החינוך בסייעות רפואיות (מ- 2015 סייעות גני-ילדים בסעיף 3122/923)</t>
  </si>
  <si>
    <t xml:space="preserve">משר"ח לסיוע לניהול עצמי - תוספת פדגוגית (במקביל בהוצאות בסעיף 8132/876) </t>
  </si>
  <si>
    <t xml:space="preserve">הכנסות ממשרד החינוך </t>
  </si>
  <si>
    <t>משר"ח לסייעות טיפוליות בחינוך המיוחד</t>
  </si>
  <si>
    <t xml:space="preserve">השתתפות משר"ח לחינוך המיוחד </t>
  </si>
  <si>
    <t xml:space="preserve">השתתפות הורים בתוכנית מוזיקלית לבתי הספר- מפתח </t>
  </si>
  <si>
    <t>השתתפות משרה"ח להעסקת טכנאים ביסודיים</t>
  </si>
  <si>
    <t>השתתפות משרד החינוך לבתי הספר של החופש הגדול</t>
  </si>
  <si>
    <t>השתתפות משר"ח עבור סל שרותים לתלמיד</t>
  </si>
  <si>
    <t>השתתפות משר"ח לבי"ס על יסודי צומח ממ"ד ("לחיים")</t>
  </si>
  <si>
    <t>השתתפות משה"ח במועדוני ספורט בחט"ב</t>
  </si>
  <si>
    <t>השתתפות משר"ח לאשכול הפיס זאב</t>
  </si>
  <si>
    <t xml:space="preserve">השתתפות משרד החינוך לתיכונים </t>
  </si>
  <si>
    <t>השתתפות משה"ח במועדוני ספורט בתיכונים</t>
  </si>
  <si>
    <t>השתתפות משרד החינוך לתיכון הנדסאים</t>
  </si>
  <si>
    <t xml:space="preserve">השתתפות משרד החינוך לתיכון דור </t>
  </si>
  <si>
    <t xml:space="preserve">השתתפות משרד החינוך ליול"א בתיכון דור (במקביל בהוצאות בסעיף 8159/102, 8159/780) </t>
  </si>
  <si>
    <t>השתתפות משרד החינוך לקבטי"ם</t>
  </si>
  <si>
    <t>השתתפות המשרד לבטחון פנים לאבטחת מוסדות חינוך</t>
  </si>
  <si>
    <t xml:space="preserve">הכנסות תלמידים מפעילויות במרכז המדעים (במקביל בהוצאות בסעיף 81721/103, 81721/781) </t>
  </si>
  <si>
    <t>הכנסות מאיבחונים (במקביל להוצאות בסעיף 8173/221)</t>
  </si>
  <si>
    <t xml:space="preserve">השתתפות העמותה לילדים בסיכון במימון פסיכולוגים (במקביל בהוצאות בסעיף 8173/103) </t>
  </si>
  <si>
    <t>השתתפות משרד החינוך לשרות הפסיכולוגי</t>
  </si>
  <si>
    <t xml:space="preserve">השתתפות משרד הבריאות לבריאות השן (במקביל בהוצאות בסעיף 81741/751, 81741/755) </t>
  </si>
  <si>
    <t>דמי ביטוח תלמידים (במקביל בהוצאות ס.ת 8175/440)</t>
  </si>
  <si>
    <t>השתתפות משרד החינוך לקבסי"ם</t>
  </si>
  <si>
    <t xml:space="preserve">השתתפות הורים במימון הסעים  </t>
  </si>
  <si>
    <t>השתתפות משרד החינוך להסעים וליווי</t>
  </si>
  <si>
    <t>השתתפות משרד החינוך להסעים וליווי - חינוך רגיל</t>
  </si>
  <si>
    <t>הכנסות המרכז להוראה מתקנת (מטר"ה)</t>
  </si>
  <si>
    <t>השתתפות הורים באבחונים פסיכודידקטיים וקשב</t>
  </si>
  <si>
    <t xml:space="preserve">שכר לימוד מתלמידי חוץ </t>
  </si>
  <si>
    <t xml:space="preserve">שכר לימוד מתלמידי חוץ - חינוך המיוחד </t>
  </si>
  <si>
    <t>הכנסות יום לימודים ארוך (ב- 2015 הועבר ליסודיים לסעיף 3132/420)</t>
  </si>
  <si>
    <t>השתתפות משרד התחבורה לפעולות בטיחות במערך החינוך</t>
  </si>
  <si>
    <t>הכנסות מדמי שימוש (במקביל בהוצאות ב- 81796/425)</t>
  </si>
  <si>
    <t>השתתפות משרד החינוך לקידום נוער</t>
  </si>
  <si>
    <t>הכנסות מאירועי תרבות ושונות (במקביל בהוצאות בסעיף 822/720)</t>
  </si>
  <si>
    <t xml:space="preserve">הכנסות ספריה עירונית מרכזית  (במקביל בהוצאות בסעיף 823/720) </t>
  </si>
  <si>
    <t>הכנסות מפעולות תרבות בספריה עירונית מרכזית (במקביל בהוצאות בסעיף 823/781)</t>
  </si>
  <si>
    <t>הכנסות מפעולות תרבות בספרית נוף ים (במקביל בהוצאות בסעיף 8234/780)</t>
  </si>
  <si>
    <t>השתתפות קרן מולדובן בהוצאות מתנ"ס יד התשעה</t>
  </si>
  <si>
    <t xml:space="preserve">הכנסות מדמי כניסה למוזיאון האמנות (מ- 2015 מופעל באמצעות תאגיד התרבות העירוני) </t>
  </si>
  <si>
    <t>השתתפות משרד התרבות למוזיאון האמנות (מ- 2015 מופעל באמצעות תאגיד התרבות העירוני)</t>
  </si>
  <si>
    <t>דמי ארוח אמנים וסופרים במשכן האמנים (מ- 2016 מופעל באמצעות תאגיד התרבות העירוני)</t>
  </si>
  <si>
    <t>השתתפות הרשות הלאומית למלחמה בסמים</t>
  </si>
  <si>
    <t>השתתפות המשרד לבטחון פנים בפרוייקט "מצילה"</t>
  </si>
  <si>
    <t xml:space="preserve">השתתפות משרד התרבות והספורט לסל הספורט </t>
  </si>
  <si>
    <t>הכנסות מפעולות ספורט</t>
  </si>
  <si>
    <t>השתתפות משרד החינוך בארגון טריאתלון נשים בינלאומי</t>
  </si>
  <si>
    <t>השתתפות משרד התרבות בארגון טריאתלון נשים בינלאומי</t>
  </si>
  <si>
    <t>הכנסות איצטדיון עירוני</t>
  </si>
  <si>
    <t xml:space="preserve">הכנסות מאולמות ספורט בתיכונים  </t>
  </si>
  <si>
    <t xml:space="preserve">הכנסות מאולמות ספורט ביסודיים וחט"ב </t>
  </si>
  <si>
    <t xml:space="preserve">הכנסות מאולמות ספורט קטנים בבתי הספר (במקביל בהוצאות בסעיף 8291/421) </t>
  </si>
  <si>
    <t>הכנסות ספורטק</t>
  </si>
  <si>
    <t>הכנסות ממשתתפים - מרכז הספורט החדש</t>
  </si>
  <si>
    <t>הכנסות מועדון שחמט</t>
  </si>
  <si>
    <t xml:space="preserve">השתתפות בהוצאות מתקני ספורט - אגודות שונות </t>
  </si>
  <si>
    <t>תרומה מעיזבון (במקביל להוצאות בסעיף 841/781)</t>
  </si>
  <si>
    <t xml:space="preserve">השתתפות משרד הרווחה  לכח - אדם </t>
  </si>
  <si>
    <t>תרומה מעיזבון (במקביל להוצאות בסעיף 841004/781)</t>
  </si>
  <si>
    <t>שכר עובדי המחלקה</t>
  </si>
  <si>
    <t>כ"א לחינוך מיוחד-100%</t>
  </si>
  <si>
    <t>בטחון עובדים ומאבטחים-100%</t>
  </si>
  <si>
    <t>הכנסות צרכים מיוחדים, רפואיים ומתמכרים</t>
  </si>
  <si>
    <t>השתתפות משרד הרווחה למשפחות במצוקה בקהילה</t>
  </si>
  <si>
    <t>השתתפות משרד הרווחה לטיפול בהתמכרויות</t>
  </si>
  <si>
    <t>השתתפות הרשות לשיקום האסיר בהעסקת עו"ס מטעמם ברשות</t>
  </si>
  <si>
    <t>מקלטים לנשים מוכות</t>
  </si>
  <si>
    <t>משפחות במצוקה - צד ג'</t>
  </si>
  <si>
    <t>השתתפות פונים לשרותים טיפוליים</t>
  </si>
  <si>
    <t>משפחות במצוקה בקהילה</t>
  </si>
  <si>
    <t>סיוע חד פעמי לחימום-100%</t>
  </si>
  <si>
    <t>סיוע למשפחות עם ילדים</t>
  </si>
  <si>
    <t>טיפול בדיירי רחוב</t>
  </si>
  <si>
    <t>מס.ארציות לדיירי רחוב</t>
  </si>
  <si>
    <t xml:space="preserve">השתתפות פונים לשרותים טיפוליים </t>
  </si>
  <si>
    <t>השתתפות פונים לטיפול באלימות</t>
  </si>
  <si>
    <t>מרכזי טיפול באלימות - פעילות</t>
  </si>
  <si>
    <t>מס.טיפ לגברים אלימים</t>
  </si>
  <si>
    <t>השתתפות משרד הרווחה לנוער במצוקה ובסיכון</t>
  </si>
  <si>
    <t>ילד ונוער - צד ג'</t>
  </si>
  <si>
    <t>טיפול במשפחות אומנה</t>
  </si>
  <si>
    <t>יצירת קשר הורים- ילדים</t>
  </si>
  <si>
    <t>יצירת קשר הורים - ילדים - ילדי חוץ</t>
  </si>
  <si>
    <t>טיפול בילד בקהילה - צד ג'</t>
  </si>
  <si>
    <t>טיפול בילד בקהילה</t>
  </si>
  <si>
    <t>מועדוניות משותפות (4) - צד ג'</t>
  </si>
  <si>
    <t>מ. משותפות-שכר/מ.החינוך</t>
  </si>
  <si>
    <t>מועדוניות משותפות (4)</t>
  </si>
  <si>
    <t>בדיקות פסיכולוגיות</t>
  </si>
  <si>
    <t>טיפול בפגיעות מיניות</t>
  </si>
  <si>
    <t>התנהגות מינית לא מותאמת</t>
  </si>
  <si>
    <t>השתתפות קרובים לפעילות בקהילה - מועדוניות</t>
  </si>
  <si>
    <t xml:space="preserve">השתתפות משרד החינוך לפעילות מועדוניות </t>
  </si>
  <si>
    <t xml:space="preserve">השתתפות משרד הרווחה לפעילות מועדוניות </t>
  </si>
  <si>
    <t>השתתפות קרובים באחזקת ילדים בפנימיות</t>
  </si>
  <si>
    <t>השתתפות משרד הרווחה באחזקת ילדים בפנימיות</t>
  </si>
  <si>
    <t>אחזקת ילדים בפנימיות - צד ג'</t>
  </si>
  <si>
    <t>השתתפות משרד הרווחה למעונות יום</t>
  </si>
  <si>
    <t>השתתפות משרד להסעות וליווי פעוטות</t>
  </si>
  <si>
    <t>ילדים במעונות יום</t>
  </si>
  <si>
    <t>השתתפות קרובים באחזקת זקנים במוסדות</t>
  </si>
  <si>
    <t>השתתפות משרד הרווחה באחזקת זקנים במוסדות</t>
  </si>
  <si>
    <t>אחזקת זקנים במעונות - צד ג'</t>
  </si>
  <si>
    <t>שרות לזקן - צד ג'</t>
  </si>
  <si>
    <t>אחזקת זקנים במעונות</t>
  </si>
  <si>
    <t>נופשון לזקן</t>
  </si>
  <si>
    <t>שירותים לניצולי שואה - 100%</t>
  </si>
  <si>
    <t>מועדונים לזקנים - צד ג'</t>
  </si>
  <si>
    <t>מועדונים לזקנים</t>
  </si>
  <si>
    <t>טיפול בזקן בקהילה - צד ג'</t>
  </si>
  <si>
    <t>טיפול בזקן בקהילה</t>
  </si>
  <si>
    <t>טיפ.שיניים ומכ.לקשיש - 100%</t>
  </si>
  <si>
    <t>שכונה תומכת</t>
  </si>
  <si>
    <t>מרכזי ועדות- חוק סיעוד (100%)</t>
  </si>
  <si>
    <t>השתתפות קרובים לצרכים שונים וארוחות לזקנים</t>
  </si>
  <si>
    <t>השתתפות משרד הרווחה לעזרה לזקן</t>
  </si>
  <si>
    <t>השתתפות משרד הרווחה באחזקת מועדונים לזקנים</t>
  </si>
  <si>
    <t>מסגרות יומיות לזקן - צד ג'</t>
  </si>
  <si>
    <t>מסגרות יומיות לזקן</t>
  </si>
  <si>
    <t>השתתפות קרובים - מרכזי יום</t>
  </si>
  <si>
    <t xml:space="preserve">השתתפות משרד הרווחה למרכזי יום לקשיש </t>
  </si>
  <si>
    <t xml:space="preserve">הכנסות פונים לאחזקת מפגרים במסגרות </t>
  </si>
  <si>
    <t xml:space="preserve">הכנסות פונים לאחזקת אוטיסטים במסגרות </t>
  </si>
  <si>
    <t>השתתפות משרד הרווחה באחזקת מפגרים במסגרות</t>
  </si>
  <si>
    <t>השתתפות משרד הרווחה למסגרות אוטיסטים</t>
  </si>
  <si>
    <t>מ.יום שיקומי לאוטיסט - צד ג'</t>
  </si>
  <si>
    <t>שרות לאוטיסט - צד ג'</t>
  </si>
  <si>
    <t>מ.יום שיקומי לאוטיסט</t>
  </si>
  <si>
    <t>משפחות אומנה - מש"ה</t>
  </si>
  <si>
    <t>משפחות אומנה לשיקום</t>
  </si>
  <si>
    <t>סידור במעונות - מש"ה - צד ג'</t>
  </si>
  <si>
    <t>שרות מש"ה - צד ג'</t>
  </si>
  <si>
    <t>סידור במעונות - מש"ה</t>
  </si>
  <si>
    <t>מעון ממשלתי - מש"ה</t>
  </si>
  <si>
    <t>החזקת אוטיסטים במסגרות (100%)</t>
  </si>
  <si>
    <t>טיפול בהורים ובילדיהם - צד ג'</t>
  </si>
  <si>
    <t>טיפול בהורים ובילדיהם</t>
  </si>
  <si>
    <t>הסעות לאוטיסטים</t>
  </si>
  <si>
    <t>מועדוניות לילדים - צד ג'</t>
  </si>
  <si>
    <t>מועדוניות לילדים</t>
  </si>
  <si>
    <t>מרכז יום ותעסוקה לבוגרים</t>
  </si>
  <si>
    <t>נפשונים וקייטנות - צד ג'</t>
  </si>
  <si>
    <t>נפשונים וקייטנות</t>
  </si>
  <si>
    <t>השתתפות משרד הרווחה למעשי"ם</t>
  </si>
  <si>
    <t>מ.יום אימוני - מש"ה</t>
  </si>
  <si>
    <t>מ.יום טיפולי - מש"ה - צד ג'</t>
  </si>
  <si>
    <t>מ.יום טיפולי - מש"ה</t>
  </si>
  <si>
    <t>מעשי"ם - צד ג'</t>
  </si>
  <si>
    <t>מעשי"ם</t>
  </si>
  <si>
    <t>השתתפות משרד הרווחה ל- אופק</t>
  </si>
  <si>
    <t>השתתפות משרד הרווחה בשרותים תומכים בקהילה למפגרים (מ- 2014 הסעות בסעיף 931)</t>
  </si>
  <si>
    <t>שירותים תומכים - מש"ה</t>
  </si>
  <si>
    <t>הסעות למרכז יום מש"ה - צד ג'</t>
  </si>
  <si>
    <t>הסעות למרכז יום - מש"ה</t>
  </si>
  <si>
    <t>מועדון חברתי - מש"ה</t>
  </si>
  <si>
    <t>נופשונים - מש"ה - צד ג'</t>
  </si>
  <si>
    <t>נופשונים - מש"ה</t>
  </si>
  <si>
    <t>שיקום העיוור בקהילה</t>
  </si>
  <si>
    <t>הדרכת עיוור ובני ביתו</t>
  </si>
  <si>
    <t>השתתפות משרד הרווחה למרכזי שיקום, הכשרה, מועדונים ופנאי</t>
  </si>
  <si>
    <t>מפעלי שיקום לעיוור</t>
  </si>
  <si>
    <t>מפעלי תעסוקה ומועדון</t>
  </si>
  <si>
    <t>השתתפות משרד הרווחה בהוצאות אחזקת נכים במוסדות</t>
  </si>
  <si>
    <t>אחזקת נכים בפנימיות</t>
  </si>
  <si>
    <t>אחזקת נכים במשפחות אומנה - צד ג'</t>
  </si>
  <si>
    <t>אחזקת נכים במשפחות אומנה</t>
  </si>
  <si>
    <t>תעסוקה מוגנת למוגבל</t>
  </si>
  <si>
    <t>תעסוקה נתמכת לנכים</t>
  </si>
  <si>
    <t>תוכניות מעבר</t>
  </si>
  <si>
    <t>איתור תעסוקה</t>
  </si>
  <si>
    <t>הסעות נכים לתעסוקה י כספי</t>
  </si>
  <si>
    <t>מס.יום לילד המוגבל - צד ג'</t>
  </si>
  <si>
    <t>מס.יום לילד המוגבל</t>
  </si>
  <si>
    <t>השתתפות משרד הרווחה בהוצאות טיפול בנכים בקהילה</t>
  </si>
  <si>
    <t>תוכניות לילד החריג</t>
  </si>
  <si>
    <t xml:space="preserve">מ.יום שיקומי לנכים - צד ג' </t>
  </si>
  <si>
    <t xml:space="preserve">שרות שיקום - צד ג' </t>
  </si>
  <si>
    <t>הסעות למעון יום שיקומי</t>
  </si>
  <si>
    <t>ליווי למעון יום שיקומי</t>
  </si>
  <si>
    <t>חלופה למ.יום שיקומי</t>
  </si>
  <si>
    <t>נפשונים להבראה - צד ג'</t>
  </si>
  <si>
    <t>נפשונים להבראה</t>
  </si>
  <si>
    <t>מועדון חברתי לבוגרים</t>
  </si>
  <si>
    <t>מרכזי איבחון ושיקום</t>
  </si>
  <si>
    <t>נכים קשים בקהילה</t>
  </si>
  <si>
    <t>שיקום נכים בקהילה - צד ג'</t>
  </si>
  <si>
    <t>שיקום נכים בקהילה</t>
  </si>
  <si>
    <t>מ.יום לנפגעי ראש</t>
  </si>
  <si>
    <t>בוגרים עיוורים בקהילה</t>
  </si>
  <si>
    <t>ילדים עיוורים בקהילה</t>
  </si>
  <si>
    <t>שכונה תומכת נכים</t>
  </si>
  <si>
    <t>בית נועם - 100%</t>
  </si>
  <si>
    <t>טיפול בנוער ובצעירים</t>
  </si>
  <si>
    <t>טיפול בנערות במצוקה</t>
  </si>
  <si>
    <t>בתים חמים לנערות</t>
  </si>
  <si>
    <t>תוכנית תעסוקה לצעירים (אפיקים)</t>
  </si>
  <si>
    <t>בתים חמים לנערים</t>
  </si>
  <si>
    <t>התמכרויות מבוגרים</t>
  </si>
  <si>
    <t>בדיקות סמים וסיוע</t>
  </si>
  <si>
    <t>טיפול בנוער מתמכר</t>
  </si>
  <si>
    <t xml:space="preserve">השתתפות משרד הרווחה למפת"ן "ארז" </t>
  </si>
  <si>
    <t>השתתפות משרד הרווחה לתלמידי חוץ - מפת"ן (100%)</t>
  </si>
  <si>
    <t>השתתפות משרד הרווחה להפעלת חוגים במפת"ן (מיתר)</t>
  </si>
  <si>
    <t>מפת"ן ארז</t>
  </si>
  <si>
    <t>מפת"ן ארז - ילדי חוץ</t>
  </si>
  <si>
    <t>פעולות משלימות למפת"ן</t>
  </si>
  <si>
    <t>מיתר</t>
  </si>
  <si>
    <t>מיתר-ילדי חוץ</t>
  </si>
  <si>
    <t>השתתפות פונים לטפול באלימות</t>
  </si>
  <si>
    <t>השתתפות משרד הרווחה לטפול באלימות</t>
  </si>
  <si>
    <t>השתתפות משרד הרווחה למקלטי נשים מוכות</t>
  </si>
  <si>
    <t>השתתפות משרד הרווחה למרכזים קהילתיים</t>
  </si>
  <si>
    <t>עבודה קהילתית-צד ג'</t>
  </si>
  <si>
    <t>קהילות פונקציונאליות</t>
  </si>
  <si>
    <t>השתתפות משרד הרווחה לפעולות התנדבות</t>
  </si>
  <si>
    <t>פע' התנדבות בקהילה</t>
  </si>
  <si>
    <t>לשכות יעוץ לאזרח</t>
  </si>
  <si>
    <t>נכים בפנימיות - עולים</t>
  </si>
  <si>
    <t>מ.יום טיפולי - עולים - צד ג'</t>
  </si>
  <si>
    <t>מ.יום טיפולי-עולים</t>
  </si>
  <si>
    <t>סידור במעונות - מש"ה - עולים</t>
  </si>
  <si>
    <t>משפחות עולים במצוקה</t>
  </si>
  <si>
    <t>מרכזי טיפ. באלימות עולים</t>
  </si>
  <si>
    <t>ילדים בפנימיות - עולים - צד ג'</t>
  </si>
  <si>
    <t>ילדים בפנימיות - עולים</t>
  </si>
  <si>
    <t>מעונות יום - עולים</t>
  </si>
  <si>
    <t>ילדים במצוקה עולים - צד ג'</t>
  </si>
  <si>
    <t>ילדים במצוקה עולים</t>
  </si>
  <si>
    <t>טיפול בזקנים - עולים - צד ג'</t>
  </si>
  <si>
    <t>טיפול בזקנים - עולים</t>
  </si>
  <si>
    <t>עובדי שכונה עולים</t>
  </si>
  <si>
    <t>אבח. ושיקום נכים - עולים</t>
  </si>
  <si>
    <t>השתתפות משרד הרווחה לטיפול במשפחות עולים</t>
  </si>
  <si>
    <t>השתתפות משרד הרווחה לטיפול בילדים עולים</t>
  </si>
  <si>
    <t>השתתפות משרד הרווחה בעזרה לזקנים עולים</t>
  </si>
  <si>
    <t>השתתפות משרד החינוך עבור "סל קליטה לתלמיד"</t>
  </si>
  <si>
    <t>השתתפות משרד הקליטה לפרוייקטים מיוחדים וכ"א</t>
  </si>
  <si>
    <t>השתתפות המשרד לאיכות הסביבה להפעלת היח' לאיכה"ס</t>
  </si>
  <si>
    <t>השתתפות נוספת של המשרד לאיכות הסביבה להפעלת היח' לאיכה"ס</t>
  </si>
  <si>
    <t>אגרת מים</t>
  </si>
  <si>
    <t>תקבולים מהתאגיד למימון עלויות עובדים "מושאלים"</t>
  </si>
  <si>
    <t>הכנסות מביצוע עבודות מים</t>
  </si>
  <si>
    <t xml:space="preserve">הכנסות מזכיונות ושכירויות של נכסי העירייה </t>
  </si>
  <si>
    <t>הכנסות ממערך השילוט (באמצעות החב' הכלכלית)</t>
  </si>
  <si>
    <t>הכנסות ממערכות פוטו וולטאיות (באמצעות החב' הכלכלית)</t>
  </si>
  <si>
    <t>קנסות חנייה</t>
  </si>
  <si>
    <t>הכנסות מחניונים עירוניים - מהחב' הכלכלית</t>
  </si>
  <si>
    <t xml:space="preserve">אגרות חנייה </t>
  </si>
  <si>
    <t xml:space="preserve">הכנסות ממדחנים - מהחב' הכלכלית </t>
  </si>
  <si>
    <t>מימון של פרע"מ ביוב מקרע"פ</t>
  </si>
  <si>
    <t>אגרת ביוב</t>
  </si>
  <si>
    <t>תקבולים מהתאגיד למימון עלויות עובדים "מושאלים" (ביוב)</t>
  </si>
  <si>
    <t>תקבולים מהתאגיד למימון עלויות עובדים "מושאלים" (מכון הטיהור)</t>
  </si>
  <si>
    <t>הכנסות מימון מהסדרי תשלומים</t>
  </si>
  <si>
    <t>הכנסות מדיבידנד מחברת מי הרצליה בע"מ</t>
  </si>
  <si>
    <t xml:space="preserve">הכנסות והחזר הוצאות משנים קודמות </t>
  </si>
  <si>
    <t>החזרות מקרנות הרשות השונות</t>
  </si>
  <si>
    <t>מימון פרע"מ פיתוח מהיטלי השבחה</t>
  </si>
  <si>
    <t>מימון פרע"מ מים מהיטלי מים</t>
  </si>
  <si>
    <t>מימון פרע"מ כבישים מהיטלי סלילת כבישים ומדרכות</t>
  </si>
  <si>
    <t xml:space="preserve">מימון פרע"מ ניקוז מהיטלי תיעול (ניקוז) ומהיטלי השבחה </t>
  </si>
  <si>
    <t>השתתפות קרן דמ"נ</t>
  </si>
  <si>
    <t>השתתפות משרד הפנים לפנסיה צוברת</t>
  </si>
  <si>
    <t>השתתפות רשויות אחרות במימון עלויות פנסיה (להוציא חינוך ורווחה)</t>
  </si>
  <si>
    <t xml:space="preserve">משכורות כוללות </t>
  </si>
  <si>
    <t>מתנות</t>
  </si>
  <si>
    <t>הוצאות טלפון</t>
  </si>
  <si>
    <t>שכר ריכוז ועדות</t>
  </si>
  <si>
    <t>שכר דירה</t>
  </si>
  <si>
    <t xml:space="preserve">ציוד משרדי שוטף </t>
  </si>
  <si>
    <t>הוצאות הקלטה ורישום סטנוגרמות - מועצה (באחריות מזכיר העיר)</t>
  </si>
  <si>
    <t>הוצאות הקלטה ורישום סטנוגרמות - ועדות שונות</t>
  </si>
  <si>
    <t>הוצאות מיכון וועדות</t>
  </si>
  <si>
    <t>ניקיון בקבלנות</t>
  </si>
  <si>
    <t>העסקת כ"א באמצעות חברת השמה (בת שירות לאומי לנגישות)</t>
  </si>
  <si>
    <t>תפעול ישיבות מועצה, ועדות ושונות</t>
  </si>
  <si>
    <t xml:space="preserve">הוצאות לפעולות - ועדת חינוך </t>
  </si>
  <si>
    <t xml:space="preserve">הוצאות לפעולות - ועדת מעמד הילד </t>
  </si>
  <si>
    <t>הוצאות לפעולות - ועדת נגישות</t>
  </si>
  <si>
    <t>הוצאות לפעולות - פורום צעירים (ב- 2015 הועבר למרכז צעירים - סעיף 7692/782)</t>
  </si>
  <si>
    <t>הוצאות לפעולות - ועדת תנועה</t>
  </si>
  <si>
    <t>הוצאות לפעולות - ועדת ערר לארנונה</t>
  </si>
  <si>
    <t>הוצאות לפעולות - ועדת בריאות</t>
  </si>
  <si>
    <t>הוצאות לפעולות - ועדת בניין עיר</t>
  </si>
  <si>
    <t>ועדה לסיוע לנזקקים לדיור (ב- 2016 עבר מסעיף 996/846)</t>
  </si>
  <si>
    <t xml:space="preserve">משכורות כוללות  </t>
  </si>
  <si>
    <t>הוצאות כיבוד</t>
  </si>
  <si>
    <t>ספרים, עתונים ואגרת טלוויזיה</t>
  </si>
  <si>
    <t xml:space="preserve">אחזקת רכב עירוני - מינהלי </t>
  </si>
  <si>
    <t>דואר וטלפון ישיר</t>
  </si>
  <si>
    <t>פרסומים ודפוס</t>
  </si>
  <si>
    <t xml:space="preserve">הוצאות משרד ושוטפות  </t>
  </si>
  <si>
    <t>הוצאות מיכון</t>
  </si>
  <si>
    <t>אחזקת מכונת צילום</t>
  </si>
  <si>
    <t xml:space="preserve">אבטחת בנין העירייה בקבלנות </t>
  </si>
  <si>
    <t>אחזקת מעלית</t>
  </si>
  <si>
    <t xml:space="preserve">הוצאות בגין ייעוץ חיצוני </t>
  </si>
  <si>
    <t>העסקת כ"א באמצעות חב' השמה</t>
  </si>
  <si>
    <t>הוצאות אחרות לפעולות</t>
  </si>
  <si>
    <t>בקרה על העסקת עובדי קבלן (החל מ- 2016 בסעיף 615/783)</t>
  </si>
  <si>
    <t>משכורות כוללות</t>
  </si>
  <si>
    <t>שכר דירה (כולל ועד בית)</t>
  </si>
  <si>
    <t>ספרים ועתונים</t>
  </si>
  <si>
    <t>פלאפון וטלפון ישיר</t>
  </si>
  <si>
    <t>הוצאות לפעולות ושוטפות</t>
  </si>
  <si>
    <t>טלפון ישיר</t>
  </si>
  <si>
    <t>הוצאות משרד ושונות</t>
  </si>
  <si>
    <t>הוצאות ליישום חוק חופש המידע</t>
  </si>
  <si>
    <t xml:space="preserve">ספרים ועתונים </t>
  </si>
  <si>
    <t>שרותי שליחות</t>
  </si>
  <si>
    <t>שרותי ארכיב בקבלנות</t>
  </si>
  <si>
    <t>ארכיון עירוני (הסטורי) - כולל ייעוץ</t>
  </si>
  <si>
    <t xml:space="preserve">פרס הרצל  </t>
  </si>
  <si>
    <r>
      <t xml:space="preserve">דמי אחזקת תו תקן </t>
    </r>
    <r>
      <rPr>
        <sz val="11"/>
        <color indexed="8"/>
        <rFont val="David"/>
        <family val="2"/>
        <charset val="177"/>
      </rPr>
      <t>ISO</t>
    </r>
  </si>
  <si>
    <t>שלטי הנצחה</t>
  </si>
  <si>
    <t>מזכרות, מתנות למשלחות, סמלים ושונות</t>
  </si>
  <si>
    <t>אחזקת רכב עירוני - מינהלי</t>
  </si>
  <si>
    <t xml:space="preserve">טלפון ישיר </t>
  </si>
  <si>
    <t>תהליך מיתוג העיר</t>
  </si>
  <si>
    <t xml:space="preserve">אחזקת אינטרנט עירוני </t>
  </si>
  <si>
    <t xml:space="preserve">הוצאות שונות ורזרבה </t>
  </si>
  <si>
    <t>תיעוד</t>
  </si>
  <si>
    <t>ציוד משרדי שוטף</t>
  </si>
  <si>
    <t xml:space="preserve">השתלמויות, הדרכה  והעשרה מקצועית (בנפרד: מצילים, שפ"ח ושר"ק) </t>
  </si>
  <si>
    <t>ספרות מקצועית</t>
  </si>
  <si>
    <t>דמי חבר בארגונים - כללי  (חינוך בפרק .811)</t>
  </si>
  <si>
    <t xml:space="preserve">השתתפות בשכ"ל </t>
  </si>
  <si>
    <t xml:space="preserve">השתלמות אירגונית </t>
  </si>
  <si>
    <t xml:space="preserve">הוצאות משרד ושונות </t>
  </si>
  <si>
    <t>אחזקת מערכות נוכחות ומיכון</t>
  </si>
  <si>
    <t>העסקה באמצעות חברת השמה</t>
  </si>
  <si>
    <t>סקרים והוצאות לפעולות</t>
  </si>
  <si>
    <t xml:space="preserve">פעולות גיבוש וארועי עובדים </t>
  </si>
  <si>
    <t>איבחון מועמדים לעבודה</t>
  </si>
  <si>
    <t>בקרה על העסקת עובדי קבלן (ב- 2016 עבר מסעיף 6113/950)</t>
  </si>
  <si>
    <t xml:space="preserve">רזרבת ר' האגף להוצאות ב"צ </t>
  </si>
  <si>
    <t xml:space="preserve">הוצאות מיכון </t>
  </si>
  <si>
    <t xml:space="preserve">תמיכה שוטפת בתשתיות מיחשוב </t>
  </si>
  <si>
    <t xml:space="preserve">חידוש ורכישת רישיונות (מייקרוסופט וCRM) </t>
  </si>
  <si>
    <t>טיפול בפרוייקטים עירוניים</t>
  </si>
  <si>
    <t>קווי אינטרנט ותקשורת כלל עירוני</t>
  </si>
  <si>
    <t xml:space="preserve">שירותי ייעוץ בנושאי מיחשוב (כולל מתאם האוטומציה) </t>
  </si>
  <si>
    <t xml:space="preserve">חידוש ציוד מיחשוב </t>
  </si>
  <si>
    <t>שונות ורזרבה (כולל ספרות מקצועית וציוד משרדי)</t>
  </si>
  <si>
    <t xml:space="preserve">אחזקת רכב מינהלי - עירוני </t>
  </si>
  <si>
    <t>הוצאות משרד ואחרות</t>
  </si>
  <si>
    <t>הוצאות מיכון (בית משפט)</t>
  </si>
  <si>
    <t>הוצאות משפטיות</t>
  </si>
  <si>
    <t>ייעוץ משפטי חיצוני</t>
  </si>
  <si>
    <t>שמאויות שונות ואיתור נאשמים</t>
  </si>
  <si>
    <t xml:space="preserve">דמי ניהול משרדי לב-העיר </t>
  </si>
  <si>
    <t>הוצאות חשמל</t>
  </si>
  <si>
    <t xml:space="preserve">אחזקת רכב - מינהלי </t>
  </si>
  <si>
    <t>פלאפונים וטלפון ישיר</t>
  </si>
  <si>
    <t xml:space="preserve">פרסומים ודפוס  </t>
  </si>
  <si>
    <t xml:space="preserve">הוצאות מיכון - הנהח"ש וגזברות </t>
  </si>
  <si>
    <t xml:space="preserve">הוצאות מיכון - מחלקת שכר </t>
  </si>
  <si>
    <t>נקיון בקבלנות</t>
  </si>
  <si>
    <t xml:space="preserve">סקרים, ייעוץ מקצועי ושונות  </t>
  </si>
  <si>
    <t xml:space="preserve">דירוג אשראי לעירייה </t>
  </si>
  <si>
    <t>משכורות כוללות - מוקד טלפוני</t>
  </si>
  <si>
    <t xml:space="preserve">ציוד משרדי שוטף ושונות </t>
  </si>
  <si>
    <t xml:space="preserve">הוצאות מיכון  </t>
  </si>
  <si>
    <t>הוצאות טיפול בתיקי הוצל"פ  - נטו  (הועבר מסעיף 617/581)</t>
  </si>
  <si>
    <t>שכ"ט עו"ד בגין אכיפה משפטית</t>
  </si>
  <si>
    <t>הוצאות בגין אכיפה מינהלית (מגער) - נטו</t>
  </si>
  <si>
    <t>שכ"ט בגין אכיפה מינהלית (מגער)</t>
  </si>
  <si>
    <t>עמלות גבייה (חב' טלאול)</t>
  </si>
  <si>
    <t>עמלות גבייה (החב' לאוטומציה)</t>
  </si>
  <si>
    <t>עמלות גבייה לבנק הדואר (ארנונה ומים. חנייה בסעיף - 943/610)</t>
  </si>
  <si>
    <t xml:space="preserve">אחזקת קטנוע </t>
  </si>
  <si>
    <t>מדידות נכסים לצורך חיוב ארנונה</t>
  </si>
  <si>
    <t xml:space="preserve">אבטחה בקבלנות </t>
  </si>
  <si>
    <t>בדיקת יכולת כלכלית של פונים לקבלת הנחות</t>
  </si>
  <si>
    <t xml:space="preserve">נקיון בקבלנות </t>
  </si>
  <si>
    <t xml:space="preserve">הפצת חיובי ארנונה </t>
  </si>
  <si>
    <t xml:space="preserve">תשלומי עמלות לבנקים </t>
  </si>
  <si>
    <t>הוצאות מימון כרטיסי אשראי</t>
  </si>
  <si>
    <t>ריבית על משיכות יתר, הפרשי הצמדה ושער</t>
  </si>
  <si>
    <t>הנחות מימון בארנונה למשלמים מראש ובהוראות קבע</t>
  </si>
  <si>
    <t>פרע"מ - תשלומים ע"ח קרן</t>
  </si>
  <si>
    <t>פרע"מ - תשלומים ע"ח ריבית</t>
  </si>
  <si>
    <t>פרע"מ - תשלומים ע"ח הצמדה</t>
  </si>
  <si>
    <t>משכורות כוללות - מנהלי רבעים (ב- 2016 עבר מ- 781/100)</t>
  </si>
  <si>
    <t>אחזקת רכב מנהלי</t>
  </si>
  <si>
    <t>אחזקת פלאפונים</t>
  </si>
  <si>
    <t xml:space="preserve">אחזקת רכב עירוני - תיפעולי </t>
  </si>
  <si>
    <t xml:space="preserve">נקיון  בקבלנות </t>
  </si>
  <si>
    <t>תחזוקה ושירות מעלית - בית שאיפ"ה</t>
  </si>
  <si>
    <t xml:space="preserve">משכורות כוללות - נהגי משאיות גזם </t>
  </si>
  <si>
    <t>משכורות כוללות - מחזור ותברואה מונעת</t>
  </si>
  <si>
    <t xml:space="preserve">כלכלה ושתיה </t>
  </si>
  <si>
    <t xml:space="preserve">הוצאות שוטפות, שקיות אשפה, כלי אצירה </t>
  </si>
  <si>
    <t>אחזקת רכבים - תיפעולי</t>
  </si>
  <si>
    <t>אחזקת רכבים - תיפעולי - משאיות גזם</t>
  </si>
  <si>
    <t>שרותי אחזקה חיצוניים לנקיון רחובות (עוזרי נהגי משאיות ב- 755)</t>
  </si>
  <si>
    <t xml:space="preserve">פינוי אשפה (אזורי - קבוע) בקבלנות </t>
  </si>
  <si>
    <t>שרותי אחזקה חיצוניים לנקיון שירותים ציבוריים</t>
  </si>
  <si>
    <t>העסקת כ"א באמצעות חב' השמה לפינוי גזם</t>
  </si>
  <si>
    <t>ניקוי מגרשים בקבלנות (מתוכם 70 אלש"ח מותנה בהכנסות 212/420)</t>
  </si>
  <si>
    <t>היטל הטמנה</t>
  </si>
  <si>
    <t xml:space="preserve">הוצאות הובלה והטמנת אשפה וגזם </t>
  </si>
  <si>
    <t>תפעול ואחזקת אתר המשקל</t>
  </si>
  <si>
    <t>איסוף ופינוי פסולת אריזות קרטון (במקביל בהכנסות בסעיף 2121/221)</t>
  </si>
  <si>
    <t xml:space="preserve">ניקוי רחבות וגרפיטי  </t>
  </si>
  <si>
    <t>פינוי פסולת אריזות (כולל דמ"ש) - חב' ת.מ.י.ר (במקביל בהכנסות בסעיף 2121/220)</t>
  </si>
  <si>
    <t xml:space="preserve">פרסומים ודפוס </t>
  </si>
  <si>
    <t>הוצאות שילוט ואחרות (כולל סקר שילוט)</t>
  </si>
  <si>
    <t>הוצאות חשמל - כלבייה</t>
  </si>
  <si>
    <t>חומרים (תויות רישוי, תרכ' חיסון) ושוטפות</t>
  </si>
  <si>
    <t>מזון לכלבים ובדיקות מזון מן החי</t>
  </si>
  <si>
    <t xml:space="preserve">אחזקת רכב - תיפעולי </t>
  </si>
  <si>
    <t>כלים וציוד</t>
  </si>
  <si>
    <t>עיקור וטיפול בחתולי רחוב וכלבים</t>
  </si>
  <si>
    <t xml:space="preserve">עבודות ריסוס והדברה בקבלנות </t>
  </si>
  <si>
    <t>שכר מנהלה - אגף ביטחון</t>
  </si>
  <si>
    <t>ביקורת והדרכות בטיחות אש - כללי (מוס"ח בסעיף 81796/423)</t>
  </si>
  <si>
    <t xml:space="preserve">שתיה וכיבוד </t>
  </si>
  <si>
    <t xml:space="preserve">אחזקת רכב מינהלי </t>
  </si>
  <si>
    <t xml:space="preserve">אחזקת רכבים - תיפעולי </t>
  </si>
  <si>
    <t>ציוד כיבוי אש - אחזקה וחידוש</t>
  </si>
  <si>
    <t xml:space="preserve">העסקת כ"א באמצעות חברת השמה </t>
  </si>
  <si>
    <t xml:space="preserve">הוצאות לפעולות בטחון ושונות  </t>
  </si>
  <si>
    <t>בטיחות וגהות (מוס"ח בסעיף 81796/783)</t>
  </si>
  <si>
    <t>הדרכות בנושא בטיחות (מוס"ח בסעיף 81796/783)</t>
  </si>
  <si>
    <t>הוצאות לפעולות - אגף ביטחון</t>
  </si>
  <si>
    <t>אחזקת בסיסי הפעלה</t>
  </si>
  <si>
    <t>שתיה וכיבוד למתנדבים</t>
  </si>
  <si>
    <t>פרסומים והסברה</t>
  </si>
  <si>
    <t>טיפוח מתנדבים, ארועים ושונות</t>
  </si>
  <si>
    <t>שכר שיטור עירוני</t>
  </si>
  <si>
    <t>אחזקת רכב תפעולי</t>
  </si>
  <si>
    <t>אבטחת גינות ציבוריות</t>
  </si>
  <si>
    <t>סיירת בטחון בקבלנות</t>
  </si>
  <si>
    <t>הוצאות שוטפות ושונות</t>
  </si>
  <si>
    <t>הוצאות הקמה והצטיידות - חד פעמי</t>
  </si>
  <si>
    <r>
      <t xml:space="preserve">טלפון ישיר + קווי תקשורת </t>
    </r>
    <r>
      <rPr>
        <sz val="11"/>
        <color indexed="8"/>
        <rFont val="David"/>
        <family val="2"/>
        <charset val="177"/>
      </rPr>
      <t>vpn</t>
    </r>
  </si>
  <si>
    <t xml:space="preserve">הוצאות אחזקת מצלמות </t>
  </si>
  <si>
    <t>תשלום ארנונה עבור מחסני הג"א</t>
  </si>
  <si>
    <t xml:space="preserve">אחזקת מקלטים צבוריים, מחסנים ומפקדות </t>
  </si>
  <si>
    <t>הוצאות צריכת מים ואגרת ביוב</t>
  </si>
  <si>
    <t>ביטוח ציוד</t>
  </si>
  <si>
    <t xml:space="preserve">אחזקת רכב ייעודי </t>
  </si>
  <si>
    <t xml:space="preserve">השתתפות בפעולות הג"א ארצי </t>
  </si>
  <si>
    <t xml:space="preserve">השתתפות בתקציב הרשות הארצית לכבאות והצלה </t>
  </si>
  <si>
    <t>משכורות כוללות - מל"ח ופס"ח</t>
  </si>
  <si>
    <t>שכר-דירה (ב- 2015 הועבר מסעיף 7322/410)</t>
  </si>
  <si>
    <t>הוצאות כיבוד (שיתוף הציבור)</t>
  </si>
  <si>
    <t>פרסומים ומכרזים</t>
  </si>
  <si>
    <t>אבטחת משרדי אגף מהנדס העיר</t>
  </si>
  <si>
    <t xml:space="preserve">הוצאות כלים וציוד, ספרים ושונות </t>
  </si>
  <si>
    <t>משכורות כוללות תכנון עיר</t>
  </si>
  <si>
    <t xml:space="preserve">משכורות כוללות - פתוח סביבה </t>
  </si>
  <si>
    <t>הוצאות מיכון - קובץ ייעודי קרקע</t>
  </si>
  <si>
    <t>מדידות ותכנון חוץ</t>
  </si>
  <si>
    <t>שכ"ט לשמאים  (במקביל בהכנסות בסעיף 230/591)</t>
  </si>
  <si>
    <t>שכר דירה (ב- 2015 הועבר לסעיף 731/410)</t>
  </si>
  <si>
    <t xml:space="preserve">הוצאות חשמל </t>
  </si>
  <si>
    <t xml:space="preserve">עבודות קבלניות למדידות והריסת מבנים עם חריגות בנייה </t>
  </si>
  <si>
    <t xml:space="preserve">שכר עובדי אחזקה </t>
  </si>
  <si>
    <t xml:space="preserve">אחזקת כבישים, מדרכות ודרכי כורכר </t>
  </si>
  <si>
    <t>טיפול שוטף בתשתיות (כבישים, מדרכות, תאורה, צביעה, וכו')</t>
  </si>
  <si>
    <t xml:space="preserve">כבישים - העסקה באמצעות חברת השמה  </t>
  </si>
  <si>
    <t xml:space="preserve">חומרים ונורות </t>
  </si>
  <si>
    <t>עבודות קבלניות (כולל חומרים ונורות)</t>
  </si>
  <si>
    <t>הוצאות חשמל - תאורת רחובות</t>
  </si>
  <si>
    <t xml:space="preserve">סימון כבישים ומעברי חצייה </t>
  </si>
  <si>
    <t>תמרורים וגדרות בטיחות</t>
  </si>
  <si>
    <t>אחזקת רמזורים בקבלנות</t>
  </si>
  <si>
    <t>ייעוץ ותכנון תנועה, תחבורה ורמזורים</t>
  </si>
  <si>
    <t>הוצאות חשמל - רמזורים</t>
  </si>
  <si>
    <t xml:space="preserve">טיפול בצנרת ניקוז ושונות </t>
  </si>
  <si>
    <t>תיעול וניקוז - תחזוקת מתקן שאיבה</t>
  </si>
  <si>
    <t>השתתפות ברשויות ניקוז: ירקון ושרון</t>
  </si>
  <si>
    <t xml:space="preserve">כלכלה, ביגוד ושתיה </t>
  </si>
  <si>
    <t>צריכת מים - השקיית גינות צבוריות</t>
  </si>
  <si>
    <t>חומרי דישון והדברה</t>
  </si>
  <si>
    <t>הדברת חדקונית הדקל</t>
  </si>
  <si>
    <t>אחזקת גינות ציבוריות בקבלנות</t>
  </si>
  <si>
    <t xml:space="preserve">אחזקת מזרקות בקבלנות </t>
  </si>
  <si>
    <t>טיפול בחורשות בקבלנות</t>
  </si>
  <si>
    <t xml:space="preserve">שרותי אחזקה חיצוניים - רחוב וגן </t>
  </si>
  <si>
    <t>גיזומים ברחבי העיר בקבלנות</t>
  </si>
  <si>
    <t>השקיית עצים במדרכות בקבלנות</t>
  </si>
  <si>
    <t>אחזקת מערכת מיחשוב השקיית גינות</t>
  </si>
  <si>
    <t>פיקוח גנים ברובעים</t>
  </si>
  <si>
    <t>תחזוקת היער העירוני</t>
  </si>
  <si>
    <t xml:space="preserve">שימור גנים וחידוש צמחיה </t>
  </si>
  <si>
    <t>החלפת מערכות השקייה שונות בעיר</t>
  </si>
  <si>
    <t>תחזוקת הצללות בגינות ציבוריות</t>
  </si>
  <si>
    <t>תחזוקת משטחי גומי בגינות ציבוריות</t>
  </si>
  <si>
    <t>משכורות כוללות פיקוח</t>
  </si>
  <si>
    <t>תיקונים ואחזקה (כולל שיקום מסלולים)</t>
  </si>
  <si>
    <t>טלפון ישיר ותקשורת</t>
  </si>
  <si>
    <t>רכישת חומרים שוטפים</t>
  </si>
  <si>
    <t xml:space="preserve">עבודות נקיון בקבלנות </t>
  </si>
  <si>
    <t>גינון בקבלנות (כולל פיקוח וייעוץ)</t>
  </si>
  <si>
    <t>אחזקת מתקני משחק בקבלנות</t>
  </si>
  <si>
    <t>אבטחה בקבלנות</t>
  </si>
  <si>
    <t>אחזקת מערכת מיחשוב להשקייה</t>
  </si>
  <si>
    <t>טיפול בצמחיה</t>
  </si>
  <si>
    <t>פעילות קהילתית</t>
  </si>
  <si>
    <t xml:space="preserve">משכורות כוללות - מינהל ושרותים </t>
  </si>
  <si>
    <t>משכורות כוללות - מצילים ועוזרי מצילים</t>
  </si>
  <si>
    <t>(כלכלה, שתיה ואמצעי מיגון (משחות</t>
  </si>
  <si>
    <t>תיקונים ואחזקת מתקנים בחוף</t>
  </si>
  <si>
    <t>השתלמויות מצילים</t>
  </si>
  <si>
    <t>סדרנות ואבטחה בקבלנות</t>
  </si>
  <si>
    <t>שוטרים בשכר</t>
  </si>
  <si>
    <t>עזרה רפואית בקבלנות</t>
  </si>
  <si>
    <t>פינוי מכולות</t>
  </si>
  <si>
    <t xml:space="preserve">הוצאות אחרות והיערכות לפתיחת העונה </t>
  </si>
  <si>
    <t>הוצאות לפעולות מטה</t>
  </si>
  <si>
    <t>הוצאות למופעי אמנים</t>
  </si>
  <si>
    <t>הוצאות לפעולות תחזוקה ולוגיסטיקה</t>
  </si>
  <si>
    <t>ערב שירי לוחמים לנוער</t>
  </si>
  <si>
    <t>הוצאות לפעולות ארועים</t>
  </si>
  <si>
    <t>שרות כביסה לחיילים בסופי שבוע</t>
  </si>
  <si>
    <t>אימוץ חילות</t>
  </si>
  <si>
    <t>שכר קשרי חוץ</t>
  </si>
  <si>
    <t>נסיעות, ארוח ומימון משלחות וערים תאומות</t>
  </si>
  <si>
    <t>הוצאות טלפון ישיר</t>
  </si>
  <si>
    <t>משכורות כוללות - מוקדנים</t>
  </si>
  <si>
    <t>אחזקת רכב - תיפעולי</t>
  </si>
  <si>
    <t>טיפול במפגעים ושונות</t>
  </si>
  <si>
    <t>הדבקת מודעות בקבלנות</t>
  </si>
  <si>
    <t>ארועים והוצאות אחרות</t>
  </si>
  <si>
    <t>השתתפות בתקציב מרכז השלטון המקומי</t>
  </si>
  <si>
    <t>השתתפות בהפעלת ביה"ד למשמעת במ.ש.מ.</t>
  </si>
  <si>
    <t>תמיכה במוסדות בתחום זהות יהודית</t>
  </si>
  <si>
    <t xml:space="preserve">תמיכה במוסדות בתחום קהילה וחינוך </t>
  </si>
  <si>
    <t>השתתפות בהוצאות ועד עובדים</t>
  </si>
  <si>
    <t>השתתפות בהוצאות ועד עובדי החינוך העל יסודי</t>
  </si>
  <si>
    <t>השתתפות בהוצאות ועד גימלאים</t>
  </si>
  <si>
    <t>(ביטוח אלמנטרי - מבנים, רכוש וציוד (אש</t>
  </si>
  <si>
    <t xml:space="preserve">פיצויים שונים, שיפוי על נזקים והשתתפות עצמית  (חינוך בסעיף 811/442) </t>
  </si>
  <si>
    <t>'ביטוח צד ג</t>
  </si>
  <si>
    <t>תאונות אישיות, חבות מעבידים, אחריות מקצועית</t>
  </si>
  <si>
    <t>טלפון ישיר ודואר</t>
  </si>
  <si>
    <t>אבטחת מנהל נשים</t>
  </si>
  <si>
    <t>תיקונים ואחזקה</t>
  </si>
  <si>
    <t>הוצאות לפעולות (מותנה בהכנסות - סעיף 2692/420)</t>
  </si>
  <si>
    <t>הוצאות לפעולות - פורום צעירים (ב- 2015 הועבר מסעיף 6112/784)</t>
  </si>
  <si>
    <t>הסעות ("שאטל") - נטו</t>
  </si>
  <si>
    <t>אבטחת אירועים בקבלנות</t>
  </si>
  <si>
    <t xml:space="preserve">העסקה  באמצעות חב' השמה </t>
  </si>
  <si>
    <t>הוצאות בגין כנסים</t>
  </si>
  <si>
    <t>משכורות כוללות - מנהלי רובעים (מ- 2016 בסעיף 711/101)</t>
  </si>
  <si>
    <t xml:space="preserve">משכורות כוללות - פקחים </t>
  </si>
  <si>
    <t>בגדי עבודה ושתייה</t>
  </si>
  <si>
    <t>שכר דירה הנהלת רובע א'</t>
  </si>
  <si>
    <t>הוצאות חשמל - מינהלת רובע א'</t>
  </si>
  <si>
    <t>משלוח הודעות בדבר קנסות</t>
  </si>
  <si>
    <t xml:space="preserve">אחזקת קטנועים ורכבים - תיפעולי </t>
  </si>
  <si>
    <t>נקיון בקבלנות (משרדי רובעים)</t>
  </si>
  <si>
    <t xml:space="preserve">הוצאות אחרות והחרמות (כולל פינוי גרוטאות) </t>
  </si>
  <si>
    <t>הוצאות אחרות והחרמות (כולל פינוי גרוטאות)  (מותנה בהכנסות בסעיף 281/420)</t>
  </si>
  <si>
    <t xml:space="preserve">אחזקת קטנועים ורכבים </t>
  </si>
  <si>
    <t>השתתפות בהוצאות בית המשפט העירוני</t>
  </si>
  <si>
    <t>הוצאות ו/או העברה לקרנות לעניינים חקלאיים</t>
  </si>
  <si>
    <t>שכר עובדי חשבות ופיקוח כספי</t>
  </si>
  <si>
    <t>הוצאות חשמל (רווחה ותנו"ס בנפרד)</t>
  </si>
  <si>
    <t xml:space="preserve">פיצויים שונים, שיפוי על נזקים והשתתפות עצמית </t>
  </si>
  <si>
    <t>הוצאות כיבוד ושתיה (כולל מחלקת רווחה)</t>
  </si>
  <si>
    <t>פתוח מנהלי בתי הספר</t>
  </si>
  <si>
    <t xml:space="preserve">דמי חבר בארגונים - כלל אגף חינוך </t>
  </si>
  <si>
    <t xml:space="preserve">אחזקת רכב - תיפעולי  </t>
  </si>
  <si>
    <t>אחזקת מכונות צילום</t>
  </si>
  <si>
    <t>אחזקה וביטוח מזגנים</t>
  </si>
  <si>
    <t>שירותי חשבות</t>
  </si>
  <si>
    <t xml:space="preserve">אחזקת מעלית  </t>
  </si>
  <si>
    <t>הוצאות שוטפות וארועים</t>
  </si>
  <si>
    <t>אירועי שבוע חינוך</t>
  </si>
  <si>
    <t>רזרבה ליוזמות ופרוייקטים פדגוגיים (תשע"ז)</t>
  </si>
  <si>
    <t>ליווי רו"ח לבתי-ספר בניהול עצמי</t>
  </si>
  <si>
    <t>רזרבת ר' האגף להוצאות ב"צ</t>
  </si>
  <si>
    <t xml:space="preserve">רזרבת ר' האגף לניהול עצמי </t>
  </si>
  <si>
    <t xml:space="preserve">פנסיה </t>
  </si>
  <si>
    <t xml:space="preserve">פיצויים והסדרי פרישה לעובדים </t>
  </si>
  <si>
    <t>משכורות כוללות - סייעות לגננות (מתגברות בסעיף 812/103,104)</t>
  </si>
  <si>
    <t xml:space="preserve">משכורות כוללות - מינהלה </t>
  </si>
  <si>
    <t xml:space="preserve"> משכורות כוללות - סייעות לגננות - חינוך מיוחד</t>
  </si>
  <si>
    <t>משכורות כוללות - סייעות מתגברות במימון עירוני מלא (20)</t>
  </si>
  <si>
    <t>משכורות כוללות - סייעות מתגברות במימון משרד החינוך (28)</t>
  </si>
  <si>
    <t xml:space="preserve">משכורות כוללות - סייעות רפואיות (ב- 2015 הופרד מיסודיים סעיף 8132/106) </t>
  </si>
  <si>
    <r>
      <t xml:space="preserve">שכר תיגבור לימודים, יוזמות ופרוייקטים פדגוגיים  </t>
    </r>
    <r>
      <rPr>
        <sz val="11"/>
        <color indexed="8"/>
        <rFont val="David"/>
        <family val="2"/>
        <charset val="177"/>
      </rPr>
      <t xml:space="preserve">(כולל ש' הוראה אפקטיביות) </t>
    </r>
  </si>
  <si>
    <t xml:space="preserve">הוצאות שוטפות ושונות </t>
  </si>
  <si>
    <t>גננות עובדות מדינה (טרום חובה + חובה)  (8,315 אלש"ח במקביל בהכנסות בסעיף 3122/921)</t>
  </si>
  <si>
    <t xml:space="preserve">הוצאות להפעלת יוזמות ופרוייקטים פדגוגיים </t>
  </si>
  <si>
    <t>סל תרבות לגני ילדים</t>
  </si>
  <si>
    <t>הוצאות שונות - מעון יום ("רשת בטחון")</t>
  </si>
  <si>
    <t xml:space="preserve">משכורות כוללות - מזכירות </t>
  </si>
  <si>
    <t xml:space="preserve">שכר אחראים למשק ותחזוקה </t>
  </si>
  <si>
    <t>ספרניות בבתיה"ס</t>
  </si>
  <si>
    <t>משכורות כוללות מזכירות (במקביל בהכנסות בסעיף 3132/921)</t>
  </si>
  <si>
    <t>משכורות כוללות - סייעות רפואיות</t>
  </si>
  <si>
    <r>
      <t xml:space="preserve">שכר תיגבור לימודים, יוזמות ופרוייקטים פדגוגיים </t>
    </r>
    <r>
      <rPr>
        <sz val="11"/>
        <color indexed="8"/>
        <rFont val="David"/>
        <family val="2"/>
        <charset val="177"/>
      </rPr>
      <t xml:space="preserve">(כולל ש' הוראה אפקטיביות) </t>
    </r>
  </si>
  <si>
    <t>סיוע לילדים מתקשים כולל כיתות חינוך מיוחד (ב- 2015 הופרד מסעיף 107)</t>
  </si>
  <si>
    <t xml:space="preserve">העסקת כ"א באמצעות חב' השמה - מ"מ מזכירות ושרתים </t>
  </si>
  <si>
    <t>העסקת מזכירות סיוע - ניהול עצמי (במקביל בהכנסות בסעיף 3132/921)</t>
  </si>
  <si>
    <t>הפעלת תל"ן בבתי הספר (ב- 2015 עבר מסעיף 81792/750)</t>
  </si>
  <si>
    <t>הנחות תל"ן לאוכלוסיה נצרכת</t>
  </si>
  <si>
    <t>גורדון אמנויות (השתתפות בהסעות)</t>
  </si>
  <si>
    <t xml:space="preserve">מועדוני ספורט בית ספריים  </t>
  </si>
  <si>
    <t xml:space="preserve">סיוע לניהול עצמי - תוספת פדגוגית (במקביל בהכנסות בסעיף 3132/924) </t>
  </si>
  <si>
    <t xml:space="preserve">סיוע לניהול עצמי (במקביל בהכנסות בסעיף 3132/921) </t>
  </si>
  <si>
    <t>בתי"ס יסודיים - הקצבות לניהול עצמי (סל לתלמיד)</t>
  </si>
  <si>
    <t>תחזוקה</t>
  </si>
  <si>
    <t>הקצבה לניהול עצמי</t>
  </si>
  <si>
    <t>השתתפות בהוצאות הפעלת הבי"ס הימי</t>
  </si>
  <si>
    <t>משכורות כוללות - מזכירות (כולל מתי"א)</t>
  </si>
  <si>
    <t>שכר אחראים למשק ותחזוקה</t>
  </si>
  <si>
    <t>שכר סייעות טיפוליות וחונכות (משנת 2016 כולל את סעיף 8133/106)</t>
  </si>
  <si>
    <t>שכר עובד/ת הזנה - אופק</t>
  </si>
  <si>
    <t>רזרבת שכר למילוי מקום - סייעות טיפוליות (1.5% מתקן ייעודי) (משנת 2016 אוחד עם סעיף 8133/104)</t>
  </si>
  <si>
    <t>שכר תיגבור ופרוייקטים</t>
  </si>
  <si>
    <t>שכר סייעת לילדי חינוך מיוחד בצהרונים</t>
  </si>
  <si>
    <t xml:space="preserve">הוצאות שוטפות, הזנה ושונות </t>
  </si>
  <si>
    <t>אחזקת מכונות צילום ושכפול</t>
  </si>
  <si>
    <t>שרותים נוספים  מיוחדים בתחום הרפואי</t>
  </si>
  <si>
    <t>שכר מנהלת מוז"ה</t>
  </si>
  <si>
    <t>הפעלת תוכנית תקשוב בחינוך - שכר</t>
  </si>
  <si>
    <t>שכר פנימיות יום</t>
  </si>
  <si>
    <t>אינטרנט בגנ"י ובבתי-ספר</t>
  </si>
  <si>
    <t>שירותי הדרכה טכנית למיחשוב בבתי"ס בקבלנות</t>
  </si>
  <si>
    <t>הפעלת מרכז הלמידה ויצמן (באמצעות מתנ"ס נוה-ישראל)</t>
  </si>
  <si>
    <t>ספריות בתי ספר</t>
  </si>
  <si>
    <t>תוכנית עירונית להורים</t>
  </si>
  <si>
    <t xml:space="preserve">תוכנית בית ספר מנגן </t>
  </si>
  <si>
    <t>הפעלת תוכנית תקשוב בחינוך</t>
  </si>
  <si>
    <t>הפעלת פנימיות יום</t>
  </si>
  <si>
    <t>תוכנית מוסיקלית לבתי הספר - "מפתח"</t>
  </si>
  <si>
    <t xml:space="preserve">פרוייקט "ק"מ של תרבות" (יסודיים ותיכוניים) </t>
  </si>
  <si>
    <t xml:space="preserve">מרכז מדעים לגיל הרך בנוה עמל (במתנ"ס פוסטר) </t>
  </si>
  <si>
    <t xml:space="preserve">הפעלת מרכז למידה בנוה ישראל - באמצעות המתנ"ס </t>
  </si>
  <si>
    <t>הפעלת פרוייקט מורים צעירים (באמצעות מתנ"ס נוה ישראל)</t>
  </si>
  <si>
    <t>בתי"ס קהילתיים (יסודיים ועל יסודיים)</t>
  </si>
  <si>
    <t xml:space="preserve">הערכת תוכניות חינוכיות 
</t>
  </si>
  <si>
    <t>מרכזי הפעלה לילדי א' - ד'</t>
  </si>
  <si>
    <t>דמוקרטיה - ליווי צוותי היגוי</t>
  </si>
  <si>
    <t>הסעות וליווי תלמידים</t>
  </si>
  <si>
    <t>הפעלת בתי ספר של החופש הגדול</t>
  </si>
  <si>
    <t>הנחות לנזקקים</t>
  </si>
  <si>
    <t>תפעול שוטף - הקצבה לניהול עצמי - בי"ס יסודיים</t>
  </si>
  <si>
    <t>שכר עובדי מינהל ושרותים (ב- 2015 הופרד לסעיפים 101-106)</t>
  </si>
  <si>
    <t>שכר עובדי מינהל ושרותים - הנגיד</t>
  </si>
  <si>
    <t>שכר עובדי מינהל ושרותים - יד גיורא</t>
  </si>
  <si>
    <t>שכר עובדי מינהל ושרותים - בן גוריון</t>
  </si>
  <si>
    <t>שכר עובדי מינהל ושרותים - רעות</t>
  </si>
  <si>
    <t>שכר עובדי מינהל ושרותים - זאב</t>
  </si>
  <si>
    <t>שכר עובדי מינהל ושרותים - סמדר</t>
  </si>
  <si>
    <r>
      <t xml:space="preserve">שכר תיגבור לימודים, יוזמות ופרוייקטים פדגוגיים </t>
    </r>
    <r>
      <rPr>
        <sz val="11"/>
        <color indexed="8"/>
        <rFont val="David"/>
        <family val="2"/>
        <charset val="177"/>
      </rPr>
      <t xml:space="preserve">(כולל שעות הוראה אפקטיביות) </t>
    </r>
  </si>
  <si>
    <t>שכר הוראה מרכזי למידה - תוכנית "כנפיים"</t>
  </si>
  <si>
    <t>החזר הוצאות לחט"ב בגין שכירויות שונות (50%) (הכנסות בסעיף 430/670)</t>
  </si>
  <si>
    <t>(כיתות ספורט הנגיד (באמצעות בני-הרצליה</t>
  </si>
  <si>
    <t>(כיתות ספורט בן גוריון (באמצעות בני-הרצליה</t>
  </si>
  <si>
    <t>מועדוני ספורט בית-ספריים (סמדר, ב"ג, הנגיד, זאב - ע"י בני הרצליה)</t>
  </si>
  <si>
    <t xml:space="preserve">הקצבות לניהול עצמי </t>
  </si>
  <si>
    <t>שכר הוראה - ממלכתי דתי</t>
  </si>
  <si>
    <t>שכר מינהלה - ממלכתי דתי</t>
  </si>
  <si>
    <t>ניקיון בקבלנות - ממלכתי דתי</t>
  </si>
  <si>
    <t>הוצאות שוטפות - ממלכתי דתי (כולל פרסום והסעות)</t>
  </si>
  <si>
    <t xml:space="preserve">אחזקת מערכות ציוד ומיזוג אוויר בקבלנות </t>
  </si>
  <si>
    <t xml:space="preserve">אחזקת מעלית בקבלנות </t>
  </si>
  <si>
    <t>הקצבה לבית פוסטר להפעלה אחה"צ (כולל שכר ע' מנהלה)</t>
  </si>
  <si>
    <t>רכישת ציוד יסודי - אשכול פיס</t>
  </si>
  <si>
    <t>משכורות כוללות - תיכון הראשונים - הוראה</t>
  </si>
  <si>
    <t>משכורות כוללות - תיכון היובל - הוראה</t>
  </si>
  <si>
    <t>משכורות כוללות - תיכון עירוני החדש - הוראה</t>
  </si>
  <si>
    <t>מחוייבות אישית</t>
  </si>
  <si>
    <t>משכורות כוללות - פיקוח רפואי (הופרד מסעיף  8152/751)</t>
  </si>
  <si>
    <t>משכורות כוללות - תיכון הראשונים - מינהלה</t>
  </si>
  <si>
    <t>משכורות כוללות - תיכון היובל - מינהלה</t>
  </si>
  <si>
    <t>משכורות כוללות - תיכון חדש - מינהלה</t>
  </si>
  <si>
    <t>פיקוח רפואי (עבר לסעיף  8152/110)</t>
  </si>
  <si>
    <t>מ"מ מזכירות ושרתים - באמצ' חב'  כח-אדם</t>
  </si>
  <si>
    <t xml:space="preserve">החזר הוצאות לתיכונים בגין הפעלת קיוסקים (50%) (הכנסות בסעיף 430/670) </t>
  </si>
  <si>
    <t>סיוע בהכנת פרופיל ורמת שירות של בתיה"ס</t>
  </si>
  <si>
    <t>הוצאות להשתלמות מורים מצטיינים</t>
  </si>
  <si>
    <t xml:space="preserve">מועדוני ספורט בית ספריים  (היובל והראשונים) </t>
  </si>
  <si>
    <t>הקצבות לניהול עצמי (כולל תחזוקה, צריכת מים וגינון)</t>
  </si>
  <si>
    <t xml:space="preserve">משכורות כוללות - עובדי הוראה </t>
  </si>
  <si>
    <t xml:space="preserve">משכורות כוללות - עובדי מינהלה </t>
  </si>
  <si>
    <t xml:space="preserve">שכר עובדי הוראה  </t>
  </si>
  <si>
    <t>שכר מינהלה</t>
  </si>
  <si>
    <t>שכר יול"א (מותנה במימון משר"ח - סעיף 3159/922)</t>
  </si>
  <si>
    <t>חומרים וציוד טכנולוגי</t>
  </si>
  <si>
    <t>הוצאות לפעולות יול"א לרבות הזנה  (מותנה במימון משר"ח - סעיף 3159/922)</t>
  </si>
  <si>
    <t>מפעל מלגות (מתוכם 50 אלש"ח לטובת מלגות לפולין)</t>
  </si>
  <si>
    <t>שכר קציני בטחון</t>
  </si>
  <si>
    <t>אחזקת מערכת לחצני מצוקה</t>
  </si>
  <si>
    <t>הוצאות שוטפות ואחזקת מערכות אזעקה וכריזה</t>
  </si>
  <si>
    <t>אבטחת מוסדות חינוך</t>
  </si>
  <si>
    <t xml:space="preserve">הוצאות חשמל  </t>
  </si>
  <si>
    <t xml:space="preserve">הוצאות מים  </t>
  </si>
  <si>
    <t>אחזקת מעלית בקבלנות</t>
  </si>
  <si>
    <t xml:space="preserve">משכורות כוללות - בשעות אפקטיביות </t>
  </si>
  <si>
    <t>משכורות כוללות - בשעות אפקטיביות (מותנה בהכנסות בסעיף 31721/420)</t>
  </si>
  <si>
    <r>
      <t xml:space="preserve">שכר תיגבור לימודים, יוזמות ופרוייקטים פדגוגיים </t>
    </r>
    <r>
      <rPr>
        <sz val="11"/>
        <color indexed="8"/>
        <rFont val="David"/>
        <family val="2"/>
        <charset val="177"/>
      </rPr>
      <t xml:space="preserve">(כולל ש' הוראה אפקטיביות) (ב- 2015 הועבר מסעיף 784) </t>
    </r>
  </si>
  <si>
    <t xml:space="preserve">הוצאות לפעולות </t>
  </si>
  <si>
    <t>הוצאות לפעולות (מותנה בהכנסות בסעיף 31721/420)</t>
  </si>
  <si>
    <t>הוצאות לפעולות יוזמות ופרוייקטים לקידום המדעים (ב- 2015 הועבר לסעיף 107)</t>
  </si>
  <si>
    <t>משכורות כוללות - פסיכולוגים</t>
  </si>
  <si>
    <t>משכורות כוללות - מזכירות</t>
  </si>
  <si>
    <t>שכר פסיכולוגי (מותנה בהכנסות מהעמותה לילדים בסיכון - סעיף 3173/490)</t>
  </si>
  <si>
    <t xml:space="preserve">שכר אבחונים (כולל בשלות לבי"ס) </t>
  </si>
  <si>
    <t xml:space="preserve">שכר אבחונים (מותנה בהכנסות בסעיף 3173/421) </t>
  </si>
  <si>
    <t>השתלמויות והדרכה (כולל השתת' משר"ח)</t>
  </si>
  <si>
    <t>הוצאות שוטפות ושונות  (כולל נפגעי אלימות)</t>
  </si>
  <si>
    <t xml:space="preserve">איבחונים (כולל בשלות לבי"ס) </t>
  </si>
  <si>
    <t xml:space="preserve">הפעלת חינוך לבריאות השן (מותנה במימון משרד הבריאות - סעיף 31741/940) </t>
  </si>
  <si>
    <t>העסקת כ"א באמצעות חב' השמה (מותנה במימון מ. הבריאות - סעיף 31741/940)</t>
  </si>
  <si>
    <t>הפעלת חינוך לבריאות השן במימון עירוני (כולל סבסוד טיפולי שיניים)</t>
  </si>
  <si>
    <t>הוצאות ביטוח תלמידים (במקביל בהכנסות סעיף 3175/420)</t>
  </si>
  <si>
    <t>מימון הסעים (מתחייב)</t>
  </si>
  <si>
    <t xml:space="preserve">מימון הסעים - תוספת עירונית </t>
  </si>
  <si>
    <t>ליווי הסעים בחינוך המיוחד</t>
  </si>
  <si>
    <t>מימון היסעים פר קפיטה - בהשתתפות משרד החינוך (כולל בי"ס ימי)</t>
  </si>
  <si>
    <t>מימון היסעים פר קפיטה - סבסוד הרשות</t>
  </si>
  <si>
    <t xml:space="preserve">שכר עובדי הוראה </t>
  </si>
  <si>
    <t xml:space="preserve">שכר עובדי הוראה - מועדוניות רווחה </t>
  </si>
  <si>
    <t xml:space="preserve">שכר מינהלה </t>
  </si>
  <si>
    <t xml:space="preserve">שכר פסיכולוגים - אבחון דידקטי וקשב </t>
  </si>
  <si>
    <t>עבודות נקיון בקבלנות</t>
  </si>
  <si>
    <t>אבחון דידקטי וקשב</t>
  </si>
  <si>
    <t xml:space="preserve">הוצאות שוטפות ואחרות </t>
  </si>
  <si>
    <t>הנחות לתלמידים (כולל ועדת הנחות)</t>
  </si>
  <si>
    <t xml:space="preserve">סבסוד אבחונים - נזקקים </t>
  </si>
  <si>
    <t xml:space="preserve">מימון שכר לימוד לתלמידי חוץ - חינוך רגיל </t>
  </si>
  <si>
    <t xml:space="preserve">מימון שכר לימוד לתלמידי חוץ - חינוך מיוחד </t>
  </si>
  <si>
    <t>משכורות כוללות - פיקוח על צהרונים</t>
  </si>
  <si>
    <t>שעות תגבור - שכר בשעות אפקטיביות</t>
  </si>
  <si>
    <t>הפעלת יול"א באמצעות קרן קרב ושונות  (ב- 2015 עבר ליסודיים סעיף 8132/780)</t>
  </si>
  <si>
    <t xml:space="preserve">תיגבור וחיזוק החינוך הממלכתי דתי (באמצעות מתנ"ס פוסטר) </t>
  </si>
  <si>
    <t>תיגבור וחיזוק צהרונים בגנ"י (3)</t>
  </si>
  <si>
    <t>יול"א חינוך מיוחד</t>
  </si>
  <si>
    <t>סבסוד אוכלוסיות חלשות (צהרונים) א'-ג' (ב- 2015 הופרד מיסודיים סעיף 8132/784)</t>
  </si>
  <si>
    <t>יול"א בהרצל כולל ארוחות והעשרה (ב- 2015 הופרד מסעיפים: 8132/784 ו- 81792/750)</t>
  </si>
  <si>
    <t>הפעלת יול"א ביד התשעה (ב- 2015 הופרד מגנ"י סעיף 812/784)</t>
  </si>
  <si>
    <t>סבסוד תלמידי א' - ג' שישתלבו בצהרון בתוך בתי הספר</t>
  </si>
  <si>
    <t>יול"א במתנ"ס לילדי הרצל</t>
  </si>
  <si>
    <t>סבסוד יול"א בגני-ילדים באמצעות מתנ"ס פוסטר (ב- 2016 עבר מסעיף 81792/870)</t>
  </si>
  <si>
    <t>סבסוד יול"א בגני-ילדים באמצעות מתנ"ס פוסטר (ב- 2016 עבר לסעיף 81792/788)</t>
  </si>
  <si>
    <t>(סיוע לתלמידים נזקקים (ועדת הנחות כולל נסיעות</t>
  </si>
  <si>
    <t>סבסוד תלמידי החינוך הדתי הלומדים מחוץ לעיר</t>
  </si>
  <si>
    <t>מצויינות ומלגות לתחרויות בחו"ל</t>
  </si>
  <si>
    <t xml:space="preserve">החזרי הנחות לבתי"ס  </t>
  </si>
  <si>
    <t>הנחות צהרונים (בתי"ס)</t>
  </si>
  <si>
    <t xml:space="preserve">פעולות בטיחות במערך החינוך </t>
  </si>
  <si>
    <t>העסקת מלווים במעברי חצייה</t>
  </si>
  <si>
    <r>
      <t xml:space="preserve">עובדי תחזוקת מבני חינוך </t>
    </r>
    <r>
      <rPr>
        <sz val="11"/>
        <color indexed="8"/>
        <rFont val="David"/>
        <family val="2"/>
        <charset val="177"/>
      </rPr>
      <t>(סעיף מתחלק בין חינוך לבין כלל העירייה - יחד עם ס. 9383/100)</t>
    </r>
  </si>
  <si>
    <r>
      <t xml:space="preserve">תיקונים ואחזקת מבנים ורהוט - מוסדות חינוך </t>
    </r>
    <r>
      <rPr>
        <sz val="11"/>
        <color indexed="8"/>
        <rFont val="David"/>
        <family val="2"/>
        <charset val="177"/>
      </rPr>
      <t>(יסודיים, חט"ב ותיכונים בניהול עצמי)</t>
    </r>
  </si>
  <si>
    <t>תיקונים ואחזקת מתקני משחק בבתי"ס</t>
  </si>
  <si>
    <t>ביקורת והדרכות בטיחות אש - מוס"ח (כללי בפרק .721)</t>
  </si>
  <si>
    <t>אחזקת בתי ספר (כנגד הכנסות מדמי שימוש - סעיף 317960/420)</t>
  </si>
  <si>
    <t>העברה לבתי"ס בגין הכנסות ממערכות פוטו וולטאיות</t>
  </si>
  <si>
    <r>
      <t xml:space="preserve">הוצאות צריכת מים ואגרת ביוב - מוסדות חינוך </t>
    </r>
    <r>
      <rPr>
        <sz val="11"/>
        <color indexed="8"/>
        <rFont val="David"/>
        <family val="2"/>
        <charset val="177"/>
      </rPr>
      <t>(יסודיים, חט"ב ותיכונים בניהול עצמי)</t>
    </r>
  </si>
  <si>
    <t xml:space="preserve">חומרים ונורות חשמל </t>
  </si>
  <si>
    <t xml:space="preserve">אחזקת ציוד ומזגנים במוסדות חינוך </t>
  </si>
  <si>
    <t xml:space="preserve">שרותי אחזקה חיצוניים לעבודות גינון בגנ"י ובבתי"ס שאינם בניהול עצמי </t>
  </si>
  <si>
    <t>שימור גנים וחידוש צמחיה בבתי"ס שאינם בניהול עצמי</t>
  </si>
  <si>
    <t>בטיחות מוסדות חינוך</t>
  </si>
  <si>
    <t>פריסה וקיפול הצללות+אחזקה</t>
  </si>
  <si>
    <t xml:space="preserve">בדיקות וסקרי בטיחות במוס"ח </t>
  </si>
  <si>
    <t>רכישת ציוד יסודי לבתי"ס וגנ"י</t>
  </si>
  <si>
    <t>חידוש ציוד יסודי למיחשוב לבתי"ס וגנ"י</t>
  </si>
  <si>
    <t>פרוייקט "מחשב לכל ילד"</t>
  </si>
  <si>
    <t>נקיון בקבלנות במועדון נוער עולה בסיכון</t>
  </si>
  <si>
    <t>משכורות כוללות (הוראה)</t>
  </si>
  <si>
    <t>מרכז הורות (באמצעות בית פוסטר)  (החל משנת 2016 בסעיף 818/870)</t>
  </si>
  <si>
    <t>מרכז הורות (באמצעות בית פוסטר)  (בשנת 2016 עבר מסעיף 818/781)</t>
  </si>
  <si>
    <t xml:space="preserve">מכללת גימלאים </t>
  </si>
  <si>
    <t>משכורות כוללות - חשבות תנו"ס</t>
  </si>
  <si>
    <t>הוצאות כיבוד (כלל מחלקתי - כולל אולמות ספורט)</t>
  </si>
  <si>
    <t>העסקת כ"א באמצעות חב' השמה (בנות שירות לאומי)</t>
  </si>
  <si>
    <t>החזר לתאגיד התרבות העירוני בגין 50% מעלות שכר חשבת</t>
  </si>
  <si>
    <t>רכישת ציוד יסודי ואחזקתו - מנהלת תנו"ס</t>
  </si>
  <si>
    <t xml:space="preserve">תיקונים ואחזקה - מרכזים קהילתיים </t>
  </si>
  <si>
    <t>עדלאידע - פרסומים ודפוס</t>
  </si>
  <si>
    <t>הוצאות שונות פעולות תנו"ס (מותנה בהכנסות - סעיף 322/420)</t>
  </si>
  <si>
    <t>עדלאידע - הוצאות תחזוקה ולוגיסטיקה</t>
  </si>
  <si>
    <t>עדלאידע - אבטחה בקבלנות</t>
  </si>
  <si>
    <t xml:space="preserve">ארועים ופעולות תרבות </t>
  </si>
  <si>
    <t>ארועי "שבת תרבות"</t>
  </si>
  <si>
    <t>ארועי קיץ (כולל פרסומים ודפוס)</t>
  </si>
  <si>
    <t xml:space="preserve">  (מוסיקה בגן בן שפר (כולל אבטחה ופרסום</t>
  </si>
  <si>
    <t xml:space="preserve">עדלאידע - הוצאות לפעולות </t>
  </si>
  <si>
    <t>מופעים בפארק</t>
  </si>
  <si>
    <t>הוצאות בגין חגיגת המימונה</t>
  </si>
  <si>
    <t>אירועי קיץ בשכונות</t>
  </si>
  <si>
    <t>טקס עולים לכיתה א' ויריד חוגים</t>
  </si>
  <si>
    <t>רזרבת מנהל תנו"ס</t>
  </si>
  <si>
    <t>ארועי תרבות וקידום המסחר</t>
  </si>
  <si>
    <t>שאטלים ממרכז העיר</t>
  </si>
  <si>
    <t>ועד בית</t>
  </si>
  <si>
    <t>ריהוט ואחזקתו</t>
  </si>
  <si>
    <t>עיתונים</t>
  </si>
  <si>
    <t>הוצאות מיכון (כולל שירות לתוכנת אידאה)</t>
  </si>
  <si>
    <t>רכישת ספרים ומדיה מגנטית (מותנה בהכנסות - סעיף 323/420)</t>
  </si>
  <si>
    <t>סיוע לספריות לווין (ספרים ואירועים)</t>
  </si>
  <si>
    <t>פעולות תרבות (מותנה בהכנסות - סעיף 323/421)</t>
  </si>
  <si>
    <t>ארועי תרבות וחוגים</t>
  </si>
  <si>
    <t xml:space="preserve"> משכורות כוללות</t>
  </si>
  <si>
    <t>הוצאות שכר - העסקה בעירייה</t>
  </si>
  <si>
    <t>הקצבות למתנ"ס להפעלת הספריה</t>
  </si>
  <si>
    <t xml:space="preserve">הקצבות למתנ"ס להפעלת הספריה (כולל תחזוקה) </t>
  </si>
  <si>
    <t>פעולות תרבות (מותנה בהכנסות - סעיף 3234/421)</t>
  </si>
  <si>
    <t>"עמליה" בנווה עמל (באמצעות מתנ"ס בית פוסטר) (ב- 2016 עבר מסעיף 8241/871)</t>
  </si>
  <si>
    <t>מנהל מרכז ופעילות קהילתית הרצליה ב' (באמצעות מתנ"ס בית פוסטר) (ב- 2016 עבר מסעיף 8241/872)</t>
  </si>
  <si>
    <t>מנהל מרכז ופעילות קהילתית הרצליה הצעירה (באמצעות מתנ"ס בית פוסטר) (ב- 2016 עבר מסעיף 8241/873)</t>
  </si>
  <si>
    <t xml:space="preserve">מנהל מרכז ופעילות קהילתית מרכז העיר (באמצעות מתנ"ס בית פוסטר) </t>
  </si>
  <si>
    <t xml:space="preserve">הקצבות שוטפות להפעלת המתנ"ס בשכונה </t>
  </si>
  <si>
    <t>"עמליה" בנווה עמל (באמצעות מתנ"ס בית פוסטר) (ב- 2016 עבר לסעיף 8241/781)</t>
  </si>
  <si>
    <t>מנהל מרכז ופעילות קהילתית הרצליה ב' (באמצעות מתנ"ס בית פוסטר) (ב- 2016 עבר לסעיף 8241/782)</t>
  </si>
  <si>
    <t>מנהל מרכז ופעילות קהילתית הרצליה הצעירה (באמצעות מתנ"ס בית פוסטר) (ב- 2016 עבר לסעיף 8241/783)</t>
  </si>
  <si>
    <t>הפעלת מועדון בית כליי (באמצעות מתנ"ס בית פוסטר)</t>
  </si>
  <si>
    <t xml:space="preserve">שכר אב בית </t>
  </si>
  <si>
    <t>פעילות קהילתית - הרצליה הירוקה</t>
  </si>
  <si>
    <t>הקצבות שוטפות להפעלת המתנ"ס בשכונה</t>
  </si>
  <si>
    <t xml:space="preserve">שכר ריכוז ומינהלה </t>
  </si>
  <si>
    <t xml:space="preserve">הקצבות למתנ"ס נוה ישראל עבור המרכז </t>
  </si>
  <si>
    <t>מנהל מרכז ופעילות קהילתית יבור ( באמצעות מתנ"ס נווה ישראל)</t>
  </si>
  <si>
    <t xml:space="preserve">שכר מדריכים </t>
  </si>
  <si>
    <t>שכר שרתים</t>
  </si>
  <si>
    <t>פעילות קהילתית - נחלת עדה</t>
  </si>
  <si>
    <t>הקצבה להפעלת מועדון נחלת עדה (באמצעות מתנ"ס יד התשעה)</t>
  </si>
  <si>
    <t xml:space="preserve">שכר עובדי מינהלה </t>
  </si>
  <si>
    <t>הקצבה לבית פוסטר להפעלת המרכז</t>
  </si>
  <si>
    <t>הוצאות לפעולות (כולל סדנת דרמה)</t>
  </si>
  <si>
    <t>אחזקת מעלית וביטוח מזגנים</t>
  </si>
  <si>
    <t>מלגות לתלמידי הקונסרבטוריון</t>
  </si>
  <si>
    <t xml:space="preserve">השתתפות במימון הנחות  </t>
  </si>
  <si>
    <t xml:space="preserve">הקצבות למתנ"ס יד התשעה למרכז המוסיקה  </t>
  </si>
  <si>
    <t xml:space="preserve">הקצבות לשלוחה במערב העיר  </t>
  </si>
  <si>
    <t xml:space="preserve">הקצבות לשלוחה בבי"ס לב-טוב   </t>
  </si>
  <si>
    <t xml:space="preserve">הקצבה למתנ"ס יד התשעה להפעלת מרכז למוסיקה אתנית </t>
  </si>
  <si>
    <t>"שרותי ניהול וליווי מוסיקלי "יחדיו</t>
  </si>
  <si>
    <t>"שרותי ניהול וליווי מוסיקלי להקת "זמר לך</t>
  </si>
  <si>
    <t>הוצאות להקת "גלגל במעגל"</t>
  </si>
  <si>
    <t>הקצבה למתנ"ס יד התשעה לפעילות העדה האתיופית</t>
  </si>
  <si>
    <t>תשלום זכויות יוצרים  (אקו"ם, פדרציה ופי"ל)</t>
  </si>
  <si>
    <t>תיקונים ואחזקה (החל מ- 2016 כולל סעיף 8262/751)</t>
  </si>
  <si>
    <t>פרסומים, דפוס ויח"צ</t>
  </si>
  <si>
    <t>הובלות</t>
  </si>
  <si>
    <t>אחזקת  טלוויזיה במעגל סגור ומערכות מיזוג אויר ומעלית (ב- 2016 אוחד עם סעיף 8262/420)</t>
  </si>
  <si>
    <t>שירותי אחזקה חיצוניים</t>
  </si>
  <si>
    <t>הפקת קטלוגים ושימור האוסף</t>
  </si>
  <si>
    <t xml:space="preserve">הוצאות לפעולות ופרוייקטים מיוחדים </t>
  </si>
  <si>
    <t>חידוש ופיתוח תכנים במוז"ה</t>
  </si>
  <si>
    <t>הוצאות מחשוב האוסף - מותנה בתמיכה ממשרד התרבות</t>
  </si>
  <si>
    <t>הוצאות לפעולות ואחרות</t>
  </si>
  <si>
    <t xml:space="preserve">שכר דירה - סינמטק </t>
  </si>
  <si>
    <t xml:space="preserve">שכר דירה ודמי ניהול - המרכז לאם ולתינוק </t>
  </si>
  <si>
    <t xml:space="preserve">הקצבה להיכל לאומנויות הבמה </t>
  </si>
  <si>
    <t xml:space="preserve">הקצבה למרכז לאם ולתינוק </t>
  </si>
  <si>
    <t xml:space="preserve">הקצבה לתאגיד התרבות העירוני להפעלת הסינמטק </t>
  </si>
  <si>
    <t xml:space="preserve">הקצבה לתאגיד התרבות העירוני להפעלת הגלריה העירונית </t>
  </si>
  <si>
    <t>הקצבה לתאגיד התרבות העירוני להפעלת היכל בעיר</t>
  </si>
  <si>
    <t>הקצבה לתאגיד התרבות העירוני להפעלת משכן לאמנים וסופרים (עד 2015 בפרק .82641)</t>
  </si>
  <si>
    <t xml:space="preserve">הקצבה לתאגיד התרבות להפעלת המרכז העירוני לתיאטרון </t>
  </si>
  <si>
    <t>הקצבה לתאגיד -  מינהלת (שכר ופעולות)</t>
  </si>
  <si>
    <t>הקצבה לתאגיד התרבות להפעלת מוזיאון הרצליה לאמנות עכשווית</t>
  </si>
  <si>
    <t>משכורות כוללות (שכר מנהל המשכן עבר לסעיף הקצבה לתאגיד 8264/875)</t>
  </si>
  <si>
    <t xml:space="preserve">תיקונים ואחזקה </t>
  </si>
  <si>
    <t>הוצאות שונות (עבר לסעיף הקצבה לתאגיד 8264/875)</t>
  </si>
  <si>
    <t>דמי חכירה משך ראשונים</t>
  </si>
  <si>
    <t>תרבות תורנית - שכר דירה</t>
  </si>
  <si>
    <t>הוצאות משרד ושוטפות</t>
  </si>
  <si>
    <t>פעולות תרבות לאוכלוסיה הדתית</t>
  </si>
  <si>
    <t>תמיכה במוסדות בתחום תרבות תורנית</t>
  </si>
  <si>
    <t>שכר שרותי היקף לנוער</t>
  </si>
  <si>
    <t>מרכז הדרכה וסדנאות (ב - 2015 אוחד עם סעיף 782)</t>
  </si>
  <si>
    <t>הוצאות בגין פרוייקט "אזרחות פעילה" (מ- 2015 כולל סעיף 781)</t>
  </si>
  <si>
    <t>לשכת קשר לחיילים (ב- 2014 עבר מסעיף 811/782)</t>
  </si>
  <si>
    <t>מנהיגות נוער עירונית וחינוך חברתי</t>
  </si>
  <si>
    <t>הוצאות לפעולות בגין פרוייקט "מצילה"</t>
  </si>
  <si>
    <t>הוצאות לפעולות למלחמה בסמים</t>
  </si>
  <si>
    <t>אירוע פתיחת קיץ לנוער - חוף הים</t>
  </si>
  <si>
    <t>הקצבה לתאגיד התרבות עבור להקת "על הבמה"</t>
  </si>
  <si>
    <t>תיקונים ואחזקה (שוכר-משכיר)</t>
  </si>
  <si>
    <t>הקצבה לתאגיד התרבות העירוני להפעלת מועדון הנוער</t>
  </si>
  <si>
    <t>העסקת כ"א באמצעות חב' השמה (בת שירות לאומי)</t>
  </si>
  <si>
    <t>מועצת נוער</t>
  </si>
  <si>
    <t>תמיכה בתנועות נוער</t>
  </si>
  <si>
    <t>משכורות כוללות - מינהל</t>
  </si>
  <si>
    <t>תחזוקת אולמות ומתקני ספורט - כללי  (אולמות גדולים בנפרד)</t>
  </si>
  <si>
    <t>החזר הוצאות אולמות ספורט קטנים (במקביל בהכנסות ב- 32924/422)</t>
  </si>
  <si>
    <t>שירותי אימון נבחרת (בכפוף לתקבולים ממשרד החינוך)</t>
  </si>
  <si>
    <t xml:space="preserve">פעולות ספורט עממי </t>
  </si>
  <si>
    <t xml:space="preserve">ארועי ספורט,ליגות,טורנירים,טריאטלון,הרקדות בספורטק, משחה הרצליה 
</t>
  </si>
  <si>
    <t xml:space="preserve">ארועי ספורט חצות </t>
  </si>
  <si>
    <t>פעילות ספורט לקשישים ולאוכלוסיה מיוחדת</t>
  </si>
  <si>
    <t xml:space="preserve">נסיעות ומלגות עפ"י קריטריונים </t>
  </si>
  <si>
    <t xml:space="preserve">ארגון טריאתלון נשים בינלאומי </t>
  </si>
  <si>
    <t>חומרים (דישון והדברה) וזרעים</t>
  </si>
  <si>
    <t xml:space="preserve">נקיון וגינון בקבלנות </t>
  </si>
  <si>
    <t>העסקת כ"א באמצעות חברת השמה (לעונת המשחקים בלבד)</t>
  </si>
  <si>
    <t>הוצאות שוטפות ואחרות (כולל אחזקת מ.צילום)</t>
  </si>
  <si>
    <t>שיקום האצטדיון ומגרשי אימונים</t>
  </si>
  <si>
    <t>שכר אבות בית</t>
  </si>
  <si>
    <t>הוצאות מים וביוב</t>
  </si>
  <si>
    <t>הוצאות אחזקת מזגנים באולמות ספורט</t>
  </si>
  <si>
    <t>הוצאות שוטפות אולם היובל</t>
  </si>
  <si>
    <t>הוצאות שוטפות אולם תיכון חדש</t>
  </si>
  <si>
    <t>הוצאות שוטפות אולם תיכון ראשונים</t>
  </si>
  <si>
    <t>שכר אב בית</t>
  </si>
  <si>
    <t>טלפון ישיר אולם יד התשעה</t>
  </si>
  <si>
    <t>הקצבות שוטפות למתנ"ס להפעלת האולם</t>
  </si>
  <si>
    <t>הוצאות שכר</t>
  </si>
  <si>
    <t>הוצאות שוטפות ואחרות</t>
  </si>
  <si>
    <t>העסקת אב בית באמצעות חברת השמה</t>
  </si>
  <si>
    <t>הוצאות שוטפות - אילנות</t>
  </si>
  <si>
    <t xml:space="preserve">הוצאות שוטפות - אלון </t>
  </si>
  <si>
    <t>הוצאות שוטפות - לב טוב</t>
  </si>
  <si>
    <t>הוצאות שוטפות - חט"ב סמדר</t>
  </si>
  <si>
    <t>הוצאות שוטפות - חט"ב בן גוריון</t>
  </si>
  <si>
    <t>הוצאות שוטפות - ברנדייס</t>
  </si>
  <si>
    <t>הוצאות שוטפות - וולפסון</t>
  </si>
  <si>
    <t xml:space="preserve">רכישת ציוד יסודי - ברנדייס (חד פעמי) </t>
  </si>
  <si>
    <t xml:space="preserve">רכישת ציוד יסודי - וולפסון (חד פעמי) </t>
  </si>
  <si>
    <t xml:space="preserve">אחזקת מיול </t>
  </si>
  <si>
    <t xml:space="preserve">גינון בקבלנות </t>
  </si>
  <si>
    <t xml:space="preserve">העסקת אבות בית </t>
  </si>
  <si>
    <t>אבטחה - סקייטפארק</t>
  </si>
  <si>
    <t>משכורות כוללות - עובדים שעתיים</t>
  </si>
  <si>
    <t>אחזקה (כולל כימיקלים)</t>
  </si>
  <si>
    <t>טלפון</t>
  </si>
  <si>
    <t>פרסום והסברה</t>
  </si>
  <si>
    <t>הקצבה לבני הרצליה להפעלת מרכז הספורט החדש</t>
  </si>
  <si>
    <t>שכר כולל</t>
  </si>
  <si>
    <t>תמיכה באגודות בתחום ספורט תחרותי-בוגרים</t>
  </si>
  <si>
    <t>תמיכה באגודות בתחום ספורט תחרותי-נוער</t>
  </si>
  <si>
    <t xml:space="preserve">שכר - עירייה ישיר </t>
  </si>
  <si>
    <t xml:space="preserve">החזר הוצאות אבות בית באולמות ספורט </t>
  </si>
  <si>
    <t xml:space="preserve">הקצבה לבני הרצליה עבור פעילות ילדים ונוער </t>
  </si>
  <si>
    <t>הקצבה לבני הרצליה עבור מרכזי מצויינות</t>
  </si>
  <si>
    <t>הקצבה לבני הרצליה להפעלת כדורסל נשים</t>
  </si>
  <si>
    <t>הקצבה לבני הרצליה להפעלת כדורעף</t>
  </si>
  <si>
    <t>הוצאות לפעולות בריאות הציבור (ועדת בריאות בסעיף 6112/787)</t>
  </si>
  <si>
    <t>תכנית בטרם בעיר - בטיחות ילדים</t>
  </si>
  <si>
    <t>תמיכה במוסדות בתחום הבריאות (ב- 2016 הופרד מסעיף 841004/820)</t>
  </si>
  <si>
    <t>משכורות כוללות - מועדון צבר</t>
  </si>
  <si>
    <t xml:space="preserve">הוצאות לפעולות - מועדון חברתי צב"ר </t>
  </si>
  <si>
    <t>השתתפות באיגוד ערים למד"א - נ.ט.ן</t>
  </si>
  <si>
    <t xml:space="preserve">משכורות כוללות - עובדי לשכת הרווחה </t>
  </si>
  <si>
    <t>משכורות כוללות - תוכנית דרור (שעות נוספות)</t>
  </si>
  <si>
    <t>השתלמויות והדרכה</t>
  </si>
  <si>
    <t>שירותי חשבות - מנהל רווחה</t>
  </si>
  <si>
    <t xml:space="preserve">העסקת כ"א באמצעות חב' השמה </t>
  </si>
  <si>
    <t xml:space="preserve">הוצאות אחרות לפעולות ושונות </t>
  </si>
  <si>
    <t>תמיכה במוסדות בתחום רווחה ובריאות</t>
  </si>
  <si>
    <t>שכר - תוכנית דרור (ש נוספות)</t>
  </si>
  <si>
    <t>שכר דירה רווחה</t>
  </si>
  <si>
    <t>ניקיון</t>
  </si>
  <si>
    <t>העסקת כ"א -קניית שרות</t>
  </si>
  <si>
    <t>הוצאה מיוחדת (כנגד תרומה מעזבון)</t>
  </si>
  <si>
    <t>תמיכה במוסדות בתחום הרווחה (מ- 2016 בריאות בסעיף 831/820)</t>
  </si>
  <si>
    <t>רזרבת מנהל רווחה</t>
  </si>
  <si>
    <t xml:space="preserve">פנסיה  </t>
  </si>
  <si>
    <t>פיצויים והסדרי פרישה לעובדים</t>
  </si>
  <si>
    <t xml:space="preserve">העסקת עו"ס לשיקום האסיר </t>
  </si>
  <si>
    <t>טיפול בהתמכרויות</t>
  </si>
  <si>
    <t>משפחות במצוקה - עירוני</t>
  </si>
  <si>
    <t>משפחות במצוקה בקהילה - השלמה עירונית</t>
  </si>
  <si>
    <t>סיוע למשפחות עם ילדים - השלמה עירונית</t>
  </si>
  <si>
    <t>משכורות כוללות - שירותים טיפוליים</t>
  </si>
  <si>
    <t>סבסוד שירותים טיפוליים לנזקקים</t>
  </si>
  <si>
    <t>שרותים טיפוליים (100%)</t>
  </si>
  <si>
    <t>שכר מרכז טיפול באלימות</t>
  </si>
  <si>
    <t>שכר - שירותים טיפוליים</t>
  </si>
  <si>
    <t xml:space="preserve">השתת' בשירותים טיפוליים - עירוני </t>
  </si>
  <si>
    <t>מסגרת טיפולית לגברים אלימים</t>
  </si>
  <si>
    <t>הוצאות לפעולות - המרכז לשלום המשפחה - עירוני</t>
  </si>
  <si>
    <t>טיפול בילדים בסיכון (כולל על"מ)</t>
  </si>
  <si>
    <t>משכורות כוללות - מרכז קשר לטיפול בנוער במצוקה (שעות נוספות)</t>
  </si>
  <si>
    <t>טיפול בנוער במצוקה ובסיכון</t>
  </si>
  <si>
    <t>העסקה באמצעות חב' השמה - מ. קשר</t>
  </si>
  <si>
    <t>יצירת קשר הורים - ילדים</t>
  </si>
  <si>
    <t>שכר עובדת מועדונית (שעות אפקטיביות)</t>
  </si>
  <si>
    <t>שכר - טיפול ילד בסיכון</t>
  </si>
  <si>
    <t>מועדונית הפעלה באמצעות דרך הגלים - היסעים</t>
  </si>
  <si>
    <t>הסעות לפנימיות יום</t>
  </si>
  <si>
    <t>העסקה באמצעות חב' השמה - שירותים לילד ולנוער</t>
  </si>
  <si>
    <t>מועדונית הפעלה באמצעות דרך הגלים</t>
  </si>
  <si>
    <t>טיפול בילד בקהילה - עירוני</t>
  </si>
  <si>
    <t>מ. משותפות - שכר/מ.החינוך</t>
  </si>
  <si>
    <t>מ.משותפות - היסעים+ליווי</t>
  </si>
  <si>
    <t>מועדוניות משותפות (4) - השלמה עירונית</t>
  </si>
  <si>
    <t>משכורות כוללות - טיפול במועדוניות</t>
  </si>
  <si>
    <t xml:space="preserve">מועדוניות - הסעים וליווי </t>
  </si>
  <si>
    <t xml:space="preserve">פעילות בקהילה - מועדוניות </t>
  </si>
  <si>
    <t>אחזקת ילדים בפנימיות ובאומנה (כולל חזרה לקהילה)</t>
  </si>
  <si>
    <t>מעון יום עירוני - סבסוד ילדי רווחה</t>
  </si>
  <si>
    <t xml:space="preserve">מעונות יום </t>
  </si>
  <si>
    <t>הסעות וליווי למעונות יום שיקומיים לפעוטות</t>
  </si>
  <si>
    <t>הסעות למעונות/פעוטונים (מעון רב תכליתי)</t>
  </si>
  <si>
    <t>השתת' במעונות-עירייה</t>
  </si>
  <si>
    <t>ילדים במעונות יום - פעוטות בסיכון</t>
  </si>
  <si>
    <t xml:space="preserve">עזרה לקשישים (כולל ניידת ביקורי-בית) </t>
  </si>
  <si>
    <t>רכישת שרותים לטובת הקשיש (באמצעות תאגיד עירוני על"ה)</t>
  </si>
  <si>
    <t>תמיכה למוסדות לטובת הקשיש</t>
  </si>
  <si>
    <t>אחזקת זקנים במוסדות</t>
  </si>
  <si>
    <t>הפעלת טלוויזיה קהילתית לגימלאים (באמצעות תאגיד עירוני על"ה)</t>
  </si>
  <si>
    <t>שירותים לניצולי שואה-100%</t>
  </si>
  <si>
    <t>רכישת שירותים מעמותה עירונית על"ה</t>
  </si>
  <si>
    <t>הפעלת טלביזיה קהילתית</t>
  </si>
  <si>
    <t>הקצבה לתאגיד עירוני על"ה</t>
  </si>
  <si>
    <t>הקצבה להפעלת מועדון 60+(יד התשעה)</t>
  </si>
  <si>
    <t>מועדונים לזקנים - השלמה עירונית</t>
  </si>
  <si>
    <t>טיפול בזקן בקהילה - השלמה עירונית</t>
  </si>
  <si>
    <t>טיפול שיניים ומכ.לקשיש - 100%</t>
  </si>
  <si>
    <t>עו"ס לצוות רווחה עירוני</t>
  </si>
  <si>
    <t>עזרה לקשישים - עירוני (ניידת)</t>
  </si>
  <si>
    <t>(עזרה לזקן (טיפול אישי, עזרה ביתית וארוחות</t>
  </si>
  <si>
    <t>מועדונים לקשישים (כולל מועדון נצולי השואה בבית מורשת)</t>
  </si>
  <si>
    <t>הקצבה להפעלת מועדון "50 פלוס" (באמצעות מתנ"ס יד התשעה)</t>
  </si>
  <si>
    <t>סיוע למרותקי בית</t>
  </si>
  <si>
    <t>הקצבה למרכז צמרות - על"ה</t>
  </si>
  <si>
    <t>רשת בטחון לעמותת על"ה</t>
  </si>
  <si>
    <t>הפעלת מרכזי יום לקשיש (באמצעות תאגיד עירוני על"ה)</t>
  </si>
  <si>
    <t>הקצבה לעמותת על"ה לצורך הפעלת מרכז יום לקשיש צמרות</t>
  </si>
  <si>
    <r>
      <t xml:space="preserve">עזרה למפגרים - עירוני  </t>
    </r>
    <r>
      <rPr>
        <sz val="11"/>
        <color indexed="8"/>
        <rFont val="David"/>
        <family val="2"/>
        <charset val="177"/>
      </rPr>
      <t>(תגבור באופק, מע"ש הרצליה, מעון יום השרון, מ.מתראים)</t>
    </r>
  </si>
  <si>
    <t xml:space="preserve">סדור מפגרים במוסדות </t>
  </si>
  <si>
    <t xml:space="preserve">מסגרות לאוכלוסיית האוטיסטים </t>
  </si>
  <si>
    <t>אוטיסטים - עירוני</t>
  </si>
  <si>
    <t>מרכז יום שיקומי לאוטיסט</t>
  </si>
  <si>
    <t>מעשי"ם (מרכזי עבודה שיקומיים) ומסגרות יום</t>
  </si>
  <si>
    <t>מרכז יום אימוני - מש"ה</t>
  </si>
  <si>
    <t>מרכז יום טיפולי - מש"ה</t>
  </si>
  <si>
    <t>שכר דירה מע"ש</t>
  </si>
  <si>
    <t xml:space="preserve">שכר - טיפול ביול"א אופק  </t>
  </si>
  <si>
    <t>אופק - הוצאות שוטפות</t>
  </si>
  <si>
    <t xml:space="preserve">שרותים תומכים בקהילה </t>
  </si>
  <si>
    <t xml:space="preserve">הסעות למסגרות יום </t>
  </si>
  <si>
    <t>תיגבור שירותים מש"ה - עירוני</t>
  </si>
  <si>
    <t>שכר - יול"א אופק</t>
  </si>
  <si>
    <t>פעולות - יול"א אופק</t>
  </si>
  <si>
    <t xml:space="preserve">עזרה לנכים - עירוני </t>
  </si>
  <si>
    <t>מרכזי שיקום, הכשרה מקצועית, מועדונים ופנאי</t>
  </si>
  <si>
    <t>אחזקת נכים במוסדות</t>
  </si>
  <si>
    <t>נכים ושיקום - עירוני</t>
  </si>
  <si>
    <t>מסגרות יום לילד המוגבל</t>
  </si>
  <si>
    <t xml:space="preserve">טיפול בנכים בקהילה </t>
  </si>
  <si>
    <t xml:space="preserve">מרכז יום שיקומי לנכים </t>
  </si>
  <si>
    <t>חלופה למרכז יום שיקומי</t>
  </si>
  <si>
    <t>מרכז יום לנפגעי ראש</t>
  </si>
  <si>
    <t>טיפול בנערות במצוקה - השלמה עירונית</t>
  </si>
  <si>
    <t>תפעוליות-אלימות/סמים - עירוני</t>
  </si>
  <si>
    <t>העסקה באמצעות חב' השמה - שרותי תקון</t>
  </si>
  <si>
    <t>בדיקות סמים וסיוע - השלמה עירונית</t>
  </si>
  <si>
    <t xml:space="preserve">משכורות כוללות עובדים </t>
  </si>
  <si>
    <t>שכר שרת</t>
  </si>
  <si>
    <t>שכר פסיכולוגית</t>
  </si>
  <si>
    <t>העסקת כ"א - מרכז יום</t>
  </si>
  <si>
    <t>הוצאות מים ואגרת ביוב</t>
  </si>
  <si>
    <t>הוצאות שוטפות</t>
  </si>
  <si>
    <t>פעילות חוגים + מרכז יום</t>
  </si>
  <si>
    <t xml:space="preserve">שכר - מפתן ארז </t>
  </si>
  <si>
    <t xml:space="preserve">תיגבור לימודים ופרוייקטים </t>
  </si>
  <si>
    <t>שכר מדריכי מית"ר</t>
  </si>
  <si>
    <t>אחזקת מבנה</t>
  </si>
  <si>
    <t>הוצאות שוטפות מפת"ן ארז</t>
  </si>
  <si>
    <t>מיתר - מרכז יום חינוך ארוך</t>
  </si>
  <si>
    <t>משכורות כוללות - המרכז לשלום המשפחה</t>
  </si>
  <si>
    <t>הוצאות לפעולות - המרכז לשלום המשפחה</t>
  </si>
  <si>
    <t xml:space="preserve">מקלטים לנשים מוכות - מחוץ להרצליה </t>
  </si>
  <si>
    <t>שכר שירותים קהילתיים</t>
  </si>
  <si>
    <t>שכר דירה בית מורשת</t>
  </si>
  <si>
    <t>טלפון (כולל בית מורשת)</t>
  </si>
  <si>
    <t>הוצאות שונות (כולל חוסן בקהילה) - עירוני</t>
  </si>
  <si>
    <t>הוצאות ועדת רווחה</t>
  </si>
  <si>
    <t>עבודה קהילתית - פעולות - עירוני</t>
  </si>
  <si>
    <t>עבודה קהילתית - השלמה עירונית</t>
  </si>
  <si>
    <t xml:space="preserve">הקצבה לתאגיד התרבות להפעלת מועדון "גיל הזהב" </t>
  </si>
  <si>
    <t>הקצבה לתאגיד התרבות להפעלת תוכניות לגיל השלישי</t>
  </si>
  <si>
    <t>אחזקה שוטפת (בית המתנדב, מ. מוגן לנכים ואחרים)</t>
  </si>
  <si>
    <t>נקיון בית המתנדב</t>
  </si>
  <si>
    <t>פרוייקט "סלי מזון" לנצרכים - עירוני</t>
  </si>
  <si>
    <t>פעולות התנדבות (כולל כנס)</t>
  </si>
  <si>
    <t>בית המתנדב</t>
  </si>
  <si>
    <t>סלי מזון לנצרכים - עירוני</t>
  </si>
  <si>
    <t>פעולות התנדבות בקהילה</t>
  </si>
  <si>
    <t>פעולות התנדבות בקהילה - השלמה עירונית</t>
  </si>
  <si>
    <t>שכר - שי"ל</t>
  </si>
  <si>
    <t>שכר דירה שי"ל</t>
  </si>
  <si>
    <t>דמי אחזקה - שי"ל</t>
  </si>
  <si>
    <t>טלפון - שי"ל</t>
  </si>
  <si>
    <t>לשכות יעוץ לאזרח - השלמה עירונית</t>
  </si>
  <si>
    <t>דמי אחזקה</t>
  </si>
  <si>
    <t xml:space="preserve"> טלפון ישיר</t>
  </si>
  <si>
    <t xml:space="preserve">שכר דירה (כולל בית מורשת)  </t>
  </si>
  <si>
    <t>טלפון ישיר (כולל בית מורשת)</t>
  </si>
  <si>
    <t xml:space="preserve">הוצאות אחרות (מ- 2015 כולל פרוייקט "חוסן בקהילה") </t>
  </si>
  <si>
    <t>ועדת רווחה - פעילות בקהילה</t>
  </si>
  <si>
    <t>מרכז יום טיפולי - עולים</t>
  </si>
  <si>
    <t>מרכזי טיפול באלימות עולים</t>
  </si>
  <si>
    <t>ילדים במצוקה - עולים</t>
  </si>
  <si>
    <t>עובדי שכונה - עולים</t>
  </si>
  <si>
    <t>טיפול במשפחות עולים</t>
  </si>
  <si>
    <t>טיפול בילדים עולים</t>
  </si>
  <si>
    <t>עזרה לזקנים עולים</t>
  </si>
  <si>
    <t>תמיכה לכוללים ומוסדות תורניים</t>
  </si>
  <si>
    <t xml:space="preserve">רשת בטחון לבית העלמין </t>
  </si>
  <si>
    <t>סיוע למשפחות אבלים</t>
  </si>
  <si>
    <t>הוצאות אחרות - אולפנים (יד התשעה)</t>
  </si>
  <si>
    <t>(סיוע לתלמידים עולים (סל קליטה לתלמיד</t>
  </si>
  <si>
    <t>נקיון בקבלנות - מחסן מליב"י ומועדון לעולה</t>
  </si>
  <si>
    <t>הוצאות כלליות לפעולות</t>
  </si>
  <si>
    <t>הוצאות לפרוייקטים במימון מ. הקליטה</t>
  </si>
  <si>
    <t xml:space="preserve">קתדרה עממית לעולה (באמצעות מתנ"ס בית פוסטר) </t>
  </si>
  <si>
    <t>משכורות כוללות (כולל פקח - סייר סביבתי)</t>
  </si>
  <si>
    <t>פרסומים, דפוס, הסברה וחינוך</t>
  </si>
  <si>
    <t>ניטור יתושים</t>
  </si>
  <si>
    <t xml:space="preserve">הוצאות לפעולות ושונות </t>
  </si>
  <si>
    <t>הוצאות לפעולות חינוך לקיימות</t>
  </si>
  <si>
    <t>פינוי פסולת בנין משטחים פתוחים</t>
  </si>
  <si>
    <t>תמיכה למוסדות בתחום איכות הסביבה</t>
  </si>
  <si>
    <t>משכורות כוללות (בגין עובדים "מושאלים" לתאגיד המים והביוב)</t>
  </si>
  <si>
    <t>שכר מח'  נכסים וביטוחים</t>
  </si>
  <si>
    <t xml:space="preserve">תיקונים ושיפוצים - כללי </t>
  </si>
  <si>
    <t xml:space="preserve">תיקונים ושיפוצים - נכסים עירוניים </t>
  </si>
  <si>
    <t xml:space="preserve">שכ"ד, ועד בית ודמי ניהול - נכסים עירוניים </t>
  </si>
  <si>
    <t>דמי שימוש במקרקעין (הר עפר במרינה)</t>
  </si>
  <si>
    <t>הוצאות צריכת מים ואגרת ביוב - כללי</t>
  </si>
  <si>
    <t xml:space="preserve">ניהול מידע מקרקעין ונכסים </t>
  </si>
  <si>
    <t>פריסה וקיפול הצללות - כללי</t>
  </si>
  <si>
    <t xml:space="preserve">שמאויות והוצאות שונות </t>
  </si>
  <si>
    <t xml:space="preserve">שרותי חניה נוספים בחניון לב-העיר </t>
  </si>
  <si>
    <t>שמאויות והוצאות שונות (ב- 2015 עבר לסעיף 780)</t>
  </si>
  <si>
    <t>שרותי חניה נוספים בחניון לב-העיר (ב- 2015 עבר לסעיף 781)</t>
  </si>
  <si>
    <t xml:space="preserve">תיקונים ואחזקה - משרדי העירייה </t>
  </si>
  <si>
    <t xml:space="preserve">מאור וחשמל - כללי  </t>
  </si>
  <si>
    <t>חומרי ניקוי - כללי</t>
  </si>
  <si>
    <t xml:space="preserve">הוצאות שתייה וכיבוד - כללי </t>
  </si>
  <si>
    <t>טלפון - כלל משרדי העירייה (אחזקת מערכת טלפונים ב- 542)</t>
  </si>
  <si>
    <t>מערכת תקשורת 'מירס'</t>
  </si>
  <si>
    <t xml:space="preserve">תחזוקת מערכת טלפונים - כלל משרדי העירייה </t>
  </si>
  <si>
    <t>הוצאות דואר - כלל משרדי העירייה</t>
  </si>
  <si>
    <t xml:space="preserve">פרסום בעתונות "השבוע שלך" </t>
  </si>
  <si>
    <t xml:space="preserve">אחזקת ציוד </t>
  </si>
  <si>
    <t>אחזקת מזגנים לכלל משרדי העירייה</t>
  </si>
  <si>
    <t>נקיון משרדים בקבלנות - כללי</t>
  </si>
  <si>
    <t>עבודות קבלניות - כללי</t>
  </si>
  <si>
    <t>מערכת לניהול צי רכב</t>
  </si>
  <si>
    <t>בטיחות מוסדות עירייה</t>
  </si>
  <si>
    <t>חידוש צי רכב</t>
  </si>
  <si>
    <t>טפסים ונייר</t>
  </si>
  <si>
    <t>תיקונים ואחזקה - ציוד דפוס ושכפול</t>
  </si>
  <si>
    <r>
      <t xml:space="preserve">סה"כ משכורות </t>
    </r>
    <r>
      <rPr>
        <sz val="11"/>
        <color indexed="8"/>
        <rFont val="David"/>
        <family val="2"/>
        <charset val="177"/>
      </rPr>
      <t xml:space="preserve"> (מתחלק עם סעיף 81796/100)</t>
    </r>
  </si>
  <si>
    <t xml:space="preserve">העסקת כ"א באמצעות חב' השמה לצרכי תחזוקה </t>
  </si>
  <si>
    <t>ציוד חירום לארועים</t>
  </si>
  <si>
    <t>משכורות כוללות - מנהלת אגף תב"ל</t>
  </si>
  <si>
    <t xml:space="preserve">משכורות כוללות - מח. רכב </t>
  </si>
  <si>
    <t xml:space="preserve">משכורות כוללות - מח. רכש </t>
  </si>
  <si>
    <t xml:space="preserve">משכורות כוללות - מח. לוגיסטיקה </t>
  </si>
  <si>
    <t xml:space="preserve">משכורות כוללות - מח. בטיחות ובריאות תעסוקתית </t>
  </si>
  <si>
    <t>ביגוד ושתייה</t>
  </si>
  <si>
    <t>הוצאות מיכון מערכת רכש ומלאי מחסנים</t>
  </si>
  <si>
    <t>נקיון בקבלנות - מנהלת תבל ובטחון</t>
  </si>
  <si>
    <t>הוצאות אחרות ורזרבת מנהל אגף (כולל ייעוץ ושרותים מקצועיים)</t>
  </si>
  <si>
    <t>הוצאות אחזקת מחסן</t>
  </si>
  <si>
    <t>הוצאות שונות - מחלקת רכב</t>
  </si>
  <si>
    <t>החזר עלות השקעה - תחנת דלק</t>
  </si>
  <si>
    <t>הוצאות מיכון - מעקב דוחו"ת חנייה</t>
  </si>
  <si>
    <t>הוצאות טיפול בגביית קנסות חנייה (נטו)</t>
  </si>
  <si>
    <t xml:space="preserve">עמלות גבייה לבנק הדואר </t>
  </si>
  <si>
    <t>שכ"ט בגין גביית קנסות חנייה</t>
  </si>
  <si>
    <t>עמלה למפעיל חניה סלולרית (פאנגו וסלופארק)</t>
  </si>
  <si>
    <t>תמלוגים בגין הפעלת מדחנים</t>
  </si>
  <si>
    <t>הוצאות להפעלת חניון משאיות (נטו) - באמצ' החב' הכלכלית</t>
  </si>
  <si>
    <t>(הסדרי חנייה והוצ' אחרות (כולל איתור בעלי רכב</t>
  </si>
  <si>
    <t>כלכלה, ביגוד ושתיה</t>
  </si>
  <si>
    <t>הפרשה לקרן</t>
  </si>
  <si>
    <t xml:space="preserve">הפרשה לקרן הלוואות לעובדים </t>
  </si>
  <si>
    <t>כיסוי הוצאות משנים קודמות</t>
  </si>
  <si>
    <t>שעות נוספות בגין מבצע "צוק איתן"</t>
  </si>
  <si>
    <t>רזרבת מנכ"ל לאיוש תקנים</t>
  </si>
  <si>
    <t xml:space="preserve">גילום מ"ה בגין שווי הטבות עובדים </t>
  </si>
  <si>
    <t xml:space="preserve">רזרבת רה"ע  </t>
  </si>
  <si>
    <t>רזרבת מנכ"ל</t>
  </si>
  <si>
    <t xml:space="preserve">רזרבה לרפורמות, התייקרויות והוצאות בלתי נצפות </t>
  </si>
  <si>
    <t>מקדמות מס הכנסה ע"ח הוצאות עודפות</t>
  </si>
  <si>
    <t>הוצאות בגין מבצע צוק איתן</t>
  </si>
  <si>
    <t>עידוד והתחדשות המסחר ברחוב סוקולוב</t>
  </si>
  <si>
    <t>שמירה ואבטחת עובדי עירייה ונבחרי ציבור</t>
  </si>
  <si>
    <t>הנחות בארנונה: עפ"י דין (ללא מימון) והנחות ועדה עפ"י מצב חומרי</t>
  </si>
  <si>
    <t>סיוע לנזקקים לדיור (ב- 2016 עבר לסעיף 6112/789)</t>
  </si>
  <si>
    <t>העברה לקרנות הרשות ו/או הקטנת גרעון מצטבר</t>
  </si>
  <si>
    <t>Jewish Religious services</t>
  </si>
  <si>
    <t>Other Immigrant services (Olim)</t>
  </si>
  <si>
    <t>להכפלה במספר הילדים בגילאי חטיבות עליונות (ז'-יב') שנמצאים במערכת החינוך של הרשות</t>
  </si>
  <si>
    <t>חינוך חטיבות עליונות</t>
  </si>
  <si>
    <t>Expense on post elementary school child</t>
  </si>
  <si>
    <t>Level 1.5 aggrigation for none specific services</t>
  </si>
  <si>
    <t>Compact Culture and Sports Expenses</t>
  </si>
  <si>
    <t>Factor</t>
  </si>
  <si>
    <t>313200</t>
  </si>
  <si>
    <t>222100</t>
  </si>
  <si>
    <t>110000</t>
  </si>
  <si>
    <t>120000</t>
  </si>
  <si>
    <t>192000</t>
  </si>
  <si>
    <t>197000</t>
  </si>
  <si>
    <t>213000</t>
  </si>
  <si>
    <t>214100</t>
  </si>
  <si>
    <t>214300</t>
  </si>
  <si>
    <t>227000</t>
  </si>
  <si>
    <t>226200</t>
  </si>
  <si>
    <t>242000</t>
  </si>
  <si>
    <t>244500</t>
  </si>
  <si>
    <t>244700</t>
  </si>
  <si>
    <t>245000</t>
  </si>
  <si>
    <t>246000</t>
  </si>
  <si>
    <t>247500</t>
  </si>
  <si>
    <t>247400</t>
  </si>
  <si>
    <t>281000</t>
  </si>
  <si>
    <t>311400</t>
  </si>
  <si>
    <t>313220</t>
  </si>
  <si>
    <t>315510</t>
  </si>
  <si>
    <t>323000</t>
  </si>
  <si>
    <t>342000</t>
  </si>
  <si>
    <t>343000</t>
  </si>
  <si>
    <t>344000</t>
  </si>
  <si>
    <t>345000</t>
  </si>
  <si>
    <t>346200</t>
  </si>
  <si>
    <t>346400</t>
  </si>
  <si>
    <t>346500</t>
  </si>
  <si>
    <t>347000</t>
  </si>
  <si>
    <t>347310</t>
  </si>
  <si>
    <t>347320</t>
  </si>
  <si>
    <t>347410</t>
  </si>
  <si>
    <t>410000</t>
  </si>
  <si>
    <t>432000</t>
  </si>
  <si>
    <t>430000</t>
  </si>
  <si>
    <t>435000</t>
  </si>
  <si>
    <t>442000</t>
  </si>
  <si>
    <t>471200</t>
  </si>
  <si>
    <t>510000</t>
  </si>
  <si>
    <t>520000</t>
  </si>
  <si>
    <t>540000</t>
  </si>
  <si>
    <t>547000</t>
  </si>
  <si>
    <t>ארנונה   - ארנונה  למגורים ועסקים</t>
  </si>
  <si>
    <t>ארנונה   - הנחות סוציאליות ופטורים בארנונה</t>
  </si>
  <si>
    <t>אגרות - אגרת רשיונות לשלטים</t>
  </si>
  <si>
    <t>אגרות - אגרת תעודות ואישורים</t>
  </si>
  <si>
    <t>אגרות - אגרת מודעות על לוחות</t>
  </si>
  <si>
    <t>אגרות - התקנת שלטים</t>
  </si>
  <si>
    <t>אגרות - הדבקת מודעות</t>
  </si>
  <si>
    <t>מענקי משרד הפנים - מענק פנסיה צוברת</t>
  </si>
  <si>
    <t>מענקי משרד הפנים - שיפוי קופות גמל סעיף 19ג</t>
  </si>
  <si>
    <t>שירותי ניקיון - פינוי פסולת והובלה</t>
  </si>
  <si>
    <t>שירותי ניקיון - מכירת מכרזים</t>
  </si>
  <si>
    <t>שירותי ניקיון - רכישה ותיקון מכולות</t>
  </si>
  <si>
    <t>פיקוח תברואי - אגרת רישוי עסקים</t>
  </si>
  <si>
    <t>פיקוח תברואי - קנסות</t>
  </si>
  <si>
    <t>פיקוח תברואי - דוחות עישון</t>
  </si>
  <si>
    <t>שירות  וטרינרי - אגרת רשיונות לכלבים</t>
  </si>
  <si>
    <t>שירות  וטרינרי - בדיקות בשר קפוא ודגים</t>
  </si>
  <si>
    <t>שירות  וטרינרי - אגרת שחיטת עופות</t>
  </si>
  <si>
    <t>שירות  וטרינרי - מאורות כלבים</t>
  </si>
  <si>
    <t>שירות  וטרינרי - אגרת בדיקה  וטרינרית</t>
  </si>
  <si>
    <t>שירות  וטרינרי - דמי חיסון כלבים</t>
  </si>
  <si>
    <t>שמירה וביטחון - משמר אזרחי -השתתפות ממשלה</t>
  </si>
  <si>
    <t>שמירה וביטחון - קב"טים</t>
  </si>
  <si>
    <t>שמירה וביטחון - השתתפות רשויות אחרות</t>
  </si>
  <si>
    <t>שמירה וביטחון - פס"ח</t>
  </si>
  <si>
    <t>שמירה וביטחון - מציל"ה</t>
  </si>
  <si>
    <t>תכנון ובניה - העתקות אור</t>
  </si>
  <si>
    <t>תכנון ובניה - ועדה מקומית בז"ן</t>
  </si>
  <si>
    <t>תכנון ובניה - מענק תמרוץ בניה</t>
  </si>
  <si>
    <t xml:space="preserve">תכנון ובניה - ועדה מקומית </t>
  </si>
  <si>
    <t>תכנון ובניה - אגרת רשיונות בניה</t>
  </si>
  <si>
    <t>נכסים ציבוריים - אגרת שמוש במדרכות</t>
  </si>
  <si>
    <t xml:space="preserve">נכסים ציבוריים - אגרות חניה -כרטיסי  חניה   </t>
  </si>
  <si>
    <t>נכסים ציבוריים - אגרות חניה-מדחנים</t>
  </si>
  <si>
    <t>נכסים ציבוריים - אגרות חניה -איזיפארק</t>
  </si>
  <si>
    <t>נכסים ציבוריים - קנסות חנייה</t>
  </si>
  <si>
    <t>נכסים ציבוריים - חניה סלולרית פאנגו</t>
  </si>
  <si>
    <t>נכסים ציבוריים - סלופארק</t>
  </si>
  <si>
    <t>נכסים ציבוריים - מגרשי חנייה</t>
  </si>
  <si>
    <t xml:space="preserve">נכסים ציבוריים - השתתפות בעלים-תקציב פיתוח </t>
  </si>
  <si>
    <t>נכסים ציבוריים - אגרת היתר עקירת עצים</t>
  </si>
  <si>
    <t>נכסים ציבוריים - אגרת חופש מידע</t>
  </si>
  <si>
    <t>נכסים ציבוריים - בית מרחץ</t>
  </si>
  <si>
    <t>פיקוח עירוני - קנסות בית משפט</t>
  </si>
  <si>
    <t>פיקוח עירוני - פינוי גרוטאות</t>
  </si>
  <si>
    <t>פיקוח עירוני - פקח רמב"ם</t>
  </si>
  <si>
    <t>חינוך - הכנסות משרד החינוך</t>
  </si>
  <si>
    <t>חינוך - תקשוב לאומי</t>
  </si>
  <si>
    <t>גני ילדים - משתלם גני ילדים</t>
  </si>
  <si>
    <t>גני ילדים - עוזרות לגננות -גני חובה -ממשלה</t>
  </si>
  <si>
    <t>גני ילדים - גני ילדים  השתתפות מועצות ילדי חוץ</t>
  </si>
  <si>
    <t>גני ילדים - גננות עובדות מדינה חובה</t>
  </si>
  <si>
    <t>גני ילדים - השתתפות מ. החינוך בהנחות שכ"ל</t>
  </si>
  <si>
    <t>גני ילדים - ילדי השלמה ממשלה</t>
  </si>
  <si>
    <t>גני ילדים - ילדי שיקום שכונות ועולים-ממשלה</t>
  </si>
  <si>
    <t>גני ילדים - סל תרבות</t>
  </si>
  <si>
    <t>בתי ספר יסודיים - רווחה חינוכית ממשלה</t>
  </si>
  <si>
    <t>בתי ספר יסודיים - רווחה חינוכית עצמיות</t>
  </si>
  <si>
    <t>בתי ספר יסודיים - בתי ספר יסודיים -שרתים ומזכירות</t>
  </si>
  <si>
    <t>בתי ספר יסודיים - בתי כנסת -דמי שרותים</t>
  </si>
  <si>
    <t>בתי ספר יסודיים - השתתפות מועצות ילדי חוץ</t>
  </si>
  <si>
    <t>בתי ספר יסודיים - בריאות השן</t>
  </si>
  <si>
    <t>בתי ספר יסודיים - הכנסות הורים קייטנות</t>
  </si>
  <si>
    <t>בתי ספר יסודיים - קייטנות -ממשלה</t>
  </si>
  <si>
    <t>בתי ספר יסודיים - מכון ביולוגי</t>
  </si>
  <si>
    <t>בתי ספר יסודיים - העשרה-השתתפות משרד החינוך</t>
  </si>
  <si>
    <t>בתי ספר יסודיים - אלחיוור שרתים</t>
  </si>
  <si>
    <t>בתי ספר יסודיים - משתלם בתי ספר יסודיים</t>
  </si>
  <si>
    <t>בתי ספר יסודיים - בית תלמיד תקורה-משתלם</t>
  </si>
  <si>
    <t>בתי ספר יסודיים - דילר הכנסה</t>
  </si>
  <si>
    <t>בתי ספר יסודיים - מדוזולוגיה-משתלם</t>
  </si>
  <si>
    <t>בתי ספר יסודיים - בתי ספר יסודים-משתלם</t>
  </si>
  <si>
    <t>בתי ספר יסודיים - טיפול בפרט</t>
  </si>
  <si>
    <t>בתי ספר יסודיים - מרחבי חינוך ממשלה</t>
  </si>
  <si>
    <t>בתי ספר יסודיים - זהירות בדרכים-ממשלה</t>
  </si>
  <si>
    <t>בתי ספר יסודיים - ניהול עצמי-אגרה</t>
  </si>
  <si>
    <t>בתי ספר יסודיים - ניהול עצמי -שכפולים</t>
  </si>
  <si>
    <t>בתי ספר יסודיים - ניהול עצמי -כח אדם</t>
  </si>
  <si>
    <t>בתי ספר יסודיים - אגרת שירותים</t>
  </si>
  <si>
    <t>בתי ספר יסודיים - סיוע ניהול עצמי</t>
  </si>
  <si>
    <t xml:space="preserve">בתי ספר יסודיים - מיוחדים-השתתפות מועצות </t>
  </si>
  <si>
    <t>בתי ספר יסודיים - מיוחדים -שרתים ומזכירות</t>
  </si>
  <si>
    <t>בתי ספר יסודיים - מיוחדים-שכפולים</t>
  </si>
  <si>
    <t>בתי ספר יסודיים - מתי"א</t>
  </si>
  <si>
    <t>בתי ספר יסודיים - אופקים-ילדי חוץ</t>
  </si>
  <si>
    <t>בתי ספר יסודיים - אופקים-שרתים ומזכירות</t>
  </si>
  <si>
    <t>בתי ספר יסודיים - אופקים-שכפולים חומרים</t>
  </si>
  <si>
    <t>בתי ספר יסודיים - עופר-ילדי חוץ</t>
  </si>
  <si>
    <t>בתי ספר יסודיים - עופר-שרתים ומזכירות</t>
  </si>
  <si>
    <t>בתי ספר יסודיים - מיוחדים-משתלם</t>
  </si>
  <si>
    <t>בתי ספר יסודיים - ארוחות תלמידים</t>
  </si>
  <si>
    <t>בתי ספר יסודיים - מתי"א פעולות-משתלם</t>
  </si>
  <si>
    <t>בתי ספר יסודיים - הזנה חינוך מיוחד</t>
  </si>
  <si>
    <t>בתי ספר יסודיים - הסעות</t>
  </si>
  <si>
    <t>בתי ספר יסודיים - חווה קרית ביאליק משתלם</t>
  </si>
  <si>
    <t>בתי ספר יסודיים - חווה חקלאית -ביאליק -שרתים</t>
  </si>
  <si>
    <t>בתי ספר יסודיים - גן כרמית -משתלם</t>
  </si>
  <si>
    <t>בתי ספר יסודיים - גן כרמית -שרתים</t>
  </si>
  <si>
    <t>בתי ספר יסודיים - מרכז ימי -משתלם</t>
  </si>
  <si>
    <t>בתי ספר יסודיים - מרכז ימי -השת' משרד החינוך בתפעול</t>
  </si>
  <si>
    <t>בתי ספר יסודיים - מרכז ימי -שרתים ומזכירות</t>
  </si>
  <si>
    <t>בתי ספר יסודיים - סייעות ארעיות -ממשלה</t>
  </si>
  <si>
    <t>בתי ספר יסודיים - לווי והסעות החינוך</t>
  </si>
  <si>
    <t>בתי ספר יסודיים - סייעות ממשלה</t>
  </si>
  <si>
    <t>בתי ספר יסודיים - קבסי"ם ממשלה</t>
  </si>
  <si>
    <t>שירותים לבתי ספר וגני ילדים - אגרת חינוך</t>
  </si>
  <si>
    <t>שירותים לבתי ספר וגני ילדים - אגרת חינוך-ביטוח תלמידים</t>
  </si>
  <si>
    <t>שירותים לבתי ספר וגני ילדים - שכפול וחומרים-ממשלה</t>
  </si>
  <si>
    <t>שירותים לבתי ספר וגני ילדים - פסיכולוגים -השת' ממשלה</t>
  </si>
  <si>
    <t>שירותים לבתי ספר וגני ילדים - איבחונים</t>
  </si>
  <si>
    <t>שירותים לבתי ספר וגני ילדים - מ.החינוך השתלמויות-משתלם</t>
  </si>
  <si>
    <t>שירותים לבתי ספר וגני ילדים - מרכז קדום מחשבים -עצמיות -משתלם</t>
  </si>
  <si>
    <t>שירותים לבתי ספר וגני ילדים - תקשוב לאומי</t>
  </si>
  <si>
    <t>שירותים לבתי ספר וגני ילדים - מרכז לוגיסטי ממשלה-משתלם</t>
  </si>
  <si>
    <t>בתי ספר תיכוניים - פרויקט איכות הסביבה</t>
  </si>
  <si>
    <t>בתי ספר תיכוניים - מוקד קליטת ילדי אתיופיה</t>
  </si>
  <si>
    <t>בתי ספר תיכוניים - תוכנית שמידט</t>
  </si>
  <si>
    <t>בתי ספר תיכוניים - תרומת דה לבוש-משתלם</t>
  </si>
  <si>
    <t>בתי ספר תיכוניים - על יסודי-משתלם</t>
  </si>
  <si>
    <t>בתי ספר תיכוניים - משתלם על יסודי עצמיות</t>
  </si>
  <si>
    <t>בתי ספר תיכוניים - פרויקט מניפה</t>
  </si>
  <si>
    <t>בתי ספר תיכוניים - מחשב לכל ילד הורים</t>
  </si>
  <si>
    <t>בתי ספר תיכוניים - תיכון עירוני א -שכ"ל</t>
  </si>
  <si>
    <t>בתי ספר תיכוניים - תיכון עירוני א -שכפולים  וחומרים</t>
  </si>
  <si>
    <t>בתי ספר תיכוניים - תיכון אלמותנבי שיזף -שכ"ל</t>
  </si>
  <si>
    <t>בתי ספר תיכוניים - תיכון אלמותנבי-שכפולים וחומרים</t>
  </si>
  <si>
    <t>בתי ספר תיכוניים - תיכון יבנה-שכ"ל</t>
  </si>
  <si>
    <t>בתי ספר תיכוניים - תיכון יבנה- שכפולים וחומרים</t>
  </si>
  <si>
    <t>בתי ספר תיכוניים - תיכון עירוני ג-שכ"ל</t>
  </si>
  <si>
    <t>בתי ספר תיכוניים - תיכון עירוני ג- שכפולים וחומרים</t>
  </si>
  <si>
    <t>בתי ספר תיכוניים - תיכון חוגים -שכ"ל</t>
  </si>
  <si>
    <t>בתי ספר תיכוניים - תיכון חוגים-שכפולים וחומרים</t>
  </si>
  <si>
    <t>בתי ספר תיכוניים - תיכון עירוני ה-שכ"ל</t>
  </si>
  <si>
    <t>בתי ספר תיכוניים - תיכון עירוני ה -שכפולים וחומרים</t>
  </si>
  <si>
    <t>בתי ספר תיכוניים - תיכון "אמית"  ו לבנות</t>
  </si>
  <si>
    <t>בתי ספר תיכוניים - אומניות הורים</t>
  </si>
  <si>
    <t>בתי ספר תיכוניים - תיכון קריית חיים -שכ"ל</t>
  </si>
  <si>
    <t>בתי ספר תיכוניים - תיכון קרית חיים-שכפולים וחומרים</t>
  </si>
  <si>
    <t>בתי ספר תיכוניים - קרית חיים מקצועי</t>
  </si>
  <si>
    <t>בתי ספר תיכוניים - תיכון אלכרמה - שכ"ל</t>
  </si>
  <si>
    <t>בתי ספר תיכוניים - ישיבה תיכונית ב - שכ"ל</t>
  </si>
  <si>
    <t>בתי ספר תיכוניים - ישיבה תיכונית ב - שכפולים וחומרים</t>
  </si>
  <si>
    <t>בתי ספר תיכוניים - בית ספר רעות</t>
  </si>
  <si>
    <t>בתי ספר תיכוניים - רעות - חומרים</t>
  </si>
  <si>
    <t>בתי ספר תיכוניים - החזר צ'קים</t>
  </si>
  <si>
    <t>בתי ספר תיכוניים - ביה"ס בסמ"ת</t>
  </si>
  <si>
    <t>בתי ספר תיכוניים - ביה"ס בוסמת - שכפול וחומרים</t>
  </si>
  <si>
    <t>בתי ספר תיכוניים - רעות משתלם</t>
  </si>
  <si>
    <t>בתי ספר תיכוניים - השתתפות מועצות - ילדי חוץ</t>
  </si>
  <si>
    <t>בתי ספר תיכוניים - חט"ב - שכפולים וחומרים</t>
  </si>
  <si>
    <t>בתי ספר תיכוניים - עמלניות - ילדי חוץ</t>
  </si>
  <si>
    <t>בתי ספר תיכוניים - עמלניות - שרתים</t>
  </si>
  <si>
    <t>בתי ספר תיכוניים - עמלניות - ספרנים</t>
  </si>
  <si>
    <t>בתי ספר תיכוניים - עמלניות - לבורנטים</t>
  </si>
  <si>
    <t>בתי ספר תיכוניים - עמלניות - שכפולים וחומרים</t>
  </si>
  <si>
    <t>בתי ספר תיכוניים - עובדי מינהלה שרתים ורכז חינוך</t>
  </si>
  <si>
    <t>בתי ספר תיכוניים - ספרנים</t>
  </si>
  <si>
    <t>בתי ספר תיכוניים - חט"ב -השאלת מורים</t>
  </si>
  <si>
    <t>בתי ספר תיכוניים - עובדי סיוע טכני ולבורנטים</t>
  </si>
  <si>
    <t>בתי ספר תיכוניים - שמירה במוסדות חינוך</t>
  </si>
  <si>
    <t>בתי ספר תיכוניים - מרכז טכנולוגי הכנסות</t>
  </si>
  <si>
    <t>בתי ספר תיכוניים - אשכול רעות משתלם</t>
  </si>
  <si>
    <t>בתי ספר תיכוניים - אשכול פיס - קרית חיים</t>
  </si>
  <si>
    <t>בתי ספר תיכוניים - אשכול פיס רעות</t>
  </si>
  <si>
    <t>בתי ספר תיכוניים - פנימיות יום - תגבור</t>
  </si>
  <si>
    <t>בתי ספר תיכוניים - פנימיות יום - צד"ל</t>
  </si>
  <si>
    <t>בתי ספר תיכוניים - פעולות חברה ממשלה</t>
  </si>
  <si>
    <t>בתי ספר תיכוניים - מרכז ליאו בק</t>
  </si>
  <si>
    <t>בתי ספר תיכוניים - משולבים - משתלם</t>
  </si>
  <si>
    <t>בתי ספר תיכוניים - פסגות ממשלה</t>
  </si>
  <si>
    <t>בתי ספר תיכוניים - בתי   תלמיד הכנסות - משתלם</t>
  </si>
  <si>
    <t>תרבות - תרבות תורנית - השת' ממשלה</t>
  </si>
  <si>
    <t>תרבות - ספריות</t>
  </si>
  <si>
    <t>סעיפים משתלמים - ספריות</t>
  </si>
  <si>
    <t>סעיפים משתלמים - קידום נשים</t>
  </si>
  <si>
    <t>סעיפים משתלמים - קברט ספרותי</t>
  </si>
  <si>
    <t>סעיפים משתלמים - תרבות תורנית</t>
  </si>
  <si>
    <t>סעיפים משתלמים - פולקלור</t>
  </si>
  <si>
    <t>סעיפים משתלמים - בית יד לבנים</t>
  </si>
  <si>
    <t>סעיפים משתלמים - מוזיקה ומקהלות</t>
  </si>
  <si>
    <t>סעיפים משתלמים - המחלקה לנוער</t>
  </si>
  <si>
    <t>סעיפים משתלמים - בית קהילה</t>
  </si>
  <si>
    <t>סעיפים משתלמים - תחרויות ספורט</t>
  </si>
  <si>
    <t>סעיפים משתלמים - סייף</t>
  </si>
  <si>
    <t>סעיפים משתלמים - בית ספר דינור</t>
  </si>
  <si>
    <t>סעיפים משתלמים - אתלטיקה קלה</t>
  </si>
  <si>
    <t>סעיפים משתלמים - חט"ב - קרית חיים</t>
  </si>
  <si>
    <t>סעיפים משתלמים - משתלם אולם רמת אלון</t>
  </si>
  <si>
    <t>סעיפים משתלמים - אולם ספורט כבביר</t>
  </si>
  <si>
    <t>סעיפים משתלמים - שיזף אולם ספורט</t>
  </si>
  <si>
    <t>סעיפים משתלמים - אולם דגניה</t>
  </si>
  <si>
    <t>סעיפים משתלמים - אולם ספורט עירוני</t>
  </si>
  <si>
    <t>סעיפים משתלמים - פרחי ספורט</t>
  </si>
  <si>
    <t>סעיפים משתלמים - בית אבא חושי</t>
  </si>
  <si>
    <t>סעיפים משתלמים - מפגשים ברכס</t>
  </si>
  <si>
    <t>סעיפים משתלמים - פאני קפלן</t>
  </si>
  <si>
    <t>סעיפים משתלמים - בית מילר</t>
  </si>
  <si>
    <t>סעיפים משתלמים - תרבות כללי</t>
  </si>
  <si>
    <t>סעיפים משתלמים - בית נגלר</t>
  </si>
  <si>
    <t>סעיפים משתלמים - בית היינה</t>
  </si>
  <si>
    <t>סעיפים משתלמים - קרית שמואל</t>
  </si>
  <si>
    <t>סעיפים משתלמים - קרית שמואל חדש</t>
  </si>
  <si>
    <t>סעיפים משתלמים - מרכז בת גלים</t>
  </si>
  <si>
    <t>סעיפים משתלמים - בית ספר להורים</t>
  </si>
  <si>
    <t>סעיפים משתלמים - מועדוני נוער</t>
  </si>
  <si>
    <t>סעיפים משתלמים - מ. החינוך מועדונים</t>
  </si>
  <si>
    <t>סעיפים משתלמים - קייטנות דמי השתתפות</t>
  </si>
  <si>
    <t>סעיפים משתלמים - משרד הקליטה</t>
  </si>
  <si>
    <t>שירותי  רווחה - כח אדם וארגוניות</t>
  </si>
  <si>
    <t>שירותי  רווחה - טיפול במשפחה - השת' ממשלה</t>
  </si>
  <si>
    <t>שירותי  רווחה - טיפול במשפחה - השת' קרובים</t>
  </si>
  <si>
    <t>שירותי  רווחה - טיפול בילד ובנוער - השת' ממשלה</t>
  </si>
  <si>
    <t>שירותי  רווחה - טיפול  בילד ובנוער - השת' קרובים</t>
  </si>
  <si>
    <t>שירותי  רווחה - טיפול בזקן - השת' ממשלה</t>
  </si>
  <si>
    <t>שירותי  רווחה - טיפול בזקן - השת' קרובים</t>
  </si>
  <si>
    <t>שירותי  רווחה - טיפול במפגר - השת'  ממשלה</t>
  </si>
  <si>
    <t>שירותי  רווחה - טיפול במפגר - השת' קרובים</t>
  </si>
  <si>
    <t>שירותי  רווחה - שיקום עוורים - השת' ממשלה</t>
  </si>
  <si>
    <t>שירותי  רווחה - שיקום נכים - השת' ממשלה</t>
  </si>
  <si>
    <t>שירותי  רווחה - שיקום נכים - השתת' קרובים</t>
  </si>
  <si>
    <t>שירותי  רווחה - מניעת עבריינות - השת' ממשלה</t>
  </si>
  <si>
    <t>שירותי  רווחה - הרשות למלחמה בסמים</t>
  </si>
  <si>
    <t>שירותי  רווחה - מניעת עברינות - השתתפות נגמלים</t>
  </si>
  <si>
    <t>שירותי  רווחה - עבודה קהילתית - השת' ממשלה</t>
  </si>
  <si>
    <t>שירותי  רווחה - פרויקט הילה</t>
  </si>
  <si>
    <t>שירותי  רווחה - מאבק באלימות נגד קשישים</t>
  </si>
  <si>
    <t>שירותי  רווחה - מרכזתעסוקה לאוכלוסיה לא מסתגלת</t>
  </si>
  <si>
    <t>שירותי  רווחה - פרוייקט קד"ש השת' ממשלה</t>
  </si>
  <si>
    <t>שירותי  רווחה - עיר ללא אלימות</t>
  </si>
  <si>
    <t>שירותי  רווחה - עיר בריאה</t>
  </si>
  <si>
    <t>מים - אגרת מים</t>
  </si>
  <si>
    <t>נכסים - דמי שרותים ואחזקה</t>
  </si>
  <si>
    <t>נכסים - החזרת  דמי  ביטוח</t>
  </si>
  <si>
    <t>נכסים - דמי שכירות וחכירה</t>
  </si>
  <si>
    <t>נכסים - שכירות מנהל הנדסה</t>
  </si>
  <si>
    <t>נכסים - דמי העברה</t>
  </si>
  <si>
    <t>נכסים - יפה נוף * - שכ"ד</t>
  </si>
  <si>
    <t>נכסים - מכירה והחכרת נכסים</t>
  </si>
  <si>
    <t>כרמלית - כרמלית דמי זכיון</t>
  </si>
  <si>
    <t>מפעל הביוב - אגרת ביוב</t>
  </si>
  <si>
    <t>בית חולים בני ציון - הכנסות ממשלה - השתתפות בשכר</t>
  </si>
  <si>
    <t>בית חולים בני ציון - הכנסות ממשלה - השתתפות בהוצאות</t>
  </si>
  <si>
    <t>הכנסות שונות - הכנסות מריבית ודיבדנד</t>
  </si>
  <si>
    <t xml:space="preserve">הכנסות שונות - </t>
  </si>
  <si>
    <t>הכנסות שונות - מיחזור חסך</t>
  </si>
  <si>
    <t>הכנסות שונות - הכנסות מי כרמל</t>
  </si>
  <si>
    <t>הכנסות שונות - הכנסות שנים קודמות</t>
  </si>
  <si>
    <t>הכנסות שונות - דיבידנד אוצר השלטון</t>
  </si>
  <si>
    <t>הכנסות שונות - הכנסות ב.נ.מ</t>
  </si>
  <si>
    <t>הכנסות שונות - מכירת גרוטאות</t>
  </si>
  <si>
    <t>הכנסות שונות - הכנסות שונות</t>
  </si>
  <si>
    <t>הנהלת תחום תרבות - שכר לעובדים קבועים</t>
  </si>
  <si>
    <t>הנהלת תחום תרבות - שעות נוספות</t>
  </si>
  <si>
    <t>הנהלת תחום תרבות - הוצאות לפעולות</t>
  </si>
  <si>
    <t>המחלקה לארועים ואומנויות - שכר לעובדים קבועים</t>
  </si>
  <si>
    <t>המחלקה לארועים ואומנויות - שכר לעובדים ארעיים</t>
  </si>
  <si>
    <t>המחלקה לארועים ואומנויות - שעות נוספות</t>
  </si>
  <si>
    <t>המחלקה לארועים ואומנויות - אחזקה אספקה וציוד</t>
  </si>
  <si>
    <t>המחלקה לארועים ואומנויות - תחבורה ודואר</t>
  </si>
  <si>
    <t>המחלקה לארועים ואומנויות - הוצאות כלליות</t>
  </si>
  <si>
    <t>תחום תרבות המחלקה לארועים ואומנויות - הוצאות לפעולות</t>
  </si>
  <si>
    <t>תרבות תורנית - שכר לעובדים קבועים</t>
  </si>
  <si>
    <t>תרבות תורנית - שכר לעובדים ארעיים</t>
  </si>
  <si>
    <t>תרבות תורנית - שעות נוספות</t>
  </si>
  <si>
    <t>תרבות תורנית - אחזקה אספקה וציוד</t>
  </si>
  <si>
    <t>תרבות תורנית - תחבורה ודואר</t>
  </si>
  <si>
    <t>תרבות תורנית - הוצאות כלליות</t>
  </si>
  <si>
    <t>תרבות תורנית - הוצאות לפעולות</t>
  </si>
  <si>
    <t>פרסום - הוצאות לפעולות</t>
  </si>
  <si>
    <t>מוזאון מאנה כץ - אחזקה אספקה וציוד</t>
  </si>
  <si>
    <t>פעולות תרבות כלליות ארועים - חד פעמי - אתו"ס</t>
  </si>
  <si>
    <t>פעולות תרבות כלליות ארועים - הוצאות לפעולות</t>
  </si>
  <si>
    <t>ארועים במרכז הקונגרסים לפי חוזה - הוצאות לפעולות</t>
  </si>
  <si>
    <t>טלויזיה קהילתית - שכר לעובדים קבועים</t>
  </si>
  <si>
    <t>טלויזיה קהילתית - שעות נוספות</t>
  </si>
  <si>
    <t>מכינות קדם צבאיות - הוצאות לפעולות</t>
  </si>
  <si>
    <t>ספריות - שכר לעובדים קבועים</t>
  </si>
  <si>
    <t>ספריות - שעות נוספות</t>
  </si>
  <si>
    <t>ספריות - אחזקה אספקה וציוד</t>
  </si>
  <si>
    <t>ספריות - תחבורה ודואר</t>
  </si>
  <si>
    <t>ספריות - הוצאות כלליות</t>
  </si>
  <si>
    <t>ספריות - הוצאות לפעולות</t>
  </si>
  <si>
    <t>קייטנות - הוצאות לפעולות</t>
  </si>
  <si>
    <t>תוכנית אב לנוער - שכר לעובדים ארעיים</t>
  </si>
  <si>
    <t>תוכנית אב לנוער - שעות נוספות</t>
  </si>
  <si>
    <t>תוכנית אב לנוער - הוצאות לפעולות</t>
  </si>
  <si>
    <t>בית מילר - שכר לעובדים קבועים</t>
  </si>
  <si>
    <t>בית מילר - שעות נוספות</t>
  </si>
  <si>
    <t>בית מילר - אחזקה אספקה וציוד</t>
  </si>
  <si>
    <t>בית מילר - תחבורה ודואר</t>
  </si>
  <si>
    <t>בית מילר - הוצאות לפעולות</t>
  </si>
  <si>
    <t>מועדוני נוער - שכר לעובדים קבועים</t>
  </si>
  <si>
    <t>מועדוני נוער - שעות נוספות</t>
  </si>
  <si>
    <t>מועדוני נוער - אחזקה אספקה וציוד</t>
  </si>
  <si>
    <t>מועדוני נוער - תחבורה ודואר</t>
  </si>
  <si>
    <t>מועדוני נוער - הוצאות כלליות</t>
  </si>
  <si>
    <t>מועדוני נוער - הוצאות לפעולות</t>
  </si>
  <si>
    <t>מועדון קהילתי עבאס - הוצאות לפעולות</t>
  </si>
  <si>
    <t>תחום תרבות משתלמים - שכר לעובדים ארעיים</t>
  </si>
  <si>
    <t>תחום תרבות משתלמים - שעות נוספות</t>
  </si>
  <si>
    <t>משתלמים - אחזקה אספקה וציוד</t>
  </si>
  <si>
    <t>משתלמים - הוצאות כלליות</t>
  </si>
  <si>
    <t>תחום תרבות משתלמים - הוצאות לפעולות</t>
  </si>
  <si>
    <t>המחלקה למרכזים קהילתיים - שכר לעובדים קבועים</t>
  </si>
  <si>
    <t>המחלקה למרכזים קהילתיים - שעות נוספות</t>
  </si>
  <si>
    <t>המחלקה למרכזים קהילתיים - אחזקה אספקה וציוד</t>
  </si>
  <si>
    <t>המחלקה למרכזים קהילתיים - הוצאות לפעולות</t>
  </si>
  <si>
    <t>מרכז בת גלים - שכר לעובדים קבועים</t>
  </si>
  <si>
    <t>מרכז בת גלים - שעות נוספות</t>
  </si>
  <si>
    <t>מרכז בת גלים - אחזקה אספקה וציוד</t>
  </si>
  <si>
    <t>מרכז בת גלים - תחבורה ודואר</t>
  </si>
  <si>
    <t>מרכז בת גלים - הוצאות לפעולות</t>
  </si>
  <si>
    <t>בית פאני קפלן - שכר לעובדים קבועים</t>
  </si>
  <si>
    <t>בית פאני קפלן - שעות נוספות</t>
  </si>
  <si>
    <t>בית פאני קפלן - אחזקה אספקה וציוד</t>
  </si>
  <si>
    <t>בית פאני קפלן - תחבורה ודואר</t>
  </si>
  <si>
    <t>בית פאני קפלן - הוצאות כלליות</t>
  </si>
  <si>
    <t>בית פאני קפלן - הוצאות לפעולות</t>
  </si>
  <si>
    <t>מרכז נוה דוד - שכר לעובדים קבועים</t>
  </si>
  <si>
    <t>מרכז נוה דוד - שעות נוספות</t>
  </si>
  <si>
    <t>מרכז נוה דוד - השתתפויות תמיכות ותרומות</t>
  </si>
  <si>
    <t>מרכז עין הים - השתתפויות תמיכות ותרומות</t>
  </si>
  <si>
    <t>מרכז קהילתי שפרינצק - השתתפויות תמיכות ותרומות</t>
  </si>
  <si>
    <t>מרכז קהילתי ק. אליעזר - הוצאות לפעולות</t>
  </si>
  <si>
    <t>מרכז קהילתי שער העליה - הוצאות לפעולות</t>
  </si>
  <si>
    <t>מרכז רמות - הוצאות לפעולות</t>
  </si>
  <si>
    <t>בית יד לבנים - שכר לעובדים קבועים</t>
  </si>
  <si>
    <t>בית יד לבנים - שעות נוספות</t>
  </si>
  <si>
    <t>בית יד לבנים - אחזקה אספקה וציוד</t>
  </si>
  <si>
    <t>בית יד לבנים - תחבורה ודואר</t>
  </si>
  <si>
    <t>בית יד לבנים - הוצאות כלליות</t>
  </si>
  <si>
    <t>מרכז קהילתי אחוזה - השתתפויות תמיכות ותרומות</t>
  </si>
  <si>
    <t>מרכז רמת בגין - שכר לעובדים קבועים</t>
  </si>
  <si>
    <t>מרכז רמת בגין - שעות נוספות</t>
  </si>
  <si>
    <t>מרכז רמת בגין - הוצאות לפעולות</t>
  </si>
  <si>
    <t>בית אבא חושי - שכר לעובדים קבועים</t>
  </si>
  <si>
    <t>בית אבא חושי - שעות נוספות</t>
  </si>
  <si>
    <t>בית אבא חושי - הוצאות לפעולות</t>
  </si>
  <si>
    <t>מרכז דתי נו"ש - שכר לעובדים קבועים</t>
  </si>
  <si>
    <t>מרכז דתי נו"ש - שעות נוספות</t>
  </si>
  <si>
    <t>מרכז דתי נו"ש - השתתפויות תמיכות ותרומות</t>
  </si>
  <si>
    <t>‏‏‏מרכז ללימודי השואה - השתתפויות תמיכות ותרומות</t>
  </si>
  <si>
    <t>‏מרכז נוה יוסף - שכר לעובדים קבועים</t>
  </si>
  <si>
    <t>‏מרכז נוה יוסף - שעות נוספות</t>
  </si>
  <si>
    <t>‏מרכז נוה יוסף - השתתפויות תמיכות ותרומות</t>
  </si>
  <si>
    <t>שלוחת מתנ"ס נוה יוסף ‏(חליסה , מגנצה,הבית הירוק והגיבורים) - חד פעמי הוצאות שנים עברו</t>
  </si>
  <si>
    <t>שלוחת מתנ"ס נוה יוסף ‏(חליסה , מגנצה,הבית הירוק והגיבורים) - השתתפויות תמיכות ותרומות</t>
  </si>
  <si>
    <t>מרכז קהילתי חטיבת כרמלי - הוצאות לפעולות</t>
  </si>
  <si>
    <t>בית הגפן - תקציב חד פעמי</t>
  </si>
  <si>
    <t>בית הגפן - השתתפויות תמיכות ותרומות</t>
  </si>
  <si>
    <t>מרכז הדר ביתנו ‏(כולל מרכז ברח' בית"ר, מרכז ברח' טבריה, שכירות, פרויקט כפר הסטודנטים אתנחתא, גרעין תורני ופיתוח מסחר בהדר) - שכר לעובדים קבועים</t>
  </si>
  <si>
    <t>מרכז הדר ביתנו ‏(כולל מרכז ברח' בית"ר, מרכז ברח' טבריה, שכירות, פרויקט כפר הסטודנטים אתנחתא, גרעין תורני ופיתוח מסחר בהדר) - שעות נוספות</t>
  </si>
  <si>
    <t>מרכז הדר ביתנו ‏(כולל מרכז ברח' בית"ר, מרכז ברח' טבריה, שכירות, פרויקט כפר הסטודנטים אתנחתא, גרעין תורני ופיתוח מסחר בהדר) - השתתפויות תמיכות ותרומות</t>
  </si>
  <si>
    <t>בית נגלר - שכר לעובדים קבועים</t>
  </si>
  <si>
    <t>בית נגלר - שעות נוספות</t>
  </si>
  <si>
    <t>בית נגלר - הוצאות לפעולות</t>
  </si>
  <si>
    <t>בית היינה - שכר לעובדים קבועים</t>
  </si>
  <si>
    <t>בית היינה - שעות נוספות</t>
  </si>
  <si>
    <t>בית היינה - אחזקה אספקה וציוד</t>
  </si>
  <si>
    <t>בית היינה - תחבורה ודואר</t>
  </si>
  <si>
    <t>בית היינה - הוצאות לפעולות</t>
  </si>
  <si>
    <t>יד לבנים קרית חיים - שכר לעובדים קבועים</t>
  </si>
  <si>
    <t>יד לבנים קרית חיים - שעות נוספות</t>
  </si>
  <si>
    <t>יד לבנים קרית חיים - הוצאות לפעולות</t>
  </si>
  <si>
    <t>מרכז ק. שמואל - שכר לעובדים קבועים</t>
  </si>
  <si>
    <t>מרכז ק. שמואל - שעות נוספות</t>
  </si>
  <si>
    <t>מרכז ק. שמואל - אחזקה אספקה וציוד</t>
  </si>
  <si>
    <t>מרכז ק. שמואל - תחבורה ודואר</t>
  </si>
  <si>
    <t>מרכז ק. שמואל - הוצאות כלליות</t>
  </si>
  <si>
    <t>מרכז ק. שמואל - הוצאות לפעולות</t>
  </si>
  <si>
    <t>‏‏מרכז קהילתי ק. שמואל - אחזקה אספקה וציוד</t>
  </si>
  <si>
    <t>‏‏מרכז קהילתי ק. שמואל - הוצאות לפעולות</t>
  </si>
  <si>
    <t>מרכז נוער ק. שמואל - שכר לעובדים קבועים</t>
  </si>
  <si>
    <t>מרכז נוער ק. שמואל - שעות נוספות</t>
  </si>
  <si>
    <t>מרכז נוער ק. שמואל - אחזקה אספקה וציוד</t>
  </si>
  <si>
    <t>מרכז נוער ק. שמואל - הוצאות כלליות</t>
  </si>
  <si>
    <t>מרכז נוער ק. שמואל - הוצאות לפעולות</t>
  </si>
  <si>
    <t>מרכז נוער ק. שמואל - פרעון מלוות</t>
  </si>
  <si>
    <t>לשכת מהנדס העיר - שכר לעובדים קבועים</t>
  </si>
  <si>
    <t>לשכת מהנדס העיר - שעות נוספות</t>
  </si>
  <si>
    <t>לשכת מהנדס העיר - אחזקה אספקה וציוד</t>
  </si>
  <si>
    <t>לשכת מהנדס העיר - תחבורה ודואר</t>
  </si>
  <si>
    <t>לשכת מהנדס העיר - הוצאות כלליות</t>
  </si>
  <si>
    <t>לשכת מהנדס העיר - הוצאות לפעולות</t>
  </si>
  <si>
    <t>ועדה מקומית - שכר לעובדים קבועים</t>
  </si>
  <si>
    <t>ועדה מקומית - שעות נוספות</t>
  </si>
  <si>
    <t>ועדה מקומית - הוצאות לפעולות</t>
  </si>
  <si>
    <t>ועדה מקומית בז"ן - הוצאות לפעולות</t>
  </si>
  <si>
    <t>ארכיון הנדסי - שכר לעובדים קבועים</t>
  </si>
  <si>
    <t>ארכיון הנדסי - שעות נוספות</t>
  </si>
  <si>
    <t>הנהלת האגף לתכנון עיר - שכר לעובדים קבועים</t>
  </si>
  <si>
    <t>הנהלת האגף לתכנון עיר - שעות נוספות</t>
  </si>
  <si>
    <t>תיכנון עיר - שכר לעובדים קבועים</t>
  </si>
  <si>
    <t>תיכנון עיר - שעות נוספות</t>
  </si>
  <si>
    <t>תיכנון עיר - אחזקה אספקה וציוד</t>
  </si>
  <si>
    <t>תיכנון עיר - תחבורה ודואר</t>
  </si>
  <si>
    <t>תיכנון עיר - הוצאות כלליות</t>
  </si>
  <si>
    <t>תיכנון עיר - הוצאות לפעולות</t>
  </si>
  <si>
    <t>תיכנון טווח ארוך - שכר לעובדים קבועים</t>
  </si>
  <si>
    <t>תיכנון טווח ארוך - שעות נוספות</t>
  </si>
  <si>
    <t>תיכנון טווח ארוך - אחזקה אספקה וציוד</t>
  </si>
  <si>
    <t>תיכנון טווח ארוך - תחבורה ודואר</t>
  </si>
  <si>
    <t>תיכנון טווח ארוך - הוצאות כלליות</t>
  </si>
  <si>
    <t>תיכנון טווח ארוך - הוצאות לפעולות</t>
  </si>
  <si>
    <t>המחלקה למידע ותכנון עיר - שכר לעובדים קבועים</t>
  </si>
  <si>
    <t>המחלקה למידע ותכנון עיר - שעות נוספות</t>
  </si>
  <si>
    <t>המחלקה ליעודי קרקע - שכר לעובדים קבועים</t>
  </si>
  <si>
    <t>המחלקה ליעודי קרקע - שעות נוספות</t>
  </si>
  <si>
    <t>המחלקה ליעודי קרקע - אחזקה אספקה וציוד</t>
  </si>
  <si>
    <t>המחלקה ליעודי קרקע - תחבורה ודואר</t>
  </si>
  <si>
    <t>המחלקה ליעודי קרקע - הוצאות כלליות</t>
  </si>
  <si>
    <t>המחלקה ליעודי קרקע - הוצאות לפעולות</t>
  </si>
  <si>
    <t>אגף פיקוח ורישוי על הבניה - שכר לעובדים קבועים</t>
  </si>
  <si>
    <t>אגף פיקוח ורישוי על הבניה - שעות נוספות</t>
  </si>
  <si>
    <t>אגף פיקוח ורישוי על הבניה - אחזקה אספקה וציוד</t>
  </si>
  <si>
    <t>אגף פיקוח ורישוי על הבניה - תחבורה ודואר</t>
  </si>
  <si>
    <t>אגף פיקוח ורישוי על הבניה - הוצאות כלליות</t>
  </si>
  <si>
    <t>אגף פיקוח ורישוי על הבניה - הוצאות לפעולות</t>
  </si>
  <si>
    <t>אגף לתכנון דרכים תנועה ונוף - שכר לעובדים קבועים</t>
  </si>
  <si>
    <t>אגף לתכנון דרכים תנועה ונוף - שעות נוספות</t>
  </si>
  <si>
    <t>אגף לתכנון דרכים תנועה ונוף - אחזקה אספקה וציוד</t>
  </si>
  <si>
    <t>אגף לתכנון דרכים תנועה ונוף - תחבורה ודואר</t>
  </si>
  <si>
    <t>אגף לתכנון דרכים תנועה ונוף - הוצאות כלליות</t>
  </si>
  <si>
    <t>אגף לתכנון דרכים תנועה ונוף - הוצאות לפעולות</t>
  </si>
  <si>
    <t>הנהלת אגף נכסים - שכר לעובדים קבועים</t>
  </si>
  <si>
    <t>הנהלת אגף נכסים - שעות נוספות</t>
  </si>
  <si>
    <t>שמאי העירייה - שכר לעובדים קבועים</t>
  </si>
  <si>
    <t>שמאי העירייה - שעות נוספות</t>
  </si>
  <si>
    <t>מחלקה לפיתוח מקרקעין - שכר לעובדים קבועים</t>
  </si>
  <si>
    <t>מחלקה לפיתוח מקרקעין - שעות נוספות</t>
  </si>
  <si>
    <t>מחלקה לפיתוח מקרקעין - אחזקה אספקה וציוד</t>
  </si>
  <si>
    <t>מחלקה לפיתוח מקרקעין - תחבורה ודואר</t>
  </si>
  <si>
    <t>מחלקה לפיתוח מקרקעין - הוצאות כלליות</t>
  </si>
  <si>
    <t>מחלקה לפיתוח מקרקעין - הוצאות לפעולות</t>
  </si>
  <si>
    <t>המחלקה לנכסים ציבוריים - שכר לעובדים קבועים</t>
  </si>
  <si>
    <t>המחלקה לנכסים ציבוריים - שעות נוספות</t>
  </si>
  <si>
    <t>המחלקה לנכסים ציבוריים - אחזקה אספקה וציוד</t>
  </si>
  <si>
    <t>המחלקה לנכסים ציבוריים - תחבורה ודואר</t>
  </si>
  <si>
    <t>המחלקה לנכסים ציבוריים - הוצאות כלליות</t>
  </si>
  <si>
    <t>המחלקה לנכסים ציבוריים - הוצאות לפעולות</t>
  </si>
  <si>
    <t>תחום רישום נכסים - שכר לעובדים קבועים</t>
  </si>
  <si>
    <t>תחום רישום נכסים - שעות נוספות</t>
  </si>
  <si>
    <t>רישוי עסקים - שכר לעובדים קבועים</t>
  </si>
  <si>
    <t>רישוי עסקים - שעות נוספות</t>
  </si>
  <si>
    <t>רישוי עסקים - אחזקה אספקה וציוד</t>
  </si>
  <si>
    <t>רישוי עסקים - תחבורה ודואר</t>
  </si>
  <si>
    <t>רישוי עסקים - הוצאות כלליות</t>
  </si>
  <si>
    <t>רישוי עסקים - הוצאות לפעולות</t>
  </si>
  <si>
    <t>משתלם העתקות אור - הוצאות לפעולות</t>
  </si>
  <si>
    <t>לשכת ראש העיר‏‏ - שכר לעובדים קבועים</t>
  </si>
  <si>
    <t>לשכת ראש העיר‏‏ - שעות נוספות</t>
  </si>
  <si>
    <t>לשכת ראש העיר‏‏ - אחזקה אספקה וציוד</t>
  </si>
  <si>
    <t>לשכת ראש העיר‏‏ - תחבורה ודואר</t>
  </si>
  <si>
    <t>לשכת ראש העיר‏‏ - הוצאות כלליות</t>
  </si>
  <si>
    <t>לשכת ראש העיר‏‏ - הוצאות לפעולות</t>
  </si>
  <si>
    <t>האגף לפניות הציבור - שכר לעובדים קבועים</t>
  </si>
  <si>
    <t>האגף לפניות הציבור - שעות נוספות</t>
  </si>
  <si>
    <t>האגף לפניות הציבור - אחזקה אספקה וציוד</t>
  </si>
  <si>
    <t>האגף לפניות הציבור - תחבורה ודואר</t>
  </si>
  <si>
    <t>האגף לפניות הציבור - הוצאות כלליות</t>
  </si>
  <si>
    <t>האגף לפניות הציבור - הוצאות לפעולות</t>
  </si>
  <si>
    <t>האגף לפניות הציבור - השתתפויות תמיכות ותרומות</t>
  </si>
  <si>
    <t>מוקד עירוני - שכר לעובדים קבועים</t>
  </si>
  <si>
    <t>מוקד עירוני - שעות נוספות</t>
  </si>
  <si>
    <t>מוקד עירוני - אחזקה אספקה וציוד</t>
  </si>
  <si>
    <t>מוקד עירוני - תחבורה ודואר</t>
  </si>
  <si>
    <t>מוקד עירוני - הוצאות לפעולות</t>
  </si>
  <si>
    <t>יועצת ראש העיר למעמד האישה - שכר לעובדים קבועים</t>
  </si>
  <si>
    <t>יועצת ראש העיר למעמד האישה - שעות נוספות</t>
  </si>
  <si>
    <t>יועצת ראש העיר למעמד האישה - אחזקה אספקה וציוד</t>
  </si>
  <si>
    <t>יועצת ראש העיר למעמד האישה - תחבורה ודואר</t>
  </si>
  <si>
    <t>יועצת ראש העיר למעמד האישה - הוצאות כלליות</t>
  </si>
  <si>
    <t>יועצת ראש העיר למעמד האישה - הוצאות לפעולות</t>
  </si>
  <si>
    <t>לשכת המנכ"ל - שכר לעובדים קבועים</t>
  </si>
  <si>
    <t>לשכת המנכ"ל - שעות נוספות</t>
  </si>
  <si>
    <t>לשכת המנכ"ל - אחזקה אספקה וציוד</t>
  </si>
  <si>
    <t>לשכת המנכ"ל - תחבורה ודואר</t>
  </si>
  <si>
    <t>לשכת המנכ"ל - הוצאות כלליות</t>
  </si>
  <si>
    <t>לשכת המנכ"ל - הוצאות לפעולות</t>
  </si>
  <si>
    <t>יחידה לפיתוח כלכלי - שכר לעובדים קבועים</t>
  </si>
  <si>
    <t>יחידה לפיתוח כלכלי - שעות נוספות</t>
  </si>
  <si>
    <t>יחידה לפיתוח כלכלי - אחזקה אספקה וציוד</t>
  </si>
  <si>
    <t>יחידה לפיתוח כלכלי - תחבורה ודואר</t>
  </si>
  <si>
    <t>יחידה לפיתוח כלכלי - הוצאות כלליות</t>
  </si>
  <si>
    <t>יחידה לפיתוח כלכלי - הוצאות לפעולות</t>
  </si>
  <si>
    <t>מבקר העירייה - שכר לעובדים קבועים</t>
  </si>
  <si>
    <t>מבקר העירייה - שעות נוספות</t>
  </si>
  <si>
    <t>מבקר העירייה - אחזקה אספקה וציוד</t>
  </si>
  <si>
    <t>מבקר העירייה - תחבורה ודואר</t>
  </si>
  <si>
    <t>מבקר העירייה - הוצאות כלליות</t>
  </si>
  <si>
    <t>מבקר העירייה - הוצאות לפעולות</t>
  </si>
  <si>
    <t>אגף דוברות והסברה - שכר לעובדים קבועים</t>
  </si>
  <si>
    <t>אגף דוברות והסברה - שעות נוספות</t>
  </si>
  <si>
    <t>אגף דוברות והסברה - אחזקה אספקה וציוד</t>
  </si>
  <si>
    <t>אגף דוברות והסברה - תחבורה ודואר</t>
  </si>
  <si>
    <t>אגף דוברות והסברה - הוצאות כלליות</t>
  </si>
  <si>
    <t>אגף דוברות והסברה - הוצאות לפעולות</t>
  </si>
  <si>
    <t>השירות המשפטי - שכר לעובדים קבועים</t>
  </si>
  <si>
    <t>השירות המשפטי - שעות נוספות</t>
  </si>
  <si>
    <t>השירות המשפטי - אחזקה אספקה וציוד</t>
  </si>
  <si>
    <t>השירות המשפטי - תחבורה ודואר</t>
  </si>
  <si>
    <t>השירות המשפטי - הוצאות כלליות</t>
  </si>
  <si>
    <t>השירות המשפטי - הוצאות לפעולות</t>
  </si>
  <si>
    <t>עירונית קרית חיים - שכר לעובדים קבועים</t>
  </si>
  <si>
    <t>עירונית קרית חיים - שעות נוספות</t>
  </si>
  <si>
    <t>עירונית קרית חיים - אחזקה אספקה וציוד</t>
  </si>
  <si>
    <t>עירונית קרית חיים - תחבורה ודואר</t>
  </si>
  <si>
    <t>עירונית קרית חיים - הוצאות כלליות</t>
  </si>
  <si>
    <t>עירונית קרית חיים - הוצאות לפעולות</t>
  </si>
  <si>
    <t>יחידת מזכיר העיר - שכר לעובדים קבועים</t>
  </si>
  <si>
    <t>יחידת מזכיר העיר - שעות נוספות</t>
  </si>
  <si>
    <t>יחידת מזכיר העיר - אחזקה אספקה וציוד</t>
  </si>
  <si>
    <t>יחידת מזכיר העיר - תחבורה ודואר</t>
  </si>
  <si>
    <t>יחידת מזכיר העיר - הוצאות כלליות</t>
  </si>
  <si>
    <t>יחידת מזכיר העיר - הוצאות לפעולות</t>
  </si>
  <si>
    <t>מזכירות המועצה והוועדות - שכר לעובדים קבועים</t>
  </si>
  <si>
    <t>מזכירות המועצה והוועדות - שעות נוספות</t>
  </si>
  <si>
    <t>מזכירות המועצה והוועדות - אחזקה אספקה וציוד</t>
  </si>
  <si>
    <t>מזכירות המועצה והוועדות - תחבורה ודואר</t>
  </si>
  <si>
    <t>מזכירות המועצה והוועדות - הוצאות כלליות</t>
  </si>
  <si>
    <t>מזכירות המועצה והוועדות - הוצאות לפעולות</t>
  </si>
  <si>
    <t>לשכות סגני רה"ע - שכר לעובדים קבועים</t>
  </si>
  <si>
    <t>לשכות סגני רה"ע - שעות נוספות</t>
  </si>
  <si>
    <t>לשכות סגני רה"ע - אחזקה אספקה וציוד</t>
  </si>
  <si>
    <t>לשכות סגני רה"ע - תחבורה ודואר</t>
  </si>
  <si>
    <t>לשכות סגני רה"ע - הוצאות כלליות</t>
  </si>
  <si>
    <t>לשכות סגני רה"ע - הוצאות לפעולות</t>
  </si>
  <si>
    <t>היחידה לטקסים - שכר לעובדים קבועים</t>
  </si>
  <si>
    <t>היחידה לטקסים - שעות נוספות</t>
  </si>
  <si>
    <t>היחידה לטקסים - אחזקה אספקה וציוד</t>
  </si>
  <si>
    <t>היחידה לטקסים - תחבורה ודואר</t>
  </si>
  <si>
    <t>היחידה לטקסים - הוצאות כלליות</t>
  </si>
  <si>
    <t>היחידה לטקסים - הוצאות לפעולות</t>
  </si>
  <si>
    <t>אירועי הנהלה - אחזקה אספקה וציוד</t>
  </si>
  <si>
    <t>אירועי הנהלה - הוצאות לפעולות</t>
  </si>
  <si>
    <t>פיתוח יחסי חוץ - אחזקה אספקה וציוד</t>
  </si>
  <si>
    <t>פיתוח יחסי חוץ - הוצאות לפעולות</t>
  </si>
  <si>
    <t>תאו"ם - שכר לעובדים קבועים</t>
  </si>
  <si>
    <t>תאו"ם - שעות נוספות</t>
  </si>
  <si>
    <t>תאו"ם - אחזקה אספקה וציוד</t>
  </si>
  <si>
    <t>תאו"ם - תחבורה ודואר</t>
  </si>
  <si>
    <t>תאו"ם - הוצאות כלליות</t>
  </si>
  <si>
    <t>תאו"ם - הוצאות לפעולות</t>
  </si>
  <si>
    <t>תאו"ם - עיר בריאה</t>
  </si>
  <si>
    <t>מחקר וסטטיסטיקה - שכר לעובדים קבועים</t>
  </si>
  <si>
    <t>מחקר וסטטיסטיקה - שעות נוספות</t>
  </si>
  <si>
    <t>מחקר וסטטיסטיקה - אחזקה אספקה וציוד</t>
  </si>
  <si>
    <t>מחקר וסטטיסטיקה - תחבורה ודואר</t>
  </si>
  <si>
    <t>מחקר וסטטיסטיקה - הוצאות כלליות</t>
  </si>
  <si>
    <t>מחקר וסטטיסטיקה - הוצאות לפעולות</t>
  </si>
  <si>
    <t>המועצה לאזרחים ותיקים - אחזקה אספקה וציוד</t>
  </si>
  <si>
    <t>המועצה לאזרחים ותיקים - הוצאות לפעולות</t>
  </si>
  <si>
    <t>מחלקת משק - שכר לעובדים קבועים</t>
  </si>
  <si>
    <t>מחלקת משק - שעות נוספות</t>
  </si>
  <si>
    <t>מחלקת משק - אחזקה אספקה וציוד</t>
  </si>
  <si>
    <t>מחלקת משק - תחבורה ודואר</t>
  </si>
  <si>
    <t>מחלקת משק - הוצאות כלליות</t>
  </si>
  <si>
    <t>מחלקת משק - הוצאות לפעולות</t>
  </si>
  <si>
    <t>אגף משאבי אנוש - שכר לעובדים קבועים</t>
  </si>
  <si>
    <t>אגף משאבי אנוש - שעות נוספות</t>
  </si>
  <si>
    <t>אגף משאבי אנוש - אחזקה אספקה וציוד</t>
  </si>
  <si>
    <t>אגף משאבי אנוש - תחבורה ודואר</t>
  </si>
  <si>
    <t>אגף משאבי אנוש - הוצאות כלליות</t>
  </si>
  <si>
    <t>אגף משאבי אנוש - הוצאות לפעולות</t>
  </si>
  <si>
    <t>השתלמות עובדים - השתתפויות תמיכות ותרומות</t>
  </si>
  <si>
    <t>השתלמות מצילים - השתתפויות תמיכות ותרומות</t>
  </si>
  <si>
    <t>מכרזי כח אדם - הוצאות לפעולות</t>
  </si>
  <si>
    <t>פרסי עבודה וייעול - השתתפויות תמיכות ותרומות</t>
  </si>
  <si>
    <t>טקסים לפנסיונרים - הוצאות לפעולות</t>
  </si>
  <si>
    <t>בדיקת עובדים - הוצאות כלליות</t>
  </si>
  <si>
    <t>מבדקי קבלת עובדים חדשים - הוצאות לפעולות</t>
  </si>
  <si>
    <t>קנית שעונים לותיקים - הוצאות כלליות</t>
  </si>
  <si>
    <t>פרסומים ומידע - הוצאות לפעולות</t>
  </si>
  <si>
    <t>מח' התשלומים - שכר לעובדים קבועים</t>
  </si>
  <si>
    <t>מח' התשלומים - שעות נוספות</t>
  </si>
  <si>
    <t>מח' התשלומים - אחזקה אספקה וציוד</t>
  </si>
  <si>
    <t>מח' התשלומים - תחבורה ודואר</t>
  </si>
  <si>
    <t>מח' התשלומים - הוצאות כלליות</t>
  </si>
  <si>
    <t>מח' התשלומים - הוצאות לפעולות</t>
  </si>
  <si>
    <t>או"ש - שכר לעובדים קבועים</t>
  </si>
  <si>
    <t>או"ש - שעות נוספות</t>
  </si>
  <si>
    <t>או"ש - אחזקה אספקה וציוד</t>
  </si>
  <si>
    <t>או"ש - תחבורה ודואר</t>
  </si>
  <si>
    <t>או"ש - הוצאות כלליות</t>
  </si>
  <si>
    <t>או"ש - הוצאות לפעולות</t>
  </si>
  <si>
    <t>מזכירות כללית - שכר לעובדים קבועים</t>
  </si>
  <si>
    <t>מזכירות כללית - שעות נוספות</t>
  </si>
  <si>
    <t>מזכירות כללית - אחזקה אספקה וציוד</t>
  </si>
  <si>
    <t>מזכירות כללית - תחבורה ודואר</t>
  </si>
  <si>
    <t>מזכירות כללית - הוצאות כלליות</t>
  </si>
  <si>
    <t>ארכיון - שכר לעובדים קבועים</t>
  </si>
  <si>
    <t>ארכיון - שעות נוספות</t>
  </si>
  <si>
    <t>ארכיון - אחזקה אספקה וציוד</t>
  </si>
  <si>
    <t>ארכיון - תחבורה ודואר</t>
  </si>
  <si>
    <t>ארכיון - הוצאות כלליות</t>
  </si>
  <si>
    <t>ארכיון - הוצאות לפעולות</t>
  </si>
  <si>
    <t>ביהמ"ש לעניינים מקומיים - שכר לעובדים קבועים</t>
  </si>
  <si>
    <t>ביהמ"ש לעניינים מקומיים - שעות נוספות</t>
  </si>
  <si>
    <t>ביהמ"ש לעניינים מקומיים - אחזקה אספקה וציוד</t>
  </si>
  <si>
    <t>ביהמ"ש לעניינים מקומיים - תחבורה ודואר</t>
  </si>
  <si>
    <t>ביהמ"ש לעניינים מקומיים - הוצאות כלליות</t>
  </si>
  <si>
    <t>ביהמ"ש לעניינים מקומיים - הוצאות לפעולות</t>
  </si>
  <si>
    <t>האגף לשרותי רווחה - שכר לעובדים קבועים</t>
  </si>
  <si>
    <t>האגף לשרותי רווחה - שעות נוספות</t>
  </si>
  <si>
    <t>האגף לשרותי רווחה - אחזקה אספקה וציוד</t>
  </si>
  <si>
    <t>האגף לשרותי רווחה - תחבורה ודואר</t>
  </si>
  <si>
    <t>האגף לשרותי רווחה - הוצאות כלליות</t>
  </si>
  <si>
    <t>האגף לשרותי רווחה - הוצאות לפעולות</t>
  </si>
  <si>
    <t>פרויקט הילה - השתתפויות תמיכות ותרומות</t>
  </si>
  <si>
    <t>הרשות למלחמה בסמים - הוצאות לפעולות</t>
  </si>
  <si>
    <t>הרשות למלחמה בסמים - השתתפויות תמיכות ותרומות</t>
  </si>
  <si>
    <t>מציל"ה - שכר לעובדים קבועים</t>
  </si>
  <si>
    <t>מציל"ה - שעות נוספות</t>
  </si>
  <si>
    <t>מציל"ה - השתתפויות תמיכות ותרומות</t>
  </si>
  <si>
    <t>מרכז תעסוקה - השתתפויות תמיכות ותרומות</t>
  </si>
  <si>
    <t>פרוייקט קד"ש - שכר לעובדים קבועים</t>
  </si>
  <si>
    <t>פרוייקט קד"ש - הוצאות לפעולות</t>
  </si>
  <si>
    <t>מיל"ב-מועדוני פנסיונרים - השתתפויות תמיכות ותרומות</t>
  </si>
  <si>
    <t>גימלאידה - השתתפויות תמיכות ותרומות</t>
  </si>
  <si>
    <t>מרכז להורה עצמאי - השתתפויות תמיכות ותרומות</t>
  </si>
  <si>
    <t>שיקום האסיר - השתתפויות תמיכות ותרומות</t>
  </si>
  <si>
    <t>ארועים למען הקשיש - השתתפויות תמיכות ותרומות</t>
  </si>
  <si>
    <t>מועדוניות לילד - השתתפויות תמיכות ותרומות</t>
  </si>
  <si>
    <t>מרכז גיל רך ואדי - השתתפויות תמיכות ותרומות</t>
  </si>
  <si>
    <t>ילדים בסיכון הדר - השתתפויות תמיכות ותרומות</t>
  </si>
  <si>
    <t>פרויקט סטרייב - השתתפויות תמיכות ותרומות</t>
  </si>
  <si>
    <t>קרן ק.ס.ם.‏ - השתתפויות תמיכות ותרומות</t>
  </si>
  <si>
    <t>תוכנית חוסן‏ - השתתפויות תמיכות ותרומות</t>
  </si>
  <si>
    <t>מרכז לילדים נפגעי‏ תקיפה מינית - השתתפויות תמיכות ותרומות</t>
  </si>
  <si>
    <t>הנהלת רשות הספורט - שכר לעובדים קבועים</t>
  </si>
  <si>
    <t>הנהלת רשות הספורט - שעות נוספות</t>
  </si>
  <si>
    <t>הנהלת רשות הספורט - אחזקה אספקה וציוד</t>
  </si>
  <si>
    <t>הנהלת רשות הספורט - תחבורה ודואר</t>
  </si>
  <si>
    <t>הנהלת רשות הספורט - הוצאות כלליות</t>
  </si>
  <si>
    <t>הנהלת רשות הספורט - הוצאות לפעולות</t>
  </si>
  <si>
    <t>מועדונים בית ספריים - שכר לעובדים קבועים</t>
  </si>
  <si>
    <t>מועדונים בית ספריים - שכר לעובדים ארעיים</t>
  </si>
  <si>
    <t>מועדונים בית ספריים - שעות נוספות</t>
  </si>
  <si>
    <t>מועדונים בית ספריים - הוצאות לפעולות</t>
  </si>
  <si>
    <t>מרכזי אימון‏‏ - שכר לעובדים ארעיים</t>
  </si>
  <si>
    <t>מרכזי אימון‏‏ - שעות נוספות</t>
  </si>
  <si>
    <t>ארועי ספורט - הוצאות לפעולות</t>
  </si>
  <si>
    <t>אליפות העולם בשייט - הוצאות לפעולות</t>
  </si>
  <si>
    <t>פעילות טניס לילדים - הוצאות לפעולות</t>
  </si>
  <si>
    <t>הפעלת מגרשי ספורט - שעות נוספות</t>
  </si>
  <si>
    <t>הפעלת מגרשי ספורט - אחזקה אספקה וציוד</t>
  </si>
  <si>
    <t>הפעלת מגרשי ספורט - הוצאות לפעולות</t>
  </si>
  <si>
    <t>אולמות ספורט עירוני א ושיזף - הוצאות לפעולות</t>
  </si>
  <si>
    <t>כבביר, ק.חיים, רמת אלון ודינור - הוצאות לפעולות</t>
  </si>
  <si>
    <t>מועדון נוער אחווה - שכר לעובדים קבועים</t>
  </si>
  <si>
    <t>מועדון נוער אחווה - שעות נוספות</t>
  </si>
  <si>
    <t>מועדון נוער אחווה - הוצאות לפעולות</t>
  </si>
  <si>
    <t>ספורט ונוער המחלקה לארועים ואומנויות - הוצאות לפעולות</t>
  </si>
  <si>
    <t>המחלקה לנוער - שכר לעובדים קבועים</t>
  </si>
  <si>
    <t>המחלקה לנוער - שעות נוספות</t>
  </si>
  <si>
    <t>המחלקה לנוער - תחבורה ודואר</t>
  </si>
  <si>
    <t>המחלקה לנוער - הוצאות כלליות</t>
  </si>
  <si>
    <t>המחלקה לנוער - הוצאות לפעולות</t>
  </si>
  <si>
    <t>תנועות נוער - פעילות שוטפת - השתתפויות תמיכות ותרומות</t>
  </si>
  <si>
    <t>פרוייקט מעוף - הוצאות לפעולות</t>
  </si>
  <si>
    <t>פרוייקטים יחודיים לנוער - הוצאות לפעולות</t>
  </si>
  <si>
    <t>מרכז לצעירים - שכר לעובדים קבועים</t>
  </si>
  <si>
    <t>מרכז לצעירים - שעות נוספות</t>
  </si>
  <si>
    <t>מרכז לצעירים - אחזקה אספקה וציוד</t>
  </si>
  <si>
    <t>מרכז לצעירים - הוצאות לפעולות</t>
  </si>
  <si>
    <t>פעילות משתלמת מרכז לצעירים - הוצאות לפעולות</t>
  </si>
  <si>
    <t>קייטנות - שכר לעובדים קבועים</t>
  </si>
  <si>
    <t>קייטנות - שכר לעובדים ארעיים</t>
  </si>
  <si>
    <t>קייטנות - שעות נוספות</t>
  </si>
  <si>
    <t>קייטנות - תחבורה ודואר</t>
  </si>
  <si>
    <t>קייטנות - הוצאות כלליות</t>
  </si>
  <si>
    <t>ספורט ונוער משתלמים - שכר לעובדים ארעיים</t>
  </si>
  <si>
    <t>ספורט ונוער משתלמים - שעות נוספות</t>
  </si>
  <si>
    <t>ספורט ונוער משתלמים - הוצאות לפעולות</t>
  </si>
  <si>
    <t>סקרים ויועצים - הוצאות לפעולות</t>
  </si>
  <si>
    <t>ועדי עובדים - שכר לעובדים קבועים</t>
  </si>
  <si>
    <t>ועדי עובדים - שעות נוספות</t>
  </si>
  <si>
    <t>ועדי עובדים - אחזקה אספקה וציוד</t>
  </si>
  <si>
    <t>ועדי עובדים - תחבורה ודואר</t>
  </si>
  <si>
    <t>ועדי עובדים - הוצאות לפעולות</t>
  </si>
  <si>
    <t>ועדי עובדים - פעילות שוטפת - השתתפויות תמיכות ותרומות</t>
  </si>
  <si>
    <t>ועדי עובדים - פעולות תרבות - השתתפויות תמיכות ותרומות</t>
  </si>
  <si>
    <t>ועד הפנסיונרים - תרבות - השתתפויות תמיכות ותרומות</t>
  </si>
  <si>
    <t>ועדי עובדים - מילגות ילדי עובדים - השתתפויות תמיכות ותרומות</t>
  </si>
  <si>
    <t>ועדי עובדים - מודעות אבל - השתתפויות תמיכות ותרומות</t>
  </si>
  <si>
    <t>ועדי עובדים - שי לעובדים - השתתפויות תמיכות ותרומות</t>
  </si>
  <si>
    <t>ועדי עובדים ביטוח שיניים - השתתפויות תמיכות ותרומות</t>
  </si>
  <si>
    <t>ועדי עובדים ביטוח בריאות - השתתפויות תמיכות ותרומות</t>
  </si>
  <si>
    <t>ועדי עובדים סבסוד קייטנות - השתתפויות תמיכות ותרומות</t>
  </si>
  <si>
    <t>קרן גמלאי הרשויות המקומיות - הוצאות לפעולות</t>
  </si>
  <si>
    <t>הוצאות משפטיות וביטוחים - הוצאות כלליות</t>
  </si>
  <si>
    <t>ברי שיקום - שכר לעובדים קבועים</t>
  </si>
  <si>
    <t>ברי שיקום - שעות נוספות</t>
  </si>
  <si>
    <t>הוצאות עודפות ותשלומים ע"ח שנים עברו - הוצאות שנים עברו</t>
  </si>
  <si>
    <t>הוצאות עודפות ותשלומים ע"ח שנים עברו - הוצאות עודפות</t>
  </si>
  <si>
    <t>הוצאות עודפות ותשלומים ע"ח שנים עברו - הפרשי ספירת מלאי</t>
  </si>
  <si>
    <t>תמיכות לאירגוני בעלי חיים - השתתפויות תמיכות ותרומות</t>
  </si>
  <si>
    <t>תמיכות לכוללים וישיבות - השתתפויות תמיכות ותרומות</t>
  </si>
  <si>
    <t>תמיכות תרבות - קיטנות</t>
  </si>
  <si>
    <t>תמיכות תרבות - מורשת העיר והנצחת בניה</t>
  </si>
  <si>
    <t>תמיכות תרבות - תרבות ואומנות</t>
  </si>
  <si>
    <t>תמיכות תרבות תורנית - השתתפויות תמיכות ותרומות</t>
  </si>
  <si>
    <t>תמיכות ספורט - תמיכה חד פעמית מענק עליה</t>
  </si>
  <si>
    <t>תמיכות ספורט - השתתפויות תמיכות ותרומות</t>
  </si>
  <si>
    <t>תמיכות לתנועות נוער - השתתפויות תמיכות ותרומות</t>
  </si>
  <si>
    <t>תמיכות לארגוני נוער - השתתפויות תמיכות ותרומות</t>
  </si>
  <si>
    <t>תמיכות חינוך - השתתפויות תמיכות ותרומות</t>
  </si>
  <si>
    <t>תמיכות בריאות ורווחה - השתתפויות תמיכות ותרומות</t>
  </si>
  <si>
    <t>תמיכות לקידום שוויון בין המינים - השתתפויות תמיכות ותרומות</t>
  </si>
  <si>
    <t>תמיכה בתאטרון ערבי - השתתפויות תמיכות ותרומות</t>
  </si>
  <si>
    <t>השתתפות בשכירת אולמות ובמשלחות - השתתפויות תמיכות ותרומות</t>
  </si>
  <si>
    <t>שימוש במגרשי ספורט - השתתפויות תמיכות ותרומות</t>
  </si>
  <si>
    <t>הנחות מאגרות - השתתפויות תמיכות ותרומות</t>
  </si>
  <si>
    <t>תמיכות בהטלי פיתוח - השתתפויות תמיכות ותרומות</t>
  </si>
  <si>
    <t>מרכז לשילטון מקומי - השתתפויות תמיכות ותרומות</t>
  </si>
  <si>
    <t>אימוץ חיל הים ויחידות אחרות - השתתפויות תמיכות ותרומות</t>
  </si>
  <si>
    <t>‏שכירות מינהל ההנדסה וחניה לעובדים - הוצאות לפעולות</t>
  </si>
  <si>
    <t xml:space="preserve">פנסיונרים - שכר לעובדים קבועים </t>
  </si>
  <si>
    <t xml:space="preserve">בי"ח בני ציון - שכר לעובדים קבועים </t>
  </si>
  <si>
    <t xml:space="preserve">בי"ח בני ציון - שכר לעובדים ארעיים </t>
  </si>
  <si>
    <t xml:space="preserve">בי"ח בני ציון - שעות נוספות </t>
  </si>
  <si>
    <t xml:space="preserve">בי"ח בני ציון - אחזקה אספקה וציוד </t>
  </si>
  <si>
    <t xml:space="preserve">בי"ח בני ציון - תחבורה ודואר </t>
  </si>
  <si>
    <t xml:space="preserve">בי"ח בני ציון - הוצאות כלליות </t>
  </si>
  <si>
    <t xml:space="preserve">בי"ח בני ציון - הוצאות לפעולות </t>
  </si>
  <si>
    <t xml:space="preserve">בי"ח בני ציון - השתתפויות תמיכות ותרומות </t>
  </si>
  <si>
    <t xml:space="preserve">בי"ח בני ציון - הוצאות חד-פעמיות והשקעות </t>
  </si>
  <si>
    <t xml:space="preserve">בי"ח בני ציון - פרעון מלוות </t>
  </si>
  <si>
    <t>פרעון מלוות - פרעון מלוות חסך</t>
  </si>
  <si>
    <t xml:space="preserve">פרעון מלוות - פרעון מלוות </t>
  </si>
  <si>
    <t xml:space="preserve">לשיא כח-אדם - הוצאות לפעולות </t>
  </si>
  <si>
    <t xml:space="preserve">לשיא כח-אדם - פרעון מלוות </t>
  </si>
  <si>
    <t>לשכת הגזבר - שכר לעובדים קבועים</t>
  </si>
  <si>
    <t>לשכת הגזבר - שעות נוספות</t>
  </si>
  <si>
    <t>לשכת הגזבר - אחזקה אספקה וציוד</t>
  </si>
  <si>
    <t>לשכת הגזבר - תחבורה ודואר</t>
  </si>
  <si>
    <t>לשכת הגזבר - הוצאות כלליות</t>
  </si>
  <si>
    <t>לשכת הגזבר - הוצאות לפעולות</t>
  </si>
  <si>
    <t>אגף החשבות - שכר לעובדים קבועים</t>
  </si>
  <si>
    <t>אגף החשבות - שעות נוספות</t>
  </si>
  <si>
    <t>אגף החשבות - אחזקה אספקה וציוד</t>
  </si>
  <si>
    <t>אגף החשבות - תחבורה ודואר</t>
  </si>
  <si>
    <t>אגף החשבות - הוצאות כלליות</t>
  </si>
  <si>
    <t>אגף החשבות - הוצאות לפעולות</t>
  </si>
  <si>
    <t>אגף התקציבים - שכר לעובדים קבועים</t>
  </si>
  <si>
    <t>אגף התקציבים - שעות נוספות</t>
  </si>
  <si>
    <t>אגף התקציבים - אחזקה אספקה וציוד</t>
  </si>
  <si>
    <t>אגף התקציבים - תחבורה ודואר</t>
  </si>
  <si>
    <t>אגף התקציבים - הוצאות כלליות</t>
  </si>
  <si>
    <t>אגף התקציבים - הוצאות לפעולות</t>
  </si>
  <si>
    <t>אגף הגביה המאוחדת - שכר לעובדים קבועים</t>
  </si>
  <si>
    <t>אגף הגביה המאוחדת - שעות נוספות</t>
  </si>
  <si>
    <t>אגף הגביה המאוחדת - אחזקה אספקה וציוד</t>
  </si>
  <si>
    <t>אגף הגביה המאוחדת - תחבורה ודואר</t>
  </si>
  <si>
    <t>אגף הגביה המאוחדת - הוצאות כלליות</t>
  </si>
  <si>
    <t>אגף הגביה המאוחדת - הוצאות לפעולות</t>
  </si>
  <si>
    <t>אגף אכיפת הגביה - שכר לעובדים קבועים</t>
  </si>
  <si>
    <t>אגף אכיפת הגביה - שעות נוספות</t>
  </si>
  <si>
    <t>אגף אכיפת הגביה - אחזקה אספקה וציוד</t>
  </si>
  <si>
    <t>אגף אכיפת הגביה - תחבורה ודואר</t>
  </si>
  <si>
    <t>אגף אכיפת הגביה - הוצאות כלליות</t>
  </si>
  <si>
    <t>אגף אכיפת הגביה - הוצאות לפעולות</t>
  </si>
  <si>
    <t>הנהלת אגף לוגיסטיקה - שכר לעובדים קבועים</t>
  </si>
  <si>
    <t>הנהלת אגף לוגיסטיקה - שעות נוספות</t>
  </si>
  <si>
    <t>הנהלת אגף לוגיסטיקה - אחזקה אספקה וציוד</t>
  </si>
  <si>
    <t>הנהלת אגף לוגיסטיקה - תחבורה ודואר</t>
  </si>
  <si>
    <t>הנהלת אגף לוגיסטיקה - הוצאות כלליות</t>
  </si>
  <si>
    <t>הנהלת אגף לוגיסטיקה - הוצאות לפעולות</t>
  </si>
  <si>
    <t>המחלקה לאחזקת מבנים - שכר לעובדים קבועים</t>
  </si>
  <si>
    <t>המחלקה לאחזקת מבנים - שעות נוספות</t>
  </si>
  <si>
    <t>המחלקה לאחזקת מבנים - אחזקה אספקה וציוד</t>
  </si>
  <si>
    <t>המחלקה לאחזקת מבנים - תחבורה ודואר</t>
  </si>
  <si>
    <t>המחלקה לאחזקת מבנים - הוצאות כלליות</t>
  </si>
  <si>
    <t>המחלקה לאחזקת מבנים - הוצאות לפעולות</t>
  </si>
  <si>
    <t>רכש ואספקה - שכר לעובדים קבועים</t>
  </si>
  <si>
    <t>רכש ואספקה - שעות נוספות</t>
  </si>
  <si>
    <t>רכש ואספקה - אחזקה אספקה וציוד</t>
  </si>
  <si>
    <t>רכש ואספקה - תחבורה ודואר</t>
  </si>
  <si>
    <t>רכש ואספקה - הוצאות כלליות</t>
  </si>
  <si>
    <t>רכש ואספקה - הוצאות לפעולות</t>
  </si>
  <si>
    <t>רכש ואספקה - הוצאות חד-פעמיות והשקעות</t>
  </si>
  <si>
    <t>בית דפוס עירוני - שכר לעובדים קבועים</t>
  </si>
  <si>
    <t>בית דפוס עירוני - שעות נוספות</t>
  </si>
  <si>
    <t>בית דפוס עירוני - אחזקה אספקה וציוד</t>
  </si>
  <si>
    <t>בית דפוס עירוני - תחבורה ודואר</t>
  </si>
  <si>
    <t>בית דפוס עירוני - הוצאות לפעולות</t>
  </si>
  <si>
    <t>המרכז למיחשוב - שכר לעובדים קבועים</t>
  </si>
  <si>
    <t>המרכז למיחשוב - שעות נוספות</t>
  </si>
  <si>
    <t>המרכז למיחשוב - אחזקה אספקה וציוד</t>
  </si>
  <si>
    <t>המרכז למיחשוב - תחבורה ודואר</t>
  </si>
  <si>
    <t>המרכז למיחשוב - הוצאות לפעולות</t>
  </si>
  <si>
    <t>מיכון - הוצאות לפעולות</t>
  </si>
  <si>
    <t>היחידה לשלטים - שכר לעובדים קבועים</t>
  </si>
  <si>
    <t>היחידה לשלטים - שעות נוספות</t>
  </si>
  <si>
    <t>היחידה לשלטים - אחזקה אספקה וציוד</t>
  </si>
  <si>
    <t>היחידה לשלטים - תחבורה ודואר</t>
  </si>
  <si>
    <t>היחידה לשלטים - הוצאות כלליות</t>
  </si>
  <si>
    <t>היחידה לשלטים - הוצאות לפעולות</t>
  </si>
  <si>
    <t>הוצאות מימון - הוצאות לפעולות</t>
  </si>
  <si>
    <t>הנהלת מינהל התיפעול - שכר לעובדים קבועים</t>
  </si>
  <si>
    <t>הנהלת מינהל התיפעול - שעות נוספות</t>
  </si>
  <si>
    <t>הנהלת מינהל התיפעול - אחזקה אספקה וציוד</t>
  </si>
  <si>
    <t>הנהלת מינהל התיפעול - תחבורה ודואר</t>
  </si>
  <si>
    <t>הנהלת מינהל התיפעול - הוצאות כלליות</t>
  </si>
  <si>
    <t>הנהלת מינהל התיפעול - הוצאות לפעולות</t>
  </si>
  <si>
    <t>פיקוח וטרינרי - שכר לעובדים קבועים</t>
  </si>
  <si>
    <t>פיקוח וטרינרי - שעות נוספות</t>
  </si>
  <si>
    <t>פיקוח וטרינרי - אחזקה אספקה וציוד</t>
  </si>
  <si>
    <t>פיקוח וטרינרי - תחבורה ודואר</t>
  </si>
  <si>
    <t>פיקוח וטרינרי - הוצאות כלליות</t>
  </si>
  <si>
    <t>פיקוח וטרינרי - הוצאות לפעולות</t>
  </si>
  <si>
    <t>משתלם שרות וטרינרי - הוצאות לפעולות</t>
  </si>
  <si>
    <t>שרותים מונעים - שכר לעובדים קבועים</t>
  </si>
  <si>
    <t>שרותים מונעים - שעות נוספות</t>
  </si>
  <si>
    <t>שרותים מונעים - אחזקה אספקה וציוד</t>
  </si>
  <si>
    <t>שרותים מונעים - תחבורה ודואר</t>
  </si>
  <si>
    <t>שרותים מונעים - הוצאות כלליות</t>
  </si>
  <si>
    <t>שרותים מונעים - הוצאות לפעולות</t>
  </si>
  <si>
    <t>שרותים מונעים - השתתפויות תמיכות ותרומות</t>
  </si>
  <si>
    <t>מחלקת הנקיון - שכר לעובדים קבועים</t>
  </si>
  <si>
    <t>מחלקת הנקיון - שעות נוספות</t>
  </si>
  <si>
    <t>מחלקת הנקיון - אחזקה אספקה וציוד</t>
  </si>
  <si>
    <t>מחלקת הנקיון - תחבורה ודואר</t>
  </si>
  <si>
    <t>מחלקת הנקיון - הוצאות כלליות</t>
  </si>
  <si>
    <t>מחלקת הנקיון - הוצאות לפעולות</t>
  </si>
  <si>
    <t>המח' לניהול פסולת ומיחזור - שכר לעובדים קבועים</t>
  </si>
  <si>
    <t>המח' לניהול פסולת ומיחזור - שעות נוספות</t>
  </si>
  <si>
    <t>משתלם מכירת עגלות - הוצאות לפעולות</t>
  </si>
  <si>
    <t>הנהלת אגף התברואה - שכר לעובדים קבועים</t>
  </si>
  <si>
    <t>הנהלת אגף התברואה - שעות נוספות</t>
  </si>
  <si>
    <t>תברואה תובלה - שכר לעובדים קבועים</t>
  </si>
  <si>
    <t>תברואה תובלה - שעות נוספות</t>
  </si>
  <si>
    <t>תברואה תובלה - אחזקה אספקה וציוד</t>
  </si>
  <si>
    <t>תברואה תובלה - תחבורה ודואר</t>
  </si>
  <si>
    <t>תברואה תובלה - הוצאות כלליות</t>
  </si>
  <si>
    <t>תברואה תובלה - הוצאות לפעולות</t>
  </si>
  <si>
    <t>מוסך - שכר לעובדים קבועים</t>
  </si>
  <si>
    <t>מוסך - שעות נוספות</t>
  </si>
  <si>
    <t>מוסך - אחזקה אספקה וציוד</t>
  </si>
  <si>
    <t>מוסך - הוצאות לפעולות</t>
  </si>
  <si>
    <t>הנהלת האגף - שכר לעובדים קבועים</t>
  </si>
  <si>
    <t>הנהלת האגף - שעות נוספות</t>
  </si>
  <si>
    <t>הנהלת האגף - אחזקה אספקה וציוד</t>
  </si>
  <si>
    <t>הנהלת האגף - תחבורה ודואר</t>
  </si>
  <si>
    <t>הנהלת האגף - הוצאות כלליות</t>
  </si>
  <si>
    <t>הנהלת האגף - הוצאות לפעולות</t>
  </si>
  <si>
    <t>מחלקת דרכים - שכר לעובדים קבועים</t>
  </si>
  <si>
    <t>מחלקת דרכים - שעות נוספות</t>
  </si>
  <si>
    <t>מחלקת דרכים - אחזקה אספקה וציוד</t>
  </si>
  <si>
    <t>מחלקת דרכים - תחבורה ודואר</t>
  </si>
  <si>
    <t>מחלקת דרכים - הוצאות לפעולות</t>
  </si>
  <si>
    <t>תאורה חשמל ואנרגיה - שכר לעובדים קבועים</t>
  </si>
  <si>
    <t>תאורה חשמל ואנרגיה - שעות נוספות</t>
  </si>
  <si>
    <t>תאורה חשמל ואנרגיה - אחזקה אספקה וציוד</t>
  </si>
  <si>
    <t>תאורה חשמל ואנרגיה - תחבורה ודואר</t>
  </si>
  <si>
    <t>תאורה חשמל ואנרגיה - הוצאות כלליות</t>
  </si>
  <si>
    <t>תאורה חשמל ואנרגיה - הוצאות לפעולות</t>
  </si>
  <si>
    <t>מרכז בקרה לרמזורים ותאורה - שכר לעובדים קבועים</t>
  </si>
  <si>
    <t>מרכז בקרה לרמזורים ותאורה - שעות נוספות</t>
  </si>
  <si>
    <t>מרכז בקרה לרמזורים ותאורה - אחזקה אספקה וציוד</t>
  </si>
  <si>
    <t>מרכז בקרה לרמזורים ותאורה - תחבורה ודואר</t>
  </si>
  <si>
    <t>מרכז בקרה לרמזורים ותאורה - הוצאות לפעולות</t>
  </si>
  <si>
    <t>גנים ונוף - שכר לעובדים קבועים</t>
  </si>
  <si>
    <t>גנים ונוף - שעות נוספות</t>
  </si>
  <si>
    <t>גנים ונוף - אחזקה אספקה וציוד</t>
  </si>
  <si>
    <t>גנים ונוף - תחבורה ודואר</t>
  </si>
  <si>
    <t>גנים ונוף - הוצאות כלליות</t>
  </si>
  <si>
    <t>גנים ונוף - הוצאות לפעולות</t>
  </si>
  <si>
    <t>ניקוז ומזרקות - שכר לעובדים קבועים</t>
  </si>
  <si>
    <t>ניקוז ומזרקות - שעות נוספות</t>
  </si>
  <si>
    <t>ניקוז ומזרקות - אחזקה אספקה וציוד</t>
  </si>
  <si>
    <t>ניקוז ומזרקות - תחבורה ודואר</t>
  </si>
  <si>
    <t>ניקוז ומזרקות - הוצאות כלליות</t>
  </si>
  <si>
    <t>ניקוז ומזרקות - הוצאות לפעולות</t>
  </si>
  <si>
    <t>בית מרחץ עירוני - שכר לעובדים קבועים</t>
  </si>
  <si>
    <t>בית מרחץ עירוני - שעות נוספות</t>
  </si>
  <si>
    <t>בית מרחץ עירוני - אחזקה אספקה וציוד</t>
  </si>
  <si>
    <t>בית מרחץ עירוני - תחבורה ודואר</t>
  </si>
  <si>
    <t>בית מרחץ עירוני - הוצאות לפעולות</t>
  </si>
  <si>
    <t>חופים עירוניים - שכר לעובדים קבועים</t>
  </si>
  <si>
    <t>חופים עירוניים - שעות נוספות</t>
  </si>
  <si>
    <t>חופים עירוניים - אחזקה אספקה וציוד</t>
  </si>
  <si>
    <t>חופים עירוניים - תחבורה ודואר</t>
  </si>
  <si>
    <t>חופים עירוניים - הוצאות כלליות</t>
  </si>
  <si>
    <t>חופים עירוניים - הוצאות לפעולות</t>
  </si>
  <si>
    <t>אגף פיקוח כללי - שכר לעובדים קבועים</t>
  </si>
  <si>
    <t>אגף פיקוח כללי - שעות נוספות</t>
  </si>
  <si>
    <t>אגף פיקוח כללי - אחזקה אספקה וציוד</t>
  </si>
  <si>
    <t>אגף פיקוח כללי - תחבורה ודואר</t>
  </si>
  <si>
    <t>אגף פיקוח כללי - הוצאות כלליות</t>
  </si>
  <si>
    <t>אגף פיקוח כללי - הוצאות לפעולות</t>
  </si>
  <si>
    <t>משתלם מגרש גרוטאות - הוצאות לפעולות</t>
  </si>
  <si>
    <t>רשות חניה - שכר לעובדים קבועים</t>
  </si>
  <si>
    <t>רשות חניה - שעות נוספות</t>
  </si>
  <si>
    <t>רשות חניה - אחזקה אספקה וציוד</t>
  </si>
  <si>
    <t>רשות חניה - תחבורה ודואר</t>
  </si>
  <si>
    <t>רשות חניה - הוצאות כלליות</t>
  </si>
  <si>
    <t>רשות חניה - הוצאות לפעולות</t>
  </si>
  <si>
    <t>מחלקת בטחון - שכר לעובדים קבועים</t>
  </si>
  <si>
    <t>מחלקת בטחון - שעות נוספות</t>
  </si>
  <si>
    <t>מחלקת בטחון - אחזקה אספקה וציוד</t>
  </si>
  <si>
    <t>מחלקת בטחון - תחבורה ודואר</t>
  </si>
  <si>
    <t>מחלקת בטחון - הוצאות כלליות</t>
  </si>
  <si>
    <t>מחלקת בטחון - הוצאות לפעולות</t>
  </si>
  <si>
    <t>אבטחה בשכונות - שכר לעובדים קבועים</t>
  </si>
  <si>
    <t>אבטחה בשכונות - שעות נוספות</t>
  </si>
  <si>
    <t>אבטחה בשכונות - הוצאות לפעולות</t>
  </si>
  <si>
    <t>הג"א - שכר לעובדים קבועים</t>
  </si>
  <si>
    <t>הג"א - שעות נוספות</t>
  </si>
  <si>
    <t>הג"א - אחזקה אספקה וציוד</t>
  </si>
  <si>
    <t>הג"א - תחבורה ודואר</t>
  </si>
  <si>
    <t>הג"א - הוצאות כלליות</t>
  </si>
  <si>
    <t>הג"א - הוצאות לפעולות</t>
  </si>
  <si>
    <t>פעולות הג"א ארציות - השתתפויות תמיכות ותרומות</t>
  </si>
  <si>
    <t>משמר האזרחי - שכר לעובדים קבועים</t>
  </si>
  <si>
    <t>משמר האזרחי - שעות נוספות</t>
  </si>
  <si>
    <t>משמר האזרחי - הוצאות לפעולות</t>
  </si>
  <si>
    <t>בטיחות - שכר לעובדים קבועים</t>
  </si>
  <si>
    <t>בטיחות - שעות נוספות</t>
  </si>
  <si>
    <t>בטיחות - אחזקה אספקה וציוד</t>
  </si>
  <si>
    <t>בטיחות - תחבורה ודואר</t>
  </si>
  <si>
    <t>בטיחות - הוצאות לפעולות</t>
  </si>
  <si>
    <t>בטחון מוסדות חינוך - שכר לעובדים קבועים</t>
  </si>
  <si>
    <t>בטחון מוסדות חינוך - שעות נוספות</t>
  </si>
  <si>
    <t>בטחון מוסדות חינוך - תחבורה ודואר</t>
  </si>
  <si>
    <t>בטחון מוסדות חינוך - הוצאות לפעולות</t>
  </si>
  <si>
    <t>יחידה לבטחון בתים וחניה - שכר לעובדים קבועים</t>
  </si>
  <si>
    <t>יחידה לבטחון בתים וחניה - שעות נוספות</t>
  </si>
  <si>
    <t>יחידה לבטחון בתים וחניה - הוצאות לפעולות</t>
  </si>
  <si>
    <t>לשכת ראש מערכת חינוך ותרבות - שכר לעובדים קבועים</t>
  </si>
  <si>
    <t>לשכת ראש מערכת חינוך ותרבות - שעות נוספות</t>
  </si>
  <si>
    <t>לשכת ראש מערכת חינוך ותרבות - אחזקה אספקה וציוד</t>
  </si>
  <si>
    <t>לשכת ראש מערכת חינוך ותרבות - תחבורה ודואר</t>
  </si>
  <si>
    <t>לשכת ראש מערכת חינוך ותרבות - הוצאות כלליות</t>
  </si>
  <si>
    <t>לשכת ראש מערכת חינוך ותרבות - הוצאות לפעולות</t>
  </si>
  <si>
    <t>היחידה למו"פ הערכה ובקרה - שכר לעובדים קבועים</t>
  </si>
  <si>
    <t>מרכז רישום - שכר לעובדים קבועים</t>
  </si>
  <si>
    <t>מרכז רישום - שעות נוספות</t>
  </si>
  <si>
    <t>מרכז רישום - הוצאות לפעולות</t>
  </si>
  <si>
    <t>המחלקה לתשתיות מיחשוב - שכר לעובדים קבועים</t>
  </si>
  <si>
    <t>המחלקה לתשתיות מיחשוב - שעות נוספות</t>
  </si>
  <si>
    <t>המחלקה לתשתיות מיחשוב - אחזקה אספקה וציוד</t>
  </si>
  <si>
    <t>המחלקה לתשתיות מיחשוב - הוצאות לפעולות</t>
  </si>
  <si>
    <t>מק"מ ופורטל פדגוגי - שכר לעובדים קבועים</t>
  </si>
  <si>
    <t>מק"מ ופורטל פדגוגי - שעות נוספות</t>
  </si>
  <si>
    <t>מק"מ ופורטל פדגוגי - אחזקה אספקה וציוד</t>
  </si>
  <si>
    <t>מק"מ ופורטל פדגוגי - תחבורה ודואר</t>
  </si>
  <si>
    <t>מק"מ ופורטל פדגוגי - הוצאות לפעולות</t>
  </si>
  <si>
    <t>תוכנית תקשוב לאומית - הוצאות לפעולות</t>
  </si>
  <si>
    <t>אגף ארגון וכספים - שכר לעובדים קבועים</t>
  </si>
  <si>
    <t>אגף ארגון וכספים - שעות נוספות</t>
  </si>
  <si>
    <t>אגף ארגון וכספים - אחזקה אספקה וציוד</t>
  </si>
  <si>
    <t>אגף ארגון וכספים - תחבורה ודואר</t>
  </si>
  <si>
    <t>אגף ארגון וכספים - הוצאות כלליות</t>
  </si>
  <si>
    <t>אגף ארגון וכספים - הוצאות לפעולות</t>
  </si>
  <si>
    <t>המחלקה לכח אדם - שכר לעובדים קבועים</t>
  </si>
  <si>
    <t>המחלקה לכח אדם - שעות נוספות</t>
  </si>
  <si>
    <t>המחלקה לכח אדם - הוצאות לפעולות</t>
  </si>
  <si>
    <t>סייעות ארעי - שכר לעובדים ארעיים</t>
  </si>
  <si>
    <t>מלווים ארעיים בבתי"ס מיוחדים - שכר לעובדים ארעיים</t>
  </si>
  <si>
    <t>סייעות תיקני - שכר לעובדים קבועים</t>
  </si>
  <si>
    <t>ליווי תלמידים תיקני - שכר לעובדים קבועים</t>
  </si>
  <si>
    <t>ליווי תלמידים תיקני - שעות נוספות</t>
  </si>
  <si>
    <t>המחלקה לארגון ולוגיסטיקה - שכר לעובדים קבועים</t>
  </si>
  <si>
    <t>המחלקה לארגון ולוגיסטיקה - שעות נוספות</t>
  </si>
  <si>
    <t>המחלקה לארגון ולוגיסטיקה - אחזקה אספקה וציוד</t>
  </si>
  <si>
    <t>המחלקה לארגון ולוגיסטיקה - הוצאות לפעולות</t>
  </si>
  <si>
    <t>הסעות למוסדות חינוך - תחבורה ודואר</t>
  </si>
  <si>
    <t>שמירה במוסדות חינוך - שמירה</t>
  </si>
  <si>
    <t>פרויקט שילובים - שכר לעובדים ארעיים</t>
  </si>
  <si>
    <t>פרויקט שילובים - שעות נוספות</t>
  </si>
  <si>
    <t>פרויקט שילובים - הוצאות לפעולות</t>
  </si>
  <si>
    <t>מוקד קליטת עולי אתיופיה - שכר לעובדים ארעיים</t>
  </si>
  <si>
    <t>מוקד קליטת עולי אתיופיה - שעות נוספות</t>
  </si>
  <si>
    <t>מוקד קליטת עולי אתיופיה - הוצאות לפעולות</t>
  </si>
  <si>
    <t>תוכנית שמידט לנוער בסיכון - הוצאות לפעולות</t>
  </si>
  <si>
    <t>פרויקט איכות הסביבה - הוצאות לפעולות</t>
  </si>
  <si>
    <t>רצף חינוכי-מל"ל - הוצאות לפעולות</t>
  </si>
  <si>
    <t>משתלם מ. קידום מחשבים - שכר לעובדים ארעיים</t>
  </si>
  <si>
    <t>משתלם מ. קידום מחשבים - הוצאות כלליות</t>
  </si>
  <si>
    <t>המחלקה לחשבונות ותקציבים - שכר לעובדים קבועים</t>
  </si>
  <si>
    <t>המחלקה לחשבונות ותקציבים - שעות נוספות</t>
  </si>
  <si>
    <t>המחלקה לחשבונות ותקציבים - הוצאות לפעולות</t>
  </si>
  <si>
    <t>שרותים נוספים למוסדות חינוך (אגרת שרותים)‏ - הוצאות לפעולות</t>
  </si>
  <si>
    <t>ילדי חוץ - הוצאות כלליות</t>
  </si>
  <si>
    <t>מרכז לקידום למידה - הוצאות לפעולות</t>
  </si>
  <si>
    <t>יוזמות חינוכיות - הוצאות לפעולות</t>
  </si>
  <si>
    <t>השתלמויות ופרוייקטים - הוצאות לפעולות</t>
  </si>
  <si>
    <t>משתלם שרות פסיכולוגי - הוצאות כלליות</t>
  </si>
  <si>
    <t>השרות הפסיכולוגי - שכר לעובדים קבועים</t>
  </si>
  <si>
    <t>השרות הפסיכולוגי - שעות נוספות</t>
  </si>
  <si>
    <t>השרות הפסיכולוגי - אחזקה אספקה וציוד</t>
  </si>
  <si>
    <t>השרות הפסיכולוגי - תחבורה ודואר</t>
  </si>
  <si>
    <t>השרות הפסיכולוגי - הוצאות כלליות</t>
  </si>
  <si>
    <t>השרות הפסיכולוגי - הוצאות לפעולות</t>
  </si>
  <si>
    <t>מטה תנופה לחינוך במיגזר הערבי - הנהלה - שכר לעובדים קבועים</t>
  </si>
  <si>
    <t>מטה תנופה לחינוך במיגזר הערבי - הנהלה - שעות נוספות</t>
  </si>
  <si>
    <t>מטה תנופה לחינוך במיגזר הערבי - הנהלה - הוצאות לפעולות</t>
  </si>
  <si>
    <t>תוכנית תנופה מגזר ערבי - שכר לעובדים ארעיים</t>
  </si>
  <si>
    <t>תוכנית תנופה מגזר ערבי - הוצאות לפעולות</t>
  </si>
  <si>
    <t>בית הספר חיוואר - שכר לעובדים קבועים</t>
  </si>
  <si>
    <t>מרכז אחווה - השתתפויות תמיכות ותרומות</t>
  </si>
  <si>
    <t>מרכז קהילתי חיפה ה.‏‏ - השתתפויות תמיכות ותרומות</t>
  </si>
  <si>
    <t>תיכון אלמותנאבי- שיזף - שכר לעובדים קבועים</t>
  </si>
  <si>
    <t>תיכון אלמותנאבי- שיזף - שעות נוספות</t>
  </si>
  <si>
    <t>תיכון אלמותנאבי- שיזף - אחזקה אספקה וציוד</t>
  </si>
  <si>
    <t>תיכון אלמותנאבי- שיזף - הוצאות לפעולות</t>
  </si>
  <si>
    <t>תיכון חיפה ה - שכר לעובדים קבועים</t>
  </si>
  <si>
    <t>תיכון חיפה ה - הוצאות לפעולות</t>
  </si>
  <si>
    <t>חינוך מיוחד - הנהלה - שכר לעובדים קבועים</t>
  </si>
  <si>
    <t>בתי"ס מיוחדים - שכר לעובדים קבועים</t>
  </si>
  <si>
    <t>בתי"ס מיוחדים - שעות נוספות</t>
  </si>
  <si>
    <t>בתי"ס מיוחדים - אחזקה אספקה וציוד</t>
  </si>
  <si>
    <t>בתי"ס מיוחדים - הוצאות כלליות</t>
  </si>
  <si>
    <t>בתי"ס מיוחדים - הוצאות לפעולות</t>
  </si>
  <si>
    <t>משתלם בתי"ס מיוחדים - הוצאות כלליות</t>
  </si>
  <si>
    <t>משתלם בתי"ס מיוחדים - השתתפויות תמיכות ותרומות</t>
  </si>
  <si>
    <t>ביה"ס אופקים - שכר לעובדים קבועים</t>
  </si>
  <si>
    <t>ביה"ס אופקים - אחזקה אספקה וציוד</t>
  </si>
  <si>
    <t>ביה"ס אופקים - הוצאות לפעולות</t>
  </si>
  <si>
    <t>מתי"א - שכר לעובדים קבועים</t>
  </si>
  <si>
    <t>מתי"א - שעות נוספות</t>
  </si>
  <si>
    <t>בי"ס עופר - אחזקה אספקה וציוד</t>
  </si>
  <si>
    <t>בי"ס עופר - הוצאות לפעולות</t>
  </si>
  <si>
    <t>הזנה חינוך מיוחד - הוצאות לפעולות</t>
  </si>
  <si>
    <t>המחלקה לחינוך קדם יסודי - שכר לעובדים קבועים</t>
  </si>
  <si>
    <t>המחלקה לחינוך קדם יסודי - שעות נוספות</t>
  </si>
  <si>
    <t>המחלקה לחינוך קדם יסודי - הוצאות לפעולות</t>
  </si>
  <si>
    <t>משתלם גני ילדים - הוצאות כלליות</t>
  </si>
  <si>
    <t>גני ילדים - שכר לעובדים קבועים</t>
  </si>
  <si>
    <t>גני ילדים - שעות נוספות</t>
  </si>
  <si>
    <t>גני ילדים - אחזקה אספקה וציוד</t>
  </si>
  <si>
    <t>גני ילדים - תחבורה ודואר</t>
  </si>
  <si>
    <t>גני ילדים - הוצאות כלליות</t>
  </si>
  <si>
    <t>גני ילדים - הוצאות לפעולות</t>
  </si>
  <si>
    <t>גן הילד - אחזקה אספקה וציוד</t>
  </si>
  <si>
    <t>גן הילד - תחבורה ודואר</t>
  </si>
  <si>
    <t>גן הילד - הוצאות לפעולות</t>
  </si>
  <si>
    <t>הורים במרכז - שכר לעובדים קבועים</t>
  </si>
  <si>
    <t>הורים במרכז - הוצאות לפעולות</t>
  </si>
  <si>
    <t>איתור וליווי בגיל הרך - הוצאות לפעולות</t>
  </si>
  <si>
    <t>המחלקה לחינוך יסודי - שכר לעובדים קבועים</t>
  </si>
  <si>
    <t>המחלקה לחינוך יסודי - שעות נוספות</t>
  </si>
  <si>
    <t>המחלקה לחינוך יסודי - הוצאות לפעולות</t>
  </si>
  <si>
    <t>משתלם חינוך יסודי - שכר לעובדים ארעיים</t>
  </si>
  <si>
    <t>משתלם חינוך יסודי - שעות נוספות</t>
  </si>
  <si>
    <t>משתלם חינוך יסודי - הוצאות כלליות</t>
  </si>
  <si>
    <t>היחידה לועדות השמה - שכר לעובדים קבועים</t>
  </si>
  <si>
    <t>היחידה לועדות השמה - שעות נוספות</t>
  </si>
  <si>
    <t>היחידה לועדות השמה - הוצאות כלליות</t>
  </si>
  <si>
    <t>היחידה לועדות השמה - הוצאות לפעולות</t>
  </si>
  <si>
    <t>בתי ספר יסודיים - שכר לעובדים קבועים</t>
  </si>
  <si>
    <t>בתי ספר יסודיים - שעות נוספות</t>
  </si>
  <si>
    <t>בתי ספר יסודיים - אחזקה אספקה וציוד</t>
  </si>
  <si>
    <t>בתי ספר יסודיים - הוצאות לפעולות</t>
  </si>
  <si>
    <t>בתי"ס יסודיים‏ נ י ה ו ל ע צ מ י - שכר לעובדים קבועים</t>
  </si>
  <si>
    <t>בתי"ס יסודיים‏ נ י ה ו ל ע צ מ י - שעות נוספות</t>
  </si>
  <si>
    <t>בתי"ס יסודיים‏ נ י ה ו ל ע צ מ י - אחזקה אספקה וציוד</t>
  </si>
  <si>
    <t>בתי"ס יסודיים‏ נ י ה ו ל ע צ מ י - תחבורה ודואר</t>
  </si>
  <si>
    <t>בתי"ס יסודיים‏ נ י ה ו ל ע צ מ י - הוצאות כלליות</t>
  </si>
  <si>
    <t>בתי"ס יסודיים‏ נ י ה ו ל ע צ מ י - הוצאות לפעולות</t>
  </si>
  <si>
    <t>בתי"ס יסודיים‏ נ י ה ו ל ע צ מ י - השתתפויות תמיכות ותרומות</t>
  </si>
  <si>
    <t>משתלם בתי"ס בניהול עצמי - שכר לעובדים ארעיים</t>
  </si>
  <si>
    <t>משתלם בתי"ס בניהול עצמי - הוצאות כלליות</t>
  </si>
  <si>
    <t>משתלם בתי"ס משולבים - שכר לעובדים ארעיים</t>
  </si>
  <si>
    <t>משתלם בתי"ס משולבים - הוצאות כלליות</t>
  </si>
  <si>
    <t>סל תרבות - הוצאות לפעולות</t>
  </si>
  <si>
    <t>פעולות חברה - הוצאות לפעולות</t>
  </si>
  <si>
    <t>בתי"ס יחודיים - הוצאות לפעולות</t>
  </si>
  <si>
    <t>בי"ס להורים - הוצאות לפעולות</t>
  </si>
  <si>
    <t>בתי תלמיד -חינוך משלים - הוצאות לפעולות</t>
  </si>
  <si>
    <t>מפעל הזנה יוח"א - הוצאות לפעולות</t>
  </si>
  <si>
    <t>בריאות השן - הוצאות לפעולות</t>
  </si>
  <si>
    <t>קייטנות בקיץ - הוצאות לפעולות</t>
  </si>
  <si>
    <t>חטיבות ביניים - פעולות - אחזקה אספקה וציוד</t>
  </si>
  <si>
    <t>חטיבות ביניים - פעולות - תחבורה ודואר</t>
  </si>
  <si>
    <t>חטיבות ביניים - פעולות - הוצאות לפעולות</t>
  </si>
  <si>
    <t>חטיבות ביניים - עמלניות - שכר לעובדים קבועים</t>
  </si>
  <si>
    <t>חטיבות ביניים - עמלניות - שעות נוספות</t>
  </si>
  <si>
    <t>חטיבות ביניים - עמלניות - אחזקה אספקה וציוד</t>
  </si>
  <si>
    <t>חטיבות ביניים - עמלניות - הוצאות כלליות</t>
  </si>
  <si>
    <t>חטיבות ביניים - עמלניות - הוצאות לפעולות</t>
  </si>
  <si>
    <t>חט"ב רעות - אחזקה אספקה וציוד</t>
  </si>
  <si>
    <t>חט"ב עובדים מינהליים ‏(מזכירות, עובדי משק תחזוקה וניקיון)‏ - שכר לעובדים קבועים</t>
  </si>
  <si>
    <t>חט"ב עובדים מינהליים ‏(מזכירות, עובדי משק תחזוקה וניקיון)‏ - שעות נוספות</t>
  </si>
  <si>
    <t>חט"ב - ספרנים - שכר לעובדים קבועים</t>
  </si>
  <si>
    <t>חט"ב - ספרנים - שעות נוספות</t>
  </si>
  <si>
    <t>חט"ב מורים - שכר לעובדים קבועים</t>
  </si>
  <si>
    <t>חט"ב - סיוע טכני - שכר לעובדים קבועים</t>
  </si>
  <si>
    <t>משתלם חט"ב רעות - שכר לעובדים ארעיים</t>
  </si>
  <si>
    <t>משתלם חט"ב רעות - הוצאות כלליות</t>
  </si>
  <si>
    <t>חוה חקלאית ק. ביאליק - שכר לעובדים קבועים</t>
  </si>
  <si>
    <t>חוה חקלאית ק. ביאליק - אחזקה אספקה וציוד</t>
  </si>
  <si>
    <t>חוה חקלאית ק. ביאליק - הוצאות לפעולות</t>
  </si>
  <si>
    <t>משתלם חוה ק. ביאליק - הוצאות כלליות</t>
  </si>
  <si>
    <t>חוה חקלאית גן כרמית - שכר לעובדים קבועים</t>
  </si>
  <si>
    <t>חוה חקלאית גן כרמית - אחזקה אספקה וציוד</t>
  </si>
  <si>
    <t>חוה חקלאית גן כרמית - הוצאות לפעולות</t>
  </si>
  <si>
    <t>משתלם חוה גן כרמית - הוצאות כלליות</t>
  </si>
  <si>
    <t>מרכז טכנולוגי - הוצאות לפעולות</t>
  </si>
  <si>
    <t>מרכז ימי - שכר לעובדים קבועים</t>
  </si>
  <si>
    <t>מרכז ימי - אחזקה אספקה וציוד</t>
  </si>
  <si>
    <t>מרכז ימי - הוצאות לפעולות</t>
  </si>
  <si>
    <t>משתלם מרכז ימי - הוצאות כלליות</t>
  </si>
  <si>
    <t>המכון הביולוגי - שכר לעובדים קבועים</t>
  </si>
  <si>
    <t>המכון הביולוגי - הוצאות לפעולות</t>
  </si>
  <si>
    <t>הנהלת חינוך על יסודי - שכר לעובדים קבועים</t>
  </si>
  <si>
    <t>הנהלת חינוך על יסודי - שעות נוספות</t>
  </si>
  <si>
    <t>הנהלת חינוך על יסודי - הוצאות כלליות</t>
  </si>
  <si>
    <t>הנהלת חינוך על יסודי - הוצאות לפעולות</t>
  </si>
  <si>
    <t>שידרוג חינוך על יסודי - הוצאות לפעולות</t>
  </si>
  <si>
    <t>משתלם על יסודי - שכר לעובדים ארעיים</t>
  </si>
  <si>
    <t>משתלם על יסודי - הוצאות כלליות</t>
  </si>
  <si>
    <t>משתלם על יסודי - הוצאות לפעולות</t>
  </si>
  <si>
    <t>תיכון עירוני א'‏ - שכר לעובדים קבועים</t>
  </si>
  <si>
    <t>תיכון עירוני א'‏ - שעות נוספות</t>
  </si>
  <si>
    <t>תיכון עירוני א'‏ - אחזקה אספקה וציוד</t>
  </si>
  <si>
    <t>תיכון עירוני א'‏ - תחבורה ודואר</t>
  </si>
  <si>
    <t>תיכון עירוני א'‏ - הוצאות לפעולות</t>
  </si>
  <si>
    <t>תיכון יבנה - שכר לעובדים קבועים</t>
  </si>
  <si>
    <t>תיכון יבנה - אחזקה אספקה וציוד</t>
  </si>
  <si>
    <t>תיכון יבנה - הוצאות לפעולות</t>
  </si>
  <si>
    <t>תיכון ג'‏ - שכר לעובדים קבועים</t>
  </si>
  <si>
    <t>תיכון ג'‏ - שעות נוספות</t>
  </si>
  <si>
    <t>תיכון ג'‏ - אחזקה אספקה וציוד</t>
  </si>
  <si>
    <t>תיכון ג'‏ - הוצאות לפעולות</t>
  </si>
  <si>
    <t>תיכון חוגים - שכר לעובדים קבועים</t>
  </si>
  <si>
    <t>תיכון חוגים - שעות נוספות</t>
  </si>
  <si>
    <t>תיכון חוגים - אחזקה אספקה וציוד</t>
  </si>
  <si>
    <t>תיכון חוגים - תחבורה ודואר</t>
  </si>
  <si>
    <t>תיכון חוגים - הוצאות לפעולות</t>
  </si>
  <si>
    <t>תיכון עירוני ה.‏ - שכר לעובדים קבועים</t>
  </si>
  <si>
    <t>תיכון עירוני ה.‏ - שעות נוספות</t>
  </si>
  <si>
    <t>תיכון עירוני ה.‏ - אחזקה אספקה וציוד</t>
  </si>
  <si>
    <t>תיכון עירוני ה.‏ - תחבורה ודואר</t>
  </si>
  <si>
    <t>תיכון עירוני ה.‏ - הוצאות לפעולות</t>
  </si>
  <si>
    <t>תיכון אמי"ת ו' לבנות - שכר לעובדים קבועים</t>
  </si>
  <si>
    <t>תיכון אמי"ת ו' לבנות - אחזקה אספקה וציוד</t>
  </si>
  <si>
    <t>תיכון אמי"ת ו' לבנות - הוצאות כלליות</t>
  </si>
  <si>
    <t>תיכון אמי"ת ו' לבנות - הוצאות לפעולות</t>
  </si>
  <si>
    <t>תיכון ב' עיוני - שכר לעובדים קבועים</t>
  </si>
  <si>
    <t>תיכון ב' עיוני - אחזקה אספקה וציוד</t>
  </si>
  <si>
    <t>תיכון ב' עיוני - תחבורה ודואר</t>
  </si>
  <si>
    <t>תיכון ב' עיוני - הוצאות לפעולות</t>
  </si>
  <si>
    <t>תיכון רעות - שכר לעובדים קבועים</t>
  </si>
  <si>
    <t>תיכון רעות - שעות נוספות</t>
  </si>
  <si>
    <t>תיכון רעות - אחזקה אספקה וציוד</t>
  </si>
  <si>
    <t>תיכון רעות - הוצאות לפעולות</t>
  </si>
  <si>
    <t>תיכון ק. חיים - שכר לעובדים קבועים</t>
  </si>
  <si>
    <t>תיכון ק. חיים - שעות נוספות</t>
  </si>
  <si>
    <t>תיכון ק. חיים - אחזקה אספקה וציוד</t>
  </si>
  <si>
    <t>תיכון ק. חיים - תחבורה ודואר</t>
  </si>
  <si>
    <t>תיכון ק. חיים - הוצאות לפעולות</t>
  </si>
  <si>
    <t>תיכון בסמ"ת‏ - שכר לעובדים קבועים</t>
  </si>
  <si>
    <t>תיכון בסמ"ת‏ - אחזקה אספקה וציוד</t>
  </si>
  <si>
    <t>תיכון בסמ"ת‏ - תחבורה ודואר</t>
  </si>
  <si>
    <t>תיכון בסמ"ת‏ - הוצאות לפעולות</t>
  </si>
  <si>
    <t>תיכון עירוני ד - הוצאות לפעולות</t>
  </si>
  <si>
    <t>המחלקה להעצמה חינוכית וקבסי"ם - שכר לעובדים קבועים</t>
  </si>
  <si>
    <t>המחלקה להעצמה חינוכית וקבסי"ם - שעות נוספות</t>
  </si>
  <si>
    <t>המחלקה להעצמה חינוכית וקבסי"ם - הוצאות לפעולות</t>
  </si>
  <si>
    <t>תוכנית למצויינות במדעים - הוצאות לפעולות</t>
  </si>
  <si>
    <t>תגבור חינוכי - הוצאות לפעולות</t>
  </si>
  <si>
    <t>פנימיות יום - שכר לעובדים ארעיים</t>
  </si>
  <si>
    <t>פנימיות יום - שעות נוספות</t>
  </si>
  <si>
    <t>פנימיות יום - הוצאות לפעולות</t>
  </si>
  <si>
    <t>רווחה חינוכית - יסודי - שכר לעובדים ארעיים</t>
  </si>
  <si>
    <t>רווחה חינוכית - יסודי - הוצאות כלליות</t>
  </si>
  <si>
    <t>אשכול פיס ק. חיים - שכר לעובדים קבועים</t>
  </si>
  <si>
    <t>אשכול פיס ק. חיים - שעות נוספות</t>
  </si>
  <si>
    <t>אשכול פיס ק. חיים - הוצאות לפעולות</t>
  </si>
  <si>
    <t>אשכול פיס ק. חיים - השתתפויות תמיכות ותרומות</t>
  </si>
  <si>
    <t>אשכול פיס רעות - שכר לעובדים קבועים</t>
  </si>
  <si>
    <t>אשכול פיס רעות - הוצאות לפעולות</t>
  </si>
  <si>
    <t>אשכול פיס רעות - השתתפויות תמיכות ותרומות</t>
  </si>
  <si>
    <t>משתלם אשכול פיס רעות - שכר לעובדים ארעיים</t>
  </si>
  <si>
    <t>פסגה - מרכז הכשרת מורים - שכר לעובדים קבועים</t>
  </si>
  <si>
    <t>פסגה - מרכז הכשרת מורים - אחזקה אספקה וציוד</t>
  </si>
  <si>
    <t>פסגה - מרכז הכשרת מורים - הוצאות לפעולות</t>
  </si>
  <si>
    <t>ביה"ס כי"ח כולל חטיבת ביניים - הוצאות לפעולות</t>
  </si>
  <si>
    <t>ביה"ס כי"ח כולל חטיבת ביניים - השתתפויות תמיכות ותרומות</t>
  </si>
  <si>
    <t>חוק נהרי - השתתפויות תמיכות ותרומות</t>
  </si>
  <si>
    <t>חט"ב צביה - הוצאות לפעולות</t>
  </si>
  <si>
    <t>מרכז לאו בק כולל חטיבת ביניים - אחזקה אספקה וציוד</t>
  </si>
  <si>
    <t>מרכז לאו בק כולל חטיבת ביניים - הוצאות לפעולות</t>
  </si>
  <si>
    <t>מרכז לאו בק כולל חטיבת ביניים - השתתפויות תמיכות ותרומות</t>
  </si>
  <si>
    <t>מוזיאון לאומי למדע - השתתפויות תמיכות ותרומות</t>
  </si>
  <si>
    <t>תיאטרון עירוני - השתתפויות תמיכות ותרומות</t>
  </si>
  <si>
    <t>פסטיבל תיאטרון ילדים - הוצאות לפעולות</t>
  </si>
  <si>
    <t>תזמורת הנוער-‏ מרכז יובל - השתתפויות תמיכות ותרומות</t>
  </si>
  <si>
    <t>אתו"ס - השתתפויות תמיכות ותרומות</t>
  </si>
  <si>
    <t>אתו"ס - הוצאות חד-פעמיות והשקעות</t>
  </si>
  <si>
    <t>פסטיבל הסרטים - השתתפויות תמיכות ותרומות</t>
  </si>
  <si>
    <t>תזמורת סימפונית - השתתפויות תמיכות ותרומות</t>
  </si>
  <si>
    <t>מוזאונים - השתתפויות תמיכות ותרומות</t>
  </si>
  <si>
    <t>המועצה הדתית - השתתפויות תמיכות ותרומות</t>
  </si>
  <si>
    <t>מגן דוד אדום - השתתפויות תמיכות ותרומות</t>
  </si>
  <si>
    <t>מרכז לטיפוח יזמות - השתתפויות תמיכות ותרומות</t>
  </si>
  <si>
    <t>עמותה לתיירות ונופש חיפה - השתתפויות תמיכות ותרומות</t>
  </si>
  <si>
    <t>חברת האיצטדיון - השתתפויות תמיכות ותרומות</t>
  </si>
  <si>
    <t>חברה כלכלית - השתתפויות תמיכות ותרומות</t>
  </si>
  <si>
    <t>רשות כיבוי - השתתפויות תמיכות ותרומות</t>
  </si>
  <si>
    <t>אגד ערים איכות סביבה - השתתפויות תמיכות ותרומות</t>
  </si>
  <si>
    <t>רשות נחל קישון - השתתפויות תמיכות ותרומות</t>
  </si>
  <si>
    <t>רשויות ניקוז קישון וכרמל - השתתפויות תמיכות ותרומות</t>
  </si>
  <si>
    <t>כרמלית - השתתפויות תמיכות ותרומות</t>
  </si>
  <si>
    <t>אוניברסיטת חיפה וטכניון - השתתפויות תמיכות ותרומות</t>
  </si>
  <si>
    <t>עמותה לקליטת עליה - עיר ללא אלימות</t>
  </si>
  <si>
    <t>עמותה לקליטת עליה - השתתפויות תמיכות ותרומות</t>
  </si>
  <si>
    <t>54</t>
  </si>
  <si>
    <t>(blank)</t>
  </si>
  <si>
    <t>328205</t>
  </si>
  <si>
    <t>324400</t>
  </si>
  <si>
    <t>322400</t>
  </si>
  <si>
    <t>348200</t>
  </si>
  <si>
    <t>348300</t>
  </si>
  <si>
    <t>348500</t>
  </si>
  <si>
    <t>333000</t>
  </si>
  <si>
    <t>-</t>
  </si>
  <si>
    <t>הנחות בארנונה</t>
  </si>
  <si>
    <t>שירותי רווחה - שורת השלמה לאיזון התקציב לרווחת המשפחה</t>
  </si>
  <si>
    <t>שירותי רווחה - שורת השלמה לאיזון התקציב לשירותי שיקום</t>
  </si>
  <si>
    <t>שירותי רווחה - שורת השלמה לאיזון התקציב לשירותים לזקן</t>
  </si>
  <si>
    <t>שירותי רווחה - שורת השלמה לאיזון התקציב לשירותים לילד ולנוער</t>
  </si>
  <si>
    <t>שירותי רווחה - שורת השלמה לאיזון התקציב לשירותים למפגר</t>
  </si>
  <si>
    <t>Pension</t>
  </si>
  <si>
    <t>Tax discount</t>
  </si>
  <si>
    <t>פנסיה תקציבית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</si>
</sst>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5" formatCode="&quot;$&quot;#,##0_);\(&quot;$&quot;#,##0\)"/>
    <numFmt numFmtId="42" formatCode="_(&quot;$&quot;* #,##0_);_(&quot;$&quot;* \(#,##0\);_(&quot;$&quot;* &quot;-&quot;_);_(@_)"/>
    <numFmt numFmtId="43" formatCode="_(* #,##0.00_);_(* \(#,##0.00\);_(* &quot;-&quot;??_);_(@_)"/>
    <numFmt numFmtId="164" formatCode="_ * #,##0.00_ ;_ * \-#,##0.00_ ;_ * &quot;-&quot;??_ ;_ @_ "/>
    <numFmt numFmtId="165" formatCode="0_)"/>
    <numFmt numFmtId="166" formatCode="#,##0_)"/>
    <numFmt numFmtId="167" formatCode="000000_)"/>
    <numFmt numFmtId="168" formatCode="000_)"/>
    <numFmt numFmtId="169" formatCode="#,##0.00_)"/>
    <numFmt numFmtId="170" formatCode="[Blue]&quot;*&quot;* #,##0_ ;[Red]&quot;*&quot;* _ \(#,##0\);\ \ \ \ &quot;-&quot;"/>
    <numFmt numFmtId="171" formatCode="[Blue]&quot;**&quot;* #,##0_ ;[Red]&quot;**&quot;* _ \(#,##0\);\ \ \ \ &quot;-     **&quot;"/>
    <numFmt numFmtId="172" formatCode="[Blue]&quot;[1]&quot;* #,##0_ ;[Red]&quot;[1]&quot;* _ \(#,##0\);\ \ \ \ &quot;-     [1]&quot;"/>
    <numFmt numFmtId="173" formatCode="[Blue]&quot;[2]&quot;* #,##0_ ;[Red]&quot;[2]&quot;* _ \(#,##0\);\ \ \ \ &quot;-     [2]&quot;"/>
    <numFmt numFmtId="174" formatCode="[Blue]&quot;[3]&quot;* #,##0_ ;[Red]&quot;[3]&quot;* _ \(#,##0\);\ \ \ \ &quot;-     [3]&quot;"/>
    <numFmt numFmtId="175" formatCode="[Blue]&quot;[4]&quot;* #,##0_ ;[Red]&quot;[4]&quot;* _ \(#,##0\);\ \ \ \ &quot;-     [4]&quot;"/>
    <numFmt numFmtId="176" formatCode="[Blue]&quot;[5]&quot;* #,##0_ ;[Red]&quot;[5]&quot;* _ \(#,##0\);\ \ \ \ &quot;-     [5]&quot;"/>
    <numFmt numFmtId="177" formatCode="#,##0;\(#,##0\)"/>
    <numFmt numFmtId="178" formatCode="#,##0%;\(#,##0\)%"/>
    <numFmt numFmtId="179" formatCode="_-&quot;$&quot;* #,##0.000_-;\-&quot;$&quot;* #,##0.000_-;_-&quot;$&quot;* &quot;-&quot;??_-;_-@_-"/>
    <numFmt numFmtId="180" formatCode="#,##0_ ;[Red]\-#,##0\ "/>
    <numFmt numFmtId="181" formatCode="_ [$₪-40D]\ * #,##0_ ;_ [$₪-40D]\ * \-#,##0_ ;_ [$₪-40D]\ * &quot;-&quot;_ ;_ @_ "/>
    <numFmt numFmtId="182" formatCode="0.0%"/>
    <numFmt numFmtId="183" formatCode="_(* #,##0_);_(* \(#,##0\);_(* &quot;-&quot;??_);_(@_)"/>
    <numFmt numFmtId="184" formatCode="_ * #,##0_ ;_ * \-#,##0_ ;_ * &quot;-&quot;??_ ;_ @_ "/>
    <numFmt numFmtId="185" formatCode="0.0"/>
    <numFmt numFmtId="186" formatCode="_-* #,##0.00_-;\-* #,##0.00_-;_-* &quot;-&quot;??_-;_-@_-"/>
    <numFmt numFmtId="187" formatCode="_(* #,##0.0_);_(* \(#,##0.0\);_(* &quot;-&quot;??_);_(@_)"/>
    <numFmt numFmtId="188" formatCode="_(* #,##0.0_);_(* \(#,##0.0\);_(* &quot;-&quot;?_);_(@_)"/>
    <numFmt numFmtId="189" formatCode="_ [$₪-40D]\ * #,##0_ ;_ [$₪-40D]\ * \-#,##0_ ;_ [$₪-40D]\ * &quot;-&quot;??_ ;_ @_ "/>
    <numFmt numFmtId="190" formatCode="_ [$₪-40D]\ * #,##0.00_ ;_ [$₪-40D]\ * \-#,##0.00_ ;_ [$₪-40D]\ * &quot;-&quot;_ ;_ @_ "/>
    <numFmt numFmtId="191" formatCode="_ [$₪-40D]\ * #,##0.00_ ;_ [$₪-40D]\ * \-#,##0.00_ ;_ [$₪-40D]\ * &quot;-&quot;??_ ;_ @_ "/>
    <numFmt numFmtId="192" formatCode="#,##0.0_);\(#,##0.0\)"/>
    <numFmt numFmtId="193" formatCode="_-* #,##0_-;\-* #,##0_-;_-* &quot;-&quot;??_-;_-@_-"/>
    <numFmt numFmtId="194" formatCode="_ [$₪-40D]\ * #,##0.0_ ;_ [$₪-40D]\ * \-#,##0.0_ ;_ [$₪-40D]\ * &quot;-&quot;??_ ;_ @_ "/>
  </numFmts>
  <fonts count="55">
    <font>
      <sz val="10"/>
      <name val="Arial"/>
      <charset val="177"/>
    </font>
    <font>
      <sz val="10"/>
      <name val="Arial"/>
      <family val="2"/>
    </font>
    <font>
      <b/>
      <sz val="12"/>
      <name val="David"/>
      <family val="2"/>
      <charset val="177"/>
    </font>
    <font>
      <b/>
      <sz val="14"/>
      <name val="David"/>
      <family val="2"/>
      <charset val="177"/>
    </font>
    <font>
      <b/>
      <sz val="18"/>
      <name val="David"/>
      <family val="2"/>
      <charset val="177"/>
    </font>
    <font>
      <sz val="11"/>
      <color theme="1"/>
      <name val="Calibri"/>
      <family val="2"/>
      <charset val="177"/>
      <scheme val="minor"/>
    </font>
    <font>
      <b/>
      <sz val="8"/>
      <color rgb="FFF3F3F3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1"/>
      <name val="David"/>
      <family val="2"/>
      <charset val="177"/>
    </font>
    <font>
      <sz val="12"/>
      <name val="David"/>
      <family val="2"/>
      <charset val="177"/>
    </font>
    <font>
      <sz val="10"/>
      <name val="Arial"/>
      <family val="2"/>
      <charset val="177"/>
    </font>
    <font>
      <sz val="10"/>
      <name val="Arial"/>
      <family val="2"/>
    </font>
    <font>
      <sz val="12"/>
      <name val="Narkisim"/>
      <family val="2"/>
      <charset val="177"/>
    </font>
    <font>
      <sz val="10"/>
      <color indexed="8"/>
      <name val="MS Sans Serif"/>
      <family val="2"/>
      <charset val="177"/>
    </font>
    <font>
      <sz val="8"/>
      <name val="Arial"/>
      <family val="2"/>
      <charset val="177"/>
    </font>
    <font>
      <b/>
      <sz val="10"/>
      <color indexed="9"/>
      <name val="Arial"/>
      <family val="2"/>
      <charset val="177"/>
    </font>
    <font>
      <b/>
      <u/>
      <sz val="10"/>
      <color indexed="8"/>
      <name val="Arial (Hebrew)"/>
      <family val="2"/>
      <charset val="177"/>
    </font>
    <font>
      <b/>
      <sz val="12"/>
      <name val="Arial (Hebrew)"/>
      <family val="2"/>
      <charset val="177"/>
    </font>
    <font>
      <b/>
      <sz val="14"/>
      <color indexed="9"/>
      <name val="Arial"/>
      <family val="2"/>
      <charset val="177"/>
    </font>
    <font>
      <sz val="10"/>
      <color indexed="26"/>
      <name val="Arial"/>
      <family val="2"/>
      <charset val="177"/>
    </font>
    <font>
      <b/>
      <sz val="12"/>
      <name val="David"/>
      <family val="2"/>
      <charset val="177"/>
    </font>
    <font>
      <b/>
      <sz val="11"/>
      <name val="David Transparent"/>
      <charset val="177"/>
    </font>
    <font>
      <b/>
      <u/>
      <sz val="14"/>
      <name val="David"/>
      <family val="2"/>
      <charset val="177"/>
    </font>
    <font>
      <b/>
      <u/>
      <sz val="12"/>
      <name val="David"/>
      <family val="2"/>
      <charset val="177"/>
    </font>
    <font>
      <b/>
      <u/>
      <sz val="11"/>
      <color indexed="8"/>
      <name val="David"/>
      <family val="2"/>
      <charset val="177"/>
    </font>
    <font>
      <sz val="8"/>
      <name val="Arial (Hebrew)"/>
      <family val="2"/>
      <charset val="177"/>
    </font>
    <font>
      <b/>
      <sz val="8"/>
      <color rgb="FFF3F3F3"/>
      <name val="Arial"/>
      <family val="2"/>
    </font>
    <font>
      <b/>
      <sz val="11"/>
      <color theme="1"/>
      <name val="Calibri"/>
      <family val="2"/>
      <scheme val="minor"/>
    </font>
    <font>
      <b/>
      <sz val="18"/>
      <name val="Arial"/>
      <family val="2"/>
    </font>
    <font>
      <b/>
      <sz val="11"/>
      <color theme="1"/>
      <name val="Calibri"/>
      <family val="2"/>
      <charset val="177"/>
      <scheme val="minor"/>
    </font>
    <font>
      <b/>
      <sz val="10"/>
      <name val="Arial"/>
      <family val="2"/>
    </font>
    <font>
      <b/>
      <sz val="12"/>
      <name val="Arial"/>
      <family val="2"/>
    </font>
    <font>
      <sz val="9"/>
      <color indexed="10"/>
      <name val="Arial"/>
      <family val="2"/>
    </font>
    <font>
      <sz val="9"/>
      <name val="Arial"/>
      <family val="2"/>
    </font>
    <font>
      <sz val="10"/>
      <name val="David"/>
      <family val="2"/>
      <charset val="177"/>
    </font>
    <font>
      <sz val="11"/>
      <color theme="1"/>
      <name val="Calibri"/>
      <family val="2"/>
    </font>
    <font>
      <sz val="11"/>
      <color theme="1"/>
      <name val="Myriad Hebrew Italic"/>
      <family val="2"/>
    </font>
    <font>
      <b/>
      <sz val="11"/>
      <color indexed="18"/>
      <name val="Arial"/>
      <family val="2"/>
    </font>
    <font>
      <b/>
      <sz val="16"/>
      <name val="Arial"/>
      <family val="2"/>
    </font>
    <font>
      <b/>
      <u/>
      <sz val="10"/>
      <name val="Arial"/>
      <family val="2"/>
    </font>
    <font>
      <sz val="11"/>
      <color rgb="FF9C0006"/>
      <name val="Calibri"/>
      <family val="2"/>
      <scheme val="minor"/>
    </font>
    <font>
      <sz val="10"/>
      <color theme="0" tint="-0.249977111117893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name val="David"/>
      <family val="2"/>
      <charset val="177"/>
    </font>
    <font>
      <b/>
      <u/>
      <sz val="11"/>
      <name val="David"/>
      <family val="2"/>
      <charset val="177"/>
    </font>
    <font>
      <sz val="9"/>
      <name val="David"/>
      <family val="2"/>
      <charset val="177"/>
    </font>
    <font>
      <sz val="9"/>
      <color theme="1"/>
      <name val="David"/>
      <family val="2"/>
      <charset val="177"/>
    </font>
    <font>
      <sz val="11"/>
      <color theme="1"/>
      <name val="David"/>
      <family val="2"/>
      <charset val="177"/>
    </font>
    <font>
      <sz val="10"/>
      <color theme="1"/>
      <name val="David"/>
      <family val="2"/>
      <charset val="177"/>
    </font>
    <font>
      <sz val="11"/>
      <color indexed="8"/>
      <name val="David"/>
      <family val="2"/>
      <charset val="177"/>
    </font>
    <font>
      <sz val="12"/>
      <name val="Times New Roman"/>
      <family val="1"/>
    </font>
    <font>
      <sz val="14"/>
      <name val="Times New Roman"/>
      <family val="1"/>
    </font>
    <font>
      <b/>
      <sz val="10"/>
      <color theme="1"/>
      <name val="Arial"/>
      <family val="2"/>
    </font>
    <font>
      <b/>
      <sz val="10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43434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7CE"/>
      </patternFill>
    </fill>
    <fill>
      <patternFill patternType="solid">
        <fgColor theme="3" tint="0.79998168889431442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59"/>
      </top>
      <bottom style="double">
        <color indexed="5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/>
      <diagonal/>
    </border>
    <border>
      <left style="thick">
        <color indexed="56"/>
      </left>
      <right style="thick">
        <color indexed="56"/>
      </right>
      <top style="thick">
        <color indexed="56"/>
      </top>
      <bottom style="thick">
        <color indexed="56"/>
      </bottom>
      <diagonal/>
    </border>
    <border>
      <left/>
      <right style="thick">
        <color indexed="56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58"/>
      </top>
      <bottom style="dashed">
        <color indexed="58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</borders>
  <cellStyleXfs count="52">
    <xf numFmtId="0" fontId="0" fillId="0" borderId="0"/>
    <xf numFmtId="0" fontId="5" fillId="0" borderId="0"/>
    <xf numFmtId="170" fontId="9" fillId="0" borderId="0">
      <alignment readingOrder="2"/>
    </xf>
    <xf numFmtId="171" fontId="10" fillId="0" borderId="0">
      <alignment readingOrder="2"/>
    </xf>
    <xf numFmtId="172" fontId="10" fillId="0" borderId="0">
      <alignment readingOrder="2"/>
    </xf>
    <xf numFmtId="173" fontId="10" fillId="0" borderId="0">
      <alignment readingOrder="2"/>
    </xf>
    <xf numFmtId="174" fontId="10" fillId="0" borderId="0">
      <alignment readingOrder="2"/>
    </xf>
    <xf numFmtId="175" fontId="10" fillId="0" borderId="0">
      <alignment readingOrder="2"/>
    </xf>
    <xf numFmtId="176" fontId="10" fillId="0" borderId="0">
      <alignment readingOrder="2"/>
    </xf>
    <xf numFmtId="177" fontId="11" fillId="4" borderId="9" applyFont="0" applyBorder="0">
      <alignment horizontal="right" vertical="center" wrapText="1"/>
    </xf>
    <xf numFmtId="164" fontId="1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3" fillId="0" borderId="0" applyFont="0" applyFill="0" applyBorder="0" applyAlignment="0" applyProtection="0"/>
    <xf numFmtId="177" fontId="12" fillId="4" borderId="10" applyBorder="0" applyAlignment="0"/>
    <xf numFmtId="178" fontId="12" fillId="4" borderId="10"/>
    <xf numFmtId="42" fontId="14" fillId="0" borderId="0" applyFont="0" applyFill="0" applyBorder="0" applyAlignment="0" applyProtection="0"/>
    <xf numFmtId="0" fontId="11" fillId="4" borderId="0"/>
    <xf numFmtId="177" fontId="12" fillId="5" borderId="11"/>
    <xf numFmtId="38" fontId="15" fillId="6" borderId="0" applyNumberFormat="0" applyBorder="0" applyAlignment="0" applyProtection="0"/>
    <xf numFmtId="10" fontId="15" fillId="7" borderId="12" applyNumberFormat="0" applyBorder="0" applyAlignment="0" applyProtection="0"/>
    <xf numFmtId="177" fontId="12" fillId="8" borderId="10">
      <protection locked="0"/>
    </xf>
    <xf numFmtId="0" fontId="11" fillId="9" borderId="0">
      <alignment horizontal="right" vertical="center" readingOrder="2"/>
    </xf>
    <xf numFmtId="0" fontId="16" fillId="10" borderId="13">
      <alignment horizontal="center" vertical="center" wrapText="1"/>
      <protection hidden="1"/>
    </xf>
    <xf numFmtId="0" fontId="12" fillId="9" borderId="14">
      <protection hidden="1"/>
    </xf>
    <xf numFmtId="0" fontId="11" fillId="9" borderId="15">
      <alignment horizontal="right" vertical="center" readingOrder="2"/>
    </xf>
    <xf numFmtId="0" fontId="17" fillId="9" borderId="15" applyBorder="0">
      <alignment horizontal="right" vertical="center"/>
    </xf>
    <xf numFmtId="0" fontId="18" fillId="9" borderId="15">
      <alignment horizontal="right" vertical="center" wrapText="1"/>
    </xf>
    <xf numFmtId="0" fontId="19" fillId="11" borderId="16">
      <alignment horizontal="center" vertical="center"/>
      <protection hidden="1"/>
    </xf>
    <xf numFmtId="179" fontId="12" fillId="0" borderId="0"/>
    <xf numFmtId="0" fontId="12" fillId="0" borderId="0"/>
    <xf numFmtId="0" fontId="12" fillId="0" borderId="0"/>
    <xf numFmtId="5" fontId="12" fillId="0" borderId="0"/>
    <xf numFmtId="0" fontId="1" fillId="0" borderId="0"/>
    <xf numFmtId="0" fontId="13" fillId="0" borderId="0"/>
    <xf numFmtId="0" fontId="20" fillId="7" borderId="0"/>
    <xf numFmtId="0" fontId="12" fillId="7" borderId="17">
      <protection hidden="1"/>
    </xf>
    <xf numFmtId="1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180" fontId="12" fillId="7" borderId="18">
      <alignment vertical="center"/>
    </xf>
    <xf numFmtId="177" fontId="12" fillId="7" borderId="19"/>
    <xf numFmtId="178" fontId="12" fillId="7" borderId="20"/>
    <xf numFmtId="0" fontId="21" fillId="0" borderId="0">
      <alignment horizontal="right" vertical="center" readingOrder="2"/>
    </xf>
    <xf numFmtId="0" fontId="22" fillId="0" borderId="0">
      <alignment horizontal="right" vertical="center" readingOrder="2"/>
    </xf>
    <xf numFmtId="0" fontId="23" fillId="0" borderId="0">
      <alignment horizontal="right" vertical="center" readingOrder="2"/>
    </xf>
    <xf numFmtId="0" fontId="24" fillId="0" borderId="0">
      <alignment readingOrder="2"/>
    </xf>
    <xf numFmtId="0" fontId="25" fillId="0" borderId="0">
      <alignment readingOrder="2"/>
    </xf>
    <xf numFmtId="14" fontId="26" fillId="0" borderId="0">
      <alignment readingOrder="2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6" fontId="1" fillId="0" borderId="0" applyFont="0" applyFill="0" applyBorder="0" applyAlignment="0" applyProtection="0"/>
    <xf numFmtId="0" fontId="41" fillId="24" borderId="0" applyNumberFormat="0" applyBorder="0" applyAlignment="0" applyProtection="0"/>
  </cellStyleXfs>
  <cellXfs count="523">
    <xf numFmtId="0" fontId="0" fillId="0" borderId="0" xfId="0"/>
    <xf numFmtId="165" fontId="2" fillId="0" borderId="0" xfId="0" applyNumberFormat="1" applyFont="1" applyFill="1" applyBorder="1" applyAlignment="1">
      <alignment vertical="center"/>
    </xf>
    <xf numFmtId="165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169" fontId="2" fillId="0" borderId="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 wrapText="1" readingOrder="2"/>
    </xf>
    <xf numFmtId="166" fontId="2" fillId="0" borderId="0" xfId="0" applyNumberFormat="1" applyFont="1" applyFill="1" applyBorder="1" applyAlignment="1">
      <alignment vertical="center"/>
    </xf>
    <xf numFmtId="167" fontId="2" fillId="0" borderId="0" xfId="0" applyNumberFormat="1" applyFont="1" applyFill="1" applyBorder="1" applyAlignment="1">
      <alignment horizontal="center" vertical="center"/>
    </xf>
    <xf numFmtId="168" fontId="2" fillId="0" borderId="0" xfId="0" applyNumberFormat="1" applyFont="1" applyFill="1" applyBorder="1" applyAlignment="1">
      <alignment horizontal="center" vertical="center"/>
    </xf>
    <xf numFmtId="168" fontId="3" fillId="0" borderId="1" xfId="0" quotePrefix="1" applyNumberFormat="1" applyFont="1" applyFill="1" applyBorder="1" applyAlignment="1">
      <alignment horizontal="center" vertical="center" wrapText="1" readingOrder="2"/>
    </xf>
    <xf numFmtId="165" fontId="3" fillId="0" borderId="2" xfId="0" applyNumberFormat="1" applyFont="1" applyFill="1" applyBorder="1" applyAlignment="1">
      <alignment horizontal="center" vertical="center" wrapText="1" readingOrder="2"/>
    </xf>
    <xf numFmtId="0" fontId="3" fillId="0" borderId="2" xfId="0" applyFont="1" applyFill="1" applyBorder="1" applyAlignment="1">
      <alignment horizontal="center" vertical="center" wrapText="1" readingOrder="2"/>
    </xf>
    <xf numFmtId="165" fontId="3" fillId="0" borderId="3" xfId="0" applyNumberFormat="1" applyFont="1" applyFill="1" applyBorder="1" applyAlignment="1">
      <alignment horizontal="center" vertical="center" wrapText="1" readingOrder="2"/>
    </xf>
    <xf numFmtId="166" fontId="2" fillId="0" borderId="3" xfId="0" quotePrefix="1" applyNumberFormat="1" applyFont="1" applyFill="1" applyBorder="1" applyAlignment="1">
      <alignment horizontal="center" vertical="center" wrapText="1" readingOrder="2"/>
    </xf>
    <xf numFmtId="167" fontId="3" fillId="0" borderId="3" xfId="0" quotePrefix="1" applyNumberFormat="1" applyFont="1" applyFill="1" applyBorder="1" applyAlignment="1">
      <alignment horizontal="center" vertical="center" wrapText="1" readingOrder="2"/>
    </xf>
    <xf numFmtId="166" fontId="3" fillId="0" borderId="3" xfId="0" applyNumberFormat="1" applyFont="1" applyFill="1" applyBorder="1" applyAlignment="1">
      <alignment horizontal="center" vertical="center" wrapText="1" readingOrder="2"/>
    </xf>
    <xf numFmtId="0" fontId="2" fillId="0" borderId="0" xfId="0" applyFont="1" applyFill="1" applyBorder="1" applyAlignment="1">
      <alignment vertical="center" readingOrder="2"/>
    </xf>
    <xf numFmtId="166" fontId="3" fillId="0" borderId="3" xfId="0" quotePrefix="1" applyNumberFormat="1" applyFont="1" applyFill="1" applyBorder="1" applyAlignment="1">
      <alignment horizontal="center" vertical="center" wrapText="1" readingOrder="2"/>
    </xf>
    <xf numFmtId="4" fontId="2" fillId="0" borderId="4" xfId="0" applyNumberFormat="1" applyFont="1" applyFill="1" applyBorder="1" applyAlignment="1">
      <alignment horizontal="right" indent="1"/>
    </xf>
    <xf numFmtId="4" fontId="2" fillId="0" borderId="0" xfId="0" applyNumberFormat="1" applyFont="1" applyFill="1" applyBorder="1" applyAlignment="1">
      <alignment horizontal="right" vertical="center" indent="1"/>
    </xf>
    <xf numFmtId="4" fontId="3" fillId="0" borderId="5" xfId="0" quotePrefix="1" applyNumberFormat="1" applyFont="1" applyFill="1" applyBorder="1" applyAlignment="1">
      <alignment horizontal="center" vertical="center" wrapText="1" readingOrder="2"/>
    </xf>
    <xf numFmtId="168" fontId="4" fillId="0" borderId="6" xfId="0" quotePrefix="1" applyNumberFormat="1" applyFont="1" applyFill="1" applyBorder="1" applyAlignment="1">
      <alignment horizontal="center" vertical="center"/>
    </xf>
    <xf numFmtId="169" fontId="3" fillId="0" borderId="5" xfId="0" quotePrefix="1" applyNumberFormat="1" applyFont="1" applyFill="1" applyBorder="1" applyAlignment="1">
      <alignment horizontal="center" vertical="center" wrapText="1" readingOrder="2"/>
    </xf>
    <xf numFmtId="0" fontId="2" fillId="0" borderId="0" xfId="0" applyFont="1" applyFill="1" applyBorder="1" applyAlignment="1">
      <alignment vertical="center" readingOrder="1"/>
    </xf>
    <xf numFmtId="49" fontId="6" fillId="2" borderId="0" xfId="1" applyNumberFormat="1" applyFont="1" applyFill="1" applyAlignment="1">
      <alignment horizontal="left" vertical="center" wrapText="1" readingOrder="1"/>
    </xf>
    <xf numFmtId="0" fontId="7" fillId="0" borderId="0" xfId="1" applyFont="1" applyAlignment="1">
      <alignment wrapText="1"/>
    </xf>
    <xf numFmtId="0" fontId="7" fillId="0" borderId="0" xfId="1" applyNumberFormat="1" applyFont="1" applyAlignment="1">
      <alignment wrapText="1"/>
    </xf>
    <xf numFmtId="49" fontId="7" fillId="0" borderId="0" xfId="1" applyNumberFormat="1" applyFont="1" applyAlignment="1">
      <alignment wrapText="1"/>
    </xf>
    <xf numFmtId="0" fontId="7" fillId="0" borderId="0" xfId="1" applyNumberFormat="1" applyFont="1" applyFill="1" applyAlignment="1">
      <alignment wrapText="1"/>
    </xf>
    <xf numFmtId="0" fontId="7" fillId="3" borderId="0" xfId="1" applyNumberFormat="1" applyFont="1" applyFill="1" applyAlignment="1">
      <alignment wrapText="1"/>
    </xf>
    <xf numFmtId="49" fontId="7" fillId="3" borderId="0" xfId="1" applyNumberFormat="1" applyFont="1" applyFill="1" applyAlignment="1">
      <alignment wrapText="1"/>
    </xf>
    <xf numFmtId="10" fontId="7" fillId="0" borderId="0" xfId="1" applyNumberFormat="1" applyFont="1" applyAlignment="1">
      <alignment wrapText="1"/>
    </xf>
    <xf numFmtId="49" fontId="7" fillId="0" borderId="0" xfId="1" applyNumberFormat="1" applyFont="1" applyAlignment="1">
      <alignment horizontal="right" wrapText="1" readingOrder="2"/>
    </xf>
    <xf numFmtId="49" fontId="27" fillId="2" borderId="0" xfId="0" applyNumberFormat="1" applyFont="1" applyFill="1" applyAlignment="1">
      <alignment horizontal="left" vertical="center" wrapText="1" readingOrder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0" fillId="12" borderId="0" xfId="0" applyNumberFormat="1" applyFill="1" applyAlignment="1">
      <alignment wrapText="1"/>
    </xf>
    <xf numFmtId="10" fontId="0" fillId="0" borderId="0" xfId="0" applyNumberFormat="1" applyAlignment="1">
      <alignment wrapText="1"/>
    </xf>
    <xf numFmtId="49" fontId="0" fillId="3" borderId="0" xfId="0" applyNumberFormat="1" applyFill="1" applyAlignment="1">
      <alignment wrapText="1"/>
    </xf>
    <xf numFmtId="49" fontId="0" fillId="0" borderId="0" xfId="0" applyNumberFormat="1" applyAlignment="1">
      <alignment horizontal="right" wrapText="1" readingOrder="2"/>
    </xf>
    <xf numFmtId="0" fontId="29" fillId="0" borderId="0" xfId="0" applyFont="1"/>
    <xf numFmtId="0" fontId="30" fillId="13" borderId="21" xfId="0" applyFont="1" applyFill="1" applyBorder="1" applyAlignment="1">
      <alignment horizontal="right"/>
    </xf>
    <xf numFmtId="0" fontId="30" fillId="13" borderId="2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81" fontId="0" fillId="0" borderId="0" xfId="0" applyNumberFormat="1" applyAlignment="1">
      <alignment horizontal="center" vertical="center"/>
    </xf>
    <xf numFmtId="0" fontId="30" fillId="13" borderId="22" xfId="0" applyFont="1" applyFill="1" applyBorder="1" applyAlignment="1">
      <alignment horizontal="right"/>
    </xf>
    <xf numFmtId="181" fontId="30" fillId="13" borderId="22" xfId="0" applyNumberFormat="1" applyFont="1" applyFill="1" applyBorder="1" applyAlignment="1">
      <alignment horizontal="center" vertical="center"/>
    </xf>
    <xf numFmtId="4" fontId="2" fillId="0" borderId="0" xfId="0" applyNumberFormat="1" applyFont="1" applyFill="1" applyBorder="1" applyAlignment="1">
      <alignment vertical="center"/>
    </xf>
    <xf numFmtId="0" fontId="12" fillId="0" borderId="0" xfId="0" applyFont="1"/>
    <xf numFmtId="0" fontId="32" fillId="0" borderId="0" xfId="0" applyFont="1" applyAlignment="1">
      <alignment horizontal="center" vertical="center"/>
    </xf>
    <xf numFmtId="182" fontId="0" fillId="0" borderId="0" xfId="48" applyNumberFormat="1" applyFont="1"/>
    <xf numFmtId="182" fontId="30" fillId="13" borderId="22" xfId="48" applyNumberFormat="1" applyFont="1" applyFill="1" applyBorder="1" applyAlignment="1">
      <alignment horizontal="right" vertical="center"/>
    </xf>
    <xf numFmtId="0" fontId="30" fillId="13" borderId="0" xfId="0" applyFont="1" applyFill="1" applyBorder="1" applyAlignment="1">
      <alignment horizontal="center" vertical="center" wrapText="1"/>
    </xf>
    <xf numFmtId="0" fontId="12" fillId="0" borderId="12" xfId="0" applyFont="1" applyBorder="1" applyAlignment="1">
      <alignment horizontal="right"/>
    </xf>
    <xf numFmtId="0" fontId="30" fillId="0" borderId="12" xfId="0" applyFont="1" applyBorder="1" applyAlignment="1">
      <alignment horizontal="right"/>
    </xf>
    <xf numFmtId="181" fontId="0" fillId="0" borderId="12" xfId="0" applyNumberFormat="1" applyBorder="1" applyAlignment="1">
      <alignment horizontal="center" vertical="center"/>
    </xf>
    <xf numFmtId="0" fontId="0" fillId="0" borderId="12" xfId="0" applyBorder="1"/>
    <xf numFmtId="0" fontId="28" fillId="0" borderId="12" xfId="0" applyFont="1" applyBorder="1" applyAlignment="1">
      <alignment horizontal="right" indent="1"/>
    </xf>
    <xf numFmtId="0" fontId="12" fillId="0" borderId="12" xfId="0" applyFont="1" applyBorder="1"/>
    <xf numFmtId="181" fontId="31" fillId="0" borderId="0" xfId="0" applyNumberFormat="1" applyFont="1"/>
    <xf numFmtId="183" fontId="0" fillId="0" borderId="0" xfId="0" applyNumberFormat="1"/>
    <xf numFmtId="0" fontId="0" fillId="0" borderId="24" xfId="0" applyBorder="1"/>
    <xf numFmtId="0" fontId="0" fillId="0" borderId="7" xfId="0" applyBorder="1"/>
    <xf numFmtId="183" fontId="0" fillId="0" borderId="0" xfId="49" applyNumberFormat="1" applyFont="1" applyBorder="1"/>
    <xf numFmtId="0" fontId="0" fillId="0" borderId="8" xfId="0" applyBorder="1"/>
    <xf numFmtId="0" fontId="0" fillId="0" borderId="0" xfId="0" applyBorder="1"/>
    <xf numFmtId="0" fontId="0" fillId="0" borderId="26" xfId="0" applyBorder="1"/>
    <xf numFmtId="0" fontId="0" fillId="0" borderId="6" xfId="0" applyBorder="1"/>
    <xf numFmtId="0" fontId="0" fillId="0" borderId="27" xfId="0" applyBorder="1"/>
    <xf numFmtId="0" fontId="0" fillId="0" borderId="23" xfId="0" applyBorder="1"/>
    <xf numFmtId="183" fontId="0" fillId="0" borderId="6" xfId="49" applyNumberFormat="1" applyFont="1" applyBorder="1"/>
    <xf numFmtId="183" fontId="0" fillId="0" borderId="7" xfId="0" applyNumberFormat="1" applyBorder="1"/>
    <xf numFmtId="183" fontId="0" fillId="0" borderId="0" xfId="0" applyNumberFormat="1" applyBorder="1"/>
    <xf numFmtId="183" fontId="0" fillId="0" borderId="26" xfId="0" applyNumberFormat="1" applyBorder="1"/>
    <xf numFmtId="183" fontId="0" fillId="0" borderId="6" xfId="0" applyNumberFormat="1" applyBorder="1"/>
    <xf numFmtId="49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5" xfId="0" applyBorder="1"/>
    <xf numFmtId="0" fontId="0" fillId="0" borderId="1" xfId="0" applyBorder="1"/>
    <xf numFmtId="181" fontId="0" fillId="0" borderId="28" xfId="0" applyNumberFormat="1" applyBorder="1" applyAlignment="1">
      <alignment horizontal="center" vertical="center"/>
    </xf>
    <xf numFmtId="181" fontId="0" fillId="0" borderId="29" xfId="0" applyNumberFormat="1" applyBorder="1" applyAlignment="1">
      <alignment horizontal="center" vertical="center"/>
    </xf>
    <xf numFmtId="181" fontId="31" fillId="0" borderId="25" xfId="0" applyNumberFormat="1" applyFont="1" applyBorder="1"/>
    <xf numFmtId="0" fontId="0" fillId="0" borderId="0" xfId="0" applyBorder="1" applyAlignment="1">
      <alignment horizontal="right"/>
    </xf>
    <xf numFmtId="181" fontId="31" fillId="0" borderId="8" xfId="0" applyNumberFormat="1" applyFont="1" applyBorder="1"/>
    <xf numFmtId="181" fontId="0" fillId="0" borderId="30" xfId="0" applyNumberFormat="1" applyBorder="1" applyAlignment="1">
      <alignment horizontal="center" vertical="center"/>
    </xf>
    <xf numFmtId="181" fontId="31" fillId="0" borderId="27" xfId="0" applyNumberFormat="1" applyFont="1" applyBorder="1"/>
    <xf numFmtId="181" fontId="31" fillId="0" borderId="0" xfId="0" applyNumberFormat="1" applyFont="1" applyBorder="1"/>
    <xf numFmtId="0" fontId="0" fillId="0" borderId="0" xfId="0" applyNumberFormat="1"/>
    <xf numFmtId="0" fontId="0" fillId="0" borderId="7" xfId="0" applyNumberFormat="1" applyBorder="1"/>
    <xf numFmtId="0" fontId="0" fillId="0" borderId="26" xfId="0" applyNumberFormat="1" applyBorder="1"/>
    <xf numFmtId="181" fontId="0" fillId="0" borderId="0" xfId="0" applyNumberFormat="1"/>
    <xf numFmtId="0" fontId="0" fillId="0" borderId="0" xfId="0" applyNumberFormat="1" applyBorder="1"/>
    <xf numFmtId="181" fontId="0" fillId="0" borderId="0" xfId="0" applyNumberFormat="1" applyBorder="1" applyAlignment="1">
      <alignment horizontal="center" vertical="center"/>
    </xf>
    <xf numFmtId="184" fontId="5" fillId="0" borderId="12" xfId="29" applyNumberFormat="1" applyFont="1" applyBorder="1"/>
    <xf numFmtId="181" fontId="5" fillId="0" borderId="12" xfId="29" applyNumberFormat="1" applyFont="1" applyBorder="1"/>
    <xf numFmtId="0" fontId="5" fillId="0" borderId="29" xfId="29" applyFont="1" applyBorder="1" applyAlignment="1">
      <alignment vertical="center" wrapText="1"/>
    </xf>
    <xf numFmtId="0" fontId="5" fillId="0" borderId="29" xfId="29" applyFont="1" applyBorder="1" applyAlignment="1">
      <alignment horizontal="center" vertical="center" wrapText="1"/>
    </xf>
    <xf numFmtId="0" fontId="5" fillId="0" borderId="32" xfId="29" applyFont="1" applyBorder="1"/>
    <xf numFmtId="0" fontId="5" fillId="14" borderId="33" xfId="29" applyFont="1" applyFill="1" applyBorder="1" applyAlignment="1">
      <alignment horizontal="right"/>
    </xf>
    <xf numFmtId="181" fontId="5" fillId="0" borderId="34" xfId="29" applyNumberFormat="1" applyFont="1" applyBorder="1"/>
    <xf numFmtId="0" fontId="5" fillId="0" borderId="33" xfId="29" applyFont="1" applyBorder="1" applyAlignment="1">
      <alignment horizontal="right" wrapText="1"/>
    </xf>
    <xf numFmtId="0" fontId="5" fillId="0" borderId="35" xfId="29" applyFont="1" applyBorder="1" applyAlignment="1">
      <alignment horizontal="center"/>
    </xf>
    <xf numFmtId="184" fontId="5" fillId="0" borderId="30" xfId="29" applyNumberFormat="1" applyFont="1" applyBorder="1"/>
    <xf numFmtId="181" fontId="5" fillId="0" borderId="30" xfId="29" applyNumberFormat="1" applyFont="1" applyBorder="1"/>
    <xf numFmtId="184" fontId="5" fillId="0" borderId="36" xfId="29" applyNumberFormat="1" applyFont="1" applyBorder="1"/>
    <xf numFmtId="184" fontId="0" fillId="0" borderId="12" xfId="0" applyNumberFormat="1" applyBorder="1"/>
    <xf numFmtId="0" fontId="30" fillId="15" borderId="0" xfId="0" applyFont="1" applyFill="1" applyBorder="1" applyAlignment="1">
      <alignment horizontal="center" vertical="center" wrapText="1"/>
    </xf>
    <xf numFmtId="0" fontId="33" fillId="16" borderId="1" xfId="1" applyFont="1" applyFill="1" applyBorder="1" applyAlignment="1">
      <alignment horizontal="center" vertical="center" wrapText="1" readingOrder="2"/>
    </xf>
    <xf numFmtId="0" fontId="0" fillId="0" borderId="2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2" fillId="16" borderId="23" xfId="0" applyFont="1" applyFill="1" applyBorder="1" applyAlignment="1">
      <alignment horizontal="center" vertical="center" textRotation="90" wrapText="1"/>
    </xf>
    <xf numFmtId="0" fontId="34" fillId="17" borderId="0" xfId="1" applyNumberFormat="1" applyFont="1" applyFill="1" applyBorder="1" applyAlignment="1">
      <alignment horizontal="right" vertical="center" wrapText="1" readingOrder="2"/>
    </xf>
    <xf numFmtId="0" fontId="0" fillId="0" borderId="0" xfId="0" applyBorder="1" applyAlignment="1">
      <alignment horizontal="center" vertical="center"/>
    </xf>
    <xf numFmtId="185" fontId="0" fillId="0" borderId="0" xfId="0" applyNumberFormat="1" applyBorder="1" applyAlignment="1">
      <alignment horizontal="center" vertical="center"/>
    </xf>
    <xf numFmtId="0" fontId="12" fillId="16" borderId="0" xfId="0" applyFont="1" applyFill="1" applyBorder="1" applyAlignment="1">
      <alignment horizontal="center" vertical="center" textRotation="90" wrapText="1"/>
    </xf>
    <xf numFmtId="0" fontId="34" fillId="17" borderId="0" xfId="1" applyFont="1" applyFill="1" applyBorder="1" applyAlignment="1">
      <alignment horizontal="right" vertical="center" wrapText="1" readingOrder="2"/>
    </xf>
    <xf numFmtId="2" fontId="0" fillId="0" borderId="0" xfId="0" applyNumberFormat="1" applyBorder="1" applyAlignment="1">
      <alignment horizontal="center" vertical="center"/>
    </xf>
    <xf numFmtId="182" fontId="0" fillId="0" borderId="0" xfId="48" applyNumberFormat="1" applyFont="1" applyBorder="1" applyAlignment="1">
      <alignment horizontal="center" vertical="center"/>
    </xf>
    <xf numFmtId="182" fontId="0" fillId="0" borderId="0" xfId="48" applyNumberFormat="1" applyFont="1" applyFill="1" applyBorder="1" applyAlignment="1">
      <alignment horizontal="center" vertical="center"/>
    </xf>
    <xf numFmtId="182" fontId="0" fillId="18" borderId="0" xfId="48" applyNumberFormat="1" applyFont="1" applyFill="1" applyBorder="1" applyAlignment="1">
      <alignment horizontal="center" vertical="center"/>
    </xf>
    <xf numFmtId="183" fontId="0" fillId="0" borderId="1" xfId="50" applyNumberFormat="1" applyFont="1" applyBorder="1"/>
    <xf numFmtId="183" fontId="0" fillId="0" borderId="2" xfId="50" applyNumberFormat="1" applyFont="1" applyBorder="1"/>
    <xf numFmtId="0" fontId="35" fillId="0" borderId="0" xfId="1" applyFont="1" applyFill="1" applyAlignment="1">
      <alignment horizontal="center" vertical="center" textRotation="90" wrapText="1"/>
    </xf>
    <xf numFmtId="183" fontId="0" fillId="0" borderId="0" xfId="50" applyNumberFormat="1" applyFont="1" applyBorder="1"/>
    <xf numFmtId="43" fontId="0" fillId="0" borderId="0" xfId="50" applyNumberFormat="1" applyFont="1" applyBorder="1"/>
    <xf numFmtId="0" fontId="34" fillId="17" borderId="1" xfId="1" applyFont="1" applyFill="1" applyBorder="1" applyAlignment="1">
      <alignment horizontal="right" vertical="center" wrapText="1" readingOrder="2"/>
    </xf>
    <xf numFmtId="185" fontId="0" fillId="0" borderId="2" xfId="0" applyNumberFormat="1" applyBorder="1" applyAlignment="1">
      <alignment horizontal="center" vertical="center"/>
    </xf>
    <xf numFmtId="182" fontId="0" fillId="0" borderId="0" xfId="0" applyNumberFormat="1"/>
    <xf numFmtId="49" fontId="0" fillId="0" borderId="0" xfId="0" applyNumberFormat="1"/>
    <xf numFmtId="0" fontId="0" fillId="0" borderId="38" xfId="0" applyNumberFormat="1" applyBorder="1"/>
    <xf numFmtId="0" fontId="0" fillId="0" borderId="39" xfId="0" applyNumberFormat="1" applyBorder="1"/>
    <xf numFmtId="0" fontId="0" fillId="0" borderId="40" xfId="0" applyNumberFormat="1" applyBorder="1"/>
    <xf numFmtId="49" fontId="0" fillId="0" borderId="1" xfId="0" applyNumberFormat="1" applyBorder="1"/>
    <xf numFmtId="1" fontId="0" fillId="0" borderId="0" xfId="0" applyNumberFormat="1"/>
    <xf numFmtId="183" fontId="0" fillId="0" borderId="12" xfId="49" applyNumberFormat="1" applyFont="1" applyBorder="1"/>
    <xf numFmtId="183" fontId="0" fillId="0" borderId="12" xfId="0" applyNumberFormat="1" applyBorder="1"/>
    <xf numFmtId="183" fontId="0" fillId="0" borderId="33" xfId="49" applyNumberFormat="1" applyFont="1" applyBorder="1"/>
    <xf numFmtId="183" fontId="0" fillId="0" borderId="34" xfId="49" applyNumberFormat="1" applyFont="1" applyBorder="1"/>
    <xf numFmtId="183" fontId="0" fillId="0" borderId="30" xfId="49" applyNumberFormat="1" applyFont="1" applyBorder="1"/>
    <xf numFmtId="183" fontId="0" fillId="0" borderId="36" xfId="49" applyNumberFormat="1" applyFont="1" applyBorder="1"/>
    <xf numFmtId="183" fontId="0" fillId="0" borderId="34" xfId="0" applyNumberFormat="1" applyBorder="1"/>
    <xf numFmtId="183" fontId="0" fillId="0" borderId="30" xfId="0" applyNumberFormat="1" applyBorder="1"/>
    <xf numFmtId="183" fontId="0" fillId="0" borderId="36" xfId="0" applyNumberFormat="1" applyBorder="1"/>
    <xf numFmtId="0" fontId="0" fillId="19" borderId="43" xfId="0" applyFill="1" applyBorder="1" applyAlignment="1">
      <alignment wrapText="1"/>
    </xf>
    <xf numFmtId="0" fontId="0" fillId="19" borderId="44" xfId="0" applyFill="1" applyBorder="1" applyAlignment="1">
      <alignment wrapText="1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0" xfId="0" applyAlignment="1">
      <alignment horizontal="right" indent="1"/>
    </xf>
    <xf numFmtId="183" fontId="0" fillId="0" borderId="7" xfId="49" applyNumberFormat="1" applyFont="1" applyBorder="1"/>
    <xf numFmtId="183" fontId="0" fillId="0" borderId="8" xfId="49" applyNumberFormat="1" applyFont="1" applyBorder="1"/>
    <xf numFmtId="183" fontId="0" fillId="0" borderId="26" xfId="49" applyNumberFormat="1" applyFont="1" applyBorder="1"/>
    <xf numFmtId="183" fontId="0" fillId="0" borderId="27" xfId="49" applyNumberFormat="1" applyFont="1" applyBorder="1"/>
    <xf numFmtId="183" fontId="0" fillId="0" borderId="23" xfId="49" applyNumberFormat="1" applyFont="1" applyBorder="1"/>
    <xf numFmtId="183" fontId="0" fillId="0" borderId="24" xfId="49" applyNumberFormat="1" applyFont="1" applyBorder="1"/>
    <xf numFmtId="183" fontId="0" fillId="0" borderId="25" xfId="49" applyNumberFormat="1" applyFont="1" applyBorder="1"/>
    <xf numFmtId="2" fontId="0" fillId="0" borderId="12" xfId="0" applyNumberFormat="1" applyBorder="1"/>
    <xf numFmtId="2" fontId="0" fillId="0" borderId="31" xfId="0" applyNumberFormat="1" applyBorder="1"/>
    <xf numFmtId="2" fontId="0" fillId="0" borderId="29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2" fontId="0" fillId="0" borderId="30" xfId="0" applyNumberFormat="1" applyBorder="1"/>
    <xf numFmtId="2" fontId="0" fillId="0" borderId="36" xfId="0" applyNumberFormat="1" applyBorder="1"/>
    <xf numFmtId="2" fontId="0" fillId="0" borderId="46" xfId="0" applyNumberFormat="1" applyBorder="1"/>
    <xf numFmtId="2" fontId="0" fillId="0" borderId="41" xfId="0" applyNumberFormat="1" applyBorder="1"/>
    <xf numFmtId="2" fontId="0" fillId="0" borderId="47" xfId="0" applyNumberFormat="1" applyBorder="1"/>
    <xf numFmtId="2" fontId="0" fillId="0" borderId="45" xfId="0" applyNumberFormat="1" applyBorder="1"/>
    <xf numFmtId="2" fontId="0" fillId="0" borderId="42" xfId="0" applyNumberFormat="1" applyBorder="1"/>
    <xf numFmtId="2" fontId="0" fillId="0" borderId="48" xfId="0" applyNumberFormat="1" applyBorder="1"/>
    <xf numFmtId="0" fontId="0" fillId="0" borderId="0" xfId="0" applyAlignment="1">
      <alignment vertical="center"/>
    </xf>
    <xf numFmtId="0" fontId="0" fillId="0" borderId="43" xfId="0" applyBorder="1" applyAlignment="1">
      <alignment horizontal="center" vertical="center"/>
    </xf>
    <xf numFmtId="0" fontId="0" fillId="0" borderId="0" xfId="0" applyAlignment="1">
      <alignment horizontal="center"/>
    </xf>
    <xf numFmtId="187" fontId="0" fillId="0" borderId="12" xfId="0" applyNumberFormat="1" applyBorder="1" applyAlignment="1">
      <alignment horizontal="center"/>
    </xf>
    <xf numFmtId="187" fontId="0" fillId="0" borderId="28" xfId="0" applyNumberFormat="1" applyBorder="1" applyAlignment="1">
      <alignment horizontal="center"/>
    </xf>
    <xf numFmtId="0" fontId="34" fillId="17" borderId="31" xfId="1" applyNumberFormat="1" applyFont="1" applyFill="1" applyBorder="1" applyAlignment="1">
      <alignment horizontal="right" vertical="center" wrapText="1" readingOrder="2"/>
    </xf>
    <xf numFmtId="187" fontId="0" fillId="0" borderId="29" xfId="0" applyNumberFormat="1" applyBorder="1" applyAlignment="1">
      <alignment horizontal="center"/>
    </xf>
    <xf numFmtId="187" fontId="0" fillId="0" borderId="32" xfId="0" applyNumberFormat="1" applyBorder="1" applyAlignment="1">
      <alignment horizontal="center"/>
    </xf>
    <xf numFmtId="0" fontId="34" fillId="17" borderId="33" xfId="1" applyNumberFormat="1" applyFont="1" applyFill="1" applyBorder="1" applyAlignment="1">
      <alignment horizontal="right" vertical="center" wrapText="1" readingOrder="2"/>
    </xf>
    <xf numFmtId="187" fontId="0" fillId="0" borderId="34" xfId="0" applyNumberFormat="1" applyBorder="1" applyAlignment="1">
      <alignment horizontal="center"/>
    </xf>
    <xf numFmtId="0" fontId="34" fillId="17" borderId="35" xfId="1" applyNumberFormat="1" applyFont="1" applyFill="1" applyBorder="1" applyAlignment="1">
      <alignment horizontal="right" vertical="center" wrapText="1" readingOrder="2"/>
    </xf>
    <xf numFmtId="187" fontId="0" fillId="0" borderId="30" xfId="0" applyNumberFormat="1" applyBorder="1" applyAlignment="1">
      <alignment horizontal="center"/>
    </xf>
    <xf numFmtId="187" fontId="0" fillId="0" borderId="36" xfId="0" applyNumberFormat="1" applyBorder="1" applyAlignment="1">
      <alignment horizontal="center"/>
    </xf>
    <xf numFmtId="0" fontId="34" fillId="17" borderId="49" xfId="1" applyNumberFormat="1" applyFont="1" applyFill="1" applyBorder="1" applyAlignment="1">
      <alignment horizontal="right" vertical="center" wrapText="1" readingOrder="2"/>
    </xf>
    <xf numFmtId="187" fontId="0" fillId="0" borderId="43" xfId="0" applyNumberFormat="1" applyBorder="1" applyAlignment="1">
      <alignment horizontal="center"/>
    </xf>
    <xf numFmtId="187" fontId="0" fillId="0" borderId="50" xfId="0" applyNumberFormat="1" applyBorder="1" applyAlignment="1">
      <alignment horizontal="center"/>
    </xf>
    <xf numFmtId="0" fontId="34" fillId="17" borderId="51" xfId="1" applyNumberFormat="1" applyFont="1" applyFill="1" applyBorder="1" applyAlignment="1">
      <alignment horizontal="right" vertical="center" wrapText="1" readingOrder="2"/>
    </xf>
    <xf numFmtId="187" fontId="0" fillId="0" borderId="5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36" fillId="20" borderId="24" xfId="0" applyFont="1" applyFill="1" applyBorder="1"/>
    <xf numFmtId="0" fontId="36" fillId="0" borderId="0" xfId="0" applyFont="1" applyBorder="1"/>
    <xf numFmtId="0" fontId="36" fillId="20" borderId="0" xfId="0" applyFont="1" applyFill="1" applyBorder="1"/>
    <xf numFmtId="0" fontId="36" fillId="0" borderId="0" xfId="0" applyFont="1" applyFill="1" applyBorder="1"/>
    <xf numFmtId="0" fontId="36" fillId="20" borderId="6" xfId="0" applyFont="1" applyFill="1" applyBorder="1"/>
    <xf numFmtId="183" fontId="0" fillId="0" borderId="0" xfId="49" applyNumberFormat="1" applyFont="1" applyAlignment="1">
      <alignment horizontal="center"/>
    </xf>
    <xf numFmtId="188" fontId="0" fillId="0" borderId="0" xfId="0" applyNumberFormat="1" applyAlignment="1">
      <alignment horizontal="center"/>
    </xf>
    <xf numFmtId="43" fontId="0" fillId="0" borderId="0" xfId="0" applyNumberFormat="1"/>
    <xf numFmtId="10" fontId="0" fillId="0" borderId="0" xfId="48" applyNumberFormat="1" applyFont="1" applyAlignment="1">
      <alignment horizontal="center"/>
    </xf>
    <xf numFmtId="187" fontId="0" fillId="0" borderId="0" xfId="48" applyNumberFormat="1" applyFont="1" applyAlignment="1">
      <alignment horizontal="center"/>
    </xf>
    <xf numFmtId="0" fontId="28" fillId="21" borderId="43" xfId="0" applyFont="1" applyFill="1" applyBorder="1" applyAlignment="1">
      <alignment horizontal="center" vertical="center" wrapText="1"/>
    </xf>
    <xf numFmtId="0" fontId="0" fillId="21" borderId="18" xfId="0" applyFill="1" applyBorder="1" applyAlignment="1">
      <alignment horizontal="center" vertical="center" wrapText="1"/>
    </xf>
    <xf numFmtId="0" fontId="0" fillId="21" borderId="53" xfId="0" applyFill="1" applyBorder="1" applyAlignment="1">
      <alignment horizontal="center" vertical="center" wrapText="1"/>
    </xf>
    <xf numFmtId="189" fontId="0" fillId="22" borderId="43" xfId="0" applyNumberFormat="1" applyFill="1" applyBorder="1"/>
    <xf numFmtId="189" fontId="0" fillId="22" borderId="28" xfId="0" applyNumberFormat="1" applyFill="1" applyBorder="1"/>
    <xf numFmtId="0" fontId="0" fillId="22" borderId="56" xfId="0" applyFill="1" applyBorder="1"/>
    <xf numFmtId="0" fontId="0" fillId="22" borderId="0" xfId="0" applyFill="1" applyBorder="1"/>
    <xf numFmtId="0" fontId="0" fillId="22" borderId="57" xfId="0" applyFill="1" applyBorder="1"/>
    <xf numFmtId="189" fontId="0" fillId="22" borderId="56" xfId="0" applyNumberFormat="1" applyFill="1" applyBorder="1"/>
    <xf numFmtId="189" fontId="0" fillId="22" borderId="0" xfId="0" applyNumberFormat="1" applyFill="1" applyBorder="1"/>
    <xf numFmtId="189" fontId="0" fillId="22" borderId="57" xfId="0" applyNumberFormat="1" applyFill="1" applyBorder="1"/>
    <xf numFmtId="189" fontId="0" fillId="22" borderId="0" xfId="0" applyNumberFormat="1" applyFill="1"/>
    <xf numFmtId="0" fontId="0" fillId="22" borderId="55" xfId="0" applyFill="1" applyBorder="1" applyAlignment="1">
      <alignment horizontal="left"/>
    </xf>
    <xf numFmtId="0" fontId="0" fillId="0" borderId="44" xfId="0" applyBorder="1" applyAlignment="1">
      <alignment horizontal="left" vertical="center" wrapText="1"/>
    </xf>
    <xf numFmtId="0" fontId="0" fillId="22" borderId="44" xfId="0" applyFill="1" applyBorder="1" applyAlignment="1">
      <alignment horizontal="left"/>
    </xf>
    <xf numFmtId="0" fontId="0" fillId="22" borderId="54" xfId="0" applyFill="1" applyBorder="1" applyAlignment="1">
      <alignment horizontal="left" wrapText="1"/>
    </xf>
    <xf numFmtId="0" fontId="28" fillId="22" borderId="55" xfId="0" applyFont="1" applyFill="1" applyBorder="1" applyAlignment="1">
      <alignment horizontal="left"/>
    </xf>
    <xf numFmtId="0" fontId="0" fillId="22" borderId="0" xfId="0" applyFill="1" applyAlignment="1">
      <alignment horizontal="left"/>
    </xf>
    <xf numFmtId="0" fontId="37" fillId="22" borderId="0" xfId="0" applyFont="1" applyFill="1" applyAlignment="1">
      <alignment horizontal="left"/>
    </xf>
    <xf numFmtId="0" fontId="0" fillId="0" borderId="0" xfId="0" applyAlignment="1">
      <alignment horizontal="left"/>
    </xf>
    <xf numFmtId="184" fontId="0" fillId="0" borderId="0" xfId="0" applyNumberFormat="1"/>
    <xf numFmtId="0" fontId="28" fillId="0" borderId="31" xfId="29" applyFont="1" applyBorder="1" applyAlignment="1">
      <alignment horizontal="center" vertical="center"/>
    </xf>
    <xf numFmtId="0" fontId="0" fillId="0" borderId="29" xfId="0" applyBorder="1"/>
    <xf numFmtId="0" fontId="0" fillId="0" borderId="51" xfId="0" applyBorder="1"/>
    <xf numFmtId="0" fontId="0" fillId="0" borderId="28" xfId="0" applyBorder="1"/>
    <xf numFmtId="0" fontId="0" fillId="0" borderId="28" xfId="0" applyBorder="1" applyAlignment="1">
      <alignment horizontal="center"/>
    </xf>
    <xf numFmtId="0" fontId="0" fillId="0" borderId="52" xfId="0" applyBorder="1" applyAlignment="1">
      <alignment horizontal="center"/>
    </xf>
    <xf numFmtId="181" fontId="0" fillId="0" borderId="12" xfId="0" applyNumberFormat="1" applyBorder="1"/>
    <xf numFmtId="184" fontId="0" fillId="0" borderId="34" xfId="0" applyNumberFormat="1" applyBorder="1"/>
    <xf numFmtId="184" fontId="0" fillId="0" borderId="30" xfId="0" applyNumberFormat="1" applyBorder="1"/>
    <xf numFmtId="181" fontId="0" fillId="0" borderId="30" xfId="0" applyNumberFormat="1" applyBorder="1"/>
    <xf numFmtId="184" fontId="0" fillId="0" borderId="36" xfId="0" applyNumberFormat="1" applyBorder="1"/>
    <xf numFmtId="0" fontId="0" fillId="0" borderId="0" xfId="0" applyBorder="1" applyAlignment="1">
      <alignment horizontal="center" vertical="center" wrapText="1"/>
    </xf>
    <xf numFmtId="9" fontId="0" fillId="0" borderId="0" xfId="48" applyFont="1"/>
    <xf numFmtId="10" fontId="0" fillId="0" borderId="0" xfId="48" applyNumberFormat="1" applyFont="1"/>
    <xf numFmtId="190" fontId="31" fillId="0" borderId="0" xfId="0" applyNumberFormat="1" applyFont="1" applyBorder="1"/>
    <xf numFmtId="191" fontId="0" fillId="0" borderId="0" xfId="0" applyNumberFormat="1"/>
    <xf numFmtId="184" fontId="0" fillId="0" borderId="0" xfId="49" applyNumberFormat="1" applyFont="1"/>
    <xf numFmtId="184" fontId="38" fillId="19" borderId="12" xfId="49" applyNumberFormat="1" applyFont="1" applyFill="1" applyBorder="1" applyAlignment="1">
      <alignment horizontal="center" vertical="center" wrapText="1"/>
    </xf>
    <xf numFmtId="3" fontId="0" fillId="0" borderId="12" xfId="0" applyNumberFormat="1" applyBorder="1"/>
    <xf numFmtId="0" fontId="1" fillId="0" borderId="0" xfId="0" applyFont="1"/>
    <xf numFmtId="0" fontId="0" fillId="0" borderId="0" xfId="0" applyFill="1" applyBorder="1" applyAlignment="1">
      <alignment horizontal="center" vertical="center"/>
    </xf>
    <xf numFmtId="0" fontId="1" fillId="0" borderId="0" xfId="0" applyFont="1" applyAlignment="1">
      <alignment horizontal="right" indent="1"/>
    </xf>
    <xf numFmtId="43" fontId="0" fillId="0" borderId="8" xfId="49" applyNumberFormat="1" applyFont="1" applyBorder="1"/>
    <xf numFmtId="0" fontId="0" fillId="0" borderId="0" xfId="49" applyNumberFormat="1" applyFont="1"/>
    <xf numFmtId="0" fontId="0" fillId="0" borderId="0" xfId="0" pivotButton="1"/>
    <xf numFmtId="0" fontId="0" fillId="0" borderId="0" xfId="0" applyAlignment="1">
      <alignment horizontal="right" indent="2"/>
    </xf>
    <xf numFmtId="183" fontId="31" fillId="0" borderId="0" xfId="0" applyNumberFormat="1" applyFont="1"/>
    <xf numFmtId="9" fontId="31" fillId="0" borderId="0" xfId="48" applyFont="1"/>
    <xf numFmtId="9" fontId="1" fillId="0" borderId="0" xfId="48" applyFont="1"/>
    <xf numFmtId="0" fontId="0" fillId="21" borderId="0" xfId="0" applyFill="1" applyBorder="1" applyAlignment="1">
      <alignment horizontal="center" vertical="center" wrapText="1"/>
    </xf>
    <xf numFmtId="0" fontId="0" fillId="0" borderId="7" xfId="0" applyBorder="1" applyAlignment="1">
      <alignment horizontal="right"/>
    </xf>
    <xf numFmtId="185" fontId="0" fillId="0" borderId="0" xfId="0" applyNumberFormat="1"/>
    <xf numFmtId="183" fontId="0" fillId="0" borderId="0" xfId="49" applyNumberFormat="1" applyFont="1"/>
    <xf numFmtId="0" fontId="1" fillId="18" borderId="0" xfId="0" applyFont="1" applyFill="1"/>
    <xf numFmtId="0" fontId="1" fillId="23" borderId="0" xfId="0" applyFont="1" applyFill="1"/>
    <xf numFmtId="0" fontId="0" fillId="23" borderId="0" xfId="0" applyFill="1"/>
    <xf numFmtId="0" fontId="1" fillId="22" borderId="55" xfId="0" applyFont="1" applyFill="1" applyBorder="1" applyAlignment="1">
      <alignment horizontal="left"/>
    </xf>
    <xf numFmtId="183" fontId="31" fillId="0" borderId="59" xfId="0" applyNumberFormat="1" applyFont="1" applyBorder="1"/>
    <xf numFmtId="183" fontId="0" fillId="0" borderId="59" xfId="0" applyNumberFormat="1" applyBorder="1"/>
    <xf numFmtId="0" fontId="0" fillId="0" borderId="59" xfId="0" applyBorder="1"/>
    <xf numFmtId="9" fontId="1" fillId="0" borderId="59" xfId="48" applyFont="1" applyBorder="1"/>
    <xf numFmtId="9" fontId="1" fillId="0" borderId="42" xfId="48" applyFont="1" applyBorder="1"/>
    <xf numFmtId="0" fontId="1" fillId="0" borderId="43" xfId="0" applyFont="1" applyBorder="1"/>
    <xf numFmtId="9" fontId="1" fillId="0" borderId="56" xfId="48" applyFont="1" applyBorder="1"/>
    <xf numFmtId="9" fontId="1" fillId="0" borderId="12" xfId="48" applyFont="1" applyBorder="1"/>
    <xf numFmtId="9" fontId="1" fillId="0" borderId="28" xfId="48" applyFont="1" applyBorder="1"/>
    <xf numFmtId="43" fontId="41" fillId="24" borderId="7" xfId="51" applyNumberFormat="1" applyBorder="1"/>
    <xf numFmtId="183" fontId="41" fillId="24" borderId="0" xfId="51" applyNumberFormat="1" applyBorder="1"/>
    <xf numFmtId="183" fontId="41" fillId="24" borderId="8" xfId="51" applyNumberFormat="1" applyBorder="1"/>
    <xf numFmtId="187" fontId="0" fillId="0" borderId="0" xfId="0" applyNumberFormat="1"/>
    <xf numFmtId="2" fontId="0" fillId="0" borderId="0" xfId="0" applyNumberFormat="1"/>
    <xf numFmtId="10" fontId="0" fillId="0" borderId="0" xfId="48" applyNumberFormat="1" applyFont="1" applyFill="1" applyBorder="1"/>
    <xf numFmtId="187" fontId="31" fillId="0" borderId="41" xfId="0" applyNumberFormat="1" applyFont="1" applyBorder="1"/>
    <xf numFmtId="187" fontId="31" fillId="0" borderId="59" xfId="0" applyNumberFormat="1" applyFont="1" applyBorder="1"/>
    <xf numFmtId="2" fontId="31" fillId="0" borderId="59" xfId="0" applyNumberFormat="1" applyFont="1" applyBorder="1"/>
    <xf numFmtId="0" fontId="31" fillId="0" borderId="42" xfId="0" applyFont="1" applyBorder="1"/>
    <xf numFmtId="9" fontId="0" fillId="0" borderId="0" xfId="48" applyFont="1" applyAlignment="1">
      <alignment horizontal="center"/>
    </xf>
    <xf numFmtId="189" fontId="0" fillId="0" borderId="0" xfId="0" applyNumberFormat="1"/>
    <xf numFmtId="49" fontId="37" fillId="22" borderId="0" xfId="0" applyNumberFormat="1" applyFont="1" applyFill="1" applyAlignment="1">
      <alignment horizontal="left"/>
    </xf>
    <xf numFmtId="0" fontId="37" fillId="22" borderId="0" xfId="0" applyNumberFormat="1" applyFont="1" applyFill="1" applyAlignment="1">
      <alignment horizontal="left"/>
    </xf>
    <xf numFmtId="49" fontId="0" fillId="22" borderId="0" xfId="0" applyNumberFormat="1" applyFill="1" applyAlignment="1">
      <alignment horizontal="left"/>
    </xf>
    <xf numFmtId="0" fontId="1" fillId="0" borderId="0" xfId="0" applyFont="1" applyAlignment="1">
      <alignment horizontal="center" vertical="center" wrapText="1"/>
    </xf>
    <xf numFmtId="9" fontId="0" fillId="21" borderId="0" xfId="0" applyNumberFormat="1" applyFill="1" applyAlignment="1">
      <alignment horizontal="center"/>
    </xf>
    <xf numFmtId="9" fontId="0" fillId="21" borderId="56" xfId="0" applyNumberFormat="1" applyFill="1" applyBorder="1" applyAlignment="1">
      <alignment horizontal="center"/>
    </xf>
    <xf numFmtId="0" fontId="31" fillId="0" borderId="0" xfId="0" applyFont="1" applyAlignment="1"/>
    <xf numFmtId="187" fontId="0" fillId="0" borderId="23" xfId="0" applyNumberFormat="1" applyBorder="1"/>
    <xf numFmtId="187" fontId="0" fillId="0" borderId="24" xfId="0" applyNumberFormat="1" applyBorder="1"/>
    <xf numFmtId="9" fontId="0" fillId="0" borderId="24" xfId="48" applyFont="1" applyBorder="1" applyAlignment="1">
      <alignment horizontal="center"/>
    </xf>
    <xf numFmtId="2" fontId="0" fillId="0" borderId="24" xfId="0" applyNumberFormat="1" applyBorder="1"/>
    <xf numFmtId="0" fontId="0" fillId="0" borderId="25" xfId="0" applyBorder="1"/>
    <xf numFmtId="9" fontId="0" fillId="0" borderId="0" xfId="48" applyFont="1" applyBorder="1" applyAlignment="1">
      <alignment horizontal="center"/>
    </xf>
    <xf numFmtId="187" fontId="0" fillId="0" borderId="7" xfId="0" applyNumberFormat="1" applyBorder="1"/>
    <xf numFmtId="187" fontId="0" fillId="0" borderId="0" xfId="0" applyNumberFormat="1" applyBorder="1"/>
    <xf numFmtId="2" fontId="0" fillId="0" borderId="0" xfId="0" applyNumberFormat="1" applyBorder="1"/>
    <xf numFmtId="187" fontId="0" fillId="0" borderId="26" xfId="0" applyNumberFormat="1" applyBorder="1"/>
    <xf numFmtId="187" fontId="0" fillId="0" borderId="6" xfId="0" applyNumberFormat="1" applyBorder="1"/>
    <xf numFmtId="9" fontId="0" fillId="0" borderId="6" xfId="48" applyFont="1" applyBorder="1" applyAlignment="1">
      <alignment horizontal="center"/>
    </xf>
    <xf numFmtId="2" fontId="0" fillId="0" borderId="6" xfId="0" applyNumberFormat="1" applyBorder="1"/>
    <xf numFmtId="9" fontId="0" fillId="0" borderId="0" xfId="0" applyNumberFormat="1"/>
    <xf numFmtId="0" fontId="0" fillId="22" borderId="0" xfId="0" applyNumberFormat="1" applyFill="1" applyBorder="1" applyAlignment="1">
      <alignment horizontal="center"/>
    </xf>
    <xf numFmtId="0" fontId="37" fillId="22" borderId="6" xfId="0" applyFont="1" applyFill="1" applyBorder="1" applyAlignment="1">
      <alignment horizontal="left"/>
    </xf>
    <xf numFmtId="189" fontId="0" fillId="22" borderId="60" xfId="0" applyNumberFormat="1" applyFill="1" applyBorder="1"/>
    <xf numFmtId="0" fontId="0" fillId="22" borderId="6" xfId="0" applyNumberFormat="1" applyFill="1" applyBorder="1" applyAlignment="1">
      <alignment horizontal="center"/>
    </xf>
    <xf numFmtId="0" fontId="1" fillId="0" borderId="0" xfId="0" applyFont="1" applyFill="1" applyBorder="1"/>
    <xf numFmtId="49" fontId="0" fillId="0" borderId="0" xfId="0" applyNumberFormat="1" applyAlignment="1">
      <alignment horizontal="left" indent="2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4"/>
    </xf>
    <xf numFmtId="0" fontId="0" fillId="0" borderId="6" xfId="0" applyBorder="1" applyAlignment="1">
      <alignment horizontal="left"/>
    </xf>
    <xf numFmtId="0" fontId="42" fillId="14" borderId="0" xfId="0" applyFont="1" applyFill="1"/>
    <xf numFmtId="189" fontId="42" fillId="14" borderId="56" xfId="0" applyNumberFormat="1" applyFont="1" applyFill="1" applyBorder="1"/>
    <xf numFmtId="0" fontId="42" fillId="14" borderId="0" xfId="0" applyNumberFormat="1" applyFont="1" applyFill="1" applyBorder="1" applyAlignment="1">
      <alignment horizontal="center"/>
    </xf>
    <xf numFmtId="0" fontId="42" fillId="0" borderId="0" xfId="0" applyFont="1" applyBorder="1" applyAlignment="1">
      <alignment horizontal="left" indent="2"/>
    </xf>
    <xf numFmtId="0" fontId="31" fillId="0" borderId="0" xfId="0" applyFont="1" applyAlignment="1">
      <alignment horizontal="center"/>
    </xf>
    <xf numFmtId="0" fontId="43" fillId="0" borderId="0" xfId="1" applyFont="1"/>
    <xf numFmtId="3" fontId="43" fillId="0" borderId="0" xfId="1" applyNumberFormat="1" applyFont="1"/>
    <xf numFmtId="0" fontId="5" fillId="0" borderId="0" xfId="1"/>
    <xf numFmtId="3" fontId="5" fillId="0" borderId="0" xfId="1" applyNumberFormat="1"/>
    <xf numFmtId="0" fontId="28" fillId="25" borderId="0" xfId="1" applyFont="1" applyFill="1"/>
    <xf numFmtId="2" fontId="0" fillId="0" borderId="7" xfId="0" applyNumberFormat="1" applyBorder="1"/>
    <xf numFmtId="2" fontId="0" fillId="0" borderId="8" xfId="0" applyNumberFormat="1" applyBorder="1"/>
    <xf numFmtId="0" fontId="31" fillId="18" borderId="0" xfId="0" applyFont="1" applyFill="1"/>
    <xf numFmtId="2" fontId="0" fillId="0" borderId="23" xfId="0" applyNumberFormat="1" applyBorder="1"/>
    <xf numFmtId="2" fontId="0" fillId="0" borderId="25" xfId="0" applyNumberFormat="1" applyBorder="1"/>
    <xf numFmtId="2" fontId="0" fillId="0" borderId="27" xfId="0" applyNumberFormat="1" applyBorder="1"/>
    <xf numFmtId="187" fontId="0" fillId="0" borderId="0" xfId="0" applyNumberFormat="1" applyFill="1" applyBorder="1"/>
    <xf numFmtId="2" fontId="0" fillId="0" borderId="0" xfId="0" applyNumberFormat="1" applyFill="1" applyBorder="1"/>
    <xf numFmtId="187" fontId="0" fillId="0" borderId="7" xfId="0" applyNumberFormat="1" applyFill="1" applyBorder="1"/>
    <xf numFmtId="0" fontId="0" fillId="0" borderId="8" xfId="0" applyFill="1" applyBorder="1"/>
    <xf numFmtId="9" fontId="1" fillId="0" borderId="0" xfId="48" applyFont="1" applyBorder="1"/>
    <xf numFmtId="187" fontId="31" fillId="0" borderId="0" xfId="0" applyNumberFormat="1" applyFont="1" applyBorder="1"/>
    <xf numFmtId="0" fontId="44" fillId="0" borderId="61" xfId="0" applyFont="1" applyFill="1" applyBorder="1" applyAlignment="1" applyProtection="1">
      <alignment vertical="center" wrapText="1"/>
    </xf>
    <xf numFmtId="0" fontId="44" fillId="0" borderId="62" xfId="0" applyFont="1" applyFill="1" applyBorder="1" applyAlignment="1" applyProtection="1">
      <alignment vertical="center" wrapText="1"/>
    </xf>
    <xf numFmtId="0" fontId="45" fillId="0" borderId="63" xfId="0" quotePrefix="1" applyFont="1" applyFill="1" applyBorder="1" applyAlignment="1">
      <alignment horizontal="center" vertical="center"/>
    </xf>
    <xf numFmtId="0" fontId="44" fillId="0" borderId="63" xfId="0" applyFont="1" applyFill="1" applyBorder="1" applyAlignment="1">
      <alignment horizontal="center" vertical="center"/>
    </xf>
    <xf numFmtId="0" fontId="44" fillId="0" borderId="64" xfId="0" applyFont="1" applyFill="1" applyBorder="1" applyAlignment="1" applyProtection="1">
      <alignment horizontal="center" vertical="center" wrapText="1"/>
    </xf>
    <xf numFmtId="0" fontId="44" fillId="0" borderId="65" xfId="0" applyFont="1" applyFill="1" applyBorder="1" applyAlignment="1" applyProtection="1">
      <alignment horizontal="center" vertical="center" wrapText="1"/>
    </xf>
    <xf numFmtId="0" fontId="45" fillId="0" borderId="66" xfId="0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 applyProtection="1">
      <alignment horizontal="center" vertical="center" wrapText="1"/>
    </xf>
    <xf numFmtId="49" fontId="44" fillId="0" borderId="66" xfId="0" applyNumberFormat="1" applyFont="1" applyFill="1" applyBorder="1" applyAlignment="1">
      <alignment horizontal="center" vertical="center" wrapText="1"/>
    </xf>
    <xf numFmtId="49" fontId="44" fillId="0" borderId="66" xfId="0" applyNumberFormat="1" applyFont="1" applyFill="1" applyBorder="1" applyAlignment="1" applyProtection="1">
      <alignment horizontal="center" vertical="center" wrapText="1"/>
    </xf>
    <xf numFmtId="165" fontId="46" fillId="0" borderId="67" xfId="0" applyNumberFormat="1" applyFont="1" applyFill="1" applyBorder="1" applyAlignment="1" applyProtection="1">
      <alignment horizontal="center"/>
      <protection locked="0"/>
    </xf>
    <xf numFmtId="165" fontId="46" fillId="0" borderId="68" xfId="0" applyNumberFormat="1" applyFont="1" applyFill="1" applyBorder="1" applyAlignment="1" applyProtection="1">
      <alignment horizontal="center"/>
      <protection locked="0"/>
    </xf>
    <xf numFmtId="192" fontId="9" fillId="0" borderId="68" xfId="0" applyNumberFormat="1" applyFont="1" applyFill="1" applyBorder="1" applyAlignment="1" applyProtection="1">
      <alignment horizontal="right"/>
      <protection locked="0"/>
    </xf>
    <xf numFmtId="3" fontId="9" fillId="0" borderId="68" xfId="0" applyNumberFormat="1" applyFont="1" applyFill="1" applyBorder="1" applyAlignment="1" applyProtection="1">
      <alignment horizontal="center"/>
      <protection locked="0"/>
    </xf>
    <xf numFmtId="3" fontId="35" fillId="0" borderId="68" xfId="0" applyNumberFormat="1" applyFont="1" applyFill="1" applyBorder="1" applyAlignment="1" applyProtection="1">
      <alignment horizontal="center"/>
      <protection locked="0"/>
    </xf>
    <xf numFmtId="193" fontId="0" fillId="0" borderId="0" xfId="49" applyNumberFormat="1" applyFont="1"/>
    <xf numFmtId="192" fontId="9" fillId="0" borderId="68" xfId="0" quotePrefix="1" applyNumberFormat="1" applyFont="1" applyFill="1" applyBorder="1" applyAlignment="1" applyProtection="1">
      <alignment horizontal="right"/>
      <protection locked="0"/>
    </xf>
    <xf numFmtId="192" fontId="9" fillId="0" borderId="68" xfId="0" applyNumberFormat="1" applyFont="1" applyFill="1" applyBorder="1" applyAlignment="1" applyProtection="1">
      <alignment horizontal="right" wrapText="1"/>
      <protection locked="0"/>
    </xf>
    <xf numFmtId="0" fontId="9" fillId="0" borderId="68" xfId="0" applyFont="1" applyFill="1" applyBorder="1" applyAlignment="1" applyProtection="1">
      <alignment horizontal="right"/>
    </xf>
    <xf numFmtId="192" fontId="9" fillId="0" borderId="68" xfId="0" applyNumberFormat="1" applyFont="1" applyFill="1" applyBorder="1" applyAlignment="1" applyProtection="1">
      <alignment horizontal="right" readingOrder="2"/>
      <protection locked="0"/>
    </xf>
    <xf numFmtId="165" fontId="46" fillId="0" borderId="69" xfId="0" applyNumberFormat="1" applyFont="1" applyFill="1" applyBorder="1" applyAlignment="1" applyProtection="1">
      <alignment horizontal="center"/>
      <protection locked="0"/>
    </xf>
    <xf numFmtId="165" fontId="46" fillId="0" borderId="70" xfId="0" applyNumberFormat="1" applyFont="1" applyFill="1" applyBorder="1" applyAlignment="1" applyProtection="1">
      <alignment horizontal="center"/>
      <protection locked="0"/>
    </xf>
    <xf numFmtId="192" fontId="9" fillId="0" borderId="70" xfId="0" applyNumberFormat="1" applyFont="1" applyFill="1" applyBorder="1" applyAlignment="1" applyProtection="1">
      <alignment horizontal="right"/>
      <protection locked="0"/>
    </xf>
    <xf numFmtId="3" fontId="9" fillId="0" borderId="70" xfId="0" applyNumberFormat="1" applyFont="1" applyFill="1" applyBorder="1" applyAlignment="1" applyProtection="1">
      <alignment horizontal="center"/>
      <protection locked="0"/>
    </xf>
    <xf numFmtId="3" fontId="35" fillId="0" borderId="70" xfId="0" applyNumberFormat="1" applyFont="1" applyFill="1" applyBorder="1" applyAlignment="1" applyProtection="1">
      <alignment horizontal="center"/>
      <protection locked="0"/>
    </xf>
    <xf numFmtId="0" fontId="46" fillId="0" borderId="68" xfId="0" applyNumberFormat="1" applyFont="1" applyFill="1" applyBorder="1" applyAlignment="1" applyProtection="1">
      <alignment horizontal="center"/>
      <protection locked="0"/>
    </xf>
    <xf numFmtId="165" fontId="46" fillId="0" borderId="71" xfId="0" applyNumberFormat="1" applyFont="1" applyFill="1" applyBorder="1" applyAlignment="1" applyProtection="1">
      <alignment horizontal="center"/>
      <protection locked="0"/>
    </xf>
    <xf numFmtId="165" fontId="46" fillId="0" borderId="72" xfId="0" applyNumberFormat="1" applyFont="1" applyFill="1" applyBorder="1" applyAlignment="1" applyProtection="1">
      <alignment horizontal="center"/>
      <protection locked="0"/>
    </xf>
    <xf numFmtId="192" fontId="9" fillId="0" borderId="72" xfId="0" applyNumberFormat="1" applyFont="1" applyFill="1" applyBorder="1" applyAlignment="1" applyProtection="1">
      <alignment horizontal="right"/>
      <protection locked="0"/>
    </xf>
    <xf numFmtId="3" fontId="9" fillId="0" borderId="72" xfId="0" applyNumberFormat="1" applyFont="1" applyFill="1" applyBorder="1" applyAlignment="1" applyProtection="1">
      <alignment horizontal="center"/>
      <protection locked="0"/>
    </xf>
    <xf numFmtId="3" fontId="35" fillId="0" borderId="72" xfId="0" applyNumberFormat="1" applyFont="1" applyFill="1" applyBorder="1" applyAlignment="1" applyProtection="1">
      <alignment horizontal="center"/>
      <protection locked="0"/>
    </xf>
    <xf numFmtId="0" fontId="9" fillId="0" borderId="68" xfId="0" applyFont="1" applyFill="1" applyBorder="1" applyAlignment="1" applyProtection="1">
      <alignment horizontal="right" wrapText="1"/>
    </xf>
    <xf numFmtId="0" fontId="9" fillId="0" borderId="68" xfId="0" applyFont="1" applyFill="1" applyBorder="1" applyAlignment="1" applyProtection="1">
      <alignment horizontal="right" readingOrder="2"/>
    </xf>
    <xf numFmtId="192" fontId="9" fillId="0" borderId="68" xfId="0" quotePrefix="1" applyNumberFormat="1" applyFont="1" applyFill="1" applyBorder="1" applyAlignment="1" applyProtection="1">
      <alignment horizontal="right" readingOrder="2"/>
      <protection locked="0"/>
    </xf>
    <xf numFmtId="192" fontId="9" fillId="0" borderId="72" xfId="0" applyNumberFormat="1" applyFont="1" applyFill="1" applyBorder="1" applyAlignment="1" applyProtection="1">
      <alignment horizontal="right" readingOrder="2"/>
      <protection locked="0"/>
    </xf>
    <xf numFmtId="165" fontId="46" fillId="18" borderId="71" xfId="0" applyNumberFormat="1" applyFont="1" applyFill="1" applyBorder="1" applyAlignment="1" applyProtection="1">
      <alignment horizontal="center"/>
      <protection locked="0"/>
    </xf>
    <xf numFmtId="165" fontId="46" fillId="18" borderId="72" xfId="0" applyNumberFormat="1" applyFont="1" applyFill="1" applyBorder="1" applyAlignment="1" applyProtection="1">
      <alignment horizontal="center"/>
      <protection locked="0"/>
    </xf>
    <xf numFmtId="192" fontId="9" fillId="18" borderId="68" xfId="0" applyNumberFormat="1" applyFont="1" applyFill="1" applyBorder="1" applyAlignment="1" applyProtection="1">
      <alignment horizontal="right"/>
      <protection locked="0"/>
    </xf>
    <xf numFmtId="3" fontId="9" fillId="18" borderId="72" xfId="0" applyNumberFormat="1" applyFont="1" applyFill="1" applyBorder="1" applyAlignment="1" applyProtection="1">
      <alignment horizontal="center"/>
      <protection locked="0"/>
    </xf>
    <xf numFmtId="3" fontId="35" fillId="18" borderId="72" xfId="0" applyNumberFormat="1" applyFont="1" applyFill="1" applyBorder="1" applyAlignment="1" applyProtection="1">
      <alignment horizontal="center"/>
      <protection locked="0"/>
    </xf>
    <xf numFmtId="165" fontId="47" fillId="0" borderId="67" xfId="0" applyNumberFormat="1" applyFont="1" applyFill="1" applyBorder="1" applyAlignment="1" applyProtection="1">
      <alignment horizontal="center"/>
      <protection locked="0"/>
    </xf>
    <xf numFmtId="165" fontId="47" fillId="0" borderId="68" xfId="0" applyNumberFormat="1" applyFont="1" applyFill="1" applyBorder="1" applyAlignment="1" applyProtection="1">
      <alignment horizontal="center"/>
      <protection locked="0"/>
    </xf>
    <xf numFmtId="192" fontId="48" fillId="0" borderId="68" xfId="0" quotePrefix="1" applyNumberFormat="1" applyFont="1" applyFill="1" applyBorder="1" applyAlignment="1" applyProtection="1">
      <alignment horizontal="right" readingOrder="2"/>
      <protection locked="0"/>
    </xf>
    <xf numFmtId="3" fontId="48" fillId="0" borderId="68" xfId="0" applyNumberFormat="1" applyFont="1" applyFill="1" applyBorder="1" applyAlignment="1" applyProtection="1">
      <alignment horizontal="center"/>
      <protection locked="0"/>
    </xf>
    <xf numFmtId="3" fontId="49" fillId="0" borderId="68" xfId="0" applyNumberFormat="1" applyFont="1" applyFill="1" applyBorder="1" applyAlignment="1" applyProtection="1">
      <alignment horizontal="center"/>
      <protection locked="0"/>
    </xf>
    <xf numFmtId="192" fontId="48" fillId="0" borderId="68" xfId="0" applyNumberFormat="1" applyFont="1" applyFill="1" applyBorder="1" applyAlignment="1" applyProtection="1">
      <alignment horizontal="right" readingOrder="2"/>
      <protection locked="0"/>
    </xf>
    <xf numFmtId="192" fontId="48" fillId="0" borderId="68" xfId="0" applyNumberFormat="1" applyFont="1" applyFill="1" applyBorder="1" applyAlignment="1" applyProtection="1">
      <alignment horizontal="right"/>
      <protection locked="0"/>
    </xf>
    <xf numFmtId="3" fontId="48" fillId="0" borderId="68" xfId="49" applyNumberFormat="1" applyFont="1" applyFill="1" applyBorder="1" applyAlignment="1" applyProtection="1">
      <alignment horizontal="center"/>
      <protection locked="0"/>
    </xf>
    <xf numFmtId="3" fontId="49" fillId="0" borderId="68" xfId="49" applyNumberFormat="1" applyFont="1" applyFill="1" applyBorder="1" applyAlignment="1" applyProtection="1">
      <alignment horizontal="center"/>
      <protection locked="0"/>
    </xf>
    <xf numFmtId="0" fontId="48" fillId="0" borderId="68" xfId="0" applyFont="1" applyFill="1" applyBorder="1" applyAlignment="1" applyProtection="1">
      <alignment horizontal="right"/>
    </xf>
    <xf numFmtId="192" fontId="48" fillId="0" borderId="68" xfId="0" applyNumberFormat="1" applyFont="1" applyFill="1" applyBorder="1" applyAlignment="1" applyProtection="1">
      <alignment horizontal="right" wrapText="1" readingOrder="2"/>
      <protection locked="0"/>
    </xf>
    <xf numFmtId="192" fontId="48" fillId="0" borderId="68" xfId="0" quotePrefix="1" applyNumberFormat="1" applyFont="1" applyFill="1" applyBorder="1" applyAlignment="1" applyProtection="1">
      <alignment horizontal="right"/>
      <protection locked="0"/>
    </xf>
    <xf numFmtId="0" fontId="48" fillId="0" borderId="68" xfId="0" applyFont="1" applyFill="1" applyBorder="1" applyAlignment="1" applyProtection="1">
      <alignment horizontal="right" readingOrder="2"/>
    </xf>
    <xf numFmtId="3" fontId="48" fillId="0" borderId="68" xfId="0" applyNumberFormat="1" applyFont="1" applyFill="1" applyBorder="1" applyAlignment="1" applyProtection="1">
      <alignment horizontal="center"/>
    </xf>
    <xf numFmtId="3" fontId="49" fillId="0" borderId="68" xfId="0" applyNumberFormat="1" applyFont="1" applyFill="1" applyBorder="1" applyAlignment="1" applyProtection="1">
      <alignment horizontal="center"/>
    </xf>
    <xf numFmtId="192" fontId="48" fillId="0" borderId="68" xfId="0" applyNumberFormat="1" applyFont="1" applyFill="1" applyBorder="1" applyAlignment="1" applyProtection="1">
      <alignment horizontal="right" wrapText="1"/>
      <protection locked="0"/>
    </xf>
    <xf numFmtId="192" fontId="48" fillId="0" borderId="68" xfId="0" applyNumberFormat="1" applyFont="1" applyFill="1" applyBorder="1" applyAlignment="1" applyProtection="1">
      <protection locked="0"/>
    </xf>
    <xf numFmtId="0" fontId="9" fillId="0" borderId="68" xfId="0" applyFont="1" applyFill="1" applyBorder="1" applyAlignment="1">
      <alignment horizontal="right" wrapText="1" readingOrder="2"/>
    </xf>
    <xf numFmtId="0" fontId="48" fillId="0" borderId="68" xfId="0" quotePrefix="1" applyFont="1" applyFill="1" applyBorder="1" applyAlignment="1" applyProtection="1">
      <alignment horizontal="right"/>
    </xf>
    <xf numFmtId="3" fontId="49" fillId="0" borderId="73" xfId="0" applyNumberFormat="1" applyFont="1" applyFill="1" applyBorder="1" applyAlignment="1" applyProtection="1">
      <alignment horizontal="center"/>
      <protection locked="0"/>
    </xf>
    <xf numFmtId="3" fontId="49" fillId="0" borderId="73" xfId="49" applyNumberFormat="1" applyFont="1" applyFill="1" applyBorder="1" applyAlignment="1" applyProtection="1">
      <alignment horizontal="center"/>
      <protection locked="0"/>
    </xf>
    <xf numFmtId="0" fontId="48" fillId="0" borderId="68" xfId="0" applyFont="1" applyFill="1" applyBorder="1" applyAlignment="1" applyProtection="1">
      <alignment horizontal="right" wrapText="1"/>
    </xf>
    <xf numFmtId="165" fontId="47" fillId="0" borderId="67" xfId="0" applyNumberFormat="1" applyFont="1" applyFill="1" applyBorder="1" applyAlignment="1" applyProtection="1">
      <alignment horizontal="center"/>
    </xf>
    <xf numFmtId="192" fontId="48" fillId="0" borderId="68" xfId="0" quotePrefix="1" applyNumberFormat="1" applyFont="1" applyFill="1" applyBorder="1" applyAlignment="1" applyProtection="1">
      <alignment horizontal="right" wrapText="1"/>
      <protection locked="0"/>
    </xf>
    <xf numFmtId="165" fontId="48" fillId="0" borderId="68" xfId="0" applyNumberFormat="1" applyFont="1" applyFill="1" applyBorder="1" applyAlignment="1" applyProtection="1">
      <alignment horizontal="right" wrapText="1" readingOrder="2"/>
      <protection locked="0"/>
    </xf>
    <xf numFmtId="165" fontId="47" fillId="0" borderId="67" xfId="0" applyNumberFormat="1" applyFont="1" applyFill="1" applyBorder="1" applyAlignment="1" applyProtection="1">
      <alignment horizontal="center" wrapText="1"/>
      <protection locked="0"/>
    </xf>
    <xf numFmtId="165" fontId="47" fillId="0" borderId="68" xfId="0" applyNumberFormat="1" applyFont="1" applyFill="1" applyBorder="1" applyAlignment="1" applyProtection="1">
      <alignment horizontal="center" wrapText="1"/>
      <protection locked="0"/>
    </xf>
    <xf numFmtId="3" fontId="48" fillId="0" borderId="68" xfId="0" applyNumberFormat="1" applyFont="1" applyFill="1" applyBorder="1" applyAlignment="1" applyProtection="1">
      <alignment horizontal="center" wrapText="1"/>
      <protection locked="0"/>
    </xf>
    <xf numFmtId="3" fontId="49" fillId="0" borderId="68" xfId="0" applyNumberFormat="1" applyFont="1" applyFill="1" applyBorder="1" applyAlignment="1" applyProtection="1">
      <alignment horizontal="center" wrapText="1"/>
      <protection locked="0"/>
    </xf>
    <xf numFmtId="165" fontId="48" fillId="0" borderId="68" xfId="0" applyNumberFormat="1" applyFont="1" applyFill="1" applyBorder="1" applyAlignment="1" applyProtection="1">
      <alignment horizontal="right"/>
      <protection locked="0"/>
    </xf>
    <xf numFmtId="165" fontId="47" fillId="0" borderId="71" xfId="0" applyNumberFormat="1" applyFont="1" applyFill="1" applyBorder="1" applyAlignment="1" applyProtection="1">
      <alignment horizontal="center"/>
      <protection locked="0"/>
    </xf>
    <xf numFmtId="165" fontId="47" fillId="0" borderId="72" xfId="0" applyNumberFormat="1" applyFont="1" applyFill="1" applyBorder="1" applyAlignment="1" applyProtection="1">
      <alignment horizontal="center"/>
      <protection locked="0"/>
    </xf>
    <xf numFmtId="165" fontId="48" fillId="0" borderId="72" xfId="0" applyNumberFormat="1" applyFont="1" applyFill="1" applyBorder="1" applyAlignment="1" applyProtection="1">
      <alignment horizontal="right"/>
      <protection locked="0"/>
    </xf>
    <xf numFmtId="165" fontId="48" fillId="0" borderId="74" xfId="0" applyNumberFormat="1" applyFont="1" applyFill="1" applyBorder="1" applyAlignment="1" applyProtection="1">
      <alignment horizontal="right"/>
      <protection locked="0"/>
    </xf>
    <xf numFmtId="192" fontId="48" fillId="0" borderId="72" xfId="0" applyNumberFormat="1" applyFont="1" applyFill="1" applyBorder="1" applyAlignment="1" applyProtection="1">
      <alignment horizontal="right" readingOrder="2"/>
      <protection locked="0"/>
    </xf>
    <xf numFmtId="3" fontId="48" fillId="0" borderId="72" xfId="0" applyNumberFormat="1" applyFont="1" applyFill="1" applyBorder="1" applyAlignment="1" applyProtection="1">
      <alignment horizontal="center"/>
      <protection locked="0"/>
    </xf>
    <xf numFmtId="3" fontId="49" fillId="0" borderId="72" xfId="0" applyNumberFormat="1" applyFont="1" applyFill="1" applyBorder="1" applyAlignment="1" applyProtection="1">
      <alignment horizontal="center"/>
      <protection locked="0"/>
    </xf>
    <xf numFmtId="165" fontId="48" fillId="0" borderId="68" xfId="0" applyNumberFormat="1" applyFont="1" applyFill="1" applyBorder="1" applyAlignment="1" applyProtection="1">
      <alignment horizontal="right" readingOrder="2"/>
      <protection locked="0"/>
    </xf>
    <xf numFmtId="192" fontId="48" fillId="0" borderId="68" xfId="0" quotePrefix="1" applyNumberFormat="1" applyFont="1" applyFill="1" applyBorder="1" applyAlignment="1" applyProtection="1">
      <alignment horizontal="right" wrapText="1" readingOrder="2"/>
      <protection locked="0"/>
    </xf>
    <xf numFmtId="165" fontId="48" fillId="0" borderId="68" xfId="0" quotePrefix="1" applyNumberFormat="1" applyFont="1" applyFill="1" applyBorder="1" applyAlignment="1" applyProtection="1">
      <alignment horizontal="right" wrapText="1" readingOrder="2"/>
      <protection locked="0"/>
    </xf>
    <xf numFmtId="0" fontId="48" fillId="0" borderId="68" xfId="0" quotePrefix="1" applyFont="1" applyFill="1" applyBorder="1" applyAlignment="1" applyProtection="1">
      <alignment horizontal="right" readingOrder="2"/>
    </xf>
    <xf numFmtId="192" fontId="48" fillId="0" borderId="68" xfId="0" applyNumberFormat="1" applyFont="1" applyFill="1" applyBorder="1" applyAlignment="1" applyProtection="1">
      <alignment horizontal="right"/>
    </xf>
    <xf numFmtId="165" fontId="47" fillId="0" borderId="68" xfId="0" applyNumberFormat="1" applyFont="1" applyFill="1" applyBorder="1" applyAlignment="1" applyProtection="1">
      <alignment horizontal="center"/>
    </xf>
    <xf numFmtId="0" fontId="48" fillId="0" borderId="73" xfId="0" applyFont="1" applyFill="1" applyBorder="1" applyAlignment="1">
      <alignment horizontal="right"/>
    </xf>
    <xf numFmtId="0" fontId="48" fillId="0" borderId="68" xfId="0" applyFont="1" applyFill="1" applyBorder="1" applyAlignment="1" applyProtection="1">
      <alignment horizontal="right" wrapText="1"/>
      <protection locked="0"/>
    </xf>
    <xf numFmtId="0" fontId="48" fillId="0" borderId="68" xfId="0" applyFont="1" applyFill="1" applyBorder="1" applyAlignment="1" applyProtection="1">
      <alignment horizontal="right"/>
      <protection locked="0"/>
    </xf>
    <xf numFmtId="0" fontId="46" fillId="0" borderId="0" xfId="0" applyFont="1" applyFill="1" applyAlignment="1">
      <alignment horizontal="center"/>
    </xf>
    <xf numFmtId="0" fontId="46" fillId="0" borderId="0" xfId="0" applyFont="1" applyFill="1"/>
    <xf numFmtId="0" fontId="9" fillId="0" borderId="0" xfId="0" applyFont="1" applyFill="1" applyAlignment="1"/>
    <xf numFmtId="0" fontId="9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1" fontId="0" fillId="0" borderId="7" xfId="0" applyNumberFormat="1" applyBorder="1"/>
    <xf numFmtId="1" fontId="0" fillId="0" borderId="0" xfId="0" applyNumberFormat="1" applyBorder="1"/>
    <xf numFmtId="1" fontId="0" fillId="0" borderId="26" xfId="0" applyNumberFormat="1" applyBorder="1"/>
    <xf numFmtId="1" fontId="0" fillId="0" borderId="6" xfId="0" applyNumberFormat="1" applyBorder="1"/>
    <xf numFmtId="0" fontId="1" fillId="0" borderId="0" xfId="0" applyFont="1" applyBorder="1"/>
    <xf numFmtId="187" fontId="1" fillId="0" borderId="0" xfId="0" applyNumberFormat="1" applyFont="1" applyBorder="1"/>
    <xf numFmtId="2" fontId="1" fillId="0" borderId="0" xfId="0" applyNumberFormat="1" applyFont="1" applyBorder="1"/>
    <xf numFmtId="0" fontId="31" fillId="0" borderId="59" xfId="0" applyFont="1" applyBorder="1"/>
    <xf numFmtId="3" fontId="0" fillId="0" borderId="0" xfId="0" applyNumberFormat="1"/>
    <xf numFmtId="183" fontId="0" fillId="0" borderId="29" xfId="49" applyNumberFormat="1" applyFont="1" applyBorder="1"/>
    <xf numFmtId="183" fontId="0" fillId="18" borderId="32" xfId="49" applyNumberFormat="1" applyFont="1" applyFill="1" applyBorder="1"/>
    <xf numFmtId="0" fontId="40" fillId="0" borderId="0" xfId="0" applyFont="1" applyAlignment="1">
      <alignment horizontal="center"/>
    </xf>
    <xf numFmtId="0" fontId="40" fillId="0" borderId="0" xfId="0" applyFont="1" applyAlignment="1"/>
    <xf numFmtId="0" fontId="0" fillId="0" borderId="55" xfId="0" applyBorder="1" applyAlignment="1">
      <alignment vertical="center"/>
    </xf>
    <xf numFmtId="183" fontId="0" fillId="0" borderId="0" xfId="0" applyNumberFormat="1" applyFill="1"/>
    <xf numFmtId="183" fontId="1" fillId="0" borderId="59" xfId="0" applyNumberFormat="1" applyFont="1" applyBorder="1"/>
    <xf numFmtId="0" fontId="0" fillId="0" borderId="67" xfId="0" applyBorder="1"/>
    <xf numFmtId="0" fontId="0" fillId="0" borderId="68" xfId="0" applyBorder="1"/>
    <xf numFmtId="0" fontId="0" fillId="0" borderId="12" xfId="49" applyNumberFormat="1" applyFont="1" applyBorder="1"/>
    <xf numFmtId="0" fontId="0" fillId="0" borderId="72" xfId="0" applyBorder="1"/>
    <xf numFmtId="192" fontId="48" fillId="0" borderId="0" xfId="0" applyNumberFormat="1" applyFont="1" applyFill="1" applyBorder="1" applyAlignment="1" applyProtection="1">
      <alignment horizontal="right" wrapText="1"/>
      <protection locked="0"/>
    </xf>
    <xf numFmtId="192" fontId="48" fillId="0" borderId="0" xfId="0" applyNumberFormat="1" applyFont="1" applyFill="1" applyBorder="1" applyAlignment="1" applyProtection="1">
      <alignment horizontal="right"/>
      <protection locked="0"/>
    </xf>
    <xf numFmtId="192" fontId="48" fillId="0" borderId="0" xfId="0" applyNumberFormat="1" applyFont="1" applyFill="1" applyBorder="1" applyAlignment="1" applyProtection="1">
      <alignment horizontal="right" readingOrder="2"/>
      <protection locked="0"/>
    </xf>
    <xf numFmtId="0" fontId="48" fillId="0" borderId="68" xfId="0" applyFont="1" applyFill="1" applyBorder="1" applyAlignment="1">
      <alignment horizontal="right"/>
    </xf>
    <xf numFmtId="192" fontId="48" fillId="0" borderId="73" xfId="0" applyNumberFormat="1" applyFont="1" applyFill="1" applyBorder="1" applyAlignment="1" applyProtection="1">
      <alignment horizontal="right"/>
      <protection locked="0"/>
    </xf>
    <xf numFmtId="0" fontId="48" fillId="0" borderId="0" xfId="0" applyFont="1" applyFill="1" applyBorder="1" applyAlignment="1" applyProtection="1">
      <alignment horizontal="right"/>
    </xf>
    <xf numFmtId="0" fontId="48" fillId="0" borderId="0" xfId="0" applyFont="1" applyFill="1" applyBorder="1" applyAlignment="1" applyProtection="1">
      <alignment horizontal="right" readingOrder="2"/>
    </xf>
    <xf numFmtId="192" fontId="48" fillId="0" borderId="72" xfId="0" applyNumberFormat="1" applyFont="1" applyFill="1" applyBorder="1" applyAlignment="1" applyProtection="1">
      <alignment horizontal="right"/>
      <protection locked="0"/>
    </xf>
    <xf numFmtId="192" fontId="48" fillId="0" borderId="73" xfId="0" applyNumberFormat="1" applyFont="1" applyFill="1" applyBorder="1" applyAlignment="1" applyProtection="1">
      <alignment horizontal="right" wrapText="1"/>
      <protection locked="0"/>
    </xf>
    <xf numFmtId="192" fontId="48" fillId="0" borderId="73" xfId="0" applyNumberFormat="1" applyFont="1" applyFill="1" applyBorder="1" applyAlignment="1" applyProtection="1">
      <alignment horizontal="right" readingOrder="2"/>
      <protection locked="0"/>
    </xf>
    <xf numFmtId="192" fontId="48" fillId="0" borderId="0" xfId="0" quotePrefix="1" applyNumberFormat="1" applyFont="1" applyFill="1" applyBorder="1" applyAlignment="1" applyProtection="1">
      <alignment horizontal="right"/>
      <protection locked="0"/>
    </xf>
    <xf numFmtId="0" fontId="48" fillId="0" borderId="0" xfId="0" applyFont="1" applyFill="1" applyBorder="1" applyAlignment="1" applyProtection="1">
      <alignment horizontal="right"/>
      <protection locked="0"/>
    </xf>
    <xf numFmtId="0" fontId="48" fillId="0" borderId="73" xfId="0" applyFont="1" applyFill="1" applyBorder="1" applyAlignment="1" applyProtection="1">
      <alignment horizontal="right" wrapText="1"/>
    </xf>
    <xf numFmtId="192" fontId="48" fillId="0" borderId="0" xfId="0" applyNumberFormat="1" applyFont="1" applyFill="1" applyBorder="1" applyAlignment="1" applyProtection="1">
      <alignment horizontal="right" wrapText="1" readingOrder="2"/>
      <protection locked="0"/>
    </xf>
    <xf numFmtId="165" fontId="48" fillId="0" borderId="0" xfId="0" applyNumberFormat="1" applyFont="1" applyFill="1" applyBorder="1" applyAlignment="1" applyProtection="1">
      <alignment horizontal="right" wrapText="1" readingOrder="2"/>
      <protection locked="0"/>
    </xf>
    <xf numFmtId="192" fontId="48" fillId="0" borderId="74" xfId="0" applyNumberFormat="1" applyFont="1" applyFill="1" applyBorder="1" applyAlignment="1" applyProtection="1">
      <alignment horizontal="right"/>
      <protection locked="0"/>
    </xf>
    <xf numFmtId="192" fontId="48" fillId="0" borderId="0" xfId="0" quotePrefix="1" applyNumberFormat="1" applyFont="1" applyFill="1" applyBorder="1" applyAlignment="1" applyProtection="1">
      <alignment horizontal="right" readingOrder="2"/>
      <protection locked="0"/>
    </xf>
    <xf numFmtId="0" fontId="48" fillId="0" borderId="0" xfId="0" applyFont="1" applyFill="1" applyBorder="1" applyAlignment="1" applyProtection="1">
      <alignment horizontal="right" wrapText="1"/>
    </xf>
    <xf numFmtId="0" fontId="48" fillId="0" borderId="0" xfId="0" applyFont="1" applyFill="1" applyBorder="1" applyAlignment="1" applyProtection="1">
      <alignment horizontal="right" wrapText="1"/>
      <protection locked="0"/>
    </xf>
    <xf numFmtId="0" fontId="48" fillId="0" borderId="0" xfId="0" quotePrefix="1" applyFont="1" applyFill="1" applyBorder="1" applyAlignment="1" applyProtection="1">
      <alignment horizontal="right" readingOrder="2"/>
    </xf>
    <xf numFmtId="192" fontId="9" fillId="0" borderId="0" xfId="0" applyNumberFormat="1" applyFont="1" applyFill="1" applyBorder="1" applyAlignment="1" applyProtection="1">
      <alignment horizontal="right"/>
      <protection locked="0"/>
    </xf>
    <xf numFmtId="192" fontId="48" fillId="0" borderId="0" xfId="0" quotePrefix="1" applyNumberFormat="1" applyFont="1" applyFill="1" applyBorder="1" applyAlignment="1" applyProtection="1">
      <alignment horizontal="right" wrapText="1"/>
      <protection locked="0"/>
    </xf>
    <xf numFmtId="0" fontId="48" fillId="0" borderId="0" xfId="0" quotePrefix="1" applyFont="1" applyFill="1" applyBorder="1" applyAlignment="1" applyProtection="1">
      <alignment horizontal="right"/>
    </xf>
    <xf numFmtId="3" fontId="0" fillId="0" borderId="0" xfId="0" applyNumberFormat="1" applyBorder="1"/>
    <xf numFmtId="184" fontId="0" fillId="0" borderId="12" xfId="49" applyNumberFormat="1" applyFont="1" applyBorder="1"/>
    <xf numFmtId="183" fontId="0" fillId="18" borderId="0" xfId="0" applyNumberFormat="1" applyFill="1"/>
    <xf numFmtId="9" fontId="31" fillId="0" borderId="0" xfId="48" applyFont="1" applyBorder="1"/>
    <xf numFmtId="0" fontId="31" fillId="0" borderId="0" xfId="0" applyFont="1" applyBorder="1"/>
    <xf numFmtId="2" fontId="31" fillId="0" borderId="0" xfId="0" applyNumberFormat="1" applyFont="1" applyBorder="1"/>
    <xf numFmtId="187" fontId="31" fillId="0" borderId="0" xfId="0" applyNumberFormat="1" applyFont="1"/>
    <xf numFmtId="9" fontId="31" fillId="0" borderId="0" xfId="48" applyFont="1" applyAlignment="1">
      <alignment horizontal="center"/>
    </xf>
    <xf numFmtId="2" fontId="31" fillId="0" borderId="0" xfId="0" applyNumberFormat="1" applyFont="1"/>
    <xf numFmtId="0" fontId="31" fillId="0" borderId="0" xfId="0" applyFont="1"/>
    <xf numFmtId="183" fontId="1" fillId="0" borderId="0" xfId="0" applyNumberFormat="1" applyFont="1"/>
    <xf numFmtId="181" fontId="0" fillId="0" borderId="0" xfId="0" applyNumberFormat="1" applyFill="1"/>
    <xf numFmtId="0" fontId="51" fillId="0" borderId="75" xfId="0" applyFont="1" applyFill="1" applyBorder="1"/>
    <xf numFmtId="0" fontId="51" fillId="0" borderId="76" xfId="0" applyFont="1" applyFill="1" applyBorder="1"/>
    <xf numFmtId="0" fontId="51" fillId="0" borderId="77" xfId="0" applyFont="1" applyFill="1" applyBorder="1"/>
    <xf numFmtId="0" fontId="51" fillId="0" borderId="78" xfId="0" applyFont="1" applyFill="1" applyBorder="1"/>
    <xf numFmtId="0" fontId="51" fillId="0" borderId="79" xfId="0" applyFont="1" applyFill="1" applyBorder="1"/>
    <xf numFmtId="0" fontId="0" fillId="0" borderId="0" xfId="0" applyFont="1"/>
    <xf numFmtId="0" fontId="51" fillId="0" borderId="78" xfId="0" applyFont="1" applyFill="1" applyBorder="1" applyAlignment="1">
      <alignment horizontal="center"/>
    </xf>
    <xf numFmtId="49" fontId="51" fillId="0" borderId="78" xfId="0" applyNumberFormat="1" applyFont="1" applyFill="1" applyBorder="1" applyAlignment="1">
      <alignment horizontal="center"/>
    </xf>
    <xf numFmtId="0" fontId="52" fillId="0" borderId="78" xfId="0" applyFont="1" applyFill="1" applyBorder="1" applyAlignment="1">
      <alignment horizontal="center"/>
    </xf>
    <xf numFmtId="49" fontId="52" fillId="0" borderId="78" xfId="0" applyNumberFormat="1" applyFont="1" applyFill="1" applyBorder="1" applyAlignment="1">
      <alignment horizontal="center"/>
    </xf>
    <xf numFmtId="0" fontId="10" fillId="0" borderId="78" xfId="0" applyFont="1" applyFill="1" applyBorder="1" applyAlignment="1">
      <alignment horizontal="right"/>
    </xf>
    <xf numFmtId="0" fontId="10" fillId="0" borderId="79" xfId="0" applyFont="1" applyFill="1" applyBorder="1" applyAlignment="1">
      <alignment horizontal="right"/>
    </xf>
    <xf numFmtId="0" fontId="10" fillId="0" borderId="8" xfId="0" applyFont="1" applyFill="1" applyBorder="1" applyAlignment="1">
      <alignment horizontal="right"/>
    </xf>
    <xf numFmtId="0" fontId="23" fillId="0" borderId="78" xfId="0" applyFont="1" applyFill="1" applyBorder="1" applyAlignment="1">
      <alignment horizontal="right"/>
    </xf>
    <xf numFmtId="2" fontId="10" fillId="0" borderId="78" xfId="0" applyNumberFormat="1" applyFont="1" applyFill="1" applyBorder="1" applyAlignment="1">
      <alignment horizontal="right"/>
    </xf>
    <xf numFmtId="0" fontId="53" fillId="0" borderId="21" xfId="0" applyFont="1" applyBorder="1" applyAlignment="1">
      <alignment horizontal="right"/>
    </xf>
    <xf numFmtId="0" fontId="53" fillId="0" borderId="0" xfId="0" applyFont="1" applyAlignment="1">
      <alignment horizontal="right" indent="1"/>
    </xf>
    <xf numFmtId="0" fontId="53" fillId="13" borderId="22" xfId="0" applyFont="1" applyFill="1" applyBorder="1" applyAlignment="1">
      <alignment horizontal="right"/>
    </xf>
    <xf numFmtId="185" fontId="0" fillId="18" borderId="32" xfId="0" applyNumberFormat="1" applyFill="1" applyBorder="1"/>
    <xf numFmtId="183" fontId="0" fillId="18" borderId="34" xfId="0" applyNumberFormat="1" applyFill="1" applyBorder="1"/>
    <xf numFmtId="9" fontId="31" fillId="0" borderId="0" xfId="48" applyFont="1" applyFill="1" applyBorder="1" applyAlignment="1">
      <alignment horizontal="center"/>
    </xf>
    <xf numFmtId="9" fontId="1" fillId="0" borderId="0" xfId="48" applyFont="1" applyFill="1" applyBorder="1" applyAlignment="1">
      <alignment horizontal="center"/>
    </xf>
    <xf numFmtId="0" fontId="54" fillId="0" borderId="0" xfId="0" applyFont="1" applyAlignment="1">
      <alignment horizontal="right" indent="1"/>
    </xf>
    <xf numFmtId="0" fontId="54" fillId="13" borderId="22" xfId="0" applyFont="1" applyFill="1" applyBorder="1" applyAlignment="1">
      <alignment horizontal="right"/>
    </xf>
    <xf numFmtId="0" fontId="2" fillId="0" borderId="78" xfId="0" applyFont="1" applyFill="1" applyBorder="1" applyAlignment="1">
      <alignment horizontal="right"/>
    </xf>
    <xf numFmtId="166" fontId="2" fillId="18" borderId="0" xfId="0" applyNumberFormat="1" applyFont="1" applyFill="1" applyBorder="1" applyAlignment="1">
      <alignment vertical="center"/>
    </xf>
    <xf numFmtId="189" fontId="0" fillId="0" borderId="0" xfId="48" applyNumberFormat="1" applyFont="1"/>
    <xf numFmtId="194" fontId="0" fillId="22" borderId="43" xfId="0" applyNumberFormat="1" applyFill="1" applyBorder="1" applyAlignment="1">
      <alignment horizontal="center"/>
    </xf>
    <xf numFmtId="194" fontId="40" fillId="0" borderId="0" xfId="0" applyNumberFormat="1" applyFont="1" applyAlignment="1"/>
    <xf numFmtId="194" fontId="0" fillId="0" borderId="0" xfId="0" applyNumberFormat="1"/>
    <xf numFmtId="0" fontId="35" fillId="0" borderId="0" xfId="1" applyFont="1" applyFill="1" applyAlignment="1">
      <alignment horizontal="center" vertical="center" textRotation="90" wrapText="1"/>
    </xf>
    <xf numFmtId="0" fontId="12" fillId="0" borderId="7" xfId="0" applyFont="1" applyFill="1" applyBorder="1" applyAlignment="1">
      <alignment horizontal="center" vertical="center" textRotation="90"/>
    </xf>
    <xf numFmtId="0" fontId="12" fillId="0" borderId="37" xfId="0" applyFont="1" applyFill="1" applyBorder="1" applyAlignment="1">
      <alignment horizontal="center" vertical="center" textRotation="90"/>
    </xf>
    <xf numFmtId="0" fontId="0" fillId="0" borderId="0" xfId="0" applyAlignment="1">
      <alignment horizontal="right" vertical="center" wrapText="1"/>
    </xf>
    <xf numFmtId="0" fontId="39" fillId="0" borderId="1" xfId="0" applyFont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0" fillId="0" borderId="58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52">
    <cellStyle name="*" xfId="2"/>
    <cellStyle name="**" xfId="3"/>
    <cellStyle name="[1]" xfId="4"/>
    <cellStyle name="[2]" xfId="5"/>
    <cellStyle name="[3]" xfId="6"/>
    <cellStyle name="[4]" xfId="7"/>
    <cellStyle name="[5]" xfId="8"/>
    <cellStyle name="Bad" xfId="51" builtinId="27"/>
    <cellStyle name="CheckStyle" xfId="9"/>
    <cellStyle name="Comma" xfId="49" builtinId="3"/>
    <cellStyle name="Comma 2" xfId="10"/>
    <cellStyle name="Comma 3" xfId="11"/>
    <cellStyle name="Comma 4" xfId="12"/>
    <cellStyle name="Comma 5" xfId="50"/>
    <cellStyle name="ComputedField" xfId="13"/>
    <cellStyle name="ComputedFieldPercent" xfId="14"/>
    <cellStyle name="Currency [0] _laroux" xfId="15"/>
    <cellStyle name="GeneralBackground" xfId="16"/>
    <cellStyle name="GrandTotal" xfId="17"/>
    <cellStyle name="Grey" xfId="18"/>
    <cellStyle name="Input [yellow]" xfId="19"/>
    <cellStyle name="InputField" xfId="20"/>
    <cellStyle name="insiteTable" xfId="21"/>
    <cellStyle name="insiteTableHeader" xfId="22"/>
    <cellStyle name="insiteTableLeft" xfId="23"/>
    <cellStyle name="insiteTableRight" xfId="24"/>
    <cellStyle name="insiteTableSubTitle" xfId="25"/>
    <cellStyle name="insiteTitleBold" xfId="26"/>
    <cellStyle name="LogoHeader" xfId="27"/>
    <cellStyle name="Normal" xfId="0" builtinId="0"/>
    <cellStyle name="Normal - Style1" xfId="28"/>
    <cellStyle name="Normal 2" xfId="1"/>
    <cellStyle name="Normal 3" xfId="29"/>
    <cellStyle name="Normal 4" xfId="30"/>
    <cellStyle name="Normal 5" xfId="31"/>
    <cellStyle name="Normal 6" xfId="32"/>
    <cellStyle name="Normal 7" xfId="33"/>
    <cellStyle name="outsiteTable" xfId="34"/>
    <cellStyle name="outsiteTableLeft" xfId="35"/>
    <cellStyle name="Percent" xfId="48" builtinId="5"/>
    <cellStyle name="Percent [2]" xfId="36"/>
    <cellStyle name="Percent 2" xfId="37"/>
    <cellStyle name="Percent 3" xfId="38"/>
    <cellStyle name="regTotal" xfId="39"/>
    <cellStyle name="SubTotalSum" xfId="40"/>
    <cellStyle name="SubTotalSumPer" xfId="41"/>
    <cellStyle name="כותרת באור" xfId="42"/>
    <cellStyle name="כותרת דף" xfId="43"/>
    <cellStyle name="כותרת משנה" xfId="44"/>
    <cellStyle name="סעיף" xfId="45"/>
    <cellStyle name="סעיףראשי" xfId="46"/>
    <cellStyle name="תאריך" xfId="47"/>
  </cellStyles>
  <dxfs count="427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fill>
        <patternFill patternType="none">
          <bgColor auto="1"/>
        </patternFill>
      </fill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numFmt numFmtId="181" formatCode="_ [$₪-40D]\ * #,##0_ ;_ [$₪-40D]\ * \-#,##0_ ;_ [$₪-40D]\ * &quot;-&quot;_ ;_ @_ 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  <dxf>
      <numFmt numFmtId="183" formatCode="_(* #,##0_);_(* \(#,##0\);_(* &quot;-&quot;??_);_(@_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395259/Dropbox/Personal/&#1492;&#1502;&#1491;&#1491;%20&#1492;&#1502;&#1493;&#1504;&#1497;&#1510;&#1497;&#1508;&#1500;&#1497;/&#1492;&#1505;&#1491;&#1504;&#1488;%20&#1500;&#1497;&#1491;&#1506;%20&#1510;&#1497;&#1489;&#1493;&#1512;&#1497;/Israeli%20Municipalities%20-%20Template%20Data%20(1994%20-%20PRESENT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395259/Dropbox/Personal/&#1492;&#1502;&#1491;&#1491;%20&#1492;&#1502;&#1493;&#1504;&#1497;&#1510;&#1497;&#1508;&#1500;&#1497;/&#1514;&#1500;%20&#1488;&#1489;&#1497;&#1489;%20&#1497;&#1508;&#1493;/TLV2015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כנסות 2015"/>
      <sheetName val="הוצאות 2015"/>
      <sheetName val="הצלבות בין הכנסות להוצאות"/>
      <sheetName val="מה מממנת ההכנסה הלא ייעודית"/>
      <sheetName val="Type Template"/>
      <sheetName val="הכנסות 2014"/>
      <sheetName val="הוצאות 2014"/>
    </sheetNames>
    <sheetDataSet>
      <sheetData sheetId="0"/>
      <sheetData sheetId="1"/>
      <sheetData sheetId="2"/>
      <sheetData sheetId="3" refreshError="1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ogev Sharvit" refreshedDate="42656.774832754629" createdVersion="5" refreshedVersion="5" minRefreshableVersion="3" recordCount="6604">
  <cacheSource type="worksheet">
    <worksheetSource ref="A2:Z6627" sheet="הצעת תקציב 2016"/>
  </cacheSource>
  <cacheFields count="26">
    <cacheField name="סעיף" numFmtId="0">
      <sharedItems containsSemiMixedTypes="0" containsString="0" containsNumber="1" containsInteger="1" minValue="110" maxValue="999"/>
    </cacheField>
    <cacheField name="פרק" numFmtId="0">
      <sharedItems containsMixedTypes="1" containsNumber="1" containsInteger="1" minValue="22500" maxValue="23600"/>
    </cacheField>
    <cacheField name="ספר" numFmtId="0">
      <sharedItems containsSemiMixedTypes="0" containsString="0" containsNumber="1" containsInteger="1" minValue="1" maxValue="1"/>
    </cacheField>
    <cacheField name="קוד מלא" numFmtId="0">
      <sharedItems/>
    </cacheField>
    <cacheField name="שם" numFmtId="0">
      <sharedItems/>
    </cacheField>
    <cacheField name="סוג" numFmtId="0">
      <sharedItems containsNonDate="0" containsString="0" containsBlank="1"/>
    </cacheField>
    <cacheField name="אחוז השינוי מול 2014" numFmtId="0">
      <sharedItems containsNonDate="0" containsString="0" containsBlank="1"/>
    </cacheField>
    <cacheField name="  תקציב חדש 2016" numFmtId="0">
      <sharedItems containsSemiMixedTypes="0" containsString="0" containsNumber="1" containsInteger="1" minValue="-2023000000" maxValue="98050000"/>
    </cacheField>
    <cacheField name="  תקציב מעודכן 2015" numFmtId="0">
      <sharedItems containsSemiMixedTypes="0" containsString="0" containsNumber="1" containsInteger="1" minValue="-1977000000" maxValue="101550000"/>
    </cacheField>
    <cacheField name="  הוצאה בפועל 2014" numFmtId="0">
      <sharedItems containsSemiMixedTypes="0" containsString="0" containsNumber="1" containsInteger="1" minValue="-1970109769" maxValue="115000000"/>
    </cacheField>
    <cacheField name="הצעה_x000a_2013" numFmtId="4">
      <sharedItems containsBlank="1"/>
    </cacheField>
    <cacheField name="ספרה 1" numFmtId="4">
      <sharedItems containsBlank="1" count="10">
        <s v="1"/>
        <s v="2"/>
        <s v="3"/>
        <s v="4"/>
        <s v="5"/>
        <s v="6"/>
        <s v="7"/>
        <s v="8"/>
        <s v="9"/>
        <m u="1"/>
      </sharedItems>
    </cacheField>
    <cacheField name="פרק 1" numFmtId="4">
      <sharedItems/>
    </cacheField>
    <cacheField name="ספרה 2" numFmtId="4">
      <sharedItems containsBlank="1" count="60">
        <s v="11"/>
        <s v="12"/>
        <s v="19"/>
        <s v="21"/>
        <s v="23"/>
        <s v="22"/>
        <s v="24"/>
        <s v="26"/>
        <s v="28"/>
        <s v="31"/>
        <s v="32"/>
        <s v="33"/>
        <s v="34"/>
        <s v="36"/>
        <s v="37"/>
        <s v="47"/>
        <s v="41"/>
        <s v="43"/>
        <s v="44"/>
        <s v="51"/>
        <s v="59"/>
        <s v="61"/>
        <s v="62"/>
        <s v="63"/>
        <s v="64"/>
        <s v="71"/>
        <s v="72"/>
        <s v="73"/>
        <s v="74"/>
        <s v="75"/>
        <s v="76"/>
        <s v="77"/>
        <s v="78"/>
        <s v="81"/>
        <s v="82"/>
        <s v="83"/>
        <s v="84"/>
        <s v="85"/>
        <s v="86"/>
        <s v="87"/>
        <s v="91"/>
        <m u="1"/>
        <s v="42" u="1"/>
        <s v="92" u="1"/>
        <s v="48" u="1"/>
        <s v="94" u="1"/>
        <s v="98" u="1"/>
        <s v="13" u="1"/>
        <s v="15" u="1"/>
        <s v="52" u="1"/>
        <s v="93" u="1"/>
        <s v="38" u="1"/>
        <s v="25" u="1"/>
        <s v="97" u="1"/>
        <s v="27" u="1"/>
        <s v="99" u="1"/>
        <s v="29" u="1"/>
        <s v="16" u="1"/>
        <s v="88" u="1"/>
        <s v="79" u="1"/>
      </sharedItems>
    </cacheField>
    <cacheField name="פרק 2" numFmtId="4">
      <sharedItems/>
    </cacheField>
    <cacheField name="ספרה 3" numFmtId="4">
      <sharedItems containsBlank="1" count="279">
        <s v="110"/>
        <s v="120"/>
        <s v="192"/>
        <s v="212"/>
        <s v="236"/>
        <s v="221"/>
        <s v="222"/>
        <s v="225"/>
        <s v="231"/>
        <s v="233"/>
        <s v="241"/>
        <s v="242"/>
        <s v="244"/>
        <s v="245"/>
        <s v="246"/>
        <s v="268"/>
        <s v="282"/>
        <s v="269"/>
        <s v="281"/>
        <s v="214"/>
        <s v="247"/>
        <s v="311"/>
        <s v="312"/>
        <s v="313"/>
        <s v="317"/>
        <s v="319"/>
        <s v="314"/>
        <s v="315"/>
        <s v="318"/>
        <s v="322"/>
        <s v="323"/>
        <s v="324"/>
        <s v="328"/>
        <s v="332"/>
        <s v="336"/>
        <s v="337"/>
        <s v="342"/>
        <s v="343"/>
        <s v="344"/>
        <s v="347"/>
        <s v="345"/>
        <s v="346"/>
        <s v="348"/>
        <s v="360"/>
        <s v="379"/>
        <s v="471"/>
        <s v="412"/>
        <s v="413"/>
        <s v="410"/>
        <s v="431"/>
        <s v="432"/>
        <s v="433"/>
        <s v="435"/>
        <s v="436"/>
        <s v="437"/>
        <s v="443"/>
        <s v="444"/>
        <s v="511"/>
        <s v="513"/>
        <s v="591"/>
        <s v="599"/>
        <s v="611"/>
        <s v="612"/>
        <s v="613"/>
        <s v="614"/>
        <s v="615"/>
        <s v="616"/>
        <s v="617"/>
        <s v="618"/>
        <s v="621"/>
        <s v="622"/>
        <s v="623"/>
        <s v="624"/>
        <s v="625"/>
        <s v="628"/>
        <s v="631"/>
        <s v="649"/>
        <s v="711"/>
        <s v="712"/>
        <s v="715"/>
        <s v="721"/>
        <s v="722"/>
        <s v="723"/>
        <s v="724"/>
        <s v="725"/>
        <s v="731"/>
        <s v="732"/>
        <s v="735"/>
        <s v="736"/>
        <s v="741"/>
        <s v="742"/>
        <s v="744"/>
        <s v="745"/>
        <s v="746"/>
        <s v="749"/>
        <s v="751"/>
        <s v="765"/>
        <s v="769"/>
        <s v="764"/>
        <s v="771"/>
        <s v="772"/>
        <s v="773"/>
        <s v="781"/>
        <s v="714"/>
        <s v="747"/>
        <s v="811"/>
        <s v="812"/>
        <s v="813"/>
        <s v="817"/>
        <s v="814"/>
        <s v="819"/>
        <s v="815"/>
        <s v="816"/>
        <s v="821"/>
        <s v="822"/>
        <s v="823"/>
        <s v="824"/>
        <s v="825"/>
        <s v="828"/>
        <s v="829"/>
        <s v="831"/>
        <s v="832"/>
        <s v="835"/>
        <s v="836"/>
        <s v="837"/>
        <s v="838"/>
        <s v="841"/>
        <s v="842"/>
        <s v="843"/>
        <s v="844"/>
        <s v="845"/>
        <s v="846"/>
        <s v="847"/>
        <s v="848"/>
        <s v="851"/>
        <s v="861"/>
        <s v="871"/>
        <s v="911"/>
        <s v="619" u="1"/>
        <m u="1"/>
        <s v="321" u="1"/>
        <s v="470" u="1"/>
        <s v="210" u="1"/>
        <s v="930" u="1"/>
        <s v="341" u="1"/>
        <s v="211" u="1"/>
        <s v="472" u="1"/>
        <s v="931" u="1"/>
        <s v="230" u="1"/>
        <s v="913" u="1"/>
        <s v="361" u="1"/>
        <s v="473" u="1"/>
        <s v="820" u="1"/>
        <s v="932" u="1"/>
        <s v="213" u="1"/>
        <s v="325" u="1"/>
        <s v="933" u="1"/>
        <s v="970" u="1"/>
        <s v="232" u="1"/>
        <s v="381" u="1"/>
        <s v="840" u="1"/>
        <s v="251" u="1"/>
        <s v="326" u="1"/>
        <s v="438" u="1"/>
        <s v="710" u="1"/>
        <s v="971" u="1"/>
        <s v="121" u="1"/>
        <s v="990" u="1"/>
        <s v="215" u="1"/>
        <s v="252" u="1"/>
        <s v="327" u="1"/>
        <s v="439" u="1"/>
        <s v="860" u="1"/>
        <s v="935" u="1"/>
        <s v="972" u="1"/>
        <s v="122" u="1"/>
        <s v="271" u="1"/>
        <s v="730" u="1"/>
        <s v="991" u="1"/>
        <s v="973" u="1"/>
        <s v="123" u="1"/>
        <s v="160" u="1"/>
        <s v="272" u="1"/>
        <s v="880" u="1"/>
        <s v="992" u="1"/>
        <s v="291" u="1"/>
        <s v="329" u="1"/>
        <s v="713" u="1"/>
        <s v="937" u="1"/>
        <s v="124" u="1"/>
        <s v="620" u="1"/>
        <s v="881" u="1"/>
        <s v="993" u="1"/>
        <s v="826" u="1"/>
        <s v="938" u="1"/>
        <s v="274" u="1"/>
        <s v="349" u="1"/>
        <s v="733" u="1"/>
        <s v="770" u="1"/>
        <s v="994" u="1"/>
        <s v="752" u="1"/>
        <s v="827" u="1"/>
        <s v="939" u="1"/>
        <s v="734" u="1"/>
        <s v="995" u="1"/>
        <s v="369" u="1"/>
        <s v="753" u="1"/>
        <s v="996" u="1"/>
        <s v="754" u="1"/>
        <s v="791" u="1"/>
        <s v="997" u="1"/>
        <s v="129" u="1"/>
        <s v="849" u="1"/>
        <s v="998" u="1"/>
        <s v="420" u="1"/>
        <s v="756" u="1"/>
        <s v="999" u="1"/>
        <s v="869" u="1"/>
        <s v="441" u="1"/>
        <s v="648" u="1"/>
        <s v="480" u="1"/>
        <s v="940" u="1"/>
        <s v="810" u="1"/>
        <s v="922" u="1"/>
        <s v="482" u="1"/>
        <s v="594" u="1"/>
        <s v="941" u="1"/>
        <s v="371" u="1"/>
        <s v="483" u="1"/>
        <s v="830" u="1"/>
        <s v="316" u="1"/>
        <s v="111" u="1"/>
        <s v="223" u="1"/>
        <s v="335" u="1"/>
        <s v="943" u="1"/>
        <s v="980" u="1"/>
        <s v="130" u="1"/>
        <s v="850" u="1"/>
        <s v="112" u="1"/>
        <s v="261" u="1"/>
        <s v="597" u="1"/>
        <s v="720" u="1"/>
        <s v="280" u="1"/>
        <s v="113" u="1"/>
        <s v="262" u="1"/>
        <s v="870" u="1"/>
        <s v="982" u="1"/>
        <s v="740" u="1"/>
        <s v="852" u="1"/>
        <s v="226" u="1"/>
        <s v="610" u="1"/>
        <s v="115" u="1"/>
        <s v="264" u="1"/>
        <s v="760" u="1"/>
        <s v="116" u="1"/>
        <s v="190" u="1"/>
        <s v="761" u="1"/>
        <s v="743" u="1"/>
        <s v="780" u="1"/>
        <s v="818" u="1"/>
        <s v="117" u="1"/>
        <s v="762" u="1"/>
        <s v="520" u="1"/>
        <s v="632" u="1"/>
        <s v="856" u="1"/>
        <s v="267" u="1"/>
        <s v="726" u="1"/>
        <s v="763" u="1"/>
        <s v="249" u="1"/>
        <s v="782" u="1"/>
        <s v="727" u="1"/>
        <s v="157" u="1"/>
        <s v="859" u="1"/>
        <s v="158" u="1"/>
        <s v="430" u="1"/>
        <s v="766" u="1"/>
        <s v="196" u="1"/>
        <s v="767" u="1"/>
        <s v="879" u="1"/>
      </sharedItems>
    </cacheField>
    <cacheField name="פרק 3" numFmtId="4">
      <sharedItems/>
    </cacheField>
    <cacheField name="ספרה 4" numFmtId="4">
      <sharedItems/>
    </cacheField>
    <cacheField name="פרק 4" numFmtId="4">
      <sharedItems/>
    </cacheField>
    <cacheField name="ספרה 56" numFmtId="4">
      <sharedItems containsNonDate="0" containsString="0" containsBlank="1"/>
    </cacheField>
    <cacheField name="סיווג 1" numFmtId="4">
      <sharedItems/>
    </cacheField>
    <cacheField name="סוג 1" numFmtId="4">
      <sharedItems containsBlank="1" count="19">
        <s v="ארנונות"/>
        <s v="אגרות"/>
        <s v="השתתפות משרדי ממשלה"/>
        <s v="הכנסות מרכוש ומפעלים"/>
        <s v="היטלים"/>
        <s v="שירותים ושכר לימוד"/>
        <s v="השתתפויות בעלים ע&quot;ח עבודות פיתוח"/>
        <s v="החזרות"/>
        <s v="השתתפות מוסדות ותרומות"/>
        <s v="משכורות וש&quot;ע לעובדים לפי תקן"/>
        <s v="משכורות וש&quot;ע לעובדים בלי תקן"/>
        <s v="הוצאות מנהליות"/>
        <s v="מימון ופירעון מלוות"/>
        <s v="הוצאות לפעולות"/>
        <s v="פנסיה ופיצויים"/>
        <s v="אחזקת בינים ואספקת ציוד"/>
        <s v="השתתפויות תמיכות ותרומות"/>
        <s v="הוצאות חד פעמיות"/>
        <m u="1"/>
      </sharedItems>
    </cacheField>
    <cacheField name="סיווג 2" numFmtId="4">
      <sharedItems/>
    </cacheField>
    <cacheField name="סוג 2" numFmtId="4">
      <sharedItems/>
    </cacheField>
    <cacheField name="סיווג 3" numFmtId="4">
      <sharedItems/>
    </cacheField>
    <cacheField name="סוג 3" numFmtId="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ogev Sharvit" refreshedDate="42667.452675115739" createdVersion="5" refreshedVersion="5" minRefreshableVersion="3" recordCount="7324">
  <cacheSource type="worksheet">
    <worksheetSource ref="A2:Z7331" sheet="הצעת תקציב 2016"/>
  </cacheSource>
  <cacheFields count="26">
    <cacheField name="סעיף" numFmtId="0">
      <sharedItems containsString="0" containsBlank="1" containsNumber="1" containsInteger="1" minValue="100" maxValue="972"/>
    </cacheField>
    <cacheField name="פרק" numFmtId="0">
      <sharedItems containsBlank="1" containsMixedTypes="1" containsNumber="1" containsInteger="1" minValue="99120" maxValue="995000"/>
    </cacheField>
    <cacheField name="ספר" numFmtId="0">
      <sharedItems containsString="0" containsBlank="1" containsNumber="1" containsInteger="1" minValue="1" maxValue="1"/>
    </cacheField>
    <cacheField name="קוד מלא" numFmtId="0">
      <sharedItems containsBlank="1"/>
    </cacheField>
    <cacheField name="שם" numFmtId="0">
      <sharedItems containsBlank="1"/>
    </cacheField>
    <cacheField name="סוג" numFmtId="0">
      <sharedItems containsString="0" containsBlank="1" containsNumber="1" containsInteger="1" minValue="-69000000" maxValue="0"/>
    </cacheField>
    <cacheField name="אחוז השינוי מול 2014" numFmtId="0">
      <sharedItems containsNonDate="0" containsString="0" containsBlank="1"/>
    </cacheField>
    <cacheField name="  תקציב חדש 2016" numFmtId="0">
      <sharedItems containsString="0" containsBlank="1" containsNumber="1" containsInteger="1" minValue="-1220000000" maxValue="415000000"/>
    </cacheField>
    <cacheField name="  תקציב מעודכן 2015" numFmtId="0">
      <sharedItems containsString="0" containsBlank="1" containsNumber="1" containsInteger="1" minValue="-1241302400" maxValue="381000000"/>
    </cacheField>
    <cacheField name="  הוצאה בפועל 2014" numFmtId="0">
      <sharedItems containsString="0" containsBlank="1" containsNumber="1" containsInteger="1" minValue="-1117800369" maxValue="382115200"/>
    </cacheField>
    <cacheField name="הצעה_x000a_2013" numFmtId="4">
      <sharedItems containsBlank="1" containsMixedTypes="1" containsNumber="1" containsInteger="1" minValue="0" maxValue="3240000"/>
    </cacheField>
    <cacheField name="ספרה 1" numFmtId="4">
      <sharedItems containsBlank="1" count="12">
        <s v="1"/>
        <s v="2"/>
        <s v="3"/>
        <s v="4"/>
        <s v="5"/>
        <s v="8"/>
        <e v="#N/A"/>
        <s v="7"/>
        <s v="9"/>
        <s v="6"/>
        <m/>
        <s v="09" u="1"/>
      </sharedItems>
    </cacheField>
    <cacheField name="פרק 1" numFmtId="4">
      <sharedItems containsBlank="1" count="9">
        <s v="מסים ומענק כללי"/>
        <s v="שירותים מקומיים"/>
        <s v="שירותים ממלכתיים"/>
        <s v="מפעלים"/>
        <s v="תקבולים בלתי רגילים"/>
        <e v="#N/A"/>
        <s v="הנהלה כללית"/>
        <m/>
        <s v="תקציבי עזר" u="1"/>
      </sharedItems>
    </cacheField>
    <cacheField name="ספרה 2" numFmtId="0">
      <sharedItems containsBlank="1"/>
    </cacheField>
    <cacheField name="פרק 2" numFmtId="4">
      <sharedItems containsBlank="1" count="38">
        <s v="ארנונות"/>
        <s v="אגרות"/>
        <s v="מענקים כלליים"/>
        <s v="תברואה"/>
        <s v="שמירה ובטחון"/>
        <s v="תכנון ובנין עיר"/>
        <s v="נכסים ציבוריים"/>
        <s v="פיקוח עירוני"/>
        <s v="חינוך"/>
        <s v="תרבות"/>
        <s v="רווחה"/>
        <s v="מים"/>
        <s v="נכסים"/>
        <s v="תחבורה"/>
        <s v="מפעל הביוב"/>
        <s v="בריאות"/>
        <s v="ריבית והחזר הוצאות משנים קודמות"/>
        <e v="#N/A"/>
        <s v="פיתוח כלכלי"/>
        <s v="מינהל כללי"/>
        <s v="שירותים עירוניים שונים"/>
        <s v="חגיגות מבצעים ואירועים"/>
        <s v="מינהל כספי"/>
        <s v="קליטת עליה"/>
        <s v="תשלומים בלתי רגילים"/>
        <s v="פרעון מלוות"/>
        <s v="הוצאות מימון"/>
        <s v="דת"/>
        <s v="איכות הסביבה"/>
        <m/>
        <s v="מיכון" u="1"/>
        <s v="שירותים חקלאיים" u="1"/>
        <s v="גמלאות ופיצויים" u="1"/>
        <s v="משרד הרשות ושירותים" u="1"/>
        <s v="החזר מקרנות והכנסות מיוחדות" u="1"/>
        <s v="החזקת נכסים ציבוריים" u="1"/>
        <s v="מוסך ורכב" u="1"/>
        <s v="אפסנאות ומחסנים" u="1"/>
      </sharedItems>
    </cacheField>
    <cacheField name="ספרה 3" numFmtId="4">
      <sharedItems containsBlank="1" count="219">
        <s v="110"/>
        <s v="120"/>
        <s v="192"/>
        <s v="197"/>
        <s v="212"/>
        <s v="213"/>
        <s v="214"/>
        <s v="222"/>
        <s v="227"/>
        <s v="226"/>
        <s v="231"/>
        <s v="233"/>
        <s v="242"/>
        <s v="244"/>
        <s v="245"/>
        <s v="246"/>
        <s v="247"/>
        <s v="281"/>
        <s v="311"/>
        <s v="312"/>
        <s v="313"/>
        <s v="317"/>
        <s v="315"/>
        <s v="327"/>
        <s v="323"/>
        <s v="321"/>
        <s v="322"/>
        <s v="326"/>
        <s v="325"/>
        <s v="328"/>
        <s v="329"/>
        <s v="324"/>
        <s v="341"/>
        <s v="342"/>
        <s v="343"/>
        <s v="344"/>
        <s v="345"/>
        <s v="346"/>
        <s v="347"/>
        <s v="348"/>
        <s v="410"/>
        <s v="432"/>
        <s v="430"/>
        <s v="435"/>
        <s v="442"/>
        <s v="471"/>
        <s v="333"/>
        <s v="510"/>
        <s v="520"/>
        <s v="540"/>
        <s v="547"/>
        <s v="821"/>
        <s v="822"/>
        <s v="825"/>
        <s v="823"/>
        <s v="829"/>
        <s v="824"/>
        <s v="827"/>
        <e v="#N/A"/>
        <s v="731"/>
        <s v="732"/>
        <s v="771"/>
        <s v="733"/>
        <s v="931"/>
        <s v="711"/>
        <s v="611"/>
        <s v="612"/>
        <s v="761"/>
        <s v="614"/>
        <s v="617"/>
        <s v="613"/>
        <s v="752"/>
        <s v="756"/>
        <s v="618"/>
        <s v="938"/>
        <s v="615"/>
        <s v="621"/>
        <s v="764"/>
        <s v="619"/>
        <s v="782"/>
        <s v="841"/>
        <s v="842"/>
        <s v="843"/>
        <s v="844"/>
        <s v="845"/>
        <s v="846"/>
        <s v="847"/>
        <s v="848"/>
        <s v="727"/>
        <s v="861"/>
        <s v="828"/>
        <s v="991"/>
        <s v="767"/>
        <s v="818"/>
        <s v="849"/>
        <s v="839"/>
        <s v="753"/>
        <s v="833"/>
        <s v="640"/>
        <s v="623"/>
        <s v="630"/>
        <s v="714"/>
        <s v="715"/>
        <s v="712"/>
        <s v="742"/>
        <s v="743"/>
        <s v="746"/>
        <s v="745"/>
        <s v="747"/>
        <s v="781"/>
        <s v="721"/>
        <s v="722"/>
        <s v="723"/>
        <s v="725"/>
        <s v="811"/>
        <s v="817"/>
        <s v="813"/>
        <s v="816"/>
        <s v="815"/>
        <s v="812"/>
        <s v="819"/>
        <s v="826"/>
        <s v="851"/>
        <s v="836"/>
        <s v="769"/>
        <s v="724"/>
        <s v="879"/>
        <s v="911"/>
        <s v="942"/>
        <s v="862"/>
        <m/>
        <s v="772" u="1"/>
        <s v="622" u="1"/>
        <s v="773" u="1"/>
        <s v="624" u="1"/>
        <s v="221" u="1"/>
        <s v="625" u="1"/>
        <s v="223" u="1"/>
        <s v="628" u="1"/>
        <s v="225" u="1"/>
        <s v="228" u="1"/>
        <s v="379" u="1"/>
        <s v="0912" u="1"/>
        <s v="0922" u="1"/>
        <s v="0928" u="1"/>
        <s v="0982" u="1"/>
        <s v="0948" u="1"/>
        <s v="282" u="1"/>
        <s v="283" u="1"/>
        <s v="360" u="1"/>
        <s v="765" u="1"/>
        <s v="616" u="1"/>
        <s v="768" u="1"/>
        <s v="992" u="1"/>
        <s v="216" u="1"/>
        <s v="993" u="1"/>
        <s v="994" u="1"/>
        <s v="591" u="1"/>
        <s v="995" u="1"/>
        <s v="996" u="1"/>
        <s v="443" u="1"/>
        <s v="444" u="1"/>
        <s v="0933" u="1"/>
        <s v="599" u="1"/>
        <s v="0963" u="1"/>
        <s v="0939" u="1"/>
        <s v="751" u="1"/>
        <s v="831" u="1"/>
        <s v="832" u="1"/>
        <s v="431" u="1"/>
        <s v="835" u="1"/>
        <s v="433" u="1"/>
        <s v="837" u="1"/>
        <s v="838" u="1"/>
        <s v="436" u="1"/>
        <s v="437" u="1"/>
        <s v="511" u="1"/>
        <s v="513" u="1"/>
        <s v="741" u="1"/>
        <s v="267" u="1"/>
        <s v="268" u="1"/>
        <s v="269" u="1"/>
        <s v="744" u="1"/>
        <s v="820" u="1"/>
        <s v="749" u="1"/>
        <s v="0935" u="1"/>
        <s v="0965" u="1"/>
        <s v="734" u="1"/>
        <s v="735" u="1"/>
        <s v="332" u="1"/>
        <s v="736" u="1"/>
        <s v="737" u="1"/>
        <s v="739" u="1"/>
        <s v="336" u="1"/>
        <s v="337" u="1"/>
        <s v="814" u="1"/>
        <s v="412" u="1"/>
        <s v="413" u="1"/>
        <s v="791" u="1"/>
        <s v="241" u="1"/>
        <s v="871" u="1"/>
        <s v="649" u="1"/>
        <s v="0936" u="1"/>
        <s v="0946" u="1"/>
        <s v="726" u="1"/>
        <s v="728" u="1"/>
        <s v="0986" u="1"/>
        <s v="729" u="1"/>
        <s v="631" u="1"/>
        <s v="0921" u="1"/>
        <s v="236" u="1"/>
        <s v="863" u="1"/>
        <s v="716" u="1"/>
        <s v="314" u="1"/>
        <s v="718" u="1"/>
        <s v="0947" u="1"/>
        <s v="318" u="1"/>
        <s v="319" u="1"/>
        <s v="290" u="1"/>
      </sharedItems>
    </cacheField>
    <cacheField name="פרק 3" numFmtId="4">
      <sharedItems containsBlank="1" count="120">
        <e v="#N/A"/>
        <s v="מענקים חד פעמיים"/>
        <s v="מענק - רזרבה להתייקרות"/>
        <s v="שירותי ניקיון"/>
        <s v="פיקוח תברואי"/>
        <s v="שרות וטרינרי"/>
        <s v="שמירה ביטחונית"/>
        <s v="הגמ״ר"/>
        <s v="מל״ח ופס&quot;ח"/>
        <s v="משרד מהנדס הרשות"/>
        <s v="רישוי ופיקוח על הבניה"/>
        <s v="דרכים ומדרכות"/>
        <s v="בטיחות בדרכים"/>
        <s v="תיעול וניקוז"/>
        <s v="גנים ונטיעות"/>
        <s v="חופים, בריכות ומרחצאות"/>
        <s v="פיקוח על חוקי עזר"/>
        <s v="מינהל החינוך"/>
        <s v="חינוך קדם יסודי"/>
        <s v="חינוך יסודי"/>
        <s v="שירותים נוספים לבתי״ס וגנ״י"/>
        <s v="חינוך על יסודי"/>
        <s v="תרבות תורנית"/>
        <s v="ספריות עירוניות"/>
        <s v="מינהל התרבות"/>
        <s v="פעולות תרבות"/>
        <s v="מוקדי תרבות"/>
        <s v="מוסיקה ומחול"/>
        <s v="נוער"/>
        <s v="ספורט"/>
        <s v="מתנ״סים"/>
        <s v="מינהל הרווחה"/>
        <s v="רווחת הפרט והמשפחה"/>
        <s v="שירותים לילד ולנוער"/>
        <s v="שירותים לזקן"/>
        <s v="שירותים למפגר"/>
        <s v="שירותי שיקום"/>
        <s v="שירותי תיקון"/>
        <s v="עבודה קהילתית"/>
        <s v="דירות"/>
        <s v="קרקעות"/>
        <s v="אוטובוסים"/>
        <s v="מינהל הביוב"/>
        <s v="בתי חולים"/>
        <s v="תכנון עיר"/>
        <s v="עידוד קייט ותיירות"/>
        <s v="מינהל הנכסים"/>
        <s v="מינהל תברואה"/>
        <s v="הנהלה ורשות"/>
        <s v="מבקר הרשות"/>
        <s v="מוקד עירוני"/>
        <s v="הסברה ויחסי ציבור"/>
        <s v="שרות משפטי"/>
        <s v="מזכירות"/>
        <s v="חגיגות וטכסים אחרים"/>
        <s v="כנסים ואירועים בינלאומיים"/>
        <s v="תכנון ומחקר"/>
        <s v="משרדי הרשות"/>
        <s v="מנגנון"/>
        <s v="הגזברות"/>
        <s v="תרבות הדיור"/>
        <s v="בחירות ברשויות המקומיות"/>
        <s v="בית משפט עירוני"/>
        <s v="הפרשות לקרנות תקציביות"/>
        <s v="בטוח אלמנטרי לרשות"/>
        <s v="חינוך מבוגרים"/>
        <s v="שירותים לעולים"/>
        <s v="מוסדות בריאות נתמכים"/>
        <s v="פעולות אימוץ"/>
        <s v="גבייה"/>
        <s v="תברואה מונעת"/>
        <s v="תאורת רחובות"/>
        <s v="מינהל שמירה ובטחון"/>
        <s v="הג״א"/>
        <s v="בטיחות"/>
        <s v="חינוך גבוה"/>
        <s v="שירותי חינוך מיוחדים"/>
        <s v="השתתפות בתקציב המועצה הדתית"/>
        <s v="שירותי חירום ריפואים"/>
        <s v="שירותים שונים"/>
        <s v="כבוי אש"/>
        <s v="שירותים שונים לאיכות הסביבה"/>
        <s v="מינהל המים"/>
        <m/>
        <s v="חניה למכוניות" u="1"/>
        <s v="משק המים" u="1"/>
        <s v="מוסדות כלליים" u="1"/>
        <s v="חניה למוניות" u="1"/>
        <s v="עידוד תעשיה ומלאכה" u="1"/>
        <s v="משרדים ועסקים" u="1"/>
        <s v="ריבית ודיבידנדים" u="1"/>
        <s v="או״ש והדרכה" u="1"/>
        <s v="נכסים ציבוריים אחרים" u="1"/>
        <s v="מינהל שירותים חקלאים" u="1"/>
        <s v="מפעם - מרכז הדרכה אזורי" u="1"/>
        <s v="פקוח על חברות הרשות" u="1"/>
        <s v="חטיבות ביניים" u="1"/>
        <s v="חברות עירוניות" u="1"/>
        <s v="חגיגות יום העצמאות" u="1"/>
        <s v="הוצאות מיוחדות ובלתי נצפות מראש" u="1"/>
        <s v="רזרבה תקציבית (כולל התייקרויות)" u="1"/>
        <s v="החזרות מקרנות" u="1"/>
        <s v="שווקים" u="1"/>
        <s v="שומה" u="1"/>
        <s v="מל״ח ופס״ח" u="1"/>
        <s v="כסוי הוצאות לשעת חירום" u="1"/>
        <s v="הכנסות שונות" u="1"/>
        <s v="אכסניות נוער" u="1"/>
        <s v="עמלות והוצאות בנקאיות" u="1"/>
        <s v="מרפאות" u="1"/>
        <s v="מינהל שמירה וביטחון" u="1"/>
        <s v="תקבולים מהחזר הוצאות משנים קודמות" u="1"/>
        <s v="מוסדות בריאות אחרים" u="1"/>
        <s v="פעולות מחקר" u="1"/>
        <s v="הכנסות לכיסוי גרעון" u="1"/>
        <s v="תשלומים להחזר הכנסות מש . ק ." u="1"/>
        <s v="פרעון מלוות מוכר" u="1"/>
        <s v="מינהל נכסים ציבוריים" u="1"/>
        <s v="הנחות ממיסים לפי חוק או תקנות" u="1"/>
        <s v="גביה" u="1"/>
      </sharedItems>
    </cacheField>
    <cacheField name="ספרה 4" numFmtId="4">
      <sharedItems containsBlank="1"/>
    </cacheField>
    <cacheField name="פרק 4" numFmtId="4">
      <sharedItems containsBlank="1"/>
    </cacheField>
    <cacheField name="ספרה 56" numFmtId="4">
      <sharedItems containsNonDate="0" containsString="0" containsBlank="1"/>
    </cacheField>
    <cacheField name="סיווג 1" numFmtId="4">
      <sharedItems containsBlank="1"/>
    </cacheField>
    <cacheField name="סוג 1" numFmtId="4">
      <sharedItems containsBlank="1" count="21">
        <s v="ארנונות"/>
        <s v="אגרות"/>
        <s v="השתתפות משרדי ממשלה"/>
        <s v="הכנסות מרכוש ומפעלים"/>
        <s v="שירותים ושכר לימוד"/>
        <s v="השתתפויות בעלים ע&quot;ח עבודות פיתוח"/>
        <s v="השתתפות מוסדות ותרומות"/>
        <s v="החזרות"/>
        <s v="משכורות וש&quot;ע לעובדים לפי תקן"/>
        <s v="הוצאות לפעולות"/>
        <s v="משכורות וש&quot;ע לעובדים בלי תקן"/>
        <s v="אחזקת בינים ואספקת ציוד"/>
        <s v="הוצאות מנהליות"/>
        <s v="השתתפויות תמיכות ותרומות"/>
        <e v="#N/A"/>
        <s v="מימון ופירעון מלוות"/>
        <s v="פנסיה ופיצויים"/>
        <s v="הוצאות חד פעמיות"/>
        <m/>
        <e v="#VALUE!"/>
        <s v="היטלים" u="1"/>
      </sharedItems>
    </cacheField>
    <cacheField name="סיווג 2" numFmtId="4">
      <sharedItems containsBlank="1"/>
    </cacheField>
    <cacheField name="סוג 2" numFmtId="4">
      <sharedItems containsBlank="1"/>
    </cacheField>
    <cacheField name="סיווג 3" numFmtId="4">
      <sharedItems containsBlank="1"/>
    </cacheField>
    <cacheField name="סוג 3" numFmtId="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Yogev Sharvit" refreshedDate="42667.936800000003" createdVersion="5" refreshedVersion="5" minRefreshableVersion="3" recordCount="7324">
  <cacheSource type="worksheet">
    <worksheetSource ref="A2:Z7326" sheet="הצעת תקציב 2016"/>
  </cacheSource>
  <cacheFields count="26">
    <cacheField name="סעיף" numFmtId="0">
      <sharedItems containsString="0" containsBlank="1" containsNumber="1" containsInteger="1" minValue="100" maxValue="972"/>
    </cacheField>
    <cacheField name="פרק" numFmtId="0">
      <sharedItems containsBlank="1" containsMixedTypes="1" containsNumber="1" containsInteger="1" minValue="99120" maxValue="995000"/>
    </cacheField>
    <cacheField name="ספר" numFmtId="0">
      <sharedItems containsString="0" containsBlank="1" containsNumber="1" containsInteger="1" minValue="1" maxValue="1"/>
    </cacheField>
    <cacheField name="קוד מלא" numFmtId="0">
      <sharedItems containsBlank="1"/>
    </cacheField>
    <cacheField name="שם" numFmtId="0">
      <sharedItems containsBlank="1"/>
    </cacheField>
    <cacheField name="סוג" numFmtId="0">
      <sharedItems containsString="0" containsBlank="1" containsNumber="1" containsInteger="1" minValue="-69000000" maxValue="0"/>
    </cacheField>
    <cacheField name="אחוז השינוי מול 2014" numFmtId="0">
      <sharedItems containsNonDate="0" containsString="0" containsBlank="1"/>
    </cacheField>
    <cacheField name="  תקציב חדש 2016" numFmtId="0">
      <sharedItems containsString="0" containsBlank="1" containsNumber="1" minValue="-1220000000" maxValue="415000000"/>
    </cacheField>
    <cacheField name="  תקציב מעודכן 2015" numFmtId="0">
      <sharedItems containsString="0" containsBlank="1" containsNumber="1" containsInteger="1" minValue="-1241302400" maxValue="381000000"/>
    </cacheField>
    <cacheField name="  הוצאה בפועל 2014" numFmtId="0">
      <sharedItems containsString="0" containsBlank="1" containsNumber="1" containsInteger="1" minValue="-1117800369" maxValue="382115200"/>
    </cacheField>
    <cacheField name="הצעה_x000a_2013" numFmtId="4">
      <sharedItems containsBlank="1" containsMixedTypes="1" containsNumber="1" containsInteger="1" minValue="0" maxValue="3240000"/>
    </cacheField>
    <cacheField name="ספרה 1" numFmtId="4">
      <sharedItems containsBlank="1" count="12">
        <s v="1"/>
        <s v="2"/>
        <s v="3"/>
        <s v="4"/>
        <s v="5"/>
        <s v="8"/>
        <e v="#N/A"/>
        <s v="7"/>
        <s v="9"/>
        <s v="6"/>
        <m/>
        <s v="09" u="1"/>
      </sharedItems>
    </cacheField>
    <cacheField name="פרק 1" numFmtId="4">
      <sharedItems containsBlank="1" count="9">
        <s v="מסים ומענק כללי"/>
        <s v="שירותים מקומיים"/>
        <s v="שירותים ממלכתיים"/>
        <s v="מפעלים"/>
        <s v="תקבולים בלתי רגילים"/>
        <e v="#N/A"/>
        <s v="הנהלה כללית"/>
        <m/>
        <s v="תקציבי עזר" u="1"/>
      </sharedItems>
    </cacheField>
    <cacheField name="ספרה 2" numFmtId="4">
      <sharedItems containsBlank="1" count="57">
        <s v="11"/>
        <s v="12"/>
        <s v="19"/>
        <s v="21"/>
        <s v="22"/>
        <s v="23"/>
        <s v="24"/>
        <s v="28"/>
        <s v="31"/>
        <s v="32"/>
        <s v="34"/>
        <s v="41"/>
        <s v="43"/>
        <s v="44"/>
        <s v="47"/>
        <s v="33"/>
        <s v="51"/>
        <s v="52"/>
        <s v="54"/>
        <s v="82"/>
        <e v="#N/A"/>
        <s v="73"/>
        <s v="77"/>
        <s v="93"/>
        <s v="71"/>
        <s v="61"/>
        <s v="76"/>
        <s v="75"/>
        <s v="62"/>
        <s v="78"/>
        <s v="84"/>
        <s v="72"/>
        <s v="86"/>
        <s v="99"/>
        <s v="81"/>
        <s v="83"/>
        <s v="64"/>
        <s v="63"/>
        <s v="74"/>
        <s v="85"/>
        <s v="87"/>
        <s v="91"/>
        <s v="94"/>
        <m/>
        <s v="59" u="1"/>
        <s v="48" u="1"/>
        <s v="37" u="1"/>
        <s v="26" u="1"/>
        <s v="091" u="1"/>
        <s v="092" u="1"/>
        <s v="093" u="1"/>
        <s v="094" u="1"/>
        <s v="096" u="1"/>
        <s v="098" u="1"/>
        <s v="36" u="1"/>
        <s v="29" u="1"/>
        <s v="79" u="1"/>
      </sharedItems>
    </cacheField>
    <cacheField name="פרק 2" numFmtId="4">
      <sharedItems containsBlank="1" count="39">
        <s v="ארנונות"/>
        <s v="אגרות"/>
        <s v="מענקים כלליים"/>
        <s v="תברואה"/>
        <s v="שמירה ובטחון"/>
        <s v="תכנון ובנין עיר"/>
        <s v="נכסים ציבוריים"/>
        <s v="פיקוח עירוני"/>
        <s v="חינוך"/>
        <s v="תרבות"/>
        <s v="רווחה"/>
        <s v="מים"/>
        <s v="נכסים"/>
        <s v="תחבורה"/>
        <s v="מפעל הביוב"/>
        <s v="בריאות"/>
        <s v="ריבית והחזר הוצאות משנים קודמות"/>
        <e v="#N/A"/>
        <s v="פיתוח כלכלי"/>
        <s v="מינהל כללי"/>
        <s v="שירותים עירוניים שונים"/>
        <s v="חגיגות מבצעים ואירועים"/>
        <s v="מינהל כספי"/>
        <s v="קליטת עליה"/>
        <s v="תשלומים בלתי רגילים"/>
        <s v="פרעון מלוות"/>
        <s v="הוצאות מימון"/>
        <s v="דת"/>
        <s v="איכות הסביבה"/>
        <m/>
        <s v="מיכון" u="1"/>
        <s v="שירותים חקלאיים" u="1"/>
        <s v="גמלאות ופיצויים" u="1"/>
        <s v="מפעלים אחרים" u="1"/>
        <s v="משרד הרשות ושירותים" u="1"/>
        <s v="החזר מקרנות והכנסות מיוחדות" u="1"/>
        <s v="החזקת נכסים ציבוריים" u="1"/>
        <s v="מוסך ורכב" u="1"/>
        <s v="אפסנאות ומחסנים" u="1"/>
      </sharedItems>
    </cacheField>
    <cacheField name="ספרה 3" numFmtId="4">
      <sharedItems containsBlank="1" count="224">
        <s v="110"/>
        <s v="120"/>
        <s v="192"/>
        <s v="197"/>
        <s v="212"/>
        <s v="213"/>
        <s v="214"/>
        <s v="222"/>
        <s v="227"/>
        <s v="226"/>
        <s v="231"/>
        <s v="233"/>
        <s v="242"/>
        <s v="244"/>
        <s v="245"/>
        <s v="246"/>
        <s v="247"/>
        <s v="281"/>
        <s v="311"/>
        <s v="312"/>
        <s v="313"/>
        <s v="317"/>
        <s v="315"/>
        <s v="327"/>
        <s v="323"/>
        <s v="321"/>
        <s v="322"/>
        <s v="326"/>
        <s v="325"/>
        <s v="328"/>
        <s v="329"/>
        <s v="324"/>
        <s v="341"/>
        <s v="342"/>
        <s v="343"/>
        <s v="344"/>
        <s v="345"/>
        <s v="346"/>
        <s v="347"/>
        <s v="348"/>
        <s v="410"/>
        <s v="432"/>
        <s v="430"/>
        <s v="435"/>
        <s v="442"/>
        <s v="471"/>
        <s v="333"/>
        <s v="510"/>
        <s v="520"/>
        <s v="540"/>
        <s v="547"/>
        <s v="821"/>
        <s v="822"/>
        <s v="825"/>
        <s v="823"/>
        <s v="829"/>
        <s v="824"/>
        <s v="827"/>
        <e v="#N/A"/>
        <s v="731"/>
        <s v="732"/>
        <s v="771"/>
        <s v="733"/>
        <s v="931"/>
        <s v="711"/>
        <s v="611"/>
        <s v="612"/>
        <s v="761"/>
        <s v="614"/>
        <s v="617"/>
        <s v="613"/>
        <s v="752"/>
        <s v="756"/>
        <s v="618"/>
        <s v="938"/>
        <s v="615"/>
        <s v="621"/>
        <s v="764"/>
        <s v="619"/>
        <s v="782"/>
        <s v="841"/>
        <s v="842"/>
        <s v="843"/>
        <s v="844"/>
        <s v="845"/>
        <s v="846"/>
        <s v="847"/>
        <s v="848"/>
        <s v="727"/>
        <s v="861"/>
        <s v="828"/>
        <s v="991"/>
        <s v="767"/>
        <s v="818"/>
        <s v="849"/>
        <s v="839"/>
        <s v="753"/>
        <s v="833"/>
        <s v="640"/>
        <s v="623"/>
        <s v="630"/>
        <s v="714"/>
        <s v="715"/>
        <s v="712"/>
        <s v="742"/>
        <s v="743"/>
        <s v="746"/>
        <s v="745"/>
        <s v="747"/>
        <s v="781"/>
        <s v="721"/>
        <s v="722"/>
        <s v="723"/>
        <s v="725"/>
        <s v="811"/>
        <s v="817"/>
        <s v="813"/>
        <s v="816"/>
        <s v="815"/>
        <s v="812"/>
        <s v="819"/>
        <s v="826"/>
        <s v="851"/>
        <s v="836"/>
        <s v="769"/>
        <s v="724"/>
        <s v="879"/>
        <s v="911"/>
        <s v="942"/>
        <s v="862"/>
        <s v="995"/>
        <m/>
        <s v="768" u="1"/>
        <s v="433" u="1"/>
        <s v="360" u="1"/>
        <s v="0947" u="1"/>
        <s v="361" u="1"/>
        <s v="436" u="1"/>
        <s v="820" u="1"/>
        <s v="362" u="1"/>
        <s v="437" u="1"/>
        <s v="0936" u="1"/>
        <s v="363" u="1"/>
        <s v="0946" u="1"/>
        <s v="216" u="1"/>
        <s v="290" u="1"/>
        <s v="992" u="1"/>
        <s v="0935" u="1"/>
        <s v="236" u="1"/>
        <s v="993" u="1"/>
        <s v="751" u="1"/>
        <s v="863" u="1"/>
        <s v="994" u="1"/>
        <s v="0986" u="1"/>
        <s v="622" u="1"/>
        <s v="734" u="1"/>
        <s v="716" u="1"/>
        <s v="0965" u="1"/>
        <s v="511" u="1"/>
        <s v="735" u="1"/>
        <s v="772" u="1"/>
        <s v="996" u="1"/>
        <s v="791" u="1"/>
        <s v="624" u="1"/>
        <s v="736" u="1"/>
        <s v="773" u="1"/>
        <s v="718" u="1"/>
        <s v="513" u="1"/>
        <s v="625" u="1"/>
        <s v="737" u="1"/>
        <s v="0933" u="1"/>
        <s v="739" u="1"/>
        <s v="628" u="1"/>
        <s v="0912" u="1"/>
        <s v="591" u="1"/>
        <s v="0922" u="1"/>
        <s v="0963" u="1"/>
        <s v="443" u="1"/>
        <s v="480" u="1"/>
        <s v="649" u="1"/>
        <s v="332" u="1"/>
        <s v="444" u="1"/>
        <s v="314" u="1"/>
        <s v="221" u="1"/>
        <s v="0921" u="1"/>
        <s v="241" u="1"/>
        <s v="316" u="1"/>
        <s v="223" u="1"/>
        <s v="831" u="1"/>
        <s v="336" u="1"/>
        <s v="832" u="1"/>
        <s v="0982" u="1"/>
        <s v="318" u="1"/>
        <s v="814" u="1"/>
        <s v="225" u="1"/>
        <s v="337" u="1"/>
        <s v="319" u="1"/>
        <s v="599" u="1"/>
        <s v="871" u="1"/>
        <s v="282" u="1"/>
        <s v="741" u="1"/>
        <s v="835" u="1"/>
        <s v="283" u="1"/>
        <s v="228" u="1"/>
        <s v="631" u="1"/>
        <s v="837" u="1"/>
        <s v="744" u="1"/>
        <s v="267" u="1"/>
        <s v="379" u="1"/>
        <s v="726" u="1"/>
        <s v="838" u="1"/>
        <s v="0939" u="1"/>
        <s v="268" u="1"/>
        <s v="269" u="1"/>
        <s v="616" u="1"/>
        <s v="728" u="1"/>
        <s v="765" u="1"/>
        <s v="0928" u="1"/>
        <s v="729" u="1"/>
        <s v="412" u="1"/>
        <s v="431" u="1"/>
        <s v="413" u="1"/>
        <s v="749" u="1"/>
        <s v="0948" u="1"/>
      </sharedItems>
    </cacheField>
    <cacheField name="פרק 3" numFmtId="4">
      <sharedItems containsBlank="1" count="120">
        <e v="#N/A"/>
        <s v="מענקים חד פעמיים"/>
        <s v="מענק - רזרבה להתייקרות"/>
        <s v="שירותי ניקיון"/>
        <s v="פיקוח תברואי"/>
        <s v="שרות וטרינרי"/>
        <s v="שמירה ביטחונית"/>
        <s v="הגמ״ר"/>
        <s v="מל״ח ופס&quot;ח"/>
        <s v="משרד מהנדס הרשות"/>
        <s v="רישוי ופיקוח על הבניה"/>
        <s v="דרכים ומדרכות"/>
        <s v="בטיחות בדרכים"/>
        <s v="תיעול וניקוז"/>
        <s v="גנים ונטיעות"/>
        <s v="חופים, בריכות ומרחצאות"/>
        <s v="פיקוח על חוקי עזר"/>
        <s v="מינהל החינוך"/>
        <s v="חינוך קדם יסודי"/>
        <s v="חינוך יסודי"/>
        <s v="שירותים נוספים לבתי״ס וגנ״י"/>
        <s v="חינוך על יסודי"/>
        <s v="תרבות תורנית"/>
        <s v="ספריות עירוניות"/>
        <s v="מינהל התרבות"/>
        <s v="פעולות תרבות"/>
        <s v="מוקדי תרבות"/>
        <s v="מוסיקה ומחול"/>
        <s v="נוער"/>
        <s v="ספורט"/>
        <s v="מתנ״סים"/>
        <s v="מינהל הרווחה"/>
        <s v="רווחת הפרט והמשפחה"/>
        <s v="שירותים לילד ולנוער"/>
        <s v="שירותים לזקן"/>
        <s v="שירותים למפגר"/>
        <s v="שירותי שיקום"/>
        <s v="שירותי תיקון"/>
        <s v="עבודה קהילתית"/>
        <s v="דירות"/>
        <s v="קרקעות"/>
        <s v="אוטובוסים"/>
        <s v="מינהל הביוב"/>
        <s v="בתי חולים"/>
        <s v="תכנון עיר"/>
        <s v="עידוד קייט ותיירות"/>
        <s v="מינהל הנכסים"/>
        <s v="מינהל תברואה"/>
        <s v="הנהלה ורשות"/>
        <s v="מבקר הרשות"/>
        <s v="מוקד עירוני"/>
        <s v="הסברה ויחסי ציבור"/>
        <s v="שרות משפטי"/>
        <s v="מזכירות"/>
        <s v="חגיגות וטכסים אחרים"/>
        <s v="כנסים ואירועים בינלאומיים"/>
        <s v="תכנון ומחקר"/>
        <s v="משרדי הרשות"/>
        <s v="מנגנון"/>
        <s v="הגזברות"/>
        <s v="תרבות הדיור"/>
        <s v="בחירות ברשויות המקומיות"/>
        <s v="בית משפט עירוני"/>
        <s v="הפרשות לקרנות תקציביות"/>
        <s v="בטוח אלמנטרי לרשות"/>
        <s v="חינוך מבוגרים"/>
        <s v="שירותים לעולים"/>
        <s v="מוסדות בריאות נתמכים"/>
        <s v="פעולות אימוץ"/>
        <s v="גבייה"/>
        <s v="תברואה מונעת"/>
        <s v="תאורת רחובות"/>
        <s v="מינהל שמירה ובטחון"/>
        <s v="הג״א"/>
        <s v="בטיחות"/>
        <s v="חינוך גבוה"/>
        <s v="שירותי חינוך מיוחדים"/>
        <s v="השתתפות בתקציב המועצה הדתית"/>
        <s v="שירותי חירום ריפואים"/>
        <s v="שירותים שונים"/>
        <s v="כבוי אש"/>
        <s v="שירותים שונים לאיכות הסביבה"/>
        <s v="מינהל המים"/>
        <s v="הנחות ממיסים לפי חוק או תקנות"/>
        <m/>
        <s v="שווקים" u="1"/>
        <s v="החזרות מקרנות" u="1"/>
        <s v="משרדים ועסקים" u="1"/>
        <s v="מינהל שירותים חקלאים" u="1"/>
        <s v="חטיבות ביניים" u="1"/>
        <s v="פקוח על חברות הרשות" u="1"/>
        <s v="פרעון מלוות מוכר" u="1"/>
        <s v="חברות עירוניות" u="1"/>
        <s v="מרפאות" u="1"/>
        <s v="מוסדות בריאות אחרים" u="1"/>
        <s v="מינהל שמירה וביטחון" u="1"/>
        <s v="תקבולים מהחזר הוצאות משנים קודמות" u="1"/>
        <s v="או״ש והדרכה" u="1"/>
        <s v="נכסים ציבוריים אחרים" u="1"/>
        <s v="מוסדות כלליים" u="1"/>
        <s v="תשלומים להחזר הכנסות מש . ק ." u="1"/>
        <s v="חניה למכוניות" u="1"/>
        <s v="משק המים" u="1"/>
        <s v="חגיגות יום העצמאות" u="1"/>
        <s v="הכנסות לכיסוי גרעון" u="1"/>
        <s v="פעולות מחקר" u="1"/>
        <s v="מל״ח ופס״ח" u="1"/>
        <s v="הכנסות שונות" u="1"/>
        <s v="רזרבה תקציבית (כולל התייקרויות)" u="1"/>
        <s v="עמלות והוצאות בנקאיות" u="1"/>
        <s v="שומה" u="1"/>
        <s v="ריבית ודיבידנדים" u="1"/>
        <s v="עידוד תעשיה ומלאכה" u="1"/>
        <s v="הוצאות מיוחדות ובלתי נצפות מראש" u="1"/>
        <s v="גביה" u="1"/>
        <s v="כסוי הוצאות לשעת חירום" u="1"/>
        <s v="מפעם - מרכז הדרכה אזורי" u="1"/>
        <s v="אכסניות נוער" u="1"/>
        <s v="מינהל נכסים ציבוריים" u="1"/>
        <s v="חניה למוניות" u="1"/>
      </sharedItems>
    </cacheField>
    <cacheField name="ספרה 4" numFmtId="4">
      <sharedItems containsBlank="1"/>
    </cacheField>
    <cacheField name="פרק 4" numFmtId="4">
      <sharedItems containsBlank="1"/>
    </cacheField>
    <cacheField name="ספרה 56" numFmtId="4">
      <sharedItems containsNonDate="0" containsString="0" containsBlank="1"/>
    </cacheField>
    <cacheField name="סיווג 1" numFmtId="4">
      <sharedItems containsBlank="1"/>
    </cacheField>
    <cacheField name="סוג 1" numFmtId="4">
      <sharedItems containsBlank="1" count="21">
        <s v="ארנונות"/>
        <s v="אגרות"/>
        <s v="השתתפות משרדי ממשלה"/>
        <s v="הכנסות מרכוש ומפעלים"/>
        <s v="שירותים ושכר לימוד"/>
        <s v="השתתפויות בעלים ע&quot;ח עבודות פיתוח"/>
        <s v="השתתפות מוסדות ותרומות"/>
        <s v="החזרות"/>
        <s v="משכורות וש&quot;ע לעובדים לפי תקן"/>
        <s v="הוצאות לפעולות"/>
        <s v="משכורות וש&quot;ע לעובדים בלי תקן"/>
        <s v="אחזקת בינים ואספקת ציוד"/>
        <s v="הוצאות מנהליות"/>
        <s v="השתתפויות תמיכות ותרומות"/>
        <e v="#N/A"/>
        <s v="מימון ופירעון מלוות"/>
        <s v="פנסיה ופיצויים"/>
        <s v="הוצאות חד פעמיות"/>
        <m/>
        <e v="#VALUE!" u="1"/>
        <s v="היטלים" u="1"/>
      </sharedItems>
    </cacheField>
    <cacheField name="סיווג 2" numFmtId="4">
      <sharedItems containsBlank="1"/>
    </cacheField>
    <cacheField name="סוג 2" numFmtId="4">
      <sharedItems containsBlank="1"/>
    </cacheField>
    <cacheField name="סיווג 3" numFmtId="4">
      <sharedItems containsBlank="1"/>
    </cacheField>
    <cacheField name="סוג 3" numFmtId="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04">
  <r>
    <n v="121"/>
    <s v="11000"/>
    <n v="1"/>
    <s v="111000.121"/>
    <s v="גביה שוטפת-מגורים               "/>
    <m/>
    <m/>
    <n v="-750000000"/>
    <n v="-725000000"/>
    <n v="-843292390"/>
    <m/>
    <x v="0"/>
    <s v="מסים ומענק כללי"/>
    <x v="0"/>
    <s v="ארנונות"/>
    <x v="0"/>
    <e v="#N/A"/>
    <s v="1100"/>
    <e v="#N/A"/>
    <m/>
    <s v="1"/>
    <x v="0"/>
    <s v="12"/>
    <e v="#N/A"/>
    <s v="121"/>
    <e v="#N/A"/>
  </r>
  <r>
    <n v="122"/>
    <s v="11000"/>
    <n v="1"/>
    <s v="111000.122"/>
    <s v="גביה שוטפת-לא מגורים            "/>
    <m/>
    <m/>
    <n v="-2023000000"/>
    <n v="-1977000000"/>
    <n v="-1970109769"/>
    <m/>
    <x v="0"/>
    <s v="מסים ומענק כללי"/>
    <x v="0"/>
    <s v="ארנונות"/>
    <x v="0"/>
    <e v="#N/A"/>
    <s v="1100"/>
    <e v="#N/A"/>
    <m/>
    <s v="1"/>
    <x v="0"/>
    <s v="12"/>
    <e v="#N/A"/>
    <s v="122"/>
    <e v="#N/A"/>
  </r>
  <r>
    <n v="123"/>
    <s v="11000"/>
    <n v="1"/>
    <s v="111000.123"/>
    <s v="גבית פגורים - מגורים            "/>
    <m/>
    <m/>
    <n v="-35000000"/>
    <n v="-35000000"/>
    <n v="-34860256"/>
    <m/>
    <x v="0"/>
    <s v="מסים ומענק כללי"/>
    <x v="0"/>
    <s v="ארנונות"/>
    <x v="0"/>
    <e v="#N/A"/>
    <s v="1100"/>
    <e v="#N/A"/>
    <m/>
    <s v="1"/>
    <x v="0"/>
    <s v="12"/>
    <e v="#N/A"/>
    <s v="123"/>
    <e v="#N/A"/>
  </r>
  <r>
    <n v="124"/>
    <s v="11000"/>
    <n v="1"/>
    <s v="111000.124"/>
    <s v="גבית פגורים-לא מגורים           "/>
    <m/>
    <m/>
    <n v="-135000000"/>
    <n v="-135000000"/>
    <n v="-139990375"/>
    <m/>
    <x v="0"/>
    <s v="מסים ומענק כללי"/>
    <x v="0"/>
    <s v="ארנונות"/>
    <x v="0"/>
    <e v="#N/A"/>
    <s v="1100"/>
    <e v="#N/A"/>
    <m/>
    <s v="1"/>
    <x v="0"/>
    <s v="12"/>
    <e v="#N/A"/>
    <s v="124"/>
    <e v="#N/A"/>
  </r>
  <r>
    <n v="126"/>
    <s v="11000"/>
    <n v="1"/>
    <s v="111000.126"/>
    <s v="הנחות מתוקצבות-מגורים           "/>
    <m/>
    <m/>
    <n v="-130000000"/>
    <n v="-130000000"/>
    <n v="0"/>
    <m/>
    <x v="0"/>
    <s v="מסים ומענק כללי"/>
    <x v="0"/>
    <s v="ארנונות"/>
    <x v="0"/>
    <e v="#N/A"/>
    <s v="1100"/>
    <e v="#N/A"/>
    <m/>
    <s v="1"/>
    <x v="0"/>
    <s v="12"/>
    <e v="#N/A"/>
    <s v="126"/>
    <e v="#N/A"/>
  </r>
  <r>
    <n v="127"/>
    <s v="11000"/>
    <n v="1"/>
    <s v="111000.127"/>
    <s v="הנחות מתוקצבות-עסקים            "/>
    <m/>
    <m/>
    <n v="-27000000"/>
    <n v="-28000000"/>
    <n v="0"/>
    <m/>
    <x v="0"/>
    <s v="מסים ומענק כללי"/>
    <x v="0"/>
    <s v="ארנונות"/>
    <x v="0"/>
    <e v="#N/A"/>
    <s v="1100"/>
    <e v="#N/A"/>
    <m/>
    <s v="1"/>
    <x v="0"/>
    <s v="12"/>
    <e v="#N/A"/>
    <s v="127"/>
    <e v="#N/A"/>
  </r>
  <r>
    <n v="220"/>
    <s v="12000"/>
    <n v="1"/>
    <s v="112000.220"/>
    <s v="אגרת רשיונות לשלטים             "/>
    <m/>
    <m/>
    <n v="-45000000"/>
    <n v="-43500000"/>
    <n v="-44759246"/>
    <m/>
    <x v="0"/>
    <s v="מסים ומענק כללי"/>
    <x v="1"/>
    <s v="אגרות"/>
    <x v="1"/>
    <e v="#N/A"/>
    <s v="1200"/>
    <e v="#N/A"/>
    <m/>
    <s v="2"/>
    <x v="1"/>
    <s v="22"/>
    <s v="אגרות בגין שירותים וחומרים"/>
    <s v="220"/>
    <e v="#N/A"/>
  </r>
  <r>
    <n v="230"/>
    <s v="12000"/>
    <n v="1"/>
    <s v="112000.230"/>
    <s v="תעודות ואשורים                  "/>
    <m/>
    <m/>
    <n v="-2100000"/>
    <n v="-2100000"/>
    <n v="-1973696"/>
    <m/>
    <x v="0"/>
    <s v="מסים ומענק כללי"/>
    <x v="1"/>
    <s v="אגרות"/>
    <x v="1"/>
    <e v="#N/A"/>
    <s v="1200"/>
    <e v="#N/A"/>
    <m/>
    <s v="2"/>
    <x v="1"/>
    <s v="23"/>
    <e v="#N/A"/>
    <s v="230"/>
    <e v="#N/A"/>
  </r>
  <r>
    <n v="243"/>
    <s v="12000"/>
    <n v="1"/>
    <s v="112000.243"/>
    <s v="מודעות ברכב צבורי               "/>
    <m/>
    <m/>
    <n v="-50000"/>
    <n v="-50000"/>
    <n v="-108085"/>
    <m/>
    <x v="0"/>
    <s v="מסים ומענק כללי"/>
    <x v="1"/>
    <s v="אגרות"/>
    <x v="1"/>
    <e v="#N/A"/>
    <s v="1200"/>
    <e v="#N/A"/>
    <m/>
    <s v="2"/>
    <x v="1"/>
    <s v="24"/>
    <e v="#N/A"/>
    <s v="243"/>
    <e v="#N/A"/>
  </r>
  <r>
    <n v="245"/>
    <s v="12000"/>
    <n v="1"/>
    <s v="112000.245"/>
    <s v="מודעות ופרסומים מיוחדים         "/>
    <m/>
    <m/>
    <n v="-7400000"/>
    <n v="-7400000"/>
    <n v="-7771801"/>
    <m/>
    <x v="0"/>
    <s v="מסים ומענק כללי"/>
    <x v="1"/>
    <s v="אגרות"/>
    <x v="1"/>
    <e v="#N/A"/>
    <s v="1200"/>
    <e v="#N/A"/>
    <m/>
    <s v="2"/>
    <x v="1"/>
    <s v="24"/>
    <e v="#N/A"/>
    <s v="245"/>
    <e v="#N/A"/>
  </r>
  <r>
    <n v="260"/>
    <s v="12000"/>
    <n v="1"/>
    <s v="112000.260"/>
    <s v="אגרת הפעלת עסקים בלילה          "/>
    <m/>
    <m/>
    <n v="-2500000"/>
    <n v="-2500000"/>
    <n v="-3136592"/>
    <m/>
    <x v="0"/>
    <s v="מסים ומענק כללי"/>
    <x v="1"/>
    <s v="אגרות"/>
    <x v="1"/>
    <e v="#N/A"/>
    <s v="1200"/>
    <e v="#N/A"/>
    <m/>
    <s v="2"/>
    <x v="1"/>
    <s v="26"/>
    <e v="#N/A"/>
    <s v="260"/>
    <e v="#N/A"/>
  </r>
  <r>
    <n v="270"/>
    <s v="12000"/>
    <n v="1"/>
    <s v="112000.270"/>
    <s v="רשיונות לשטחים לפני בתי קפה     "/>
    <m/>
    <m/>
    <n v="-9000000"/>
    <n v="-8500000"/>
    <n v="-10424406"/>
    <m/>
    <x v="0"/>
    <s v="מסים ומענק כללי"/>
    <x v="1"/>
    <s v="אגרות"/>
    <x v="1"/>
    <e v="#N/A"/>
    <s v="1200"/>
    <e v="#N/A"/>
    <m/>
    <s v="2"/>
    <x v="1"/>
    <s v="27"/>
    <e v="#N/A"/>
    <s v="270"/>
    <e v="#N/A"/>
  </r>
  <r>
    <n v="912"/>
    <s v="19200"/>
    <n v="1"/>
    <s v="119200.912"/>
    <s v="שיפוי בגין מעבר לפנסיה צוברת    "/>
    <m/>
    <m/>
    <n v="-1000000"/>
    <n v="-1000000"/>
    <n v="-969473"/>
    <m/>
    <x v="0"/>
    <s v="מסים ומענק כללי"/>
    <x v="2"/>
    <s v="מענקים כלליים"/>
    <x v="2"/>
    <s v="מענקים חד פעמיים"/>
    <s v="1920"/>
    <e v="#N/A"/>
    <m/>
    <s v="9"/>
    <x v="2"/>
    <s v="91"/>
    <s v="השתתפות משרד הפנים"/>
    <s v="912"/>
    <e v="#N/A"/>
  </r>
  <r>
    <n v="913"/>
    <s v="19200"/>
    <n v="1"/>
    <s v="119200.913"/>
    <s v="שיפוי בגין קופות גמל            "/>
    <m/>
    <m/>
    <n v="-500000"/>
    <n v="-500000"/>
    <n v="-395298"/>
    <m/>
    <x v="0"/>
    <s v="מסים ומענק כללי"/>
    <x v="2"/>
    <s v="מענקים כלליים"/>
    <x v="2"/>
    <s v="מענקים חד פעמיים"/>
    <s v="1920"/>
    <e v="#N/A"/>
    <m/>
    <s v="9"/>
    <x v="2"/>
    <s v="91"/>
    <s v="השתתפות משרד הפנים"/>
    <s v="913"/>
    <e v="#N/A"/>
  </r>
  <r>
    <n v="210"/>
    <s v="21200"/>
    <n v="1"/>
    <s v="121200.210"/>
    <s v="אגרת סלוק אשפה ופסולת מיוחדת    "/>
    <m/>
    <m/>
    <n v="-1850000"/>
    <n v="-1850000"/>
    <n v="-2008318"/>
    <m/>
    <x v="1"/>
    <s v="שירותים מקומיים"/>
    <x v="3"/>
    <s v="תברואה"/>
    <x v="3"/>
    <s v="שירותי ניקיון"/>
    <s v="2120"/>
    <e v="#N/A"/>
    <m/>
    <s v="2"/>
    <x v="1"/>
    <s v="21"/>
    <s v="אגרות מים וביוב"/>
    <s v="210"/>
    <e v="#N/A"/>
  </r>
  <r>
    <n v="231"/>
    <s v="21200"/>
    <n v="1"/>
    <s v="121200.231"/>
    <s v="הכנסות ממיחזור נייר וקרטון      "/>
    <m/>
    <m/>
    <n v="-2000000"/>
    <n v="-2500000"/>
    <n v="-1560633"/>
    <m/>
    <x v="1"/>
    <s v="שירותים מקומיים"/>
    <x v="3"/>
    <s v="תברואה"/>
    <x v="3"/>
    <s v="שירותי ניקיון"/>
    <s v="2120"/>
    <e v="#N/A"/>
    <m/>
    <s v="2"/>
    <x v="1"/>
    <s v="23"/>
    <e v="#N/A"/>
    <s v="231"/>
    <e v="#N/A"/>
  </r>
  <r>
    <n v="232"/>
    <s v="21200"/>
    <n v="1"/>
    <s v="121200.232"/>
    <s v="הכנסות ממיחזור אחר              "/>
    <m/>
    <m/>
    <n v="-600000"/>
    <n v="-2400000"/>
    <n v="-970982"/>
    <m/>
    <x v="1"/>
    <s v="שירותים מקומיים"/>
    <x v="3"/>
    <s v="תברואה"/>
    <x v="3"/>
    <s v="שירותי ניקיון"/>
    <s v="2120"/>
    <e v="#N/A"/>
    <m/>
    <s v="2"/>
    <x v="1"/>
    <s v="23"/>
    <e v="#N/A"/>
    <s v="232"/>
    <e v="#N/A"/>
  </r>
  <r>
    <n v="233"/>
    <s v="21200"/>
    <n v="1"/>
    <s v="121200.233"/>
    <s v="הכנסות בגין חוק האריזות         "/>
    <m/>
    <m/>
    <n v="-3000000"/>
    <n v="0"/>
    <n v="0"/>
    <m/>
    <x v="1"/>
    <s v="שירותים מקומיים"/>
    <x v="3"/>
    <s v="תברואה"/>
    <x v="3"/>
    <s v="שירותי ניקיון"/>
    <s v="2120"/>
    <e v="#N/A"/>
    <m/>
    <s v="2"/>
    <x v="1"/>
    <s v="23"/>
    <e v="#N/A"/>
    <s v="233"/>
    <e v="#N/A"/>
  </r>
  <r>
    <n v="210"/>
    <n v="23600"/>
    <n v="1"/>
    <s v="123600.210"/>
    <s v="אגרת רישוי עסקים                "/>
    <m/>
    <m/>
    <n v="-1100000"/>
    <n v="-1100000"/>
    <n v="-915869"/>
    <m/>
    <x v="1"/>
    <s v="שירותים מקומיים"/>
    <x v="4"/>
    <s v="תכנון ובנין עיר"/>
    <x v="4"/>
    <e v="#N/A"/>
    <s v="2360"/>
    <e v="#N/A"/>
    <m/>
    <s v="2"/>
    <x v="1"/>
    <s v="21"/>
    <s v="אגרות מים וביוב"/>
    <s v="210"/>
    <e v="#N/A"/>
  </r>
  <r>
    <n v="990"/>
    <s v="22100"/>
    <n v="1"/>
    <s v="122100.990"/>
    <s v="פרויקט מציל ה                   "/>
    <m/>
    <m/>
    <n v="-150000"/>
    <n v="-150000"/>
    <n v="-103915"/>
    <m/>
    <x v="1"/>
    <s v="שירותים מקומיים"/>
    <x v="5"/>
    <s v="שמירה ובטחון"/>
    <x v="5"/>
    <s v="מינהל שמירה וביטחון"/>
    <s v="2210"/>
    <e v="#N/A"/>
    <m/>
    <s v="9"/>
    <x v="2"/>
    <s v="99"/>
    <s v="השתתפות משרדי ממשלה אחרים"/>
    <s v="990"/>
    <e v="#N/A"/>
  </r>
  <r>
    <n v="910"/>
    <s v="222100"/>
    <n v="1"/>
    <s v="1222100.910"/>
    <s v="השתתפות הממשלה - המשמר האזרחי   "/>
    <m/>
    <m/>
    <n v="-80000"/>
    <n v="-80000"/>
    <n v="-37657"/>
    <m/>
    <x v="1"/>
    <s v="שירותים מקומיים"/>
    <x v="5"/>
    <s v="שמירה ובטחון"/>
    <x v="6"/>
    <s v="שמירה ביטחונית"/>
    <s v="2221"/>
    <s v="משמר אזרחי"/>
    <m/>
    <s v="9"/>
    <x v="2"/>
    <s v="91"/>
    <s v="השתתפות משרד הפנים"/>
    <s v="910"/>
    <e v="#N/A"/>
  </r>
  <r>
    <n v="651"/>
    <s v="22200"/>
    <n v="1"/>
    <s v="122200.651"/>
    <s v="החזר הוצאות אחזקת מקלטים        "/>
    <m/>
    <m/>
    <n v="-200000"/>
    <n v="-200000"/>
    <n v="-180513"/>
    <m/>
    <x v="1"/>
    <s v="שירותים מקומיים"/>
    <x v="5"/>
    <s v="שמירה ובטחון"/>
    <x v="6"/>
    <s v="שמירה ביטחונית"/>
    <s v="2220"/>
    <e v="#N/A"/>
    <m/>
    <s v="6"/>
    <x v="3"/>
    <s v="65"/>
    <s v="דמי שימוש"/>
    <s v="651"/>
    <e v="#N/A"/>
  </r>
  <r>
    <n v="311"/>
    <n v="22500"/>
    <n v="1"/>
    <s v="122500.311"/>
    <s v="הכנסות מהיטל שמירה              "/>
    <m/>
    <m/>
    <n v="-44500000"/>
    <n v="-47000000"/>
    <n v="-184447"/>
    <m/>
    <x v="1"/>
    <s v="שירותים מקומיים"/>
    <x v="5"/>
    <s v="שמירה ובטחון"/>
    <x v="7"/>
    <s v="בטיחות"/>
    <s v="2250"/>
    <e v="#N/A"/>
    <m/>
    <s v="3"/>
    <x v="4"/>
    <s v="31"/>
    <s v="היטלים"/>
    <s v="311"/>
    <e v="#N/A"/>
  </r>
  <r>
    <n v="247"/>
    <s v="23100"/>
    <n v="1"/>
    <s v="123100.247"/>
    <s v="השתתפות בתכנון ורה-פרצלציה      "/>
    <m/>
    <m/>
    <n v="-50000"/>
    <n v="-100000"/>
    <n v="-179083"/>
    <m/>
    <x v="1"/>
    <s v="שירותים מקומיים"/>
    <x v="4"/>
    <s v="תכנון ובנין עיר"/>
    <x v="8"/>
    <s v="משרד מהנדס הרשות"/>
    <s v="2310"/>
    <e v="#N/A"/>
    <m/>
    <s v="2"/>
    <x v="1"/>
    <s v="24"/>
    <e v="#N/A"/>
    <s v="247"/>
    <e v="#N/A"/>
  </r>
  <r>
    <n v="415"/>
    <s v="23100"/>
    <n v="1"/>
    <s v="123100.415"/>
    <s v="שרותים שונים                    "/>
    <m/>
    <m/>
    <n v="-50000"/>
    <n v="-110000"/>
    <n v="-148250"/>
    <m/>
    <x v="1"/>
    <s v="שירותים מקומיים"/>
    <x v="4"/>
    <s v="תכנון ובנין עיר"/>
    <x v="8"/>
    <s v="משרד מהנדס הרשות"/>
    <s v="2310"/>
    <e v="#N/A"/>
    <m/>
    <s v="4"/>
    <x v="5"/>
    <s v="41"/>
    <s v="שכל&quot;מ מתושבים"/>
    <s v="415"/>
    <e v="#N/A"/>
  </r>
  <r>
    <n v="421"/>
    <s v="23100"/>
    <n v="1"/>
    <s v="123100.421"/>
    <s v="הכנסות ממכירת חוברות ופרסומים   "/>
    <m/>
    <m/>
    <n v="-5000"/>
    <n v="-5000"/>
    <n v="-1480"/>
    <m/>
    <x v="1"/>
    <s v="שירותים מקומיים"/>
    <x v="4"/>
    <s v="תכנון ובנין עיר"/>
    <x v="8"/>
    <s v="משרד מהנדס הרשות"/>
    <s v="2310"/>
    <e v="#N/A"/>
    <m/>
    <s v="4"/>
    <x v="5"/>
    <s v="42"/>
    <s v="השתתפויות תושבים בשירותים משלימים"/>
    <s v="421"/>
    <e v="#N/A"/>
  </r>
  <r>
    <n v="422"/>
    <s v="23100"/>
    <n v="1"/>
    <s v="123100.422"/>
    <s v="הכנסות מהפקת תוכניות לגו ח      "/>
    <m/>
    <m/>
    <n v="-55000"/>
    <n v="-55000"/>
    <n v="-44965"/>
    <m/>
    <x v="1"/>
    <s v="שירותים מקומיים"/>
    <x v="4"/>
    <s v="תכנון ובנין עיר"/>
    <x v="8"/>
    <s v="משרד מהנדס הרשות"/>
    <s v="2310"/>
    <e v="#N/A"/>
    <m/>
    <s v="4"/>
    <x v="5"/>
    <s v="42"/>
    <s v="השתתפויות תושבים בשירותים משלימים"/>
    <s v="422"/>
    <e v="#N/A"/>
  </r>
  <r>
    <n v="423"/>
    <s v="23100"/>
    <n v="1"/>
    <s v="123100.423"/>
    <s v="הכנסות מהחזרי הוצ' דואר         "/>
    <m/>
    <m/>
    <n v="0"/>
    <n v="-150000"/>
    <n v="-174790"/>
    <m/>
    <x v="1"/>
    <s v="שירותים מקומיים"/>
    <x v="4"/>
    <s v="תכנון ובנין עיר"/>
    <x v="8"/>
    <s v="משרד מהנדס הרשות"/>
    <s v="2310"/>
    <e v="#N/A"/>
    <m/>
    <s v="4"/>
    <x v="5"/>
    <s v="42"/>
    <s v="השתתפויות תושבים בשירותים משלימים"/>
    <s v="423"/>
    <e v="#N/A"/>
  </r>
  <r>
    <n v="424"/>
    <s v="23100"/>
    <n v="1"/>
    <s v="123100.424"/>
    <s v="הכנסות ממכירת תיקי מידע והגשה   "/>
    <m/>
    <m/>
    <n v="-10000"/>
    <n v="-30000"/>
    <n v="-13180"/>
    <m/>
    <x v="1"/>
    <s v="שירותים מקומיים"/>
    <x v="4"/>
    <s v="תכנון ובנין עיר"/>
    <x v="8"/>
    <s v="משרד מהנדס הרשות"/>
    <s v="2310"/>
    <e v="#N/A"/>
    <m/>
    <s v="4"/>
    <x v="5"/>
    <s v="42"/>
    <s v="השתתפויות תושבים בשירותים משלימים"/>
    <s v="424"/>
    <e v="#N/A"/>
  </r>
  <r>
    <n v="425"/>
    <s v="23100"/>
    <n v="1"/>
    <s v="123100.425"/>
    <s v="הריסת מבנים מסוכנים             "/>
    <m/>
    <m/>
    <n v="-500000"/>
    <n v="-500000"/>
    <n v="-1180342"/>
    <m/>
    <x v="1"/>
    <s v="שירותים מקומיים"/>
    <x v="4"/>
    <s v="תכנון ובנין עיר"/>
    <x v="8"/>
    <s v="משרד מהנדס הרשות"/>
    <s v="2310"/>
    <e v="#N/A"/>
    <m/>
    <s v="4"/>
    <x v="5"/>
    <s v="42"/>
    <s v="השתתפויות תושבים בשירותים משלימים"/>
    <s v="425"/>
    <e v="#N/A"/>
  </r>
  <r>
    <n v="911"/>
    <s v="23100"/>
    <n v="1"/>
    <s v="123100.911"/>
    <s v="השת' ממשלה בשכר משקיפים בו' מקומ"/>
    <m/>
    <m/>
    <n v="-160000"/>
    <n v="-160000"/>
    <n v="0"/>
    <m/>
    <x v="1"/>
    <s v="שירותים מקומיים"/>
    <x v="4"/>
    <s v="תכנון ובנין עיר"/>
    <x v="8"/>
    <s v="משרד מהנדס הרשות"/>
    <s v="2310"/>
    <e v="#N/A"/>
    <m/>
    <s v="9"/>
    <x v="2"/>
    <s v="91"/>
    <s v="השתתפות משרד הפנים"/>
    <s v="911"/>
    <e v="#N/A"/>
  </r>
  <r>
    <n v="210"/>
    <s v="23300"/>
    <n v="1"/>
    <s v="123300.210"/>
    <s v="אגרת רשיונות בניה               "/>
    <m/>
    <m/>
    <n v="-40000000"/>
    <n v="-38000000"/>
    <n v="-40481284"/>
    <m/>
    <x v="1"/>
    <s v="שירותים מקומיים"/>
    <x v="4"/>
    <s v="תכנון ובנין עיר"/>
    <x v="9"/>
    <s v="רישוי ופיקוח על הבניה"/>
    <s v="2330"/>
    <e v="#N/A"/>
    <m/>
    <s v="2"/>
    <x v="1"/>
    <s v="21"/>
    <s v="אגרות מים וביוב"/>
    <s v="210"/>
    <e v="#N/A"/>
  </r>
  <r>
    <n v="310"/>
    <s v="23300"/>
    <n v="1"/>
    <s v="123300.310"/>
    <s v="היטל השבחה                      "/>
    <m/>
    <m/>
    <n v="-50000000"/>
    <n v="-50000000"/>
    <n v="0"/>
    <m/>
    <x v="1"/>
    <s v="שירותים מקומיים"/>
    <x v="4"/>
    <s v="תכנון ובנין עיר"/>
    <x v="9"/>
    <s v="רישוי ופיקוח על הבניה"/>
    <s v="2330"/>
    <e v="#N/A"/>
    <m/>
    <s v="3"/>
    <x v="4"/>
    <s v="31"/>
    <s v="היטלים"/>
    <s v="310"/>
    <e v="#N/A"/>
  </r>
  <r>
    <n v="422"/>
    <s v="23300"/>
    <n v="1"/>
    <s v="123300.422"/>
    <s v="הכנסות מצילום מסמכים בגנזך      "/>
    <m/>
    <m/>
    <n v="-30000"/>
    <n v="-150000"/>
    <n v="-144504"/>
    <m/>
    <x v="1"/>
    <s v="שירותים מקומיים"/>
    <x v="4"/>
    <s v="תכנון ובנין עיר"/>
    <x v="9"/>
    <s v="רישוי ופיקוח על הבניה"/>
    <s v="2330"/>
    <e v="#N/A"/>
    <m/>
    <s v="4"/>
    <x v="5"/>
    <s v="42"/>
    <s v="השתתפויות תושבים בשירותים משלימים"/>
    <s v="422"/>
    <e v="#N/A"/>
  </r>
  <r>
    <n v="421"/>
    <s v="24100"/>
    <n v="1"/>
    <s v="124100.421"/>
    <s v="הכנסות מעבודות שונות            "/>
    <m/>
    <m/>
    <n v="-50000"/>
    <n v="-10000"/>
    <n v="-51000"/>
    <m/>
    <x v="1"/>
    <s v="שירותים מקומיים"/>
    <x v="6"/>
    <s v="נכסים ציבוריים"/>
    <x v="10"/>
    <s v="מינהל נכסים ציבוריים"/>
    <s v="2410"/>
    <e v="#N/A"/>
    <m/>
    <s v="4"/>
    <x v="5"/>
    <s v="42"/>
    <s v="השתתפויות תושבים בשירותים משלימים"/>
    <s v="421"/>
    <e v="#N/A"/>
  </r>
  <r>
    <n v="810"/>
    <s v="24200"/>
    <n v="1"/>
    <s v="124200.810"/>
    <s v="היטל סלילת כבישים               "/>
    <m/>
    <m/>
    <n v="-13000000"/>
    <n v="-15500000"/>
    <n v="-16000000"/>
    <m/>
    <x v="1"/>
    <s v="שירותים מקומיים"/>
    <x v="6"/>
    <s v="נכסים ציבוריים"/>
    <x v="11"/>
    <s v="דרכים ומדרכות"/>
    <s v="2420"/>
    <e v="#N/A"/>
    <m/>
    <s v="8"/>
    <x v="6"/>
    <s v="81"/>
    <s v="השתתפויות בעלים"/>
    <s v="810"/>
    <e v="#N/A"/>
  </r>
  <r>
    <n v="820"/>
    <s v="24200"/>
    <n v="1"/>
    <s v="124200.820"/>
    <s v="רצוף מדרכות                     "/>
    <m/>
    <m/>
    <n v="-4200000"/>
    <n v="-5100000"/>
    <n v="-5200000"/>
    <m/>
    <x v="1"/>
    <s v="שירותים מקומיים"/>
    <x v="6"/>
    <s v="נכסים ציבוריים"/>
    <x v="11"/>
    <s v="דרכים ומדרכות"/>
    <s v="2420"/>
    <e v="#N/A"/>
    <m/>
    <s v="8"/>
    <x v="6"/>
    <s v="82"/>
    <e v="#N/A"/>
    <s v="820"/>
    <e v="#N/A"/>
  </r>
  <r>
    <n v="421"/>
    <s v="24400"/>
    <n v="1"/>
    <s v="124400.421"/>
    <s v="הכנסות  מעבודות שונות           "/>
    <m/>
    <m/>
    <n v="0"/>
    <n v="-10000"/>
    <n v="0"/>
    <m/>
    <x v="1"/>
    <s v="שירותים מקומיים"/>
    <x v="6"/>
    <s v="נכסים ציבוריים"/>
    <x v="12"/>
    <s v="בטיחות בדרכים"/>
    <s v="2440"/>
    <e v="#N/A"/>
    <m/>
    <s v="4"/>
    <x v="5"/>
    <s v="42"/>
    <s v="השתתפויות תושבים בשירותים משלימים"/>
    <s v="421"/>
    <e v="#N/A"/>
  </r>
  <r>
    <n v="581"/>
    <s v="24400"/>
    <n v="1"/>
    <s v="124400.581"/>
    <s v="החזרים מקרן חניונים             "/>
    <m/>
    <m/>
    <n v="-2200000"/>
    <n v="-200000"/>
    <n v="0"/>
    <m/>
    <x v="1"/>
    <s v="שירותים מקומיים"/>
    <x v="6"/>
    <s v="נכסים ציבוריים"/>
    <x v="12"/>
    <s v="בטיחות בדרכים"/>
    <s v="2440"/>
    <e v="#N/A"/>
    <m/>
    <s v="5"/>
    <x v="7"/>
    <s v="58"/>
    <s v="החזרות מקרנות"/>
    <s v="581"/>
    <e v="#N/A"/>
  </r>
  <r>
    <n v="991"/>
    <s v="24400"/>
    <n v="1"/>
    <s v="124400.991"/>
    <s v="השת' משרד התחבורה-מרכזי הדרכה   "/>
    <m/>
    <m/>
    <n v="-300000"/>
    <n v="-300000"/>
    <n v="-392423"/>
    <m/>
    <x v="1"/>
    <s v="שירותים מקומיים"/>
    <x v="6"/>
    <s v="נכסים ציבוריים"/>
    <x v="12"/>
    <s v="בטיחות בדרכים"/>
    <s v="2440"/>
    <e v="#N/A"/>
    <m/>
    <s v="9"/>
    <x v="2"/>
    <s v="99"/>
    <s v="השתתפות משרדי ממשלה אחרים"/>
    <s v="991"/>
    <e v="#N/A"/>
  </r>
  <r>
    <n v="992"/>
    <s v="24400"/>
    <n v="1"/>
    <s v="124400.992"/>
    <s v="השתתפות מ. התחבורה- מטה בטיחות  "/>
    <m/>
    <m/>
    <n v="-600000"/>
    <n v="-600000"/>
    <n v="-294735"/>
    <m/>
    <x v="1"/>
    <s v="שירותים מקומיים"/>
    <x v="6"/>
    <s v="נכסים ציבוריים"/>
    <x v="12"/>
    <s v="בטיחות בדרכים"/>
    <s v="2440"/>
    <e v="#N/A"/>
    <m/>
    <s v="9"/>
    <x v="2"/>
    <s v="99"/>
    <s v="השתתפות משרדי ממשלה אחרים"/>
    <s v="992"/>
    <e v="#N/A"/>
  </r>
  <r>
    <n v="810"/>
    <s v="24500"/>
    <n v="1"/>
    <s v="124500.810"/>
    <s v="היטל תיעול                      "/>
    <m/>
    <m/>
    <n v="-600000"/>
    <n v="-800000"/>
    <n v="-800000"/>
    <m/>
    <x v="1"/>
    <s v="שירותים מקומיים"/>
    <x v="6"/>
    <s v="נכסים ציבוריים"/>
    <x v="13"/>
    <s v="תיעול וניקוז"/>
    <s v="2450"/>
    <e v="#N/A"/>
    <m/>
    <s v="8"/>
    <x v="6"/>
    <s v="81"/>
    <s v="השתתפויות בעלים"/>
    <s v="810"/>
    <e v="#N/A"/>
  </r>
  <r>
    <n v="422"/>
    <s v="24600"/>
    <n v="1"/>
    <s v="124600.422"/>
    <s v="הכנסות מהחזר הוצ' שמירה-נחלת בני"/>
    <m/>
    <m/>
    <n v="-450000"/>
    <n v="-450000"/>
    <n v="-473401"/>
    <m/>
    <x v="1"/>
    <s v="שירותים מקומיים"/>
    <x v="6"/>
    <s v="נכסים ציבוריים"/>
    <x v="14"/>
    <s v="גנים ונטיעות"/>
    <s v="2460"/>
    <e v="#N/A"/>
    <m/>
    <s v="4"/>
    <x v="5"/>
    <s v="42"/>
    <s v="השתתפויות תושבים בשירותים משלימים"/>
    <s v="422"/>
    <e v="#N/A"/>
  </r>
  <r>
    <n v="423"/>
    <s v="24600"/>
    <n v="1"/>
    <s v="124600.423"/>
    <s v="הכנסות מביצוע עבודות שונות      "/>
    <m/>
    <m/>
    <n v="-70000"/>
    <n v="-70000"/>
    <n v="-192938"/>
    <m/>
    <x v="1"/>
    <s v="שירותים מקומיים"/>
    <x v="6"/>
    <s v="נכסים ציבוריים"/>
    <x v="14"/>
    <s v="גנים ונטיעות"/>
    <s v="2460"/>
    <e v="#N/A"/>
    <m/>
    <s v="4"/>
    <x v="5"/>
    <s v="42"/>
    <s v="השתתפויות תושבים בשירותים משלימים"/>
    <s v="423"/>
    <e v="#N/A"/>
  </r>
  <r>
    <n v="424"/>
    <s v="24600"/>
    <n v="1"/>
    <s v="124600.424"/>
    <s v="דמי כניסה לשירותים ציבוריים     "/>
    <m/>
    <m/>
    <n v="-350000"/>
    <n v="0"/>
    <n v="0"/>
    <m/>
    <x v="1"/>
    <s v="שירותים מקומיים"/>
    <x v="6"/>
    <s v="נכסים ציבוריים"/>
    <x v="14"/>
    <s v="גנים ונטיעות"/>
    <s v="2460"/>
    <e v="#N/A"/>
    <m/>
    <s v="4"/>
    <x v="5"/>
    <s v="42"/>
    <s v="השתתפויות תושבים בשירותים משלימים"/>
    <s v="424"/>
    <e v="#N/A"/>
  </r>
  <r>
    <n v="531"/>
    <s v="268100"/>
    <n v="1"/>
    <s v="1268100.531"/>
    <s v="החזר הוצ' משפטיות-שירות משפטי   "/>
    <m/>
    <m/>
    <n v="-1600000"/>
    <n v="-1600000"/>
    <n v="-3494771"/>
    <m/>
    <x v="1"/>
    <s v="שירותים מקומיים"/>
    <x v="7"/>
    <s v="שירותים עירוניים שונים"/>
    <x v="15"/>
    <s v="מפעם - מרכז הדרכה אזורי"/>
    <s v="2681"/>
    <e v="#N/A"/>
    <m/>
    <s v="5"/>
    <x v="7"/>
    <s v="53"/>
    <e v="#N/A"/>
    <s v="531"/>
    <e v="#N/A"/>
  </r>
  <r>
    <n v="531"/>
    <s v="268200"/>
    <n v="1"/>
    <s v="1268200.531"/>
    <s v="החזר הוצ' משפטיות-עו ד          "/>
    <m/>
    <m/>
    <n v="-600000"/>
    <n v="-400000"/>
    <n v="-653075"/>
    <m/>
    <x v="1"/>
    <s v="שירותים מקומיים"/>
    <x v="7"/>
    <s v="שירותים עירוניים שונים"/>
    <x v="15"/>
    <s v="מפעם - מרכז הדרכה אזורי"/>
    <s v="2682"/>
    <e v="#N/A"/>
    <m/>
    <s v="5"/>
    <x v="7"/>
    <s v="53"/>
    <e v="#N/A"/>
    <s v="531"/>
    <e v="#N/A"/>
  </r>
  <r>
    <n v="532"/>
    <s v="282200"/>
    <n v="1"/>
    <s v="1282200.532"/>
    <s v="החזר הוצ' משפטיות-אגרות         "/>
    <m/>
    <m/>
    <n v="-400000"/>
    <n v="-500000"/>
    <n v="-373755"/>
    <m/>
    <x v="1"/>
    <s v="שירותים מקומיים"/>
    <x v="8"/>
    <s v="פיקוח עירוני"/>
    <x v="16"/>
    <s v="בית משפט עירוני"/>
    <s v="2822"/>
    <e v="#N/A"/>
    <m/>
    <s v="5"/>
    <x v="7"/>
    <s v="53"/>
    <e v="#N/A"/>
    <s v="532"/>
    <e v="#N/A"/>
  </r>
  <r>
    <n v="533"/>
    <s v="282200"/>
    <n v="1"/>
    <s v="1282200.533"/>
    <s v="החזר הוצ' אכיפה מנהלית          "/>
    <m/>
    <m/>
    <n v="-6000000"/>
    <n v="-6400000"/>
    <n v="-9614340"/>
    <m/>
    <x v="1"/>
    <s v="שירותים מקומיים"/>
    <x v="8"/>
    <s v="פיקוח עירוני"/>
    <x v="16"/>
    <s v="בית משפט עירוני"/>
    <s v="2822"/>
    <e v="#N/A"/>
    <m/>
    <s v="5"/>
    <x v="7"/>
    <s v="53"/>
    <e v="#N/A"/>
    <s v="533"/>
    <e v="#N/A"/>
  </r>
  <r>
    <n v="535"/>
    <s v="282200"/>
    <n v="1"/>
    <s v="1282200.535"/>
    <s v="הכנסות מהחזר גבית עמלות בנקים   "/>
    <m/>
    <m/>
    <n v="-20000"/>
    <n v="-50000"/>
    <n v="-26841"/>
    <m/>
    <x v="1"/>
    <s v="שירותים מקומיים"/>
    <x v="8"/>
    <s v="פיקוח עירוני"/>
    <x v="16"/>
    <s v="בית משפט עירוני"/>
    <s v="2822"/>
    <e v="#N/A"/>
    <m/>
    <s v="5"/>
    <x v="7"/>
    <s v="53"/>
    <e v="#N/A"/>
    <s v="535"/>
    <e v="#N/A"/>
  </r>
  <r>
    <n v="531"/>
    <s v="282300"/>
    <n v="1"/>
    <s v="1282300.531"/>
    <s v="החזר הוצ' משפטיות-אגרות-אגף אגד "/>
    <m/>
    <m/>
    <n v="-500000"/>
    <n v="-500000"/>
    <n v="-704251"/>
    <m/>
    <x v="1"/>
    <s v="שירותים מקומיים"/>
    <x v="8"/>
    <s v="פיקוח עירוני"/>
    <x v="16"/>
    <s v="בית משפט עירוני"/>
    <s v="2823"/>
    <e v="#N/A"/>
    <m/>
    <s v="5"/>
    <x v="7"/>
    <s v="53"/>
    <e v="#N/A"/>
    <s v="531"/>
    <e v="#N/A"/>
  </r>
  <r>
    <n v="532"/>
    <s v="282300"/>
    <n v="1"/>
    <s v="1282300.532"/>
    <s v="החזר הוצ' משפטיות-עו ד-אגף אגד ש"/>
    <m/>
    <m/>
    <n v="-1150000"/>
    <n v="-1450000"/>
    <n v="-1395319"/>
    <m/>
    <x v="1"/>
    <s v="שירותים מקומיים"/>
    <x v="8"/>
    <s v="פיקוח עירוני"/>
    <x v="16"/>
    <s v="בית משפט עירוני"/>
    <s v="2823"/>
    <e v="#N/A"/>
    <m/>
    <s v="5"/>
    <x v="7"/>
    <s v="53"/>
    <e v="#N/A"/>
    <s v="532"/>
    <e v="#N/A"/>
  </r>
  <r>
    <n v="533"/>
    <s v="282300"/>
    <n v="1"/>
    <s v="1282300.533"/>
    <s v="החזר הוצאות אכיפה מנהלית-אגד ש  "/>
    <m/>
    <m/>
    <n v="-50000"/>
    <n v="0"/>
    <n v="0"/>
    <m/>
    <x v="1"/>
    <s v="שירותים מקומיים"/>
    <x v="8"/>
    <s v="פיקוח עירוני"/>
    <x v="16"/>
    <s v="בית משפט עירוני"/>
    <s v="2823"/>
    <e v="#N/A"/>
    <m/>
    <s v="5"/>
    <x v="7"/>
    <s v="53"/>
    <e v="#N/A"/>
    <s v="533"/>
    <e v="#N/A"/>
  </r>
  <r>
    <n v="531"/>
    <s v="282400"/>
    <n v="1"/>
    <s v="1282400.531"/>
    <s v="החזר הוצ' אכיפה מנהלית-חניה     "/>
    <m/>
    <m/>
    <n v="-9500000"/>
    <n v="-10500000"/>
    <n v="-10420567"/>
    <m/>
    <x v="1"/>
    <s v="שירותים מקומיים"/>
    <x v="8"/>
    <s v="פיקוח עירוני"/>
    <x v="16"/>
    <s v="בית משפט עירוני"/>
    <s v="2824"/>
    <e v="#N/A"/>
    <m/>
    <s v="5"/>
    <x v="7"/>
    <s v="53"/>
    <e v="#N/A"/>
    <s v="531"/>
    <e v="#N/A"/>
  </r>
  <r>
    <n v="410"/>
    <s v="26900"/>
    <n v="1"/>
    <s v="126900.410"/>
    <s v="הכנסות שונות                    "/>
    <m/>
    <m/>
    <n v="-1500000"/>
    <n v="-1500000"/>
    <n v="-3106399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1"/>
    <s v="שכל&quot;מ מתושבים"/>
    <s v="410"/>
    <e v="#N/A"/>
  </r>
  <r>
    <n v="421"/>
    <s v="26900"/>
    <n v="1"/>
    <s v="126900.421"/>
    <s v="הכנסות מפעילות הארכיון העירוני  "/>
    <m/>
    <m/>
    <n v="-5000"/>
    <n v="-5000"/>
    <n v="-2051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1"/>
    <e v="#N/A"/>
  </r>
  <r>
    <n v="422"/>
    <s v="26900"/>
    <n v="1"/>
    <s v="126900.422"/>
    <s v="הכנסות בגין גניזה               "/>
    <m/>
    <m/>
    <n v="-15000"/>
    <n v="-15000"/>
    <n v="-13688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2"/>
    <e v="#N/A"/>
  </r>
  <r>
    <n v="423"/>
    <s v="26900"/>
    <n v="1"/>
    <s v="126900.423"/>
    <s v="הכנסות לאחזקת כיכר רבין         "/>
    <m/>
    <m/>
    <n v="-10000"/>
    <n v="-20000"/>
    <n v="-11724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3"/>
    <e v="#N/A"/>
  </r>
  <r>
    <n v="424"/>
    <s v="26900"/>
    <n v="1"/>
    <s v="126900.424"/>
    <s v="החזר השקעה בתוכנה               "/>
    <m/>
    <m/>
    <n v="-300000"/>
    <n v="-300000"/>
    <n v="-3138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4"/>
    <e v="#N/A"/>
  </r>
  <r>
    <n v="425"/>
    <s v="26900"/>
    <n v="1"/>
    <s v="126900.425"/>
    <s v="הכנסות מפעילות המשלמה ביפו      "/>
    <m/>
    <m/>
    <n v="-20000"/>
    <n v="-20000"/>
    <n v="-98601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5"/>
    <e v="#N/A"/>
  </r>
  <r>
    <n v="426"/>
    <s v="26900"/>
    <n v="1"/>
    <s v="126900.426"/>
    <s v="הכנסות מפרויקט כ.אשראי-תושב     "/>
    <m/>
    <m/>
    <n v="-30000"/>
    <n v="-30000"/>
    <n v="-341773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6"/>
    <e v="#N/A"/>
  </r>
  <r>
    <n v="427"/>
    <s v="26900"/>
    <n v="1"/>
    <s v="126900.427"/>
    <s v="הכנסות בגין פיקוח על צילומי חוץ "/>
    <m/>
    <m/>
    <n v="-80000"/>
    <n v="-80000"/>
    <n v="-62134"/>
    <m/>
    <x v="1"/>
    <s v="שירותים מקומיים"/>
    <x v="7"/>
    <s v="שירותים עירוניים שונים"/>
    <x v="17"/>
    <s v="הכנסות שונות"/>
    <s v="2690"/>
    <e v="#N/A"/>
    <m/>
    <s v="4"/>
    <x v="5"/>
    <s v="42"/>
    <s v="השתתפויות תושבים בשירותים משלימים"/>
    <s v="427"/>
    <e v="#N/A"/>
  </r>
  <r>
    <n v="510"/>
    <s v="26900"/>
    <n v="1"/>
    <s v="126900.510"/>
    <s v="הכנסות מדמי טיפול בגבית דמי חבר "/>
    <m/>
    <m/>
    <n v="-200000"/>
    <n v="-200000"/>
    <n v="-210420"/>
    <m/>
    <x v="1"/>
    <s v="שירותים מקומיים"/>
    <x v="7"/>
    <s v="שירותים עירוניים שונים"/>
    <x v="17"/>
    <s v="הכנסות שונות"/>
    <s v="2690"/>
    <e v="#N/A"/>
    <m/>
    <s v="5"/>
    <x v="7"/>
    <s v="51"/>
    <s v="החזרות מתקציב רגיל קודם"/>
    <s v="510"/>
    <e v="#N/A"/>
  </r>
  <r>
    <n v="521"/>
    <s v="26900"/>
    <n v="1"/>
    <s v="126900.521"/>
    <s v="החזר ביטוח לאומי- תאונות עבודה  "/>
    <m/>
    <m/>
    <n v="-3800000"/>
    <n v="-3800000"/>
    <n v="-3813339"/>
    <m/>
    <x v="1"/>
    <s v="שירותים מקומיים"/>
    <x v="7"/>
    <s v="שירותים עירוניים שונים"/>
    <x v="17"/>
    <s v="הכנסות שונות"/>
    <s v="2690"/>
    <e v="#N/A"/>
    <m/>
    <s v="5"/>
    <x v="7"/>
    <s v="52"/>
    <e v="#N/A"/>
    <s v="521"/>
    <e v="#N/A"/>
  </r>
  <r>
    <n v="522"/>
    <s v="26900"/>
    <n v="1"/>
    <s v="126900.522"/>
    <s v="הכנסות בגין תביעות מיטיבים      "/>
    <m/>
    <m/>
    <n v="-500000"/>
    <n v="0"/>
    <n v="-241053"/>
    <m/>
    <x v="1"/>
    <s v="שירותים מקומיים"/>
    <x v="7"/>
    <s v="שירותים עירוניים שונים"/>
    <x v="17"/>
    <s v="הכנסות שונות"/>
    <s v="2690"/>
    <e v="#N/A"/>
    <m/>
    <s v="5"/>
    <x v="7"/>
    <s v="52"/>
    <e v="#N/A"/>
    <s v="522"/>
    <e v="#N/A"/>
  </r>
  <r>
    <n v="524"/>
    <s v="26900"/>
    <n v="1"/>
    <s v="126900.524"/>
    <s v="השתתפות איכילוב במודעות דרושים  "/>
    <m/>
    <m/>
    <n v="-90000"/>
    <n v="-90000"/>
    <n v="-125298"/>
    <m/>
    <x v="1"/>
    <s v="שירותים מקומיים"/>
    <x v="7"/>
    <s v="שירותים עירוניים שונים"/>
    <x v="17"/>
    <s v="הכנסות שונות"/>
    <s v="2690"/>
    <e v="#N/A"/>
    <m/>
    <s v="5"/>
    <x v="7"/>
    <s v="52"/>
    <e v="#N/A"/>
    <s v="524"/>
    <e v="#N/A"/>
  </r>
  <r>
    <n v="527"/>
    <s v="26900"/>
    <n v="1"/>
    <s v="126900.527"/>
    <s v="החזר הוצ' חשמל מחברות פרסום     "/>
    <m/>
    <m/>
    <n v="-500000"/>
    <n v="-600000"/>
    <n v="-572132"/>
    <m/>
    <x v="1"/>
    <s v="שירותים מקומיים"/>
    <x v="7"/>
    <s v="שירותים עירוניים שונים"/>
    <x v="17"/>
    <s v="הכנסות שונות"/>
    <s v="2690"/>
    <e v="#N/A"/>
    <m/>
    <s v="5"/>
    <x v="7"/>
    <s v="52"/>
    <e v="#N/A"/>
    <s v="527"/>
    <e v="#N/A"/>
  </r>
  <r>
    <n v="791"/>
    <s v="26900"/>
    <n v="1"/>
    <s v="126900.791"/>
    <s v="מימון פרויקטים ע י האיחוד הארופי"/>
    <m/>
    <m/>
    <n v="-120000"/>
    <n v="-120000"/>
    <n v="0"/>
    <m/>
    <x v="1"/>
    <s v="שירותים מקומיים"/>
    <x v="7"/>
    <s v="שירותים עירוניים שונים"/>
    <x v="17"/>
    <s v="הכנסות שונות"/>
    <s v="2690"/>
    <e v="#N/A"/>
    <m/>
    <s v="7"/>
    <x v="8"/>
    <s v="79"/>
    <s v="השתתפות מוסדות אחרים"/>
    <s v="791"/>
    <e v="#N/A"/>
  </r>
  <r>
    <n v="411"/>
    <s v="28100"/>
    <n v="1"/>
    <s v="128100.411"/>
    <s v="קנסות בית משפט-תכנון ובניה      "/>
    <m/>
    <m/>
    <n v="-5000000"/>
    <n v="-5000000"/>
    <n v="-6291611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1"/>
    <e v="#N/A"/>
  </r>
  <r>
    <n v="412"/>
    <s v="28100"/>
    <n v="1"/>
    <s v="128100.412"/>
    <s v="קנסות בית משפט- רישוי עסקים     "/>
    <m/>
    <m/>
    <n v="-3000000"/>
    <n v="-3000000"/>
    <n v="-3871597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2"/>
    <e v="#N/A"/>
  </r>
  <r>
    <n v="413"/>
    <s v="28100"/>
    <n v="1"/>
    <s v="128100.413"/>
    <s v="קנסות בית משפט-חוקי עזר         "/>
    <m/>
    <m/>
    <n v="-500000"/>
    <n v="-500000"/>
    <n v="-1123095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3"/>
    <e v="#N/A"/>
  </r>
  <r>
    <n v="415"/>
    <s v="28100"/>
    <n v="1"/>
    <s v="128100.415"/>
    <s v="קנסות ברירת קנס-לאחר משפט       "/>
    <m/>
    <m/>
    <n v="-500000"/>
    <n v="-500000"/>
    <n v="-725992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5"/>
    <e v="#N/A"/>
  </r>
  <r>
    <n v="416"/>
    <s v="28100"/>
    <n v="1"/>
    <s v="128100.416"/>
    <s v="קנסות בגין חוקי עזר-ברירת משפט  "/>
    <m/>
    <m/>
    <n v="-6500000"/>
    <n v="-6000000"/>
    <n v="-5158501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6"/>
    <e v="#N/A"/>
  </r>
  <r>
    <n v="417"/>
    <s v="28100"/>
    <n v="1"/>
    <s v="128100.417"/>
    <s v="קנסות בגין ח.עזר-ב.משפט-לאחר אכי"/>
    <m/>
    <m/>
    <n v="-7000000"/>
    <n v="-7000000"/>
    <n v="-8349876"/>
    <m/>
    <x v="1"/>
    <s v="שירותים מקומיים"/>
    <x v="8"/>
    <s v="פיקוח עירוני"/>
    <x v="18"/>
    <s v="פיקוח על חוקי עזר"/>
    <s v="2810"/>
    <e v="#N/A"/>
    <m/>
    <s v="4"/>
    <x v="5"/>
    <s v="41"/>
    <s v="שכל&quot;מ מתושבים"/>
    <s v="417"/>
    <e v="#N/A"/>
  </r>
  <r>
    <n v="421"/>
    <s v="28100"/>
    <n v="1"/>
    <s v="128100.421"/>
    <s v="קנסות בית משפט כללי-אכיפה מינהלי"/>
    <m/>
    <m/>
    <n v="-500000"/>
    <n v="-400000"/>
    <n v="-673921"/>
    <m/>
    <x v="1"/>
    <s v="שירותים מקומיים"/>
    <x v="8"/>
    <s v="פיקוח עירוני"/>
    <x v="18"/>
    <s v="פיקוח על חוקי עזר"/>
    <s v="2810"/>
    <e v="#N/A"/>
    <m/>
    <s v="4"/>
    <x v="5"/>
    <s v="42"/>
    <s v="השתתפויות תושבים בשירותים משלימים"/>
    <s v="421"/>
    <e v="#N/A"/>
  </r>
  <r>
    <n v="560"/>
    <s v="28200"/>
    <n v="1"/>
    <s v="128200.560"/>
    <s v="החזרת הוצאות משפט ודמי עקול     "/>
    <m/>
    <m/>
    <n v="-30000"/>
    <n v="-30000"/>
    <n v="-16375"/>
    <m/>
    <x v="1"/>
    <s v="שירותים מקומיים"/>
    <x v="8"/>
    <s v="פיקוח עירוני"/>
    <x v="16"/>
    <s v="בית משפט עירוני"/>
    <s v="2820"/>
    <e v="#N/A"/>
    <m/>
    <s v="5"/>
    <x v="7"/>
    <s v="56"/>
    <e v="#N/A"/>
    <s v="560"/>
    <e v="#N/A"/>
  </r>
  <r>
    <n v="210"/>
    <s v="21400"/>
    <n v="1"/>
    <s v="121400.210"/>
    <s v="אגרת רשיונות ודמי חסון לכלבים   "/>
    <m/>
    <m/>
    <n v="-1300000"/>
    <n v="-1250000"/>
    <n v="-1376024"/>
    <m/>
    <x v="1"/>
    <s v="שירותים מקומיים"/>
    <x v="3"/>
    <s v="תברואה"/>
    <x v="19"/>
    <s v="שרות וטרינרי"/>
    <s v="2140"/>
    <e v="#N/A"/>
    <m/>
    <s v="2"/>
    <x v="1"/>
    <s v="21"/>
    <s v="אגרות מים וביוב"/>
    <s v="210"/>
    <e v="#N/A"/>
  </r>
  <r>
    <n v="220"/>
    <s v="21400"/>
    <n v="1"/>
    <s v="121400.220"/>
    <s v="מלחמה בכלבת הסגר כלבים          "/>
    <m/>
    <m/>
    <n v="-30000"/>
    <n v="-30000"/>
    <n v="-49822"/>
    <m/>
    <x v="1"/>
    <s v="שירותים מקומיים"/>
    <x v="3"/>
    <s v="תברואה"/>
    <x v="19"/>
    <s v="שרות וטרינרי"/>
    <s v="2140"/>
    <e v="#N/A"/>
    <m/>
    <s v="2"/>
    <x v="1"/>
    <s v="22"/>
    <s v="אגרות בגין שירותים וחומרים"/>
    <s v="220"/>
    <e v="#N/A"/>
  </r>
  <r>
    <n v="411"/>
    <s v="21400"/>
    <n v="1"/>
    <s v="121400.411"/>
    <s v="בשר קפוא                        "/>
    <m/>
    <m/>
    <n v="-200000"/>
    <n v="-500000"/>
    <n v="-15982"/>
    <m/>
    <x v="1"/>
    <s v="שירותים מקומיים"/>
    <x v="3"/>
    <s v="תברואה"/>
    <x v="19"/>
    <s v="שרות וטרינרי"/>
    <s v="2140"/>
    <e v="#N/A"/>
    <m/>
    <s v="4"/>
    <x v="5"/>
    <s v="41"/>
    <s v="שכל&quot;מ מתושבים"/>
    <s v="411"/>
    <e v="#N/A"/>
  </r>
  <r>
    <n v="412"/>
    <s v="21400"/>
    <n v="1"/>
    <s v="121400.412"/>
    <s v="בשר טרי                         "/>
    <m/>
    <m/>
    <n v="-200000"/>
    <n v="-130000"/>
    <n v="-194727"/>
    <m/>
    <x v="1"/>
    <s v="שירותים מקומיים"/>
    <x v="3"/>
    <s v="תברואה"/>
    <x v="19"/>
    <s v="שרות וטרינרי"/>
    <s v="2140"/>
    <e v="#N/A"/>
    <m/>
    <s v="4"/>
    <x v="5"/>
    <s v="41"/>
    <s v="שכל&quot;מ מתושבים"/>
    <s v="412"/>
    <e v="#N/A"/>
  </r>
  <r>
    <n v="413"/>
    <s v="21400"/>
    <n v="1"/>
    <s v="121400.413"/>
    <s v="דמי בדיקת דגים                  "/>
    <m/>
    <m/>
    <n v="-1500000"/>
    <n v="-1500000"/>
    <n v="-1451643"/>
    <m/>
    <x v="1"/>
    <s v="שירותים מקומיים"/>
    <x v="3"/>
    <s v="תברואה"/>
    <x v="19"/>
    <s v="שרות וטרינרי"/>
    <s v="2140"/>
    <e v="#N/A"/>
    <m/>
    <s v="4"/>
    <x v="5"/>
    <s v="41"/>
    <s v="שכל&quot;מ מתושבים"/>
    <s v="413"/>
    <e v="#N/A"/>
  </r>
  <r>
    <n v="414"/>
    <s v="21400"/>
    <n v="1"/>
    <s v="121400.414"/>
    <s v="אגרת בדיקת עופות                "/>
    <m/>
    <m/>
    <n v="-4500000"/>
    <n v="-4000000"/>
    <n v="-4523700"/>
    <m/>
    <x v="1"/>
    <s v="שירותים מקומיים"/>
    <x v="3"/>
    <s v="תברואה"/>
    <x v="19"/>
    <s v="שרות וטרינרי"/>
    <s v="2140"/>
    <e v="#N/A"/>
    <m/>
    <s v="4"/>
    <x v="5"/>
    <s v="41"/>
    <s v="שכל&quot;מ מתושבים"/>
    <s v="414"/>
    <e v="#N/A"/>
  </r>
  <r>
    <n v="411"/>
    <s v="24700"/>
    <n v="1"/>
    <s v="124700.411"/>
    <s v="דמי היתר- כסאות מרגוע בחופי-ים  "/>
    <m/>
    <m/>
    <n v="-500000"/>
    <n v="-500000"/>
    <n v="-257759"/>
    <m/>
    <x v="1"/>
    <s v="שירותים מקומיים"/>
    <x v="6"/>
    <s v="נכסים ציבוריים"/>
    <x v="20"/>
    <s v="חופים, בריכות ומרחצאות"/>
    <s v="2470"/>
    <e v="#N/A"/>
    <m/>
    <s v="4"/>
    <x v="5"/>
    <s v="41"/>
    <s v="שכל&quot;מ מתושבים"/>
    <s v="411"/>
    <e v="#N/A"/>
  </r>
  <r>
    <n v="416"/>
    <s v="24700"/>
    <n v="1"/>
    <s v="124700.416"/>
    <s v="דמי כניסה-חוף הצוק              "/>
    <m/>
    <m/>
    <n v="-900000"/>
    <n v="0"/>
    <n v="0"/>
    <m/>
    <x v="1"/>
    <s v="שירותים מקומיים"/>
    <x v="6"/>
    <s v="נכסים ציבוריים"/>
    <x v="20"/>
    <s v="חופים, בריכות ומרחצאות"/>
    <s v="2470"/>
    <e v="#N/A"/>
    <m/>
    <s v="4"/>
    <x v="5"/>
    <s v="41"/>
    <s v="שכל&quot;מ מתושבים"/>
    <s v="416"/>
    <e v="#N/A"/>
  </r>
  <r>
    <n v="961"/>
    <s v="24700"/>
    <n v="1"/>
    <s v="124700.961"/>
    <s v="השתת התמ ת-הדרכת מצילים-סעיף שאי"/>
    <m/>
    <m/>
    <n v="0"/>
    <n v="0"/>
    <n v="-14000"/>
    <m/>
    <x v="1"/>
    <s v="שירותים מקומיים"/>
    <x v="6"/>
    <s v="נכסים ציבוריים"/>
    <x v="20"/>
    <s v="חופים, בריכות ומרחצאות"/>
    <s v="2470"/>
    <e v="#N/A"/>
    <m/>
    <s v="9"/>
    <x v="2"/>
    <s v="96"/>
    <s v="השתתפות משרד החקלאות"/>
    <s v="961"/>
    <e v="#N/A"/>
  </r>
  <r>
    <n v="422"/>
    <s v="311100"/>
    <n v="1"/>
    <s v="1311100.422"/>
    <s v="הכנסות תמלוגים מספרים           "/>
    <m/>
    <m/>
    <n v="0"/>
    <n v="-10000"/>
    <n v="-8839"/>
    <m/>
    <x v="2"/>
    <s v="שירותים ממלכתיים"/>
    <x v="9"/>
    <s v="חינוך"/>
    <x v="21"/>
    <s v="מינהל החינוך"/>
    <s v="3111"/>
    <e v="#N/A"/>
    <m/>
    <s v="4"/>
    <x v="5"/>
    <s v="42"/>
    <s v="השתתפויות תושבים בשירותים משלימים"/>
    <s v="422"/>
    <e v="#N/A"/>
  </r>
  <r>
    <n v="423"/>
    <s v="311100"/>
    <n v="1"/>
    <s v="1311100.423"/>
    <s v="החזר מהורים-ביטוח תלמידים       "/>
    <m/>
    <m/>
    <n v="-3100000"/>
    <n v="-1900000"/>
    <n v="-1678324"/>
    <m/>
    <x v="2"/>
    <s v="שירותים ממלכתיים"/>
    <x v="9"/>
    <s v="חינוך"/>
    <x v="21"/>
    <s v="מינהל החינוך"/>
    <s v="3111"/>
    <e v="#N/A"/>
    <m/>
    <s v="4"/>
    <x v="5"/>
    <s v="42"/>
    <s v="השתתפויות תושבים בשירותים משלימים"/>
    <s v="423"/>
    <e v="#N/A"/>
  </r>
  <r>
    <n v="424"/>
    <s v="311100"/>
    <n v="1"/>
    <s v="1311100.424"/>
    <s v="השתת' גורמי חוץ במימון משלחות   "/>
    <m/>
    <m/>
    <n v="-50000"/>
    <n v="-50000"/>
    <n v="-67937"/>
    <m/>
    <x v="2"/>
    <s v="שירותים ממלכתיים"/>
    <x v="9"/>
    <s v="חינוך"/>
    <x v="21"/>
    <s v="מינהל החינוך"/>
    <s v="3111"/>
    <e v="#N/A"/>
    <m/>
    <s v="4"/>
    <x v="5"/>
    <s v="42"/>
    <s v="השתתפויות תושבים בשירותים משלימים"/>
    <s v="424"/>
    <e v="#N/A"/>
  </r>
  <r>
    <n v="441"/>
    <s v="311100"/>
    <n v="1"/>
    <s v="1311100.441"/>
    <s v="השתתפות חב' יובל חינוך בפרויקטים"/>
    <m/>
    <m/>
    <n v="-2300000"/>
    <n v="0"/>
    <n v="0"/>
    <m/>
    <x v="2"/>
    <s v="שירותים ממלכתיים"/>
    <x v="9"/>
    <s v="חינוך"/>
    <x v="21"/>
    <s v="מינהל החינוך"/>
    <s v="3111"/>
    <e v="#N/A"/>
    <m/>
    <s v="4"/>
    <x v="5"/>
    <s v="44"/>
    <s v="השתתפויות מוסדות ורשויות בשירותים משלימים"/>
    <s v="441"/>
    <e v="#N/A"/>
  </r>
  <r>
    <n v="591"/>
    <s v="311100"/>
    <n v="1"/>
    <s v="1311100.591"/>
    <s v="השתתפות מקרנות-לפרסים ומלגות    "/>
    <m/>
    <m/>
    <n v="-290000"/>
    <n v="-255000"/>
    <n v="-337850"/>
    <m/>
    <x v="2"/>
    <s v="שירותים ממלכתיים"/>
    <x v="9"/>
    <s v="חינוך"/>
    <x v="21"/>
    <s v="מינהל החינוך"/>
    <s v="3111"/>
    <e v="#N/A"/>
    <m/>
    <s v="5"/>
    <x v="7"/>
    <s v="59"/>
    <s v="החזרות אחרות"/>
    <s v="591"/>
    <e v="#N/A"/>
  </r>
  <r>
    <n v="592"/>
    <s v="311100"/>
    <n v="1"/>
    <s v="1311100.592"/>
    <s v="השתתפות קרן ת א-תוכנית פותחים עת"/>
    <m/>
    <m/>
    <n v="0"/>
    <n v="0"/>
    <n v="-145000"/>
    <m/>
    <x v="2"/>
    <s v="שירותים ממלכתיים"/>
    <x v="9"/>
    <s v="חינוך"/>
    <x v="21"/>
    <s v="מינהל החינוך"/>
    <s v="3111"/>
    <e v="#N/A"/>
    <m/>
    <s v="5"/>
    <x v="7"/>
    <s v="59"/>
    <s v="החזרות אחרות"/>
    <s v="592"/>
    <e v="#N/A"/>
  </r>
  <r>
    <n v="593"/>
    <s v="311100"/>
    <n v="1"/>
    <s v="1311100.593"/>
    <s v="השתתפות מקרן מורשה              "/>
    <m/>
    <m/>
    <n v="0"/>
    <n v="-130000"/>
    <n v="0"/>
    <m/>
    <x v="2"/>
    <s v="שירותים ממלכתיים"/>
    <x v="9"/>
    <s v="חינוך"/>
    <x v="21"/>
    <s v="מינהל החינוך"/>
    <s v="3111"/>
    <e v="#N/A"/>
    <m/>
    <s v="5"/>
    <x v="7"/>
    <s v="59"/>
    <s v="החזרות אחרות"/>
    <s v="593"/>
    <e v="#N/A"/>
  </r>
  <r>
    <n v="594"/>
    <s v="311100"/>
    <n v="1"/>
    <s v="1311100.594"/>
    <s v="השתתפות קרן ת א- כללי           "/>
    <m/>
    <m/>
    <n v="-135000"/>
    <n v="-225000"/>
    <n v="-316000"/>
    <m/>
    <x v="2"/>
    <s v="שירותים ממלכתיים"/>
    <x v="9"/>
    <s v="חינוך"/>
    <x v="21"/>
    <s v="מינהל החינוך"/>
    <s v="3111"/>
    <e v="#N/A"/>
    <m/>
    <s v="5"/>
    <x v="7"/>
    <s v="59"/>
    <s v="החזרות אחרות"/>
    <s v="594"/>
    <e v="#N/A"/>
  </r>
  <r>
    <n v="741"/>
    <s v="311100"/>
    <n v="1"/>
    <s v="1311100.741"/>
    <s v="השתתפות מפעל הפיס               "/>
    <m/>
    <m/>
    <n v="0"/>
    <n v="0"/>
    <n v="-10603"/>
    <m/>
    <x v="2"/>
    <s v="שירותים ממלכתיים"/>
    <x v="9"/>
    <s v="חינוך"/>
    <x v="21"/>
    <s v="מינהל החינוך"/>
    <s v="3111"/>
    <e v="#N/A"/>
    <m/>
    <s v="7"/>
    <x v="8"/>
    <s v="74"/>
    <s v="השתתפות מפעל הפיס"/>
    <s v="741"/>
    <e v="#N/A"/>
  </r>
  <r>
    <n v="921"/>
    <s v="311200"/>
    <n v="1"/>
    <s v="1311200.921"/>
    <s v="השתת' ממשלה באבטחת מוסדות חנוך  "/>
    <m/>
    <m/>
    <n v="-10600000"/>
    <n v="-10000000"/>
    <n v="-10489471"/>
    <m/>
    <x v="2"/>
    <s v="שירותים ממלכתיים"/>
    <x v="9"/>
    <s v="חינוך"/>
    <x v="21"/>
    <s v="מינהל החינוך"/>
    <s v="3112"/>
    <e v="#N/A"/>
    <m/>
    <s v="9"/>
    <x v="2"/>
    <s v="92"/>
    <s v="השתתפות משרד החינוך והתרבות"/>
    <s v="921"/>
    <e v="#N/A"/>
  </r>
  <r>
    <n v="922"/>
    <s v="311200"/>
    <n v="1"/>
    <s v="1311200.922"/>
    <s v="קציני ביטחון                    "/>
    <m/>
    <m/>
    <n v="-1220000"/>
    <n v="-975000"/>
    <n v="-967566"/>
    <m/>
    <x v="2"/>
    <s v="שירותים ממלכתיים"/>
    <x v="9"/>
    <s v="חינוך"/>
    <x v="21"/>
    <s v="מינהל החינוך"/>
    <s v="3112"/>
    <e v="#N/A"/>
    <m/>
    <s v="9"/>
    <x v="2"/>
    <s v="92"/>
    <s v="השתתפות משרד החינוך והתרבות"/>
    <s v="922"/>
    <e v="#N/A"/>
  </r>
  <r>
    <n v="921"/>
    <s v="312200"/>
    <n v="1"/>
    <s v="1312200.921"/>
    <s v="השתת' משה ח בשכר עוזרות לגננות  "/>
    <m/>
    <m/>
    <n v="-25800000"/>
    <n v="-25000000"/>
    <n v="-24312130"/>
    <m/>
    <x v="2"/>
    <s v="שירותים ממלכתיים"/>
    <x v="9"/>
    <s v="חינוך"/>
    <x v="22"/>
    <s v="חינוך קדם יסודי"/>
    <s v="3122"/>
    <s v="גני ילדים גיל חובה"/>
    <m/>
    <s v="9"/>
    <x v="2"/>
    <s v="92"/>
    <s v="השתתפות משרד החינוך והתרבות"/>
    <s v="921"/>
    <e v="#N/A"/>
  </r>
  <r>
    <n v="922"/>
    <s v="312200"/>
    <n v="1"/>
    <s v="1312200.922"/>
    <s v="השתת' משה ח באגרת חמרים         "/>
    <m/>
    <m/>
    <n v="-230000"/>
    <n v="-200000"/>
    <n v="-202549"/>
    <m/>
    <x v="2"/>
    <s v="שירותים ממלכתיים"/>
    <x v="9"/>
    <s v="חינוך"/>
    <x v="22"/>
    <s v="חינוך קדם יסודי"/>
    <s v="3122"/>
    <s v="גני ילדים גיל חובה"/>
    <m/>
    <s v="9"/>
    <x v="2"/>
    <s v="92"/>
    <s v="השתתפות משרד החינוך והתרבות"/>
    <s v="922"/>
    <e v="#N/A"/>
  </r>
  <r>
    <n v="923"/>
    <s v="312200"/>
    <n v="1"/>
    <s v="1312200.923"/>
    <s v="השתת' משה ח לרכישת ציוד לגנ ל   "/>
    <m/>
    <m/>
    <n v="0"/>
    <n v="0"/>
    <n v="0"/>
    <m/>
    <x v="2"/>
    <s v="שירותים ממלכתיים"/>
    <x v="9"/>
    <s v="חינוך"/>
    <x v="22"/>
    <s v="חינוך קדם יסודי"/>
    <s v="3122"/>
    <s v="גני ילדים גיל חובה"/>
    <m/>
    <s v="9"/>
    <x v="2"/>
    <s v="92"/>
    <s v="השתתפות משרד החינוך והתרבות"/>
    <s v="923"/>
    <e v="#N/A"/>
  </r>
  <r>
    <n v="924"/>
    <s v="312200"/>
    <n v="1"/>
    <s v="1312200.924"/>
    <s v="שכר גננות המשולם ע י משה ח      "/>
    <m/>
    <m/>
    <n v="-34500000"/>
    <n v="0"/>
    <n v="-31707887"/>
    <m/>
    <x v="2"/>
    <s v="שירותים ממלכתיים"/>
    <x v="9"/>
    <s v="חינוך"/>
    <x v="22"/>
    <s v="חינוך קדם יסודי"/>
    <s v="3122"/>
    <s v="גני ילדים גיל חובה"/>
    <m/>
    <s v="9"/>
    <x v="2"/>
    <s v="92"/>
    <s v="השתתפות משרד החינוך והתרבות"/>
    <s v="924"/>
    <e v="#N/A"/>
  </r>
  <r>
    <n v="490"/>
    <s v="312300"/>
    <n v="1"/>
    <s v="1312300.490"/>
    <s v="שכר לימוד גנ י גיל טרום חובה    "/>
    <m/>
    <m/>
    <n v="0"/>
    <n v="0"/>
    <n v="-180890"/>
    <m/>
    <x v="2"/>
    <s v="שירותים ממלכתיים"/>
    <x v="9"/>
    <s v="חינוך"/>
    <x v="22"/>
    <s v="חינוך קדם יסודי"/>
    <s v="3123"/>
    <s v="גני ילדים טרום חובה"/>
    <m/>
    <s v="4"/>
    <x v="5"/>
    <s v="49"/>
    <s v="שונות"/>
    <s v="490"/>
    <e v="#N/A"/>
  </r>
  <r>
    <n v="921"/>
    <s v="312300"/>
    <n v="1"/>
    <s v="1312300.921"/>
    <s v="השתת' ממשלה לגנ י גיל טרום      "/>
    <m/>
    <m/>
    <n v="-76000000"/>
    <n v="-73450000"/>
    <n v="-69083263"/>
    <m/>
    <x v="2"/>
    <s v="שירותים ממלכתיים"/>
    <x v="9"/>
    <s v="חינוך"/>
    <x v="22"/>
    <s v="חינוך קדם יסודי"/>
    <s v="3123"/>
    <s v="גני ילדים טרום חובה"/>
    <m/>
    <s v="9"/>
    <x v="2"/>
    <s v="92"/>
    <s v="השתתפות משרד החינוך והתרבות"/>
    <s v="921"/>
    <e v="#N/A"/>
  </r>
  <r>
    <n v="922"/>
    <s v="312300"/>
    <n v="1"/>
    <s v="1312300.922"/>
    <s v="השתת' משה ח - העשרה לקדם חובה   "/>
    <m/>
    <m/>
    <n v="-300000"/>
    <n v="0"/>
    <n v="0"/>
    <m/>
    <x v="2"/>
    <s v="שירותים ממלכתיים"/>
    <x v="9"/>
    <s v="חינוך"/>
    <x v="22"/>
    <s v="חינוך קדם יסודי"/>
    <s v="3123"/>
    <s v="גני ילדים טרום חובה"/>
    <m/>
    <s v="9"/>
    <x v="2"/>
    <s v="92"/>
    <s v="השתתפות משרד החינוך והתרבות"/>
    <s v="922"/>
    <e v="#N/A"/>
  </r>
  <r>
    <n v="924"/>
    <s v="312300"/>
    <n v="1"/>
    <s v="1312300.924"/>
    <s v="השתת' משה ח לסייעת שניה         "/>
    <m/>
    <m/>
    <n v="-12400000"/>
    <n v="0"/>
    <n v="0"/>
    <m/>
    <x v="2"/>
    <s v="שירותים ממלכתיים"/>
    <x v="9"/>
    <s v="חינוך"/>
    <x v="22"/>
    <s v="חינוך קדם יסודי"/>
    <s v="3123"/>
    <s v="גני ילדים טרום חובה"/>
    <m/>
    <s v="9"/>
    <x v="2"/>
    <s v="92"/>
    <s v="השתתפות משרד החינוך והתרבות"/>
    <s v="924"/>
    <e v="#N/A"/>
  </r>
  <r>
    <n v="411"/>
    <s v="312500"/>
    <n v="1"/>
    <s v="1312500.411"/>
    <s v="הכנסות מהורים- מועדוניות גן     "/>
    <m/>
    <m/>
    <n v="-12600000"/>
    <n v="-12950000"/>
    <n v="-13475863"/>
    <m/>
    <x v="2"/>
    <s v="שירותים ממלכתיים"/>
    <x v="9"/>
    <s v="חינוך"/>
    <x v="22"/>
    <s v="חינוך קדם יסודי"/>
    <s v="3125"/>
    <s v="גני מועדון וצהרונים"/>
    <m/>
    <s v="4"/>
    <x v="5"/>
    <s v="41"/>
    <s v="שכל&quot;מ מתושבים"/>
    <s v="411"/>
    <e v="#N/A"/>
  </r>
  <r>
    <n v="412"/>
    <s v="312500"/>
    <n v="1"/>
    <s v="1312500.412"/>
    <s v="החזרים מעמותות הורים- מועדוני גן"/>
    <m/>
    <m/>
    <n v="-2000000"/>
    <n v="-2000000"/>
    <n v="-2116669"/>
    <m/>
    <x v="2"/>
    <s v="שירותים ממלכתיים"/>
    <x v="9"/>
    <s v="חינוך"/>
    <x v="22"/>
    <s v="חינוך קדם יסודי"/>
    <s v="3125"/>
    <s v="גני מועדון וצהרונים"/>
    <m/>
    <s v="4"/>
    <x v="5"/>
    <s v="41"/>
    <s v="שכל&quot;מ מתושבים"/>
    <s v="412"/>
    <e v="#N/A"/>
  </r>
  <r>
    <n v="921"/>
    <s v="313200"/>
    <n v="1"/>
    <s v="1313200.921"/>
    <s v="שכר שרתים                       "/>
    <m/>
    <m/>
    <n v="-24000000"/>
    <n v="-23000000"/>
    <n v="-23710191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1"/>
    <e v="#N/A"/>
  </r>
  <r>
    <n v="922"/>
    <s v="313200"/>
    <n v="1"/>
    <s v="1313200.922"/>
    <s v="שכר מזכירות                     "/>
    <m/>
    <m/>
    <n v="-8400000"/>
    <n v="-8200000"/>
    <n v="-8461629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2"/>
    <e v="#N/A"/>
  </r>
  <r>
    <n v="923"/>
    <s v="313200"/>
    <n v="1"/>
    <s v="1313200.923"/>
    <s v="שכר אנשי סיוע טכני              "/>
    <m/>
    <m/>
    <n v="-3800000"/>
    <n v="-3170000"/>
    <n v="-4667012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3"/>
    <e v="#N/A"/>
  </r>
  <r>
    <n v="924"/>
    <s v="313200"/>
    <n v="1"/>
    <s v="1313200.924"/>
    <s v="דמי שכפול - בי ס יסודיים        "/>
    <m/>
    <m/>
    <n v="-780000"/>
    <n v="-750000"/>
    <n v="-691128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4"/>
    <e v="#N/A"/>
  </r>
  <r>
    <n v="925"/>
    <s v="313200"/>
    <n v="1"/>
    <s v="1313200.925"/>
    <s v="השתת' משה ח בטיולים             "/>
    <m/>
    <m/>
    <n v="0"/>
    <n v="0"/>
    <n v="-1412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5"/>
    <e v="#N/A"/>
  </r>
  <r>
    <n v="926"/>
    <s v="313200"/>
    <n v="1"/>
    <s v="1313200.926"/>
    <s v="ניהול עצמי- תוספת פדגוגית       "/>
    <m/>
    <m/>
    <n v="-1250000"/>
    <n v="-1190000"/>
    <n v="0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6"/>
    <e v="#N/A"/>
  </r>
  <r>
    <n v="928"/>
    <s v="313200"/>
    <n v="1"/>
    <s v="1313200.928"/>
    <s v="הסעת תלמידים                    "/>
    <m/>
    <m/>
    <n v="-12500000"/>
    <n v="-12300000"/>
    <n v="-12363678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8"/>
    <e v="#N/A"/>
  </r>
  <r>
    <n v="929"/>
    <s v="313200"/>
    <n v="1"/>
    <s v="1313200.929"/>
    <s v="ליווי להסעות                    "/>
    <m/>
    <m/>
    <n v="-7000000"/>
    <n v="-6000000"/>
    <n v="-6060173"/>
    <m/>
    <x v="2"/>
    <s v="שירותים ממלכתיים"/>
    <x v="9"/>
    <s v="חינוך"/>
    <x v="23"/>
    <s v="חינוך יסודי"/>
    <s v="3132"/>
    <s v="בתי״ס יסודיים"/>
    <m/>
    <s v="9"/>
    <x v="2"/>
    <s v="92"/>
    <s v="השתתפות משרד החינוך והתרבות"/>
    <s v="929"/>
    <e v="#N/A"/>
  </r>
  <r>
    <n v="431"/>
    <s v="313300"/>
    <n v="1"/>
    <s v="1313300.431"/>
    <s v="חינוך מיוחד-שכ ל תלמידי חוץ     "/>
    <m/>
    <m/>
    <n v="-9000000"/>
    <n v="-9000000"/>
    <n v="-10307549"/>
    <m/>
    <x v="2"/>
    <s v="שירותים ממלכתיים"/>
    <x v="9"/>
    <s v="חינוך"/>
    <x v="23"/>
    <s v="חינוך יסודי"/>
    <s v="3133"/>
    <s v="חינוך מיוחד"/>
    <m/>
    <s v="4"/>
    <x v="5"/>
    <s v="43"/>
    <s v="השתתפויות מוסדות ורשויות בשכל&quot;מ"/>
    <s v="431"/>
    <e v="#N/A"/>
  </r>
  <r>
    <n v="651"/>
    <s v="313300"/>
    <n v="1"/>
    <s v="1313300.651"/>
    <s v="השתת' עובדי הפנימיות בדיור      "/>
    <m/>
    <m/>
    <n v="-240000"/>
    <n v="-200000"/>
    <n v="-242089"/>
    <m/>
    <x v="2"/>
    <s v="שירותים ממלכתיים"/>
    <x v="9"/>
    <s v="חינוך"/>
    <x v="23"/>
    <s v="חינוך יסודי"/>
    <s v="3133"/>
    <s v="חינוך מיוחד"/>
    <m/>
    <s v="6"/>
    <x v="3"/>
    <s v="65"/>
    <s v="דמי שימוש"/>
    <s v="651"/>
    <e v="#N/A"/>
  </r>
  <r>
    <n v="652"/>
    <s v="313300"/>
    <n v="1"/>
    <s v="1313300.652"/>
    <s v="השתת' בשכ ד- דירת בוגרי פנימיה  "/>
    <m/>
    <m/>
    <n v="-60000"/>
    <n v="-60000"/>
    <n v="0"/>
    <m/>
    <x v="2"/>
    <s v="שירותים ממלכתיים"/>
    <x v="9"/>
    <s v="חינוך"/>
    <x v="23"/>
    <s v="חינוך יסודי"/>
    <s v="3133"/>
    <s v="חינוך מיוחד"/>
    <m/>
    <s v="6"/>
    <x v="3"/>
    <s v="65"/>
    <s v="דמי שימוש"/>
    <s v="652"/>
    <e v="#N/A"/>
  </r>
  <r>
    <n v="921"/>
    <s v="313300"/>
    <n v="1"/>
    <s v="1313300.921"/>
    <s v="שכר סייעות טפוליות              "/>
    <m/>
    <m/>
    <n v="-42500000"/>
    <n v="-39000000"/>
    <n v="-39071803"/>
    <m/>
    <x v="2"/>
    <s v="שירותים ממלכתיים"/>
    <x v="9"/>
    <s v="חינוך"/>
    <x v="23"/>
    <s v="חינוך יסודי"/>
    <s v="3133"/>
    <s v="חינוך מיוחד"/>
    <m/>
    <s v="9"/>
    <x v="2"/>
    <s v="92"/>
    <s v="השתתפות משרד החינוך והתרבות"/>
    <s v="921"/>
    <e v="#N/A"/>
  </r>
  <r>
    <n v="922"/>
    <s v="313300"/>
    <n v="1"/>
    <s v="1313300.922"/>
    <s v="חינוך מיוחד-חומרים להארכת שנה ל "/>
    <m/>
    <m/>
    <n v="-930000"/>
    <n v="-930000"/>
    <n v="-881202"/>
    <m/>
    <x v="2"/>
    <s v="שירותים ממלכתיים"/>
    <x v="9"/>
    <s v="חינוך"/>
    <x v="23"/>
    <s v="חינוך יסודי"/>
    <s v="3133"/>
    <s v="חינוך מיוחד"/>
    <m/>
    <s v="9"/>
    <x v="2"/>
    <s v="92"/>
    <s v="השתתפות משרד החינוך והתרבות"/>
    <s v="922"/>
    <e v="#N/A"/>
  </r>
  <r>
    <n v="923"/>
    <s v="313300"/>
    <n v="1"/>
    <s v="1313300.923"/>
    <s v="חינוך מיוחד-החזר הוצאות מזון    "/>
    <m/>
    <m/>
    <n v="-3910000"/>
    <n v="-3700000"/>
    <n v="-3681270"/>
    <m/>
    <x v="2"/>
    <s v="שירותים ממלכתיים"/>
    <x v="9"/>
    <s v="חינוך"/>
    <x v="23"/>
    <s v="חינוך יסודי"/>
    <s v="3133"/>
    <s v="חינוך מיוחד"/>
    <m/>
    <s v="9"/>
    <x v="2"/>
    <s v="92"/>
    <s v="השתתפות משרד החינוך והתרבות"/>
    <s v="923"/>
    <e v="#N/A"/>
  </r>
  <r>
    <n v="411"/>
    <s v="317100"/>
    <n v="1"/>
    <s v="1317100.411"/>
    <s v="אגרת תלמידי חוץ-יסודיים         "/>
    <m/>
    <m/>
    <n v="-300000"/>
    <n v="-300000"/>
    <n v="-280217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4"/>
    <x v="5"/>
    <s v="41"/>
    <s v="שכל&quot;מ מתושבים"/>
    <s v="411"/>
    <e v="#N/A"/>
  </r>
  <r>
    <n v="412"/>
    <s v="317100"/>
    <n v="1"/>
    <s v="1317100.412"/>
    <s v="שכ ל-בית ספר לאמנויות           "/>
    <m/>
    <m/>
    <n v="-6000000"/>
    <n v="-7400000"/>
    <n v="-7989497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4"/>
    <x v="5"/>
    <s v="41"/>
    <s v="שכל&quot;מ מתושבים"/>
    <s v="412"/>
    <e v="#N/A"/>
  </r>
  <r>
    <n v="414"/>
    <s v="317100"/>
    <n v="1"/>
    <s v="1317100.414"/>
    <s v="שכ ל-בי ס לטבע סביבה וחברה      "/>
    <m/>
    <m/>
    <n v="-6600000"/>
    <n v="-6700000"/>
    <n v="-6522872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4"/>
    <x v="5"/>
    <s v="41"/>
    <s v="שכל&quot;מ מתושבים"/>
    <s v="414"/>
    <e v="#N/A"/>
  </r>
  <r>
    <n v="421"/>
    <s v="317100"/>
    <n v="1"/>
    <s v="1317100.421"/>
    <s v="הכנסות מתלמידים עבור הסעות      "/>
    <m/>
    <m/>
    <n v="-1000000"/>
    <n v="-1000000"/>
    <n v="-1204807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4"/>
    <x v="5"/>
    <s v="42"/>
    <s v="השתתפויות תושבים בשירותים משלימים"/>
    <s v="421"/>
    <e v="#N/A"/>
  </r>
  <r>
    <n v="423"/>
    <s v="317100"/>
    <n v="1"/>
    <s v="1317100.423"/>
    <s v="השתת' הורים במפעל ההזנה         "/>
    <m/>
    <m/>
    <n v="-1730000"/>
    <n v="0"/>
    <n v="0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4"/>
    <x v="5"/>
    <s v="42"/>
    <s v="השתתפויות תושבים בשירותים משלימים"/>
    <s v="423"/>
    <e v="#N/A"/>
  </r>
  <r>
    <n v="921"/>
    <s v="317100"/>
    <n v="1"/>
    <s v="1317100.921"/>
    <s v="השת' מ. החינוך לרכישת ציוד      "/>
    <m/>
    <m/>
    <n v="-100000"/>
    <n v="-100000"/>
    <n v="-80048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1"/>
    <e v="#N/A"/>
  </r>
  <r>
    <n v="922"/>
    <s v="317100"/>
    <n v="1"/>
    <s v="1317100.922"/>
    <s v="קציני ביקור סדיר                "/>
    <m/>
    <m/>
    <n v="-1530000"/>
    <n v="-1560000"/>
    <n v="-1467746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2"/>
    <e v="#N/A"/>
  </r>
  <r>
    <n v="923"/>
    <s v="317100"/>
    <n v="1"/>
    <s v="1317100.923"/>
    <s v="פרויקטים שונים במימון משה ח     "/>
    <m/>
    <m/>
    <n v="-300000"/>
    <n v="-250000"/>
    <n v="-358781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3"/>
    <e v="#N/A"/>
  </r>
  <r>
    <n v="924"/>
    <s v="317100"/>
    <n v="1"/>
    <s v="1317100.924"/>
    <s v="מרכז לחינוך ימי)+שרתים ומזכירות("/>
    <m/>
    <m/>
    <n v="-400000"/>
    <n v="-390000"/>
    <n v="-412664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4"/>
    <e v="#N/A"/>
  </r>
  <r>
    <n v="925"/>
    <s v="317100"/>
    <n v="1"/>
    <s v="1317100.925"/>
    <s v="השתתפות משה ח בפרויקט השאלת ספרי"/>
    <m/>
    <m/>
    <n v="0"/>
    <n v="0"/>
    <n v="-581001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5"/>
    <e v="#N/A"/>
  </r>
  <r>
    <n v="926"/>
    <s v="317100"/>
    <n v="1"/>
    <s v="1317100.926"/>
    <s v="הכנסות משה ח-בית ספר לחופש הגדול"/>
    <m/>
    <m/>
    <n v="-2470000"/>
    <n v="-2900000"/>
    <n v="-2375868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6"/>
    <e v="#N/A"/>
  </r>
  <r>
    <n v="928"/>
    <s v="317100"/>
    <n v="1"/>
    <s v="1317100.928"/>
    <s v="השת' מ.החינוך במרכז פסגה        "/>
    <m/>
    <m/>
    <n v="-50000"/>
    <n v="-50000"/>
    <n v="-106300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8"/>
    <e v="#N/A"/>
  </r>
  <r>
    <n v="929"/>
    <s v="317100"/>
    <n v="1"/>
    <s v="1317100.929"/>
    <s v="השתת' משה ח באגרת חומרים        "/>
    <m/>
    <m/>
    <n v="-1110000"/>
    <n v="-1050000"/>
    <n v="-1142028"/>
    <m/>
    <x v="2"/>
    <s v="שירותים ממלכתיים"/>
    <x v="9"/>
    <s v="חינוך"/>
    <x v="24"/>
    <s v="שירותים נוספים לבתי״ס וגנ״י"/>
    <s v="3171"/>
    <s v="קב״ט שמירה ובטחון מוסדות חינוך"/>
    <m/>
    <s v="9"/>
    <x v="2"/>
    <s v="92"/>
    <s v="השתתפות משרד החינוך והתרבות"/>
    <s v="929"/>
    <e v="#N/A"/>
  </r>
  <r>
    <n v="921"/>
    <s v="317200"/>
    <n v="1"/>
    <s v="1317200.921"/>
    <s v="השת' ממשלה בשכר פסיכולוגים      "/>
    <m/>
    <m/>
    <n v="-12400000"/>
    <n v="-12250000"/>
    <n v="-11975890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2"/>
    <s v="השתתפות משרד החינוך והתרבות"/>
    <s v="921"/>
    <e v="#N/A"/>
  </r>
  <r>
    <n v="922"/>
    <s v="317200"/>
    <n v="1"/>
    <s v="1317200.922"/>
    <s v="השת' ממשלה בפרויקטים של השפ ח   "/>
    <m/>
    <m/>
    <n v="-60000"/>
    <n v="-60000"/>
    <n v="-93191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2"/>
    <s v="השתתפות משרד החינוך והתרבות"/>
    <s v="922"/>
    <e v="#N/A"/>
  </r>
  <r>
    <n v="924"/>
    <s v="317200"/>
    <n v="1"/>
    <s v="1317200.924"/>
    <s v="השת' ממשלה בהשתלמויות           "/>
    <m/>
    <m/>
    <n v="-260000"/>
    <n v="-250000"/>
    <n v="-268486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2"/>
    <s v="השתתפות משרד החינוך והתרבות"/>
    <s v="924"/>
    <e v="#N/A"/>
  </r>
  <r>
    <n v="925"/>
    <s v="317200"/>
    <n v="1"/>
    <s v="1317200.925"/>
    <s v="השת' ממשלה בפרו' ואבחונים בשפ ח "/>
    <m/>
    <m/>
    <n v="0"/>
    <n v="0"/>
    <n v="-18000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2"/>
    <s v="השתתפות משרד החינוך והתרבות"/>
    <s v="925"/>
    <e v="#N/A"/>
  </r>
  <r>
    <n v="941"/>
    <s v="317200"/>
    <n v="1"/>
    <s v="1317200.941"/>
    <s v="השתתפות משרד הבריאות            "/>
    <m/>
    <m/>
    <n v="-140000"/>
    <n v="-30000"/>
    <n v="-111955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4"/>
    <s v="השתתפות משרד הבריאות"/>
    <s v="941"/>
    <e v="#N/A"/>
  </r>
  <r>
    <n v="951"/>
    <s v="317200"/>
    <n v="1"/>
    <s v="1317200.951"/>
    <s v="השתת' מ. הקליטה בשכר פסיכולוגים "/>
    <m/>
    <m/>
    <n v="0"/>
    <n v="0"/>
    <n v="-79355"/>
    <m/>
    <x v="2"/>
    <s v="שירותים ממלכתיים"/>
    <x v="9"/>
    <s v="חינוך"/>
    <x v="24"/>
    <s v="שירותים נוספים לבתי״ס וגנ״י"/>
    <s v="3172"/>
    <s v="מרכזיה פדגוגית"/>
    <m/>
    <s v="9"/>
    <x v="2"/>
    <s v="95"/>
    <s v="השתתפות משרד הקליטה"/>
    <s v="951"/>
    <e v="#N/A"/>
  </r>
  <r>
    <n v="421"/>
    <s v="319100"/>
    <n v="1"/>
    <s v="1319100.421"/>
    <s v="מועדוני נוער-גביה עצמית ממשתתפים"/>
    <m/>
    <m/>
    <n v="-250000"/>
    <n v="-250000"/>
    <n v="-262439"/>
    <m/>
    <x v="2"/>
    <s v="שירותים ממלכתיים"/>
    <x v="9"/>
    <s v="חינוך"/>
    <x v="25"/>
    <s v="שירותי חינוך מיוחדים"/>
    <s v="3191"/>
    <s v="חינוך מוכר שאינו רשמי"/>
    <m/>
    <s v="4"/>
    <x v="5"/>
    <s v="42"/>
    <s v="השתתפויות תושבים בשירותים משלימים"/>
    <s v="421"/>
    <e v="#N/A"/>
  </r>
  <r>
    <n v="921"/>
    <s v="319100"/>
    <n v="1"/>
    <s v="1319100.921"/>
    <s v="השתתפות ממשלה לחבורות נוער      "/>
    <m/>
    <m/>
    <n v="-160000"/>
    <n v="-160000"/>
    <n v="-159058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2"/>
    <s v="השתתפות משרד החינוך והתרבות"/>
    <s v="921"/>
    <e v="#N/A"/>
  </r>
  <r>
    <n v="922"/>
    <s v="319100"/>
    <n v="1"/>
    <s v="1319100.922"/>
    <s v="השתתפות ממשלה למועדוניות        "/>
    <m/>
    <m/>
    <n v="-1720000"/>
    <n v="-1700000"/>
    <n v="-1771500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2"/>
    <s v="השתתפות משרד החינוך והתרבות"/>
    <s v="922"/>
    <e v="#N/A"/>
  </r>
  <r>
    <n v="923"/>
    <s v="319100"/>
    <n v="1"/>
    <s v="1319100.923"/>
    <s v="פרויקט היל ה                    "/>
    <m/>
    <m/>
    <n v="-370000"/>
    <n v="-370000"/>
    <n v="-489675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2"/>
    <s v="השתתפות משרד החינוך והתרבות"/>
    <s v="923"/>
    <e v="#N/A"/>
  </r>
  <r>
    <n v="924"/>
    <s v="319100"/>
    <n v="1"/>
    <s v="1319100.924"/>
    <s v="הכנסות שונות ממשה ח-ס' שאינו חוז"/>
    <m/>
    <m/>
    <n v="0"/>
    <n v="0"/>
    <n v="-174690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2"/>
    <s v="השתתפות משרד החינוך והתרבות"/>
    <s v="924"/>
    <e v="#N/A"/>
  </r>
  <r>
    <n v="925"/>
    <s v="319100"/>
    <n v="1"/>
    <s v="1319100.925"/>
    <s v="נוער עולה בסיכון                "/>
    <m/>
    <m/>
    <n v="0"/>
    <n v="-100000"/>
    <n v="0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2"/>
    <s v="השתתפות משרד החינוך והתרבות"/>
    <s v="925"/>
    <e v="#N/A"/>
  </r>
  <r>
    <n v="932"/>
    <s v="319100"/>
    <n v="1"/>
    <s v="1319100.932"/>
    <s v="השת' מ.הרווחה בנוער וצעירים     "/>
    <m/>
    <m/>
    <n v="0"/>
    <n v="0"/>
    <n v="-123945"/>
    <m/>
    <x v="2"/>
    <s v="שירותים ממלכתיים"/>
    <x v="9"/>
    <s v="חינוך"/>
    <x v="25"/>
    <s v="שירותי חינוך מיוחדים"/>
    <s v="3191"/>
    <s v="חינוך מוכר שאינו רשמי"/>
    <m/>
    <s v="9"/>
    <x v="2"/>
    <s v="93"/>
    <s v="השתתפות משרד העבודה והרווחה"/>
    <s v="932"/>
    <e v="#N/A"/>
  </r>
  <r>
    <n v="441"/>
    <s v="319900"/>
    <n v="1"/>
    <s v="1319900.441"/>
    <s v="מאבק בסמים-הכנסות מהרשות למלחמה "/>
    <m/>
    <m/>
    <n v="0"/>
    <n v="-150000"/>
    <n v="-150000"/>
    <m/>
    <x v="2"/>
    <s v="שירותים ממלכתיים"/>
    <x v="9"/>
    <s v="חינוך"/>
    <x v="25"/>
    <s v="שירותי חינוך מיוחדים"/>
    <s v="3199"/>
    <e v="#N/A"/>
    <m/>
    <s v="4"/>
    <x v="5"/>
    <s v="44"/>
    <s v="השתתפויות מוסדות ורשויות בשירותים משלימים"/>
    <s v="441"/>
    <e v="#N/A"/>
  </r>
  <r>
    <n v="961"/>
    <s v="319900"/>
    <n v="1"/>
    <s v="1319900.961"/>
    <s v="השתת' משרד התמ ת למע ן          "/>
    <m/>
    <m/>
    <n v="-2300000"/>
    <n v="-2100000"/>
    <n v="-2565749"/>
    <m/>
    <x v="2"/>
    <s v="שירותים ממלכתיים"/>
    <x v="9"/>
    <s v="חינוך"/>
    <x v="25"/>
    <s v="שירותי חינוך מיוחדים"/>
    <s v="3199"/>
    <e v="#N/A"/>
    <m/>
    <s v="9"/>
    <x v="2"/>
    <s v="96"/>
    <s v="השתתפות משרד החקלאות"/>
    <s v="961"/>
    <e v="#N/A"/>
  </r>
  <r>
    <n v="210"/>
    <s v="31400"/>
    <n v="1"/>
    <s v="131400.210"/>
    <s v="חט ב-אגרת תלמידי חוץ            "/>
    <m/>
    <m/>
    <n v="-135000"/>
    <n v="-130000"/>
    <n v="-131391"/>
    <m/>
    <x v="2"/>
    <s v="שירותים ממלכתיים"/>
    <x v="9"/>
    <s v="חינוך"/>
    <x v="26"/>
    <s v="חטיבות ביניים"/>
    <s v="3140"/>
    <e v="#N/A"/>
    <m/>
    <s v="2"/>
    <x v="1"/>
    <s v="21"/>
    <s v="אגרות מים וביוב"/>
    <s v="210"/>
    <e v="#N/A"/>
  </r>
  <r>
    <n v="421"/>
    <s v="31400"/>
    <n v="1"/>
    <s v="131400.421"/>
    <s v="השתת' הורים בפרויקט  מיל ת      "/>
    <m/>
    <m/>
    <n v="-150000"/>
    <n v="0"/>
    <n v="0"/>
    <m/>
    <x v="2"/>
    <s v="שירותים ממלכתיים"/>
    <x v="9"/>
    <s v="חינוך"/>
    <x v="26"/>
    <s v="חטיבות ביניים"/>
    <s v="3140"/>
    <e v="#N/A"/>
    <m/>
    <s v="4"/>
    <x v="5"/>
    <s v="42"/>
    <s v="השתתפויות תושבים בשירותים משלימים"/>
    <s v="421"/>
    <e v="#N/A"/>
  </r>
  <r>
    <n v="921"/>
    <s v="31400"/>
    <n v="1"/>
    <s v="131400.921"/>
    <s v="שכר מורים                       "/>
    <m/>
    <m/>
    <n v="-8700000"/>
    <n v="-8000000"/>
    <n v="-9786371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1"/>
    <e v="#N/A"/>
  </r>
  <r>
    <n v="922"/>
    <s v="31400"/>
    <n v="1"/>
    <s v="131400.922"/>
    <s v="שכר עובדי סיוע טכני             "/>
    <m/>
    <m/>
    <n v="-5100000"/>
    <n v="-5000000"/>
    <n v="-4910066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2"/>
    <e v="#N/A"/>
  </r>
  <r>
    <n v="923"/>
    <s v="31400"/>
    <n v="1"/>
    <s v="131400.923"/>
    <s v="שכר ספרנים                      "/>
    <m/>
    <m/>
    <n v="-720000"/>
    <n v="-750000"/>
    <n v="-748615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3"/>
    <e v="#N/A"/>
  </r>
  <r>
    <n v="924"/>
    <s v="31400"/>
    <n v="1"/>
    <s v="131400.924"/>
    <s v="שכר שרתים                       "/>
    <m/>
    <m/>
    <n v="-3250000"/>
    <n v="-3200000"/>
    <n v="-3061867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4"/>
    <e v="#N/A"/>
  </r>
  <r>
    <n v="925"/>
    <s v="31400"/>
    <n v="1"/>
    <s v="131400.925"/>
    <s v="שכר עובדי מינהל                 "/>
    <m/>
    <m/>
    <n v="-4700000"/>
    <n v="-4600000"/>
    <n v="-4409131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5"/>
    <e v="#N/A"/>
  </r>
  <r>
    <n v="926"/>
    <s v="31400"/>
    <n v="1"/>
    <s v="131400.926"/>
    <s v="דמי שיכפול - עי ס               "/>
    <m/>
    <m/>
    <n v="-180000"/>
    <n v="-180000"/>
    <n v="-168723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6"/>
    <e v="#N/A"/>
  </r>
  <r>
    <n v="927"/>
    <s v="31400"/>
    <n v="1"/>
    <s v="131400.927"/>
    <s v="פרויקט לימודי יהדות             "/>
    <m/>
    <m/>
    <n v="-160000"/>
    <n v="-430000"/>
    <n v="-375307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7"/>
    <e v="#N/A"/>
  </r>
  <r>
    <n v="928"/>
    <s v="31400"/>
    <n v="1"/>
    <s v="131400.928"/>
    <s v="הכנסות שונות-חט ב               "/>
    <m/>
    <m/>
    <n v="-45000"/>
    <n v="-30000"/>
    <n v="-43710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8"/>
    <e v="#N/A"/>
  </r>
  <r>
    <n v="929"/>
    <s v="31400"/>
    <n v="1"/>
    <s v="131400.929"/>
    <s v="השת' מ.החינוך- סל לעולים        "/>
    <m/>
    <m/>
    <n v="-130000"/>
    <n v="-80000"/>
    <n v="-1269287"/>
    <m/>
    <x v="2"/>
    <s v="שירותים ממלכתיים"/>
    <x v="9"/>
    <s v="חינוך"/>
    <x v="26"/>
    <s v="חטיבות ביניים"/>
    <s v="3140"/>
    <e v="#N/A"/>
    <m/>
    <s v="9"/>
    <x v="2"/>
    <s v="92"/>
    <s v="השתתפות משרד החינוך והתרבות"/>
    <s v="929"/>
    <e v="#N/A"/>
  </r>
  <r>
    <n v="211"/>
    <s v="315200"/>
    <n v="1"/>
    <s v="1315200.211"/>
    <s v="אגרת תלמידי חוץ                 "/>
    <m/>
    <m/>
    <n v="-150000"/>
    <n v="-150000"/>
    <n v="-251635"/>
    <m/>
    <x v="2"/>
    <s v="שירותים ממלכתיים"/>
    <x v="9"/>
    <s v="חינוך"/>
    <x v="27"/>
    <s v="חינוך על יסודי"/>
    <s v="3152"/>
    <s v="בתי״ס על יסודיים עיוניים"/>
    <m/>
    <s v="2"/>
    <x v="1"/>
    <s v="21"/>
    <s v="אגרות מים וביוב"/>
    <s v="211"/>
    <e v="#N/A"/>
  </r>
  <r>
    <n v="212"/>
    <s v="315200"/>
    <n v="1"/>
    <s v="1315200.212"/>
    <s v="אגרת תכניות לימוד נוספות        "/>
    <m/>
    <m/>
    <n v="-1870000"/>
    <n v="-1830000"/>
    <n v="-1482387"/>
    <m/>
    <x v="2"/>
    <s v="שירותים ממלכתיים"/>
    <x v="9"/>
    <s v="חינוך"/>
    <x v="27"/>
    <s v="חינוך על יסודי"/>
    <s v="3152"/>
    <s v="בתי״ס על יסודיים עיוניים"/>
    <m/>
    <s v="2"/>
    <x v="1"/>
    <s v="21"/>
    <s v="אגרות מים וביוב"/>
    <s v="212"/>
    <e v="#N/A"/>
  </r>
  <r>
    <n v="921"/>
    <s v="315200"/>
    <n v="1"/>
    <s v="1315200.921"/>
    <s v="שכר לימוד                       "/>
    <m/>
    <m/>
    <n v="-95000000"/>
    <n v="-92090000"/>
    <n v="-88956923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1"/>
    <e v="#N/A"/>
  </r>
  <r>
    <n v="923"/>
    <s v="315200"/>
    <n v="1"/>
    <s v="1315200.923"/>
    <s v="בי ס למחוננים                   "/>
    <m/>
    <m/>
    <n v="-515000"/>
    <n v="-480000"/>
    <n v="-490279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3"/>
    <e v="#N/A"/>
  </r>
  <r>
    <n v="924"/>
    <s v="315200"/>
    <n v="1"/>
    <s v="1315200.924"/>
    <s v="תמיכה בישיבות                   "/>
    <m/>
    <m/>
    <n v="-50000"/>
    <n v="-50000"/>
    <n v="-85171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4"/>
    <e v="#N/A"/>
  </r>
  <r>
    <n v="925"/>
    <s v="315200"/>
    <n v="1"/>
    <s v="1315200.925"/>
    <s v="השתלמויות מורים                 "/>
    <m/>
    <m/>
    <n v="-70000"/>
    <n v="-70000"/>
    <n v="-71848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5"/>
    <e v="#N/A"/>
  </r>
  <r>
    <n v="927"/>
    <s v="315200"/>
    <n v="1"/>
    <s v="1315200.927"/>
    <s v="דמי שתיה למורים                 "/>
    <m/>
    <m/>
    <n v="-75000"/>
    <n v="-70000"/>
    <n v="-65646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7"/>
    <e v="#N/A"/>
  </r>
  <r>
    <n v="928"/>
    <s v="315200"/>
    <n v="1"/>
    <s v="1315200.928"/>
    <s v="רכב מנהלים                      "/>
    <m/>
    <m/>
    <n v="-205000"/>
    <n v="-180000"/>
    <n v="-187542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8"/>
    <e v="#N/A"/>
  </r>
  <r>
    <n v="929"/>
    <s v="315200"/>
    <n v="1"/>
    <s v="1315200.929"/>
    <s v="הכנסות שונות                    "/>
    <m/>
    <m/>
    <n v="-470000"/>
    <n v="-210000"/>
    <n v="-757877"/>
    <m/>
    <x v="2"/>
    <s v="שירותים ממלכתיים"/>
    <x v="9"/>
    <s v="חינוך"/>
    <x v="27"/>
    <s v="חינוך על יסודי"/>
    <s v="3152"/>
    <s v="בתי״ס על יסודיים עיוניים"/>
    <m/>
    <s v="9"/>
    <x v="2"/>
    <s v="92"/>
    <s v="השתתפות משרד החינוך והתרבות"/>
    <s v="929"/>
    <e v="#N/A"/>
  </r>
  <r>
    <n v="921"/>
    <s v="315500"/>
    <n v="1"/>
    <s v="1315500.921"/>
    <s v="השת' מ. החינוך לרכישת ציוד      "/>
    <m/>
    <m/>
    <n v="-60000"/>
    <n v="-60000"/>
    <n v="-13366"/>
    <m/>
    <x v="2"/>
    <s v="שירותים ממלכתיים"/>
    <x v="9"/>
    <s v="חינוך"/>
    <x v="27"/>
    <s v="חינוך על יסודי"/>
    <s v="3155"/>
    <s v="בתי״ס על יסודיים מקצועיים"/>
    <m/>
    <s v="9"/>
    <x v="2"/>
    <s v="92"/>
    <s v="השתתפות משרד החינוך והתרבות"/>
    <s v="921"/>
    <e v="#N/A"/>
  </r>
  <r>
    <n v="922"/>
    <s v="315500"/>
    <n v="1"/>
    <s v="1315500.922"/>
    <s v="השת' משה ח באחזקת בי ס רוזמצקי  "/>
    <m/>
    <m/>
    <n v="-2000000"/>
    <n v="-1900000"/>
    <n v="-2241927"/>
    <m/>
    <x v="2"/>
    <s v="שירותים ממלכתיים"/>
    <x v="9"/>
    <s v="חינוך"/>
    <x v="27"/>
    <s v="חינוך על יסודי"/>
    <s v="3155"/>
    <s v="בתי״ס על יסודיים מקצועיים"/>
    <m/>
    <s v="9"/>
    <x v="2"/>
    <s v="92"/>
    <s v="השתתפות משרד החינוך והתרבות"/>
    <s v="922"/>
    <e v="#N/A"/>
  </r>
  <r>
    <n v="923"/>
    <s v="315500"/>
    <n v="1"/>
    <s v="1315500.923"/>
    <s v="השתת' משה ח בטיולים             "/>
    <m/>
    <m/>
    <n v="0"/>
    <n v="0"/>
    <n v="-1"/>
    <m/>
    <x v="2"/>
    <s v="שירותים ממלכתיים"/>
    <x v="9"/>
    <s v="חינוך"/>
    <x v="27"/>
    <s v="חינוך על יסודי"/>
    <s v="3155"/>
    <s v="בתי״ס על יסודיים מקצועיים"/>
    <m/>
    <s v="9"/>
    <x v="2"/>
    <s v="92"/>
    <s v="השתתפות משרד החינוך והתרבות"/>
    <s v="923"/>
    <e v="#N/A"/>
  </r>
  <r>
    <n v="921"/>
    <s v="31800"/>
    <n v="1"/>
    <s v="131800.921"/>
    <s v="יפו ג' דרום - ס' שאינו חוזר     "/>
    <m/>
    <m/>
    <n v="0"/>
    <n v="0"/>
    <n v="-1000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1"/>
    <e v="#N/A"/>
  </r>
  <r>
    <n v="922"/>
    <s v="31800"/>
    <n v="1"/>
    <s v="131800.922"/>
    <s v="שכונת שפירא - ס' שאינו חוזר     "/>
    <m/>
    <m/>
    <n v="0"/>
    <n v="0"/>
    <n v="-142971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2"/>
    <e v="#N/A"/>
  </r>
  <r>
    <n v="923"/>
    <s v="31800"/>
    <n v="1"/>
    <s v="131800.923"/>
    <s v="התקוה - ס' שאינו חוזר           "/>
    <m/>
    <m/>
    <n v="0"/>
    <n v="0"/>
    <n v="-114547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3"/>
    <e v="#N/A"/>
  </r>
  <r>
    <n v="924"/>
    <s v="31800"/>
    <n v="1"/>
    <s v="131800.924"/>
    <s v="נוה עופר - ס' שאינו חוזר        "/>
    <m/>
    <m/>
    <n v="0"/>
    <n v="0"/>
    <n v="-95598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4"/>
    <e v="#N/A"/>
  </r>
  <r>
    <n v="925"/>
    <s v="31800"/>
    <n v="1"/>
    <s v="131800.925"/>
    <s v="רווחה חינוכית-כלל השכונות       "/>
    <m/>
    <m/>
    <n v="0"/>
    <n v="0"/>
    <n v="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5"/>
    <e v="#N/A"/>
  </r>
  <r>
    <n v="926"/>
    <s v="31800"/>
    <n v="1"/>
    <s v="131800.926"/>
    <s v="עג'מי - ס' שאינו חוזר           "/>
    <m/>
    <m/>
    <n v="0"/>
    <n v="0"/>
    <n v="-8445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6"/>
    <e v="#N/A"/>
  </r>
  <r>
    <n v="927"/>
    <s v="31800"/>
    <n v="1"/>
    <s v="131800.927"/>
    <s v="לב יפו - ס' שאינו חוזר          "/>
    <m/>
    <m/>
    <n v="0"/>
    <n v="0"/>
    <n v="-6445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7"/>
    <e v="#N/A"/>
  </r>
  <r>
    <n v="928"/>
    <s v="31800"/>
    <n v="1"/>
    <s v="131800.928"/>
    <s v="שכונת עזרא - ס' שאינו חוזר      "/>
    <m/>
    <m/>
    <n v="0"/>
    <n v="0"/>
    <n v="-1100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8"/>
    <e v="#N/A"/>
  </r>
  <r>
    <n v="929"/>
    <s v="31800"/>
    <n v="1"/>
    <s v="131800.929"/>
    <s v="דרום מזרח העיר- ס' שאינו חוזר   "/>
    <m/>
    <m/>
    <n v="0"/>
    <n v="0"/>
    <n v="-100400"/>
    <m/>
    <x v="2"/>
    <s v="שירותים ממלכתיים"/>
    <x v="9"/>
    <s v="חינוך"/>
    <x v="28"/>
    <s v="חינוך מבוגרים"/>
    <s v="3180"/>
    <e v="#N/A"/>
    <m/>
    <s v="9"/>
    <x v="2"/>
    <s v="92"/>
    <s v="השתתפות משרד החינוך והתרבות"/>
    <s v="929"/>
    <e v="#N/A"/>
  </r>
  <r>
    <n v="441"/>
    <s v="317600"/>
    <n v="1"/>
    <s v="1317600.441"/>
    <s v="הכנסות מהחברה למתנ סים          "/>
    <m/>
    <m/>
    <n v="-700000"/>
    <n v="-500000"/>
    <n v="-568000"/>
    <m/>
    <x v="2"/>
    <s v="שירותים ממלכתיים"/>
    <x v="9"/>
    <s v="חינוך"/>
    <x v="24"/>
    <s v="שירותים נוספים לבתי״ס וגנ״י"/>
    <s v="3176"/>
    <s v="רווחה חינוכית"/>
    <m/>
    <s v="4"/>
    <x v="5"/>
    <s v="44"/>
    <s v="השתתפויות מוסדות ורשויות בשירותים משלימים"/>
    <s v="441"/>
    <e v="#N/A"/>
  </r>
  <r>
    <n v="791"/>
    <s v="317600"/>
    <n v="1"/>
    <s v="1317600.791"/>
    <s v="הכנסות מתרומות                  "/>
    <m/>
    <m/>
    <n v="-3365000"/>
    <n v="-1610000"/>
    <n v="-1475713"/>
    <m/>
    <x v="2"/>
    <s v="שירותים ממלכתיים"/>
    <x v="9"/>
    <s v="חינוך"/>
    <x v="24"/>
    <s v="שירותים נוספים לבתי״ס וגנ״י"/>
    <s v="3176"/>
    <s v="רווחה חינוכית"/>
    <m/>
    <s v="7"/>
    <x v="8"/>
    <s v="79"/>
    <s v="השתתפות מוסדות אחרים"/>
    <s v="791"/>
    <e v="#N/A"/>
  </r>
  <r>
    <n v="921"/>
    <s v="317600"/>
    <n v="1"/>
    <s v="1317600.921"/>
    <s v="קרית שלום - ס' שאינו חוזר       "/>
    <m/>
    <m/>
    <n v="0"/>
    <n v="0"/>
    <n v="0"/>
    <m/>
    <x v="2"/>
    <s v="שירותים ממלכתיים"/>
    <x v="9"/>
    <s v="חינוך"/>
    <x v="24"/>
    <s v="שירותים נוספים לבתי״ס וגנ״י"/>
    <s v="3176"/>
    <s v="רווחה חינוכית"/>
    <m/>
    <s v="9"/>
    <x v="2"/>
    <s v="92"/>
    <s v="השתתפות משרד החינוך והתרבות"/>
    <s v="921"/>
    <e v="#N/A"/>
  </r>
  <r>
    <n v="929"/>
    <s v="317600"/>
    <n v="1"/>
    <s v="1317600.929"/>
    <s v="השתת' משה ח לתוכנית לאומית לילדי"/>
    <m/>
    <m/>
    <n v="-1805000"/>
    <n v="-1805000"/>
    <n v="-1308205"/>
    <m/>
    <x v="2"/>
    <s v="שירותים ממלכתיים"/>
    <x v="9"/>
    <s v="חינוך"/>
    <x v="24"/>
    <s v="שירותים נוספים לבתי״ס וגנ״י"/>
    <s v="3176"/>
    <s v="רווחה חינוכית"/>
    <m/>
    <s v="9"/>
    <x v="2"/>
    <s v="92"/>
    <s v="השתתפות משרד החינוך והתרבות"/>
    <s v="929"/>
    <e v="#N/A"/>
  </r>
  <r>
    <n v="751"/>
    <s v="322100"/>
    <n v="1"/>
    <s v="1322100.751"/>
    <s v="השתת' הסוכנות היהודית לאולפנים  "/>
    <m/>
    <m/>
    <n v="-450000"/>
    <n v="-250000"/>
    <n v="-537401"/>
    <m/>
    <x v="2"/>
    <s v="שירותים ממלכתיים"/>
    <x v="10"/>
    <s v="תרבות"/>
    <x v="29"/>
    <s v="פעולות תרבות"/>
    <s v="3221"/>
    <e v="#N/A"/>
    <m/>
    <s v="7"/>
    <x v="8"/>
    <s v="75"/>
    <s v="השתתפות הסוכנות היהודית"/>
    <s v="751"/>
    <e v="#N/A"/>
  </r>
  <r>
    <n v="921"/>
    <s v="322100"/>
    <n v="1"/>
    <s v="1322100.921"/>
    <s v="השתתפות הממשלה חינוך למבוגרים   "/>
    <m/>
    <m/>
    <n v="-600000"/>
    <n v="-400000"/>
    <n v="-829327"/>
    <m/>
    <x v="2"/>
    <s v="שירותים ממלכתיים"/>
    <x v="10"/>
    <s v="תרבות"/>
    <x v="29"/>
    <s v="פעולות תרבות"/>
    <s v="3221"/>
    <e v="#N/A"/>
    <m/>
    <s v="9"/>
    <x v="2"/>
    <s v="92"/>
    <s v="השתתפות משרד החינוך והתרבות"/>
    <s v="921"/>
    <e v="#N/A"/>
  </r>
  <r>
    <n v="923"/>
    <s v="322100"/>
    <n v="1"/>
    <s v="1322100.923"/>
    <s v="השתתפות הממשלה-תרבות תורנית     "/>
    <m/>
    <m/>
    <n v="-100000"/>
    <n v="-100000"/>
    <n v="-552785"/>
    <m/>
    <x v="2"/>
    <s v="שירותים ממלכתיים"/>
    <x v="10"/>
    <s v="תרבות"/>
    <x v="29"/>
    <s v="פעולות תרבות"/>
    <s v="3221"/>
    <e v="#N/A"/>
    <m/>
    <s v="9"/>
    <x v="2"/>
    <s v="92"/>
    <s v="השתתפות משרד החינוך והתרבות"/>
    <s v="923"/>
    <e v="#N/A"/>
  </r>
  <r>
    <n v="421"/>
    <s v="322200"/>
    <n v="1"/>
    <s v="1322200.421"/>
    <s v="תרבות תורנית-הכנסות מפעילות כולל"/>
    <m/>
    <m/>
    <n v="-200000"/>
    <n v="-100000"/>
    <n v="-419055"/>
    <m/>
    <x v="2"/>
    <s v="שירותים ממלכתיים"/>
    <x v="10"/>
    <s v="תרבות"/>
    <x v="29"/>
    <s v="פעולות תרבות"/>
    <s v="3222"/>
    <e v="#N/A"/>
    <m/>
    <s v="4"/>
    <x v="5"/>
    <s v="42"/>
    <s v="השתתפויות תושבים בשירותים משלימים"/>
    <s v="421"/>
    <e v="#N/A"/>
  </r>
  <r>
    <n v="423"/>
    <s v="322200"/>
    <n v="1"/>
    <s v="1322200.423"/>
    <s v="יד לבנים-הכנסות מפעילות         "/>
    <m/>
    <m/>
    <n v="0"/>
    <n v="0"/>
    <n v="-81980"/>
    <m/>
    <x v="2"/>
    <s v="שירותים ממלכתיים"/>
    <x v="10"/>
    <s v="תרבות"/>
    <x v="29"/>
    <s v="פעולות תרבות"/>
    <s v="3222"/>
    <e v="#N/A"/>
    <m/>
    <s v="4"/>
    <x v="5"/>
    <s v="42"/>
    <s v="השתתפויות תושבים בשירותים משלימים"/>
    <s v="423"/>
    <e v="#N/A"/>
  </r>
  <r>
    <n v="425"/>
    <s v="322200"/>
    <n v="1"/>
    <s v="1322200.425"/>
    <s v="מרכז עינב-הכנסות מפעולות תרבות  "/>
    <m/>
    <m/>
    <n v="-700000"/>
    <n v="-800000"/>
    <n v="-674562"/>
    <m/>
    <x v="2"/>
    <s v="שירותים ממלכתיים"/>
    <x v="10"/>
    <s v="תרבות"/>
    <x v="29"/>
    <s v="פעולות תרבות"/>
    <s v="3222"/>
    <e v="#N/A"/>
    <m/>
    <s v="4"/>
    <x v="5"/>
    <s v="42"/>
    <s v="השתתפויות תושבים בשירותים משלימים"/>
    <s v="425"/>
    <e v="#N/A"/>
  </r>
  <r>
    <n v="429"/>
    <s v="322200"/>
    <n v="1"/>
    <s v="1322200.429"/>
    <s v="הכנסות מפעולות תרבות-כללי       "/>
    <m/>
    <m/>
    <n v="0"/>
    <n v="0"/>
    <n v="0"/>
    <m/>
    <x v="2"/>
    <s v="שירותים ממלכתיים"/>
    <x v="10"/>
    <s v="תרבות"/>
    <x v="29"/>
    <s v="פעולות תרבות"/>
    <s v="3222"/>
    <e v="#N/A"/>
    <m/>
    <s v="4"/>
    <x v="5"/>
    <s v="42"/>
    <s v="השתתפויות תושבים בשירותים משלימים"/>
    <s v="429"/>
    <e v="#N/A"/>
  </r>
  <r>
    <n v="591"/>
    <s v="322200"/>
    <n v="1"/>
    <s v="1322200.591"/>
    <s v="הכנסות מקרנות-לחלוקת פרסים      "/>
    <m/>
    <m/>
    <n v="-200000"/>
    <n v="-35000"/>
    <n v="-133000"/>
    <m/>
    <x v="2"/>
    <s v="שירותים ממלכתיים"/>
    <x v="10"/>
    <s v="תרבות"/>
    <x v="29"/>
    <s v="פעולות תרבות"/>
    <s v="3222"/>
    <e v="#N/A"/>
    <m/>
    <s v="5"/>
    <x v="7"/>
    <s v="59"/>
    <s v="החזרות אחרות"/>
    <s v="591"/>
    <e v="#N/A"/>
  </r>
  <r>
    <n v="741"/>
    <s v="322200"/>
    <n v="1"/>
    <s v="1322200.741"/>
    <s v="השתתפות מפעל הפיס לארועי תרבות  "/>
    <m/>
    <m/>
    <n v="0"/>
    <n v="0"/>
    <n v="-86000"/>
    <m/>
    <x v="2"/>
    <s v="שירותים ממלכתיים"/>
    <x v="10"/>
    <s v="תרבות"/>
    <x v="29"/>
    <s v="פעולות תרבות"/>
    <s v="3222"/>
    <e v="#N/A"/>
    <m/>
    <s v="7"/>
    <x v="8"/>
    <s v="74"/>
    <s v="השתתפות מפעל הפיס"/>
    <s v="741"/>
    <e v="#N/A"/>
  </r>
  <r>
    <n v="921"/>
    <s v="322200"/>
    <n v="1"/>
    <s v="1322200.921"/>
    <s v="השתת' מ.החינוך למוס' ואירועי תרב"/>
    <m/>
    <m/>
    <n v="-55000"/>
    <n v="-55000"/>
    <n v="-86281"/>
    <m/>
    <x v="2"/>
    <s v="שירותים ממלכתיים"/>
    <x v="10"/>
    <s v="תרבות"/>
    <x v="29"/>
    <s v="פעולות תרבות"/>
    <s v="3222"/>
    <e v="#N/A"/>
    <m/>
    <s v="9"/>
    <x v="2"/>
    <s v="92"/>
    <s v="השתתפות משרד החינוך והתרבות"/>
    <s v="921"/>
    <e v="#N/A"/>
  </r>
  <r>
    <n v="922"/>
    <s v="322200"/>
    <n v="1"/>
    <s v="1322200.922"/>
    <s v="השתת' משרד התמ ס לפעולות תרבות ש"/>
    <m/>
    <m/>
    <n v="-1260000"/>
    <n v="-995000"/>
    <n v="-1661916"/>
    <m/>
    <x v="2"/>
    <s v="שירותים ממלכתיים"/>
    <x v="10"/>
    <s v="תרבות"/>
    <x v="29"/>
    <s v="פעולות תרבות"/>
    <s v="3222"/>
    <e v="#N/A"/>
    <m/>
    <s v="9"/>
    <x v="2"/>
    <s v="92"/>
    <s v="השתתפות משרד החינוך והתרבות"/>
    <s v="922"/>
    <e v="#N/A"/>
  </r>
  <r>
    <n v="991"/>
    <s v="322200"/>
    <n v="1"/>
    <s v="1322200.991"/>
    <s v="השתת' משרדי ממשלה לפעולות תרבות "/>
    <m/>
    <m/>
    <n v="0"/>
    <n v="0"/>
    <n v="-448902"/>
    <m/>
    <x v="2"/>
    <s v="שירותים ממלכתיים"/>
    <x v="10"/>
    <s v="תרבות"/>
    <x v="29"/>
    <s v="פעולות תרבות"/>
    <s v="3222"/>
    <e v="#N/A"/>
    <m/>
    <s v="9"/>
    <x v="2"/>
    <s v="99"/>
    <s v="השתתפות משרדי ממשלה אחרים"/>
    <s v="991"/>
    <e v="#N/A"/>
  </r>
  <r>
    <n v="411"/>
    <s v="32300"/>
    <n v="1"/>
    <s v="132300.411"/>
    <s v="הכנסות מהספריה למוסיקה          "/>
    <m/>
    <m/>
    <n v="-5000"/>
    <n v="-5000"/>
    <n v="-3863"/>
    <m/>
    <x v="2"/>
    <s v="שירותים ממלכתיים"/>
    <x v="10"/>
    <s v="תרבות"/>
    <x v="30"/>
    <s v="ספריות עירוניות"/>
    <s v="3230"/>
    <e v="#N/A"/>
    <m/>
    <s v="4"/>
    <x v="5"/>
    <s v="41"/>
    <s v="שכל&quot;מ מתושבים"/>
    <s v="411"/>
    <e v="#N/A"/>
  </r>
  <r>
    <n v="412"/>
    <s v="32300"/>
    <n v="1"/>
    <s v="132300.412"/>
    <s v="השאלת ספרים בספריות             "/>
    <m/>
    <m/>
    <n v="-20000"/>
    <n v="-20000"/>
    <n v="-27932"/>
    <m/>
    <x v="2"/>
    <s v="שירותים ממלכתיים"/>
    <x v="10"/>
    <s v="תרבות"/>
    <x v="30"/>
    <s v="ספריות עירוניות"/>
    <s v="3230"/>
    <e v="#N/A"/>
    <m/>
    <s v="4"/>
    <x v="5"/>
    <s v="41"/>
    <s v="שכל&quot;מ מתושבים"/>
    <s v="412"/>
    <e v="#N/A"/>
  </r>
  <r>
    <n v="413"/>
    <s v="32300"/>
    <n v="1"/>
    <s v="132300.413"/>
    <s v="קנסות                           "/>
    <m/>
    <m/>
    <n v="-35000"/>
    <n v="-40000"/>
    <n v="-34443"/>
    <m/>
    <x v="2"/>
    <s v="שירותים ממלכתיים"/>
    <x v="10"/>
    <s v="תרבות"/>
    <x v="30"/>
    <s v="ספריות עירוניות"/>
    <s v="3230"/>
    <e v="#N/A"/>
    <m/>
    <s v="4"/>
    <x v="5"/>
    <s v="41"/>
    <s v="שכל&quot;מ מתושבים"/>
    <s v="413"/>
    <e v="#N/A"/>
  </r>
  <r>
    <n v="421"/>
    <s v="32300"/>
    <n v="1"/>
    <s v="132300.421"/>
    <s v="בית העיר- הכנסות                "/>
    <m/>
    <m/>
    <n v="0"/>
    <n v="0"/>
    <n v="-88609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1"/>
    <e v="#N/A"/>
  </r>
  <r>
    <n v="422"/>
    <s v="32300"/>
    <n v="1"/>
    <s v="132300.422"/>
    <s v="בית ביאליק-הכנסות מדמי כניסה    "/>
    <m/>
    <m/>
    <n v="0"/>
    <n v="0"/>
    <n v="-190963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2"/>
    <e v="#N/A"/>
  </r>
  <r>
    <n v="423"/>
    <s v="32300"/>
    <n v="1"/>
    <s v="132300.423"/>
    <s v="בית ביאליק-הכנסות מפעילות תרבות "/>
    <m/>
    <m/>
    <n v="0"/>
    <n v="0"/>
    <n v="-99122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3"/>
    <e v="#N/A"/>
  </r>
  <r>
    <n v="424"/>
    <s v="32300"/>
    <n v="1"/>
    <s v="132300.424"/>
    <s v="בית אריאלה-הכנסות מפעילות תרבות "/>
    <m/>
    <m/>
    <n v="-1000000"/>
    <n v="-1260000"/>
    <n v="-1002710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4"/>
    <e v="#N/A"/>
  </r>
  <r>
    <n v="425"/>
    <s v="32300"/>
    <n v="1"/>
    <s v="132300.425"/>
    <s v="הכנסות ממכירת קטלוגים           "/>
    <m/>
    <m/>
    <n v="-10000"/>
    <n v="-10000"/>
    <n v="-6750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5"/>
    <e v="#N/A"/>
  </r>
  <r>
    <n v="426"/>
    <s v="32300"/>
    <n v="1"/>
    <s v="132300.426"/>
    <s v="הכנסות משימוש במאגרי מידע       "/>
    <m/>
    <m/>
    <n v="-20000"/>
    <n v="-30000"/>
    <n v="-19037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6"/>
    <e v="#N/A"/>
  </r>
  <r>
    <n v="427"/>
    <s v="32300"/>
    <n v="1"/>
    <s v="132300.427"/>
    <s v="הכנסות מדמי שימוש               "/>
    <m/>
    <m/>
    <n v="-30000"/>
    <n v="-100000"/>
    <n v="-38407"/>
    <m/>
    <x v="2"/>
    <s v="שירותים ממלכתיים"/>
    <x v="10"/>
    <s v="תרבות"/>
    <x v="30"/>
    <s v="ספריות עירוניות"/>
    <s v="3230"/>
    <e v="#N/A"/>
    <m/>
    <s v="4"/>
    <x v="5"/>
    <s v="42"/>
    <s v="השתתפויות תושבים בשירותים משלימים"/>
    <s v="427"/>
    <e v="#N/A"/>
  </r>
  <r>
    <n v="920"/>
    <s v="32300"/>
    <n v="1"/>
    <s v="132300.920"/>
    <s v="השתתפות הממשלה לספריות          "/>
    <m/>
    <m/>
    <n v="-100000"/>
    <n v="-100000"/>
    <n v="-130000"/>
    <m/>
    <x v="2"/>
    <s v="שירותים ממלכתיים"/>
    <x v="10"/>
    <s v="תרבות"/>
    <x v="30"/>
    <s v="ספריות עירוניות"/>
    <s v="3230"/>
    <e v="#N/A"/>
    <m/>
    <s v="9"/>
    <x v="2"/>
    <s v="92"/>
    <s v="השתתפות משרד החינוך והתרבות"/>
    <s v="920"/>
    <e v="#N/A"/>
  </r>
  <r>
    <n v="741"/>
    <s v="32400"/>
    <n v="1"/>
    <s v="132400.741"/>
    <s v="הכנסות מהטוטו לפעולות ספורט     "/>
    <m/>
    <m/>
    <n v="0"/>
    <n v="0"/>
    <n v="0"/>
    <m/>
    <x v="2"/>
    <s v="שירותים ממלכתיים"/>
    <x v="10"/>
    <s v="תרבות"/>
    <x v="31"/>
    <s v="מתנ״סים"/>
    <s v="3240"/>
    <e v="#N/A"/>
    <m/>
    <s v="7"/>
    <x v="8"/>
    <s v="74"/>
    <s v="השתתפות מפעל הפיס"/>
    <s v="741"/>
    <e v="#N/A"/>
  </r>
  <r>
    <n v="921"/>
    <s v="32400"/>
    <n v="1"/>
    <s v="132400.921"/>
    <s v="השת' הממשלה לאגודות ספורט       "/>
    <m/>
    <m/>
    <n v="-190000"/>
    <n v="-190000"/>
    <n v="-17146"/>
    <m/>
    <x v="2"/>
    <s v="שירותים ממלכתיים"/>
    <x v="10"/>
    <s v="תרבות"/>
    <x v="31"/>
    <s v="מתנ״סים"/>
    <s v="3240"/>
    <e v="#N/A"/>
    <m/>
    <s v="9"/>
    <x v="2"/>
    <s v="92"/>
    <s v="השתתפות משרד החינוך והתרבות"/>
    <s v="921"/>
    <e v="#N/A"/>
  </r>
  <r>
    <n v="922"/>
    <s v="32400"/>
    <n v="1"/>
    <s v="132400.922"/>
    <s v="השת' הממשלה - יוזמות בספורט     "/>
    <m/>
    <m/>
    <n v="-600000"/>
    <n v="-600000"/>
    <n v="-663500"/>
    <m/>
    <x v="2"/>
    <s v="שירותים ממלכתיים"/>
    <x v="10"/>
    <s v="תרבות"/>
    <x v="31"/>
    <s v="מתנ״סים"/>
    <s v="3240"/>
    <e v="#N/A"/>
    <m/>
    <s v="9"/>
    <x v="2"/>
    <s v="92"/>
    <s v="השתתפות משרד החינוך והתרבות"/>
    <s v="922"/>
    <e v="#N/A"/>
  </r>
  <r>
    <n v="923"/>
    <s v="32400"/>
    <n v="1"/>
    <s v="132400.923"/>
    <s v="השת' הממשלה למועדוני ספורט בי ס "/>
    <m/>
    <m/>
    <n v="-200000"/>
    <n v="-200000"/>
    <n v="-200000"/>
    <m/>
    <x v="2"/>
    <s v="שירותים ממלכתיים"/>
    <x v="10"/>
    <s v="תרבות"/>
    <x v="31"/>
    <s v="מתנ״סים"/>
    <s v="3240"/>
    <e v="#N/A"/>
    <m/>
    <s v="9"/>
    <x v="2"/>
    <s v="92"/>
    <s v="השתתפות משרד החינוך והתרבות"/>
    <s v="923"/>
    <e v="#N/A"/>
  </r>
  <r>
    <n v="925"/>
    <s v="32400"/>
    <n v="1"/>
    <s v="132400.925"/>
    <s v="השת' ממ' במרכזי מצוינות         "/>
    <m/>
    <m/>
    <n v="-200000"/>
    <n v="-200000"/>
    <n v="-200000"/>
    <m/>
    <x v="2"/>
    <s v="שירותים ממלכתיים"/>
    <x v="10"/>
    <s v="תרבות"/>
    <x v="31"/>
    <s v="מתנ״סים"/>
    <s v="3240"/>
    <e v="#N/A"/>
    <m/>
    <s v="9"/>
    <x v="2"/>
    <s v="92"/>
    <s v="השתתפות משרד החינוך והתרבות"/>
    <s v="925"/>
    <e v="#N/A"/>
  </r>
  <r>
    <n v="731"/>
    <s v="32800"/>
    <n v="1"/>
    <s v="132800.731"/>
    <s v="השתתפות המוסד לביטוח לאומי      "/>
    <m/>
    <m/>
    <n v="-215000"/>
    <n v="0"/>
    <n v="-79800"/>
    <m/>
    <x v="2"/>
    <s v="שירותים ממלכתיים"/>
    <x v="10"/>
    <s v="תרבות"/>
    <x v="32"/>
    <s v="נוער"/>
    <s v="3280"/>
    <e v="#N/A"/>
    <m/>
    <s v="7"/>
    <x v="8"/>
    <s v="73"/>
    <s v="השתתפות מוסד לביטוח לאומי"/>
    <s v="731"/>
    <e v="#N/A"/>
  </r>
  <r>
    <n v="921"/>
    <s v="32800"/>
    <n v="1"/>
    <s v="132800.921"/>
    <s v="השתת' הממשלה לפרויקטים שונים    "/>
    <m/>
    <m/>
    <n v="0"/>
    <n v="0"/>
    <n v="-369000"/>
    <m/>
    <x v="2"/>
    <s v="שירותים ממלכתיים"/>
    <x v="10"/>
    <s v="תרבות"/>
    <x v="32"/>
    <s v="נוער"/>
    <s v="3280"/>
    <e v="#N/A"/>
    <m/>
    <s v="9"/>
    <x v="2"/>
    <s v="92"/>
    <s v="השתתפות משרד החינוך והתרבות"/>
    <s v="921"/>
    <e v="#N/A"/>
  </r>
  <r>
    <n v="421"/>
    <s v="33200"/>
    <n v="1"/>
    <s v="133200.421"/>
    <s v="הכנסות ממשתתפים-בריאות בקהילה   "/>
    <m/>
    <m/>
    <n v="-30000"/>
    <n v="-30000"/>
    <n v="-19065"/>
    <m/>
    <x v="2"/>
    <s v="שירותים ממלכתיים"/>
    <x v="11"/>
    <s v="בריאות"/>
    <x v="33"/>
    <s v="מרפאות"/>
    <s v="3320"/>
    <e v="#N/A"/>
    <m/>
    <s v="4"/>
    <x v="5"/>
    <s v="42"/>
    <s v="השתתפויות תושבים בשירותים משלימים"/>
    <s v="421"/>
    <e v="#N/A"/>
  </r>
  <r>
    <n v="423"/>
    <s v="33200"/>
    <n v="1"/>
    <s v="133200.423"/>
    <s v="דמי טיפול בתחנות לבריאות המשפחה "/>
    <m/>
    <m/>
    <n v="-30000"/>
    <n v="-30000"/>
    <n v="-24773"/>
    <m/>
    <x v="2"/>
    <s v="שירותים ממלכתיים"/>
    <x v="11"/>
    <s v="בריאות"/>
    <x v="33"/>
    <s v="מרפאות"/>
    <s v="3320"/>
    <e v="#N/A"/>
    <m/>
    <s v="4"/>
    <x v="5"/>
    <s v="42"/>
    <s v="השתתפויות תושבים בשירותים משלימים"/>
    <s v="423"/>
    <e v="#N/A"/>
  </r>
  <r>
    <n v="940"/>
    <s v="33200"/>
    <n v="1"/>
    <s v="133200.940"/>
    <s v="השת' ממשלה בתחנות לבריאות המשפחה"/>
    <m/>
    <m/>
    <n v="-9200000"/>
    <n v="-9200000"/>
    <n v="-10166980"/>
    <m/>
    <x v="2"/>
    <s v="שירותים ממלכתיים"/>
    <x v="11"/>
    <s v="בריאות"/>
    <x v="33"/>
    <s v="מרפאות"/>
    <s v="3320"/>
    <e v="#N/A"/>
    <m/>
    <s v="9"/>
    <x v="2"/>
    <s v="94"/>
    <s v="השתתפות משרד הבריאות"/>
    <s v="940"/>
    <e v="#N/A"/>
  </r>
  <r>
    <n v="410"/>
    <s v="33600"/>
    <n v="1"/>
    <s v="133600.410"/>
    <s v="אגרת שרותים בבתיה ס-בריאות השן  "/>
    <m/>
    <m/>
    <n v="0"/>
    <n v="0"/>
    <n v="-11321"/>
    <m/>
    <x v="2"/>
    <s v="שירותים ממלכתיים"/>
    <x v="11"/>
    <s v="בריאות"/>
    <x v="34"/>
    <s v="שירותי חירום ריפואים"/>
    <s v="3360"/>
    <e v="#N/A"/>
    <m/>
    <s v="4"/>
    <x v="5"/>
    <s v="41"/>
    <s v="שכל&quot;מ מתושבים"/>
    <s v="410"/>
    <e v="#N/A"/>
  </r>
  <r>
    <n v="940"/>
    <s v="33600"/>
    <n v="1"/>
    <s v="133600.940"/>
    <s v="השתתפות הממשלה-בריאות השן       "/>
    <m/>
    <m/>
    <n v="-970000"/>
    <n v="-970000"/>
    <n v="-804027"/>
    <m/>
    <x v="2"/>
    <s v="שירותים ממלכתיים"/>
    <x v="11"/>
    <s v="בריאות"/>
    <x v="34"/>
    <s v="שירותי חירום ריפואים"/>
    <s v="3360"/>
    <e v="#N/A"/>
    <m/>
    <s v="9"/>
    <x v="2"/>
    <s v="94"/>
    <s v="השתתפות משרד הבריאות"/>
    <s v="940"/>
    <e v="#N/A"/>
  </r>
  <r>
    <n v="991"/>
    <s v="33600"/>
    <n v="1"/>
    <s v="133600.991"/>
    <s v="השתתפות הממשלה בטיפולי שינים לקש"/>
    <m/>
    <m/>
    <n v="-100000"/>
    <n v="-100000"/>
    <n v="-54880"/>
    <m/>
    <x v="2"/>
    <s v="שירותים ממלכתיים"/>
    <x v="11"/>
    <s v="בריאות"/>
    <x v="34"/>
    <s v="שירותי חירום ריפואים"/>
    <s v="3360"/>
    <e v="#N/A"/>
    <m/>
    <s v="9"/>
    <x v="2"/>
    <s v="99"/>
    <s v="השתתפות משרדי ממשלה אחרים"/>
    <s v="991"/>
    <e v="#N/A"/>
  </r>
  <r>
    <n v="940"/>
    <s v="33700"/>
    <n v="1"/>
    <s v="133700.940"/>
    <s v="השת' ממשלה-תכניות רווחה בבריאות "/>
    <m/>
    <m/>
    <n v="0"/>
    <n v="-20000"/>
    <n v="0"/>
    <m/>
    <x v="2"/>
    <s v="שירותים ממלכתיים"/>
    <x v="11"/>
    <s v="בריאות"/>
    <x v="35"/>
    <e v="#N/A"/>
    <s v="3370"/>
    <e v="#N/A"/>
    <m/>
    <s v="9"/>
    <x v="2"/>
    <s v="94"/>
    <s v="השתתפות משרד הבריאות"/>
    <s v="940"/>
    <e v="#N/A"/>
  </r>
  <r>
    <n v="421"/>
    <s v="34200"/>
    <n v="1"/>
    <s v="134200.421"/>
    <s v="הכנסות מיעוץ נישואין- אגף דרום  "/>
    <m/>
    <m/>
    <n v="-40000"/>
    <n v="-40000"/>
    <n v="-44738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1"/>
    <e v="#N/A"/>
  </r>
  <r>
    <n v="422"/>
    <s v="34200"/>
    <n v="1"/>
    <s v="134200.422"/>
    <s v="הכנסות מיעוץ נישואין-אגף מרכז   "/>
    <m/>
    <m/>
    <n v="-30000"/>
    <n v="-30000"/>
    <n v="-31750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2"/>
    <e v="#N/A"/>
  </r>
  <r>
    <n v="423"/>
    <s v="34200"/>
    <n v="1"/>
    <s v="134200.423"/>
    <s v="הכנסות מיעוץ נישואין-אגף מזרח   "/>
    <m/>
    <m/>
    <n v="0"/>
    <n v="0"/>
    <n v="0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3"/>
    <e v="#N/A"/>
  </r>
  <r>
    <n v="424"/>
    <s v="34200"/>
    <n v="1"/>
    <s v="134200.424"/>
    <s v="דמי רישום והדרכה -משפחתונים     "/>
    <m/>
    <m/>
    <n v="-65000"/>
    <n v="-65000"/>
    <n v="-65237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4"/>
    <e v="#N/A"/>
  </r>
  <r>
    <n v="425"/>
    <s v="34200"/>
    <n v="1"/>
    <s v="134200.425"/>
    <s v="השתתפות קשישים בארוחות          "/>
    <m/>
    <m/>
    <n v="-100000"/>
    <n v="-150000"/>
    <n v="-75760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5"/>
    <e v="#N/A"/>
  </r>
  <r>
    <n v="426"/>
    <s v="34200"/>
    <n v="1"/>
    <s v="134200.426"/>
    <s v="הכנסות מדמי שימוש בנכסי המינהל  "/>
    <m/>
    <m/>
    <n v="-50000"/>
    <n v="-60000"/>
    <n v="-35217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6"/>
    <e v="#N/A"/>
  </r>
  <r>
    <n v="428"/>
    <s v="34200"/>
    <n v="1"/>
    <s v="134200.428"/>
    <s v="השתתפות מטופלי סמים             "/>
    <m/>
    <m/>
    <n v="-100000"/>
    <n v="-100000"/>
    <n v="-89460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8"/>
    <e v="#N/A"/>
  </r>
  <r>
    <n v="429"/>
    <s v="34200"/>
    <n v="1"/>
    <s v="134200.429"/>
    <s v="השת' הקשיש בהוצ' מכירת נכסים    "/>
    <m/>
    <m/>
    <n v="-100000"/>
    <n v="-100000"/>
    <n v="-17069"/>
    <m/>
    <x v="2"/>
    <s v="שירותים ממלכתיים"/>
    <x v="12"/>
    <s v="רווחה"/>
    <x v="36"/>
    <s v="רווחת הפרט והמשפחה"/>
    <s v="3420"/>
    <e v="#N/A"/>
    <m/>
    <s v="4"/>
    <x v="5"/>
    <s v="42"/>
    <s v="השתתפויות תושבים בשירותים משלימים"/>
    <s v="429"/>
    <e v="#N/A"/>
  </r>
  <r>
    <n v="441"/>
    <s v="34200"/>
    <n v="1"/>
    <s v="134200.441"/>
    <s v="הכנסות מהרשות לשיקום האסיר      "/>
    <m/>
    <m/>
    <n v="0"/>
    <n v="0"/>
    <n v="-200000"/>
    <m/>
    <x v="2"/>
    <s v="שירותים ממלכתיים"/>
    <x v="12"/>
    <s v="רווחה"/>
    <x v="36"/>
    <s v="רווחת הפרט והמשפחה"/>
    <s v="3420"/>
    <e v="#N/A"/>
    <m/>
    <s v="4"/>
    <x v="5"/>
    <s v="44"/>
    <s v="השתתפויות מוסדות ורשויות בשירותים משלימים"/>
    <s v="441"/>
    <e v="#N/A"/>
  </r>
  <r>
    <n v="446"/>
    <s v="34200"/>
    <n v="1"/>
    <s v="134200.446"/>
    <s v="הכנסות מהרשות הארצית למלחמה בסמי"/>
    <m/>
    <m/>
    <n v="-50000"/>
    <n v="-50000"/>
    <n v="-65000"/>
    <m/>
    <x v="2"/>
    <s v="שירותים ממלכתיים"/>
    <x v="12"/>
    <s v="רווחה"/>
    <x v="36"/>
    <s v="רווחת הפרט והמשפחה"/>
    <s v="3420"/>
    <e v="#N/A"/>
    <m/>
    <s v="4"/>
    <x v="5"/>
    <s v="44"/>
    <s v="השתתפויות מוסדות ורשויות בשירותים משלימים"/>
    <s v="446"/>
    <e v="#N/A"/>
  </r>
  <r>
    <n v="448"/>
    <s v="34200"/>
    <n v="1"/>
    <s v="134200.448"/>
    <s v="הכנסות למועדון מכורי סמים-מהרשות"/>
    <m/>
    <m/>
    <n v="-115000"/>
    <n v="-115000"/>
    <n v="-40500"/>
    <m/>
    <x v="2"/>
    <s v="שירותים ממלכתיים"/>
    <x v="12"/>
    <s v="רווחה"/>
    <x v="36"/>
    <s v="רווחת הפרט והמשפחה"/>
    <s v="3420"/>
    <e v="#N/A"/>
    <m/>
    <s v="4"/>
    <x v="5"/>
    <s v="44"/>
    <s v="השתתפויות מוסדות ורשויות בשירותים משלימים"/>
    <s v="448"/>
    <e v="#N/A"/>
  </r>
  <r>
    <n v="591"/>
    <s v="34200"/>
    <n v="1"/>
    <s v="134200.591"/>
    <s v="הכנסות מקרנות                   "/>
    <m/>
    <m/>
    <n v="-560000"/>
    <n v="0"/>
    <n v="0"/>
    <m/>
    <x v="2"/>
    <s v="שירותים ממלכתיים"/>
    <x v="12"/>
    <s v="רווחה"/>
    <x v="36"/>
    <s v="רווחת הפרט והמשפחה"/>
    <s v="3420"/>
    <e v="#N/A"/>
    <m/>
    <s v="5"/>
    <x v="7"/>
    <s v="59"/>
    <s v="החזרות אחרות"/>
    <s v="591"/>
    <e v="#N/A"/>
  </r>
  <r>
    <n v="731"/>
    <s v="34200"/>
    <n v="1"/>
    <s v="134200.731"/>
    <s v="הכנסות מביטוח לאומי             "/>
    <m/>
    <m/>
    <n v="-200000"/>
    <n v="0"/>
    <n v="0"/>
    <m/>
    <x v="2"/>
    <s v="שירותים ממלכתיים"/>
    <x v="12"/>
    <s v="רווחה"/>
    <x v="36"/>
    <s v="רווחת הפרט והמשפחה"/>
    <s v="3420"/>
    <e v="#N/A"/>
    <m/>
    <s v="7"/>
    <x v="8"/>
    <s v="73"/>
    <s v="השתתפות מוסד לביטוח לאומי"/>
    <s v="731"/>
    <e v="#N/A"/>
  </r>
  <r>
    <n v="751"/>
    <s v="34200"/>
    <n v="1"/>
    <s v="134200.751"/>
    <s v="השתתפות הסוכנות היהודית         "/>
    <m/>
    <m/>
    <n v="-540000"/>
    <n v="0"/>
    <n v="0"/>
    <m/>
    <x v="2"/>
    <s v="שירותים ממלכתיים"/>
    <x v="12"/>
    <s v="רווחה"/>
    <x v="36"/>
    <s v="רווחת הפרט והמשפחה"/>
    <s v="3420"/>
    <e v="#N/A"/>
    <m/>
    <s v="7"/>
    <x v="8"/>
    <s v="75"/>
    <s v="השתתפות הסוכנות היהודית"/>
    <s v="751"/>
    <e v="#N/A"/>
  </r>
  <r>
    <n v="410"/>
    <s v="34300"/>
    <n v="1"/>
    <s v="134300.410"/>
    <s v="השתתפות הורים לטפול בילד ובנוער "/>
    <m/>
    <m/>
    <n v="-600000"/>
    <n v="-600000"/>
    <n v="-586020"/>
    <m/>
    <x v="2"/>
    <s v="שירותים ממלכתיים"/>
    <x v="12"/>
    <s v="רווחה"/>
    <x v="37"/>
    <s v="שירותים לילד ולנוער"/>
    <s v="3430"/>
    <e v="#N/A"/>
    <m/>
    <s v="4"/>
    <x v="5"/>
    <s v="41"/>
    <s v="שכל&quot;מ מתושבים"/>
    <s v="410"/>
    <e v="#N/A"/>
  </r>
  <r>
    <n v="420"/>
    <s v="34400"/>
    <n v="1"/>
    <s v="134400.420"/>
    <s v="השת' קרובים בטיפול בזקן         "/>
    <m/>
    <m/>
    <n v="-1500000"/>
    <n v="-1500000"/>
    <n v="-1524895"/>
    <m/>
    <x v="2"/>
    <s v="שירותים ממלכתיים"/>
    <x v="12"/>
    <s v="רווחה"/>
    <x v="38"/>
    <s v="שירותים לזקן"/>
    <s v="3440"/>
    <e v="#N/A"/>
    <m/>
    <s v="4"/>
    <x v="5"/>
    <s v="42"/>
    <s v="השתתפויות תושבים בשירותים משלימים"/>
    <s v="420"/>
    <e v="#N/A"/>
  </r>
  <r>
    <n v="430"/>
    <s v="34400"/>
    <n v="1"/>
    <s v="134400.430"/>
    <s v="גבייה מגופים-נדחי חב ס          "/>
    <m/>
    <m/>
    <n v="-50000"/>
    <n v="-30000"/>
    <n v="-13255"/>
    <m/>
    <x v="2"/>
    <s v="שירותים ממלכתיים"/>
    <x v="12"/>
    <s v="רווחה"/>
    <x v="38"/>
    <s v="שירותים לזקן"/>
    <s v="3440"/>
    <e v="#N/A"/>
    <m/>
    <s v="4"/>
    <x v="5"/>
    <s v="43"/>
    <s v="השתתפויות מוסדות ורשויות בשכל&quot;מ"/>
    <s v="430"/>
    <e v="#N/A"/>
  </r>
  <r>
    <n v="440"/>
    <s v="34400"/>
    <n v="1"/>
    <s v="134400.440"/>
    <s v="השת' זקנים בהעסקת סמך מקצועי    "/>
    <m/>
    <m/>
    <n v="-50000"/>
    <n v="-50000"/>
    <n v="-36039"/>
    <m/>
    <x v="2"/>
    <s v="שירותים ממלכתיים"/>
    <x v="12"/>
    <s v="רווחה"/>
    <x v="38"/>
    <s v="שירותים לזקן"/>
    <s v="3440"/>
    <e v="#N/A"/>
    <m/>
    <s v="4"/>
    <x v="5"/>
    <s v="44"/>
    <s v="השתתפויות מוסדות ורשויות בשירותים משלימים"/>
    <s v="440"/>
    <e v="#N/A"/>
  </r>
  <r>
    <n v="450"/>
    <s v="34400"/>
    <n v="1"/>
    <s v="134400.450"/>
    <s v="השת' הורים בסידור מפגרים ונכים  "/>
    <m/>
    <m/>
    <n v="-1700000"/>
    <n v="-1700000"/>
    <n v="-1799086"/>
    <m/>
    <x v="2"/>
    <s v="שירותים ממלכתיים"/>
    <x v="12"/>
    <s v="רווחה"/>
    <x v="38"/>
    <s v="שירותים לזקן"/>
    <s v="3440"/>
    <e v="#N/A"/>
    <m/>
    <s v="4"/>
    <x v="5"/>
    <s v="45"/>
    <e v="#N/A"/>
    <s v="450"/>
    <e v="#N/A"/>
  </r>
  <r>
    <n v="460"/>
    <s v="34400"/>
    <n v="1"/>
    <s v="134400.460"/>
    <s v="השת' משפחות בהעסקת סמך מקצועי   "/>
    <m/>
    <m/>
    <n v="-10000"/>
    <n v="-10000"/>
    <n v="-5531"/>
    <m/>
    <x v="2"/>
    <s v="שירותים ממלכתיים"/>
    <x v="12"/>
    <s v="רווחה"/>
    <x v="38"/>
    <s v="שירותים לזקן"/>
    <s v="3440"/>
    <e v="#N/A"/>
    <m/>
    <s v="4"/>
    <x v="5"/>
    <s v="46"/>
    <e v="#N/A"/>
    <s v="460"/>
    <e v="#N/A"/>
  </r>
  <r>
    <n v="480"/>
    <s v="34400"/>
    <n v="1"/>
    <s v="134400.480"/>
    <s v="השת' משפחות באחז'קשישים בג.השלוש"/>
    <m/>
    <m/>
    <n v="-300000"/>
    <n v="-250000"/>
    <n v="-276595"/>
    <m/>
    <x v="2"/>
    <s v="שירותים ממלכתיים"/>
    <x v="12"/>
    <s v="רווחה"/>
    <x v="38"/>
    <s v="שירותים לזקן"/>
    <s v="3440"/>
    <e v="#N/A"/>
    <m/>
    <s v="4"/>
    <x v="5"/>
    <s v="48"/>
    <e v="#N/A"/>
    <s v="480"/>
    <e v="#N/A"/>
  </r>
  <r>
    <n v="490"/>
    <s v="34400"/>
    <n v="1"/>
    <s v="134400.490"/>
    <s v="הכנסות שונות                    "/>
    <m/>
    <m/>
    <n v="0"/>
    <n v="0"/>
    <n v="0"/>
    <m/>
    <x v="2"/>
    <s v="שירותים ממלכתיים"/>
    <x v="12"/>
    <s v="רווחה"/>
    <x v="38"/>
    <s v="שירותים לזקן"/>
    <s v="3440"/>
    <e v="#N/A"/>
    <m/>
    <s v="4"/>
    <x v="5"/>
    <s v="49"/>
    <s v="שונות"/>
    <s v="490"/>
    <e v="#N/A"/>
  </r>
  <r>
    <n v="911"/>
    <s v="342100"/>
    <n v="1"/>
    <s v="1342100.911"/>
    <s v="טיפול בפעוטות של זרים חסרי מעמד "/>
    <m/>
    <m/>
    <n v="-14000000"/>
    <n v="0"/>
    <n v="0"/>
    <m/>
    <x v="2"/>
    <s v="שירותים ממלכתיים"/>
    <x v="12"/>
    <s v="רווחה"/>
    <x v="36"/>
    <s v="רווחת הפרט והמשפחה"/>
    <s v="3421"/>
    <e v="#N/A"/>
    <m/>
    <s v="9"/>
    <x v="2"/>
    <s v="91"/>
    <s v="השתתפות משרד הפנים"/>
    <s v="911"/>
    <e v="#N/A"/>
  </r>
  <r>
    <n v="931"/>
    <s v="342100"/>
    <n v="1"/>
    <s v="1342100.931"/>
    <s v="שכר עבודה והוצאות מינהל         "/>
    <m/>
    <m/>
    <n v="-30500000"/>
    <n v="-30000000"/>
    <n v="-29866146"/>
    <m/>
    <x v="2"/>
    <s v="שירותים ממלכתיים"/>
    <x v="12"/>
    <s v="רווחה"/>
    <x v="36"/>
    <s v="רווחת הפרט והמשפחה"/>
    <s v="3421"/>
    <e v="#N/A"/>
    <m/>
    <s v="9"/>
    <x v="2"/>
    <s v="93"/>
    <s v="השתתפות משרד העבודה והרווחה"/>
    <s v="931"/>
    <e v="#N/A"/>
  </r>
  <r>
    <n v="932"/>
    <s v="342100"/>
    <n v="1"/>
    <s v="1342100.932"/>
    <s v="השתת' לאבטחת מוסדות רווחה       "/>
    <m/>
    <m/>
    <n v="-100000"/>
    <n v="-100000"/>
    <n v="-108320"/>
    <m/>
    <x v="2"/>
    <s v="שירותים ממלכתיים"/>
    <x v="12"/>
    <s v="רווחה"/>
    <x v="36"/>
    <s v="רווחת הפרט והמשפחה"/>
    <s v="3421"/>
    <e v="#N/A"/>
    <m/>
    <s v="9"/>
    <x v="2"/>
    <s v="93"/>
    <s v="השתתפות משרד העבודה והרווחה"/>
    <s v="932"/>
    <e v="#N/A"/>
  </r>
  <r>
    <n v="933"/>
    <s v="342100"/>
    <n v="1"/>
    <s v="1342100.933"/>
    <s v="השתתפות לתוכנית תעסוקה          "/>
    <m/>
    <m/>
    <n v="-2835000"/>
    <n v="-2835000"/>
    <n v="0"/>
    <m/>
    <x v="2"/>
    <s v="שירותים ממלכתיים"/>
    <x v="12"/>
    <s v="רווחה"/>
    <x v="36"/>
    <s v="רווחת הפרט והמשפחה"/>
    <s v="3421"/>
    <e v="#N/A"/>
    <m/>
    <s v="9"/>
    <x v="2"/>
    <s v="93"/>
    <s v="השתתפות משרד העבודה והרווחה"/>
    <s v="933"/>
    <e v="#N/A"/>
  </r>
  <r>
    <n v="934"/>
    <s v="342100"/>
    <n v="1"/>
    <s v="1342100.934"/>
    <s v="תכנית לחסרי מעמד                "/>
    <m/>
    <m/>
    <n v="-3150000"/>
    <n v="-3150000"/>
    <n v="-1205417"/>
    <m/>
    <x v="2"/>
    <s v="שירותים ממלכתיים"/>
    <x v="12"/>
    <s v="רווחה"/>
    <x v="36"/>
    <s v="רווחת הפרט והמשפחה"/>
    <s v="3421"/>
    <e v="#N/A"/>
    <m/>
    <s v="9"/>
    <x v="2"/>
    <s v="93"/>
    <s v="השתתפות משרד העבודה והרווחה"/>
    <s v="934"/>
    <e v="#N/A"/>
  </r>
  <r>
    <n v="935"/>
    <s v="342100"/>
    <n v="1"/>
    <s v="1342100.935"/>
    <s v="נושמים לרווחה- עוצמה            "/>
    <m/>
    <m/>
    <n v="-400000"/>
    <n v="0"/>
    <n v="0"/>
    <m/>
    <x v="2"/>
    <s v="שירותים ממלכתיים"/>
    <x v="12"/>
    <s v="רווחה"/>
    <x v="36"/>
    <s v="רווחת הפרט והמשפחה"/>
    <s v="3421"/>
    <e v="#N/A"/>
    <m/>
    <s v="9"/>
    <x v="2"/>
    <s v="93"/>
    <s v="השתתפות משרד העבודה והרווחה"/>
    <s v="935"/>
    <e v="#N/A"/>
  </r>
  <r>
    <n v="931"/>
    <s v="347200"/>
    <n v="1"/>
    <s v="1347200.931"/>
    <s v="משפחות במצוקה                   "/>
    <m/>
    <m/>
    <n v="-770000"/>
    <n v="-770000"/>
    <n v="-748641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1"/>
    <e v="#N/A"/>
  </r>
  <r>
    <n v="932"/>
    <s v="347200"/>
    <n v="1"/>
    <s v="1347200.932"/>
    <s v="סיוע למשפחות עם ילדים           "/>
    <m/>
    <m/>
    <n v="-725000"/>
    <n v="-725000"/>
    <n v="-660784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2"/>
    <e v="#N/A"/>
  </r>
  <r>
    <n v="933"/>
    <s v="347200"/>
    <n v="1"/>
    <s v="1347200.933"/>
    <s v="טיפול באלכוהוליסטים             "/>
    <m/>
    <m/>
    <n v="-450000"/>
    <n v="-450000"/>
    <n v="-419519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3"/>
    <e v="#N/A"/>
  </r>
  <r>
    <n v="934"/>
    <s v="347200"/>
    <n v="1"/>
    <s v="1347200.934"/>
    <s v="טיפול בדרי רחוב                 "/>
    <m/>
    <m/>
    <n v="-1795000"/>
    <n v="-1790000"/>
    <n v="-1628049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4"/>
    <e v="#N/A"/>
  </r>
  <r>
    <n v="935"/>
    <s v="347200"/>
    <n v="1"/>
    <s v="1347200.935"/>
    <s v="תוכנית ארצית לטיפול בדרי רחוב   "/>
    <m/>
    <m/>
    <n v="-1350000"/>
    <n v="-1350000"/>
    <n v="-1208763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5"/>
    <e v="#N/A"/>
  </r>
  <r>
    <n v="936"/>
    <s v="347200"/>
    <n v="1"/>
    <s v="1347200.936"/>
    <s v="טיפול באלימות במשפחה            "/>
    <m/>
    <m/>
    <n v="-1750000"/>
    <n v="-1750000"/>
    <n v="-1635158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6"/>
    <e v="#N/A"/>
  </r>
  <r>
    <n v="937"/>
    <s v="347200"/>
    <n v="1"/>
    <s v="1347200.937"/>
    <s v="משפחות שכולות תאונות דרכים      "/>
    <m/>
    <m/>
    <n v="-180000"/>
    <n v="-180000"/>
    <n v="-125432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7"/>
    <e v="#N/A"/>
  </r>
  <r>
    <n v="938"/>
    <s v="347200"/>
    <n v="1"/>
    <s v="1347200.938"/>
    <s v="תוכנית לטיפול בזנות ובסחר בנשים "/>
    <m/>
    <m/>
    <n v="-8975000"/>
    <n v="-9200000"/>
    <n v="-6862414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8"/>
    <e v="#N/A"/>
  </r>
  <r>
    <n v="939"/>
    <s v="347200"/>
    <n v="1"/>
    <s v="1347200.939"/>
    <s v="הוצ' אחרות לטיפול במשפחה        "/>
    <m/>
    <m/>
    <n v="-345000"/>
    <n v="-110000"/>
    <n v="-246742"/>
    <m/>
    <x v="2"/>
    <s v="שירותים ממלכתיים"/>
    <x v="12"/>
    <s v="רווחה"/>
    <x v="39"/>
    <s v="שירותי תיקון"/>
    <s v="3472"/>
    <s v="חסות נוער"/>
    <m/>
    <s v="9"/>
    <x v="2"/>
    <s v="93"/>
    <s v="השתתפות משרד העבודה והרווחה"/>
    <s v="939"/>
    <e v="#N/A"/>
  </r>
  <r>
    <n v="931"/>
    <s v="343310"/>
    <n v="1"/>
    <s v="1343310.931"/>
    <s v="סידור ילדים בפנימיות            "/>
    <m/>
    <m/>
    <n v="-34795000"/>
    <n v="-33880000"/>
    <n v="-35122256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1"/>
    <e v="#N/A"/>
  </r>
  <r>
    <n v="932"/>
    <s v="343310"/>
    <n v="1"/>
    <s v="1343310.932"/>
    <s v="סידור במשפחות אמנה              "/>
    <m/>
    <m/>
    <n v="-1275000"/>
    <n v="-1275000"/>
    <n v="-1401908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2"/>
    <e v="#N/A"/>
  </r>
  <r>
    <n v="933"/>
    <s v="343310"/>
    <n v="1"/>
    <s v="1343310.933"/>
    <s v="סידור ילדים במעונות יום         "/>
    <m/>
    <m/>
    <n v="-11140000"/>
    <n v="-11170000"/>
    <n v="-10321786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3"/>
    <e v="#N/A"/>
  </r>
  <r>
    <n v="934"/>
    <s v="343310"/>
    <n v="1"/>
    <s v="1343310.934"/>
    <s v="משפחתונים-ילדי נשים עובדות      "/>
    <m/>
    <m/>
    <n v="-2150000"/>
    <n v="-2150000"/>
    <n v="-1970499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4"/>
    <e v="#N/A"/>
  </r>
  <r>
    <n v="935"/>
    <s v="343310"/>
    <n v="1"/>
    <s v="1343310.935"/>
    <s v="סידור ילדים במפתנים             "/>
    <m/>
    <m/>
    <n v="-1250000"/>
    <n v="-950000"/>
    <n v="-675351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5"/>
    <e v="#N/A"/>
  </r>
  <r>
    <n v="938"/>
    <s v="343310"/>
    <n v="1"/>
    <s v="1343310.938"/>
    <s v="תוכנית ביתית לקהילה האתיופית    "/>
    <m/>
    <m/>
    <n v="-210000"/>
    <n v="-210000"/>
    <n v="-213013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8"/>
    <e v="#N/A"/>
  </r>
  <r>
    <n v="931"/>
    <s v="343320"/>
    <n v="1"/>
    <s v="1343320.931"/>
    <s v="מרכז חרום לילדים בסיכון         "/>
    <m/>
    <m/>
    <n v="0"/>
    <n v="-75000"/>
    <n v="-4478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1"/>
    <e v="#N/A"/>
  </r>
  <r>
    <n v="932"/>
    <s v="343320"/>
    <n v="1"/>
    <s v="1343320.932"/>
    <s v="יצירת קשר הורים וילדים          "/>
    <m/>
    <m/>
    <n v="-435000"/>
    <n v="-435000"/>
    <n v="-427841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2"/>
    <e v="#N/A"/>
  </r>
  <r>
    <n v="933"/>
    <s v="343320"/>
    <n v="1"/>
    <s v="1343320.933"/>
    <s v="מועדוניות משותפות               "/>
    <m/>
    <m/>
    <n v="-830000"/>
    <n v="-930000"/>
    <n v="-786929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3"/>
    <e v="#N/A"/>
  </r>
  <r>
    <n v="934"/>
    <s v="343320"/>
    <n v="1"/>
    <s v="1343320.934"/>
    <s v="טיפול בילד בקהילה               "/>
    <m/>
    <m/>
    <n v="-2315000"/>
    <n v="-2240000"/>
    <n v="-2233236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4"/>
    <e v="#N/A"/>
  </r>
  <r>
    <n v="935"/>
    <s v="343320"/>
    <n v="1"/>
    <s v="1343320.935"/>
    <s v="מרכז הורים וילדים               "/>
    <m/>
    <m/>
    <n v="-510000"/>
    <n v="-485000"/>
    <n v="-458898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5"/>
    <e v="#N/A"/>
  </r>
  <r>
    <n v="936"/>
    <s v="343320"/>
    <n v="1"/>
    <s v="1343320.936"/>
    <s v="טיפול בנוער ובצעירים            "/>
    <m/>
    <m/>
    <n v="-2145000"/>
    <n v="-2270000"/>
    <n v="-1854983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6"/>
    <e v="#N/A"/>
  </r>
  <r>
    <n v="939"/>
    <s v="343320"/>
    <n v="1"/>
    <s v="1343320.939"/>
    <s v="השת' לתכ' לאומית לילדים בסיכון  "/>
    <m/>
    <m/>
    <n v="-1330000"/>
    <n v="-1330000"/>
    <n v="-1123422"/>
    <m/>
    <x v="2"/>
    <s v="שירותים ממלכתיים"/>
    <x v="12"/>
    <s v="רווחה"/>
    <x v="37"/>
    <s v="שירותים לילד ולנוער"/>
    <s v="3433"/>
    <e v="#N/A"/>
    <m/>
    <s v="9"/>
    <x v="2"/>
    <s v="93"/>
    <s v="השתתפות משרד העבודה והרווחה"/>
    <s v="939"/>
    <e v="#N/A"/>
  </r>
  <r>
    <n v="961"/>
    <s v="343320"/>
    <n v="1"/>
    <s v="1343320.961"/>
    <s v="השתת' משרד התמ ת למשפחתונים     "/>
    <m/>
    <m/>
    <n v="-260000"/>
    <n v="-260000"/>
    <n v="-265200"/>
    <m/>
    <x v="2"/>
    <s v="שירותים ממלכתיים"/>
    <x v="12"/>
    <s v="רווחה"/>
    <x v="37"/>
    <s v="שירותים לילד ולנוער"/>
    <s v="3433"/>
    <e v="#N/A"/>
    <m/>
    <s v="9"/>
    <x v="2"/>
    <s v="96"/>
    <s v="השתתפות משרד החקלאות"/>
    <s v="961"/>
    <e v="#N/A"/>
  </r>
  <r>
    <n v="931"/>
    <s v="344400"/>
    <n v="1"/>
    <s v="1344400.931"/>
    <s v="מסגרות יומיות לזקן              "/>
    <m/>
    <m/>
    <n v="-1480000"/>
    <n v="-2100000"/>
    <n v="-2156693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1"/>
    <e v="#N/A"/>
  </r>
  <r>
    <n v="932"/>
    <s v="344400"/>
    <n v="1"/>
    <s v="1344400.932"/>
    <s v="עזרה לקשיש                      "/>
    <m/>
    <m/>
    <n v="-190000"/>
    <n v="-185000"/>
    <n v="-451525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2"/>
    <e v="#N/A"/>
  </r>
  <r>
    <n v="933"/>
    <s v="344400"/>
    <n v="1"/>
    <s v="1344400.933"/>
    <s v="החזקת קשישים במוסדות)+ג.השלושה( "/>
    <m/>
    <m/>
    <n v="-13340000"/>
    <n v="-13040000"/>
    <n v="-12689326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3"/>
    <e v="#N/A"/>
  </r>
  <r>
    <n v="934"/>
    <s v="344400"/>
    <n v="1"/>
    <s v="1344400.934"/>
    <s v="מועדונים לקשישים                "/>
    <m/>
    <m/>
    <n v="-560000"/>
    <n v="-560000"/>
    <n v="-362418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4"/>
    <e v="#N/A"/>
  </r>
  <r>
    <n v="935"/>
    <s v="344400"/>
    <n v="1"/>
    <s v="1344400.935"/>
    <s v="דיור תומך                       "/>
    <m/>
    <m/>
    <n v="-570000"/>
    <n v="-525000"/>
    <n v="-554463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5"/>
    <e v="#N/A"/>
  </r>
  <r>
    <n v="936"/>
    <s v="344400"/>
    <n v="1"/>
    <s v="1344400.936"/>
    <s v="טיפול בזקן בקהילה               "/>
    <m/>
    <m/>
    <n v="-1570000"/>
    <n v="-1570000"/>
    <n v="-1360906"/>
    <m/>
    <x v="2"/>
    <s v="שירותים ממלכתיים"/>
    <x v="12"/>
    <s v="רווחה"/>
    <x v="38"/>
    <s v="שירותים לזקן"/>
    <s v="3444"/>
    <s v="שירותים לזקן - קהילתי"/>
    <m/>
    <s v="9"/>
    <x v="2"/>
    <s v="93"/>
    <s v="השתתפות משרד העבודה והרווחה"/>
    <s v="936"/>
    <e v="#N/A"/>
  </r>
  <r>
    <n v="931"/>
    <s v="345510"/>
    <n v="1"/>
    <s v="1345510.931"/>
    <s v="סידור מפגרים במוסדות ממשלתיים   "/>
    <m/>
    <m/>
    <n v="-17130000"/>
    <n v="-17615000"/>
    <n v="-17518434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1"/>
    <e v="#N/A"/>
  </r>
  <r>
    <n v="932"/>
    <s v="345510"/>
    <n v="1"/>
    <s v="1345510.932"/>
    <s v="סידור מפגרים במוסדות אחרים      "/>
    <m/>
    <m/>
    <n v="-61910000"/>
    <n v="-59350000"/>
    <n v="-56227996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2"/>
    <e v="#N/A"/>
  </r>
  <r>
    <n v="933"/>
    <s v="345510"/>
    <n v="1"/>
    <s v="1345510.933"/>
    <s v="סידור אוטיסטים בפנימיות         "/>
    <m/>
    <m/>
    <n v="-15980000"/>
    <n v="-12240000"/>
    <n v="-13706093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3"/>
    <e v="#N/A"/>
  </r>
  <r>
    <n v="934"/>
    <s v="345510"/>
    <n v="1"/>
    <s v="1345510.934"/>
    <s v="סידור מפגרים במעונות            "/>
    <m/>
    <m/>
    <n v="-5790000"/>
    <n v="-5290000"/>
    <n v="-5486216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4"/>
    <e v="#N/A"/>
  </r>
  <r>
    <n v="935"/>
    <s v="345510"/>
    <n v="1"/>
    <s v="1345510.935"/>
    <s v="סידור מפגרים במע שים            "/>
    <m/>
    <m/>
    <n v="-2230000"/>
    <n v="-2350000"/>
    <n v="-2149022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5"/>
    <e v="#N/A"/>
  </r>
  <r>
    <n v="937"/>
    <s v="345510"/>
    <n v="1"/>
    <s v="1345510.937"/>
    <s v="פרויקט סביבה תומכת למפגר        "/>
    <m/>
    <m/>
    <n v="-395000"/>
    <n v="-395000"/>
    <n v="-286440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7"/>
    <e v="#N/A"/>
  </r>
  <r>
    <n v="938"/>
    <s v="345510"/>
    <n v="1"/>
    <s v="1345510.938"/>
    <s v="סידור אוטיסטים במעונות          "/>
    <m/>
    <m/>
    <n v="-1005000"/>
    <n v="-1005000"/>
    <n v="-691395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8"/>
    <e v="#N/A"/>
  </r>
  <r>
    <n v="931"/>
    <s v="345520"/>
    <n v="1"/>
    <s v="1345520.931"/>
    <s v="טיפול במשפחות אמנה              "/>
    <m/>
    <m/>
    <n v="-275000"/>
    <n v="-275000"/>
    <n v="-250836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1"/>
    <e v="#N/A"/>
  </r>
  <r>
    <n v="932"/>
    <s v="345520"/>
    <n v="1"/>
    <s v="1345520.932"/>
    <s v="טיפול במפגר בקהילה              "/>
    <m/>
    <m/>
    <n v="-280000"/>
    <n v="-355000"/>
    <n v="-259859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2"/>
    <e v="#N/A"/>
  </r>
  <r>
    <n v="933"/>
    <s v="345520"/>
    <n v="1"/>
    <s v="1345520.933"/>
    <s v="שרות תומך למפגר                 "/>
    <m/>
    <m/>
    <n v="-540000"/>
    <n v="-500000"/>
    <n v="-615743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3"/>
    <e v="#N/A"/>
  </r>
  <r>
    <n v="934"/>
    <s v="345520"/>
    <n v="1"/>
    <s v="1345520.934"/>
    <s v="טיפול באוטיסטים בקהילה          "/>
    <m/>
    <m/>
    <n v="-1800000"/>
    <n v="-1570000"/>
    <n v="-1251965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4"/>
    <e v="#N/A"/>
  </r>
  <r>
    <n v="935"/>
    <s v="345520"/>
    <n v="1"/>
    <s v="1345520.935"/>
    <s v="הסעות למעונות יום               "/>
    <m/>
    <m/>
    <n v="-2075000"/>
    <n v="-2200000"/>
    <n v="-1994047"/>
    <m/>
    <x v="2"/>
    <s v="שירותים ממלכתיים"/>
    <x v="12"/>
    <s v="רווחה"/>
    <x v="40"/>
    <s v="שירותים למפגר"/>
    <s v="3455"/>
    <e v="#N/A"/>
    <m/>
    <s v="9"/>
    <x v="2"/>
    <s v="93"/>
    <s v="השתתפות משרד העבודה והרווחה"/>
    <s v="935"/>
    <e v="#N/A"/>
  </r>
  <r>
    <n v="931"/>
    <s v="346610"/>
    <n v="1"/>
    <s v="1346610.931"/>
    <s v="סידור ילדים עיוורים במוסדות     "/>
    <m/>
    <m/>
    <n v="-280000"/>
    <n v="-340000"/>
    <n v="-273628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1"/>
    <e v="#N/A"/>
  </r>
  <r>
    <n v="932"/>
    <s v="346610"/>
    <n v="1"/>
    <s v="1346610.932"/>
    <s v="אחזקת נכים בפנימיות             "/>
    <m/>
    <m/>
    <n v="-20400000"/>
    <n v="-19830000"/>
    <n v="-18817628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2"/>
    <e v="#N/A"/>
  </r>
  <r>
    <n v="933"/>
    <s v="346610"/>
    <n v="1"/>
    <s v="1346610.933"/>
    <s v="תעסוקה מוגנת למוגבל             "/>
    <m/>
    <m/>
    <n v="-1315000"/>
    <n v="-1355000"/>
    <n v="-1014209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3"/>
    <e v="#N/A"/>
  </r>
  <r>
    <n v="934"/>
    <s v="346610"/>
    <n v="1"/>
    <s v="1346610.934"/>
    <s v="מרכז יום שיקומי לנכים           "/>
    <m/>
    <m/>
    <n v="-1780000"/>
    <n v="-1900000"/>
    <n v="-1625817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4"/>
    <e v="#N/A"/>
  </r>
  <r>
    <n v="935"/>
    <s v="346610"/>
    <n v="1"/>
    <s v="1346610.935"/>
    <s v="מוסדות יום לילד המוגבל          "/>
    <m/>
    <m/>
    <n v="-225000"/>
    <n v="-315000"/>
    <n v="-183299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5"/>
    <e v="#N/A"/>
  </r>
  <r>
    <n v="936"/>
    <s v="346610"/>
    <n v="1"/>
    <s v="1346610.936"/>
    <s v="מרכז יום לנכים קשים             "/>
    <m/>
    <m/>
    <n v="-810000"/>
    <n v="-835000"/>
    <n v="-675320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6"/>
    <e v="#N/A"/>
  </r>
  <r>
    <n v="937"/>
    <s v="346610"/>
    <n v="1"/>
    <s v="1346610.937"/>
    <s v="קהילה תומכת לנכים               "/>
    <m/>
    <m/>
    <n v="-280000"/>
    <n v="-280000"/>
    <n v="-223508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7"/>
    <e v="#N/A"/>
  </r>
  <r>
    <n v="938"/>
    <s v="346610"/>
    <n v="1"/>
    <s v="1346610.938"/>
    <s v="תעסוקה תומכת לנכים              "/>
    <m/>
    <m/>
    <n v="-355000"/>
    <n v="-355000"/>
    <n v="-286044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8"/>
    <e v="#N/A"/>
  </r>
  <r>
    <n v="931"/>
    <s v="346620"/>
    <n v="1"/>
    <s v="1346620.931"/>
    <s v="מפעלי שיקום ותעסוקה לעיוור      "/>
    <m/>
    <m/>
    <n v="-750000"/>
    <n v="-790000"/>
    <n v="-687566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1"/>
    <e v="#N/A"/>
  </r>
  <r>
    <n v="932"/>
    <s v="346620"/>
    <n v="1"/>
    <s v="1346620.932"/>
    <s v="מועדוניות לעיוורים ולחרשים      "/>
    <m/>
    <m/>
    <n v="-950000"/>
    <n v="-910000"/>
    <n v="-700584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2"/>
    <e v="#N/A"/>
  </r>
  <r>
    <n v="933"/>
    <s v="346620"/>
    <n v="1"/>
    <s v="1346620.933"/>
    <s v="עזרה אחרת לעיוור                "/>
    <m/>
    <m/>
    <n v="-390000"/>
    <n v="-390000"/>
    <n v="-406037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3"/>
    <e v="#N/A"/>
  </r>
  <r>
    <n v="934"/>
    <s v="346620"/>
    <n v="1"/>
    <s v="1346620.934"/>
    <s v="טיפול בנכים בקהילה              "/>
    <m/>
    <m/>
    <n v="-1305000"/>
    <n v="-1335000"/>
    <n v="-1017454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4"/>
    <e v="#N/A"/>
  </r>
  <r>
    <n v="936"/>
    <s v="346620"/>
    <n v="1"/>
    <s v="1346620.936"/>
    <s v="שיקום נכים ביתי                 "/>
    <m/>
    <m/>
    <n v="-155000"/>
    <n v="-155000"/>
    <n v="-27312"/>
    <m/>
    <x v="2"/>
    <s v="שירותים ממלכתיים"/>
    <x v="12"/>
    <s v="רווחה"/>
    <x v="41"/>
    <s v="שירותי שיקום"/>
    <s v="3466"/>
    <s v="נכים - אחזקה במסגרות יום"/>
    <m/>
    <s v="9"/>
    <x v="2"/>
    <s v="93"/>
    <s v="השתתפות משרד העבודה והרווחה"/>
    <s v="936"/>
    <e v="#N/A"/>
  </r>
  <r>
    <n v="591"/>
    <s v="347700"/>
    <n v="1"/>
    <s v="1347700.591"/>
    <s v="הכנסה מקרנות                    "/>
    <m/>
    <m/>
    <n v="-100000"/>
    <n v="-100000"/>
    <n v="-49073"/>
    <m/>
    <x v="2"/>
    <s v="שירותים ממלכתיים"/>
    <x v="12"/>
    <s v="רווחה"/>
    <x v="39"/>
    <s v="שירותי תיקון"/>
    <s v="3477"/>
    <e v="#N/A"/>
    <m/>
    <s v="5"/>
    <x v="7"/>
    <s v="59"/>
    <s v="החזרות אחרות"/>
    <s v="591"/>
    <e v="#N/A"/>
  </r>
  <r>
    <n v="932"/>
    <s v="347700"/>
    <n v="1"/>
    <s v="1347700.932"/>
    <s v="הוצאות למתנדבים                 "/>
    <m/>
    <m/>
    <n v="-75000"/>
    <n v="-75000"/>
    <n v="-65253"/>
    <m/>
    <x v="2"/>
    <s v="שירותים ממלכתיים"/>
    <x v="12"/>
    <s v="רווחה"/>
    <x v="39"/>
    <s v="שירותי תיקון"/>
    <s v="3477"/>
    <e v="#N/A"/>
    <m/>
    <s v="9"/>
    <x v="2"/>
    <s v="93"/>
    <s v="השתתפות משרד העבודה והרווחה"/>
    <s v="932"/>
    <e v="#N/A"/>
  </r>
  <r>
    <n v="933"/>
    <s v="347700"/>
    <n v="1"/>
    <s v="1347700.933"/>
    <s v="גמילה מסמים                     "/>
    <m/>
    <m/>
    <n v="-1480000"/>
    <n v="-1470000"/>
    <n v="-1322582"/>
    <m/>
    <x v="2"/>
    <s v="שירותים ממלכתיים"/>
    <x v="12"/>
    <s v="רווחה"/>
    <x v="39"/>
    <s v="שירותי תיקון"/>
    <s v="3477"/>
    <e v="#N/A"/>
    <m/>
    <s v="9"/>
    <x v="2"/>
    <s v="93"/>
    <s v="השתתפות משרד העבודה והרווחה"/>
    <s v="933"/>
    <e v="#N/A"/>
  </r>
  <r>
    <n v="931"/>
    <s v="34800"/>
    <n v="1"/>
    <s v="134800.931"/>
    <s v="שיקום שכונות - השתתפות ממשלה    "/>
    <m/>
    <m/>
    <n v="-20000"/>
    <n v="-20000"/>
    <n v="-4874"/>
    <m/>
    <x v="2"/>
    <s v="שירותים ממלכתיים"/>
    <x v="12"/>
    <s v="רווחה"/>
    <x v="42"/>
    <s v="עבודה קהילתית"/>
    <s v="3480"/>
    <e v="#N/A"/>
    <m/>
    <s v="9"/>
    <x v="2"/>
    <s v="93"/>
    <s v="השתתפות משרד העבודה והרווחה"/>
    <s v="931"/>
    <e v="#N/A"/>
  </r>
  <r>
    <n v="421"/>
    <s v="36000"/>
    <n v="1"/>
    <s v="136000.421"/>
    <s v="הכנסות ממשתתפים                 "/>
    <m/>
    <m/>
    <n v="-20000"/>
    <n v="-20000"/>
    <n v="-55960"/>
    <m/>
    <x v="2"/>
    <s v="שירותים ממלכתיים"/>
    <x v="13"/>
    <s v="קליטת עליה"/>
    <x v="43"/>
    <e v="#N/A"/>
    <s v="3600"/>
    <e v="#N/A"/>
    <m/>
    <s v="4"/>
    <x v="5"/>
    <s v="42"/>
    <s v="השתתפויות תושבים בשירותים משלימים"/>
    <s v="421"/>
    <e v="#N/A"/>
  </r>
  <r>
    <n v="951"/>
    <s v="36000"/>
    <n v="1"/>
    <s v="136000.951"/>
    <s v="השת' מש' הקליטה ברשות קליטת עליה"/>
    <m/>
    <m/>
    <n v="-1750000"/>
    <n v="-1540000"/>
    <n v="-916043"/>
    <m/>
    <x v="2"/>
    <s v="שירותים ממלכתיים"/>
    <x v="13"/>
    <s v="קליטת עליה"/>
    <x v="43"/>
    <e v="#N/A"/>
    <s v="3600"/>
    <e v="#N/A"/>
    <m/>
    <s v="9"/>
    <x v="2"/>
    <s v="95"/>
    <s v="השתתפות משרד הקליטה"/>
    <s v="951"/>
    <e v="#N/A"/>
  </r>
  <r>
    <n v="952"/>
    <s v="36000"/>
    <n v="1"/>
    <s v="136000.952"/>
    <s v="השתת מ. הקליטה בקליטת עולי אתיופ"/>
    <m/>
    <m/>
    <n v="-270000"/>
    <n v="-270000"/>
    <n v="-481693"/>
    <m/>
    <x v="2"/>
    <s v="שירותים ממלכתיים"/>
    <x v="13"/>
    <s v="קליטת עליה"/>
    <x v="43"/>
    <e v="#N/A"/>
    <s v="3600"/>
    <e v="#N/A"/>
    <m/>
    <s v="9"/>
    <x v="2"/>
    <s v="95"/>
    <s v="השתתפות משרד הקליטה"/>
    <s v="952"/>
    <e v="#N/A"/>
  </r>
  <r>
    <n v="421"/>
    <s v="37900"/>
    <n v="1"/>
    <s v="137900.421"/>
    <s v="הכנסות שונות                    "/>
    <m/>
    <m/>
    <n v="-30000"/>
    <n v="-50000"/>
    <n v="-29545"/>
    <m/>
    <x v="2"/>
    <s v="שירותים ממלכתיים"/>
    <x v="14"/>
    <s v="איכות הסביבה"/>
    <x v="44"/>
    <s v="שירותים שונים לאיכות הסביבה"/>
    <s v="3790"/>
    <e v="#N/A"/>
    <m/>
    <s v="4"/>
    <x v="5"/>
    <s v="42"/>
    <s v="השתתפויות תושבים בשירותים משלימים"/>
    <s v="421"/>
    <e v="#N/A"/>
  </r>
  <r>
    <n v="991"/>
    <s v="37900"/>
    <n v="1"/>
    <s v="137900.991"/>
    <s v="השתת' המש' לאיכה ס ברשות העירוני"/>
    <m/>
    <m/>
    <n v="-200000"/>
    <n v="-200000"/>
    <n v="-251324"/>
    <m/>
    <x v="2"/>
    <s v="שירותים ממלכתיים"/>
    <x v="14"/>
    <s v="איכות הסביבה"/>
    <x v="44"/>
    <s v="שירותים שונים לאיכות הסביבה"/>
    <s v="3790"/>
    <e v="#N/A"/>
    <m/>
    <s v="9"/>
    <x v="2"/>
    <s v="99"/>
    <s v="השתתפות משרדי ממשלה אחרים"/>
    <s v="991"/>
    <e v="#N/A"/>
  </r>
  <r>
    <n v="993"/>
    <s v="37900"/>
    <n v="1"/>
    <s v="137900.993"/>
    <s v="השתתפות בפרויקטים מיוחדים       "/>
    <m/>
    <m/>
    <n v="-30000"/>
    <n v="-30000"/>
    <n v="-100000"/>
    <m/>
    <x v="2"/>
    <s v="שירותים ממלכתיים"/>
    <x v="14"/>
    <s v="איכות הסביבה"/>
    <x v="44"/>
    <s v="שירותים שונים לאיכות הסביבה"/>
    <s v="3790"/>
    <e v="#N/A"/>
    <m/>
    <s v="9"/>
    <x v="2"/>
    <s v="99"/>
    <s v="השתתפות משרדי ממשלה אחרים"/>
    <s v="993"/>
    <e v="#N/A"/>
  </r>
  <r>
    <n v="996"/>
    <s v="37900"/>
    <n v="1"/>
    <s v="137900.996"/>
    <s v="השתתפות המשרד לאיכ ס בניידת מלר "/>
    <m/>
    <m/>
    <n v="0"/>
    <n v="-120000"/>
    <n v="0"/>
    <m/>
    <x v="2"/>
    <s v="שירותים ממלכתיים"/>
    <x v="14"/>
    <s v="איכות הסביבה"/>
    <x v="44"/>
    <s v="שירותים שונים לאיכות הסביבה"/>
    <s v="3790"/>
    <e v="#N/A"/>
    <m/>
    <s v="9"/>
    <x v="2"/>
    <s v="99"/>
    <s v="השתתפות משרדי ממשלה אחרים"/>
    <s v="996"/>
    <e v="#N/A"/>
  </r>
  <r>
    <n v="810"/>
    <s v="47100"/>
    <n v="1"/>
    <s v="147100.810"/>
    <s v="היטל ביוב                       "/>
    <m/>
    <m/>
    <n v="-5600000"/>
    <n v="-6900000"/>
    <n v="-7200000"/>
    <m/>
    <x v="3"/>
    <s v="מפעלים"/>
    <x v="15"/>
    <s v="מפעל הביוב"/>
    <x v="45"/>
    <s v="מינהל הביוב"/>
    <s v="4710"/>
    <e v="#N/A"/>
    <m/>
    <s v="8"/>
    <x v="6"/>
    <s v="81"/>
    <s v="השתתפויות בעלים"/>
    <s v="810"/>
    <e v="#N/A"/>
  </r>
  <r>
    <n v="521"/>
    <s v="412100"/>
    <n v="1"/>
    <s v="1412100.521"/>
    <s v="הכנסות מעמלת גביה-אגרות מים וביו"/>
    <m/>
    <m/>
    <n v="-14500000"/>
    <n v="-16000000"/>
    <n v="-15477703"/>
    <m/>
    <x v="3"/>
    <s v="מפעלים"/>
    <x v="16"/>
    <s v="מים"/>
    <x v="46"/>
    <s v="גביה"/>
    <s v="4121"/>
    <e v="#N/A"/>
    <m/>
    <s v="5"/>
    <x v="7"/>
    <s v="52"/>
    <e v="#N/A"/>
    <s v="521"/>
    <e v="#N/A"/>
  </r>
  <r>
    <n v="522"/>
    <s v="412100"/>
    <n v="1"/>
    <s v="1412100.522"/>
    <s v="הכנסות מעמלת גביה-היטלי פיתוח   "/>
    <m/>
    <m/>
    <n v="-300000"/>
    <n v="-500000"/>
    <n v="-838651"/>
    <m/>
    <x v="3"/>
    <s v="מפעלים"/>
    <x v="16"/>
    <s v="מים"/>
    <x v="46"/>
    <s v="גביה"/>
    <s v="4121"/>
    <e v="#N/A"/>
    <m/>
    <s v="5"/>
    <x v="7"/>
    <s v="52"/>
    <e v="#N/A"/>
    <s v="522"/>
    <e v="#N/A"/>
  </r>
  <r>
    <n v="523"/>
    <s v="413100"/>
    <n v="1"/>
    <s v="1413100.523"/>
    <s v="החזר הוצאות מתאגיד המים         "/>
    <m/>
    <m/>
    <n v="-650000"/>
    <n v="-2450000"/>
    <n v="-3232142"/>
    <m/>
    <x v="3"/>
    <s v="מפעלים"/>
    <x v="16"/>
    <s v="מים"/>
    <x v="47"/>
    <s v="משק המים"/>
    <s v="4131"/>
    <s v="אגרות מים (צריכה שוטפת)"/>
    <m/>
    <s v="5"/>
    <x v="7"/>
    <s v="52"/>
    <e v="#N/A"/>
    <s v="523"/>
    <e v="#N/A"/>
  </r>
  <r>
    <n v="210"/>
    <s v="41000"/>
    <n v="1"/>
    <s v="141000.210"/>
    <s v="אגרת מים                        "/>
    <m/>
    <m/>
    <n v="-2000000"/>
    <n v="-7000000"/>
    <n v="-4633961"/>
    <m/>
    <x v="3"/>
    <s v="מפעלים"/>
    <x v="16"/>
    <s v="מים"/>
    <x v="48"/>
    <e v="#N/A"/>
    <s v="4100"/>
    <e v="#N/A"/>
    <m/>
    <s v="2"/>
    <x v="1"/>
    <s v="21"/>
    <s v="אגרות מים וביוב"/>
    <s v="210"/>
    <e v="#N/A"/>
  </r>
  <r>
    <n v="810"/>
    <s v="41000"/>
    <n v="1"/>
    <s v="141000.810"/>
    <s v="היטל הנחת צינורות מים           "/>
    <m/>
    <m/>
    <n v="-1600000"/>
    <n v="-1700000"/>
    <n v="-1800000"/>
    <m/>
    <x v="3"/>
    <s v="מפעלים"/>
    <x v="16"/>
    <s v="מים"/>
    <x v="48"/>
    <e v="#N/A"/>
    <s v="4100"/>
    <e v="#N/A"/>
    <m/>
    <s v="8"/>
    <x v="6"/>
    <s v="81"/>
    <s v="השתתפויות בעלים"/>
    <s v="810"/>
    <e v="#N/A"/>
  </r>
  <r>
    <n v="610"/>
    <s v="43100"/>
    <n v="1"/>
    <s v="143100.610"/>
    <s v="דמי שימוש עבור שלטי רחוב        "/>
    <m/>
    <m/>
    <n v="-18500000"/>
    <n v="-18000000"/>
    <n v="-18168743"/>
    <m/>
    <x v="3"/>
    <s v="מפעלים"/>
    <x v="17"/>
    <s v="נכסים"/>
    <x v="49"/>
    <s v="מינהל הנכסים"/>
    <s v="4310"/>
    <e v="#N/A"/>
    <m/>
    <s v="6"/>
    <x v="3"/>
    <s v="61"/>
    <s v="מכירת חומרים"/>
    <s v="610"/>
    <e v="#N/A"/>
  </r>
  <r>
    <n v="621"/>
    <s v="43100"/>
    <n v="1"/>
    <s v="143100.621"/>
    <s v="דמי שימוש בשטח ציבורי-כללי      "/>
    <m/>
    <m/>
    <n v="-4000000"/>
    <n v="-4000000"/>
    <n v="-2715859"/>
    <m/>
    <x v="3"/>
    <s v="מפעלים"/>
    <x v="17"/>
    <s v="נכסים"/>
    <x v="49"/>
    <s v="מינהל הנכסים"/>
    <s v="4310"/>
    <e v="#N/A"/>
    <m/>
    <s v="6"/>
    <x v="3"/>
    <s v="62"/>
    <s v="מכירת ציוד יסודי"/>
    <s v="621"/>
    <e v="#N/A"/>
  </r>
  <r>
    <n v="622"/>
    <s v="43100"/>
    <n v="1"/>
    <s v="143100.622"/>
    <s v="דמי שימוש מפרויקט גגות סולריים  "/>
    <m/>
    <m/>
    <n v="-300000"/>
    <n v="-240000"/>
    <n v="-3225107"/>
    <m/>
    <x v="3"/>
    <s v="מפעלים"/>
    <x v="17"/>
    <s v="נכסים"/>
    <x v="49"/>
    <s v="מינהל הנכסים"/>
    <s v="4310"/>
    <e v="#N/A"/>
    <m/>
    <s v="6"/>
    <x v="3"/>
    <s v="62"/>
    <s v="מכירת ציוד יסודי"/>
    <s v="622"/>
    <e v="#N/A"/>
  </r>
  <r>
    <n v="623"/>
    <s v="43100"/>
    <n v="1"/>
    <s v="143100.623"/>
    <s v="דמי שימוש - סיבים אופטיים       "/>
    <m/>
    <m/>
    <n v="-60000"/>
    <n v="-50000"/>
    <n v="-73872"/>
    <m/>
    <x v="3"/>
    <s v="מפעלים"/>
    <x v="17"/>
    <s v="נכסים"/>
    <x v="49"/>
    <s v="מינהל הנכסים"/>
    <s v="4310"/>
    <e v="#N/A"/>
    <m/>
    <s v="6"/>
    <x v="3"/>
    <s v="62"/>
    <s v="מכירת ציוד יסודי"/>
    <s v="623"/>
    <e v="#N/A"/>
  </r>
  <r>
    <n v="610"/>
    <s v="43200"/>
    <n v="1"/>
    <s v="143200.610"/>
    <s v="דמי חכירה מבתי מגורים           "/>
    <m/>
    <m/>
    <n v="-400000"/>
    <n v="-400000"/>
    <n v="-456493"/>
    <m/>
    <x v="3"/>
    <s v="מפעלים"/>
    <x v="17"/>
    <s v="נכסים"/>
    <x v="50"/>
    <s v="דירות"/>
    <s v="4320"/>
    <e v="#N/A"/>
    <m/>
    <s v="6"/>
    <x v="3"/>
    <s v="61"/>
    <s v="מכירת חומרים"/>
    <s v="610"/>
    <e v="#N/A"/>
  </r>
  <r>
    <n v="690"/>
    <s v="43200"/>
    <n v="1"/>
    <s v="143200.690"/>
    <s v="דמי מפתח והיתר העברה מבתי-מגורים"/>
    <m/>
    <m/>
    <n v="-100000"/>
    <n v="-100000"/>
    <n v="-300000"/>
    <m/>
    <x v="3"/>
    <s v="מפעלים"/>
    <x v="17"/>
    <s v="נכסים"/>
    <x v="50"/>
    <s v="דירות"/>
    <s v="4320"/>
    <e v="#N/A"/>
    <m/>
    <s v="6"/>
    <x v="3"/>
    <s v="69"/>
    <s v="הכנסות שונות"/>
    <s v="690"/>
    <e v="#N/A"/>
  </r>
  <r>
    <n v="610"/>
    <s v="43300"/>
    <n v="1"/>
    <s v="143300.610"/>
    <s v="שכר דירה מעסקים מוסדות ודירות   "/>
    <m/>
    <m/>
    <n v="-15600000"/>
    <n v="-15000000"/>
    <n v="-16684279"/>
    <m/>
    <x v="3"/>
    <s v="מפעלים"/>
    <x v="17"/>
    <s v="נכסים"/>
    <x v="51"/>
    <s v="משרדים ועסקים"/>
    <s v="4330"/>
    <e v="#N/A"/>
    <m/>
    <s v="6"/>
    <x v="3"/>
    <s v="61"/>
    <s v="מכירת חומרים"/>
    <s v="610"/>
    <e v="#N/A"/>
  </r>
  <r>
    <n v="620"/>
    <s v="43300"/>
    <n v="1"/>
    <s v="143300.620"/>
    <s v="הכנסות משכ ד- העברה לאחרים      "/>
    <m/>
    <m/>
    <n v="-1195000"/>
    <n v="-110000"/>
    <n v="-799562"/>
    <m/>
    <x v="3"/>
    <s v="מפעלים"/>
    <x v="17"/>
    <s v="נכסים"/>
    <x v="51"/>
    <s v="משרדים ועסקים"/>
    <s v="4330"/>
    <e v="#N/A"/>
    <m/>
    <s v="6"/>
    <x v="3"/>
    <s v="62"/>
    <s v="מכירת ציוד יסודי"/>
    <s v="620"/>
    <e v="#N/A"/>
  </r>
  <r>
    <n v="690"/>
    <s v="43300"/>
    <n v="1"/>
    <s v="143300.690"/>
    <s v="דמי מפתח ודמי היתר העברה מעסקים "/>
    <m/>
    <m/>
    <n v="-35000"/>
    <n v="-10000"/>
    <n v="-171300"/>
    <m/>
    <x v="3"/>
    <s v="מפעלים"/>
    <x v="17"/>
    <s v="נכסים"/>
    <x v="51"/>
    <s v="משרדים ועסקים"/>
    <s v="4330"/>
    <e v="#N/A"/>
    <m/>
    <s v="6"/>
    <x v="3"/>
    <s v="69"/>
    <s v="הכנסות שונות"/>
    <s v="690"/>
    <e v="#N/A"/>
  </r>
  <r>
    <n v="610"/>
    <s v="43500"/>
    <n v="1"/>
    <s v="143500.610"/>
    <s v="דמי חכירה מקרקעות               "/>
    <m/>
    <m/>
    <n v="-8000000"/>
    <n v="-6000000"/>
    <n v="-10127472"/>
    <m/>
    <x v="3"/>
    <s v="מפעלים"/>
    <x v="17"/>
    <s v="נכסים"/>
    <x v="52"/>
    <s v="קרקעות"/>
    <s v="4350"/>
    <e v="#N/A"/>
    <m/>
    <s v="6"/>
    <x v="3"/>
    <s v="61"/>
    <s v="מכירת חומרים"/>
    <s v="610"/>
    <e v="#N/A"/>
  </r>
  <r>
    <n v="620"/>
    <s v="43500"/>
    <n v="1"/>
    <s v="143500.620"/>
    <s v="דמי הגדלת זכויות                "/>
    <m/>
    <m/>
    <n v="-300000"/>
    <n v="-300000"/>
    <n v="-289858"/>
    <m/>
    <x v="3"/>
    <s v="מפעלים"/>
    <x v="17"/>
    <s v="נכסים"/>
    <x v="52"/>
    <s v="קרקעות"/>
    <s v="4350"/>
    <e v="#N/A"/>
    <m/>
    <s v="6"/>
    <x v="3"/>
    <s v="62"/>
    <s v="מכירת ציוד יסודי"/>
    <s v="620"/>
    <e v="#N/A"/>
  </r>
  <r>
    <n v="610"/>
    <s v="43600"/>
    <n v="1"/>
    <s v="143600.610"/>
    <s v="דמי טיפול עבור פעולות אגף הנכסים"/>
    <m/>
    <m/>
    <n v="-150000"/>
    <n v="-100000"/>
    <n v="-77095"/>
    <m/>
    <x v="3"/>
    <s v="מפעלים"/>
    <x v="17"/>
    <s v="נכסים"/>
    <x v="53"/>
    <s v="אכסניות נוער"/>
    <s v="4360"/>
    <e v="#N/A"/>
    <m/>
    <s v="6"/>
    <x v="3"/>
    <s v="61"/>
    <s v="מכירת חומרים"/>
    <s v="610"/>
    <e v="#N/A"/>
  </r>
  <r>
    <n v="620"/>
    <s v="43600"/>
    <n v="1"/>
    <s v="143600.620"/>
    <s v="הכנסות שונות                    "/>
    <m/>
    <m/>
    <n v="-100000"/>
    <n v="-100000"/>
    <n v="-513289"/>
    <m/>
    <x v="3"/>
    <s v="מפעלים"/>
    <x v="17"/>
    <s v="נכסים"/>
    <x v="53"/>
    <s v="אכסניות נוער"/>
    <s v="4360"/>
    <e v="#N/A"/>
    <m/>
    <s v="6"/>
    <x v="3"/>
    <s v="62"/>
    <s v="מכירת ציוד יסודי"/>
    <s v="620"/>
    <e v="#N/A"/>
  </r>
  <r>
    <n v="610"/>
    <s v="43700"/>
    <n v="1"/>
    <s v="143700.610"/>
    <s v="שכר דירה-שווקים עירוניים        "/>
    <m/>
    <m/>
    <n v="-150000"/>
    <n v="-150000"/>
    <n v="-210825"/>
    <m/>
    <x v="3"/>
    <s v="מפעלים"/>
    <x v="17"/>
    <s v="נכסים"/>
    <x v="54"/>
    <s v="שווקים"/>
    <s v="4370"/>
    <e v="#N/A"/>
    <m/>
    <s v="6"/>
    <x v="3"/>
    <s v="61"/>
    <s v="מכירת חומרים"/>
    <s v="610"/>
    <e v="#N/A"/>
  </r>
  <r>
    <n v="111"/>
    <s v="44300"/>
    <n v="1"/>
    <s v="144300.111"/>
    <s v="קנסות חניה-חניה מוסדרת          "/>
    <m/>
    <m/>
    <n v="-32000000"/>
    <n v="-28000000"/>
    <n v="-30173291"/>
    <m/>
    <x v="3"/>
    <s v="מפעלים"/>
    <x v="18"/>
    <s v="תחבורה"/>
    <x v="55"/>
    <s v="חניה למכוניות"/>
    <s v="4430"/>
    <e v="#N/A"/>
    <m/>
    <s v="1"/>
    <x v="0"/>
    <s v="11"/>
    <e v="#N/A"/>
    <s v="111"/>
    <e v="#N/A"/>
  </r>
  <r>
    <n v="112"/>
    <s v="44300"/>
    <n v="1"/>
    <s v="144300.112"/>
    <s v="קנסות חניה-חניה על מדרכות       "/>
    <m/>
    <m/>
    <n v="-11000000"/>
    <n v="-10000000"/>
    <n v="-9972542"/>
    <m/>
    <x v="3"/>
    <s v="מפעלים"/>
    <x v="18"/>
    <s v="תחבורה"/>
    <x v="55"/>
    <s v="חניה למכוניות"/>
    <s v="4430"/>
    <e v="#N/A"/>
    <m/>
    <s v="1"/>
    <x v="0"/>
    <s v="11"/>
    <e v="#N/A"/>
    <s v="112"/>
    <e v="#N/A"/>
  </r>
  <r>
    <n v="113"/>
    <s v="44300"/>
    <n v="1"/>
    <s v="144300.113"/>
    <s v="קנסות חניה- חניה אחרת           "/>
    <m/>
    <m/>
    <n v="-46000000"/>
    <n v="-44500000"/>
    <n v="-42165943"/>
    <m/>
    <x v="3"/>
    <s v="מפעלים"/>
    <x v="18"/>
    <s v="תחבורה"/>
    <x v="55"/>
    <s v="חניה למכוניות"/>
    <s v="4430"/>
    <e v="#N/A"/>
    <m/>
    <s v="1"/>
    <x v="0"/>
    <s v="11"/>
    <e v="#N/A"/>
    <s v="113"/>
    <e v="#N/A"/>
  </r>
  <r>
    <n v="114"/>
    <s v="44300"/>
    <n v="1"/>
    <s v="144300.114"/>
    <s v="קנסות חניה-פעילות בית המשפט     "/>
    <m/>
    <m/>
    <n v="-1000000"/>
    <n v="-1500000"/>
    <n v="-1176198"/>
    <m/>
    <x v="3"/>
    <s v="מפעלים"/>
    <x v="18"/>
    <s v="תחבורה"/>
    <x v="55"/>
    <s v="חניה למכוניות"/>
    <s v="4430"/>
    <e v="#N/A"/>
    <m/>
    <s v="1"/>
    <x v="0"/>
    <s v="11"/>
    <e v="#N/A"/>
    <s v="114"/>
    <e v="#N/A"/>
  </r>
  <r>
    <n v="115"/>
    <s v="44300"/>
    <n v="1"/>
    <s v="144300.115"/>
    <s v="הכנסות מגרירת מכוניות           "/>
    <m/>
    <m/>
    <n v="-10560000"/>
    <n v="-9750000"/>
    <n v="-6274866"/>
    <m/>
    <x v="3"/>
    <s v="מפעלים"/>
    <x v="18"/>
    <s v="תחבורה"/>
    <x v="55"/>
    <s v="חניה למכוניות"/>
    <s v="4430"/>
    <e v="#N/A"/>
    <m/>
    <s v="1"/>
    <x v="0"/>
    <s v="11"/>
    <e v="#N/A"/>
    <s v="115"/>
    <e v="#N/A"/>
  </r>
  <r>
    <n v="116"/>
    <s v="44300"/>
    <n v="1"/>
    <s v="144300.116"/>
    <s v="קנסות חניה-אכיפת חובות עירוניים "/>
    <m/>
    <m/>
    <n v="-35000000"/>
    <n v="-40000000"/>
    <n v="-39158979"/>
    <m/>
    <x v="3"/>
    <s v="מפעלים"/>
    <x v="18"/>
    <s v="תחבורה"/>
    <x v="55"/>
    <s v="חניה למכוניות"/>
    <s v="4430"/>
    <e v="#N/A"/>
    <m/>
    <s v="1"/>
    <x v="0"/>
    <s v="11"/>
    <e v="#N/A"/>
    <s v="116"/>
    <e v="#N/A"/>
  </r>
  <r>
    <n v="121"/>
    <s v="44300"/>
    <n v="1"/>
    <s v="144300.121"/>
    <s v="עבירות חניה-אכיפת גזרי דין      "/>
    <m/>
    <m/>
    <n v="-400000"/>
    <n v="-300000"/>
    <n v="-381983"/>
    <m/>
    <x v="3"/>
    <s v="מפעלים"/>
    <x v="18"/>
    <s v="תחבורה"/>
    <x v="55"/>
    <s v="חניה למכוניות"/>
    <s v="4430"/>
    <e v="#N/A"/>
    <m/>
    <s v="1"/>
    <x v="0"/>
    <s v="12"/>
    <e v="#N/A"/>
    <s v="121"/>
    <e v="#N/A"/>
  </r>
  <r>
    <n v="216"/>
    <s v="44300"/>
    <n v="1"/>
    <s v="144300.216"/>
    <s v="הכנסות מכרטיס חניה אלקטרוני ארצי"/>
    <m/>
    <m/>
    <n v="-8500000"/>
    <n v="-8500000"/>
    <n v="-8520909"/>
    <m/>
    <x v="3"/>
    <s v="מפעלים"/>
    <x v="18"/>
    <s v="תחבורה"/>
    <x v="55"/>
    <s v="חניה למכוניות"/>
    <s v="4430"/>
    <e v="#N/A"/>
    <m/>
    <s v="2"/>
    <x v="1"/>
    <s v="21"/>
    <s v="אגרות מים וביוב"/>
    <s v="216"/>
    <e v="#N/A"/>
  </r>
  <r>
    <n v="218"/>
    <s v="44300"/>
    <n v="1"/>
    <s v="144300.218"/>
    <s v="הכנסות מחניה סלולרית            "/>
    <m/>
    <m/>
    <n v="-65000000"/>
    <n v="-65000000"/>
    <n v="-64528052"/>
    <m/>
    <x v="3"/>
    <s v="מפעלים"/>
    <x v="18"/>
    <s v="תחבורה"/>
    <x v="55"/>
    <s v="חניה למכוניות"/>
    <s v="4430"/>
    <e v="#N/A"/>
    <m/>
    <s v="2"/>
    <x v="1"/>
    <s v="21"/>
    <s v="אגרות מים וביוב"/>
    <s v="218"/>
    <e v="#N/A"/>
  </r>
  <r>
    <n v="210"/>
    <s v="44400"/>
    <n v="1"/>
    <s v="144400.210"/>
    <s v="אגרת היתר חניה למוניות          "/>
    <m/>
    <m/>
    <n v="-500000"/>
    <n v="-500000"/>
    <n v="-464404"/>
    <m/>
    <x v="3"/>
    <s v="מפעלים"/>
    <x v="18"/>
    <s v="תחבורה"/>
    <x v="56"/>
    <s v="חניה למוניות"/>
    <s v="4440"/>
    <e v="#N/A"/>
    <m/>
    <s v="2"/>
    <x v="1"/>
    <s v="21"/>
    <s v="אגרות מים וביוב"/>
    <s v="210"/>
    <e v="#N/A"/>
  </r>
  <r>
    <n v="110"/>
    <s v="51100"/>
    <n v="1"/>
    <s v="151100.110"/>
    <s v="ריבית מהסדרי תשלום              "/>
    <m/>
    <m/>
    <n v="-2000000"/>
    <n v="-2000000"/>
    <n v="-1987425"/>
    <m/>
    <x v="4"/>
    <s v="תקבולים בלתי רגילים"/>
    <x v="19"/>
    <s v="ריבית והחזר הוצאות משנים קודמות"/>
    <x v="57"/>
    <s v="ריבית ודיבידנדים"/>
    <s v="5110"/>
    <e v="#N/A"/>
    <m/>
    <s v="1"/>
    <x v="0"/>
    <s v="11"/>
    <e v="#N/A"/>
    <s v="110"/>
    <e v="#N/A"/>
  </r>
  <r>
    <n v="221"/>
    <s v="51100"/>
    <n v="1"/>
    <s v="151100.221"/>
    <s v="שערוך פקדונות לזמן ארוך         "/>
    <m/>
    <m/>
    <n v="-1300000"/>
    <n v="-1450000"/>
    <n v="-1394287"/>
    <m/>
    <x v="4"/>
    <s v="תקבולים בלתי רגילים"/>
    <x v="19"/>
    <s v="ריבית והחזר הוצאות משנים קודמות"/>
    <x v="57"/>
    <s v="ריבית ודיבידנדים"/>
    <s v="5110"/>
    <e v="#N/A"/>
    <m/>
    <s v="2"/>
    <x v="1"/>
    <s v="22"/>
    <s v="אגרות בגין שירותים וחומרים"/>
    <s v="221"/>
    <e v="#N/A"/>
  </r>
  <r>
    <n v="222"/>
    <s v="51100"/>
    <n v="1"/>
    <s v="151100.222"/>
    <s v="ריבית ודיבידנדים                "/>
    <m/>
    <m/>
    <n v="-30000000"/>
    <n v="-40000000"/>
    <n v="-40195969"/>
    <m/>
    <x v="4"/>
    <s v="תקבולים בלתי רגילים"/>
    <x v="19"/>
    <s v="ריבית והחזר הוצאות משנים קודמות"/>
    <x v="57"/>
    <s v="ריבית ודיבידנדים"/>
    <s v="5110"/>
    <e v="#N/A"/>
    <m/>
    <s v="2"/>
    <x v="1"/>
    <s v="22"/>
    <s v="אגרות בגין שירותים וחומרים"/>
    <s v="222"/>
    <e v="#N/A"/>
  </r>
  <r>
    <n v="662"/>
    <s v="51100"/>
    <n v="1"/>
    <s v="151100.662"/>
    <s v="דיבידנד עתידים                  "/>
    <m/>
    <m/>
    <n v="-13850000"/>
    <n v="-10000000"/>
    <n v="-10000000"/>
    <m/>
    <x v="4"/>
    <s v="תקבולים בלתי רגילים"/>
    <x v="19"/>
    <s v="ריבית והחזר הוצאות משנים קודמות"/>
    <x v="57"/>
    <s v="ריבית ודיבידנדים"/>
    <s v="5110"/>
    <e v="#N/A"/>
    <m/>
    <s v="6"/>
    <x v="3"/>
    <s v="66"/>
    <s v="הכנסות מימון"/>
    <s v="662"/>
    <s v="מדיבידנד"/>
  </r>
  <r>
    <n v="110"/>
    <s v="51300"/>
    <n v="1"/>
    <s v="151300.110"/>
    <s v="החזר הוצאות משנים קודמות        "/>
    <m/>
    <m/>
    <n v="-20000000"/>
    <n v="-20000000"/>
    <n v="-26782724"/>
    <m/>
    <x v="4"/>
    <s v="תקבולים בלתי רגילים"/>
    <x v="19"/>
    <s v="ריבית והחזר הוצאות משנים קודמות"/>
    <x v="58"/>
    <s v="תקבולים מהחזר הוצאות משנים קודמות"/>
    <s v="5130"/>
    <e v="#N/A"/>
    <m/>
    <s v="1"/>
    <x v="0"/>
    <s v="11"/>
    <e v="#N/A"/>
    <s v="110"/>
    <e v="#N/A"/>
  </r>
  <r>
    <n v="581"/>
    <s v="59100"/>
    <n v="1"/>
    <s v="159100.581"/>
    <s v="החזרים מקרן מים                 "/>
    <m/>
    <m/>
    <n v="-3000000"/>
    <n v="-6000000"/>
    <n v="0"/>
    <m/>
    <x v="4"/>
    <s v="תקבולים בלתי רגילים"/>
    <x v="20"/>
    <s v="החזר מקרנות והכנסות מיוחדות"/>
    <x v="59"/>
    <s v="החזרות מקרנות"/>
    <s v="5910"/>
    <e v="#N/A"/>
    <m/>
    <s v="5"/>
    <x v="7"/>
    <s v="58"/>
    <s v="החזרות מקרנות"/>
    <s v="581"/>
    <e v="#N/A"/>
  </r>
  <r>
    <n v="591"/>
    <s v="59100"/>
    <n v="1"/>
    <s v="159100.591"/>
    <s v="הכנסות מפרעון הלוואות לחברות עיר"/>
    <m/>
    <m/>
    <n v="0"/>
    <n v="0"/>
    <n v="-747517"/>
    <m/>
    <x v="4"/>
    <s v="תקבולים בלתי רגילים"/>
    <x v="20"/>
    <s v="החזר מקרנות והכנסות מיוחדות"/>
    <x v="59"/>
    <s v="החזרות מקרנות"/>
    <s v="5910"/>
    <e v="#N/A"/>
    <m/>
    <s v="5"/>
    <x v="7"/>
    <s v="59"/>
    <s v="החזרות אחרות"/>
    <s v="591"/>
    <e v="#N/A"/>
  </r>
  <r>
    <n v="782"/>
    <s v="59900"/>
    <n v="1"/>
    <s v="159900.782"/>
    <s v="הלוואות לפרעון  גחלת -ס' שאינו ח"/>
    <m/>
    <m/>
    <n v="0"/>
    <n v="0"/>
    <n v="-198325"/>
    <m/>
    <x v="4"/>
    <s v="תקבולים בלתי רגילים"/>
    <x v="20"/>
    <s v="החזר מקרנות והכנסות מיוחדות"/>
    <x v="60"/>
    <s v="הכנסות לכיסוי גרעון"/>
    <s v="5990"/>
    <e v="#N/A"/>
    <m/>
    <s v="7"/>
    <x v="8"/>
    <s v="78"/>
    <s v="אשראי/הלוואה ממוסד בנקאי"/>
    <s v="782"/>
    <e v="#N/A"/>
  </r>
  <r>
    <n v="124"/>
    <s v="61111"/>
    <n v="1"/>
    <s v="161111.124"/>
    <s v="החזר הוצאות                     "/>
    <m/>
    <m/>
    <n v="95000"/>
    <n v="82000"/>
    <n v="39279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4"/>
    <e v="#N/A"/>
  </r>
  <r>
    <n v="126"/>
    <s v="61111"/>
    <n v="1"/>
    <s v="161111.126"/>
    <s v="הבראה                           "/>
    <m/>
    <m/>
    <n v="3000"/>
    <n v="300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6"/>
    <e v="#N/A"/>
  </r>
  <r>
    <n v="127"/>
    <s v="61111"/>
    <n v="1"/>
    <s v="161111.127"/>
    <s v="השתתפות באחזקת רכב-4            "/>
    <m/>
    <m/>
    <n v="272000"/>
    <n v="235000"/>
    <n v="224689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7"/>
    <e v="#N/A"/>
  </r>
  <r>
    <n v="130"/>
    <s v="61111"/>
    <n v="1"/>
    <s v="161111.130"/>
    <s v="תשלומים מיוחדים                 "/>
    <m/>
    <m/>
    <n v="8000"/>
    <n v="1400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3"/>
    <s v="שעות נוספות"/>
    <s v="130"/>
    <e v="#N/A"/>
  </r>
  <r>
    <n v="181"/>
    <s v="61111"/>
    <n v="1"/>
    <s v="161111.181"/>
    <s v="מיסים וביטוח לאומי              "/>
    <m/>
    <m/>
    <n v="479000"/>
    <n v="476000"/>
    <n v="425977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1"/>
    <s v="הפרשות סוציאליות"/>
  </r>
  <r>
    <n v="182"/>
    <s v="61111"/>
    <n v="1"/>
    <s v="161111.182"/>
    <s v="קופות גמל והשתלמות              "/>
    <m/>
    <m/>
    <n v="593000"/>
    <n v="587000"/>
    <n v="491159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2"/>
    <s v="מיסיום ועלויות"/>
  </r>
  <r>
    <n v="230"/>
    <s v="61111"/>
    <n v="1"/>
    <s v="161111.230"/>
    <s v="ראש העיריה וסגניו-7             "/>
    <m/>
    <m/>
    <n v="3289000"/>
    <n v="3305000"/>
    <n v="2748721"/>
    <e v="#N/A"/>
    <x v="5"/>
    <s v="הנהלה כללית"/>
    <x v="21"/>
    <s v="מינהל כללי"/>
    <x v="61"/>
    <s v="הנהלה ורשות"/>
    <s v="6111"/>
    <s v="ראש הרשות המקומית וסגניו"/>
    <m/>
    <s v="2"/>
    <x v="10"/>
    <s v="23"/>
    <s v="שעות נוספות"/>
    <s v="230"/>
    <e v="#N/A"/>
  </r>
  <r>
    <n v="521"/>
    <s v="61111"/>
    <n v="1"/>
    <s v="161111.521"/>
    <s v="הדרכה וכנסים                    "/>
    <m/>
    <m/>
    <n v="10000"/>
    <n v="1000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2"/>
    <s v="השתלמויות וספרות מקצועית"/>
    <s v="521"/>
    <s v="השתלמויות וספרות מקצועית"/>
  </r>
  <r>
    <n v="531"/>
    <s v="61111"/>
    <n v="1"/>
    <s v="161111.531"/>
    <s v="אחזקת רכב                       "/>
    <m/>
    <m/>
    <n v="25000"/>
    <n v="25000"/>
    <n v="10171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1"/>
    <s v="דלק ושמנים"/>
  </r>
  <r>
    <n v="533"/>
    <s v="61111"/>
    <n v="1"/>
    <s v="161111.533"/>
    <s v="שכירת רכב                       "/>
    <m/>
    <m/>
    <n v="235000"/>
    <n v="235000"/>
    <n v="117368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3"/>
    <s v="רישוי וביטוח"/>
  </r>
  <r>
    <n v="534"/>
    <s v="61111"/>
    <n v="1"/>
    <s v="161111.534"/>
    <s v="דלק ושמן                        "/>
    <m/>
    <m/>
    <n v="74000"/>
    <n v="74000"/>
    <n v="4962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4"/>
    <e v="#N/A"/>
  </r>
  <r>
    <n v="670"/>
    <s v="61111"/>
    <n v="1"/>
    <s v="161111.670"/>
    <s v="סעיף שאינו חוזר                 "/>
    <m/>
    <m/>
    <n v="0"/>
    <n v="12000"/>
    <n v="126017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7"/>
    <e v="#N/A"/>
    <s v="670"/>
    <e v="#N/A"/>
  </r>
  <r>
    <n v="781"/>
    <s v="61111"/>
    <n v="1"/>
    <s v="161111.781"/>
    <s v="הוצאות שונות                    "/>
    <m/>
    <m/>
    <n v="388000"/>
    <n v="388000"/>
    <n v="198242"/>
    <e v="#N/A"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8"/>
    <s v="הוצאות שונות"/>
    <s v="781"/>
    <e v="#N/A"/>
  </r>
  <r>
    <n v="110"/>
    <s v="61112"/>
    <n v="1"/>
    <s v="161112.110"/>
    <s v="משכורת כוללת                    "/>
    <m/>
    <m/>
    <n v="2126000"/>
    <n v="2176000"/>
    <n v="2075585"/>
    <m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1"/>
    <s v="השכר הקובע"/>
    <s v="110"/>
    <e v="#N/A"/>
  </r>
  <r>
    <n v="124"/>
    <s v="61112"/>
    <n v="1"/>
    <s v="161112.124"/>
    <s v="החזר הוצאות                     "/>
    <m/>
    <m/>
    <n v="106000"/>
    <n v="97000"/>
    <n v="102520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4"/>
    <e v="#N/A"/>
  </r>
  <r>
    <n v="126"/>
    <s v="61112"/>
    <n v="1"/>
    <s v="161112.126"/>
    <s v="הבראה                           "/>
    <m/>
    <m/>
    <n v="70000"/>
    <n v="70000"/>
    <n v="68515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6"/>
    <e v="#N/A"/>
  </r>
  <r>
    <n v="127"/>
    <s v="61112"/>
    <n v="1"/>
    <s v="161112.127"/>
    <s v="השתתפות באחזקת רכב-12           "/>
    <m/>
    <m/>
    <n v="347000"/>
    <n v="352000"/>
    <n v="369273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7"/>
    <e v="#N/A"/>
  </r>
  <r>
    <n v="130"/>
    <s v="61112"/>
    <n v="1"/>
    <s v="161112.130"/>
    <s v="תשלומים מיוחדים                 "/>
    <m/>
    <m/>
    <n v="150000"/>
    <n v="154000"/>
    <n v="148073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3"/>
    <s v="שעות נוספות"/>
    <s v="130"/>
    <e v="#N/A"/>
  </r>
  <r>
    <n v="181"/>
    <s v="61112"/>
    <n v="1"/>
    <s v="161112.181"/>
    <s v="מיסים וביטוח לאומי              "/>
    <m/>
    <m/>
    <n v="420000"/>
    <n v="426000"/>
    <n v="419431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1"/>
    <s v="הפרשות סוציאליות"/>
  </r>
  <r>
    <n v="182"/>
    <s v="61112"/>
    <n v="1"/>
    <s v="161112.182"/>
    <s v="קופות גמל והשתלמות              "/>
    <m/>
    <m/>
    <n v="526000"/>
    <n v="524000"/>
    <n v="503318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2"/>
    <s v="מיסיום ועלויות"/>
  </r>
  <r>
    <n v="310"/>
    <s v="61112"/>
    <n v="1"/>
    <s v="161112.310"/>
    <s v="שעות נוספות רשומות              "/>
    <m/>
    <m/>
    <n v="167000"/>
    <n v="164000"/>
    <n v="151283"/>
    <e v="#N/A"/>
    <x v="5"/>
    <s v="הנהלה כללית"/>
    <x v="21"/>
    <s v="מינהל כללי"/>
    <x v="61"/>
    <s v="הנהלה ורשות"/>
    <s v="6111"/>
    <s v="ראש הרשות המקומית וסגניו"/>
    <m/>
    <s v="3"/>
    <x v="14"/>
    <s v="31"/>
    <s v="פנסיה"/>
    <s v="310"/>
    <e v="#N/A"/>
  </r>
  <r>
    <n v="340"/>
    <s v="61112"/>
    <n v="1"/>
    <s v="161112.340"/>
    <s v="שעות נוספות מיוחדות             "/>
    <m/>
    <m/>
    <n v="246000"/>
    <n v="241000"/>
    <n v="214901"/>
    <e v="#N/A"/>
    <x v="5"/>
    <s v="הנהלה כללית"/>
    <x v="21"/>
    <s v="מינהל כללי"/>
    <x v="61"/>
    <s v="הנהלה ורשות"/>
    <s v="6111"/>
    <s v="ראש הרשות המקומית וסגניו"/>
    <m/>
    <s v="3"/>
    <x v="14"/>
    <s v="34"/>
    <e v="#N/A"/>
    <s v="340"/>
    <e v="#N/A"/>
  </r>
  <r>
    <n v="412"/>
    <s v="61112"/>
    <n v="1"/>
    <s v="161112.412"/>
    <s v="מיסים ואגרות                    "/>
    <m/>
    <m/>
    <n v="1000"/>
    <n v="1000"/>
    <n v="690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1"/>
    <s v="שכר דירה ודמי חכירה"/>
    <s v="412"/>
    <e v="#N/A"/>
  </r>
  <r>
    <n v="433"/>
    <s v="61112"/>
    <n v="1"/>
    <s v="161112.433"/>
    <s v="ביטוח                           "/>
    <m/>
    <m/>
    <n v="24000"/>
    <n v="24000"/>
    <n v="22000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3"/>
    <s v="חשמל, מים וחומרי ניקיון"/>
    <s v="433"/>
    <s v="חומרי ניקיון"/>
  </r>
  <r>
    <n v="434"/>
    <s v="61112"/>
    <n v="1"/>
    <s v="161112.434"/>
    <s v="תקוני מבנים  מתקנים ואינונטר    "/>
    <m/>
    <m/>
    <n v="6000"/>
    <n v="6000"/>
    <n v="496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3"/>
    <s v="חשמל, מים וחומרי ניקיון"/>
    <s v="434"/>
    <s v="שירותי ניקיון"/>
  </r>
  <r>
    <n v="439"/>
    <s v="61112"/>
    <n v="1"/>
    <s v="161112.439"/>
    <s v="אחזקת בניני העיריה-השתתפות      "/>
    <m/>
    <m/>
    <n v="307000"/>
    <n v="352000"/>
    <n v="350000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3"/>
    <s v="חשמל, מים וחומרי ניקיון"/>
    <s v="439"/>
    <e v="#N/A"/>
  </r>
  <r>
    <n v="461"/>
    <s v="61112"/>
    <n v="1"/>
    <s v="161112.461"/>
    <s v="צורכי משרד                      "/>
    <m/>
    <m/>
    <n v="39000"/>
    <n v="40000"/>
    <n v="19687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6"/>
    <e v="#N/A"/>
    <s v="461"/>
    <e v="#N/A"/>
  </r>
  <r>
    <n v="462"/>
    <s v="61112"/>
    <n v="1"/>
    <s v="161112.462"/>
    <s v="ספרים ועתונים                   "/>
    <m/>
    <m/>
    <n v="3000"/>
    <n v="3000"/>
    <n v="2289"/>
    <m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6"/>
    <e v="#N/A"/>
    <s v="462"/>
    <e v="#N/A"/>
  </r>
  <r>
    <n v="510"/>
    <s v="61112"/>
    <n v="1"/>
    <s v="161112.510"/>
    <s v="נסיעות  ואש ל                   "/>
    <m/>
    <m/>
    <n v="15000"/>
    <n v="15000"/>
    <n v="13314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1"/>
    <s v="אש&quot;ל וכיבודים"/>
    <s v="510"/>
    <e v="#N/A"/>
  </r>
  <r>
    <n v="521"/>
    <s v="61112"/>
    <n v="1"/>
    <s v="161112.521"/>
    <s v="הדרכה וכנסים                    "/>
    <m/>
    <m/>
    <n v="5000"/>
    <n v="5000"/>
    <n v="4439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2"/>
    <s v="השתלמויות וספרות מקצועית"/>
    <s v="521"/>
    <s v="השתלמויות וספרות מקצועית"/>
  </r>
  <r>
    <n v="522"/>
    <s v="61112"/>
    <n v="1"/>
    <s v="161112.522"/>
    <s v="גיבוש יחידתי                    "/>
    <m/>
    <m/>
    <n v="3000"/>
    <n v="3000"/>
    <n v="300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2"/>
    <s v="השתלמויות וספרות מקצועית"/>
    <s v="522"/>
    <s v="ספרות מקצועית ועיתונות"/>
  </r>
  <r>
    <n v="531"/>
    <s v="61112"/>
    <n v="1"/>
    <s v="161112.531"/>
    <s v="אחזקת רכב                       "/>
    <m/>
    <m/>
    <n v="6000"/>
    <n v="6000"/>
    <n v="2767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1"/>
    <s v="דלק ושמנים"/>
  </r>
  <r>
    <n v="533"/>
    <s v="61112"/>
    <n v="1"/>
    <s v="161112.533"/>
    <s v="שכירת רכב ורכב עירוני           "/>
    <m/>
    <m/>
    <n v="80000"/>
    <n v="80000"/>
    <n v="69999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3"/>
    <s v="רישוי וביטוח"/>
  </r>
  <r>
    <n v="534"/>
    <s v="61112"/>
    <n v="1"/>
    <s v="161112.534"/>
    <s v="דלק ושמן                        "/>
    <m/>
    <m/>
    <n v="33000"/>
    <n v="33000"/>
    <n v="26862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4"/>
    <e v="#N/A"/>
  </r>
  <r>
    <n v="541"/>
    <s v="61112"/>
    <n v="1"/>
    <s v="161112.541"/>
    <s v="החזקת מכשירי קשר וסלולר         "/>
    <m/>
    <m/>
    <n v="71000"/>
    <n v="71000"/>
    <n v="62421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4"/>
    <s v="הוצאות תקשורת"/>
    <s v="541"/>
    <e v="#N/A"/>
  </r>
  <r>
    <n v="610"/>
    <s v="61112"/>
    <n v="1"/>
    <s v="161112.610"/>
    <s v="כיבודים                         "/>
    <m/>
    <m/>
    <n v="16000"/>
    <n v="16000"/>
    <n v="14651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1"/>
    <s v="עמלות"/>
    <s v="610"/>
    <e v="#N/A"/>
  </r>
  <r>
    <n v="670"/>
    <s v="61112"/>
    <n v="1"/>
    <s v="161112.670"/>
    <s v="סעיף שאינו חוזר                 "/>
    <m/>
    <m/>
    <n v="0"/>
    <n v="20000"/>
    <n v="15598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7"/>
    <e v="#N/A"/>
    <s v="670"/>
    <e v="#N/A"/>
  </r>
  <r>
    <n v="693"/>
    <s v="61112"/>
    <n v="1"/>
    <s v="161112.693"/>
    <s v="מיחשוב יחידתי                   "/>
    <m/>
    <m/>
    <n v="22000"/>
    <n v="22000"/>
    <n v="18542"/>
    <m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9"/>
    <s v="שונות"/>
    <s v="693"/>
    <s v="תשלום ע&quot;ח הצמדת ערך"/>
  </r>
  <r>
    <n v="781"/>
    <s v="61112"/>
    <n v="1"/>
    <s v="161112.781"/>
    <s v="הוצאות אחרות                    "/>
    <m/>
    <m/>
    <n v="6000"/>
    <n v="6000"/>
    <n v="7168"/>
    <e v="#N/A"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8"/>
    <s v="הוצאות שונות"/>
    <s v="781"/>
    <e v="#N/A"/>
  </r>
  <r>
    <n v="782"/>
    <s v="61112"/>
    <n v="1"/>
    <s v="161112.782"/>
    <s v="מגדר וקידום מעמד האישה          "/>
    <m/>
    <m/>
    <n v="169000"/>
    <n v="269000"/>
    <n v="285987"/>
    <m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8"/>
    <s v="הוצאות שונות"/>
    <s v="782"/>
    <e v="#N/A"/>
  </r>
  <r>
    <n v="783"/>
    <s v="61112"/>
    <n v="1"/>
    <s v="161112.783"/>
    <s v="פעולות תרבות                    "/>
    <m/>
    <m/>
    <n v="21000"/>
    <n v="21000"/>
    <n v="8402"/>
    <e v="#N/A"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8"/>
    <s v="הוצאות שונות"/>
    <s v="783"/>
    <e v="#N/A"/>
  </r>
  <r>
    <n v="851"/>
    <s v="61112"/>
    <n v="1"/>
    <s v="161112.851"/>
    <s v="מגדר וקידום מעמד האישה-מוסח     "/>
    <m/>
    <m/>
    <n v="100000"/>
    <n v="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8"/>
    <x v="16"/>
    <s v="85"/>
    <s v="מלגות לתלמידים וסטודנטים"/>
    <s v="851"/>
    <e v="#N/A"/>
  </r>
  <r>
    <n v="932"/>
    <s v="61112"/>
    <n v="1"/>
    <s v="161112.932"/>
    <s v="ציוד ורהוט משרדי                "/>
    <m/>
    <m/>
    <n v="5000"/>
    <n v="5000"/>
    <n v="3908"/>
    <e v="#N/A"/>
    <x v="5"/>
    <s v="הנהלה כללית"/>
    <x v="21"/>
    <s v="מינהל כללי"/>
    <x v="61"/>
    <s v="הנהלה ורשות"/>
    <s v="6111"/>
    <s v="ראש הרשות המקומית וסגניו"/>
    <m/>
    <s v="9"/>
    <x v="17"/>
    <s v="93"/>
    <s v="רכישת ציוד יסודי"/>
    <s v="932"/>
    <e v="#N/A"/>
  </r>
  <r>
    <n v="110"/>
    <s v="61113"/>
    <n v="1"/>
    <s v="161113.110"/>
    <s v="משכורת כוללת                    "/>
    <m/>
    <m/>
    <n v="4318000"/>
    <n v="3918000"/>
    <n v="4218290"/>
    <m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1"/>
    <s v="השכר הקובע"/>
    <s v="110"/>
    <e v="#N/A"/>
  </r>
  <r>
    <n v="124"/>
    <s v="61113"/>
    <n v="1"/>
    <s v="161113.124"/>
    <s v="החזר הוצאות                     "/>
    <m/>
    <m/>
    <n v="266000"/>
    <n v="304000"/>
    <n v="260922"/>
    <m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4"/>
    <e v="#N/A"/>
  </r>
  <r>
    <n v="126"/>
    <s v="61113"/>
    <n v="1"/>
    <s v="161113.126"/>
    <s v="הבראה                           "/>
    <m/>
    <m/>
    <n v="220000"/>
    <n v="231000"/>
    <n v="208721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6"/>
    <e v="#N/A"/>
  </r>
  <r>
    <n v="127"/>
    <s v="61113"/>
    <n v="1"/>
    <s v="161113.127"/>
    <s v="השתתפות באחזקת רכב -36          "/>
    <m/>
    <m/>
    <n v="1052000"/>
    <n v="928000"/>
    <n v="957637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2"/>
    <s v="תוספות שאינן נכללות בשכר הקובע"/>
    <s v="127"/>
    <e v="#N/A"/>
  </r>
  <r>
    <n v="130"/>
    <s v="61113"/>
    <n v="1"/>
    <s v="161113.130"/>
    <s v="תשלומים מיוחדים                 "/>
    <m/>
    <m/>
    <n v="742000"/>
    <n v="649000"/>
    <n v="678319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3"/>
    <s v="שעות נוספות"/>
    <s v="130"/>
    <e v="#N/A"/>
  </r>
  <r>
    <n v="181"/>
    <s v="61113"/>
    <n v="1"/>
    <s v="161113.181"/>
    <s v="מיסים וביטוח לאומי              "/>
    <m/>
    <m/>
    <n v="904000"/>
    <n v="879000"/>
    <n v="826542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1"/>
    <s v="הפרשות סוציאליות"/>
  </r>
  <r>
    <n v="182"/>
    <s v="61113"/>
    <n v="1"/>
    <s v="161113.182"/>
    <s v="קופות גמל והשתלמות              "/>
    <m/>
    <m/>
    <n v="781000"/>
    <n v="711000"/>
    <n v="705393"/>
    <e v="#N/A"/>
    <x v="5"/>
    <s v="הנהלה כללית"/>
    <x v="21"/>
    <s v="מינהל כללי"/>
    <x v="61"/>
    <s v="הנהלה ורשות"/>
    <s v="6111"/>
    <s v="ראש הרשות המקומית וסגניו"/>
    <m/>
    <s v="1"/>
    <x v="9"/>
    <s v="18"/>
    <s v="נלוות לשכר"/>
    <s v="182"/>
    <s v="מיסיום ועלויות"/>
  </r>
  <r>
    <n v="230"/>
    <s v="61113"/>
    <n v="1"/>
    <s v="161113.230"/>
    <s v="משימה חולפת-5                   "/>
    <m/>
    <m/>
    <n v="205000"/>
    <n v="578000"/>
    <n v="104894"/>
    <e v="#N/A"/>
    <x v="5"/>
    <s v="הנהלה כללית"/>
    <x v="21"/>
    <s v="מינהל כללי"/>
    <x v="61"/>
    <s v="הנהלה ורשות"/>
    <s v="6111"/>
    <s v="ראש הרשות המקומית וסגניו"/>
    <m/>
    <s v="2"/>
    <x v="10"/>
    <s v="23"/>
    <s v="שעות נוספות"/>
    <s v="230"/>
    <e v="#N/A"/>
  </r>
  <r>
    <n v="310"/>
    <s v="61113"/>
    <n v="1"/>
    <s v="161113.310"/>
    <s v="שעות נוספות רשומות              "/>
    <m/>
    <m/>
    <n v="112000"/>
    <n v="110000"/>
    <n v="88751"/>
    <e v="#N/A"/>
    <x v="5"/>
    <s v="הנהלה כללית"/>
    <x v="21"/>
    <s v="מינהל כללי"/>
    <x v="61"/>
    <s v="הנהלה ורשות"/>
    <s v="6111"/>
    <s v="ראש הרשות המקומית וסגניו"/>
    <m/>
    <s v="3"/>
    <x v="14"/>
    <s v="31"/>
    <s v="פנסיה"/>
    <s v="310"/>
    <e v="#N/A"/>
  </r>
  <r>
    <n v="412"/>
    <s v="61113"/>
    <n v="1"/>
    <s v="161113.412"/>
    <s v="מיסים ואגרות                    "/>
    <m/>
    <m/>
    <n v="3000"/>
    <n v="3000"/>
    <n v="1725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1"/>
    <s v="שכר דירה ודמי חכירה"/>
    <s v="412"/>
    <e v="#N/A"/>
  </r>
  <r>
    <n v="433"/>
    <s v="61113"/>
    <n v="1"/>
    <s v="161113.433"/>
    <s v="ביטוח                           "/>
    <m/>
    <m/>
    <n v="97000"/>
    <n v="98000"/>
    <n v="84000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3"/>
    <s v="חשמל, מים וחומרי ניקיון"/>
    <s v="433"/>
    <s v="חומרי ניקיון"/>
  </r>
  <r>
    <n v="461"/>
    <s v="61113"/>
    <n v="1"/>
    <s v="161113.461"/>
    <s v="צורכי משרד                      "/>
    <m/>
    <m/>
    <n v="5000"/>
    <n v="5000"/>
    <n v="4201"/>
    <e v="#N/A"/>
    <x v="5"/>
    <s v="הנהלה כללית"/>
    <x v="21"/>
    <s v="מינהל כללי"/>
    <x v="61"/>
    <s v="הנהלה ורשות"/>
    <s v="6111"/>
    <s v="ראש הרשות המקומית וסגניו"/>
    <m/>
    <s v="4"/>
    <x v="15"/>
    <s v="46"/>
    <e v="#N/A"/>
    <s v="461"/>
    <e v="#N/A"/>
  </r>
  <r>
    <n v="510"/>
    <s v="61113"/>
    <n v="1"/>
    <s v="161113.510"/>
    <s v="נסיעות  ואש ל                   "/>
    <m/>
    <m/>
    <n v="1000"/>
    <n v="100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1"/>
    <s v="אש&quot;ל וכיבודים"/>
    <s v="510"/>
    <e v="#N/A"/>
  </r>
  <r>
    <n v="521"/>
    <s v="61113"/>
    <n v="1"/>
    <s v="161113.521"/>
    <s v="הדרכה וכנסים                    "/>
    <m/>
    <m/>
    <n v="20000"/>
    <n v="20000"/>
    <n v="13573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2"/>
    <s v="השתלמויות וספרות מקצועית"/>
    <s v="521"/>
    <s v="השתלמויות וספרות מקצועית"/>
  </r>
  <r>
    <n v="522"/>
    <s v="61113"/>
    <n v="1"/>
    <s v="161113.522"/>
    <s v="גיבוש יחידתי                    "/>
    <m/>
    <m/>
    <n v="7000"/>
    <n v="7000"/>
    <n v="700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2"/>
    <s v="השתלמויות וספרות מקצועית"/>
    <s v="522"/>
    <s v="ספרות מקצועית ועיתונות"/>
  </r>
  <r>
    <n v="531"/>
    <s v="61113"/>
    <n v="1"/>
    <s v="161113.531"/>
    <s v="אחזקת רכב                       "/>
    <m/>
    <m/>
    <n v="4000"/>
    <n v="4000"/>
    <n v="107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1"/>
    <s v="דלק ושמנים"/>
  </r>
  <r>
    <n v="533"/>
    <s v="61113"/>
    <n v="1"/>
    <s v="161113.533"/>
    <s v="שכירת רכב ורכב עירוני           "/>
    <m/>
    <m/>
    <n v="31000"/>
    <n v="31000"/>
    <n v="30435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3"/>
    <s v="רישוי וביטוח"/>
  </r>
  <r>
    <n v="534"/>
    <s v="61113"/>
    <n v="1"/>
    <s v="161113.534"/>
    <s v="דלק ושמן                        "/>
    <m/>
    <m/>
    <n v="25000"/>
    <n v="25000"/>
    <n v="21770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3"/>
    <s v="הוצאות רכב מינהלי"/>
    <s v="534"/>
    <e v="#N/A"/>
  </r>
  <r>
    <n v="541"/>
    <s v="61113"/>
    <n v="1"/>
    <s v="161113.541"/>
    <s v="החזקת מכשירי קשר וסלולר         "/>
    <m/>
    <m/>
    <n v="7000"/>
    <n v="7000"/>
    <n v="6736"/>
    <e v="#N/A"/>
    <x v="5"/>
    <s v="הנהלה כללית"/>
    <x v="21"/>
    <s v="מינהל כללי"/>
    <x v="61"/>
    <s v="הנהלה ורשות"/>
    <s v="6111"/>
    <s v="ראש הרשות המקומית וסגניו"/>
    <m/>
    <s v="5"/>
    <x v="11"/>
    <s v="54"/>
    <s v="הוצאות תקשורת"/>
    <s v="541"/>
    <e v="#N/A"/>
  </r>
  <r>
    <n v="610"/>
    <s v="61113"/>
    <n v="1"/>
    <s v="161113.610"/>
    <s v="כיבודים                         "/>
    <m/>
    <m/>
    <n v="6000"/>
    <n v="4000"/>
    <n v="3998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1"/>
    <s v="עמלות"/>
    <s v="610"/>
    <e v="#N/A"/>
  </r>
  <r>
    <n v="670"/>
    <s v="61113"/>
    <n v="1"/>
    <s v="161113.670"/>
    <s v="סעיף שאינו חוזר                 "/>
    <m/>
    <m/>
    <n v="0"/>
    <n v="42000"/>
    <n v="23414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7"/>
    <e v="#N/A"/>
    <s v="670"/>
    <e v="#N/A"/>
  </r>
  <r>
    <n v="680"/>
    <s v="61113"/>
    <n v="1"/>
    <s v="161113.680"/>
    <s v="הוצאות מיוחדות                  "/>
    <m/>
    <m/>
    <n v="4000"/>
    <n v="4000"/>
    <n v="3000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8"/>
    <s v="ריבית על הוצאות אחרות"/>
    <s v="680"/>
    <e v="#N/A"/>
  </r>
  <r>
    <n v="693"/>
    <s v="61113"/>
    <n v="1"/>
    <s v="161113.693"/>
    <s v="מיחשוב יחידתי                   "/>
    <m/>
    <m/>
    <n v="15000"/>
    <n v="15000"/>
    <n v="25178"/>
    <e v="#N/A"/>
    <x v="5"/>
    <s v="הנהלה כללית"/>
    <x v="21"/>
    <s v="מינהל כללי"/>
    <x v="61"/>
    <s v="הנהלה ורשות"/>
    <s v="6111"/>
    <s v="ראש הרשות המקומית וסגניו"/>
    <m/>
    <s v="6"/>
    <x v="12"/>
    <s v="69"/>
    <s v="שונות"/>
    <s v="693"/>
    <s v="תשלום ע&quot;ח הצמדת ערך"/>
  </r>
  <r>
    <n v="751"/>
    <s v="61113"/>
    <n v="1"/>
    <s v="161113.751"/>
    <s v="עבודות ע י גו ח                 "/>
    <m/>
    <m/>
    <n v="30000"/>
    <n v="30000"/>
    <n v="6000"/>
    <e v="#N/A"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5"/>
    <s v="עבודות קבלניות"/>
    <s v="751"/>
    <e v="#N/A"/>
  </r>
  <r>
    <n v="752"/>
    <s v="61113"/>
    <n v="1"/>
    <s v="161113.752"/>
    <s v="ייעוץ מקצועי                    "/>
    <m/>
    <m/>
    <n v="300000"/>
    <n v="300000"/>
    <n v="0"/>
    <e v="#N/A"/>
    <x v="5"/>
    <s v="הנהלה כללית"/>
    <x v="21"/>
    <s v="מינהל כללי"/>
    <x v="61"/>
    <s v="הנהלה ורשות"/>
    <s v="6111"/>
    <s v="ראש הרשות המקומית וסגניו"/>
    <m/>
    <s v="7"/>
    <x v="13"/>
    <s v="75"/>
    <s v="עבודות קבלניות"/>
    <s v="752"/>
    <e v="#N/A"/>
  </r>
  <r>
    <n v="932"/>
    <s v="61113"/>
    <n v="1"/>
    <s v="161113.932"/>
    <s v="ציוד וריהוט משרדי               "/>
    <m/>
    <m/>
    <n v="5000"/>
    <n v="5000"/>
    <n v="5003"/>
    <e v="#N/A"/>
    <x v="5"/>
    <s v="הנהלה כללית"/>
    <x v="21"/>
    <s v="מינהל כללי"/>
    <x v="61"/>
    <s v="הנהלה ורשות"/>
    <s v="6111"/>
    <s v="ראש הרשות המקומית וסגניו"/>
    <m/>
    <s v="9"/>
    <x v="17"/>
    <s v="93"/>
    <s v="רכישת ציוד יסודי"/>
    <s v="932"/>
    <e v="#N/A"/>
  </r>
  <r>
    <n v="439"/>
    <s v="61121"/>
    <n v="1"/>
    <s v="161121.439"/>
    <s v="אחזקת בניני העיריה-השתתפות      "/>
    <m/>
    <m/>
    <n v="1193000"/>
    <n v="1190000"/>
    <n v="1190000"/>
    <e v="#N/A"/>
    <x v="5"/>
    <s v="הנהלה כללית"/>
    <x v="21"/>
    <s v="מינהל כללי"/>
    <x v="61"/>
    <s v="הנהלה ורשות"/>
    <s v="6112"/>
    <s v="מועצת הרשות"/>
    <m/>
    <s v="4"/>
    <x v="15"/>
    <s v="43"/>
    <s v="חשמל, מים וחומרי ניקיון"/>
    <s v="439"/>
    <e v="#N/A"/>
  </r>
  <r>
    <n v="781"/>
    <s v="61121"/>
    <n v="1"/>
    <s v="161121.781"/>
    <s v="סל שירותים לחברי מועצה          "/>
    <m/>
    <m/>
    <n v="437000"/>
    <n v="437000"/>
    <n v="319406"/>
    <e v="#N/A"/>
    <x v="5"/>
    <s v="הנהלה כללית"/>
    <x v="21"/>
    <s v="מינהל כללי"/>
    <x v="61"/>
    <s v="הנהלה ורשות"/>
    <s v="6112"/>
    <s v="מועצת הרשות"/>
    <m/>
    <s v="7"/>
    <x v="13"/>
    <s v="78"/>
    <s v="הוצאות שונות"/>
    <s v="781"/>
    <e v="#N/A"/>
  </r>
  <r>
    <n v="782"/>
    <s v="61121"/>
    <n v="1"/>
    <s v="161121.782"/>
    <s v="סל ועדות עירוניות               "/>
    <m/>
    <m/>
    <n v="40000"/>
    <n v="40000"/>
    <n v="18984"/>
    <e v="#N/A"/>
    <x v="5"/>
    <s v="הנהלה כללית"/>
    <x v="21"/>
    <s v="מינהל כללי"/>
    <x v="61"/>
    <s v="הנהלה ורשות"/>
    <s v="6112"/>
    <s v="מועצת הרשות"/>
    <m/>
    <s v="7"/>
    <x v="13"/>
    <s v="78"/>
    <s v="הוצאות שונות"/>
    <s v="782"/>
    <e v="#N/A"/>
  </r>
  <r>
    <n v="110"/>
    <s v="61122"/>
    <n v="1"/>
    <s v="161122.110"/>
    <s v="משכורת כוללת                    "/>
    <m/>
    <m/>
    <n v="176000"/>
    <n v="174000"/>
    <n v="170381"/>
    <e v="#N/A"/>
    <x v="5"/>
    <s v="הנהלה כללית"/>
    <x v="21"/>
    <s v="מינהל כללי"/>
    <x v="61"/>
    <s v="הנהלה ורשות"/>
    <s v="6112"/>
    <s v="מועצת הרשות"/>
    <m/>
    <s v="1"/>
    <x v="9"/>
    <s v="11"/>
    <s v="השכר הקובע"/>
    <s v="110"/>
    <e v="#N/A"/>
  </r>
  <r>
    <n v="124"/>
    <s v="61122"/>
    <n v="1"/>
    <s v="161122.124"/>
    <s v="החזר הוצאות                     "/>
    <m/>
    <m/>
    <n v="6000"/>
    <n v="6000"/>
    <n v="6083"/>
    <e v="#N/A"/>
    <x v="5"/>
    <s v="הנהלה כללית"/>
    <x v="21"/>
    <s v="מינהל כללי"/>
    <x v="61"/>
    <s v="הנהלה ורשות"/>
    <s v="6112"/>
    <s v="מועצת הרשות"/>
    <m/>
    <s v="1"/>
    <x v="9"/>
    <s v="12"/>
    <s v="תוספות שאינן נכללות בשכר הקובע"/>
    <s v="124"/>
    <e v="#N/A"/>
  </r>
  <r>
    <n v="126"/>
    <s v="61122"/>
    <n v="1"/>
    <s v="161122.126"/>
    <s v="הבראה                           "/>
    <m/>
    <m/>
    <n v="6000"/>
    <n v="6000"/>
    <n v="5551"/>
    <e v="#N/A"/>
    <x v="5"/>
    <s v="הנהלה כללית"/>
    <x v="21"/>
    <s v="מינהל כללי"/>
    <x v="61"/>
    <s v="הנהלה ורשות"/>
    <s v="6112"/>
    <s v="מועצת הרשות"/>
    <m/>
    <s v="1"/>
    <x v="9"/>
    <s v="12"/>
    <s v="תוספות שאינן נכללות בשכר הקובע"/>
    <s v="126"/>
    <e v="#N/A"/>
  </r>
  <r>
    <n v="127"/>
    <s v="61122"/>
    <n v="1"/>
    <s v="161122.127"/>
    <s v="השתתפות באחזקת רכב - 1          "/>
    <m/>
    <m/>
    <n v="38000"/>
    <n v="35000"/>
    <n v="37170"/>
    <e v="#N/A"/>
    <x v="5"/>
    <s v="הנהלה כללית"/>
    <x v="21"/>
    <s v="מינהל כללי"/>
    <x v="61"/>
    <s v="הנהלה ורשות"/>
    <s v="6112"/>
    <s v="מועצת הרשות"/>
    <m/>
    <s v="1"/>
    <x v="9"/>
    <s v="12"/>
    <s v="תוספות שאינן נכללות בשכר הקובע"/>
    <s v="127"/>
    <e v="#N/A"/>
  </r>
  <r>
    <n v="130"/>
    <s v="61122"/>
    <n v="1"/>
    <s v="161122.130"/>
    <s v="תשלומים מיוחדים                 "/>
    <m/>
    <m/>
    <n v="40000"/>
    <n v="39000"/>
    <n v="38374"/>
    <e v="#N/A"/>
    <x v="5"/>
    <s v="הנהלה כללית"/>
    <x v="21"/>
    <s v="מינהל כללי"/>
    <x v="61"/>
    <s v="הנהלה ורשות"/>
    <s v="6112"/>
    <s v="מועצת הרשות"/>
    <m/>
    <s v="1"/>
    <x v="9"/>
    <s v="13"/>
    <s v="שעות נוספות"/>
    <s v="130"/>
    <e v="#N/A"/>
  </r>
  <r>
    <n v="181"/>
    <s v="61122"/>
    <n v="1"/>
    <s v="161122.181"/>
    <s v="מיסים וביטוח לאומי              "/>
    <m/>
    <m/>
    <n v="38000"/>
    <n v="37000"/>
    <n v="37155"/>
    <e v="#N/A"/>
    <x v="5"/>
    <s v="הנהלה כללית"/>
    <x v="21"/>
    <s v="מינהל כללי"/>
    <x v="61"/>
    <s v="הנהלה ורשות"/>
    <s v="6112"/>
    <s v="מועצת הרשות"/>
    <m/>
    <s v="1"/>
    <x v="9"/>
    <s v="18"/>
    <s v="נלוות לשכר"/>
    <s v="181"/>
    <s v="הפרשות סוציאליות"/>
  </r>
  <r>
    <n v="182"/>
    <s v="61122"/>
    <n v="1"/>
    <s v="161122.182"/>
    <s v="קופות גמל והשתלמות              "/>
    <m/>
    <m/>
    <n v="26000"/>
    <n v="26000"/>
    <n v="23841"/>
    <e v="#N/A"/>
    <x v="5"/>
    <s v="הנהלה כללית"/>
    <x v="21"/>
    <s v="מינהל כללי"/>
    <x v="61"/>
    <s v="הנהלה ורשות"/>
    <s v="6112"/>
    <s v="מועצת הרשות"/>
    <m/>
    <s v="1"/>
    <x v="9"/>
    <s v="18"/>
    <s v="נלוות לשכר"/>
    <s v="182"/>
    <s v="מיסיום ועלויות"/>
  </r>
  <r>
    <n v="310"/>
    <s v="61122"/>
    <n v="1"/>
    <s v="161122.310"/>
    <s v="שעות נוספות רשומות              "/>
    <m/>
    <m/>
    <n v="23000"/>
    <n v="23000"/>
    <n v="17123"/>
    <m/>
    <x v="5"/>
    <s v="הנהלה כללית"/>
    <x v="21"/>
    <s v="מינהל כללי"/>
    <x v="61"/>
    <s v="הנהלה ורשות"/>
    <s v="6112"/>
    <s v="מועצת הרשות"/>
    <m/>
    <s v="3"/>
    <x v="14"/>
    <s v="31"/>
    <s v="פנסיה"/>
    <s v="310"/>
    <e v="#N/A"/>
  </r>
  <r>
    <n v="433"/>
    <s v="61122"/>
    <n v="1"/>
    <s v="161122.433"/>
    <s v="ביטוח                           "/>
    <m/>
    <m/>
    <n v="2000"/>
    <n v="2000"/>
    <n v="2000"/>
    <e v="#N/A"/>
    <x v="5"/>
    <s v="הנהלה כללית"/>
    <x v="21"/>
    <s v="מינהל כללי"/>
    <x v="61"/>
    <s v="הנהלה ורשות"/>
    <s v="6112"/>
    <s v="מועצת הרשות"/>
    <m/>
    <s v="4"/>
    <x v="15"/>
    <s v="43"/>
    <s v="חשמל, מים וחומרי ניקיון"/>
    <s v="433"/>
    <s v="חומרי ניקיון"/>
  </r>
  <r>
    <n v="461"/>
    <s v="61122"/>
    <n v="1"/>
    <s v="161122.461"/>
    <s v="צורכי משרד                      "/>
    <m/>
    <m/>
    <n v="35000"/>
    <n v="35000"/>
    <n v="15811"/>
    <m/>
    <x v="5"/>
    <s v="הנהלה כללית"/>
    <x v="21"/>
    <s v="מינהל כללי"/>
    <x v="61"/>
    <s v="הנהלה ורשות"/>
    <s v="6112"/>
    <s v="מועצת הרשות"/>
    <m/>
    <s v="4"/>
    <x v="15"/>
    <s v="46"/>
    <e v="#N/A"/>
    <s v="461"/>
    <e v="#N/A"/>
  </r>
  <r>
    <n v="462"/>
    <s v="61122"/>
    <n v="1"/>
    <s v="161122.462"/>
    <s v="ספרים ועתונים                   "/>
    <m/>
    <m/>
    <n v="4000"/>
    <n v="4000"/>
    <n v="570"/>
    <e v="#N/A"/>
    <x v="5"/>
    <s v="הנהלה כללית"/>
    <x v="21"/>
    <s v="מינהל כללי"/>
    <x v="61"/>
    <s v="הנהלה ורשות"/>
    <s v="6112"/>
    <s v="מועצת הרשות"/>
    <m/>
    <s v="4"/>
    <x v="15"/>
    <s v="46"/>
    <e v="#N/A"/>
    <s v="462"/>
    <e v="#N/A"/>
  </r>
  <r>
    <n v="464"/>
    <s v="61122"/>
    <n v="1"/>
    <s v="161122.464"/>
    <s v="דאר                             "/>
    <m/>
    <m/>
    <n v="2000"/>
    <n v="2000"/>
    <n v="89"/>
    <e v="#N/A"/>
    <x v="5"/>
    <s v="הנהלה כללית"/>
    <x v="21"/>
    <s v="מינהל כללי"/>
    <x v="61"/>
    <s v="הנהלה ורשות"/>
    <s v="6112"/>
    <s v="מועצת הרשות"/>
    <m/>
    <s v="4"/>
    <x v="15"/>
    <s v="46"/>
    <e v="#N/A"/>
    <s v="464"/>
    <e v="#N/A"/>
  </r>
  <r>
    <n v="610"/>
    <s v="61122"/>
    <n v="1"/>
    <s v="161122.610"/>
    <s v="כיבודים                         "/>
    <m/>
    <m/>
    <n v="41000"/>
    <n v="41000"/>
    <n v="31809"/>
    <e v="#N/A"/>
    <x v="5"/>
    <s v="הנהלה כללית"/>
    <x v="21"/>
    <s v="מינהל כללי"/>
    <x v="61"/>
    <s v="הנהלה ורשות"/>
    <s v="6112"/>
    <s v="מועצת הרשות"/>
    <m/>
    <s v="6"/>
    <x v="12"/>
    <s v="61"/>
    <s v="עמלות"/>
    <s v="610"/>
    <e v="#N/A"/>
  </r>
  <r>
    <n v="670"/>
    <s v="61122"/>
    <n v="1"/>
    <s v="161122.670"/>
    <s v="סעיף שאינו חוזר                 "/>
    <m/>
    <m/>
    <n v="0"/>
    <n v="4000"/>
    <n v="2402"/>
    <e v="#N/A"/>
    <x v="5"/>
    <s v="הנהלה כללית"/>
    <x v="21"/>
    <s v="מינהל כללי"/>
    <x v="61"/>
    <s v="הנהלה ורשות"/>
    <s v="6112"/>
    <s v="מועצת הרשות"/>
    <m/>
    <s v="6"/>
    <x v="12"/>
    <s v="67"/>
    <e v="#N/A"/>
    <s v="670"/>
    <e v="#N/A"/>
  </r>
  <r>
    <n v="751"/>
    <s v="61122"/>
    <n v="1"/>
    <s v="161122.751"/>
    <s v="עבודה בקבלנות                   "/>
    <m/>
    <m/>
    <n v="127000"/>
    <n v="127000"/>
    <n v="42063"/>
    <e v="#N/A"/>
    <x v="5"/>
    <s v="הנהלה כללית"/>
    <x v="21"/>
    <s v="מינהל כללי"/>
    <x v="61"/>
    <s v="הנהלה ורשות"/>
    <s v="6112"/>
    <s v="מועצת הרשות"/>
    <m/>
    <s v="7"/>
    <x v="13"/>
    <s v="75"/>
    <s v="עבודות קבלניות"/>
    <s v="751"/>
    <e v="#N/A"/>
  </r>
  <r>
    <n v="752"/>
    <s v="61122"/>
    <n v="1"/>
    <s v="161122.752"/>
    <s v="אבטחת ישיבות המועצה             "/>
    <m/>
    <m/>
    <n v="75000"/>
    <n v="75000"/>
    <n v="13373"/>
    <e v="#N/A"/>
    <x v="5"/>
    <s v="הנהלה כללית"/>
    <x v="21"/>
    <s v="מינהל כללי"/>
    <x v="61"/>
    <s v="הנהלה ורשות"/>
    <s v="6112"/>
    <s v="מועצת הרשות"/>
    <m/>
    <s v="7"/>
    <x v="13"/>
    <s v="75"/>
    <s v="עבודות קבלניות"/>
    <s v="752"/>
    <e v="#N/A"/>
  </r>
  <r>
    <n v="110"/>
    <s v="61210"/>
    <n v="1"/>
    <s v="161210.110"/>
    <s v="משכורת כוללת                    "/>
    <m/>
    <m/>
    <n v="1085000"/>
    <n v="1066000"/>
    <n v="1023517"/>
    <e v="#N/A"/>
    <x v="5"/>
    <s v="הנהלה כללית"/>
    <x v="21"/>
    <s v="מינהל כללי"/>
    <x v="62"/>
    <s v="מבקר הרשות"/>
    <s v="6121"/>
    <e v="#N/A"/>
    <m/>
    <s v="1"/>
    <x v="9"/>
    <s v="11"/>
    <s v="השכר הקובע"/>
    <s v="110"/>
    <e v="#N/A"/>
  </r>
  <r>
    <n v="124"/>
    <s v="61210"/>
    <n v="1"/>
    <s v="161210.124"/>
    <s v="החזר הוצאות                     "/>
    <m/>
    <m/>
    <n v="40000"/>
    <n v="40000"/>
    <n v="39444"/>
    <e v="#N/A"/>
    <x v="5"/>
    <s v="הנהלה כללית"/>
    <x v="21"/>
    <s v="מינהל כללי"/>
    <x v="62"/>
    <s v="מבקר הרשות"/>
    <s v="6121"/>
    <e v="#N/A"/>
    <m/>
    <s v="1"/>
    <x v="9"/>
    <s v="12"/>
    <s v="תוספות שאינן נכללות בשכר הקובע"/>
    <s v="124"/>
    <e v="#N/A"/>
  </r>
  <r>
    <n v="126"/>
    <s v="61210"/>
    <n v="1"/>
    <s v="161210.126"/>
    <s v="הבראה                           "/>
    <m/>
    <m/>
    <n v="32000"/>
    <n v="32000"/>
    <n v="31940"/>
    <e v="#N/A"/>
    <x v="5"/>
    <s v="הנהלה כללית"/>
    <x v="21"/>
    <s v="מינהל כללי"/>
    <x v="62"/>
    <s v="מבקר הרשות"/>
    <s v="6121"/>
    <e v="#N/A"/>
    <m/>
    <s v="1"/>
    <x v="9"/>
    <s v="12"/>
    <s v="תוספות שאינן נכללות בשכר הקובע"/>
    <s v="126"/>
    <e v="#N/A"/>
  </r>
  <r>
    <n v="127"/>
    <s v="61210"/>
    <n v="1"/>
    <s v="161210.127"/>
    <s v="השתתפות באחזקת רכב- 5           "/>
    <m/>
    <m/>
    <n v="183000"/>
    <n v="186000"/>
    <n v="176980"/>
    <e v="#N/A"/>
    <x v="5"/>
    <s v="הנהלה כללית"/>
    <x v="21"/>
    <s v="מינהל כללי"/>
    <x v="62"/>
    <s v="מבקר הרשות"/>
    <s v="6121"/>
    <e v="#N/A"/>
    <m/>
    <s v="1"/>
    <x v="9"/>
    <s v="12"/>
    <s v="תוספות שאינן נכללות בשכר הקובע"/>
    <s v="127"/>
    <e v="#N/A"/>
  </r>
  <r>
    <n v="130"/>
    <s v="61210"/>
    <n v="1"/>
    <s v="161210.130"/>
    <s v="תשלומים מיוחדים                 "/>
    <m/>
    <m/>
    <n v="59000"/>
    <n v="58000"/>
    <n v="57383"/>
    <e v="#N/A"/>
    <x v="5"/>
    <s v="הנהלה כללית"/>
    <x v="21"/>
    <s v="מינהל כללי"/>
    <x v="62"/>
    <s v="מבקר הרשות"/>
    <s v="6121"/>
    <e v="#N/A"/>
    <m/>
    <s v="1"/>
    <x v="9"/>
    <s v="13"/>
    <s v="שעות נוספות"/>
    <s v="130"/>
    <e v="#N/A"/>
  </r>
  <r>
    <n v="181"/>
    <s v="61210"/>
    <n v="1"/>
    <s v="161210.181"/>
    <s v="מיסים וביטוח לאומי              "/>
    <m/>
    <m/>
    <n v="193000"/>
    <n v="190000"/>
    <n v="188585"/>
    <e v="#N/A"/>
    <x v="5"/>
    <s v="הנהלה כללית"/>
    <x v="21"/>
    <s v="מינהל כללי"/>
    <x v="62"/>
    <s v="מבקר הרשות"/>
    <s v="6121"/>
    <e v="#N/A"/>
    <m/>
    <s v="1"/>
    <x v="9"/>
    <s v="18"/>
    <s v="נלוות לשכר"/>
    <s v="181"/>
    <s v="הפרשות סוציאליות"/>
  </r>
  <r>
    <n v="182"/>
    <s v="61210"/>
    <n v="1"/>
    <s v="161210.182"/>
    <s v="קופות גמל והשתלמות              "/>
    <m/>
    <m/>
    <n v="198000"/>
    <n v="198000"/>
    <n v="187111"/>
    <e v="#N/A"/>
    <x v="5"/>
    <s v="הנהלה כללית"/>
    <x v="21"/>
    <s v="מינהל כללי"/>
    <x v="62"/>
    <s v="מבקר הרשות"/>
    <s v="6121"/>
    <e v="#N/A"/>
    <m/>
    <s v="1"/>
    <x v="9"/>
    <s v="18"/>
    <s v="נלוות לשכר"/>
    <s v="182"/>
    <s v="מיסיום ועלויות"/>
  </r>
  <r>
    <n v="230"/>
    <s v="61210"/>
    <n v="1"/>
    <s v="161210.230"/>
    <s v="משימות חולפות- 1.2              "/>
    <m/>
    <m/>
    <n v="78000"/>
    <n v="76000"/>
    <n v="72898"/>
    <e v="#N/A"/>
    <x v="5"/>
    <s v="הנהלה כללית"/>
    <x v="21"/>
    <s v="מינהל כללי"/>
    <x v="62"/>
    <s v="מבקר הרשות"/>
    <s v="6121"/>
    <e v="#N/A"/>
    <m/>
    <s v="2"/>
    <x v="10"/>
    <s v="23"/>
    <s v="שעות נוספות"/>
    <s v="230"/>
    <e v="#N/A"/>
  </r>
  <r>
    <n v="433"/>
    <s v="61210"/>
    <n v="1"/>
    <s v="161210.433"/>
    <s v="ביטוח                           "/>
    <m/>
    <m/>
    <n v="20000"/>
    <n v="22000"/>
    <n v="21000"/>
    <e v="#N/A"/>
    <x v="5"/>
    <s v="הנהלה כללית"/>
    <x v="21"/>
    <s v="מינהל כללי"/>
    <x v="62"/>
    <s v="מבקר הרשות"/>
    <s v="6121"/>
    <e v="#N/A"/>
    <m/>
    <s v="4"/>
    <x v="15"/>
    <s v="43"/>
    <s v="חשמל, מים וחומרי ניקיון"/>
    <s v="433"/>
    <s v="חומרי ניקיון"/>
  </r>
  <r>
    <n v="434"/>
    <s v="61210"/>
    <n v="1"/>
    <s v="161210.434"/>
    <s v="תקוני מבנים  מתקנים ואינונטר    "/>
    <m/>
    <m/>
    <n v="19000"/>
    <n v="19000"/>
    <n v="1339"/>
    <e v="#N/A"/>
    <x v="5"/>
    <s v="הנהלה כללית"/>
    <x v="21"/>
    <s v="מינהל כללי"/>
    <x v="62"/>
    <s v="מבקר הרשות"/>
    <s v="6121"/>
    <e v="#N/A"/>
    <m/>
    <s v="4"/>
    <x v="15"/>
    <s v="43"/>
    <s v="חשמל, מים וחומרי ניקיון"/>
    <s v="434"/>
    <s v="שירותי ניקיון"/>
  </r>
  <r>
    <n v="439"/>
    <s v="61210"/>
    <n v="1"/>
    <s v="161210.439"/>
    <s v="אחזקת בניני העיריה-השתתפות      "/>
    <m/>
    <m/>
    <n v="1158000"/>
    <n v="1150000"/>
    <n v="1140000"/>
    <e v="#N/A"/>
    <x v="5"/>
    <s v="הנהלה כללית"/>
    <x v="21"/>
    <s v="מינהל כללי"/>
    <x v="62"/>
    <s v="מבקר הרשות"/>
    <s v="6121"/>
    <e v="#N/A"/>
    <m/>
    <s v="4"/>
    <x v="15"/>
    <s v="43"/>
    <s v="חשמל, מים וחומרי ניקיון"/>
    <s v="439"/>
    <e v="#N/A"/>
  </r>
  <r>
    <n v="461"/>
    <s v="61210"/>
    <n v="1"/>
    <s v="161210.461"/>
    <s v="צורכי משרד                      "/>
    <m/>
    <m/>
    <n v="22000"/>
    <n v="22000"/>
    <n v="16892"/>
    <e v="#N/A"/>
    <x v="5"/>
    <s v="הנהלה כללית"/>
    <x v="21"/>
    <s v="מינהל כללי"/>
    <x v="62"/>
    <s v="מבקר הרשות"/>
    <s v="6121"/>
    <e v="#N/A"/>
    <m/>
    <s v="4"/>
    <x v="15"/>
    <s v="46"/>
    <e v="#N/A"/>
    <s v="461"/>
    <e v="#N/A"/>
  </r>
  <r>
    <n v="462"/>
    <s v="61210"/>
    <n v="1"/>
    <s v="161210.462"/>
    <s v="ספרים ועתונים                   "/>
    <m/>
    <m/>
    <n v="3000"/>
    <n v="3000"/>
    <n v="1634"/>
    <e v="#N/A"/>
    <x v="5"/>
    <s v="הנהלה כללית"/>
    <x v="21"/>
    <s v="מינהל כללי"/>
    <x v="62"/>
    <s v="מבקר הרשות"/>
    <s v="6121"/>
    <e v="#N/A"/>
    <m/>
    <s v="4"/>
    <x v="15"/>
    <s v="46"/>
    <e v="#N/A"/>
    <s v="462"/>
    <e v="#N/A"/>
  </r>
  <r>
    <n v="464"/>
    <s v="61210"/>
    <n v="1"/>
    <s v="161210.464"/>
    <s v="דאר                             "/>
    <m/>
    <m/>
    <n v="2000"/>
    <n v="2000"/>
    <n v="217"/>
    <m/>
    <x v="5"/>
    <s v="הנהלה כללית"/>
    <x v="21"/>
    <s v="מינהל כללי"/>
    <x v="62"/>
    <s v="מבקר הרשות"/>
    <s v="6121"/>
    <e v="#N/A"/>
    <m/>
    <s v="4"/>
    <x v="15"/>
    <s v="46"/>
    <e v="#N/A"/>
    <s v="464"/>
    <e v="#N/A"/>
  </r>
  <r>
    <n v="522"/>
    <s v="61210"/>
    <n v="1"/>
    <s v="161210.522"/>
    <s v="גיבוש יחידתי                    "/>
    <m/>
    <m/>
    <n v="2000"/>
    <n v="2000"/>
    <n v="1800"/>
    <e v="#N/A"/>
    <x v="5"/>
    <s v="הנהלה כללית"/>
    <x v="21"/>
    <s v="מינהל כללי"/>
    <x v="62"/>
    <s v="מבקר הרשות"/>
    <s v="6121"/>
    <e v="#N/A"/>
    <m/>
    <s v="5"/>
    <x v="11"/>
    <s v="52"/>
    <s v="השתלמויות וספרות מקצועית"/>
    <s v="522"/>
    <s v="ספרות מקצועית ועיתונות"/>
  </r>
  <r>
    <n v="541"/>
    <s v="61210"/>
    <n v="1"/>
    <s v="161210.541"/>
    <s v="החזקת מכשירי קשר וסלולר         "/>
    <m/>
    <m/>
    <n v="15000"/>
    <n v="15000"/>
    <n v="11157"/>
    <m/>
    <x v="5"/>
    <s v="הנהלה כללית"/>
    <x v="21"/>
    <s v="מינהל כללי"/>
    <x v="62"/>
    <s v="מבקר הרשות"/>
    <s v="6121"/>
    <e v="#N/A"/>
    <m/>
    <s v="5"/>
    <x v="11"/>
    <s v="54"/>
    <s v="הוצאות תקשורת"/>
    <s v="541"/>
    <e v="#N/A"/>
  </r>
  <r>
    <n v="610"/>
    <s v="61210"/>
    <n v="1"/>
    <s v="161210.610"/>
    <s v="כיבודים                         "/>
    <m/>
    <m/>
    <n v="8000"/>
    <n v="8000"/>
    <n v="5382"/>
    <e v="#N/A"/>
    <x v="5"/>
    <s v="הנהלה כללית"/>
    <x v="21"/>
    <s v="מינהל כללי"/>
    <x v="62"/>
    <s v="מבקר הרשות"/>
    <s v="6121"/>
    <e v="#N/A"/>
    <m/>
    <s v="6"/>
    <x v="12"/>
    <s v="61"/>
    <s v="עמלות"/>
    <s v="610"/>
    <e v="#N/A"/>
  </r>
  <r>
    <n v="670"/>
    <s v="61210"/>
    <n v="1"/>
    <s v="161210.670"/>
    <s v="סעיף שאינו חוזר                 "/>
    <m/>
    <m/>
    <n v="0"/>
    <n v="6000"/>
    <n v="3459"/>
    <e v="#N/A"/>
    <x v="5"/>
    <s v="הנהלה כללית"/>
    <x v="21"/>
    <s v="מינהל כללי"/>
    <x v="62"/>
    <s v="מבקר הרשות"/>
    <s v="6121"/>
    <e v="#N/A"/>
    <m/>
    <s v="6"/>
    <x v="12"/>
    <s v="67"/>
    <e v="#N/A"/>
    <s v="670"/>
    <e v="#N/A"/>
  </r>
  <r>
    <n v="680"/>
    <s v="61210"/>
    <n v="1"/>
    <s v="161210.680"/>
    <s v="הוצאות   מיוחדות                "/>
    <m/>
    <m/>
    <n v="2000"/>
    <n v="2000"/>
    <n v="669"/>
    <m/>
    <x v="5"/>
    <s v="הנהלה כללית"/>
    <x v="21"/>
    <s v="מינהל כללי"/>
    <x v="62"/>
    <s v="מבקר הרשות"/>
    <s v="6121"/>
    <e v="#N/A"/>
    <m/>
    <s v="6"/>
    <x v="12"/>
    <s v="68"/>
    <s v="ריבית על הוצאות אחרות"/>
    <s v="680"/>
    <e v="#N/A"/>
  </r>
  <r>
    <n v="691"/>
    <s v="61210"/>
    <n v="1"/>
    <s v="161210.691"/>
    <s v="מערכות מידע ומחשוב              "/>
    <m/>
    <m/>
    <n v="140000"/>
    <n v="120000"/>
    <n v="104834"/>
    <e v="#N/A"/>
    <x v="5"/>
    <s v="הנהלה כללית"/>
    <x v="21"/>
    <s v="מינהל כללי"/>
    <x v="62"/>
    <s v="מבקר הרשות"/>
    <s v="6121"/>
    <e v="#N/A"/>
    <m/>
    <s v="6"/>
    <x v="12"/>
    <s v="69"/>
    <s v="שונות"/>
    <s v="691"/>
    <s v="תשלום ע&quot;ח קרן"/>
  </r>
  <r>
    <n v="693"/>
    <s v="61210"/>
    <n v="1"/>
    <s v="161210.693"/>
    <s v="מיחשוב יחידתי                   "/>
    <m/>
    <m/>
    <n v="40000"/>
    <n v="40000"/>
    <n v="42675"/>
    <e v="#N/A"/>
    <x v="5"/>
    <s v="הנהלה כללית"/>
    <x v="21"/>
    <s v="מינהל כללי"/>
    <x v="62"/>
    <s v="מבקר הרשות"/>
    <s v="6121"/>
    <e v="#N/A"/>
    <m/>
    <s v="6"/>
    <x v="12"/>
    <s v="69"/>
    <s v="שונות"/>
    <s v="693"/>
    <s v="תשלום ע&quot;ח הצמדת ערך"/>
  </r>
  <r>
    <n v="781"/>
    <s v="61210"/>
    <n v="1"/>
    <s v="161210.781"/>
    <s v="דמי חבר-ארגונים ארציים ובינל    "/>
    <m/>
    <m/>
    <n v="2000"/>
    <n v="2000"/>
    <n v="965"/>
    <e v="#N/A"/>
    <x v="5"/>
    <s v="הנהלה כללית"/>
    <x v="21"/>
    <s v="מינהל כללי"/>
    <x v="62"/>
    <s v="מבקר הרשות"/>
    <s v="6121"/>
    <e v="#N/A"/>
    <m/>
    <s v="7"/>
    <x v="13"/>
    <s v="78"/>
    <s v="הוצאות שונות"/>
    <s v="781"/>
    <e v="#N/A"/>
  </r>
  <r>
    <n v="782"/>
    <s v="61210"/>
    <n v="1"/>
    <s v="161210.782"/>
    <s v="דוח מבקר העיריה                 "/>
    <m/>
    <m/>
    <n v="24000"/>
    <n v="24000"/>
    <n v="7349"/>
    <e v="#N/A"/>
    <x v="5"/>
    <s v="הנהלה כללית"/>
    <x v="21"/>
    <s v="מינהל כללי"/>
    <x v="62"/>
    <s v="מבקר הרשות"/>
    <s v="6121"/>
    <e v="#N/A"/>
    <m/>
    <s v="7"/>
    <x v="13"/>
    <s v="78"/>
    <s v="הוצאות שונות"/>
    <s v="782"/>
    <e v="#N/A"/>
  </r>
  <r>
    <n v="932"/>
    <s v="61210"/>
    <n v="1"/>
    <s v="161210.932"/>
    <s v="ציוד ורהוט משרדי                "/>
    <m/>
    <m/>
    <n v="10000"/>
    <n v="10000"/>
    <n v="2409"/>
    <e v="#N/A"/>
    <x v="5"/>
    <s v="הנהלה כללית"/>
    <x v="21"/>
    <s v="מינהל כללי"/>
    <x v="62"/>
    <s v="מבקר הרשות"/>
    <s v="6121"/>
    <e v="#N/A"/>
    <m/>
    <s v="9"/>
    <x v="17"/>
    <s v="93"/>
    <s v="רכישת ציוד יסודי"/>
    <s v="932"/>
    <e v="#N/A"/>
  </r>
  <r>
    <n v="110"/>
    <s v="61220"/>
    <n v="1"/>
    <s v="161220.110"/>
    <s v="משכורת כוללת                    "/>
    <m/>
    <m/>
    <n v="909000"/>
    <n v="1214000"/>
    <n v="1184353"/>
    <e v="#N/A"/>
    <x v="5"/>
    <s v="הנהלה כללית"/>
    <x v="21"/>
    <s v="מינהל כללי"/>
    <x v="62"/>
    <s v="מבקר הרשות"/>
    <s v="6122"/>
    <e v="#N/A"/>
    <m/>
    <s v="1"/>
    <x v="9"/>
    <s v="11"/>
    <s v="השכר הקובע"/>
    <s v="110"/>
    <e v="#N/A"/>
  </r>
  <r>
    <n v="124"/>
    <s v="61220"/>
    <n v="1"/>
    <s v="161220.124"/>
    <s v="החזר הוצאות                     "/>
    <m/>
    <m/>
    <n v="18000"/>
    <n v="24000"/>
    <n v="23971"/>
    <e v="#N/A"/>
    <x v="5"/>
    <s v="הנהלה כללית"/>
    <x v="21"/>
    <s v="מינהל כללי"/>
    <x v="62"/>
    <s v="מבקר הרשות"/>
    <s v="6122"/>
    <e v="#N/A"/>
    <m/>
    <s v="1"/>
    <x v="9"/>
    <s v="12"/>
    <s v="תוספות שאינן נכללות בשכר הקובע"/>
    <s v="124"/>
    <e v="#N/A"/>
  </r>
  <r>
    <n v="126"/>
    <s v="61220"/>
    <n v="1"/>
    <s v="161220.126"/>
    <s v="הבראה                           "/>
    <m/>
    <m/>
    <n v="18000"/>
    <n v="24000"/>
    <n v="23656"/>
    <e v="#N/A"/>
    <x v="5"/>
    <s v="הנהלה כללית"/>
    <x v="21"/>
    <s v="מינהל כללי"/>
    <x v="62"/>
    <s v="מבקר הרשות"/>
    <s v="6122"/>
    <e v="#N/A"/>
    <m/>
    <s v="1"/>
    <x v="9"/>
    <s v="12"/>
    <s v="תוספות שאינן נכללות בשכר הקובע"/>
    <s v="126"/>
    <e v="#N/A"/>
  </r>
  <r>
    <n v="127"/>
    <s v="61220"/>
    <n v="1"/>
    <s v="161220.127"/>
    <s v="השתתפות באחזקת רכב - 3          "/>
    <m/>
    <m/>
    <n v="102000"/>
    <n v="145000"/>
    <n v="147331"/>
    <e v="#N/A"/>
    <x v="5"/>
    <s v="הנהלה כללית"/>
    <x v="21"/>
    <s v="מינהל כללי"/>
    <x v="62"/>
    <s v="מבקר הרשות"/>
    <s v="6122"/>
    <e v="#N/A"/>
    <m/>
    <s v="1"/>
    <x v="9"/>
    <s v="12"/>
    <s v="תוספות שאינן נכללות בשכר הקובע"/>
    <s v="127"/>
    <e v="#N/A"/>
  </r>
  <r>
    <n v="130"/>
    <s v="61220"/>
    <n v="1"/>
    <s v="161220.130"/>
    <s v="תשלומים מיוחדים                 "/>
    <m/>
    <m/>
    <n v="13000"/>
    <n v="17000"/>
    <n v="17456"/>
    <e v="#N/A"/>
    <x v="5"/>
    <s v="הנהלה כללית"/>
    <x v="21"/>
    <s v="מינהל כללי"/>
    <x v="62"/>
    <s v="מבקר הרשות"/>
    <s v="6122"/>
    <e v="#N/A"/>
    <m/>
    <s v="1"/>
    <x v="9"/>
    <s v="13"/>
    <s v="שעות נוספות"/>
    <s v="130"/>
    <e v="#N/A"/>
  </r>
  <r>
    <n v="181"/>
    <s v="61220"/>
    <n v="1"/>
    <s v="161220.181"/>
    <s v="מיסים וביטוח לאומי              "/>
    <m/>
    <m/>
    <n v="143000"/>
    <n v="190000"/>
    <n v="196005"/>
    <e v="#N/A"/>
    <x v="5"/>
    <s v="הנהלה כללית"/>
    <x v="21"/>
    <s v="מינהל כללי"/>
    <x v="62"/>
    <s v="מבקר הרשות"/>
    <s v="6122"/>
    <e v="#N/A"/>
    <m/>
    <s v="1"/>
    <x v="9"/>
    <s v="18"/>
    <s v="נלוות לשכר"/>
    <s v="181"/>
    <s v="הפרשות סוציאליות"/>
  </r>
  <r>
    <n v="182"/>
    <s v="61220"/>
    <n v="1"/>
    <s v="161220.182"/>
    <s v="קופות גמל והשתלמות              "/>
    <m/>
    <m/>
    <n v="98000"/>
    <n v="130000"/>
    <n v="119252"/>
    <e v="#N/A"/>
    <x v="5"/>
    <s v="הנהלה כללית"/>
    <x v="21"/>
    <s v="מינהל כללי"/>
    <x v="62"/>
    <s v="מבקר הרשות"/>
    <s v="6122"/>
    <e v="#N/A"/>
    <m/>
    <s v="1"/>
    <x v="9"/>
    <s v="18"/>
    <s v="נלוות לשכר"/>
    <s v="182"/>
    <s v="מיסיום ועלויות"/>
  </r>
  <r>
    <n v="310"/>
    <s v="61220"/>
    <n v="1"/>
    <s v="161220.310"/>
    <s v="שעות נוספות רשומות              "/>
    <m/>
    <m/>
    <n v="31000"/>
    <n v="30000"/>
    <n v="22736"/>
    <e v="#N/A"/>
    <x v="5"/>
    <s v="הנהלה כללית"/>
    <x v="21"/>
    <s v="מינהל כללי"/>
    <x v="62"/>
    <s v="מבקר הרשות"/>
    <s v="6122"/>
    <e v="#N/A"/>
    <m/>
    <s v="3"/>
    <x v="14"/>
    <s v="31"/>
    <s v="פנסיה"/>
    <s v="310"/>
    <e v="#N/A"/>
  </r>
  <r>
    <n v="510"/>
    <s v="61220"/>
    <n v="1"/>
    <s v="161220.510"/>
    <s v="נסיעות ואש ל                    "/>
    <m/>
    <m/>
    <n v="1000"/>
    <n v="1000"/>
    <n v="0"/>
    <e v="#N/A"/>
    <x v="5"/>
    <s v="הנהלה כללית"/>
    <x v="21"/>
    <s v="מינהל כללי"/>
    <x v="62"/>
    <s v="מבקר הרשות"/>
    <s v="6122"/>
    <e v="#N/A"/>
    <m/>
    <s v="5"/>
    <x v="11"/>
    <s v="51"/>
    <s v="אש&quot;ל וכיבודים"/>
    <s v="510"/>
    <e v="#N/A"/>
  </r>
  <r>
    <n v="521"/>
    <s v="61220"/>
    <n v="1"/>
    <s v="161220.521"/>
    <s v="הדרכה וכנסים                    "/>
    <m/>
    <m/>
    <n v="12000"/>
    <n v="12000"/>
    <n v="3728"/>
    <e v="#N/A"/>
    <x v="5"/>
    <s v="הנהלה כללית"/>
    <x v="21"/>
    <s v="מינהל כללי"/>
    <x v="62"/>
    <s v="מבקר הרשות"/>
    <s v="6122"/>
    <e v="#N/A"/>
    <m/>
    <s v="5"/>
    <x v="11"/>
    <s v="52"/>
    <s v="השתלמויות וספרות מקצועית"/>
    <s v="521"/>
    <s v="השתלמויות וספרות מקצועית"/>
  </r>
  <r>
    <n v="781"/>
    <s v="61220"/>
    <n v="1"/>
    <s v="161220.781"/>
    <s v="עבודות ע י גו ח-יעוץ מקצועי     "/>
    <m/>
    <m/>
    <n v="2660000"/>
    <n v="2210000"/>
    <n v="2515919"/>
    <e v="#N/A"/>
    <x v="5"/>
    <s v="הנהלה כללית"/>
    <x v="21"/>
    <s v="מינהל כללי"/>
    <x v="62"/>
    <s v="מבקר הרשות"/>
    <s v="6122"/>
    <e v="#N/A"/>
    <m/>
    <s v="7"/>
    <x v="13"/>
    <s v="78"/>
    <s v="הוצאות שונות"/>
    <s v="781"/>
    <e v="#N/A"/>
  </r>
  <r>
    <n v="110"/>
    <s v="61311"/>
    <n v="1"/>
    <s v="161311.110"/>
    <s v="משכורת כוללת                    "/>
    <m/>
    <m/>
    <n v="1414000"/>
    <n v="1400000"/>
    <n v="1346018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1"/>
    <n v="1"/>
    <s v="161311.124"/>
    <s v="החזר הוצאות                     "/>
    <m/>
    <m/>
    <n v="49000"/>
    <n v="49000"/>
    <n v="46844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1"/>
    <n v="1"/>
    <s v="161311.126"/>
    <s v="הבראה                           "/>
    <m/>
    <m/>
    <n v="46000"/>
    <n v="46000"/>
    <n v="44666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1"/>
    <n v="1"/>
    <s v="161311.127"/>
    <s v="השתתפות באחזקת רכב - 7          "/>
    <m/>
    <m/>
    <n v="193000"/>
    <n v="189000"/>
    <n v="187882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1"/>
    <n v="1"/>
    <s v="161311.130"/>
    <s v="תשלומים מיוחדים                 "/>
    <m/>
    <m/>
    <n v="160000"/>
    <n v="157000"/>
    <n v="154202"/>
    <m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1"/>
    <n v="1"/>
    <s v="161311.181"/>
    <s v="מיסים וביטוח לאומי              "/>
    <m/>
    <m/>
    <n v="267000"/>
    <n v="263000"/>
    <n v="261945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1"/>
    <n v="1"/>
    <s v="161311.182"/>
    <s v="קופות גמל והשתלמות              "/>
    <m/>
    <m/>
    <n v="326000"/>
    <n v="334000"/>
    <n v="310649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1"/>
    <n v="1"/>
    <s v="161311.310"/>
    <s v="שעות נוספות רשומות              "/>
    <m/>
    <m/>
    <n v="108000"/>
    <n v="106000"/>
    <n v="47407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340"/>
    <s v="61311"/>
    <n v="1"/>
    <s v="161311.340"/>
    <s v="שעות נוספות מיוחדות             "/>
    <m/>
    <m/>
    <n v="67000"/>
    <n v="66000"/>
    <n v="60218"/>
    <e v="#N/A"/>
    <x v="5"/>
    <s v="הנהלה כללית"/>
    <x v="21"/>
    <s v="מינהל כללי"/>
    <x v="63"/>
    <s v="מזכירות"/>
    <s v="6131"/>
    <e v="#N/A"/>
    <m/>
    <s v="3"/>
    <x v="14"/>
    <s v="34"/>
    <e v="#N/A"/>
    <s v="340"/>
    <e v="#N/A"/>
  </r>
  <r>
    <n v="433"/>
    <s v="61311"/>
    <n v="1"/>
    <s v="161311.433"/>
    <s v="ביטוח                           "/>
    <m/>
    <m/>
    <n v="19000"/>
    <n v="21000"/>
    <n v="19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4"/>
    <s v="61311"/>
    <n v="1"/>
    <s v="161311.434"/>
    <s v="תקוני מבנים  מתקנים ואינונטר    "/>
    <m/>
    <m/>
    <n v="5000"/>
    <n v="5000"/>
    <n v="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9"/>
    <s v="61311"/>
    <n v="1"/>
    <s v="161311.439"/>
    <s v="אחזקת בניני העיריה-השתתפות      "/>
    <m/>
    <m/>
    <n v="272000"/>
    <n v="265000"/>
    <n v="26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1"/>
    <n v="1"/>
    <s v="161311.461"/>
    <s v="צורכי משרד                      "/>
    <m/>
    <m/>
    <n v="17000"/>
    <n v="17000"/>
    <n v="1539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1"/>
    <n v="1"/>
    <s v="161311.462"/>
    <s v="ספרים ועתונים                   "/>
    <m/>
    <m/>
    <n v="6000"/>
    <n v="6000"/>
    <n v="4073"/>
    <m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1"/>
    <n v="1"/>
    <s v="161311.464"/>
    <s v="דאר                             "/>
    <m/>
    <m/>
    <n v="9000"/>
    <n v="9000"/>
    <n v="7918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10"/>
    <s v="61311"/>
    <n v="1"/>
    <s v="161311.510"/>
    <s v="נסיעות  ואש ל                   "/>
    <m/>
    <m/>
    <n v="1000"/>
    <n v="1000"/>
    <n v="657"/>
    <e v="#N/A"/>
    <x v="5"/>
    <s v="הנהלה כללית"/>
    <x v="21"/>
    <s v="מינהל כללי"/>
    <x v="63"/>
    <s v="מזכירות"/>
    <s v="6131"/>
    <e v="#N/A"/>
    <m/>
    <s v="5"/>
    <x v="11"/>
    <s v="51"/>
    <s v="אש&quot;ל וכיבודים"/>
    <s v="510"/>
    <e v="#N/A"/>
  </r>
  <r>
    <n v="521"/>
    <s v="61311"/>
    <n v="1"/>
    <s v="161311.521"/>
    <s v="הדרכה וכנסים                    "/>
    <m/>
    <m/>
    <n v="12000"/>
    <n v="12000"/>
    <n v="9999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1"/>
    <n v="1"/>
    <s v="161311.522"/>
    <s v="גיבוש יחידתי                    "/>
    <m/>
    <m/>
    <n v="2000"/>
    <n v="2000"/>
    <n v="189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31"/>
    <s v="61311"/>
    <n v="1"/>
    <s v="161311.531"/>
    <s v="אחזקת רכב                       "/>
    <m/>
    <m/>
    <n v="15000"/>
    <n v="15000"/>
    <n v="11773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1"/>
    <n v="1"/>
    <s v="161311.533"/>
    <s v="שכירת רכב ורכב עירוני           "/>
    <m/>
    <m/>
    <n v="105000"/>
    <n v="105000"/>
    <n v="85968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1"/>
    <n v="1"/>
    <s v="161311.534"/>
    <s v="דלק ושמן                        "/>
    <m/>
    <m/>
    <n v="68000"/>
    <n v="68000"/>
    <n v="49150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1"/>
    <n v="1"/>
    <s v="161311.541"/>
    <s v="החזקת מכשירי קשר וסלולר         "/>
    <m/>
    <m/>
    <n v="21000"/>
    <n v="21000"/>
    <n v="13757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1"/>
    <n v="1"/>
    <s v="161311.610"/>
    <s v="כבודים                          "/>
    <m/>
    <m/>
    <n v="33000"/>
    <n v="33000"/>
    <n v="25536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1"/>
    <n v="1"/>
    <s v="161311.670"/>
    <s v="סעיף שאינו חוזר                 "/>
    <m/>
    <m/>
    <n v="0"/>
    <n v="5000"/>
    <n v="3751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91"/>
    <s v="61311"/>
    <n v="1"/>
    <s v="161311.691"/>
    <s v="מערכות מידע ומחשוב              "/>
    <m/>
    <m/>
    <n v="130000"/>
    <n v="110000"/>
    <n v="97632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1"/>
    <s v="תשלום ע&quot;ח קרן"/>
  </r>
  <r>
    <n v="693"/>
    <s v="61311"/>
    <n v="1"/>
    <s v="161311.693"/>
    <s v="מיחשוב יחידתי                   "/>
    <m/>
    <m/>
    <n v="12000"/>
    <n v="12000"/>
    <n v="4410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3"/>
    <s v="61311"/>
    <n v="1"/>
    <s v="161311.753"/>
    <s v="הוצאות שונות                    "/>
    <m/>
    <m/>
    <n v="13000"/>
    <n v="13000"/>
    <n v="6222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3"/>
    <e v="#N/A"/>
  </r>
  <r>
    <n v="781"/>
    <s v="61311"/>
    <n v="1"/>
    <s v="161311.781"/>
    <s v="מידעון לעובדים                  "/>
    <m/>
    <m/>
    <n v="60000"/>
    <n v="60000"/>
    <n v="59378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932"/>
    <s v="61311"/>
    <n v="1"/>
    <s v="161311.932"/>
    <s v="ציוד ורהוט משרדי                "/>
    <m/>
    <m/>
    <n v="10000"/>
    <n v="10000"/>
    <n v="3836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2"/>
    <n v="1"/>
    <s v="161312.110"/>
    <s v="משכורת כוללת                    "/>
    <m/>
    <m/>
    <n v="1843000"/>
    <n v="1804000"/>
    <n v="1757644"/>
    <m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2"/>
    <n v="1"/>
    <s v="161312.124"/>
    <s v="החזר הוצאות                     "/>
    <m/>
    <m/>
    <n v="72000"/>
    <n v="67000"/>
    <n v="67182"/>
    <m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2"/>
    <n v="1"/>
    <s v="161312.126"/>
    <s v="הבראה                           "/>
    <m/>
    <m/>
    <n v="65000"/>
    <n v="59000"/>
    <n v="58359"/>
    <m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2"/>
    <n v="1"/>
    <s v="161312.127"/>
    <s v="השתתפות באחזקת רכב - 12         "/>
    <m/>
    <m/>
    <n v="271000"/>
    <n v="228000"/>
    <n v="238224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2"/>
    <n v="1"/>
    <s v="161312.130"/>
    <s v="תשלומים מיוחדים                 "/>
    <m/>
    <m/>
    <n v="288000"/>
    <n v="174000"/>
    <n v="195480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70"/>
    <s v="61312"/>
    <n v="1"/>
    <s v="161312.170"/>
    <s v="סעיף שאינו חוזר                 "/>
    <m/>
    <m/>
    <n v="0"/>
    <n v="0"/>
    <n v="41098"/>
    <e v="#N/A"/>
    <x v="5"/>
    <s v="הנהלה כללית"/>
    <x v="21"/>
    <s v="מינהל כללי"/>
    <x v="63"/>
    <s v="מזכירות"/>
    <s v="6131"/>
    <e v="#N/A"/>
    <m/>
    <s v="1"/>
    <x v="9"/>
    <s v="17"/>
    <e v="#N/A"/>
    <s v="170"/>
    <e v="#N/A"/>
  </r>
  <r>
    <n v="181"/>
    <s v="61312"/>
    <n v="1"/>
    <s v="161312.181"/>
    <s v="מיסים וביטוח לאומי              "/>
    <m/>
    <m/>
    <n v="336000"/>
    <n v="302000"/>
    <n v="335625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2"/>
    <n v="1"/>
    <s v="161312.182"/>
    <s v="קופות גמל והשתלמות              "/>
    <m/>
    <m/>
    <n v="254000"/>
    <n v="206000"/>
    <n v="207225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2"/>
    <n v="1"/>
    <s v="161312.310"/>
    <s v="שעות נוספות רשומות              "/>
    <m/>
    <m/>
    <n v="31000"/>
    <n v="30000"/>
    <n v="25375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412"/>
    <s v="61312"/>
    <n v="1"/>
    <s v="161312.412"/>
    <s v="מיסים ואגרות                    "/>
    <m/>
    <m/>
    <n v="1000"/>
    <n v="1000"/>
    <n v="345"/>
    <e v="#N/A"/>
    <x v="5"/>
    <s v="הנהלה כללית"/>
    <x v="21"/>
    <s v="מינהל כללי"/>
    <x v="63"/>
    <s v="מזכירות"/>
    <s v="6131"/>
    <e v="#N/A"/>
    <m/>
    <s v="4"/>
    <x v="15"/>
    <s v="41"/>
    <s v="שכר דירה ודמי חכירה"/>
    <s v="412"/>
    <e v="#N/A"/>
  </r>
  <r>
    <n v="433"/>
    <s v="61312"/>
    <n v="1"/>
    <s v="161312.433"/>
    <s v="ביטוח                           "/>
    <m/>
    <m/>
    <n v="21000"/>
    <n v="23000"/>
    <n v="21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9"/>
    <s v="61312"/>
    <n v="1"/>
    <s v="161312.439"/>
    <s v="אחזקת בניני העיריה-השתתפות      "/>
    <m/>
    <m/>
    <n v="137000"/>
    <n v="130000"/>
    <n v="11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2"/>
    <n v="1"/>
    <s v="161312.461"/>
    <s v="צורכי משרד                      "/>
    <m/>
    <m/>
    <n v="9000"/>
    <n v="8000"/>
    <n v="6028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2"/>
    <n v="1"/>
    <s v="161312.462"/>
    <s v="ספרים ועתונים                   "/>
    <m/>
    <m/>
    <n v="7000"/>
    <n v="7000"/>
    <n v="615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2"/>
    <n v="1"/>
    <s v="161312.464"/>
    <s v="דאר                             "/>
    <m/>
    <m/>
    <n v="2000"/>
    <n v="2000"/>
    <n v="3599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21"/>
    <s v="61312"/>
    <n v="1"/>
    <s v="161312.521"/>
    <s v="הדרכה וכנסים                    "/>
    <m/>
    <m/>
    <n v="60000"/>
    <n v="60000"/>
    <n v="159012"/>
    <m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2"/>
    <n v="1"/>
    <s v="161312.522"/>
    <s v="גיבוש יחידתי                    "/>
    <m/>
    <m/>
    <n v="3000"/>
    <n v="3000"/>
    <n v="1904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31"/>
    <s v="61312"/>
    <n v="1"/>
    <s v="161312.531"/>
    <s v="אחזקת רכב                       "/>
    <m/>
    <m/>
    <n v="8000"/>
    <n v="8000"/>
    <n v="4884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2"/>
    <n v="1"/>
    <s v="161312.533"/>
    <s v="שכירת רכב ורכב עירוני           "/>
    <m/>
    <m/>
    <n v="69000"/>
    <n v="69000"/>
    <n v="64263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2"/>
    <n v="1"/>
    <s v="161312.534"/>
    <s v="דלק ושמן                        "/>
    <m/>
    <m/>
    <n v="40000"/>
    <n v="54000"/>
    <n v="53651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2"/>
    <n v="1"/>
    <s v="161312.541"/>
    <s v="החזקת מכשירי קשר וסלולר         "/>
    <m/>
    <m/>
    <n v="16000"/>
    <n v="16000"/>
    <n v="13196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2"/>
    <n v="1"/>
    <s v="161312.610"/>
    <s v="כבודים                          "/>
    <m/>
    <m/>
    <n v="11000"/>
    <n v="10000"/>
    <n v="8299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2"/>
    <n v="1"/>
    <s v="161312.670"/>
    <s v="סעיף שאינו חוזר                 "/>
    <m/>
    <m/>
    <n v="0"/>
    <n v="6000"/>
    <n v="4242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91"/>
    <s v="61312"/>
    <n v="1"/>
    <s v="161312.691"/>
    <s v="מערכות מידע ומחשוב              "/>
    <m/>
    <m/>
    <n v="210000"/>
    <n v="1100000"/>
    <n v="1048238"/>
    <m/>
    <x v="5"/>
    <s v="הנהלה כללית"/>
    <x v="21"/>
    <s v="מינהל כללי"/>
    <x v="63"/>
    <s v="מזכירות"/>
    <s v="6131"/>
    <e v="#N/A"/>
    <m/>
    <s v="6"/>
    <x v="12"/>
    <s v="69"/>
    <s v="שונות"/>
    <s v="691"/>
    <s v="תשלום ע&quot;ח קרן"/>
  </r>
  <r>
    <n v="693"/>
    <s v="61312"/>
    <n v="1"/>
    <s v="161312.693"/>
    <s v="מיחשוב יחידתי                   "/>
    <m/>
    <m/>
    <n v="2000"/>
    <n v="1000"/>
    <n v="1954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1"/>
    <s v="61312"/>
    <n v="1"/>
    <s v="161312.751"/>
    <s v="יעוץ מקצועי - מטה חטיבה         "/>
    <m/>
    <m/>
    <n v="290000"/>
    <n v="340000"/>
    <n v="637603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52"/>
    <s v="61312"/>
    <n v="1"/>
    <s v="161312.752"/>
    <s v="מתודולוגיה לניהול פרוייקטים     "/>
    <m/>
    <m/>
    <n v="125000"/>
    <n v="175000"/>
    <n v="158195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2"/>
    <e v="#N/A"/>
  </r>
  <r>
    <n v="753"/>
    <s v="61312"/>
    <n v="1"/>
    <s v="161312.753"/>
    <s v="פרויקט חדשנות                   "/>
    <m/>
    <m/>
    <n v="160000"/>
    <n v="0"/>
    <n v="0"/>
    <m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3"/>
    <e v="#N/A"/>
  </r>
  <r>
    <n v="754"/>
    <s v="61312"/>
    <n v="1"/>
    <s v="161312.754"/>
    <s v="פעילות יחידת הנגישות            "/>
    <m/>
    <m/>
    <n v="100000"/>
    <n v="0"/>
    <n v="0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4"/>
    <e v="#N/A"/>
  </r>
  <r>
    <n v="782"/>
    <s v="61312"/>
    <n v="1"/>
    <s v="161312.782"/>
    <s v="הוצאות שונות                    "/>
    <m/>
    <m/>
    <n v="6000"/>
    <n v="6000"/>
    <n v="783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2"/>
    <e v="#N/A"/>
  </r>
  <r>
    <n v="790"/>
    <s v="61312"/>
    <n v="1"/>
    <s v="161312.790"/>
    <s v="עתודת הסמנכ ל                   "/>
    <m/>
    <m/>
    <n v="282000"/>
    <n v="280000"/>
    <n v="0"/>
    <e v="#N/A"/>
    <x v="5"/>
    <s v="הנהלה כללית"/>
    <x v="21"/>
    <s v="מינהל כללי"/>
    <x v="63"/>
    <s v="מזכירות"/>
    <s v="6131"/>
    <e v="#N/A"/>
    <m/>
    <s v="7"/>
    <x v="13"/>
    <s v="79"/>
    <s v="השתתפות בתקציבי עזר 092"/>
    <s v="790"/>
    <e v="#N/A"/>
  </r>
  <r>
    <n v="932"/>
    <s v="61312"/>
    <n v="1"/>
    <s v="161312.932"/>
    <s v="ציוד ורהוט משרדי                "/>
    <m/>
    <m/>
    <n v="1000"/>
    <n v="1000"/>
    <n v="1803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3"/>
    <n v="1"/>
    <s v="161313.110"/>
    <s v="משכורת כוללת                    "/>
    <m/>
    <m/>
    <n v="2513000"/>
    <n v="2351000"/>
    <n v="2245168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3"/>
    <n v="1"/>
    <s v="161313.124"/>
    <s v="החזר הוצאות                     "/>
    <m/>
    <m/>
    <n v="120000"/>
    <n v="115000"/>
    <n v="112897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3"/>
    <n v="1"/>
    <s v="161313.126"/>
    <s v="הבראה                           "/>
    <m/>
    <m/>
    <n v="86000"/>
    <n v="85000"/>
    <n v="78999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3"/>
    <n v="1"/>
    <s v="161313.127"/>
    <s v="השתתפות באחזקת רכב- 15          "/>
    <m/>
    <m/>
    <n v="475000"/>
    <n v="476000"/>
    <n v="422363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3"/>
    <n v="1"/>
    <s v="161313.130"/>
    <s v="תשלומים מיוחדים                 "/>
    <m/>
    <m/>
    <n v="300000"/>
    <n v="295000"/>
    <n v="269711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3"/>
    <n v="1"/>
    <s v="161313.181"/>
    <s v="מיסים וביטוח לאומי              "/>
    <m/>
    <m/>
    <n v="467000"/>
    <n v="445000"/>
    <n v="426265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3"/>
    <n v="1"/>
    <s v="161313.182"/>
    <s v="קופות גמל והשתלמות              "/>
    <m/>
    <m/>
    <n v="369000"/>
    <n v="365000"/>
    <n v="336654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3"/>
    <n v="1"/>
    <s v="161313.310"/>
    <s v="שעות נוספות רשומות              "/>
    <m/>
    <m/>
    <n v="80000"/>
    <n v="78000"/>
    <n v="76155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433"/>
    <s v="61313"/>
    <n v="1"/>
    <s v="161313.433"/>
    <s v="ביטוח                           "/>
    <m/>
    <m/>
    <n v="37000"/>
    <n v="35000"/>
    <n v="31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4"/>
    <s v="61313"/>
    <n v="1"/>
    <s v="161313.434"/>
    <s v="תקוני מבנים  מתקנים ואינונטר    "/>
    <m/>
    <m/>
    <n v="2000"/>
    <n v="2000"/>
    <n v="1032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9"/>
    <s v="61313"/>
    <n v="1"/>
    <s v="161313.439"/>
    <s v="אחזקת בניני העיריה-השתתפות      "/>
    <m/>
    <m/>
    <n v="234000"/>
    <n v="228000"/>
    <n v="367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3"/>
    <n v="1"/>
    <s v="161313.461"/>
    <s v="צורכי משרד                      "/>
    <m/>
    <m/>
    <n v="20000"/>
    <n v="20000"/>
    <n v="14653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3"/>
    <n v="1"/>
    <s v="161313.462"/>
    <s v="ספרים ועתונים                   "/>
    <m/>
    <m/>
    <n v="3000"/>
    <n v="3000"/>
    <n v="173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3"/>
    <n v="1"/>
    <s v="161313.464"/>
    <s v="דאר                             "/>
    <m/>
    <m/>
    <n v="1000"/>
    <n v="1000"/>
    <n v="144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10"/>
    <s v="61313"/>
    <n v="1"/>
    <s v="161313.510"/>
    <s v="נסיעות  ואש ל                   "/>
    <m/>
    <m/>
    <n v="1000"/>
    <n v="1000"/>
    <n v="1137"/>
    <e v="#N/A"/>
    <x v="5"/>
    <s v="הנהלה כללית"/>
    <x v="21"/>
    <s v="מינהל כללי"/>
    <x v="63"/>
    <s v="מזכירות"/>
    <s v="6131"/>
    <e v="#N/A"/>
    <m/>
    <s v="5"/>
    <x v="11"/>
    <s v="51"/>
    <s v="אש&quot;ל וכיבודים"/>
    <s v="510"/>
    <e v="#N/A"/>
  </r>
  <r>
    <n v="521"/>
    <s v="61313"/>
    <n v="1"/>
    <s v="161313.521"/>
    <s v="הדרכה וכנסים                    "/>
    <m/>
    <m/>
    <n v="104000"/>
    <n v="104000"/>
    <n v="176661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3"/>
    <n v="1"/>
    <s v="161313.522"/>
    <s v="גיבוש יחידתי                    "/>
    <m/>
    <m/>
    <n v="3000"/>
    <n v="3000"/>
    <n v="240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31"/>
    <s v="61313"/>
    <n v="1"/>
    <s v="161313.531"/>
    <s v="אחזקת רכב                       "/>
    <m/>
    <m/>
    <n v="4000"/>
    <n v="4000"/>
    <n v="889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3"/>
    <n v="1"/>
    <s v="161313.533"/>
    <s v="שכירת רכב                       "/>
    <m/>
    <m/>
    <n v="56000"/>
    <n v="56000"/>
    <n v="50272"/>
    <m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3"/>
    <n v="1"/>
    <s v="161313.534"/>
    <s v="דלק ושמן                        "/>
    <m/>
    <m/>
    <n v="21000"/>
    <n v="25000"/>
    <n v="20821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3"/>
    <n v="1"/>
    <s v="161313.541"/>
    <s v="החזקת מכשירי קשר וסלולר         "/>
    <m/>
    <m/>
    <n v="8000"/>
    <n v="8000"/>
    <n v="6247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3"/>
    <n v="1"/>
    <s v="161313.610"/>
    <s v="כבודים                          "/>
    <m/>
    <m/>
    <n v="15000"/>
    <n v="15000"/>
    <n v="14451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3"/>
    <n v="1"/>
    <s v="161313.670"/>
    <s v="סעיף שאינו חוזר                 "/>
    <m/>
    <m/>
    <n v="0"/>
    <n v="4000"/>
    <n v="6456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751"/>
    <s v="61313"/>
    <n v="1"/>
    <s v="161313.751"/>
    <s v="יעוץ חיצוני                     "/>
    <m/>
    <m/>
    <n v="30000"/>
    <n v="30000"/>
    <n v="29766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82"/>
    <s v="61313"/>
    <n v="1"/>
    <s v="161313.782"/>
    <s v="הוצאות שונות                    "/>
    <m/>
    <m/>
    <n v="15000"/>
    <n v="15000"/>
    <n v="10357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2"/>
    <e v="#N/A"/>
  </r>
  <r>
    <n v="783"/>
    <s v="61313"/>
    <n v="1"/>
    <s v="161313.783"/>
    <s v="פעילות בנושא בטיחות             "/>
    <m/>
    <m/>
    <n v="170000"/>
    <n v="170000"/>
    <n v="91449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3"/>
    <e v="#N/A"/>
  </r>
  <r>
    <n v="785"/>
    <s v="61313"/>
    <n v="1"/>
    <s v="161313.785"/>
    <s v="ניהול שינוי                     "/>
    <m/>
    <m/>
    <n v="580000"/>
    <n v="580000"/>
    <n v="590904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5"/>
    <e v="#N/A"/>
  </r>
  <r>
    <n v="790"/>
    <s v="61313"/>
    <n v="1"/>
    <s v="161313.790"/>
    <s v="עתודת סמנכ ל                    "/>
    <m/>
    <m/>
    <n v="235000"/>
    <n v="235000"/>
    <n v="0"/>
    <m/>
    <x v="5"/>
    <s v="הנהלה כללית"/>
    <x v="21"/>
    <s v="מינהל כללי"/>
    <x v="63"/>
    <s v="מזכירות"/>
    <s v="6131"/>
    <e v="#N/A"/>
    <m/>
    <s v="7"/>
    <x v="13"/>
    <s v="79"/>
    <s v="השתתפות בתקציבי עזר 092"/>
    <s v="790"/>
    <e v="#N/A"/>
  </r>
  <r>
    <n v="831"/>
    <s v="61313"/>
    <n v="1"/>
    <s v="161313.831"/>
    <s v="השתתפות לבית הדין הארצי למשמעת  "/>
    <m/>
    <m/>
    <n v="143000"/>
    <n v="143000"/>
    <n v="135198"/>
    <e v="#N/A"/>
    <x v="5"/>
    <s v="הנהלה כללית"/>
    <x v="21"/>
    <s v="מינהל כללי"/>
    <x v="63"/>
    <s v="מזכירות"/>
    <s v="6131"/>
    <e v="#N/A"/>
    <m/>
    <s v="8"/>
    <x v="16"/>
    <s v="83"/>
    <e v="#N/A"/>
    <s v="831"/>
    <e v="#N/A"/>
  </r>
  <r>
    <n v="932"/>
    <s v="61313"/>
    <n v="1"/>
    <s v="161313.932"/>
    <s v="ציוד ורהוט משרדי                "/>
    <m/>
    <m/>
    <n v="8000"/>
    <n v="8000"/>
    <n v="8068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4"/>
    <n v="1"/>
    <s v="161314.110"/>
    <s v="משכורת כוללת                    "/>
    <m/>
    <m/>
    <n v="1857000"/>
    <n v="2133000"/>
    <n v="1793816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4"/>
    <n v="1"/>
    <s v="161314.124"/>
    <s v="החזר הוצאות                     "/>
    <m/>
    <m/>
    <n v="69000"/>
    <n v="76000"/>
    <n v="64256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4"/>
    <n v="1"/>
    <s v="161314.126"/>
    <s v="הבראה                           "/>
    <m/>
    <m/>
    <n v="61000"/>
    <n v="67000"/>
    <n v="55261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4"/>
    <n v="1"/>
    <s v="161314.127"/>
    <s v="השתתפות באחזקת רכב - 9          "/>
    <m/>
    <m/>
    <n v="266000"/>
    <n v="309000"/>
    <n v="244372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4"/>
    <n v="1"/>
    <s v="161314.130"/>
    <s v="תשלומים מיוחדים                 "/>
    <m/>
    <m/>
    <n v="179000"/>
    <n v="198000"/>
    <n v="163614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4"/>
    <n v="1"/>
    <s v="161314.181"/>
    <s v="מיסים וביטוח לאומי              "/>
    <m/>
    <m/>
    <n v="335000"/>
    <n v="379000"/>
    <n v="322307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4"/>
    <n v="1"/>
    <s v="161314.182"/>
    <s v="קופות גמל והשתלמות              "/>
    <m/>
    <m/>
    <n v="379000"/>
    <n v="300000"/>
    <n v="238547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4"/>
    <n v="1"/>
    <s v="161314.310"/>
    <s v="שעות נוספות רשומות              "/>
    <m/>
    <m/>
    <n v="124000"/>
    <n v="118000"/>
    <n v="27750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433"/>
    <s v="61314"/>
    <n v="1"/>
    <s v="161314.433"/>
    <s v="ביטוח                           "/>
    <m/>
    <m/>
    <n v="32000"/>
    <n v="26000"/>
    <n v="23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4"/>
    <s v="61314"/>
    <n v="1"/>
    <s v="161314.434"/>
    <s v="תקוני מבנים  מתקנים ואינונטר    "/>
    <m/>
    <m/>
    <n v="6000"/>
    <n v="6000"/>
    <n v="64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9"/>
    <s v="61314"/>
    <n v="1"/>
    <s v="161314.439"/>
    <s v="אחזקת בניני העיריה-השתתפות      "/>
    <m/>
    <m/>
    <n v="183000"/>
    <n v="166000"/>
    <n v="15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4"/>
    <n v="1"/>
    <s v="161314.461"/>
    <s v="צורכי משרד                      "/>
    <m/>
    <m/>
    <n v="17000"/>
    <n v="20000"/>
    <n v="18789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4"/>
    <n v="1"/>
    <s v="161314.462"/>
    <s v="ספרים ועתונים                   "/>
    <m/>
    <m/>
    <n v="7000"/>
    <n v="7000"/>
    <n v="429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4"/>
    <n v="1"/>
    <s v="161314.464"/>
    <s v="דאר                             "/>
    <m/>
    <m/>
    <n v="16000"/>
    <n v="16000"/>
    <n v="7246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21"/>
    <s v="61314"/>
    <n v="1"/>
    <s v="161314.521"/>
    <s v="הדרכה וכנסים                    "/>
    <m/>
    <m/>
    <n v="265000"/>
    <n v="265000"/>
    <n v="141142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4"/>
    <n v="1"/>
    <s v="161314.522"/>
    <s v="גיבוש יחידתי                    "/>
    <m/>
    <m/>
    <n v="2000"/>
    <n v="2000"/>
    <n v="5999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23"/>
    <s v="61314"/>
    <n v="1"/>
    <s v="161314.523"/>
    <s v="מטה בטיחות -הדרכה               "/>
    <m/>
    <m/>
    <n v="100000"/>
    <n v="40000"/>
    <n v="3100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3"/>
    <s v="דמי חבר באירגונים"/>
  </r>
  <r>
    <n v="531"/>
    <s v="61314"/>
    <n v="1"/>
    <s v="161314.531"/>
    <s v="אחזקת רכב                       "/>
    <m/>
    <m/>
    <n v="6000"/>
    <n v="6000"/>
    <n v="3039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4"/>
    <n v="1"/>
    <s v="161314.533"/>
    <s v="שכירת רכב                       "/>
    <m/>
    <m/>
    <n v="52000"/>
    <n v="52000"/>
    <n v="53884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4"/>
    <n v="1"/>
    <s v="161314.534"/>
    <s v="דלק ושמן                        "/>
    <m/>
    <m/>
    <n v="18000"/>
    <n v="18000"/>
    <n v="24477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4"/>
    <n v="1"/>
    <s v="161314.541"/>
    <s v="החזקת מכשירי קשר וסלולר         "/>
    <m/>
    <m/>
    <n v="23000"/>
    <n v="14000"/>
    <n v="15554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4"/>
    <n v="1"/>
    <s v="161314.610"/>
    <s v="כבודים                          "/>
    <m/>
    <m/>
    <n v="15000"/>
    <n v="12000"/>
    <n v="12006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4"/>
    <n v="1"/>
    <s v="161314.670"/>
    <s v="סעיף שאינו חוזר                 "/>
    <m/>
    <m/>
    <n v="0"/>
    <n v="6000"/>
    <n v="57740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93"/>
    <s v="61314"/>
    <n v="1"/>
    <s v="161314.693"/>
    <s v="מיחשוב יחידתי                   "/>
    <m/>
    <m/>
    <n v="55000"/>
    <n v="55000"/>
    <n v="37824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1"/>
    <s v="61314"/>
    <n v="1"/>
    <s v="161314.751"/>
    <s v="ייעוץ מקצועי                    "/>
    <m/>
    <m/>
    <n v="24000"/>
    <n v="24000"/>
    <n v="43024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57"/>
    <s v="61314"/>
    <n v="1"/>
    <s v="161314.757"/>
    <s v="אמנת שירות העסקת שוטרים         "/>
    <m/>
    <m/>
    <n v="660000"/>
    <n v="660000"/>
    <n v="660000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7"/>
    <e v="#N/A"/>
  </r>
  <r>
    <n v="758"/>
    <s v="61314"/>
    <n v="1"/>
    <s v="161314.758"/>
    <s v="הוצאות שיטור מרחב יפתח          "/>
    <m/>
    <m/>
    <n v="110000"/>
    <n v="0"/>
    <n v="0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8"/>
    <e v="#N/A"/>
  </r>
  <r>
    <n v="781"/>
    <s v="61314"/>
    <n v="1"/>
    <s v="161314.781"/>
    <s v="הוצאות שונות                    "/>
    <m/>
    <m/>
    <n v="20000"/>
    <n v="20000"/>
    <n v="18715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782"/>
    <s v="61314"/>
    <n v="1"/>
    <s v="161314.782"/>
    <s v="שיתוף הציבור                    "/>
    <m/>
    <m/>
    <n v="270000"/>
    <n v="270000"/>
    <n v="621082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2"/>
    <e v="#N/A"/>
  </r>
  <r>
    <n v="785"/>
    <s v="61314"/>
    <n v="1"/>
    <s v="161314.785"/>
    <s v="שיווק והפצת מידע                "/>
    <m/>
    <m/>
    <n v="20000"/>
    <n v="20000"/>
    <n v="6499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5"/>
    <e v="#N/A"/>
  </r>
  <r>
    <n v="786"/>
    <s v="61314"/>
    <n v="1"/>
    <s v="161314.786"/>
    <s v="פרס  צוות חסכני מצטיין          "/>
    <m/>
    <m/>
    <n v="10000"/>
    <n v="10000"/>
    <n v="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6"/>
    <e v="#N/A"/>
  </r>
  <r>
    <n v="790"/>
    <s v="61314"/>
    <n v="1"/>
    <s v="161314.790"/>
    <s v="עתודת חטיבת התפעול              "/>
    <m/>
    <m/>
    <n v="1330000"/>
    <n v="1330000"/>
    <n v="0"/>
    <e v="#N/A"/>
    <x v="5"/>
    <s v="הנהלה כללית"/>
    <x v="21"/>
    <s v="מינהל כללי"/>
    <x v="63"/>
    <s v="מזכירות"/>
    <s v="6131"/>
    <e v="#N/A"/>
    <m/>
    <s v="7"/>
    <x v="13"/>
    <s v="79"/>
    <s v="השתתפות בתקציבי עזר 092"/>
    <s v="790"/>
    <e v="#N/A"/>
  </r>
  <r>
    <n v="861"/>
    <s v="61314"/>
    <n v="1"/>
    <s v="161314.861"/>
    <s v="פרוייקט מציל ה- יובל חינוך      "/>
    <m/>
    <m/>
    <n v="340000"/>
    <n v="340000"/>
    <n v="340000"/>
    <e v="#N/A"/>
    <x v="5"/>
    <s v="הנהלה כללית"/>
    <x v="21"/>
    <s v="מינהל כללי"/>
    <x v="63"/>
    <s v="מזכירות"/>
    <s v="6131"/>
    <e v="#N/A"/>
    <m/>
    <s v="8"/>
    <x v="16"/>
    <s v="86"/>
    <s v="הנחות"/>
    <s v="861"/>
    <e v="#N/A"/>
  </r>
  <r>
    <n v="932"/>
    <s v="61314"/>
    <n v="1"/>
    <s v="161314.932"/>
    <s v="ציוד ורהוט משרדי                "/>
    <m/>
    <m/>
    <n v="9000"/>
    <n v="5000"/>
    <n v="32922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6"/>
    <n v="1"/>
    <s v="161316.110"/>
    <s v="משכורת כוללת                    "/>
    <m/>
    <m/>
    <n v="2120000"/>
    <n v="2018000"/>
    <n v="1940337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6"/>
    <n v="1"/>
    <s v="161316.124"/>
    <s v="החזר הוצאות                     "/>
    <m/>
    <m/>
    <n v="128000"/>
    <n v="132000"/>
    <n v="118757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6"/>
    <n v="1"/>
    <s v="161316.126"/>
    <s v="הבראה                           "/>
    <m/>
    <m/>
    <n v="92000"/>
    <n v="91000"/>
    <n v="84023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6"/>
    <n v="1"/>
    <s v="161316.127"/>
    <s v="השתתפות באחזקת רכב - 15         "/>
    <m/>
    <m/>
    <n v="401000"/>
    <n v="406000"/>
    <n v="385068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6"/>
    <n v="1"/>
    <s v="161316.130"/>
    <s v="תשלומים מיוחדים                 "/>
    <m/>
    <m/>
    <n v="337000"/>
    <n v="326000"/>
    <n v="314733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6"/>
    <n v="1"/>
    <s v="161316.181"/>
    <s v="מיסים וביטוח לאומי              "/>
    <m/>
    <m/>
    <n v="413000"/>
    <n v="398000"/>
    <n v="379063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6"/>
    <n v="1"/>
    <s v="161316.182"/>
    <s v="קופות גמל והשתלמות              "/>
    <m/>
    <m/>
    <n v="367000"/>
    <n v="396000"/>
    <n v="353021"/>
    <m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6"/>
    <n v="1"/>
    <s v="161316.310"/>
    <s v="שעות נוספות רשומות              "/>
    <m/>
    <m/>
    <n v="74000"/>
    <n v="73000"/>
    <n v="42982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340"/>
    <s v="61316"/>
    <n v="1"/>
    <s v="161316.340"/>
    <s v="שעות נוספות מיוחדות             "/>
    <m/>
    <m/>
    <n v="18000"/>
    <n v="0"/>
    <n v="0"/>
    <e v="#N/A"/>
    <x v="5"/>
    <s v="הנהלה כללית"/>
    <x v="21"/>
    <s v="מינהל כללי"/>
    <x v="63"/>
    <s v="מזכירות"/>
    <s v="6131"/>
    <e v="#N/A"/>
    <m/>
    <s v="3"/>
    <x v="14"/>
    <s v="34"/>
    <e v="#N/A"/>
    <s v="340"/>
    <e v="#N/A"/>
  </r>
  <r>
    <n v="433"/>
    <s v="61316"/>
    <n v="1"/>
    <s v="161316.433"/>
    <s v="ביטוח                           "/>
    <m/>
    <m/>
    <n v="44000"/>
    <n v="44000"/>
    <n v="4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4"/>
    <s v="61316"/>
    <n v="1"/>
    <s v="161316.434"/>
    <s v="תקוני מבנים  מתקנים ואינונטר    "/>
    <m/>
    <m/>
    <n v="2000"/>
    <n v="2000"/>
    <n v="61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9"/>
    <s v="61316"/>
    <n v="1"/>
    <s v="161316.439"/>
    <s v="אחזקת בניני העיריה-השתתפות      "/>
    <m/>
    <m/>
    <n v="227000"/>
    <n v="220000"/>
    <n v="22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6"/>
    <n v="1"/>
    <s v="161316.461"/>
    <s v="צורכי משרד                      "/>
    <m/>
    <m/>
    <n v="13000"/>
    <n v="15000"/>
    <n v="13690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6"/>
    <n v="1"/>
    <s v="161316.462"/>
    <s v="ספרים ועתונים                   "/>
    <m/>
    <m/>
    <n v="4000"/>
    <n v="4000"/>
    <n v="3894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6"/>
    <n v="1"/>
    <s v="161316.464"/>
    <s v="דאר                             "/>
    <m/>
    <m/>
    <n v="4000"/>
    <n v="9000"/>
    <n v="2399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10"/>
    <s v="61316"/>
    <n v="1"/>
    <s v="161316.510"/>
    <s v="נסיעות  ואש ל                   "/>
    <m/>
    <m/>
    <n v="3000"/>
    <n v="3000"/>
    <n v="2135"/>
    <e v="#N/A"/>
    <x v="5"/>
    <s v="הנהלה כללית"/>
    <x v="21"/>
    <s v="מינהל כללי"/>
    <x v="63"/>
    <s v="מזכירות"/>
    <s v="6131"/>
    <e v="#N/A"/>
    <m/>
    <s v="5"/>
    <x v="11"/>
    <s v="51"/>
    <s v="אש&quot;ל וכיבודים"/>
    <s v="510"/>
    <e v="#N/A"/>
  </r>
  <r>
    <n v="521"/>
    <s v="61316"/>
    <n v="1"/>
    <s v="161316.521"/>
    <s v="הדרכה וכנסים                    "/>
    <m/>
    <m/>
    <n v="37000"/>
    <n v="37000"/>
    <n v="6547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6"/>
    <n v="1"/>
    <s v="161316.522"/>
    <s v="גיבוש יחידתי                    "/>
    <m/>
    <m/>
    <n v="3000"/>
    <n v="3000"/>
    <n v="300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31"/>
    <s v="61316"/>
    <n v="1"/>
    <s v="161316.531"/>
    <s v="אחזקת רכב                       "/>
    <m/>
    <m/>
    <n v="3000"/>
    <n v="3000"/>
    <n v="579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6"/>
    <n v="1"/>
    <s v="161316.533"/>
    <s v="שכירת רכב ורכב עירוני           "/>
    <m/>
    <m/>
    <n v="39000"/>
    <n v="39000"/>
    <n v="36031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6"/>
    <n v="1"/>
    <s v="161316.534"/>
    <s v="דלק ושמן                        "/>
    <m/>
    <m/>
    <n v="20000"/>
    <n v="24000"/>
    <n v="18485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6"/>
    <n v="1"/>
    <s v="161316.541"/>
    <s v="החזקת מכשירי קשר וסלולר         "/>
    <m/>
    <m/>
    <n v="7000"/>
    <n v="6000"/>
    <n v="7831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6"/>
    <n v="1"/>
    <s v="161316.610"/>
    <s v="כבודים                          "/>
    <m/>
    <m/>
    <n v="14000"/>
    <n v="14000"/>
    <n v="12712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6"/>
    <n v="1"/>
    <s v="161316.670"/>
    <s v="סעיף שאינו חוזר                 "/>
    <m/>
    <m/>
    <n v="0"/>
    <n v="6000"/>
    <n v="4166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91"/>
    <s v="61316"/>
    <n v="1"/>
    <s v="161316.691"/>
    <s v="מערכות מידע ומחשוב              "/>
    <m/>
    <m/>
    <n v="790000"/>
    <n v="400000"/>
    <n v="391744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1"/>
    <s v="תשלום ע&quot;ח קרן"/>
  </r>
  <r>
    <n v="693"/>
    <s v="61316"/>
    <n v="1"/>
    <s v="161316.693"/>
    <s v="מיחשוב יחידתי                   "/>
    <m/>
    <m/>
    <n v="20000"/>
    <n v="20000"/>
    <n v="20316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1"/>
    <s v="61316"/>
    <n v="1"/>
    <s v="161316.751"/>
    <s v="העסקת גורמי חוץ                 "/>
    <m/>
    <m/>
    <n v="280000"/>
    <n v="290000"/>
    <n v="248756"/>
    <m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81"/>
    <s v="61316"/>
    <n v="1"/>
    <s v="161316.781"/>
    <s v="פעולות לשיפור השירות            "/>
    <m/>
    <m/>
    <n v="2095000"/>
    <n v="2086000"/>
    <n v="2031754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782"/>
    <s v="61316"/>
    <n v="1"/>
    <s v="161316.782"/>
    <s v="פעילויות צוות למוקדי שירות      "/>
    <m/>
    <m/>
    <n v="25000"/>
    <n v="0"/>
    <n v="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2"/>
    <e v="#N/A"/>
  </r>
  <r>
    <n v="783"/>
    <s v="61316"/>
    <n v="1"/>
    <s v="161316.783"/>
    <s v="הוצאות שונות                    "/>
    <m/>
    <m/>
    <n v="5000"/>
    <n v="5000"/>
    <n v="4771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3"/>
    <e v="#N/A"/>
  </r>
  <r>
    <n v="784"/>
    <s v="61316"/>
    <n v="1"/>
    <s v="161316.784"/>
    <s v="דו ח ממונה תלונות הציבור למועצה "/>
    <m/>
    <m/>
    <n v="5000"/>
    <n v="10000"/>
    <n v="5398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4"/>
    <e v="#N/A"/>
  </r>
  <r>
    <n v="785"/>
    <s v="61316"/>
    <n v="1"/>
    <s v="161316.785"/>
    <s v="פיתוח ניהול השירות              "/>
    <m/>
    <m/>
    <n v="150000"/>
    <n v="150000"/>
    <n v="149696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5"/>
    <e v="#N/A"/>
  </r>
  <r>
    <n v="788"/>
    <s v="61316"/>
    <n v="1"/>
    <s v="161316.788"/>
    <s v="תגמול עובדים מצטיינים בשירות    "/>
    <m/>
    <m/>
    <n v="50000"/>
    <n v="50000"/>
    <n v="48474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8"/>
    <e v="#N/A"/>
  </r>
  <r>
    <n v="932"/>
    <s v="61316"/>
    <n v="1"/>
    <s v="161316.932"/>
    <s v="ציוד ורהוט משרדי                "/>
    <m/>
    <m/>
    <n v="10000"/>
    <n v="10000"/>
    <n v="3964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981"/>
    <s v="61316"/>
    <n v="1"/>
    <s v="161316.981"/>
    <s v="רכישות שונות                    "/>
    <m/>
    <m/>
    <n v="40000"/>
    <n v="40000"/>
    <n v="44994"/>
    <e v="#N/A"/>
    <x v="5"/>
    <s v="הנהלה כללית"/>
    <x v="21"/>
    <s v="מינהל כללי"/>
    <x v="63"/>
    <s v="מזכירות"/>
    <s v="6131"/>
    <e v="#N/A"/>
    <m/>
    <s v="9"/>
    <x v="17"/>
    <s v="98"/>
    <s v="הוצאות אחרות"/>
    <s v="981"/>
    <e v="#N/A"/>
  </r>
  <r>
    <n v="110"/>
    <s v="61317"/>
    <n v="1"/>
    <s v="161317.110"/>
    <s v="משכורת כוללת                    "/>
    <m/>
    <m/>
    <n v="287000"/>
    <n v="304000"/>
    <n v="277731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7"/>
    <n v="1"/>
    <s v="161317.124"/>
    <s v="החזר הוצאות                     "/>
    <m/>
    <m/>
    <n v="12000"/>
    <n v="12000"/>
    <n v="11685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7"/>
    <n v="1"/>
    <s v="161317.126"/>
    <s v="הבראה                           "/>
    <m/>
    <m/>
    <n v="10000"/>
    <n v="11000"/>
    <n v="11102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7"/>
    <n v="1"/>
    <s v="161317.127"/>
    <s v="השתתפות באחזקת רכב- 2           "/>
    <m/>
    <m/>
    <n v="73000"/>
    <n v="61000"/>
    <n v="57636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7"/>
    <n v="1"/>
    <s v="161317.130"/>
    <s v="תשלומים מיוחדים                 "/>
    <m/>
    <m/>
    <n v="26000"/>
    <n v="32000"/>
    <n v="27355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7"/>
    <n v="1"/>
    <s v="161317.181"/>
    <s v="מיסים וביטוח לאומי              "/>
    <m/>
    <m/>
    <n v="53000"/>
    <n v="55000"/>
    <n v="48469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7"/>
    <n v="1"/>
    <s v="161317.182"/>
    <s v="קופות גמל והשתלמות              "/>
    <m/>
    <m/>
    <n v="59000"/>
    <n v="65000"/>
    <n v="58797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434"/>
    <s v="61317"/>
    <n v="1"/>
    <s v="161317.434"/>
    <s v="תקוני מבנים  מתקנים ואינונטר    "/>
    <m/>
    <m/>
    <n v="3000"/>
    <n v="2000"/>
    <n v="298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9"/>
    <s v="61317"/>
    <n v="1"/>
    <s v="161317.439"/>
    <s v="אחזקת בנייני העיריה - השתתפות   "/>
    <m/>
    <m/>
    <n v="45000"/>
    <n v="0"/>
    <n v="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7"/>
    <n v="1"/>
    <s v="161317.461"/>
    <s v="צורכי משרד                      "/>
    <m/>
    <m/>
    <n v="8000"/>
    <n v="10000"/>
    <n v="2804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7"/>
    <n v="1"/>
    <s v="161317.462"/>
    <s v="ספרים ועתונים                   "/>
    <m/>
    <m/>
    <n v="2000"/>
    <n v="2000"/>
    <n v="925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7"/>
    <n v="1"/>
    <s v="161317.464"/>
    <s v="דאר                             "/>
    <m/>
    <m/>
    <n v="2000"/>
    <n v="2000"/>
    <n v="1362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10"/>
    <s v="61317"/>
    <n v="1"/>
    <s v="161317.510"/>
    <s v="נסיעות ואשל                     "/>
    <m/>
    <m/>
    <n v="3000"/>
    <n v="3000"/>
    <n v="0"/>
    <e v="#N/A"/>
    <x v="5"/>
    <s v="הנהלה כללית"/>
    <x v="21"/>
    <s v="מינהל כללי"/>
    <x v="63"/>
    <s v="מזכירות"/>
    <s v="6131"/>
    <e v="#N/A"/>
    <m/>
    <s v="5"/>
    <x v="11"/>
    <s v="51"/>
    <s v="אש&quot;ל וכיבודים"/>
    <s v="510"/>
    <e v="#N/A"/>
  </r>
  <r>
    <n v="521"/>
    <s v="61317"/>
    <n v="1"/>
    <s v="161317.521"/>
    <s v="הדרכה וכנסים                    "/>
    <m/>
    <m/>
    <n v="2000"/>
    <n v="2000"/>
    <n v="1746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7"/>
    <n v="1"/>
    <s v="161317.522"/>
    <s v="גיבוש יחידתי                    "/>
    <m/>
    <m/>
    <n v="1000"/>
    <n v="1000"/>
    <n v="576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41"/>
    <s v="61317"/>
    <n v="1"/>
    <s v="161317.541"/>
    <s v="החזקת מכשירי קשר וסלולר         "/>
    <m/>
    <m/>
    <n v="2000"/>
    <n v="2000"/>
    <n v="801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7"/>
    <n v="1"/>
    <s v="161317.610"/>
    <s v="כיבודים                         "/>
    <m/>
    <m/>
    <n v="5000"/>
    <n v="5000"/>
    <n v="2397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7"/>
    <n v="1"/>
    <s v="161317.670"/>
    <s v="סעיף שאינו חוזר                 "/>
    <m/>
    <m/>
    <n v="0"/>
    <n v="1000"/>
    <n v="35705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80"/>
    <s v="61317"/>
    <n v="1"/>
    <s v="161317.680"/>
    <s v="הוצאות מיוחדות                  "/>
    <m/>
    <m/>
    <n v="1000"/>
    <n v="1000"/>
    <n v="200"/>
    <e v="#N/A"/>
    <x v="5"/>
    <s v="הנהלה כללית"/>
    <x v="21"/>
    <s v="מינהל כללי"/>
    <x v="63"/>
    <s v="מזכירות"/>
    <s v="6131"/>
    <e v="#N/A"/>
    <m/>
    <s v="6"/>
    <x v="12"/>
    <s v="68"/>
    <s v="ריבית על הוצאות אחרות"/>
    <s v="680"/>
    <e v="#N/A"/>
  </r>
  <r>
    <n v="691"/>
    <s v="61317"/>
    <n v="1"/>
    <s v="161317.691"/>
    <s v="מערכות מידע ומחשוב              "/>
    <m/>
    <m/>
    <n v="20000"/>
    <n v="20000"/>
    <n v="18777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1"/>
    <s v="תשלום ע&quot;ח קרן"/>
  </r>
  <r>
    <n v="693"/>
    <s v="61317"/>
    <n v="1"/>
    <s v="161317.693"/>
    <s v="מיחשוב יחידתי                   "/>
    <m/>
    <m/>
    <n v="5000"/>
    <n v="5000"/>
    <n v="1632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1"/>
    <s v="61317"/>
    <n v="1"/>
    <s v="161317.751"/>
    <s v="ייעוץ-העסקת גו ח                "/>
    <m/>
    <m/>
    <n v="415000"/>
    <n v="405000"/>
    <n v="410688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53"/>
    <s v="61317"/>
    <n v="1"/>
    <s v="161317.753"/>
    <s v="עבודות ע י גו ח - שליחויות      "/>
    <m/>
    <m/>
    <n v="10000"/>
    <n v="13000"/>
    <n v="4508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3"/>
    <e v="#N/A"/>
  </r>
  <r>
    <n v="781"/>
    <s v="61317"/>
    <n v="1"/>
    <s v="161317.781"/>
    <s v="ביטוח הרכוש והתכולה             "/>
    <m/>
    <m/>
    <n v="3250000"/>
    <n v="3300000"/>
    <n v="3117241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782"/>
    <s v="61317"/>
    <n v="1"/>
    <s v="161317.782"/>
    <s v="חבות מעבידים                    "/>
    <m/>
    <m/>
    <n v="730000"/>
    <n v="700000"/>
    <n v="612675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2"/>
    <e v="#N/A"/>
  </r>
  <r>
    <n v="783"/>
    <s v="61317"/>
    <n v="1"/>
    <s v="161317.783"/>
    <s v="אחריות מקצועית                  "/>
    <m/>
    <m/>
    <n v="950000"/>
    <n v="950000"/>
    <n v="927207"/>
    <m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3"/>
    <e v="#N/A"/>
  </r>
  <r>
    <n v="784"/>
    <s v="61317"/>
    <n v="1"/>
    <s v="161317.784"/>
    <s v="ביטוח צד ג'                     "/>
    <m/>
    <m/>
    <n v="3000000"/>
    <n v="3000000"/>
    <n v="300000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4"/>
    <e v="#N/A"/>
  </r>
  <r>
    <n v="785"/>
    <s v="61317"/>
    <n v="1"/>
    <s v="161317.785"/>
    <s v="ביטוח רכב עירוני וציוד כבד)חובה("/>
    <m/>
    <m/>
    <n v="4000000"/>
    <n v="3800000"/>
    <n v="3688288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5"/>
    <e v="#N/A"/>
  </r>
  <r>
    <n v="786"/>
    <s v="61317"/>
    <n v="1"/>
    <s v="161317.786"/>
    <s v="ביטוח רכב עירוני מקיף וצד ג'    "/>
    <m/>
    <m/>
    <n v="1450000"/>
    <n v="1150000"/>
    <n v="1069387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6"/>
    <e v="#N/A"/>
  </r>
  <r>
    <n v="787"/>
    <s v="61317"/>
    <n v="1"/>
    <s v="161317.787"/>
    <s v="השתתפות עצמית בניזקי רכב        "/>
    <m/>
    <m/>
    <n v="600000"/>
    <n v="600000"/>
    <n v="57680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7"/>
    <e v="#N/A"/>
  </r>
  <r>
    <n v="788"/>
    <s v="61317"/>
    <n v="1"/>
    <s v="161317.788"/>
    <s v="השתתפות עצמית-נזקי צד ג' ואישי  "/>
    <m/>
    <m/>
    <n v="2000000"/>
    <n v="2000000"/>
    <n v="1493634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8"/>
    <e v="#N/A"/>
  </r>
  <r>
    <n v="789"/>
    <s v="61317"/>
    <n v="1"/>
    <s v="161317.789"/>
    <s v="הפרשה לקרן ביטוח                "/>
    <m/>
    <m/>
    <n v="16860000"/>
    <n v="15750000"/>
    <n v="1346000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9"/>
    <e v="#N/A"/>
  </r>
  <r>
    <n v="799"/>
    <s v="61317"/>
    <n v="1"/>
    <s v="161317.799"/>
    <s v="השתתפות המחלקות בהוצאות בטוח    "/>
    <m/>
    <m/>
    <n v="-32740000"/>
    <n v="-31150000"/>
    <n v="-27825232"/>
    <e v="#N/A"/>
    <x v="5"/>
    <s v="הנהלה כללית"/>
    <x v="21"/>
    <s v="מינהל כללי"/>
    <x v="63"/>
    <s v="מזכירות"/>
    <s v="6131"/>
    <e v="#N/A"/>
    <m/>
    <s v="7"/>
    <x v="13"/>
    <s v="79"/>
    <s v="השתתפות בתקציבי עזר 092"/>
    <s v="799"/>
    <e v="#N/A"/>
  </r>
  <r>
    <n v="799"/>
    <s v="61317"/>
    <n v="1"/>
    <s v="161317.799"/>
    <s v="החזר מתאגיד המים                "/>
    <m/>
    <m/>
    <n v="-100000"/>
    <n v="-100000"/>
    <n v="-120000"/>
    <m/>
    <x v="5"/>
    <s v="הנהלה כללית"/>
    <x v="21"/>
    <s v="מינהל כללי"/>
    <x v="63"/>
    <s v="מזכירות"/>
    <s v="6131"/>
    <e v="#N/A"/>
    <m/>
    <s v="7"/>
    <x v="13"/>
    <s v="79"/>
    <s v="השתתפות בתקציבי עזר 092"/>
    <s v="799"/>
    <e v="#N/A"/>
  </r>
  <r>
    <n v="932"/>
    <s v="61317"/>
    <n v="1"/>
    <s v="161317.932"/>
    <s v="ציוד ורהוט משרדי                "/>
    <m/>
    <m/>
    <n v="6000"/>
    <n v="6000"/>
    <n v="619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8"/>
    <n v="1"/>
    <s v="161318.110"/>
    <s v="משכורת כוללת                    "/>
    <m/>
    <m/>
    <n v="1796000"/>
    <n v="1906000"/>
    <n v="1785788"/>
    <m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8"/>
    <n v="1"/>
    <s v="161318.124"/>
    <s v="החזר הוצאות                     "/>
    <m/>
    <m/>
    <n v="164000"/>
    <n v="172000"/>
    <n v="165319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8"/>
    <n v="1"/>
    <s v="161318.126"/>
    <s v="הבראה                           "/>
    <m/>
    <m/>
    <n v="139000"/>
    <n v="151000"/>
    <n v="148730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8"/>
    <n v="1"/>
    <s v="161318.127"/>
    <s v="השתתפות באחזקת רכב - 16         "/>
    <m/>
    <m/>
    <n v="319000"/>
    <n v="348000"/>
    <n v="336486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8"/>
    <n v="1"/>
    <s v="161318.130"/>
    <s v="תשלומים מיוחדים                 "/>
    <m/>
    <m/>
    <n v="539000"/>
    <n v="566000"/>
    <n v="533852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8"/>
    <n v="1"/>
    <s v="161318.181"/>
    <s v="מיסים וביטוח לאומי              "/>
    <m/>
    <m/>
    <n v="390000"/>
    <n v="414000"/>
    <n v="372257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8"/>
    <n v="1"/>
    <s v="161318.182"/>
    <s v="קופות גמל והשתלמות              "/>
    <m/>
    <m/>
    <n v="386000"/>
    <n v="387000"/>
    <n v="360802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8"/>
    <n v="1"/>
    <s v="161318.310"/>
    <s v="שעות נוספות רשומות              "/>
    <m/>
    <m/>
    <n v="27000"/>
    <n v="26000"/>
    <n v="38851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433"/>
    <s v="61318"/>
    <n v="1"/>
    <s v="161318.433"/>
    <s v="ביטוח                           "/>
    <m/>
    <m/>
    <n v="60000"/>
    <n v="63000"/>
    <n v="58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9"/>
    <s v="61318"/>
    <n v="1"/>
    <s v="161318.439"/>
    <s v="אחזקת בניני העיריה-השתתפות      "/>
    <m/>
    <m/>
    <n v="340000"/>
    <n v="348000"/>
    <n v="360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9"/>
    <e v="#N/A"/>
  </r>
  <r>
    <n v="461"/>
    <s v="61318"/>
    <n v="1"/>
    <s v="161318.461"/>
    <s v="צורכי משרד                      "/>
    <m/>
    <m/>
    <n v="73000"/>
    <n v="73000"/>
    <n v="74375"/>
    <m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4"/>
    <s v="61318"/>
    <n v="1"/>
    <s v="161318.464"/>
    <s v="דאר                             "/>
    <m/>
    <m/>
    <n v="270000"/>
    <n v="270000"/>
    <n v="246319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10"/>
    <s v="61318"/>
    <n v="1"/>
    <s v="161318.510"/>
    <s v="נסיעות  ואש ל                   "/>
    <m/>
    <m/>
    <n v="1000"/>
    <n v="1000"/>
    <n v="48"/>
    <e v="#N/A"/>
    <x v="5"/>
    <s v="הנהלה כללית"/>
    <x v="21"/>
    <s v="מינהל כללי"/>
    <x v="63"/>
    <s v="מזכירות"/>
    <s v="6131"/>
    <e v="#N/A"/>
    <m/>
    <s v="5"/>
    <x v="11"/>
    <s v="51"/>
    <s v="אש&quot;ל וכיבודים"/>
    <s v="510"/>
    <e v="#N/A"/>
  </r>
  <r>
    <n v="521"/>
    <s v="61318"/>
    <n v="1"/>
    <s v="161318.521"/>
    <s v="הדרכה וכנסים                    "/>
    <m/>
    <m/>
    <n v="10000"/>
    <n v="5000"/>
    <n v="295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8"/>
    <n v="1"/>
    <s v="161318.522"/>
    <s v="גיבוש יחידתי                    "/>
    <m/>
    <m/>
    <n v="4000"/>
    <n v="4000"/>
    <n v="400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41"/>
    <s v="61318"/>
    <n v="1"/>
    <s v="161318.541"/>
    <s v="החזקת מכשירי קשר וסלולר         "/>
    <m/>
    <m/>
    <n v="3000"/>
    <n v="3000"/>
    <n v="854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8"/>
    <n v="1"/>
    <s v="161318.610"/>
    <s v="כיבודים                         "/>
    <m/>
    <m/>
    <n v="5000"/>
    <n v="5000"/>
    <n v="4942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8"/>
    <n v="1"/>
    <s v="161318.670"/>
    <s v="סעיף שאינו חוזר                 "/>
    <m/>
    <m/>
    <n v="0"/>
    <n v="239000"/>
    <n v="58200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80"/>
    <s v="61318"/>
    <n v="1"/>
    <s v="161318.680"/>
    <s v="הוצאות מיוחדות                  "/>
    <m/>
    <m/>
    <n v="5000"/>
    <n v="0"/>
    <n v="0"/>
    <e v="#N/A"/>
    <x v="5"/>
    <s v="הנהלה כללית"/>
    <x v="21"/>
    <s v="מינהל כללי"/>
    <x v="63"/>
    <s v="מזכירות"/>
    <s v="6131"/>
    <e v="#N/A"/>
    <m/>
    <s v="6"/>
    <x v="12"/>
    <s v="68"/>
    <s v="ריבית על הוצאות אחרות"/>
    <s v="680"/>
    <e v="#N/A"/>
  </r>
  <r>
    <n v="693"/>
    <s v="61318"/>
    <n v="1"/>
    <s v="161318.693"/>
    <s v="מחשוב יחידתי                    "/>
    <m/>
    <m/>
    <n v="25000"/>
    <n v="10000"/>
    <n v="25259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51"/>
    <s v="61318"/>
    <n v="1"/>
    <s v="161318.751"/>
    <s v="שליחויות  איתורים וחקירות       "/>
    <m/>
    <m/>
    <n v="91000"/>
    <n v="121000"/>
    <n v="64761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1"/>
    <e v="#N/A"/>
  </r>
  <r>
    <n v="752"/>
    <s v="61318"/>
    <n v="1"/>
    <s v="161318.752"/>
    <s v="השתתפות בעלות שכר שופטים        "/>
    <m/>
    <m/>
    <n v="2170000"/>
    <n v="2170000"/>
    <n v="2050000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2"/>
    <e v="#N/A"/>
  </r>
  <r>
    <n v="754"/>
    <s v="61318"/>
    <n v="1"/>
    <s v="161318.754"/>
    <s v="השתתפות בעלות שכר קלדניות       "/>
    <m/>
    <m/>
    <n v="370000"/>
    <n v="370000"/>
    <n v="370000"/>
    <e v="#N/A"/>
    <x v="5"/>
    <s v="הנהלה כללית"/>
    <x v="21"/>
    <s v="מינהל כללי"/>
    <x v="63"/>
    <s v="מזכירות"/>
    <s v="6131"/>
    <e v="#N/A"/>
    <m/>
    <s v="7"/>
    <x v="13"/>
    <s v="75"/>
    <s v="עבודות קבלניות"/>
    <s v="754"/>
    <e v="#N/A"/>
  </r>
  <r>
    <n v="781"/>
    <s v="61318"/>
    <n v="1"/>
    <s v="161318.781"/>
    <s v="אכיפת גבית חובות מפס ד ע י ג ח  "/>
    <m/>
    <m/>
    <n v="53000"/>
    <n v="53000"/>
    <n v="84352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932"/>
    <s v="61318"/>
    <n v="1"/>
    <s v="161318.932"/>
    <s v="ציוד וריהוט משרדי               "/>
    <m/>
    <m/>
    <n v="10000"/>
    <n v="5000"/>
    <n v="4918"/>
    <e v="#N/A"/>
    <x v="5"/>
    <s v="הנהלה כללית"/>
    <x v="21"/>
    <s v="מינהל כללי"/>
    <x v="63"/>
    <s v="מזכירות"/>
    <s v="6131"/>
    <e v="#N/A"/>
    <m/>
    <s v="9"/>
    <x v="17"/>
    <s v="93"/>
    <s v="רכישת ציוד יסודי"/>
    <s v="932"/>
    <e v="#N/A"/>
  </r>
  <r>
    <n v="110"/>
    <s v="61319"/>
    <n v="1"/>
    <s v="161319.110"/>
    <s v="משכורת כוללת                    "/>
    <m/>
    <m/>
    <n v="1390000"/>
    <n v="1431000"/>
    <n v="433270"/>
    <e v="#N/A"/>
    <x v="5"/>
    <s v="הנהלה כללית"/>
    <x v="21"/>
    <s v="מינהל כללי"/>
    <x v="63"/>
    <s v="מזכירות"/>
    <s v="6131"/>
    <e v="#N/A"/>
    <m/>
    <s v="1"/>
    <x v="9"/>
    <s v="11"/>
    <s v="השכר הקובע"/>
    <s v="110"/>
    <e v="#N/A"/>
  </r>
  <r>
    <n v="124"/>
    <s v="61319"/>
    <n v="1"/>
    <s v="161319.124"/>
    <s v="החזר הוצאות                     "/>
    <m/>
    <m/>
    <n v="76000"/>
    <n v="48000"/>
    <n v="14695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4"/>
    <e v="#N/A"/>
  </r>
  <r>
    <n v="126"/>
    <s v="61319"/>
    <n v="1"/>
    <s v="161319.126"/>
    <s v="הבראה                           "/>
    <m/>
    <m/>
    <n v="50000"/>
    <n v="49000"/>
    <n v="13517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6"/>
    <e v="#N/A"/>
  </r>
  <r>
    <n v="127"/>
    <s v="61319"/>
    <n v="1"/>
    <s v="161319.127"/>
    <s v="השתתפות באחזקת רכב - 11         "/>
    <m/>
    <m/>
    <n v="253000"/>
    <n v="127000"/>
    <n v="52219"/>
    <e v="#N/A"/>
    <x v="5"/>
    <s v="הנהלה כללית"/>
    <x v="21"/>
    <s v="מינהל כללי"/>
    <x v="63"/>
    <s v="מזכירות"/>
    <s v="6131"/>
    <e v="#N/A"/>
    <m/>
    <s v="1"/>
    <x v="9"/>
    <s v="12"/>
    <s v="תוספות שאינן נכללות בשכר הקובע"/>
    <s v="127"/>
    <e v="#N/A"/>
  </r>
  <r>
    <n v="130"/>
    <s v="61319"/>
    <n v="1"/>
    <s v="161319.130"/>
    <s v="תשלומים מיוחדים                 "/>
    <m/>
    <m/>
    <n v="35000"/>
    <n v="67000"/>
    <n v="8632"/>
    <e v="#N/A"/>
    <x v="5"/>
    <s v="הנהלה כללית"/>
    <x v="21"/>
    <s v="מינהל כללי"/>
    <x v="63"/>
    <s v="מזכירות"/>
    <s v="6131"/>
    <e v="#N/A"/>
    <m/>
    <s v="1"/>
    <x v="9"/>
    <s v="13"/>
    <s v="שעות נוספות"/>
    <s v="130"/>
    <e v="#N/A"/>
  </r>
  <r>
    <n v="181"/>
    <s v="61319"/>
    <n v="1"/>
    <s v="161319.181"/>
    <s v="מיסים וביטוח לאומי              "/>
    <m/>
    <m/>
    <n v="236000"/>
    <n v="227000"/>
    <n v="70830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1"/>
    <s v="הפרשות סוציאליות"/>
  </r>
  <r>
    <n v="182"/>
    <s v="61319"/>
    <n v="1"/>
    <s v="161319.182"/>
    <s v="קופות גמל והשתלמות              "/>
    <m/>
    <m/>
    <n v="213000"/>
    <n v="94000"/>
    <n v="41392"/>
    <e v="#N/A"/>
    <x v="5"/>
    <s v="הנהלה כללית"/>
    <x v="21"/>
    <s v="מינהל כללי"/>
    <x v="63"/>
    <s v="מזכירות"/>
    <s v="6131"/>
    <e v="#N/A"/>
    <m/>
    <s v="1"/>
    <x v="9"/>
    <s v="18"/>
    <s v="נלוות לשכר"/>
    <s v="182"/>
    <s v="מיסיום ועלויות"/>
  </r>
  <r>
    <n v="310"/>
    <s v="61319"/>
    <n v="1"/>
    <s v="161319.310"/>
    <s v="שעות נוספות רשומות              "/>
    <m/>
    <m/>
    <n v="7000"/>
    <n v="7000"/>
    <n v="3897"/>
    <e v="#N/A"/>
    <x v="5"/>
    <s v="הנהלה כללית"/>
    <x v="21"/>
    <s v="מינהל כללי"/>
    <x v="63"/>
    <s v="מזכירות"/>
    <s v="6131"/>
    <e v="#N/A"/>
    <m/>
    <s v="3"/>
    <x v="14"/>
    <s v="31"/>
    <s v="פנסיה"/>
    <s v="310"/>
    <e v="#N/A"/>
  </r>
  <r>
    <n v="411"/>
    <s v="61319"/>
    <n v="1"/>
    <s v="161319.411"/>
    <s v="שכר דירה                        "/>
    <m/>
    <m/>
    <n v="264000"/>
    <n v="265000"/>
    <n v="259314"/>
    <e v="#N/A"/>
    <x v="5"/>
    <s v="הנהלה כללית"/>
    <x v="21"/>
    <s v="מינהל כללי"/>
    <x v="63"/>
    <s v="מזכירות"/>
    <s v="6131"/>
    <e v="#N/A"/>
    <m/>
    <s v="4"/>
    <x v="15"/>
    <s v="41"/>
    <s v="שכר דירה ודמי חכירה"/>
    <s v="411"/>
    <e v="#N/A"/>
  </r>
  <r>
    <n v="433"/>
    <s v="61319"/>
    <n v="1"/>
    <s v="161319.433"/>
    <s v="ביטוח                           "/>
    <m/>
    <m/>
    <n v="25000"/>
    <n v="12000"/>
    <n v="1100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3"/>
    <s v="חומרי ניקיון"/>
  </r>
  <r>
    <n v="434"/>
    <s v="61319"/>
    <n v="1"/>
    <s v="161319.434"/>
    <s v="תקוני מבנים  מתקנים ואינונטר    "/>
    <m/>
    <m/>
    <n v="1000"/>
    <n v="1000"/>
    <n v="0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4"/>
    <s v="שירותי ניקיון"/>
  </r>
  <r>
    <n v="435"/>
    <s v="61319"/>
    <n v="1"/>
    <s v="161319.435"/>
    <s v="חשמל ואנרגיה                    "/>
    <m/>
    <m/>
    <n v="19000"/>
    <n v="20000"/>
    <n v="21196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5"/>
    <e v="#N/A"/>
  </r>
  <r>
    <n v="436"/>
    <s v="61319"/>
    <n v="1"/>
    <s v="161319.436"/>
    <s v="נקיון                           "/>
    <m/>
    <m/>
    <n v="34000"/>
    <n v="35000"/>
    <n v="33304"/>
    <e v="#N/A"/>
    <x v="5"/>
    <s v="הנהלה כללית"/>
    <x v="21"/>
    <s v="מינהל כללי"/>
    <x v="63"/>
    <s v="מזכירות"/>
    <s v="6131"/>
    <e v="#N/A"/>
    <m/>
    <s v="4"/>
    <x v="15"/>
    <s v="43"/>
    <s v="חשמל, מים וחומרי ניקיון"/>
    <s v="436"/>
    <e v="#N/A"/>
  </r>
  <r>
    <n v="461"/>
    <s v="61319"/>
    <n v="1"/>
    <s v="161319.461"/>
    <s v="צרכי משרד                       "/>
    <m/>
    <m/>
    <n v="4000"/>
    <n v="4000"/>
    <n v="3563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1"/>
    <e v="#N/A"/>
  </r>
  <r>
    <n v="462"/>
    <s v="61319"/>
    <n v="1"/>
    <s v="161319.462"/>
    <s v="ספרים ועתונים                   "/>
    <m/>
    <m/>
    <n v="2000"/>
    <n v="0"/>
    <n v="1629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2"/>
    <e v="#N/A"/>
  </r>
  <r>
    <n v="464"/>
    <s v="61319"/>
    <n v="1"/>
    <s v="161319.464"/>
    <s v="דואר                            "/>
    <m/>
    <m/>
    <n v="1000"/>
    <n v="0"/>
    <n v="0"/>
    <e v="#N/A"/>
    <x v="5"/>
    <s v="הנהלה כללית"/>
    <x v="21"/>
    <s v="מינהל כללי"/>
    <x v="63"/>
    <s v="מזכירות"/>
    <s v="6131"/>
    <e v="#N/A"/>
    <m/>
    <s v="4"/>
    <x v="15"/>
    <s v="46"/>
    <e v="#N/A"/>
    <s v="464"/>
    <e v="#N/A"/>
  </r>
  <r>
    <n v="521"/>
    <s v="61319"/>
    <n v="1"/>
    <s v="161319.521"/>
    <s v="הדרכה וכנסים                    "/>
    <m/>
    <m/>
    <n v="11000"/>
    <n v="14000"/>
    <n v="2304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1"/>
    <s v="השתלמויות וספרות מקצועית"/>
  </r>
  <r>
    <n v="522"/>
    <s v="61319"/>
    <n v="1"/>
    <s v="161319.522"/>
    <s v="גיבוש יחידתי                    "/>
    <m/>
    <m/>
    <n v="2000"/>
    <n v="2000"/>
    <n v="2000"/>
    <e v="#N/A"/>
    <x v="5"/>
    <s v="הנהלה כללית"/>
    <x v="21"/>
    <s v="מינהל כללי"/>
    <x v="63"/>
    <s v="מזכירות"/>
    <s v="6131"/>
    <e v="#N/A"/>
    <m/>
    <s v="5"/>
    <x v="11"/>
    <s v="52"/>
    <s v="השתלמויות וספרות מקצועית"/>
    <s v="522"/>
    <s v="ספרות מקצועית ועיתונות"/>
  </r>
  <r>
    <n v="531"/>
    <s v="61319"/>
    <n v="1"/>
    <s v="161319.531"/>
    <s v="אחזקת רכב                       "/>
    <m/>
    <m/>
    <n v="3000"/>
    <n v="3000"/>
    <n v="-92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1"/>
    <s v="דלק ושמנים"/>
  </r>
  <r>
    <n v="533"/>
    <s v="61319"/>
    <n v="1"/>
    <s v="161319.533"/>
    <s v="שכירת רכב ורכב עירוני           "/>
    <m/>
    <m/>
    <n v="38000"/>
    <n v="44000"/>
    <n v="36297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3"/>
    <s v="רישוי וביטוח"/>
  </r>
  <r>
    <n v="534"/>
    <s v="61319"/>
    <n v="1"/>
    <s v="161319.534"/>
    <s v="דלק ושמן                        "/>
    <m/>
    <m/>
    <n v="20000"/>
    <n v="21000"/>
    <n v="17330"/>
    <e v="#N/A"/>
    <x v="5"/>
    <s v="הנהלה כללית"/>
    <x v="21"/>
    <s v="מינהל כללי"/>
    <x v="63"/>
    <s v="מזכירות"/>
    <s v="6131"/>
    <e v="#N/A"/>
    <m/>
    <s v="5"/>
    <x v="11"/>
    <s v="53"/>
    <s v="הוצאות רכב מינהלי"/>
    <s v="534"/>
    <e v="#N/A"/>
  </r>
  <r>
    <n v="541"/>
    <s v="61319"/>
    <n v="1"/>
    <s v="161319.541"/>
    <s v="החזקת מכשירי קשר וסלולר         "/>
    <m/>
    <m/>
    <n v="7000"/>
    <n v="7000"/>
    <n v="6706"/>
    <e v="#N/A"/>
    <x v="5"/>
    <s v="הנהלה כללית"/>
    <x v="21"/>
    <s v="מינהל כללי"/>
    <x v="63"/>
    <s v="מזכירות"/>
    <s v="6131"/>
    <e v="#N/A"/>
    <m/>
    <s v="5"/>
    <x v="11"/>
    <s v="54"/>
    <s v="הוצאות תקשורת"/>
    <s v="541"/>
    <e v="#N/A"/>
  </r>
  <r>
    <n v="610"/>
    <s v="61319"/>
    <n v="1"/>
    <s v="161319.610"/>
    <s v="כיבודים                         "/>
    <m/>
    <m/>
    <n v="5000"/>
    <n v="5000"/>
    <n v="4042"/>
    <e v="#N/A"/>
    <x v="5"/>
    <s v="הנהלה כללית"/>
    <x v="21"/>
    <s v="מינהל כללי"/>
    <x v="63"/>
    <s v="מזכירות"/>
    <s v="6131"/>
    <e v="#N/A"/>
    <m/>
    <s v="6"/>
    <x v="12"/>
    <s v="61"/>
    <s v="עמלות"/>
    <s v="610"/>
    <e v="#N/A"/>
  </r>
  <r>
    <n v="670"/>
    <s v="61319"/>
    <n v="1"/>
    <s v="161319.670"/>
    <s v="סעיף שאינו חוזר                 "/>
    <m/>
    <m/>
    <n v="0"/>
    <n v="3000"/>
    <n v="697749"/>
    <e v="#N/A"/>
    <x v="5"/>
    <s v="הנהלה כללית"/>
    <x v="21"/>
    <s v="מינהל כללי"/>
    <x v="63"/>
    <s v="מזכירות"/>
    <s v="6131"/>
    <e v="#N/A"/>
    <m/>
    <s v="6"/>
    <x v="12"/>
    <s v="67"/>
    <e v="#N/A"/>
    <s v="670"/>
    <e v="#N/A"/>
  </r>
  <r>
    <n v="691"/>
    <s v="61319"/>
    <n v="1"/>
    <s v="161319.691"/>
    <s v="מערכות מידע ומחשוב              "/>
    <m/>
    <m/>
    <n v="1890000"/>
    <n v="1590000"/>
    <n v="1415856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1"/>
    <s v="תשלום ע&quot;ח קרן"/>
  </r>
  <r>
    <n v="693"/>
    <s v="61319"/>
    <n v="1"/>
    <s v="161319.693"/>
    <s v="מחשוב יחידתי                    "/>
    <m/>
    <m/>
    <n v="4000"/>
    <n v="4000"/>
    <n v="3144"/>
    <e v="#N/A"/>
    <x v="5"/>
    <s v="הנהלה כללית"/>
    <x v="21"/>
    <s v="מינהל כללי"/>
    <x v="63"/>
    <s v="מזכירות"/>
    <s v="6131"/>
    <e v="#N/A"/>
    <m/>
    <s v="6"/>
    <x v="12"/>
    <s v="69"/>
    <s v="שונות"/>
    <s v="693"/>
    <s v="תשלום ע&quot;ח הצמדת ערך"/>
  </r>
  <r>
    <n v="781"/>
    <s v="61319"/>
    <n v="1"/>
    <s v="161319.781"/>
    <s v="ניהול ידע                       "/>
    <m/>
    <m/>
    <n v="50000"/>
    <n v="510000"/>
    <n v="622330"/>
    <e v="#N/A"/>
    <x v="5"/>
    <s v="הנהלה כללית"/>
    <x v="21"/>
    <s v="מינהל כללי"/>
    <x v="63"/>
    <s v="מזכירות"/>
    <s v="6131"/>
    <e v="#N/A"/>
    <m/>
    <s v="7"/>
    <x v="13"/>
    <s v="78"/>
    <s v="הוצאות שונות"/>
    <s v="781"/>
    <e v="#N/A"/>
  </r>
  <r>
    <n v="110"/>
    <s v="61331"/>
    <n v="1"/>
    <s v="161331.110"/>
    <s v="משכורת כוללת                    "/>
    <m/>
    <m/>
    <n v="539000"/>
    <n v="537000"/>
    <n v="516895"/>
    <e v="#N/A"/>
    <x v="5"/>
    <s v="הנהלה כללית"/>
    <x v="21"/>
    <s v="מינהל כללי"/>
    <x v="63"/>
    <s v="מזכירות"/>
    <s v="6133"/>
    <e v="#N/A"/>
    <m/>
    <s v="1"/>
    <x v="9"/>
    <s v="11"/>
    <s v="השכר הקובע"/>
    <s v="110"/>
    <e v="#N/A"/>
  </r>
  <r>
    <n v="124"/>
    <s v="61331"/>
    <n v="1"/>
    <s v="161331.124"/>
    <s v="החזר הוצאות                     "/>
    <m/>
    <m/>
    <n v="28000"/>
    <n v="29000"/>
    <n v="28819"/>
    <e v="#N/A"/>
    <x v="5"/>
    <s v="הנהלה כללית"/>
    <x v="21"/>
    <s v="מינהל כללי"/>
    <x v="63"/>
    <s v="מזכירות"/>
    <s v="6133"/>
    <e v="#N/A"/>
    <m/>
    <s v="1"/>
    <x v="9"/>
    <s v="12"/>
    <s v="תוספות שאינן נכללות בשכר הקובע"/>
    <s v="124"/>
    <e v="#N/A"/>
  </r>
  <r>
    <n v="126"/>
    <s v="61331"/>
    <n v="1"/>
    <s v="161331.126"/>
    <s v="הבראה                           "/>
    <m/>
    <m/>
    <n v="23000"/>
    <n v="25000"/>
    <n v="24980"/>
    <e v="#N/A"/>
    <x v="5"/>
    <s v="הנהלה כללית"/>
    <x v="21"/>
    <s v="מינהל כללי"/>
    <x v="63"/>
    <s v="מזכירות"/>
    <s v="6133"/>
    <e v="#N/A"/>
    <m/>
    <s v="1"/>
    <x v="9"/>
    <s v="12"/>
    <s v="תוספות שאינן נכללות בשכר הקובע"/>
    <s v="126"/>
    <e v="#N/A"/>
  </r>
  <r>
    <n v="127"/>
    <s v="61331"/>
    <n v="1"/>
    <s v="161331.127"/>
    <s v="השתתפות באחזקת רכב-4            "/>
    <m/>
    <m/>
    <n v="98000"/>
    <n v="99000"/>
    <n v="102103"/>
    <e v="#N/A"/>
    <x v="5"/>
    <s v="הנהלה כללית"/>
    <x v="21"/>
    <s v="מינהל כללי"/>
    <x v="63"/>
    <s v="מזכירות"/>
    <s v="6133"/>
    <e v="#N/A"/>
    <m/>
    <s v="1"/>
    <x v="9"/>
    <s v="12"/>
    <s v="תוספות שאינן נכללות בשכר הקובע"/>
    <s v="127"/>
    <e v="#N/A"/>
  </r>
  <r>
    <n v="130"/>
    <s v="61331"/>
    <n v="1"/>
    <s v="161331.130"/>
    <s v="תשלומים מיוחדים                 "/>
    <m/>
    <m/>
    <n v="49000"/>
    <n v="72000"/>
    <n v="69595"/>
    <e v="#N/A"/>
    <x v="5"/>
    <s v="הנהלה כללית"/>
    <x v="21"/>
    <s v="מינהל כללי"/>
    <x v="63"/>
    <s v="מזכירות"/>
    <s v="6133"/>
    <e v="#N/A"/>
    <m/>
    <s v="1"/>
    <x v="9"/>
    <s v="13"/>
    <s v="שעות נוספות"/>
    <s v="130"/>
    <e v="#N/A"/>
  </r>
  <r>
    <n v="181"/>
    <s v="61331"/>
    <n v="1"/>
    <s v="161331.181"/>
    <s v="מיסים וביטוח לאומי              "/>
    <m/>
    <m/>
    <n v="97000"/>
    <n v="100000"/>
    <n v="98118"/>
    <e v="#N/A"/>
    <x v="5"/>
    <s v="הנהלה כללית"/>
    <x v="21"/>
    <s v="מינהל כללי"/>
    <x v="63"/>
    <s v="מזכירות"/>
    <s v="6133"/>
    <e v="#N/A"/>
    <m/>
    <s v="1"/>
    <x v="9"/>
    <s v="18"/>
    <s v="נלוות לשכר"/>
    <s v="181"/>
    <s v="הפרשות סוציאליות"/>
  </r>
  <r>
    <n v="182"/>
    <s v="61331"/>
    <n v="1"/>
    <s v="161331.182"/>
    <s v="קופות גמל והשתלמות              "/>
    <m/>
    <m/>
    <n v="117000"/>
    <n v="109000"/>
    <n v="104943"/>
    <e v="#N/A"/>
    <x v="5"/>
    <s v="הנהלה כללית"/>
    <x v="21"/>
    <s v="מינהל כללי"/>
    <x v="63"/>
    <s v="מזכירות"/>
    <s v="6133"/>
    <e v="#N/A"/>
    <m/>
    <s v="1"/>
    <x v="9"/>
    <s v="18"/>
    <s v="נלוות לשכר"/>
    <s v="182"/>
    <s v="מיסיום ועלויות"/>
  </r>
  <r>
    <n v="310"/>
    <s v="61331"/>
    <n v="1"/>
    <s v="161331.310"/>
    <s v="שעות נוספות רשומות              "/>
    <m/>
    <m/>
    <n v="9000"/>
    <n v="9000"/>
    <n v="11322"/>
    <e v="#N/A"/>
    <x v="5"/>
    <s v="הנהלה כללית"/>
    <x v="21"/>
    <s v="מינהל כללי"/>
    <x v="63"/>
    <s v="מזכירות"/>
    <s v="6133"/>
    <e v="#N/A"/>
    <m/>
    <s v="3"/>
    <x v="14"/>
    <s v="31"/>
    <s v="פנסיה"/>
    <s v="310"/>
    <e v="#N/A"/>
  </r>
  <r>
    <n v="433"/>
    <s v="61331"/>
    <n v="1"/>
    <s v="161331.433"/>
    <s v="ביטוח                           "/>
    <m/>
    <m/>
    <n v="10000"/>
    <n v="10000"/>
    <n v="9000"/>
    <e v="#N/A"/>
    <x v="5"/>
    <s v="הנהלה כללית"/>
    <x v="21"/>
    <s v="מינהל כללי"/>
    <x v="63"/>
    <s v="מזכירות"/>
    <s v="6133"/>
    <e v="#N/A"/>
    <m/>
    <s v="4"/>
    <x v="15"/>
    <s v="43"/>
    <s v="חשמל, מים וחומרי ניקיון"/>
    <s v="433"/>
    <s v="חומרי ניקיון"/>
  </r>
  <r>
    <n v="439"/>
    <s v="61331"/>
    <n v="1"/>
    <s v="161331.439"/>
    <s v="אחזקת בניני העיריה-השתתפות      "/>
    <m/>
    <m/>
    <n v="471000"/>
    <n v="429000"/>
    <n v="430000"/>
    <e v="#N/A"/>
    <x v="5"/>
    <s v="הנהלה כללית"/>
    <x v="21"/>
    <s v="מינהל כללי"/>
    <x v="63"/>
    <s v="מזכירות"/>
    <s v="6133"/>
    <e v="#N/A"/>
    <m/>
    <s v="4"/>
    <x v="15"/>
    <s v="43"/>
    <s v="חשמל, מים וחומרי ניקיון"/>
    <s v="439"/>
    <e v="#N/A"/>
  </r>
  <r>
    <n v="461"/>
    <s v="61331"/>
    <n v="1"/>
    <s v="161331.461"/>
    <s v="צורכי משרד                      "/>
    <m/>
    <m/>
    <n v="10000"/>
    <n v="10000"/>
    <n v="6642"/>
    <e v="#N/A"/>
    <x v="5"/>
    <s v="הנהלה כללית"/>
    <x v="21"/>
    <s v="מינהל כללי"/>
    <x v="63"/>
    <s v="מזכירות"/>
    <s v="6133"/>
    <e v="#N/A"/>
    <m/>
    <s v="4"/>
    <x v="15"/>
    <s v="46"/>
    <e v="#N/A"/>
    <s v="461"/>
    <e v="#N/A"/>
  </r>
  <r>
    <n v="510"/>
    <s v="61331"/>
    <n v="1"/>
    <s v="161331.510"/>
    <s v="נסיעות  ואש ל                   "/>
    <m/>
    <m/>
    <n v="1000"/>
    <n v="1000"/>
    <n v="560"/>
    <e v="#N/A"/>
    <x v="5"/>
    <s v="הנהלה כללית"/>
    <x v="21"/>
    <s v="מינהל כללי"/>
    <x v="63"/>
    <s v="מזכירות"/>
    <s v="6133"/>
    <e v="#N/A"/>
    <m/>
    <s v="5"/>
    <x v="11"/>
    <s v="51"/>
    <s v="אש&quot;ל וכיבודים"/>
    <s v="510"/>
    <e v="#N/A"/>
  </r>
  <r>
    <n v="521"/>
    <s v="61331"/>
    <n v="1"/>
    <s v="161331.521"/>
    <s v="הדרכה וכנסים                    "/>
    <m/>
    <m/>
    <n v="2000"/>
    <n v="2000"/>
    <n v="1360"/>
    <e v="#N/A"/>
    <x v="5"/>
    <s v="הנהלה כללית"/>
    <x v="21"/>
    <s v="מינהל כללי"/>
    <x v="63"/>
    <s v="מזכירות"/>
    <s v="6133"/>
    <e v="#N/A"/>
    <m/>
    <s v="5"/>
    <x v="11"/>
    <s v="52"/>
    <s v="השתלמויות וספרות מקצועית"/>
    <s v="521"/>
    <s v="השתלמויות וספרות מקצועית"/>
  </r>
  <r>
    <n v="541"/>
    <s v="61331"/>
    <n v="1"/>
    <s v="161331.541"/>
    <s v="החזקת מכשירי קשר וסלולר         "/>
    <m/>
    <m/>
    <n v="2000"/>
    <n v="2000"/>
    <n v="1725"/>
    <e v="#N/A"/>
    <x v="5"/>
    <s v="הנהלה כללית"/>
    <x v="21"/>
    <s v="מינהל כללי"/>
    <x v="63"/>
    <s v="מזכירות"/>
    <s v="6133"/>
    <e v="#N/A"/>
    <m/>
    <s v="5"/>
    <x v="11"/>
    <s v="54"/>
    <s v="הוצאות תקשורת"/>
    <s v="541"/>
    <e v="#N/A"/>
  </r>
  <r>
    <n v="610"/>
    <s v="61331"/>
    <n v="1"/>
    <s v="161331.610"/>
    <s v="כיבודים                         "/>
    <m/>
    <m/>
    <n v="1000"/>
    <n v="1000"/>
    <n v="1022"/>
    <e v="#N/A"/>
    <x v="5"/>
    <s v="הנהלה כללית"/>
    <x v="21"/>
    <s v="מינהל כללי"/>
    <x v="63"/>
    <s v="מזכירות"/>
    <s v="6133"/>
    <e v="#N/A"/>
    <m/>
    <s v="6"/>
    <x v="12"/>
    <s v="61"/>
    <s v="עמלות"/>
    <s v="610"/>
    <e v="#N/A"/>
  </r>
  <r>
    <n v="670"/>
    <s v="61331"/>
    <n v="1"/>
    <s v="161331.670"/>
    <s v="סעיף שאינו חוזר                 "/>
    <m/>
    <m/>
    <n v="0"/>
    <n v="4000"/>
    <n v="1423"/>
    <e v="#N/A"/>
    <x v="5"/>
    <s v="הנהלה כללית"/>
    <x v="21"/>
    <s v="מינהל כללי"/>
    <x v="63"/>
    <s v="מזכירות"/>
    <s v="6133"/>
    <e v="#N/A"/>
    <m/>
    <s v="6"/>
    <x v="12"/>
    <s v="67"/>
    <e v="#N/A"/>
    <s v="670"/>
    <e v="#N/A"/>
  </r>
  <r>
    <n v="691"/>
    <s v="61331"/>
    <n v="1"/>
    <s v="161331.691"/>
    <s v="מערכות מידע ומחשוב              "/>
    <m/>
    <m/>
    <n v="80000"/>
    <n v="70000"/>
    <n v="58205"/>
    <e v="#N/A"/>
    <x v="5"/>
    <s v="הנהלה כללית"/>
    <x v="21"/>
    <s v="מינהל כללי"/>
    <x v="63"/>
    <s v="מזכירות"/>
    <s v="6133"/>
    <e v="#N/A"/>
    <m/>
    <s v="6"/>
    <x v="12"/>
    <s v="69"/>
    <s v="שונות"/>
    <s v="691"/>
    <s v="תשלום ע&quot;ח קרן"/>
  </r>
  <r>
    <n v="781"/>
    <s v="61331"/>
    <n v="1"/>
    <s v="161331.781"/>
    <s v="תחזוקת המגנזה                   "/>
    <m/>
    <m/>
    <n v="7000"/>
    <n v="7000"/>
    <n v="2832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1"/>
    <e v="#N/A"/>
  </r>
  <r>
    <n v="782"/>
    <s v="61331"/>
    <n v="1"/>
    <s v="161331.782"/>
    <s v="תחזוקת הארכיון                  "/>
    <m/>
    <m/>
    <n v="15000"/>
    <n v="15000"/>
    <n v="24075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2"/>
    <e v="#N/A"/>
  </r>
  <r>
    <n v="783"/>
    <s v="61331"/>
    <n v="1"/>
    <s v="161331.783"/>
    <s v="שימור מסמכים                    "/>
    <m/>
    <m/>
    <n v="4000"/>
    <n v="2000"/>
    <n v="2100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3"/>
    <e v="#N/A"/>
  </r>
  <r>
    <n v="784"/>
    <s v="61331"/>
    <n v="1"/>
    <s v="161331.784"/>
    <s v="רכישת חומר ארכיוני וספרות עזר   "/>
    <m/>
    <m/>
    <n v="2000"/>
    <n v="2000"/>
    <n v="2046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4"/>
    <e v="#N/A"/>
  </r>
  <r>
    <n v="785"/>
    <s v="61331"/>
    <n v="1"/>
    <s v="161331.785"/>
    <s v="דמי חבר                         "/>
    <m/>
    <m/>
    <n v="2000"/>
    <n v="2000"/>
    <n v="1622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5"/>
    <e v="#N/A"/>
  </r>
  <r>
    <n v="786"/>
    <s v="61331"/>
    <n v="1"/>
    <s v="161331.786"/>
    <s v="גניזה ע י גורמי חוץ             "/>
    <m/>
    <m/>
    <n v="363000"/>
    <n v="363000"/>
    <n v="375185"/>
    <e v="#N/A"/>
    <x v="5"/>
    <s v="הנהלה כללית"/>
    <x v="21"/>
    <s v="מינהל כללי"/>
    <x v="63"/>
    <s v="מזכירות"/>
    <s v="6133"/>
    <e v="#N/A"/>
    <m/>
    <s v="7"/>
    <x v="13"/>
    <s v="78"/>
    <s v="הוצאות שונות"/>
    <s v="786"/>
    <e v="#N/A"/>
  </r>
  <r>
    <n v="932"/>
    <s v="61331"/>
    <n v="1"/>
    <s v="161331.932"/>
    <s v="ציוד וריהוט משרדי               "/>
    <m/>
    <m/>
    <n v="6000"/>
    <n v="6000"/>
    <n v="0"/>
    <e v="#N/A"/>
    <x v="5"/>
    <s v="הנהלה כללית"/>
    <x v="21"/>
    <s v="מינהל כללי"/>
    <x v="63"/>
    <s v="מזכירות"/>
    <s v="6133"/>
    <e v="#N/A"/>
    <m/>
    <s v="9"/>
    <x v="17"/>
    <s v="93"/>
    <s v="רכישת ציוד יסודי"/>
    <s v="932"/>
    <e v="#N/A"/>
  </r>
  <r>
    <n v="934"/>
    <s v="61331"/>
    <n v="1"/>
    <s v="161331.934"/>
    <s v="ציוד תפעולי                     "/>
    <m/>
    <m/>
    <n v="14000"/>
    <n v="14000"/>
    <n v="19933"/>
    <e v="#N/A"/>
    <x v="5"/>
    <s v="הנהלה כללית"/>
    <x v="21"/>
    <s v="מינהל כללי"/>
    <x v="63"/>
    <s v="מזכירות"/>
    <s v="6133"/>
    <e v="#N/A"/>
    <m/>
    <s v="9"/>
    <x v="17"/>
    <s v="93"/>
    <s v="רכישת ציוד יסודי"/>
    <s v="934"/>
    <e v="#N/A"/>
  </r>
  <r>
    <n v="110"/>
    <s v="61341"/>
    <n v="1"/>
    <s v="161341.110"/>
    <s v="משכורת כוללת                    "/>
    <m/>
    <m/>
    <n v="1249000"/>
    <n v="1228000"/>
    <n v="1192960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1"/>
    <n v="1"/>
    <s v="161341.124"/>
    <s v="החזר הוצאות                     "/>
    <m/>
    <m/>
    <n v="59000"/>
    <n v="61000"/>
    <n v="58202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1"/>
    <n v="1"/>
    <s v="161341.126"/>
    <s v="הבראה                           "/>
    <m/>
    <m/>
    <n v="47000"/>
    <n v="47000"/>
    <n v="45966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1"/>
    <n v="1"/>
    <s v="161341.127"/>
    <s v="השתתפות באחזקת רכב- 7           "/>
    <m/>
    <m/>
    <n v="224000"/>
    <n v="241000"/>
    <n v="223813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1"/>
    <n v="1"/>
    <s v="161341.130"/>
    <s v="תשלומים מיוחדים                 "/>
    <m/>
    <m/>
    <n v="131000"/>
    <n v="133000"/>
    <n v="127964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1"/>
    <n v="1"/>
    <s v="161341.181"/>
    <s v="מיסים וביטוח לאומי              "/>
    <m/>
    <m/>
    <n v="231000"/>
    <n v="230000"/>
    <n v="220774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1"/>
    <n v="1"/>
    <s v="161341.182"/>
    <s v="קופות גמל והשתלמות              "/>
    <m/>
    <m/>
    <n v="216000"/>
    <n v="214000"/>
    <n v="205806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1"/>
    <n v="1"/>
    <s v="161341.310"/>
    <s v="שעות נוספות רשומות              "/>
    <m/>
    <m/>
    <n v="49000"/>
    <n v="48000"/>
    <n v="21866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411"/>
    <s v="61341"/>
    <n v="1"/>
    <s v="161341.411"/>
    <s v="שכר דירה ותשלומי ועד בית        "/>
    <m/>
    <m/>
    <n v="53000"/>
    <n v="107000"/>
    <n v="362073"/>
    <e v="#N/A"/>
    <x v="5"/>
    <s v="הנהלה כללית"/>
    <x v="21"/>
    <s v="מינהל כללי"/>
    <x v="63"/>
    <s v="מזכירות"/>
    <s v="6134"/>
    <e v="#N/A"/>
    <m/>
    <s v="4"/>
    <x v="15"/>
    <s v="41"/>
    <s v="שכר דירה ודמי חכירה"/>
    <s v="411"/>
    <e v="#N/A"/>
  </r>
  <r>
    <n v="431"/>
    <s v="61341"/>
    <n v="1"/>
    <s v="161341.431"/>
    <s v="מים                             "/>
    <m/>
    <m/>
    <n v="1000"/>
    <n v="1000"/>
    <n v="1655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1"/>
    <s v="חשמל"/>
  </r>
  <r>
    <n v="433"/>
    <s v="61341"/>
    <n v="1"/>
    <s v="161341.433"/>
    <s v="ביטוח                           "/>
    <m/>
    <m/>
    <n v="62000"/>
    <n v="63000"/>
    <n v="5600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3"/>
    <s v="חומרי ניקיון"/>
  </r>
  <r>
    <n v="434"/>
    <s v="61341"/>
    <n v="1"/>
    <s v="161341.434"/>
    <s v="תקוני מבנים מתקנים ואינונטר     "/>
    <m/>
    <m/>
    <n v="53000"/>
    <n v="53000"/>
    <n v="19401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1"/>
    <n v="1"/>
    <s v="161341.435"/>
    <s v="חשמל ואנרגיה                    "/>
    <m/>
    <m/>
    <n v="50000"/>
    <n v="125000"/>
    <n v="56724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1"/>
    <n v="1"/>
    <s v="161341.436"/>
    <s v="נקיון                           "/>
    <m/>
    <m/>
    <n v="18000"/>
    <n v="18000"/>
    <n v="4795"/>
    <m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39"/>
    <s v="61341"/>
    <n v="1"/>
    <s v="161341.439"/>
    <s v="אחזקת בניני העיריה - השתתפות    "/>
    <m/>
    <m/>
    <n v="100000"/>
    <n v="94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9"/>
    <e v="#N/A"/>
  </r>
  <r>
    <n v="461"/>
    <s v="61341"/>
    <n v="1"/>
    <s v="161341.461"/>
    <s v="צורכי משרד                      "/>
    <m/>
    <m/>
    <n v="25000"/>
    <n v="25000"/>
    <n v="8649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2"/>
    <s v="61341"/>
    <n v="1"/>
    <s v="161341.462"/>
    <s v="ספרים ועתונים                   "/>
    <m/>
    <m/>
    <n v="3000"/>
    <n v="3000"/>
    <n v="2536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2"/>
    <e v="#N/A"/>
  </r>
  <r>
    <n v="464"/>
    <s v="61341"/>
    <n v="1"/>
    <s v="161341.464"/>
    <s v="דאר                             "/>
    <m/>
    <m/>
    <n v="3000"/>
    <n v="3000"/>
    <n v="45976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510"/>
    <s v="61341"/>
    <n v="1"/>
    <s v="161341.510"/>
    <s v="נסיעות                          "/>
    <m/>
    <m/>
    <n v="2000"/>
    <n v="2000"/>
    <n v="1982"/>
    <e v="#N/A"/>
    <x v="5"/>
    <s v="הנהלה כללית"/>
    <x v="21"/>
    <s v="מינהל כללי"/>
    <x v="63"/>
    <s v="מזכירות"/>
    <s v="6134"/>
    <e v="#N/A"/>
    <m/>
    <s v="5"/>
    <x v="11"/>
    <s v="51"/>
    <s v="אש&quot;ל וכיבודים"/>
    <s v="510"/>
    <e v="#N/A"/>
  </r>
  <r>
    <n v="521"/>
    <s v="61341"/>
    <n v="1"/>
    <s v="161341.521"/>
    <s v="הדרכה וכנסים                    "/>
    <m/>
    <m/>
    <n v="10000"/>
    <n v="10000"/>
    <n v="9776"/>
    <e v="#N/A"/>
    <x v="5"/>
    <s v="הנהלה כללית"/>
    <x v="21"/>
    <s v="מינהל כללי"/>
    <x v="63"/>
    <s v="מזכירות"/>
    <s v="6134"/>
    <e v="#N/A"/>
    <m/>
    <s v="5"/>
    <x v="11"/>
    <s v="52"/>
    <s v="השתלמויות וספרות מקצועית"/>
    <s v="521"/>
    <s v="השתלמויות וספרות מקצועית"/>
  </r>
  <r>
    <n v="522"/>
    <s v="61341"/>
    <n v="1"/>
    <s v="161341.522"/>
    <s v="גיבוש יחידתי                    "/>
    <m/>
    <m/>
    <n v="5000"/>
    <n v="5000"/>
    <n v="0"/>
    <e v="#N/A"/>
    <x v="5"/>
    <s v="הנהלה כללית"/>
    <x v="21"/>
    <s v="מינהל כללי"/>
    <x v="63"/>
    <s v="מזכירות"/>
    <s v="6134"/>
    <e v="#N/A"/>
    <m/>
    <s v="5"/>
    <x v="11"/>
    <s v="52"/>
    <s v="השתלמויות וספרות מקצועית"/>
    <s v="522"/>
    <s v="ספרות מקצועית ועיתונות"/>
  </r>
  <r>
    <n v="531"/>
    <s v="61341"/>
    <n v="1"/>
    <s v="161341.531"/>
    <s v="אחזקת רכב                       "/>
    <m/>
    <m/>
    <n v="7000"/>
    <n v="7000"/>
    <n v="7577"/>
    <m/>
    <x v="5"/>
    <s v="הנהלה כללית"/>
    <x v="21"/>
    <s v="מינהל כללי"/>
    <x v="63"/>
    <s v="מזכירות"/>
    <s v="6134"/>
    <e v="#N/A"/>
    <m/>
    <s v="5"/>
    <x v="11"/>
    <s v="53"/>
    <s v="הוצאות רכב מינהלי"/>
    <s v="531"/>
    <s v="דלק ושמנים"/>
  </r>
  <r>
    <n v="532"/>
    <s v="61341"/>
    <n v="1"/>
    <s v="161341.532"/>
    <s v="ביטוח רכב                       "/>
    <m/>
    <m/>
    <n v="8000"/>
    <n v="12000"/>
    <n v="10868"/>
    <e v="#N/A"/>
    <x v="5"/>
    <s v="הנהלה כללית"/>
    <x v="21"/>
    <s v="מינהל כללי"/>
    <x v="63"/>
    <s v="מזכירות"/>
    <s v="6134"/>
    <e v="#N/A"/>
    <m/>
    <s v="5"/>
    <x v="11"/>
    <s v="53"/>
    <s v="הוצאות רכב מינהלי"/>
    <s v="532"/>
    <s v="תיקונים"/>
  </r>
  <r>
    <n v="534"/>
    <s v="61341"/>
    <n v="1"/>
    <s v="161341.534"/>
    <s v="דלק ושמן                        "/>
    <m/>
    <m/>
    <n v="11000"/>
    <n v="11000"/>
    <n v="4026"/>
    <e v="#N/A"/>
    <x v="5"/>
    <s v="הנהלה כללית"/>
    <x v="21"/>
    <s v="מינהל כללי"/>
    <x v="63"/>
    <s v="מזכירות"/>
    <s v="6134"/>
    <e v="#N/A"/>
    <m/>
    <s v="5"/>
    <x v="11"/>
    <s v="53"/>
    <s v="הוצאות רכב מינהלי"/>
    <s v="534"/>
    <e v="#N/A"/>
  </r>
  <r>
    <n v="541"/>
    <s v="61341"/>
    <n v="1"/>
    <s v="161341.541"/>
    <s v="החזקת מכשירי קשר וסלולר         "/>
    <m/>
    <m/>
    <n v="33000"/>
    <n v="33000"/>
    <n v="38508"/>
    <e v="#N/A"/>
    <x v="5"/>
    <s v="הנהלה כללית"/>
    <x v="21"/>
    <s v="מינהל כללי"/>
    <x v="63"/>
    <s v="מזכירות"/>
    <s v="6134"/>
    <e v="#N/A"/>
    <m/>
    <s v="5"/>
    <x v="11"/>
    <s v="54"/>
    <s v="הוצאות תקשורת"/>
    <s v="541"/>
    <e v="#N/A"/>
  </r>
  <r>
    <n v="610"/>
    <s v="61341"/>
    <n v="1"/>
    <s v="161341.610"/>
    <s v="כיבודים                         "/>
    <m/>
    <m/>
    <n v="20000"/>
    <n v="20000"/>
    <n v="19130"/>
    <e v="#N/A"/>
    <x v="5"/>
    <s v="הנהלה כללית"/>
    <x v="21"/>
    <s v="מינהל כללי"/>
    <x v="63"/>
    <s v="מזכירות"/>
    <s v="6134"/>
    <e v="#N/A"/>
    <m/>
    <s v="6"/>
    <x v="12"/>
    <s v="61"/>
    <s v="עמלות"/>
    <s v="610"/>
    <e v="#N/A"/>
  </r>
  <r>
    <n v="670"/>
    <s v="61341"/>
    <n v="1"/>
    <s v="161341.670"/>
    <s v="סעיף שאינו חוזר                 "/>
    <m/>
    <m/>
    <n v="0"/>
    <n v="179000"/>
    <n v="164501"/>
    <e v="#N/A"/>
    <x v="5"/>
    <s v="הנהלה כללית"/>
    <x v="21"/>
    <s v="מינהל כללי"/>
    <x v="63"/>
    <s v="מזכירות"/>
    <s v="6134"/>
    <e v="#N/A"/>
    <m/>
    <s v="6"/>
    <x v="12"/>
    <s v="67"/>
    <e v="#N/A"/>
    <s v="670"/>
    <e v="#N/A"/>
  </r>
  <r>
    <n v="691"/>
    <s v="61341"/>
    <n v="1"/>
    <s v="161341.691"/>
    <s v="מערכות מידע ומחשוב              "/>
    <m/>
    <m/>
    <n v="420000"/>
    <n v="380000"/>
    <n v="324828"/>
    <e v="#N/A"/>
    <x v="5"/>
    <s v="הנהלה כללית"/>
    <x v="21"/>
    <s v="מינהל כללי"/>
    <x v="63"/>
    <s v="מזכירות"/>
    <s v="6134"/>
    <e v="#N/A"/>
    <m/>
    <s v="6"/>
    <x v="12"/>
    <s v="69"/>
    <s v="שונות"/>
    <s v="691"/>
    <s v="תשלום ע&quot;ח קרן"/>
  </r>
  <r>
    <n v="693"/>
    <s v="61341"/>
    <n v="1"/>
    <s v="161341.693"/>
    <s v="מיחשוב יחידתי                   "/>
    <m/>
    <m/>
    <n v="20000"/>
    <n v="20000"/>
    <n v="7970"/>
    <e v="#N/A"/>
    <x v="5"/>
    <s v="הנהלה כללית"/>
    <x v="21"/>
    <s v="מינהל כללי"/>
    <x v="63"/>
    <s v="מזכירות"/>
    <s v="6134"/>
    <e v="#N/A"/>
    <m/>
    <s v="6"/>
    <x v="12"/>
    <s v="69"/>
    <s v="שונות"/>
    <s v="693"/>
    <s v="תשלום ע&quot;ח הצמדת ערך"/>
  </r>
  <r>
    <n v="752"/>
    <s v="61341"/>
    <n v="1"/>
    <s v="161341.752"/>
    <s v="אירועים חברתיים קהילתיים        "/>
    <m/>
    <m/>
    <n v="555000"/>
    <n v="555000"/>
    <n v="706240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1"/>
    <n v="1"/>
    <s v="161341.753"/>
    <s v="קשר עם תושבים                   "/>
    <m/>
    <m/>
    <n v="30000"/>
    <n v="30000"/>
    <n v="17363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1"/>
    <n v="1"/>
    <s v="161341.754"/>
    <s v="העשרת פעילים                    "/>
    <m/>
    <m/>
    <n v="45000"/>
    <n v="45000"/>
    <n v="45686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755"/>
    <s v="61341"/>
    <n v="1"/>
    <s v="161341.755"/>
    <s v="בחירות לועדי שכונות             "/>
    <m/>
    <m/>
    <n v="20000"/>
    <n v="20000"/>
    <n v="2388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5"/>
    <e v="#N/A"/>
  </r>
  <r>
    <n v="932"/>
    <s v="61341"/>
    <n v="1"/>
    <s v="161341.932"/>
    <s v="ציוד ורהוט משרדי                "/>
    <m/>
    <m/>
    <n v="20000"/>
    <n v="20000"/>
    <n v="10651"/>
    <e v="#N/A"/>
    <x v="5"/>
    <s v="הנהלה כללית"/>
    <x v="21"/>
    <s v="מינהל כללי"/>
    <x v="63"/>
    <s v="מזכירות"/>
    <s v="6134"/>
    <e v="#N/A"/>
    <m/>
    <s v="9"/>
    <x v="17"/>
    <s v="93"/>
    <s v="רכישת ציוד יסודי"/>
    <s v="932"/>
    <e v="#N/A"/>
  </r>
  <r>
    <n v="110"/>
    <s v="61343"/>
    <n v="1"/>
    <s v="161343.110"/>
    <s v="משכורת כוללת                    "/>
    <m/>
    <m/>
    <n v="506000"/>
    <n v="511000"/>
    <n v="495489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3"/>
    <n v="1"/>
    <s v="161343.124"/>
    <s v="החזר הוצאות                     "/>
    <m/>
    <m/>
    <n v="23000"/>
    <n v="23000"/>
    <n v="23411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3"/>
    <n v="1"/>
    <s v="161343.126"/>
    <s v="הבראה                           "/>
    <m/>
    <m/>
    <n v="23000"/>
    <n v="23000"/>
    <n v="23058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3"/>
    <n v="1"/>
    <s v="161343.127"/>
    <s v="השתתפות באחזקת רכב-3            "/>
    <m/>
    <m/>
    <n v="85000"/>
    <n v="92000"/>
    <n v="92752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3"/>
    <n v="1"/>
    <s v="161343.130"/>
    <s v="תשלומים מיוחדים                 "/>
    <m/>
    <m/>
    <n v="73000"/>
    <n v="73000"/>
    <n v="68659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3"/>
    <n v="1"/>
    <s v="161343.181"/>
    <s v="מיסים וביטוח לאומי              "/>
    <m/>
    <m/>
    <n v="95000"/>
    <n v="96000"/>
    <n v="93250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3"/>
    <n v="1"/>
    <s v="161343.182"/>
    <s v="קופות גמל והשתלמות              "/>
    <m/>
    <m/>
    <n v="96000"/>
    <n v="95000"/>
    <n v="90650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3"/>
    <n v="1"/>
    <s v="161343.310"/>
    <s v="שעות נוספות רשומות              "/>
    <m/>
    <m/>
    <n v="12000"/>
    <n v="12000"/>
    <n v="16468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340"/>
    <s v="61343"/>
    <n v="1"/>
    <s v="161343.340"/>
    <s v="שעות נוספות מיוחדות             "/>
    <m/>
    <m/>
    <n v="1000"/>
    <n v="1000"/>
    <n v="0"/>
    <e v="#N/A"/>
    <x v="5"/>
    <s v="הנהלה כללית"/>
    <x v="21"/>
    <s v="מינהל כללי"/>
    <x v="63"/>
    <s v="מזכירות"/>
    <s v="6134"/>
    <e v="#N/A"/>
    <m/>
    <s v="3"/>
    <x v="14"/>
    <s v="34"/>
    <e v="#N/A"/>
    <s v="340"/>
    <e v="#N/A"/>
  </r>
  <r>
    <n v="434"/>
    <s v="61343"/>
    <n v="1"/>
    <s v="161343.434"/>
    <s v="תקוני מבנים מתקנים ואינוונטר    "/>
    <m/>
    <m/>
    <n v="4000"/>
    <n v="4000"/>
    <n v="372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3"/>
    <n v="1"/>
    <s v="161343.435"/>
    <s v="חשמל ואנרגיה                    "/>
    <m/>
    <m/>
    <n v="7000"/>
    <n v="7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3"/>
    <n v="1"/>
    <s v="161343.436"/>
    <s v="נקיון                           "/>
    <m/>
    <m/>
    <n v="17000"/>
    <n v="17000"/>
    <n v="15222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3"/>
    <n v="1"/>
    <s v="161343.461"/>
    <s v="צורכי משרד                      "/>
    <m/>
    <m/>
    <n v="6000"/>
    <n v="6000"/>
    <n v="4142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3"/>
    <n v="1"/>
    <s v="161343.464"/>
    <s v="דאר                             "/>
    <m/>
    <m/>
    <n v="5000"/>
    <n v="5000"/>
    <n v="884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3"/>
    <n v="1"/>
    <s v="161343.752"/>
    <s v="אירועים חברתיים קהילתיים        "/>
    <m/>
    <m/>
    <n v="30000"/>
    <n v="30000"/>
    <n v="25525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3"/>
    <n v="1"/>
    <s v="161343.753"/>
    <s v="קשר עם תושבים                   "/>
    <m/>
    <m/>
    <n v="2000"/>
    <n v="2000"/>
    <n v="1655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3"/>
    <n v="1"/>
    <s v="161343.754"/>
    <s v="העשרת פעילים                    "/>
    <m/>
    <m/>
    <n v="12000"/>
    <n v="12000"/>
    <n v="11002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4"/>
    <n v="1"/>
    <s v="161344.110"/>
    <s v="משכורת כוללת                    "/>
    <m/>
    <m/>
    <n v="251000"/>
    <n v="220000"/>
    <n v="228990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4"/>
    <n v="1"/>
    <s v="161344.124"/>
    <s v="החזר הוצאות                     "/>
    <m/>
    <m/>
    <n v="17000"/>
    <n v="15000"/>
    <n v="16137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4"/>
    <n v="1"/>
    <s v="161344.126"/>
    <s v="הבראה                           "/>
    <m/>
    <m/>
    <n v="15000"/>
    <n v="15000"/>
    <n v="14945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4"/>
    <n v="1"/>
    <s v="161344.127"/>
    <s v="השתתפות באחזקת רכב-2            "/>
    <m/>
    <m/>
    <n v="60000"/>
    <n v="54000"/>
    <n v="57654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4"/>
    <n v="1"/>
    <s v="161344.130"/>
    <s v="תשלומים מיוחדים                 "/>
    <m/>
    <m/>
    <n v="41000"/>
    <n v="27000"/>
    <n v="31174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4"/>
    <n v="1"/>
    <s v="161344.181"/>
    <s v="מיסים וביטוח לאומי              "/>
    <m/>
    <m/>
    <n v="53000"/>
    <n v="46000"/>
    <n v="47998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4"/>
    <n v="1"/>
    <s v="161344.182"/>
    <s v="קופות גמל והשתלמות              "/>
    <m/>
    <m/>
    <n v="61000"/>
    <n v="56000"/>
    <n v="55902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4"/>
    <n v="1"/>
    <s v="161344.310"/>
    <s v="שעות נוספות רשומות              "/>
    <m/>
    <m/>
    <n v="21000"/>
    <n v="21000"/>
    <n v="24081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434"/>
    <s v="61344"/>
    <n v="1"/>
    <s v="161344.434"/>
    <s v="תקוני מבנים  מתקנים ואינוונטר   "/>
    <m/>
    <m/>
    <n v="6000"/>
    <n v="6000"/>
    <n v="402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4"/>
    <n v="1"/>
    <s v="161344.435"/>
    <s v="חשמל ואנרגיה                    "/>
    <m/>
    <m/>
    <n v="7000"/>
    <n v="7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4"/>
    <n v="1"/>
    <s v="161344.436"/>
    <s v="ניקיון                          "/>
    <m/>
    <m/>
    <n v="17000"/>
    <n v="17000"/>
    <n v="16727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4"/>
    <n v="1"/>
    <s v="161344.461"/>
    <s v="צורכי משרד                      "/>
    <m/>
    <m/>
    <n v="5000"/>
    <n v="5000"/>
    <n v="4952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4"/>
    <n v="1"/>
    <s v="161344.464"/>
    <s v="דאר                             "/>
    <m/>
    <m/>
    <n v="5000"/>
    <n v="5000"/>
    <n v="1058"/>
    <m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4"/>
    <n v="1"/>
    <s v="161344.752"/>
    <s v="אירועים חברתיים קהילתיים        "/>
    <m/>
    <m/>
    <n v="43000"/>
    <n v="43000"/>
    <n v="55203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4"/>
    <n v="1"/>
    <s v="161344.753"/>
    <s v="קשר עם תושבים                   "/>
    <m/>
    <m/>
    <n v="3000"/>
    <n v="3000"/>
    <n v="2573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4"/>
    <n v="1"/>
    <s v="161344.754"/>
    <s v="העשרת פעילים                    "/>
    <m/>
    <m/>
    <n v="2000"/>
    <n v="2000"/>
    <n v="-613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5"/>
    <n v="1"/>
    <s v="161345.110"/>
    <s v="משכורת כוללת                    "/>
    <m/>
    <m/>
    <n v="274000"/>
    <n v="217000"/>
    <n v="235526"/>
    <m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5"/>
    <n v="1"/>
    <s v="161345.124"/>
    <s v="החזר הוצאות                     "/>
    <m/>
    <m/>
    <n v="17000"/>
    <n v="13000"/>
    <n v="15332"/>
    <m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5"/>
    <n v="1"/>
    <s v="161345.126"/>
    <s v="הבראה                           "/>
    <m/>
    <m/>
    <n v="17000"/>
    <n v="17000"/>
    <n v="16653"/>
    <m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5"/>
    <n v="1"/>
    <s v="161345.127"/>
    <s v="השתתפות באחזקת רכב-2            "/>
    <m/>
    <m/>
    <n v="62000"/>
    <n v="53000"/>
    <n v="52959"/>
    <m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5"/>
    <n v="1"/>
    <s v="161345.130"/>
    <s v="תשלומים מיוחדים                 "/>
    <m/>
    <m/>
    <n v="49000"/>
    <n v="32000"/>
    <n v="39741"/>
    <m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5"/>
    <n v="1"/>
    <s v="161345.181"/>
    <s v="מיסים וביטוח לאומי              "/>
    <m/>
    <m/>
    <n v="57000"/>
    <n v="46000"/>
    <n v="47986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5"/>
    <n v="1"/>
    <s v="161345.182"/>
    <s v="קופות גמל והשתלמות              "/>
    <m/>
    <m/>
    <n v="51000"/>
    <n v="40000"/>
    <n v="42717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5"/>
    <n v="1"/>
    <s v="161345.310"/>
    <s v="שעות נוספות רשומות              "/>
    <m/>
    <m/>
    <n v="14000"/>
    <n v="14000"/>
    <n v="11453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340"/>
    <s v="61345"/>
    <n v="1"/>
    <s v="161345.340"/>
    <s v="שעות נוספות מיוחדות             "/>
    <m/>
    <m/>
    <n v="2000"/>
    <n v="2000"/>
    <n v="0"/>
    <e v="#N/A"/>
    <x v="5"/>
    <s v="הנהלה כללית"/>
    <x v="21"/>
    <s v="מינהל כללי"/>
    <x v="63"/>
    <s v="מזכירות"/>
    <s v="6134"/>
    <e v="#N/A"/>
    <m/>
    <s v="3"/>
    <x v="14"/>
    <s v="34"/>
    <e v="#N/A"/>
    <s v="340"/>
    <e v="#N/A"/>
  </r>
  <r>
    <n v="434"/>
    <s v="61345"/>
    <n v="1"/>
    <s v="161345.434"/>
    <s v="תיקוני מבנים מתקנים ואינונטר    "/>
    <m/>
    <m/>
    <n v="5000"/>
    <n v="5000"/>
    <n v="1745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5"/>
    <n v="1"/>
    <s v="161345.435"/>
    <s v="חשמל ואנרגיה                    "/>
    <m/>
    <m/>
    <n v="9000"/>
    <n v="9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5"/>
    <n v="1"/>
    <s v="161345.436"/>
    <s v="נקיון                           "/>
    <m/>
    <m/>
    <n v="17000"/>
    <n v="17000"/>
    <n v="16361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5"/>
    <n v="1"/>
    <s v="161345.461"/>
    <s v="צורכי משרד                      "/>
    <m/>
    <m/>
    <n v="3000"/>
    <n v="6000"/>
    <n v="4120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5"/>
    <n v="1"/>
    <s v="161345.464"/>
    <s v="דאר                             "/>
    <m/>
    <m/>
    <n v="3000"/>
    <n v="3000"/>
    <n v="2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5"/>
    <n v="1"/>
    <s v="161345.752"/>
    <s v="פעולות קהילה ותרבות             "/>
    <m/>
    <m/>
    <n v="40000"/>
    <n v="40000"/>
    <n v="40717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5"/>
    <n v="1"/>
    <s v="161345.753"/>
    <s v="קשר עם תושבים                   "/>
    <m/>
    <m/>
    <n v="3000"/>
    <n v="3000"/>
    <n v="2669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5"/>
    <n v="1"/>
    <s v="161345.754"/>
    <s v="העשרת פעילים                    "/>
    <m/>
    <m/>
    <n v="5000"/>
    <n v="5000"/>
    <n v="1393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6"/>
    <n v="1"/>
    <s v="161346.110"/>
    <s v="משכורת כוללת                    "/>
    <m/>
    <m/>
    <n v="353000"/>
    <n v="393000"/>
    <n v="355246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6"/>
    <n v="1"/>
    <s v="161346.124"/>
    <s v="החזר הוצאות                     "/>
    <m/>
    <m/>
    <n v="18000"/>
    <n v="29000"/>
    <n v="23199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6"/>
    <n v="1"/>
    <s v="161346.126"/>
    <s v="הבראה                           "/>
    <m/>
    <m/>
    <n v="18000"/>
    <n v="18000"/>
    <n v="18361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6"/>
    <n v="1"/>
    <s v="161346.127"/>
    <s v="השתתפות באחזקת רכב - 3          "/>
    <m/>
    <m/>
    <n v="93000"/>
    <n v="107000"/>
    <n v="102342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6"/>
    <n v="1"/>
    <s v="161346.130"/>
    <s v="תשלומים מיוחדים                 "/>
    <m/>
    <m/>
    <n v="89000"/>
    <n v="99000"/>
    <n v="90555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6"/>
    <n v="1"/>
    <s v="161346.181"/>
    <s v="מיסים וביטוח לאומי              "/>
    <m/>
    <m/>
    <n v="77000"/>
    <n v="87000"/>
    <n v="81929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6"/>
    <n v="1"/>
    <s v="161346.182"/>
    <s v="קופות גמל והשתלמות              "/>
    <m/>
    <m/>
    <n v="54000"/>
    <n v="61000"/>
    <n v="53619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6"/>
    <n v="1"/>
    <s v="161346.310"/>
    <s v="שעות נוספות רשומות              "/>
    <m/>
    <m/>
    <n v="20000"/>
    <n v="20000"/>
    <n v="30431"/>
    <m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434"/>
    <s v="61346"/>
    <n v="1"/>
    <s v="161346.434"/>
    <s v="תקוני מבנים  מתקנים ואינונטר    "/>
    <m/>
    <m/>
    <n v="5000"/>
    <n v="5000"/>
    <n v="2745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6"/>
    <n v="1"/>
    <s v="161346.435"/>
    <s v="חשמל ואנרגיה                    "/>
    <m/>
    <m/>
    <n v="13000"/>
    <n v="13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6"/>
    <n v="1"/>
    <s v="161346.436"/>
    <s v="נקיון                           "/>
    <m/>
    <m/>
    <n v="19000"/>
    <n v="19000"/>
    <n v="1861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6"/>
    <n v="1"/>
    <s v="161346.461"/>
    <s v="צורכי משרד                      "/>
    <m/>
    <m/>
    <n v="13000"/>
    <n v="13000"/>
    <n v="3792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6"/>
    <n v="1"/>
    <s v="161346.464"/>
    <s v="דאר                             "/>
    <m/>
    <m/>
    <n v="7000"/>
    <n v="7000"/>
    <n v="49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6"/>
    <n v="1"/>
    <s v="161346.752"/>
    <s v="ארועים חברתיים קהילתיים         "/>
    <m/>
    <m/>
    <n v="44000"/>
    <n v="44000"/>
    <n v="37468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6"/>
    <n v="1"/>
    <s v="161346.753"/>
    <s v="קשר עם התושבים                  "/>
    <m/>
    <m/>
    <n v="2000"/>
    <n v="2000"/>
    <n v="1780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6"/>
    <n v="1"/>
    <s v="161346.754"/>
    <s v="העשרת פעילים                    "/>
    <m/>
    <m/>
    <n v="4000"/>
    <n v="4000"/>
    <n v="-1935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7"/>
    <n v="1"/>
    <s v="161347.110"/>
    <s v="משכורת כוללת                    "/>
    <m/>
    <m/>
    <n v="202000"/>
    <n v="217000"/>
    <n v="190507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7"/>
    <n v="1"/>
    <s v="161347.124"/>
    <s v="החזר הוצאות                     "/>
    <m/>
    <m/>
    <n v="11000"/>
    <n v="15000"/>
    <n v="13386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7"/>
    <n v="1"/>
    <s v="161347.126"/>
    <s v="הבראה                           "/>
    <m/>
    <m/>
    <n v="10000"/>
    <n v="10000"/>
    <n v="10248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7"/>
    <n v="1"/>
    <s v="161347.127"/>
    <s v="השתתפות באחזקת רכב - 2          "/>
    <m/>
    <m/>
    <n v="67000"/>
    <n v="56000"/>
    <n v="56156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7"/>
    <n v="1"/>
    <s v="161347.130"/>
    <s v="תשלומים מיוחדים                 "/>
    <m/>
    <m/>
    <n v="17000"/>
    <n v="20000"/>
    <n v="19133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7"/>
    <n v="1"/>
    <s v="161347.181"/>
    <s v="מיסים וביטוח לאומי              "/>
    <m/>
    <m/>
    <n v="42000"/>
    <n v="43000"/>
    <n v="39967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7"/>
    <n v="1"/>
    <s v="161347.182"/>
    <s v="קופות גמל והשתלמות              "/>
    <m/>
    <m/>
    <n v="55000"/>
    <n v="52000"/>
    <n v="48423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7"/>
    <n v="1"/>
    <s v="161347.310"/>
    <s v="שעות נוספות רשומות              "/>
    <m/>
    <m/>
    <n v="12000"/>
    <n v="12000"/>
    <n v="17114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340"/>
    <s v="61347"/>
    <n v="1"/>
    <s v="161347.340"/>
    <s v="שעות נוספות מיוחדות             "/>
    <m/>
    <m/>
    <n v="1000"/>
    <n v="1000"/>
    <n v="0"/>
    <e v="#N/A"/>
    <x v="5"/>
    <s v="הנהלה כללית"/>
    <x v="21"/>
    <s v="מינהל כללי"/>
    <x v="63"/>
    <s v="מזכירות"/>
    <s v="6134"/>
    <e v="#N/A"/>
    <m/>
    <s v="3"/>
    <x v="14"/>
    <s v="34"/>
    <e v="#N/A"/>
    <s v="340"/>
    <e v="#N/A"/>
  </r>
  <r>
    <n v="434"/>
    <s v="61347"/>
    <n v="1"/>
    <s v="161347.434"/>
    <s v="תקוני מבנים  מתקנים ואינונטר    "/>
    <m/>
    <m/>
    <n v="5000"/>
    <n v="5000"/>
    <n v="1542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7"/>
    <n v="1"/>
    <s v="161347.435"/>
    <s v="חשמל ואנרגיה                    "/>
    <m/>
    <m/>
    <n v="6000"/>
    <n v="6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7"/>
    <n v="1"/>
    <s v="161347.436"/>
    <s v="נקיון                           "/>
    <m/>
    <m/>
    <n v="17000"/>
    <n v="17000"/>
    <n v="16594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7"/>
    <n v="1"/>
    <s v="161347.461"/>
    <s v="צורכי משרד                      "/>
    <m/>
    <m/>
    <n v="3000"/>
    <n v="3000"/>
    <n v="2720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7"/>
    <n v="1"/>
    <s v="161347.464"/>
    <s v="דאר                             "/>
    <m/>
    <m/>
    <n v="2000"/>
    <n v="2000"/>
    <n v="104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7"/>
    <n v="1"/>
    <s v="161347.752"/>
    <s v="פעולות קהילה ותרבות             "/>
    <m/>
    <m/>
    <n v="53000"/>
    <n v="53000"/>
    <n v="54110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7"/>
    <n v="1"/>
    <s v="161347.753"/>
    <s v="קשר עם התושבים                  "/>
    <m/>
    <m/>
    <n v="3000"/>
    <n v="3000"/>
    <n v="0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7"/>
    <n v="1"/>
    <s v="161347.754"/>
    <s v="העשרת פעילים                    "/>
    <m/>
    <m/>
    <n v="10000"/>
    <n v="10000"/>
    <n v="9591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8"/>
    <n v="1"/>
    <s v="161348.110"/>
    <s v="משכורת כוללת                    "/>
    <m/>
    <m/>
    <n v="208000"/>
    <n v="172000"/>
    <n v="172093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8"/>
    <n v="1"/>
    <s v="161348.124"/>
    <s v="החזר הוצאות                     "/>
    <m/>
    <m/>
    <n v="11000"/>
    <n v="9000"/>
    <n v="9759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8"/>
    <n v="1"/>
    <s v="161348.126"/>
    <s v="הבראה                           "/>
    <m/>
    <m/>
    <n v="11000"/>
    <n v="11000"/>
    <n v="11193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8"/>
    <n v="1"/>
    <s v="161348.127"/>
    <s v="השתתפות באחזקת רכב - 2          "/>
    <m/>
    <m/>
    <n v="64000"/>
    <n v="46000"/>
    <n v="49811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8"/>
    <n v="1"/>
    <s v="161348.130"/>
    <s v="תשלומים מיוחדים                 "/>
    <m/>
    <m/>
    <n v="22000"/>
    <n v="8000"/>
    <n v="11085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8"/>
    <n v="1"/>
    <s v="161348.181"/>
    <s v="מיסים וביטוח לאומי              "/>
    <m/>
    <m/>
    <n v="43000"/>
    <n v="34000"/>
    <n v="34203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8"/>
    <n v="1"/>
    <s v="161348.182"/>
    <s v="קופות גמל והשתלמות              "/>
    <m/>
    <m/>
    <n v="47000"/>
    <n v="45000"/>
    <n v="44334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8"/>
    <n v="1"/>
    <s v="161348.310"/>
    <s v="שעות נוספות רשומות              "/>
    <m/>
    <m/>
    <n v="14000"/>
    <n v="14000"/>
    <n v="14532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434"/>
    <s v="61348"/>
    <n v="1"/>
    <s v="161348.434"/>
    <s v="תקוני מבנים  מתקנים ואינונטר    "/>
    <m/>
    <m/>
    <n v="4000"/>
    <n v="4000"/>
    <n v="1806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8"/>
    <n v="1"/>
    <s v="161348.435"/>
    <s v="חשמל ואנרגיה                    "/>
    <m/>
    <m/>
    <n v="10000"/>
    <n v="10000"/>
    <n v="1000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8"/>
    <n v="1"/>
    <s v="161348.436"/>
    <s v="נקיון                           "/>
    <m/>
    <m/>
    <n v="24000"/>
    <n v="24000"/>
    <n v="21339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8"/>
    <n v="1"/>
    <s v="161348.461"/>
    <s v="צורכי משרד                      "/>
    <m/>
    <m/>
    <n v="12000"/>
    <n v="12000"/>
    <n v="5352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8"/>
    <n v="1"/>
    <s v="161348.464"/>
    <s v="דאר                             "/>
    <m/>
    <m/>
    <n v="2000"/>
    <n v="2000"/>
    <n v="696"/>
    <m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8"/>
    <n v="1"/>
    <s v="161348.752"/>
    <s v="ארועים מרכזיים                  "/>
    <m/>
    <m/>
    <n v="38000"/>
    <n v="38000"/>
    <n v="31120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8"/>
    <n v="1"/>
    <s v="161348.753"/>
    <s v="קשר עם התושבים                  "/>
    <m/>
    <m/>
    <n v="2000"/>
    <n v="2000"/>
    <n v="1995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8"/>
    <n v="1"/>
    <s v="161348.754"/>
    <s v="העשרת פעילים                    "/>
    <m/>
    <m/>
    <n v="5000"/>
    <n v="5000"/>
    <n v="4609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49"/>
    <n v="1"/>
    <s v="161349.110"/>
    <s v="משכורת כוללת                    "/>
    <m/>
    <m/>
    <n v="189000"/>
    <n v="212000"/>
    <n v="190080"/>
    <e v="#N/A"/>
    <x v="5"/>
    <s v="הנהלה כללית"/>
    <x v="21"/>
    <s v="מינהל כללי"/>
    <x v="63"/>
    <s v="מזכירות"/>
    <s v="6134"/>
    <e v="#N/A"/>
    <m/>
    <s v="1"/>
    <x v="9"/>
    <s v="11"/>
    <s v="השכר הקובע"/>
    <s v="110"/>
    <e v="#N/A"/>
  </r>
  <r>
    <n v="124"/>
    <s v="61349"/>
    <n v="1"/>
    <s v="161349.124"/>
    <s v="החזר הוצאות                     "/>
    <m/>
    <m/>
    <n v="12000"/>
    <n v="14000"/>
    <n v="13004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4"/>
    <e v="#N/A"/>
  </r>
  <r>
    <n v="126"/>
    <s v="61349"/>
    <n v="1"/>
    <s v="161349.126"/>
    <s v="הבראה                           "/>
    <m/>
    <m/>
    <n v="11000"/>
    <n v="8000"/>
    <n v="9442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6"/>
    <e v="#N/A"/>
  </r>
  <r>
    <n v="127"/>
    <s v="61349"/>
    <n v="1"/>
    <s v="161349.127"/>
    <s v="השתתפות באחזקת רכב -2           "/>
    <m/>
    <m/>
    <n v="60000"/>
    <n v="78000"/>
    <n v="68837"/>
    <e v="#N/A"/>
    <x v="5"/>
    <s v="הנהלה כללית"/>
    <x v="21"/>
    <s v="מינהל כללי"/>
    <x v="63"/>
    <s v="מזכירות"/>
    <s v="6134"/>
    <e v="#N/A"/>
    <m/>
    <s v="1"/>
    <x v="9"/>
    <s v="12"/>
    <s v="תוספות שאינן נכללות בשכר הקובע"/>
    <s v="127"/>
    <e v="#N/A"/>
  </r>
  <r>
    <n v="130"/>
    <s v="61349"/>
    <n v="1"/>
    <s v="161349.130"/>
    <s v="תשלומים מיוחדים                 "/>
    <m/>
    <m/>
    <n v="41000"/>
    <n v="60000"/>
    <n v="47633"/>
    <e v="#N/A"/>
    <x v="5"/>
    <s v="הנהלה כללית"/>
    <x v="21"/>
    <s v="מינהל כללי"/>
    <x v="63"/>
    <s v="מזכירות"/>
    <s v="6134"/>
    <e v="#N/A"/>
    <m/>
    <s v="1"/>
    <x v="9"/>
    <s v="13"/>
    <s v="שעות נוספות"/>
    <s v="130"/>
    <e v="#N/A"/>
  </r>
  <r>
    <n v="181"/>
    <s v="61349"/>
    <n v="1"/>
    <s v="161349.181"/>
    <s v="מיסים וביטוח לאומי              "/>
    <m/>
    <m/>
    <n v="43000"/>
    <n v="50000"/>
    <n v="43323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1"/>
    <s v="הפרשות סוציאליות"/>
  </r>
  <r>
    <n v="182"/>
    <s v="61349"/>
    <n v="1"/>
    <s v="161349.182"/>
    <s v="קופות גמל והשתלמות              "/>
    <m/>
    <m/>
    <n v="39000"/>
    <n v="39000"/>
    <n v="34738"/>
    <e v="#N/A"/>
    <x v="5"/>
    <s v="הנהלה כללית"/>
    <x v="21"/>
    <s v="מינהל כללי"/>
    <x v="63"/>
    <s v="מזכירות"/>
    <s v="6134"/>
    <e v="#N/A"/>
    <m/>
    <s v="1"/>
    <x v="9"/>
    <s v="18"/>
    <s v="נלוות לשכר"/>
    <s v="182"/>
    <s v="מיסיום ועלויות"/>
  </r>
  <r>
    <n v="310"/>
    <s v="61349"/>
    <n v="1"/>
    <s v="161349.310"/>
    <s v="שעות נוספות רשומות              "/>
    <m/>
    <m/>
    <n v="14000"/>
    <n v="14000"/>
    <n v="5310"/>
    <e v="#N/A"/>
    <x v="5"/>
    <s v="הנהלה כללית"/>
    <x v="21"/>
    <s v="מינהל כללי"/>
    <x v="63"/>
    <s v="מזכירות"/>
    <s v="6134"/>
    <e v="#N/A"/>
    <m/>
    <s v="3"/>
    <x v="14"/>
    <s v="31"/>
    <s v="פנסיה"/>
    <s v="310"/>
    <e v="#N/A"/>
  </r>
  <r>
    <n v="434"/>
    <s v="61349"/>
    <n v="1"/>
    <s v="161349.434"/>
    <s v="תקוני מבנים  מתקנים ואינונטר    "/>
    <m/>
    <m/>
    <n v="10000"/>
    <n v="10000"/>
    <n v="5378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4"/>
    <s v="שירותי ניקיון"/>
  </r>
  <r>
    <n v="435"/>
    <s v="61349"/>
    <n v="1"/>
    <s v="161349.435"/>
    <s v="חשמל ואנרגיה                    "/>
    <m/>
    <m/>
    <n v="15000"/>
    <n v="15000"/>
    <n v="1500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5"/>
    <e v="#N/A"/>
  </r>
  <r>
    <n v="436"/>
    <s v="61349"/>
    <n v="1"/>
    <s v="161349.436"/>
    <s v="נקיון                           "/>
    <m/>
    <m/>
    <n v="12000"/>
    <n v="12000"/>
    <n v="0"/>
    <e v="#N/A"/>
    <x v="5"/>
    <s v="הנהלה כללית"/>
    <x v="21"/>
    <s v="מינהל כללי"/>
    <x v="63"/>
    <s v="מזכירות"/>
    <s v="6134"/>
    <e v="#N/A"/>
    <m/>
    <s v="4"/>
    <x v="15"/>
    <s v="43"/>
    <s v="חשמל, מים וחומרי ניקיון"/>
    <s v="436"/>
    <e v="#N/A"/>
  </r>
  <r>
    <n v="461"/>
    <s v="61349"/>
    <n v="1"/>
    <s v="161349.461"/>
    <s v="צורכי משרד                      "/>
    <m/>
    <m/>
    <n v="10000"/>
    <n v="10000"/>
    <n v="6293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1"/>
    <e v="#N/A"/>
  </r>
  <r>
    <n v="464"/>
    <s v="61349"/>
    <n v="1"/>
    <s v="161349.464"/>
    <s v="דאר                             "/>
    <m/>
    <m/>
    <n v="3000"/>
    <n v="3000"/>
    <n v="1546"/>
    <e v="#N/A"/>
    <x v="5"/>
    <s v="הנהלה כללית"/>
    <x v="21"/>
    <s v="מינהל כללי"/>
    <x v="63"/>
    <s v="מזכירות"/>
    <s v="6134"/>
    <e v="#N/A"/>
    <m/>
    <s v="4"/>
    <x v="15"/>
    <s v="46"/>
    <e v="#N/A"/>
    <s v="464"/>
    <e v="#N/A"/>
  </r>
  <r>
    <n v="752"/>
    <s v="61349"/>
    <n v="1"/>
    <s v="161349.752"/>
    <s v="ארועים מרכזיים                  "/>
    <m/>
    <m/>
    <n v="52000"/>
    <n v="52000"/>
    <n v="37422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2"/>
    <e v="#N/A"/>
  </r>
  <r>
    <n v="753"/>
    <s v="61349"/>
    <n v="1"/>
    <s v="161349.753"/>
    <s v="קשר עם התושבים                  "/>
    <m/>
    <m/>
    <n v="3000"/>
    <n v="3000"/>
    <n v="1021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3"/>
    <e v="#N/A"/>
  </r>
  <r>
    <n v="754"/>
    <s v="61349"/>
    <n v="1"/>
    <s v="161349.754"/>
    <s v="העשרת פעילים                    "/>
    <m/>
    <m/>
    <n v="2000"/>
    <n v="2000"/>
    <n v="717"/>
    <e v="#N/A"/>
    <x v="5"/>
    <s v="הנהלה כללית"/>
    <x v="21"/>
    <s v="מינהל כללי"/>
    <x v="63"/>
    <s v="מזכירות"/>
    <s v="6134"/>
    <e v="#N/A"/>
    <m/>
    <s v="7"/>
    <x v="13"/>
    <s v="75"/>
    <s v="עבודות קבלניות"/>
    <s v="754"/>
    <e v="#N/A"/>
  </r>
  <r>
    <n v="110"/>
    <s v="61350"/>
    <n v="1"/>
    <s v="161350.110"/>
    <s v="משכורת כוללת                    "/>
    <m/>
    <m/>
    <n v="3621000"/>
    <n v="3102000"/>
    <n v="3268654"/>
    <e v="#N/A"/>
    <x v="5"/>
    <s v="הנהלה כללית"/>
    <x v="21"/>
    <s v="מינהל כללי"/>
    <x v="63"/>
    <s v="מזכירות"/>
    <s v="6135"/>
    <e v="#N/A"/>
    <m/>
    <s v="1"/>
    <x v="9"/>
    <s v="11"/>
    <s v="השכר הקובע"/>
    <s v="110"/>
    <e v="#N/A"/>
  </r>
  <r>
    <n v="124"/>
    <s v="61350"/>
    <n v="1"/>
    <s v="161350.124"/>
    <s v="החזר הוצאות                     "/>
    <m/>
    <m/>
    <n v="147000"/>
    <n v="162000"/>
    <n v="139819"/>
    <e v="#N/A"/>
    <x v="5"/>
    <s v="הנהלה כללית"/>
    <x v="21"/>
    <s v="מינהל כללי"/>
    <x v="63"/>
    <s v="מזכירות"/>
    <s v="6135"/>
    <e v="#N/A"/>
    <m/>
    <s v="1"/>
    <x v="9"/>
    <s v="12"/>
    <s v="תוספות שאינן נכללות בשכר הקובע"/>
    <s v="124"/>
    <e v="#N/A"/>
  </r>
  <r>
    <n v="126"/>
    <s v="61350"/>
    <n v="1"/>
    <s v="161350.126"/>
    <s v="הבראה                           "/>
    <m/>
    <m/>
    <n v="123000"/>
    <n v="142000"/>
    <n v="108227"/>
    <e v="#N/A"/>
    <x v="5"/>
    <s v="הנהלה כללית"/>
    <x v="21"/>
    <s v="מינהל כללי"/>
    <x v="63"/>
    <s v="מזכירות"/>
    <s v="6135"/>
    <e v="#N/A"/>
    <m/>
    <s v="1"/>
    <x v="9"/>
    <s v="12"/>
    <s v="תוספות שאינן נכללות בשכר הקובע"/>
    <s v="126"/>
    <e v="#N/A"/>
  </r>
  <r>
    <n v="127"/>
    <s v="61350"/>
    <n v="1"/>
    <s v="161350.127"/>
    <s v="השתתפות באחזקת רכב - 17         "/>
    <m/>
    <m/>
    <n v="497000"/>
    <n v="466000"/>
    <n v="440311"/>
    <e v="#N/A"/>
    <x v="5"/>
    <s v="הנהלה כללית"/>
    <x v="21"/>
    <s v="מינהל כללי"/>
    <x v="63"/>
    <s v="מזכירות"/>
    <s v="6135"/>
    <e v="#N/A"/>
    <m/>
    <s v="1"/>
    <x v="9"/>
    <s v="12"/>
    <s v="תוספות שאינן נכללות בשכר הקובע"/>
    <s v="127"/>
    <e v="#N/A"/>
  </r>
  <r>
    <n v="130"/>
    <s v="61350"/>
    <n v="1"/>
    <s v="161350.130"/>
    <s v="תשלומים מיוחדים                 "/>
    <m/>
    <m/>
    <n v="296000"/>
    <n v="305000"/>
    <n v="282508"/>
    <e v="#N/A"/>
    <x v="5"/>
    <s v="הנהלה כללית"/>
    <x v="21"/>
    <s v="מינהל כללי"/>
    <x v="63"/>
    <s v="מזכירות"/>
    <s v="6135"/>
    <e v="#N/A"/>
    <m/>
    <s v="1"/>
    <x v="9"/>
    <s v="13"/>
    <s v="שעות נוספות"/>
    <s v="130"/>
    <e v="#N/A"/>
  </r>
  <r>
    <n v="181"/>
    <s v="61350"/>
    <n v="1"/>
    <s v="161350.181"/>
    <s v="מיסים וביטוח לאומי              "/>
    <m/>
    <m/>
    <n v="626000"/>
    <n v="560000"/>
    <n v="578152"/>
    <e v="#N/A"/>
    <x v="5"/>
    <s v="הנהלה כללית"/>
    <x v="21"/>
    <s v="מינהל כללי"/>
    <x v="63"/>
    <s v="מזכירות"/>
    <s v="6135"/>
    <e v="#N/A"/>
    <m/>
    <s v="1"/>
    <x v="9"/>
    <s v="18"/>
    <s v="נלוות לשכר"/>
    <s v="181"/>
    <s v="הפרשות סוציאליות"/>
  </r>
  <r>
    <n v="182"/>
    <s v="61350"/>
    <n v="1"/>
    <s v="161350.182"/>
    <s v="קופות גמל והשתלמות              "/>
    <m/>
    <m/>
    <n v="506000"/>
    <n v="521000"/>
    <n v="484343"/>
    <e v="#N/A"/>
    <x v="5"/>
    <s v="הנהלה כללית"/>
    <x v="21"/>
    <s v="מינהל כללי"/>
    <x v="63"/>
    <s v="מזכירות"/>
    <s v="6135"/>
    <e v="#N/A"/>
    <m/>
    <s v="1"/>
    <x v="9"/>
    <s v="18"/>
    <s v="נלוות לשכר"/>
    <s v="182"/>
    <s v="מיסיום ועלויות"/>
  </r>
  <r>
    <n v="310"/>
    <s v="61350"/>
    <n v="1"/>
    <s v="161350.310"/>
    <s v="שעות נוספות רשומות              "/>
    <m/>
    <m/>
    <n v="104000"/>
    <n v="102000"/>
    <n v="100592"/>
    <e v="#N/A"/>
    <x v="5"/>
    <s v="הנהלה כללית"/>
    <x v="21"/>
    <s v="מינהל כללי"/>
    <x v="63"/>
    <s v="מזכירות"/>
    <s v="6135"/>
    <e v="#N/A"/>
    <m/>
    <s v="3"/>
    <x v="14"/>
    <s v="31"/>
    <s v="פנסיה"/>
    <s v="310"/>
    <e v="#N/A"/>
  </r>
  <r>
    <n v="412"/>
    <s v="61350"/>
    <n v="1"/>
    <s v="161350.412"/>
    <s v="מיסים ואגרות                    "/>
    <m/>
    <m/>
    <n v="2000"/>
    <n v="2000"/>
    <n v="690"/>
    <e v="#N/A"/>
    <x v="5"/>
    <s v="הנהלה כללית"/>
    <x v="21"/>
    <s v="מינהל כללי"/>
    <x v="63"/>
    <s v="מזכירות"/>
    <s v="6135"/>
    <e v="#N/A"/>
    <m/>
    <s v="4"/>
    <x v="15"/>
    <s v="41"/>
    <s v="שכר דירה ודמי חכירה"/>
    <s v="412"/>
    <e v="#N/A"/>
  </r>
  <r>
    <n v="431"/>
    <s v="61350"/>
    <n v="1"/>
    <s v="161350.431"/>
    <s v="מים                             "/>
    <m/>
    <m/>
    <n v="23000"/>
    <n v="26000"/>
    <n v="24838"/>
    <e v="#N/A"/>
    <x v="5"/>
    <s v="הנהלה כללית"/>
    <x v="21"/>
    <s v="מינהל כללי"/>
    <x v="63"/>
    <s v="מזכירות"/>
    <s v="6135"/>
    <e v="#N/A"/>
    <m/>
    <s v="4"/>
    <x v="15"/>
    <s v="43"/>
    <s v="חשמל, מים וחומרי ניקיון"/>
    <s v="431"/>
    <s v="חשמל"/>
  </r>
  <r>
    <n v="433"/>
    <s v="61350"/>
    <n v="1"/>
    <s v="161350.433"/>
    <s v="ביטוח                           "/>
    <m/>
    <m/>
    <n v="53000"/>
    <n v="46000"/>
    <n v="41000"/>
    <e v="#N/A"/>
    <x v="5"/>
    <s v="הנהלה כללית"/>
    <x v="21"/>
    <s v="מינהל כללי"/>
    <x v="63"/>
    <s v="מזכירות"/>
    <s v="6135"/>
    <e v="#N/A"/>
    <m/>
    <s v="4"/>
    <x v="15"/>
    <s v="43"/>
    <s v="חשמל, מים וחומרי ניקיון"/>
    <s v="433"/>
    <s v="חומרי ניקיון"/>
  </r>
  <r>
    <n v="434"/>
    <s v="61350"/>
    <n v="1"/>
    <s v="161350.434"/>
    <s v="תקוני מבנים  מתקנים ואינונטר    "/>
    <m/>
    <m/>
    <n v="10000"/>
    <n v="10000"/>
    <n v="3999"/>
    <e v="#N/A"/>
    <x v="5"/>
    <s v="הנהלה כללית"/>
    <x v="21"/>
    <s v="מינהל כללי"/>
    <x v="63"/>
    <s v="מזכירות"/>
    <s v="6135"/>
    <e v="#N/A"/>
    <m/>
    <s v="4"/>
    <x v="15"/>
    <s v="43"/>
    <s v="חשמל, מים וחומרי ניקיון"/>
    <s v="434"/>
    <s v="שירותי ניקיון"/>
  </r>
  <r>
    <n v="435"/>
    <s v="61350"/>
    <n v="1"/>
    <s v="161350.435"/>
    <s v="חשמל ואנרגיה                    "/>
    <m/>
    <m/>
    <n v="12000"/>
    <n v="12000"/>
    <n v="60818"/>
    <e v="#N/A"/>
    <x v="5"/>
    <s v="הנהלה כללית"/>
    <x v="21"/>
    <s v="מינהל כללי"/>
    <x v="63"/>
    <s v="מזכירות"/>
    <s v="6135"/>
    <e v="#N/A"/>
    <m/>
    <s v="4"/>
    <x v="15"/>
    <s v="43"/>
    <s v="חשמל, מים וחומרי ניקיון"/>
    <s v="435"/>
    <e v="#N/A"/>
  </r>
  <r>
    <n v="439"/>
    <s v="61350"/>
    <n v="1"/>
    <s v="161350.439"/>
    <s v="אחזקת בניני העיריה-השתתפות      "/>
    <m/>
    <m/>
    <n v="408000"/>
    <n v="432000"/>
    <n v="400000"/>
    <m/>
    <x v="5"/>
    <s v="הנהלה כללית"/>
    <x v="21"/>
    <s v="מינהל כללי"/>
    <x v="63"/>
    <s v="מזכירות"/>
    <s v="6135"/>
    <e v="#N/A"/>
    <m/>
    <s v="4"/>
    <x v="15"/>
    <s v="43"/>
    <s v="חשמל, מים וחומרי ניקיון"/>
    <s v="439"/>
    <e v="#N/A"/>
  </r>
  <r>
    <n v="461"/>
    <s v="61350"/>
    <n v="1"/>
    <s v="161350.461"/>
    <s v="צורכי משרד                      "/>
    <m/>
    <m/>
    <n v="21000"/>
    <n v="33000"/>
    <n v="15339"/>
    <e v="#N/A"/>
    <x v="5"/>
    <s v="הנהלה כללית"/>
    <x v="21"/>
    <s v="מינהל כללי"/>
    <x v="63"/>
    <s v="מזכירות"/>
    <s v="6135"/>
    <e v="#N/A"/>
    <m/>
    <s v="4"/>
    <x v="15"/>
    <s v="46"/>
    <e v="#N/A"/>
    <s v="461"/>
    <e v="#N/A"/>
  </r>
  <r>
    <n v="462"/>
    <s v="61350"/>
    <n v="1"/>
    <s v="161350.462"/>
    <s v="ספרים ועתונים                   "/>
    <m/>
    <m/>
    <n v="10000"/>
    <n v="10000"/>
    <n v="7607"/>
    <e v="#N/A"/>
    <x v="5"/>
    <s v="הנהלה כללית"/>
    <x v="21"/>
    <s v="מינהל כללי"/>
    <x v="63"/>
    <s v="מזכירות"/>
    <s v="6135"/>
    <e v="#N/A"/>
    <m/>
    <s v="4"/>
    <x v="15"/>
    <s v="46"/>
    <e v="#N/A"/>
    <s v="462"/>
    <e v="#N/A"/>
  </r>
  <r>
    <n v="464"/>
    <s v="61350"/>
    <n v="1"/>
    <s v="161350.464"/>
    <s v="דאר                             "/>
    <m/>
    <m/>
    <n v="2000"/>
    <n v="2000"/>
    <n v="1034"/>
    <e v="#N/A"/>
    <x v="5"/>
    <s v="הנהלה כללית"/>
    <x v="21"/>
    <s v="מינהל כללי"/>
    <x v="63"/>
    <s v="מזכירות"/>
    <s v="6135"/>
    <e v="#N/A"/>
    <m/>
    <s v="4"/>
    <x v="15"/>
    <s v="46"/>
    <e v="#N/A"/>
    <s v="464"/>
    <e v="#N/A"/>
  </r>
  <r>
    <n v="510"/>
    <s v="61350"/>
    <n v="1"/>
    <s v="161350.510"/>
    <s v="נסיעות  ואש ל                   "/>
    <m/>
    <m/>
    <n v="4000"/>
    <n v="4000"/>
    <n v="3167"/>
    <e v="#N/A"/>
    <x v="5"/>
    <s v="הנהלה כללית"/>
    <x v="21"/>
    <s v="מינהל כללי"/>
    <x v="63"/>
    <s v="מזכירות"/>
    <s v="6135"/>
    <e v="#N/A"/>
    <m/>
    <s v="5"/>
    <x v="11"/>
    <s v="51"/>
    <s v="אש&quot;ל וכיבודים"/>
    <s v="510"/>
    <e v="#N/A"/>
  </r>
  <r>
    <n v="521"/>
    <s v="61350"/>
    <n v="1"/>
    <s v="161350.521"/>
    <s v="הדרכה וכנסים                    "/>
    <m/>
    <m/>
    <n v="20000"/>
    <n v="20000"/>
    <n v="18828"/>
    <e v="#N/A"/>
    <x v="5"/>
    <s v="הנהלה כללית"/>
    <x v="21"/>
    <s v="מינהל כללי"/>
    <x v="63"/>
    <s v="מזכירות"/>
    <s v="6135"/>
    <e v="#N/A"/>
    <m/>
    <s v="5"/>
    <x v="11"/>
    <s v="52"/>
    <s v="השתלמויות וספרות מקצועית"/>
    <s v="521"/>
    <s v="השתלמויות וספרות מקצועית"/>
  </r>
  <r>
    <n v="522"/>
    <s v="61350"/>
    <n v="1"/>
    <s v="161350.522"/>
    <s v="גיבוש יחידתי                    "/>
    <m/>
    <m/>
    <n v="5000"/>
    <n v="5000"/>
    <n v="5499"/>
    <e v="#N/A"/>
    <x v="5"/>
    <s v="הנהלה כללית"/>
    <x v="21"/>
    <s v="מינהל כללי"/>
    <x v="63"/>
    <s v="מזכירות"/>
    <s v="6135"/>
    <e v="#N/A"/>
    <m/>
    <s v="5"/>
    <x v="11"/>
    <s v="52"/>
    <s v="השתלמויות וספרות מקצועית"/>
    <s v="522"/>
    <s v="ספרות מקצועית ועיתונות"/>
  </r>
  <r>
    <n v="531"/>
    <s v="61350"/>
    <n v="1"/>
    <s v="161350.531"/>
    <s v="אחזקת רכב                       "/>
    <m/>
    <m/>
    <n v="25000"/>
    <n v="25000"/>
    <n v="28828"/>
    <e v="#N/A"/>
    <x v="5"/>
    <s v="הנהלה כללית"/>
    <x v="21"/>
    <s v="מינהל כללי"/>
    <x v="63"/>
    <s v="מזכירות"/>
    <s v="6135"/>
    <e v="#N/A"/>
    <m/>
    <s v="5"/>
    <x v="11"/>
    <s v="53"/>
    <s v="הוצאות רכב מינהלי"/>
    <s v="531"/>
    <s v="דלק ושמנים"/>
  </r>
  <r>
    <n v="532"/>
    <s v="61350"/>
    <n v="1"/>
    <s v="161350.532"/>
    <s v="ביטוח רכב                       "/>
    <m/>
    <m/>
    <n v="19000"/>
    <n v="19000"/>
    <n v="17784"/>
    <e v="#N/A"/>
    <x v="5"/>
    <s v="הנהלה כללית"/>
    <x v="21"/>
    <s v="מינהל כללי"/>
    <x v="63"/>
    <s v="מזכירות"/>
    <s v="6135"/>
    <e v="#N/A"/>
    <m/>
    <s v="5"/>
    <x v="11"/>
    <s v="53"/>
    <s v="הוצאות רכב מינהלי"/>
    <s v="532"/>
    <s v="תיקונים"/>
  </r>
  <r>
    <n v="533"/>
    <s v="61350"/>
    <n v="1"/>
    <s v="161350.533"/>
    <s v="שכירת רכב                       "/>
    <m/>
    <m/>
    <n v="70000"/>
    <n v="75000"/>
    <n v="70005"/>
    <m/>
    <x v="5"/>
    <s v="הנהלה כללית"/>
    <x v="21"/>
    <s v="מינהל כללי"/>
    <x v="63"/>
    <s v="מזכירות"/>
    <s v="6135"/>
    <e v="#N/A"/>
    <m/>
    <s v="5"/>
    <x v="11"/>
    <s v="53"/>
    <s v="הוצאות רכב מינהלי"/>
    <s v="533"/>
    <s v="רישוי וביטוח"/>
  </r>
  <r>
    <n v="534"/>
    <s v="61350"/>
    <n v="1"/>
    <s v="161350.534"/>
    <s v="דלק ושמן                        "/>
    <m/>
    <m/>
    <n v="46000"/>
    <n v="47000"/>
    <n v="48629"/>
    <m/>
    <x v="5"/>
    <s v="הנהלה כללית"/>
    <x v="21"/>
    <s v="מינהל כללי"/>
    <x v="63"/>
    <s v="מזכירות"/>
    <s v="6135"/>
    <e v="#N/A"/>
    <m/>
    <s v="5"/>
    <x v="11"/>
    <s v="53"/>
    <s v="הוצאות רכב מינהלי"/>
    <s v="534"/>
    <e v="#N/A"/>
  </r>
  <r>
    <n v="541"/>
    <s v="61350"/>
    <n v="1"/>
    <s v="161350.541"/>
    <s v="החזקת מכשירי קשר וסלולר         "/>
    <m/>
    <m/>
    <n v="28000"/>
    <n v="28000"/>
    <n v="34958"/>
    <e v="#N/A"/>
    <x v="5"/>
    <s v="הנהלה כללית"/>
    <x v="21"/>
    <s v="מינהל כללי"/>
    <x v="63"/>
    <s v="מזכירות"/>
    <s v="6135"/>
    <e v="#N/A"/>
    <m/>
    <s v="5"/>
    <x v="11"/>
    <s v="54"/>
    <s v="הוצאות תקשורת"/>
    <s v="541"/>
    <e v="#N/A"/>
  </r>
  <r>
    <n v="610"/>
    <s v="61350"/>
    <n v="1"/>
    <s v="161350.610"/>
    <s v="כיבודים                         "/>
    <m/>
    <m/>
    <n v="15000"/>
    <n v="15000"/>
    <n v="10876"/>
    <e v="#N/A"/>
    <x v="5"/>
    <s v="הנהלה כללית"/>
    <x v="21"/>
    <s v="מינהל כללי"/>
    <x v="63"/>
    <s v="מזכירות"/>
    <s v="6135"/>
    <e v="#N/A"/>
    <m/>
    <s v="6"/>
    <x v="12"/>
    <s v="61"/>
    <s v="עמלות"/>
    <s v="610"/>
    <e v="#N/A"/>
  </r>
  <r>
    <n v="670"/>
    <s v="61350"/>
    <n v="1"/>
    <s v="161350.670"/>
    <s v="סעיף שאינו חוזר                 "/>
    <m/>
    <m/>
    <n v="0"/>
    <n v="31000"/>
    <n v="44491"/>
    <e v="#N/A"/>
    <x v="5"/>
    <s v="הנהלה כללית"/>
    <x v="21"/>
    <s v="מינהל כללי"/>
    <x v="63"/>
    <s v="מזכירות"/>
    <s v="6135"/>
    <e v="#N/A"/>
    <m/>
    <s v="6"/>
    <x v="12"/>
    <s v="67"/>
    <e v="#N/A"/>
    <s v="670"/>
    <e v="#N/A"/>
  </r>
  <r>
    <n v="680"/>
    <s v="61350"/>
    <n v="1"/>
    <s v="161350.680"/>
    <s v="הוצאות מיוחדות                  "/>
    <m/>
    <m/>
    <n v="9000"/>
    <n v="12000"/>
    <n v="2506"/>
    <e v="#N/A"/>
    <x v="5"/>
    <s v="הנהלה כללית"/>
    <x v="21"/>
    <s v="מינהל כללי"/>
    <x v="63"/>
    <s v="מזכירות"/>
    <s v="6135"/>
    <e v="#N/A"/>
    <m/>
    <s v="6"/>
    <x v="12"/>
    <s v="68"/>
    <s v="ריבית על הוצאות אחרות"/>
    <s v="680"/>
    <e v="#N/A"/>
  </r>
  <r>
    <n v="691"/>
    <s v="61350"/>
    <n v="1"/>
    <s v="161350.691"/>
    <s v="מערכות מידע ומחשוב              "/>
    <m/>
    <m/>
    <n v="370000"/>
    <n v="330000"/>
    <n v="238146"/>
    <e v="#N/A"/>
    <x v="5"/>
    <s v="הנהלה כללית"/>
    <x v="21"/>
    <s v="מינהל כללי"/>
    <x v="63"/>
    <s v="מזכירות"/>
    <s v="6135"/>
    <e v="#N/A"/>
    <m/>
    <s v="6"/>
    <x v="12"/>
    <s v="69"/>
    <s v="שונות"/>
    <s v="691"/>
    <s v="תשלום ע&quot;ח קרן"/>
  </r>
  <r>
    <n v="693"/>
    <s v="61350"/>
    <n v="1"/>
    <s v="161350.693"/>
    <s v="מיחשוב יחידתי                   "/>
    <m/>
    <m/>
    <n v="20000"/>
    <n v="20000"/>
    <n v="18847"/>
    <e v="#N/A"/>
    <x v="5"/>
    <s v="הנהלה כללית"/>
    <x v="21"/>
    <s v="מינהל כללי"/>
    <x v="63"/>
    <s v="מזכירות"/>
    <s v="6135"/>
    <e v="#N/A"/>
    <m/>
    <s v="6"/>
    <x v="12"/>
    <s v="69"/>
    <s v="שונות"/>
    <s v="693"/>
    <s v="תשלום ע&quot;ח הצמדת ערך"/>
  </r>
  <r>
    <n v="751"/>
    <s v="61350"/>
    <n v="1"/>
    <s v="161350.751"/>
    <s v="ניקיון קבלני                    "/>
    <m/>
    <m/>
    <n v="34000"/>
    <n v="34000"/>
    <n v="33999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1"/>
    <e v="#N/A"/>
  </r>
  <r>
    <n v="752"/>
    <s v="61350"/>
    <n v="1"/>
    <s v="161350.752"/>
    <s v="הפעלה קהילתית בשכונות וארועים   "/>
    <m/>
    <m/>
    <n v="460000"/>
    <n v="400000"/>
    <n v="516149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2"/>
    <e v="#N/A"/>
  </r>
  <r>
    <n v="753"/>
    <s v="61350"/>
    <n v="1"/>
    <s v="161350.753"/>
    <s v="כריזה במסגדים                   "/>
    <m/>
    <m/>
    <n v="17000"/>
    <n v="37000"/>
    <n v="15045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3"/>
    <e v="#N/A"/>
  </r>
  <r>
    <n v="755"/>
    <s v="61350"/>
    <n v="1"/>
    <s v="161350.755"/>
    <s v="אחזקת שוק הפשפשים ואחרים        "/>
    <m/>
    <m/>
    <n v="21000"/>
    <n v="21000"/>
    <n v="13097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5"/>
    <e v="#N/A"/>
  </r>
  <r>
    <n v="756"/>
    <s v="61350"/>
    <n v="1"/>
    <s v="161350.756"/>
    <s v="פינוי פסולת וניקוי מגרשים       "/>
    <m/>
    <m/>
    <n v="860000"/>
    <n v="1000000"/>
    <n v="918434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6"/>
    <e v="#N/A"/>
  </r>
  <r>
    <n v="758"/>
    <s v="61350"/>
    <n v="1"/>
    <s v="161350.758"/>
    <s v="מרכז עמיעד                      "/>
    <m/>
    <m/>
    <n v="25000"/>
    <n v="25000"/>
    <n v="12052"/>
    <e v="#N/A"/>
    <x v="5"/>
    <s v="הנהלה כללית"/>
    <x v="21"/>
    <s v="מינהל כללי"/>
    <x v="63"/>
    <s v="מזכירות"/>
    <s v="6135"/>
    <e v="#N/A"/>
    <m/>
    <s v="7"/>
    <x v="13"/>
    <s v="75"/>
    <s v="עבודות קבלניות"/>
    <s v="758"/>
    <e v="#N/A"/>
  </r>
  <r>
    <n v="781"/>
    <s v="61350"/>
    <n v="1"/>
    <s v="161350.781"/>
    <s v="תוכניות פרוגרמות ופרויקטים      "/>
    <m/>
    <m/>
    <n v="1000"/>
    <n v="5000"/>
    <n v="0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1"/>
    <e v="#N/A"/>
  </r>
  <r>
    <n v="782"/>
    <s v="61350"/>
    <n v="1"/>
    <s v="161350.782"/>
    <s v="שיווק  מיתוג ופרסום ביפו        "/>
    <m/>
    <m/>
    <n v="27000"/>
    <n v="4000"/>
    <n v="2322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2"/>
    <e v="#N/A"/>
  </r>
  <r>
    <n v="783"/>
    <s v="61350"/>
    <n v="1"/>
    <s v="161350.783"/>
    <s v="ימי עיון כנסים וארועים          "/>
    <m/>
    <m/>
    <n v="3000"/>
    <n v="3000"/>
    <n v="5310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3"/>
    <e v="#N/A"/>
  </r>
  <r>
    <n v="784"/>
    <s v="61350"/>
    <n v="1"/>
    <s v="161350.784"/>
    <s v="פרויקטים בחינוך ורווחה          "/>
    <m/>
    <m/>
    <n v="105000"/>
    <n v="280000"/>
    <n v="131336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4"/>
    <e v="#N/A"/>
  </r>
  <r>
    <n v="786"/>
    <s v="61350"/>
    <n v="1"/>
    <s v="161350.786"/>
    <s v="פרוייקט חינוך לפסגות            "/>
    <m/>
    <m/>
    <n v="1240000"/>
    <n v="640000"/>
    <n v="640000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6"/>
    <e v="#N/A"/>
  </r>
  <r>
    <n v="787"/>
    <s v="61350"/>
    <n v="1"/>
    <s v="161350.787"/>
    <s v="תיעוד פרוייקטים                 "/>
    <m/>
    <m/>
    <n v="5000"/>
    <n v="10000"/>
    <n v="0"/>
    <e v="#N/A"/>
    <x v="5"/>
    <s v="הנהלה כללית"/>
    <x v="21"/>
    <s v="מינהל כללי"/>
    <x v="63"/>
    <s v="מזכירות"/>
    <s v="6135"/>
    <e v="#N/A"/>
    <m/>
    <s v="7"/>
    <x v="13"/>
    <s v="78"/>
    <s v="הוצאות שונות"/>
    <s v="787"/>
    <e v="#N/A"/>
  </r>
  <r>
    <n v="851"/>
    <s v="61350"/>
    <n v="1"/>
    <s v="161350.851"/>
    <s v="הפעלה קהילתית וארועים           "/>
    <m/>
    <m/>
    <n v="425000"/>
    <n v="425000"/>
    <n v="487999"/>
    <e v="#N/A"/>
    <x v="5"/>
    <s v="הנהלה כללית"/>
    <x v="21"/>
    <s v="מינהל כללי"/>
    <x v="63"/>
    <s v="מזכירות"/>
    <s v="6135"/>
    <e v="#N/A"/>
    <m/>
    <s v="8"/>
    <x v="16"/>
    <s v="85"/>
    <s v="מלגות לתלמידים וסטודנטים"/>
    <s v="851"/>
    <e v="#N/A"/>
  </r>
  <r>
    <n v="852"/>
    <s v="61350"/>
    <n v="1"/>
    <s v="161350.852"/>
    <s v="פרויקטים בחינוך ורווחה          "/>
    <m/>
    <m/>
    <n v="419000"/>
    <n v="244000"/>
    <n v="242998"/>
    <e v="#N/A"/>
    <x v="5"/>
    <s v="הנהלה כללית"/>
    <x v="21"/>
    <s v="מינהל כללי"/>
    <x v="63"/>
    <s v="מזכירות"/>
    <s v="6135"/>
    <e v="#N/A"/>
    <m/>
    <s v="8"/>
    <x v="16"/>
    <s v="85"/>
    <s v="מלגות לתלמידים וסטודנטים"/>
    <s v="852"/>
    <e v="#N/A"/>
  </r>
  <r>
    <n v="853"/>
    <s v="61350"/>
    <n v="1"/>
    <s v="161350.853"/>
    <s v="פעילות עולי אתיופיה-תק עיריה    "/>
    <m/>
    <m/>
    <n v="320000"/>
    <n v="440000"/>
    <n v="553996"/>
    <e v="#N/A"/>
    <x v="5"/>
    <s v="הנהלה כללית"/>
    <x v="21"/>
    <s v="מינהל כללי"/>
    <x v="63"/>
    <s v="מזכירות"/>
    <s v="6135"/>
    <e v="#N/A"/>
    <m/>
    <s v="8"/>
    <x v="16"/>
    <s v="85"/>
    <s v="מלגות לתלמידים וסטודנטים"/>
    <s v="853"/>
    <e v="#N/A"/>
  </r>
  <r>
    <n v="854"/>
    <s v="61350"/>
    <n v="1"/>
    <s v="161350.854"/>
    <s v="פעילות עולי אתיופיה-תק ממשלה    "/>
    <m/>
    <m/>
    <n v="60000"/>
    <n v="140000"/>
    <n v="0"/>
    <e v="#N/A"/>
    <x v="5"/>
    <s v="הנהלה כללית"/>
    <x v="21"/>
    <s v="מינהל כללי"/>
    <x v="63"/>
    <s v="מזכירות"/>
    <s v="6135"/>
    <e v="#N/A"/>
    <m/>
    <s v="8"/>
    <x v="16"/>
    <s v="85"/>
    <s v="מלגות לתלמידים וסטודנטים"/>
    <s v="854"/>
    <e v="#N/A"/>
  </r>
  <r>
    <n v="855"/>
    <s v="61350"/>
    <n v="1"/>
    <s v="161350.855"/>
    <s v="עדכון תכני אינטרנט ודף פייסבוק  "/>
    <m/>
    <m/>
    <n v="46000"/>
    <n v="18000"/>
    <n v="0"/>
    <e v="#N/A"/>
    <x v="5"/>
    <s v="הנהלה כללית"/>
    <x v="21"/>
    <s v="מינהל כללי"/>
    <x v="63"/>
    <s v="מזכירות"/>
    <s v="6135"/>
    <e v="#N/A"/>
    <m/>
    <s v="8"/>
    <x v="16"/>
    <s v="85"/>
    <s v="מלגות לתלמידים וסטודנטים"/>
    <s v="855"/>
    <e v="#N/A"/>
  </r>
  <r>
    <n v="932"/>
    <s v="61350"/>
    <n v="1"/>
    <s v="161350.932"/>
    <s v="ציוד וריהוט משרדי               "/>
    <m/>
    <m/>
    <n v="10000"/>
    <n v="10000"/>
    <n v="4611"/>
    <e v="#N/A"/>
    <x v="5"/>
    <s v="הנהלה כללית"/>
    <x v="21"/>
    <s v="מינהל כללי"/>
    <x v="63"/>
    <s v="מזכירות"/>
    <s v="6135"/>
    <e v="#N/A"/>
    <m/>
    <s v="9"/>
    <x v="17"/>
    <s v="93"/>
    <s v="רכישת ציוד יסודי"/>
    <s v="932"/>
    <e v="#N/A"/>
  </r>
  <r>
    <n v="110"/>
    <s v="61360"/>
    <n v="1"/>
    <s v="161360.110"/>
    <s v="משכורת כוללת                    "/>
    <m/>
    <m/>
    <n v="2822000"/>
    <n v="2428000"/>
    <n v="2514938"/>
    <e v="#N/A"/>
    <x v="5"/>
    <s v="הנהלה כללית"/>
    <x v="21"/>
    <s v="מינהל כללי"/>
    <x v="63"/>
    <s v="מזכירות"/>
    <s v="6136"/>
    <e v="#N/A"/>
    <m/>
    <s v="1"/>
    <x v="9"/>
    <s v="11"/>
    <s v="השכר הקובע"/>
    <s v="110"/>
    <e v="#N/A"/>
  </r>
  <r>
    <n v="124"/>
    <s v="61360"/>
    <n v="1"/>
    <s v="161360.124"/>
    <s v="החזר הוצאות                     "/>
    <m/>
    <m/>
    <n v="280000"/>
    <n v="254000"/>
    <n v="257022"/>
    <e v="#N/A"/>
    <x v="5"/>
    <s v="הנהלה כללית"/>
    <x v="21"/>
    <s v="מינהל כללי"/>
    <x v="63"/>
    <s v="מזכירות"/>
    <s v="6136"/>
    <e v="#N/A"/>
    <m/>
    <s v="1"/>
    <x v="9"/>
    <s v="12"/>
    <s v="תוספות שאינן נכללות בשכר הקובע"/>
    <s v="124"/>
    <e v="#N/A"/>
  </r>
  <r>
    <n v="126"/>
    <s v="61360"/>
    <n v="1"/>
    <s v="161360.126"/>
    <s v="הבראה                           "/>
    <m/>
    <m/>
    <n v="192000"/>
    <n v="164000"/>
    <n v="171414"/>
    <e v="#N/A"/>
    <x v="5"/>
    <s v="הנהלה כללית"/>
    <x v="21"/>
    <s v="מינהל כללי"/>
    <x v="63"/>
    <s v="מזכירות"/>
    <s v="6136"/>
    <e v="#N/A"/>
    <m/>
    <s v="1"/>
    <x v="9"/>
    <s v="12"/>
    <s v="תוספות שאינן נכללות בשכר הקובע"/>
    <s v="126"/>
    <e v="#N/A"/>
  </r>
  <r>
    <n v="127"/>
    <s v="61360"/>
    <n v="1"/>
    <s v="161360.127"/>
    <s v="השתתפות באחזקת רכב-31           "/>
    <m/>
    <m/>
    <n v="685000"/>
    <n v="513000"/>
    <n v="582180"/>
    <e v="#N/A"/>
    <x v="5"/>
    <s v="הנהלה כללית"/>
    <x v="21"/>
    <s v="מינהל כללי"/>
    <x v="63"/>
    <s v="מזכירות"/>
    <s v="6136"/>
    <e v="#N/A"/>
    <m/>
    <s v="1"/>
    <x v="9"/>
    <s v="12"/>
    <s v="תוספות שאינן נכללות בשכר הקובע"/>
    <s v="127"/>
    <e v="#N/A"/>
  </r>
  <r>
    <n v="130"/>
    <s v="61360"/>
    <n v="1"/>
    <s v="161360.130"/>
    <s v="תשלומים מיוחדים                 "/>
    <m/>
    <m/>
    <n v="721000"/>
    <n v="550000"/>
    <n v="610479"/>
    <e v="#N/A"/>
    <x v="5"/>
    <s v="הנהלה כללית"/>
    <x v="21"/>
    <s v="מינהל כללי"/>
    <x v="63"/>
    <s v="מזכירות"/>
    <s v="6136"/>
    <e v="#N/A"/>
    <m/>
    <s v="1"/>
    <x v="9"/>
    <s v="13"/>
    <s v="שעות נוספות"/>
    <s v="130"/>
    <e v="#N/A"/>
  </r>
  <r>
    <n v="181"/>
    <s v="61360"/>
    <n v="1"/>
    <s v="161360.181"/>
    <s v="מיסים וביטוח לאומי              "/>
    <m/>
    <m/>
    <n v="752000"/>
    <n v="661000"/>
    <n v="666980"/>
    <e v="#N/A"/>
    <x v="5"/>
    <s v="הנהלה כללית"/>
    <x v="21"/>
    <s v="מינהל כללי"/>
    <x v="63"/>
    <s v="מזכירות"/>
    <s v="6136"/>
    <e v="#N/A"/>
    <m/>
    <s v="1"/>
    <x v="9"/>
    <s v="18"/>
    <s v="נלוות לשכר"/>
    <s v="181"/>
    <s v="הפרשות סוציאליות"/>
  </r>
  <r>
    <n v="182"/>
    <s v="61360"/>
    <n v="1"/>
    <s v="161360.182"/>
    <s v="קופות גמל והשתלמות              "/>
    <m/>
    <m/>
    <n v="849000"/>
    <n v="849000"/>
    <n v="845470"/>
    <e v="#N/A"/>
    <x v="5"/>
    <s v="הנהלה כללית"/>
    <x v="21"/>
    <s v="מינהל כללי"/>
    <x v="63"/>
    <s v="מזכירות"/>
    <s v="6136"/>
    <e v="#N/A"/>
    <m/>
    <s v="1"/>
    <x v="9"/>
    <s v="18"/>
    <s v="נלוות לשכר"/>
    <s v="182"/>
    <s v="מיסיום ועלויות"/>
  </r>
  <r>
    <n v="230"/>
    <s v="61360"/>
    <n v="1"/>
    <s v="161360.230"/>
    <s v="משימות חולפות - 7.0             "/>
    <m/>
    <m/>
    <n v="513000"/>
    <n v="652000"/>
    <n v="622276"/>
    <e v="#N/A"/>
    <x v="5"/>
    <s v="הנהלה כללית"/>
    <x v="21"/>
    <s v="מינהל כללי"/>
    <x v="63"/>
    <s v="מזכירות"/>
    <s v="6136"/>
    <e v="#N/A"/>
    <m/>
    <s v="2"/>
    <x v="10"/>
    <s v="23"/>
    <s v="שעות נוספות"/>
    <s v="230"/>
    <e v="#N/A"/>
  </r>
  <r>
    <n v="310"/>
    <s v="61360"/>
    <n v="1"/>
    <s v="161360.310"/>
    <s v="שעות נוספות רשומות              "/>
    <m/>
    <m/>
    <n v="524000"/>
    <n v="477000"/>
    <n v="425069"/>
    <e v="#N/A"/>
    <x v="5"/>
    <s v="הנהלה כללית"/>
    <x v="21"/>
    <s v="מינהל כללי"/>
    <x v="63"/>
    <s v="מזכירות"/>
    <s v="6136"/>
    <e v="#N/A"/>
    <m/>
    <s v="3"/>
    <x v="14"/>
    <s v="31"/>
    <s v="פנסיה"/>
    <s v="310"/>
    <e v="#N/A"/>
  </r>
  <r>
    <n v="340"/>
    <s v="61360"/>
    <n v="1"/>
    <s v="161360.340"/>
    <s v="שעות נוספות מיוחדות             "/>
    <m/>
    <m/>
    <n v="12000"/>
    <n v="12000"/>
    <n v="-54"/>
    <e v="#N/A"/>
    <x v="5"/>
    <s v="הנהלה כללית"/>
    <x v="21"/>
    <s v="מינהל כללי"/>
    <x v="63"/>
    <s v="מזכירות"/>
    <s v="6136"/>
    <e v="#N/A"/>
    <m/>
    <s v="3"/>
    <x v="14"/>
    <s v="34"/>
    <e v="#N/A"/>
    <s v="340"/>
    <e v="#N/A"/>
  </r>
  <r>
    <n v="433"/>
    <s v="61360"/>
    <n v="1"/>
    <s v="161360.433"/>
    <s v="ביטוח                           "/>
    <m/>
    <m/>
    <n v="99000"/>
    <n v="92000"/>
    <n v="82000"/>
    <e v="#N/A"/>
    <x v="5"/>
    <s v="הנהלה כללית"/>
    <x v="21"/>
    <s v="מינהל כללי"/>
    <x v="63"/>
    <s v="מזכירות"/>
    <s v="6136"/>
    <e v="#N/A"/>
    <m/>
    <s v="4"/>
    <x v="15"/>
    <s v="43"/>
    <s v="חשמל, מים וחומרי ניקיון"/>
    <s v="433"/>
    <s v="חומרי ניקיון"/>
  </r>
  <r>
    <n v="434"/>
    <s v="61360"/>
    <n v="1"/>
    <s v="161360.434"/>
    <s v="תקוני מבנים  מתקנים ואינונטר    "/>
    <m/>
    <m/>
    <n v="6000"/>
    <n v="6000"/>
    <n v="7837"/>
    <e v="#N/A"/>
    <x v="5"/>
    <s v="הנהלה כללית"/>
    <x v="21"/>
    <s v="מינהל כללי"/>
    <x v="63"/>
    <s v="מזכירות"/>
    <s v="6136"/>
    <e v="#N/A"/>
    <m/>
    <s v="4"/>
    <x v="15"/>
    <s v="43"/>
    <s v="חשמל, מים וחומרי ניקיון"/>
    <s v="434"/>
    <s v="שירותי ניקיון"/>
  </r>
  <r>
    <n v="439"/>
    <s v="61360"/>
    <n v="1"/>
    <s v="161360.439"/>
    <s v="אחזקת בניני העיריה-השתתפות      "/>
    <m/>
    <m/>
    <n v="219000"/>
    <n v="170000"/>
    <n v="170000"/>
    <e v="#N/A"/>
    <x v="5"/>
    <s v="הנהלה כללית"/>
    <x v="21"/>
    <s v="מינהל כללי"/>
    <x v="63"/>
    <s v="מזכירות"/>
    <s v="6136"/>
    <e v="#N/A"/>
    <m/>
    <s v="4"/>
    <x v="15"/>
    <s v="43"/>
    <s v="חשמל, מים וחומרי ניקיון"/>
    <s v="439"/>
    <e v="#N/A"/>
  </r>
  <r>
    <n v="461"/>
    <s v="61360"/>
    <n v="1"/>
    <s v="161360.461"/>
    <s v="צורכי משרד                      "/>
    <m/>
    <m/>
    <n v="24000"/>
    <n v="22000"/>
    <n v="11869"/>
    <e v="#N/A"/>
    <x v="5"/>
    <s v="הנהלה כללית"/>
    <x v="21"/>
    <s v="מינהל כללי"/>
    <x v="63"/>
    <s v="מזכירות"/>
    <s v="6136"/>
    <e v="#N/A"/>
    <m/>
    <s v="4"/>
    <x v="15"/>
    <s v="46"/>
    <e v="#N/A"/>
    <s v="461"/>
    <e v="#N/A"/>
  </r>
  <r>
    <n v="462"/>
    <s v="61360"/>
    <n v="1"/>
    <s v="161360.462"/>
    <s v="ספרים ועתונים                   "/>
    <m/>
    <m/>
    <n v="3000"/>
    <n v="3000"/>
    <n v="2837"/>
    <e v="#N/A"/>
    <x v="5"/>
    <s v="הנהלה כללית"/>
    <x v="21"/>
    <s v="מינהל כללי"/>
    <x v="63"/>
    <s v="מזכירות"/>
    <s v="6136"/>
    <e v="#N/A"/>
    <m/>
    <s v="4"/>
    <x v="15"/>
    <s v="46"/>
    <e v="#N/A"/>
    <s v="462"/>
    <e v="#N/A"/>
  </r>
  <r>
    <n v="464"/>
    <s v="61360"/>
    <n v="1"/>
    <s v="161360.464"/>
    <s v="דאר                             "/>
    <m/>
    <m/>
    <n v="2000"/>
    <n v="2000"/>
    <n v="1345"/>
    <e v="#N/A"/>
    <x v="5"/>
    <s v="הנהלה כללית"/>
    <x v="21"/>
    <s v="מינהל כללי"/>
    <x v="63"/>
    <s v="מזכירות"/>
    <s v="6136"/>
    <e v="#N/A"/>
    <m/>
    <s v="4"/>
    <x v="15"/>
    <s v="46"/>
    <e v="#N/A"/>
    <s v="464"/>
    <e v="#N/A"/>
  </r>
  <r>
    <n v="510"/>
    <s v="61360"/>
    <n v="1"/>
    <s v="161360.510"/>
    <s v="נסיעות  ואש ל                   "/>
    <m/>
    <m/>
    <n v="2000"/>
    <n v="2000"/>
    <n v="248"/>
    <m/>
    <x v="5"/>
    <s v="הנהלה כללית"/>
    <x v="21"/>
    <s v="מינהל כללי"/>
    <x v="63"/>
    <s v="מזכירות"/>
    <s v="6136"/>
    <e v="#N/A"/>
    <m/>
    <s v="5"/>
    <x v="11"/>
    <s v="51"/>
    <s v="אש&quot;ל וכיבודים"/>
    <s v="510"/>
    <e v="#N/A"/>
  </r>
  <r>
    <n v="521"/>
    <s v="61360"/>
    <n v="1"/>
    <s v="161360.521"/>
    <s v="הדרכה וכנסים                    "/>
    <m/>
    <m/>
    <n v="7000"/>
    <n v="2000"/>
    <n v="21125"/>
    <e v="#N/A"/>
    <x v="5"/>
    <s v="הנהלה כללית"/>
    <x v="21"/>
    <s v="מינהל כללי"/>
    <x v="63"/>
    <s v="מזכירות"/>
    <s v="6136"/>
    <e v="#N/A"/>
    <m/>
    <s v="5"/>
    <x v="11"/>
    <s v="52"/>
    <s v="השתלמויות וספרות מקצועית"/>
    <s v="521"/>
    <s v="השתלמויות וספרות מקצועית"/>
  </r>
  <r>
    <n v="522"/>
    <s v="61360"/>
    <n v="1"/>
    <s v="161360.522"/>
    <s v="גיבוש יחידתי                    "/>
    <m/>
    <m/>
    <n v="6000"/>
    <n v="6000"/>
    <n v="0"/>
    <e v="#N/A"/>
    <x v="5"/>
    <s v="הנהלה כללית"/>
    <x v="21"/>
    <s v="מינהל כללי"/>
    <x v="63"/>
    <s v="מזכירות"/>
    <s v="6136"/>
    <e v="#N/A"/>
    <m/>
    <s v="5"/>
    <x v="11"/>
    <s v="52"/>
    <s v="השתלמויות וספרות מקצועית"/>
    <s v="522"/>
    <s v="ספרות מקצועית ועיתונות"/>
  </r>
  <r>
    <n v="531"/>
    <s v="61360"/>
    <n v="1"/>
    <s v="161360.531"/>
    <s v="אחזקת רכב                       "/>
    <m/>
    <m/>
    <n v="13000"/>
    <n v="13000"/>
    <n v="12057"/>
    <e v="#N/A"/>
    <x v="5"/>
    <s v="הנהלה כללית"/>
    <x v="21"/>
    <s v="מינהל כללי"/>
    <x v="63"/>
    <s v="מזכירות"/>
    <s v="6136"/>
    <e v="#N/A"/>
    <m/>
    <s v="5"/>
    <x v="11"/>
    <s v="53"/>
    <s v="הוצאות רכב מינהלי"/>
    <s v="531"/>
    <s v="דלק ושמנים"/>
  </r>
  <r>
    <n v="532"/>
    <s v="61360"/>
    <n v="1"/>
    <s v="161360.532"/>
    <s v="בטוח רכב                        "/>
    <m/>
    <m/>
    <n v="13000"/>
    <n v="8000"/>
    <n v="6916"/>
    <e v="#N/A"/>
    <x v="5"/>
    <s v="הנהלה כללית"/>
    <x v="21"/>
    <s v="מינהל כללי"/>
    <x v="63"/>
    <s v="מזכירות"/>
    <s v="6136"/>
    <e v="#N/A"/>
    <m/>
    <s v="5"/>
    <x v="11"/>
    <s v="53"/>
    <s v="הוצאות רכב מינהלי"/>
    <s v="532"/>
    <s v="תיקונים"/>
  </r>
  <r>
    <n v="533"/>
    <s v="61360"/>
    <n v="1"/>
    <s v="161360.533"/>
    <s v="שכירת רכב ורכב עירוני           "/>
    <m/>
    <m/>
    <n v="40000"/>
    <n v="40000"/>
    <n v="36022"/>
    <e v="#N/A"/>
    <x v="5"/>
    <s v="הנהלה כללית"/>
    <x v="21"/>
    <s v="מינהל כללי"/>
    <x v="63"/>
    <s v="מזכירות"/>
    <s v="6136"/>
    <e v="#N/A"/>
    <m/>
    <s v="5"/>
    <x v="11"/>
    <s v="53"/>
    <s v="הוצאות רכב מינהלי"/>
    <s v="533"/>
    <s v="רישוי וביטוח"/>
  </r>
  <r>
    <n v="534"/>
    <s v="61360"/>
    <n v="1"/>
    <s v="161360.534"/>
    <s v="דלק ושמן                        "/>
    <m/>
    <m/>
    <n v="28000"/>
    <n v="28000"/>
    <n v="32788"/>
    <e v="#N/A"/>
    <x v="5"/>
    <s v="הנהלה כללית"/>
    <x v="21"/>
    <s v="מינהל כללי"/>
    <x v="63"/>
    <s v="מזכירות"/>
    <s v="6136"/>
    <e v="#N/A"/>
    <m/>
    <s v="5"/>
    <x v="11"/>
    <s v="53"/>
    <s v="הוצאות רכב מינהלי"/>
    <s v="534"/>
    <e v="#N/A"/>
  </r>
  <r>
    <n v="541"/>
    <s v="61360"/>
    <n v="1"/>
    <s v="161360.541"/>
    <s v="החזקת מכשירי קשר וסלולר         "/>
    <m/>
    <m/>
    <n v="30000"/>
    <n v="30000"/>
    <n v="29687"/>
    <e v="#N/A"/>
    <x v="5"/>
    <s v="הנהלה כללית"/>
    <x v="21"/>
    <s v="מינהל כללי"/>
    <x v="63"/>
    <s v="מזכירות"/>
    <s v="6136"/>
    <e v="#N/A"/>
    <m/>
    <s v="5"/>
    <x v="11"/>
    <s v="54"/>
    <s v="הוצאות תקשורת"/>
    <s v="541"/>
    <e v="#N/A"/>
  </r>
  <r>
    <n v="610"/>
    <s v="61360"/>
    <n v="1"/>
    <s v="161360.610"/>
    <s v="כיבודים                         "/>
    <m/>
    <m/>
    <n v="27000"/>
    <n v="27000"/>
    <n v="21009"/>
    <e v="#N/A"/>
    <x v="5"/>
    <s v="הנהלה כללית"/>
    <x v="21"/>
    <s v="מינהל כללי"/>
    <x v="63"/>
    <s v="מזכירות"/>
    <s v="6136"/>
    <e v="#N/A"/>
    <m/>
    <s v="6"/>
    <x v="12"/>
    <s v="61"/>
    <s v="עמלות"/>
    <s v="610"/>
    <e v="#N/A"/>
  </r>
  <r>
    <n v="670"/>
    <s v="61360"/>
    <n v="1"/>
    <s v="161360.670"/>
    <s v="סעיף שאינו חוזר                 "/>
    <m/>
    <m/>
    <n v="0"/>
    <n v="23000"/>
    <n v="21757"/>
    <e v="#N/A"/>
    <x v="5"/>
    <s v="הנהלה כללית"/>
    <x v="21"/>
    <s v="מינהל כללי"/>
    <x v="63"/>
    <s v="מזכירות"/>
    <s v="6136"/>
    <e v="#N/A"/>
    <m/>
    <s v="6"/>
    <x v="12"/>
    <s v="67"/>
    <e v="#N/A"/>
    <s v="670"/>
    <e v="#N/A"/>
  </r>
  <r>
    <n v="680"/>
    <s v="61360"/>
    <n v="1"/>
    <s v="161360.680"/>
    <s v="הוצאות מיוחדות                  "/>
    <m/>
    <m/>
    <n v="17000"/>
    <n v="17000"/>
    <n v="7537"/>
    <e v="#N/A"/>
    <x v="5"/>
    <s v="הנהלה כללית"/>
    <x v="21"/>
    <s v="מינהל כללי"/>
    <x v="63"/>
    <s v="מזכירות"/>
    <s v="6136"/>
    <e v="#N/A"/>
    <m/>
    <s v="6"/>
    <x v="12"/>
    <s v="68"/>
    <s v="ריבית על הוצאות אחרות"/>
    <s v="680"/>
    <e v="#N/A"/>
  </r>
  <r>
    <n v="691"/>
    <s v="61360"/>
    <n v="1"/>
    <s v="161360.691"/>
    <s v="מערכות מידע ומחשוב              "/>
    <m/>
    <m/>
    <n v="890000"/>
    <n v="1410000"/>
    <n v="1633179"/>
    <e v="#N/A"/>
    <x v="5"/>
    <s v="הנהלה כללית"/>
    <x v="21"/>
    <s v="מינהל כללי"/>
    <x v="63"/>
    <s v="מזכירות"/>
    <s v="6136"/>
    <e v="#N/A"/>
    <m/>
    <s v="6"/>
    <x v="12"/>
    <s v="69"/>
    <s v="שונות"/>
    <s v="691"/>
    <s v="תשלום ע&quot;ח קרן"/>
  </r>
  <r>
    <n v="693"/>
    <s v="61360"/>
    <n v="1"/>
    <s v="161360.693"/>
    <s v="מיחשוב יחידתי                   "/>
    <m/>
    <m/>
    <n v="6000"/>
    <n v="6000"/>
    <n v="9682"/>
    <e v="#N/A"/>
    <x v="5"/>
    <s v="הנהלה כללית"/>
    <x v="21"/>
    <s v="מינהל כללי"/>
    <x v="63"/>
    <s v="מזכירות"/>
    <s v="6136"/>
    <e v="#N/A"/>
    <m/>
    <s v="6"/>
    <x v="12"/>
    <s v="69"/>
    <s v="שונות"/>
    <s v="693"/>
    <s v="תשלום ע&quot;ח הצמדת ערך"/>
  </r>
  <r>
    <n v="751"/>
    <s v="61360"/>
    <n v="1"/>
    <s v="161360.751"/>
    <s v="מענה לתושבים במסרונים           "/>
    <m/>
    <m/>
    <n v="38000"/>
    <n v="63000"/>
    <n v="63000"/>
    <e v="#N/A"/>
    <x v="5"/>
    <s v="הנהלה כללית"/>
    <x v="21"/>
    <s v="מינהל כללי"/>
    <x v="63"/>
    <s v="מזכירות"/>
    <s v="6136"/>
    <e v="#N/A"/>
    <m/>
    <s v="7"/>
    <x v="13"/>
    <s v="75"/>
    <s v="עבודות קבלניות"/>
    <s v="751"/>
    <e v="#N/A"/>
  </r>
  <r>
    <n v="752"/>
    <s v="61360"/>
    <n v="1"/>
    <s v="161360.752"/>
    <s v="תחזוקה ועדכון מערכות המוקד      "/>
    <m/>
    <m/>
    <n v="7000"/>
    <n v="7000"/>
    <n v="7497"/>
    <e v="#N/A"/>
    <x v="5"/>
    <s v="הנהלה כללית"/>
    <x v="21"/>
    <s v="מינהל כללי"/>
    <x v="63"/>
    <s v="מזכירות"/>
    <s v="6136"/>
    <e v="#N/A"/>
    <m/>
    <s v="7"/>
    <x v="13"/>
    <s v="75"/>
    <s v="עבודות קבלניות"/>
    <s v="752"/>
    <e v="#N/A"/>
  </r>
  <r>
    <n v="753"/>
    <s v="61360"/>
    <n v="1"/>
    <s v="161360.753"/>
    <s v="הודעות טלסיטי                   "/>
    <m/>
    <m/>
    <n v="66000"/>
    <n v="86000"/>
    <n v="24981"/>
    <e v="#N/A"/>
    <x v="5"/>
    <s v="הנהלה כללית"/>
    <x v="21"/>
    <s v="מינהל כללי"/>
    <x v="63"/>
    <s v="מזכירות"/>
    <s v="6136"/>
    <e v="#N/A"/>
    <m/>
    <s v="7"/>
    <x v="13"/>
    <s v="75"/>
    <s v="עבודות קבלניות"/>
    <s v="753"/>
    <e v="#N/A"/>
  </r>
  <r>
    <n v="788"/>
    <s v="61360"/>
    <n v="1"/>
    <s v="161360.788"/>
    <s v="פרוייקט נאמני נקיון             "/>
    <m/>
    <m/>
    <n v="4000"/>
    <n v="4000"/>
    <n v="3194"/>
    <e v="#N/A"/>
    <x v="5"/>
    <s v="הנהלה כללית"/>
    <x v="21"/>
    <s v="מינהל כללי"/>
    <x v="63"/>
    <s v="מזכירות"/>
    <s v="6136"/>
    <e v="#N/A"/>
    <m/>
    <s v="7"/>
    <x v="13"/>
    <s v="78"/>
    <s v="הוצאות שונות"/>
    <s v="788"/>
    <e v="#N/A"/>
  </r>
  <r>
    <n v="932"/>
    <s v="61360"/>
    <n v="1"/>
    <s v="161360.932"/>
    <s v="ציוד וריהוט משרדי               "/>
    <m/>
    <m/>
    <n v="3000"/>
    <n v="3000"/>
    <n v="4003"/>
    <e v="#N/A"/>
    <x v="5"/>
    <s v="הנהלה כללית"/>
    <x v="21"/>
    <s v="מינהל כללי"/>
    <x v="63"/>
    <s v="מזכירות"/>
    <s v="6136"/>
    <e v="#N/A"/>
    <m/>
    <s v="9"/>
    <x v="17"/>
    <s v="93"/>
    <s v="רכישת ציוד יסודי"/>
    <s v="932"/>
    <e v="#N/A"/>
  </r>
  <r>
    <n v="999"/>
    <s v="61360"/>
    <n v="1"/>
    <s v="161360.999"/>
    <s v="השתתפות תאגיד המים במוקד שירות  "/>
    <m/>
    <m/>
    <n v="-300000"/>
    <n v="-300000"/>
    <n v="0"/>
    <e v="#N/A"/>
    <x v="5"/>
    <s v="הנהלה כללית"/>
    <x v="21"/>
    <s v="מינהל כללי"/>
    <x v="63"/>
    <s v="מזכירות"/>
    <s v="6136"/>
    <e v="#N/A"/>
    <m/>
    <s v="9"/>
    <x v="17"/>
    <s v="99"/>
    <e v="#N/A"/>
    <s v="999"/>
    <e v="#N/A"/>
  </r>
  <r>
    <n v="110"/>
    <s v="61410"/>
    <n v="1"/>
    <s v="161410.110"/>
    <s v="משכורת כוללת                    "/>
    <m/>
    <m/>
    <n v="1830000"/>
    <n v="1799000"/>
    <n v="1708029"/>
    <e v="#N/A"/>
    <x v="5"/>
    <s v="הנהלה כללית"/>
    <x v="21"/>
    <s v="מינהל כללי"/>
    <x v="64"/>
    <s v="הסברה ויחסי ציבור"/>
    <s v="6141"/>
    <e v="#N/A"/>
    <m/>
    <s v="1"/>
    <x v="9"/>
    <s v="11"/>
    <s v="השכר הקובע"/>
    <s v="110"/>
    <e v="#N/A"/>
  </r>
  <r>
    <n v="124"/>
    <s v="61410"/>
    <n v="1"/>
    <s v="161410.124"/>
    <s v="החזר הוצאות                     "/>
    <m/>
    <m/>
    <n v="132000"/>
    <n v="110000"/>
    <n v="101859"/>
    <e v="#N/A"/>
    <x v="5"/>
    <s v="הנהלה כללית"/>
    <x v="21"/>
    <s v="מינהל כללי"/>
    <x v="64"/>
    <s v="הסברה ויחסי ציבור"/>
    <s v="6141"/>
    <e v="#N/A"/>
    <m/>
    <s v="1"/>
    <x v="9"/>
    <s v="12"/>
    <s v="תוספות שאינן נכללות בשכר הקובע"/>
    <s v="124"/>
    <e v="#N/A"/>
  </r>
  <r>
    <n v="126"/>
    <s v="61410"/>
    <n v="1"/>
    <s v="161410.126"/>
    <s v="הבראה                           "/>
    <m/>
    <m/>
    <n v="71000"/>
    <n v="64000"/>
    <n v="58694"/>
    <e v="#N/A"/>
    <x v="5"/>
    <s v="הנהלה כללית"/>
    <x v="21"/>
    <s v="מינהל כללי"/>
    <x v="64"/>
    <s v="הסברה ויחסי ציבור"/>
    <s v="6141"/>
    <e v="#N/A"/>
    <m/>
    <s v="1"/>
    <x v="9"/>
    <s v="12"/>
    <s v="תוספות שאינן נכללות בשכר הקובע"/>
    <s v="126"/>
    <e v="#N/A"/>
  </r>
  <r>
    <n v="127"/>
    <s v="61410"/>
    <n v="1"/>
    <s v="161410.127"/>
    <s v="השתתפות באחזקת רכב - 15         "/>
    <m/>
    <m/>
    <n v="436000"/>
    <n v="385000"/>
    <n v="367551"/>
    <e v="#N/A"/>
    <x v="5"/>
    <s v="הנהלה כללית"/>
    <x v="21"/>
    <s v="מינהל כללי"/>
    <x v="64"/>
    <s v="הסברה ויחסי ציבור"/>
    <s v="6141"/>
    <e v="#N/A"/>
    <m/>
    <s v="1"/>
    <x v="9"/>
    <s v="12"/>
    <s v="תוספות שאינן נכללות בשכר הקובע"/>
    <s v="127"/>
    <e v="#N/A"/>
  </r>
  <r>
    <n v="130"/>
    <s v="61410"/>
    <n v="1"/>
    <s v="161410.130"/>
    <s v="תשלומים מיוחדים                 "/>
    <m/>
    <m/>
    <n v="173000"/>
    <n v="138000"/>
    <n v="135311"/>
    <e v="#N/A"/>
    <x v="5"/>
    <s v="הנהלה כללית"/>
    <x v="21"/>
    <s v="מינהל כללי"/>
    <x v="64"/>
    <s v="הסברה ויחסי ציבור"/>
    <s v="6141"/>
    <e v="#N/A"/>
    <m/>
    <s v="1"/>
    <x v="9"/>
    <s v="13"/>
    <s v="שעות נוספות"/>
    <s v="130"/>
    <e v="#N/A"/>
  </r>
  <r>
    <n v="181"/>
    <s v="61410"/>
    <n v="1"/>
    <s v="161410.181"/>
    <s v="מיסים וביטוח לאומי              "/>
    <m/>
    <m/>
    <n v="393000"/>
    <n v="358000"/>
    <n v="346923"/>
    <e v="#N/A"/>
    <x v="5"/>
    <s v="הנהלה כללית"/>
    <x v="21"/>
    <s v="מינהל כללי"/>
    <x v="64"/>
    <s v="הסברה ויחסי ציבור"/>
    <s v="6141"/>
    <e v="#N/A"/>
    <m/>
    <s v="1"/>
    <x v="9"/>
    <s v="18"/>
    <s v="נלוות לשכר"/>
    <s v="181"/>
    <s v="הפרשות סוציאליות"/>
  </r>
  <r>
    <n v="182"/>
    <s v="61410"/>
    <n v="1"/>
    <s v="161410.182"/>
    <s v="קופות גמל והשתלמות              "/>
    <m/>
    <m/>
    <n v="393000"/>
    <n v="380000"/>
    <n v="344087"/>
    <e v="#N/A"/>
    <x v="5"/>
    <s v="הנהלה כללית"/>
    <x v="21"/>
    <s v="מינהל כללי"/>
    <x v="64"/>
    <s v="הסברה ויחסי ציבור"/>
    <s v="6141"/>
    <e v="#N/A"/>
    <m/>
    <s v="1"/>
    <x v="9"/>
    <s v="18"/>
    <s v="נלוות לשכר"/>
    <s v="182"/>
    <s v="מיסיום ועלויות"/>
  </r>
  <r>
    <n v="230"/>
    <s v="61410"/>
    <n v="1"/>
    <s v="161410.230"/>
    <s v="משימות חולפות-1                 "/>
    <m/>
    <m/>
    <n v="97000"/>
    <n v="0"/>
    <n v="0"/>
    <e v="#N/A"/>
    <x v="5"/>
    <s v="הנהלה כללית"/>
    <x v="21"/>
    <s v="מינהל כללי"/>
    <x v="64"/>
    <s v="הסברה ויחסי ציבור"/>
    <s v="6141"/>
    <e v="#N/A"/>
    <m/>
    <s v="2"/>
    <x v="10"/>
    <s v="23"/>
    <s v="שעות נוספות"/>
    <s v="230"/>
    <e v="#N/A"/>
  </r>
  <r>
    <n v="310"/>
    <s v="61410"/>
    <n v="1"/>
    <s v="161410.310"/>
    <s v="שעות נוספות רשומות              "/>
    <m/>
    <m/>
    <n v="100000"/>
    <n v="84000"/>
    <n v="256615"/>
    <e v="#N/A"/>
    <x v="5"/>
    <s v="הנהלה כללית"/>
    <x v="21"/>
    <s v="מינהל כללי"/>
    <x v="64"/>
    <s v="הסברה ויחסי ציבור"/>
    <s v="6141"/>
    <e v="#N/A"/>
    <m/>
    <s v="3"/>
    <x v="14"/>
    <s v="31"/>
    <s v="פנסיה"/>
    <s v="310"/>
    <e v="#N/A"/>
  </r>
  <r>
    <n v="340"/>
    <s v="61410"/>
    <n v="1"/>
    <s v="161410.340"/>
    <s v="שעות נוספות מיוחדות             "/>
    <m/>
    <m/>
    <n v="165000"/>
    <n v="162000"/>
    <n v="151712"/>
    <e v="#N/A"/>
    <x v="5"/>
    <s v="הנהלה כללית"/>
    <x v="21"/>
    <s v="מינהל כללי"/>
    <x v="64"/>
    <s v="הסברה ויחסי ציבור"/>
    <s v="6141"/>
    <e v="#N/A"/>
    <m/>
    <s v="3"/>
    <x v="14"/>
    <s v="34"/>
    <e v="#N/A"/>
    <s v="340"/>
    <e v="#N/A"/>
  </r>
  <r>
    <n v="412"/>
    <s v="61410"/>
    <n v="1"/>
    <s v="161410.412"/>
    <s v="מיסים ואגרות                    "/>
    <m/>
    <m/>
    <n v="1000"/>
    <n v="1000"/>
    <n v="345"/>
    <e v="#N/A"/>
    <x v="5"/>
    <s v="הנהלה כללית"/>
    <x v="21"/>
    <s v="מינהל כללי"/>
    <x v="64"/>
    <s v="הסברה ויחסי ציבור"/>
    <s v="6141"/>
    <e v="#N/A"/>
    <m/>
    <s v="4"/>
    <x v="15"/>
    <s v="41"/>
    <s v="שכר דירה ודמי חכירה"/>
    <s v="412"/>
    <e v="#N/A"/>
  </r>
  <r>
    <n v="433"/>
    <s v="61410"/>
    <n v="1"/>
    <s v="161410.433"/>
    <s v="ביטוח                           "/>
    <m/>
    <m/>
    <n v="37000"/>
    <n v="30000"/>
    <n v="27000"/>
    <e v="#N/A"/>
    <x v="5"/>
    <s v="הנהלה כללית"/>
    <x v="21"/>
    <s v="מינהל כללי"/>
    <x v="64"/>
    <s v="הסברה ויחסי ציבור"/>
    <s v="6141"/>
    <e v="#N/A"/>
    <m/>
    <s v="4"/>
    <x v="15"/>
    <s v="43"/>
    <s v="חשמל, מים וחומרי ניקיון"/>
    <s v="433"/>
    <s v="חומרי ניקיון"/>
  </r>
  <r>
    <n v="434"/>
    <s v="61410"/>
    <n v="1"/>
    <s v="161410.434"/>
    <s v="תקוני מבנים  מתקנים ואינונטר    "/>
    <m/>
    <m/>
    <n v="3000"/>
    <n v="3000"/>
    <n v="295"/>
    <e v="#N/A"/>
    <x v="5"/>
    <s v="הנהלה כללית"/>
    <x v="21"/>
    <s v="מינהל כללי"/>
    <x v="64"/>
    <s v="הסברה ויחסי ציבור"/>
    <s v="6141"/>
    <e v="#N/A"/>
    <m/>
    <s v="4"/>
    <x v="15"/>
    <s v="43"/>
    <s v="חשמל, מים וחומרי ניקיון"/>
    <s v="434"/>
    <s v="שירותי ניקיון"/>
  </r>
  <r>
    <n v="439"/>
    <s v="61410"/>
    <n v="1"/>
    <s v="161410.439"/>
    <s v="אחזקת בניני העיריה-השתתפות      "/>
    <m/>
    <m/>
    <n v="112000"/>
    <n v="104000"/>
    <n v="100000"/>
    <e v="#N/A"/>
    <x v="5"/>
    <s v="הנהלה כללית"/>
    <x v="21"/>
    <s v="מינהל כללי"/>
    <x v="64"/>
    <s v="הסברה ויחסי ציבור"/>
    <s v="6141"/>
    <e v="#N/A"/>
    <m/>
    <s v="4"/>
    <x v="15"/>
    <s v="43"/>
    <s v="חשמל, מים וחומרי ניקיון"/>
    <s v="439"/>
    <e v="#N/A"/>
  </r>
  <r>
    <n v="461"/>
    <s v="61410"/>
    <n v="1"/>
    <s v="161410.461"/>
    <s v="צורכי משרד                      "/>
    <m/>
    <m/>
    <n v="28000"/>
    <n v="38000"/>
    <n v="14744"/>
    <e v="#N/A"/>
    <x v="5"/>
    <s v="הנהלה כללית"/>
    <x v="21"/>
    <s v="מינהל כללי"/>
    <x v="64"/>
    <s v="הסברה ויחסי ציבור"/>
    <s v="6141"/>
    <e v="#N/A"/>
    <m/>
    <s v="4"/>
    <x v="15"/>
    <s v="46"/>
    <e v="#N/A"/>
    <s v="461"/>
    <e v="#N/A"/>
  </r>
  <r>
    <n v="462"/>
    <s v="61410"/>
    <n v="1"/>
    <s v="161410.462"/>
    <s v="ספרים ועתונים                   "/>
    <m/>
    <m/>
    <n v="30000"/>
    <n v="30000"/>
    <n v="16638"/>
    <e v="#N/A"/>
    <x v="5"/>
    <s v="הנהלה כללית"/>
    <x v="21"/>
    <s v="מינהל כללי"/>
    <x v="64"/>
    <s v="הסברה ויחסי ציבור"/>
    <s v="6141"/>
    <e v="#N/A"/>
    <m/>
    <s v="4"/>
    <x v="15"/>
    <s v="46"/>
    <e v="#N/A"/>
    <s v="462"/>
    <e v="#N/A"/>
  </r>
  <r>
    <n v="464"/>
    <s v="61410"/>
    <n v="1"/>
    <s v="161410.464"/>
    <s v="דאר                             "/>
    <m/>
    <m/>
    <n v="4000"/>
    <n v="4000"/>
    <n v="595"/>
    <e v="#N/A"/>
    <x v="5"/>
    <s v="הנהלה כללית"/>
    <x v="21"/>
    <s v="מינהל כללי"/>
    <x v="64"/>
    <s v="הסברה ויחסי ציבור"/>
    <s v="6141"/>
    <e v="#N/A"/>
    <m/>
    <s v="4"/>
    <x v="15"/>
    <s v="46"/>
    <e v="#N/A"/>
    <s v="464"/>
    <e v="#N/A"/>
  </r>
  <r>
    <n v="510"/>
    <s v="61410"/>
    <n v="1"/>
    <s v="161410.510"/>
    <s v="נסיעות  ואש ל                   "/>
    <m/>
    <m/>
    <n v="9000"/>
    <n v="9000"/>
    <n v="5975"/>
    <e v="#N/A"/>
    <x v="5"/>
    <s v="הנהלה כללית"/>
    <x v="21"/>
    <s v="מינהל כללי"/>
    <x v="64"/>
    <s v="הסברה ויחסי ציבור"/>
    <s v="6141"/>
    <e v="#N/A"/>
    <m/>
    <s v="5"/>
    <x v="11"/>
    <s v="51"/>
    <s v="אש&quot;ל וכיבודים"/>
    <s v="510"/>
    <e v="#N/A"/>
  </r>
  <r>
    <n v="521"/>
    <s v="61410"/>
    <n v="1"/>
    <s v="161410.521"/>
    <s v="הדרכה וכנסים                    "/>
    <m/>
    <m/>
    <n v="16000"/>
    <n v="6000"/>
    <n v="5150"/>
    <e v="#N/A"/>
    <x v="5"/>
    <s v="הנהלה כללית"/>
    <x v="21"/>
    <s v="מינהל כללי"/>
    <x v="64"/>
    <s v="הסברה ויחסי ציבור"/>
    <s v="6141"/>
    <e v="#N/A"/>
    <m/>
    <s v="5"/>
    <x v="11"/>
    <s v="52"/>
    <s v="השתלמויות וספרות מקצועית"/>
    <s v="521"/>
    <s v="השתלמויות וספרות מקצועית"/>
  </r>
  <r>
    <n v="522"/>
    <s v="61410"/>
    <n v="1"/>
    <s v="161410.522"/>
    <s v="גיבוש יחידתי                    "/>
    <m/>
    <m/>
    <n v="3000"/>
    <n v="2000"/>
    <n v="1788"/>
    <e v="#N/A"/>
    <x v="5"/>
    <s v="הנהלה כללית"/>
    <x v="21"/>
    <s v="מינהל כללי"/>
    <x v="64"/>
    <s v="הסברה ויחסי ציבור"/>
    <s v="6141"/>
    <e v="#N/A"/>
    <m/>
    <s v="5"/>
    <x v="11"/>
    <s v="52"/>
    <s v="השתלמויות וספרות מקצועית"/>
    <s v="522"/>
    <s v="ספרות מקצועית ועיתונות"/>
  </r>
  <r>
    <n v="541"/>
    <s v="61410"/>
    <n v="1"/>
    <s v="161410.541"/>
    <s v="החזקת מכשירי קשר וסלולר         "/>
    <m/>
    <m/>
    <n v="34000"/>
    <n v="29000"/>
    <n v="27618"/>
    <e v="#N/A"/>
    <x v="5"/>
    <s v="הנהלה כללית"/>
    <x v="21"/>
    <s v="מינהל כללי"/>
    <x v="64"/>
    <s v="הסברה ויחסי ציבור"/>
    <s v="6141"/>
    <e v="#N/A"/>
    <m/>
    <s v="5"/>
    <x v="11"/>
    <s v="54"/>
    <s v="הוצאות תקשורת"/>
    <s v="541"/>
    <e v="#N/A"/>
  </r>
  <r>
    <n v="610"/>
    <s v="61410"/>
    <n v="1"/>
    <s v="161410.610"/>
    <s v="כיבודים                         "/>
    <m/>
    <m/>
    <n v="12000"/>
    <n v="12000"/>
    <n v="11015"/>
    <e v="#N/A"/>
    <x v="5"/>
    <s v="הנהלה כללית"/>
    <x v="21"/>
    <s v="מינהל כללי"/>
    <x v="64"/>
    <s v="הסברה ויחסי ציבור"/>
    <s v="6141"/>
    <e v="#N/A"/>
    <m/>
    <s v="6"/>
    <x v="12"/>
    <s v="61"/>
    <s v="עמלות"/>
    <s v="610"/>
    <e v="#N/A"/>
  </r>
  <r>
    <n v="670"/>
    <s v="61410"/>
    <n v="1"/>
    <s v="161410.670"/>
    <s v="סעיף שאינו חוזר                 "/>
    <m/>
    <m/>
    <n v="0"/>
    <n v="8000"/>
    <n v="5659"/>
    <e v="#N/A"/>
    <x v="5"/>
    <s v="הנהלה כללית"/>
    <x v="21"/>
    <s v="מינהל כללי"/>
    <x v="64"/>
    <s v="הסברה ויחסי ציבור"/>
    <s v="6141"/>
    <e v="#N/A"/>
    <m/>
    <s v="6"/>
    <x v="12"/>
    <s v="67"/>
    <e v="#N/A"/>
    <s v="670"/>
    <e v="#N/A"/>
  </r>
  <r>
    <n v="680"/>
    <s v="61410"/>
    <n v="1"/>
    <s v="161410.680"/>
    <s v="הוצאות מיוחדות                  "/>
    <m/>
    <m/>
    <n v="2000"/>
    <n v="2000"/>
    <n v="525"/>
    <e v="#N/A"/>
    <x v="5"/>
    <s v="הנהלה כללית"/>
    <x v="21"/>
    <s v="מינהל כללי"/>
    <x v="64"/>
    <s v="הסברה ויחסי ציבור"/>
    <s v="6141"/>
    <e v="#N/A"/>
    <m/>
    <s v="6"/>
    <x v="12"/>
    <s v="68"/>
    <s v="ריבית על הוצאות אחרות"/>
    <s v="680"/>
    <e v="#N/A"/>
  </r>
  <r>
    <n v="691"/>
    <s v="61410"/>
    <n v="1"/>
    <s v="161410.691"/>
    <s v="מערכות מידע ומחשוב              "/>
    <m/>
    <m/>
    <n v="1030000"/>
    <n v="1090000"/>
    <n v="950564"/>
    <m/>
    <x v="5"/>
    <s v="הנהלה כללית"/>
    <x v="21"/>
    <s v="מינהל כללי"/>
    <x v="64"/>
    <s v="הסברה ויחסי ציבור"/>
    <s v="6141"/>
    <e v="#N/A"/>
    <m/>
    <s v="6"/>
    <x v="12"/>
    <s v="69"/>
    <s v="שונות"/>
    <s v="691"/>
    <s v="תשלום ע&quot;ח קרן"/>
  </r>
  <r>
    <n v="693"/>
    <s v="61410"/>
    <n v="1"/>
    <s v="161410.693"/>
    <s v="מיחשוב יחידתי                   "/>
    <m/>
    <m/>
    <n v="15000"/>
    <n v="15000"/>
    <n v="11630"/>
    <e v="#N/A"/>
    <x v="5"/>
    <s v="הנהלה כללית"/>
    <x v="21"/>
    <s v="מינהל כללי"/>
    <x v="64"/>
    <s v="הסברה ויחסי ציבור"/>
    <s v="6141"/>
    <e v="#N/A"/>
    <m/>
    <s v="6"/>
    <x v="12"/>
    <s v="69"/>
    <s v="שונות"/>
    <s v="693"/>
    <s v="תשלום ע&quot;ח הצמדת ערך"/>
  </r>
  <r>
    <n v="695"/>
    <s v="61410"/>
    <n v="1"/>
    <s v="161410.695"/>
    <s v="תקשורת  ציוד והתקנה             "/>
    <m/>
    <m/>
    <n v="2000"/>
    <n v="2000"/>
    <n v="0"/>
    <e v="#N/A"/>
    <x v="5"/>
    <s v="הנהלה כללית"/>
    <x v="21"/>
    <s v="מינהל כללי"/>
    <x v="64"/>
    <s v="הסברה ויחסי ציבור"/>
    <s v="6141"/>
    <e v="#N/A"/>
    <m/>
    <s v="6"/>
    <x v="12"/>
    <s v="69"/>
    <s v="שונות"/>
    <s v="695"/>
    <e v="#N/A"/>
  </r>
  <r>
    <n v="751"/>
    <s v="61410"/>
    <n v="1"/>
    <s v="161410.751"/>
    <s v="אינטרנט                         "/>
    <m/>
    <m/>
    <n v="920000"/>
    <n v="820000"/>
    <n v="924666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1"/>
    <e v="#N/A"/>
  </r>
  <r>
    <n v="752"/>
    <s v="61410"/>
    <n v="1"/>
    <s v="161410.752"/>
    <s v="שרותי תקשוב ומידע               "/>
    <m/>
    <m/>
    <n v="255000"/>
    <n v="255000"/>
    <n v="229851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2"/>
    <e v="#N/A"/>
  </r>
  <r>
    <n v="753"/>
    <s v="61410"/>
    <n v="1"/>
    <s v="161410.753"/>
    <s v="פרסומים ושרותי יעוץ             "/>
    <m/>
    <m/>
    <n v="420000"/>
    <n v="420000"/>
    <n v="584592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3"/>
    <e v="#N/A"/>
  </r>
  <r>
    <n v="754"/>
    <s v="61410"/>
    <n v="1"/>
    <s v="161410.754"/>
    <s v="החזרים בגין שילוט חוצות         "/>
    <m/>
    <m/>
    <n v="-300000"/>
    <n v="-300000"/>
    <n v="-421563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4"/>
    <e v="#N/A"/>
  </r>
  <r>
    <n v="754"/>
    <s v="61410"/>
    <n v="1"/>
    <s v="161410.754"/>
    <s v="שילוט חוצות                     "/>
    <m/>
    <m/>
    <n v="300000"/>
    <n v="300000"/>
    <n v="420000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4"/>
    <e v="#N/A"/>
  </r>
  <r>
    <n v="755"/>
    <s v="61410"/>
    <n v="1"/>
    <s v="161410.755"/>
    <s v="שרותי עיצוב                     "/>
    <m/>
    <m/>
    <n v="480000"/>
    <n v="480000"/>
    <n v="481309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5"/>
    <e v="#N/A"/>
  </r>
  <r>
    <n v="757"/>
    <s v="61410"/>
    <n v="1"/>
    <s v="161410.757"/>
    <s v="פרסום חוצות                     "/>
    <m/>
    <m/>
    <n v="950000"/>
    <n v="950000"/>
    <n v="846951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7"/>
    <e v="#N/A"/>
  </r>
  <r>
    <n v="758"/>
    <s v="61410"/>
    <n v="1"/>
    <s v="161410.758"/>
    <s v="שרותים נלוים לדוברות            "/>
    <m/>
    <m/>
    <n v="100000"/>
    <n v="100000"/>
    <n v="104457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8"/>
    <e v="#N/A"/>
  </r>
  <r>
    <n v="759"/>
    <s v="61410"/>
    <n v="1"/>
    <s v="161410.759"/>
    <s v="הפקות דפוס                      "/>
    <m/>
    <m/>
    <n v="65000"/>
    <n v="65000"/>
    <n v="146896"/>
    <e v="#N/A"/>
    <x v="5"/>
    <s v="הנהלה כללית"/>
    <x v="21"/>
    <s v="מינהל כללי"/>
    <x v="64"/>
    <s v="הסברה ויחסי ציבור"/>
    <s v="6141"/>
    <e v="#N/A"/>
    <m/>
    <s v="7"/>
    <x v="13"/>
    <s v="75"/>
    <s v="עבודות קבלניות"/>
    <s v="759"/>
    <e v="#N/A"/>
  </r>
  <r>
    <n v="781"/>
    <s v="61410"/>
    <n v="1"/>
    <s v="161410.781"/>
    <s v="דיווח שוטף לציבור               "/>
    <m/>
    <m/>
    <n v="2480000"/>
    <n v="2680000"/>
    <n v="2738243"/>
    <e v="#N/A"/>
    <x v="5"/>
    <s v="הנהלה כללית"/>
    <x v="21"/>
    <s v="מינהל כללי"/>
    <x v="64"/>
    <s v="הסברה ויחסי ציבור"/>
    <s v="6141"/>
    <e v="#N/A"/>
    <m/>
    <s v="7"/>
    <x v="13"/>
    <s v="78"/>
    <s v="הוצאות שונות"/>
    <s v="781"/>
    <e v="#N/A"/>
  </r>
  <r>
    <n v="782"/>
    <s v="61410"/>
    <n v="1"/>
    <s v="161410.782"/>
    <s v="הוצאות נלוות לצילומי חוץ        "/>
    <m/>
    <m/>
    <n v="7000"/>
    <n v="0"/>
    <n v="0"/>
    <e v="#N/A"/>
    <x v="5"/>
    <s v="הנהלה כללית"/>
    <x v="21"/>
    <s v="מינהל כללי"/>
    <x v="64"/>
    <s v="הסברה ויחסי ציבור"/>
    <s v="6141"/>
    <e v="#N/A"/>
    <m/>
    <s v="7"/>
    <x v="13"/>
    <s v="78"/>
    <s v="הוצאות שונות"/>
    <s v="782"/>
    <e v="#N/A"/>
  </r>
  <r>
    <n v="783"/>
    <s v="61410"/>
    <n v="1"/>
    <s v="161410.783"/>
    <s v="דמי הרשמה לאיגודים מקצועיים     "/>
    <m/>
    <m/>
    <n v="3000"/>
    <n v="3000"/>
    <n v="0"/>
    <e v="#N/A"/>
    <x v="5"/>
    <s v="הנהלה כללית"/>
    <x v="21"/>
    <s v="מינהל כללי"/>
    <x v="64"/>
    <s v="הסברה ויחסי ציבור"/>
    <s v="6141"/>
    <e v="#N/A"/>
    <m/>
    <s v="7"/>
    <x v="13"/>
    <s v="78"/>
    <s v="הוצאות שונות"/>
    <s v="783"/>
    <e v="#N/A"/>
  </r>
  <r>
    <n v="784"/>
    <s v="61410"/>
    <n v="1"/>
    <s v="161410.784"/>
    <s v="פרסום ארועים                    "/>
    <m/>
    <m/>
    <n v="2655000"/>
    <n v="2905000"/>
    <n v="3111289"/>
    <e v="#N/A"/>
    <x v="5"/>
    <s v="הנהלה כללית"/>
    <x v="21"/>
    <s v="מינהל כללי"/>
    <x v="64"/>
    <s v="הסברה ויחסי ציבור"/>
    <s v="6141"/>
    <e v="#N/A"/>
    <m/>
    <s v="7"/>
    <x v="13"/>
    <s v="78"/>
    <s v="הוצאות שונות"/>
    <s v="784"/>
    <e v="#N/A"/>
  </r>
  <r>
    <n v="786"/>
    <s v="61410"/>
    <n v="1"/>
    <s v="161410.786"/>
    <s v="פרוייקט דיגיתל                  "/>
    <m/>
    <m/>
    <n v="1057000"/>
    <n v="827000"/>
    <n v="1012259"/>
    <e v="#N/A"/>
    <x v="5"/>
    <s v="הנהלה כללית"/>
    <x v="21"/>
    <s v="מינהל כללי"/>
    <x v="64"/>
    <s v="הסברה ויחסי ציבור"/>
    <s v="6141"/>
    <e v="#N/A"/>
    <m/>
    <s v="7"/>
    <x v="13"/>
    <s v="78"/>
    <s v="הוצאות שונות"/>
    <s v="786"/>
    <e v="#N/A"/>
  </r>
  <r>
    <n v="861"/>
    <s v="61410"/>
    <n v="1"/>
    <s v="161410.861"/>
    <s v="פרו' דיגיתל-יובל חינוך          "/>
    <m/>
    <m/>
    <n v="270000"/>
    <n v="0"/>
    <n v="0"/>
    <e v="#N/A"/>
    <x v="5"/>
    <s v="הנהלה כללית"/>
    <x v="21"/>
    <s v="מינהל כללי"/>
    <x v="64"/>
    <s v="הסברה ויחסי ציבור"/>
    <s v="6141"/>
    <e v="#N/A"/>
    <m/>
    <s v="8"/>
    <x v="16"/>
    <s v="86"/>
    <s v="הנחות"/>
    <s v="861"/>
    <e v="#N/A"/>
  </r>
  <r>
    <n v="932"/>
    <s v="61410"/>
    <n v="1"/>
    <s v="161410.932"/>
    <s v="ציוד וריהוט משרדי               "/>
    <m/>
    <m/>
    <n v="10000"/>
    <n v="10000"/>
    <n v="6740"/>
    <e v="#N/A"/>
    <x v="5"/>
    <s v="הנהלה כללית"/>
    <x v="21"/>
    <s v="מינהל כללי"/>
    <x v="64"/>
    <s v="הסברה ויחסי ציבור"/>
    <s v="6141"/>
    <e v="#N/A"/>
    <m/>
    <s v="9"/>
    <x v="17"/>
    <s v="93"/>
    <s v="רכישת ציוד יסודי"/>
    <s v="932"/>
    <e v="#N/A"/>
  </r>
  <r>
    <n v="670"/>
    <s v="61420"/>
    <n v="1"/>
    <s v="161420.670"/>
    <s v="סעיף שאינו חוזר                 "/>
    <m/>
    <m/>
    <n v="0"/>
    <n v="0"/>
    <n v="200500"/>
    <e v="#N/A"/>
    <x v="5"/>
    <s v="הנהלה כללית"/>
    <x v="21"/>
    <s v="מינהל כללי"/>
    <x v="64"/>
    <s v="הסברה ויחסי ציבור"/>
    <s v="6142"/>
    <e v="#N/A"/>
    <m/>
    <s v="6"/>
    <x v="12"/>
    <s v="67"/>
    <e v="#N/A"/>
    <s v="670"/>
    <e v="#N/A"/>
  </r>
  <r>
    <n v="753"/>
    <s v="61420"/>
    <n v="1"/>
    <s v="161420.753"/>
    <s v="מירוץ אופניים - סובב ת א        "/>
    <m/>
    <m/>
    <n v="200000"/>
    <n v="200000"/>
    <n v="200000"/>
    <e v="#N/A"/>
    <x v="5"/>
    <s v="הנהלה כללית"/>
    <x v="21"/>
    <s v="מינהל כללי"/>
    <x v="64"/>
    <s v="הסברה ויחסי ציבור"/>
    <s v="6142"/>
    <e v="#N/A"/>
    <m/>
    <s v="7"/>
    <x v="13"/>
    <s v="75"/>
    <s v="עבודות קבלניות"/>
    <s v="753"/>
    <e v="#N/A"/>
  </r>
  <r>
    <n v="757"/>
    <s v="61420"/>
    <n v="1"/>
    <s v="161420.757"/>
    <s v="הוצאות שיטור מרחב ירקון         "/>
    <m/>
    <m/>
    <n v="318000"/>
    <n v="318000"/>
    <n v="318000"/>
    <e v="#N/A"/>
    <x v="5"/>
    <s v="הנהלה כללית"/>
    <x v="21"/>
    <s v="מינהל כללי"/>
    <x v="64"/>
    <s v="הסברה ויחסי ציבור"/>
    <s v="6142"/>
    <e v="#N/A"/>
    <m/>
    <s v="7"/>
    <x v="13"/>
    <s v="75"/>
    <s v="עבודות קבלניות"/>
    <s v="757"/>
    <e v="#N/A"/>
  </r>
  <r>
    <n v="758"/>
    <s v="61420"/>
    <n v="1"/>
    <s v="161420.758"/>
    <s v="הוצאות שיטור מרחב יפתח          "/>
    <m/>
    <m/>
    <n v="60000"/>
    <n v="0"/>
    <n v="0"/>
    <e v="#N/A"/>
    <x v="5"/>
    <s v="הנהלה כללית"/>
    <x v="21"/>
    <s v="מינהל כללי"/>
    <x v="64"/>
    <s v="הסברה ויחסי ציבור"/>
    <s v="6142"/>
    <e v="#N/A"/>
    <m/>
    <s v="7"/>
    <x v="13"/>
    <s v="75"/>
    <s v="עבודות קבלניות"/>
    <s v="758"/>
    <e v="#N/A"/>
  </r>
  <r>
    <n v="781"/>
    <s v="61420"/>
    <n v="1"/>
    <s v="161420.781"/>
    <s v="לילה לבן                        "/>
    <m/>
    <m/>
    <n v="1360000"/>
    <n v="1420000"/>
    <n v="1529629"/>
    <e v="#N/A"/>
    <x v="5"/>
    <s v="הנהלה כללית"/>
    <x v="21"/>
    <s v="מינהל כללי"/>
    <x v="64"/>
    <s v="הסברה ויחסי ציבור"/>
    <s v="6142"/>
    <e v="#N/A"/>
    <m/>
    <s v="7"/>
    <x v="13"/>
    <s v="78"/>
    <s v="הוצאות שונות"/>
    <s v="781"/>
    <e v="#N/A"/>
  </r>
  <r>
    <n v="782"/>
    <s v="61420"/>
    <n v="1"/>
    <s v="161420.782"/>
    <s v="תערוכת  לגור על החולות          "/>
    <m/>
    <m/>
    <n v="50000"/>
    <n v="100000"/>
    <n v="75748"/>
    <e v="#N/A"/>
    <x v="5"/>
    <s v="הנהלה כללית"/>
    <x v="21"/>
    <s v="מינהל כללי"/>
    <x v="64"/>
    <s v="הסברה ויחסי ציבור"/>
    <s v="6142"/>
    <e v="#N/A"/>
    <m/>
    <s v="7"/>
    <x v="13"/>
    <s v="78"/>
    <s v="הוצאות שונות"/>
    <s v="782"/>
    <e v="#N/A"/>
  </r>
  <r>
    <n v="786"/>
    <s v="61420"/>
    <n v="1"/>
    <s v="161420.786"/>
    <s v="אירוע לפתיחת שנה ל              "/>
    <m/>
    <m/>
    <n v="200000"/>
    <n v="200000"/>
    <n v="148122"/>
    <e v="#N/A"/>
    <x v="5"/>
    <s v="הנהלה כללית"/>
    <x v="21"/>
    <s v="מינהל כללי"/>
    <x v="64"/>
    <s v="הסברה ויחסי ציבור"/>
    <s v="6142"/>
    <e v="#N/A"/>
    <m/>
    <s v="7"/>
    <x v="13"/>
    <s v="78"/>
    <s v="הוצאות שונות"/>
    <s v="786"/>
    <e v="#N/A"/>
  </r>
  <r>
    <n v="787"/>
    <s v="61420"/>
    <n v="1"/>
    <s v="161420.787"/>
    <s v="ארועים שונים                    "/>
    <m/>
    <m/>
    <n v="300000"/>
    <n v="300000"/>
    <n v="284483"/>
    <e v="#N/A"/>
    <x v="5"/>
    <s v="הנהלה כללית"/>
    <x v="21"/>
    <s v="מינהל כללי"/>
    <x v="64"/>
    <s v="הסברה ויחסי ציבור"/>
    <s v="6142"/>
    <e v="#N/A"/>
    <m/>
    <s v="7"/>
    <x v="13"/>
    <s v="78"/>
    <s v="הוצאות שונות"/>
    <s v="787"/>
    <e v="#N/A"/>
  </r>
  <r>
    <n v="788"/>
    <s v="61420"/>
    <n v="1"/>
    <s v="161420.788"/>
    <s v="מירוץ לילה                      "/>
    <m/>
    <m/>
    <n v="142000"/>
    <n v="142000"/>
    <n v="0"/>
    <e v="#N/A"/>
    <x v="5"/>
    <s v="הנהלה כללית"/>
    <x v="21"/>
    <s v="מינהל כללי"/>
    <x v="64"/>
    <s v="הסברה ויחסי ציבור"/>
    <s v="6142"/>
    <e v="#N/A"/>
    <m/>
    <s v="7"/>
    <x v="13"/>
    <s v="78"/>
    <s v="הוצאות שונות"/>
    <s v="788"/>
    <e v="#N/A"/>
  </r>
  <r>
    <n v="110"/>
    <s v="61510"/>
    <n v="1"/>
    <s v="161510.110"/>
    <s v="משכורת כוללת                    "/>
    <m/>
    <m/>
    <n v="1314000"/>
    <n v="1282000"/>
    <n v="1225223"/>
    <e v="#N/A"/>
    <x v="5"/>
    <s v="הנהלה כללית"/>
    <x v="21"/>
    <s v="מינהל כללי"/>
    <x v="65"/>
    <s v="מנגנון"/>
    <s v="6151"/>
    <e v="#N/A"/>
    <m/>
    <s v="1"/>
    <x v="9"/>
    <s v="11"/>
    <s v="השכר הקובע"/>
    <s v="110"/>
    <e v="#N/A"/>
  </r>
  <r>
    <n v="124"/>
    <s v="61510"/>
    <n v="1"/>
    <s v="161510.124"/>
    <s v="החזר הוצאות                     "/>
    <m/>
    <m/>
    <n v="64000"/>
    <n v="63000"/>
    <n v="58812"/>
    <e v="#N/A"/>
    <x v="5"/>
    <s v="הנהלה כללית"/>
    <x v="21"/>
    <s v="מינהל כללי"/>
    <x v="65"/>
    <s v="מנגנון"/>
    <s v="6151"/>
    <e v="#N/A"/>
    <m/>
    <s v="1"/>
    <x v="9"/>
    <s v="12"/>
    <s v="תוספות שאינן נכללות בשכר הקובע"/>
    <s v="124"/>
    <e v="#N/A"/>
  </r>
  <r>
    <n v="126"/>
    <s v="61510"/>
    <n v="1"/>
    <s v="161510.126"/>
    <s v="הבראה                           "/>
    <m/>
    <m/>
    <n v="53000"/>
    <n v="53000"/>
    <n v="51240"/>
    <e v="#N/A"/>
    <x v="5"/>
    <s v="הנהלה כללית"/>
    <x v="21"/>
    <s v="מינהל כללי"/>
    <x v="65"/>
    <s v="מנגנון"/>
    <s v="6151"/>
    <e v="#N/A"/>
    <m/>
    <s v="1"/>
    <x v="9"/>
    <s v="12"/>
    <s v="תוספות שאינן נכללות בשכר הקובע"/>
    <s v="126"/>
    <e v="#N/A"/>
  </r>
  <r>
    <n v="127"/>
    <s v="61510"/>
    <n v="1"/>
    <s v="161510.127"/>
    <s v="השתתפות באחזקת רכב-7            "/>
    <m/>
    <m/>
    <n v="159000"/>
    <n v="167000"/>
    <n v="155583"/>
    <e v="#N/A"/>
    <x v="5"/>
    <s v="הנהלה כללית"/>
    <x v="21"/>
    <s v="מינהל כללי"/>
    <x v="65"/>
    <s v="מנגנון"/>
    <s v="6151"/>
    <e v="#N/A"/>
    <m/>
    <s v="1"/>
    <x v="9"/>
    <s v="12"/>
    <s v="תוספות שאינן נכללות בשכר הקובע"/>
    <s v="127"/>
    <e v="#N/A"/>
  </r>
  <r>
    <n v="130"/>
    <s v="61510"/>
    <n v="1"/>
    <s v="161510.130"/>
    <s v="תשלומים מיוחדים                 "/>
    <m/>
    <m/>
    <n v="165000"/>
    <n v="156000"/>
    <n v="152194"/>
    <e v="#N/A"/>
    <x v="5"/>
    <s v="הנהלה כללית"/>
    <x v="21"/>
    <s v="מינהל כללי"/>
    <x v="65"/>
    <s v="מנגנון"/>
    <s v="6151"/>
    <e v="#N/A"/>
    <m/>
    <s v="1"/>
    <x v="9"/>
    <s v="13"/>
    <s v="שעות נוספות"/>
    <s v="130"/>
    <e v="#N/A"/>
  </r>
  <r>
    <n v="181"/>
    <s v="61510"/>
    <n v="1"/>
    <s v="161510.181"/>
    <s v="מיסים וביטוח לאומי              "/>
    <m/>
    <m/>
    <n v="275000"/>
    <n v="270000"/>
    <n v="227727"/>
    <e v="#N/A"/>
    <x v="5"/>
    <s v="הנהלה כללית"/>
    <x v="21"/>
    <s v="מינהל כללי"/>
    <x v="65"/>
    <s v="מנגנון"/>
    <s v="6151"/>
    <e v="#N/A"/>
    <m/>
    <s v="1"/>
    <x v="9"/>
    <s v="18"/>
    <s v="נלוות לשכר"/>
    <s v="181"/>
    <s v="הפרשות סוציאליות"/>
  </r>
  <r>
    <n v="182"/>
    <s v="61510"/>
    <n v="1"/>
    <s v="161510.182"/>
    <s v="קופות גמל והשתלמות              "/>
    <m/>
    <m/>
    <n v="228000"/>
    <n v="226000"/>
    <n v="215742"/>
    <e v="#N/A"/>
    <x v="5"/>
    <s v="הנהלה כללית"/>
    <x v="21"/>
    <s v="מינהל כללי"/>
    <x v="65"/>
    <s v="מנגנון"/>
    <s v="6151"/>
    <e v="#N/A"/>
    <m/>
    <s v="1"/>
    <x v="9"/>
    <s v="18"/>
    <s v="נלוות לשכר"/>
    <s v="182"/>
    <s v="מיסיום ועלויות"/>
  </r>
  <r>
    <n v="220"/>
    <s v="61510"/>
    <n v="1"/>
    <s v="161510.220"/>
    <s v="חניכים                          "/>
    <m/>
    <m/>
    <n v="181000"/>
    <n v="177000"/>
    <n v="209052"/>
    <e v="#N/A"/>
    <x v="5"/>
    <s v="הנהלה כללית"/>
    <x v="21"/>
    <s v="מינהל כללי"/>
    <x v="65"/>
    <s v="מנגנון"/>
    <s v="6151"/>
    <e v="#N/A"/>
    <m/>
    <s v="2"/>
    <x v="10"/>
    <s v="22"/>
    <s v="תוספות שאינן נכללות בשכר הקובע"/>
    <s v="220"/>
    <e v="#N/A"/>
  </r>
  <r>
    <n v="310"/>
    <s v="61510"/>
    <n v="1"/>
    <s v="161510.310"/>
    <s v="שעות  נוספות  רשומות            "/>
    <m/>
    <m/>
    <n v="165000"/>
    <n v="162000"/>
    <n v="176285"/>
    <e v="#N/A"/>
    <x v="5"/>
    <s v="הנהלה כללית"/>
    <x v="21"/>
    <s v="מינהל כללי"/>
    <x v="65"/>
    <s v="מנגנון"/>
    <s v="6151"/>
    <e v="#N/A"/>
    <m/>
    <s v="3"/>
    <x v="14"/>
    <s v="31"/>
    <s v="פנסיה"/>
    <s v="310"/>
    <e v="#N/A"/>
  </r>
  <r>
    <n v="433"/>
    <s v="61510"/>
    <n v="1"/>
    <s v="161510.433"/>
    <s v="ביטוח                           "/>
    <m/>
    <m/>
    <n v="90000"/>
    <n v="93000"/>
    <n v="81000"/>
    <e v="#N/A"/>
    <x v="5"/>
    <s v="הנהלה כללית"/>
    <x v="21"/>
    <s v="מינהל כללי"/>
    <x v="65"/>
    <s v="מנגנון"/>
    <s v="6151"/>
    <e v="#N/A"/>
    <m/>
    <s v="4"/>
    <x v="15"/>
    <s v="43"/>
    <s v="חשמל, מים וחומרי ניקיון"/>
    <s v="433"/>
    <s v="חומרי ניקיון"/>
  </r>
  <r>
    <n v="434"/>
    <s v="61510"/>
    <n v="1"/>
    <s v="161510.434"/>
    <s v="תקוני מבנים  מתקנים ואינונטר    "/>
    <m/>
    <m/>
    <n v="6000"/>
    <n v="6000"/>
    <n v="4899"/>
    <e v="#N/A"/>
    <x v="5"/>
    <s v="הנהלה כללית"/>
    <x v="21"/>
    <s v="מינהל כללי"/>
    <x v="65"/>
    <s v="מנגנון"/>
    <s v="6151"/>
    <e v="#N/A"/>
    <m/>
    <s v="4"/>
    <x v="15"/>
    <s v="43"/>
    <s v="חשמל, מים וחומרי ניקיון"/>
    <s v="434"/>
    <s v="שירותי ניקיון"/>
  </r>
  <r>
    <n v="439"/>
    <s v="61510"/>
    <n v="1"/>
    <s v="161510.439"/>
    <s v="אחזקת בניני העיריה-השתתפות      "/>
    <m/>
    <m/>
    <n v="630000"/>
    <n v="678000"/>
    <n v="620000"/>
    <e v="#N/A"/>
    <x v="5"/>
    <s v="הנהלה כללית"/>
    <x v="21"/>
    <s v="מינהל כללי"/>
    <x v="65"/>
    <s v="מנגנון"/>
    <s v="6151"/>
    <e v="#N/A"/>
    <m/>
    <s v="4"/>
    <x v="15"/>
    <s v="43"/>
    <s v="חשמל, מים וחומרי ניקיון"/>
    <s v="439"/>
    <e v="#N/A"/>
  </r>
  <r>
    <n v="461"/>
    <s v="61510"/>
    <n v="1"/>
    <s v="161510.461"/>
    <s v="צורכי משרד                      "/>
    <m/>
    <m/>
    <n v="59000"/>
    <n v="76000"/>
    <n v="50729"/>
    <e v="#N/A"/>
    <x v="5"/>
    <s v="הנהלה כללית"/>
    <x v="21"/>
    <s v="מינהל כללי"/>
    <x v="65"/>
    <s v="מנגנון"/>
    <s v="6151"/>
    <e v="#N/A"/>
    <m/>
    <s v="4"/>
    <x v="15"/>
    <s v="46"/>
    <e v="#N/A"/>
    <s v="461"/>
    <e v="#N/A"/>
  </r>
  <r>
    <n v="462"/>
    <s v="61510"/>
    <n v="1"/>
    <s v="161510.462"/>
    <s v="ספרים ועתונים                   "/>
    <m/>
    <m/>
    <n v="14000"/>
    <n v="14000"/>
    <n v="12472"/>
    <e v="#N/A"/>
    <x v="5"/>
    <s v="הנהלה כללית"/>
    <x v="21"/>
    <s v="מינהל כללי"/>
    <x v="65"/>
    <s v="מנגנון"/>
    <s v="6151"/>
    <e v="#N/A"/>
    <m/>
    <s v="4"/>
    <x v="15"/>
    <s v="46"/>
    <e v="#N/A"/>
    <s v="462"/>
    <e v="#N/A"/>
  </r>
  <r>
    <n v="464"/>
    <s v="61510"/>
    <n v="1"/>
    <s v="161510.464"/>
    <s v="דאר                             "/>
    <m/>
    <m/>
    <n v="9000"/>
    <n v="9000"/>
    <n v="5649"/>
    <e v="#N/A"/>
    <x v="5"/>
    <s v="הנהלה כללית"/>
    <x v="21"/>
    <s v="מינהל כללי"/>
    <x v="65"/>
    <s v="מנגנון"/>
    <s v="6151"/>
    <e v="#N/A"/>
    <m/>
    <s v="4"/>
    <x v="15"/>
    <s v="46"/>
    <e v="#N/A"/>
    <s v="464"/>
    <e v="#N/A"/>
  </r>
  <r>
    <n v="510"/>
    <s v="61510"/>
    <n v="1"/>
    <s v="161510.510"/>
    <s v="נסיעות  ואש ל                   "/>
    <m/>
    <m/>
    <n v="3000"/>
    <n v="3000"/>
    <n v="894"/>
    <e v="#N/A"/>
    <x v="5"/>
    <s v="הנהלה כללית"/>
    <x v="21"/>
    <s v="מינהל כללי"/>
    <x v="65"/>
    <s v="מנגנון"/>
    <s v="6151"/>
    <e v="#N/A"/>
    <m/>
    <s v="5"/>
    <x v="11"/>
    <s v="51"/>
    <s v="אש&quot;ל וכיבודים"/>
    <s v="510"/>
    <e v="#N/A"/>
  </r>
  <r>
    <n v="522"/>
    <s v="61510"/>
    <n v="1"/>
    <s v="161510.522"/>
    <s v="גיבוש יחידתי                    "/>
    <m/>
    <m/>
    <n v="6000"/>
    <n v="6000"/>
    <n v="6244"/>
    <e v="#N/A"/>
    <x v="5"/>
    <s v="הנהלה כללית"/>
    <x v="21"/>
    <s v="מינהל כללי"/>
    <x v="65"/>
    <s v="מנגנון"/>
    <s v="6151"/>
    <e v="#N/A"/>
    <m/>
    <s v="5"/>
    <x v="11"/>
    <s v="52"/>
    <s v="השתלמויות וספרות מקצועית"/>
    <s v="522"/>
    <s v="ספרות מקצועית ועיתונות"/>
  </r>
  <r>
    <n v="531"/>
    <s v="61510"/>
    <n v="1"/>
    <s v="161510.531"/>
    <s v="אחזקת רכב                       "/>
    <m/>
    <m/>
    <n v="2000"/>
    <n v="2000"/>
    <n v="2480"/>
    <e v="#N/A"/>
    <x v="5"/>
    <s v="הנהלה כללית"/>
    <x v="21"/>
    <s v="מינהל כללי"/>
    <x v="65"/>
    <s v="מנגנון"/>
    <s v="6151"/>
    <e v="#N/A"/>
    <m/>
    <s v="5"/>
    <x v="11"/>
    <s v="53"/>
    <s v="הוצאות רכב מינהלי"/>
    <s v="531"/>
    <s v="דלק ושמנים"/>
  </r>
  <r>
    <n v="533"/>
    <s v="61510"/>
    <n v="1"/>
    <s v="161510.533"/>
    <s v="שכירת רכב                       "/>
    <m/>
    <m/>
    <n v="40000"/>
    <n v="40000"/>
    <n v="38843"/>
    <e v="#N/A"/>
    <x v="5"/>
    <s v="הנהלה כללית"/>
    <x v="21"/>
    <s v="מינהל כללי"/>
    <x v="65"/>
    <s v="מנגנון"/>
    <s v="6151"/>
    <e v="#N/A"/>
    <m/>
    <s v="5"/>
    <x v="11"/>
    <s v="53"/>
    <s v="הוצאות רכב מינהלי"/>
    <s v="533"/>
    <s v="רישוי וביטוח"/>
  </r>
  <r>
    <n v="534"/>
    <s v="61510"/>
    <n v="1"/>
    <s v="161510.534"/>
    <s v="דלק ושמן                        "/>
    <m/>
    <m/>
    <n v="18000"/>
    <n v="20000"/>
    <n v="16172"/>
    <e v="#N/A"/>
    <x v="5"/>
    <s v="הנהלה כללית"/>
    <x v="21"/>
    <s v="מינהל כללי"/>
    <x v="65"/>
    <s v="מנגנון"/>
    <s v="6151"/>
    <e v="#N/A"/>
    <m/>
    <s v="5"/>
    <x v="11"/>
    <s v="53"/>
    <s v="הוצאות רכב מינהלי"/>
    <s v="534"/>
    <e v="#N/A"/>
  </r>
  <r>
    <n v="541"/>
    <s v="61510"/>
    <n v="1"/>
    <s v="161510.541"/>
    <s v="החזקת מכשירי קשר וסלולר         "/>
    <m/>
    <m/>
    <n v="41000"/>
    <n v="41000"/>
    <n v="46630"/>
    <m/>
    <x v="5"/>
    <s v="הנהלה כללית"/>
    <x v="21"/>
    <s v="מינהל כללי"/>
    <x v="65"/>
    <s v="מנגנון"/>
    <s v="6151"/>
    <e v="#N/A"/>
    <m/>
    <s v="5"/>
    <x v="11"/>
    <s v="54"/>
    <s v="הוצאות תקשורת"/>
    <s v="541"/>
    <e v="#N/A"/>
  </r>
  <r>
    <n v="610"/>
    <s v="61510"/>
    <n v="1"/>
    <s v="161510.610"/>
    <s v="כיבודים                         "/>
    <m/>
    <m/>
    <n v="12000"/>
    <n v="12000"/>
    <n v="11504"/>
    <e v="#N/A"/>
    <x v="5"/>
    <s v="הנהלה כללית"/>
    <x v="21"/>
    <s v="מינהל כללי"/>
    <x v="65"/>
    <s v="מנגנון"/>
    <s v="6151"/>
    <e v="#N/A"/>
    <m/>
    <s v="6"/>
    <x v="12"/>
    <s v="61"/>
    <s v="עמלות"/>
    <s v="610"/>
    <e v="#N/A"/>
  </r>
  <r>
    <n v="670"/>
    <s v="61510"/>
    <n v="1"/>
    <s v="161510.670"/>
    <s v="סעיף שאינו חוזר                 "/>
    <m/>
    <m/>
    <n v="0"/>
    <n v="40000"/>
    <n v="38982"/>
    <e v="#N/A"/>
    <x v="5"/>
    <s v="הנהלה כללית"/>
    <x v="21"/>
    <s v="מינהל כללי"/>
    <x v="65"/>
    <s v="מנגנון"/>
    <s v="6151"/>
    <e v="#N/A"/>
    <m/>
    <s v="6"/>
    <x v="12"/>
    <s v="67"/>
    <e v="#N/A"/>
    <s v="670"/>
    <e v="#N/A"/>
  </r>
  <r>
    <n v="680"/>
    <s v="61510"/>
    <n v="1"/>
    <s v="161510.680"/>
    <s v="הוצאות מיוחדות                  "/>
    <m/>
    <m/>
    <n v="6000"/>
    <n v="6000"/>
    <n v="6130"/>
    <e v="#N/A"/>
    <x v="5"/>
    <s v="הנהלה כללית"/>
    <x v="21"/>
    <s v="מינהל כללי"/>
    <x v="65"/>
    <s v="מנגנון"/>
    <s v="6151"/>
    <e v="#N/A"/>
    <m/>
    <s v="6"/>
    <x v="12"/>
    <s v="68"/>
    <s v="ריבית על הוצאות אחרות"/>
    <s v="680"/>
    <e v="#N/A"/>
  </r>
  <r>
    <n v="691"/>
    <s v="61510"/>
    <n v="1"/>
    <s v="161510.691"/>
    <s v="מערכות מידע ומחשוב              "/>
    <m/>
    <m/>
    <n v="3140000"/>
    <n v="2830000"/>
    <n v="4916870"/>
    <e v="#N/A"/>
    <x v="5"/>
    <s v="הנהלה כללית"/>
    <x v="21"/>
    <s v="מינהל כללי"/>
    <x v="65"/>
    <s v="מנגנון"/>
    <s v="6151"/>
    <e v="#N/A"/>
    <m/>
    <s v="6"/>
    <x v="12"/>
    <s v="69"/>
    <s v="שונות"/>
    <s v="691"/>
    <s v="תשלום ע&quot;ח קרן"/>
  </r>
  <r>
    <n v="751"/>
    <s v="61510"/>
    <n v="1"/>
    <s v="161510.751"/>
    <s v="מניעת הטרדה מינית               "/>
    <m/>
    <m/>
    <n v="16000"/>
    <n v="16000"/>
    <n v="15328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1"/>
    <e v="#N/A"/>
  </r>
  <r>
    <n v="754"/>
    <s v="61510"/>
    <n v="1"/>
    <s v="161510.754"/>
    <s v="עדוד ותמרוץ למצויינות           "/>
    <m/>
    <m/>
    <n v="75000"/>
    <n v="120000"/>
    <n v="106316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4"/>
    <e v="#N/A"/>
  </r>
  <r>
    <n v="755"/>
    <s v="61510"/>
    <n v="1"/>
    <s v="161510.755"/>
    <s v="פעולות הסברה והדרכה             "/>
    <m/>
    <m/>
    <n v="2000"/>
    <n v="2000"/>
    <n v="1416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5"/>
    <e v="#N/A"/>
  </r>
  <r>
    <n v="756"/>
    <s v="61510"/>
    <n v="1"/>
    <s v="161510.756"/>
    <s v="פעולות ספורט                    "/>
    <m/>
    <m/>
    <n v="300000"/>
    <n v="300000"/>
    <n v="300000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6"/>
    <e v="#N/A"/>
  </r>
  <r>
    <n v="757"/>
    <s v="61510"/>
    <n v="1"/>
    <s v="161510.757"/>
    <s v="בדיקות רפואיות                  "/>
    <m/>
    <m/>
    <n v="90000"/>
    <n v="75000"/>
    <n v="73481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7"/>
    <e v="#N/A"/>
  </r>
  <r>
    <n v="758"/>
    <s v="61510"/>
    <n v="1"/>
    <s v="161510.758"/>
    <s v="שי לגמלאי פנסיה צוברת           "/>
    <m/>
    <m/>
    <n v="84000"/>
    <n v="0"/>
    <n v="0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8"/>
    <e v="#N/A"/>
  </r>
  <r>
    <n v="759"/>
    <s v="61510"/>
    <n v="1"/>
    <s v="161510.759"/>
    <s v="השתתפות בשכר עובדי מרפאת העובד  "/>
    <m/>
    <m/>
    <n v="165000"/>
    <n v="165000"/>
    <n v="165000"/>
    <e v="#N/A"/>
    <x v="5"/>
    <s v="הנהלה כללית"/>
    <x v="21"/>
    <s v="מינהל כללי"/>
    <x v="65"/>
    <s v="מנגנון"/>
    <s v="6151"/>
    <e v="#N/A"/>
    <m/>
    <s v="7"/>
    <x v="13"/>
    <s v="75"/>
    <s v="עבודות קבלניות"/>
    <s v="759"/>
    <e v="#N/A"/>
  </r>
  <r>
    <n v="781"/>
    <s v="61510"/>
    <n v="1"/>
    <s v="161510.781"/>
    <s v="ספר מנהגי אבלות                 "/>
    <m/>
    <m/>
    <n v="5000"/>
    <n v="5000"/>
    <n v="4966"/>
    <e v="#N/A"/>
    <x v="5"/>
    <s v="הנהלה כללית"/>
    <x v="21"/>
    <s v="מינהל כללי"/>
    <x v="65"/>
    <s v="מנגנון"/>
    <s v="6151"/>
    <e v="#N/A"/>
    <m/>
    <s v="7"/>
    <x v="13"/>
    <s v="78"/>
    <s v="הוצאות שונות"/>
    <s v="781"/>
    <e v="#N/A"/>
  </r>
  <r>
    <n v="782"/>
    <s v="61510"/>
    <n v="1"/>
    <s v="161510.782"/>
    <s v="פעולות עם האירגון ונציגי 3 הערים"/>
    <m/>
    <m/>
    <n v="70000"/>
    <n v="70000"/>
    <n v="55000"/>
    <e v="#N/A"/>
    <x v="5"/>
    <s v="הנהלה כללית"/>
    <x v="21"/>
    <s v="מינהל כללי"/>
    <x v="65"/>
    <s v="מנגנון"/>
    <s v="6151"/>
    <e v="#N/A"/>
    <m/>
    <s v="7"/>
    <x v="13"/>
    <s v="78"/>
    <s v="הוצאות שונות"/>
    <s v="782"/>
    <e v="#N/A"/>
  </r>
  <r>
    <n v="784"/>
    <s v="61510"/>
    <n v="1"/>
    <s v="161510.784"/>
    <s v="התנדבות בקהילה                  "/>
    <m/>
    <m/>
    <n v="45000"/>
    <n v="45000"/>
    <n v="25669"/>
    <e v="#N/A"/>
    <x v="5"/>
    <s v="הנהלה כללית"/>
    <x v="21"/>
    <s v="מינהל כללי"/>
    <x v="65"/>
    <s v="מנגנון"/>
    <s v="6151"/>
    <e v="#N/A"/>
    <m/>
    <s v="7"/>
    <x v="13"/>
    <s v="78"/>
    <s v="הוצאות שונות"/>
    <s v="784"/>
    <e v="#N/A"/>
  </r>
  <r>
    <n v="881"/>
    <s v="61510"/>
    <n v="1"/>
    <s v="161510.881"/>
    <s v="קרן רווחה לעובדים               "/>
    <m/>
    <m/>
    <n v="1200000"/>
    <n v="582000"/>
    <n v="518245"/>
    <e v="#N/A"/>
    <x v="5"/>
    <s v="הנהלה כללית"/>
    <x v="21"/>
    <s v="מינהל כללי"/>
    <x v="65"/>
    <s v="מנגנון"/>
    <s v="6151"/>
    <e v="#N/A"/>
    <m/>
    <s v="8"/>
    <x v="16"/>
    <s v="88"/>
    <e v="#N/A"/>
    <s v="881"/>
    <e v="#N/A"/>
  </r>
  <r>
    <n v="882"/>
    <s v="61510"/>
    <n v="1"/>
    <s v="161510.882"/>
    <s v="ארגון עובדי עיריית ת א-יפו      "/>
    <m/>
    <m/>
    <n v="1400000"/>
    <n v="1400000"/>
    <n v="1549992"/>
    <e v="#N/A"/>
    <x v="5"/>
    <s v="הנהלה כללית"/>
    <x v="21"/>
    <s v="מינהל כללי"/>
    <x v="65"/>
    <s v="מנגנון"/>
    <s v="6151"/>
    <e v="#N/A"/>
    <m/>
    <s v="8"/>
    <x v="16"/>
    <s v="88"/>
    <e v="#N/A"/>
    <s v="882"/>
    <e v="#N/A"/>
  </r>
  <r>
    <n v="883"/>
    <s v="61510"/>
    <n v="1"/>
    <s v="161510.883"/>
    <s v="ארגון הפנסיונרים-עיריית ת א-יפו "/>
    <m/>
    <m/>
    <n v="500000"/>
    <n v="490000"/>
    <n v="415497"/>
    <e v="#N/A"/>
    <x v="5"/>
    <s v="הנהלה כללית"/>
    <x v="21"/>
    <s v="מינהל כללי"/>
    <x v="65"/>
    <s v="מנגנון"/>
    <s v="6151"/>
    <e v="#N/A"/>
    <m/>
    <s v="8"/>
    <x v="16"/>
    <s v="88"/>
    <e v="#N/A"/>
    <s v="883"/>
    <e v="#N/A"/>
  </r>
  <r>
    <n v="884"/>
    <s v="61510"/>
    <n v="1"/>
    <s v="161510.884"/>
    <s v="העמותה לתרבות נופש ופנאי        "/>
    <m/>
    <m/>
    <n v="1800000"/>
    <n v="1800000"/>
    <n v="1600000"/>
    <e v="#N/A"/>
    <x v="5"/>
    <s v="הנהלה כללית"/>
    <x v="21"/>
    <s v="מינהל כללי"/>
    <x v="65"/>
    <s v="מנגנון"/>
    <s v="6151"/>
    <e v="#N/A"/>
    <m/>
    <s v="8"/>
    <x v="16"/>
    <s v="88"/>
    <e v="#N/A"/>
    <s v="884"/>
    <e v="#N/A"/>
  </r>
  <r>
    <n v="885"/>
    <s v="61510"/>
    <n v="1"/>
    <s v="161510.885"/>
    <s v="השתתפות ביום האשה               "/>
    <m/>
    <m/>
    <n v="320000"/>
    <n v="320000"/>
    <n v="200000"/>
    <e v="#N/A"/>
    <x v="5"/>
    <s v="הנהלה כללית"/>
    <x v="21"/>
    <s v="מינהל כללי"/>
    <x v="65"/>
    <s v="מנגנון"/>
    <s v="6151"/>
    <e v="#N/A"/>
    <m/>
    <s v="8"/>
    <x v="16"/>
    <s v="88"/>
    <e v="#N/A"/>
    <s v="885"/>
    <e v="#N/A"/>
  </r>
  <r>
    <n v="932"/>
    <s v="61510"/>
    <n v="1"/>
    <s v="161510.932"/>
    <s v="ציוד ורהוט משרדי                "/>
    <m/>
    <m/>
    <n v="10000"/>
    <n v="10000"/>
    <n v="9593"/>
    <e v="#N/A"/>
    <x v="5"/>
    <s v="הנהלה כללית"/>
    <x v="21"/>
    <s v="מינהל כללי"/>
    <x v="65"/>
    <s v="מנגנון"/>
    <s v="6151"/>
    <e v="#N/A"/>
    <m/>
    <s v="9"/>
    <x v="17"/>
    <s v="93"/>
    <s v="רכישת ציוד יסודי"/>
    <s v="932"/>
    <e v="#N/A"/>
  </r>
  <r>
    <n v="110"/>
    <s v="61520"/>
    <n v="1"/>
    <s v="161520.110"/>
    <s v="משכורת כוללת                    "/>
    <m/>
    <m/>
    <n v="934000"/>
    <n v="944000"/>
    <n v="904656"/>
    <e v="#N/A"/>
    <x v="5"/>
    <s v="הנהלה כללית"/>
    <x v="21"/>
    <s v="מינהל כללי"/>
    <x v="65"/>
    <s v="מנגנון"/>
    <s v="6152"/>
    <e v="#N/A"/>
    <m/>
    <s v="1"/>
    <x v="9"/>
    <s v="11"/>
    <s v="השכר הקובע"/>
    <s v="110"/>
    <e v="#N/A"/>
  </r>
  <r>
    <n v="124"/>
    <s v="61520"/>
    <n v="1"/>
    <s v="161520.124"/>
    <s v="החזר הוצאות                     "/>
    <m/>
    <m/>
    <n v="60000"/>
    <n v="58000"/>
    <n v="58019"/>
    <e v="#N/A"/>
    <x v="5"/>
    <s v="הנהלה כללית"/>
    <x v="21"/>
    <s v="מינהל כללי"/>
    <x v="65"/>
    <s v="מנגנון"/>
    <s v="6152"/>
    <e v="#N/A"/>
    <m/>
    <s v="1"/>
    <x v="9"/>
    <s v="12"/>
    <s v="תוספות שאינן נכללות בשכר הקובע"/>
    <s v="124"/>
    <e v="#N/A"/>
  </r>
  <r>
    <n v="126"/>
    <s v="61520"/>
    <n v="1"/>
    <s v="161520.126"/>
    <s v="הבראה                           "/>
    <m/>
    <m/>
    <n v="51000"/>
    <n v="50000"/>
    <n v="49105"/>
    <e v="#N/A"/>
    <x v="5"/>
    <s v="הנהלה כללית"/>
    <x v="21"/>
    <s v="מינהל כללי"/>
    <x v="65"/>
    <s v="מנגנון"/>
    <s v="6152"/>
    <e v="#N/A"/>
    <m/>
    <s v="1"/>
    <x v="9"/>
    <s v="12"/>
    <s v="תוספות שאינן נכללות בשכר הקובע"/>
    <s v="126"/>
    <e v="#N/A"/>
  </r>
  <r>
    <n v="127"/>
    <s v="61520"/>
    <n v="1"/>
    <s v="161520.127"/>
    <s v="השתתפות באחזקת רכב-10           "/>
    <m/>
    <m/>
    <n v="268000"/>
    <n v="291000"/>
    <n v="271709"/>
    <e v="#N/A"/>
    <x v="5"/>
    <s v="הנהלה כללית"/>
    <x v="21"/>
    <s v="מינהל כללי"/>
    <x v="65"/>
    <s v="מנגנון"/>
    <s v="6152"/>
    <e v="#N/A"/>
    <m/>
    <s v="1"/>
    <x v="9"/>
    <s v="12"/>
    <s v="תוספות שאינן נכללות בשכר הקובע"/>
    <s v="127"/>
    <e v="#N/A"/>
  </r>
  <r>
    <n v="130"/>
    <s v="61520"/>
    <n v="1"/>
    <s v="161520.130"/>
    <s v="תשלומים מיוחדים                 "/>
    <m/>
    <m/>
    <n v="204000"/>
    <n v="209000"/>
    <n v="197485"/>
    <e v="#N/A"/>
    <x v="5"/>
    <s v="הנהלה כללית"/>
    <x v="21"/>
    <s v="מינהל כללי"/>
    <x v="65"/>
    <s v="מנגנון"/>
    <s v="6152"/>
    <e v="#N/A"/>
    <m/>
    <s v="1"/>
    <x v="9"/>
    <s v="13"/>
    <s v="שעות נוספות"/>
    <s v="130"/>
    <e v="#N/A"/>
  </r>
  <r>
    <n v="181"/>
    <s v="61520"/>
    <n v="1"/>
    <s v="161520.181"/>
    <s v="מיסים וביטוח לאומי              "/>
    <m/>
    <m/>
    <n v="198000"/>
    <n v="203000"/>
    <n v="199274"/>
    <e v="#N/A"/>
    <x v="5"/>
    <s v="הנהלה כללית"/>
    <x v="21"/>
    <s v="מינהל כללי"/>
    <x v="65"/>
    <s v="מנגנון"/>
    <s v="6152"/>
    <e v="#N/A"/>
    <m/>
    <s v="1"/>
    <x v="9"/>
    <s v="18"/>
    <s v="נלוות לשכר"/>
    <s v="181"/>
    <s v="הפרשות סוציאליות"/>
  </r>
  <r>
    <n v="182"/>
    <s v="61520"/>
    <n v="1"/>
    <s v="161520.182"/>
    <s v="קופות גמל והשתלמות              "/>
    <m/>
    <m/>
    <n v="186000"/>
    <n v="175000"/>
    <n v="168796"/>
    <e v="#N/A"/>
    <x v="5"/>
    <s v="הנהלה כללית"/>
    <x v="21"/>
    <s v="מינהל כללי"/>
    <x v="65"/>
    <s v="מנגנון"/>
    <s v="6152"/>
    <e v="#N/A"/>
    <m/>
    <s v="1"/>
    <x v="9"/>
    <s v="18"/>
    <s v="נלוות לשכר"/>
    <s v="182"/>
    <s v="מיסיום ועלויות"/>
  </r>
  <r>
    <n v="781"/>
    <s v="61520"/>
    <n v="1"/>
    <s v="161520.781"/>
    <s v="כנס עובדים חדשים                "/>
    <m/>
    <m/>
    <n v="70000"/>
    <n v="70000"/>
    <n v="0"/>
    <m/>
    <x v="5"/>
    <s v="הנהלה כללית"/>
    <x v="21"/>
    <s v="מינהל כללי"/>
    <x v="65"/>
    <s v="מנגנון"/>
    <s v="6152"/>
    <e v="#N/A"/>
    <m/>
    <s v="7"/>
    <x v="13"/>
    <s v="78"/>
    <s v="הוצאות שונות"/>
    <s v="781"/>
    <e v="#N/A"/>
  </r>
  <r>
    <n v="970"/>
    <s v="61520"/>
    <n v="1"/>
    <s v="161520.970"/>
    <s v="סעיף שאינו חוזר                 "/>
    <m/>
    <m/>
    <n v="0"/>
    <n v="0"/>
    <n v="6000"/>
    <m/>
    <x v="5"/>
    <s v="הנהלה כללית"/>
    <x v="21"/>
    <s v="מינהל כללי"/>
    <x v="65"/>
    <s v="מנגנון"/>
    <s v="6152"/>
    <e v="#N/A"/>
    <m/>
    <s v="9"/>
    <x v="17"/>
    <s v="97"/>
    <s v="מקדמת על הוצאות עודפות"/>
    <s v="970"/>
    <e v="#N/A"/>
  </r>
  <r>
    <n v="981"/>
    <s v="61520"/>
    <n v="1"/>
    <s v="161520.981"/>
    <s v="רכישות שונות                    "/>
    <m/>
    <m/>
    <n v="5000"/>
    <n v="5000"/>
    <n v="0"/>
    <m/>
    <x v="5"/>
    <s v="הנהלה כללית"/>
    <x v="21"/>
    <s v="מינהל כללי"/>
    <x v="65"/>
    <s v="מנגנון"/>
    <s v="6152"/>
    <e v="#N/A"/>
    <m/>
    <s v="9"/>
    <x v="17"/>
    <s v="98"/>
    <s v="הוצאות אחרות"/>
    <s v="981"/>
    <e v="#N/A"/>
  </r>
  <r>
    <n v="110"/>
    <s v="61530"/>
    <n v="1"/>
    <s v="161530.110"/>
    <s v="משכורת כוללת                    "/>
    <m/>
    <m/>
    <n v="866000"/>
    <n v="865000"/>
    <n v="807931"/>
    <m/>
    <x v="5"/>
    <s v="הנהלה כללית"/>
    <x v="21"/>
    <s v="מינהל כללי"/>
    <x v="65"/>
    <s v="מנגנון"/>
    <s v="6153"/>
    <e v="#N/A"/>
    <m/>
    <s v="1"/>
    <x v="9"/>
    <s v="11"/>
    <s v="השכר הקובע"/>
    <s v="110"/>
    <e v="#N/A"/>
  </r>
  <r>
    <n v="124"/>
    <s v="61530"/>
    <n v="1"/>
    <s v="161530.124"/>
    <s v="החזר הוצאות                     "/>
    <m/>
    <m/>
    <n v="37000"/>
    <n v="37000"/>
    <n v="35351"/>
    <m/>
    <x v="5"/>
    <s v="הנהלה כללית"/>
    <x v="21"/>
    <s v="מינהל כללי"/>
    <x v="65"/>
    <s v="מנגנון"/>
    <s v="6153"/>
    <e v="#N/A"/>
    <m/>
    <s v="1"/>
    <x v="9"/>
    <s v="12"/>
    <s v="תוספות שאינן נכללות בשכר הקובע"/>
    <s v="124"/>
    <e v="#N/A"/>
  </r>
  <r>
    <n v="126"/>
    <s v="61530"/>
    <n v="1"/>
    <s v="161530.126"/>
    <s v="הבראה                           "/>
    <m/>
    <m/>
    <n v="32000"/>
    <n v="32000"/>
    <n v="31262"/>
    <m/>
    <x v="5"/>
    <s v="הנהלה כללית"/>
    <x v="21"/>
    <s v="מינהל כללי"/>
    <x v="65"/>
    <s v="מנגנון"/>
    <s v="6153"/>
    <e v="#N/A"/>
    <m/>
    <s v="1"/>
    <x v="9"/>
    <s v="12"/>
    <s v="תוספות שאינן נכללות בשכר הקובע"/>
    <s v="126"/>
    <e v="#N/A"/>
  </r>
  <r>
    <n v="127"/>
    <s v="61530"/>
    <n v="1"/>
    <s v="161530.127"/>
    <s v="השתתפות באחזקת רכב-6            "/>
    <m/>
    <m/>
    <n v="173000"/>
    <n v="180000"/>
    <n v="175510"/>
    <m/>
    <x v="5"/>
    <s v="הנהלה כללית"/>
    <x v="21"/>
    <s v="מינהל כללי"/>
    <x v="65"/>
    <s v="מנגנון"/>
    <s v="6153"/>
    <e v="#N/A"/>
    <m/>
    <s v="1"/>
    <x v="9"/>
    <s v="12"/>
    <s v="תוספות שאינן נכללות בשכר הקובע"/>
    <s v="127"/>
    <e v="#N/A"/>
  </r>
  <r>
    <n v="130"/>
    <s v="61530"/>
    <n v="1"/>
    <s v="161530.130"/>
    <s v="תשלומים מיוחדים                 "/>
    <m/>
    <m/>
    <n v="125000"/>
    <n v="120000"/>
    <n v="119877"/>
    <e v="#N/A"/>
    <x v="5"/>
    <s v="הנהלה כללית"/>
    <x v="21"/>
    <s v="מינהל כללי"/>
    <x v="65"/>
    <s v="מנגנון"/>
    <s v="6153"/>
    <e v="#N/A"/>
    <m/>
    <s v="1"/>
    <x v="9"/>
    <s v="13"/>
    <s v="שעות נוספות"/>
    <s v="130"/>
    <e v="#N/A"/>
  </r>
  <r>
    <n v="181"/>
    <s v="61530"/>
    <n v="1"/>
    <s v="161530.181"/>
    <s v="מיסים וביטוח לאומי              "/>
    <m/>
    <m/>
    <n v="161000"/>
    <n v="161000"/>
    <n v="163012"/>
    <e v="#N/A"/>
    <x v="5"/>
    <s v="הנהלה כללית"/>
    <x v="21"/>
    <s v="מינהל כללי"/>
    <x v="65"/>
    <s v="מנגנון"/>
    <s v="6153"/>
    <e v="#N/A"/>
    <m/>
    <s v="1"/>
    <x v="9"/>
    <s v="18"/>
    <s v="נלוות לשכר"/>
    <s v="181"/>
    <s v="הפרשות סוציאליות"/>
  </r>
  <r>
    <n v="182"/>
    <s v="61530"/>
    <n v="1"/>
    <s v="161530.182"/>
    <s v="קופות גמל והשתלמות              "/>
    <m/>
    <m/>
    <n v="181000"/>
    <n v="180000"/>
    <n v="169691"/>
    <e v="#N/A"/>
    <x v="5"/>
    <s v="הנהלה כללית"/>
    <x v="21"/>
    <s v="מינהל כללי"/>
    <x v="65"/>
    <s v="מנגנון"/>
    <s v="6153"/>
    <e v="#N/A"/>
    <m/>
    <s v="1"/>
    <x v="9"/>
    <s v="18"/>
    <s v="נלוות לשכר"/>
    <s v="182"/>
    <s v="מיסיום ועלויות"/>
  </r>
  <r>
    <n v="670"/>
    <s v="61530"/>
    <n v="1"/>
    <s v="161530.670"/>
    <s v="סעיף שאינו חוזר                 "/>
    <m/>
    <m/>
    <n v="0"/>
    <n v="18000"/>
    <n v="72327"/>
    <e v="#N/A"/>
    <x v="5"/>
    <s v="הנהלה כללית"/>
    <x v="21"/>
    <s v="מינהל כללי"/>
    <x v="65"/>
    <s v="מנגנון"/>
    <s v="6153"/>
    <e v="#N/A"/>
    <m/>
    <s v="6"/>
    <x v="12"/>
    <s v="67"/>
    <e v="#N/A"/>
    <s v="670"/>
    <e v="#N/A"/>
  </r>
  <r>
    <n v="751"/>
    <s v="61530"/>
    <n v="1"/>
    <s v="161530.751"/>
    <s v="פתוח מקצועי-משאבי אנוש          "/>
    <m/>
    <m/>
    <n v="16000"/>
    <n v="16000"/>
    <n v="52040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1"/>
    <e v="#N/A"/>
  </r>
  <r>
    <n v="753"/>
    <s v="61530"/>
    <n v="1"/>
    <s v="161530.753"/>
    <s v="פיתוח מנהלים                    "/>
    <m/>
    <m/>
    <n v="750000"/>
    <n v="721000"/>
    <n v="730628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3"/>
    <e v="#N/A"/>
  </r>
  <r>
    <n v="754"/>
    <s v="61530"/>
    <n v="1"/>
    <s v="161530.754"/>
    <s v="ספרות ועזרי הדרכה               "/>
    <m/>
    <m/>
    <n v="20000"/>
    <n v="20000"/>
    <n v="73125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4"/>
    <e v="#N/A"/>
  </r>
  <r>
    <n v="755"/>
    <s v="61530"/>
    <n v="1"/>
    <s v="161530.755"/>
    <s v="מידעון משאבי אנוש               "/>
    <m/>
    <m/>
    <n v="15000"/>
    <n v="0"/>
    <n v="0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5"/>
    <e v="#N/A"/>
  </r>
  <r>
    <n v="757"/>
    <s v="61530"/>
    <n v="1"/>
    <s v="161530.757"/>
    <s v="הדרכות והשתלמויות               "/>
    <m/>
    <m/>
    <n v="422000"/>
    <n v="294000"/>
    <n v="339572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7"/>
    <e v="#N/A"/>
  </r>
  <r>
    <n v="759"/>
    <s v="61530"/>
    <n v="1"/>
    <s v="161530.759"/>
    <s v="השתתפות בלימודים אקדמאים        "/>
    <m/>
    <m/>
    <n v="56000"/>
    <n v="50000"/>
    <n v="47666"/>
    <e v="#N/A"/>
    <x v="5"/>
    <s v="הנהלה כללית"/>
    <x v="21"/>
    <s v="מינהל כללי"/>
    <x v="65"/>
    <s v="מנגנון"/>
    <s v="6153"/>
    <e v="#N/A"/>
    <m/>
    <s v="7"/>
    <x v="13"/>
    <s v="75"/>
    <s v="עבודות קבלניות"/>
    <s v="759"/>
    <e v="#N/A"/>
  </r>
  <r>
    <n v="781"/>
    <s v="61530"/>
    <n v="1"/>
    <s v="161530.781"/>
    <s v="פרסים לעובדים מצטיינים          "/>
    <m/>
    <m/>
    <n v="100000"/>
    <n v="100000"/>
    <n v="85660"/>
    <e v="#N/A"/>
    <x v="5"/>
    <s v="הנהלה כללית"/>
    <x v="21"/>
    <s v="מינהל כללי"/>
    <x v="65"/>
    <s v="מנגנון"/>
    <s v="6153"/>
    <e v="#N/A"/>
    <m/>
    <s v="7"/>
    <x v="13"/>
    <s v="78"/>
    <s v="הוצאות שונות"/>
    <s v="781"/>
    <e v="#N/A"/>
  </r>
  <r>
    <n v="782"/>
    <s v="61530"/>
    <n v="1"/>
    <s v="161530.782"/>
    <s v="פתוח ההון האנושי                "/>
    <m/>
    <m/>
    <n v="420000"/>
    <n v="380000"/>
    <n v="451596"/>
    <e v="#N/A"/>
    <x v="5"/>
    <s v="הנהלה כללית"/>
    <x v="21"/>
    <s v="מינהל כללי"/>
    <x v="65"/>
    <s v="מנגנון"/>
    <s v="6153"/>
    <e v="#N/A"/>
    <m/>
    <s v="7"/>
    <x v="13"/>
    <s v="78"/>
    <s v="הוצאות שונות"/>
    <s v="782"/>
    <e v="#N/A"/>
  </r>
  <r>
    <n v="784"/>
    <s v="61530"/>
    <n v="1"/>
    <s v="161530.784"/>
    <s v="פעולות רווחה                    "/>
    <m/>
    <m/>
    <n v="5000"/>
    <n v="5000"/>
    <n v="-581"/>
    <e v="#N/A"/>
    <x v="5"/>
    <s v="הנהלה כללית"/>
    <x v="21"/>
    <s v="מינהל כללי"/>
    <x v="65"/>
    <s v="מנגנון"/>
    <s v="6153"/>
    <e v="#N/A"/>
    <m/>
    <s v="7"/>
    <x v="13"/>
    <s v="78"/>
    <s v="הוצאות שונות"/>
    <s v="784"/>
    <e v="#N/A"/>
  </r>
  <r>
    <n v="787"/>
    <s v="61530"/>
    <n v="1"/>
    <s v="161530.787"/>
    <s v="לכידות חברתית                   "/>
    <m/>
    <m/>
    <n v="650000"/>
    <n v="570000"/>
    <n v="575421"/>
    <e v="#N/A"/>
    <x v="5"/>
    <s v="הנהלה כללית"/>
    <x v="21"/>
    <s v="מינהל כללי"/>
    <x v="65"/>
    <s v="מנגנון"/>
    <s v="6153"/>
    <e v="#N/A"/>
    <m/>
    <s v="7"/>
    <x v="13"/>
    <s v="78"/>
    <s v="הוצאות שונות"/>
    <s v="787"/>
    <e v="#N/A"/>
  </r>
  <r>
    <n v="932"/>
    <s v="61530"/>
    <n v="1"/>
    <s v="161530.932"/>
    <s v="ציוד וריהוט משרדי               "/>
    <m/>
    <m/>
    <n v="20000"/>
    <n v="20000"/>
    <n v="9724"/>
    <e v="#N/A"/>
    <x v="5"/>
    <s v="הנהלה כללית"/>
    <x v="21"/>
    <s v="מינהל כללי"/>
    <x v="65"/>
    <s v="מנגנון"/>
    <s v="6153"/>
    <e v="#N/A"/>
    <m/>
    <s v="9"/>
    <x v="17"/>
    <s v="93"/>
    <s v="רכישת ציוד יסודי"/>
    <s v="932"/>
    <e v="#N/A"/>
  </r>
  <r>
    <n v="110"/>
    <s v="61540"/>
    <n v="1"/>
    <s v="161540.110"/>
    <s v="משכורת כוללת                    "/>
    <m/>
    <m/>
    <n v="349000"/>
    <n v="341000"/>
    <n v="336120"/>
    <e v="#N/A"/>
    <x v="5"/>
    <s v="הנהלה כללית"/>
    <x v="21"/>
    <s v="מינהל כללי"/>
    <x v="65"/>
    <s v="מנגנון"/>
    <s v="6154"/>
    <e v="#N/A"/>
    <m/>
    <s v="1"/>
    <x v="9"/>
    <s v="11"/>
    <s v="השכר הקובע"/>
    <s v="110"/>
    <e v="#N/A"/>
  </r>
  <r>
    <n v="124"/>
    <s v="61540"/>
    <n v="1"/>
    <s v="161540.124"/>
    <s v="החזר הוצאות                     "/>
    <m/>
    <m/>
    <n v="12000"/>
    <n v="12000"/>
    <n v="12167"/>
    <e v="#N/A"/>
    <x v="5"/>
    <s v="הנהלה כללית"/>
    <x v="21"/>
    <s v="מינהל כללי"/>
    <x v="65"/>
    <s v="מנגנון"/>
    <s v="6154"/>
    <e v="#N/A"/>
    <m/>
    <s v="1"/>
    <x v="9"/>
    <s v="12"/>
    <s v="תוספות שאינן נכללות בשכר הקובע"/>
    <s v="124"/>
    <e v="#N/A"/>
  </r>
  <r>
    <n v="126"/>
    <s v="61540"/>
    <n v="1"/>
    <s v="161540.126"/>
    <s v="הבראה                           "/>
    <m/>
    <m/>
    <n v="13000"/>
    <n v="13000"/>
    <n v="12810"/>
    <e v="#N/A"/>
    <x v="5"/>
    <s v="הנהלה כללית"/>
    <x v="21"/>
    <s v="מינהל כללי"/>
    <x v="65"/>
    <s v="מנגנון"/>
    <s v="6154"/>
    <e v="#N/A"/>
    <m/>
    <s v="1"/>
    <x v="9"/>
    <s v="12"/>
    <s v="תוספות שאינן נכללות בשכר הקובע"/>
    <s v="126"/>
    <e v="#N/A"/>
  </r>
  <r>
    <n v="127"/>
    <s v="61540"/>
    <n v="1"/>
    <s v="161540.127"/>
    <s v="השתתפות באחזקת רכב-2            "/>
    <m/>
    <m/>
    <n v="59000"/>
    <n v="67000"/>
    <n v="65864"/>
    <e v="#N/A"/>
    <x v="5"/>
    <s v="הנהלה כללית"/>
    <x v="21"/>
    <s v="מינהל כללי"/>
    <x v="65"/>
    <s v="מנגנון"/>
    <s v="6154"/>
    <e v="#N/A"/>
    <m/>
    <s v="1"/>
    <x v="9"/>
    <s v="12"/>
    <s v="תוספות שאינן נכללות בשכר הקובע"/>
    <s v="127"/>
    <e v="#N/A"/>
  </r>
  <r>
    <n v="130"/>
    <s v="61540"/>
    <n v="1"/>
    <s v="161540.130"/>
    <s v="תשלומים מיוחדים                 "/>
    <m/>
    <m/>
    <n v="80000"/>
    <n v="76000"/>
    <n v="76293"/>
    <e v="#N/A"/>
    <x v="5"/>
    <s v="הנהלה כללית"/>
    <x v="21"/>
    <s v="מינהל כללי"/>
    <x v="65"/>
    <s v="מנגנון"/>
    <s v="6154"/>
    <e v="#N/A"/>
    <m/>
    <s v="1"/>
    <x v="9"/>
    <s v="13"/>
    <s v="שעות נוספות"/>
    <s v="130"/>
    <e v="#N/A"/>
  </r>
  <r>
    <n v="181"/>
    <s v="61540"/>
    <n v="1"/>
    <s v="161540.181"/>
    <s v="מיסים וביטוח לאומי              "/>
    <m/>
    <m/>
    <n v="67000"/>
    <n v="67000"/>
    <n v="69295"/>
    <e v="#N/A"/>
    <x v="5"/>
    <s v="הנהלה כללית"/>
    <x v="21"/>
    <s v="מינהל כללי"/>
    <x v="65"/>
    <s v="מנגנון"/>
    <s v="6154"/>
    <e v="#N/A"/>
    <m/>
    <s v="1"/>
    <x v="9"/>
    <s v="18"/>
    <s v="נלוות לשכר"/>
    <s v="181"/>
    <s v="הפרשות סוציאליות"/>
  </r>
  <r>
    <n v="182"/>
    <s v="61540"/>
    <n v="1"/>
    <s v="161540.182"/>
    <s v="קופות גמל והשתלמות              "/>
    <m/>
    <m/>
    <n v="49000"/>
    <n v="34000"/>
    <n v="37941"/>
    <e v="#N/A"/>
    <x v="5"/>
    <s v="הנהלה כללית"/>
    <x v="21"/>
    <s v="מינהל כללי"/>
    <x v="65"/>
    <s v="מנגנון"/>
    <s v="6154"/>
    <e v="#N/A"/>
    <m/>
    <s v="1"/>
    <x v="9"/>
    <s v="18"/>
    <s v="נלוות לשכר"/>
    <s v="182"/>
    <s v="מיסיום ועלויות"/>
  </r>
  <r>
    <n v="751"/>
    <s v="61540"/>
    <n v="1"/>
    <s v="161540.751"/>
    <s v="שי לפנסיונרים                   "/>
    <m/>
    <m/>
    <n v="30000"/>
    <n v="30000"/>
    <n v="32708"/>
    <e v="#N/A"/>
    <x v="5"/>
    <s v="הנהלה כללית"/>
    <x v="21"/>
    <s v="מינהל כללי"/>
    <x v="65"/>
    <s v="מנגנון"/>
    <s v="6154"/>
    <e v="#N/A"/>
    <m/>
    <s v="7"/>
    <x v="13"/>
    <s v="75"/>
    <s v="עבודות קבלניות"/>
    <s v="751"/>
    <e v="#N/A"/>
  </r>
  <r>
    <n v="110"/>
    <s v="61550"/>
    <n v="1"/>
    <s v="161550.110"/>
    <s v="משכורת כוללת                    "/>
    <m/>
    <m/>
    <n v="829000"/>
    <n v="820000"/>
    <n v="813734"/>
    <e v="#N/A"/>
    <x v="5"/>
    <s v="הנהלה כללית"/>
    <x v="21"/>
    <s v="מינהל כללי"/>
    <x v="65"/>
    <s v="מנגנון"/>
    <s v="6155"/>
    <e v="#N/A"/>
    <m/>
    <s v="1"/>
    <x v="9"/>
    <s v="11"/>
    <s v="השכר הקובע"/>
    <s v="110"/>
    <e v="#N/A"/>
  </r>
  <r>
    <n v="124"/>
    <s v="61550"/>
    <n v="1"/>
    <s v="161550.124"/>
    <s v="החזר הוצאות                     "/>
    <m/>
    <m/>
    <n v="36000"/>
    <n v="35000"/>
    <n v="35511"/>
    <e v="#N/A"/>
    <x v="5"/>
    <s v="הנהלה כללית"/>
    <x v="21"/>
    <s v="מינהל כללי"/>
    <x v="65"/>
    <s v="מנגנון"/>
    <s v="6155"/>
    <e v="#N/A"/>
    <m/>
    <s v="1"/>
    <x v="9"/>
    <s v="12"/>
    <s v="תוספות שאינן נכללות בשכר הקובע"/>
    <s v="124"/>
    <e v="#N/A"/>
  </r>
  <r>
    <n v="126"/>
    <s v="61550"/>
    <n v="1"/>
    <s v="161550.126"/>
    <s v="הבראה                           "/>
    <m/>
    <m/>
    <n v="36000"/>
    <n v="37000"/>
    <n v="35868"/>
    <e v="#N/A"/>
    <x v="5"/>
    <s v="הנהלה כללית"/>
    <x v="21"/>
    <s v="מינהל כללי"/>
    <x v="65"/>
    <s v="מנגנון"/>
    <s v="6155"/>
    <e v="#N/A"/>
    <m/>
    <s v="1"/>
    <x v="9"/>
    <s v="12"/>
    <s v="תוספות שאינן נכללות בשכר הקובע"/>
    <s v="126"/>
    <e v="#N/A"/>
  </r>
  <r>
    <n v="127"/>
    <s v="61550"/>
    <n v="1"/>
    <s v="161550.127"/>
    <s v="השתתפות באחזקת רכב-6            "/>
    <m/>
    <m/>
    <n v="156000"/>
    <n v="180000"/>
    <n v="172627"/>
    <e v="#N/A"/>
    <x v="5"/>
    <s v="הנהלה כללית"/>
    <x v="21"/>
    <s v="מינהל כללי"/>
    <x v="65"/>
    <s v="מנגנון"/>
    <s v="6155"/>
    <e v="#N/A"/>
    <m/>
    <s v="1"/>
    <x v="9"/>
    <s v="12"/>
    <s v="תוספות שאינן נכללות בשכר הקובע"/>
    <s v="127"/>
    <e v="#N/A"/>
  </r>
  <r>
    <n v="130"/>
    <s v="61550"/>
    <n v="1"/>
    <s v="161550.130"/>
    <s v="תשלומים מיוחדים                 "/>
    <m/>
    <m/>
    <n v="130000"/>
    <n v="142000"/>
    <n v="140712"/>
    <e v="#N/A"/>
    <x v="5"/>
    <s v="הנהלה כללית"/>
    <x v="21"/>
    <s v="מינהל כללי"/>
    <x v="65"/>
    <s v="מנגנון"/>
    <s v="6155"/>
    <e v="#N/A"/>
    <m/>
    <s v="1"/>
    <x v="9"/>
    <s v="13"/>
    <s v="שעות נוספות"/>
    <s v="130"/>
    <e v="#N/A"/>
  </r>
  <r>
    <n v="181"/>
    <s v="61550"/>
    <n v="1"/>
    <s v="161550.181"/>
    <s v="מיסים וביטוח לאומי              "/>
    <m/>
    <m/>
    <n v="155000"/>
    <n v="159000"/>
    <n v="158168"/>
    <e v="#N/A"/>
    <x v="5"/>
    <s v="הנהלה כללית"/>
    <x v="21"/>
    <s v="מינהל כללי"/>
    <x v="65"/>
    <s v="מנגנון"/>
    <s v="6155"/>
    <e v="#N/A"/>
    <m/>
    <s v="1"/>
    <x v="9"/>
    <s v="18"/>
    <s v="נלוות לשכר"/>
    <s v="181"/>
    <s v="הפרשות סוציאליות"/>
  </r>
  <r>
    <n v="182"/>
    <s v="61550"/>
    <n v="1"/>
    <s v="161550.182"/>
    <s v="קופות גמל והשתלמות              "/>
    <m/>
    <m/>
    <n v="131000"/>
    <n v="125000"/>
    <n v="120910"/>
    <e v="#N/A"/>
    <x v="5"/>
    <s v="הנהלה כללית"/>
    <x v="21"/>
    <s v="מינהל כללי"/>
    <x v="65"/>
    <s v="מנגנון"/>
    <s v="6155"/>
    <e v="#N/A"/>
    <m/>
    <s v="1"/>
    <x v="9"/>
    <s v="18"/>
    <s v="נלוות לשכר"/>
    <s v="182"/>
    <s v="מיסיום ועלויות"/>
  </r>
  <r>
    <n v="463"/>
    <s v="61550"/>
    <n v="1"/>
    <s v="161550.463"/>
    <s v="אחזקת שעוני נוכחות              "/>
    <m/>
    <m/>
    <n v="35000"/>
    <n v="35000"/>
    <n v="32751"/>
    <e v="#N/A"/>
    <x v="5"/>
    <s v="הנהלה כללית"/>
    <x v="21"/>
    <s v="מינהל כללי"/>
    <x v="65"/>
    <s v="מנגנון"/>
    <s v="6155"/>
    <e v="#N/A"/>
    <m/>
    <s v="4"/>
    <x v="15"/>
    <s v="46"/>
    <e v="#N/A"/>
    <s v="463"/>
    <e v="#N/A"/>
  </r>
  <r>
    <n v="693"/>
    <s v="61550"/>
    <n v="1"/>
    <s v="161550.693"/>
    <s v="מיחשוב יחידתי                   "/>
    <m/>
    <m/>
    <n v="18000"/>
    <n v="18000"/>
    <n v="24391"/>
    <e v="#N/A"/>
    <x v="5"/>
    <s v="הנהלה כללית"/>
    <x v="21"/>
    <s v="מינהל כללי"/>
    <x v="65"/>
    <s v="מנגנון"/>
    <s v="6155"/>
    <e v="#N/A"/>
    <m/>
    <s v="6"/>
    <x v="12"/>
    <s v="69"/>
    <s v="שונות"/>
    <s v="693"/>
    <s v="תשלום ע&quot;ח הצמדת ערך"/>
  </r>
  <r>
    <n v="781"/>
    <s v="61550"/>
    <n v="1"/>
    <s v="161550.781"/>
    <s v="רכישת כרטיסי נוכחות             "/>
    <m/>
    <m/>
    <n v="30000"/>
    <n v="22000"/>
    <n v="34185"/>
    <e v="#N/A"/>
    <x v="5"/>
    <s v="הנהלה כללית"/>
    <x v="21"/>
    <s v="מינהל כללי"/>
    <x v="65"/>
    <s v="מנגנון"/>
    <s v="6155"/>
    <e v="#N/A"/>
    <m/>
    <s v="7"/>
    <x v="13"/>
    <s v="78"/>
    <s v="הוצאות שונות"/>
    <s v="781"/>
    <e v="#N/A"/>
  </r>
  <r>
    <n v="110"/>
    <s v="61560"/>
    <n v="1"/>
    <s v="161560.110"/>
    <s v="משכורת כוללת                    "/>
    <m/>
    <m/>
    <n v="452000"/>
    <n v="425000"/>
    <n v="425747"/>
    <e v="#N/A"/>
    <x v="5"/>
    <s v="הנהלה כללית"/>
    <x v="21"/>
    <s v="מינהל כללי"/>
    <x v="65"/>
    <s v="מנגנון"/>
    <s v="6156"/>
    <e v="#N/A"/>
    <m/>
    <s v="1"/>
    <x v="9"/>
    <s v="11"/>
    <s v="השכר הקובע"/>
    <s v="110"/>
    <e v="#N/A"/>
  </r>
  <r>
    <n v="124"/>
    <s v="61560"/>
    <n v="1"/>
    <s v="161560.124"/>
    <s v="החזר הוצאות                     "/>
    <m/>
    <m/>
    <n v="20000"/>
    <n v="20000"/>
    <n v="19910"/>
    <e v="#N/A"/>
    <x v="5"/>
    <s v="הנהלה כללית"/>
    <x v="21"/>
    <s v="מינהל כללי"/>
    <x v="65"/>
    <s v="מנגנון"/>
    <s v="6156"/>
    <e v="#N/A"/>
    <m/>
    <s v="1"/>
    <x v="9"/>
    <s v="12"/>
    <s v="תוספות שאינן נכללות בשכר הקובע"/>
    <s v="124"/>
    <e v="#N/A"/>
  </r>
  <r>
    <n v="126"/>
    <s v="61560"/>
    <n v="1"/>
    <s v="161560.126"/>
    <s v="הבראה                           "/>
    <m/>
    <m/>
    <n v="16000"/>
    <n v="15000"/>
    <n v="15372"/>
    <e v="#N/A"/>
    <x v="5"/>
    <s v="הנהלה כללית"/>
    <x v="21"/>
    <s v="מינהל כללי"/>
    <x v="65"/>
    <s v="מנגנון"/>
    <s v="6156"/>
    <e v="#N/A"/>
    <m/>
    <s v="1"/>
    <x v="9"/>
    <s v="12"/>
    <s v="תוספות שאינן נכללות בשכר הקובע"/>
    <s v="126"/>
    <e v="#N/A"/>
  </r>
  <r>
    <n v="127"/>
    <s v="61560"/>
    <n v="1"/>
    <s v="161560.127"/>
    <s v="השתתפות באחזקת רכב-2            "/>
    <m/>
    <m/>
    <n v="65000"/>
    <n v="67000"/>
    <n v="68654"/>
    <e v="#N/A"/>
    <x v="5"/>
    <s v="הנהלה כללית"/>
    <x v="21"/>
    <s v="מינהל כללי"/>
    <x v="65"/>
    <s v="מנגנון"/>
    <s v="6156"/>
    <e v="#N/A"/>
    <m/>
    <s v="1"/>
    <x v="9"/>
    <s v="12"/>
    <s v="תוספות שאינן נכללות בשכר הקובע"/>
    <s v="127"/>
    <e v="#N/A"/>
  </r>
  <r>
    <n v="130"/>
    <s v="61560"/>
    <n v="1"/>
    <s v="161560.130"/>
    <s v="תשלומים מיוחדים                 "/>
    <m/>
    <m/>
    <n v="91000"/>
    <n v="85000"/>
    <n v="85874"/>
    <e v="#N/A"/>
    <x v="5"/>
    <s v="הנהלה כללית"/>
    <x v="21"/>
    <s v="מינהל כללי"/>
    <x v="65"/>
    <s v="מנגנון"/>
    <s v="6156"/>
    <e v="#N/A"/>
    <m/>
    <s v="1"/>
    <x v="9"/>
    <s v="13"/>
    <s v="שעות נוספות"/>
    <s v="130"/>
    <e v="#N/A"/>
  </r>
  <r>
    <n v="181"/>
    <s v="61560"/>
    <n v="1"/>
    <s v="161560.181"/>
    <s v="מיסים וביטוח לאומי              "/>
    <m/>
    <m/>
    <n v="84000"/>
    <n v="80000"/>
    <n v="88182"/>
    <e v="#N/A"/>
    <x v="5"/>
    <s v="הנהלה כללית"/>
    <x v="21"/>
    <s v="מינהל כללי"/>
    <x v="65"/>
    <s v="מנגנון"/>
    <s v="6156"/>
    <e v="#N/A"/>
    <m/>
    <s v="1"/>
    <x v="9"/>
    <s v="18"/>
    <s v="נלוות לשכר"/>
    <s v="181"/>
    <s v="הפרשות סוציאליות"/>
  </r>
  <r>
    <n v="182"/>
    <s v="61560"/>
    <n v="1"/>
    <s v="161560.182"/>
    <s v="קופות גמל והשתלמות              "/>
    <m/>
    <m/>
    <n v="81000"/>
    <n v="79000"/>
    <n v="75620"/>
    <e v="#N/A"/>
    <x v="5"/>
    <s v="הנהלה כללית"/>
    <x v="21"/>
    <s v="מינהל כללי"/>
    <x v="65"/>
    <s v="מנגנון"/>
    <s v="6156"/>
    <e v="#N/A"/>
    <m/>
    <s v="1"/>
    <x v="9"/>
    <s v="18"/>
    <s v="נלוות לשכר"/>
    <s v="182"/>
    <s v="מיסיום ועלויות"/>
  </r>
  <r>
    <n v="110"/>
    <s v="61570"/>
    <n v="1"/>
    <s v="161570.110"/>
    <s v="משכורת כוללת                    "/>
    <m/>
    <m/>
    <n v="293000"/>
    <n v="297000"/>
    <n v="285931"/>
    <e v="#N/A"/>
    <x v="5"/>
    <s v="הנהלה כללית"/>
    <x v="21"/>
    <s v="מינהל כללי"/>
    <x v="65"/>
    <s v="מנגנון"/>
    <s v="6157"/>
    <e v="#N/A"/>
    <m/>
    <s v="1"/>
    <x v="9"/>
    <s v="11"/>
    <s v="השכר הקובע"/>
    <s v="110"/>
    <e v="#N/A"/>
  </r>
  <r>
    <n v="124"/>
    <s v="61570"/>
    <n v="1"/>
    <s v="161570.124"/>
    <s v="החזר הוצאות                     "/>
    <m/>
    <m/>
    <n v="12000"/>
    <n v="12000"/>
    <n v="11735"/>
    <e v="#N/A"/>
    <x v="5"/>
    <s v="הנהלה כללית"/>
    <x v="21"/>
    <s v="מינהל כללי"/>
    <x v="65"/>
    <s v="מנגנון"/>
    <s v="6157"/>
    <e v="#N/A"/>
    <m/>
    <s v="1"/>
    <x v="9"/>
    <s v="12"/>
    <s v="תוספות שאינן נכללות בשכר הקובע"/>
    <s v="124"/>
    <e v="#N/A"/>
  </r>
  <r>
    <n v="126"/>
    <s v="61570"/>
    <n v="1"/>
    <s v="161570.126"/>
    <s v="הבראה                           "/>
    <m/>
    <m/>
    <n v="11000"/>
    <n v="12000"/>
    <n v="11529"/>
    <e v="#N/A"/>
    <x v="5"/>
    <s v="הנהלה כללית"/>
    <x v="21"/>
    <s v="מינהל כללי"/>
    <x v="65"/>
    <s v="מנגנון"/>
    <s v="6157"/>
    <e v="#N/A"/>
    <m/>
    <s v="1"/>
    <x v="9"/>
    <s v="12"/>
    <s v="תוספות שאינן נכללות בשכר הקובע"/>
    <s v="126"/>
    <e v="#N/A"/>
  </r>
  <r>
    <n v="127"/>
    <s v="61570"/>
    <n v="1"/>
    <s v="161570.127"/>
    <s v="השתתפות באחזקת רכב -2           "/>
    <m/>
    <m/>
    <n v="64000"/>
    <n v="64000"/>
    <n v="64849"/>
    <m/>
    <x v="5"/>
    <s v="הנהלה כללית"/>
    <x v="21"/>
    <s v="מינהל כללי"/>
    <x v="65"/>
    <s v="מנגנון"/>
    <s v="6157"/>
    <e v="#N/A"/>
    <m/>
    <s v="1"/>
    <x v="9"/>
    <s v="12"/>
    <s v="תוספות שאינן נכללות בשכר הקובע"/>
    <s v="127"/>
    <e v="#N/A"/>
  </r>
  <r>
    <n v="130"/>
    <s v="61570"/>
    <n v="1"/>
    <s v="161570.130"/>
    <s v="תשלומים מיוחדים                 "/>
    <m/>
    <m/>
    <n v="46000"/>
    <n v="46000"/>
    <n v="44667"/>
    <e v="#N/A"/>
    <x v="5"/>
    <s v="הנהלה כללית"/>
    <x v="21"/>
    <s v="מינהל כללי"/>
    <x v="65"/>
    <s v="מנגנון"/>
    <s v="6157"/>
    <e v="#N/A"/>
    <m/>
    <s v="1"/>
    <x v="9"/>
    <s v="13"/>
    <s v="שעות נוספות"/>
    <s v="130"/>
    <e v="#N/A"/>
  </r>
  <r>
    <n v="181"/>
    <s v="61570"/>
    <n v="1"/>
    <s v="161570.181"/>
    <s v="מיסים וביטוח לאומי              "/>
    <m/>
    <m/>
    <n v="56000"/>
    <n v="56000"/>
    <n v="58043"/>
    <e v="#N/A"/>
    <x v="5"/>
    <s v="הנהלה כללית"/>
    <x v="21"/>
    <s v="מינהל כללי"/>
    <x v="65"/>
    <s v="מנגנון"/>
    <s v="6157"/>
    <e v="#N/A"/>
    <m/>
    <s v="1"/>
    <x v="9"/>
    <s v="18"/>
    <s v="נלוות לשכר"/>
    <s v="181"/>
    <s v="הפרשות סוציאליות"/>
  </r>
  <r>
    <n v="182"/>
    <s v="61570"/>
    <n v="1"/>
    <s v="161570.182"/>
    <s v="קופות גמל והשתלמות              "/>
    <m/>
    <m/>
    <n v="47000"/>
    <n v="33000"/>
    <n v="36344"/>
    <e v="#N/A"/>
    <x v="5"/>
    <s v="הנהלה כללית"/>
    <x v="21"/>
    <s v="מינהל כללי"/>
    <x v="65"/>
    <s v="מנגנון"/>
    <s v="6157"/>
    <e v="#N/A"/>
    <m/>
    <s v="1"/>
    <x v="9"/>
    <s v="18"/>
    <s v="נלוות לשכר"/>
    <s v="182"/>
    <s v="מיסיום ועלויות"/>
  </r>
  <r>
    <n v="110"/>
    <s v="61610"/>
    <n v="1"/>
    <s v="161610.110"/>
    <s v="משכורת כוללת                    "/>
    <m/>
    <m/>
    <n v="640000"/>
    <n v="743000"/>
    <n v="723310"/>
    <e v="#N/A"/>
    <x v="5"/>
    <s v="הנהלה כללית"/>
    <x v="21"/>
    <s v="מינהל כללי"/>
    <x v="66"/>
    <s v="או״ש והדרכה"/>
    <s v="6161"/>
    <e v="#N/A"/>
    <m/>
    <s v="1"/>
    <x v="9"/>
    <s v="11"/>
    <s v="השכר הקובע"/>
    <s v="110"/>
    <e v="#N/A"/>
  </r>
  <r>
    <n v="124"/>
    <s v="61610"/>
    <n v="1"/>
    <s v="161610.124"/>
    <s v="החזר הוצאות                     "/>
    <m/>
    <m/>
    <n v="23000"/>
    <n v="24000"/>
    <n v="23746"/>
    <e v="#N/A"/>
    <x v="5"/>
    <s v="הנהלה כללית"/>
    <x v="21"/>
    <s v="מינהל כללי"/>
    <x v="66"/>
    <s v="או״ש והדרכה"/>
    <s v="6161"/>
    <e v="#N/A"/>
    <m/>
    <s v="1"/>
    <x v="9"/>
    <s v="12"/>
    <s v="תוספות שאינן נכללות בשכר הקובע"/>
    <s v="124"/>
    <e v="#N/A"/>
  </r>
  <r>
    <n v="126"/>
    <s v="61610"/>
    <n v="1"/>
    <s v="161610.126"/>
    <s v="הבראה                           "/>
    <m/>
    <m/>
    <n v="28000"/>
    <n v="27000"/>
    <n v="27221"/>
    <e v="#N/A"/>
    <x v="5"/>
    <s v="הנהלה כללית"/>
    <x v="21"/>
    <s v="מינהל כללי"/>
    <x v="66"/>
    <s v="או״ש והדרכה"/>
    <s v="6161"/>
    <e v="#N/A"/>
    <m/>
    <s v="1"/>
    <x v="9"/>
    <s v="12"/>
    <s v="תוספות שאינן נכללות בשכר הקובע"/>
    <s v="126"/>
    <e v="#N/A"/>
  </r>
  <r>
    <n v="127"/>
    <s v="61610"/>
    <n v="1"/>
    <s v="161610.127"/>
    <s v="השתתפות באחזקת רכב-3            "/>
    <m/>
    <m/>
    <n v="71000"/>
    <n v="78000"/>
    <n v="71027"/>
    <e v="#N/A"/>
    <x v="5"/>
    <s v="הנהלה כללית"/>
    <x v="21"/>
    <s v="מינהל כללי"/>
    <x v="66"/>
    <s v="או״ש והדרכה"/>
    <s v="6161"/>
    <e v="#N/A"/>
    <m/>
    <s v="1"/>
    <x v="9"/>
    <s v="12"/>
    <s v="תוספות שאינן נכללות בשכר הקובע"/>
    <s v="127"/>
    <e v="#N/A"/>
  </r>
  <r>
    <n v="130"/>
    <s v="61610"/>
    <n v="1"/>
    <s v="161610.130"/>
    <s v="תשלומים מיוחדים                 "/>
    <m/>
    <m/>
    <n v="74000"/>
    <n v="82000"/>
    <n v="81193"/>
    <e v="#N/A"/>
    <x v="5"/>
    <s v="הנהלה כללית"/>
    <x v="21"/>
    <s v="מינהל כללי"/>
    <x v="66"/>
    <s v="או״ש והדרכה"/>
    <s v="6161"/>
    <e v="#N/A"/>
    <m/>
    <s v="1"/>
    <x v="9"/>
    <s v="13"/>
    <s v="שעות נוספות"/>
    <s v="130"/>
    <e v="#N/A"/>
  </r>
  <r>
    <n v="181"/>
    <s v="61610"/>
    <n v="1"/>
    <s v="161610.181"/>
    <s v="מיסים וביטוח לאומי              "/>
    <m/>
    <m/>
    <n v="124000"/>
    <n v="139000"/>
    <n v="130563"/>
    <e v="#N/A"/>
    <x v="5"/>
    <s v="הנהלה כללית"/>
    <x v="21"/>
    <s v="מינהל כללי"/>
    <x v="66"/>
    <s v="או״ש והדרכה"/>
    <s v="6161"/>
    <e v="#N/A"/>
    <m/>
    <s v="1"/>
    <x v="9"/>
    <s v="18"/>
    <s v="נלוות לשכר"/>
    <s v="181"/>
    <s v="הפרשות סוציאליות"/>
  </r>
  <r>
    <n v="182"/>
    <s v="61610"/>
    <n v="1"/>
    <s v="161610.182"/>
    <s v="קופות גמל והשתלמות              "/>
    <m/>
    <m/>
    <n v="121000"/>
    <n v="141000"/>
    <n v="134180"/>
    <e v="#N/A"/>
    <x v="5"/>
    <s v="הנהלה כללית"/>
    <x v="21"/>
    <s v="מינהל כללי"/>
    <x v="66"/>
    <s v="או״ש והדרכה"/>
    <s v="6161"/>
    <e v="#N/A"/>
    <m/>
    <s v="1"/>
    <x v="9"/>
    <s v="18"/>
    <s v="נלוות לשכר"/>
    <s v="182"/>
    <s v="מיסיום ועלויות"/>
  </r>
  <r>
    <n v="310"/>
    <s v="61610"/>
    <n v="1"/>
    <s v="161610.310"/>
    <s v="שעות נוספות רשומות              "/>
    <m/>
    <m/>
    <n v="109000"/>
    <n v="106000"/>
    <n v="84105"/>
    <e v="#N/A"/>
    <x v="5"/>
    <s v="הנהלה כללית"/>
    <x v="21"/>
    <s v="מינהל כללי"/>
    <x v="66"/>
    <s v="או״ש והדרכה"/>
    <s v="6161"/>
    <e v="#N/A"/>
    <m/>
    <s v="3"/>
    <x v="14"/>
    <s v="31"/>
    <s v="פנסיה"/>
    <s v="310"/>
    <e v="#N/A"/>
  </r>
  <r>
    <n v="433"/>
    <s v="61610"/>
    <n v="1"/>
    <s v="161610.433"/>
    <s v="ביטוח                           "/>
    <m/>
    <m/>
    <n v="76000"/>
    <n v="76000"/>
    <n v="68000"/>
    <e v="#N/A"/>
    <x v="5"/>
    <s v="הנהלה כללית"/>
    <x v="21"/>
    <s v="מינהל כללי"/>
    <x v="66"/>
    <s v="או״ש והדרכה"/>
    <s v="6161"/>
    <e v="#N/A"/>
    <m/>
    <s v="4"/>
    <x v="15"/>
    <s v="43"/>
    <s v="חשמל, מים וחומרי ניקיון"/>
    <s v="433"/>
    <s v="חומרי ניקיון"/>
  </r>
  <r>
    <n v="434"/>
    <s v="61610"/>
    <n v="1"/>
    <s v="161610.434"/>
    <s v="תקוני מבנים  מתקנים ואינונטר    "/>
    <m/>
    <m/>
    <n v="3000"/>
    <n v="3000"/>
    <n v="892"/>
    <m/>
    <x v="5"/>
    <s v="הנהלה כללית"/>
    <x v="21"/>
    <s v="מינהל כללי"/>
    <x v="66"/>
    <s v="או״ש והדרכה"/>
    <s v="6161"/>
    <e v="#N/A"/>
    <m/>
    <s v="4"/>
    <x v="15"/>
    <s v="43"/>
    <s v="חשמל, מים וחומרי ניקיון"/>
    <s v="434"/>
    <s v="שירותי ניקיון"/>
  </r>
  <r>
    <n v="439"/>
    <s v="61610"/>
    <n v="1"/>
    <s v="161610.439"/>
    <s v="אחזקת בניני העיריה-השתתפות      "/>
    <m/>
    <m/>
    <n v="380000"/>
    <n v="373000"/>
    <n v="370000"/>
    <e v="#N/A"/>
    <x v="5"/>
    <s v="הנהלה כללית"/>
    <x v="21"/>
    <s v="מינהל כללי"/>
    <x v="66"/>
    <s v="או״ש והדרכה"/>
    <s v="6161"/>
    <e v="#N/A"/>
    <m/>
    <s v="4"/>
    <x v="15"/>
    <s v="43"/>
    <s v="חשמל, מים וחומרי ניקיון"/>
    <s v="439"/>
    <e v="#N/A"/>
  </r>
  <r>
    <n v="461"/>
    <s v="61610"/>
    <n v="1"/>
    <s v="161610.461"/>
    <s v="צורכי משרד                      "/>
    <m/>
    <m/>
    <n v="16000"/>
    <n v="16000"/>
    <n v="16604"/>
    <e v="#N/A"/>
    <x v="5"/>
    <s v="הנהלה כללית"/>
    <x v="21"/>
    <s v="מינהל כללי"/>
    <x v="66"/>
    <s v="או״ש והדרכה"/>
    <s v="6161"/>
    <e v="#N/A"/>
    <m/>
    <s v="4"/>
    <x v="15"/>
    <s v="46"/>
    <e v="#N/A"/>
    <s v="461"/>
    <e v="#N/A"/>
  </r>
  <r>
    <n v="462"/>
    <s v="61610"/>
    <n v="1"/>
    <s v="161610.462"/>
    <s v="ספרים ועתונים                   "/>
    <m/>
    <m/>
    <n v="3000"/>
    <n v="3000"/>
    <n v="3618"/>
    <e v="#N/A"/>
    <x v="5"/>
    <s v="הנהלה כללית"/>
    <x v="21"/>
    <s v="מינהל כללי"/>
    <x v="66"/>
    <s v="או״ש והדרכה"/>
    <s v="6161"/>
    <e v="#N/A"/>
    <m/>
    <s v="4"/>
    <x v="15"/>
    <s v="46"/>
    <e v="#N/A"/>
    <s v="462"/>
    <e v="#N/A"/>
  </r>
  <r>
    <n v="510"/>
    <s v="61610"/>
    <n v="1"/>
    <s v="161610.510"/>
    <s v="נסיעות  ואש ל                   "/>
    <m/>
    <m/>
    <n v="2000"/>
    <n v="2000"/>
    <n v="194"/>
    <e v="#N/A"/>
    <x v="5"/>
    <s v="הנהלה כללית"/>
    <x v="21"/>
    <s v="מינהל כללי"/>
    <x v="66"/>
    <s v="או״ש והדרכה"/>
    <s v="6161"/>
    <e v="#N/A"/>
    <m/>
    <s v="5"/>
    <x v="11"/>
    <s v="51"/>
    <s v="אש&quot;ל וכיבודים"/>
    <s v="510"/>
    <e v="#N/A"/>
  </r>
  <r>
    <n v="521"/>
    <s v="61610"/>
    <n v="1"/>
    <s v="161610.521"/>
    <s v="הדרכה וכנסים                    "/>
    <m/>
    <m/>
    <n v="8000"/>
    <n v="8000"/>
    <n v="7759"/>
    <e v="#N/A"/>
    <x v="5"/>
    <s v="הנהלה כללית"/>
    <x v="21"/>
    <s v="מינהל כללי"/>
    <x v="66"/>
    <s v="או״ש והדרכה"/>
    <s v="6161"/>
    <e v="#N/A"/>
    <m/>
    <s v="5"/>
    <x v="11"/>
    <s v="52"/>
    <s v="השתלמויות וספרות מקצועית"/>
    <s v="521"/>
    <s v="השתלמויות וספרות מקצועית"/>
  </r>
  <r>
    <n v="522"/>
    <s v="61610"/>
    <n v="1"/>
    <s v="161610.522"/>
    <s v="גיבוש יחידתי                    "/>
    <m/>
    <m/>
    <n v="6000"/>
    <n v="6000"/>
    <n v="6000"/>
    <e v="#N/A"/>
    <x v="5"/>
    <s v="הנהלה כללית"/>
    <x v="21"/>
    <s v="מינהל כללי"/>
    <x v="66"/>
    <s v="או״ש והדרכה"/>
    <s v="6161"/>
    <e v="#N/A"/>
    <m/>
    <s v="5"/>
    <x v="11"/>
    <s v="52"/>
    <s v="השתלמויות וספרות מקצועית"/>
    <s v="522"/>
    <s v="ספרות מקצועית ועיתונות"/>
  </r>
  <r>
    <n v="531"/>
    <s v="61610"/>
    <n v="1"/>
    <s v="161610.531"/>
    <s v="אחזקת רכב                       "/>
    <m/>
    <m/>
    <n v="4000"/>
    <n v="4000"/>
    <n v="1035"/>
    <e v="#N/A"/>
    <x v="5"/>
    <s v="הנהלה כללית"/>
    <x v="21"/>
    <s v="מינהל כללי"/>
    <x v="66"/>
    <s v="או״ש והדרכה"/>
    <s v="6161"/>
    <e v="#N/A"/>
    <m/>
    <s v="5"/>
    <x v="11"/>
    <s v="53"/>
    <s v="הוצאות רכב מינהלי"/>
    <s v="531"/>
    <s v="דלק ושמנים"/>
  </r>
  <r>
    <n v="533"/>
    <s v="61610"/>
    <n v="1"/>
    <s v="161610.533"/>
    <s v="שכירת רכב ורכב עירוני           "/>
    <m/>
    <m/>
    <n v="36000"/>
    <n v="36000"/>
    <n v="36031"/>
    <e v="#N/A"/>
    <x v="5"/>
    <s v="הנהלה כללית"/>
    <x v="21"/>
    <s v="מינהל כללי"/>
    <x v="66"/>
    <s v="או״ש והדרכה"/>
    <s v="6161"/>
    <e v="#N/A"/>
    <m/>
    <s v="5"/>
    <x v="11"/>
    <s v="53"/>
    <s v="הוצאות רכב מינהלי"/>
    <s v="533"/>
    <s v="רישוי וביטוח"/>
  </r>
  <r>
    <n v="534"/>
    <s v="61610"/>
    <n v="1"/>
    <s v="161610.534"/>
    <s v="דלק ושמן                        "/>
    <m/>
    <m/>
    <n v="13000"/>
    <n v="16000"/>
    <n v="13497"/>
    <m/>
    <x v="5"/>
    <s v="הנהלה כללית"/>
    <x v="21"/>
    <s v="מינהל כללי"/>
    <x v="66"/>
    <s v="או״ש והדרכה"/>
    <s v="6161"/>
    <e v="#N/A"/>
    <m/>
    <s v="5"/>
    <x v="11"/>
    <s v="53"/>
    <s v="הוצאות רכב מינהלי"/>
    <s v="534"/>
    <e v="#N/A"/>
  </r>
  <r>
    <n v="541"/>
    <s v="61610"/>
    <n v="1"/>
    <s v="161610.541"/>
    <s v="החזקת מכשירי קשר וסלולר         "/>
    <m/>
    <m/>
    <n v="30000"/>
    <n v="30000"/>
    <n v="31432"/>
    <e v="#N/A"/>
    <x v="5"/>
    <s v="הנהלה כללית"/>
    <x v="21"/>
    <s v="מינהל כללי"/>
    <x v="66"/>
    <s v="או״ש והדרכה"/>
    <s v="6161"/>
    <e v="#N/A"/>
    <m/>
    <s v="5"/>
    <x v="11"/>
    <s v="54"/>
    <s v="הוצאות תקשורת"/>
    <s v="541"/>
    <e v="#N/A"/>
  </r>
  <r>
    <n v="610"/>
    <s v="61610"/>
    <n v="1"/>
    <s v="161610.610"/>
    <s v="כיבודים                         "/>
    <m/>
    <m/>
    <n v="10000"/>
    <n v="10000"/>
    <n v="9688"/>
    <e v="#N/A"/>
    <x v="5"/>
    <s v="הנהלה כללית"/>
    <x v="21"/>
    <s v="מינהל כללי"/>
    <x v="66"/>
    <s v="או״ש והדרכה"/>
    <s v="6161"/>
    <e v="#N/A"/>
    <m/>
    <s v="6"/>
    <x v="12"/>
    <s v="61"/>
    <s v="עמלות"/>
    <s v="610"/>
    <e v="#N/A"/>
  </r>
  <r>
    <n v="670"/>
    <s v="61610"/>
    <n v="1"/>
    <s v="161610.670"/>
    <s v="סעיף שאינו חוזר                 "/>
    <m/>
    <m/>
    <n v="0"/>
    <n v="10000"/>
    <n v="7074"/>
    <e v="#N/A"/>
    <x v="5"/>
    <s v="הנהלה כללית"/>
    <x v="21"/>
    <s v="מינהל כללי"/>
    <x v="66"/>
    <s v="או״ש והדרכה"/>
    <s v="6161"/>
    <e v="#N/A"/>
    <m/>
    <s v="6"/>
    <x v="12"/>
    <s v="67"/>
    <e v="#N/A"/>
    <s v="670"/>
    <e v="#N/A"/>
  </r>
  <r>
    <n v="680"/>
    <s v="61610"/>
    <n v="1"/>
    <s v="161610.680"/>
    <s v="הוצאות מיוחדות                  "/>
    <m/>
    <m/>
    <n v="3000"/>
    <n v="3000"/>
    <n v="2518"/>
    <e v="#N/A"/>
    <x v="5"/>
    <s v="הנהלה כללית"/>
    <x v="21"/>
    <s v="מינהל כללי"/>
    <x v="66"/>
    <s v="או״ש והדרכה"/>
    <s v="6161"/>
    <e v="#N/A"/>
    <m/>
    <s v="6"/>
    <x v="12"/>
    <s v="68"/>
    <s v="ריבית על הוצאות אחרות"/>
    <s v="680"/>
    <e v="#N/A"/>
  </r>
  <r>
    <n v="691"/>
    <s v="61610"/>
    <n v="1"/>
    <s v="161610.691"/>
    <s v="מערכות מידע ומחשוב              "/>
    <m/>
    <m/>
    <n v="1010000"/>
    <n v="1350000"/>
    <n v="996974"/>
    <e v="#N/A"/>
    <x v="5"/>
    <s v="הנהלה כללית"/>
    <x v="21"/>
    <s v="מינהל כללי"/>
    <x v="66"/>
    <s v="או״ש והדרכה"/>
    <s v="6161"/>
    <e v="#N/A"/>
    <m/>
    <s v="6"/>
    <x v="12"/>
    <s v="69"/>
    <s v="שונות"/>
    <s v="691"/>
    <s v="תשלום ע&quot;ח קרן"/>
  </r>
  <r>
    <n v="693"/>
    <s v="61610"/>
    <n v="1"/>
    <s v="161610.693"/>
    <s v="מיחשוב יחידתי                   "/>
    <m/>
    <m/>
    <n v="9000"/>
    <n v="7000"/>
    <n v="71310"/>
    <e v="#N/A"/>
    <x v="5"/>
    <s v="הנהלה כללית"/>
    <x v="21"/>
    <s v="מינהל כללי"/>
    <x v="66"/>
    <s v="או״ש והדרכה"/>
    <s v="6161"/>
    <e v="#N/A"/>
    <m/>
    <s v="6"/>
    <x v="12"/>
    <s v="69"/>
    <s v="שונות"/>
    <s v="693"/>
    <s v="תשלום ע&quot;ח הצמדת ערך"/>
  </r>
  <r>
    <n v="751"/>
    <s v="61610"/>
    <n v="1"/>
    <s v="161610.751"/>
    <s v="עבודות ארגוניות ע י גו ח        "/>
    <m/>
    <m/>
    <n v="385000"/>
    <n v="540000"/>
    <n v="161881"/>
    <e v="#N/A"/>
    <x v="5"/>
    <s v="הנהלה כללית"/>
    <x v="21"/>
    <s v="מינהל כללי"/>
    <x v="66"/>
    <s v="או״ש והדרכה"/>
    <s v="6161"/>
    <e v="#N/A"/>
    <m/>
    <s v="7"/>
    <x v="13"/>
    <s v="75"/>
    <s v="עבודות קבלניות"/>
    <s v="751"/>
    <e v="#N/A"/>
  </r>
  <r>
    <n v="932"/>
    <s v="61610"/>
    <n v="1"/>
    <s v="161610.932"/>
    <s v="ציוד וריהוט משרדי               "/>
    <m/>
    <m/>
    <n v="6000"/>
    <n v="7000"/>
    <n v="6759"/>
    <m/>
    <x v="5"/>
    <s v="הנהלה כללית"/>
    <x v="21"/>
    <s v="מינהל כללי"/>
    <x v="66"/>
    <s v="או״ש והדרכה"/>
    <s v="6161"/>
    <e v="#N/A"/>
    <m/>
    <s v="9"/>
    <x v="17"/>
    <s v="93"/>
    <s v="רכישת ציוד יסודי"/>
    <s v="932"/>
    <e v="#N/A"/>
  </r>
  <r>
    <n v="110"/>
    <s v="61630"/>
    <n v="1"/>
    <s v="161630.110"/>
    <s v="משכורת כוללת                    "/>
    <m/>
    <m/>
    <n v="3025000"/>
    <n v="3074000"/>
    <n v="2967924"/>
    <m/>
    <x v="5"/>
    <s v="הנהלה כללית"/>
    <x v="21"/>
    <s v="מינהל כללי"/>
    <x v="66"/>
    <s v="או״ש והדרכה"/>
    <s v="6163"/>
    <e v="#N/A"/>
    <m/>
    <s v="1"/>
    <x v="9"/>
    <s v="11"/>
    <s v="השכר הקובע"/>
    <s v="110"/>
    <e v="#N/A"/>
  </r>
  <r>
    <n v="124"/>
    <s v="61630"/>
    <n v="1"/>
    <s v="161630.124"/>
    <s v="החזר הוצאות                     "/>
    <m/>
    <m/>
    <n v="140000"/>
    <n v="146000"/>
    <n v="142203"/>
    <m/>
    <x v="5"/>
    <s v="הנהלה כללית"/>
    <x v="21"/>
    <s v="מינהל כללי"/>
    <x v="66"/>
    <s v="או״ש והדרכה"/>
    <s v="6163"/>
    <e v="#N/A"/>
    <m/>
    <s v="1"/>
    <x v="9"/>
    <s v="12"/>
    <s v="תוספות שאינן נכללות בשכר הקובע"/>
    <s v="124"/>
    <e v="#N/A"/>
  </r>
  <r>
    <n v="126"/>
    <s v="61630"/>
    <n v="1"/>
    <s v="161630.126"/>
    <s v="הבראה                           "/>
    <m/>
    <m/>
    <n v="115000"/>
    <n v="114000"/>
    <n v="111923"/>
    <m/>
    <x v="5"/>
    <s v="הנהלה כללית"/>
    <x v="21"/>
    <s v="מינהל כללי"/>
    <x v="66"/>
    <s v="או״ש והדרכה"/>
    <s v="6163"/>
    <e v="#N/A"/>
    <m/>
    <s v="1"/>
    <x v="9"/>
    <s v="12"/>
    <s v="תוספות שאינן נכללות בשכר הקובע"/>
    <s v="126"/>
    <e v="#N/A"/>
  </r>
  <r>
    <n v="127"/>
    <s v="61630"/>
    <n v="1"/>
    <s v="161630.127"/>
    <s v="השתתפות באחזקת רכב -21          "/>
    <m/>
    <m/>
    <n v="667000"/>
    <n v="685000"/>
    <n v="685234"/>
    <m/>
    <x v="5"/>
    <s v="הנהלה כללית"/>
    <x v="21"/>
    <s v="מינהל כללי"/>
    <x v="66"/>
    <s v="או״ש והדרכה"/>
    <s v="6163"/>
    <e v="#N/A"/>
    <m/>
    <s v="1"/>
    <x v="9"/>
    <s v="12"/>
    <s v="תוספות שאינן נכללות בשכר הקובע"/>
    <s v="127"/>
    <e v="#N/A"/>
  </r>
  <r>
    <n v="130"/>
    <s v="61630"/>
    <n v="1"/>
    <s v="161630.130"/>
    <s v="תשלומים מיוחדים                 "/>
    <m/>
    <m/>
    <n v="438000"/>
    <n v="482000"/>
    <n v="467299"/>
    <m/>
    <x v="5"/>
    <s v="הנהלה כללית"/>
    <x v="21"/>
    <s v="מינהל כללי"/>
    <x v="66"/>
    <s v="או״ש והדרכה"/>
    <s v="6163"/>
    <e v="#N/A"/>
    <m/>
    <s v="1"/>
    <x v="9"/>
    <s v="13"/>
    <s v="שעות נוספות"/>
    <s v="130"/>
    <e v="#N/A"/>
  </r>
  <r>
    <n v="181"/>
    <s v="61630"/>
    <n v="1"/>
    <s v="161630.181"/>
    <s v="מיסים וביטוח לאומי              "/>
    <m/>
    <m/>
    <n v="574000"/>
    <n v="589000"/>
    <n v="590339"/>
    <e v="#N/A"/>
    <x v="5"/>
    <s v="הנהלה כללית"/>
    <x v="21"/>
    <s v="מינהל כללי"/>
    <x v="66"/>
    <s v="או״ש והדרכה"/>
    <s v="6163"/>
    <e v="#N/A"/>
    <m/>
    <s v="1"/>
    <x v="9"/>
    <s v="18"/>
    <s v="נלוות לשכר"/>
    <s v="181"/>
    <s v="הפרשות סוציאליות"/>
  </r>
  <r>
    <n v="182"/>
    <s v="61630"/>
    <n v="1"/>
    <s v="161630.182"/>
    <s v="קופות גמל והשתלמות              "/>
    <m/>
    <m/>
    <n v="541000"/>
    <n v="550000"/>
    <n v="522232"/>
    <e v="#N/A"/>
    <x v="5"/>
    <s v="הנהלה כללית"/>
    <x v="21"/>
    <s v="מינהל כללי"/>
    <x v="66"/>
    <s v="או״ש והדרכה"/>
    <s v="6163"/>
    <e v="#N/A"/>
    <m/>
    <s v="1"/>
    <x v="9"/>
    <s v="18"/>
    <s v="נלוות לשכר"/>
    <s v="182"/>
    <s v="מיסיום ועלויות"/>
  </r>
  <r>
    <n v="110"/>
    <s v="61640"/>
    <n v="1"/>
    <s v="161640.110"/>
    <s v="משכורת כוללת                    "/>
    <m/>
    <m/>
    <n v="236000"/>
    <n v="270000"/>
    <n v="265985"/>
    <e v="#N/A"/>
    <x v="5"/>
    <s v="הנהלה כללית"/>
    <x v="21"/>
    <s v="מינהל כללי"/>
    <x v="66"/>
    <s v="או״ש והדרכה"/>
    <s v="6164"/>
    <e v="#N/A"/>
    <m/>
    <s v="1"/>
    <x v="9"/>
    <s v="11"/>
    <s v="השכר הקובע"/>
    <s v="110"/>
    <e v="#N/A"/>
  </r>
  <r>
    <n v="124"/>
    <s v="61640"/>
    <n v="1"/>
    <s v="161640.124"/>
    <s v="החזר הוצאות                     "/>
    <m/>
    <m/>
    <n v="25000"/>
    <n v="24000"/>
    <n v="31935"/>
    <e v="#N/A"/>
    <x v="5"/>
    <s v="הנהלה כללית"/>
    <x v="21"/>
    <s v="מינהל כללי"/>
    <x v="66"/>
    <s v="או״ש והדרכה"/>
    <s v="6164"/>
    <e v="#N/A"/>
    <m/>
    <s v="1"/>
    <x v="9"/>
    <s v="12"/>
    <s v="תוספות שאינן נכללות בשכר הקובע"/>
    <s v="124"/>
    <e v="#N/A"/>
  </r>
  <r>
    <n v="126"/>
    <s v="61640"/>
    <n v="1"/>
    <s v="161640.126"/>
    <s v="הבראה                           "/>
    <m/>
    <m/>
    <n v="8000"/>
    <n v="9000"/>
    <n v="9394"/>
    <e v="#N/A"/>
    <x v="5"/>
    <s v="הנהלה כללית"/>
    <x v="21"/>
    <s v="מינהל כללי"/>
    <x v="66"/>
    <s v="או״ש והדרכה"/>
    <s v="6164"/>
    <e v="#N/A"/>
    <m/>
    <s v="1"/>
    <x v="9"/>
    <s v="12"/>
    <s v="תוספות שאינן נכללות בשכר הקובע"/>
    <s v="126"/>
    <e v="#N/A"/>
  </r>
  <r>
    <n v="127"/>
    <s v="61640"/>
    <n v="1"/>
    <s v="161640.127"/>
    <s v="השתתפות באחזקת רכב-2            "/>
    <m/>
    <m/>
    <n v="33000"/>
    <n v="51000"/>
    <n v="59367"/>
    <e v="#N/A"/>
    <x v="5"/>
    <s v="הנהלה כללית"/>
    <x v="21"/>
    <s v="מינהל כללי"/>
    <x v="66"/>
    <s v="או״ש והדרכה"/>
    <s v="6164"/>
    <e v="#N/A"/>
    <m/>
    <s v="1"/>
    <x v="9"/>
    <s v="12"/>
    <s v="תוספות שאינן נכללות בשכר הקובע"/>
    <s v="127"/>
    <e v="#N/A"/>
  </r>
  <r>
    <n v="130"/>
    <s v="61640"/>
    <n v="1"/>
    <s v="161640.130"/>
    <s v="תשלומים מיוחדים                 "/>
    <m/>
    <m/>
    <n v="6000"/>
    <n v="7000"/>
    <n v="7213"/>
    <e v="#N/A"/>
    <x v="5"/>
    <s v="הנהלה כללית"/>
    <x v="21"/>
    <s v="מינהל כללי"/>
    <x v="66"/>
    <s v="או״ש והדרכה"/>
    <s v="6164"/>
    <e v="#N/A"/>
    <m/>
    <s v="1"/>
    <x v="9"/>
    <s v="13"/>
    <s v="שעות נוספות"/>
    <s v="130"/>
    <e v="#N/A"/>
  </r>
  <r>
    <n v="181"/>
    <s v="61640"/>
    <n v="1"/>
    <s v="161640.181"/>
    <s v="מיסים וביטוח לאומי              "/>
    <m/>
    <m/>
    <n v="40000"/>
    <n v="47000"/>
    <n v="49541"/>
    <e v="#N/A"/>
    <x v="5"/>
    <s v="הנהלה כללית"/>
    <x v="21"/>
    <s v="מינהל כללי"/>
    <x v="66"/>
    <s v="או״ש והדרכה"/>
    <s v="6164"/>
    <e v="#N/A"/>
    <m/>
    <s v="1"/>
    <x v="9"/>
    <s v="18"/>
    <s v="נלוות לשכר"/>
    <s v="181"/>
    <s v="הפרשות סוציאליות"/>
  </r>
  <r>
    <n v="182"/>
    <s v="61640"/>
    <n v="1"/>
    <s v="161640.182"/>
    <s v="קופות גמל והשתלמות              "/>
    <m/>
    <m/>
    <n v="52000"/>
    <n v="52000"/>
    <n v="54299"/>
    <m/>
    <x v="5"/>
    <s v="הנהלה כללית"/>
    <x v="21"/>
    <s v="מינהל כללי"/>
    <x v="66"/>
    <s v="או״ש והדרכה"/>
    <s v="6164"/>
    <e v="#N/A"/>
    <m/>
    <s v="1"/>
    <x v="9"/>
    <s v="18"/>
    <s v="נלוות לשכר"/>
    <s v="182"/>
    <s v="מיסיום ועלויות"/>
  </r>
  <r>
    <n v="110"/>
    <s v="61660"/>
    <n v="1"/>
    <s v="161660.110"/>
    <s v="משכורת כוללת                    "/>
    <m/>
    <m/>
    <n v="450000"/>
    <n v="429000"/>
    <n v="418179"/>
    <e v="#N/A"/>
    <x v="5"/>
    <s v="הנהלה כללית"/>
    <x v="21"/>
    <s v="מינהל כללי"/>
    <x v="66"/>
    <s v="או״ש והדרכה"/>
    <s v="6166"/>
    <e v="#N/A"/>
    <m/>
    <s v="1"/>
    <x v="9"/>
    <s v="11"/>
    <s v="השכר הקובע"/>
    <s v="110"/>
    <e v="#N/A"/>
  </r>
  <r>
    <n v="124"/>
    <s v="61660"/>
    <n v="1"/>
    <s v="161660.124"/>
    <s v="החזר הוצאות                     "/>
    <m/>
    <m/>
    <n v="41000"/>
    <n v="41000"/>
    <n v="39864"/>
    <e v="#N/A"/>
    <x v="5"/>
    <s v="הנהלה כללית"/>
    <x v="21"/>
    <s v="מינהל כללי"/>
    <x v="66"/>
    <s v="או״ש והדרכה"/>
    <s v="6166"/>
    <e v="#N/A"/>
    <m/>
    <s v="1"/>
    <x v="9"/>
    <s v="12"/>
    <s v="תוספות שאינן נכללות בשכר הקובע"/>
    <s v="124"/>
    <e v="#N/A"/>
  </r>
  <r>
    <n v="126"/>
    <s v="61660"/>
    <n v="1"/>
    <s v="161660.126"/>
    <s v="הבראה                           "/>
    <m/>
    <m/>
    <n v="22000"/>
    <n v="21000"/>
    <n v="21350"/>
    <e v="#N/A"/>
    <x v="5"/>
    <s v="הנהלה כללית"/>
    <x v="21"/>
    <s v="מינהל כללי"/>
    <x v="66"/>
    <s v="או״ש והדרכה"/>
    <s v="6166"/>
    <e v="#N/A"/>
    <m/>
    <s v="1"/>
    <x v="9"/>
    <s v="12"/>
    <s v="תוספות שאינן נכללות בשכר הקובע"/>
    <s v="126"/>
    <e v="#N/A"/>
  </r>
  <r>
    <n v="127"/>
    <s v="61660"/>
    <n v="1"/>
    <s v="161660.127"/>
    <s v="השתתפות באחזקת רכב-4            "/>
    <m/>
    <m/>
    <n v="130000"/>
    <n v="127000"/>
    <n v="124718"/>
    <e v="#N/A"/>
    <x v="5"/>
    <s v="הנהלה כללית"/>
    <x v="21"/>
    <s v="מינהל כללי"/>
    <x v="66"/>
    <s v="או״ש והדרכה"/>
    <s v="6166"/>
    <e v="#N/A"/>
    <m/>
    <s v="1"/>
    <x v="9"/>
    <s v="12"/>
    <s v="תוספות שאינן נכללות בשכר הקובע"/>
    <s v="127"/>
    <e v="#N/A"/>
  </r>
  <r>
    <n v="130"/>
    <s v="61660"/>
    <n v="1"/>
    <s v="161660.130"/>
    <s v="תשלומים מיוחדים                 "/>
    <m/>
    <m/>
    <n v="143000"/>
    <n v="135000"/>
    <n v="134045"/>
    <e v="#N/A"/>
    <x v="5"/>
    <s v="הנהלה כללית"/>
    <x v="21"/>
    <s v="מינהל כללי"/>
    <x v="66"/>
    <s v="או״ש והדרכה"/>
    <s v="6166"/>
    <e v="#N/A"/>
    <m/>
    <s v="1"/>
    <x v="9"/>
    <s v="13"/>
    <s v="שעות נוספות"/>
    <s v="130"/>
    <e v="#N/A"/>
  </r>
  <r>
    <n v="181"/>
    <s v="61660"/>
    <n v="1"/>
    <s v="161660.181"/>
    <s v="מיסים וביטוח לאומי              "/>
    <m/>
    <m/>
    <n v="103000"/>
    <n v="99000"/>
    <n v="99630"/>
    <e v="#N/A"/>
    <x v="5"/>
    <s v="הנהלה כללית"/>
    <x v="21"/>
    <s v="מינהל כללי"/>
    <x v="66"/>
    <s v="או״ש והדרכה"/>
    <s v="6166"/>
    <e v="#N/A"/>
    <m/>
    <s v="1"/>
    <x v="9"/>
    <s v="18"/>
    <s v="נלוות לשכר"/>
    <s v="181"/>
    <s v="הפרשות סוציאליות"/>
  </r>
  <r>
    <n v="182"/>
    <s v="61660"/>
    <n v="1"/>
    <s v="161660.182"/>
    <s v="קופות גמל והשתלמות              "/>
    <m/>
    <m/>
    <n v="71000"/>
    <n v="68000"/>
    <n v="64127"/>
    <e v="#N/A"/>
    <x v="5"/>
    <s v="הנהלה כללית"/>
    <x v="21"/>
    <s v="מינהל כללי"/>
    <x v="66"/>
    <s v="או״ש והדרכה"/>
    <s v="6166"/>
    <e v="#N/A"/>
    <m/>
    <s v="1"/>
    <x v="9"/>
    <s v="18"/>
    <s v="נלוות לשכר"/>
    <s v="182"/>
    <s v="מיסיום ועלויות"/>
  </r>
  <r>
    <n v="110"/>
    <s v="61710"/>
    <n v="1"/>
    <s v="161710.110"/>
    <s v="משכורת כוללת                    "/>
    <m/>
    <m/>
    <n v="979000"/>
    <n v="945000"/>
    <n v="825160"/>
    <e v="#N/A"/>
    <x v="5"/>
    <s v="הנהלה כללית"/>
    <x v="21"/>
    <s v="מינהל כללי"/>
    <x v="67"/>
    <s v="שרות משפטי"/>
    <s v="6171"/>
    <e v="#N/A"/>
    <m/>
    <s v="1"/>
    <x v="9"/>
    <s v="11"/>
    <s v="השכר הקובע"/>
    <s v="110"/>
    <e v="#N/A"/>
  </r>
  <r>
    <n v="124"/>
    <s v="61710"/>
    <n v="1"/>
    <s v="161710.124"/>
    <s v="החזר הוצאות                     "/>
    <m/>
    <m/>
    <n v="46000"/>
    <n v="48000"/>
    <n v="42734"/>
    <e v="#N/A"/>
    <x v="5"/>
    <s v="הנהלה כללית"/>
    <x v="21"/>
    <s v="מינהל כללי"/>
    <x v="67"/>
    <s v="שרות משפטי"/>
    <s v="6171"/>
    <e v="#N/A"/>
    <m/>
    <s v="1"/>
    <x v="9"/>
    <s v="12"/>
    <s v="תוספות שאינן נכללות בשכר הקובע"/>
    <s v="124"/>
    <e v="#N/A"/>
  </r>
  <r>
    <n v="126"/>
    <s v="61710"/>
    <n v="1"/>
    <s v="161710.126"/>
    <s v="הבראה                           "/>
    <m/>
    <m/>
    <n v="30000"/>
    <n v="33000"/>
    <n v="30681"/>
    <e v="#N/A"/>
    <x v="5"/>
    <s v="הנהלה כללית"/>
    <x v="21"/>
    <s v="מינהל כללי"/>
    <x v="67"/>
    <s v="שרות משפטי"/>
    <s v="6171"/>
    <e v="#N/A"/>
    <m/>
    <s v="1"/>
    <x v="9"/>
    <s v="12"/>
    <s v="תוספות שאינן נכללות בשכר הקובע"/>
    <s v="126"/>
    <e v="#N/A"/>
  </r>
  <r>
    <n v="127"/>
    <s v="61710"/>
    <n v="1"/>
    <s v="161710.127"/>
    <s v="השתתפות באחזקת רכב -6           "/>
    <m/>
    <m/>
    <n v="120000"/>
    <n v="131000"/>
    <n v="107245"/>
    <e v="#N/A"/>
    <x v="5"/>
    <s v="הנהלה כללית"/>
    <x v="21"/>
    <s v="מינהל כללי"/>
    <x v="67"/>
    <s v="שרות משפטי"/>
    <s v="6171"/>
    <e v="#N/A"/>
    <m/>
    <s v="1"/>
    <x v="9"/>
    <s v="12"/>
    <s v="תוספות שאינן נכללות בשכר הקובע"/>
    <s v="127"/>
    <e v="#N/A"/>
  </r>
  <r>
    <n v="130"/>
    <s v="61710"/>
    <n v="1"/>
    <s v="161710.130"/>
    <s v="תשלומים מיוחדים                 "/>
    <m/>
    <m/>
    <n v="89000"/>
    <n v="88000"/>
    <n v="83611"/>
    <e v="#N/A"/>
    <x v="5"/>
    <s v="הנהלה כללית"/>
    <x v="21"/>
    <s v="מינהל כללי"/>
    <x v="67"/>
    <s v="שרות משפטי"/>
    <s v="6171"/>
    <e v="#N/A"/>
    <m/>
    <s v="1"/>
    <x v="9"/>
    <s v="13"/>
    <s v="שעות נוספות"/>
    <s v="130"/>
    <e v="#N/A"/>
  </r>
  <r>
    <n v="181"/>
    <s v="61710"/>
    <n v="1"/>
    <s v="161710.181"/>
    <s v="מיסים וביטוח לאומי              "/>
    <m/>
    <m/>
    <n v="174000"/>
    <n v="171000"/>
    <n v="157612"/>
    <e v="#N/A"/>
    <x v="5"/>
    <s v="הנהלה כללית"/>
    <x v="21"/>
    <s v="מינהל כללי"/>
    <x v="67"/>
    <s v="שרות משפטי"/>
    <s v="6171"/>
    <e v="#N/A"/>
    <m/>
    <s v="1"/>
    <x v="9"/>
    <s v="18"/>
    <s v="נלוות לשכר"/>
    <s v="181"/>
    <s v="הפרשות סוציאליות"/>
  </r>
  <r>
    <n v="182"/>
    <s v="61710"/>
    <n v="1"/>
    <s v="161710.182"/>
    <s v="קופות גמל והשתלמות              "/>
    <m/>
    <m/>
    <n v="181000"/>
    <n v="199000"/>
    <n v="173828"/>
    <e v="#N/A"/>
    <x v="5"/>
    <s v="הנהלה כללית"/>
    <x v="21"/>
    <s v="מינהל כללי"/>
    <x v="67"/>
    <s v="שרות משפטי"/>
    <s v="6171"/>
    <e v="#N/A"/>
    <m/>
    <s v="1"/>
    <x v="9"/>
    <s v="18"/>
    <s v="נלוות לשכר"/>
    <s v="182"/>
    <s v="מיסיום ועלויות"/>
  </r>
  <r>
    <n v="230"/>
    <s v="61710"/>
    <n v="1"/>
    <s v="161710.230"/>
    <s v="משימות חולפות - 1               "/>
    <m/>
    <m/>
    <n v="65000"/>
    <n v="66000"/>
    <n v="63865"/>
    <e v="#N/A"/>
    <x v="5"/>
    <s v="הנהלה כללית"/>
    <x v="21"/>
    <s v="מינהל כללי"/>
    <x v="67"/>
    <s v="שרות משפטי"/>
    <s v="6171"/>
    <e v="#N/A"/>
    <m/>
    <s v="2"/>
    <x v="10"/>
    <s v="23"/>
    <s v="שעות נוספות"/>
    <s v="230"/>
    <e v="#N/A"/>
  </r>
  <r>
    <n v="462"/>
    <s v="61710"/>
    <n v="1"/>
    <s v="161710.462"/>
    <s v="ספרים ועתונים                   "/>
    <m/>
    <m/>
    <n v="3000"/>
    <n v="3000"/>
    <n v="3000"/>
    <e v="#N/A"/>
    <x v="5"/>
    <s v="הנהלה כללית"/>
    <x v="21"/>
    <s v="מינהל כללי"/>
    <x v="67"/>
    <s v="שרות משפטי"/>
    <s v="6171"/>
    <e v="#N/A"/>
    <m/>
    <s v="4"/>
    <x v="15"/>
    <s v="46"/>
    <e v="#N/A"/>
    <s v="462"/>
    <e v="#N/A"/>
  </r>
  <r>
    <n v="531"/>
    <s v="61710"/>
    <n v="1"/>
    <s v="161710.531"/>
    <s v="אחזקת רכב                       "/>
    <m/>
    <m/>
    <n v="10000"/>
    <n v="11000"/>
    <n v="8153"/>
    <e v="#N/A"/>
    <x v="5"/>
    <s v="הנהלה כללית"/>
    <x v="21"/>
    <s v="מינהל כללי"/>
    <x v="67"/>
    <s v="שרות משפטי"/>
    <s v="6171"/>
    <e v="#N/A"/>
    <m/>
    <s v="5"/>
    <x v="11"/>
    <s v="53"/>
    <s v="הוצאות רכב מינהלי"/>
    <s v="531"/>
    <s v="דלק ושמנים"/>
  </r>
  <r>
    <n v="533"/>
    <s v="61710"/>
    <n v="1"/>
    <s v="161710.533"/>
    <s v="שכירת רכב ורכב עירוני           "/>
    <m/>
    <m/>
    <n v="91000"/>
    <n v="127000"/>
    <n v="114176"/>
    <e v="#N/A"/>
    <x v="5"/>
    <s v="הנהלה כללית"/>
    <x v="21"/>
    <s v="מינהל כללי"/>
    <x v="67"/>
    <s v="שרות משפטי"/>
    <s v="6171"/>
    <e v="#N/A"/>
    <m/>
    <s v="5"/>
    <x v="11"/>
    <s v="53"/>
    <s v="הוצאות רכב מינהלי"/>
    <s v="533"/>
    <s v="רישוי וביטוח"/>
  </r>
  <r>
    <n v="534"/>
    <s v="61710"/>
    <n v="1"/>
    <s v="161710.534"/>
    <s v="דלק ושמן                        "/>
    <m/>
    <m/>
    <n v="36000"/>
    <n v="50000"/>
    <n v="41816"/>
    <e v="#N/A"/>
    <x v="5"/>
    <s v="הנהלה כללית"/>
    <x v="21"/>
    <s v="מינהל כללי"/>
    <x v="67"/>
    <s v="שרות משפטי"/>
    <s v="6171"/>
    <e v="#N/A"/>
    <m/>
    <s v="5"/>
    <x v="11"/>
    <s v="53"/>
    <s v="הוצאות רכב מינהלי"/>
    <s v="534"/>
    <e v="#N/A"/>
  </r>
  <r>
    <n v="541"/>
    <s v="61710"/>
    <n v="1"/>
    <s v="161710.541"/>
    <s v="החזקת מכשירי קשר וסלולר         "/>
    <m/>
    <m/>
    <n v="61000"/>
    <n v="61000"/>
    <n v="73202"/>
    <e v="#N/A"/>
    <x v="5"/>
    <s v="הנהלה כללית"/>
    <x v="21"/>
    <s v="מינהל כללי"/>
    <x v="67"/>
    <s v="שרות משפטי"/>
    <s v="6171"/>
    <e v="#N/A"/>
    <m/>
    <s v="5"/>
    <x v="11"/>
    <s v="54"/>
    <s v="הוצאות תקשורת"/>
    <s v="541"/>
    <e v="#N/A"/>
  </r>
  <r>
    <n v="693"/>
    <s v="61710"/>
    <n v="1"/>
    <s v="161710.693"/>
    <s v="מיחשוב יחידתי                   "/>
    <m/>
    <m/>
    <n v="57000"/>
    <n v="57000"/>
    <n v="55273"/>
    <e v="#N/A"/>
    <x v="5"/>
    <s v="הנהלה כללית"/>
    <x v="21"/>
    <s v="מינהל כללי"/>
    <x v="67"/>
    <s v="שרות משפטי"/>
    <s v="6171"/>
    <e v="#N/A"/>
    <m/>
    <s v="6"/>
    <x v="12"/>
    <s v="69"/>
    <s v="שונות"/>
    <s v="693"/>
    <s v="תשלום ע&quot;ח הצמדת ערך"/>
  </r>
  <r>
    <n v="110"/>
    <s v="61721"/>
    <n v="1"/>
    <s v="161721.110"/>
    <s v="משכורת כוללת                    "/>
    <m/>
    <m/>
    <n v="8221000"/>
    <n v="8133000"/>
    <n v="7725298"/>
    <e v="#N/A"/>
    <x v="5"/>
    <s v="הנהלה כללית"/>
    <x v="21"/>
    <s v="מינהל כללי"/>
    <x v="67"/>
    <s v="שרות משפטי"/>
    <s v="6172"/>
    <e v="#N/A"/>
    <m/>
    <s v="1"/>
    <x v="9"/>
    <s v="11"/>
    <s v="השכר הקובע"/>
    <s v="110"/>
    <e v="#N/A"/>
  </r>
  <r>
    <n v="124"/>
    <s v="61721"/>
    <n v="1"/>
    <s v="161721.124"/>
    <s v="החזר הוצאות                     "/>
    <m/>
    <m/>
    <n v="386000"/>
    <n v="375000"/>
    <n v="376253"/>
    <e v="#N/A"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4"/>
    <e v="#N/A"/>
  </r>
  <r>
    <n v="126"/>
    <s v="61721"/>
    <n v="1"/>
    <s v="161721.126"/>
    <s v="הבראה                           "/>
    <m/>
    <m/>
    <n v="275000"/>
    <n v="274000"/>
    <n v="268595"/>
    <m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6"/>
    <e v="#N/A"/>
  </r>
  <r>
    <n v="127"/>
    <s v="61721"/>
    <n v="1"/>
    <s v="161721.127"/>
    <s v="השתתפות באחזקת רכב - 51         "/>
    <m/>
    <m/>
    <n v="1479000"/>
    <n v="1369000"/>
    <n v="1428179"/>
    <m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7"/>
    <e v="#N/A"/>
  </r>
  <r>
    <n v="130"/>
    <s v="61721"/>
    <n v="1"/>
    <s v="161721.130"/>
    <s v="תשלומים מיוחדים                 "/>
    <m/>
    <m/>
    <n v="816000"/>
    <n v="855000"/>
    <n v="834010"/>
    <m/>
    <x v="5"/>
    <s v="הנהלה כללית"/>
    <x v="21"/>
    <s v="מינהל כללי"/>
    <x v="67"/>
    <s v="שרות משפטי"/>
    <s v="6172"/>
    <e v="#N/A"/>
    <m/>
    <s v="1"/>
    <x v="9"/>
    <s v="13"/>
    <s v="שעות נוספות"/>
    <s v="130"/>
    <e v="#N/A"/>
  </r>
  <r>
    <n v="181"/>
    <s v="61721"/>
    <n v="1"/>
    <s v="161721.181"/>
    <s v="מיסים וביטוח לאומי              "/>
    <m/>
    <m/>
    <n v="1556000"/>
    <n v="1531000"/>
    <n v="1497743"/>
    <m/>
    <x v="5"/>
    <s v="הנהלה כללית"/>
    <x v="21"/>
    <s v="מינהל כללי"/>
    <x v="67"/>
    <s v="שרות משפטי"/>
    <s v="6172"/>
    <e v="#N/A"/>
    <m/>
    <s v="1"/>
    <x v="9"/>
    <s v="18"/>
    <s v="נלוות לשכר"/>
    <s v="181"/>
    <s v="הפרשות סוציאליות"/>
  </r>
  <r>
    <n v="182"/>
    <s v="61721"/>
    <n v="1"/>
    <s v="161721.182"/>
    <s v="קופות גמל והשתלמות              "/>
    <m/>
    <m/>
    <n v="1712000"/>
    <n v="1625000"/>
    <n v="1570302"/>
    <m/>
    <x v="5"/>
    <s v="הנהלה כללית"/>
    <x v="21"/>
    <s v="מינהל כללי"/>
    <x v="67"/>
    <s v="שרות משפטי"/>
    <s v="6172"/>
    <e v="#N/A"/>
    <m/>
    <s v="1"/>
    <x v="9"/>
    <s v="18"/>
    <s v="נלוות לשכר"/>
    <s v="182"/>
    <s v="מיסיום ועלויות"/>
  </r>
  <r>
    <n v="310"/>
    <s v="61721"/>
    <n v="1"/>
    <s v="161721.310"/>
    <s v="שעות נוספות רשומות              "/>
    <m/>
    <m/>
    <n v="716000"/>
    <n v="702000"/>
    <n v="946298"/>
    <m/>
    <x v="5"/>
    <s v="הנהלה כללית"/>
    <x v="21"/>
    <s v="מינהל כללי"/>
    <x v="67"/>
    <s v="שרות משפטי"/>
    <s v="6172"/>
    <e v="#N/A"/>
    <m/>
    <s v="3"/>
    <x v="14"/>
    <s v="31"/>
    <s v="פנסיה"/>
    <s v="310"/>
    <e v="#N/A"/>
  </r>
  <r>
    <n v="462"/>
    <s v="61721"/>
    <n v="1"/>
    <s v="161721.462"/>
    <s v="ספרים ועתונים                   "/>
    <m/>
    <m/>
    <n v="54000"/>
    <n v="54000"/>
    <n v="53035"/>
    <e v="#N/A"/>
    <x v="5"/>
    <s v="הנהלה כללית"/>
    <x v="21"/>
    <s v="מינהל כללי"/>
    <x v="67"/>
    <s v="שרות משפטי"/>
    <s v="6172"/>
    <e v="#N/A"/>
    <m/>
    <s v="4"/>
    <x v="15"/>
    <s v="46"/>
    <e v="#N/A"/>
    <s v="462"/>
    <e v="#N/A"/>
  </r>
  <r>
    <n v="510"/>
    <s v="61721"/>
    <n v="1"/>
    <s v="161721.510"/>
    <s v="נסיעות  ואש ל                   "/>
    <m/>
    <m/>
    <n v="38000"/>
    <n v="38000"/>
    <n v="36310"/>
    <e v="#N/A"/>
    <x v="5"/>
    <s v="הנהלה כללית"/>
    <x v="21"/>
    <s v="מינהל כללי"/>
    <x v="67"/>
    <s v="שרות משפטי"/>
    <s v="6172"/>
    <e v="#N/A"/>
    <m/>
    <s v="5"/>
    <x v="11"/>
    <s v="51"/>
    <s v="אש&quot;ל וכיבודים"/>
    <s v="510"/>
    <e v="#N/A"/>
  </r>
  <r>
    <n v="621"/>
    <s v="61721"/>
    <n v="1"/>
    <s v="161721.621"/>
    <s v="הוצאות משפטיות                  "/>
    <m/>
    <m/>
    <n v="1200000"/>
    <n v="1200000"/>
    <n v="1788130"/>
    <e v="#N/A"/>
    <x v="5"/>
    <s v="הנהלה כללית"/>
    <x v="21"/>
    <s v="מינהל כללי"/>
    <x v="67"/>
    <s v="שרות משפטי"/>
    <s v="6172"/>
    <e v="#N/A"/>
    <m/>
    <s v="6"/>
    <x v="12"/>
    <s v="62"/>
    <s v="ריבית משיכת יתר"/>
    <s v="621"/>
    <e v="#N/A"/>
  </r>
  <r>
    <n v="691"/>
    <s v="61721"/>
    <n v="1"/>
    <s v="161721.691"/>
    <s v="מערכות מידע ומחשוב              "/>
    <m/>
    <m/>
    <n v="2230000"/>
    <n v="2050000"/>
    <n v="2133540"/>
    <e v="#N/A"/>
    <x v="5"/>
    <s v="הנהלה כללית"/>
    <x v="21"/>
    <s v="מינהל כללי"/>
    <x v="67"/>
    <s v="שרות משפטי"/>
    <s v="6172"/>
    <e v="#N/A"/>
    <m/>
    <s v="6"/>
    <x v="12"/>
    <s v="69"/>
    <s v="שונות"/>
    <s v="691"/>
    <s v="תשלום ע&quot;ח קרן"/>
  </r>
  <r>
    <n v="786"/>
    <s v="61721"/>
    <n v="1"/>
    <s v="161721.786"/>
    <s v="יעוץ משפטי חיצוני               "/>
    <m/>
    <m/>
    <n v="5234000"/>
    <n v="5234000"/>
    <n v="5409683"/>
    <e v="#N/A"/>
    <x v="5"/>
    <s v="הנהלה כללית"/>
    <x v="21"/>
    <s v="מינהל כללי"/>
    <x v="67"/>
    <s v="שרות משפטי"/>
    <s v="6172"/>
    <e v="#N/A"/>
    <m/>
    <s v="7"/>
    <x v="13"/>
    <s v="78"/>
    <s v="הוצאות שונות"/>
    <s v="786"/>
    <e v="#N/A"/>
  </r>
  <r>
    <n v="110"/>
    <s v="61722"/>
    <n v="1"/>
    <s v="161722.110"/>
    <s v="משכורת כוללת                    "/>
    <m/>
    <m/>
    <n v="1122000"/>
    <n v="1157000"/>
    <n v="1115957"/>
    <e v="#N/A"/>
    <x v="5"/>
    <s v="הנהלה כללית"/>
    <x v="21"/>
    <s v="מינהל כללי"/>
    <x v="67"/>
    <s v="שרות משפטי"/>
    <s v="6172"/>
    <e v="#N/A"/>
    <m/>
    <s v="1"/>
    <x v="9"/>
    <s v="11"/>
    <s v="השכר הקובע"/>
    <s v="110"/>
    <e v="#N/A"/>
  </r>
  <r>
    <n v="124"/>
    <s v="61722"/>
    <n v="1"/>
    <s v="161722.124"/>
    <s v="החזר הוצאות                     "/>
    <m/>
    <m/>
    <n v="77000"/>
    <n v="68000"/>
    <n v="69404"/>
    <e v="#N/A"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4"/>
    <e v="#N/A"/>
  </r>
  <r>
    <n v="126"/>
    <s v="61722"/>
    <n v="1"/>
    <s v="161722.126"/>
    <s v="הבראה                           "/>
    <m/>
    <m/>
    <n v="50000"/>
    <n v="51000"/>
    <n v="51523"/>
    <e v="#N/A"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6"/>
    <e v="#N/A"/>
  </r>
  <r>
    <n v="127"/>
    <s v="61722"/>
    <n v="1"/>
    <s v="161722.127"/>
    <s v="השתתפות באחזקת רכב- 10          "/>
    <m/>
    <m/>
    <n v="213000"/>
    <n v="243000"/>
    <n v="251133"/>
    <e v="#N/A"/>
    <x v="5"/>
    <s v="הנהלה כללית"/>
    <x v="21"/>
    <s v="מינהל כללי"/>
    <x v="67"/>
    <s v="שרות משפטי"/>
    <s v="6172"/>
    <e v="#N/A"/>
    <m/>
    <s v="1"/>
    <x v="9"/>
    <s v="12"/>
    <s v="תוספות שאינן נכללות בשכר הקובע"/>
    <s v="127"/>
    <e v="#N/A"/>
  </r>
  <r>
    <n v="130"/>
    <s v="61722"/>
    <n v="1"/>
    <s v="161722.130"/>
    <s v="תשלומים מיוחדים                 "/>
    <m/>
    <m/>
    <n v="120000"/>
    <n v="161000"/>
    <n v="146600"/>
    <e v="#N/A"/>
    <x v="5"/>
    <s v="הנהלה כללית"/>
    <x v="21"/>
    <s v="מינהל כללי"/>
    <x v="67"/>
    <s v="שרות משפטי"/>
    <s v="6172"/>
    <e v="#N/A"/>
    <m/>
    <s v="1"/>
    <x v="9"/>
    <s v="13"/>
    <s v="שעות נוספות"/>
    <s v="130"/>
    <e v="#N/A"/>
  </r>
  <r>
    <n v="181"/>
    <s v="61722"/>
    <n v="1"/>
    <s v="161722.181"/>
    <s v="מיסים וביטוח לאומי              "/>
    <m/>
    <m/>
    <n v="215000"/>
    <n v="230000"/>
    <n v="229135"/>
    <e v="#N/A"/>
    <x v="5"/>
    <s v="הנהלה כללית"/>
    <x v="21"/>
    <s v="מינהל כללי"/>
    <x v="67"/>
    <s v="שרות משפטי"/>
    <s v="6172"/>
    <e v="#N/A"/>
    <m/>
    <s v="1"/>
    <x v="9"/>
    <s v="18"/>
    <s v="נלוות לשכר"/>
    <s v="181"/>
    <s v="הפרשות סוציאליות"/>
  </r>
  <r>
    <n v="182"/>
    <s v="61722"/>
    <n v="1"/>
    <s v="161722.182"/>
    <s v="קופות גמל והשתלמות              "/>
    <m/>
    <m/>
    <n v="248000"/>
    <n v="301000"/>
    <n v="274127"/>
    <e v="#N/A"/>
    <x v="5"/>
    <s v="הנהלה כללית"/>
    <x v="21"/>
    <s v="מינהל כללי"/>
    <x v="67"/>
    <s v="שרות משפטי"/>
    <s v="6172"/>
    <e v="#N/A"/>
    <m/>
    <s v="1"/>
    <x v="9"/>
    <s v="18"/>
    <s v="נלוות לשכר"/>
    <s v="182"/>
    <s v="מיסיום ועלויות"/>
  </r>
  <r>
    <n v="230"/>
    <s v="61722"/>
    <n v="1"/>
    <s v="161722.230"/>
    <s v="משימה חולפת - 1                 "/>
    <m/>
    <m/>
    <n v="58000"/>
    <n v="75000"/>
    <n v="65412"/>
    <e v="#N/A"/>
    <x v="5"/>
    <s v="הנהלה כללית"/>
    <x v="21"/>
    <s v="מינהל כללי"/>
    <x v="67"/>
    <s v="שרות משפטי"/>
    <s v="6172"/>
    <e v="#N/A"/>
    <m/>
    <s v="2"/>
    <x v="10"/>
    <s v="23"/>
    <s v="שעות נוספות"/>
    <s v="230"/>
    <e v="#N/A"/>
  </r>
  <r>
    <n v="439"/>
    <s v="61722"/>
    <n v="1"/>
    <s v="161722.439"/>
    <s v="אחזקת בנייני העירייה - השתתפות  "/>
    <m/>
    <m/>
    <n v="430000"/>
    <n v="0"/>
    <n v="0"/>
    <e v="#N/A"/>
    <x v="5"/>
    <s v="הנהלה כללית"/>
    <x v="21"/>
    <s v="מינהל כללי"/>
    <x v="67"/>
    <s v="שרות משפטי"/>
    <s v="6172"/>
    <e v="#N/A"/>
    <m/>
    <s v="4"/>
    <x v="15"/>
    <s v="43"/>
    <s v="חשמל, מים וחומרי ניקיון"/>
    <s v="439"/>
    <e v="#N/A"/>
  </r>
  <r>
    <n v="461"/>
    <s v="61722"/>
    <n v="1"/>
    <s v="161722.461"/>
    <s v="צורכי משרד                      "/>
    <m/>
    <m/>
    <n v="29000"/>
    <n v="29000"/>
    <n v="29551"/>
    <e v="#N/A"/>
    <x v="5"/>
    <s v="הנהלה כללית"/>
    <x v="21"/>
    <s v="מינהל כללי"/>
    <x v="67"/>
    <s v="שרות משפטי"/>
    <s v="6172"/>
    <e v="#N/A"/>
    <m/>
    <s v="4"/>
    <x v="15"/>
    <s v="46"/>
    <e v="#N/A"/>
    <s v="461"/>
    <e v="#N/A"/>
  </r>
  <r>
    <n v="510"/>
    <s v="61722"/>
    <n v="1"/>
    <s v="161722.510"/>
    <s v="נסיעות ודמי חניה                "/>
    <m/>
    <m/>
    <n v="1000"/>
    <n v="1000"/>
    <n v="926"/>
    <e v="#N/A"/>
    <x v="5"/>
    <s v="הנהלה כללית"/>
    <x v="21"/>
    <s v="מינהל כללי"/>
    <x v="67"/>
    <s v="שרות משפטי"/>
    <s v="6172"/>
    <e v="#N/A"/>
    <m/>
    <s v="5"/>
    <x v="11"/>
    <s v="51"/>
    <s v="אש&quot;ל וכיבודים"/>
    <s v="510"/>
    <e v="#N/A"/>
  </r>
  <r>
    <n v="610"/>
    <s v="61722"/>
    <n v="1"/>
    <s v="161722.610"/>
    <s v="כיבודים לועדות ערר              "/>
    <m/>
    <m/>
    <n v="10000"/>
    <n v="10000"/>
    <n v="10047"/>
    <e v="#N/A"/>
    <x v="5"/>
    <s v="הנהלה כללית"/>
    <x v="21"/>
    <s v="מינהל כללי"/>
    <x v="67"/>
    <s v="שרות משפטי"/>
    <s v="6172"/>
    <e v="#N/A"/>
    <m/>
    <s v="6"/>
    <x v="12"/>
    <s v="61"/>
    <s v="עמלות"/>
    <s v="610"/>
    <e v="#N/A"/>
  </r>
  <r>
    <n v="670"/>
    <s v="61722"/>
    <n v="1"/>
    <s v="161722.670"/>
    <s v="סעיף שאינו חוזר                 "/>
    <m/>
    <m/>
    <n v="0"/>
    <n v="201000"/>
    <n v="169621"/>
    <e v="#N/A"/>
    <x v="5"/>
    <s v="הנהלה כללית"/>
    <x v="21"/>
    <s v="מינהל כללי"/>
    <x v="67"/>
    <s v="שרות משפטי"/>
    <s v="6172"/>
    <e v="#N/A"/>
    <m/>
    <s v="6"/>
    <x v="12"/>
    <s v="67"/>
    <e v="#N/A"/>
    <s v="670"/>
    <e v="#N/A"/>
  </r>
  <r>
    <n v="752"/>
    <s v="61722"/>
    <n v="1"/>
    <s v="161722.752"/>
    <s v="הפעלת ועדות ערר- חברי ועדה      "/>
    <m/>
    <m/>
    <n v="950000"/>
    <n v="950000"/>
    <n v="857435"/>
    <e v="#N/A"/>
    <x v="5"/>
    <s v="הנהלה כללית"/>
    <x v="21"/>
    <s v="מינהל כללי"/>
    <x v="67"/>
    <s v="שרות משפטי"/>
    <s v="6172"/>
    <e v="#N/A"/>
    <m/>
    <s v="7"/>
    <x v="13"/>
    <s v="75"/>
    <s v="עבודות קבלניות"/>
    <s v="752"/>
    <e v="#N/A"/>
  </r>
  <r>
    <n v="110"/>
    <s v="61730"/>
    <n v="1"/>
    <s v="161730.110"/>
    <s v="משכורת כוללת                    "/>
    <m/>
    <m/>
    <n v="717000"/>
    <n v="730000"/>
    <n v="691309"/>
    <e v="#N/A"/>
    <x v="5"/>
    <s v="הנהלה כללית"/>
    <x v="21"/>
    <s v="מינהל כללי"/>
    <x v="67"/>
    <s v="שרות משפטי"/>
    <s v="6173"/>
    <e v="#N/A"/>
    <m/>
    <s v="1"/>
    <x v="9"/>
    <s v="11"/>
    <s v="השכר הקובע"/>
    <s v="110"/>
    <e v="#N/A"/>
  </r>
  <r>
    <n v="124"/>
    <s v="61730"/>
    <n v="1"/>
    <s v="161730.124"/>
    <s v="החזר הוצאות                     "/>
    <m/>
    <m/>
    <n v="50000"/>
    <n v="57000"/>
    <n v="57110"/>
    <e v="#N/A"/>
    <x v="5"/>
    <s v="הנהלה כללית"/>
    <x v="21"/>
    <s v="מינהל כללי"/>
    <x v="67"/>
    <s v="שרות משפטי"/>
    <s v="6173"/>
    <e v="#N/A"/>
    <m/>
    <s v="1"/>
    <x v="9"/>
    <s v="12"/>
    <s v="תוספות שאינן נכללות בשכר הקובע"/>
    <s v="124"/>
    <e v="#N/A"/>
  </r>
  <r>
    <n v="126"/>
    <s v="61730"/>
    <n v="1"/>
    <s v="161730.126"/>
    <s v="הבראה                           "/>
    <m/>
    <m/>
    <n v="37000"/>
    <n v="37000"/>
    <n v="36082"/>
    <e v="#N/A"/>
    <x v="5"/>
    <s v="הנהלה כללית"/>
    <x v="21"/>
    <s v="מינהל כללי"/>
    <x v="67"/>
    <s v="שרות משפטי"/>
    <s v="6173"/>
    <e v="#N/A"/>
    <m/>
    <s v="1"/>
    <x v="9"/>
    <s v="12"/>
    <s v="תוספות שאינן נכללות בשכר הקובע"/>
    <s v="126"/>
    <e v="#N/A"/>
  </r>
  <r>
    <n v="127"/>
    <s v="61730"/>
    <n v="1"/>
    <s v="161730.127"/>
    <s v="השתתפות באחזקת רכב - 5          "/>
    <m/>
    <m/>
    <n v="108000"/>
    <n v="112000"/>
    <n v="107469"/>
    <e v="#N/A"/>
    <x v="5"/>
    <s v="הנהלה כללית"/>
    <x v="21"/>
    <s v="מינהל כללי"/>
    <x v="67"/>
    <s v="שרות משפטי"/>
    <s v="6173"/>
    <e v="#N/A"/>
    <m/>
    <s v="1"/>
    <x v="9"/>
    <s v="12"/>
    <s v="תוספות שאינן נכללות בשכר הקובע"/>
    <s v="127"/>
    <e v="#N/A"/>
  </r>
  <r>
    <n v="130"/>
    <s v="61730"/>
    <n v="1"/>
    <s v="161730.130"/>
    <s v="תשלומים מיוחדים                 "/>
    <m/>
    <m/>
    <n v="113000"/>
    <n v="106000"/>
    <n v="107593"/>
    <e v="#N/A"/>
    <x v="5"/>
    <s v="הנהלה כללית"/>
    <x v="21"/>
    <s v="מינהל כללי"/>
    <x v="67"/>
    <s v="שרות משפטי"/>
    <s v="6173"/>
    <e v="#N/A"/>
    <m/>
    <s v="1"/>
    <x v="9"/>
    <s v="13"/>
    <s v="שעות נוספות"/>
    <s v="130"/>
    <e v="#N/A"/>
  </r>
  <r>
    <n v="181"/>
    <s v="61730"/>
    <n v="1"/>
    <s v="161730.181"/>
    <s v="מיסים וביטוח לאומי              "/>
    <m/>
    <m/>
    <n v="136000"/>
    <n v="138000"/>
    <n v="132111"/>
    <e v="#N/A"/>
    <x v="5"/>
    <s v="הנהלה כללית"/>
    <x v="21"/>
    <s v="מינהל כללי"/>
    <x v="67"/>
    <s v="שרות משפטי"/>
    <s v="6173"/>
    <e v="#N/A"/>
    <m/>
    <s v="1"/>
    <x v="9"/>
    <s v="18"/>
    <s v="נלוות לשכר"/>
    <s v="181"/>
    <s v="הפרשות סוציאליות"/>
  </r>
  <r>
    <n v="182"/>
    <s v="61730"/>
    <n v="1"/>
    <s v="161730.182"/>
    <s v="קופות גמל והשתלמות              "/>
    <m/>
    <m/>
    <n v="156000"/>
    <n v="139000"/>
    <n v="138800"/>
    <e v="#N/A"/>
    <x v="5"/>
    <s v="הנהלה כללית"/>
    <x v="21"/>
    <s v="מינהל כללי"/>
    <x v="67"/>
    <s v="שרות משפטי"/>
    <s v="6173"/>
    <e v="#N/A"/>
    <m/>
    <s v="1"/>
    <x v="9"/>
    <s v="18"/>
    <s v="נלוות לשכר"/>
    <s v="182"/>
    <s v="מיסיום ועלויות"/>
  </r>
  <r>
    <n v="310"/>
    <s v="61730"/>
    <n v="1"/>
    <s v="161730.310"/>
    <s v="שעות נוספות רשומות              "/>
    <m/>
    <m/>
    <n v="12000"/>
    <n v="12000"/>
    <n v="24859"/>
    <e v="#N/A"/>
    <x v="5"/>
    <s v="הנהלה כללית"/>
    <x v="21"/>
    <s v="מינהל כללי"/>
    <x v="67"/>
    <s v="שרות משפטי"/>
    <s v="6173"/>
    <e v="#N/A"/>
    <m/>
    <s v="3"/>
    <x v="14"/>
    <s v="31"/>
    <s v="פנסיה"/>
    <s v="310"/>
    <e v="#N/A"/>
  </r>
  <r>
    <n v="433"/>
    <s v="61730"/>
    <n v="1"/>
    <s v="161730.433"/>
    <s v="בטוח                            "/>
    <m/>
    <m/>
    <n v="325000"/>
    <n v="319000"/>
    <n v="288000"/>
    <e v="#N/A"/>
    <x v="5"/>
    <s v="הנהלה כללית"/>
    <x v="21"/>
    <s v="מינהל כללי"/>
    <x v="67"/>
    <s v="שרות משפטי"/>
    <s v="6173"/>
    <e v="#N/A"/>
    <m/>
    <s v="4"/>
    <x v="15"/>
    <s v="43"/>
    <s v="חשמל, מים וחומרי ניקיון"/>
    <s v="433"/>
    <s v="חומרי ניקיון"/>
  </r>
  <r>
    <n v="434"/>
    <s v="61730"/>
    <n v="1"/>
    <s v="161730.434"/>
    <s v="תקוני מבנים  מתקנים ואינונטר    "/>
    <m/>
    <m/>
    <n v="8000"/>
    <n v="8000"/>
    <n v="13000"/>
    <e v="#N/A"/>
    <x v="5"/>
    <s v="הנהלה כללית"/>
    <x v="21"/>
    <s v="מינהל כללי"/>
    <x v="67"/>
    <s v="שרות משפטי"/>
    <s v="6173"/>
    <e v="#N/A"/>
    <m/>
    <s v="4"/>
    <x v="15"/>
    <s v="43"/>
    <s v="חשמל, מים וחומרי ניקיון"/>
    <s v="434"/>
    <s v="שירותי ניקיון"/>
  </r>
  <r>
    <n v="439"/>
    <s v="61730"/>
    <n v="1"/>
    <s v="161730.439"/>
    <s v="אחזקת בניני העיריה-השתתפות      "/>
    <m/>
    <m/>
    <n v="1101000"/>
    <n v="1000000"/>
    <n v="960000"/>
    <e v="#N/A"/>
    <x v="5"/>
    <s v="הנהלה כללית"/>
    <x v="21"/>
    <s v="מינהל כללי"/>
    <x v="67"/>
    <s v="שרות משפטי"/>
    <s v="6173"/>
    <e v="#N/A"/>
    <m/>
    <s v="4"/>
    <x v="15"/>
    <s v="43"/>
    <s v="חשמל, מים וחומרי ניקיון"/>
    <s v="439"/>
    <e v="#N/A"/>
  </r>
  <r>
    <n v="461"/>
    <s v="61730"/>
    <n v="1"/>
    <s v="161730.461"/>
    <s v="צורכי משרד                      "/>
    <m/>
    <m/>
    <n v="239000"/>
    <n v="271000"/>
    <n v="259611"/>
    <e v="#N/A"/>
    <x v="5"/>
    <s v="הנהלה כללית"/>
    <x v="21"/>
    <s v="מינהל כללי"/>
    <x v="67"/>
    <s v="שרות משפטי"/>
    <s v="6173"/>
    <e v="#N/A"/>
    <m/>
    <s v="4"/>
    <x v="15"/>
    <s v="46"/>
    <e v="#N/A"/>
    <s v="461"/>
    <e v="#N/A"/>
  </r>
  <r>
    <n v="464"/>
    <s v="61730"/>
    <n v="1"/>
    <s v="161730.464"/>
    <s v="דאר                             "/>
    <m/>
    <m/>
    <n v="201000"/>
    <n v="177000"/>
    <n v="191556"/>
    <e v="#N/A"/>
    <x v="5"/>
    <s v="הנהלה כללית"/>
    <x v="21"/>
    <s v="מינהל כללי"/>
    <x v="67"/>
    <s v="שרות משפטי"/>
    <s v="6173"/>
    <e v="#N/A"/>
    <m/>
    <s v="4"/>
    <x v="15"/>
    <s v="46"/>
    <e v="#N/A"/>
    <s v="464"/>
    <e v="#N/A"/>
  </r>
  <r>
    <n v="521"/>
    <s v="61730"/>
    <n v="1"/>
    <s v="161730.521"/>
    <s v="הדרכה וכנסים                    "/>
    <m/>
    <m/>
    <n v="55000"/>
    <n v="55000"/>
    <n v="54991"/>
    <e v="#N/A"/>
    <x v="5"/>
    <s v="הנהלה כללית"/>
    <x v="21"/>
    <s v="מינהל כללי"/>
    <x v="67"/>
    <s v="שרות משפטי"/>
    <s v="6173"/>
    <e v="#N/A"/>
    <m/>
    <s v="5"/>
    <x v="11"/>
    <s v="52"/>
    <s v="השתלמויות וספרות מקצועית"/>
    <s v="521"/>
    <s v="השתלמויות וספרות מקצועית"/>
  </r>
  <r>
    <n v="522"/>
    <s v="61730"/>
    <n v="1"/>
    <s v="161730.522"/>
    <s v="גיבוש יחידתי                    "/>
    <m/>
    <m/>
    <n v="16000"/>
    <n v="16000"/>
    <n v="15712"/>
    <e v="#N/A"/>
    <x v="5"/>
    <s v="הנהלה כללית"/>
    <x v="21"/>
    <s v="מינהל כללי"/>
    <x v="67"/>
    <s v="שרות משפטי"/>
    <s v="6173"/>
    <e v="#N/A"/>
    <m/>
    <s v="5"/>
    <x v="11"/>
    <s v="52"/>
    <s v="השתלמויות וספרות מקצועית"/>
    <s v="522"/>
    <s v="ספרות מקצועית ועיתונות"/>
  </r>
  <r>
    <n v="610"/>
    <s v="61730"/>
    <n v="1"/>
    <s v="161730.610"/>
    <s v="כיבודים                         "/>
    <m/>
    <m/>
    <n v="32000"/>
    <n v="32000"/>
    <n v="32087"/>
    <e v="#N/A"/>
    <x v="5"/>
    <s v="הנהלה כללית"/>
    <x v="21"/>
    <s v="מינהל כללי"/>
    <x v="67"/>
    <s v="שרות משפטי"/>
    <s v="6173"/>
    <e v="#N/A"/>
    <m/>
    <s v="6"/>
    <x v="12"/>
    <s v="61"/>
    <s v="עמלות"/>
    <s v="610"/>
    <e v="#N/A"/>
  </r>
  <r>
    <n v="670"/>
    <s v="61730"/>
    <n v="1"/>
    <s v="161730.670"/>
    <s v="סעיף שאינו חוזר                 "/>
    <m/>
    <m/>
    <n v="0"/>
    <n v="35000"/>
    <n v="25466"/>
    <e v="#N/A"/>
    <x v="5"/>
    <s v="הנהלה כללית"/>
    <x v="21"/>
    <s v="מינהל כללי"/>
    <x v="67"/>
    <s v="שרות משפטי"/>
    <s v="6173"/>
    <e v="#N/A"/>
    <m/>
    <s v="6"/>
    <x v="12"/>
    <s v="67"/>
    <e v="#N/A"/>
    <s v="670"/>
    <e v="#N/A"/>
  </r>
  <r>
    <n v="680"/>
    <s v="61730"/>
    <n v="1"/>
    <s v="161730.680"/>
    <s v="הוצאות   מיוחדות                "/>
    <m/>
    <m/>
    <n v="7000"/>
    <n v="7000"/>
    <n v="7102"/>
    <e v="#N/A"/>
    <x v="5"/>
    <s v="הנהלה כללית"/>
    <x v="21"/>
    <s v="מינהל כללי"/>
    <x v="67"/>
    <s v="שרות משפטי"/>
    <s v="6173"/>
    <e v="#N/A"/>
    <m/>
    <s v="6"/>
    <x v="12"/>
    <s v="68"/>
    <s v="ריבית על הוצאות אחרות"/>
    <s v="680"/>
    <e v="#N/A"/>
  </r>
  <r>
    <n v="695"/>
    <s v="61730"/>
    <n v="1"/>
    <s v="161730.695"/>
    <s v="תקשורת ציוד והתקנה              "/>
    <m/>
    <m/>
    <n v="6000"/>
    <n v="6000"/>
    <n v="5993"/>
    <e v="#N/A"/>
    <x v="5"/>
    <s v="הנהלה כללית"/>
    <x v="21"/>
    <s v="מינהל כללי"/>
    <x v="67"/>
    <s v="שרות משפטי"/>
    <s v="6173"/>
    <e v="#N/A"/>
    <m/>
    <s v="6"/>
    <x v="12"/>
    <s v="69"/>
    <s v="שונות"/>
    <s v="695"/>
    <e v="#N/A"/>
  </r>
  <r>
    <n v="751"/>
    <s v="61730"/>
    <n v="1"/>
    <s v="161730.751"/>
    <s v="שליחויות  איתורים וחקירות       "/>
    <m/>
    <m/>
    <n v="348000"/>
    <n v="348000"/>
    <n v="318000"/>
    <e v="#N/A"/>
    <x v="5"/>
    <s v="הנהלה כללית"/>
    <x v="21"/>
    <s v="מינהל כללי"/>
    <x v="67"/>
    <s v="שרות משפטי"/>
    <s v="6173"/>
    <e v="#N/A"/>
    <m/>
    <s v="7"/>
    <x v="13"/>
    <s v="75"/>
    <s v="עבודות קבלניות"/>
    <s v="751"/>
    <e v="#N/A"/>
  </r>
  <r>
    <n v="781"/>
    <s v="61730"/>
    <n v="1"/>
    <s v="161730.781"/>
    <s v="שמוש במאגרי מידע                "/>
    <m/>
    <m/>
    <n v="20000"/>
    <n v="20000"/>
    <n v="7129"/>
    <e v="#N/A"/>
    <x v="5"/>
    <s v="הנהלה כללית"/>
    <x v="21"/>
    <s v="מינהל כללי"/>
    <x v="67"/>
    <s v="שרות משפטי"/>
    <s v="6173"/>
    <e v="#N/A"/>
    <m/>
    <s v="7"/>
    <x v="13"/>
    <s v="78"/>
    <s v="הוצאות שונות"/>
    <s v="781"/>
    <e v="#N/A"/>
  </r>
  <r>
    <n v="821"/>
    <s v="61730"/>
    <n v="1"/>
    <s v="161730.821"/>
    <s v="מילגות מקרן זילביגר             "/>
    <m/>
    <m/>
    <n v="56000"/>
    <n v="56000"/>
    <n v="0"/>
    <e v="#N/A"/>
    <x v="5"/>
    <s v="הנהלה כללית"/>
    <x v="21"/>
    <s v="מינהל כללי"/>
    <x v="67"/>
    <s v="שרות משפטי"/>
    <s v="6173"/>
    <e v="#N/A"/>
    <m/>
    <s v="8"/>
    <x v="16"/>
    <s v="82"/>
    <s v="הקצבות בהמלצת ועדת הקצבות"/>
    <s v="821"/>
    <e v="#N/A"/>
  </r>
  <r>
    <n v="821"/>
    <s v="61730"/>
    <n v="1"/>
    <s v="161730.821"/>
    <s v="החזר קרן זילביגר                "/>
    <m/>
    <m/>
    <n v="-54000"/>
    <n v="-54000"/>
    <n v="0"/>
    <e v="#N/A"/>
    <x v="5"/>
    <s v="הנהלה כללית"/>
    <x v="21"/>
    <s v="מינהל כללי"/>
    <x v="67"/>
    <s v="שרות משפטי"/>
    <s v="6173"/>
    <e v="#N/A"/>
    <m/>
    <s v="8"/>
    <x v="16"/>
    <s v="82"/>
    <s v="הקצבות בהמלצת ועדת הקצבות"/>
    <s v="821"/>
    <e v="#N/A"/>
  </r>
  <r>
    <n v="932"/>
    <s v="61730"/>
    <n v="1"/>
    <s v="161730.932"/>
    <s v="ציוד וריהוט משרדי               "/>
    <m/>
    <m/>
    <n v="8000"/>
    <n v="8000"/>
    <n v="7312"/>
    <e v="#N/A"/>
    <x v="5"/>
    <s v="הנהלה כללית"/>
    <x v="21"/>
    <s v="מינהל כללי"/>
    <x v="67"/>
    <s v="שרות משפטי"/>
    <s v="6173"/>
    <e v="#N/A"/>
    <m/>
    <s v="9"/>
    <x v="17"/>
    <s v="93"/>
    <s v="רכישת ציוד יסודי"/>
    <s v="932"/>
    <e v="#N/A"/>
  </r>
  <r>
    <n v="934"/>
    <s v="61730"/>
    <n v="1"/>
    <s v="161730.934"/>
    <s v="ציוד תפעולי                     "/>
    <m/>
    <m/>
    <n v="11000"/>
    <n v="11000"/>
    <n v="10755"/>
    <e v="#N/A"/>
    <x v="5"/>
    <s v="הנהלה כללית"/>
    <x v="21"/>
    <s v="מינהל כללי"/>
    <x v="67"/>
    <s v="שרות משפטי"/>
    <s v="6173"/>
    <e v="#N/A"/>
    <m/>
    <s v="9"/>
    <x v="17"/>
    <s v="93"/>
    <s v="רכישת ציוד יסודי"/>
    <s v="934"/>
    <e v="#N/A"/>
  </r>
  <r>
    <n v="110"/>
    <s v="61750"/>
    <n v="1"/>
    <s v="161750.110"/>
    <s v="משכורת כוללת                    "/>
    <m/>
    <m/>
    <n v="4296000"/>
    <n v="4170000"/>
    <n v="3913561"/>
    <e v="#N/A"/>
    <x v="5"/>
    <s v="הנהלה כללית"/>
    <x v="21"/>
    <s v="מינהל כללי"/>
    <x v="67"/>
    <s v="שרות משפטי"/>
    <s v="6175"/>
    <e v="#N/A"/>
    <m/>
    <s v="1"/>
    <x v="9"/>
    <s v="11"/>
    <s v="השכר הקובע"/>
    <s v="110"/>
    <e v="#N/A"/>
  </r>
  <r>
    <n v="124"/>
    <s v="61750"/>
    <n v="1"/>
    <s v="161750.124"/>
    <s v="החזר הוצאות                     "/>
    <m/>
    <m/>
    <n v="228000"/>
    <n v="213000"/>
    <n v="207888"/>
    <e v="#N/A"/>
    <x v="5"/>
    <s v="הנהלה כללית"/>
    <x v="21"/>
    <s v="מינהל כללי"/>
    <x v="67"/>
    <s v="שרות משפטי"/>
    <s v="6175"/>
    <e v="#N/A"/>
    <m/>
    <s v="1"/>
    <x v="9"/>
    <s v="12"/>
    <s v="תוספות שאינן נכללות בשכר הקובע"/>
    <s v="124"/>
    <e v="#N/A"/>
  </r>
  <r>
    <n v="126"/>
    <s v="61750"/>
    <n v="1"/>
    <s v="161750.126"/>
    <s v="הבראה                           "/>
    <m/>
    <m/>
    <n v="172000"/>
    <n v="170000"/>
    <n v="159146"/>
    <e v="#N/A"/>
    <x v="5"/>
    <s v="הנהלה כללית"/>
    <x v="21"/>
    <s v="מינהל כללי"/>
    <x v="67"/>
    <s v="שרות משפטי"/>
    <s v="6175"/>
    <e v="#N/A"/>
    <m/>
    <s v="1"/>
    <x v="9"/>
    <s v="12"/>
    <s v="תוספות שאינן נכללות בשכר הקובע"/>
    <s v="126"/>
    <e v="#N/A"/>
  </r>
  <r>
    <n v="127"/>
    <s v="61750"/>
    <n v="1"/>
    <s v="161750.127"/>
    <s v="השתתפות באחזקת רכב - 30         "/>
    <m/>
    <m/>
    <n v="763000"/>
    <n v="774000"/>
    <n v="700103"/>
    <e v="#N/A"/>
    <x v="5"/>
    <s v="הנהלה כללית"/>
    <x v="21"/>
    <s v="מינהל כללי"/>
    <x v="67"/>
    <s v="שרות משפטי"/>
    <s v="6175"/>
    <e v="#N/A"/>
    <m/>
    <s v="1"/>
    <x v="9"/>
    <s v="12"/>
    <s v="תוספות שאינן נכללות בשכר הקובע"/>
    <s v="127"/>
    <e v="#N/A"/>
  </r>
  <r>
    <n v="130"/>
    <s v="61750"/>
    <n v="1"/>
    <s v="161750.130"/>
    <s v="תשלומים מיוחדים                 "/>
    <m/>
    <m/>
    <n v="663000"/>
    <n v="712000"/>
    <n v="655128"/>
    <e v="#N/A"/>
    <x v="5"/>
    <s v="הנהלה כללית"/>
    <x v="21"/>
    <s v="מינהל כללי"/>
    <x v="67"/>
    <s v="שרות משפטי"/>
    <s v="6175"/>
    <e v="#N/A"/>
    <m/>
    <s v="1"/>
    <x v="9"/>
    <s v="13"/>
    <s v="שעות נוספות"/>
    <s v="130"/>
    <e v="#N/A"/>
  </r>
  <r>
    <n v="181"/>
    <s v="61750"/>
    <n v="1"/>
    <s v="161750.181"/>
    <s v="מיסים וביטוח לאומי              "/>
    <m/>
    <m/>
    <n v="845000"/>
    <n v="834000"/>
    <n v="750419"/>
    <e v="#N/A"/>
    <x v="5"/>
    <s v="הנהלה כללית"/>
    <x v="21"/>
    <s v="מינהל כללי"/>
    <x v="67"/>
    <s v="שרות משפטי"/>
    <s v="6175"/>
    <e v="#N/A"/>
    <m/>
    <s v="1"/>
    <x v="9"/>
    <s v="18"/>
    <s v="נלוות לשכר"/>
    <s v="181"/>
    <s v="הפרשות סוציאליות"/>
  </r>
  <r>
    <n v="182"/>
    <s v="61750"/>
    <n v="1"/>
    <s v="161750.182"/>
    <s v="קופות גמל והשתלמות              "/>
    <m/>
    <m/>
    <n v="724000"/>
    <n v="725000"/>
    <n v="655088"/>
    <e v="#N/A"/>
    <x v="5"/>
    <s v="הנהלה כללית"/>
    <x v="21"/>
    <s v="מינהל כללי"/>
    <x v="67"/>
    <s v="שרות משפטי"/>
    <s v="6175"/>
    <e v="#N/A"/>
    <m/>
    <s v="1"/>
    <x v="9"/>
    <s v="18"/>
    <s v="נלוות לשכר"/>
    <s v="182"/>
    <s v="מיסיום ועלויות"/>
  </r>
  <r>
    <n v="230"/>
    <s v="61750"/>
    <n v="1"/>
    <s v="161750.230"/>
    <s v="משימה חולפת -1                  "/>
    <m/>
    <m/>
    <n v="153000"/>
    <n v="155000"/>
    <n v="0"/>
    <e v="#N/A"/>
    <x v="5"/>
    <s v="הנהלה כללית"/>
    <x v="21"/>
    <s v="מינהל כללי"/>
    <x v="67"/>
    <s v="שרות משפטי"/>
    <s v="6175"/>
    <e v="#N/A"/>
    <m/>
    <s v="2"/>
    <x v="10"/>
    <s v="23"/>
    <s v="שעות נוספות"/>
    <s v="230"/>
    <e v="#N/A"/>
  </r>
  <r>
    <n v="310"/>
    <s v="61750"/>
    <n v="1"/>
    <s v="161750.310"/>
    <s v="שעות נוספות רשומות              "/>
    <m/>
    <m/>
    <n v="180000"/>
    <n v="176000"/>
    <n v="168457"/>
    <e v="#N/A"/>
    <x v="5"/>
    <s v="הנהלה כללית"/>
    <x v="21"/>
    <s v="מינהל כללי"/>
    <x v="67"/>
    <s v="שרות משפטי"/>
    <s v="6175"/>
    <e v="#N/A"/>
    <m/>
    <s v="3"/>
    <x v="14"/>
    <s v="31"/>
    <s v="פנסיה"/>
    <s v="310"/>
    <e v="#N/A"/>
  </r>
  <r>
    <n v="340"/>
    <s v="61750"/>
    <n v="1"/>
    <s v="161750.340"/>
    <s v="שעות נוספות מיוחדות             "/>
    <m/>
    <m/>
    <n v="9000"/>
    <n v="9000"/>
    <n v="4095"/>
    <e v="#N/A"/>
    <x v="5"/>
    <s v="הנהלה כללית"/>
    <x v="21"/>
    <s v="מינהל כללי"/>
    <x v="67"/>
    <s v="שרות משפטי"/>
    <s v="6175"/>
    <e v="#N/A"/>
    <m/>
    <s v="3"/>
    <x v="14"/>
    <s v="34"/>
    <e v="#N/A"/>
    <s v="340"/>
    <e v="#N/A"/>
  </r>
  <r>
    <n v="411"/>
    <s v="61750"/>
    <n v="1"/>
    <s v="161750.411"/>
    <s v="שכר דירה                        "/>
    <m/>
    <m/>
    <n v="1432000"/>
    <n v="1422000"/>
    <n v="1323801"/>
    <e v="#N/A"/>
    <x v="5"/>
    <s v="הנהלה כללית"/>
    <x v="21"/>
    <s v="מינהל כללי"/>
    <x v="67"/>
    <s v="שרות משפטי"/>
    <s v="6175"/>
    <e v="#N/A"/>
    <m/>
    <s v="4"/>
    <x v="15"/>
    <s v="41"/>
    <s v="שכר דירה ודמי חכירה"/>
    <s v="411"/>
    <e v="#N/A"/>
  </r>
  <r>
    <n v="437"/>
    <s v="61750"/>
    <n v="1"/>
    <s v="161750.437"/>
    <s v="שמירה                           "/>
    <m/>
    <m/>
    <n v="142000"/>
    <n v="130000"/>
    <n v="121591"/>
    <e v="#N/A"/>
    <x v="5"/>
    <s v="הנהלה כללית"/>
    <x v="21"/>
    <s v="מינהל כללי"/>
    <x v="67"/>
    <s v="שרות משפטי"/>
    <s v="6175"/>
    <e v="#N/A"/>
    <m/>
    <s v="4"/>
    <x v="15"/>
    <s v="43"/>
    <s v="חשמל, מים וחומרי ניקיון"/>
    <s v="437"/>
    <e v="#N/A"/>
  </r>
  <r>
    <n v="439"/>
    <s v="61750"/>
    <n v="1"/>
    <s v="161750.439"/>
    <s v="אחזקת בניני העיריה-השתתפות      "/>
    <m/>
    <m/>
    <n v="288000"/>
    <n v="352000"/>
    <n v="367478"/>
    <e v="#N/A"/>
    <x v="5"/>
    <s v="הנהלה כללית"/>
    <x v="21"/>
    <s v="מינהל כללי"/>
    <x v="67"/>
    <s v="שרות משפטי"/>
    <s v="6175"/>
    <e v="#N/A"/>
    <m/>
    <s v="4"/>
    <x v="15"/>
    <s v="43"/>
    <s v="חשמל, מים וחומרי ניקיון"/>
    <s v="439"/>
    <e v="#N/A"/>
  </r>
  <r>
    <n v="670"/>
    <s v="61750"/>
    <n v="1"/>
    <s v="161750.670"/>
    <s v="סעיף שאינו חוזר                 "/>
    <m/>
    <m/>
    <n v="0"/>
    <n v="10000"/>
    <n v="17103"/>
    <e v="#N/A"/>
    <x v="5"/>
    <s v="הנהלה כללית"/>
    <x v="21"/>
    <s v="מינהל כללי"/>
    <x v="67"/>
    <s v="שרות משפטי"/>
    <s v="6175"/>
    <e v="#N/A"/>
    <m/>
    <s v="6"/>
    <x v="12"/>
    <s v="67"/>
    <e v="#N/A"/>
    <s v="670"/>
    <e v="#N/A"/>
  </r>
  <r>
    <n v="751"/>
    <s v="61750"/>
    <n v="1"/>
    <s v="161750.751"/>
    <s v="שליחויות                        "/>
    <m/>
    <m/>
    <n v="45000"/>
    <n v="45000"/>
    <n v="45000"/>
    <e v="#N/A"/>
    <x v="5"/>
    <s v="הנהלה כללית"/>
    <x v="21"/>
    <s v="מינהל כללי"/>
    <x v="67"/>
    <s v="שרות משפטי"/>
    <s v="6175"/>
    <e v="#N/A"/>
    <m/>
    <s v="7"/>
    <x v="13"/>
    <s v="75"/>
    <s v="עבודות קבלניות"/>
    <s v="751"/>
    <e v="#N/A"/>
  </r>
  <r>
    <n v="110"/>
    <s v="61810"/>
    <n v="1"/>
    <s v="161810.110"/>
    <s v="משכורת כוללת                    "/>
    <m/>
    <m/>
    <n v="515000"/>
    <n v="623000"/>
    <n v="655445"/>
    <e v="#N/A"/>
    <x v="5"/>
    <s v="הנהלה כללית"/>
    <x v="21"/>
    <s v="מינהל כללי"/>
    <x v="68"/>
    <s v="תכנון ומחקר"/>
    <s v="6181"/>
    <e v="#N/A"/>
    <m/>
    <s v="1"/>
    <x v="9"/>
    <s v="11"/>
    <s v="השכר הקובע"/>
    <s v="110"/>
    <e v="#N/A"/>
  </r>
  <r>
    <n v="124"/>
    <s v="61810"/>
    <n v="1"/>
    <s v="161810.124"/>
    <s v="החזר הוצאות                     "/>
    <m/>
    <m/>
    <n v="27000"/>
    <n v="37000"/>
    <n v="39296"/>
    <e v="#N/A"/>
    <x v="5"/>
    <s v="הנהלה כללית"/>
    <x v="21"/>
    <s v="מינהל כללי"/>
    <x v="68"/>
    <s v="תכנון ומחקר"/>
    <s v="6181"/>
    <e v="#N/A"/>
    <m/>
    <s v="1"/>
    <x v="9"/>
    <s v="12"/>
    <s v="תוספות שאינן נכללות בשכר הקובע"/>
    <s v="124"/>
    <e v="#N/A"/>
  </r>
  <r>
    <n v="126"/>
    <s v="61810"/>
    <n v="1"/>
    <s v="161810.126"/>
    <s v="הבראה                           "/>
    <m/>
    <m/>
    <n v="24000"/>
    <n v="26000"/>
    <n v="28609"/>
    <e v="#N/A"/>
    <x v="5"/>
    <s v="הנהלה כללית"/>
    <x v="21"/>
    <s v="מינהל כללי"/>
    <x v="68"/>
    <s v="תכנון ומחקר"/>
    <s v="6181"/>
    <e v="#N/A"/>
    <m/>
    <s v="1"/>
    <x v="9"/>
    <s v="12"/>
    <s v="תוספות שאינן נכללות בשכר הקובע"/>
    <s v="126"/>
    <e v="#N/A"/>
  </r>
  <r>
    <n v="127"/>
    <s v="61810"/>
    <n v="1"/>
    <s v="161810.127"/>
    <s v="השתתפות באחזקת רכב-4            "/>
    <m/>
    <m/>
    <n v="95000"/>
    <n v="127000"/>
    <n v="128288"/>
    <e v="#N/A"/>
    <x v="5"/>
    <s v="הנהלה כללית"/>
    <x v="21"/>
    <s v="מינהל כללי"/>
    <x v="68"/>
    <s v="תכנון ומחקר"/>
    <s v="6181"/>
    <e v="#N/A"/>
    <m/>
    <s v="1"/>
    <x v="9"/>
    <s v="12"/>
    <s v="תוספות שאינן נכללות בשכר הקובע"/>
    <s v="127"/>
    <e v="#N/A"/>
  </r>
  <r>
    <n v="130"/>
    <s v="61810"/>
    <n v="1"/>
    <s v="161810.130"/>
    <s v="תשלומים מיוחדים                 "/>
    <m/>
    <m/>
    <n v="87000"/>
    <n v="91000"/>
    <n v="92043"/>
    <e v="#N/A"/>
    <x v="5"/>
    <s v="הנהלה כללית"/>
    <x v="21"/>
    <s v="מינהל כללי"/>
    <x v="68"/>
    <s v="תכנון ומחקר"/>
    <s v="6181"/>
    <e v="#N/A"/>
    <m/>
    <s v="1"/>
    <x v="9"/>
    <s v="13"/>
    <s v="שעות נוספות"/>
    <s v="130"/>
    <e v="#N/A"/>
  </r>
  <r>
    <n v="181"/>
    <s v="61810"/>
    <n v="1"/>
    <s v="161810.181"/>
    <s v="מיסים וביטוח לאומי              "/>
    <m/>
    <m/>
    <n v="99000"/>
    <n v="115000"/>
    <n v="122167"/>
    <e v="#N/A"/>
    <x v="5"/>
    <s v="הנהלה כללית"/>
    <x v="21"/>
    <s v="מינהל כללי"/>
    <x v="68"/>
    <s v="תכנון ומחקר"/>
    <s v="6181"/>
    <e v="#N/A"/>
    <m/>
    <s v="1"/>
    <x v="9"/>
    <s v="18"/>
    <s v="נלוות לשכר"/>
    <s v="181"/>
    <s v="הפרשות סוציאליות"/>
  </r>
  <r>
    <n v="182"/>
    <s v="61810"/>
    <n v="1"/>
    <s v="161810.182"/>
    <s v="קופות גמל והשתלמות              "/>
    <m/>
    <m/>
    <n v="84000"/>
    <n v="112000"/>
    <n v="100992"/>
    <e v="#N/A"/>
    <x v="5"/>
    <s v="הנהלה כללית"/>
    <x v="21"/>
    <s v="מינהל כללי"/>
    <x v="68"/>
    <s v="תכנון ומחקר"/>
    <s v="6181"/>
    <e v="#N/A"/>
    <m/>
    <s v="1"/>
    <x v="9"/>
    <s v="18"/>
    <s v="נלוות לשכר"/>
    <s v="182"/>
    <s v="מיסיום ועלויות"/>
  </r>
  <r>
    <n v="310"/>
    <s v="61810"/>
    <n v="1"/>
    <s v="161810.310"/>
    <s v="שעות נוספות רשומות              "/>
    <m/>
    <m/>
    <n v="9000"/>
    <n v="9000"/>
    <n v="3216"/>
    <e v="#N/A"/>
    <x v="5"/>
    <s v="הנהלה כללית"/>
    <x v="21"/>
    <s v="מינהל כללי"/>
    <x v="68"/>
    <s v="תכנון ומחקר"/>
    <s v="6181"/>
    <e v="#N/A"/>
    <m/>
    <s v="3"/>
    <x v="14"/>
    <s v="31"/>
    <s v="פנסיה"/>
    <s v="310"/>
    <e v="#N/A"/>
  </r>
  <r>
    <n v="433"/>
    <s v="61810"/>
    <n v="1"/>
    <s v="161810.433"/>
    <s v="ביטוח                           "/>
    <m/>
    <m/>
    <n v="12000"/>
    <n v="12000"/>
    <n v="11000"/>
    <e v="#N/A"/>
    <x v="5"/>
    <s v="הנהלה כללית"/>
    <x v="21"/>
    <s v="מינהל כללי"/>
    <x v="68"/>
    <s v="תכנון ומחקר"/>
    <s v="6181"/>
    <e v="#N/A"/>
    <m/>
    <s v="4"/>
    <x v="15"/>
    <s v="43"/>
    <s v="חשמל, מים וחומרי ניקיון"/>
    <s v="433"/>
    <s v="חומרי ניקיון"/>
  </r>
  <r>
    <n v="434"/>
    <s v="61810"/>
    <n v="1"/>
    <s v="161810.434"/>
    <s v="תקוני מבנים  מתקנים ואינונטר    "/>
    <m/>
    <m/>
    <n v="2000"/>
    <n v="2000"/>
    <n v="0"/>
    <e v="#N/A"/>
    <x v="5"/>
    <s v="הנהלה כללית"/>
    <x v="21"/>
    <s v="מינהל כללי"/>
    <x v="68"/>
    <s v="תכנון ומחקר"/>
    <s v="6181"/>
    <e v="#N/A"/>
    <m/>
    <s v="4"/>
    <x v="15"/>
    <s v="43"/>
    <s v="חשמל, מים וחומרי ניקיון"/>
    <s v="434"/>
    <s v="שירותי ניקיון"/>
  </r>
  <r>
    <n v="439"/>
    <s v="61810"/>
    <n v="1"/>
    <s v="161810.439"/>
    <s v="אחזקת בניני העיריה-השתתפות      "/>
    <m/>
    <m/>
    <n v="82000"/>
    <n v="74000"/>
    <n v="70000"/>
    <e v="#N/A"/>
    <x v="5"/>
    <s v="הנהלה כללית"/>
    <x v="21"/>
    <s v="מינהל כללי"/>
    <x v="68"/>
    <s v="תכנון ומחקר"/>
    <s v="6181"/>
    <e v="#N/A"/>
    <m/>
    <s v="4"/>
    <x v="15"/>
    <s v="43"/>
    <s v="חשמל, מים וחומרי ניקיון"/>
    <s v="439"/>
    <e v="#N/A"/>
  </r>
  <r>
    <n v="461"/>
    <s v="61810"/>
    <n v="1"/>
    <s v="161810.461"/>
    <s v="צורכי משרד                      "/>
    <m/>
    <m/>
    <n v="4000"/>
    <n v="7000"/>
    <n v="4723"/>
    <e v="#N/A"/>
    <x v="5"/>
    <s v="הנהלה כללית"/>
    <x v="21"/>
    <s v="מינהל כללי"/>
    <x v="68"/>
    <s v="תכנון ומחקר"/>
    <s v="6181"/>
    <e v="#N/A"/>
    <m/>
    <s v="4"/>
    <x v="15"/>
    <s v="46"/>
    <e v="#N/A"/>
    <s v="461"/>
    <e v="#N/A"/>
  </r>
  <r>
    <n v="462"/>
    <s v="61810"/>
    <n v="1"/>
    <s v="161810.462"/>
    <s v="ספרים ועתונים                   "/>
    <m/>
    <m/>
    <n v="3000"/>
    <n v="4000"/>
    <n v="0"/>
    <e v="#N/A"/>
    <x v="5"/>
    <s v="הנהלה כללית"/>
    <x v="21"/>
    <s v="מינהל כללי"/>
    <x v="68"/>
    <s v="תכנון ומחקר"/>
    <s v="6181"/>
    <e v="#N/A"/>
    <m/>
    <s v="4"/>
    <x v="15"/>
    <s v="46"/>
    <e v="#N/A"/>
    <s v="462"/>
    <e v="#N/A"/>
  </r>
  <r>
    <n v="521"/>
    <s v="61810"/>
    <n v="1"/>
    <s v="161810.521"/>
    <s v="הדרכה וכנסים                    "/>
    <m/>
    <m/>
    <n v="7000"/>
    <n v="6000"/>
    <n v="816"/>
    <e v="#N/A"/>
    <x v="5"/>
    <s v="הנהלה כללית"/>
    <x v="21"/>
    <s v="מינהל כללי"/>
    <x v="68"/>
    <s v="תכנון ומחקר"/>
    <s v="6181"/>
    <e v="#N/A"/>
    <m/>
    <s v="5"/>
    <x v="11"/>
    <s v="52"/>
    <s v="השתלמויות וספרות מקצועית"/>
    <s v="521"/>
    <s v="השתלמויות וספרות מקצועית"/>
  </r>
  <r>
    <n v="541"/>
    <s v="61810"/>
    <n v="1"/>
    <s v="161810.541"/>
    <s v="החזקת מכשירי קשר וסלולר         "/>
    <m/>
    <m/>
    <n v="7000"/>
    <n v="7000"/>
    <n v="9713"/>
    <e v="#N/A"/>
    <x v="5"/>
    <s v="הנהלה כללית"/>
    <x v="21"/>
    <s v="מינהל כללי"/>
    <x v="68"/>
    <s v="תכנון ומחקר"/>
    <s v="6181"/>
    <e v="#N/A"/>
    <m/>
    <s v="5"/>
    <x v="11"/>
    <s v="54"/>
    <s v="הוצאות תקשורת"/>
    <s v="541"/>
    <e v="#N/A"/>
  </r>
  <r>
    <n v="610"/>
    <s v="61810"/>
    <n v="1"/>
    <s v="161810.610"/>
    <s v="כיבודים                         "/>
    <m/>
    <m/>
    <n v="6000"/>
    <n v="5000"/>
    <n v="1119"/>
    <e v="#N/A"/>
    <x v="5"/>
    <s v="הנהלה כללית"/>
    <x v="21"/>
    <s v="מינהל כללי"/>
    <x v="68"/>
    <s v="תכנון ומחקר"/>
    <s v="6181"/>
    <e v="#N/A"/>
    <m/>
    <s v="6"/>
    <x v="12"/>
    <s v="61"/>
    <s v="עמלות"/>
    <s v="610"/>
    <e v="#N/A"/>
  </r>
  <r>
    <n v="670"/>
    <s v="61810"/>
    <n v="1"/>
    <s v="161810.670"/>
    <s v="סעיף שאינו חוזר                 "/>
    <m/>
    <m/>
    <n v="0"/>
    <n v="3000"/>
    <n v="1267"/>
    <e v="#N/A"/>
    <x v="5"/>
    <s v="הנהלה כללית"/>
    <x v="21"/>
    <s v="מינהל כללי"/>
    <x v="68"/>
    <s v="תכנון ומחקר"/>
    <s v="6181"/>
    <e v="#N/A"/>
    <m/>
    <s v="6"/>
    <x v="12"/>
    <s v="67"/>
    <e v="#N/A"/>
    <s v="670"/>
    <e v="#N/A"/>
  </r>
  <r>
    <n v="691"/>
    <s v="61810"/>
    <n v="1"/>
    <s v="161810.691"/>
    <s v="מערכות מידע ומחשוב              "/>
    <m/>
    <m/>
    <n v="390000"/>
    <n v="140000"/>
    <n v="175238"/>
    <e v="#N/A"/>
    <x v="5"/>
    <s v="הנהלה כללית"/>
    <x v="21"/>
    <s v="מינהל כללי"/>
    <x v="68"/>
    <s v="תכנון ומחקר"/>
    <s v="6181"/>
    <e v="#N/A"/>
    <m/>
    <s v="6"/>
    <x v="12"/>
    <s v="69"/>
    <s v="שונות"/>
    <s v="691"/>
    <s v="תשלום ע&quot;ח קרן"/>
  </r>
  <r>
    <n v="693"/>
    <s v="61810"/>
    <n v="1"/>
    <s v="161810.693"/>
    <s v="מיחשוב יחידתי                   "/>
    <m/>
    <m/>
    <n v="4000"/>
    <n v="5000"/>
    <n v="1755"/>
    <e v="#N/A"/>
    <x v="5"/>
    <s v="הנהלה כללית"/>
    <x v="21"/>
    <s v="מינהל כללי"/>
    <x v="68"/>
    <s v="תכנון ומחקר"/>
    <s v="6181"/>
    <e v="#N/A"/>
    <m/>
    <s v="6"/>
    <x v="12"/>
    <s v="69"/>
    <s v="שונות"/>
    <s v="693"/>
    <s v="תשלום ע&quot;ח הצמדת ערך"/>
  </r>
  <r>
    <n v="782"/>
    <s v="61810"/>
    <n v="1"/>
    <s v="161810.782"/>
    <s v="הנחיה מקצועית                   "/>
    <m/>
    <m/>
    <n v="19000"/>
    <n v="22000"/>
    <n v="17200"/>
    <e v="#N/A"/>
    <x v="5"/>
    <s v="הנהלה כללית"/>
    <x v="21"/>
    <s v="מינהל כללי"/>
    <x v="68"/>
    <s v="תכנון ומחקר"/>
    <s v="6181"/>
    <e v="#N/A"/>
    <m/>
    <s v="7"/>
    <x v="13"/>
    <s v="78"/>
    <s v="הוצאות שונות"/>
    <s v="782"/>
    <e v="#N/A"/>
  </r>
  <r>
    <n v="932"/>
    <s v="61810"/>
    <n v="1"/>
    <s v="161810.932"/>
    <s v="ציוד ורהוט משרדי                "/>
    <m/>
    <m/>
    <n v="4000"/>
    <n v="3000"/>
    <n v="2976"/>
    <e v="#N/A"/>
    <x v="5"/>
    <s v="הנהלה כללית"/>
    <x v="21"/>
    <s v="מינהל כללי"/>
    <x v="68"/>
    <s v="תכנון ומחקר"/>
    <s v="6181"/>
    <e v="#N/A"/>
    <m/>
    <s v="9"/>
    <x v="17"/>
    <s v="93"/>
    <s v="רכישת ציוד יסודי"/>
    <s v="932"/>
    <e v="#N/A"/>
  </r>
  <r>
    <n v="110"/>
    <s v="61820"/>
    <n v="1"/>
    <s v="161820.110"/>
    <s v="משכורת כוללת                    "/>
    <m/>
    <m/>
    <n v="1438000"/>
    <n v="1497000"/>
    <n v="1368601"/>
    <e v="#N/A"/>
    <x v="5"/>
    <s v="הנהלה כללית"/>
    <x v="21"/>
    <s v="מינהל כללי"/>
    <x v="68"/>
    <s v="תכנון ומחקר"/>
    <s v="6182"/>
    <e v="#N/A"/>
    <m/>
    <s v="1"/>
    <x v="9"/>
    <s v="11"/>
    <s v="השכר הקובע"/>
    <s v="110"/>
    <e v="#N/A"/>
  </r>
  <r>
    <n v="124"/>
    <s v="61820"/>
    <n v="1"/>
    <s v="161820.124"/>
    <s v="החזר הוצאות                     "/>
    <m/>
    <m/>
    <n v="98000"/>
    <n v="108000"/>
    <n v="111940"/>
    <e v="#N/A"/>
    <x v="5"/>
    <s v="הנהלה כללית"/>
    <x v="21"/>
    <s v="מינהל כללי"/>
    <x v="68"/>
    <s v="תכנון ומחקר"/>
    <s v="6182"/>
    <e v="#N/A"/>
    <m/>
    <s v="1"/>
    <x v="9"/>
    <s v="12"/>
    <s v="תוספות שאינן נכללות בשכר הקובע"/>
    <s v="124"/>
    <e v="#N/A"/>
  </r>
  <r>
    <n v="126"/>
    <s v="61820"/>
    <n v="1"/>
    <s v="161820.126"/>
    <s v="הבראה                           "/>
    <m/>
    <m/>
    <n v="65000"/>
    <n v="64000"/>
    <n v="60328"/>
    <e v="#N/A"/>
    <x v="5"/>
    <s v="הנהלה כללית"/>
    <x v="21"/>
    <s v="מינהל כללי"/>
    <x v="68"/>
    <s v="תכנון ומחקר"/>
    <s v="6182"/>
    <e v="#N/A"/>
    <m/>
    <s v="1"/>
    <x v="9"/>
    <s v="12"/>
    <s v="תוספות שאינן נכללות בשכר הקובע"/>
    <s v="126"/>
    <e v="#N/A"/>
  </r>
  <r>
    <n v="127"/>
    <s v="61820"/>
    <n v="1"/>
    <s v="161820.127"/>
    <s v="השתתפות באחזקת רכב - 11         "/>
    <m/>
    <m/>
    <n v="278000"/>
    <n v="312000"/>
    <n v="277083"/>
    <e v="#N/A"/>
    <x v="5"/>
    <s v="הנהלה כללית"/>
    <x v="21"/>
    <s v="מינהל כללי"/>
    <x v="68"/>
    <s v="תכנון ומחקר"/>
    <s v="6182"/>
    <e v="#N/A"/>
    <m/>
    <s v="1"/>
    <x v="9"/>
    <s v="12"/>
    <s v="תוספות שאינן נכללות בשכר הקובע"/>
    <s v="127"/>
    <e v="#N/A"/>
  </r>
  <r>
    <n v="130"/>
    <s v="61820"/>
    <n v="1"/>
    <s v="161820.130"/>
    <s v="תשלומים מיוחדים                 "/>
    <m/>
    <m/>
    <n v="87000"/>
    <n v="92000"/>
    <n v="85504"/>
    <e v="#N/A"/>
    <x v="5"/>
    <s v="הנהלה כללית"/>
    <x v="21"/>
    <s v="מינהל כללי"/>
    <x v="68"/>
    <s v="תכנון ומחקר"/>
    <s v="6182"/>
    <e v="#N/A"/>
    <m/>
    <s v="1"/>
    <x v="9"/>
    <s v="13"/>
    <s v="שעות נוספות"/>
    <s v="130"/>
    <e v="#N/A"/>
  </r>
  <r>
    <n v="181"/>
    <s v="61820"/>
    <n v="1"/>
    <s v="161820.181"/>
    <s v="מיסים וביטוח לאומי              "/>
    <m/>
    <m/>
    <n v="270000"/>
    <n v="301000"/>
    <n v="280917"/>
    <e v="#N/A"/>
    <x v="5"/>
    <s v="הנהלה כללית"/>
    <x v="21"/>
    <s v="מינהל כללי"/>
    <x v="68"/>
    <s v="תכנון ומחקר"/>
    <s v="6182"/>
    <e v="#N/A"/>
    <m/>
    <s v="1"/>
    <x v="9"/>
    <s v="18"/>
    <s v="נלוות לשכר"/>
    <s v="181"/>
    <s v="הפרשות סוציאליות"/>
  </r>
  <r>
    <n v="182"/>
    <s v="61820"/>
    <n v="1"/>
    <s v="161820.182"/>
    <s v="קופות גמל והשתלמות              "/>
    <m/>
    <m/>
    <n v="422000"/>
    <n v="397000"/>
    <n v="380628"/>
    <e v="#N/A"/>
    <x v="5"/>
    <s v="הנהלה כללית"/>
    <x v="21"/>
    <s v="מינהל כללי"/>
    <x v="68"/>
    <s v="תכנון ומחקר"/>
    <s v="6182"/>
    <e v="#N/A"/>
    <m/>
    <s v="1"/>
    <x v="9"/>
    <s v="18"/>
    <s v="נלוות לשכר"/>
    <s v="182"/>
    <s v="מיסיום ועלויות"/>
  </r>
  <r>
    <n v="230"/>
    <s v="61820"/>
    <n v="1"/>
    <s v="161820.230"/>
    <s v="משימות חולפות - 1.2             "/>
    <m/>
    <m/>
    <n v="66000"/>
    <n v="198000"/>
    <n v="172188"/>
    <e v="#N/A"/>
    <x v="5"/>
    <s v="הנהלה כללית"/>
    <x v="21"/>
    <s v="מינהל כללי"/>
    <x v="68"/>
    <s v="תכנון ומחקר"/>
    <s v="6182"/>
    <e v="#N/A"/>
    <m/>
    <s v="2"/>
    <x v="10"/>
    <s v="23"/>
    <s v="שעות נוספות"/>
    <s v="230"/>
    <e v="#N/A"/>
  </r>
  <r>
    <n v="250"/>
    <s v="61820"/>
    <n v="1"/>
    <s v="161820.250"/>
    <s v="עובדים יומיים - 2.1             "/>
    <m/>
    <m/>
    <n v="255000"/>
    <n v="121000"/>
    <n v="155960"/>
    <e v="#N/A"/>
    <x v="5"/>
    <s v="הנהלה כללית"/>
    <x v="21"/>
    <s v="מינהל כללי"/>
    <x v="68"/>
    <s v="תכנון ומחקר"/>
    <s v="6182"/>
    <e v="#N/A"/>
    <m/>
    <s v="2"/>
    <x v="10"/>
    <s v="25"/>
    <e v="#N/A"/>
    <s v="250"/>
    <e v="#N/A"/>
  </r>
  <r>
    <n v="310"/>
    <s v="61820"/>
    <n v="1"/>
    <s v="161820.310"/>
    <s v="שעות נוספות רשומות              "/>
    <m/>
    <m/>
    <n v="31000"/>
    <n v="30000"/>
    <n v="26313"/>
    <e v="#N/A"/>
    <x v="5"/>
    <s v="הנהלה כללית"/>
    <x v="21"/>
    <s v="מינהל כללי"/>
    <x v="68"/>
    <s v="תכנון ומחקר"/>
    <s v="6182"/>
    <e v="#N/A"/>
    <m/>
    <s v="3"/>
    <x v="14"/>
    <s v="31"/>
    <s v="פנסיה"/>
    <s v="310"/>
    <e v="#N/A"/>
  </r>
  <r>
    <n v="433"/>
    <s v="61820"/>
    <n v="1"/>
    <s v="161820.433"/>
    <s v="ביטוח                           "/>
    <m/>
    <m/>
    <n v="33000"/>
    <n v="33000"/>
    <n v="38000"/>
    <e v="#N/A"/>
    <x v="5"/>
    <s v="הנהלה כללית"/>
    <x v="21"/>
    <s v="מינהל כללי"/>
    <x v="68"/>
    <s v="תכנון ומחקר"/>
    <s v="6182"/>
    <e v="#N/A"/>
    <m/>
    <s v="4"/>
    <x v="15"/>
    <s v="43"/>
    <s v="חשמל, מים וחומרי ניקיון"/>
    <s v="433"/>
    <s v="חומרי ניקיון"/>
  </r>
  <r>
    <n v="434"/>
    <s v="61820"/>
    <n v="1"/>
    <s v="161820.434"/>
    <s v="תקוני מבנים  מתקנים ואינונטר    "/>
    <m/>
    <m/>
    <n v="5000"/>
    <n v="6000"/>
    <n v="5194"/>
    <e v="#N/A"/>
    <x v="5"/>
    <s v="הנהלה כללית"/>
    <x v="21"/>
    <s v="מינהל כללי"/>
    <x v="68"/>
    <s v="תכנון ומחקר"/>
    <s v="6182"/>
    <e v="#N/A"/>
    <m/>
    <s v="4"/>
    <x v="15"/>
    <s v="43"/>
    <s v="חשמל, מים וחומרי ניקיון"/>
    <s v="434"/>
    <s v="שירותי ניקיון"/>
  </r>
  <r>
    <n v="439"/>
    <s v="61820"/>
    <n v="1"/>
    <s v="161820.439"/>
    <s v="אחזקת בניני העיריה-השתתפות      "/>
    <m/>
    <m/>
    <n v="666000"/>
    <n v="657000"/>
    <n v="610000"/>
    <e v="#N/A"/>
    <x v="5"/>
    <s v="הנהלה כללית"/>
    <x v="21"/>
    <s v="מינהל כללי"/>
    <x v="68"/>
    <s v="תכנון ומחקר"/>
    <s v="6182"/>
    <e v="#N/A"/>
    <m/>
    <s v="4"/>
    <x v="15"/>
    <s v="43"/>
    <s v="חשמל, מים וחומרי ניקיון"/>
    <s v="439"/>
    <e v="#N/A"/>
  </r>
  <r>
    <n v="461"/>
    <s v="61820"/>
    <n v="1"/>
    <s v="161820.461"/>
    <s v="צורכי משרד                      "/>
    <m/>
    <m/>
    <n v="9000"/>
    <n v="12000"/>
    <n v="5759"/>
    <e v="#N/A"/>
    <x v="5"/>
    <s v="הנהלה כללית"/>
    <x v="21"/>
    <s v="מינהל כללי"/>
    <x v="68"/>
    <s v="תכנון ומחקר"/>
    <s v="6182"/>
    <e v="#N/A"/>
    <m/>
    <s v="4"/>
    <x v="15"/>
    <s v="46"/>
    <e v="#N/A"/>
    <s v="461"/>
    <e v="#N/A"/>
  </r>
  <r>
    <n v="462"/>
    <s v="61820"/>
    <n v="1"/>
    <s v="161820.462"/>
    <s v="ספרים ועתונים                   "/>
    <m/>
    <m/>
    <n v="2000"/>
    <n v="3000"/>
    <n v="1634"/>
    <e v="#N/A"/>
    <x v="5"/>
    <s v="הנהלה כללית"/>
    <x v="21"/>
    <s v="מינהל כללי"/>
    <x v="68"/>
    <s v="תכנון ומחקר"/>
    <s v="6182"/>
    <e v="#N/A"/>
    <m/>
    <s v="4"/>
    <x v="15"/>
    <s v="46"/>
    <e v="#N/A"/>
    <s v="462"/>
    <e v="#N/A"/>
  </r>
  <r>
    <n v="464"/>
    <s v="61820"/>
    <n v="1"/>
    <s v="161820.464"/>
    <s v="דואר                            "/>
    <m/>
    <m/>
    <n v="1000"/>
    <n v="0"/>
    <n v="0"/>
    <e v="#N/A"/>
    <x v="5"/>
    <s v="הנהלה כללית"/>
    <x v="21"/>
    <s v="מינהל כללי"/>
    <x v="68"/>
    <s v="תכנון ומחקר"/>
    <s v="6182"/>
    <e v="#N/A"/>
    <m/>
    <s v="4"/>
    <x v="15"/>
    <s v="46"/>
    <e v="#N/A"/>
    <s v="464"/>
    <e v="#N/A"/>
  </r>
  <r>
    <n v="510"/>
    <s v="61820"/>
    <n v="1"/>
    <s v="161820.510"/>
    <s v="נסיעות  ואש ל                   "/>
    <m/>
    <m/>
    <n v="2000"/>
    <n v="2000"/>
    <n v="1305"/>
    <e v="#N/A"/>
    <x v="5"/>
    <s v="הנהלה כללית"/>
    <x v="21"/>
    <s v="מינהל כללי"/>
    <x v="68"/>
    <s v="תכנון ומחקר"/>
    <s v="6182"/>
    <e v="#N/A"/>
    <m/>
    <s v="5"/>
    <x v="11"/>
    <s v="51"/>
    <s v="אש&quot;ל וכיבודים"/>
    <s v="510"/>
    <e v="#N/A"/>
  </r>
  <r>
    <n v="521"/>
    <s v="61820"/>
    <n v="1"/>
    <s v="161820.521"/>
    <s v="הדרכה וכנסים                    "/>
    <m/>
    <m/>
    <n v="6000"/>
    <n v="6000"/>
    <n v="4999"/>
    <e v="#N/A"/>
    <x v="5"/>
    <s v="הנהלה כללית"/>
    <x v="21"/>
    <s v="מינהל כללי"/>
    <x v="68"/>
    <s v="תכנון ומחקר"/>
    <s v="6182"/>
    <e v="#N/A"/>
    <m/>
    <s v="5"/>
    <x v="11"/>
    <s v="52"/>
    <s v="השתלמויות וספרות מקצועית"/>
    <s v="521"/>
    <s v="השתלמויות וספרות מקצועית"/>
  </r>
  <r>
    <n v="531"/>
    <s v="61820"/>
    <n v="1"/>
    <s v="161820.531"/>
    <s v="אחזקת רכב                       "/>
    <m/>
    <m/>
    <n v="2000"/>
    <n v="2000"/>
    <n v="948"/>
    <e v="#N/A"/>
    <x v="5"/>
    <s v="הנהלה כללית"/>
    <x v="21"/>
    <s v="מינהל כללי"/>
    <x v="68"/>
    <s v="תכנון ומחקר"/>
    <s v="6182"/>
    <e v="#N/A"/>
    <m/>
    <s v="5"/>
    <x v="11"/>
    <s v="53"/>
    <s v="הוצאות רכב מינהלי"/>
    <s v="531"/>
    <s v="דלק ושמנים"/>
  </r>
  <r>
    <n v="533"/>
    <s v="61820"/>
    <n v="1"/>
    <s v="161820.533"/>
    <s v="שכירת רכב ורכב עירוני           "/>
    <m/>
    <m/>
    <n v="37000"/>
    <n v="37000"/>
    <n v="34012"/>
    <e v="#N/A"/>
    <x v="5"/>
    <s v="הנהלה כללית"/>
    <x v="21"/>
    <s v="מינהל כללי"/>
    <x v="68"/>
    <s v="תכנון ומחקר"/>
    <s v="6182"/>
    <e v="#N/A"/>
    <m/>
    <s v="5"/>
    <x v="11"/>
    <s v="53"/>
    <s v="הוצאות רכב מינהלי"/>
    <s v="533"/>
    <s v="רישוי וביטוח"/>
  </r>
  <r>
    <n v="534"/>
    <s v="61820"/>
    <n v="1"/>
    <s v="161820.534"/>
    <s v="דלק ושמן                        "/>
    <m/>
    <m/>
    <n v="23000"/>
    <n v="28000"/>
    <n v="29631"/>
    <e v="#N/A"/>
    <x v="5"/>
    <s v="הנהלה כללית"/>
    <x v="21"/>
    <s v="מינהל כללי"/>
    <x v="68"/>
    <s v="תכנון ומחקר"/>
    <s v="6182"/>
    <e v="#N/A"/>
    <m/>
    <s v="5"/>
    <x v="11"/>
    <s v="53"/>
    <s v="הוצאות רכב מינהלי"/>
    <s v="534"/>
    <e v="#N/A"/>
  </r>
  <r>
    <n v="541"/>
    <s v="61820"/>
    <n v="1"/>
    <s v="161820.541"/>
    <s v="החזקת מכשירי קשר וסלולר         "/>
    <m/>
    <m/>
    <n v="8000"/>
    <n v="8000"/>
    <n v="9494"/>
    <e v="#N/A"/>
    <x v="5"/>
    <s v="הנהלה כללית"/>
    <x v="21"/>
    <s v="מינהל כללי"/>
    <x v="68"/>
    <s v="תכנון ומחקר"/>
    <s v="6182"/>
    <e v="#N/A"/>
    <m/>
    <s v="5"/>
    <x v="11"/>
    <s v="54"/>
    <s v="הוצאות תקשורת"/>
    <s v="541"/>
    <e v="#N/A"/>
  </r>
  <r>
    <n v="610"/>
    <s v="61820"/>
    <n v="1"/>
    <s v="161820.610"/>
    <s v="כיבודים                         "/>
    <m/>
    <m/>
    <n v="7000"/>
    <n v="7000"/>
    <n v="6180"/>
    <e v="#N/A"/>
    <x v="5"/>
    <s v="הנהלה כללית"/>
    <x v="21"/>
    <s v="מינהל כללי"/>
    <x v="68"/>
    <s v="תכנון ומחקר"/>
    <s v="6182"/>
    <e v="#N/A"/>
    <m/>
    <s v="6"/>
    <x v="12"/>
    <s v="61"/>
    <s v="עמלות"/>
    <s v="610"/>
    <e v="#N/A"/>
  </r>
  <r>
    <n v="670"/>
    <s v="61820"/>
    <n v="1"/>
    <s v="161820.670"/>
    <s v="סעיף שאינו חוזר                 "/>
    <m/>
    <m/>
    <n v="0"/>
    <n v="11000"/>
    <n v="7635"/>
    <e v="#N/A"/>
    <x v="5"/>
    <s v="הנהלה כללית"/>
    <x v="21"/>
    <s v="מינהל כללי"/>
    <x v="68"/>
    <s v="תכנון ומחקר"/>
    <s v="6182"/>
    <e v="#N/A"/>
    <m/>
    <s v="6"/>
    <x v="12"/>
    <s v="67"/>
    <e v="#N/A"/>
    <s v="670"/>
    <e v="#N/A"/>
  </r>
  <r>
    <n v="680"/>
    <s v="61820"/>
    <n v="1"/>
    <s v="161820.680"/>
    <s v="הוצאות מיוחדות                  "/>
    <m/>
    <m/>
    <n v="1000"/>
    <n v="2000"/>
    <n v="1343"/>
    <e v="#N/A"/>
    <x v="5"/>
    <s v="הנהלה כללית"/>
    <x v="21"/>
    <s v="מינהל כללי"/>
    <x v="68"/>
    <s v="תכנון ומחקר"/>
    <s v="6182"/>
    <e v="#N/A"/>
    <m/>
    <s v="6"/>
    <x v="12"/>
    <s v="68"/>
    <s v="ריבית על הוצאות אחרות"/>
    <s v="680"/>
    <e v="#N/A"/>
  </r>
  <r>
    <n v="691"/>
    <s v="61820"/>
    <n v="1"/>
    <s v="161820.691"/>
    <s v="מערכות מידע ומחשוב              "/>
    <m/>
    <m/>
    <n v="400000"/>
    <n v="350000"/>
    <n v="315422"/>
    <e v="#N/A"/>
    <x v="5"/>
    <s v="הנהלה כללית"/>
    <x v="21"/>
    <s v="מינהל כללי"/>
    <x v="68"/>
    <s v="תכנון ומחקר"/>
    <s v="6182"/>
    <e v="#N/A"/>
    <m/>
    <s v="6"/>
    <x v="12"/>
    <s v="69"/>
    <s v="שונות"/>
    <s v="691"/>
    <s v="תשלום ע&quot;ח קרן"/>
  </r>
  <r>
    <n v="693"/>
    <s v="61820"/>
    <n v="1"/>
    <s v="161820.693"/>
    <s v="מיחשוב יחידתי                   "/>
    <m/>
    <m/>
    <n v="11000"/>
    <n v="11000"/>
    <n v="10554"/>
    <e v="#N/A"/>
    <x v="5"/>
    <s v="הנהלה כללית"/>
    <x v="21"/>
    <s v="מינהל כללי"/>
    <x v="68"/>
    <s v="תכנון ומחקר"/>
    <s v="6182"/>
    <e v="#N/A"/>
    <m/>
    <s v="6"/>
    <x v="12"/>
    <s v="69"/>
    <s v="שונות"/>
    <s v="693"/>
    <s v="תשלום ע&quot;ח הצמדת ערך"/>
  </r>
  <r>
    <n v="752"/>
    <s v="61820"/>
    <n v="1"/>
    <s v="161820.752"/>
    <s v="עיבודים מהלשכה המרכזית לסטטיסטיק"/>
    <m/>
    <m/>
    <n v="62000"/>
    <n v="72000"/>
    <n v="49275"/>
    <e v="#N/A"/>
    <x v="5"/>
    <s v="הנהלה כללית"/>
    <x v="21"/>
    <s v="מינהל כללי"/>
    <x v="68"/>
    <s v="תכנון ומחקר"/>
    <s v="6182"/>
    <e v="#N/A"/>
    <m/>
    <s v="7"/>
    <x v="13"/>
    <s v="75"/>
    <s v="עבודות קבלניות"/>
    <s v="752"/>
    <e v="#N/A"/>
  </r>
  <r>
    <n v="753"/>
    <s v="61820"/>
    <n v="1"/>
    <s v="161820.753"/>
    <s v="עבודות ע ח גורמי חוץ            "/>
    <m/>
    <m/>
    <n v="100000"/>
    <n v="100000"/>
    <n v="0"/>
    <e v="#N/A"/>
    <x v="5"/>
    <s v="הנהלה כללית"/>
    <x v="21"/>
    <s v="מינהל כללי"/>
    <x v="68"/>
    <s v="תכנון ומחקר"/>
    <s v="6182"/>
    <e v="#N/A"/>
    <m/>
    <s v="7"/>
    <x v="13"/>
    <s v="75"/>
    <s v="עבודות קבלניות"/>
    <s v="753"/>
    <e v="#N/A"/>
  </r>
  <r>
    <n v="753"/>
    <s v="61820"/>
    <n v="1"/>
    <s v="161820.753"/>
    <s v="הוצאות מוחזרות מגורמי חוץ       "/>
    <m/>
    <m/>
    <n v="-100000"/>
    <n v="-100000"/>
    <n v="0"/>
    <e v="#N/A"/>
    <x v="5"/>
    <s v="הנהלה כללית"/>
    <x v="21"/>
    <s v="מינהל כללי"/>
    <x v="68"/>
    <s v="תכנון ומחקר"/>
    <s v="6182"/>
    <e v="#N/A"/>
    <m/>
    <s v="7"/>
    <x v="13"/>
    <s v="75"/>
    <s v="עבודות קבלניות"/>
    <s v="753"/>
    <e v="#N/A"/>
  </r>
  <r>
    <n v="756"/>
    <s v="61820"/>
    <n v="1"/>
    <s v="161820.756"/>
    <s v="השנתון הסטטיסטי                 "/>
    <m/>
    <m/>
    <n v="19000"/>
    <n v="19000"/>
    <n v="16850"/>
    <e v="#N/A"/>
    <x v="5"/>
    <s v="הנהלה כללית"/>
    <x v="21"/>
    <s v="מינהל כללי"/>
    <x v="68"/>
    <s v="תכנון ומחקר"/>
    <s v="6182"/>
    <e v="#N/A"/>
    <m/>
    <s v="7"/>
    <x v="13"/>
    <s v="75"/>
    <s v="עבודות קבלניות"/>
    <s v="756"/>
    <e v="#N/A"/>
  </r>
  <r>
    <n v="783"/>
    <s v="61820"/>
    <n v="1"/>
    <s v="161820.783"/>
    <s v="פרויקטים מיוחדים ופעולות סיקור  "/>
    <m/>
    <m/>
    <n v="30000"/>
    <n v="147000"/>
    <n v="263462"/>
    <e v="#N/A"/>
    <x v="5"/>
    <s v="הנהלה כללית"/>
    <x v="21"/>
    <s v="מינהל כללי"/>
    <x v="68"/>
    <s v="תכנון ומחקר"/>
    <s v="6182"/>
    <e v="#N/A"/>
    <m/>
    <s v="7"/>
    <x v="13"/>
    <s v="78"/>
    <s v="הוצאות שונות"/>
    <s v="783"/>
    <e v="#N/A"/>
  </r>
  <r>
    <n v="932"/>
    <s v="61820"/>
    <n v="1"/>
    <s v="161820.932"/>
    <s v="ציוד ורהוט משרדי                "/>
    <m/>
    <m/>
    <n v="6000"/>
    <n v="7000"/>
    <n v="4870"/>
    <e v="#N/A"/>
    <x v="5"/>
    <s v="הנהלה כללית"/>
    <x v="21"/>
    <s v="מינהל כללי"/>
    <x v="68"/>
    <s v="תכנון ומחקר"/>
    <s v="6182"/>
    <e v="#N/A"/>
    <m/>
    <s v="9"/>
    <x v="17"/>
    <s v="93"/>
    <s v="רכישת ציוד יסודי"/>
    <s v="932"/>
    <e v="#N/A"/>
  </r>
  <r>
    <n v="110"/>
    <s v="62110"/>
    <n v="1"/>
    <s v="162110.110"/>
    <s v="משכורת כוללת                    "/>
    <m/>
    <m/>
    <n v="3314000"/>
    <n v="3126000"/>
    <n v="2681185"/>
    <e v="#N/A"/>
    <x v="5"/>
    <s v="הנהלה כללית"/>
    <x v="22"/>
    <s v="מינהל כספי"/>
    <x v="69"/>
    <s v="הגזברות"/>
    <s v="6211"/>
    <s v="הנהלת הגזברות"/>
    <m/>
    <s v="1"/>
    <x v="9"/>
    <s v="11"/>
    <s v="השכר הקובע"/>
    <s v="110"/>
    <e v="#N/A"/>
  </r>
  <r>
    <n v="124"/>
    <s v="62110"/>
    <n v="1"/>
    <s v="162110.124"/>
    <s v="החזר הוצאות                     "/>
    <m/>
    <m/>
    <n v="136000"/>
    <n v="122000"/>
    <n v="103929"/>
    <e v="#N/A"/>
    <x v="5"/>
    <s v="הנהלה כללית"/>
    <x v="22"/>
    <s v="מינהל כספי"/>
    <x v="69"/>
    <s v="הגזברות"/>
    <s v="6211"/>
    <s v="הנהלת הגזברות"/>
    <m/>
    <s v="1"/>
    <x v="9"/>
    <s v="12"/>
    <s v="תוספות שאינן נכללות בשכר הקובע"/>
    <s v="124"/>
    <e v="#N/A"/>
  </r>
  <r>
    <n v="126"/>
    <s v="62110"/>
    <n v="1"/>
    <s v="162110.126"/>
    <s v="הבראה                           "/>
    <m/>
    <m/>
    <n v="107000"/>
    <n v="105000"/>
    <n v="90680"/>
    <e v="#N/A"/>
    <x v="5"/>
    <s v="הנהלה כללית"/>
    <x v="22"/>
    <s v="מינהל כספי"/>
    <x v="69"/>
    <s v="הגזברות"/>
    <s v="6211"/>
    <s v="הנהלת הגזברות"/>
    <m/>
    <s v="1"/>
    <x v="9"/>
    <s v="12"/>
    <s v="תוספות שאינן נכללות בשכר הקובע"/>
    <s v="126"/>
    <e v="#N/A"/>
  </r>
  <r>
    <n v="127"/>
    <s v="62110"/>
    <n v="1"/>
    <s v="162110.127"/>
    <s v="השתתפות באחזקת רכב - 17         "/>
    <m/>
    <m/>
    <n v="508000"/>
    <n v="468000"/>
    <n v="386830"/>
    <e v="#N/A"/>
    <x v="5"/>
    <s v="הנהלה כללית"/>
    <x v="22"/>
    <s v="מינהל כספי"/>
    <x v="69"/>
    <s v="הגזברות"/>
    <s v="6211"/>
    <s v="הנהלת הגזברות"/>
    <m/>
    <s v="1"/>
    <x v="9"/>
    <s v="12"/>
    <s v="תוספות שאינן נכללות בשכר הקובע"/>
    <s v="127"/>
    <e v="#N/A"/>
  </r>
  <r>
    <n v="130"/>
    <s v="62110"/>
    <n v="1"/>
    <s v="162110.130"/>
    <s v="תשלומים מיוחדים                 "/>
    <m/>
    <m/>
    <n v="267000"/>
    <n v="282000"/>
    <n v="244896"/>
    <e v="#N/A"/>
    <x v="5"/>
    <s v="הנהלה כללית"/>
    <x v="22"/>
    <s v="מינהל כספי"/>
    <x v="69"/>
    <s v="הגזברות"/>
    <s v="6211"/>
    <s v="הנהלת הגזברות"/>
    <m/>
    <s v="1"/>
    <x v="9"/>
    <s v="13"/>
    <s v="שעות נוספות"/>
    <s v="130"/>
    <e v="#N/A"/>
  </r>
  <r>
    <n v="181"/>
    <s v="62110"/>
    <n v="1"/>
    <s v="162110.181"/>
    <s v="מיסים וביטוח לאומי              "/>
    <m/>
    <m/>
    <n v="591000"/>
    <n v="557000"/>
    <n v="487896"/>
    <e v="#N/A"/>
    <x v="5"/>
    <s v="הנהלה כללית"/>
    <x v="22"/>
    <s v="מינהל כספי"/>
    <x v="69"/>
    <s v="הגזברות"/>
    <s v="6211"/>
    <s v="הנהלת הגזברות"/>
    <m/>
    <s v="1"/>
    <x v="9"/>
    <s v="18"/>
    <s v="נלוות לשכר"/>
    <s v="181"/>
    <s v="הפרשות סוציאליות"/>
  </r>
  <r>
    <n v="182"/>
    <s v="62110"/>
    <n v="1"/>
    <s v="162110.182"/>
    <s v="קופות גמל והשתלמות              "/>
    <m/>
    <m/>
    <n v="656000"/>
    <n v="651000"/>
    <n v="542198"/>
    <e v="#N/A"/>
    <x v="5"/>
    <s v="הנהלה כללית"/>
    <x v="22"/>
    <s v="מינהל כספי"/>
    <x v="69"/>
    <s v="הגזברות"/>
    <s v="6211"/>
    <s v="הנהלת הגזברות"/>
    <m/>
    <s v="1"/>
    <x v="9"/>
    <s v="18"/>
    <s v="נלוות לשכר"/>
    <s v="182"/>
    <s v="מיסיום ועלויות"/>
  </r>
  <r>
    <n v="310"/>
    <s v="62110"/>
    <n v="1"/>
    <s v="162110.310"/>
    <s v="שעות נוספות רשומות              "/>
    <m/>
    <m/>
    <n v="141000"/>
    <n v="118000"/>
    <n v="118377"/>
    <e v="#N/A"/>
    <x v="5"/>
    <s v="הנהלה כללית"/>
    <x v="22"/>
    <s v="מינהל כספי"/>
    <x v="69"/>
    <s v="הגזברות"/>
    <s v="6211"/>
    <s v="הנהלת הגזברות"/>
    <m/>
    <s v="3"/>
    <x v="14"/>
    <s v="31"/>
    <s v="פנסיה"/>
    <s v="310"/>
    <e v="#N/A"/>
  </r>
  <r>
    <n v="340"/>
    <s v="62110"/>
    <n v="1"/>
    <s v="162110.340"/>
    <s v="שעות נוספות מיוחדות             "/>
    <m/>
    <m/>
    <n v="48000"/>
    <n v="32000"/>
    <n v="43822"/>
    <e v="#N/A"/>
    <x v="5"/>
    <s v="הנהלה כללית"/>
    <x v="22"/>
    <s v="מינהל כספי"/>
    <x v="69"/>
    <s v="הגזברות"/>
    <s v="6211"/>
    <s v="הנהלת הגזברות"/>
    <m/>
    <s v="3"/>
    <x v="14"/>
    <s v="34"/>
    <e v="#N/A"/>
    <s v="340"/>
    <e v="#N/A"/>
  </r>
  <r>
    <n v="433"/>
    <s v="62110"/>
    <n v="1"/>
    <s v="162110.433"/>
    <s v="ביטוח                           "/>
    <m/>
    <m/>
    <n v="93000"/>
    <n v="88000"/>
    <n v="79000"/>
    <e v="#N/A"/>
    <x v="5"/>
    <s v="הנהלה כללית"/>
    <x v="22"/>
    <s v="מינהל כספי"/>
    <x v="69"/>
    <s v="הגזברות"/>
    <s v="6211"/>
    <s v="הנהלת הגזברות"/>
    <m/>
    <s v="4"/>
    <x v="15"/>
    <s v="43"/>
    <s v="חשמל, מים וחומרי ניקיון"/>
    <s v="433"/>
    <s v="חומרי ניקיון"/>
  </r>
  <r>
    <n v="434"/>
    <s v="62110"/>
    <n v="1"/>
    <s v="162110.434"/>
    <s v="תיקוני מבנים  מתקנים ואינוונטר  "/>
    <m/>
    <m/>
    <n v="10000"/>
    <n v="10000"/>
    <n v="3092"/>
    <e v="#N/A"/>
    <x v="5"/>
    <s v="הנהלה כללית"/>
    <x v="22"/>
    <s v="מינהל כספי"/>
    <x v="69"/>
    <s v="הגזברות"/>
    <s v="6211"/>
    <s v="הנהלת הגזברות"/>
    <m/>
    <s v="4"/>
    <x v="15"/>
    <s v="43"/>
    <s v="חשמל, מים וחומרי ניקיון"/>
    <s v="434"/>
    <s v="שירותי ניקיון"/>
  </r>
  <r>
    <n v="439"/>
    <s v="62110"/>
    <n v="1"/>
    <s v="162110.439"/>
    <s v="אחזקת בניני העיריה-השתתפות      "/>
    <m/>
    <m/>
    <n v="1074000"/>
    <n v="516000"/>
    <n v="530000"/>
    <e v="#N/A"/>
    <x v="5"/>
    <s v="הנהלה כללית"/>
    <x v="22"/>
    <s v="מינהל כספי"/>
    <x v="69"/>
    <s v="הגזברות"/>
    <s v="6211"/>
    <s v="הנהלת הגזברות"/>
    <m/>
    <s v="4"/>
    <x v="15"/>
    <s v="43"/>
    <s v="חשמל, מים וחומרי ניקיון"/>
    <s v="439"/>
    <e v="#N/A"/>
  </r>
  <r>
    <n v="461"/>
    <s v="62110"/>
    <n v="1"/>
    <s v="162110.461"/>
    <s v="צורכי משרד                      "/>
    <m/>
    <m/>
    <n v="108000"/>
    <n v="110000"/>
    <n v="70493"/>
    <e v="#N/A"/>
    <x v="5"/>
    <s v="הנהלה כללית"/>
    <x v="22"/>
    <s v="מינהל כספי"/>
    <x v="69"/>
    <s v="הגזברות"/>
    <s v="6211"/>
    <s v="הנהלת הגזברות"/>
    <m/>
    <s v="4"/>
    <x v="15"/>
    <s v="46"/>
    <e v="#N/A"/>
    <s v="461"/>
    <e v="#N/A"/>
  </r>
  <r>
    <n v="462"/>
    <s v="62110"/>
    <n v="1"/>
    <s v="162110.462"/>
    <s v="ספרים ועיתונים                  "/>
    <m/>
    <m/>
    <n v="22000"/>
    <n v="22000"/>
    <n v="13049"/>
    <e v="#N/A"/>
    <x v="5"/>
    <s v="הנהלה כללית"/>
    <x v="22"/>
    <s v="מינהל כספי"/>
    <x v="69"/>
    <s v="הגזברות"/>
    <s v="6211"/>
    <s v="הנהלת הגזברות"/>
    <m/>
    <s v="4"/>
    <x v="15"/>
    <s v="46"/>
    <e v="#N/A"/>
    <s v="462"/>
    <e v="#N/A"/>
  </r>
  <r>
    <n v="521"/>
    <s v="62110"/>
    <n v="1"/>
    <s v="162110.521"/>
    <s v="הדרכה וכנסים                    "/>
    <m/>
    <m/>
    <n v="485000"/>
    <n v="485000"/>
    <n v="319466"/>
    <e v="#N/A"/>
    <x v="5"/>
    <s v="הנהלה כללית"/>
    <x v="22"/>
    <s v="מינהל כספי"/>
    <x v="69"/>
    <s v="הגזברות"/>
    <s v="6211"/>
    <s v="הנהלת הגזברות"/>
    <m/>
    <s v="5"/>
    <x v="11"/>
    <s v="52"/>
    <s v="השתלמויות וספרות מקצועית"/>
    <s v="521"/>
    <s v="השתלמויות וספרות מקצועית"/>
  </r>
  <r>
    <n v="522"/>
    <s v="62110"/>
    <n v="1"/>
    <s v="162110.522"/>
    <s v="גיבוש יחידתי                    "/>
    <m/>
    <m/>
    <n v="6000"/>
    <n v="5000"/>
    <n v="6779"/>
    <e v="#N/A"/>
    <x v="5"/>
    <s v="הנהלה כללית"/>
    <x v="22"/>
    <s v="מינהל כספי"/>
    <x v="69"/>
    <s v="הגזברות"/>
    <s v="6211"/>
    <s v="הנהלת הגזברות"/>
    <m/>
    <s v="5"/>
    <x v="11"/>
    <s v="52"/>
    <s v="השתלמויות וספרות מקצועית"/>
    <s v="522"/>
    <s v="ספרות מקצועית ועיתונות"/>
  </r>
  <r>
    <n v="531"/>
    <s v="62110"/>
    <n v="1"/>
    <s v="162110.531"/>
    <s v="אחזקת רכב                       "/>
    <m/>
    <m/>
    <n v="9000"/>
    <n v="9000"/>
    <n v="855"/>
    <e v="#N/A"/>
    <x v="5"/>
    <s v="הנהלה כללית"/>
    <x v="22"/>
    <s v="מינהל כספי"/>
    <x v="69"/>
    <s v="הגזברות"/>
    <s v="6211"/>
    <s v="הנהלת הגזברות"/>
    <m/>
    <s v="5"/>
    <x v="11"/>
    <s v="53"/>
    <s v="הוצאות רכב מינהלי"/>
    <s v="531"/>
    <s v="דלק ושמנים"/>
  </r>
  <r>
    <n v="533"/>
    <s v="62110"/>
    <n v="1"/>
    <s v="162110.533"/>
    <s v="שכירת רכב ורכב עירוני           "/>
    <m/>
    <m/>
    <n v="100000"/>
    <n v="100000"/>
    <n v="83199"/>
    <e v="#N/A"/>
    <x v="5"/>
    <s v="הנהלה כללית"/>
    <x v="22"/>
    <s v="מינהל כספי"/>
    <x v="69"/>
    <s v="הגזברות"/>
    <s v="6211"/>
    <s v="הנהלת הגזברות"/>
    <m/>
    <s v="5"/>
    <x v="11"/>
    <s v="53"/>
    <s v="הוצאות רכב מינהלי"/>
    <s v="533"/>
    <s v="רישוי וביטוח"/>
  </r>
  <r>
    <n v="534"/>
    <s v="62110"/>
    <n v="1"/>
    <s v="162110.534"/>
    <s v="דלק ושמן                        "/>
    <m/>
    <m/>
    <n v="49000"/>
    <n v="49000"/>
    <n v="38209"/>
    <e v="#N/A"/>
    <x v="5"/>
    <s v="הנהלה כללית"/>
    <x v="22"/>
    <s v="מינהל כספי"/>
    <x v="69"/>
    <s v="הגזברות"/>
    <s v="6211"/>
    <s v="הנהלת הגזברות"/>
    <m/>
    <s v="5"/>
    <x v="11"/>
    <s v="53"/>
    <s v="הוצאות רכב מינהלי"/>
    <s v="534"/>
    <e v="#N/A"/>
  </r>
  <r>
    <n v="541"/>
    <s v="62110"/>
    <n v="1"/>
    <s v="162110.541"/>
    <s v="החזקת מכשירי קשר וסלולר         "/>
    <m/>
    <m/>
    <n v="40000"/>
    <n v="40000"/>
    <n v="39447"/>
    <e v="#N/A"/>
    <x v="5"/>
    <s v="הנהלה כללית"/>
    <x v="22"/>
    <s v="מינהל כספי"/>
    <x v="69"/>
    <s v="הגזברות"/>
    <s v="6211"/>
    <s v="הנהלת הגזברות"/>
    <m/>
    <s v="5"/>
    <x v="11"/>
    <s v="54"/>
    <s v="הוצאות תקשורת"/>
    <s v="541"/>
    <e v="#N/A"/>
  </r>
  <r>
    <n v="670"/>
    <s v="62110"/>
    <n v="1"/>
    <s v="162110.670"/>
    <s v="סעיף שאינו חוזר                 "/>
    <m/>
    <m/>
    <n v="0"/>
    <n v="436000"/>
    <n v="379503"/>
    <e v="#N/A"/>
    <x v="5"/>
    <s v="הנהלה כללית"/>
    <x v="22"/>
    <s v="מינהל כספי"/>
    <x v="69"/>
    <s v="הגזברות"/>
    <s v="6211"/>
    <s v="הנהלת הגזברות"/>
    <m/>
    <s v="6"/>
    <x v="12"/>
    <s v="67"/>
    <e v="#N/A"/>
    <s v="670"/>
    <e v="#N/A"/>
  </r>
  <r>
    <n v="691"/>
    <s v="62110"/>
    <n v="1"/>
    <s v="162110.691"/>
    <s v="מערכות מידע ומחשוב              "/>
    <m/>
    <m/>
    <n v="680000"/>
    <n v="780000"/>
    <n v="525090"/>
    <e v="#N/A"/>
    <x v="5"/>
    <s v="הנהלה כללית"/>
    <x v="22"/>
    <s v="מינהל כספי"/>
    <x v="69"/>
    <s v="הגזברות"/>
    <s v="6211"/>
    <s v="הנהלת הגזברות"/>
    <m/>
    <s v="6"/>
    <x v="12"/>
    <s v="69"/>
    <s v="שונות"/>
    <s v="691"/>
    <s v="תשלום ע&quot;ח קרן"/>
  </r>
  <r>
    <n v="693"/>
    <s v="62110"/>
    <n v="1"/>
    <s v="162110.693"/>
    <s v="מיחשוב יחידתי                   "/>
    <m/>
    <m/>
    <n v="72000"/>
    <n v="72000"/>
    <n v="60525"/>
    <e v="#N/A"/>
    <x v="5"/>
    <s v="הנהלה כללית"/>
    <x v="22"/>
    <s v="מינהל כספי"/>
    <x v="69"/>
    <s v="הגזברות"/>
    <s v="6211"/>
    <s v="הנהלת הגזברות"/>
    <m/>
    <s v="6"/>
    <x v="12"/>
    <s v="69"/>
    <s v="שונות"/>
    <s v="693"/>
    <s v="תשלום ע&quot;ח הצמדת ערך"/>
  </r>
  <r>
    <n v="751"/>
    <s v="62110"/>
    <n v="1"/>
    <s v="162110.751"/>
    <s v="הדרכה והטמעה                    "/>
    <m/>
    <m/>
    <n v="1205000"/>
    <n v="1450000"/>
    <n v="708675"/>
    <e v="#N/A"/>
    <x v="5"/>
    <s v="הנהלה כללית"/>
    <x v="22"/>
    <s v="מינהל כספי"/>
    <x v="69"/>
    <s v="הגזברות"/>
    <s v="6211"/>
    <s v="הנהלת הגזברות"/>
    <m/>
    <s v="7"/>
    <x v="13"/>
    <s v="75"/>
    <s v="עבודות קבלניות"/>
    <s v="751"/>
    <e v="#N/A"/>
  </r>
  <r>
    <n v="752"/>
    <s v="62110"/>
    <n v="1"/>
    <s v="162110.752"/>
    <s v="ייעוץ תהליכים                   "/>
    <m/>
    <m/>
    <n v="1206000"/>
    <n v="1206000"/>
    <n v="1313062"/>
    <e v="#N/A"/>
    <x v="5"/>
    <s v="הנהלה כללית"/>
    <x v="22"/>
    <s v="מינהל כספי"/>
    <x v="69"/>
    <s v="הגזברות"/>
    <s v="6211"/>
    <s v="הנהלת הגזברות"/>
    <m/>
    <s v="7"/>
    <x v="13"/>
    <s v="75"/>
    <s v="עבודות קבלניות"/>
    <s v="752"/>
    <e v="#N/A"/>
  </r>
  <r>
    <n v="781"/>
    <s v="62110"/>
    <n v="1"/>
    <s v="162110.781"/>
    <s v="ייעוץ מקצועי                    "/>
    <m/>
    <m/>
    <n v="445000"/>
    <n v="445000"/>
    <n v="383252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1"/>
    <e v="#N/A"/>
  </r>
  <r>
    <n v="782"/>
    <s v="62110"/>
    <n v="1"/>
    <s v="162110.782"/>
    <s v="דמי חבר בארגונים                "/>
    <m/>
    <m/>
    <n v="4000"/>
    <n v="4000"/>
    <n v="1500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2"/>
    <e v="#N/A"/>
  </r>
  <r>
    <n v="783"/>
    <s v="62110"/>
    <n v="1"/>
    <s v="162110.783"/>
    <s v="ועדת כספים                      "/>
    <m/>
    <m/>
    <n v="17000"/>
    <n v="17000"/>
    <n v="12768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3"/>
    <e v="#N/A"/>
  </r>
  <r>
    <n v="784"/>
    <s v="62110"/>
    <n v="1"/>
    <s v="162110.784"/>
    <s v="הוצאות אחרות                    "/>
    <m/>
    <m/>
    <n v="49000"/>
    <n v="49000"/>
    <n v="32821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4"/>
    <e v="#N/A"/>
  </r>
  <r>
    <n v="785"/>
    <s v="62110"/>
    <n v="1"/>
    <s v="162110.785"/>
    <s v="הפקת חוברת הנחות בארנונה        "/>
    <m/>
    <m/>
    <n v="30000"/>
    <n v="30000"/>
    <n v="27181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5"/>
    <e v="#N/A"/>
  </r>
  <r>
    <n v="786"/>
    <s v="62110"/>
    <n v="1"/>
    <s v="162110.786"/>
    <s v="שיפור הבטיחות בסביבת העבודה     "/>
    <m/>
    <m/>
    <n v="37000"/>
    <n v="30000"/>
    <n v="18357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6"/>
    <e v="#N/A"/>
  </r>
  <r>
    <n v="787"/>
    <s v="62110"/>
    <n v="1"/>
    <s v="162110.787"/>
    <s v="בדיקות מדגמיות למחיקת חובות     "/>
    <m/>
    <m/>
    <n v="180000"/>
    <n v="180000"/>
    <n v="0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7"/>
    <e v="#N/A"/>
  </r>
  <r>
    <n v="788"/>
    <s v="62110"/>
    <n v="1"/>
    <s v="162110.788"/>
    <s v="מוקד באוניברסיטה                "/>
    <m/>
    <m/>
    <n v="75000"/>
    <n v="75000"/>
    <n v="30428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8"/>
    <e v="#N/A"/>
  </r>
  <r>
    <n v="789"/>
    <s v="62110"/>
    <n v="1"/>
    <s v="162110.789"/>
    <s v="תחזוקת דרוג האשראי              "/>
    <m/>
    <m/>
    <n v="51000"/>
    <n v="45000"/>
    <n v="45000"/>
    <e v="#N/A"/>
    <x v="5"/>
    <s v="הנהלה כללית"/>
    <x v="22"/>
    <s v="מינהל כספי"/>
    <x v="69"/>
    <s v="הגזברות"/>
    <s v="6211"/>
    <s v="הנהלת הגזברות"/>
    <m/>
    <s v="7"/>
    <x v="13"/>
    <s v="78"/>
    <s v="הוצאות שונות"/>
    <s v="789"/>
    <e v="#N/A"/>
  </r>
  <r>
    <n v="932"/>
    <s v="62110"/>
    <n v="1"/>
    <s v="162110.932"/>
    <s v="ציוד ורהוט משרדי                "/>
    <m/>
    <m/>
    <n v="20000"/>
    <n v="20000"/>
    <n v="16325"/>
    <e v="#N/A"/>
    <x v="5"/>
    <s v="הנהלה כללית"/>
    <x v="22"/>
    <s v="מינהל כספי"/>
    <x v="69"/>
    <s v="הגזברות"/>
    <s v="6211"/>
    <s v="הנהלת הגזברות"/>
    <m/>
    <s v="9"/>
    <x v="17"/>
    <s v="93"/>
    <s v="רכישת ציוד יסודי"/>
    <s v="932"/>
    <e v="#N/A"/>
  </r>
  <r>
    <n v="110"/>
    <s v="62130"/>
    <n v="1"/>
    <s v="162130.110"/>
    <s v="משכורת כוללת                    "/>
    <m/>
    <m/>
    <n v="1132000"/>
    <n v="1100000"/>
    <n v="1075796"/>
    <e v="#N/A"/>
    <x v="5"/>
    <s v="הנהלה כללית"/>
    <x v="22"/>
    <s v="מינהל כספי"/>
    <x v="69"/>
    <s v="הגזברות"/>
    <s v="6213"/>
    <s v="הנהלת חשבונות"/>
    <m/>
    <s v="1"/>
    <x v="9"/>
    <s v="11"/>
    <s v="השכר הקובע"/>
    <s v="110"/>
    <e v="#N/A"/>
  </r>
  <r>
    <n v="124"/>
    <s v="62130"/>
    <n v="1"/>
    <s v="162130.124"/>
    <s v="החזר הוצאות                     "/>
    <m/>
    <m/>
    <n v="61000"/>
    <n v="68000"/>
    <n v="66993"/>
    <e v="#N/A"/>
    <x v="5"/>
    <s v="הנהלה כללית"/>
    <x v="22"/>
    <s v="מינהל כספי"/>
    <x v="69"/>
    <s v="הגזברות"/>
    <s v="6213"/>
    <s v="הנהלת חשבונות"/>
    <m/>
    <s v="1"/>
    <x v="9"/>
    <s v="12"/>
    <s v="תוספות שאינן נכללות בשכר הקובע"/>
    <s v="124"/>
    <e v="#N/A"/>
  </r>
  <r>
    <n v="126"/>
    <s v="62130"/>
    <n v="1"/>
    <s v="162130.126"/>
    <s v="הבראה                           "/>
    <m/>
    <m/>
    <n v="61000"/>
    <n v="57000"/>
    <n v="55960"/>
    <e v="#N/A"/>
    <x v="5"/>
    <s v="הנהלה כללית"/>
    <x v="22"/>
    <s v="מינהל כספי"/>
    <x v="69"/>
    <s v="הגזברות"/>
    <s v="6213"/>
    <s v="הנהלת חשבונות"/>
    <m/>
    <s v="1"/>
    <x v="9"/>
    <s v="12"/>
    <s v="תוספות שאינן נכללות בשכר הקובע"/>
    <s v="126"/>
    <e v="#N/A"/>
  </r>
  <r>
    <n v="127"/>
    <s v="62130"/>
    <n v="1"/>
    <s v="162130.127"/>
    <s v="השתתפות באחזקת רכב - 12         "/>
    <m/>
    <m/>
    <n v="285000"/>
    <n v="294000"/>
    <n v="287043"/>
    <e v="#N/A"/>
    <x v="5"/>
    <s v="הנהלה כללית"/>
    <x v="22"/>
    <s v="מינהל כספי"/>
    <x v="69"/>
    <s v="הגזברות"/>
    <s v="6213"/>
    <s v="הנהלת חשבונות"/>
    <m/>
    <s v="1"/>
    <x v="9"/>
    <s v="12"/>
    <s v="תוספות שאינן נכללות בשכר הקובע"/>
    <s v="127"/>
    <e v="#N/A"/>
  </r>
  <r>
    <n v="130"/>
    <s v="62130"/>
    <n v="1"/>
    <s v="162130.130"/>
    <s v="תשלומים מיוחדים                 "/>
    <m/>
    <m/>
    <n v="136000"/>
    <n v="130000"/>
    <n v="128684"/>
    <e v="#N/A"/>
    <x v="5"/>
    <s v="הנהלה כללית"/>
    <x v="22"/>
    <s v="מינהל כספי"/>
    <x v="69"/>
    <s v="הגזברות"/>
    <s v="6213"/>
    <s v="הנהלת חשבונות"/>
    <m/>
    <s v="1"/>
    <x v="9"/>
    <s v="13"/>
    <s v="שעות נוספות"/>
    <s v="130"/>
    <e v="#N/A"/>
  </r>
  <r>
    <n v="181"/>
    <s v="62130"/>
    <n v="1"/>
    <s v="162130.181"/>
    <s v="מיסים וביטוח לאומי              "/>
    <m/>
    <m/>
    <n v="219000"/>
    <n v="216000"/>
    <n v="217973"/>
    <e v="#N/A"/>
    <x v="5"/>
    <s v="הנהלה כללית"/>
    <x v="22"/>
    <s v="מינהל כספי"/>
    <x v="69"/>
    <s v="הגזברות"/>
    <s v="6213"/>
    <s v="הנהלת חשבונות"/>
    <m/>
    <s v="1"/>
    <x v="9"/>
    <s v="18"/>
    <s v="נלוות לשכר"/>
    <s v="181"/>
    <s v="הפרשות סוציאליות"/>
  </r>
  <r>
    <n v="182"/>
    <s v="62130"/>
    <n v="1"/>
    <s v="162130.182"/>
    <s v="קופות גמל והשתלמות              "/>
    <m/>
    <m/>
    <n v="224000"/>
    <n v="207000"/>
    <n v="201695"/>
    <e v="#N/A"/>
    <x v="5"/>
    <s v="הנהלה כללית"/>
    <x v="22"/>
    <s v="מינהל כספי"/>
    <x v="69"/>
    <s v="הגזברות"/>
    <s v="6213"/>
    <s v="הנהלת חשבונות"/>
    <m/>
    <s v="1"/>
    <x v="9"/>
    <s v="18"/>
    <s v="נלוות לשכר"/>
    <s v="182"/>
    <s v="מיסיום ועלויות"/>
  </r>
  <r>
    <n v="464"/>
    <s v="62130"/>
    <n v="1"/>
    <s v="162130.464"/>
    <s v="דאר                             "/>
    <m/>
    <m/>
    <n v="85000"/>
    <n v="85000"/>
    <n v="103785"/>
    <e v="#N/A"/>
    <x v="5"/>
    <s v="הנהלה כללית"/>
    <x v="22"/>
    <s v="מינהל כספי"/>
    <x v="69"/>
    <s v="הגזברות"/>
    <s v="6213"/>
    <s v="הנהלת חשבונות"/>
    <m/>
    <s v="4"/>
    <x v="15"/>
    <s v="46"/>
    <e v="#N/A"/>
    <s v="464"/>
    <e v="#N/A"/>
  </r>
  <r>
    <n v="510"/>
    <s v="62130"/>
    <n v="1"/>
    <s v="162130.510"/>
    <s v="נסיעות  ואש ל                   "/>
    <m/>
    <m/>
    <n v="4000"/>
    <n v="4000"/>
    <n v="1739"/>
    <e v="#N/A"/>
    <x v="5"/>
    <s v="הנהלה כללית"/>
    <x v="22"/>
    <s v="מינהל כספי"/>
    <x v="69"/>
    <s v="הגזברות"/>
    <s v="6213"/>
    <s v="הנהלת חשבונות"/>
    <m/>
    <s v="5"/>
    <x v="11"/>
    <s v="51"/>
    <s v="אש&quot;ל וכיבודים"/>
    <s v="510"/>
    <e v="#N/A"/>
  </r>
  <r>
    <n v="610"/>
    <s v="62130"/>
    <n v="1"/>
    <s v="162130.610"/>
    <s v="כיבודים                         "/>
    <m/>
    <m/>
    <n v="55000"/>
    <n v="55000"/>
    <n v="36611"/>
    <e v="#N/A"/>
    <x v="5"/>
    <s v="הנהלה כללית"/>
    <x v="22"/>
    <s v="מינהל כספי"/>
    <x v="69"/>
    <s v="הגזברות"/>
    <s v="6213"/>
    <s v="הנהלת חשבונות"/>
    <m/>
    <s v="6"/>
    <x v="12"/>
    <s v="61"/>
    <s v="עמלות"/>
    <s v="610"/>
    <e v="#N/A"/>
  </r>
  <r>
    <n v="670"/>
    <s v="62130"/>
    <n v="1"/>
    <s v="162130.670"/>
    <s v="סעיף שאינו חוזר                 "/>
    <m/>
    <m/>
    <n v="0"/>
    <n v="12000"/>
    <n v="19430"/>
    <e v="#N/A"/>
    <x v="5"/>
    <s v="הנהלה כללית"/>
    <x v="22"/>
    <s v="מינהל כספי"/>
    <x v="69"/>
    <s v="הגזברות"/>
    <s v="6213"/>
    <s v="הנהלת חשבונות"/>
    <m/>
    <s v="6"/>
    <x v="12"/>
    <s v="67"/>
    <e v="#N/A"/>
    <s v="670"/>
    <e v="#N/A"/>
  </r>
  <r>
    <n v="680"/>
    <s v="62130"/>
    <n v="1"/>
    <s v="162130.680"/>
    <s v="הוצאות מיוחדות                  "/>
    <m/>
    <m/>
    <n v="5000"/>
    <n v="5000"/>
    <n v="1259"/>
    <e v="#N/A"/>
    <x v="5"/>
    <s v="הנהלה כללית"/>
    <x v="22"/>
    <s v="מינהל כספי"/>
    <x v="69"/>
    <s v="הגזברות"/>
    <s v="6213"/>
    <s v="הנהלת חשבונות"/>
    <m/>
    <s v="6"/>
    <x v="12"/>
    <s v="68"/>
    <s v="ריבית על הוצאות אחרות"/>
    <s v="680"/>
    <e v="#N/A"/>
  </r>
  <r>
    <n v="781"/>
    <s v="62130"/>
    <n v="1"/>
    <s v="162130.781"/>
    <s v="בדיקות התאמה לעובדים            "/>
    <m/>
    <m/>
    <n v="40000"/>
    <n v="20000"/>
    <n v="23686"/>
    <e v="#N/A"/>
    <x v="5"/>
    <s v="הנהלה כללית"/>
    <x v="22"/>
    <s v="מינהל כספי"/>
    <x v="69"/>
    <s v="הגזברות"/>
    <s v="6213"/>
    <s v="הנהלת חשבונות"/>
    <m/>
    <s v="7"/>
    <x v="13"/>
    <s v="78"/>
    <s v="הוצאות שונות"/>
    <s v="781"/>
    <e v="#N/A"/>
  </r>
  <r>
    <n v="110"/>
    <s v="62140"/>
    <n v="1"/>
    <s v="162140.110"/>
    <s v="משכורת כוללת                    "/>
    <m/>
    <m/>
    <n v="204000"/>
    <n v="259000"/>
    <n v="345516"/>
    <m/>
    <x v="5"/>
    <s v="הנהלה כללית"/>
    <x v="22"/>
    <s v="מינהל כספי"/>
    <x v="69"/>
    <s v="הגזברות"/>
    <s v="6214"/>
    <s v="תשלומים"/>
    <m/>
    <s v="1"/>
    <x v="9"/>
    <s v="11"/>
    <s v="השכר הקובע"/>
    <s v="110"/>
    <e v="#N/A"/>
  </r>
  <r>
    <n v="124"/>
    <s v="62140"/>
    <n v="1"/>
    <s v="162140.124"/>
    <s v="החזר הוצאות                     "/>
    <m/>
    <m/>
    <n v="6000"/>
    <n v="7000"/>
    <n v="9955"/>
    <e v="#N/A"/>
    <x v="5"/>
    <s v="הנהלה כללית"/>
    <x v="22"/>
    <s v="מינהל כספי"/>
    <x v="69"/>
    <s v="הגזברות"/>
    <s v="6214"/>
    <s v="תשלומים"/>
    <m/>
    <s v="1"/>
    <x v="9"/>
    <s v="12"/>
    <s v="תוספות שאינן נכללות בשכר הקובע"/>
    <s v="124"/>
    <e v="#N/A"/>
  </r>
  <r>
    <n v="126"/>
    <s v="62140"/>
    <n v="1"/>
    <s v="162140.126"/>
    <s v="הבראה                           "/>
    <m/>
    <m/>
    <n v="6000"/>
    <n v="5000"/>
    <n v="7473"/>
    <e v="#N/A"/>
    <x v="5"/>
    <s v="הנהלה כללית"/>
    <x v="22"/>
    <s v="מינהל כספי"/>
    <x v="69"/>
    <s v="הגזברות"/>
    <s v="6214"/>
    <s v="תשלומים"/>
    <m/>
    <s v="1"/>
    <x v="9"/>
    <s v="12"/>
    <s v="תוספות שאינן נכללות בשכר הקובע"/>
    <s v="126"/>
    <e v="#N/A"/>
  </r>
  <r>
    <n v="127"/>
    <s v="62140"/>
    <n v="1"/>
    <s v="162140.127"/>
    <s v="השתתפות באחזקת רכב-1            "/>
    <m/>
    <m/>
    <n v="40000"/>
    <n v="40000"/>
    <n v="60120"/>
    <e v="#N/A"/>
    <x v="5"/>
    <s v="הנהלה כללית"/>
    <x v="22"/>
    <s v="מינהל כספי"/>
    <x v="69"/>
    <s v="הגזברות"/>
    <s v="6214"/>
    <s v="תשלומים"/>
    <m/>
    <s v="1"/>
    <x v="9"/>
    <s v="12"/>
    <s v="תוספות שאינן נכללות בשכר הקובע"/>
    <s v="127"/>
    <e v="#N/A"/>
  </r>
  <r>
    <n v="130"/>
    <s v="62140"/>
    <n v="1"/>
    <s v="162140.130"/>
    <s v="תשלומים מיוחדים                 "/>
    <m/>
    <m/>
    <n v="5000"/>
    <n v="8000"/>
    <n v="10151"/>
    <e v="#N/A"/>
    <x v="5"/>
    <s v="הנהלה כללית"/>
    <x v="22"/>
    <s v="מינהל כספי"/>
    <x v="69"/>
    <s v="הגזברות"/>
    <s v="6214"/>
    <s v="תשלומים"/>
    <m/>
    <s v="1"/>
    <x v="9"/>
    <s v="13"/>
    <s v="שעות נוספות"/>
    <s v="130"/>
    <e v="#N/A"/>
  </r>
  <r>
    <n v="181"/>
    <s v="62140"/>
    <n v="1"/>
    <s v="162140.181"/>
    <s v="מיסים וביטוח לאומי              "/>
    <m/>
    <m/>
    <n v="40000"/>
    <n v="48000"/>
    <n v="64154"/>
    <e v="#N/A"/>
    <x v="5"/>
    <s v="הנהלה כללית"/>
    <x v="22"/>
    <s v="מינהל כספי"/>
    <x v="69"/>
    <s v="הגזברות"/>
    <s v="6214"/>
    <s v="תשלומים"/>
    <m/>
    <s v="1"/>
    <x v="9"/>
    <s v="18"/>
    <s v="נלוות לשכר"/>
    <s v="181"/>
    <s v="הפרשות סוציאליות"/>
  </r>
  <r>
    <n v="182"/>
    <s v="62140"/>
    <n v="1"/>
    <s v="162140.182"/>
    <s v="קופות גמל והשתלמות              "/>
    <m/>
    <m/>
    <n v="28000"/>
    <n v="50000"/>
    <n v="60417"/>
    <e v="#N/A"/>
    <x v="5"/>
    <s v="הנהלה כללית"/>
    <x v="22"/>
    <s v="מינהל כספי"/>
    <x v="69"/>
    <s v="הגזברות"/>
    <s v="6214"/>
    <s v="תשלומים"/>
    <m/>
    <s v="1"/>
    <x v="9"/>
    <s v="18"/>
    <s v="נלוות לשכר"/>
    <s v="182"/>
    <s v="מיסיום ועלויות"/>
  </r>
  <r>
    <n v="310"/>
    <s v="62140"/>
    <n v="1"/>
    <s v="162140.310"/>
    <s v="שעות נוספות רשומות              "/>
    <m/>
    <m/>
    <n v="9000"/>
    <n v="9000"/>
    <n v="4368"/>
    <e v="#N/A"/>
    <x v="5"/>
    <s v="הנהלה כללית"/>
    <x v="22"/>
    <s v="מינהל כספי"/>
    <x v="69"/>
    <s v="הגזברות"/>
    <s v="6214"/>
    <s v="תשלומים"/>
    <m/>
    <s v="3"/>
    <x v="14"/>
    <s v="31"/>
    <s v="פנסיה"/>
    <s v="310"/>
    <e v="#N/A"/>
  </r>
  <r>
    <n v="340"/>
    <s v="62140"/>
    <n v="1"/>
    <s v="162140.340"/>
    <s v="שעות נוספות מיוחדות             "/>
    <m/>
    <m/>
    <n v="37000"/>
    <n v="36000"/>
    <n v="27176"/>
    <e v="#N/A"/>
    <x v="5"/>
    <s v="הנהלה כללית"/>
    <x v="22"/>
    <s v="מינהל כספי"/>
    <x v="69"/>
    <s v="הגזברות"/>
    <s v="6214"/>
    <s v="תשלומים"/>
    <m/>
    <s v="3"/>
    <x v="14"/>
    <s v="34"/>
    <e v="#N/A"/>
    <s v="340"/>
    <e v="#N/A"/>
  </r>
  <r>
    <n v="110"/>
    <s v="62150"/>
    <n v="1"/>
    <s v="162150.110"/>
    <s v="משכורת כוללת                    "/>
    <m/>
    <m/>
    <n v="557000"/>
    <n v="529000"/>
    <n v="479093"/>
    <e v="#N/A"/>
    <x v="5"/>
    <s v="הנהלה כללית"/>
    <x v="22"/>
    <s v="מינהל כספי"/>
    <x v="69"/>
    <s v="הגזברות"/>
    <s v="6215"/>
    <s v="יחידת שכר"/>
    <m/>
    <s v="1"/>
    <x v="9"/>
    <s v="11"/>
    <s v="השכר הקובע"/>
    <s v="110"/>
    <e v="#N/A"/>
  </r>
  <r>
    <n v="124"/>
    <s v="62150"/>
    <n v="1"/>
    <s v="162150.124"/>
    <s v="החזר הוצאות                     "/>
    <m/>
    <m/>
    <n v="26000"/>
    <n v="29000"/>
    <n v="27300"/>
    <e v="#N/A"/>
    <x v="5"/>
    <s v="הנהלה כללית"/>
    <x v="22"/>
    <s v="מינהל כספי"/>
    <x v="69"/>
    <s v="הגזברות"/>
    <s v="6215"/>
    <s v="יחידת שכר"/>
    <m/>
    <s v="1"/>
    <x v="9"/>
    <s v="12"/>
    <s v="תוספות שאינן נכללות בשכר הקובע"/>
    <s v="124"/>
    <e v="#N/A"/>
  </r>
  <r>
    <n v="126"/>
    <s v="62150"/>
    <n v="1"/>
    <s v="162150.126"/>
    <s v="הבראה                           "/>
    <m/>
    <m/>
    <n v="26000"/>
    <n v="28000"/>
    <n v="25193"/>
    <e v="#N/A"/>
    <x v="5"/>
    <s v="הנהלה כללית"/>
    <x v="22"/>
    <s v="מינהל כספי"/>
    <x v="69"/>
    <s v="הגזברות"/>
    <s v="6215"/>
    <s v="יחידת שכר"/>
    <m/>
    <s v="1"/>
    <x v="9"/>
    <s v="12"/>
    <s v="תוספות שאינן נכללות בשכר הקובע"/>
    <s v="126"/>
    <e v="#N/A"/>
  </r>
  <r>
    <n v="127"/>
    <s v="62150"/>
    <n v="1"/>
    <s v="162150.127"/>
    <s v="השתתפות באחזקת רכב - 5          "/>
    <m/>
    <m/>
    <n v="121000"/>
    <n v="136000"/>
    <n v="128648"/>
    <e v="#N/A"/>
    <x v="5"/>
    <s v="הנהלה כללית"/>
    <x v="22"/>
    <s v="מינהל כספי"/>
    <x v="69"/>
    <s v="הגזברות"/>
    <s v="6215"/>
    <s v="יחידת שכר"/>
    <m/>
    <s v="1"/>
    <x v="9"/>
    <s v="12"/>
    <s v="תוספות שאינן נכללות בשכר הקובע"/>
    <s v="127"/>
    <e v="#N/A"/>
  </r>
  <r>
    <n v="130"/>
    <s v="62150"/>
    <n v="1"/>
    <s v="162150.130"/>
    <s v="תשלומים מיוחדים                 "/>
    <m/>
    <m/>
    <n v="99000"/>
    <n v="132000"/>
    <n v="118975"/>
    <e v="#N/A"/>
    <x v="5"/>
    <s v="הנהלה כללית"/>
    <x v="22"/>
    <s v="מינהל כספי"/>
    <x v="69"/>
    <s v="הגזברות"/>
    <s v="6215"/>
    <s v="יחידת שכר"/>
    <m/>
    <s v="1"/>
    <x v="9"/>
    <s v="13"/>
    <s v="שעות נוספות"/>
    <s v="130"/>
    <e v="#N/A"/>
  </r>
  <r>
    <n v="181"/>
    <s v="62150"/>
    <n v="1"/>
    <s v="162150.181"/>
    <s v="מיסים וביטוח לאומי              "/>
    <m/>
    <m/>
    <n v="118000"/>
    <n v="124000"/>
    <n v="108578"/>
    <e v="#N/A"/>
    <x v="5"/>
    <s v="הנהלה כללית"/>
    <x v="22"/>
    <s v="מינהל כספי"/>
    <x v="69"/>
    <s v="הגזברות"/>
    <s v="6215"/>
    <s v="יחידת שכר"/>
    <m/>
    <s v="1"/>
    <x v="9"/>
    <s v="18"/>
    <s v="נלוות לשכר"/>
    <s v="181"/>
    <s v="הפרשות סוציאליות"/>
  </r>
  <r>
    <n v="182"/>
    <s v="62150"/>
    <n v="1"/>
    <s v="162150.182"/>
    <s v="קופות גמל והשתלמות              "/>
    <m/>
    <m/>
    <n v="107000"/>
    <n v="123000"/>
    <n v="104113"/>
    <e v="#N/A"/>
    <x v="5"/>
    <s v="הנהלה כללית"/>
    <x v="22"/>
    <s v="מינהל כספי"/>
    <x v="69"/>
    <s v="הגזברות"/>
    <s v="6215"/>
    <s v="יחידת שכר"/>
    <m/>
    <s v="1"/>
    <x v="9"/>
    <s v="18"/>
    <s v="נלוות לשכר"/>
    <s v="182"/>
    <s v="מיסיום ועלויות"/>
  </r>
  <r>
    <n v="310"/>
    <s v="62150"/>
    <n v="1"/>
    <s v="162150.310"/>
    <s v="שעות נוספות רשומות              "/>
    <m/>
    <m/>
    <n v="75000"/>
    <n v="94000"/>
    <n v="49445"/>
    <e v="#N/A"/>
    <x v="5"/>
    <s v="הנהלה כללית"/>
    <x v="22"/>
    <s v="מינהל כספי"/>
    <x v="69"/>
    <s v="הגזברות"/>
    <s v="6215"/>
    <s v="יחידת שכר"/>
    <m/>
    <s v="3"/>
    <x v="14"/>
    <s v="31"/>
    <s v="פנסיה"/>
    <s v="310"/>
    <e v="#N/A"/>
  </r>
  <r>
    <n v="434"/>
    <s v="62150"/>
    <n v="1"/>
    <s v="162150.434"/>
    <s v="תקוני מבנים  מתקנים ואינונטר    "/>
    <m/>
    <m/>
    <n v="5000"/>
    <n v="5000"/>
    <n v="4224"/>
    <e v="#N/A"/>
    <x v="5"/>
    <s v="הנהלה כללית"/>
    <x v="22"/>
    <s v="מינהל כספי"/>
    <x v="69"/>
    <s v="הגזברות"/>
    <s v="6215"/>
    <s v="יחידת שכר"/>
    <m/>
    <s v="4"/>
    <x v="15"/>
    <s v="43"/>
    <s v="חשמל, מים וחומרי ניקיון"/>
    <s v="434"/>
    <s v="שירותי ניקיון"/>
  </r>
  <r>
    <n v="461"/>
    <s v="62150"/>
    <n v="1"/>
    <s v="162150.461"/>
    <s v="צורכי משרד                      "/>
    <m/>
    <m/>
    <n v="247000"/>
    <n v="300000"/>
    <n v="231939"/>
    <e v="#N/A"/>
    <x v="5"/>
    <s v="הנהלה כללית"/>
    <x v="22"/>
    <s v="מינהל כספי"/>
    <x v="69"/>
    <s v="הגזברות"/>
    <s v="6215"/>
    <s v="יחידת שכר"/>
    <m/>
    <s v="4"/>
    <x v="15"/>
    <s v="46"/>
    <e v="#N/A"/>
    <s v="461"/>
    <e v="#N/A"/>
  </r>
  <r>
    <n v="521"/>
    <s v="62150"/>
    <n v="1"/>
    <s v="162150.521"/>
    <s v="הדרכה וכנסים                    "/>
    <m/>
    <m/>
    <n v="34000"/>
    <n v="34000"/>
    <n v="32861"/>
    <e v="#N/A"/>
    <x v="5"/>
    <s v="הנהלה כללית"/>
    <x v="22"/>
    <s v="מינהל כספי"/>
    <x v="69"/>
    <s v="הגזברות"/>
    <s v="6215"/>
    <s v="יחידת שכר"/>
    <m/>
    <s v="5"/>
    <x v="11"/>
    <s v="52"/>
    <s v="השתלמויות וספרות מקצועית"/>
    <s v="521"/>
    <s v="השתלמויות וספרות מקצועית"/>
  </r>
  <r>
    <n v="522"/>
    <s v="62150"/>
    <n v="1"/>
    <s v="162150.522"/>
    <s v="גיבוש יחידתי                    "/>
    <m/>
    <m/>
    <n v="15000"/>
    <n v="15000"/>
    <n v="12994"/>
    <e v="#N/A"/>
    <x v="5"/>
    <s v="הנהלה כללית"/>
    <x v="22"/>
    <s v="מינהל כספי"/>
    <x v="69"/>
    <s v="הגזברות"/>
    <s v="6215"/>
    <s v="יחידת שכר"/>
    <m/>
    <s v="5"/>
    <x v="11"/>
    <s v="52"/>
    <s v="השתלמויות וספרות מקצועית"/>
    <s v="522"/>
    <s v="ספרות מקצועית ועיתונות"/>
  </r>
  <r>
    <n v="541"/>
    <s v="62150"/>
    <n v="1"/>
    <s v="162150.541"/>
    <s v="החזקת מכשירי קשר וסלולר         "/>
    <m/>
    <m/>
    <n v="13000"/>
    <n v="8000"/>
    <n v="7390"/>
    <e v="#N/A"/>
    <x v="5"/>
    <s v="הנהלה כללית"/>
    <x v="22"/>
    <s v="מינהל כספי"/>
    <x v="69"/>
    <s v="הגזברות"/>
    <s v="6215"/>
    <s v="יחידת שכר"/>
    <m/>
    <s v="5"/>
    <x v="11"/>
    <s v="54"/>
    <s v="הוצאות תקשורת"/>
    <s v="541"/>
    <e v="#N/A"/>
  </r>
  <r>
    <n v="610"/>
    <s v="62150"/>
    <n v="1"/>
    <s v="162150.610"/>
    <s v="כיבודים                         "/>
    <m/>
    <m/>
    <n v="40000"/>
    <n v="40000"/>
    <n v="31470"/>
    <e v="#N/A"/>
    <x v="5"/>
    <s v="הנהלה כללית"/>
    <x v="22"/>
    <s v="מינהל כספי"/>
    <x v="69"/>
    <s v="הגזברות"/>
    <s v="6215"/>
    <s v="יחידת שכר"/>
    <m/>
    <s v="6"/>
    <x v="12"/>
    <s v="61"/>
    <s v="עמלות"/>
    <s v="610"/>
    <e v="#N/A"/>
  </r>
  <r>
    <n v="670"/>
    <s v="62150"/>
    <n v="1"/>
    <s v="162150.670"/>
    <s v="סעיף שאינו חוזר                 "/>
    <m/>
    <m/>
    <n v="0"/>
    <n v="139000"/>
    <n v="49593"/>
    <e v="#N/A"/>
    <x v="5"/>
    <s v="הנהלה כללית"/>
    <x v="22"/>
    <s v="מינהל כספי"/>
    <x v="69"/>
    <s v="הגזברות"/>
    <s v="6215"/>
    <s v="יחידת שכר"/>
    <m/>
    <s v="6"/>
    <x v="12"/>
    <s v="67"/>
    <e v="#N/A"/>
    <s v="670"/>
    <e v="#N/A"/>
  </r>
  <r>
    <n v="691"/>
    <s v="62150"/>
    <n v="1"/>
    <s v="162150.691"/>
    <s v="מערכות מידע ומחשוב              "/>
    <m/>
    <m/>
    <n v="260000"/>
    <n v="690000"/>
    <n v="541663"/>
    <e v="#N/A"/>
    <x v="5"/>
    <s v="הנהלה כללית"/>
    <x v="22"/>
    <s v="מינהל כספי"/>
    <x v="69"/>
    <s v="הגזברות"/>
    <s v="6215"/>
    <s v="יחידת שכר"/>
    <m/>
    <s v="6"/>
    <x v="12"/>
    <s v="69"/>
    <s v="שונות"/>
    <s v="691"/>
    <s v="תשלום ע&quot;ח קרן"/>
  </r>
  <r>
    <n v="693"/>
    <s v="62150"/>
    <n v="1"/>
    <s v="162150.693"/>
    <s v="מיחשוב יחידתי                   "/>
    <m/>
    <m/>
    <n v="20000"/>
    <n v="20000"/>
    <n v="16566"/>
    <e v="#N/A"/>
    <x v="5"/>
    <s v="הנהלה כללית"/>
    <x v="22"/>
    <s v="מינהל כספי"/>
    <x v="69"/>
    <s v="הגזברות"/>
    <s v="6215"/>
    <s v="יחידת שכר"/>
    <m/>
    <s v="6"/>
    <x v="12"/>
    <s v="69"/>
    <s v="שונות"/>
    <s v="693"/>
    <s v="תשלום ע&quot;ח הצמדת ערך"/>
  </r>
  <r>
    <n v="751"/>
    <s v="62150"/>
    <n v="1"/>
    <s v="162150.751"/>
    <s v="ייעוץ מקצועי                    "/>
    <m/>
    <m/>
    <n v="5000"/>
    <n v="5000"/>
    <n v="619"/>
    <e v="#N/A"/>
    <x v="5"/>
    <s v="הנהלה כללית"/>
    <x v="22"/>
    <s v="מינהל כספי"/>
    <x v="69"/>
    <s v="הגזברות"/>
    <s v="6215"/>
    <s v="יחידת שכר"/>
    <m/>
    <s v="7"/>
    <x v="13"/>
    <s v="75"/>
    <s v="עבודות קבלניות"/>
    <s v="751"/>
    <e v="#N/A"/>
  </r>
  <r>
    <n v="781"/>
    <s v="62150"/>
    <n v="1"/>
    <s v="162150.781"/>
    <s v="הוצאות שונות                    "/>
    <m/>
    <m/>
    <n v="15000"/>
    <n v="15000"/>
    <n v="7033"/>
    <e v="#N/A"/>
    <x v="5"/>
    <s v="הנהלה כללית"/>
    <x v="22"/>
    <s v="מינהל כספי"/>
    <x v="69"/>
    <s v="הגזברות"/>
    <s v="6215"/>
    <s v="יחידת שכר"/>
    <m/>
    <s v="7"/>
    <x v="13"/>
    <s v="78"/>
    <s v="הוצאות שונות"/>
    <s v="781"/>
    <e v="#N/A"/>
  </r>
  <r>
    <n v="932"/>
    <s v="62150"/>
    <n v="1"/>
    <s v="162150.932"/>
    <s v="ציוד וריהוט משרדי               "/>
    <m/>
    <m/>
    <n v="20000"/>
    <n v="20000"/>
    <n v="67649"/>
    <e v="#N/A"/>
    <x v="5"/>
    <s v="הנהלה כללית"/>
    <x v="22"/>
    <s v="מינהל כספי"/>
    <x v="69"/>
    <s v="הגזברות"/>
    <s v="6215"/>
    <s v="יחידת שכר"/>
    <m/>
    <s v="9"/>
    <x v="17"/>
    <s v="93"/>
    <s v="רכישת ציוד יסודי"/>
    <s v="932"/>
    <e v="#N/A"/>
  </r>
  <r>
    <n v="970"/>
    <s v="62150"/>
    <n v="1"/>
    <s v="162150.970"/>
    <s v="סעיף שאינו חוזר                 "/>
    <m/>
    <m/>
    <n v="0"/>
    <n v="0"/>
    <n v="50905"/>
    <e v="#N/A"/>
    <x v="5"/>
    <s v="הנהלה כללית"/>
    <x v="22"/>
    <s v="מינהל כספי"/>
    <x v="69"/>
    <s v="הגזברות"/>
    <s v="6215"/>
    <s v="יחידת שכר"/>
    <m/>
    <s v="9"/>
    <x v="17"/>
    <s v="97"/>
    <s v="מקדמת על הוצאות עודפות"/>
    <s v="970"/>
    <e v="#N/A"/>
  </r>
  <r>
    <n v="999"/>
    <s v="62150"/>
    <n v="1"/>
    <s v="162150.999"/>
    <s v="סעיף שאינו חוזר                 "/>
    <m/>
    <m/>
    <n v="0"/>
    <n v="-125000"/>
    <n v="0"/>
    <e v="#N/A"/>
    <x v="5"/>
    <s v="הנהלה כללית"/>
    <x v="22"/>
    <s v="מינהל כספי"/>
    <x v="69"/>
    <s v="הגזברות"/>
    <s v="6215"/>
    <s v="יחידת שכר"/>
    <m/>
    <s v="9"/>
    <x v="17"/>
    <s v="99"/>
    <e v="#N/A"/>
    <s v="999"/>
    <e v="#N/A"/>
  </r>
  <r>
    <n v="110"/>
    <s v="62210"/>
    <n v="1"/>
    <s v="162210.110"/>
    <s v="משכורת כוללת                    "/>
    <m/>
    <m/>
    <n v="5090000"/>
    <n v="4807000"/>
    <n v="4733258"/>
    <e v="#N/A"/>
    <x v="5"/>
    <s v="הנהלה כללית"/>
    <x v="22"/>
    <s v="מינהל כספי"/>
    <x v="70"/>
    <s v="שומה"/>
    <s v="6221"/>
    <e v="#N/A"/>
    <m/>
    <s v="1"/>
    <x v="9"/>
    <s v="11"/>
    <s v="השכר הקובע"/>
    <s v="110"/>
    <e v="#N/A"/>
  </r>
  <r>
    <n v="124"/>
    <s v="62210"/>
    <n v="1"/>
    <s v="162210.124"/>
    <s v="החזר הוצאות                     "/>
    <m/>
    <m/>
    <n v="177000"/>
    <n v="170000"/>
    <n v="170722"/>
    <e v="#N/A"/>
    <x v="5"/>
    <s v="הנהלה כללית"/>
    <x v="22"/>
    <s v="מינהל כספי"/>
    <x v="70"/>
    <s v="שומה"/>
    <s v="6221"/>
    <e v="#N/A"/>
    <m/>
    <s v="1"/>
    <x v="9"/>
    <s v="12"/>
    <s v="תוספות שאינן נכללות בשכר הקובע"/>
    <s v="124"/>
    <e v="#N/A"/>
  </r>
  <r>
    <n v="126"/>
    <s v="62210"/>
    <n v="1"/>
    <s v="162210.126"/>
    <s v="הבראה                           "/>
    <m/>
    <m/>
    <n v="119000"/>
    <n v="121000"/>
    <n v="119702"/>
    <e v="#N/A"/>
    <x v="5"/>
    <s v="הנהלה כללית"/>
    <x v="22"/>
    <s v="מינהל כספי"/>
    <x v="70"/>
    <s v="שומה"/>
    <s v="6221"/>
    <e v="#N/A"/>
    <m/>
    <s v="1"/>
    <x v="9"/>
    <s v="12"/>
    <s v="תוספות שאינן נכללות בשכר הקובע"/>
    <s v="126"/>
    <e v="#N/A"/>
  </r>
  <r>
    <n v="127"/>
    <s v="62210"/>
    <n v="1"/>
    <s v="162210.127"/>
    <s v="השתתפות באחזקת רכב - 23         "/>
    <m/>
    <m/>
    <n v="757000"/>
    <n v="758000"/>
    <n v="762321"/>
    <e v="#N/A"/>
    <x v="5"/>
    <s v="הנהלה כללית"/>
    <x v="22"/>
    <s v="מינהל כספי"/>
    <x v="70"/>
    <s v="שומה"/>
    <s v="6221"/>
    <e v="#N/A"/>
    <m/>
    <s v="1"/>
    <x v="9"/>
    <s v="12"/>
    <s v="תוספות שאינן נכללות בשכר הקובע"/>
    <s v="127"/>
    <e v="#N/A"/>
  </r>
  <r>
    <n v="130"/>
    <s v="62210"/>
    <n v="1"/>
    <s v="162210.130"/>
    <s v="תשלומים מיוחדים                 "/>
    <m/>
    <m/>
    <n v="420000"/>
    <n v="414000"/>
    <n v="473309"/>
    <e v="#N/A"/>
    <x v="5"/>
    <s v="הנהלה כללית"/>
    <x v="22"/>
    <s v="מינהל כספי"/>
    <x v="70"/>
    <s v="שומה"/>
    <s v="6221"/>
    <e v="#N/A"/>
    <m/>
    <s v="1"/>
    <x v="9"/>
    <s v="13"/>
    <s v="שעות נוספות"/>
    <s v="130"/>
    <e v="#N/A"/>
  </r>
  <r>
    <n v="181"/>
    <s v="62210"/>
    <n v="1"/>
    <s v="162210.181"/>
    <s v="מיסים וביטוח לאומי              "/>
    <m/>
    <m/>
    <n v="876000"/>
    <n v="838000"/>
    <n v="867211"/>
    <e v="#N/A"/>
    <x v="5"/>
    <s v="הנהלה כללית"/>
    <x v="22"/>
    <s v="מינהל כספי"/>
    <x v="70"/>
    <s v="שומה"/>
    <s v="6221"/>
    <e v="#N/A"/>
    <m/>
    <s v="1"/>
    <x v="9"/>
    <s v="18"/>
    <s v="נלוות לשכר"/>
    <s v="181"/>
    <s v="הפרשות סוציאליות"/>
  </r>
  <r>
    <n v="182"/>
    <s v="62210"/>
    <n v="1"/>
    <s v="162210.182"/>
    <s v="קופות גמל והשתלמות              "/>
    <m/>
    <m/>
    <n v="988000"/>
    <n v="941000"/>
    <n v="908056"/>
    <e v="#N/A"/>
    <x v="5"/>
    <s v="הנהלה כללית"/>
    <x v="22"/>
    <s v="מינהל כספי"/>
    <x v="70"/>
    <s v="שומה"/>
    <s v="6221"/>
    <e v="#N/A"/>
    <m/>
    <s v="1"/>
    <x v="9"/>
    <s v="18"/>
    <s v="נלוות לשכר"/>
    <s v="182"/>
    <s v="מיסיום ועלויות"/>
  </r>
  <r>
    <n v="310"/>
    <s v="62210"/>
    <n v="1"/>
    <s v="162210.310"/>
    <s v="שעות  נוספות  רשומות            "/>
    <m/>
    <m/>
    <n v="134000"/>
    <n v="131000"/>
    <n v="89989"/>
    <e v="#N/A"/>
    <x v="5"/>
    <s v="הנהלה כללית"/>
    <x v="22"/>
    <s v="מינהל כספי"/>
    <x v="70"/>
    <s v="שומה"/>
    <s v="6221"/>
    <e v="#N/A"/>
    <m/>
    <s v="3"/>
    <x v="14"/>
    <s v="31"/>
    <s v="פנסיה"/>
    <s v="310"/>
    <e v="#N/A"/>
  </r>
  <r>
    <n v="433"/>
    <s v="62210"/>
    <n v="1"/>
    <s v="162210.433"/>
    <s v="ביטוח                           "/>
    <m/>
    <m/>
    <n v="69000"/>
    <n v="70000"/>
    <n v="63000"/>
    <e v="#N/A"/>
    <x v="5"/>
    <s v="הנהלה כללית"/>
    <x v="22"/>
    <s v="מינהל כספי"/>
    <x v="70"/>
    <s v="שומה"/>
    <s v="6221"/>
    <e v="#N/A"/>
    <m/>
    <s v="4"/>
    <x v="15"/>
    <s v="43"/>
    <s v="חשמל, מים וחומרי ניקיון"/>
    <s v="433"/>
    <s v="חומרי ניקיון"/>
  </r>
  <r>
    <n v="434"/>
    <s v="62210"/>
    <n v="1"/>
    <s v="162210.434"/>
    <s v="תקוני מבנים  מתקנים ואינונטר    "/>
    <m/>
    <m/>
    <n v="8000"/>
    <n v="8000"/>
    <n v="0"/>
    <e v="#N/A"/>
    <x v="5"/>
    <s v="הנהלה כללית"/>
    <x v="22"/>
    <s v="מינהל כספי"/>
    <x v="70"/>
    <s v="שומה"/>
    <s v="6221"/>
    <e v="#N/A"/>
    <m/>
    <s v="4"/>
    <x v="15"/>
    <s v="43"/>
    <s v="חשמל, מים וחומרי ניקיון"/>
    <s v="434"/>
    <s v="שירותי ניקיון"/>
  </r>
  <r>
    <n v="439"/>
    <s v="62210"/>
    <n v="1"/>
    <s v="162210.439"/>
    <s v="אחזקת בניני העיריה-השתתפות      "/>
    <m/>
    <m/>
    <n v="380000"/>
    <n v="373000"/>
    <n v="370000"/>
    <e v="#N/A"/>
    <x v="5"/>
    <s v="הנהלה כללית"/>
    <x v="22"/>
    <s v="מינהל כספי"/>
    <x v="70"/>
    <s v="שומה"/>
    <s v="6221"/>
    <e v="#N/A"/>
    <m/>
    <s v="4"/>
    <x v="15"/>
    <s v="43"/>
    <s v="חשמל, מים וחומרי ניקיון"/>
    <s v="439"/>
    <e v="#N/A"/>
  </r>
  <r>
    <n v="461"/>
    <s v="62210"/>
    <n v="1"/>
    <s v="162210.461"/>
    <s v="צורכי משרד                      "/>
    <m/>
    <m/>
    <n v="36000"/>
    <n v="36000"/>
    <n v="23168"/>
    <e v="#N/A"/>
    <x v="5"/>
    <s v="הנהלה כללית"/>
    <x v="22"/>
    <s v="מינהל כספי"/>
    <x v="70"/>
    <s v="שומה"/>
    <s v="6221"/>
    <e v="#N/A"/>
    <m/>
    <s v="4"/>
    <x v="15"/>
    <s v="46"/>
    <e v="#N/A"/>
    <s v="461"/>
    <e v="#N/A"/>
  </r>
  <r>
    <n v="462"/>
    <s v="62210"/>
    <n v="1"/>
    <s v="162210.462"/>
    <s v="ספרים ועתונים                   "/>
    <m/>
    <m/>
    <n v="7000"/>
    <n v="7000"/>
    <n v="4820"/>
    <e v="#N/A"/>
    <x v="5"/>
    <s v="הנהלה כללית"/>
    <x v="22"/>
    <s v="מינהל כספי"/>
    <x v="70"/>
    <s v="שומה"/>
    <s v="6221"/>
    <e v="#N/A"/>
    <m/>
    <s v="4"/>
    <x v="15"/>
    <s v="46"/>
    <e v="#N/A"/>
    <s v="462"/>
    <e v="#N/A"/>
  </r>
  <r>
    <n v="510"/>
    <s v="62210"/>
    <n v="1"/>
    <s v="162210.510"/>
    <s v="נסיעות  ואש ל                   "/>
    <m/>
    <m/>
    <n v="3000"/>
    <n v="3000"/>
    <n v="322"/>
    <e v="#N/A"/>
    <x v="5"/>
    <s v="הנהלה כללית"/>
    <x v="22"/>
    <s v="מינהל כספי"/>
    <x v="70"/>
    <s v="שומה"/>
    <s v="6221"/>
    <e v="#N/A"/>
    <m/>
    <s v="5"/>
    <x v="11"/>
    <s v="51"/>
    <s v="אש&quot;ל וכיבודים"/>
    <s v="510"/>
    <e v="#N/A"/>
  </r>
  <r>
    <n v="521"/>
    <s v="62210"/>
    <n v="1"/>
    <s v="162210.521"/>
    <s v="הדרכה וכנסים                    "/>
    <m/>
    <m/>
    <n v="45000"/>
    <n v="43000"/>
    <n v="41295"/>
    <e v="#N/A"/>
    <x v="5"/>
    <s v="הנהלה כללית"/>
    <x v="22"/>
    <s v="מינהל כספי"/>
    <x v="70"/>
    <s v="שומה"/>
    <s v="6221"/>
    <e v="#N/A"/>
    <m/>
    <s v="5"/>
    <x v="11"/>
    <s v="52"/>
    <s v="השתלמויות וספרות מקצועית"/>
    <s v="521"/>
    <s v="השתלמויות וספרות מקצועית"/>
  </r>
  <r>
    <n v="522"/>
    <s v="62210"/>
    <n v="1"/>
    <s v="162210.522"/>
    <s v="גיבוש יחידתי                    "/>
    <m/>
    <m/>
    <n v="5000"/>
    <n v="5000"/>
    <n v="3750"/>
    <e v="#N/A"/>
    <x v="5"/>
    <s v="הנהלה כללית"/>
    <x v="22"/>
    <s v="מינהל כספי"/>
    <x v="70"/>
    <s v="שומה"/>
    <s v="6221"/>
    <e v="#N/A"/>
    <m/>
    <s v="5"/>
    <x v="11"/>
    <s v="52"/>
    <s v="השתלמויות וספרות מקצועית"/>
    <s v="522"/>
    <s v="ספרות מקצועית ועיתונות"/>
  </r>
  <r>
    <n v="531"/>
    <s v="62210"/>
    <n v="1"/>
    <s v="162210.531"/>
    <s v="אחזקת רכב                       "/>
    <m/>
    <m/>
    <n v="4000"/>
    <n v="4000"/>
    <n v="1088"/>
    <e v="#N/A"/>
    <x v="5"/>
    <s v="הנהלה כללית"/>
    <x v="22"/>
    <s v="מינהל כספי"/>
    <x v="70"/>
    <s v="שומה"/>
    <s v="6221"/>
    <e v="#N/A"/>
    <m/>
    <s v="5"/>
    <x v="11"/>
    <s v="53"/>
    <s v="הוצאות רכב מינהלי"/>
    <s v="531"/>
    <s v="דלק ושמנים"/>
  </r>
  <r>
    <n v="533"/>
    <s v="62210"/>
    <n v="1"/>
    <s v="162210.533"/>
    <s v="שכירת רכב ורכב עירוני           "/>
    <m/>
    <m/>
    <n v="59000"/>
    <n v="59000"/>
    <n v="43147"/>
    <e v="#N/A"/>
    <x v="5"/>
    <s v="הנהלה כללית"/>
    <x v="22"/>
    <s v="מינהל כספי"/>
    <x v="70"/>
    <s v="שומה"/>
    <s v="6221"/>
    <e v="#N/A"/>
    <m/>
    <s v="5"/>
    <x v="11"/>
    <s v="53"/>
    <s v="הוצאות רכב מינהלי"/>
    <s v="533"/>
    <s v="רישוי וביטוח"/>
  </r>
  <r>
    <n v="534"/>
    <s v="62210"/>
    <n v="1"/>
    <s v="162210.534"/>
    <s v="דלק ושמן                        "/>
    <m/>
    <m/>
    <n v="25000"/>
    <n v="25000"/>
    <n v="21798"/>
    <e v="#N/A"/>
    <x v="5"/>
    <s v="הנהלה כללית"/>
    <x v="22"/>
    <s v="מינהל כספי"/>
    <x v="70"/>
    <s v="שומה"/>
    <s v="6221"/>
    <e v="#N/A"/>
    <m/>
    <s v="5"/>
    <x v="11"/>
    <s v="53"/>
    <s v="הוצאות רכב מינהלי"/>
    <s v="534"/>
    <e v="#N/A"/>
  </r>
  <r>
    <n v="541"/>
    <s v="62210"/>
    <n v="1"/>
    <s v="162210.541"/>
    <s v="החזקת מכשירי קשר וסלולר         "/>
    <m/>
    <m/>
    <n v="29000"/>
    <n v="29000"/>
    <n v="31171"/>
    <e v="#N/A"/>
    <x v="5"/>
    <s v="הנהלה כללית"/>
    <x v="22"/>
    <s v="מינהל כספי"/>
    <x v="70"/>
    <s v="שומה"/>
    <s v="6221"/>
    <e v="#N/A"/>
    <m/>
    <s v="5"/>
    <x v="11"/>
    <s v="54"/>
    <s v="הוצאות תקשורת"/>
    <s v="541"/>
    <e v="#N/A"/>
  </r>
  <r>
    <n v="610"/>
    <s v="62210"/>
    <n v="1"/>
    <s v="162210.610"/>
    <s v="כבודים                          "/>
    <m/>
    <m/>
    <n v="14000"/>
    <n v="14000"/>
    <n v="8152"/>
    <m/>
    <x v="5"/>
    <s v="הנהלה כללית"/>
    <x v="22"/>
    <s v="מינהל כספי"/>
    <x v="70"/>
    <s v="שומה"/>
    <s v="6221"/>
    <e v="#N/A"/>
    <m/>
    <s v="6"/>
    <x v="12"/>
    <s v="61"/>
    <s v="עמלות"/>
    <s v="610"/>
    <e v="#N/A"/>
  </r>
  <r>
    <n v="670"/>
    <s v="62210"/>
    <n v="1"/>
    <s v="162210.670"/>
    <s v="סעיף שאינו חוזר                 "/>
    <m/>
    <m/>
    <n v="0"/>
    <n v="8000"/>
    <n v="4704"/>
    <e v="#N/A"/>
    <x v="5"/>
    <s v="הנהלה כללית"/>
    <x v="22"/>
    <s v="מינהל כספי"/>
    <x v="70"/>
    <s v="שומה"/>
    <s v="6221"/>
    <e v="#N/A"/>
    <m/>
    <s v="6"/>
    <x v="12"/>
    <s v="67"/>
    <e v="#N/A"/>
    <s v="670"/>
    <e v="#N/A"/>
  </r>
  <r>
    <n v="680"/>
    <s v="62210"/>
    <n v="1"/>
    <s v="162210.680"/>
    <s v="הוצאות מיוחדות                  "/>
    <m/>
    <m/>
    <n v="4000"/>
    <n v="4000"/>
    <n v="1500"/>
    <e v="#N/A"/>
    <x v="5"/>
    <s v="הנהלה כללית"/>
    <x v="22"/>
    <s v="מינהל כספי"/>
    <x v="70"/>
    <s v="שומה"/>
    <s v="6221"/>
    <e v="#N/A"/>
    <m/>
    <s v="6"/>
    <x v="12"/>
    <s v="68"/>
    <s v="ריבית על הוצאות אחרות"/>
    <s v="680"/>
    <e v="#N/A"/>
  </r>
  <r>
    <n v="691"/>
    <s v="62210"/>
    <n v="1"/>
    <s v="162210.691"/>
    <s v="מערכות מידע ומחשוב              "/>
    <m/>
    <m/>
    <n v="880000"/>
    <n v="800000"/>
    <n v="791679"/>
    <e v="#N/A"/>
    <x v="5"/>
    <s v="הנהלה כללית"/>
    <x v="22"/>
    <s v="מינהל כספי"/>
    <x v="70"/>
    <s v="שומה"/>
    <s v="6221"/>
    <e v="#N/A"/>
    <m/>
    <s v="6"/>
    <x v="12"/>
    <s v="69"/>
    <s v="שונות"/>
    <s v="691"/>
    <s v="תשלום ע&quot;ח קרן"/>
  </r>
  <r>
    <n v="693"/>
    <s v="62210"/>
    <n v="1"/>
    <s v="162210.693"/>
    <s v="מיחשוב יחידתי                   "/>
    <m/>
    <m/>
    <n v="26000"/>
    <n v="26000"/>
    <n v="24883"/>
    <e v="#N/A"/>
    <x v="5"/>
    <s v="הנהלה כללית"/>
    <x v="22"/>
    <s v="מינהל כספי"/>
    <x v="70"/>
    <s v="שומה"/>
    <s v="6221"/>
    <e v="#N/A"/>
    <m/>
    <s v="6"/>
    <x v="12"/>
    <s v="69"/>
    <s v="שונות"/>
    <s v="693"/>
    <s v="תשלום ע&quot;ח הצמדת ערך"/>
  </r>
  <r>
    <n v="695"/>
    <s v="62210"/>
    <n v="1"/>
    <s v="162210.695"/>
    <s v="תקשורת  ציוד והתקנה             "/>
    <m/>
    <m/>
    <n v="1000"/>
    <n v="1000"/>
    <n v="-614"/>
    <m/>
    <x v="5"/>
    <s v="הנהלה כללית"/>
    <x v="22"/>
    <s v="מינהל כספי"/>
    <x v="70"/>
    <s v="שומה"/>
    <s v="6221"/>
    <e v="#N/A"/>
    <m/>
    <s v="6"/>
    <x v="12"/>
    <s v="69"/>
    <s v="שונות"/>
    <s v="695"/>
    <e v="#N/A"/>
  </r>
  <r>
    <n v="751"/>
    <s v="62210"/>
    <n v="1"/>
    <s v="162210.751"/>
    <s v="הדפסת והפקת ספרי תקציב ודוחות   "/>
    <m/>
    <m/>
    <n v="55000"/>
    <n v="55000"/>
    <n v="66434"/>
    <e v="#N/A"/>
    <x v="5"/>
    <s v="הנהלה כללית"/>
    <x v="22"/>
    <s v="מינהל כספי"/>
    <x v="70"/>
    <s v="שומה"/>
    <s v="6221"/>
    <e v="#N/A"/>
    <m/>
    <s v="7"/>
    <x v="13"/>
    <s v="75"/>
    <s v="עבודות קבלניות"/>
    <s v="751"/>
    <e v="#N/A"/>
  </r>
  <r>
    <n v="752"/>
    <s v="62210"/>
    <n v="1"/>
    <s v="162210.752"/>
    <s v="ייעוץ מקצועי                    "/>
    <m/>
    <m/>
    <n v="470000"/>
    <n v="520000"/>
    <n v="471055"/>
    <e v="#N/A"/>
    <x v="5"/>
    <s v="הנהלה כללית"/>
    <x v="22"/>
    <s v="מינהל כספי"/>
    <x v="70"/>
    <s v="שומה"/>
    <s v="6221"/>
    <e v="#N/A"/>
    <m/>
    <s v="7"/>
    <x v="13"/>
    <s v="75"/>
    <s v="עבודות קבלניות"/>
    <s v="752"/>
    <e v="#N/A"/>
  </r>
  <r>
    <n v="932"/>
    <s v="62210"/>
    <n v="1"/>
    <s v="162210.932"/>
    <s v="ציוד וריהוט משרדי               "/>
    <m/>
    <m/>
    <n v="20000"/>
    <n v="20000"/>
    <n v="12601"/>
    <e v="#N/A"/>
    <x v="5"/>
    <s v="הנהלה כללית"/>
    <x v="22"/>
    <s v="מינהל כספי"/>
    <x v="70"/>
    <s v="שומה"/>
    <s v="6221"/>
    <e v="#N/A"/>
    <m/>
    <s v="9"/>
    <x v="17"/>
    <s v="93"/>
    <s v="רכישת ציוד יסודי"/>
    <s v="932"/>
    <e v="#N/A"/>
  </r>
  <r>
    <n v="110"/>
    <s v="62230"/>
    <n v="1"/>
    <s v="162230.110"/>
    <s v="משכורת כוללת                    "/>
    <m/>
    <m/>
    <n v="536000"/>
    <n v="576000"/>
    <n v="418849"/>
    <e v="#N/A"/>
    <x v="5"/>
    <s v="הנהלה כללית"/>
    <x v="22"/>
    <s v="מינהל כספי"/>
    <x v="70"/>
    <s v="שומה"/>
    <s v="6223"/>
    <e v="#N/A"/>
    <m/>
    <s v="1"/>
    <x v="9"/>
    <s v="11"/>
    <s v="השכר הקובע"/>
    <s v="110"/>
    <e v="#N/A"/>
  </r>
  <r>
    <n v="124"/>
    <s v="62230"/>
    <n v="1"/>
    <s v="162230.124"/>
    <s v="החזר הוצאות                     "/>
    <m/>
    <m/>
    <n v="17000"/>
    <n v="23000"/>
    <n v="16791"/>
    <e v="#N/A"/>
    <x v="5"/>
    <s v="הנהלה כללית"/>
    <x v="22"/>
    <s v="מינהל כספי"/>
    <x v="70"/>
    <s v="שומה"/>
    <s v="6223"/>
    <e v="#N/A"/>
    <m/>
    <s v="1"/>
    <x v="9"/>
    <s v="12"/>
    <s v="תוספות שאינן נכללות בשכר הקובע"/>
    <s v="124"/>
    <e v="#N/A"/>
  </r>
  <r>
    <n v="126"/>
    <s v="62230"/>
    <n v="1"/>
    <s v="162230.126"/>
    <s v="הבראה                           "/>
    <m/>
    <m/>
    <n v="25000"/>
    <n v="23000"/>
    <n v="16375"/>
    <e v="#N/A"/>
    <x v="5"/>
    <s v="הנהלה כללית"/>
    <x v="22"/>
    <s v="מינהל כספי"/>
    <x v="70"/>
    <s v="שומה"/>
    <s v="6223"/>
    <e v="#N/A"/>
    <m/>
    <s v="1"/>
    <x v="9"/>
    <s v="12"/>
    <s v="תוספות שאינן נכללות בשכר הקובע"/>
    <s v="126"/>
    <e v="#N/A"/>
  </r>
  <r>
    <n v="127"/>
    <s v="62230"/>
    <n v="1"/>
    <s v="162230.127"/>
    <s v="השתתפות באחזקת רכב - 3          "/>
    <m/>
    <m/>
    <n v="102000"/>
    <n v="115000"/>
    <n v="86578"/>
    <e v="#N/A"/>
    <x v="5"/>
    <s v="הנהלה כללית"/>
    <x v="22"/>
    <s v="מינהל כספי"/>
    <x v="70"/>
    <s v="שומה"/>
    <s v="6223"/>
    <e v="#N/A"/>
    <m/>
    <s v="1"/>
    <x v="9"/>
    <s v="12"/>
    <s v="תוספות שאינן נכללות בשכר הקובע"/>
    <s v="127"/>
    <e v="#N/A"/>
  </r>
  <r>
    <n v="130"/>
    <s v="62230"/>
    <n v="1"/>
    <s v="162230.130"/>
    <s v="תשלומים מיוחדים                 "/>
    <m/>
    <m/>
    <n v="41000"/>
    <n v="86000"/>
    <n v="55261"/>
    <m/>
    <x v="5"/>
    <s v="הנהלה כללית"/>
    <x v="22"/>
    <s v="מינהל כספי"/>
    <x v="70"/>
    <s v="שומה"/>
    <s v="6223"/>
    <e v="#N/A"/>
    <m/>
    <s v="1"/>
    <x v="9"/>
    <s v="13"/>
    <s v="שעות נוספות"/>
    <s v="130"/>
    <e v="#N/A"/>
  </r>
  <r>
    <n v="181"/>
    <s v="62230"/>
    <n v="1"/>
    <s v="162230.181"/>
    <s v="מיסים וביטוח לאומי              "/>
    <m/>
    <m/>
    <n v="94000"/>
    <n v="108000"/>
    <n v="76400"/>
    <e v="#N/A"/>
    <x v="5"/>
    <s v="הנהלה כללית"/>
    <x v="22"/>
    <s v="מינהל כספי"/>
    <x v="70"/>
    <s v="שומה"/>
    <s v="6223"/>
    <e v="#N/A"/>
    <m/>
    <s v="1"/>
    <x v="9"/>
    <s v="18"/>
    <s v="נלוות לשכר"/>
    <s v="181"/>
    <s v="הפרשות סוציאליות"/>
  </r>
  <r>
    <n v="182"/>
    <s v="62230"/>
    <n v="1"/>
    <s v="162230.182"/>
    <s v="קופות גמל והשתלמות              "/>
    <m/>
    <m/>
    <n v="104000"/>
    <n v="79000"/>
    <n v="56353"/>
    <e v="#N/A"/>
    <x v="5"/>
    <s v="הנהלה כללית"/>
    <x v="22"/>
    <s v="מינהל כספי"/>
    <x v="70"/>
    <s v="שומה"/>
    <s v="6223"/>
    <e v="#N/A"/>
    <m/>
    <s v="1"/>
    <x v="9"/>
    <s v="18"/>
    <s v="נלוות לשכר"/>
    <s v="182"/>
    <s v="מיסיום ועלויות"/>
  </r>
  <r>
    <n v="110"/>
    <s v="62331"/>
    <n v="1"/>
    <s v="162331.110"/>
    <s v="משכורת כוללת                    "/>
    <m/>
    <m/>
    <n v="3523000"/>
    <n v="3689000"/>
    <n v="3578146"/>
    <m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1"/>
    <n v="1"/>
    <s v="162331.124"/>
    <s v="החזר הוצאות                     "/>
    <m/>
    <m/>
    <n v="203000"/>
    <n v="286000"/>
    <n v="280721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1"/>
    <n v="1"/>
    <s v="162331.126"/>
    <s v="הבראה                           "/>
    <m/>
    <m/>
    <n v="203000"/>
    <n v="209000"/>
    <n v="207433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1"/>
    <n v="1"/>
    <s v="162331.127"/>
    <s v="השתתפות באחזקת רכב - 37         "/>
    <m/>
    <m/>
    <n v="841000"/>
    <n v="889000"/>
    <n v="88134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1"/>
    <n v="1"/>
    <s v="162331.130"/>
    <s v="תשלומים מיוחדים                 "/>
    <m/>
    <m/>
    <n v="769000"/>
    <n v="800000"/>
    <n v="78303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1"/>
    <n v="1"/>
    <s v="162331.181"/>
    <s v="מיסים וביטוח לאומי              "/>
    <m/>
    <m/>
    <n v="1170000"/>
    <n v="1203000"/>
    <n v="882785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1"/>
    <n v="1"/>
    <s v="162331.182"/>
    <s v="קופות גמל והשתלמות              "/>
    <m/>
    <m/>
    <n v="1024000"/>
    <n v="1078000"/>
    <n v="102913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1"/>
    <n v="1"/>
    <s v="162331.230"/>
    <s v="משימה חולפת-8                   "/>
    <m/>
    <m/>
    <n v="548000"/>
    <n v="528000"/>
    <n v="571280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310"/>
    <s v="62331"/>
    <n v="1"/>
    <s v="162331.310"/>
    <s v="שעות נוספות רשומות              "/>
    <m/>
    <m/>
    <n v="2503000"/>
    <n v="2454000"/>
    <n v="2221791"/>
    <e v="#N/A"/>
    <x v="5"/>
    <s v="הנהלה כללית"/>
    <x v="22"/>
    <s v="מינהל כספי"/>
    <x v="71"/>
    <s v="גבייה"/>
    <s v="6233"/>
    <s v="גביית אגרות והיטלים"/>
    <m/>
    <s v="3"/>
    <x v="14"/>
    <s v="31"/>
    <s v="פנסיה"/>
    <s v="310"/>
    <e v="#N/A"/>
  </r>
  <r>
    <n v="340"/>
    <s v="62331"/>
    <n v="1"/>
    <s v="162331.340"/>
    <s v="שעות נוספות מיוחדות             "/>
    <m/>
    <m/>
    <n v="345000"/>
    <n v="338000"/>
    <n v="296468"/>
    <e v="#N/A"/>
    <x v="5"/>
    <s v="הנהלה כללית"/>
    <x v="22"/>
    <s v="מינהל כספי"/>
    <x v="71"/>
    <s v="גבייה"/>
    <s v="6233"/>
    <s v="גביית אגרות והיטלים"/>
    <m/>
    <s v="3"/>
    <x v="14"/>
    <s v="34"/>
    <e v="#N/A"/>
    <s v="340"/>
    <e v="#N/A"/>
  </r>
  <r>
    <n v="411"/>
    <s v="62331"/>
    <n v="1"/>
    <s v="162331.411"/>
    <s v="שכר דירה                        "/>
    <m/>
    <m/>
    <n v="2120000"/>
    <n v="2000000"/>
    <n v="1947673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1"/>
    <s v="שכר דירה ודמי חכירה"/>
    <s v="411"/>
    <e v="#N/A"/>
  </r>
  <r>
    <n v="412"/>
    <s v="62331"/>
    <n v="1"/>
    <s v="162331.412"/>
    <s v="מיסים ואגרות                    "/>
    <m/>
    <m/>
    <n v="1000"/>
    <n v="1000"/>
    <n v="690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1"/>
    <s v="שכר דירה ודמי חכירה"/>
    <s v="412"/>
    <e v="#N/A"/>
  </r>
  <r>
    <n v="431"/>
    <s v="62331"/>
    <n v="1"/>
    <s v="162331.431"/>
    <s v="מים                             "/>
    <m/>
    <m/>
    <n v="5000"/>
    <n v="5000"/>
    <n v="0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1"/>
    <s v="חשמל"/>
  </r>
  <r>
    <n v="433"/>
    <s v="62331"/>
    <n v="1"/>
    <s v="162331.433"/>
    <s v="ביטוח                           "/>
    <m/>
    <m/>
    <n v="1090000"/>
    <n v="1100000"/>
    <n v="967000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3"/>
    <s v="חומרי ניקיון"/>
  </r>
  <r>
    <n v="434"/>
    <s v="62331"/>
    <n v="1"/>
    <s v="162331.434"/>
    <s v="תקוני מבנים  מתקנים ואינונטר    "/>
    <m/>
    <m/>
    <n v="35000"/>
    <n v="35000"/>
    <n v="19785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4"/>
    <s v="שירותי ניקיון"/>
  </r>
  <r>
    <n v="435"/>
    <s v="62331"/>
    <n v="1"/>
    <s v="162331.435"/>
    <s v="חשמל ואנרגיה                    "/>
    <m/>
    <m/>
    <n v="102000"/>
    <n v="62000"/>
    <n v="105823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5"/>
    <e v="#N/A"/>
  </r>
  <r>
    <n v="436"/>
    <s v="62331"/>
    <n v="1"/>
    <s v="162331.436"/>
    <s v="נקיון                           "/>
    <m/>
    <m/>
    <n v="105000"/>
    <n v="105000"/>
    <n v="103069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6"/>
    <e v="#N/A"/>
  </r>
  <r>
    <n v="439"/>
    <s v="62331"/>
    <n v="1"/>
    <s v="162331.439"/>
    <s v="אחזקת בניני העיריה-השתתפות      "/>
    <m/>
    <m/>
    <n v="5353000"/>
    <n v="5218000"/>
    <n v="4805413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3"/>
    <s v="חשמל, מים וחומרי ניקיון"/>
    <s v="439"/>
    <e v="#N/A"/>
  </r>
  <r>
    <n v="461"/>
    <s v="62331"/>
    <n v="1"/>
    <s v="162331.461"/>
    <s v="צורכי משרד                      "/>
    <m/>
    <m/>
    <n v="537000"/>
    <n v="743000"/>
    <n v="723055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6"/>
    <e v="#N/A"/>
    <s v="461"/>
    <e v="#N/A"/>
  </r>
  <r>
    <n v="462"/>
    <s v="62331"/>
    <n v="1"/>
    <s v="162331.462"/>
    <s v="ספרים ועתונים                   "/>
    <m/>
    <m/>
    <n v="3000"/>
    <n v="3000"/>
    <n v="2867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6"/>
    <e v="#N/A"/>
    <s v="462"/>
    <e v="#N/A"/>
  </r>
  <r>
    <n v="464"/>
    <s v="62331"/>
    <n v="1"/>
    <s v="162331.464"/>
    <s v="דאר                             "/>
    <m/>
    <m/>
    <n v="4473000"/>
    <n v="4654000"/>
    <n v="3697188"/>
    <e v="#N/A"/>
    <x v="5"/>
    <s v="הנהלה כללית"/>
    <x v="22"/>
    <s v="מינהל כספי"/>
    <x v="71"/>
    <s v="גבייה"/>
    <s v="6233"/>
    <s v="גביית אגרות והיטלים"/>
    <m/>
    <s v="4"/>
    <x v="15"/>
    <s v="46"/>
    <e v="#N/A"/>
    <s v="464"/>
    <e v="#N/A"/>
  </r>
  <r>
    <n v="510"/>
    <s v="62331"/>
    <n v="1"/>
    <s v="162331.510"/>
    <s v="נסיעות  ואש ל                   "/>
    <m/>
    <m/>
    <n v="12000"/>
    <n v="12000"/>
    <n v="11580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1"/>
    <s v="אש&quot;ל וכיבודים"/>
    <s v="510"/>
    <e v="#N/A"/>
  </r>
  <r>
    <n v="521"/>
    <s v="62331"/>
    <n v="1"/>
    <s v="162331.521"/>
    <s v="הדרכה וכנסים                    "/>
    <m/>
    <m/>
    <n v="172000"/>
    <n v="168000"/>
    <n v="169247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2"/>
    <s v="השתלמויות וספרות מקצועית"/>
    <s v="521"/>
    <s v="השתלמויות וספרות מקצועית"/>
  </r>
  <r>
    <n v="522"/>
    <s v="62331"/>
    <n v="1"/>
    <s v="162331.522"/>
    <s v="גיבוש יחידתי                    "/>
    <m/>
    <m/>
    <n v="65000"/>
    <n v="65000"/>
    <n v="87454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2"/>
    <s v="השתלמויות וספרות מקצועית"/>
    <s v="522"/>
    <s v="ספרות מקצועית ועיתונות"/>
  </r>
  <r>
    <n v="531"/>
    <s v="62331"/>
    <n v="1"/>
    <s v="162331.531"/>
    <s v="אחזקת רכב                       "/>
    <m/>
    <m/>
    <n v="60000"/>
    <n v="60000"/>
    <n v="35205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3"/>
    <s v="הוצאות רכב מינהלי"/>
    <s v="531"/>
    <s v="דלק ושמנים"/>
  </r>
  <r>
    <n v="532"/>
    <s v="62331"/>
    <n v="1"/>
    <s v="162331.532"/>
    <s v="ביטוח רכב                       "/>
    <m/>
    <m/>
    <n v="173000"/>
    <n v="182000"/>
    <n v="167960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3"/>
    <s v="הוצאות רכב מינהלי"/>
    <s v="532"/>
    <s v="תיקונים"/>
  </r>
  <r>
    <n v="533"/>
    <s v="62331"/>
    <n v="1"/>
    <s v="162331.533"/>
    <s v="שכירת רכב ורכב עירוני           "/>
    <m/>
    <m/>
    <n v="74000"/>
    <n v="44000"/>
    <n v="35926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3"/>
    <s v="הוצאות רכב מינהלי"/>
    <s v="533"/>
    <s v="רישוי וביטוח"/>
  </r>
  <r>
    <n v="534"/>
    <s v="62331"/>
    <n v="1"/>
    <s v="162331.534"/>
    <s v="דלק ושמן                        "/>
    <m/>
    <m/>
    <n v="78000"/>
    <n v="108000"/>
    <n v="47241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3"/>
    <s v="הוצאות רכב מינהלי"/>
    <s v="534"/>
    <e v="#N/A"/>
  </r>
  <r>
    <n v="541"/>
    <s v="62331"/>
    <n v="1"/>
    <s v="162331.541"/>
    <s v="החזקת מכשירי קשר וסלולר         "/>
    <m/>
    <m/>
    <n v="152000"/>
    <n v="152000"/>
    <n v="174927"/>
    <e v="#N/A"/>
    <x v="5"/>
    <s v="הנהלה כללית"/>
    <x v="22"/>
    <s v="מינהל כספי"/>
    <x v="71"/>
    <s v="גבייה"/>
    <s v="6233"/>
    <s v="גביית אגרות והיטלים"/>
    <m/>
    <s v="5"/>
    <x v="11"/>
    <s v="54"/>
    <s v="הוצאות תקשורת"/>
    <s v="541"/>
    <e v="#N/A"/>
  </r>
  <r>
    <n v="610"/>
    <s v="62331"/>
    <n v="1"/>
    <s v="162331.610"/>
    <s v="כיבודים                         "/>
    <m/>
    <m/>
    <n v="99000"/>
    <n v="99000"/>
    <n v="110122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1"/>
    <s v="עמלות"/>
    <s v="610"/>
    <e v="#N/A"/>
  </r>
  <r>
    <n v="621"/>
    <s v="62331"/>
    <n v="1"/>
    <s v="162331.621"/>
    <s v="הוצאות משפטיות - שכ ט           "/>
    <m/>
    <m/>
    <n v="1440000"/>
    <n v="1840000"/>
    <n v="161755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2"/>
    <s v="ריבית משיכת יתר"/>
    <s v="621"/>
    <e v="#N/A"/>
  </r>
  <r>
    <n v="622"/>
    <s v="62331"/>
    <n v="1"/>
    <s v="162331.622"/>
    <s v="הוצאות משפטיות שכ ט קבוע        "/>
    <m/>
    <m/>
    <n v="422000"/>
    <n v="0"/>
    <n v="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2"/>
    <s v="ריבית משיכת יתר"/>
    <s v="622"/>
    <e v="#N/A"/>
  </r>
  <r>
    <n v="623"/>
    <s v="62331"/>
    <n v="1"/>
    <s v="162331.623"/>
    <s v="הוצ משפטיות-החזר הוצ לכינוס     "/>
    <m/>
    <m/>
    <n v="400000"/>
    <n v="0"/>
    <n v="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2"/>
    <s v="ריבית משיכת יתר"/>
    <s v="623"/>
    <e v="#N/A"/>
  </r>
  <r>
    <n v="670"/>
    <s v="62331"/>
    <n v="1"/>
    <s v="162331.670"/>
    <s v="סעיף שאינו חוזר                 "/>
    <m/>
    <m/>
    <n v="0"/>
    <n v="541000"/>
    <n v="629828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7"/>
    <e v="#N/A"/>
    <s v="670"/>
    <e v="#N/A"/>
  </r>
  <r>
    <n v="680"/>
    <s v="62331"/>
    <n v="1"/>
    <s v="162331.680"/>
    <s v="הוצאות מיוחדות                  "/>
    <m/>
    <m/>
    <n v="44000"/>
    <n v="44000"/>
    <n v="32462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8"/>
    <s v="ריבית על הוצאות אחרות"/>
    <s v="680"/>
    <e v="#N/A"/>
  </r>
  <r>
    <n v="691"/>
    <s v="62331"/>
    <n v="1"/>
    <s v="162331.691"/>
    <s v="מערכות מידע ומחשוב              "/>
    <m/>
    <m/>
    <n v="20280000"/>
    <n v="19660000"/>
    <n v="1908897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9"/>
    <s v="שונות"/>
    <s v="691"/>
    <s v="תשלום ע&quot;ח קרן"/>
  </r>
  <r>
    <n v="693"/>
    <s v="62331"/>
    <n v="1"/>
    <s v="162331.693"/>
    <s v="מיחשוב יחידתי                   "/>
    <m/>
    <m/>
    <n v="416000"/>
    <n v="416000"/>
    <n v="374572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9"/>
    <s v="שונות"/>
    <s v="693"/>
    <s v="תשלום ע&quot;ח הצמדת ערך"/>
  </r>
  <r>
    <n v="695"/>
    <s v="62331"/>
    <n v="1"/>
    <s v="162331.695"/>
    <s v="תקשורת  ציוד והתקנה             "/>
    <m/>
    <m/>
    <n v="5000"/>
    <n v="5000"/>
    <n v="-331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9"/>
    <s v="שונות"/>
    <s v="695"/>
    <e v="#N/A"/>
  </r>
  <r>
    <n v="721"/>
    <s v="62331"/>
    <n v="1"/>
    <s v="162331.721"/>
    <s v="חמרי ניקוי                      "/>
    <m/>
    <m/>
    <n v="5000"/>
    <n v="5000"/>
    <n v="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2"/>
    <s v="חומרים"/>
    <s v="721"/>
    <e v="#N/A"/>
  </r>
  <r>
    <n v="751"/>
    <s v="62331"/>
    <n v="1"/>
    <s v="162331.751"/>
    <s v="גניזת מסמכים                    "/>
    <m/>
    <m/>
    <n v="110000"/>
    <n v="110000"/>
    <n v="61484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1"/>
    <e v="#N/A"/>
  </r>
  <r>
    <n v="753"/>
    <s v="62331"/>
    <n v="1"/>
    <s v="162331.753"/>
    <s v="משלוח אישורי טאבו               "/>
    <m/>
    <m/>
    <n v="200000"/>
    <n v="200000"/>
    <n v="96723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3"/>
    <e v="#N/A"/>
  </r>
  <r>
    <n v="754"/>
    <s v="62331"/>
    <n v="1"/>
    <s v="162331.754"/>
    <s v="שליחויות                        "/>
    <m/>
    <m/>
    <n v="120000"/>
    <n v="120000"/>
    <n v="46749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4"/>
    <e v="#N/A"/>
  </r>
  <r>
    <n v="755"/>
    <s v="62331"/>
    <n v="1"/>
    <s v="162331.755"/>
    <s v="עו ד לטיפול בתובענות            "/>
    <m/>
    <m/>
    <n v="200000"/>
    <n v="200000"/>
    <n v="1449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5"/>
    <e v="#N/A"/>
  </r>
  <r>
    <n v="756"/>
    <s v="62331"/>
    <n v="1"/>
    <s v="162331.756"/>
    <s v="אגרות להוצל פ לטיפול בתובענות   "/>
    <m/>
    <m/>
    <n v="1000000"/>
    <n v="1000000"/>
    <n v="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6"/>
    <e v="#N/A"/>
  </r>
  <r>
    <n v="757"/>
    <s v="62331"/>
    <n v="1"/>
    <s v="162331.757"/>
    <s v="שיטור                           "/>
    <m/>
    <m/>
    <n v="325000"/>
    <n v="325000"/>
    <n v="280375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7"/>
    <e v="#N/A"/>
  </r>
  <r>
    <n v="758"/>
    <s v="62331"/>
    <n v="1"/>
    <s v="162331.758"/>
    <s v="רו ח מתמחים לוועדות וכינוסים    "/>
    <m/>
    <m/>
    <n v="250000"/>
    <n v="0"/>
    <n v="0"/>
    <m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8"/>
    <e v="#N/A"/>
  </r>
  <r>
    <n v="781"/>
    <s v="62331"/>
    <n v="1"/>
    <s v="162331.781"/>
    <s v="זמן אוויר מסופונים              "/>
    <m/>
    <m/>
    <n v="11000"/>
    <n v="11000"/>
    <n v="960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8"/>
    <s v="הוצאות שונות"/>
    <s v="781"/>
    <e v="#N/A"/>
  </r>
  <r>
    <n v="782"/>
    <s v="62331"/>
    <n v="1"/>
    <s v="162331.782"/>
    <s v="סריקת מסמכים                    "/>
    <m/>
    <m/>
    <n v="690000"/>
    <n v="824000"/>
    <n v="423967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8"/>
    <s v="הוצאות שונות"/>
    <s v="782"/>
    <e v="#N/A"/>
  </r>
  <r>
    <n v="783"/>
    <s v="62331"/>
    <n v="1"/>
    <s v="162331.783"/>
    <s v="הוצאות אחרות                    "/>
    <m/>
    <m/>
    <n v="2000"/>
    <n v="0"/>
    <n v="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8"/>
    <s v="הוצאות שונות"/>
    <s v="783"/>
    <e v="#N/A"/>
  </r>
  <r>
    <n v="790"/>
    <s v="62331"/>
    <n v="1"/>
    <s v="162331.790"/>
    <s v="מבצע גבייה                      "/>
    <m/>
    <m/>
    <n v="1100000"/>
    <n v="1100000"/>
    <n v="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9"/>
    <s v="השתתפות בתקציבי עזר 092"/>
    <s v="790"/>
    <e v="#N/A"/>
  </r>
  <r>
    <n v="932"/>
    <s v="62331"/>
    <n v="1"/>
    <s v="162331.932"/>
    <s v="ציוד וריהוט משרדי               "/>
    <m/>
    <m/>
    <n v="162000"/>
    <n v="162000"/>
    <n v="119733"/>
    <e v="#N/A"/>
    <x v="5"/>
    <s v="הנהלה כללית"/>
    <x v="22"/>
    <s v="מינהל כספי"/>
    <x v="71"/>
    <s v="גבייה"/>
    <s v="6233"/>
    <s v="גביית אגרות והיטלים"/>
    <m/>
    <s v="9"/>
    <x v="17"/>
    <s v="93"/>
    <s v="רכישת ציוד יסודי"/>
    <s v="932"/>
    <e v="#N/A"/>
  </r>
  <r>
    <n v="110"/>
    <s v="62332"/>
    <n v="1"/>
    <s v="162332.110"/>
    <s v="משכורת כוללת                    "/>
    <m/>
    <m/>
    <n v="2562000"/>
    <n v="2382000"/>
    <n v="236639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2"/>
    <n v="1"/>
    <s v="162332.124"/>
    <s v="החזר הוצאות                     "/>
    <m/>
    <m/>
    <n v="201000"/>
    <n v="207000"/>
    <n v="20044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2"/>
    <n v="1"/>
    <s v="162332.126"/>
    <s v="הבראה                           "/>
    <m/>
    <m/>
    <n v="133000"/>
    <n v="131000"/>
    <n v="128556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2"/>
    <n v="1"/>
    <s v="162332.127"/>
    <s v="השתתפות באחזקת רכב - 23         "/>
    <m/>
    <m/>
    <n v="522000"/>
    <n v="492000"/>
    <n v="501673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2"/>
    <n v="1"/>
    <s v="162332.130"/>
    <s v="תשלומים מיוחדים                 "/>
    <m/>
    <m/>
    <n v="491000"/>
    <n v="459000"/>
    <n v="46771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2"/>
    <n v="1"/>
    <s v="162332.181"/>
    <s v="מיסים וביטוח לאומי              "/>
    <m/>
    <m/>
    <n v="511000"/>
    <n v="480000"/>
    <n v="497135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2"/>
    <n v="1"/>
    <s v="162332.182"/>
    <s v="קופות גמל והשתלמות              "/>
    <m/>
    <m/>
    <n v="639000"/>
    <n v="638000"/>
    <n v="607750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752"/>
    <s v="62332"/>
    <n v="1"/>
    <s v="162332.752"/>
    <s v="בדיקת כרטיסי ארנונה מורכבים     "/>
    <m/>
    <m/>
    <n v="107000"/>
    <n v="107000"/>
    <n v="105942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2"/>
    <e v="#N/A"/>
  </r>
  <r>
    <n v="110"/>
    <s v="62333"/>
    <n v="1"/>
    <s v="162333.110"/>
    <s v="משכורת כוללת                    "/>
    <m/>
    <m/>
    <n v="4396000"/>
    <n v="4325000"/>
    <n v="4190433"/>
    <e v="#N/A"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3"/>
    <n v="1"/>
    <s v="162333.124"/>
    <s v="החזר הוצאות                     "/>
    <m/>
    <m/>
    <n v="418000"/>
    <n v="388000"/>
    <n v="392717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3"/>
    <n v="1"/>
    <s v="162333.126"/>
    <s v="הבראה                           "/>
    <m/>
    <m/>
    <n v="329000"/>
    <n v="310000"/>
    <n v="312820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3"/>
    <n v="1"/>
    <s v="162333.127"/>
    <s v="השתתפות באחזקת רכב - 65         "/>
    <m/>
    <m/>
    <n v="1402000"/>
    <n v="1252000"/>
    <n v="1289746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3"/>
    <n v="1"/>
    <s v="162333.130"/>
    <s v="תשלומים מיוחדים                 "/>
    <m/>
    <m/>
    <n v="1142000"/>
    <n v="1032000"/>
    <n v="1013962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3"/>
    <n v="1"/>
    <s v="162333.181"/>
    <s v="מיסים וביטוח לאומי              "/>
    <m/>
    <m/>
    <n v="1123000"/>
    <n v="1104000"/>
    <n v="1048879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3"/>
    <n v="1"/>
    <s v="162333.182"/>
    <s v="קופות גמל והשתלמות              "/>
    <m/>
    <m/>
    <n v="1445000"/>
    <n v="1334000"/>
    <n v="1295600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3"/>
    <n v="1"/>
    <s v="162333.230"/>
    <s v="משימות חולפות-15                "/>
    <m/>
    <m/>
    <n v="895000"/>
    <n v="1135000"/>
    <n v="743492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621"/>
    <s v="62333"/>
    <n v="1"/>
    <s v="162333.621"/>
    <s v="הוצאות משפטיות-אגרות            "/>
    <m/>
    <m/>
    <n v="1680000"/>
    <n v="1680000"/>
    <n v="1475376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2"/>
    <s v="ריבית משיכת יתר"/>
    <s v="621"/>
    <e v="#N/A"/>
  </r>
  <r>
    <n v="752"/>
    <s v="62333"/>
    <n v="1"/>
    <s v="162333.752"/>
    <s v="חקירות ואיתור כתובות            "/>
    <m/>
    <m/>
    <n v="4616000"/>
    <n v="5416000"/>
    <n v="3471726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2"/>
    <e v="#N/A"/>
  </r>
  <r>
    <n v="753"/>
    <s v="62333"/>
    <n v="1"/>
    <s v="162333.753"/>
    <s v="שימוש במאגרי מידע               "/>
    <m/>
    <m/>
    <n v="940000"/>
    <n v="940000"/>
    <n v="595928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3"/>
    <e v="#N/A"/>
  </r>
  <r>
    <n v="755"/>
    <s v="62333"/>
    <n v="1"/>
    <s v="162333.755"/>
    <s v="הדפסת הודעות תשלום בשיטת המעטפות"/>
    <m/>
    <m/>
    <n v="1082000"/>
    <n v="1282000"/>
    <n v="924944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5"/>
    <e v="#N/A"/>
  </r>
  <r>
    <n v="758"/>
    <s v="62333"/>
    <n v="1"/>
    <s v="162333.758"/>
    <s v="תש' למוסדות בגין איתור ועיקול חש"/>
    <m/>
    <m/>
    <n v="6685000"/>
    <n v="6985000"/>
    <n v="5809086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8"/>
    <e v="#N/A"/>
  </r>
  <r>
    <n v="759"/>
    <s v="62333"/>
    <n v="1"/>
    <s v="162333.759"/>
    <s v="הערות אזהרה ברשם המקרקעין       "/>
    <m/>
    <m/>
    <n v="60000"/>
    <n v="60000"/>
    <n v="1582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9"/>
    <e v="#N/A"/>
  </r>
  <r>
    <n v="783"/>
    <s v="62333"/>
    <n v="1"/>
    <s v="162333.783"/>
    <s v="מוקד בירורים וגביה באשראי       "/>
    <m/>
    <m/>
    <n v="950000"/>
    <n v="1200000"/>
    <n v="80421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8"/>
    <s v="הוצאות שונות"/>
    <s v="783"/>
    <e v="#N/A"/>
  </r>
  <r>
    <n v="110"/>
    <s v="62334"/>
    <n v="1"/>
    <s v="162334.110"/>
    <s v="משכורת כוללת                    "/>
    <m/>
    <m/>
    <n v="4406000"/>
    <n v="4435000"/>
    <n v="432804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4"/>
    <n v="1"/>
    <s v="162334.124"/>
    <s v="החזר הוצאות                     "/>
    <m/>
    <m/>
    <n v="366000"/>
    <n v="376000"/>
    <n v="375331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4"/>
    <n v="1"/>
    <s v="162334.126"/>
    <s v="הבראה                           "/>
    <m/>
    <m/>
    <n v="306000"/>
    <n v="303000"/>
    <n v="29660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4"/>
    <n v="1"/>
    <s v="162334.127"/>
    <s v="השתתפות באחזקת רכב-47           "/>
    <m/>
    <m/>
    <n v="1032000"/>
    <n v="1075000"/>
    <n v="1047351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4"/>
    <n v="1"/>
    <s v="162334.130"/>
    <s v="תשלומים מיוחדים                 "/>
    <m/>
    <m/>
    <n v="999000"/>
    <n v="998000"/>
    <n v="993371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4"/>
    <n v="1"/>
    <s v="162334.181"/>
    <s v="מיסים וביטוח לאומי              "/>
    <m/>
    <m/>
    <n v="980000"/>
    <n v="997000"/>
    <n v="99038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4"/>
    <n v="1"/>
    <s v="162334.182"/>
    <s v="קופות גמל והשתלמות              "/>
    <m/>
    <m/>
    <n v="1200000"/>
    <n v="1201000"/>
    <n v="114610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4"/>
    <n v="1"/>
    <s v="162334.230"/>
    <s v="משימות חולפות-7                 "/>
    <m/>
    <m/>
    <n v="383000"/>
    <n v="433000"/>
    <n v="417825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610"/>
    <s v="62334"/>
    <n v="1"/>
    <s v="162334.610"/>
    <s v="כיבודים                         "/>
    <m/>
    <m/>
    <n v="44000"/>
    <n v="44000"/>
    <n v="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1"/>
    <s v="עמלות"/>
    <s v="610"/>
    <e v="#N/A"/>
  </r>
  <r>
    <n v="751"/>
    <s v="62334"/>
    <n v="1"/>
    <s v="162334.751"/>
    <s v="רישום והוצאת מעוקלים            "/>
    <m/>
    <m/>
    <n v="1832000"/>
    <n v="2682000"/>
    <n v="935533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1"/>
    <e v="#N/A"/>
  </r>
  <r>
    <n v="752"/>
    <s v="62334"/>
    <n v="1"/>
    <s v="162334.752"/>
    <s v="שיטור                           "/>
    <m/>
    <m/>
    <n v="310000"/>
    <n v="310000"/>
    <n v="15000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2"/>
    <e v="#N/A"/>
  </r>
  <r>
    <n v="110"/>
    <s v="62335"/>
    <n v="1"/>
    <s v="162335.110"/>
    <s v="משכורת כוללת                    "/>
    <m/>
    <m/>
    <n v="4512000"/>
    <n v="4592000"/>
    <n v="443562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5"/>
    <n v="1"/>
    <s v="162335.124"/>
    <s v="החזר הוצאות                     "/>
    <m/>
    <m/>
    <n v="425000"/>
    <n v="390000"/>
    <n v="397543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5"/>
    <n v="1"/>
    <s v="162335.126"/>
    <s v="הבראה                           "/>
    <m/>
    <m/>
    <n v="302000"/>
    <n v="291000"/>
    <n v="291169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5"/>
    <n v="1"/>
    <s v="162335.127"/>
    <s v="השתתפות באחזקת רכב-55           "/>
    <m/>
    <m/>
    <n v="1224000"/>
    <n v="1248000"/>
    <n v="1233578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5"/>
    <n v="1"/>
    <s v="162335.130"/>
    <s v="תשלומים מיוחדים                 "/>
    <m/>
    <m/>
    <n v="1173000"/>
    <n v="1129000"/>
    <n v="111619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5"/>
    <n v="1"/>
    <s v="162335.181"/>
    <s v="מיסים וביטוח לאומי              "/>
    <m/>
    <m/>
    <n v="1077000"/>
    <n v="1087000"/>
    <n v="1050593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5"/>
    <n v="1"/>
    <s v="162335.182"/>
    <s v="קופות גמל והשתלמות              "/>
    <m/>
    <m/>
    <n v="1259000"/>
    <n v="1170000"/>
    <n v="113006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5"/>
    <n v="1"/>
    <s v="162335.230"/>
    <s v="משימות חולפות-9                 "/>
    <m/>
    <m/>
    <n v="595000"/>
    <n v="661000"/>
    <n v="361326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751"/>
    <s v="62335"/>
    <n v="1"/>
    <s v="162335.751"/>
    <s v="חוות דעת מגורמי חוץ             "/>
    <m/>
    <m/>
    <n v="120000"/>
    <n v="120000"/>
    <n v="120000"/>
    <e v="#N/A"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1"/>
    <e v="#N/A"/>
  </r>
  <r>
    <n v="110"/>
    <s v="62336"/>
    <n v="1"/>
    <s v="162336.110"/>
    <s v="משכורת כוללת                    "/>
    <m/>
    <m/>
    <n v="9027000"/>
    <n v="8631000"/>
    <n v="857018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6"/>
    <n v="1"/>
    <s v="162336.124"/>
    <s v="החזר הוצאות                     "/>
    <m/>
    <m/>
    <n v="920000"/>
    <n v="825000"/>
    <n v="843502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6"/>
    <n v="1"/>
    <s v="162336.126"/>
    <s v="הבראה                           "/>
    <m/>
    <m/>
    <n v="655000"/>
    <n v="623000"/>
    <n v="610509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6"/>
    <n v="1"/>
    <s v="162336.127"/>
    <s v="השתתפות באחזקת רכב -120         "/>
    <m/>
    <m/>
    <n v="1789000"/>
    <n v="1617000"/>
    <n v="1636725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6"/>
    <n v="1"/>
    <s v="162336.130"/>
    <s v="תשלומים מיוחדים                 "/>
    <m/>
    <m/>
    <n v="2017000"/>
    <n v="1833000"/>
    <n v="1896451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6"/>
    <n v="1"/>
    <s v="162336.181"/>
    <s v="מיסים וביטוח לאומי              "/>
    <m/>
    <m/>
    <n v="2048000"/>
    <n v="1895000"/>
    <n v="1852762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6"/>
    <n v="1"/>
    <s v="162336.182"/>
    <s v="קופות גמל והשתלמות              "/>
    <m/>
    <m/>
    <n v="2925000"/>
    <n v="2790000"/>
    <n v="264480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6"/>
    <n v="1"/>
    <s v="162336.230"/>
    <s v="משימות חולפות-19                "/>
    <m/>
    <m/>
    <n v="1253000"/>
    <n v="941000"/>
    <n v="792117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124"/>
    <s v="62337"/>
    <n v="1"/>
    <s v="162337.124"/>
    <s v="החזר הוצאות                     "/>
    <m/>
    <m/>
    <n v="10000"/>
    <n v="52000"/>
    <n v="2356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7"/>
    <n v="1"/>
    <s v="162337.126"/>
    <s v="הבראה                           "/>
    <m/>
    <m/>
    <n v="8000"/>
    <n v="42000"/>
    <n v="2121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7"/>
    <n v="1"/>
    <s v="162337.127"/>
    <s v="השתתפות באחזקת רכב-2            "/>
    <m/>
    <m/>
    <n v="47000"/>
    <n v="214000"/>
    <n v="3327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7"/>
    <n v="1"/>
    <s v="162337.130"/>
    <s v="תשלומים מיוחדים                 "/>
    <m/>
    <m/>
    <n v="30000"/>
    <n v="134000"/>
    <n v="113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7"/>
    <n v="1"/>
    <s v="162337.181"/>
    <s v="מיסים וביטוח לאומי              "/>
    <m/>
    <m/>
    <n v="31000"/>
    <n v="150000"/>
    <n v="4475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7"/>
    <n v="1"/>
    <s v="162337.182"/>
    <s v="קופות גמל והשתלמות              "/>
    <m/>
    <m/>
    <n v="38000"/>
    <n v="193000"/>
    <n v="5984"/>
    <e v="#N/A"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7"/>
    <n v="1"/>
    <s v="162337.230"/>
    <s v="משימה חולפת-2                   "/>
    <m/>
    <m/>
    <n v="134000"/>
    <n v="673000"/>
    <n v="28490"/>
    <e v="#N/A"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310"/>
    <s v="62337"/>
    <n v="1"/>
    <s v="162337.310"/>
    <s v="שעות נוספות רשומות              "/>
    <m/>
    <m/>
    <n v="4000"/>
    <n v="12000"/>
    <n v="0"/>
    <m/>
    <x v="5"/>
    <s v="הנהלה כללית"/>
    <x v="22"/>
    <s v="מינהל כספי"/>
    <x v="71"/>
    <s v="גבייה"/>
    <s v="6233"/>
    <s v="גביית אגרות והיטלים"/>
    <m/>
    <s v="3"/>
    <x v="14"/>
    <s v="31"/>
    <s v="פנסיה"/>
    <s v="310"/>
    <e v="#N/A"/>
  </r>
  <r>
    <n v="670"/>
    <s v="62337"/>
    <n v="1"/>
    <s v="162337.670"/>
    <s v="סעיף שאינו חוזר                 "/>
    <m/>
    <m/>
    <n v="0"/>
    <n v="400000"/>
    <n v="0"/>
    <e v="#N/A"/>
    <x v="5"/>
    <s v="הנהלה כללית"/>
    <x v="22"/>
    <s v="מינהל כספי"/>
    <x v="71"/>
    <s v="גבייה"/>
    <s v="6233"/>
    <s v="גביית אגרות והיטלים"/>
    <m/>
    <s v="6"/>
    <x v="12"/>
    <s v="67"/>
    <e v="#N/A"/>
    <s v="670"/>
    <e v="#N/A"/>
  </r>
  <r>
    <n v="999"/>
    <s v="62337"/>
    <n v="1"/>
    <s v="162337.999"/>
    <s v="השתתפות אגף סל ע לאגף הגביה     "/>
    <m/>
    <m/>
    <n v="-302000"/>
    <n v="-1870000"/>
    <n v="0"/>
    <m/>
    <x v="5"/>
    <s v="הנהלה כללית"/>
    <x v="22"/>
    <s v="מינהל כספי"/>
    <x v="71"/>
    <s v="גבייה"/>
    <s v="6233"/>
    <s v="גביית אגרות והיטלים"/>
    <m/>
    <s v="9"/>
    <x v="17"/>
    <s v="99"/>
    <e v="#N/A"/>
    <s v="999"/>
    <e v="#N/A"/>
  </r>
  <r>
    <n v="110"/>
    <s v="62338"/>
    <n v="1"/>
    <s v="162338.110"/>
    <s v="משכורת כוללת                    "/>
    <m/>
    <m/>
    <n v="1824000"/>
    <n v="1690000"/>
    <n v="1648716"/>
    <m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8"/>
    <n v="1"/>
    <s v="162338.124"/>
    <s v="החזר הוצאות                     "/>
    <m/>
    <m/>
    <n v="161000"/>
    <n v="132000"/>
    <n v="142043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8"/>
    <n v="1"/>
    <s v="162338.126"/>
    <s v="הבראה                           "/>
    <m/>
    <m/>
    <n v="115000"/>
    <n v="106000"/>
    <n v="101362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8"/>
    <n v="1"/>
    <s v="162338.127"/>
    <s v="השתתפות באחזקת רכב-22           "/>
    <m/>
    <m/>
    <n v="525000"/>
    <n v="458000"/>
    <n v="451702"/>
    <e v="#N/A"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8"/>
    <n v="1"/>
    <s v="162338.130"/>
    <s v="תשלומים מיוחדים                 "/>
    <m/>
    <m/>
    <n v="354000"/>
    <n v="321000"/>
    <n v="321045"/>
    <m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8"/>
    <n v="1"/>
    <s v="162338.181"/>
    <s v="מיסים וביטוח לאומי              "/>
    <m/>
    <m/>
    <n v="407000"/>
    <n v="371000"/>
    <n v="377268"/>
    <m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8"/>
    <n v="1"/>
    <s v="162338.182"/>
    <s v="קופות גמל והשתלמות              "/>
    <m/>
    <m/>
    <n v="492000"/>
    <n v="471000"/>
    <n v="451201"/>
    <m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230"/>
    <s v="62338"/>
    <n v="1"/>
    <s v="162338.230"/>
    <s v="משימות חולפות-2                 "/>
    <m/>
    <m/>
    <n v="132000"/>
    <n v="132000"/>
    <n v="124139"/>
    <m/>
    <x v="5"/>
    <s v="הנהלה כללית"/>
    <x v="22"/>
    <s v="מינהל כספי"/>
    <x v="71"/>
    <s v="גבייה"/>
    <s v="6233"/>
    <s v="גביית אגרות והיטלים"/>
    <m/>
    <s v="2"/>
    <x v="10"/>
    <s v="23"/>
    <s v="שעות נוספות"/>
    <s v="230"/>
    <e v="#N/A"/>
  </r>
  <r>
    <n v="695"/>
    <s v="62338"/>
    <n v="1"/>
    <s v="162338.695"/>
    <s v="תקשורת  ציוד והתקנה             "/>
    <m/>
    <m/>
    <n v="365000"/>
    <n v="365000"/>
    <n v="348391"/>
    <m/>
    <x v="5"/>
    <s v="הנהלה כללית"/>
    <x v="22"/>
    <s v="מינהל כספי"/>
    <x v="71"/>
    <s v="גבייה"/>
    <s v="6233"/>
    <s v="גביית אגרות והיטלים"/>
    <m/>
    <s v="6"/>
    <x v="12"/>
    <s v="69"/>
    <s v="שונות"/>
    <s v="695"/>
    <e v="#N/A"/>
  </r>
  <r>
    <n v="751"/>
    <s v="62338"/>
    <n v="1"/>
    <s v="162338.751"/>
    <s v="מוקד בירורים וגביה באשראי-מים   "/>
    <m/>
    <m/>
    <n v="1000000"/>
    <n v="1000000"/>
    <n v="1214598"/>
    <m/>
    <x v="5"/>
    <s v="הנהלה כללית"/>
    <x v="22"/>
    <s v="מינהל כספי"/>
    <x v="71"/>
    <s v="גבייה"/>
    <s v="6233"/>
    <s v="גביית אגרות והיטלים"/>
    <m/>
    <s v="7"/>
    <x v="13"/>
    <s v="75"/>
    <s v="עבודות קבלניות"/>
    <s v="751"/>
    <e v="#N/A"/>
  </r>
  <r>
    <n v="781"/>
    <s v="62338"/>
    <n v="1"/>
    <s v="162338.781"/>
    <s v="שכר טרחה בגין טיפול בהחזרים     "/>
    <m/>
    <m/>
    <n v="400000"/>
    <n v="400000"/>
    <n v="0"/>
    <m/>
    <x v="5"/>
    <s v="הנהלה כללית"/>
    <x v="22"/>
    <s v="מינהל כספי"/>
    <x v="71"/>
    <s v="גבייה"/>
    <s v="6233"/>
    <s v="גביית אגרות והיטלים"/>
    <m/>
    <s v="7"/>
    <x v="13"/>
    <s v="78"/>
    <s v="הוצאות שונות"/>
    <s v="781"/>
    <e v="#N/A"/>
  </r>
  <r>
    <n v="110"/>
    <s v="62339"/>
    <n v="1"/>
    <s v="162339.110"/>
    <s v="משכורת כוללת                    "/>
    <m/>
    <m/>
    <n v="1380000"/>
    <n v="1345000"/>
    <n v="1306351"/>
    <m/>
    <x v="5"/>
    <s v="הנהלה כללית"/>
    <x v="22"/>
    <s v="מינהל כספי"/>
    <x v="71"/>
    <s v="גבייה"/>
    <s v="6233"/>
    <s v="גביית אגרות והיטלים"/>
    <m/>
    <s v="1"/>
    <x v="9"/>
    <s v="11"/>
    <s v="השכר הקובע"/>
    <s v="110"/>
    <e v="#N/A"/>
  </r>
  <r>
    <n v="124"/>
    <s v="62339"/>
    <n v="1"/>
    <s v="162339.124"/>
    <s v="החזר הוצאות                     "/>
    <m/>
    <m/>
    <n v="92000"/>
    <n v="111000"/>
    <n v="105979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4"/>
    <e v="#N/A"/>
  </r>
  <r>
    <n v="126"/>
    <s v="62339"/>
    <n v="1"/>
    <s v="162339.126"/>
    <s v="הבראה                           "/>
    <m/>
    <m/>
    <n v="62000"/>
    <n v="72000"/>
    <n v="72142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6"/>
    <e v="#N/A"/>
  </r>
  <r>
    <n v="127"/>
    <s v="62339"/>
    <n v="1"/>
    <s v="162339.127"/>
    <s v="השתתפות באחזקת רכב-11           "/>
    <m/>
    <m/>
    <n v="299000"/>
    <n v="340000"/>
    <n v="307962"/>
    <m/>
    <x v="5"/>
    <s v="הנהלה כללית"/>
    <x v="22"/>
    <s v="מינהל כספי"/>
    <x v="71"/>
    <s v="גבייה"/>
    <s v="6233"/>
    <s v="גביית אגרות והיטלים"/>
    <m/>
    <s v="1"/>
    <x v="9"/>
    <s v="12"/>
    <s v="תוספות שאינן נכללות בשכר הקובע"/>
    <s v="127"/>
    <e v="#N/A"/>
  </r>
  <r>
    <n v="130"/>
    <s v="62339"/>
    <n v="1"/>
    <s v="162339.130"/>
    <s v="תשלומים מיוחדים                 "/>
    <m/>
    <m/>
    <n v="242000"/>
    <n v="255000"/>
    <n v="258057"/>
    <m/>
    <x v="5"/>
    <s v="הנהלה כללית"/>
    <x v="22"/>
    <s v="מינהל כספי"/>
    <x v="71"/>
    <s v="גבייה"/>
    <s v="6233"/>
    <s v="גביית אגרות והיטלים"/>
    <m/>
    <s v="1"/>
    <x v="9"/>
    <s v="13"/>
    <s v="שעות נוספות"/>
    <s v="130"/>
    <e v="#N/A"/>
  </r>
  <r>
    <n v="181"/>
    <s v="62339"/>
    <n v="1"/>
    <s v="162339.181"/>
    <s v="מיסים וביטוח לאומי              "/>
    <m/>
    <m/>
    <n v="271000"/>
    <n v="278000"/>
    <n v="294833"/>
    <m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1"/>
    <s v="הפרשות סוציאליות"/>
  </r>
  <r>
    <n v="182"/>
    <s v="62339"/>
    <n v="1"/>
    <s v="162339.182"/>
    <s v="קופות גמל והשתלמות              "/>
    <m/>
    <m/>
    <n v="291000"/>
    <n v="324000"/>
    <n v="309347"/>
    <m/>
    <x v="5"/>
    <s v="הנהלה כללית"/>
    <x v="22"/>
    <s v="מינהל כספי"/>
    <x v="71"/>
    <s v="גבייה"/>
    <s v="6233"/>
    <s v="גביית אגרות והיטלים"/>
    <m/>
    <s v="1"/>
    <x v="9"/>
    <s v="18"/>
    <s v="נלוות לשכר"/>
    <s v="182"/>
    <s v="מיסיום ועלויות"/>
  </r>
  <r>
    <n v="110"/>
    <s v="62341"/>
    <n v="1"/>
    <s v="162341.110"/>
    <s v="משכורת כוללת                    "/>
    <m/>
    <m/>
    <n v="1211000"/>
    <n v="800000"/>
    <n v="779836"/>
    <m/>
    <x v="5"/>
    <s v="הנהלה כללית"/>
    <x v="22"/>
    <s v="מינהל כספי"/>
    <x v="71"/>
    <s v="גבייה"/>
    <s v="6234"/>
    <s v="גביית תשלומי בעלים"/>
    <m/>
    <s v="1"/>
    <x v="9"/>
    <s v="11"/>
    <s v="השכר הקובע"/>
    <s v="110"/>
    <e v="#N/A"/>
  </r>
  <r>
    <n v="124"/>
    <s v="62341"/>
    <n v="1"/>
    <s v="162341.124"/>
    <s v="החזר הוצאות                     "/>
    <m/>
    <m/>
    <n v="63000"/>
    <n v="27000"/>
    <n v="27048"/>
    <m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4"/>
    <e v="#N/A"/>
  </r>
  <r>
    <n v="126"/>
    <s v="62341"/>
    <n v="1"/>
    <s v="162341.126"/>
    <s v="הבראה                           "/>
    <m/>
    <m/>
    <n v="57000"/>
    <n v="26000"/>
    <n v="26474"/>
    <m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6"/>
    <e v="#N/A"/>
  </r>
  <r>
    <n v="127"/>
    <s v="62341"/>
    <n v="1"/>
    <s v="162341.127"/>
    <s v="השתתפות באחזקת רכב -10          "/>
    <m/>
    <m/>
    <n v="230000"/>
    <n v="80000"/>
    <n v="82155"/>
    <m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7"/>
    <e v="#N/A"/>
  </r>
  <r>
    <n v="130"/>
    <s v="62341"/>
    <n v="1"/>
    <s v="162341.130"/>
    <s v="תשלומים מיוחדים                 "/>
    <m/>
    <m/>
    <n v="187000"/>
    <n v="107000"/>
    <n v="102299"/>
    <m/>
    <x v="5"/>
    <s v="הנהלה כללית"/>
    <x v="22"/>
    <s v="מינהל כספי"/>
    <x v="71"/>
    <s v="גבייה"/>
    <s v="6234"/>
    <s v="גביית תשלומי בעלים"/>
    <m/>
    <s v="1"/>
    <x v="9"/>
    <s v="13"/>
    <s v="שעות נוספות"/>
    <s v="130"/>
    <e v="#N/A"/>
  </r>
  <r>
    <n v="181"/>
    <s v="62341"/>
    <n v="1"/>
    <s v="162341.181"/>
    <s v="מיסים וביטוח לאומי              "/>
    <m/>
    <m/>
    <n v="261000"/>
    <n v="163000"/>
    <n v="139829"/>
    <m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1"/>
    <s v="הפרשות סוציאליות"/>
  </r>
  <r>
    <n v="182"/>
    <s v="62341"/>
    <n v="1"/>
    <s v="162341.182"/>
    <s v="קופות גמל והשתלמות              "/>
    <m/>
    <m/>
    <n v="280000"/>
    <n v="158000"/>
    <n v="151518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2"/>
    <s v="מיסיום ועלויות"/>
  </r>
  <r>
    <n v="310"/>
    <s v="62341"/>
    <n v="1"/>
    <s v="162341.310"/>
    <s v="שעות נוספות רשומות              "/>
    <m/>
    <m/>
    <n v="220000"/>
    <n v="176000"/>
    <n v="135652"/>
    <e v="#N/A"/>
    <x v="5"/>
    <s v="הנהלה כללית"/>
    <x v="22"/>
    <s v="מינהל כספי"/>
    <x v="71"/>
    <s v="גבייה"/>
    <s v="6234"/>
    <s v="גביית תשלומי בעלים"/>
    <m/>
    <s v="3"/>
    <x v="14"/>
    <s v="31"/>
    <s v="פנסיה"/>
    <s v="310"/>
    <e v="#N/A"/>
  </r>
  <r>
    <n v="340"/>
    <s v="62341"/>
    <n v="1"/>
    <s v="162341.340"/>
    <s v="שעות נוספות מיוחדות             "/>
    <m/>
    <m/>
    <n v="29000"/>
    <n v="28000"/>
    <n v="0"/>
    <e v="#N/A"/>
    <x v="5"/>
    <s v="הנהלה כללית"/>
    <x v="22"/>
    <s v="מינהל כספי"/>
    <x v="71"/>
    <s v="גבייה"/>
    <s v="6234"/>
    <s v="גביית תשלומי בעלים"/>
    <m/>
    <s v="3"/>
    <x v="14"/>
    <s v="34"/>
    <e v="#N/A"/>
    <s v="340"/>
    <e v="#N/A"/>
  </r>
  <r>
    <n v="411"/>
    <s v="62341"/>
    <n v="1"/>
    <s v="162341.411"/>
    <s v="שכר דירה                        "/>
    <m/>
    <m/>
    <n v="3860000"/>
    <n v="3860000"/>
    <n v="3532015"/>
    <e v="#N/A"/>
    <x v="5"/>
    <s v="הנהלה כללית"/>
    <x v="22"/>
    <s v="מינהל כספי"/>
    <x v="71"/>
    <s v="גבייה"/>
    <s v="6234"/>
    <s v="גביית תשלומי בעלים"/>
    <m/>
    <s v="4"/>
    <x v="15"/>
    <s v="41"/>
    <s v="שכר דירה ודמי חכירה"/>
    <s v="411"/>
    <e v="#N/A"/>
  </r>
  <r>
    <n v="433"/>
    <s v="62341"/>
    <n v="1"/>
    <s v="162341.433"/>
    <s v="ביטוח                           "/>
    <m/>
    <m/>
    <n v="197000"/>
    <n v="190000"/>
    <n v="171000"/>
    <e v="#N/A"/>
    <x v="5"/>
    <s v="הנהלה כללית"/>
    <x v="22"/>
    <s v="מינהל כספי"/>
    <x v="71"/>
    <s v="גבייה"/>
    <s v="6234"/>
    <s v="גביית תשלומי בעלים"/>
    <m/>
    <s v="4"/>
    <x v="15"/>
    <s v="43"/>
    <s v="חשמל, מים וחומרי ניקיון"/>
    <s v="433"/>
    <s v="חומרי ניקיון"/>
  </r>
  <r>
    <n v="437"/>
    <s v="62341"/>
    <n v="1"/>
    <s v="162341.437"/>
    <s v="שמירה                           "/>
    <m/>
    <m/>
    <n v="185000"/>
    <n v="170000"/>
    <n v="166940"/>
    <e v="#N/A"/>
    <x v="5"/>
    <s v="הנהלה כללית"/>
    <x v="22"/>
    <s v="מינהל כספי"/>
    <x v="71"/>
    <s v="גבייה"/>
    <s v="6234"/>
    <s v="גביית תשלומי בעלים"/>
    <m/>
    <s v="4"/>
    <x v="15"/>
    <s v="43"/>
    <s v="חשמל, מים וחומרי ניקיון"/>
    <s v="437"/>
    <e v="#N/A"/>
  </r>
  <r>
    <n v="439"/>
    <s v="62341"/>
    <n v="1"/>
    <s v="162341.439"/>
    <s v="אחזקת בניני העיריה-השתתפות      "/>
    <m/>
    <m/>
    <n v="424000"/>
    <n v="518000"/>
    <n v="520000"/>
    <e v="#N/A"/>
    <x v="5"/>
    <s v="הנהלה כללית"/>
    <x v="22"/>
    <s v="מינהל כספי"/>
    <x v="71"/>
    <s v="גבייה"/>
    <s v="6234"/>
    <s v="גביית תשלומי בעלים"/>
    <m/>
    <s v="4"/>
    <x v="15"/>
    <s v="43"/>
    <s v="חשמל, מים וחומרי ניקיון"/>
    <s v="439"/>
    <e v="#N/A"/>
  </r>
  <r>
    <n v="461"/>
    <s v="62341"/>
    <n v="1"/>
    <s v="162341.461"/>
    <s v="צורכי משרד                      "/>
    <m/>
    <m/>
    <n v="145000"/>
    <n v="160000"/>
    <n v="126559"/>
    <e v="#N/A"/>
    <x v="5"/>
    <s v="הנהלה כללית"/>
    <x v="22"/>
    <s v="מינהל כספי"/>
    <x v="71"/>
    <s v="גבייה"/>
    <s v="6234"/>
    <s v="גביית תשלומי בעלים"/>
    <m/>
    <s v="4"/>
    <x v="15"/>
    <s v="46"/>
    <e v="#N/A"/>
    <s v="461"/>
    <e v="#N/A"/>
  </r>
  <r>
    <n v="462"/>
    <s v="62341"/>
    <n v="1"/>
    <s v="162341.462"/>
    <s v="ספרים ועתונים                   "/>
    <m/>
    <m/>
    <n v="4000"/>
    <n v="4000"/>
    <n v="2688"/>
    <e v="#N/A"/>
    <x v="5"/>
    <s v="הנהלה כללית"/>
    <x v="22"/>
    <s v="מינהל כספי"/>
    <x v="71"/>
    <s v="גבייה"/>
    <s v="6234"/>
    <s v="גביית תשלומי בעלים"/>
    <m/>
    <s v="4"/>
    <x v="15"/>
    <s v="46"/>
    <e v="#N/A"/>
    <s v="462"/>
    <e v="#N/A"/>
  </r>
  <r>
    <n v="464"/>
    <s v="62341"/>
    <n v="1"/>
    <s v="162341.464"/>
    <s v="דאר                             "/>
    <m/>
    <m/>
    <n v="435000"/>
    <n v="383000"/>
    <n v="218906"/>
    <e v="#N/A"/>
    <x v="5"/>
    <s v="הנהלה כללית"/>
    <x v="22"/>
    <s v="מינהל כספי"/>
    <x v="71"/>
    <s v="גבייה"/>
    <s v="6234"/>
    <s v="גביית תשלומי בעלים"/>
    <m/>
    <s v="4"/>
    <x v="15"/>
    <s v="46"/>
    <e v="#N/A"/>
    <s v="464"/>
    <e v="#N/A"/>
  </r>
  <r>
    <n v="510"/>
    <s v="62341"/>
    <n v="1"/>
    <s v="162341.510"/>
    <s v="נסיעות  ואש ל                   "/>
    <m/>
    <m/>
    <n v="80000"/>
    <n v="80000"/>
    <n v="35805"/>
    <e v="#N/A"/>
    <x v="5"/>
    <s v="הנהלה כללית"/>
    <x v="22"/>
    <s v="מינהל כספי"/>
    <x v="71"/>
    <s v="גבייה"/>
    <s v="6234"/>
    <s v="גביית תשלומי בעלים"/>
    <m/>
    <s v="5"/>
    <x v="11"/>
    <s v="51"/>
    <s v="אש&quot;ל וכיבודים"/>
    <s v="510"/>
    <e v="#N/A"/>
  </r>
  <r>
    <n v="521"/>
    <s v="62341"/>
    <n v="1"/>
    <s v="162341.521"/>
    <s v="הדרכה וכנסים                    "/>
    <m/>
    <m/>
    <n v="34000"/>
    <n v="33000"/>
    <n v="32998"/>
    <e v="#N/A"/>
    <x v="5"/>
    <s v="הנהלה כללית"/>
    <x v="22"/>
    <s v="מינהל כספי"/>
    <x v="71"/>
    <s v="גבייה"/>
    <s v="6234"/>
    <s v="גביית תשלומי בעלים"/>
    <m/>
    <s v="5"/>
    <x v="11"/>
    <s v="52"/>
    <s v="השתלמויות וספרות מקצועית"/>
    <s v="521"/>
    <s v="השתלמויות וספרות מקצועית"/>
  </r>
  <r>
    <n v="522"/>
    <s v="62341"/>
    <n v="1"/>
    <s v="162341.522"/>
    <s v="גיבוש יחידתי                    "/>
    <m/>
    <m/>
    <n v="13000"/>
    <n v="13000"/>
    <n v="9673"/>
    <e v="#N/A"/>
    <x v="5"/>
    <s v="הנהלה כללית"/>
    <x v="22"/>
    <s v="מינהל כספי"/>
    <x v="71"/>
    <s v="גבייה"/>
    <s v="6234"/>
    <s v="גביית תשלומי בעלים"/>
    <m/>
    <s v="5"/>
    <x v="11"/>
    <s v="52"/>
    <s v="השתלמויות וספרות מקצועית"/>
    <s v="522"/>
    <s v="ספרות מקצועית ועיתונות"/>
  </r>
  <r>
    <n v="531"/>
    <s v="62341"/>
    <n v="1"/>
    <s v="162341.531"/>
    <s v="אחזקת רכב                       "/>
    <m/>
    <m/>
    <n v="67000"/>
    <n v="67000"/>
    <n v="24229"/>
    <e v="#N/A"/>
    <x v="5"/>
    <s v="הנהלה כללית"/>
    <x v="22"/>
    <s v="מינהל כספי"/>
    <x v="71"/>
    <s v="גבייה"/>
    <s v="6234"/>
    <s v="גביית תשלומי בעלים"/>
    <m/>
    <s v="5"/>
    <x v="11"/>
    <s v="53"/>
    <s v="הוצאות רכב מינהלי"/>
    <s v="531"/>
    <s v="דלק ושמנים"/>
  </r>
  <r>
    <n v="532"/>
    <s v="62341"/>
    <n v="1"/>
    <s v="162341.532"/>
    <s v="בטוח רכב                        "/>
    <m/>
    <m/>
    <n v="202000"/>
    <n v="208000"/>
    <n v="191672"/>
    <e v="#N/A"/>
    <x v="5"/>
    <s v="הנהלה כללית"/>
    <x v="22"/>
    <s v="מינהל כספי"/>
    <x v="71"/>
    <s v="גבייה"/>
    <s v="6234"/>
    <s v="גביית תשלומי בעלים"/>
    <m/>
    <s v="5"/>
    <x v="11"/>
    <s v="53"/>
    <s v="הוצאות רכב מינהלי"/>
    <s v="532"/>
    <s v="תיקונים"/>
  </r>
  <r>
    <n v="533"/>
    <s v="62341"/>
    <n v="1"/>
    <s v="162341.533"/>
    <s v="שכירת רכב ורכב עירוני           "/>
    <m/>
    <m/>
    <n v="43000"/>
    <n v="43000"/>
    <n v="33176"/>
    <e v="#N/A"/>
    <x v="5"/>
    <s v="הנהלה כללית"/>
    <x v="22"/>
    <s v="מינהל כספי"/>
    <x v="71"/>
    <s v="גבייה"/>
    <s v="6234"/>
    <s v="גביית תשלומי בעלים"/>
    <m/>
    <s v="5"/>
    <x v="11"/>
    <s v="53"/>
    <s v="הוצאות רכב מינהלי"/>
    <s v="533"/>
    <s v="רישוי וביטוח"/>
  </r>
  <r>
    <n v="534"/>
    <s v="62341"/>
    <n v="1"/>
    <s v="162341.534"/>
    <s v="דלק ושמן                        "/>
    <m/>
    <m/>
    <n v="30000"/>
    <n v="30000"/>
    <n v="8974"/>
    <e v="#N/A"/>
    <x v="5"/>
    <s v="הנהלה כללית"/>
    <x v="22"/>
    <s v="מינהל כספי"/>
    <x v="71"/>
    <s v="גבייה"/>
    <s v="6234"/>
    <s v="גביית תשלומי בעלים"/>
    <m/>
    <s v="5"/>
    <x v="11"/>
    <s v="53"/>
    <s v="הוצאות רכב מינהלי"/>
    <s v="534"/>
    <e v="#N/A"/>
  </r>
  <r>
    <n v="541"/>
    <s v="62341"/>
    <n v="1"/>
    <s v="162341.541"/>
    <s v="החזקת מכשירי קשר וסלולר         "/>
    <m/>
    <m/>
    <n v="51000"/>
    <n v="51000"/>
    <n v="53332"/>
    <e v="#N/A"/>
    <x v="5"/>
    <s v="הנהלה כללית"/>
    <x v="22"/>
    <s v="מינהל כספי"/>
    <x v="71"/>
    <s v="גבייה"/>
    <s v="6234"/>
    <s v="גביית תשלומי בעלים"/>
    <m/>
    <s v="5"/>
    <x v="11"/>
    <s v="54"/>
    <s v="הוצאות תקשורת"/>
    <s v="541"/>
    <e v="#N/A"/>
  </r>
  <r>
    <n v="610"/>
    <s v="62341"/>
    <n v="1"/>
    <s v="162341.610"/>
    <s v="כיבודים                         "/>
    <m/>
    <m/>
    <n v="102000"/>
    <n v="82000"/>
    <n v="76318"/>
    <e v="#N/A"/>
    <x v="5"/>
    <s v="הנהלה כללית"/>
    <x v="22"/>
    <s v="מינהל כספי"/>
    <x v="71"/>
    <s v="גבייה"/>
    <s v="6234"/>
    <s v="גביית תשלומי בעלים"/>
    <m/>
    <s v="6"/>
    <x v="12"/>
    <s v="61"/>
    <s v="עמלות"/>
    <s v="610"/>
    <e v="#N/A"/>
  </r>
  <r>
    <n v="621"/>
    <s v="62341"/>
    <n v="1"/>
    <s v="162341.621"/>
    <s v="הוצאות משפטיות - אגרות          "/>
    <m/>
    <m/>
    <n v="1000000"/>
    <n v="1000000"/>
    <n v="738242"/>
    <e v="#N/A"/>
    <x v="5"/>
    <s v="הנהלה כללית"/>
    <x v="22"/>
    <s v="מינהל כספי"/>
    <x v="71"/>
    <s v="גבייה"/>
    <s v="6234"/>
    <s v="גביית תשלומי בעלים"/>
    <m/>
    <s v="6"/>
    <x v="12"/>
    <s v="62"/>
    <s v="ריבית משיכת יתר"/>
    <s v="621"/>
    <e v="#N/A"/>
  </r>
  <r>
    <n v="622"/>
    <s v="62341"/>
    <n v="1"/>
    <s v="162341.622"/>
    <s v="הוצאות משפטיות - עו ד           "/>
    <m/>
    <m/>
    <n v="1300000"/>
    <n v="1600000"/>
    <n v="1609312"/>
    <e v="#N/A"/>
    <x v="5"/>
    <s v="הנהלה כללית"/>
    <x v="22"/>
    <s v="מינהל כספי"/>
    <x v="71"/>
    <s v="גבייה"/>
    <s v="6234"/>
    <s v="גביית תשלומי בעלים"/>
    <m/>
    <s v="6"/>
    <x v="12"/>
    <s v="62"/>
    <s v="ריבית משיכת יתר"/>
    <s v="622"/>
    <e v="#N/A"/>
  </r>
  <r>
    <n v="670"/>
    <s v="62341"/>
    <n v="1"/>
    <s v="162341.670"/>
    <s v="סעיף שאינו חוזר                 "/>
    <m/>
    <m/>
    <n v="0"/>
    <n v="110000"/>
    <n v="95645"/>
    <e v="#N/A"/>
    <x v="5"/>
    <s v="הנהלה כללית"/>
    <x v="22"/>
    <s v="מינהל כספי"/>
    <x v="71"/>
    <s v="גבייה"/>
    <s v="6234"/>
    <s v="גביית תשלומי בעלים"/>
    <m/>
    <s v="6"/>
    <x v="12"/>
    <s v="67"/>
    <e v="#N/A"/>
    <s v="670"/>
    <e v="#N/A"/>
  </r>
  <r>
    <n v="680"/>
    <s v="62341"/>
    <n v="1"/>
    <s v="162341.680"/>
    <s v="הוצאות מיוחדות                  "/>
    <m/>
    <m/>
    <n v="10000"/>
    <n v="10000"/>
    <n v="3464"/>
    <e v="#N/A"/>
    <x v="5"/>
    <s v="הנהלה כללית"/>
    <x v="22"/>
    <s v="מינהל כספי"/>
    <x v="71"/>
    <s v="גבייה"/>
    <s v="6234"/>
    <s v="גביית תשלומי בעלים"/>
    <m/>
    <s v="6"/>
    <x v="12"/>
    <s v="68"/>
    <s v="ריבית על הוצאות אחרות"/>
    <s v="680"/>
    <e v="#N/A"/>
  </r>
  <r>
    <n v="691"/>
    <s v="62341"/>
    <n v="1"/>
    <s v="162341.691"/>
    <s v="מערכות מידע ומחשוב              "/>
    <m/>
    <m/>
    <n v="2670000"/>
    <n v="3330000"/>
    <n v="2280631"/>
    <e v="#N/A"/>
    <x v="5"/>
    <s v="הנהלה כללית"/>
    <x v="22"/>
    <s v="מינהל כספי"/>
    <x v="71"/>
    <s v="גבייה"/>
    <s v="6234"/>
    <s v="גביית תשלומי בעלים"/>
    <m/>
    <s v="6"/>
    <x v="12"/>
    <s v="69"/>
    <s v="שונות"/>
    <s v="691"/>
    <s v="תשלום ע&quot;ח קרן"/>
  </r>
  <r>
    <n v="693"/>
    <s v="62341"/>
    <n v="1"/>
    <s v="162341.693"/>
    <s v="מיחשוב יחידתי                   "/>
    <m/>
    <m/>
    <n v="109000"/>
    <n v="109000"/>
    <n v="83660"/>
    <m/>
    <x v="5"/>
    <s v="הנהלה כללית"/>
    <x v="22"/>
    <s v="מינהל כספי"/>
    <x v="71"/>
    <s v="גבייה"/>
    <s v="6234"/>
    <s v="גביית תשלומי בעלים"/>
    <m/>
    <s v="6"/>
    <x v="12"/>
    <s v="69"/>
    <s v="שונות"/>
    <s v="693"/>
    <s v="תשלום ע&quot;ח הצמדת ערך"/>
  </r>
  <r>
    <n v="751"/>
    <s v="62341"/>
    <n v="1"/>
    <s v="162341.751"/>
    <s v="שימוש במאגרי מידע               "/>
    <m/>
    <m/>
    <n v="30000"/>
    <n v="30000"/>
    <n v="14787"/>
    <m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1"/>
    <e v="#N/A"/>
  </r>
  <r>
    <n v="752"/>
    <s v="62341"/>
    <n v="1"/>
    <s v="162341.752"/>
    <s v="חקירות לאתור כתובות             "/>
    <m/>
    <m/>
    <n v="80000"/>
    <n v="80000"/>
    <n v="41773"/>
    <m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2"/>
    <e v="#N/A"/>
  </r>
  <r>
    <n v="753"/>
    <s v="62341"/>
    <n v="1"/>
    <s v="162341.753"/>
    <s v="תשלום למפיצי כרטיסים עירוניים   "/>
    <m/>
    <m/>
    <n v="800000"/>
    <n v="800000"/>
    <n v="789691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3"/>
    <e v="#N/A"/>
  </r>
  <r>
    <n v="754"/>
    <s v="62341"/>
    <n v="1"/>
    <s v="162341.754"/>
    <s v="מוקד גביה טלפוני באשראי         "/>
    <m/>
    <m/>
    <n v="45000"/>
    <n v="45000"/>
    <n v="39134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4"/>
    <e v="#N/A"/>
  </r>
  <r>
    <n v="755"/>
    <s v="62341"/>
    <n v="1"/>
    <s v="162341.755"/>
    <s v="אכיפה מנהלית                    "/>
    <m/>
    <m/>
    <n v="90000"/>
    <n v="0"/>
    <n v="0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5"/>
    <e v="#N/A"/>
  </r>
  <r>
    <n v="756"/>
    <s v="62341"/>
    <n v="1"/>
    <s v="162341.756"/>
    <s v="הדפסת הודעות תשלום              "/>
    <m/>
    <m/>
    <n v="96000"/>
    <n v="76000"/>
    <n v="48336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6"/>
    <e v="#N/A"/>
  </r>
  <r>
    <n v="757"/>
    <s v="62341"/>
    <n v="1"/>
    <s v="162341.757"/>
    <s v="תשלום על שרותי אכיפה של גו ח    "/>
    <m/>
    <m/>
    <n v="780000"/>
    <n v="780000"/>
    <n v="868895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7"/>
    <e v="#N/A"/>
  </r>
  <r>
    <n v="758"/>
    <s v="62341"/>
    <n v="1"/>
    <s v="162341.758"/>
    <s v="סריקה                           "/>
    <m/>
    <m/>
    <n v="80000"/>
    <n v="0"/>
    <n v="0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8"/>
    <e v="#N/A"/>
  </r>
  <r>
    <n v="759"/>
    <s v="62341"/>
    <n v="1"/>
    <s v="162341.759"/>
    <s v="ייעוץ מקצועי                    "/>
    <m/>
    <m/>
    <n v="100000"/>
    <n v="100000"/>
    <n v="72275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9"/>
    <e v="#N/A"/>
  </r>
  <r>
    <n v="781"/>
    <s v="62341"/>
    <n v="1"/>
    <s v="162341.781"/>
    <s v="חניה באמצעות טלפון סלולרי       "/>
    <m/>
    <m/>
    <n v="1625000"/>
    <n v="2325000"/>
    <n v="2293096"/>
    <e v="#N/A"/>
    <x v="5"/>
    <s v="הנהלה כללית"/>
    <x v="22"/>
    <s v="מינהל כספי"/>
    <x v="71"/>
    <s v="גבייה"/>
    <s v="6234"/>
    <s v="גביית תשלומי בעלים"/>
    <m/>
    <s v="7"/>
    <x v="13"/>
    <s v="78"/>
    <s v="הוצאות שונות"/>
    <s v="781"/>
    <e v="#N/A"/>
  </r>
  <r>
    <n v="783"/>
    <s v="62341"/>
    <n v="1"/>
    <s v="162341.783"/>
    <s v="קשר עם לקוחות                   "/>
    <m/>
    <m/>
    <n v="20000"/>
    <n v="20000"/>
    <n v="13832"/>
    <e v="#N/A"/>
    <x v="5"/>
    <s v="הנהלה כללית"/>
    <x v="22"/>
    <s v="מינהל כספי"/>
    <x v="71"/>
    <s v="גבייה"/>
    <s v="6234"/>
    <s v="גביית תשלומי בעלים"/>
    <m/>
    <s v="7"/>
    <x v="13"/>
    <s v="78"/>
    <s v="הוצאות שונות"/>
    <s v="783"/>
    <e v="#N/A"/>
  </r>
  <r>
    <n v="841"/>
    <s v="62341"/>
    <n v="1"/>
    <s v="162341.841"/>
    <s v="תשלום לשירותי השכרת מתקני החוף  "/>
    <m/>
    <m/>
    <n v="150000"/>
    <n v="0"/>
    <n v="0"/>
    <e v="#N/A"/>
    <x v="5"/>
    <s v="הנהלה כללית"/>
    <x v="22"/>
    <s v="מינהל כספי"/>
    <x v="71"/>
    <s v="גבייה"/>
    <s v="6234"/>
    <s v="גביית תשלומי בעלים"/>
    <m/>
    <s v="8"/>
    <x v="16"/>
    <s v="84"/>
    <s v="תמיכות רווחה"/>
    <s v="841"/>
    <e v="#N/A"/>
  </r>
  <r>
    <n v="932"/>
    <s v="62341"/>
    <n v="1"/>
    <s v="162341.932"/>
    <s v="ציוד וריהוט משרדי               "/>
    <m/>
    <m/>
    <n v="30000"/>
    <n v="50000"/>
    <n v="4391"/>
    <e v="#N/A"/>
    <x v="5"/>
    <s v="הנהלה כללית"/>
    <x v="22"/>
    <s v="מינהל כספי"/>
    <x v="71"/>
    <s v="גבייה"/>
    <s v="6234"/>
    <s v="גביית תשלומי בעלים"/>
    <m/>
    <s v="9"/>
    <x v="17"/>
    <s v="93"/>
    <s v="רכישת ציוד יסודי"/>
    <s v="932"/>
    <e v="#N/A"/>
  </r>
  <r>
    <n v="110"/>
    <s v="62343"/>
    <n v="1"/>
    <s v="162343.110"/>
    <s v="משכורת כוללת                    "/>
    <m/>
    <m/>
    <n v="2798000"/>
    <n v="2729000"/>
    <n v="2714747"/>
    <e v="#N/A"/>
    <x v="5"/>
    <s v="הנהלה כללית"/>
    <x v="22"/>
    <s v="מינהל כספי"/>
    <x v="71"/>
    <s v="גבייה"/>
    <s v="6234"/>
    <s v="גביית תשלומי בעלים"/>
    <m/>
    <s v="1"/>
    <x v="9"/>
    <s v="11"/>
    <s v="השכר הקובע"/>
    <s v="110"/>
    <e v="#N/A"/>
  </r>
  <r>
    <n v="124"/>
    <s v="62343"/>
    <n v="1"/>
    <s v="162343.124"/>
    <s v="החזר הוצאות                     "/>
    <m/>
    <m/>
    <n v="213000"/>
    <n v="193000"/>
    <n v="211846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4"/>
    <e v="#N/A"/>
  </r>
  <r>
    <n v="126"/>
    <s v="62343"/>
    <n v="1"/>
    <s v="162343.126"/>
    <s v="הבראה                           "/>
    <m/>
    <m/>
    <n v="166000"/>
    <n v="172000"/>
    <n v="182262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6"/>
    <e v="#N/A"/>
  </r>
  <r>
    <n v="127"/>
    <s v="62343"/>
    <n v="1"/>
    <s v="162343.127"/>
    <s v="השתתפות באחזקת רכב - 28         "/>
    <m/>
    <m/>
    <n v="670000"/>
    <n v="644000"/>
    <n v="660315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7"/>
    <e v="#N/A"/>
  </r>
  <r>
    <n v="130"/>
    <s v="62343"/>
    <n v="1"/>
    <s v="162343.130"/>
    <s v="תשלומים מיוחדים                 "/>
    <m/>
    <m/>
    <n v="785000"/>
    <n v="737000"/>
    <n v="770073"/>
    <e v="#N/A"/>
    <x v="5"/>
    <s v="הנהלה כללית"/>
    <x v="22"/>
    <s v="מינהל כספי"/>
    <x v="71"/>
    <s v="גבייה"/>
    <s v="6234"/>
    <s v="גביית תשלומי בעלים"/>
    <m/>
    <s v="1"/>
    <x v="9"/>
    <s v="13"/>
    <s v="שעות נוספות"/>
    <s v="130"/>
    <e v="#N/A"/>
  </r>
  <r>
    <n v="181"/>
    <s v="62343"/>
    <n v="1"/>
    <s v="162343.181"/>
    <s v="מיסים וביטוח לאומי              "/>
    <m/>
    <m/>
    <n v="615000"/>
    <n v="601000"/>
    <n v="609566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1"/>
    <s v="הפרשות סוציאליות"/>
  </r>
  <r>
    <n v="182"/>
    <s v="62343"/>
    <n v="1"/>
    <s v="162343.182"/>
    <s v="קופות גמל והשתלמות              "/>
    <m/>
    <m/>
    <n v="526000"/>
    <n v="496000"/>
    <n v="514066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2"/>
    <s v="מיסיום ועלויות"/>
  </r>
  <r>
    <n v="230"/>
    <s v="62343"/>
    <n v="1"/>
    <s v="162343.230"/>
    <s v="משימה חולפת-1                   "/>
    <m/>
    <m/>
    <n v="68000"/>
    <n v="117000"/>
    <n v="111169"/>
    <e v="#N/A"/>
    <x v="5"/>
    <s v="הנהלה כללית"/>
    <x v="22"/>
    <s v="מינהל כספי"/>
    <x v="71"/>
    <s v="גבייה"/>
    <s v="6234"/>
    <s v="גביית תשלומי בעלים"/>
    <m/>
    <s v="2"/>
    <x v="10"/>
    <s v="23"/>
    <s v="שעות נוספות"/>
    <s v="230"/>
    <e v="#N/A"/>
  </r>
  <r>
    <n v="110"/>
    <s v="62345"/>
    <n v="1"/>
    <s v="162345.110"/>
    <s v="משכורת כוללת                    "/>
    <m/>
    <m/>
    <n v="2468000"/>
    <n v="2569000"/>
    <n v="2265996"/>
    <e v="#N/A"/>
    <x v="5"/>
    <s v="הנהלה כללית"/>
    <x v="22"/>
    <s v="מינהל כספי"/>
    <x v="71"/>
    <s v="גבייה"/>
    <s v="6234"/>
    <s v="גביית תשלומי בעלים"/>
    <m/>
    <s v="1"/>
    <x v="9"/>
    <s v="11"/>
    <s v="השכר הקובע"/>
    <s v="110"/>
    <e v="#N/A"/>
  </r>
  <r>
    <n v="124"/>
    <s v="62345"/>
    <n v="1"/>
    <s v="162345.124"/>
    <s v="החזר הוצאות                     "/>
    <m/>
    <m/>
    <n v="219000"/>
    <n v="210000"/>
    <n v="212617"/>
    <m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4"/>
    <e v="#N/A"/>
  </r>
  <r>
    <n v="126"/>
    <s v="62345"/>
    <n v="1"/>
    <s v="162345.126"/>
    <s v="הבראה                           "/>
    <m/>
    <m/>
    <n v="170000"/>
    <n v="164000"/>
    <n v="164235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6"/>
    <e v="#N/A"/>
  </r>
  <r>
    <n v="127"/>
    <s v="62345"/>
    <n v="1"/>
    <s v="162345.127"/>
    <s v="השתתפות באחזקת רכב - 33         "/>
    <m/>
    <m/>
    <n v="747000"/>
    <n v="722000"/>
    <n v="714776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7"/>
    <e v="#N/A"/>
  </r>
  <r>
    <n v="130"/>
    <s v="62345"/>
    <n v="1"/>
    <s v="162345.130"/>
    <s v="תשלומים מיוחדים                 "/>
    <m/>
    <m/>
    <n v="687000"/>
    <n v="664000"/>
    <n v="653734"/>
    <e v="#N/A"/>
    <x v="5"/>
    <s v="הנהלה כללית"/>
    <x v="22"/>
    <s v="מינהל כספי"/>
    <x v="71"/>
    <s v="גבייה"/>
    <s v="6234"/>
    <s v="גביית תשלומי בעלים"/>
    <m/>
    <s v="1"/>
    <x v="9"/>
    <s v="13"/>
    <s v="שעות נוספות"/>
    <s v="130"/>
    <e v="#N/A"/>
  </r>
  <r>
    <n v="181"/>
    <s v="62345"/>
    <n v="1"/>
    <s v="162345.181"/>
    <s v="מיסים וביטוח לאומי              "/>
    <m/>
    <m/>
    <n v="620000"/>
    <n v="615000"/>
    <n v="586402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1"/>
    <s v="הפרשות סוציאליות"/>
  </r>
  <r>
    <n v="182"/>
    <s v="62345"/>
    <n v="1"/>
    <s v="162345.182"/>
    <s v="קופות גמל והשתלמות              "/>
    <m/>
    <m/>
    <n v="651000"/>
    <n v="626000"/>
    <n v="610564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2"/>
    <s v="מיסיום ועלויות"/>
  </r>
  <r>
    <n v="230"/>
    <s v="62345"/>
    <n v="1"/>
    <s v="162345.230"/>
    <s v="משימות חולפות-7                 "/>
    <m/>
    <m/>
    <n v="450000"/>
    <n v="371000"/>
    <n v="526658"/>
    <e v="#N/A"/>
    <x v="5"/>
    <s v="הנהלה כללית"/>
    <x v="22"/>
    <s v="מינהל כספי"/>
    <x v="71"/>
    <s v="גבייה"/>
    <s v="6234"/>
    <s v="גביית תשלומי בעלים"/>
    <m/>
    <s v="2"/>
    <x v="10"/>
    <s v="23"/>
    <s v="שעות נוספות"/>
    <s v="230"/>
    <e v="#N/A"/>
  </r>
  <r>
    <n v="751"/>
    <s v="62345"/>
    <n v="1"/>
    <s v="162345.751"/>
    <s v="מדידות                          "/>
    <m/>
    <m/>
    <n v="50000"/>
    <n v="50000"/>
    <n v="60184"/>
    <e v="#N/A"/>
    <x v="5"/>
    <s v="הנהלה כללית"/>
    <x v="22"/>
    <s v="מינהל כספי"/>
    <x v="71"/>
    <s v="גבייה"/>
    <s v="6234"/>
    <s v="גביית תשלומי בעלים"/>
    <m/>
    <s v="7"/>
    <x v="13"/>
    <s v="75"/>
    <s v="עבודות קבלניות"/>
    <s v="751"/>
    <e v="#N/A"/>
  </r>
  <r>
    <n v="760"/>
    <s v="62345"/>
    <n v="1"/>
    <s v="162345.760"/>
    <s v="כביסת בגדי עבודה                "/>
    <m/>
    <m/>
    <n v="49000"/>
    <n v="49000"/>
    <n v="47665"/>
    <e v="#N/A"/>
    <x v="5"/>
    <s v="הנהלה כללית"/>
    <x v="22"/>
    <s v="מינהל כספי"/>
    <x v="71"/>
    <s v="גבייה"/>
    <s v="6234"/>
    <s v="גביית תשלומי בעלים"/>
    <m/>
    <s v="7"/>
    <x v="13"/>
    <s v="76"/>
    <s v="קניית שירותים מרשויות ומוסדות"/>
    <s v="760"/>
    <e v="#N/A"/>
  </r>
  <r>
    <n v="781"/>
    <s v="62345"/>
    <n v="1"/>
    <s v="162345.781"/>
    <s v="דמי שילוט ואגרות לע' רמה ש      "/>
    <m/>
    <m/>
    <n v="384000"/>
    <n v="384000"/>
    <n v="358060"/>
    <e v="#N/A"/>
    <x v="5"/>
    <s v="הנהלה כללית"/>
    <x v="22"/>
    <s v="מינהל כספי"/>
    <x v="71"/>
    <s v="גבייה"/>
    <s v="6234"/>
    <s v="גביית תשלומי בעלים"/>
    <m/>
    <s v="7"/>
    <x v="13"/>
    <s v="78"/>
    <s v="הוצאות שונות"/>
    <s v="781"/>
    <e v="#N/A"/>
  </r>
  <r>
    <n v="110"/>
    <s v="62347"/>
    <n v="1"/>
    <s v="162347.110"/>
    <s v="משכורת כוללת                    "/>
    <m/>
    <m/>
    <n v="663000"/>
    <n v="771000"/>
    <n v="661101"/>
    <e v="#N/A"/>
    <x v="5"/>
    <s v="הנהלה כללית"/>
    <x v="22"/>
    <s v="מינהל כספי"/>
    <x v="71"/>
    <s v="גבייה"/>
    <s v="6234"/>
    <s v="גביית תשלומי בעלים"/>
    <m/>
    <s v="1"/>
    <x v="9"/>
    <s v="11"/>
    <s v="השכר הקובע"/>
    <s v="110"/>
    <e v="#N/A"/>
  </r>
  <r>
    <n v="124"/>
    <s v="62347"/>
    <n v="1"/>
    <s v="162347.124"/>
    <s v="החזר הוצאות                     "/>
    <m/>
    <m/>
    <n v="47000"/>
    <n v="48000"/>
    <n v="46356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4"/>
    <e v="#N/A"/>
  </r>
  <r>
    <n v="126"/>
    <s v="62347"/>
    <n v="1"/>
    <s v="162347.126"/>
    <s v="הבראה                           "/>
    <m/>
    <m/>
    <n v="37000"/>
    <n v="37000"/>
    <n v="35496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6"/>
    <e v="#N/A"/>
  </r>
  <r>
    <n v="127"/>
    <s v="62347"/>
    <n v="1"/>
    <s v="162347.127"/>
    <s v="השתתפות באחזקת רכב - 8          "/>
    <m/>
    <m/>
    <n v="182000"/>
    <n v="175000"/>
    <n v="165461"/>
    <e v="#N/A"/>
    <x v="5"/>
    <s v="הנהלה כללית"/>
    <x v="22"/>
    <s v="מינהל כספי"/>
    <x v="71"/>
    <s v="גבייה"/>
    <s v="6234"/>
    <s v="גביית תשלומי בעלים"/>
    <m/>
    <s v="1"/>
    <x v="9"/>
    <s v="12"/>
    <s v="תוספות שאינן נכללות בשכר הקובע"/>
    <s v="127"/>
    <e v="#N/A"/>
  </r>
  <r>
    <n v="130"/>
    <s v="62347"/>
    <n v="1"/>
    <s v="162347.130"/>
    <s v="תשלומים מיוחדים                 "/>
    <m/>
    <m/>
    <n v="203000"/>
    <n v="202000"/>
    <n v="196374"/>
    <e v="#N/A"/>
    <x v="5"/>
    <s v="הנהלה כללית"/>
    <x v="22"/>
    <s v="מינהל כספי"/>
    <x v="71"/>
    <s v="גבייה"/>
    <s v="6234"/>
    <s v="גביית תשלומי בעלים"/>
    <m/>
    <s v="1"/>
    <x v="9"/>
    <s v="13"/>
    <s v="שעות נוספות"/>
    <s v="130"/>
    <e v="#N/A"/>
  </r>
  <r>
    <n v="170"/>
    <s v="62347"/>
    <n v="1"/>
    <s v="162347.170"/>
    <s v="סעיף שאינו חוזר                 "/>
    <m/>
    <m/>
    <n v="0"/>
    <n v="102000"/>
    <n v="31779"/>
    <e v="#N/A"/>
    <x v="5"/>
    <s v="הנהלה כללית"/>
    <x v="22"/>
    <s v="מינהל כספי"/>
    <x v="71"/>
    <s v="גבייה"/>
    <s v="6234"/>
    <s v="גביית תשלומי בעלים"/>
    <m/>
    <s v="1"/>
    <x v="9"/>
    <s v="17"/>
    <e v="#N/A"/>
    <s v="170"/>
    <e v="#N/A"/>
  </r>
  <r>
    <n v="181"/>
    <s v="62347"/>
    <n v="1"/>
    <s v="162347.181"/>
    <s v="מיסים וביטוח לאומי              "/>
    <m/>
    <m/>
    <n v="148000"/>
    <n v="175000"/>
    <n v="149895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1"/>
    <s v="הפרשות סוציאליות"/>
  </r>
  <r>
    <n v="182"/>
    <s v="62347"/>
    <n v="1"/>
    <s v="162347.182"/>
    <s v="קופות גמל והשתלמות              "/>
    <m/>
    <m/>
    <n v="129000"/>
    <n v="135000"/>
    <n v="125383"/>
    <e v="#N/A"/>
    <x v="5"/>
    <s v="הנהלה כללית"/>
    <x v="22"/>
    <s v="מינהל כספי"/>
    <x v="71"/>
    <s v="גבייה"/>
    <s v="6234"/>
    <s v="גביית תשלומי בעלים"/>
    <m/>
    <s v="1"/>
    <x v="9"/>
    <s v="18"/>
    <s v="נלוות לשכר"/>
    <s v="182"/>
    <s v="מיסיום ועלויות"/>
  </r>
  <r>
    <n v="110"/>
    <s v="62351"/>
    <n v="1"/>
    <s v="162351.110"/>
    <s v="משכורת כוללת                    "/>
    <m/>
    <m/>
    <n v="1658000"/>
    <n v="1516000"/>
    <n v="1493001"/>
    <e v="#N/A"/>
    <x v="5"/>
    <s v="הנהלה כללית"/>
    <x v="22"/>
    <s v="מינהל כספי"/>
    <x v="71"/>
    <s v="גבייה"/>
    <s v="6235"/>
    <s v="גבייה ממשרדי ממשלה"/>
    <m/>
    <s v="1"/>
    <x v="9"/>
    <s v="11"/>
    <s v="השכר הקובע"/>
    <s v="110"/>
    <e v="#N/A"/>
  </r>
  <r>
    <n v="124"/>
    <s v="62351"/>
    <n v="1"/>
    <s v="162351.124"/>
    <s v="החזר הוצאות                     "/>
    <m/>
    <m/>
    <n v="66000"/>
    <n v="74000"/>
    <n v="73209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4"/>
    <e v="#N/A"/>
  </r>
  <r>
    <n v="126"/>
    <s v="62351"/>
    <n v="1"/>
    <s v="162351.126"/>
    <s v="הבראה                           "/>
    <m/>
    <m/>
    <n v="56000"/>
    <n v="53000"/>
    <n v="53204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6"/>
    <e v="#N/A"/>
  </r>
  <r>
    <n v="127"/>
    <s v="62351"/>
    <n v="1"/>
    <s v="162351.127"/>
    <s v="השתתפות באחזקת רכב - 9          "/>
    <m/>
    <m/>
    <n v="294000"/>
    <n v="200000"/>
    <n v="202960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7"/>
    <e v="#N/A"/>
  </r>
  <r>
    <n v="130"/>
    <s v="62351"/>
    <n v="1"/>
    <s v="162351.130"/>
    <s v="תשלומים מיוחדים                 "/>
    <m/>
    <m/>
    <n v="148000"/>
    <n v="170000"/>
    <n v="163644"/>
    <e v="#N/A"/>
    <x v="5"/>
    <s v="הנהלה כללית"/>
    <x v="22"/>
    <s v="מינהל כספי"/>
    <x v="71"/>
    <s v="גבייה"/>
    <s v="6235"/>
    <s v="גבייה ממשרדי ממשלה"/>
    <m/>
    <s v="1"/>
    <x v="9"/>
    <s v="13"/>
    <s v="שעות נוספות"/>
    <s v="130"/>
    <e v="#N/A"/>
  </r>
  <r>
    <n v="181"/>
    <s v="62351"/>
    <n v="1"/>
    <s v="162351.181"/>
    <s v="מיסים וביטוח לאומי              "/>
    <m/>
    <m/>
    <n v="311000"/>
    <n v="282000"/>
    <n v="263894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1"/>
    <s v="הפרשות סוציאליות"/>
  </r>
  <r>
    <n v="182"/>
    <s v="62351"/>
    <n v="1"/>
    <s v="162351.182"/>
    <s v="קופות גמל והשתלמות              "/>
    <m/>
    <m/>
    <n v="269000"/>
    <n v="248000"/>
    <n v="241430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2"/>
    <s v="מיסיום ועלויות"/>
  </r>
  <r>
    <n v="310"/>
    <s v="62351"/>
    <n v="1"/>
    <s v="162351.310"/>
    <s v="שעות נוספות רשומות              "/>
    <m/>
    <m/>
    <n v="168000"/>
    <n v="141000"/>
    <n v="97056"/>
    <e v="#N/A"/>
    <x v="5"/>
    <s v="הנהלה כללית"/>
    <x v="22"/>
    <s v="מינהל כספי"/>
    <x v="71"/>
    <s v="גבייה"/>
    <s v="6235"/>
    <s v="גבייה ממשרדי ממשלה"/>
    <m/>
    <s v="3"/>
    <x v="14"/>
    <s v="31"/>
    <s v="פנסיה"/>
    <s v="310"/>
    <e v="#N/A"/>
  </r>
  <r>
    <n v="340"/>
    <s v="62351"/>
    <n v="1"/>
    <s v="162351.340"/>
    <s v="שעות נוספות מיוחדות             "/>
    <m/>
    <m/>
    <n v="1000"/>
    <n v="1000"/>
    <n v="0"/>
    <e v="#N/A"/>
    <x v="5"/>
    <s v="הנהלה כללית"/>
    <x v="22"/>
    <s v="מינהל כספי"/>
    <x v="71"/>
    <s v="גבייה"/>
    <s v="6235"/>
    <s v="גבייה ממשרדי ממשלה"/>
    <m/>
    <s v="3"/>
    <x v="14"/>
    <s v="34"/>
    <e v="#N/A"/>
    <s v="340"/>
    <e v="#N/A"/>
  </r>
  <r>
    <n v="433"/>
    <s v="62351"/>
    <n v="1"/>
    <s v="162351.433"/>
    <s v="ביטוח                           "/>
    <m/>
    <m/>
    <n v="106000"/>
    <n v="105000"/>
    <n v="88000"/>
    <e v="#N/A"/>
    <x v="5"/>
    <s v="הנהלה כללית"/>
    <x v="22"/>
    <s v="מינהל כספי"/>
    <x v="71"/>
    <s v="גבייה"/>
    <s v="6235"/>
    <s v="גבייה ממשרדי ממשלה"/>
    <m/>
    <s v="4"/>
    <x v="15"/>
    <s v="43"/>
    <s v="חשמל, מים וחומרי ניקיון"/>
    <s v="433"/>
    <s v="חומרי ניקיון"/>
  </r>
  <r>
    <n v="434"/>
    <s v="62351"/>
    <n v="1"/>
    <s v="162351.434"/>
    <s v="תקוני מבנים  מתקנים ואינונטר    "/>
    <m/>
    <m/>
    <n v="11000"/>
    <n v="4000"/>
    <n v="7000"/>
    <e v="#N/A"/>
    <x v="5"/>
    <s v="הנהלה כללית"/>
    <x v="22"/>
    <s v="מינהל כספי"/>
    <x v="71"/>
    <s v="גבייה"/>
    <s v="6235"/>
    <s v="גבייה ממשרדי ממשלה"/>
    <m/>
    <s v="4"/>
    <x v="15"/>
    <s v="43"/>
    <s v="חשמל, מים וחומרי ניקיון"/>
    <s v="434"/>
    <s v="שירותי ניקיון"/>
  </r>
  <r>
    <n v="439"/>
    <s v="62351"/>
    <n v="1"/>
    <s v="162351.439"/>
    <s v="אחזקת בניני העיריה-השתתפות      "/>
    <m/>
    <m/>
    <n v="39000"/>
    <n v="40000"/>
    <n v="40000"/>
    <e v="#N/A"/>
    <x v="5"/>
    <s v="הנהלה כללית"/>
    <x v="22"/>
    <s v="מינהל כספי"/>
    <x v="71"/>
    <s v="גבייה"/>
    <s v="6235"/>
    <s v="גבייה ממשרדי ממשלה"/>
    <m/>
    <s v="4"/>
    <x v="15"/>
    <s v="43"/>
    <s v="חשמל, מים וחומרי ניקיון"/>
    <s v="439"/>
    <e v="#N/A"/>
  </r>
  <r>
    <n v="461"/>
    <s v="62351"/>
    <n v="1"/>
    <s v="162351.461"/>
    <s v="צורכי משרד                      "/>
    <m/>
    <m/>
    <n v="67000"/>
    <n v="70000"/>
    <n v="68400"/>
    <e v="#N/A"/>
    <x v="5"/>
    <s v="הנהלה כללית"/>
    <x v="22"/>
    <s v="מינהל כספי"/>
    <x v="71"/>
    <s v="גבייה"/>
    <s v="6235"/>
    <s v="גבייה ממשרדי ממשלה"/>
    <m/>
    <s v="4"/>
    <x v="15"/>
    <s v="46"/>
    <e v="#N/A"/>
    <s v="461"/>
    <e v="#N/A"/>
  </r>
  <r>
    <n v="462"/>
    <s v="62351"/>
    <n v="1"/>
    <s v="162351.462"/>
    <s v="ספרים ועתונים                   "/>
    <m/>
    <m/>
    <n v="6000"/>
    <n v="9000"/>
    <n v="6000"/>
    <e v="#N/A"/>
    <x v="5"/>
    <s v="הנהלה כללית"/>
    <x v="22"/>
    <s v="מינהל כספי"/>
    <x v="71"/>
    <s v="גבייה"/>
    <s v="6235"/>
    <s v="גבייה ממשרדי ממשלה"/>
    <m/>
    <s v="4"/>
    <x v="15"/>
    <s v="46"/>
    <e v="#N/A"/>
    <s v="462"/>
    <e v="#N/A"/>
  </r>
  <r>
    <n v="464"/>
    <s v="62351"/>
    <n v="1"/>
    <s v="162351.464"/>
    <s v="דאר                             "/>
    <m/>
    <m/>
    <n v="25000"/>
    <n v="30000"/>
    <n v="20275"/>
    <e v="#N/A"/>
    <x v="5"/>
    <s v="הנהלה כללית"/>
    <x v="22"/>
    <s v="מינהל כספי"/>
    <x v="71"/>
    <s v="גבייה"/>
    <s v="6235"/>
    <s v="גבייה ממשרדי ממשלה"/>
    <m/>
    <s v="4"/>
    <x v="15"/>
    <s v="46"/>
    <e v="#N/A"/>
    <s v="464"/>
    <e v="#N/A"/>
  </r>
  <r>
    <n v="510"/>
    <s v="62351"/>
    <n v="1"/>
    <s v="162351.510"/>
    <s v="נסיעות  ואש ל                   "/>
    <m/>
    <m/>
    <n v="2000"/>
    <n v="2000"/>
    <n v="2000"/>
    <e v="#N/A"/>
    <x v="5"/>
    <s v="הנהלה כללית"/>
    <x v="22"/>
    <s v="מינהל כספי"/>
    <x v="71"/>
    <s v="גבייה"/>
    <s v="6235"/>
    <s v="גבייה ממשרדי ממשלה"/>
    <m/>
    <s v="5"/>
    <x v="11"/>
    <s v="51"/>
    <s v="אש&quot;ל וכיבודים"/>
    <s v="510"/>
    <e v="#N/A"/>
  </r>
  <r>
    <n v="521"/>
    <s v="62351"/>
    <n v="1"/>
    <s v="162351.521"/>
    <s v="הדרכה וכנסים                    "/>
    <m/>
    <m/>
    <n v="20000"/>
    <n v="19000"/>
    <n v="19000"/>
    <e v="#N/A"/>
    <x v="5"/>
    <s v="הנהלה כללית"/>
    <x v="22"/>
    <s v="מינהל כספי"/>
    <x v="71"/>
    <s v="גבייה"/>
    <s v="6235"/>
    <s v="גבייה ממשרדי ממשלה"/>
    <m/>
    <s v="5"/>
    <x v="11"/>
    <s v="52"/>
    <s v="השתלמויות וספרות מקצועית"/>
    <s v="521"/>
    <s v="השתלמויות וספרות מקצועית"/>
  </r>
  <r>
    <n v="522"/>
    <s v="62351"/>
    <n v="1"/>
    <s v="162351.522"/>
    <s v="גיבוש יחידתי                    "/>
    <m/>
    <m/>
    <n v="8000"/>
    <n v="7000"/>
    <n v="7000"/>
    <e v="#N/A"/>
    <x v="5"/>
    <s v="הנהלה כללית"/>
    <x v="22"/>
    <s v="מינהל כספי"/>
    <x v="71"/>
    <s v="גבייה"/>
    <s v="6235"/>
    <s v="גבייה ממשרדי ממשלה"/>
    <m/>
    <s v="5"/>
    <x v="11"/>
    <s v="52"/>
    <s v="השתלמויות וספרות מקצועית"/>
    <s v="522"/>
    <s v="ספרות מקצועית ועיתונות"/>
  </r>
  <r>
    <n v="531"/>
    <s v="62351"/>
    <n v="1"/>
    <s v="162351.531"/>
    <s v="אחזקת רכב                       "/>
    <m/>
    <m/>
    <n v="3000"/>
    <n v="6000"/>
    <n v="1796"/>
    <e v="#N/A"/>
    <x v="5"/>
    <s v="הנהלה כללית"/>
    <x v="22"/>
    <s v="מינהל כספי"/>
    <x v="71"/>
    <s v="גבייה"/>
    <s v="6235"/>
    <s v="גבייה ממשרדי ממשלה"/>
    <m/>
    <s v="5"/>
    <x v="11"/>
    <s v="53"/>
    <s v="הוצאות רכב מינהלי"/>
    <s v="531"/>
    <s v="דלק ושמנים"/>
  </r>
  <r>
    <n v="532"/>
    <s v="62351"/>
    <n v="1"/>
    <s v="162351.532"/>
    <s v="ביטוח רכב                       "/>
    <m/>
    <m/>
    <n v="11000"/>
    <n v="12000"/>
    <n v="10868"/>
    <e v="#N/A"/>
    <x v="5"/>
    <s v="הנהלה כללית"/>
    <x v="22"/>
    <s v="מינהל כספי"/>
    <x v="71"/>
    <s v="גבייה"/>
    <s v="6235"/>
    <s v="גבייה ממשרדי ממשלה"/>
    <m/>
    <s v="5"/>
    <x v="11"/>
    <s v="53"/>
    <s v="הוצאות רכב מינהלי"/>
    <s v="532"/>
    <s v="תיקונים"/>
  </r>
  <r>
    <n v="533"/>
    <s v="62351"/>
    <n v="1"/>
    <s v="162351.533"/>
    <s v="שכירת רכב ורכב עירוני           "/>
    <m/>
    <m/>
    <n v="40000"/>
    <n v="40000"/>
    <n v="36240"/>
    <e v="#N/A"/>
    <x v="5"/>
    <s v="הנהלה כללית"/>
    <x v="22"/>
    <s v="מינהל כספי"/>
    <x v="71"/>
    <s v="גבייה"/>
    <s v="6235"/>
    <s v="גבייה ממשרדי ממשלה"/>
    <m/>
    <s v="5"/>
    <x v="11"/>
    <s v="53"/>
    <s v="הוצאות רכב מינהלי"/>
    <s v="533"/>
    <s v="רישוי וביטוח"/>
  </r>
  <r>
    <n v="534"/>
    <s v="62351"/>
    <n v="1"/>
    <s v="162351.534"/>
    <s v="דלק ושמן                        "/>
    <m/>
    <m/>
    <n v="22000"/>
    <n v="22000"/>
    <n v="13659"/>
    <e v="#N/A"/>
    <x v="5"/>
    <s v="הנהלה כללית"/>
    <x v="22"/>
    <s v="מינהל כספי"/>
    <x v="71"/>
    <s v="גבייה"/>
    <s v="6235"/>
    <s v="גבייה ממשרדי ממשלה"/>
    <m/>
    <s v="5"/>
    <x v="11"/>
    <s v="53"/>
    <s v="הוצאות רכב מינהלי"/>
    <s v="534"/>
    <e v="#N/A"/>
  </r>
  <r>
    <n v="541"/>
    <s v="62351"/>
    <n v="1"/>
    <s v="162351.541"/>
    <s v="החזקת מכשירי קשר וסלולר         "/>
    <m/>
    <m/>
    <n v="36000"/>
    <n v="25000"/>
    <n v="32088"/>
    <e v="#N/A"/>
    <x v="5"/>
    <s v="הנהלה כללית"/>
    <x v="22"/>
    <s v="מינהל כספי"/>
    <x v="71"/>
    <s v="גבייה"/>
    <s v="6235"/>
    <s v="גבייה ממשרדי ממשלה"/>
    <m/>
    <s v="5"/>
    <x v="11"/>
    <s v="54"/>
    <s v="הוצאות תקשורת"/>
    <s v="541"/>
    <e v="#N/A"/>
  </r>
  <r>
    <n v="610"/>
    <s v="62351"/>
    <n v="1"/>
    <s v="162351.610"/>
    <s v="כיבודים                         "/>
    <m/>
    <m/>
    <n v="16000"/>
    <n v="12000"/>
    <n v="15000"/>
    <e v="#N/A"/>
    <x v="5"/>
    <s v="הנהלה כללית"/>
    <x v="22"/>
    <s v="מינהל כספי"/>
    <x v="71"/>
    <s v="גבייה"/>
    <s v="6235"/>
    <s v="גבייה ממשרדי ממשלה"/>
    <m/>
    <s v="6"/>
    <x v="12"/>
    <s v="61"/>
    <s v="עמלות"/>
    <s v="610"/>
    <e v="#N/A"/>
  </r>
  <r>
    <n v="621"/>
    <s v="62351"/>
    <n v="1"/>
    <s v="162351.621"/>
    <s v="הוצאות משפטיות - אגרות          "/>
    <m/>
    <m/>
    <n v="45000"/>
    <n v="45000"/>
    <n v="12151"/>
    <e v="#N/A"/>
    <x v="5"/>
    <s v="הנהלה כללית"/>
    <x v="22"/>
    <s v="מינהל כספי"/>
    <x v="71"/>
    <s v="גבייה"/>
    <s v="6235"/>
    <s v="גבייה ממשרדי ממשלה"/>
    <m/>
    <s v="6"/>
    <x v="12"/>
    <s v="62"/>
    <s v="ריבית משיכת יתר"/>
    <s v="621"/>
    <e v="#N/A"/>
  </r>
  <r>
    <n v="670"/>
    <s v="62351"/>
    <n v="1"/>
    <s v="162351.670"/>
    <s v="סעיף שאינו חוזר                 "/>
    <m/>
    <m/>
    <n v="0"/>
    <n v="12000"/>
    <n v="2112435"/>
    <e v="#N/A"/>
    <x v="5"/>
    <s v="הנהלה כללית"/>
    <x v="22"/>
    <s v="מינהל כספי"/>
    <x v="71"/>
    <s v="גבייה"/>
    <s v="6235"/>
    <s v="גבייה ממשרדי ממשלה"/>
    <m/>
    <s v="6"/>
    <x v="12"/>
    <s v="67"/>
    <e v="#N/A"/>
    <s v="670"/>
    <e v="#N/A"/>
  </r>
  <r>
    <n v="680"/>
    <s v="62351"/>
    <n v="1"/>
    <s v="162351.680"/>
    <s v="הוצאות מיוחדות                  "/>
    <m/>
    <m/>
    <n v="10000"/>
    <n v="10000"/>
    <n v="10000"/>
    <e v="#N/A"/>
    <x v="5"/>
    <s v="הנהלה כללית"/>
    <x v="22"/>
    <s v="מינהל כספי"/>
    <x v="71"/>
    <s v="גבייה"/>
    <s v="6235"/>
    <s v="גבייה ממשרדי ממשלה"/>
    <m/>
    <s v="6"/>
    <x v="12"/>
    <s v="68"/>
    <s v="ריבית על הוצאות אחרות"/>
    <s v="680"/>
    <e v="#N/A"/>
  </r>
  <r>
    <n v="691"/>
    <s v="62351"/>
    <n v="1"/>
    <s v="162351.691"/>
    <s v="מערכות מידע ומחשוב              "/>
    <m/>
    <m/>
    <n v="1260000"/>
    <n v="1420000"/>
    <n v="1187274"/>
    <e v="#N/A"/>
    <x v="5"/>
    <s v="הנהלה כללית"/>
    <x v="22"/>
    <s v="מינהל כספי"/>
    <x v="71"/>
    <s v="גבייה"/>
    <s v="6235"/>
    <s v="גבייה ממשרדי ממשלה"/>
    <m/>
    <s v="6"/>
    <x v="12"/>
    <s v="69"/>
    <s v="שונות"/>
    <s v="691"/>
    <s v="תשלום ע&quot;ח קרן"/>
  </r>
  <r>
    <n v="693"/>
    <s v="62351"/>
    <n v="1"/>
    <s v="162351.693"/>
    <s v="מיחשוב יחידתי                   "/>
    <m/>
    <m/>
    <n v="42000"/>
    <n v="39000"/>
    <n v="50000"/>
    <e v="#N/A"/>
    <x v="5"/>
    <s v="הנהלה כללית"/>
    <x v="22"/>
    <s v="מינהל כספי"/>
    <x v="71"/>
    <s v="גבייה"/>
    <s v="6235"/>
    <s v="גבייה ממשרדי ממשלה"/>
    <m/>
    <s v="6"/>
    <x v="12"/>
    <s v="69"/>
    <s v="שונות"/>
    <s v="693"/>
    <s v="תשלום ע&quot;ח הצמדת ערך"/>
  </r>
  <r>
    <n v="710"/>
    <s v="62351"/>
    <n v="1"/>
    <s v="162351.710"/>
    <s v="הובלות וסבלות                   "/>
    <m/>
    <m/>
    <n v="28000"/>
    <n v="28000"/>
    <n v="23000"/>
    <e v="#N/A"/>
    <x v="5"/>
    <s v="הנהלה כללית"/>
    <x v="22"/>
    <s v="מינהל כספי"/>
    <x v="71"/>
    <s v="גבייה"/>
    <s v="6235"/>
    <s v="גבייה ממשרדי ממשלה"/>
    <m/>
    <s v="7"/>
    <x v="13"/>
    <s v="71"/>
    <s v="הובלות והסעות קבלניות"/>
    <s v="710"/>
    <e v="#N/A"/>
  </r>
  <r>
    <n v="751"/>
    <s v="62351"/>
    <n v="1"/>
    <s v="162351.751"/>
    <s v="יעוץ מקצועי                     "/>
    <m/>
    <m/>
    <n v="126000"/>
    <n v="176000"/>
    <n v="198999"/>
    <m/>
    <x v="5"/>
    <s v="הנהלה כללית"/>
    <x v="22"/>
    <s v="מינהל כספי"/>
    <x v="71"/>
    <s v="גבייה"/>
    <s v="6235"/>
    <s v="גבייה ממשרדי ממשלה"/>
    <m/>
    <s v="7"/>
    <x v="13"/>
    <s v="75"/>
    <s v="עבודות קבלניות"/>
    <s v="751"/>
    <e v="#N/A"/>
  </r>
  <r>
    <n v="753"/>
    <s v="62351"/>
    <n v="1"/>
    <s v="162351.753"/>
    <s v="אחזקת מכונות תשלום              "/>
    <m/>
    <m/>
    <n v="33000"/>
    <n v="33000"/>
    <n v="22000"/>
    <e v="#N/A"/>
    <x v="5"/>
    <s v="הנהלה כללית"/>
    <x v="22"/>
    <s v="מינהל כספי"/>
    <x v="71"/>
    <s v="גבייה"/>
    <s v="6235"/>
    <s v="גבייה ממשרדי ממשלה"/>
    <m/>
    <s v="7"/>
    <x v="13"/>
    <s v="75"/>
    <s v="עבודות קבלניות"/>
    <s v="753"/>
    <e v="#N/A"/>
  </r>
  <r>
    <n v="932"/>
    <s v="62351"/>
    <n v="1"/>
    <s v="162351.932"/>
    <s v="ציוד ורהוט משרדי                "/>
    <m/>
    <m/>
    <n v="15000"/>
    <n v="15000"/>
    <n v="14208"/>
    <e v="#N/A"/>
    <x v="5"/>
    <s v="הנהלה כללית"/>
    <x v="22"/>
    <s v="מינהל כספי"/>
    <x v="71"/>
    <s v="גבייה"/>
    <s v="6235"/>
    <s v="גבייה ממשרדי ממשלה"/>
    <m/>
    <s v="9"/>
    <x v="17"/>
    <s v="93"/>
    <s v="רכישת ציוד יסודי"/>
    <s v="932"/>
    <e v="#N/A"/>
  </r>
  <r>
    <n v="110"/>
    <s v="62352"/>
    <n v="1"/>
    <s v="162352.110"/>
    <s v="משכורת כוללת                    "/>
    <m/>
    <m/>
    <n v="1370000"/>
    <n v="1148000"/>
    <n v="995465"/>
    <e v="#N/A"/>
    <x v="5"/>
    <s v="הנהלה כללית"/>
    <x v="22"/>
    <s v="מינהל כספי"/>
    <x v="71"/>
    <s v="גבייה"/>
    <s v="6235"/>
    <s v="גבייה ממשרדי ממשלה"/>
    <m/>
    <s v="1"/>
    <x v="9"/>
    <s v="11"/>
    <s v="השכר הקובע"/>
    <s v="110"/>
    <e v="#N/A"/>
  </r>
  <r>
    <n v="124"/>
    <s v="62352"/>
    <n v="1"/>
    <s v="162352.124"/>
    <s v="החזר הוצאות                     "/>
    <m/>
    <m/>
    <n v="122000"/>
    <n v="101000"/>
    <n v="95062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4"/>
    <e v="#N/A"/>
  </r>
  <r>
    <n v="126"/>
    <s v="62352"/>
    <n v="1"/>
    <s v="162352.126"/>
    <s v="הבראה                           "/>
    <m/>
    <m/>
    <n v="72000"/>
    <n v="63000"/>
    <n v="51445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6"/>
    <e v="#N/A"/>
  </r>
  <r>
    <n v="127"/>
    <s v="62352"/>
    <n v="1"/>
    <s v="162352.127"/>
    <s v="השתתפות באחזקת רכב -12          "/>
    <m/>
    <m/>
    <n v="323000"/>
    <n v="258000"/>
    <n v="234981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7"/>
    <e v="#N/A"/>
  </r>
  <r>
    <n v="130"/>
    <s v="62352"/>
    <n v="1"/>
    <s v="162352.130"/>
    <s v="תשלומים מיוחדים                 "/>
    <m/>
    <m/>
    <n v="263000"/>
    <n v="226000"/>
    <n v="202863"/>
    <e v="#N/A"/>
    <x v="5"/>
    <s v="הנהלה כללית"/>
    <x v="22"/>
    <s v="מינהל כספי"/>
    <x v="71"/>
    <s v="גבייה"/>
    <s v="6235"/>
    <s v="גבייה ממשרדי ממשלה"/>
    <m/>
    <s v="1"/>
    <x v="9"/>
    <s v="13"/>
    <s v="שעות נוספות"/>
    <s v="130"/>
    <e v="#N/A"/>
  </r>
  <r>
    <n v="181"/>
    <s v="62352"/>
    <n v="1"/>
    <s v="162352.181"/>
    <s v="מיסים וביטוח לאומי              "/>
    <m/>
    <m/>
    <n v="289000"/>
    <n v="248000"/>
    <n v="216637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1"/>
    <s v="הפרשות סוציאליות"/>
  </r>
  <r>
    <n v="182"/>
    <s v="62352"/>
    <n v="1"/>
    <s v="162352.182"/>
    <s v="קופות גמל והשתלמות              "/>
    <m/>
    <m/>
    <n v="298000"/>
    <n v="262000"/>
    <n v="218142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2"/>
    <s v="מיסיום ועלויות"/>
  </r>
  <r>
    <n v="230"/>
    <s v="62352"/>
    <n v="1"/>
    <s v="162352.230"/>
    <s v="משימה חולפת-1                   "/>
    <m/>
    <m/>
    <n v="61000"/>
    <n v="99000"/>
    <n v="22738"/>
    <e v="#N/A"/>
    <x v="5"/>
    <s v="הנהלה כללית"/>
    <x v="22"/>
    <s v="מינהל כספי"/>
    <x v="71"/>
    <s v="גבייה"/>
    <s v="6235"/>
    <s v="גבייה ממשרדי ממשלה"/>
    <m/>
    <s v="2"/>
    <x v="10"/>
    <s v="23"/>
    <s v="שעות נוספות"/>
    <s v="230"/>
    <e v="#N/A"/>
  </r>
  <r>
    <n v="110"/>
    <s v="62353"/>
    <n v="1"/>
    <s v="162353.110"/>
    <s v="משכורת כוללת                    "/>
    <m/>
    <m/>
    <n v="1037000"/>
    <n v="963000"/>
    <n v="1049785"/>
    <m/>
    <x v="5"/>
    <s v="הנהלה כללית"/>
    <x v="22"/>
    <s v="מינהל כספי"/>
    <x v="71"/>
    <s v="גבייה"/>
    <s v="6235"/>
    <s v="גבייה ממשרדי ממשלה"/>
    <m/>
    <s v="1"/>
    <x v="9"/>
    <s v="11"/>
    <s v="השכר הקובע"/>
    <s v="110"/>
    <e v="#N/A"/>
  </r>
  <r>
    <n v="124"/>
    <s v="62353"/>
    <n v="1"/>
    <s v="162353.124"/>
    <s v="החזר הוצאות                     "/>
    <m/>
    <m/>
    <n v="55000"/>
    <n v="51000"/>
    <n v="57018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4"/>
    <e v="#N/A"/>
  </r>
  <r>
    <n v="126"/>
    <s v="62353"/>
    <n v="1"/>
    <s v="162353.126"/>
    <s v="הבראה                           "/>
    <m/>
    <m/>
    <n v="46000"/>
    <n v="49000"/>
    <n v="51886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6"/>
    <e v="#N/A"/>
  </r>
  <r>
    <n v="127"/>
    <s v="62353"/>
    <n v="1"/>
    <s v="162353.127"/>
    <s v="השתתפות באחזקת רכב - 9          "/>
    <m/>
    <m/>
    <n v="222000"/>
    <n v="221000"/>
    <n v="236031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7"/>
    <e v="#N/A"/>
  </r>
  <r>
    <n v="130"/>
    <s v="62353"/>
    <n v="1"/>
    <s v="162353.130"/>
    <s v="תשלומים מיוחדים                 "/>
    <m/>
    <m/>
    <n v="174000"/>
    <n v="186000"/>
    <n v="190007"/>
    <e v="#N/A"/>
    <x v="5"/>
    <s v="הנהלה כללית"/>
    <x v="22"/>
    <s v="מינהל כספי"/>
    <x v="71"/>
    <s v="גבייה"/>
    <s v="6235"/>
    <s v="גבייה ממשרדי ממשלה"/>
    <m/>
    <s v="1"/>
    <x v="9"/>
    <s v="13"/>
    <s v="שעות נוספות"/>
    <s v="130"/>
    <e v="#N/A"/>
  </r>
  <r>
    <n v="181"/>
    <s v="62353"/>
    <n v="1"/>
    <s v="162353.181"/>
    <s v="מיסים וביטוח לאומי              "/>
    <m/>
    <m/>
    <n v="201000"/>
    <n v="192000"/>
    <n v="209327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1"/>
    <s v="הפרשות סוציאליות"/>
  </r>
  <r>
    <n v="182"/>
    <s v="62353"/>
    <n v="1"/>
    <s v="162353.182"/>
    <s v="קופות גמל והשתלמות              "/>
    <m/>
    <m/>
    <n v="229000"/>
    <n v="209000"/>
    <n v="224020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2"/>
    <s v="מיסיום ועלויות"/>
  </r>
  <r>
    <n v="621"/>
    <s v="62353"/>
    <n v="1"/>
    <s v="162353.621"/>
    <s v="הוצאות משפטיות - אגרות          "/>
    <m/>
    <m/>
    <n v="5000"/>
    <n v="5000"/>
    <n v="5000"/>
    <e v="#N/A"/>
    <x v="5"/>
    <s v="הנהלה כללית"/>
    <x v="22"/>
    <s v="מינהל כספי"/>
    <x v="71"/>
    <s v="גבייה"/>
    <s v="6235"/>
    <s v="גבייה ממשרדי ממשלה"/>
    <m/>
    <s v="6"/>
    <x v="12"/>
    <s v="62"/>
    <s v="ריבית משיכת יתר"/>
    <s v="621"/>
    <e v="#N/A"/>
  </r>
  <r>
    <n v="622"/>
    <s v="62353"/>
    <n v="1"/>
    <s v="162353.622"/>
    <s v="הוצאות משפטיות עו ד             "/>
    <m/>
    <m/>
    <n v="10000"/>
    <n v="10000"/>
    <n v="10000"/>
    <e v="#N/A"/>
    <x v="5"/>
    <s v="הנהלה כללית"/>
    <x v="22"/>
    <s v="מינהל כספי"/>
    <x v="71"/>
    <s v="גבייה"/>
    <s v="6235"/>
    <s v="גבייה ממשרדי ממשלה"/>
    <m/>
    <s v="6"/>
    <x v="12"/>
    <s v="62"/>
    <s v="ריבית משיכת יתר"/>
    <s v="622"/>
    <e v="#N/A"/>
  </r>
  <r>
    <n v="753"/>
    <s v="62353"/>
    <n v="1"/>
    <s v="162353.753"/>
    <s v="שימוש במאגרי מידע               "/>
    <m/>
    <m/>
    <n v="2000"/>
    <n v="2000"/>
    <n v="1984"/>
    <e v="#N/A"/>
    <x v="5"/>
    <s v="הנהלה כללית"/>
    <x v="22"/>
    <s v="מינהל כספי"/>
    <x v="71"/>
    <s v="גבייה"/>
    <s v="6235"/>
    <s v="גבייה ממשרדי ממשלה"/>
    <m/>
    <s v="7"/>
    <x v="13"/>
    <s v="75"/>
    <s v="עבודות קבלניות"/>
    <s v="753"/>
    <e v="#N/A"/>
  </r>
  <r>
    <n v="110"/>
    <s v="62354"/>
    <n v="1"/>
    <s v="162354.110"/>
    <s v="משכורת כוללת                    "/>
    <m/>
    <m/>
    <n v="2040000"/>
    <n v="2188000"/>
    <n v="1787037"/>
    <e v="#N/A"/>
    <x v="5"/>
    <s v="הנהלה כללית"/>
    <x v="22"/>
    <s v="מינהל כספי"/>
    <x v="71"/>
    <s v="גבייה"/>
    <s v="6235"/>
    <s v="גבייה ממשרדי ממשלה"/>
    <m/>
    <s v="1"/>
    <x v="9"/>
    <s v="11"/>
    <s v="השכר הקובע"/>
    <s v="110"/>
    <e v="#N/A"/>
  </r>
  <r>
    <n v="124"/>
    <s v="62354"/>
    <n v="1"/>
    <s v="162354.124"/>
    <s v="החזר הוצאות                     "/>
    <m/>
    <m/>
    <n v="152000"/>
    <n v="98000"/>
    <n v="82350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4"/>
    <e v="#N/A"/>
  </r>
  <r>
    <n v="126"/>
    <s v="62354"/>
    <n v="1"/>
    <s v="162354.126"/>
    <s v="הבראה                           "/>
    <m/>
    <m/>
    <n v="74000"/>
    <n v="69000"/>
    <n v="56786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6"/>
    <e v="#N/A"/>
  </r>
  <r>
    <n v="127"/>
    <s v="62354"/>
    <n v="1"/>
    <s v="162354.127"/>
    <s v="השתתפות באחזקת רכב - 11         "/>
    <m/>
    <m/>
    <n v="406000"/>
    <n v="457000"/>
    <n v="373568"/>
    <e v="#N/A"/>
    <x v="5"/>
    <s v="הנהלה כללית"/>
    <x v="22"/>
    <s v="מינהל כספי"/>
    <x v="71"/>
    <s v="גבייה"/>
    <s v="6235"/>
    <s v="גבייה ממשרדי ממשלה"/>
    <m/>
    <s v="1"/>
    <x v="9"/>
    <s v="12"/>
    <s v="תוספות שאינן נכללות בשכר הקובע"/>
    <s v="127"/>
    <e v="#N/A"/>
  </r>
  <r>
    <n v="130"/>
    <s v="62354"/>
    <n v="1"/>
    <s v="162354.130"/>
    <s v="תשלומים מיוחדים                 "/>
    <m/>
    <m/>
    <n v="204000"/>
    <n v="195000"/>
    <n v="188077"/>
    <e v="#N/A"/>
    <x v="5"/>
    <s v="הנהלה כללית"/>
    <x v="22"/>
    <s v="מינהל כספי"/>
    <x v="71"/>
    <s v="גבייה"/>
    <s v="6235"/>
    <s v="גבייה ממשרדי ממשלה"/>
    <m/>
    <s v="1"/>
    <x v="9"/>
    <s v="13"/>
    <s v="שעות נוספות"/>
    <s v="130"/>
    <e v="#N/A"/>
  </r>
  <r>
    <n v="181"/>
    <s v="62354"/>
    <n v="1"/>
    <s v="162354.181"/>
    <s v="מיסים וביטוח לאומי              "/>
    <m/>
    <m/>
    <n v="392000"/>
    <n v="411000"/>
    <n v="334351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1"/>
    <s v="הפרשות סוציאליות"/>
  </r>
  <r>
    <n v="182"/>
    <s v="62354"/>
    <n v="1"/>
    <s v="162354.182"/>
    <s v="קופות גמל והשתלמות              "/>
    <m/>
    <m/>
    <n v="476000"/>
    <n v="486000"/>
    <n v="385150"/>
    <e v="#N/A"/>
    <x v="5"/>
    <s v="הנהלה כללית"/>
    <x v="22"/>
    <s v="מינהל כספי"/>
    <x v="71"/>
    <s v="גבייה"/>
    <s v="6235"/>
    <s v="גבייה ממשרדי ממשלה"/>
    <m/>
    <s v="1"/>
    <x v="9"/>
    <s v="18"/>
    <s v="נלוות לשכר"/>
    <s v="182"/>
    <s v="מיסיום ועלויות"/>
  </r>
  <r>
    <n v="340"/>
    <s v="62354"/>
    <n v="1"/>
    <s v="162354.340"/>
    <s v="שעות נוספות מיוחדות             "/>
    <m/>
    <m/>
    <n v="123000"/>
    <n v="135000"/>
    <n v="0"/>
    <e v="#N/A"/>
    <x v="5"/>
    <s v="הנהלה כללית"/>
    <x v="22"/>
    <s v="מינהל כספי"/>
    <x v="71"/>
    <s v="גבייה"/>
    <s v="6235"/>
    <s v="גבייה ממשרדי ממשלה"/>
    <m/>
    <s v="3"/>
    <x v="14"/>
    <s v="34"/>
    <e v="#N/A"/>
    <s v="340"/>
    <e v="#N/A"/>
  </r>
  <r>
    <n v="755"/>
    <s v="62354"/>
    <n v="1"/>
    <s v="162354.755"/>
    <s v="שמאות להיטל השבחה               "/>
    <m/>
    <m/>
    <n v="9822000"/>
    <n v="9822000"/>
    <n v="10394459"/>
    <e v="#N/A"/>
    <x v="5"/>
    <s v="הנהלה כללית"/>
    <x v="22"/>
    <s v="מינהל כספי"/>
    <x v="71"/>
    <s v="גבייה"/>
    <s v="6235"/>
    <s v="גבייה ממשרדי ממשלה"/>
    <m/>
    <s v="7"/>
    <x v="13"/>
    <s v="75"/>
    <s v="עבודות קבלניות"/>
    <s v="755"/>
    <e v="#N/A"/>
  </r>
  <r>
    <n v="756"/>
    <s v="62354"/>
    <n v="1"/>
    <s v="162354.756"/>
    <s v="יעוץ שמאי ומשפטי לירידת ערך     "/>
    <m/>
    <m/>
    <n v="530000"/>
    <n v="680000"/>
    <n v="375000"/>
    <e v="#N/A"/>
    <x v="5"/>
    <s v="הנהלה כללית"/>
    <x v="22"/>
    <s v="מינהל כספי"/>
    <x v="71"/>
    <s v="גבייה"/>
    <s v="6235"/>
    <s v="גבייה ממשרדי ממשלה"/>
    <m/>
    <s v="7"/>
    <x v="13"/>
    <s v="75"/>
    <s v="עבודות קבלניות"/>
    <s v="756"/>
    <e v="#N/A"/>
  </r>
  <r>
    <n v="110"/>
    <s v="62361"/>
    <n v="1"/>
    <s v="162361.110"/>
    <s v="משכורת כוללת                    "/>
    <m/>
    <m/>
    <n v="3657000"/>
    <n v="4166000"/>
    <n v="3996279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1"/>
    <n v="1"/>
    <s v="162361.124"/>
    <s v="החזר הוצאות                     "/>
    <m/>
    <m/>
    <n v="265000"/>
    <n v="309000"/>
    <n v="305924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1"/>
    <n v="1"/>
    <s v="162361.126"/>
    <s v="הבראה                           "/>
    <m/>
    <m/>
    <n v="193000"/>
    <n v="222000"/>
    <n v="221708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1"/>
    <n v="1"/>
    <s v="162361.127"/>
    <s v="השתתפות באחזקת רכב - 36         "/>
    <m/>
    <m/>
    <n v="812000"/>
    <n v="863000"/>
    <n v="869906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1"/>
    <n v="1"/>
    <s v="162361.130"/>
    <s v="תשלומים מיוחדים                 "/>
    <m/>
    <m/>
    <n v="751000"/>
    <n v="774000"/>
    <n v="777831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70"/>
    <s v="62361"/>
    <n v="1"/>
    <s v="162361.170"/>
    <s v="סעיף שאינו חוזר                 "/>
    <m/>
    <m/>
    <n v="0"/>
    <n v="765000"/>
    <n v="20102"/>
    <m/>
    <x v="5"/>
    <s v="הנהלה כללית"/>
    <x v="22"/>
    <s v="מינהל כספי"/>
    <x v="71"/>
    <s v="גבייה"/>
    <s v="6236"/>
    <s v="הוצאות לפועל"/>
    <m/>
    <s v="1"/>
    <x v="9"/>
    <s v="17"/>
    <e v="#N/A"/>
    <s v="170"/>
    <e v="#N/A"/>
  </r>
  <r>
    <n v="181"/>
    <s v="62361"/>
    <n v="1"/>
    <s v="162361.181"/>
    <s v="מיסים וביטוח לאומי              "/>
    <m/>
    <m/>
    <n v="1070000"/>
    <n v="1149000"/>
    <n v="867662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1"/>
    <n v="1"/>
    <s v="162361.182"/>
    <s v="קופות גמל והשתלמות              "/>
    <m/>
    <m/>
    <n v="954000"/>
    <n v="1010000"/>
    <n v="97495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310"/>
    <s v="62361"/>
    <n v="1"/>
    <s v="162361.310"/>
    <s v="שעות נוספות רשומות              "/>
    <m/>
    <m/>
    <n v="2219000"/>
    <n v="2175000"/>
    <n v="1636657"/>
    <e v="#N/A"/>
    <x v="5"/>
    <s v="הנהלה כללית"/>
    <x v="22"/>
    <s v="מינהל כספי"/>
    <x v="71"/>
    <s v="גבייה"/>
    <s v="6236"/>
    <s v="הוצאות לפועל"/>
    <m/>
    <s v="3"/>
    <x v="14"/>
    <s v="31"/>
    <s v="פנסיה"/>
    <s v="310"/>
    <e v="#N/A"/>
  </r>
  <r>
    <n v="340"/>
    <s v="62361"/>
    <n v="1"/>
    <s v="162361.340"/>
    <s v="שעות נוספות מיוחדות             "/>
    <m/>
    <m/>
    <n v="285000"/>
    <n v="279000"/>
    <n v="136157"/>
    <e v="#N/A"/>
    <x v="5"/>
    <s v="הנהלה כללית"/>
    <x v="22"/>
    <s v="מינהל כספי"/>
    <x v="71"/>
    <s v="גבייה"/>
    <s v="6236"/>
    <s v="הוצאות לפועל"/>
    <m/>
    <s v="3"/>
    <x v="14"/>
    <s v="34"/>
    <e v="#N/A"/>
    <s v="340"/>
    <e v="#N/A"/>
  </r>
  <r>
    <n v="411"/>
    <s v="62361"/>
    <n v="1"/>
    <s v="162361.411"/>
    <s v="שכר דירה                        "/>
    <m/>
    <m/>
    <n v="3055000"/>
    <n v="3055000"/>
    <n v="2816359"/>
    <e v="#N/A"/>
    <x v="5"/>
    <s v="הנהלה כללית"/>
    <x v="22"/>
    <s v="מינהל כספי"/>
    <x v="71"/>
    <s v="גבייה"/>
    <s v="6236"/>
    <s v="הוצאות לפועל"/>
    <m/>
    <s v="4"/>
    <x v="15"/>
    <s v="41"/>
    <s v="שכר דירה ודמי חכירה"/>
    <s v="411"/>
    <e v="#N/A"/>
  </r>
  <r>
    <n v="433"/>
    <s v="62361"/>
    <n v="1"/>
    <s v="162361.433"/>
    <s v="ביטוח                           "/>
    <m/>
    <m/>
    <n v="808000"/>
    <n v="734000"/>
    <n v="661000"/>
    <m/>
    <x v="5"/>
    <s v="הנהלה כללית"/>
    <x v="22"/>
    <s v="מינהל כספי"/>
    <x v="71"/>
    <s v="גבייה"/>
    <s v="6236"/>
    <s v="הוצאות לפועל"/>
    <m/>
    <s v="4"/>
    <x v="15"/>
    <s v="43"/>
    <s v="חשמל, מים וחומרי ניקיון"/>
    <s v="433"/>
    <s v="חומרי ניקיון"/>
  </r>
  <r>
    <n v="434"/>
    <s v="62361"/>
    <n v="1"/>
    <s v="162361.434"/>
    <s v="תקוני מבנים  מתקנים ואינונטר    "/>
    <m/>
    <m/>
    <n v="30000"/>
    <n v="30000"/>
    <n v="23244"/>
    <m/>
    <x v="5"/>
    <s v="הנהלה כללית"/>
    <x v="22"/>
    <s v="מינהל כספי"/>
    <x v="71"/>
    <s v="גבייה"/>
    <s v="6236"/>
    <s v="הוצאות לפועל"/>
    <m/>
    <s v="4"/>
    <x v="15"/>
    <s v="43"/>
    <s v="חשמל, מים וחומרי ניקיון"/>
    <s v="434"/>
    <s v="שירותי ניקיון"/>
  </r>
  <r>
    <n v="439"/>
    <s v="62361"/>
    <n v="1"/>
    <s v="162361.439"/>
    <s v="אחזקת בניני העיריה-השתתפות      "/>
    <m/>
    <m/>
    <n v="2232000"/>
    <n v="2202000"/>
    <n v="2060537"/>
    <e v="#N/A"/>
    <x v="5"/>
    <s v="הנהלה כללית"/>
    <x v="22"/>
    <s v="מינהל כספי"/>
    <x v="71"/>
    <s v="גבייה"/>
    <s v="6236"/>
    <s v="הוצאות לפועל"/>
    <m/>
    <s v="4"/>
    <x v="15"/>
    <s v="43"/>
    <s v="חשמל, מים וחומרי ניקיון"/>
    <s v="439"/>
    <e v="#N/A"/>
  </r>
  <r>
    <n v="461"/>
    <s v="62361"/>
    <n v="1"/>
    <s v="162361.461"/>
    <s v="צורכי משרד                      "/>
    <m/>
    <m/>
    <n v="602000"/>
    <n v="653000"/>
    <n v="436409"/>
    <e v="#N/A"/>
    <x v="5"/>
    <s v="הנהלה כללית"/>
    <x v="22"/>
    <s v="מינהל כספי"/>
    <x v="71"/>
    <s v="גבייה"/>
    <s v="6236"/>
    <s v="הוצאות לפועל"/>
    <m/>
    <s v="4"/>
    <x v="15"/>
    <s v="46"/>
    <e v="#N/A"/>
    <s v="461"/>
    <e v="#N/A"/>
  </r>
  <r>
    <n v="462"/>
    <s v="62361"/>
    <n v="1"/>
    <s v="162361.462"/>
    <s v="ספרים ועתונים                   "/>
    <m/>
    <m/>
    <n v="8000"/>
    <n v="8000"/>
    <n v="7257"/>
    <e v="#N/A"/>
    <x v="5"/>
    <s v="הנהלה כללית"/>
    <x v="22"/>
    <s v="מינהל כספי"/>
    <x v="71"/>
    <s v="גבייה"/>
    <s v="6236"/>
    <s v="הוצאות לפועל"/>
    <m/>
    <s v="4"/>
    <x v="15"/>
    <s v="46"/>
    <e v="#N/A"/>
    <s v="462"/>
    <e v="#N/A"/>
  </r>
  <r>
    <n v="464"/>
    <s v="62361"/>
    <n v="1"/>
    <s v="162361.464"/>
    <s v="דאר                             "/>
    <m/>
    <m/>
    <n v="140000"/>
    <n v="141000"/>
    <n v="122682"/>
    <e v="#N/A"/>
    <x v="5"/>
    <s v="הנהלה כללית"/>
    <x v="22"/>
    <s v="מינהל כספי"/>
    <x v="71"/>
    <s v="גבייה"/>
    <s v="6236"/>
    <s v="הוצאות לפועל"/>
    <m/>
    <s v="4"/>
    <x v="15"/>
    <s v="46"/>
    <e v="#N/A"/>
    <s v="464"/>
    <e v="#N/A"/>
  </r>
  <r>
    <n v="510"/>
    <s v="62361"/>
    <n v="1"/>
    <s v="162361.510"/>
    <s v="נסיעות ואשל                     "/>
    <m/>
    <m/>
    <n v="45000"/>
    <n v="45000"/>
    <n v="13213"/>
    <e v="#N/A"/>
    <x v="5"/>
    <s v="הנהלה כללית"/>
    <x v="22"/>
    <s v="מינהל כספי"/>
    <x v="71"/>
    <s v="גבייה"/>
    <s v="6236"/>
    <s v="הוצאות לפועל"/>
    <m/>
    <s v="5"/>
    <x v="11"/>
    <s v="51"/>
    <s v="אש&quot;ל וכיבודים"/>
    <s v="510"/>
    <e v="#N/A"/>
  </r>
  <r>
    <n v="521"/>
    <s v="62361"/>
    <n v="1"/>
    <s v="162361.521"/>
    <s v="הדרכה וכנסים                    "/>
    <m/>
    <m/>
    <n v="121000"/>
    <n v="121000"/>
    <n v="184452"/>
    <e v="#N/A"/>
    <x v="5"/>
    <s v="הנהלה כללית"/>
    <x v="22"/>
    <s v="מינהל כספי"/>
    <x v="71"/>
    <s v="גבייה"/>
    <s v="6236"/>
    <s v="הוצאות לפועל"/>
    <m/>
    <s v="5"/>
    <x v="11"/>
    <s v="52"/>
    <s v="השתלמויות וספרות מקצועית"/>
    <s v="521"/>
    <s v="השתלמויות וספרות מקצועית"/>
  </r>
  <r>
    <n v="522"/>
    <s v="62361"/>
    <n v="1"/>
    <s v="162361.522"/>
    <s v="גיבוש יחידתי                    "/>
    <m/>
    <m/>
    <n v="45000"/>
    <n v="45000"/>
    <n v="34079"/>
    <e v="#N/A"/>
    <x v="5"/>
    <s v="הנהלה כללית"/>
    <x v="22"/>
    <s v="מינהל כספי"/>
    <x v="71"/>
    <s v="גבייה"/>
    <s v="6236"/>
    <s v="הוצאות לפועל"/>
    <m/>
    <s v="5"/>
    <x v="11"/>
    <s v="52"/>
    <s v="השתלמויות וספרות מקצועית"/>
    <s v="522"/>
    <s v="ספרות מקצועית ועיתונות"/>
  </r>
  <r>
    <n v="531"/>
    <s v="62361"/>
    <n v="1"/>
    <s v="162361.531"/>
    <s v="אחזקת רכב                       "/>
    <m/>
    <m/>
    <n v="141000"/>
    <n v="141000"/>
    <n v="93760"/>
    <e v="#N/A"/>
    <x v="5"/>
    <s v="הנהלה כללית"/>
    <x v="22"/>
    <s v="מינהל כספי"/>
    <x v="71"/>
    <s v="גבייה"/>
    <s v="6236"/>
    <s v="הוצאות לפועל"/>
    <m/>
    <s v="5"/>
    <x v="11"/>
    <s v="53"/>
    <s v="הוצאות רכב מינהלי"/>
    <s v="531"/>
    <s v="דלק ושמנים"/>
  </r>
  <r>
    <n v="532"/>
    <s v="62361"/>
    <n v="1"/>
    <s v="162361.532"/>
    <s v="ביטוח רכב                       "/>
    <m/>
    <m/>
    <n v="490000"/>
    <n v="514000"/>
    <n v="444600"/>
    <e v="#N/A"/>
    <x v="5"/>
    <s v="הנהלה כללית"/>
    <x v="22"/>
    <s v="מינהל כספי"/>
    <x v="71"/>
    <s v="גבייה"/>
    <s v="6236"/>
    <s v="הוצאות לפועל"/>
    <m/>
    <s v="5"/>
    <x v="11"/>
    <s v="53"/>
    <s v="הוצאות רכב מינהלי"/>
    <s v="532"/>
    <s v="תיקונים"/>
  </r>
  <r>
    <n v="533"/>
    <s v="62361"/>
    <n v="1"/>
    <s v="162361.533"/>
    <s v="שכירת רכב ורכב עירוני           "/>
    <m/>
    <m/>
    <n v="80000"/>
    <n v="80000"/>
    <n v="36646"/>
    <e v="#N/A"/>
    <x v="5"/>
    <s v="הנהלה כללית"/>
    <x v="22"/>
    <s v="מינהל כספי"/>
    <x v="71"/>
    <s v="גבייה"/>
    <s v="6236"/>
    <s v="הוצאות לפועל"/>
    <m/>
    <s v="5"/>
    <x v="11"/>
    <s v="53"/>
    <s v="הוצאות רכב מינהלי"/>
    <s v="533"/>
    <s v="רישוי וביטוח"/>
  </r>
  <r>
    <n v="534"/>
    <s v="62361"/>
    <n v="1"/>
    <s v="162361.534"/>
    <s v="דלק ושמן                        "/>
    <m/>
    <m/>
    <n v="129000"/>
    <n v="129000"/>
    <n v="93696"/>
    <e v="#N/A"/>
    <x v="5"/>
    <s v="הנהלה כללית"/>
    <x v="22"/>
    <s v="מינהל כספי"/>
    <x v="71"/>
    <s v="גבייה"/>
    <s v="6236"/>
    <s v="הוצאות לפועל"/>
    <m/>
    <s v="5"/>
    <x v="11"/>
    <s v="53"/>
    <s v="הוצאות רכב מינהלי"/>
    <s v="534"/>
    <e v="#N/A"/>
  </r>
  <r>
    <n v="541"/>
    <s v="62361"/>
    <n v="1"/>
    <s v="162361.541"/>
    <s v="החזקת מכשירי קשר וסלולר         "/>
    <m/>
    <m/>
    <n v="107000"/>
    <n v="128000"/>
    <n v="103945"/>
    <e v="#N/A"/>
    <x v="5"/>
    <s v="הנהלה כללית"/>
    <x v="22"/>
    <s v="מינהל כספי"/>
    <x v="71"/>
    <s v="גבייה"/>
    <s v="6236"/>
    <s v="הוצאות לפועל"/>
    <m/>
    <s v="5"/>
    <x v="11"/>
    <s v="54"/>
    <s v="הוצאות תקשורת"/>
    <s v="541"/>
    <e v="#N/A"/>
  </r>
  <r>
    <n v="610"/>
    <s v="62361"/>
    <n v="1"/>
    <s v="162361.610"/>
    <s v="כיבודים                         "/>
    <m/>
    <m/>
    <n v="89000"/>
    <n v="89000"/>
    <n v="77856"/>
    <e v="#N/A"/>
    <x v="5"/>
    <s v="הנהלה כללית"/>
    <x v="22"/>
    <s v="מינהל כספי"/>
    <x v="71"/>
    <s v="גבייה"/>
    <s v="6236"/>
    <s v="הוצאות לפועל"/>
    <m/>
    <s v="6"/>
    <x v="12"/>
    <s v="61"/>
    <s v="עמלות"/>
    <s v="610"/>
    <e v="#N/A"/>
  </r>
  <r>
    <n v="670"/>
    <s v="62361"/>
    <n v="1"/>
    <s v="162361.670"/>
    <s v="סעיפים שאינם חוזרים             "/>
    <m/>
    <m/>
    <n v="0"/>
    <n v="74000"/>
    <n v="56120"/>
    <e v="#N/A"/>
    <x v="5"/>
    <s v="הנהלה כללית"/>
    <x v="22"/>
    <s v="מינהל כספי"/>
    <x v="71"/>
    <s v="גבייה"/>
    <s v="6236"/>
    <s v="הוצאות לפועל"/>
    <m/>
    <s v="6"/>
    <x v="12"/>
    <s v="67"/>
    <e v="#N/A"/>
    <s v="670"/>
    <e v="#N/A"/>
  </r>
  <r>
    <n v="680"/>
    <s v="62361"/>
    <n v="1"/>
    <s v="162361.680"/>
    <s v="הוצאות מיוחדות                  "/>
    <m/>
    <m/>
    <n v="23000"/>
    <n v="23000"/>
    <n v="689"/>
    <e v="#N/A"/>
    <x v="5"/>
    <s v="הנהלה כללית"/>
    <x v="22"/>
    <s v="מינהל כספי"/>
    <x v="71"/>
    <s v="גבייה"/>
    <s v="6236"/>
    <s v="הוצאות לפועל"/>
    <m/>
    <s v="6"/>
    <x v="12"/>
    <s v="68"/>
    <s v="ריבית על הוצאות אחרות"/>
    <s v="680"/>
    <e v="#N/A"/>
  </r>
  <r>
    <n v="691"/>
    <s v="62361"/>
    <n v="1"/>
    <s v="162361.691"/>
    <s v="מערכות מידע ומחשוב              "/>
    <m/>
    <m/>
    <n v="13310000"/>
    <n v="12650000"/>
    <n v="12109454"/>
    <e v="#N/A"/>
    <x v="5"/>
    <s v="הנהלה כללית"/>
    <x v="22"/>
    <s v="מינהל כספי"/>
    <x v="71"/>
    <s v="גבייה"/>
    <s v="6236"/>
    <s v="הוצאות לפועל"/>
    <m/>
    <s v="6"/>
    <x v="12"/>
    <s v="69"/>
    <s v="שונות"/>
    <s v="691"/>
    <s v="תשלום ע&quot;ח קרן"/>
  </r>
  <r>
    <n v="693"/>
    <s v="62361"/>
    <n v="1"/>
    <s v="162361.693"/>
    <s v="מיחשוב יחידתי                   "/>
    <m/>
    <m/>
    <n v="235000"/>
    <n v="335000"/>
    <n v="140157"/>
    <e v="#N/A"/>
    <x v="5"/>
    <s v="הנהלה כללית"/>
    <x v="22"/>
    <s v="מינהל כספי"/>
    <x v="71"/>
    <s v="גבייה"/>
    <s v="6236"/>
    <s v="הוצאות לפועל"/>
    <m/>
    <s v="6"/>
    <x v="12"/>
    <s v="69"/>
    <s v="שונות"/>
    <s v="693"/>
    <s v="תשלום ע&quot;ח הצמדת ערך"/>
  </r>
  <r>
    <n v="695"/>
    <s v="62361"/>
    <n v="1"/>
    <s v="162361.695"/>
    <s v="תקשורת  ציוד והתקנה             "/>
    <m/>
    <m/>
    <n v="43000"/>
    <n v="43000"/>
    <n v="954"/>
    <e v="#N/A"/>
    <x v="5"/>
    <s v="הנהלה כללית"/>
    <x v="22"/>
    <s v="מינהל כספי"/>
    <x v="71"/>
    <s v="גבייה"/>
    <s v="6236"/>
    <s v="הוצאות לפועל"/>
    <m/>
    <s v="6"/>
    <x v="12"/>
    <s v="69"/>
    <s v="שונות"/>
    <s v="695"/>
    <e v="#N/A"/>
  </r>
  <r>
    <n v="721"/>
    <s v="62361"/>
    <n v="1"/>
    <s v="162361.721"/>
    <s v="חמרי ניקיון                     "/>
    <m/>
    <m/>
    <n v="15000"/>
    <n v="15000"/>
    <n v="7935"/>
    <e v="#N/A"/>
    <x v="5"/>
    <s v="הנהלה כללית"/>
    <x v="22"/>
    <s v="מינהל כספי"/>
    <x v="71"/>
    <s v="גבייה"/>
    <s v="6236"/>
    <s v="הוצאות לפועל"/>
    <m/>
    <s v="7"/>
    <x v="13"/>
    <s v="72"/>
    <s v="חומרים"/>
    <s v="721"/>
    <e v="#N/A"/>
  </r>
  <r>
    <n v="751"/>
    <s v="62361"/>
    <n v="1"/>
    <s v="162361.751"/>
    <s v="סקר עדכון שטחים שימושים ומחזיקים"/>
    <m/>
    <m/>
    <n v="300000"/>
    <n v="300000"/>
    <n v="92881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1"/>
    <e v="#N/A"/>
  </r>
  <r>
    <n v="752"/>
    <s v="62361"/>
    <n v="1"/>
    <s v="162361.752"/>
    <s v="מדידת בתים חדשים                "/>
    <m/>
    <m/>
    <n v="320000"/>
    <n v="320000"/>
    <n v="320000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2"/>
    <e v="#N/A"/>
  </r>
  <r>
    <n v="753"/>
    <s v="62361"/>
    <n v="1"/>
    <s v="162361.753"/>
    <s v="שימוש במאגרי מידע               "/>
    <m/>
    <m/>
    <n v="106000"/>
    <n v="106000"/>
    <n v="96214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3"/>
    <e v="#N/A"/>
  </r>
  <r>
    <n v="754"/>
    <s v="62361"/>
    <n v="1"/>
    <s v="162361.754"/>
    <s v="סקרים יזומים ע ב הצלחה          "/>
    <m/>
    <m/>
    <n v="500000"/>
    <n v="500000"/>
    <n v="300000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4"/>
    <e v="#N/A"/>
  </r>
  <r>
    <n v="756"/>
    <s v="62361"/>
    <n v="1"/>
    <s v="162361.756"/>
    <s v="יעוץ מגורמי חוץ                 "/>
    <m/>
    <m/>
    <n v="29000"/>
    <n v="29000"/>
    <n v="62762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6"/>
    <e v="#N/A"/>
  </r>
  <r>
    <n v="781"/>
    <s v="62361"/>
    <n v="1"/>
    <s v="162361.781"/>
    <s v="שתיה לחוקרי חוץ                 "/>
    <m/>
    <m/>
    <n v="29000"/>
    <n v="29000"/>
    <n v="26686"/>
    <e v="#N/A"/>
    <x v="5"/>
    <s v="הנהלה כללית"/>
    <x v="22"/>
    <s v="מינהל כספי"/>
    <x v="71"/>
    <s v="גבייה"/>
    <s v="6236"/>
    <s v="הוצאות לפועל"/>
    <m/>
    <s v="7"/>
    <x v="13"/>
    <s v="78"/>
    <s v="הוצאות שונות"/>
    <s v="781"/>
    <e v="#N/A"/>
  </r>
  <r>
    <n v="782"/>
    <s v="62361"/>
    <n v="1"/>
    <s v="162361.782"/>
    <s v="סריקת מסמכים                    "/>
    <m/>
    <m/>
    <n v="370000"/>
    <n v="316000"/>
    <n v="248903"/>
    <e v="#N/A"/>
    <x v="5"/>
    <s v="הנהלה כללית"/>
    <x v="22"/>
    <s v="מינהל כספי"/>
    <x v="71"/>
    <s v="גבייה"/>
    <s v="6236"/>
    <s v="הוצאות לפועל"/>
    <m/>
    <s v="7"/>
    <x v="13"/>
    <s v="78"/>
    <s v="הוצאות שונות"/>
    <s v="782"/>
    <e v="#N/A"/>
  </r>
  <r>
    <n v="783"/>
    <s v="62361"/>
    <n v="1"/>
    <s v="162361.783"/>
    <s v="גניזת מסמכים                    "/>
    <m/>
    <m/>
    <n v="55000"/>
    <n v="55000"/>
    <n v="41290"/>
    <e v="#N/A"/>
    <x v="5"/>
    <s v="הנהלה כללית"/>
    <x v="22"/>
    <s v="מינהל כספי"/>
    <x v="71"/>
    <s v="גבייה"/>
    <s v="6236"/>
    <s v="הוצאות לפועל"/>
    <m/>
    <s v="7"/>
    <x v="13"/>
    <s v="78"/>
    <s v="הוצאות שונות"/>
    <s v="783"/>
    <e v="#N/A"/>
  </r>
  <r>
    <n v="932"/>
    <s v="62361"/>
    <n v="1"/>
    <s v="162361.932"/>
    <s v="ציוד וריהוט משרדי               "/>
    <m/>
    <m/>
    <n v="167000"/>
    <n v="167000"/>
    <n v="31384"/>
    <e v="#N/A"/>
    <x v="5"/>
    <s v="הנהלה כללית"/>
    <x v="22"/>
    <s v="מינהל כספי"/>
    <x v="71"/>
    <s v="גבייה"/>
    <s v="6236"/>
    <s v="הוצאות לפועל"/>
    <m/>
    <s v="9"/>
    <x v="17"/>
    <s v="93"/>
    <s v="רכישת ציוד יסודי"/>
    <s v="932"/>
    <e v="#N/A"/>
  </r>
  <r>
    <n v="934"/>
    <s v="62361"/>
    <n v="1"/>
    <s v="162361.934"/>
    <s v="ציוד תפעולי                     "/>
    <m/>
    <m/>
    <n v="46000"/>
    <n v="46000"/>
    <n v="34761"/>
    <e v="#N/A"/>
    <x v="5"/>
    <s v="הנהלה כללית"/>
    <x v="22"/>
    <s v="מינהל כספי"/>
    <x v="71"/>
    <s v="גבייה"/>
    <s v="6236"/>
    <s v="הוצאות לפועל"/>
    <m/>
    <s v="9"/>
    <x v="17"/>
    <s v="93"/>
    <s v="רכישת ציוד יסודי"/>
    <s v="934"/>
    <e v="#N/A"/>
  </r>
  <r>
    <n v="999"/>
    <s v="62361"/>
    <n v="1"/>
    <s v="162361.999"/>
    <s v="סעיף שאינו חוזר                 "/>
    <m/>
    <m/>
    <n v="0"/>
    <n v="-765000"/>
    <n v="0"/>
    <e v="#N/A"/>
    <x v="5"/>
    <s v="הנהלה כללית"/>
    <x v="22"/>
    <s v="מינהל כספי"/>
    <x v="71"/>
    <s v="גבייה"/>
    <s v="6236"/>
    <s v="הוצאות לפועל"/>
    <m/>
    <s v="9"/>
    <x v="17"/>
    <s v="99"/>
    <e v="#N/A"/>
    <s v="999"/>
    <e v="#N/A"/>
  </r>
  <r>
    <n v="110"/>
    <s v="62362"/>
    <n v="1"/>
    <s v="162362.110"/>
    <s v="משכורת כוללת                    "/>
    <m/>
    <m/>
    <n v="6855000"/>
    <n v="7003000"/>
    <n v="6445755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2"/>
    <n v="1"/>
    <s v="162362.124"/>
    <s v="החזר הוצאות                     "/>
    <m/>
    <m/>
    <n v="717000"/>
    <n v="753000"/>
    <n v="741328"/>
    <m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2"/>
    <n v="1"/>
    <s v="162362.126"/>
    <s v="הבראה                           "/>
    <m/>
    <m/>
    <n v="433000"/>
    <n v="416000"/>
    <n v="405789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2"/>
    <n v="1"/>
    <s v="162362.127"/>
    <s v="השתתפות באחזקת רכב - 90         "/>
    <m/>
    <m/>
    <n v="1965000"/>
    <n v="1897000"/>
    <n v="1688292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2"/>
    <n v="1"/>
    <s v="162362.130"/>
    <s v="תשלומים מיוחדים                 "/>
    <m/>
    <m/>
    <n v="1575000"/>
    <n v="1567000"/>
    <n v="1538886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2"/>
    <n v="1"/>
    <s v="162362.181"/>
    <s v="מיסים וביטוח לאומי              "/>
    <m/>
    <m/>
    <n v="1557000"/>
    <n v="1564000"/>
    <n v="1494405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2"/>
    <n v="1"/>
    <s v="162362.182"/>
    <s v="קופות גמל והשתלמות              "/>
    <m/>
    <m/>
    <n v="1852000"/>
    <n v="1911000"/>
    <n v="172101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230"/>
    <s v="62362"/>
    <n v="1"/>
    <s v="162362.230"/>
    <s v="משימות חולפות-4                 "/>
    <m/>
    <m/>
    <n v="357000"/>
    <n v="325000"/>
    <n v="311653"/>
    <e v="#N/A"/>
    <x v="5"/>
    <s v="הנהלה כללית"/>
    <x v="22"/>
    <s v="מינהל כספי"/>
    <x v="71"/>
    <s v="גבייה"/>
    <s v="6236"/>
    <s v="הוצאות לפועל"/>
    <m/>
    <s v="2"/>
    <x v="10"/>
    <s v="23"/>
    <s v="שעות נוספות"/>
    <s v="230"/>
    <e v="#N/A"/>
  </r>
  <r>
    <n v="110"/>
    <s v="62363"/>
    <n v="1"/>
    <s v="162363.110"/>
    <s v="משכורת כוללת                    "/>
    <m/>
    <m/>
    <n v="1766000"/>
    <n v="1857000"/>
    <n v="1560679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3"/>
    <n v="1"/>
    <s v="162363.124"/>
    <s v="החזר הוצאות                     "/>
    <m/>
    <m/>
    <n v="165000"/>
    <n v="153000"/>
    <n v="126937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3"/>
    <n v="1"/>
    <s v="162363.126"/>
    <s v="הבראה                           "/>
    <m/>
    <m/>
    <n v="108000"/>
    <n v="108000"/>
    <n v="90774"/>
    <m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3"/>
    <n v="1"/>
    <s v="162363.127"/>
    <s v="השתתפות באחזקת רכב - 18         "/>
    <m/>
    <m/>
    <n v="456000"/>
    <n v="480000"/>
    <n v="42035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3"/>
    <n v="1"/>
    <s v="162363.130"/>
    <s v="תשלומים מיוחדים                 "/>
    <m/>
    <m/>
    <n v="481000"/>
    <n v="497000"/>
    <n v="407629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3"/>
    <n v="1"/>
    <s v="162363.181"/>
    <s v="מיסים וביטוח לאומי              "/>
    <m/>
    <m/>
    <n v="389000"/>
    <n v="405000"/>
    <n v="357877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3"/>
    <n v="1"/>
    <s v="162363.182"/>
    <s v="קופות גמל והשתלמות              "/>
    <m/>
    <m/>
    <n v="428000"/>
    <n v="441000"/>
    <n v="365997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110"/>
    <s v="62364"/>
    <n v="1"/>
    <s v="162364.110"/>
    <s v="משכורת כוללת                    "/>
    <m/>
    <m/>
    <n v="2726000"/>
    <n v="2954000"/>
    <n v="2735665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4"/>
    <n v="1"/>
    <s v="162364.124"/>
    <s v="החזר הוצאות                     "/>
    <m/>
    <m/>
    <n v="268000"/>
    <n v="293000"/>
    <n v="275226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4"/>
    <n v="1"/>
    <s v="162364.126"/>
    <s v="הבראה                           "/>
    <m/>
    <m/>
    <n v="153000"/>
    <n v="163000"/>
    <n v="15000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4"/>
    <n v="1"/>
    <s v="162364.127"/>
    <s v="השתתפות באחזקת רכב - 31         "/>
    <m/>
    <m/>
    <n v="667000"/>
    <n v="647000"/>
    <n v="607926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4"/>
    <n v="1"/>
    <s v="162364.130"/>
    <s v="תשלומים מיוחדים                 "/>
    <m/>
    <m/>
    <n v="577000"/>
    <n v="521000"/>
    <n v="502224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4"/>
    <n v="1"/>
    <s v="162364.181"/>
    <s v="מיסים וביטוח לאומי              "/>
    <m/>
    <m/>
    <n v="574000"/>
    <n v="599000"/>
    <n v="565568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4"/>
    <n v="1"/>
    <s v="162364.182"/>
    <s v="קופות גמל והשתלמות              "/>
    <m/>
    <m/>
    <n v="782000"/>
    <n v="772000"/>
    <n v="70160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110"/>
    <s v="62365"/>
    <n v="1"/>
    <s v="162365.110"/>
    <s v="משכורת כוללת                    "/>
    <m/>
    <m/>
    <n v="953000"/>
    <n v="872000"/>
    <n v="859840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5"/>
    <n v="1"/>
    <s v="162365.124"/>
    <s v="החזר הוצאות                     "/>
    <m/>
    <m/>
    <n v="74000"/>
    <n v="68000"/>
    <n v="68312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5"/>
    <n v="1"/>
    <s v="162365.126"/>
    <s v="הבראה                           "/>
    <m/>
    <m/>
    <n v="51000"/>
    <n v="53000"/>
    <n v="52393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5"/>
    <n v="1"/>
    <s v="162365.127"/>
    <s v="השתתפות באחזקת רכב - 11         "/>
    <m/>
    <m/>
    <n v="265000"/>
    <n v="239000"/>
    <n v="242133"/>
    <m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5"/>
    <n v="1"/>
    <s v="162365.130"/>
    <s v="תשלומים מיוחדים                 "/>
    <m/>
    <m/>
    <n v="208000"/>
    <n v="194000"/>
    <n v="194625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5"/>
    <n v="1"/>
    <s v="162365.181"/>
    <s v="מיסים וביטוח לאומי              "/>
    <m/>
    <m/>
    <n v="203000"/>
    <n v="187000"/>
    <n v="187461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5"/>
    <n v="1"/>
    <s v="162365.182"/>
    <s v="קופות גמל והשתלמות              "/>
    <m/>
    <m/>
    <n v="240000"/>
    <n v="228000"/>
    <n v="22302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110"/>
    <s v="62366"/>
    <n v="1"/>
    <s v="162366.110"/>
    <s v="משכורת כוללת                    "/>
    <m/>
    <m/>
    <n v="3128000"/>
    <n v="2957000"/>
    <n v="3415832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6"/>
    <n v="1"/>
    <s v="162366.124"/>
    <s v="החזר הוצאות                     "/>
    <m/>
    <m/>
    <n v="352000"/>
    <n v="356000"/>
    <n v="413873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6"/>
    <n v="1"/>
    <s v="162366.126"/>
    <s v="הבראה                           "/>
    <m/>
    <m/>
    <n v="207000"/>
    <n v="205000"/>
    <n v="240344"/>
    <m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6"/>
    <n v="1"/>
    <s v="162366.127"/>
    <s v="השתתפות באחזקת רכב - 42         "/>
    <m/>
    <m/>
    <n v="960000"/>
    <n v="923000"/>
    <n v="107823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6"/>
    <n v="1"/>
    <s v="162366.130"/>
    <s v="תשלומים מיוחדים                 "/>
    <m/>
    <m/>
    <n v="789000"/>
    <n v="719000"/>
    <n v="867379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6"/>
    <n v="1"/>
    <s v="162366.181"/>
    <s v="מיסים וביטוח לאומי              "/>
    <m/>
    <m/>
    <n v="774000"/>
    <n v="745000"/>
    <n v="87217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6"/>
    <n v="1"/>
    <s v="162366.182"/>
    <s v="קופות גמל והשתלמות              "/>
    <m/>
    <m/>
    <n v="986000"/>
    <n v="972000"/>
    <n v="1107391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230"/>
    <s v="62366"/>
    <n v="1"/>
    <s v="162366.230"/>
    <s v="משימות חולפות-11                "/>
    <m/>
    <m/>
    <n v="482000"/>
    <n v="535000"/>
    <n v="544414"/>
    <e v="#N/A"/>
    <x v="5"/>
    <s v="הנהלה כללית"/>
    <x v="22"/>
    <s v="מינהל כספי"/>
    <x v="71"/>
    <s v="גבייה"/>
    <s v="6236"/>
    <s v="הוצאות לפועל"/>
    <m/>
    <s v="2"/>
    <x v="10"/>
    <s v="23"/>
    <s v="שעות נוספות"/>
    <s v="230"/>
    <e v="#N/A"/>
  </r>
  <r>
    <n v="751"/>
    <s v="62366"/>
    <n v="1"/>
    <s v="162366.751"/>
    <s v="סקר נכסים                       "/>
    <m/>
    <m/>
    <n v="470000"/>
    <n v="470000"/>
    <n v="437755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1"/>
    <e v="#N/A"/>
  </r>
  <r>
    <n v="753"/>
    <s v="62366"/>
    <n v="1"/>
    <s v="162366.753"/>
    <s v="מדידת נכסי מגורים               "/>
    <m/>
    <m/>
    <n v="750000"/>
    <n v="750000"/>
    <n v="566770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3"/>
    <e v="#N/A"/>
  </r>
  <r>
    <n v="781"/>
    <s v="62366"/>
    <n v="1"/>
    <s v="162366.781"/>
    <s v="הוצאות שונות                    "/>
    <m/>
    <m/>
    <n v="152000"/>
    <n v="152000"/>
    <n v="31639"/>
    <e v="#N/A"/>
    <x v="5"/>
    <s v="הנהלה כללית"/>
    <x v="22"/>
    <s v="מינהל כספי"/>
    <x v="71"/>
    <s v="גבייה"/>
    <s v="6236"/>
    <s v="הוצאות לפועל"/>
    <m/>
    <s v="7"/>
    <x v="13"/>
    <s v="78"/>
    <s v="הוצאות שונות"/>
    <s v="781"/>
    <e v="#N/A"/>
  </r>
  <r>
    <n v="110"/>
    <s v="62367"/>
    <n v="1"/>
    <s v="162367.110"/>
    <s v="משכורת כוללת                    "/>
    <m/>
    <m/>
    <n v="959000"/>
    <n v="776000"/>
    <n v="773845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7"/>
    <n v="1"/>
    <s v="162367.124"/>
    <s v="החזר הוצאות                     "/>
    <m/>
    <m/>
    <n v="78000"/>
    <n v="73000"/>
    <n v="71437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7"/>
    <n v="1"/>
    <s v="162367.126"/>
    <s v="הבראה                           "/>
    <m/>
    <m/>
    <n v="41000"/>
    <n v="46000"/>
    <n v="45022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7"/>
    <n v="1"/>
    <s v="162367.127"/>
    <s v="השתתפות באחזקת רכב-10           "/>
    <m/>
    <m/>
    <n v="309000"/>
    <n v="219000"/>
    <n v="224503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7"/>
    <n v="1"/>
    <s v="162367.130"/>
    <s v="תשלומים מיוחדים                 "/>
    <m/>
    <m/>
    <n v="174000"/>
    <n v="182000"/>
    <n v="185535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7"/>
    <n v="1"/>
    <s v="162367.181"/>
    <s v="מיסים וביטוח לאומי              "/>
    <m/>
    <m/>
    <n v="204000"/>
    <n v="170000"/>
    <n v="173573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7"/>
    <n v="1"/>
    <s v="162367.182"/>
    <s v="קופות גמל והשתלמות              "/>
    <m/>
    <m/>
    <n v="279000"/>
    <n v="226000"/>
    <n v="213324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110"/>
    <s v="62368"/>
    <n v="1"/>
    <s v="162368.110"/>
    <s v="משכורת כוללת                    "/>
    <m/>
    <m/>
    <n v="1897000"/>
    <n v="2145000"/>
    <n v="1472658"/>
    <e v="#N/A"/>
    <x v="5"/>
    <s v="הנהלה כללית"/>
    <x v="22"/>
    <s v="מינהל כספי"/>
    <x v="71"/>
    <s v="גבייה"/>
    <s v="6236"/>
    <s v="הוצאות לפועל"/>
    <m/>
    <s v="1"/>
    <x v="9"/>
    <s v="11"/>
    <s v="השכר הקובע"/>
    <s v="110"/>
    <e v="#N/A"/>
  </r>
  <r>
    <n v="124"/>
    <s v="62368"/>
    <n v="1"/>
    <s v="162368.124"/>
    <s v="החזר הוצאות                     "/>
    <m/>
    <m/>
    <n v="223000"/>
    <n v="212000"/>
    <n v="152679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8"/>
    <n v="1"/>
    <s v="162368.126"/>
    <s v="הבראה                           "/>
    <m/>
    <m/>
    <n v="123000"/>
    <n v="128000"/>
    <n v="88625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8"/>
    <n v="1"/>
    <s v="162368.127"/>
    <s v="השתתפות באחזקת רכב-26           "/>
    <m/>
    <m/>
    <n v="593000"/>
    <n v="582000"/>
    <n v="399078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8"/>
    <n v="1"/>
    <s v="162368.130"/>
    <s v="תשלומים מיוחדים                 "/>
    <m/>
    <m/>
    <n v="443000"/>
    <n v="456000"/>
    <n v="327098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8"/>
    <n v="1"/>
    <s v="162368.181"/>
    <s v="מיסים וביטוח לאומי              "/>
    <m/>
    <m/>
    <n v="449000"/>
    <n v="474000"/>
    <n v="328153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8"/>
    <n v="1"/>
    <s v="162368.182"/>
    <s v="קופות גמל והשתלמות              "/>
    <m/>
    <m/>
    <n v="551000"/>
    <n v="579000"/>
    <n v="399058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230"/>
    <s v="62368"/>
    <n v="1"/>
    <s v="162368.230"/>
    <s v="משימות חולפות-2                 "/>
    <m/>
    <m/>
    <n v="156000"/>
    <n v="151000"/>
    <n v="90729"/>
    <e v="#N/A"/>
    <x v="5"/>
    <s v="הנהלה כללית"/>
    <x v="22"/>
    <s v="מינהל כספי"/>
    <x v="71"/>
    <s v="גבייה"/>
    <s v="6236"/>
    <s v="הוצאות לפועל"/>
    <m/>
    <s v="2"/>
    <x v="10"/>
    <s v="23"/>
    <s v="שעות נוספות"/>
    <s v="230"/>
    <e v="#N/A"/>
  </r>
  <r>
    <n v="124"/>
    <s v="62369"/>
    <n v="1"/>
    <s v="162369.124"/>
    <s v="החזר הוצאות                     "/>
    <m/>
    <m/>
    <n v="212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4"/>
    <e v="#N/A"/>
  </r>
  <r>
    <n v="126"/>
    <s v="62369"/>
    <n v="1"/>
    <s v="162369.126"/>
    <s v="הבראה                           "/>
    <m/>
    <m/>
    <n v="172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6"/>
    <e v="#N/A"/>
  </r>
  <r>
    <n v="127"/>
    <s v="62369"/>
    <n v="1"/>
    <s v="162369.127"/>
    <s v="השתתפות באחזקת רכב-40           "/>
    <m/>
    <m/>
    <n v="986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2"/>
    <s v="תוספות שאינן נכללות בשכר הקובע"/>
    <s v="127"/>
    <e v="#N/A"/>
  </r>
  <r>
    <n v="130"/>
    <s v="62369"/>
    <n v="1"/>
    <s v="162369.130"/>
    <s v="תשלומים מיוחדים                 "/>
    <m/>
    <m/>
    <n v="534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3"/>
    <s v="שעות נוספות"/>
    <s v="130"/>
    <e v="#N/A"/>
  </r>
  <r>
    <n v="181"/>
    <s v="62369"/>
    <n v="1"/>
    <s v="162369.181"/>
    <s v="מיסים וביטוח לאומי              "/>
    <m/>
    <m/>
    <n v="659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1"/>
    <s v="הפרשות סוציאליות"/>
  </r>
  <r>
    <n v="182"/>
    <s v="62369"/>
    <n v="1"/>
    <s v="162369.182"/>
    <s v="קופות גמל והשתלמות              "/>
    <m/>
    <m/>
    <n v="834000"/>
    <n v="0"/>
    <n v="0"/>
    <e v="#N/A"/>
    <x v="5"/>
    <s v="הנהלה כללית"/>
    <x v="22"/>
    <s v="מינהל כספי"/>
    <x v="71"/>
    <s v="גבייה"/>
    <s v="6236"/>
    <s v="הוצאות לפועל"/>
    <m/>
    <s v="1"/>
    <x v="9"/>
    <s v="18"/>
    <s v="נלוות לשכר"/>
    <s v="182"/>
    <s v="מיסיום ועלויות"/>
  </r>
  <r>
    <n v="230"/>
    <s v="62369"/>
    <n v="1"/>
    <s v="162369.230"/>
    <s v="משימה חולפת-40                  "/>
    <m/>
    <m/>
    <n v="2828000"/>
    <n v="0"/>
    <n v="0"/>
    <e v="#N/A"/>
    <x v="5"/>
    <s v="הנהלה כללית"/>
    <x v="22"/>
    <s v="מינהל כספי"/>
    <x v="71"/>
    <s v="גבייה"/>
    <s v="6236"/>
    <s v="הוצאות לפועל"/>
    <m/>
    <s v="2"/>
    <x v="10"/>
    <s v="23"/>
    <s v="שעות נוספות"/>
    <s v="230"/>
    <e v="#N/A"/>
  </r>
  <r>
    <n v="310"/>
    <s v="62369"/>
    <n v="1"/>
    <s v="162369.310"/>
    <s v="שעות נוספות רשומות              "/>
    <m/>
    <m/>
    <n v="307000"/>
    <n v="0"/>
    <n v="0"/>
    <e v="#N/A"/>
    <x v="5"/>
    <s v="הנהלה כללית"/>
    <x v="22"/>
    <s v="מינהל כספי"/>
    <x v="71"/>
    <s v="גבייה"/>
    <s v="6236"/>
    <s v="הוצאות לפועל"/>
    <m/>
    <s v="3"/>
    <x v="14"/>
    <s v="31"/>
    <s v="פנסיה"/>
    <s v="310"/>
    <e v="#N/A"/>
  </r>
  <r>
    <n v="411"/>
    <s v="62369"/>
    <n v="1"/>
    <s v="162369.411"/>
    <s v="שכר דירה                        "/>
    <m/>
    <m/>
    <n v="2800000"/>
    <n v="0"/>
    <n v="0"/>
    <e v="#N/A"/>
    <x v="5"/>
    <s v="הנהלה כללית"/>
    <x v="22"/>
    <s v="מינהל כספי"/>
    <x v="71"/>
    <s v="גבייה"/>
    <s v="6236"/>
    <s v="הוצאות לפועל"/>
    <m/>
    <s v="4"/>
    <x v="15"/>
    <s v="41"/>
    <s v="שכר דירה ודמי חכירה"/>
    <s v="411"/>
    <e v="#N/A"/>
  </r>
  <r>
    <n v="439"/>
    <s v="62369"/>
    <n v="1"/>
    <s v="162369.439"/>
    <s v="אחזקת בניני העיריה-השתתפות      "/>
    <m/>
    <m/>
    <n v="668000"/>
    <n v="0"/>
    <n v="0"/>
    <e v="#N/A"/>
    <x v="5"/>
    <s v="הנהלה כללית"/>
    <x v="22"/>
    <s v="מינהל כספי"/>
    <x v="71"/>
    <s v="גבייה"/>
    <s v="6236"/>
    <s v="הוצאות לפועל"/>
    <m/>
    <s v="4"/>
    <x v="15"/>
    <s v="43"/>
    <s v="חשמל, מים וחומרי ניקיון"/>
    <s v="439"/>
    <e v="#N/A"/>
  </r>
  <r>
    <n v="461"/>
    <s v="62369"/>
    <n v="1"/>
    <s v="162369.461"/>
    <s v="צרכי משרד                       "/>
    <m/>
    <m/>
    <n v="80000"/>
    <n v="0"/>
    <n v="0"/>
    <e v="#N/A"/>
    <x v="5"/>
    <s v="הנהלה כללית"/>
    <x v="22"/>
    <s v="מינהל כספי"/>
    <x v="71"/>
    <s v="גבייה"/>
    <s v="6236"/>
    <s v="הוצאות לפועל"/>
    <m/>
    <s v="4"/>
    <x v="15"/>
    <s v="46"/>
    <e v="#N/A"/>
    <s v="461"/>
    <e v="#N/A"/>
  </r>
  <r>
    <n v="521"/>
    <s v="62369"/>
    <n v="1"/>
    <s v="162369.521"/>
    <s v="הדרכה וכנסים                    "/>
    <m/>
    <m/>
    <n v="16000"/>
    <n v="0"/>
    <n v="0"/>
    <e v="#N/A"/>
    <x v="5"/>
    <s v="הנהלה כללית"/>
    <x v="22"/>
    <s v="מינהל כספי"/>
    <x v="71"/>
    <s v="גבייה"/>
    <s v="6236"/>
    <s v="הוצאות לפועל"/>
    <m/>
    <s v="5"/>
    <x v="11"/>
    <s v="52"/>
    <s v="השתלמויות וספרות מקצועית"/>
    <s v="521"/>
    <s v="השתלמויות וספרות מקצועית"/>
  </r>
  <r>
    <n v="522"/>
    <s v="62369"/>
    <n v="1"/>
    <s v="162369.522"/>
    <s v="גיבוש יחידתי                    "/>
    <m/>
    <m/>
    <n v="6000"/>
    <n v="0"/>
    <n v="0"/>
    <e v="#N/A"/>
    <x v="5"/>
    <s v="הנהלה כללית"/>
    <x v="22"/>
    <s v="מינהל כספי"/>
    <x v="71"/>
    <s v="גבייה"/>
    <s v="6236"/>
    <s v="הוצאות לפועל"/>
    <m/>
    <s v="5"/>
    <x v="11"/>
    <s v="52"/>
    <s v="השתלמויות וספרות מקצועית"/>
    <s v="522"/>
    <s v="ספרות מקצועית ועיתונות"/>
  </r>
  <r>
    <n v="610"/>
    <s v="62369"/>
    <n v="1"/>
    <s v="162369.610"/>
    <s v="כיבודים                         "/>
    <m/>
    <m/>
    <n v="12000"/>
    <n v="0"/>
    <n v="0"/>
    <e v="#N/A"/>
    <x v="5"/>
    <s v="הנהלה כללית"/>
    <x v="22"/>
    <s v="מינהל כספי"/>
    <x v="71"/>
    <s v="גבייה"/>
    <s v="6236"/>
    <s v="הוצאות לפועל"/>
    <m/>
    <s v="6"/>
    <x v="12"/>
    <s v="61"/>
    <s v="עמלות"/>
    <s v="610"/>
    <e v="#N/A"/>
  </r>
  <r>
    <n v="751"/>
    <s v="62369"/>
    <n v="1"/>
    <s v="162369.751"/>
    <s v="ייעוץ מקצועי                    "/>
    <m/>
    <m/>
    <n v="300000"/>
    <n v="0"/>
    <n v="0"/>
    <e v="#N/A"/>
    <x v="5"/>
    <s v="הנהלה כללית"/>
    <x v="22"/>
    <s v="מינהל כספי"/>
    <x v="71"/>
    <s v="גבייה"/>
    <s v="6236"/>
    <s v="הוצאות לפועל"/>
    <m/>
    <s v="7"/>
    <x v="13"/>
    <s v="75"/>
    <s v="עבודות קבלניות"/>
    <s v="751"/>
    <e v="#N/A"/>
  </r>
  <r>
    <n v="791"/>
    <s v="62369"/>
    <n v="1"/>
    <s v="162369.791"/>
    <s v="עתודה                           "/>
    <m/>
    <m/>
    <n v="4586000"/>
    <n v="0"/>
    <n v="0"/>
    <e v="#N/A"/>
    <x v="5"/>
    <s v="הנהלה כללית"/>
    <x v="22"/>
    <s v="מינהל כספי"/>
    <x v="71"/>
    <s v="גבייה"/>
    <s v="6236"/>
    <s v="הוצאות לפועל"/>
    <m/>
    <s v="7"/>
    <x v="13"/>
    <s v="79"/>
    <s v="השתתפות בתקציבי עזר 092"/>
    <s v="791"/>
    <e v="#N/A"/>
  </r>
  <r>
    <n v="110"/>
    <s v="62371"/>
    <n v="1"/>
    <s v="162371.110"/>
    <s v="משכורת כוללת                    "/>
    <m/>
    <m/>
    <n v="483000"/>
    <n v="650000"/>
    <n v="655707"/>
    <e v="#N/A"/>
    <x v="5"/>
    <s v="הנהלה כללית"/>
    <x v="22"/>
    <s v="מינהל כספי"/>
    <x v="71"/>
    <s v="גבייה"/>
    <s v="6237"/>
    <e v="#N/A"/>
    <m/>
    <s v="1"/>
    <x v="9"/>
    <s v="11"/>
    <s v="השכר הקובע"/>
    <s v="110"/>
    <e v="#N/A"/>
  </r>
  <r>
    <n v="124"/>
    <s v="62371"/>
    <n v="1"/>
    <s v="162371.124"/>
    <s v="החזר הוצאות                     "/>
    <m/>
    <m/>
    <n v="35000"/>
    <n v="29000"/>
    <n v="32152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4"/>
    <e v="#N/A"/>
  </r>
  <r>
    <n v="126"/>
    <s v="62371"/>
    <n v="1"/>
    <s v="162371.126"/>
    <s v="הבראה                           "/>
    <m/>
    <m/>
    <n v="28000"/>
    <n v="28000"/>
    <n v="27755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6"/>
    <e v="#N/A"/>
  </r>
  <r>
    <n v="127"/>
    <s v="62371"/>
    <n v="1"/>
    <s v="162371.127"/>
    <s v="השתתפות באחזקת רכב - 5          "/>
    <m/>
    <m/>
    <n v="124000"/>
    <n v="119000"/>
    <n v="121809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7"/>
    <e v="#N/A"/>
  </r>
  <r>
    <n v="130"/>
    <s v="62371"/>
    <n v="1"/>
    <s v="162371.130"/>
    <s v="תשלומים מיוחדים                 "/>
    <m/>
    <m/>
    <n v="133000"/>
    <n v="116000"/>
    <n v="116117"/>
    <e v="#N/A"/>
    <x v="5"/>
    <s v="הנהלה כללית"/>
    <x v="22"/>
    <s v="מינהל כספי"/>
    <x v="71"/>
    <s v="גבייה"/>
    <s v="6237"/>
    <e v="#N/A"/>
    <m/>
    <s v="1"/>
    <x v="9"/>
    <s v="13"/>
    <s v="שעות נוספות"/>
    <s v="130"/>
    <e v="#N/A"/>
  </r>
  <r>
    <n v="181"/>
    <s v="62371"/>
    <n v="1"/>
    <s v="162371.181"/>
    <s v="מיסים וביטוח לאומי              "/>
    <m/>
    <m/>
    <n v="229000"/>
    <n v="245000"/>
    <n v="140499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1"/>
    <s v="הפרשות סוציאליות"/>
  </r>
  <r>
    <n v="182"/>
    <s v="62371"/>
    <n v="1"/>
    <s v="162371.182"/>
    <s v="קופות גמל והשתלמות              "/>
    <m/>
    <m/>
    <n v="155000"/>
    <n v="149000"/>
    <n v="142603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2"/>
    <s v="מיסיום ועלויות"/>
  </r>
  <r>
    <n v="310"/>
    <s v="62371"/>
    <n v="1"/>
    <s v="162371.310"/>
    <s v="שעות נוספות רשומות              "/>
    <m/>
    <m/>
    <n v="800000"/>
    <n v="784000"/>
    <n v="620065"/>
    <e v="#N/A"/>
    <x v="5"/>
    <s v="הנהלה כללית"/>
    <x v="22"/>
    <s v="מינהל כספי"/>
    <x v="71"/>
    <s v="גבייה"/>
    <s v="6237"/>
    <e v="#N/A"/>
    <m/>
    <s v="3"/>
    <x v="14"/>
    <s v="31"/>
    <s v="פנסיה"/>
    <s v="310"/>
    <e v="#N/A"/>
  </r>
  <r>
    <n v="340"/>
    <s v="62371"/>
    <n v="1"/>
    <s v="162371.340"/>
    <s v="שעות נוספות מיוחדות             "/>
    <m/>
    <m/>
    <n v="155000"/>
    <n v="152000"/>
    <n v="94509"/>
    <e v="#N/A"/>
    <x v="5"/>
    <s v="הנהלה כללית"/>
    <x v="22"/>
    <s v="מינהל כספי"/>
    <x v="71"/>
    <s v="גבייה"/>
    <s v="6237"/>
    <e v="#N/A"/>
    <m/>
    <s v="3"/>
    <x v="14"/>
    <s v="34"/>
    <e v="#N/A"/>
    <s v="340"/>
    <e v="#N/A"/>
  </r>
  <r>
    <n v="411"/>
    <s v="62371"/>
    <n v="1"/>
    <s v="162371.411"/>
    <s v="שכר דירה                        "/>
    <m/>
    <m/>
    <n v="155000"/>
    <n v="155000"/>
    <n v="150000"/>
    <e v="#N/A"/>
    <x v="5"/>
    <s v="הנהלה כללית"/>
    <x v="22"/>
    <s v="מינהל כספי"/>
    <x v="71"/>
    <s v="גבייה"/>
    <s v="6237"/>
    <e v="#N/A"/>
    <m/>
    <s v="4"/>
    <x v="15"/>
    <s v="41"/>
    <s v="שכר דירה ודמי חכירה"/>
    <s v="411"/>
    <e v="#N/A"/>
  </r>
  <r>
    <n v="433"/>
    <s v="62371"/>
    <n v="1"/>
    <s v="162371.433"/>
    <s v="ביטוח                           "/>
    <m/>
    <m/>
    <n v="369000"/>
    <n v="370000"/>
    <n v="332000"/>
    <e v="#N/A"/>
    <x v="5"/>
    <s v="הנהלה כללית"/>
    <x v="22"/>
    <s v="מינהל כספי"/>
    <x v="71"/>
    <s v="גבייה"/>
    <s v="6237"/>
    <e v="#N/A"/>
    <m/>
    <s v="4"/>
    <x v="15"/>
    <s v="43"/>
    <s v="חשמל, מים וחומרי ניקיון"/>
    <s v="433"/>
    <s v="חומרי ניקיון"/>
  </r>
  <r>
    <n v="434"/>
    <s v="62371"/>
    <n v="1"/>
    <s v="162371.434"/>
    <s v="תקוני מבנים  מתקנים ואינונטר    "/>
    <m/>
    <m/>
    <n v="32000"/>
    <n v="32000"/>
    <n v="21522"/>
    <e v="#N/A"/>
    <x v="5"/>
    <s v="הנהלה כללית"/>
    <x v="22"/>
    <s v="מינהל כספי"/>
    <x v="71"/>
    <s v="גבייה"/>
    <s v="6237"/>
    <e v="#N/A"/>
    <m/>
    <s v="4"/>
    <x v="15"/>
    <s v="43"/>
    <s v="חשמל, מים וחומרי ניקיון"/>
    <s v="434"/>
    <s v="שירותי ניקיון"/>
  </r>
  <r>
    <n v="435"/>
    <s v="62371"/>
    <n v="1"/>
    <s v="162371.435"/>
    <s v="חשמל ואנרגיה                    "/>
    <m/>
    <m/>
    <n v="20000"/>
    <n v="20000"/>
    <n v="11900"/>
    <e v="#N/A"/>
    <x v="5"/>
    <s v="הנהלה כללית"/>
    <x v="22"/>
    <s v="מינהל כספי"/>
    <x v="71"/>
    <s v="גבייה"/>
    <s v="6237"/>
    <e v="#N/A"/>
    <m/>
    <s v="4"/>
    <x v="15"/>
    <s v="43"/>
    <s v="חשמל, מים וחומרי ניקיון"/>
    <s v="435"/>
    <e v="#N/A"/>
  </r>
  <r>
    <n v="439"/>
    <s v="62371"/>
    <n v="1"/>
    <s v="162371.439"/>
    <s v="אחזקת בניני העיריה-השתתפות      "/>
    <m/>
    <m/>
    <n v="1456000"/>
    <n v="1565000"/>
    <n v="1510000"/>
    <e v="#N/A"/>
    <x v="5"/>
    <s v="הנהלה כללית"/>
    <x v="22"/>
    <s v="מינהל כספי"/>
    <x v="71"/>
    <s v="גבייה"/>
    <s v="6237"/>
    <e v="#N/A"/>
    <m/>
    <s v="4"/>
    <x v="15"/>
    <s v="43"/>
    <s v="חשמל, מים וחומרי ניקיון"/>
    <s v="439"/>
    <e v="#N/A"/>
  </r>
  <r>
    <n v="461"/>
    <s v="62371"/>
    <n v="1"/>
    <s v="162371.461"/>
    <s v="צורכי משרד                      "/>
    <m/>
    <m/>
    <n v="548000"/>
    <n v="600000"/>
    <n v="452756"/>
    <e v="#N/A"/>
    <x v="5"/>
    <s v="הנהלה כללית"/>
    <x v="22"/>
    <s v="מינהל כספי"/>
    <x v="71"/>
    <s v="גבייה"/>
    <s v="6237"/>
    <e v="#N/A"/>
    <m/>
    <s v="4"/>
    <x v="15"/>
    <s v="46"/>
    <e v="#N/A"/>
    <s v="461"/>
    <e v="#N/A"/>
  </r>
  <r>
    <n v="462"/>
    <s v="62371"/>
    <n v="1"/>
    <s v="162371.462"/>
    <s v="ספרים ועתונים                   "/>
    <m/>
    <m/>
    <n v="6000"/>
    <n v="6000"/>
    <n v="3464"/>
    <e v="#N/A"/>
    <x v="5"/>
    <s v="הנהלה כללית"/>
    <x v="22"/>
    <s v="מינהל כספי"/>
    <x v="71"/>
    <s v="גבייה"/>
    <s v="6237"/>
    <e v="#N/A"/>
    <m/>
    <s v="4"/>
    <x v="15"/>
    <s v="46"/>
    <e v="#N/A"/>
    <s v="462"/>
    <e v="#N/A"/>
  </r>
  <r>
    <n v="464"/>
    <s v="62371"/>
    <n v="1"/>
    <s v="162371.464"/>
    <s v="דאר                             "/>
    <m/>
    <m/>
    <n v="4292000"/>
    <n v="4910000"/>
    <n v="3714629"/>
    <e v="#N/A"/>
    <x v="5"/>
    <s v="הנהלה כללית"/>
    <x v="22"/>
    <s v="מינהל כספי"/>
    <x v="71"/>
    <s v="גבייה"/>
    <s v="6237"/>
    <e v="#N/A"/>
    <m/>
    <s v="4"/>
    <x v="15"/>
    <s v="46"/>
    <e v="#N/A"/>
    <s v="464"/>
    <e v="#N/A"/>
  </r>
  <r>
    <n v="510"/>
    <s v="62371"/>
    <n v="1"/>
    <s v="162371.510"/>
    <s v="נסיעות  ואש ל                   "/>
    <m/>
    <m/>
    <n v="22000"/>
    <n v="22000"/>
    <n v="12940"/>
    <e v="#N/A"/>
    <x v="5"/>
    <s v="הנהלה כללית"/>
    <x v="22"/>
    <s v="מינהל כספי"/>
    <x v="71"/>
    <s v="גבייה"/>
    <s v="6237"/>
    <e v="#N/A"/>
    <m/>
    <s v="5"/>
    <x v="11"/>
    <s v="51"/>
    <s v="אש&quot;ל וכיבודים"/>
    <s v="510"/>
    <e v="#N/A"/>
  </r>
  <r>
    <n v="521"/>
    <s v="62371"/>
    <n v="1"/>
    <s v="162371.521"/>
    <s v="הדרכה וכנסים                    "/>
    <m/>
    <m/>
    <n v="64000"/>
    <n v="64000"/>
    <n v="76790"/>
    <e v="#N/A"/>
    <x v="5"/>
    <s v="הנהלה כללית"/>
    <x v="22"/>
    <s v="מינהל כספי"/>
    <x v="71"/>
    <s v="גבייה"/>
    <s v="6237"/>
    <e v="#N/A"/>
    <m/>
    <s v="5"/>
    <x v="11"/>
    <s v="52"/>
    <s v="השתלמויות וספרות מקצועית"/>
    <s v="521"/>
    <s v="השתלמויות וספרות מקצועית"/>
  </r>
  <r>
    <n v="522"/>
    <s v="62371"/>
    <n v="1"/>
    <s v="162371.522"/>
    <s v="גיבוש יחידתי                    "/>
    <m/>
    <m/>
    <n v="24000"/>
    <n v="24000"/>
    <n v="23998"/>
    <e v="#N/A"/>
    <x v="5"/>
    <s v="הנהלה כללית"/>
    <x v="22"/>
    <s v="מינהל כספי"/>
    <x v="71"/>
    <s v="גבייה"/>
    <s v="6237"/>
    <e v="#N/A"/>
    <m/>
    <s v="5"/>
    <x v="11"/>
    <s v="52"/>
    <s v="השתלמויות וספרות מקצועית"/>
    <s v="522"/>
    <s v="ספרות מקצועית ועיתונות"/>
  </r>
  <r>
    <n v="531"/>
    <s v="62371"/>
    <n v="1"/>
    <s v="162371.531"/>
    <s v="אחזקת רכב                       "/>
    <m/>
    <m/>
    <n v="26000"/>
    <n v="26000"/>
    <n v="16650"/>
    <e v="#N/A"/>
    <x v="5"/>
    <s v="הנהלה כללית"/>
    <x v="22"/>
    <s v="מינהל כספי"/>
    <x v="71"/>
    <s v="גבייה"/>
    <s v="6237"/>
    <e v="#N/A"/>
    <m/>
    <s v="5"/>
    <x v="11"/>
    <s v="53"/>
    <s v="הוצאות רכב מינהלי"/>
    <s v="531"/>
    <s v="דלק ושמנים"/>
  </r>
  <r>
    <n v="532"/>
    <s v="62371"/>
    <n v="1"/>
    <s v="162371.532"/>
    <s v="ביטוח רכב                       "/>
    <m/>
    <m/>
    <n v="25000"/>
    <n v="27000"/>
    <n v="24700"/>
    <m/>
    <x v="5"/>
    <s v="הנהלה כללית"/>
    <x v="22"/>
    <s v="מינהל כספי"/>
    <x v="71"/>
    <s v="גבייה"/>
    <s v="6237"/>
    <e v="#N/A"/>
    <m/>
    <s v="5"/>
    <x v="11"/>
    <s v="53"/>
    <s v="הוצאות רכב מינהלי"/>
    <s v="532"/>
    <s v="תיקונים"/>
  </r>
  <r>
    <n v="533"/>
    <s v="62371"/>
    <n v="1"/>
    <s v="162371.533"/>
    <s v="שכירת רכב ורכב עירוני           "/>
    <m/>
    <m/>
    <n v="43000"/>
    <n v="43000"/>
    <n v="42117"/>
    <e v="#N/A"/>
    <x v="5"/>
    <s v="הנהלה כללית"/>
    <x v="22"/>
    <s v="מינהל כספי"/>
    <x v="71"/>
    <s v="גבייה"/>
    <s v="6237"/>
    <e v="#N/A"/>
    <m/>
    <s v="5"/>
    <x v="11"/>
    <s v="53"/>
    <s v="הוצאות רכב מינהלי"/>
    <s v="533"/>
    <s v="רישוי וביטוח"/>
  </r>
  <r>
    <n v="534"/>
    <s v="62371"/>
    <n v="1"/>
    <s v="162371.534"/>
    <s v="דלק ושמן                        "/>
    <m/>
    <m/>
    <n v="50000"/>
    <n v="50000"/>
    <n v="38732"/>
    <e v="#N/A"/>
    <x v="5"/>
    <s v="הנהלה כללית"/>
    <x v="22"/>
    <s v="מינהל כספי"/>
    <x v="71"/>
    <s v="גבייה"/>
    <s v="6237"/>
    <e v="#N/A"/>
    <m/>
    <s v="5"/>
    <x v="11"/>
    <s v="53"/>
    <s v="הוצאות רכב מינהלי"/>
    <s v="534"/>
    <e v="#N/A"/>
  </r>
  <r>
    <n v="541"/>
    <s v="62371"/>
    <n v="1"/>
    <s v="162371.541"/>
    <s v="החזקת מכשירי קשר וסלולר         "/>
    <m/>
    <m/>
    <n v="35000"/>
    <n v="35000"/>
    <n v="42185"/>
    <e v="#N/A"/>
    <x v="5"/>
    <s v="הנהלה כללית"/>
    <x v="22"/>
    <s v="מינהל כספי"/>
    <x v="71"/>
    <s v="גבייה"/>
    <s v="6237"/>
    <e v="#N/A"/>
    <m/>
    <s v="5"/>
    <x v="11"/>
    <s v="54"/>
    <s v="הוצאות תקשורת"/>
    <s v="541"/>
    <e v="#N/A"/>
  </r>
  <r>
    <n v="610"/>
    <s v="62371"/>
    <n v="1"/>
    <s v="162371.610"/>
    <s v="כיבודים                         "/>
    <m/>
    <m/>
    <n v="238000"/>
    <n v="238000"/>
    <n v="237590"/>
    <e v="#N/A"/>
    <x v="5"/>
    <s v="הנהלה כללית"/>
    <x v="22"/>
    <s v="מינהל כספי"/>
    <x v="71"/>
    <s v="גבייה"/>
    <s v="6237"/>
    <e v="#N/A"/>
    <m/>
    <s v="6"/>
    <x v="12"/>
    <s v="61"/>
    <s v="עמלות"/>
    <s v="610"/>
    <e v="#N/A"/>
  </r>
  <r>
    <n v="621"/>
    <s v="62371"/>
    <n v="1"/>
    <s v="162371.621"/>
    <s v="הוצאות משפטיות                  "/>
    <m/>
    <m/>
    <n v="100000"/>
    <n v="100000"/>
    <n v="94789"/>
    <e v="#N/A"/>
    <x v="5"/>
    <s v="הנהלה כללית"/>
    <x v="22"/>
    <s v="מינהל כספי"/>
    <x v="71"/>
    <s v="גבייה"/>
    <s v="6237"/>
    <e v="#N/A"/>
    <m/>
    <s v="6"/>
    <x v="12"/>
    <s v="62"/>
    <s v="ריבית משיכת יתר"/>
    <s v="621"/>
    <e v="#N/A"/>
  </r>
  <r>
    <n v="622"/>
    <s v="62371"/>
    <n v="1"/>
    <s v="162371.622"/>
    <s v="הוצאות משפטיות קנסות מורכבים    "/>
    <m/>
    <m/>
    <n v="20000"/>
    <n v="0"/>
    <n v="0"/>
    <e v="#N/A"/>
    <x v="5"/>
    <s v="הנהלה כללית"/>
    <x v="22"/>
    <s v="מינהל כספי"/>
    <x v="71"/>
    <s v="גבייה"/>
    <s v="6237"/>
    <e v="#N/A"/>
    <m/>
    <s v="6"/>
    <x v="12"/>
    <s v="62"/>
    <s v="ריבית משיכת יתר"/>
    <s v="622"/>
    <e v="#N/A"/>
  </r>
  <r>
    <n v="670"/>
    <s v="62371"/>
    <n v="1"/>
    <s v="162371.670"/>
    <s v="סעיף שאינו חוזר                 "/>
    <m/>
    <m/>
    <n v="0"/>
    <n v="318000"/>
    <n v="244874"/>
    <e v="#N/A"/>
    <x v="5"/>
    <s v="הנהלה כללית"/>
    <x v="22"/>
    <s v="מינהל כספי"/>
    <x v="71"/>
    <s v="גבייה"/>
    <s v="6237"/>
    <e v="#N/A"/>
    <m/>
    <s v="6"/>
    <x v="12"/>
    <s v="67"/>
    <e v="#N/A"/>
    <s v="670"/>
    <e v="#N/A"/>
  </r>
  <r>
    <n v="680"/>
    <s v="62371"/>
    <n v="1"/>
    <s v="162371.680"/>
    <s v="הוצאות מיוחדות                  "/>
    <m/>
    <m/>
    <n v="34000"/>
    <n v="34000"/>
    <n v="19532"/>
    <e v="#N/A"/>
    <x v="5"/>
    <s v="הנהלה כללית"/>
    <x v="22"/>
    <s v="מינהל כספי"/>
    <x v="71"/>
    <s v="גבייה"/>
    <s v="6237"/>
    <e v="#N/A"/>
    <m/>
    <s v="6"/>
    <x v="12"/>
    <s v="68"/>
    <s v="ריבית על הוצאות אחרות"/>
    <s v="680"/>
    <e v="#N/A"/>
  </r>
  <r>
    <n v="691"/>
    <s v="62371"/>
    <n v="1"/>
    <s v="162371.691"/>
    <s v="מערכות מידע ומחשוב              "/>
    <m/>
    <m/>
    <n v="6100000"/>
    <n v="3230000"/>
    <n v="3619993"/>
    <e v="#N/A"/>
    <x v="5"/>
    <s v="הנהלה כללית"/>
    <x v="22"/>
    <s v="מינהל כספי"/>
    <x v="71"/>
    <s v="גבייה"/>
    <s v="6237"/>
    <e v="#N/A"/>
    <m/>
    <s v="6"/>
    <x v="12"/>
    <s v="69"/>
    <s v="שונות"/>
    <s v="691"/>
    <s v="תשלום ע&quot;ח קרן"/>
  </r>
  <r>
    <n v="693"/>
    <s v="62371"/>
    <n v="1"/>
    <s v="162371.693"/>
    <s v="מיחשוב יחידתי                   "/>
    <m/>
    <m/>
    <n v="100000"/>
    <n v="100000"/>
    <n v="91526"/>
    <e v="#N/A"/>
    <x v="5"/>
    <s v="הנהלה כללית"/>
    <x v="22"/>
    <s v="מינהל כספי"/>
    <x v="71"/>
    <s v="גבייה"/>
    <s v="6237"/>
    <e v="#N/A"/>
    <m/>
    <s v="6"/>
    <x v="12"/>
    <s v="69"/>
    <s v="שונות"/>
    <s v="693"/>
    <s v="תשלום ע&quot;ח הצמדת ערך"/>
  </r>
  <r>
    <n v="695"/>
    <s v="62371"/>
    <n v="1"/>
    <s v="162371.695"/>
    <s v="תקשורת  ציוד והתקנה             "/>
    <m/>
    <m/>
    <n v="15000"/>
    <n v="15000"/>
    <n v="11322"/>
    <e v="#N/A"/>
    <x v="5"/>
    <s v="הנהלה כללית"/>
    <x v="22"/>
    <s v="מינהל כספי"/>
    <x v="71"/>
    <s v="גבייה"/>
    <s v="6237"/>
    <e v="#N/A"/>
    <m/>
    <s v="6"/>
    <x v="12"/>
    <s v="69"/>
    <s v="שונות"/>
    <s v="695"/>
    <e v="#N/A"/>
  </r>
  <r>
    <n v="752"/>
    <s v="62371"/>
    <n v="1"/>
    <s v="162371.752"/>
    <s v="שיטור                           "/>
    <m/>
    <m/>
    <n v="300000"/>
    <n v="300000"/>
    <n v="289999"/>
    <m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2"/>
    <e v="#N/A"/>
  </r>
  <r>
    <n v="753"/>
    <s v="62371"/>
    <n v="1"/>
    <s v="162371.753"/>
    <s v="הדפסת תווי חניה                 "/>
    <m/>
    <m/>
    <n v="190000"/>
    <n v="190000"/>
    <n v="174474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3"/>
    <e v="#N/A"/>
  </r>
  <r>
    <n v="755"/>
    <s v="62371"/>
    <n v="1"/>
    <s v="162371.755"/>
    <s v="דמי חבר וספרות מקצועית          "/>
    <m/>
    <m/>
    <n v="13000"/>
    <n v="13000"/>
    <n v="1798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5"/>
    <e v="#N/A"/>
  </r>
  <r>
    <n v="757"/>
    <s v="62371"/>
    <n v="1"/>
    <s v="162371.757"/>
    <s v="איתוראן                         "/>
    <m/>
    <m/>
    <n v="20000"/>
    <n v="20000"/>
    <n v="15930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7"/>
    <e v="#N/A"/>
  </r>
  <r>
    <n v="758"/>
    <s v="62371"/>
    <n v="1"/>
    <s v="162371.758"/>
    <s v="מוקד טלפוני לתשלום בכרטיסי אשראי"/>
    <m/>
    <m/>
    <n v="450000"/>
    <n v="650000"/>
    <n v="372993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8"/>
    <e v="#N/A"/>
  </r>
  <r>
    <n v="759"/>
    <s v="62371"/>
    <n v="1"/>
    <s v="162371.759"/>
    <s v="משלוח תווי חניה                 "/>
    <m/>
    <m/>
    <n v="1200000"/>
    <n v="600000"/>
    <n v="622141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9"/>
    <e v="#N/A"/>
  </r>
  <r>
    <n v="781"/>
    <s v="62371"/>
    <n v="1"/>
    <s v="162371.781"/>
    <s v="סריקה                           "/>
    <m/>
    <m/>
    <n v="100000"/>
    <n v="100000"/>
    <n v="96317"/>
    <e v="#N/A"/>
    <x v="5"/>
    <s v="הנהלה כללית"/>
    <x v="22"/>
    <s v="מינהל כספי"/>
    <x v="71"/>
    <s v="גבייה"/>
    <s v="6237"/>
    <e v="#N/A"/>
    <m/>
    <s v="7"/>
    <x v="13"/>
    <s v="78"/>
    <s v="הוצאות שונות"/>
    <s v="781"/>
    <e v="#N/A"/>
  </r>
  <r>
    <n v="782"/>
    <s v="62371"/>
    <n v="1"/>
    <s v="162371.782"/>
    <s v="מפות אזורי חנייה                "/>
    <m/>
    <m/>
    <n v="30000"/>
    <n v="30000"/>
    <n v="24780"/>
    <e v="#N/A"/>
    <x v="5"/>
    <s v="הנהלה כללית"/>
    <x v="22"/>
    <s v="מינהל כספי"/>
    <x v="71"/>
    <s v="גבייה"/>
    <s v="6237"/>
    <e v="#N/A"/>
    <m/>
    <s v="7"/>
    <x v="13"/>
    <s v="78"/>
    <s v="הוצאות שונות"/>
    <s v="782"/>
    <e v="#N/A"/>
  </r>
  <r>
    <n v="783"/>
    <s v="62371"/>
    <n v="1"/>
    <s v="162371.783"/>
    <s v="שרות משלוח מסרונים              "/>
    <m/>
    <m/>
    <n v="10000"/>
    <n v="10000"/>
    <n v="10000"/>
    <e v="#N/A"/>
    <x v="5"/>
    <s v="הנהלה כללית"/>
    <x v="22"/>
    <s v="מינהל כספי"/>
    <x v="71"/>
    <s v="גבייה"/>
    <s v="6237"/>
    <e v="#N/A"/>
    <m/>
    <s v="7"/>
    <x v="13"/>
    <s v="78"/>
    <s v="הוצאות שונות"/>
    <s v="783"/>
    <e v="#N/A"/>
  </r>
  <r>
    <n v="790"/>
    <s v="62371"/>
    <n v="1"/>
    <s v="162371.790"/>
    <s v="עתודה לאכיפת גבית חובות חניה    "/>
    <m/>
    <m/>
    <n v="78000"/>
    <n v="78000"/>
    <n v="0"/>
    <e v="#N/A"/>
    <x v="5"/>
    <s v="הנהלה כללית"/>
    <x v="22"/>
    <s v="מינהל כספי"/>
    <x v="71"/>
    <s v="גבייה"/>
    <s v="6237"/>
    <e v="#N/A"/>
    <m/>
    <s v="7"/>
    <x v="13"/>
    <s v="79"/>
    <s v="השתתפות בתקציבי עזר 092"/>
    <s v="790"/>
    <e v="#N/A"/>
  </r>
  <r>
    <n v="932"/>
    <s v="62371"/>
    <n v="1"/>
    <s v="162371.932"/>
    <s v="ציוד וריהוט משרדי               "/>
    <m/>
    <m/>
    <n v="50000"/>
    <n v="50000"/>
    <n v="48405"/>
    <e v="#N/A"/>
    <x v="5"/>
    <s v="הנהלה כללית"/>
    <x v="22"/>
    <s v="מינהל כספי"/>
    <x v="71"/>
    <s v="גבייה"/>
    <s v="6237"/>
    <e v="#N/A"/>
    <m/>
    <s v="9"/>
    <x v="17"/>
    <s v="93"/>
    <s v="רכישת ציוד יסודי"/>
    <s v="932"/>
    <e v="#N/A"/>
  </r>
  <r>
    <n v="110"/>
    <s v="62372"/>
    <n v="1"/>
    <s v="162372.110"/>
    <s v="משכורת כוללת                    "/>
    <m/>
    <m/>
    <n v="5405000"/>
    <n v="5491000"/>
    <n v="5208886"/>
    <e v="#N/A"/>
    <x v="5"/>
    <s v="הנהלה כללית"/>
    <x v="22"/>
    <s v="מינהל כספי"/>
    <x v="71"/>
    <s v="גבייה"/>
    <s v="6237"/>
    <e v="#N/A"/>
    <m/>
    <s v="1"/>
    <x v="9"/>
    <s v="11"/>
    <s v="השכר הקובע"/>
    <s v="110"/>
    <e v="#N/A"/>
  </r>
  <r>
    <n v="124"/>
    <s v="62372"/>
    <n v="1"/>
    <s v="162372.124"/>
    <s v="החזר הוצאות                     "/>
    <m/>
    <m/>
    <n v="506000"/>
    <n v="487000"/>
    <n v="474236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4"/>
    <e v="#N/A"/>
  </r>
  <r>
    <n v="126"/>
    <s v="62372"/>
    <n v="1"/>
    <s v="162372.126"/>
    <s v="הבראה                           "/>
    <m/>
    <m/>
    <n v="391000"/>
    <n v="393000"/>
    <n v="387156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6"/>
    <e v="#N/A"/>
  </r>
  <r>
    <n v="127"/>
    <s v="62372"/>
    <n v="1"/>
    <s v="162372.127"/>
    <s v="השתתפות באחזקת רכב - 72         "/>
    <m/>
    <m/>
    <n v="1136000"/>
    <n v="1151000"/>
    <n v="1126032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7"/>
    <e v="#N/A"/>
  </r>
  <r>
    <n v="130"/>
    <s v="62372"/>
    <n v="1"/>
    <s v="162372.130"/>
    <s v="תשלומים מיוחדים                 "/>
    <m/>
    <m/>
    <n v="1167000"/>
    <n v="1150000"/>
    <n v="1104741"/>
    <e v="#N/A"/>
    <x v="5"/>
    <s v="הנהלה כללית"/>
    <x v="22"/>
    <s v="מינהל כספי"/>
    <x v="71"/>
    <s v="גבייה"/>
    <s v="6237"/>
    <e v="#N/A"/>
    <m/>
    <s v="1"/>
    <x v="9"/>
    <s v="13"/>
    <s v="שעות נוספות"/>
    <s v="130"/>
    <e v="#N/A"/>
  </r>
  <r>
    <n v="181"/>
    <s v="62372"/>
    <n v="1"/>
    <s v="162372.181"/>
    <s v="מיסים וביטוח לאומי              "/>
    <m/>
    <m/>
    <n v="1247000"/>
    <n v="1245000"/>
    <n v="1188190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1"/>
    <s v="הפרשות סוציאליות"/>
  </r>
  <r>
    <n v="182"/>
    <s v="62372"/>
    <n v="1"/>
    <s v="162372.182"/>
    <s v="קופות גמל והשתלמות              "/>
    <m/>
    <m/>
    <n v="1702000"/>
    <n v="1711000"/>
    <n v="1609117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2"/>
    <s v="מיסיום ועלויות"/>
  </r>
  <r>
    <n v="230"/>
    <s v="62372"/>
    <n v="1"/>
    <s v="162372.230"/>
    <s v="משימות חולפות-15                "/>
    <m/>
    <m/>
    <n v="930000"/>
    <n v="846000"/>
    <n v="797935"/>
    <e v="#N/A"/>
    <x v="5"/>
    <s v="הנהלה כללית"/>
    <x v="22"/>
    <s v="מינהל כספי"/>
    <x v="71"/>
    <s v="גבייה"/>
    <s v="6237"/>
    <e v="#N/A"/>
    <m/>
    <s v="2"/>
    <x v="10"/>
    <s v="23"/>
    <s v="שעות נוספות"/>
    <s v="230"/>
    <e v="#N/A"/>
  </r>
  <r>
    <n v="110"/>
    <s v="62373"/>
    <n v="1"/>
    <s v="162373.110"/>
    <s v="משכורת כוללת                    "/>
    <m/>
    <m/>
    <n v="1526000"/>
    <n v="1594000"/>
    <n v="1524308"/>
    <e v="#N/A"/>
    <x v="5"/>
    <s v="הנהלה כללית"/>
    <x v="22"/>
    <s v="מינהל כספי"/>
    <x v="71"/>
    <s v="גבייה"/>
    <s v="6237"/>
    <e v="#N/A"/>
    <m/>
    <s v="1"/>
    <x v="9"/>
    <s v="11"/>
    <s v="השכר הקובע"/>
    <s v="110"/>
    <e v="#N/A"/>
  </r>
  <r>
    <n v="124"/>
    <s v="62373"/>
    <n v="1"/>
    <s v="162373.124"/>
    <s v="החזר הוצאות                     "/>
    <m/>
    <m/>
    <n v="122000"/>
    <n v="123000"/>
    <n v="123462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4"/>
    <e v="#N/A"/>
  </r>
  <r>
    <n v="126"/>
    <s v="62373"/>
    <n v="1"/>
    <s v="162373.126"/>
    <s v="הבראה                           "/>
    <m/>
    <m/>
    <n v="93000"/>
    <n v="97000"/>
    <n v="98374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6"/>
    <e v="#N/A"/>
  </r>
  <r>
    <n v="127"/>
    <s v="62373"/>
    <n v="1"/>
    <s v="162373.127"/>
    <s v="השתתפות באחזקת רכב - 19         "/>
    <m/>
    <m/>
    <n v="360000"/>
    <n v="377000"/>
    <n v="358173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7"/>
    <e v="#N/A"/>
  </r>
  <r>
    <n v="130"/>
    <s v="62373"/>
    <n v="1"/>
    <s v="162373.130"/>
    <s v="תשלומים מיוחדים                 "/>
    <m/>
    <m/>
    <n v="328000"/>
    <n v="326000"/>
    <n v="317959"/>
    <e v="#N/A"/>
    <x v="5"/>
    <s v="הנהלה כללית"/>
    <x v="22"/>
    <s v="מינהל כספי"/>
    <x v="71"/>
    <s v="גבייה"/>
    <s v="6237"/>
    <e v="#N/A"/>
    <m/>
    <s v="1"/>
    <x v="9"/>
    <s v="13"/>
    <s v="שעות נוספות"/>
    <s v="130"/>
    <e v="#N/A"/>
  </r>
  <r>
    <n v="181"/>
    <s v="62373"/>
    <n v="1"/>
    <s v="162373.181"/>
    <s v="מיסים וביטוח לאומי              "/>
    <m/>
    <m/>
    <n v="326000"/>
    <n v="338000"/>
    <n v="330847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1"/>
    <s v="הפרשות סוציאליות"/>
  </r>
  <r>
    <n v="182"/>
    <s v="62373"/>
    <n v="1"/>
    <s v="162373.182"/>
    <s v="קופות גמל והשתלמות              "/>
    <m/>
    <m/>
    <n v="396000"/>
    <n v="389000"/>
    <n v="372337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2"/>
    <s v="מיסיום ועלויות"/>
  </r>
  <r>
    <n v="230"/>
    <s v="62373"/>
    <n v="1"/>
    <s v="162373.230"/>
    <s v="משרה חולפת-1                    "/>
    <m/>
    <m/>
    <n v="65000"/>
    <n v="66000"/>
    <n v="29050"/>
    <e v="#N/A"/>
    <x v="5"/>
    <s v="הנהלה כללית"/>
    <x v="22"/>
    <s v="מינהל כספי"/>
    <x v="71"/>
    <s v="גבייה"/>
    <s v="6237"/>
    <e v="#N/A"/>
    <m/>
    <s v="2"/>
    <x v="10"/>
    <s v="23"/>
    <s v="שעות נוספות"/>
    <s v="230"/>
    <e v="#N/A"/>
  </r>
  <r>
    <n v="751"/>
    <s v="62373"/>
    <n v="1"/>
    <s v="162373.751"/>
    <s v="חקירות ואיתור כתובות            "/>
    <m/>
    <m/>
    <n v="1240000"/>
    <n v="1540000"/>
    <n v="1130008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1"/>
    <e v="#N/A"/>
  </r>
  <r>
    <n v="753"/>
    <s v="62373"/>
    <n v="1"/>
    <s v="162373.753"/>
    <s v="רישום הוצאת ואחסנת מעוקלים      "/>
    <m/>
    <m/>
    <n v="5415000"/>
    <n v="5915000"/>
    <n v="3688520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3"/>
    <e v="#N/A"/>
  </r>
  <r>
    <n v="754"/>
    <s v="62373"/>
    <n v="1"/>
    <s v="162373.754"/>
    <s v="שאילתות ועיקולי רכב             "/>
    <m/>
    <m/>
    <n v="3565000"/>
    <n v="3865000"/>
    <n v="2460742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4"/>
    <e v="#N/A"/>
  </r>
  <r>
    <n v="757"/>
    <s v="62373"/>
    <n v="1"/>
    <s v="162373.757"/>
    <s v="תש' למוסדות בגין איתור ועיקול חש"/>
    <m/>
    <m/>
    <n v="2800000"/>
    <n v="2800000"/>
    <n v="3655514"/>
    <m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7"/>
    <e v="#N/A"/>
  </r>
  <r>
    <n v="758"/>
    <s v="62373"/>
    <n v="1"/>
    <s v="162373.758"/>
    <s v="הנפקת ומשלוח צווים              "/>
    <m/>
    <m/>
    <n v="575000"/>
    <n v="575000"/>
    <n v="375148"/>
    <e v="#N/A"/>
    <x v="5"/>
    <s v="הנהלה כללית"/>
    <x v="22"/>
    <s v="מינהל כספי"/>
    <x v="71"/>
    <s v="גבייה"/>
    <s v="6237"/>
    <e v="#N/A"/>
    <m/>
    <s v="7"/>
    <x v="13"/>
    <s v="75"/>
    <s v="עבודות קבלניות"/>
    <s v="758"/>
    <e v="#N/A"/>
  </r>
  <r>
    <n v="110"/>
    <s v="62374"/>
    <n v="1"/>
    <s v="162374.110"/>
    <s v="משכורת כוללת                    "/>
    <m/>
    <m/>
    <n v="2544000"/>
    <n v="2437000"/>
    <n v="2381739"/>
    <e v="#N/A"/>
    <x v="5"/>
    <s v="הנהלה כללית"/>
    <x v="22"/>
    <s v="מינהל כספי"/>
    <x v="71"/>
    <s v="גבייה"/>
    <s v="6237"/>
    <e v="#N/A"/>
    <m/>
    <s v="1"/>
    <x v="9"/>
    <s v="11"/>
    <s v="השכר הקובע"/>
    <s v="110"/>
    <e v="#N/A"/>
  </r>
  <r>
    <n v="124"/>
    <s v="62374"/>
    <n v="1"/>
    <s v="162374.124"/>
    <s v="החזר הוצאות                     "/>
    <m/>
    <m/>
    <n v="207000"/>
    <n v="203000"/>
    <n v="200731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4"/>
    <e v="#N/A"/>
  </r>
  <r>
    <n v="126"/>
    <s v="62374"/>
    <n v="1"/>
    <s v="162374.126"/>
    <s v="הבראה                           "/>
    <m/>
    <m/>
    <n v="159000"/>
    <n v="158000"/>
    <n v="155395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6"/>
    <e v="#N/A"/>
  </r>
  <r>
    <n v="127"/>
    <s v="62374"/>
    <n v="1"/>
    <s v="162374.127"/>
    <s v="השתתפות באחזקת רכב - 26         "/>
    <m/>
    <m/>
    <n v="444000"/>
    <n v="406000"/>
    <n v="395914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7"/>
    <e v="#N/A"/>
  </r>
  <r>
    <n v="130"/>
    <s v="62374"/>
    <n v="1"/>
    <s v="162374.130"/>
    <s v="תשלומים מיוחדים                 "/>
    <m/>
    <m/>
    <n v="491000"/>
    <n v="466000"/>
    <n v="459840"/>
    <e v="#N/A"/>
    <x v="5"/>
    <s v="הנהלה כללית"/>
    <x v="22"/>
    <s v="מינהל כספי"/>
    <x v="71"/>
    <s v="גבייה"/>
    <s v="6237"/>
    <e v="#N/A"/>
    <m/>
    <s v="1"/>
    <x v="9"/>
    <s v="13"/>
    <s v="שעות נוספות"/>
    <s v="130"/>
    <e v="#N/A"/>
  </r>
  <r>
    <n v="181"/>
    <s v="62374"/>
    <n v="1"/>
    <s v="162374.181"/>
    <s v="מיסים וביטוח לאומי              "/>
    <m/>
    <m/>
    <n v="511000"/>
    <n v="484000"/>
    <n v="463159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1"/>
    <s v="הפרשות סוציאליות"/>
  </r>
  <r>
    <n v="182"/>
    <s v="62374"/>
    <n v="1"/>
    <s v="162374.182"/>
    <s v="קופות גמל והשתלמות              "/>
    <m/>
    <m/>
    <n v="613000"/>
    <n v="603000"/>
    <n v="574599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2"/>
    <s v="מיסיום ועלויות"/>
  </r>
  <r>
    <n v="230"/>
    <s v="62374"/>
    <n v="1"/>
    <s v="162374.230"/>
    <s v="משרה חולפת-1                    "/>
    <m/>
    <m/>
    <n v="64000"/>
    <n v="32000"/>
    <n v="45312"/>
    <e v="#N/A"/>
    <x v="5"/>
    <s v="הנהלה כללית"/>
    <x v="22"/>
    <s v="מינהל כספי"/>
    <x v="71"/>
    <s v="גבייה"/>
    <s v="6237"/>
    <e v="#N/A"/>
    <m/>
    <s v="2"/>
    <x v="10"/>
    <s v="23"/>
    <s v="שעות נוספות"/>
    <s v="230"/>
    <e v="#N/A"/>
  </r>
  <r>
    <n v="110"/>
    <s v="62375"/>
    <n v="1"/>
    <s v="162375.110"/>
    <s v="משכורת כוללת                    "/>
    <m/>
    <m/>
    <n v="1602000"/>
    <n v="1620000"/>
    <n v="1513027"/>
    <e v="#N/A"/>
    <x v="5"/>
    <s v="הנהלה כללית"/>
    <x v="22"/>
    <s v="מינהל כספי"/>
    <x v="71"/>
    <s v="גבייה"/>
    <s v="6237"/>
    <e v="#N/A"/>
    <m/>
    <s v="1"/>
    <x v="9"/>
    <s v="11"/>
    <s v="השכר הקובע"/>
    <s v="110"/>
    <e v="#N/A"/>
  </r>
  <r>
    <n v="124"/>
    <s v="62375"/>
    <n v="1"/>
    <s v="162375.124"/>
    <s v="החזר הוצאות                     "/>
    <m/>
    <m/>
    <n v="111000"/>
    <n v="112000"/>
    <n v="104249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4"/>
    <e v="#N/A"/>
  </r>
  <r>
    <n v="126"/>
    <s v="62375"/>
    <n v="1"/>
    <s v="162375.126"/>
    <s v="הבראה                           "/>
    <m/>
    <m/>
    <n v="70000"/>
    <n v="74000"/>
    <n v="74609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6"/>
    <e v="#N/A"/>
  </r>
  <r>
    <n v="127"/>
    <s v="62375"/>
    <n v="1"/>
    <s v="162375.127"/>
    <s v="השתתפות באחזקת רכב - 15         "/>
    <m/>
    <m/>
    <n v="371000"/>
    <n v="362000"/>
    <n v="345901"/>
    <e v="#N/A"/>
    <x v="5"/>
    <s v="הנהלה כללית"/>
    <x v="22"/>
    <s v="מינהל כספי"/>
    <x v="71"/>
    <s v="גבייה"/>
    <s v="6237"/>
    <e v="#N/A"/>
    <m/>
    <s v="1"/>
    <x v="9"/>
    <s v="12"/>
    <s v="תוספות שאינן נכללות בשכר הקובע"/>
    <s v="127"/>
    <e v="#N/A"/>
  </r>
  <r>
    <n v="130"/>
    <s v="62375"/>
    <n v="1"/>
    <s v="162375.130"/>
    <s v="תשלומים מיוחדים                 "/>
    <m/>
    <m/>
    <n v="297000"/>
    <n v="327000"/>
    <n v="295580"/>
    <e v="#N/A"/>
    <x v="5"/>
    <s v="הנהלה כללית"/>
    <x v="22"/>
    <s v="מינהל כספי"/>
    <x v="71"/>
    <s v="גבייה"/>
    <s v="6237"/>
    <e v="#N/A"/>
    <m/>
    <s v="1"/>
    <x v="9"/>
    <s v="13"/>
    <s v="שעות נוספות"/>
    <s v="130"/>
    <e v="#N/A"/>
  </r>
  <r>
    <n v="181"/>
    <s v="62375"/>
    <n v="1"/>
    <s v="162375.181"/>
    <s v="מיסים וביטוח לאומי              "/>
    <m/>
    <m/>
    <n v="321000"/>
    <n v="326000"/>
    <n v="313688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1"/>
    <s v="הפרשות סוציאליות"/>
  </r>
  <r>
    <n v="182"/>
    <s v="62375"/>
    <n v="1"/>
    <s v="162375.182"/>
    <s v="קופות גמל והשתלמות              "/>
    <m/>
    <m/>
    <n v="393000"/>
    <n v="424000"/>
    <n v="407915"/>
    <e v="#N/A"/>
    <x v="5"/>
    <s v="הנהלה כללית"/>
    <x v="22"/>
    <s v="מינהל כספי"/>
    <x v="71"/>
    <s v="גבייה"/>
    <s v="6237"/>
    <e v="#N/A"/>
    <m/>
    <s v="1"/>
    <x v="9"/>
    <s v="18"/>
    <s v="נלוות לשכר"/>
    <s v="182"/>
    <s v="מיסיום ועלויות"/>
  </r>
  <r>
    <n v="110"/>
    <s v="62410"/>
    <n v="1"/>
    <s v="162410.110"/>
    <s v="משכורת כוללת                    "/>
    <m/>
    <m/>
    <n v="995000"/>
    <n v="962000"/>
    <n v="910830"/>
    <e v="#N/A"/>
    <x v="5"/>
    <s v="הנהלה כללית"/>
    <x v="22"/>
    <s v="מינהל כספי"/>
    <x v="72"/>
    <s v="פקוח על חברות הרשות"/>
    <s v="6241"/>
    <e v="#N/A"/>
    <m/>
    <s v="1"/>
    <x v="9"/>
    <s v="11"/>
    <s v="השכר הקובע"/>
    <s v="110"/>
    <e v="#N/A"/>
  </r>
  <r>
    <n v="124"/>
    <s v="62410"/>
    <n v="1"/>
    <s v="162410.124"/>
    <s v="החזר הוצאות                     "/>
    <m/>
    <m/>
    <n v="44000"/>
    <n v="44000"/>
    <n v="42898"/>
    <e v="#N/A"/>
    <x v="5"/>
    <s v="הנהלה כללית"/>
    <x v="22"/>
    <s v="מינהל כספי"/>
    <x v="72"/>
    <s v="פקוח על חברות הרשות"/>
    <s v="6241"/>
    <e v="#N/A"/>
    <m/>
    <s v="1"/>
    <x v="9"/>
    <s v="12"/>
    <s v="תוספות שאינן נכללות בשכר הקובע"/>
    <s v="124"/>
    <e v="#N/A"/>
  </r>
  <r>
    <n v="126"/>
    <s v="62410"/>
    <n v="1"/>
    <s v="162410.126"/>
    <s v="הבראה                           "/>
    <m/>
    <m/>
    <n v="30000"/>
    <n v="26000"/>
    <n v="28117"/>
    <e v="#N/A"/>
    <x v="5"/>
    <s v="הנהלה כללית"/>
    <x v="22"/>
    <s v="מינהל כספי"/>
    <x v="72"/>
    <s v="פקוח על חברות הרשות"/>
    <s v="6241"/>
    <e v="#N/A"/>
    <m/>
    <s v="1"/>
    <x v="9"/>
    <s v="12"/>
    <s v="תוספות שאינן נכללות בשכר הקובע"/>
    <s v="126"/>
    <e v="#N/A"/>
  </r>
  <r>
    <n v="127"/>
    <s v="62410"/>
    <n v="1"/>
    <s v="162410.127"/>
    <s v="השתתפות באחזקת רכב - 3          "/>
    <m/>
    <m/>
    <n v="79000"/>
    <n v="150000"/>
    <n v="141940"/>
    <e v="#N/A"/>
    <x v="5"/>
    <s v="הנהלה כללית"/>
    <x v="22"/>
    <s v="מינהל כספי"/>
    <x v="72"/>
    <s v="פקוח על חברות הרשות"/>
    <s v="6241"/>
    <e v="#N/A"/>
    <m/>
    <s v="1"/>
    <x v="9"/>
    <s v="12"/>
    <s v="תוספות שאינן נכללות בשכר הקובע"/>
    <s v="127"/>
    <e v="#N/A"/>
  </r>
  <r>
    <n v="130"/>
    <s v="62410"/>
    <n v="1"/>
    <s v="162410.130"/>
    <s v="תשלומים מיוחדים                 "/>
    <m/>
    <m/>
    <n v="108000"/>
    <n v="107000"/>
    <n v="105444"/>
    <e v="#N/A"/>
    <x v="5"/>
    <s v="הנהלה כללית"/>
    <x v="22"/>
    <s v="מינהל כספי"/>
    <x v="72"/>
    <s v="פקוח על חברות הרשות"/>
    <s v="6241"/>
    <e v="#N/A"/>
    <m/>
    <s v="1"/>
    <x v="9"/>
    <s v="13"/>
    <s v="שעות נוספות"/>
    <s v="130"/>
    <e v="#N/A"/>
  </r>
  <r>
    <n v="170"/>
    <s v="62410"/>
    <n v="1"/>
    <s v="162410.170"/>
    <s v="סעיף שאינו חוזר                 "/>
    <m/>
    <m/>
    <n v="0"/>
    <n v="0"/>
    <n v="31679"/>
    <e v="#N/A"/>
    <x v="5"/>
    <s v="הנהלה כללית"/>
    <x v="22"/>
    <s v="מינהל כספי"/>
    <x v="72"/>
    <s v="פקוח על חברות הרשות"/>
    <s v="6241"/>
    <e v="#N/A"/>
    <m/>
    <s v="1"/>
    <x v="9"/>
    <s v="17"/>
    <e v="#N/A"/>
    <s v="170"/>
    <e v="#N/A"/>
  </r>
  <r>
    <n v="181"/>
    <s v="62410"/>
    <n v="1"/>
    <s v="162410.181"/>
    <s v="מיסים וביטוח לאומי              "/>
    <m/>
    <m/>
    <n v="183000"/>
    <n v="187000"/>
    <n v="171537"/>
    <e v="#N/A"/>
    <x v="5"/>
    <s v="הנהלה כללית"/>
    <x v="22"/>
    <s v="מינהל כספי"/>
    <x v="72"/>
    <s v="פקוח על חברות הרשות"/>
    <s v="6241"/>
    <e v="#N/A"/>
    <m/>
    <s v="1"/>
    <x v="9"/>
    <s v="18"/>
    <s v="נלוות לשכר"/>
    <s v="181"/>
    <s v="הפרשות סוציאליות"/>
  </r>
  <r>
    <n v="182"/>
    <s v="62410"/>
    <n v="1"/>
    <s v="162410.182"/>
    <s v="קופות גמל והשתלמות              "/>
    <m/>
    <m/>
    <n v="173000"/>
    <n v="165000"/>
    <n v="156787"/>
    <e v="#N/A"/>
    <x v="5"/>
    <s v="הנהלה כללית"/>
    <x v="22"/>
    <s v="מינהל כספי"/>
    <x v="72"/>
    <s v="פקוח על חברות הרשות"/>
    <s v="6241"/>
    <e v="#N/A"/>
    <m/>
    <s v="1"/>
    <x v="9"/>
    <s v="18"/>
    <s v="נלוות לשכר"/>
    <s v="182"/>
    <s v="מיסיום ועלויות"/>
  </r>
  <r>
    <n v="310"/>
    <s v="62410"/>
    <n v="1"/>
    <s v="162410.310"/>
    <s v="שעות נוספות רשומות              "/>
    <m/>
    <m/>
    <n v="139000"/>
    <n v="136000"/>
    <n v="100241"/>
    <e v="#N/A"/>
    <x v="5"/>
    <s v="הנהלה כללית"/>
    <x v="22"/>
    <s v="מינהל כספי"/>
    <x v="72"/>
    <s v="פקוח על חברות הרשות"/>
    <s v="6241"/>
    <e v="#N/A"/>
    <m/>
    <s v="3"/>
    <x v="14"/>
    <s v="31"/>
    <s v="פנסיה"/>
    <s v="310"/>
    <e v="#N/A"/>
  </r>
  <r>
    <n v="340"/>
    <s v="62410"/>
    <n v="1"/>
    <s v="162410.340"/>
    <s v="שעות נוספות מיוחדות             "/>
    <m/>
    <m/>
    <n v="4000"/>
    <n v="4000"/>
    <n v="14942"/>
    <e v="#N/A"/>
    <x v="5"/>
    <s v="הנהלה כללית"/>
    <x v="22"/>
    <s v="מינהל כספי"/>
    <x v="72"/>
    <s v="פקוח על חברות הרשות"/>
    <s v="6241"/>
    <e v="#N/A"/>
    <m/>
    <s v="3"/>
    <x v="14"/>
    <s v="34"/>
    <e v="#N/A"/>
    <s v="340"/>
    <e v="#N/A"/>
  </r>
  <r>
    <n v="433"/>
    <s v="62410"/>
    <n v="1"/>
    <s v="162410.433"/>
    <s v="ביטוח                           "/>
    <m/>
    <m/>
    <n v="137000"/>
    <n v="139000"/>
    <n v="125000"/>
    <e v="#N/A"/>
    <x v="5"/>
    <s v="הנהלה כללית"/>
    <x v="22"/>
    <s v="מינהל כספי"/>
    <x v="72"/>
    <s v="פקוח על חברות הרשות"/>
    <s v="6241"/>
    <e v="#N/A"/>
    <m/>
    <s v="4"/>
    <x v="15"/>
    <s v="43"/>
    <s v="חשמל, מים וחומרי ניקיון"/>
    <s v="433"/>
    <s v="חומרי ניקיון"/>
  </r>
  <r>
    <n v="439"/>
    <s v="62410"/>
    <n v="1"/>
    <s v="162410.439"/>
    <s v="אחזקת בניני העיריה - השתתפות    "/>
    <m/>
    <m/>
    <n v="613000"/>
    <n v="608000"/>
    <n v="610000"/>
    <m/>
    <x v="5"/>
    <s v="הנהלה כללית"/>
    <x v="22"/>
    <s v="מינהל כספי"/>
    <x v="72"/>
    <s v="פקוח על חברות הרשות"/>
    <s v="6241"/>
    <e v="#N/A"/>
    <m/>
    <s v="4"/>
    <x v="15"/>
    <s v="43"/>
    <s v="חשמל, מים וחומרי ניקיון"/>
    <s v="439"/>
    <e v="#N/A"/>
  </r>
  <r>
    <n v="461"/>
    <s v="62410"/>
    <n v="1"/>
    <s v="162410.461"/>
    <s v="צורכי משרד                      "/>
    <m/>
    <m/>
    <n v="95000"/>
    <n v="105000"/>
    <n v="59272"/>
    <m/>
    <x v="5"/>
    <s v="הנהלה כללית"/>
    <x v="22"/>
    <s v="מינהל כספי"/>
    <x v="72"/>
    <s v="פקוח על חברות הרשות"/>
    <s v="6241"/>
    <e v="#N/A"/>
    <m/>
    <s v="4"/>
    <x v="15"/>
    <s v="46"/>
    <e v="#N/A"/>
    <s v="461"/>
    <e v="#N/A"/>
  </r>
  <r>
    <n v="510"/>
    <s v="62410"/>
    <n v="1"/>
    <s v="162410.510"/>
    <s v="נסיעות  ואש ל                   "/>
    <m/>
    <m/>
    <n v="1000"/>
    <n v="1000"/>
    <n v="887"/>
    <m/>
    <x v="5"/>
    <s v="הנהלה כללית"/>
    <x v="22"/>
    <s v="מינהל כספי"/>
    <x v="72"/>
    <s v="פקוח על חברות הרשות"/>
    <s v="6241"/>
    <e v="#N/A"/>
    <m/>
    <s v="5"/>
    <x v="11"/>
    <s v="51"/>
    <s v="אש&quot;ל וכיבודים"/>
    <s v="510"/>
    <e v="#N/A"/>
  </r>
  <r>
    <n v="521"/>
    <s v="62410"/>
    <n v="1"/>
    <s v="162410.521"/>
    <s v="הדרכה וכנסים                    "/>
    <m/>
    <m/>
    <n v="35000"/>
    <n v="20000"/>
    <n v="17768"/>
    <e v="#N/A"/>
    <x v="5"/>
    <s v="הנהלה כללית"/>
    <x v="22"/>
    <s v="מינהל כספי"/>
    <x v="72"/>
    <s v="פקוח על חברות הרשות"/>
    <s v="6241"/>
    <e v="#N/A"/>
    <m/>
    <s v="5"/>
    <x v="11"/>
    <s v="52"/>
    <s v="השתלמויות וספרות מקצועית"/>
    <s v="521"/>
    <s v="השתלמויות וספרות מקצועית"/>
  </r>
  <r>
    <n v="522"/>
    <s v="62410"/>
    <n v="1"/>
    <s v="162410.522"/>
    <s v="גיבוש יחידתי                    "/>
    <m/>
    <m/>
    <n v="9000"/>
    <n v="9000"/>
    <n v="16666"/>
    <e v="#N/A"/>
    <x v="5"/>
    <s v="הנהלה כללית"/>
    <x v="22"/>
    <s v="מינהל כספי"/>
    <x v="72"/>
    <s v="פקוח על חברות הרשות"/>
    <s v="6241"/>
    <e v="#N/A"/>
    <m/>
    <s v="5"/>
    <x v="11"/>
    <s v="52"/>
    <s v="השתלמויות וספרות מקצועית"/>
    <s v="522"/>
    <s v="ספרות מקצועית ועיתונות"/>
  </r>
  <r>
    <n v="531"/>
    <s v="62410"/>
    <n v="1"/>
    <s v="162410.531"/>
    <s v="אחזקת רכב                       "/>
    <m/>
    <m/>
    <n v="5000"/>
    <n v="0"/>
    <n v="0"/>
    <e v="#N/A"/>
    <x v="5"/>
    <s v="הנהלה כללית"/>
    <x v="22"/>
    <s v="מינהל כספי"/>
    <x v="72"/>
    <s v="פקוח על חברות הרשות"/>
    <s v="6241"/>
    <e v="#N/A"/>
    <m/>
    <s v="5"/>
    <x v="11"/>
    <s v="53"/>
    <s v="הוצאות רכב מינהלי"/>
    <s v="531"/>
    <s v="דלק ושמנים"/>
  </r>
  <r>
    <n v="533"/>
    <s v="62410"/>
    <n v="1"/>
    <s v="162410.533"/>
    <s v="שכירת רכב ורכב עירוני           "/>
    <m/>
    <m/>
    <n v="44000"/>
    <n v="0"/>
    <n v="0"/>
    <e v="#N/A"/>
    <x v="5"/>
    <s v="הנהלה כללית"/>
    <x v="22"/>
    <s v="מינהל כספי"/>
    <x v="72"/>
    <s v="פקוח על חברות הרשות"/>
    <s v="6241"/>
    <e v="#N/A"/>
    <m/>
    <s v="5"/>
    <x v="11"/>
    <s v="53"/>
    <s v="הוצאות רכב מינהלי"/>
    <s v="533"/>
    <s v="רישוי וביטוח"/>
  </r>
  <r>
    <n v="534"/>
    <s v="62410"/>
    <n v="1"/>
    <s v="162410.534"/>
    <s v="דלק ושמן                        "/>
    <m/>
    <m/>
    <n v="15000"/>
    <n v="0"/>
    <n v="0"/>
    <e v="#N/A"/>
    <x v="5"/>
    <s v="הנהלה כללית"/>
    <x v="22"/>
    <s v="מינהל כספי"/>
    <x v="72"/>
    <s v="פקוח על חברות הרשות"/>
    <s v="6241"/>
    <e v="#N/A"/>
    <m/>
    <s v="5"/>
    <x v="11"/>
    <s v="53"/>
    <s v="הוצאות רכב מינהלי"/>
    <s v="534"/>
    <e v="#N/A"/>
  </r>
  <r>
    <n v="541"/>
    <s v="62410"/>
    <n v="1"/>
    <s v="162410.541"/>
    <s v="החזקת מכשירי קשר וסלולר         "/>
    <m/>
    <m/>
    <n v="34000"/>
    <n v="34000"/>
    <n v="33009"/>
    <e v="#N/A"/>
    <x v="5"/>
    <s v="הנהלה כללית"/>
    <x v="22"/>
    <s v="מינהל כספי"/>
    <x v="72"/>
    <s v="פקוח על חברות הרשות"/>
    <s v="6241"/>
    <e v="#N/A"/>
    <m/>
    <s v="5"/>
    <x v="11"/>
    <s v="54"/>
    <s v="הוצאות תקשורת"/>
    <s v="541"/>
    <e v="#N/A"/>
  </r>
  <r>
    <n v="610"/>
    <s v="62410"/>
    <n v="1"/>
    <s v="162410.610"/>
    <s v="כבודים                          "/>
    <m/>
    <m/>
    <n v="22000"/>
    <n v="12000"/>
    <n v="10177"/>
    <e v="#N/A"/>
    <x v="5"/>
    <s v="הנהלה כללית"/>
    <x v="22"/>
    <s v="מינהל כספי"/>
    <x v="72"/>
    <s v="פקוח על חברות הרשות"/>
    <s v="6241"/>
    <e v="#N/A"/>
    <m/>
    <s v="6"/>
    <x v="12"/>
    <s v="61"/>
    <s v="עמלות"/>
    <s v="610"/>
    <e v="#N/A"/>
  </r>
  <r>
    <n v="670"/>
    <s v="62410"/>
    <n v="1"/>
    <s v="162410.670"/>
    <s v="סעיף שאינו חוזר                 "/>
    <m/>
    <m/>
    <n v="0"/>
    <n v="32000"/>
    <n v="37734"/>
    <e v="#N/A"/>
    <x v="5"/>
    <s v="הנהלה כללית"/>
    <x v="22"/>
    <s v="מינהל כספי"/>
    <x v="72"/>
    <s v="פקוח על חברות הרשות"/>
    <s v="6241"/>
    <e v="#N/A"/>
    <m/>
    <s v="6"/>
    <x v="12"/>
    <s v="67"/>
    <e v="#N/A"/>
    <s v="670"/>
    <e v="#N/A"/>
  </r>
  <r>
    <n v="693"/>
    <s v="62410"/>
    <n v="1"/>
    <s v="162410.693"/>
    <s v="מיחשוב יחידתי                   "/>
    <m/>
    <m/>
    <n v="62000"/>
    <n v="62000"/>
    <n v="52686"/>
    <e v="#N/A"/>
    <x v="5"/>
    <s v="הנהלה כללית"/>
    <x v="22"/>
    <s v="מינהל כספי"/>
    <x v="72"/>
    <s v="פקוח על חברות הרשות"/>
    <s v="6241"/>
    <e v="#N/A"/>
    <m/>
    <s v="6"/>
    <x v="12"/>
    <s v="69"/>
    <s v="שונות"/>
    <s v="693"/>
    <s v="תשלום ע&quot;ח הצמדת ערך"/>
  </r>
  <r>
    <n v="751"/>
    <s v="62410"/>
    <n v="1"/>
    <s v="162410.751"/>
    <s v="ייעוץ מקצועי                    "/>
    <m/>
    <m/>
    <n v="420000"/>
    <n v="440000"/>
    <n v="294157"/>
    <e v="#N/A"/>
    <x v="5"/>
    <s v="הנהלה כללית"/>
    <x v="22"/>
    <s v="מינהל כספי"/>
    <x v="72"/>
    <s v="פקוח על חברות הרשות"/>
    <s v="6241"/>
    <e v="#N/A"/>
    <m/>
    <s v="7"/>
    <x v="13"/>
    <s v="75"/>
    <s v="עבודות קבלניות"/>
    <s v="751"/>
    <e v="#N/A"/>
  </r>
  <r>
    <n v="752"/>
    <s v="62410"/>
    <n v="1"/>
    <s v="162410.752"/>
    <s v="התאמות גביה בכרטיסי אשראי       "/>
    <m/>
    <m/>
    <n v="24000"/>
    <n v="59000"/>
    <n v="35400"/>
    <e v="#N/A"/>
    <x v="5"/>
    <s v="הנהלה כללית"/>
    <x v="22"/>
    <s v="מינהל כספי"/>
    <x v="72"/>
    <s v="פקוח על חברות הרשות"/>
    <s v="6241"/>
    <e v="#N/A"/>
    <m/>
    <s v="7"/>
    <x v="13"/>
    <s v="75"/>
    <s v="עבודות קבלניות"/>
    <s v="752"/>
    <e v="#N/A"/>
  </r>
  <r>
    <n v="754"/>
    <s v="62410"/>
    <n v="1"/>
    <s v="162410.754"/>
    <s v="עבודה בקבלנות                   "/>
    <m/>
    <m/>
    <n v="15000"/>
    <n v="25000"/>
    <n v="0"/>
    <e v="#N/A"/>
    <x v="5"/>
    <s v="הנהלה כללית"/>
    <x v="22"/>
    <s v="מינהל כספי"/>
    <x v="72"/>
    <s v="פקוח על חברות הרשות"/>
    <s v="6241"/>
    <e v="#N/A"/>
    <m/>
    <s v="7"/>
    <x v="13"/>
    <s v="75"/>
    <s v="עבודות קבלניות"/>
    <s v="754"/>
    <e v="#N/A"/>
  </r>
  <r>
    <n v="781"/>
    <s v="62410"/>
    <n v="1"/>
    <s v="162410.781"/>
    <s v="הוצאות שונות                    "/>
    <m/>
    <m/>
    <n v="6000"/>
    <n v="6000"/>
    <n v="2580"/>
    <e v="#N/A"/>
    <x v="5"/>
    <s v="הנהלה כללית"/>
    <x v="22"/>
    <s v="מינהל כספי"/>
    <x v="72"/>
    <s v="פקוח על חברות הרשות"/>
    <s v="6241"/>
    <e v="#N/A"/>
    <m/>
    <s v="7"/>
    <x v="13"/>
    <s v="78"/>
    <s v="הוצאות שונות"/>
    <s v="781"/>
    <e v="#N/A"/>
  </r>
  <r>
    <n v="782"/>
    <s v="62410"/>
    <n v="1"/>
    <s v="162410.782"/>
    <s v="פיקוח זכויות עובדי קבלן         "/>
    <m/>
    <m/>
    <n v="325000"/>
    <n v="325000"/>
    <n v="283200"/>
    <e v="#N/A"/>
    <x v="5"/>
    <s v="הנהלה כללית"/>
    <x v="22"/>
    <s v="מינהל כספי"/>
    <x v="72"/>
    <s v="פקוח על חברות הרשות"/>
    <s v="6241"/>
    <e v="#N/A"/>
    <m/>
    <s v="7"/>
    <x v="13"/>
    <s v="78"/>
    <s v="הוצאות שונות"/>
    <s v="782"/>
    <e v="#N/A"/>
  </r>
  <r>
    <n v="932"/>
    <s v="62410"/>
    <n v="1"/>
    <s v="162410.932"/>
    <s v="ציוד ורהוט משרדי                "/>
    <m/>
    <m/>
    <n v="15000"/>
    <n v="10000"/>
    <n v="8965"/>
    <e v="#N/A"/>
    <x v="5"/>
    <s v="הנהלה כללית"/>
    <x v="22"/>
    <s v="מינהל כספי"/>
    <x v="72"/>
    <s v="פקוח על חברות הרשות"/>
    <s v="6241"/>
    <e v="#N/A"/>
    <m/>
    <s v="9"/>
    <x v="17"/>
    <s v="93"/>
    <s v="רכישת ציוד יסודי"/>
    <s v="932"/>
    <e v="#N/A"/>
  </r>
  <r>
    <n v="110"/>
    <s v="62420"/>
    <n v="1"/>
    <s v="162420.110"/>
    <s v="משכורת כוללת                    "/>
    <m/>
    <m/>
    <n v="2664000"/>
    <n v="2505000"/>
    <n v="2474356"/>
    <e v="#N/A"/>
    <x v="5"/>
    <s v="הנהלה כללית"/>
    <x v="22"/>
    <s v="מינהל כספי"/>
    <x v="72"/>
    <s v="פקוח על חברות הרשות"/>
    <s v="6242"/>
    <e v="#N/A"/>
    <m/>
    <s v="1"/>
    <x v="9"/>
    <s v="11"/>
    <s v="השכר הקובע"/>
    <s v="110"/>
    <e v="#N/A"/>
  </r>
  <r>
    <n v="124"/>
    <s v="62420"/>
    <n v="1"/>
    <s v="162420.124"/>
    <s v="החזר הוצאות                     "/>
    <m/>
    <m/>
    <n v="119000"/>
    <n v="116000"/>
    <n v="124713"/>
    <e v="#N/A"/>
    <x v="5"/>
    <s v="הנהלה כללית"/>
    <x v="22"/>
    <s v="מינהל כספי"/>
    <x v="72"/>
    <s v="פקוח על חברות הרשות"/>
    <s v="6242"/>
    <e v="#N/A"/>
    <m/>
    <s v="1"/>
    <x v="9"/>
    <s v="12"/>
    <s v="תוספות שאינן נכללות בשכר הקובע"/>
    <s v="124"/>
    <e v="#N/A"/>
  </r>
  <r>
    <n v="126"/>
    <s v="62420"/>
    <n v="1"/>
    <s v="162420.126"/>
    <s v="הבראה                           "/>
    <m/>
    <m/>
    <n v="77000"/>
    <n v="80000"/>
    <n v="79647"/>
    <e v="#N/A"/>
    <x v="5"/>
    <s v="הנהלה כללית"/>
    <x v="22"/>
    <s v="מינהל כספי"/>
    <x v="72"/>
    <s v="פקוח על חברות הרשות"/>
    <s v="6242"/>
    <e v="#N/A"/>
    <m/>
    <s v="1"/>
    <x v="9"/>
    <s v="12"/>
    <s v="תוספות שאינן נכללות בשכר הקובע"/>
    <s v="126"/>
    <e v="#N/A"/>
  </r>
  <r>
    <n v="127"/>
    <s v="62420"/>
    <n v="1"/>
    <s v="162420.127"/>
    <s v="השתתפות באחזקת רכב - 14         "/>
    <m/>
    <m/>
    <n v="496000"/>
    <n v="539000"/>
    <n v="519442"/>
    <e v="#N/A"/>
    <x v="5"/>
    <s v="הנהלה כללית"/>
    <x v="22"/>
    <s v="מינהל כספי"/>
    <x v="72"/>
    <s v="פקוח על חברות הרשות"/>
    <s v="6242"/>
    <e v="#N/A"/>
    <m/>
    <s v="1"/>
    <x v="9"/>
    <s v="12"/>
    <s v="תוספות שאינן נכללות בשכר הקובע"/>
    <s v="127"/>
    <e v="#N/A"/>
  </r>
  <r>
    <n v="130"/>
    <s v="62420"/>
    <n v="1"/>
    <s v="162420.130"/>
    <s v="תשלומים מיוחדים                 "/>
    <m/>
    <m/>
    <n v="315000"/>
    <n v="305000"/>
    <n v="291447"/>
    <e v="#N/A"/>
    <x v="5"/>
    <s v="הנהלה כללית"/>
    <x v="22"/>
    <s v="מינהל כספי"/>
    <x v="72"/>
    <s v="פקוח על חברות הרשות"/>
    <s v="6242"/>
    <e v="#N/A"/>
    <m/>
    <s v="1"/>
    <x v="9"/>
    <s v="13"/>
    <s v="שעות נוספות"/>
    <s v="130"/>
    <e v="#N/A"/>
  </r>
  <r>
    <n v="181"/>
    <s v="62420"/>
    <n v="1"/>
    <s v="162420.181"/>
    <s v="מיסים וביטוח לאומי              "/>
    <m/>
    <m/>
    <n v="480000"/>
    <n v="464000"/>
    <n v="472840"/>
    <e v="#N/A"/>
    <x v="5"/>
    <s v="הנהלה כללית"/>
    <x v="22"/>
    <s v="מינהל כספי"/>
    <x v="72"/>
    <s v="פקוח על חברות הרשות"/>
    <s v="6242"/>
    <e v="#N/A"/>
    <m/>
    <s v="1"/>
    <x v="9"/>
    <s v="18"/>
    <s v="נלוות לשכר"/>
    <s v="181"/>
    <s v="הפרשות סוציאליות"/>
  </r>
  <r>
    <n v="182"/>
    <s v="62420"/>
    <n v="1"/>
    <s v="162420.182"/>
    <s v="קופות גמל והשתלמות              "/>
    <m/>
    <m/>
    <n v="414000"/>
    <n v="397000"/>
    <n v="384340"/>
    <m/>
    <x v="5"/>
    <s v="הנהלה כללית"/>
    <x v="22"/>
    <s v="מינהל כספי"/>
    <x v="72"/>
    <s v="פקוח על חברות הרשות"/>
    <s v="6242"/>
    <e v="#N/A"/>
    <m/>
    <s v="1"/>
    <x v="9"/>
    <s v="18"/>
    <s v="נלוות לשכר"/>
    <s v="182"/>
    <s v="מיסיום ועלויות"/>
  </r>
  <r>
    <n v="110"/>
    <s v="62430"/>
    <n v="1"/>
    <s v="162430.110"/>
    <s v="משכורת כוללת                    "/>
    <m/>
    <m/>
    <n v="469000"/>
    <n v="508000"/>
    <n v="441776"/>
    <e v="#N/A"/>
    <x v="5"/>
    <s v="הנהלה כללית"/>
    <x v="22"/>
    <s v="מינהל כספי"/>
    <x v="72"/>
    <s v="פקוח על חברות הרשות"/>
    <s v="6243"/>
    <e v="#N/A"/>
    <m/>
    <s v="1"/>
    <x v="9"/>
    <s v="11"/>
    <s v="השכר הקובע"/>
    <s v="110"/>
    <e v="#N/A"/>
  </r>
  <r>
    <n v="124"/>
    <s v="62430"/>
    <n v="1"/>
    <s v="162430.124"/>
    <s v="החזר הוצאות                     "/>
    <m/>
    <m/>
    <n v="26000"/>
    <n v="30000"/>
    <n v="28155"/>
    <e v="#N/A"/>
    <x v="5"/>
    <s v="הנהלה כללית"/>
    <x v="22"/>
    <s v="מינהל כספי"/>
    <x v="72"/>
    <s v="פקוח על חברות הרשות"/>
    <s v="6243"/>
    <e v="#N/A"/>
    <m/>
    <s v="1"/>
    <x v="9"/>
    <s v="12"/>
    <s v="תוספות שאינן נכללות בשכר הקובע"/>
    <s v="124"/>
    <e v="#N/A"/>
  </r>
  <r>
    <n v="126"/>
    <s v="62430"/>
    <n v="1"/>
    <s v="162430.126"/>
    <s v="הבראה                           "/>
    <m/>
    <m/>
    <n v="30000"/>
    <n v="29000"/>
    <n v="29463"/>
    <e v="#N/A"/>
    <x v="5"/>
    <s v="הנהלה כללית"/>
    <x v="22"/>
    <s v="מינהל כספי"/>
    <x v="72"/>
    <s v="פקוח על חברות הרשות"/>
    <s v="6243"/>
    <e v="#N/A"/>
    <m/>
    <s v="1"/>
    <x v="9"/>
    <s v="12"/>
    <s v="תוספות שאינן נכללות בשכר הקובע"/>
    <s v="126"/>
    <e v="#N/A"/>
  </r>
  <r>
    <n v="127"/>
    <s v="62430"/>
    <n v="1"/>
    <s v="162430.127"/>
    <s v="השתתפות באחזקת רכב - 3          "/>
    <m/>
    <m/>
    <n v="84000"/>
    <n v="135000"/>
    <n v="74326"/>
    <e v="#N/A"/>
    <x v="5"/>
    <s v="הנהלה כללית"/>
    <x v="22"/>
    <s v="מינהל כספי"/>
    <x v="72"/>
    <s v="פקוח על חברות הרשות"/>
    <s v="6243"/>
    <e v="#N/A"/>
    <m/>
    <s v="1"/>
    <x v="9"/>
    <s v="12"/>
    <s v="תוספות שאינן נכללות בשכר הקובע"/>
    <s v="127"/>
    <e v="#N/A"/>
  </r>
  <r>
    <n v="130"/>
    <s v="62430"/>
    <n v="1"/>
    <s v="162430.130"/>
    <s v="תשלומים מיוחדים                 "/>
    <m/>
    <m/>
    <n v="60000"/>
    <n v="66000"/>
    <n v="60398"/>
    <e v="#N/A"/>
    <x v="5"/>
    <s v="הנהלה כללית"/>
    <x v="22"/>
    <s v="מינהל כספי"/>
    <x v="72"/>
    <s v="פקוח על חברות הרשות"/>
    <s v="6243"/>
    <e v="#N/A"/>
    <m/>
    <s v="1"/>
    <x v="9"/>
    <s v="13"/>
    <s v="שעות נוספות"/>
    <s v="130"/>
    <e v="#N/A"/>
  </r>
  <r>
    <n v="181"/>
    <s v="62430"/>
    <n v="1"/>
    <s v="162430.181"/>
    <s v="מיסים וביטוח לאומי              "/>
    <m/>
    <m/>
    <n v="88000"/>
    <n v="100000"/>
    <n v="80565"/>
    <e v="#N/A"/>
    <x v="5"/>
    <s v="הנהלה כללית"/>
    <x v="22"/>
    <s v="מינהל כספי"/>
    <x v="72"/>
    <s v="פקוח על חברות הרשות"/>
    <s v="6243"/>
    <e v="#N/A"/>
    <m/>
    <s v="1"/>
    <x v="9"/>
    <s v="18"/>
    <s v="נלוות לשכר"/>
    <s v="181"/>
    <s v="הפרשות סוציאליות"/>
  </r>
  <r>
    <n v="182"/>
    <s v="62430"/>
    <n v="1"/>
    <s v="162430.182"/>
    <s v="קופות גמל והשתלמות              "/>
    <m/>
    <m/>
    <n v="61000"/>
    <n v="78000"/>
    <n v="66956"/>
    <e v="#N/A"/>
    <x v="5"/>
    <s v="הנהלה כללית"/>
    <x v="22"/>
    <s v="מינהל כספי"/>
    <x v="72"/>
    <s v="פקוח על חברות הרשות"/>
    <s v="6243"/>
    <e v="#N/A"/>
    <m/>
    <s v="1"/>
    <x v="9"/>
    <s v="18"/>
    <s v="נלוות לשכר"/>
    <s v="182"/>
    <s v="מיסיום ועלויות"/>
  </r>
  <r>
    <n v="710"/>
    <s v="62430"/>
    <n v="1"/>
    <s v="162430.710"/>
    <s v="הובלות וסבלות                   "/>
    <m/>
    <m/>
    <n v="20000"/>
    <n v="20000"/>
    <n v="17063"/>
    <e v="#N/A"/>
    <x v="5"/>
    <s v="הנהלה כללית"/>
    <x v="22"/>
    <s v="מינהל כספי"/>
    <x v="72"/>
    <s v="פקוח על חברות הרשות"/>
    <s v="6243"/>
    <e v="#N/A"/>
    <m/>
    <s v="7"/>
    <x v="13"/>
    <s v="71"/>
    <s v="הובלות והסעות קבלניות"/>
    <s v="710"/>
    <e v="#N/A"/>
  </r>
  <r>
    <n v="110"/>
    <s v="62440"/>
    <n v="1"/>
    <s v="162440.110"/>
    <s v="משכורת כוללת                    "/>
    <m/>
    <m/>
    <n v="579000"/>
    <n v="522000"/>
    <n v="501414"/>
    <e v="#N/A"/>
    <x v="5"/>
    <s v="הנהלה כללית"/>
    <x v="22"/>
    <s v="מינהל כספי"/>
    <x v="72"/>
    <s v="פקוח על חברות הרשות"/>
    <s v="6244"/>
    <e v="#N/A"/>
    <m/>
    <s v="1"/>
    <x v="9"/>
    <s v="11"/>
    <s v="השכר הקובע"/>
    <s v="110"/>
    <e v="#N/A"/>
  </r>
  <r>
    <n v="124"/>
    <s v="62440"/>
    <n v="1"/>
    <s v="162440.124"/>
    <s v="החזר הוצאות                     "/>
    <m/>
    <m/>
    <n v="46000"/>
    <n v="41000"/>
    <n v="42947"/>
    <e v="#N/A"/>
    <x v="5"/>
    <s v="הנהלה כללית"/>
    <x v="22"/>
    <s v="מינהל כספי"/>
    <x v="72"/>
    <s v="פקוח על חברות הרשות"/>
    <s v="6244"/>
    <e v="#N/A"/>
    <m/>
    <s v="1"/>
    <x v="9"/>
    <s v="12"/>
    <s v="תוספות שאינן נכללות בשכר הקובע"/>
    <s v="124"/>
    <e v="#N/A"/>
  </r>
  <r>
    <n v="126"/>
    <s v="62440"/>
    <n v="1"/>
    <s v="162440.126"/>
    <s v="הבראה                           "/>
    <m/>
    <m/>
    <n v="28000"/>
    <n v="27000"/>
    <n v="27328"/>
    <e v="#N/A"/>
    <x v="5"/>
    <s v="הנהלה כללית"/>
    <x v="22"/>
    <s v="מינהל כספי"/>
    <x v="72"/>
    <s v="פקוח על חברות הרשות"/>
    <s v="6244"/>
    <e v="#N/A"/>
    <m/>
    <s v="1"/>
    <x v="9"/>
    <s v="12"/>
    <s v="תוספות שאינן נכללות בשכר הקובע"/>
    <s v="126"/>
    <e v="#N/A"/>
  </r>
  <r>
    <n v="127"/>
    <s v="62440"/>
    <n v="1"/>
    <s v="162440.127"/>
    <s v="השתתפות באחזקת רכב - 5          "/>
    <m/>
    <m/>
    <n v="130000"/>
    <n v="134000"/>
    <n v="107196"/>
    <e v="#N/A"/>
    <x v="5"/>
    <s v="הנהלה כללית"/>
    <x v="22"/>
    <s v="מינהל כספי"/>
    <x v="72"/>
    <s v="פקוח על חברות הרשות"/>
    <s v="6244"/>
    <e v="#N/A"/>
    <m/>
    <s v="1"/>
    <x v="9"/>
    <s v="12"/>
    <s v="תוספות שאינן נכללות בשכר הקובע"/>
    <s v="127"/>
    <e v="#N/A"/>
  </r>
  <r>
    <n v="130"/>
    <s v="62440"/>
    <n v="1"/>
    <s v="162440.130"/>
    <s v="תשלומים מיוחדים                 "/>
    <m/>
    <m/>
    <n v="106000"/>
    <n v="86000"/>
    <n v="80450"/>
    <e v="#N/A"/>
    <x v="5"/>
    <s v="הנהלה כללית"/>
    <x v="22"/>
    <s v="מינהל כספי"/>
    <x v="72"/>
    <s v="פקוח על חברות הרשות"/>
    <s v="6244"/>
    <e v="#N/A"/>
    <m/>
    <s v="1"/>
    <x v="9"/>
    <s v="13"/>
    <s v="שעות נוספות"/>
    <s v="130"/>
    <e v="#N/A"/>
  </r>
  <r>
    <n v="181"/>
    <s v="62440"/>
    <n v="1"/>
    <s v="162440.181"/>
    <s v="מיסים וביטוח לאומי              "/>
    <m/>
    <m/>
    <n v="116000"/>
    <n v="106000"/>
    <n v="98456"/>
    <e v="#N/A"/>
    <x v="5"/>
    <s v="הנהלה כללית"/>
    <x v="22"/>
    <s v="מינהל כספי"/>
    <x v="72"/>
    <s v="פקוח על חברות הרשות"/>
    <s v="6244"/>
    <e v="#N/A"/>
    <m/>
    <s v="1"/>
    <x v="9"/>
    <s v="18"/>
    <s v="נלוות לשכר"/>
    <s v="181"/>
    <s v="הפרשות סוציאליות"/>
  </r>
  <r>
    <n v="182"/>
    <s v="62440"/>
    <n v="1"/>
    <s v="162440.182"/>
    <s v="קופות גמל והשתלמות              "/>
    <m/>
    <m/>
    <n v="100000"/>
    <n v="93000"/>
    <n v="87697"/>
    <e v="#N/A"/>
    <x v="5"/>
    <s v="הנהלה כללית"/>
    <x v="22"/>
    <s v="מינהל כספי"/>
    <x v="72"/>
    <s v="פקוח על חברות הרשות"/>
    <s v="6244"/>
    <e v="#N/A"/>
    <m/>
    <s v="1"/>
    <x v="9"/>
    <s v="18"/>
    <s v="נלוות לשכר"/>
    <s v="182"/>
    <s v="מיסיום ועלויות"/>
  </r>
  <r>
    <n v="110"/>
    <s v="62450"/>
    <n v="1"/>
    <s v="162450.110"/>
    <s v="משכורת כוללת                    "/>
    <m/>
    <m/>
    <n v="570000"/>
    <n v="551000"/>
    <n v="548895"/>
    <e v="#N/A"/>
    <x v="5"/>
    <s v="הנהלה כללית"/>
    <x v="22"/>
    <s v="מינהל כספי"/>
    <x v="72"/>
    <s v="פקוח על חברות הרשות"/>
    <s v="6245"/>
    <e v="#N/A"/>
    <m/>
    <s v="1"/>
    <x v="9"/>
    <s v="11"/>
    <s v="השכר הקובע"/>
    <s v="110"/>
    <e v="#N/A"/>
  </r>
  <r>
    <n v="124"/>
    <s v="62450"/>
    <n v="1"/>
    <s v="162450.124"/>
    <s v="החזר הוצאות                     "/>
    <m/>
    <m/>
    <n v="18000"/>
    <n v="18000"/>
    <n v="17583"/>
    <m/>
    <x v="5"/>
    <s v="הנהלה כללית"/>
    <x v="22"/>
    <s v="מינהל כספי"/>
    <x v="72"/>
    <s v="פקוח על חברות הרשות"/>
    <s v="6245"/>
    <e v="#N/A"/>
    <m/>
    <s v="1"/>
    <x v="9"/>
    <s v="12"/>
    <s v="תוספות שאינן נכללות בשכר הקובע"/>
    <s v="124"/>
    <e v="#N/A"/>
  </r>
  <r>
    <n v="126"/>
    <s v="62450"/>
    <n v="1"/>
    <s v="162450.126"/>
    <s v="הבראה                           "/>
    <m/>
    <m/>
    <n v="15000"/>
    <n v="15000"/>
    <n v="15025"/>
    <e v="#N/A"/>
    <x v="5"/>
    <s v="הנהלה כללית"/>
    <x v="22"/>
    <s v="מינהל כספי"/>
    <x v="72"/>
    <s v="פקוח על חברות הרשות"/>
    <s v="6245"/>
    <e v="#N/A"/>
    <m/>
    <s v="1"/>
    <x v="9"/>
    <s v="12"/>
    <s v="תוספות שאינן נכללות בשכר הקובע"/>
    <s v="126"/>
    <e v="#N/A"/>
  </r>
  <r>
    <n v="127"/>
    <s v="62450"/>
    <n v="1"/>
    <s v="162450.127"/>
    <s v="השתתפות באחזקת רכב - 3          "/>
    <m/>
    <m/>
    <n v="104000"/>
    <n v="106000"/>
    <n v="97503"/>
    <e v="#N/A"/>
    <x v="5"/>
    <s v="הנהלה כללית"/>
    <x v="22"/>
    <s v="מינהל כספי"/>
    <x v="72"/>
    <s v="פקוח על חברות הרשות"/>
    <s v="6245"/>
    <e v="#N/A"/>
    <m/>
    <s v="1"/>
    <x v="9"/>
    <s v="12"/>
    <s v="תוספות שאינן נכללות בשכר הקובע"/>
    <s v="127"/>
    <e v="#N/A"/>
  </r>
  <r>
    <n v="130"/>
    <s v="62450"/>
    <n v="1"/>
    <s v="162450.130"/>
    <s v="תשלומים מיוחדים                 "/>
    <m/>
    <m/>
    <n v="18000"/>
    <n v="18000"/>
    <n v="17352"/>
    <e v="#N/A"/>
    <x v="5"/>
    <s v="הנהלה כללית"/>
    <x v="22"/>
    <s v="מינהל כספי"/>
    <x v="72"/>
    <s v="פקוח על חברות הרשות"/>
    <s v="6245"/>
    <e v="#N/A"/>
    <m/>
    <s v="1"/>
    <x v="9"/>
    <s v="13"/>
    <s v="שעות נוספות"/>
    <s v="130"/>
    <e v="#N/A"/>
  </r>
  <r>
    <n v="181"/>
    <s v="62450"/>
    <n v="1"/>
    <s v="162450.181"/>
    <s v="מיסים וביטוח לאומי              "/>
    <m/>
    <m/>
    <n v="95000"/>
    <n v="93000"/>
    <n v="92772"/>
    <e v="#N/A"/>
    <x v="5"/>
    <s v="הנהלה כללית"/>
    <x v="22"/>
    <s v="מינהל כספי"/>
    <x v="72"/>
    <s v="פקוח על חברות הרשות"/>
    <s v="6245"/>
    <e v="#N/A"/>
    <m/>
    <s v="1"/>
    <x v="9"/>
    <s v="18"/>
    <s v="נלוות לשכר"/>
    <s v="181"/>
    <s v="הפרשות סוציאליות"/>
  </r>
  <r>
    <n v="182"/>
    <s v="62450"/>
    <n v="1"/>
    <s v="162450.182"/>
    <s v="קופות גמל והשתלמות              "/>
    <m/>
    <m/>
    <n v="130000"/>
    <n v="126000"/>
    <n v="122583"/>
    <e v="#N/A"/>
    <x v="5"/>
    <s v="הנהלה כללית"/>
    <x v="22"/>
    <s v="מינהל כספי"/>
    <x v="72"/>
    <s v="פקוח על חברות הרשות"/>
    <s v="6245"/>
    <e v="#N/A"/>
    <m/>
    <s v="1"/>
    <x v="9"/>
    <s v="18"/>
    <s v="נלוות לשכר"/>
    <s v="182"/>
    <s v="מיסיום ועלויות"/>
  </r>
  <r>
    <n v="110"/>
    <s v="62460"/>
    <n v="1"/>
    <s v="162460.110"/>
    <s v="משכורת כוללת                    "/>
    <m/>
    <m/>
    <n v="1020000"/>
    <n v="1315000"/>
    <n v="1172711"/>
    <e v="#N/A"/>
    <x v="5"/>
    <s v="הנהלה כללית"/>
    <x v="22"/>
    <s v="מינהל כספי"/>
    <x v="72"/>
    <s v="פקוח על חברות הרשות"/>
    <s v="6246"/>
    <e v="#N/A"/>
    <m/>
    <s v="1"/>
    <x v="9"/>
    <s v="11"/>
    <s v="השכר הקובע"/>
    <s v="110"/>
    <e v="#N/A"/>
  </r>
  <r>
    <n v="124"/>
    <s v="62460"/>
    <n v="1"/>
    <s v="162460.124"/>
    <s v="החזר הוצאות                     "/>
    <m/>
    <m/>
    <n v="64000"/>
    <n v="64000"/>
    <n v="58914"/>
    <e v="#N/A"/>
    <x v="5"/>
    <s v="הנהלה כללית"/>
    <x v="22"/>
    <s v="מינהל כספי"/>
    <x v="72"/>
    <s v="פקוח על חברות הרשות"/>
    <s v="6246"/>
    <e v="#N/A"/>
    <m/>
    <s v="1"/>
    <x v="9"/>
    <s v="12"/>
    <s v="תוספות שאינן נכללות בשכר הקובע"/>
    <s v="124"/>
    <e v="#N/A"/>
  </r>
  <r>
    <n v="126"/>
    <s v="62460"/>
    <n v="1"/>
    <s v="162460.126"/>
    <s v="הבראה                           "/>
    <m/>
    <m/>
    <n v="40000"/>
    <n v="59000"/>
    <n v="57319"/>
    <e v="#N/A"/>
    <x v="5"/>
    <s v="הנהלה כללית"/>
    <x v="22"/>
    <s v="מינהל כספי"/>
    <x v="72"/>
    <s v="פקוח על חברות הרשות"/>
    <s v="6246"/>
    <e v="#N/A"/>
    <m/>
    <s v="1"/>
    <x v="9"/>
    <s v="12"/>
    <s v="תוספות שאינן נכללות בשכר הקובע"/>
    <s v="126"/>
    <e v="#N/A"/>
  </r>
  <r>
    <n v="127"/>
    <s v="62460"/>
    <n v="1"/>
    <s v="162460.127"/>
    <s v="השתתפות באחזקת רכב - 7          "/>
    <m/>
    <m/>
    <n v="203000"/>
    <n v="237000"/>
    <n v="199265"/>
    <m/>
    <x v="5"/>
    <s v="הנהלה כללית"/>
    <x v="22"/>
    <s v="מינהל כספי"/>
    <x v="72"/>
    <s v="פקוח על חברות הרשות"/>
    <s v="6246"/>
    <e v="#N/A"/>
    <m/>
    <s v="1"/>
    <x v="9"/>
    <s v="12"/>
    <s v="תוספות שאינן נכללות בשכר הקובע"/>
    <s v="127"/>
    <e v="#N/A"/>
  </r>
  <r>
    <n v="130"/>
    <s v="62460"/>
    <n v="1"/>
    <s v="162460.130"/>
    <s v="תשלומים מיוחדים                 "/>
    <m/>
    <m/>
    <n v="119000"/>
    <n v="162000"/>
    <n v="129996"/>
    <e v="#N/A"/>
    <x v="5"/>
    <s v="הנהלה כללית"/>
    <x v="22"/>
    <s v="מינהל כספי"/>
    <x v="72"/>
    <s v="פקוח על חברות הרשות"/>
    <s v="6246"/>
    <e v="#N/A"/>
    <m/>
    <s v="1"/>
    <x v="9"/>
    <s v="13"/>
    <s v="שעות נוספות"/>
    <s v="130"/>
    <e v="#N/A"/>
  </r>
  <r>
    <n v="181"/>
    <s v="62460"/>
    <n v="1"/>
    <s v="162460.181"/>
    <s v="מיסים וביטוח לאומי              "/>
    <m/>
    <m/>
    <n v="189000"/>
    <n v="240000"/>
    <n v="209472"/>
    <e v="#N/A"/>
    <x v="5"/>
    <s v="הנהלה כללית"/>
    <x v="22"/>
    <s v="מינהל כספי"/>
    <x v="72"/>
    <s v="פקוח על חברות הרשות"/>
    <s v="6246"/>
    <e v="#N/A"/>
    <m/>
    <s v="1"/>
    <x v="9"/>
    <s v="18"/>
    <s v="נלוות לשכר"/>
    <s v="181"/>
    <s v="הפרשות סוציאליות"/>
  </r>
  <r>
    <n v="182"/>
    <s v="62460"/>
    <n v="1"/>
    <s v="162460.182"/>
    <s v="קופות גמל והשתלמות              "/>
    <m/>
    <m/>
    <n v="155000"/>
    <n v="218000"/>
    <n v="191270"/>
    <e v="#N/A"/>
    <x v="5"/>
    <s v="הנהלה כללית"/>
    <x v="22"/>
    <s v="מינהל כספי"/>
    <x v="72"/>
    <s v="פקוח על חברות הרשות"/>
    <s v="6246"/>
    <e v="#N/A"/>
    <m/>
    <s v="1"/>
    <x v="9"/>
    <s v="18"/>
    <s v="נלוות לשכר"/>
    <s v="182"/>
    <s v="מיסיום ועלויות"/>
  </r>
  <r>
    <n v="691"/>
    <s v="62460"/>
    <n v="1"/>
    <s v="162460.691"/>
    <s v="מערכות מידע ומחשוב              "/>
    <m/>
    <m/>
    <n v="2520000"/>
    <n v="2350000"/>
    <n v="2412034"/>
    <e v="#N/A"/>
    <x v="5"/>
    <s v="הנהלה כללית"/>
    <x v="22"/>
    <s v="מינהל כספי"/>
    <x v="72"/>
    <s v="פקוח על חברות הרשות"/>
    <s v="6246"/>
    <e v="#N/A"/>
    <m/>
    <s v="6"/>
    <x v="12"/>
    <s v="69"/>
    <s v="שונות"/>
    <s v="691"/>
    <s v="תשלום ע&quot;ח קרן"/>
  </r>
  <r>
    <n v="752"/>
    <s v="62460"/>
    <n v="1"/>
    <s v="162460.752"/>
    <s v="הדפסת מעטפיות                   "/>
    <m/>
    <m/>
    <n v="20000"/>
    <n v="25000"/>
    <n v="18041"/>
    <e v="#N/A"/>
    <x v="5"/>
    <s v="הנהלה כללית"/>
    <x v="22"/>
    <s v="מינהל כספי"/>
    <x v="72"/>
    <s v="פקוח על חברות הרשות"/>
    <s v="6246"/>
    <e v="#N/A"/>
    <m/>
    <s v="7"/>
    <x v="13"/>
    <s v="75"/>
    <s v="עבודות קבלניות"/>
    <s v="752"/>
    <e v="#N/A"/>
  </r>
  <r>
    <n v="781"/>
    <s v="62460"/>
    <n v="1"/>
    <s v="162460.781"/>
    <s v="הדפסת דוחות כספיים              "/>
    <m/>
    <m/>
    <n v="8000"/>
    <n v="8000"/>
    <n v="6136"/>
    <e v="#N/A"/>
    <x v="5"/>
    <s v="הנהלה כללית"/>
    <x v="22"/>
    <s v="מינהל כספי"/>
    <x v="72"/>
    <s v="פקוח על חברות הרשות"/>
    <s v="6246"/>
    <e v="#N/A"/>
    <m/>
    <s v="7"/>
    <x v="13"/>
    <s v="78"/>
    <s v="הוצאות שונות"/>
    <s v="781"/>
    <e v="#N/A"/>
  </r>
  <r>
    <n v="110"/>
    <s v="62470"/>
    <n v="1"/>
    <s v="162470.110"/>
    <s v="משכורת כוללת                    "/>
    <m/>
    <m/>
    <n v="629000"/>
    <n v="364000"/>
    <n v="337099"/>
    <e v="#N/A"/>
    <x v="5"/>
    <s v="הנהלה כללית"/>
    <x v="22"/>
    <s v="מינהל כספי"/>
    <x v="72"/>
    <s v="פקוח על חברות הרשות"/>
    <s v="6247"/>
    <e v="#N/A"/>
    <m/>
    <s v="1"/>
    <x v="9"/>
    <s v="11"/>
    <s v="השכר הקובע"/>
    <s v="110"/>
    <e v="#N/A"/>
  </r>
  <r>
    <n v="124"/>
    <s v="62470"/>
    <n v="1"/>
    <s v="162470.124"/>
    <s v="החזר הוצאות                     "/>
    <m/>
    <m/>
    <n v="26000"/>
    <n v="28000"/>
    <n v="27499"/>
    <e v="#N/A"/>
    <x v="5"/>
    <s v="הנהלה כללית"/>
    <x v="22"/>
    <s v="מינהל כספי"/>
    <x v="72"/>
    <s v="פקוח על חברות הרשות"/>
    <s v="6247"/>
    <e v="#N/A"/>
    <m/>
    <s v="1"/>
    <x v="9"/>
    <s v="12"/>
    <s v="תוספות שאינן נכללות בשכר הקובע"/>
    <s v="124"/>
    <e v="#N/A"/>
  </r>
  <r>
    <n v="126"/>
    <s v="62470"/>
    <n v="1"/>
    <s v="162470.126"/>
    <s v="הבראה                           "/>
    <m/>
    <m/>
    <n v="31000"/>
    <n v="16000"/>
    <n v="16226"/>
    <e v="#N/A"/>
    <x v="5"/>
    <s v="הנהלה כללית"/>
    <x v="22"/>
    <s v="מינהל כספי"/>
    <x v="72"/>
    <s v="פקוח על חברות הרשות"/>
    <s v="6247"/>
    <e v="#N/A"/>
    <m/>
    <s v="1"/>
    <x v="9"/>
    <s v="12"/>
    <s v="תוספות שאינן נכללות בשכר הקובע"/>
    <s v="126"/>
    <e v="#N/A"/>
  </r>
  <r>
    <n v="127"/>
    <s v="62470"/>
    <n v="1"/>
    <s v="162470.127"/>
    <s v="השתתפות באחזקת רכב - 6          "/>
    <m/>
    <m/>
    <n v="142000"/>
    <n v="94000"/>
    <n v="68954"/>
    <e v="#N/A"/>
    <x v="5"/>
    <s v="הנהלה כללית"/>
    <x v="22"/>
    <s v="מינהל כספי"/>
    <x v="72"/>
    <s v="פקוח על חברות הרשות"/>
    <s v="6247"/>
    <e v="#N/A"/>
    <m/>
    <s v="1"/>
    <x v="9"/>
    <s v="12"/>
    <s v="תוספות שאינן נכללות בשכר הקובע"/>
    <s v="127"/>
    <e v="#N/A"/>
  </r>
  <r>
    <n v="130"/>
    <s v="62470"/>
    <n v="1"/>
    <s v="162470.130"/>
    <s v="תשלומים מיוחדים                 "/>
    <m/>
    <m/>
    <n v="78000"/>
    <n v="85000"/>
    <n v="80627"/>
    <e v="#N/A"/>
    <x v="5"/>
    <s v="הנהלה כללית"/>
    <x v="22"/>
    <s v="מינהל כספי"/>
    <x v="72"/>
    <s v="פקוח על חברות הרשות"/>
    <s v="6247"/>
    <e v="#N/A"/>
    <m/>
    <s v="1"/>
    <x v="9"/>
    <s v="13"/>
    <s v="שעות נוספות"/>
    <s v="130"/>
    <e v="#N/A"/>
  </r>
  <r>
    <n v="181"/>
    <s v="62470"/>
    <n v="1"/>
    <s v="162470.181"/>
    <s v="מיסים וביטוח לאומי              "/>
    <m/>
    <m/>
    <n v="119000"/>
    <n v="77000"/>
    <n v="70835"/>
    <e v="#N/A"/>
    <x v="5"/>
    <s v="הנהלה כללית"/>
    <x v="22"/>
    <s v="מינהל כספי"/>
    <x v="72"/>
    <s v="פקוח על חברות הרשות"/>
    <s v="6247"/>
    <e v="#N/A"/>
    <m/>
    <s v="1"/>
    <x v="9"/>
    <s v="18"/>
    <s v="נלוות לשכר"/>
    <s v="181"/>
    <s v="הפרשות סוציאליות"/>
  </r>
  <r>
    <n v="182"/>
    <s v="62470"/>
    <n v="1"/>
    <s v="162470.182"/>
    <s v="קופות גמל והשתלמות              "/>
    <m/>
    <m/>
    <n v="68000"/>
    <n v="61000"/>
    <n v="54788"/>
    <e v="#N/A"/>
    <x v="5"/>
    <s v="הנהלה כללית"/>
    <x v="22"/>
    <s v="מינהל כספי"/>
    <x v="72"/>
    <s v="פקוח על חברות הרשות"/>
    <s v="6247"/>
    <e v="#N/A"/>
    <m/>
    <s v="1"/>
    <x v="9"/>
    <s v="18"/>
    <s v="נלוות לשכר"/>
    <s v="182"/>
    <s v="מיסיום ועלויות"/>
  </r>
  <r>
    <n v="110"/>
    <s v="62480"/>
    <n v="1"/>
    <s v="162480.110"/>
    <s v="משכורת כוללת                    "/>
    <m/>
    <m/>
    <n v="312000"/>
    <n v="303000"/>
    <n v="297342"/>
    <e v="#N/A"/>
    <x v="5"/>
    <s v="הנהלה כללית"/>
    <x v="22"/>
    <s v="מינהל כספי"/>
    <x v="72"/>
    <s v="פקוח על חברות הרשות"/>
    <s v="6248"/>
    <e v="#N/A"/>
    <m/>
    <s v="1"/>
    <x v="9"/>
    <s v="11"/>
    <s v="השכר הקובע"/>
    <s v="110"/>
    <e v="#N/A"/>
  </r>
  <r>
    <n v="124"/>
    <s v="62480"/>
    <n v="1"/>
    <s v="162480.124"/>
    <s v="החזר הוצאות                     "/>
    <m/>
    <m/>
    <n v="29000"/>
    <n v="25000"/>
    <n v="28844"/>
    <e v="#N/A"/>
    <x v="5"/>
    <s v="הנהלה כללית"/>
    <x v="22"/>
    <s v="מינהל כספי"/>
    <x v="72"/>
    <s v="פקוח על חברות הרשות"/>
    <s v="6248"/>
    <e v="#N/A"/>
    <m/>
    <s v="1"/>
    <x v="9"/>
    <s v="12"/>
    <s v="תוספות שאינן נכללות בשכר הקובע"/>
    <s v="124"/>
    <e v="#N/A"/>
  </r>
  <r>
    <n v="126"/>
    <s v="62480"/>
    <n v="1"/>
    <s v="162480.126"/>
    <s v="הבראה                           "/>
    <m/>
    <m/>
    <n v="17000"/>
    <n v="18000"/>
    <n v="18361"/>
    <e v="#N/A"/>
    <x v="5"/>
    <s v="הנהלה כללית"/>
    <x v="22"/>
    <s v="מינהל כספי"/>
    <x v="72"/>
    <s v="פקוח על חברות הרשות"/>
    <s v="6248"/>
    <e v="#N/A"/>
    <m/>
    <s v="1"/>
    <x v="9"/>
    <s v="12"/>
    <s v="תוספות שאינן נכללות בשכר הקובע"/>
    <s v="126"/>
    <e v="#N/A"/>
  </r>
  <r>
    <n v="127"/>
    <s v="62480"/>
    <n v="1"/>
    <s v="162480.127"/>
    <s v="השתתפות באחזקת רכב - 3          "/>
    <m/>
    <m/>
    <n v="81000"/>
    <n v="83000"/>
    <n v="71587"/>
    <e v="#N/A"/>
    <x v="5"/>
    <s v="הנהלה כללית"/>
    <x v="22"/>
    <s v="מינהל כספי"/>
    <x v="72"/>
    <s v="פקוח על חברות הרשות"/>
    <s v="6248"/>
    <e v="#N/A"/>
    <m/>
    <s v="1"/>
    <x v="9"/>
    <s v="12"/>
    <s v="תוספות שאינן נכללות בשכר הקובע"/>
    <s v="127"/>
    <e v="#N/A"/>
  </r>
  <r>
    <n v="130"/>
    <s v="62480"/>
    <n v="1"/>
    <s v="162480.130"/>
    <s v="תשלומים מיוחדים                 "/>
    <m/>
    <m/>
    <n v="71000"/>
    <n v="70000"/>
    <n v="69475"/>
    <e v="#N/A"/>
    <x v="5"/>
    <s v="הנהלה כללית"/>
    <x v="22"/>
    <s v="מינהל כספי"/>
    <x v="72"/>
    <s v="פקוח על חברות הרשות"/>
    <s v="6248"/>
    <e v="#N/A"/>
    <m/>
    <s v="1"/>
    <x v="9"/>
    <s v="13"/>
    <s v="שעות נוספות"/>
    <s v="130"/>
    <e v="#N/A"/>
  </r>
  <r>
    <n v="181"/>
    <s v="62480"/>
    <n v="1"/>
    <s v="162480.181"/>
    <s v="מיסים וביטוח לאומי              "/>
    <m/>
    <m/>
    <n v="67000"/>
    <n v="65000"/>
    <n v="63557"/>
    <e v="#N/A"/>
    <x v="5"/>
    <s v="הנהלה כללית"/>
    <x v="22"/>
    <s v="מינהל כספי"/>
    <x v="72"/>
    <s v="פקוח על חברות הרשות"/>
    <s v="6248"/>
    <e v="#N/A"/>
    <m/>
    <s v="1"/>
    <x v="9"/>
    <s v="18"/>
    <s v="נלוות לשכר"/>
    <s v="181"/>
    <s v="הפרשות סוציאליות"/>
  </r>
  <r>
    <n v="182"/>
    <s v="62480"/>
    <n v="1"/>
    <s v="162480.182"/>
    <s v="קופות גמל והשתלמות              "/>
    <m/>
    <m/>
    <n v="46000"/>
    <n v="45000"/>
    <n v="41616"/>
    <e v="#N/A"/>
    <x v="5"/>
    <s v="הנהלה כללית"/>
    <x v="22"/>
    <s v="מינהל כספי"/>
    <x v="72"/>
    <s v="פקוח על חברות הרשות"/>
    <s v="6248"/>
    <e v="#N/A"/>
    <m/>
    <s v="1"/>
    <x v="9"/>
    <s v="18"/>
    <s v="נלוות לשכר"/>
    <s v="182"/>
    <s v="מיסיום ועלויות"/>
  </r>
  <r>
    <n v="110"/>
    <s v="62490"/>
    <n v="1"/>
    <s v="162490.110"/>
    <s v="משכורת כוללת                    "/>
    <m/>
    <m/>
    <n v="1101000"/>
    <n v="979000"/>
    <n v="918381"/>
    <e v="#N/A"/>
    <x v="5"/>
    <s v="הנהלה כללית"/>
    <x v="22"/>
    <s v="מינהל כספי"/>
    <x v="72"/>
    <s v="פקוח על חברות הרשות"/>
    <s v="6249"/>
    <e v="#N/A"/>
    <m/>
    <s v="1"/>
    <x v="9"/>
    <s v="11"/>
    <s v="השכר הקובע"/>
    <s v="110"/>
    <e v="#N/A"/>
  </r>
  <r>
    <n v="124"/>
    <s v="62490"/>
    <n v="1"/>
    <s v="162490.124"/>
    <s v="החזר הוצאות                     "/>
    <m/>
    <m/>
    <n v="59000"/>
    <n v="55000"/>
    <n v="53627"/>
    <e v="#N/A"/>
    <x v="5"/>
    <s v="הנהלה כללית"/>
    <x v="22"/>
    <s v="מינהל כספי"/>
    <x v="72"/>
    <s v="פקוח על חברות הרשות"/>
    <s v="6249"/>
    <e v="#N/A"/>
    <m/>
    <s v="1"/>
    <x v="9"/>
    <s v="12"/>
    <s v="תוספות שאינן נכללות בשכר הקובע"/>
    <s v="124"/>
    <e v="#N/A"/>
  </r>
  <r>
    <n v="126"/>
    <s v="62490"/>
    <n v="1"/>
    <s v="162490.126"/>
    <s v="הבראה                           "/>
    <m/>
    <m/>
    <n v="44000"/>
    <n v="39000"/>
    <n v="38788"/>
    <e v="#N/A"/>
    <x v="5"/>
    <s v="הנהלה כללית"/>
    <x v="22"/>
    <s v="מינהל כספי"/>
    <x v="72"/>
    <s v="פקוח על חברות הרשות"/>
    <s v="6249"/>
    <e v="#N/A"/>
    <m/>
    <s v="1"/>
    <x v="9"/>
    <s v="12"/>
    <s v="תוספות שאינן נכללות בשכר הקובע"/>
    <s v="126"/>
    <e v="#N/A"/>
  </r>
  <r>
    <n v="127"/>
    <s v="62490"/>
    <n v="1"/>
    <s v="162490.127"/>
    <s v="השתתפות באחזקת רכב - 9          "/>
    <m/>
    <m/>
    <n v="242000"/>
    <n v="222000"/>
    <n v="209872"/>
    <e v="#N/A"/>
    <x v="5"/>
    <s v="הנהלה כללית"/>
    <x v="22"/>
    <s v="מינהל כספי"/>
    <x v="72"/>
    <s v="פקוח על חברות הרשות"/>
    <s v="6249"/>
    <e v="#N/A"/>
    <m/>
    <s v="1"/>
    <x v="9"/>
    <s v="12"/>
    <s v="תוספות שאינן נכללות בשכר הקובע"/>
    <s v="127"/>
    <e v="#N/A"/>
  </r>
  <r>
    <n v="130"/>
    <s v="62490"/>
    <n v="1"/>
    <s v="162490.130"/>
    <s v="תשלומים מיוחדים                 "/>
    <m/>
    <m/>
    <n v="102000"/>
    <n v="92000"/>
    <n v="92076"/>
    <e v="#N/A"/>
    <x v="5"/>
    <s v="הנהלה כללית"/>
    <x v="22"/>
    <s v="מינהל כספי"/>
    <x v="72"/>
    <s v="פקוח על חברות הרשות"/>
    <s v="6249"/>
    <e v="#N/A"/>
    <m/>
    <s v="1"/>
    <x v="9"/>
    <s v="13"/>
    <s v="שעות נוספות"/>
    <s v="130"/>
    <e v="#N/A"/>
  </r>
  <r>
    <n v="181"/>
    <s v="62490"/>
    <n v="1"/>
    <s v="162490.181"/>
    <s v="מיסים וביטוח לאומי              "/>
    <m/>
    <m/>
    <n v="202000"/>
    <n v="181000"/>
    <n v="170677"/>
    <e v="#N/A"/>
    <x v="5"/>
    <s v="הנהלה כללית"/>
    <x v="22"/>
    <s v="מינהל כספי"/>
    <x v="72"/>
    <s v="פקוח על חברות הרשות"/>
    <s v="6249"/>
    <e v="#N/A"/>
    <m/>
    <s v="1"/>
    <x v="9"/>
    <s v="18"/>
    <s v="נלוות לשכר"/>
    <s v="181"/>
    <s v="הפרשות סוציאליות"/>
  </r>
  <r>
    <n v="182"/>
    <s v="62490"/>
    <n v="1"/>
    <s v="162490.182"/>
    <s v="קופות גמל והשתלמות              "/>
    <m/>
    <m/>
    <n v="211000"/>
    <n v="184000"/>
    <n v="182710"/>
    <e v="#N/A"/>
    <x v="5"/>
    <s v="הנהלה כללית"/>
    <x v="22"/>
    <s v="מינהל כספי"/>
    <x v="72"/>
    <s v="פקוח על חברות הרשות"/>
    <s v="6249"/>
    <e v="#N/A"/>
    <m/>
    <s v="1"/>
    <x v="9"/>
    <s v="18"/>
    <s v="נלוות לשכר"/>
    <s v="182"/>
    <s v="מיסיום ועלויות"/>
  </r>
  <r>
    <n v="751"/>
    <s v="62490"/>
    <n v="1"/>
    <s v="162490.751"/>
    <s v="שליחויות עד העסק                "/>
    <m/>
    <m/>
    <n v="35000"/>
    <n v="0"/>
    <n v="0"/>
    <e v="#N/A"/>
    <x v="5"/>
    <s v="הנהלה כללית"/>
    <x v="22"/>
    <s v="מינהל כספי"/>
    <x v="72"/>
    <s v="פקוח על חברות הרשות"/>
    <s v="6249"/>
    <e v="#N/A"/>
    <m/>
    <s v="7"/>
    <x v="13"/>
    <s v="75"/>
    <s v="עבודות קבלניות"/>
    <s v="751"/>
    <e v="#N/A"/>
  </r>
  <r>
    <n v="110"/>
    <s v="6250"/>
    <n v="1"/>
    <s v="16250.110"/>
    <s v="משכורת כוללת                    "/>
    <m/>
    <m/>
    <n v="1311000"/>
    <n v="1081000"/>
    <n v="1057217"/>
    <e v="#N/A"/>
    <x v="5"/>
    <s v="הנהלה כללית"/>
    <x v="22"/>
    <s v="מינהל כספי"/>
    <x v="73"/>
    <e v="#N/A"/>
    <s v="6250"/>
    <e v="#N/A"/>
    <m/>
    <s v="1"/>
    <x v="9"/>
    <s v="11"/>
    <s v="השכר הקובע"/>
    <s v="110"/>
    <e v="#N/A"/>
  </r>
  <r>
    <n v="124"/>
    <s v="6250"/>
    <n v="1"/>
    <s v="16250.124"/>
    <s v="החזר הוצאות                     "/>
    <m/>
    <m/>
    <n v="51000"/>
    <n v="41000"/>
    <n v="40256"/>
    <e v="#N/A"/>
    <x v="5"/>
    <s v="הנהלה כללית"/>
    <x v="22"/>
    <s v="מינהל כספי"/>
    <x v="73"/>
    <e v="#N/A"/>
    <s v="6250"/>
    <e v="#N/A"/>
    <m/>
    <s v="1"/>
    <x v="9"/>
    <s v="12"/>
    <s v="תוספות שאינן נכללות בשכר הקובע"/>
    <s v="124"/>
    <e v="#N/A"/>
  </r>
  <r>
    <n v="126"/>
    <s v="6250"/>
    <n v="1"/>
    <s v="16250.126"/>
    <s v="הבראה                           "/>
    <m/>
    <m/>
    <n v="61000"/>
    <n v="30000"/>
    <n v="30317"/>
    <e v="#N/A"/>
    <x v="5"/>
    <s v="הנהלה כללית"/>
    <x v="22"/>
    <s v="מינהל כספי"/>
    <x v="73"/>
    <e v="#N/A"/>
    <s v="6250"/>
    <e v="#N/A"/>
    <m/>
    <s v="1"/>
    <x v="9"/>
    <s v="12"/>
    <s v="תוספות שאינן נכללות בשכר הקובע"/>
    <s v="126"/>
    <e v="#N/A"/>
  </r>
  <r>
    <n v="127"/>
    <s v="6250"/>
    <n v="1"/>
    <s v="16250.127"/>
    <s v="השתתפות באחזקת רכב - 6          "/>
    <m/>
    <m/>
    <n v="175000"/>
    <n v="141000"/>
    <n v="142840"/>
    <m/>
    <x v="5"/>
    <s v="הנהלה כללית"/>
    <x v="22"/>
    <s v="מינהל כספי"/>
    <x v="73"/>
    <e v="#N/A"/>
    <s v="6250"/>
    <e v="#N/A"/>
    <m/>
    <s v="1"/>
    <x v="9"/>
    <s v="12"/>
    <s v="תוספות שאינן נכללות בשכר הקובע"/>
    <s v="127"/>
    <e v="#N/A"/>
  </r>
  <r>
    <n v="130"/>
    <s v="6250"/>
    <n v="1"/>
    <s v="16250.130"/>
    <s v="תשלומים מיוחדים                 "/>
    <m/>
    <m/>
    <n v="189000"/>
    <n v="163000"/>
    <n v="159887"/>
    <e v="#N/A"/>
    <x v="5"/>
    <s v="הנהלה כללית"/>
    <x v="22"/>
    <s v="מינהל כספי"/>
    <x v="73"/>
    <e v="#N/A"/>
    <s v="6250"/>
    <e v="#N/A"/>
    <m/>
    <s v="1"/>
    <x v="9"/>
    <s v="13"/>
    <s v="שעות נוספות"/>
    <s v="130"/>
    <e v="#N/A"/>
  </r>
  <r>
    <n v="181"/>
    <s v="6250"/>
    <n v="1"/>
    <s v="16250.181"/>
    <s v="מיסים וביטוח לאומי              "/>
    <m/>
    <m/>
    <n v="236000"/>
    <n v="193000"/>
    <n v="205371"/>
    <e v="#N/A"/>
    <x v="5"/>
    <s v="הנהלה כללית"/>
    <x v="22"/>
    <s v="מינהל כספי"/>
    <x v="73"/>
    <e v="#N/A"/>
    <s v="6250"/>
    <e v="#N/A"/>
    <m/>
    <s v="1"/>
    <x v="9"/>
    <s v="18"/>
    <s v="נלוות לשכר"/>
    <s v="181"/>
    <s v="הפרשות סוציאליות"/>
  </r>
  <r>
    <n v="182"/>
    <s v="6250"/>
    <n v="1"/>
    <s v="16250.182"/>
    <s v="קופות גמל והשתלמות              "/>
    <m/>
    <m/>
    <n v="210000"/>
    <n v="183000"/>
    <n v="172757"/>
    <e v="#N/A"/>
    <x v="5"/>
    <s v="הנהלה כללית"/>
    <x v="22"/>
    <s v="מינהל כספי"/>
    <x v="73"/>
    <e v="#N/A"/>
    <s v="6250"/>
    <e v="#N/A"/>
    <m/>
    <s v="1"/>
    <x v="9"/>
    <s v="18"/>
    <s v="נלוות לשכר"/>
    <s v="182"/>
    <s v="מיסיום ועלויות"/>
  </r>
  <r>
    <n v="310"/>
    <s v="6250"/>
    <n v="1"/>
    <s v="16250.310"/>
    <s v="שעות נוספות רשומות              "/>
    <m/>
    <m/>
    <n v="17000"/>
    <n v="18000"/>
    <n v="1810"/>
    <e v="#N/A"/>
    <x v="5"/>
    <s v="הנהלה כללית"/>
    <x v="22"/>
    <s v="מינהל כספי"/>
    <x v="73"/>
    <e v="#N/A"/>
    <s v="6250"/>
    <e v="#N/A"/>
    <m/>
    <s v="3"/>
    <x v="14"/>
    <s v="31"/>
    <s v="פנסיה"/>
    <s v="310"/>
    <e v="#N/A"/>
  </r>
  <r>
    <n v="433"/>
    <s v="6250"/>
    <n v="1"/>
    <s v="16250.433"/>
    <s v="ביטוח                           "/>
    <m/>
    <m/>
    <n v="14000"/>
    <n v="12000"/>
    <n v="10000"/>
    <e v="#N/A"/>
    <x v="5"/>
    <s v="הנהלה כללית"/>
    <x v="22"/>
    <s v="מינהל כספי"/>
    <x v="73"/>
    <e v="#N/A"/>
    <s v="6250"/>
    <e v="#N/A"/>
    <m/>
    <s v="4"/>
    <x v="15"/>
    <s v="43"/>
    <s v="חשמל, מים וחומרי ניקיון"/>
    <s v="433"/>
    <s v="חומרי ניקיון"/>
  </r>
  <r>
    <n v="434"/>
    <s v="6250"/>
    <n v="1"/>
    <s v="16250.434"/>
    <s v="תקוני מבנים  מתקנים ואינונטר    "/>
    <m/>
    <m/>
    <n v="6000"/>
    <n v="5000"/>
    <n v="16"/>
    <e v="#N/A"/>
    <x v="5"/>
    <s v="הנהלה כללית"/>
    <x v="22"/>
    <s v="מינהל כספי"/>
    <x v="73"/>
    <e v="#N/A"/>
    <s v="6250"/>
    <e v="#N/A"/>
    <m/>
    <s v="4"/>
    <x v="15"/>
    <s v="43"/>
    <s v="חשמל, מים וחומרי ניקיון"/>
    <s v="434"/>
    <s v="שירותי ניקיון"/>
  </r>
  <r>
    <n v="439"/>
    <s v="6250"/>
    <n v="1"/>
    <s v="16250.439"/>
    <s v="אחזקת בניני העיריה - השתתפות    "/>
    <m/>
    <m/>
    <n v="101000"/>
    <n v="92000"/>
    <n v="0"/>
    <e v="#N/A"/>
    <x v="5"/>
    <s v="הנהלה כללית"/>
    <x v="22"/>
    <s v="מינהל כספי"/>
    <x v="73"/>
    <e v="#N/A"/>
    <s v="6250"/>
    <e v="#N/A"/>
    <m/>
    <s v="4"/>
    <x v="15"/>
    <s v="43"/>
    <s v="חשמל, מים וחומרי ניקיון"/>
    <s v="439"/>
    <e v="#N/A"/>
  </r>
  <r>
    <n v="461"/>
    <s v="6250"/>
    <n v="1"/>
    <s v="16250.461"/>
    <s v="צורכי משרד                      "/>
    <m/>
    <m/>
    <n v="14000"/>
    <n v="16000"/>
    <n v="14661"/>
    <e v="#N/A"/>
    <x v="5"/>
    <s v="הנהלה כללית"/>
    <x v="22"/>
    <s v="מינהל כספי"/>
    <x v="73"/>
    <e v="#N/A"/>
    <s v="6250"/>
    <e v="#N/A"/>
    <m/>
    <s v="4"/>
    <x v="15"/>
    <s v="46"/>
    <e v="#N/A"/>
    <s v="461"/>
    <e v="#N/A"/>
  </r>
  <r>
    <n v="462"/>
    <s v="6250"/>
    <n v="1"/>
    <s v="16250.462"/>
    <s v="ספרים ועתונים                   "/>
    <m/>
    <m/>
    <n v="3000"/>
    <n v="3000"/>
    <n v="2971"/>
    <e v="#N/A"/>
    <x v="5"/>
    <s v="הנהלה כללית"/>
    <x v="22"/>
    <s v="מינהל כספי"/>
    <x v="73"/>
    <e v="#N/A"/>
    <s v="6250"/>
    <e v="#N/A"/>
    <m/>
    <s v="4"/>
    <x v="15"/>
    <s v="46"/>
    <e v="#N/A"/>
    <s v="462"/>
    <e v="#N/A"/>
  </r>
  <r>
    <n v="464"/>
    <s v="6250"/>
    <n v="1"/>
    <s v="16250.464"/>
    <s v="דאר                             "/>
    <m/>
    <m/>
    <n v="1000"/>
    <n v="1000"/>
    <n v="0"/>
    <e v="#N/A"/>
    <x v="5"/>
    <s v="הנהלה כללית"/>
    <x v="22"/>
    <s v="מינהל כספי"/>
    <x v="73"/>
    <e v="#N/A"/>
    <s v="6250"/>
    <e v="#N/A"/>
    <m/>
    <s v="4"/>
    <x v="15"/>
    <s v="46"/>
    <e v="#N/A"/>
    <s v="464"/>
    <e v="#N/A"/>
  </r>
  <r>
    <n v="510"/>
    <s v="6250"/>
    <n v="1"/>
    <s v="16250.510"/>
    <s v="נסיעות  ואש ל                   "/>
    <m/>
    <m/>
    <n v="3000"/>
    <n v="2000"/>
    <n v="871"/>
    <e v="#N/A"/>
    <x v="5"/>
    <s v="הנהלה כללית"/>
    <x v="22"/>
    <s v="מינהל כספי"/>
    <x v="73"/>
    <e v="#N/A"/>
    <s v="6250"/>
    <e v="#N/A"/>
    <m/>
    <s v="5"/>
    <x v="11"/>
    <s v="51"/>
    <s v="אש&quot;ל וכיבודים"/>
    <s v="510"/>
    <e v="#N/A"/>
  </r>
  <r>
    <n v="521"/>
    <s v="6250"/>
    <n v="1"/>
    <s v="16250.521"/>
    <s v="הדרכה וכנסים                    "/>
    <m/>
    <m/>
    <n v="8000"/>
    <n v="8000"/>
    <n v="6128"/>
    <e v="#N/A"/>
    <x v="5"/>
    <s v="הנהלה כללית"/>
    <x v="22"/>
    <s v="מינהל כספי"/>
    <x v="73"/>
    <e v="#N/A"/>
    <s v="6250"/>
    <e v="#N/A"/>
    <m/>
    <s v="5"/>
    <x v="11"/>
    <s v="52"/>
    <s v="השתלמויות וספרות מקצועית"/>
    <s v="521"/>
    <s v="השתלמויות וספרות מקצועית"/>
  </r>
  <r>
    <n v="522"/>
    <s v="6250"/>
    <n v="1"/>
    <s v="16250.522"/>
    <s v="גיבוש יחידתי                    "/>
    <m/>
    <m/>
    <n v="1000"/>
    <n v="1000"/>
    <n v="1000"/>
    <e v="#N/A"/>
    <x v="5"/>
    <s v="הנהלה כללית"/>
    <x v="22"/>
    <s v="מינהל כספי"/>
    <x v="73"/>
    <e v="#N/A"/>
    <s v="6250"/>
    <e v="#N/A"/>
    <m/>
    <s v="5"/>
    <x v="11"/>
    <s v="52"/>
    <s v="השתלמויות וספרות מקצועית"/>
    <s v="522"/>
    <s v="ספרות מקצועית ועיתונות"/>
  </r>
  <r>
    <n v="531"/>
    <s v="6250"/>
    <n v="1"/>
    <s v="16250.531"/>
    <s v="אחזקת רכב                       "/>
    <m/>
    <m/>
    <n v="3000"/>
    <n v="3000"/>
    <n v="1351"/>
    <e v="#N/A"/>
    <x v="5"/>
    <s v="הנהלה כללית"/>
    <x v="22"/>
    <s v="מינהל כספי"/>
    <x v="73"/>
    <e v="#N/A"/>
    <s v="6250"/>
    <e v="#N/A"/>
    <m/>
    <s v="5"/>
    <x v="11"/>
    <s v="53"/>
    <s v="הוצאות רכב מינהלי"/>
    <s v="531"/>
    <s v="דלק ושמנים"/>
  </r>
  <r>
    <n v="533"/>
    <s v="6250"/>
    <n v="1"/>
    <s v="16250.533"/>
    <s v="שכירת רכב ורכב עירוני           "/>
    <m/>
    <m/>
    <n v="37000"/>
    <n v="37000"/>
    <n v="34946"/>
    <e v="#N/A"/>
    <x v="5"/>
    <s v="הנהלה כללית"/>
    <x v="22"/>
    <s v="מינהל כספי"/>
    <x v="73"/>
    <e v="#N/A"/>
    <s v="6250"/>
    <e v="#N/A"/>
    <m/>
    <s v="5"/>
    <x v="11"/>
    <s v="53"/>
    <s v="הוצאות רכב מינהלי"/>
    <s v="533"/>
    <s v="רישוי וביטוח"/>
  </r>
  <r>
    <n v="534"/>
    <s v="6250"/>
    <n v="1"/>
    <s v="16250.534"/>
    <s v="דלק ושמן                        "/>
    <m/>
    <m/>
    <n v="24000"/>
    <n v="34000"/>
    <n v="26911"/>
    <m/>
    <x v="5"/>
    <s v="הנהלה כללית"/>
    <x v="22"/>
    <s v="מינהל כספי"/>
    <x v="73"/>
    <e v="#N/A"/>
    <s v="6250"/>
    <e v="#N/A"/>
    <m/>
    <s v="5"/>
    <x v="11"/>
    <s v="53"/>
    <s v="הוצאות רכב מינהלי"/>
    <s v="534"/>
    <e v="#N/A"/>
  </r>
  <r>
    <n v="541"/>
    <s v="6250"/>
    <n v="1"/>
    <s v="16250.541"/>
    <s v="החזקת מכשירי קשר וסלולר         "/>
    <m/>
    <m/>
    <n v="5000"/>
    <n v="5000"/>
    <n v="7757"/>
    <e v="#N/A"/>
    <x v="5"/>
    <s v="הנהלה כללית"/>
    <x v="22"/>
    <s v="מינהל כספי"/>
    <x v="73"/>
    <e v="#N/A"/>
    <s v="6250"/>
    <e v="#N/A"/>
    <m/>
    <s v="5"/>
    <x v="11"/>
    <s v="54"/>
    <s v="הוצאות תקשורת"/>
    <s v="541"/>
    <e v="#N/A"/>
  </r>
  <r>
    <n v="610"/>
    <s v="6250"/>
    <n v="1"/>
    <s v="16250.610"/>
    <s v="כבודים                          "/>
    <m/>
    <m/>
    <n v="9000"/>
    <n v="7000"/>
    <n v="6950"/>
    <e v="#N/A"/>
    <x v="5"/>
    <s v="הנהלה כללית"/>
    <x v="22"/>
    <s v="מינהל כספי"/>
    <x v="73"/>
    <e v="#N/A"/>
    <s v="6250"/>
    <e v="#N/A"/>
    <m/>
    <s v="6"/>
    <x v="12"/>
    <s v="61"/>
    <s v="עמלות"/>
    <s v="610"/>
    <e v="#N/A"/>
  </r>
  <r>
    <n v="670"/>
    <s v="6250"/>
    <n v="1"/>
    <s v="16250.670"/>
    <s v="סעיף שאינו חוזר                 "/>
    <m/>
    <m/>
    <n v="0"/>
    <n v="3000"/>
    <n v="276760"/>
    <e v="#N/A"/>
    <x v="5"/>
    <s v="הנהלה כללית"/>
    <x v="22"/>
    <s v="מינהל כספי"/>
    <x v="73"/>
    <e v="#N/A"/>
    <s v="6250"/>
    <e v="#N/A"/>
    <m/>
    <s v="6"/>
    <x v="12"/>
    <s v="67"/>
    <e v="#N/A"/>
    <s v="670"/>
    <e v="#N/A"/>
  </r>
  <r>
    <n v="691"/>
    <s v="6250"/>
    <n v="1"/>
    <s v="16250.691"/>
    <s v="מערכות מידע ומחשוב              "/>
    <m/>
    <m/>
    <n v="130000"/>
    <n v="120000"/>
    <n v="105459"/>
    <e v="#N/A"/>
    <x v="5"/>
    <s v="הנהלה כללית"/>
    <x v="22"/>
    <s v="מינהל כספי"/>
    <x v="73"/>
    <e v="#N/A"/>
    <s v="6250"/>
    <e v="#N/A"/>
    <m/>
    <s v="6"/>
    <x v="12"/>
    <s v="69"/>
    <s v="שונות"/>
    <s v="691"/>
    <s v="תשלום ע&quot;ח קרן"/>
  </r>
  <r>
    <n v="693"/>
    <s v="6250"/>
    <n v="1"/>
    <s v="16250.693"/>
    <s v="מיחשוב יחידתי                   "/>
    <m/>
    <m/>
    <n v="5000"/>
    <n v="4000"/>
    <n v="3603"/>
    <e v="#N/A"/>
    <x v="5"/>
    <s v="הנהלה כללית"/>
    <x v="22"/>
    <s v="מינהל כספי"/>
    <x v="73"/>
    <e v="#N/A"/>
    <s v="6250"/>
    <e v="#N/A"/>
    <m/>
    <s v="6"/>
    <x v="12"/>
    <s v="69"/>
    <s v="שונות"/>
    <s v="693"/>
    <s v="תשלום ע&quot;ח הצמדת ערך"/>
  </r>
  <r>
    <n v="751"/>
    <s v="6250"/>
    <n v="1"/>
    <s v="16250.751"/>
    <s v="ייעוץ מקצועי ללשכת התאגידים     "/>
    <m/>
    <m/>
    <n v="72000"/>
    <n v="72000"/>
    <n v="172613"/>
    <e v="#N/A"/>
    <x v="5"/>
    <s v="הנהלה כללית"/>
    <x v="22"/>
    <s v="מינהל כספי"/>
    <x v="73"/>
    <e v="#N/A"/>
    <s v="6250"/>
    <e v="#N/A"/>
    <m/>
    <s v="7"/>
    <x v="13"/>
    <s v="75"/>
    <s v="עבודות קבלניות"/>
    <s v="751"/>
    <e v="#N/A"/>
  </r>
  <r>
    <n v="782"/>
    <s v="6250"/>
    <n v="1"/>
    <s v="16250.782"/>
    <s v="הכנה והדפסת דו ח החברות השנתי   "/>
    <m/>
    <m/>
    <n v="2000"/>
    <n v="2000"/>
    <n v="0"/>
    <e v="#N/A"/>
    <x v="5"/>
    <s v="הנהלה כללית"/>
    <x v="22"/>
    <s v="מינהל כספי"/>
    <x v="73"/>
    <e v="#N/A"/>
    <s v="6250"/>
    <e v="#N/A"/>
    <m/>
    <s v="7"/>
    <x v="13"/>
    <s v="78"/>
    <s v="הוצאות שונות"/>
    <s v="782"/>
    <e v="#N/A"/>
  </r>
  <r>
    <n v="784"/>
    <s v="6250"/>
    <n v="1"/>
    <s v="16250.784"/>
    <s v="קשר ומפגשים עם חברות            "/>
    <m/>
    <m/>
    <n v="18000"/>
    <n v="20000"/>
    <n v="20000"/>
    <e v="#N/A"/>
    <x v="5"/>
    <s v="הנהלה כללית"/>
    <x v="22"/>
    <s v="מינהל כספי"/>
    <x v="73"/>
    <e v="#N/A"/>
    <s v="6250"/>
    <e v="#N/A"/>
    <m/>
    <s v="7"/>
    <x v="13"/>
    <s v="78"/>
    <s v="הוצאות שונות"/>
    <s v="784"/>
    <e v="#N/A"/>
  </r>
  <r>
    <n v="786"/>
    <s v="6250"/>
    <n v="1"/>
    <s v="16250.786"/>
    <s v="אגרת חברות                      "/>
    <m/>
    <m/>
    <n v="2000"/>
    <n v="11000"/>
    <n v="6189"/>
    <e v="#N/A"/>
    <x v="5"/>
    <s v="הנהלה כללית"/>
    <x v="22"/>
    <s v="מינהל כספי"/>
    <x v="73"/>
    <e v="#N/A"/>
    <s v="6250"/>
    <e v="#N/A"/>
    <m/>
    <s v="7"/>
    <x v="13"/>
    <s v="78"/>
    <s v="הוצאות שונות"/>
    <s v="786"/>
    <e v="#N/A"/>
  </r>
  <r>
    <n v="932"/>
    <s v="6250"/>
    <n v="1"/>
    <s v="16250.932"/>
    <s v="ציוד ורהוט משרדי                "/>
    <m/>
    <m/>
    <n v="2000"/>
    <n v="2000"/>
    <n v="1920"/>
    <e v="#N/A"/>
    <x v="5"/>
    <s v="הנהלה כללית"/>
    <x v="22"/>
    <s v="מינהל כספי"/>
    <x v="73"/>
    <e v="#N/A"/>
    <s v="6250"/>
    <e v="#N/A"/>
    <m/>
    <s v="9"/>
    <x v="17"/>
    <s v="93"/>
    <s v="רכישת ציוד יסודי"/>
    <s v="932"/>
    <e v="#N/A"/>
  </r>
  <r>
    <n v="110"/>
    <s v="62810"/>
    <n v="1"/>
    <s v="162810.110"/>
    <s v="משכורת כוללת                    "/>
    <m/>
    <m/>
    <n v="2730000"/>
    <n v="2628000"/>
    <n v="2258697"/>
    <e v="#N/A"/>
    <x v="5"/>
    <s v="הנהלה כללית"/>
    <x v="22"/>
    <s v="מינהל כספי"/>
    <x v="74"/>
    <e v="#N/A"/>
    <s v="6281"/>
    <e v="#N/A"/>
    <m/>
    <s v="1"/>
    <x v="9"/>
    <s v="11"/>
    <s v="השכר הקובע"/>
    <s v="110"/>
    <e v="#N/A"/>
  </r>
  <r>
    <n v="124"/>
    <s v="62810"/>
    <n v="1"/>
    <s v="162810.124"/>
    <s v="החזר הוצאות                     "/>
    <m/>
    <m/>
    <n v="151000"/>
    <n v="149000"/>
    <n v="142148"/>
    <e v="#N/A"/>
    <x v="5"/>
    <s v="הנהלה כללית"/>
    <x v="22"/>
    <s v="מינהל כספי"/>
    <x v="74"/>
    <e v="#N/A"/>
    <s v="6281"/>
    <e v="#N/A"/>
    <m/>
    <s v="1"/>
    <x v="9"/>
    <s v="12"/>
    <s v="תוספות שאינן נכללות בשכר הקובע"/>
    <s v="124"/>
    <e v="#N/A"/>
  </r>
  <r>
    <n v="126"/>
    <s v="62810"/>
    <n v="1"/>
    <s v="162810.126"/>
    <s v="הבראה                           "/>
    <m/>
    <m/>
    <n v="128000"/>
    <n v="126000"/>
    <n v="120414"/>
    <e v="#N/A"/>
    <x v="5"/>
    <s v="הנהלה כללית"/>
    <x v="22"/>
    <s v="מינהל כספי"/>
    <x v="74"/>
    <e v="#N/A"/>
    <s v="6281"/>
    <e v="#N/A"/>
    <m/>
    <s v="1"/>
    <x v="9"/>
    <s v="12"/>
    <s v="תוספות שאינן נכללות בשכר הקובע"/>
    <s v="126"/>
    <e v="#N/A"/>
  </r>
  <r>
    <n v="127"/>
    <s v="62810"/>
    <n v="1"/>
    <s v="162810.127"/>
    <s v="השתתפות באחזקת רכב-21           "/>
    <m/>
    <m/>
    <n v="653000"/>
    <n v="612000"/>
    <n v="438712"/>
    <e v="#N/A"/>
    <x v="5"/>
    <s v="הנהלה כללית"/>
    <x v="22"/>
    <s v="מינהל כספי"/>
    <x v="74"/>
    <e v="#N/A"/>
    <s v="6281"/>
    <e v="#N/A"/>
    <m/>
    <s v="1"/>
    <x v="9"/>
    <s v="12"/>
    <s v="תוספות שאינן נכללות בשכר הקובע"/>
    <s v="127"/>
    <e v="#N/A"/>
  </r>
  <r>
    <n v="130"/>
    <s v="62810"/>
    <n v="1"/>
    <s v="162810.130"/>
    <s v="תשלומים מיוחדים                 "/>
    <m/>
    <m/>
    <n v="559000"/>
    <n v="563000"/>
    <n v="481188"/>
    <e v="#N/A"/>
    <x v="5"/>
    <s v="הנהלה כללית"/>
    <x v="22"/>
    <s v="מינהל כספי"/>
    <x v="74"/>
    <e v="#N/A"/>
    <s v="6281"/>
    <e v="#N/A"/>
    <m/>
    <s v="1"/>
    <x v="9"/>
    <s v="13"/>
    <s v="שעות נוספות"/>
    <s v="130"/>
    <e v="#N/A"/>
  </r>
  <r>
    <n v="181"/>
    <s v="62810"/>
    <n v="1"/>
    <s v="162810.181"/>
    <s v="מיסים וביטוח לאומי              "/>
    <m/>
    <m/>
    <n v="564000"/>
    <n v="545000"/>
    <n v="457913"/>
    <e v="#N/A"/>
    <x v="5"/>
    <s v="הנהלה כללית"/>
    <x v="22"/>
    <s v="מינהל כספי"/>
    <x v="74"/>
    <e v="#N/A"/>
    <s v="6281"/>
    <e v="#N/A"/>
    <m/>
    <s v="1"/>
    <x v="9"/>
    <s v="18"/>
    <s v="נלוות לשכר"/>
    <s v="181"/>
    <s v="הפרשות סוציאליות"/>
  </r>
  <r>
    <n v="182"/>
    <s v="62810"/>
    <n v="1"/>
    <s v="162810.182"/>
    <s v="קופות גמל והשתלמות              "/>
    <m/>
    <m/>
    <n v="446000"/>
    <n v="450000"/>
    <n v="371205"/>
    <e v="#N/A"/>
    <x v="5"/>
    <s v="הנהלה כללית"/>
    <x v="22"/>
    <s v="מינהל כספי"/>
    <x v="74"/>
    <e v="#N/A"/>
    <s v="6281"/>
    <e v="#N/A"/>
    <m/>
    <s v="1"/>
    <x v="9"/>
    <s v="18"/>
    <s v="נלוות לשכר"/>
    <s v="182"/>
    <s v="מיסיום ועלויות"/>
  </r>
  <r>
    <n v="310"/>
    <s v="62810"/>
    <n v="1"/>
    <s v="162810.310"/>
    <s v="שעות נוספות רשומות              "/>
    <m/>
    <m/>
    <n v="87000"/>
    <n v="85000"/>
    <n v="88184"/>
    <e v="#N/A"/>
    <x v="5"/>
    <s v="הנהלה כללית"/>
    <x v="22"/>
    <s v="מינהל כספי"/>
    <x v="74"/>
    <e v="#N/A"/>
    <s v="6281"/>
    <e v="#N/A"/>
    <m/>
    <s v="3"/>
    <x v="14"/>
    <s v="31"/>
    <s v="פנסיה"/>
    <s v="310"/>
    <e v="#N/A"/>
  </r>
  <r>
    <n v="340"/>
    <s v="62810"/>
    <n v="1"/>
    <s v="162810.340"/>
    <s v="שעות נוספות מיוחדות             "/>
    <m/>
    <m/>
    <n v="2000"/>
    <n v="2000"/>
    <n v="0"/>
    <e v="#N/A"/>
    <x v="5"/>
    <s v="הנהלה כללית"/>
    <x v="22"/>
    <s v="מינהל כספי"/>
    <x v="74"/>
    <e v="#N/A"/>
    <s v="6281"/>
    <e v="#N/A"/>
    <m/>
    <s v="3"/>
    <x v="14"/>
    <s v="34"/>
    <e v="#N/A"/>
    <s v="340"/>
    <e v="#N/A"/>
  </r>
  <r>
    <n v="433"/>
    <s v="62810"/>
    <n v="1"/>
    <s v="162810.433"/>
    <s v="ביטוח                           "/>
    <m/>
    <m/>
    <n v="69000"/>
    <n v="70000"/>
    <n v="60000"/>
    <e v="#N/A"/>
    <x v="5"/>
    <s v="הנהלה כללית"/>
    <x v="22"/>
    <s v="מינהל כספי"/>
    <x v="74"/>
    <e v="#N/A"/>
    <s v="6281"/>
    <e v="#N/A"/>
    <m/>
    <s v="4"/>
    <x v="15"/>
    <s v="43"/>
    <s v="חשמל, מים וחומרי ניקיון"/>
    <s v="433"/>
    <s v="חומרי ניקיון"/>
  </r>
  <r>
    <n v="434"/>
    <s v="62810"/>
    <n v="1"/>
    <s v="162810.434"/>
    <s v="תקוני מבנים  מתקנים ואינונטר    "/>
    <m/>
    <m/>
    <n v="4000"/>
    <n v="4000"/>
    <n v="350"/>
    <e v="#N/A"/>
    <x v="5"/>
    <s v="הנהלה כללית"/>
    <x v="22"/>
    <s v="מינהל כספי"/>
    <x v="74"/>
    <e v="#N/A"/>
    <s v="6281"/>
    <e v="#N/A"/>
    <m/>
    <s v="4"/>
    <x v="15"/>
    <s v="43"/>
    <s v="חשמל, מים וחומרי ניקיון"/>
    <s v="434"/>
    <s v="שירותי ניקיון"/>
  </r>
  <r>
    <n v="439"/>
    <s v="62810"/>
    <n v="1"/>
    <s v="162810.439"/>
    <s v="אחזקת בניני העיריה - השתתפות    "/>
    <m/>
    <m/>
    <n v="303000"/>
    <n v="297000"/>
    <n v="300000"/>
    <m/>
    <x v="5"/>
    <s v="הנהלה כללית"/>
    <x v="22"/>
    <s v="מינהל כספי"/>
    <x v="74"/>
    <e v="#N/A"/>
    <s v="6281"/>
    <e v="#N/A"/>
    <m/>
    <s v="4"/>
    <x v="15"/>
    <s v="43"/>
    <s v="חשמל, מים וחומרי ניקיון"/>
    <s v="439"/>
    <e v="#N/A"/>
  </r>
  <r>
    <n v="461"/>
    <s v="62810"/>
    <n v="1"/>
    <s v="162810.461"/>
    <s v="צורכי משרד                      "/>
    <m/>
    <m/>
    <n v="53000"/>
    <n v="55000"/>
    <n v="48584"/>
    <e v="#N/A"/>
    <x v="5"/>
    <s v="הנהלה כללית"/>
    <x v="22"/>
    <s v="מינהל כספי"/>
    <x v="74"/>
    <e v="#N/A"/>
    <s v="6281"/>
    <e v="#N/A"/>
    <m/>
    <s v="4"/>
    <x v="15"/>
    <s v="46"/>
    <e v="#N/A"/>
    <s v="461"/>
    <e v="#N/A"/>
  </r>
  <r>
    <n v="462"/>
    <s v="62810"/>
    <n v="1"/>
    <s v="162810.462"/>
    <s v="ספרים ועתונים                   "/>
    <m/>
    <m/>
    <n v="12000"/>
    <n v="12000"/>
    <n v="8315"/>
    <e v="#N/A"/>
    <x v="5"/>
    <s v="הנהלה כללית"/>
    <x v="22"/>
    <s v="מינהל כספי"/>
    <x v="74"/>
    <e v="#N/A"/>
    <s v="6281"/>
    <e v="#N/A"/>
    <m/>
    <s v="4"/>
    <x v="15"/>
    <s v="46"/>
    <e v="#N/A"/>
    <s v="462"/>
    <e v="#N/A"/>
  </r>
  <r>
    <n v="464"/>
    <s v="62810"/>
    <n v="1"/>
    <s v="162810.464"/>
    <s v="דאר                             "/>
    <m/>
    <m/>
    <n v="25000"/>
    <n v="25000"/>
    <n v="21882"/>
    <e v="#N/A"/>
    <x v="5"/>
    <s v="הנהלה כללית"/>
    <x v="22"/>
    <s v="מינהל כספי"/>
    <x v="74"/>
    <e v="#N/A"/>
    <s v="6281"/>
    <e v="#N/A"/>
    <m/>
    <s v="4"/>
    <x v="15"/>
    <s v="46"/>
    <e v="#N/A"/>
    <s v="464"/>
    <e v="#N/A"/>
  </r>
  <r>
    <n v="522"/>
    <s v="62810"/>
    <n v="1"/>
    <s v="162810.522"/>
    <s v="גיבוש יחידתי                    "/>
    <m/>
    <m/>
    <n v="4000"/>
    <n v="4000"/>
    <n v="3600"/>
    <e v="#N/A"/>
    <x v="5"/>
    <s v="הנהלה כללית"/>
    <x v="22"/>
    <s v="מינהל כספי"/>
    <x v="74"/>
    <e v="#N/A"/>
    <s v="6281"/>
    <e v="#N/A"/>
    <m/>
    <s v="5"/>
    <x v="11"/>
    <s v="52"/>
    <s v="השתלמויות וספרות מקצועית"/>
    <s v="522"/>
    <s v="ספרות מקצועית ועיתונות"/>
  </r>
  <r>
    <n v="541"/>
    <s v="62810"/>
    <n v="1"/>
    <s v="162810.541"/>
    <s v="החזקת מכשירי קשר וסלולר         "/>
    <m/>
    <m/>
    <n v="3000"/>
    <n v="3000"/>
    <n v="3728"/>
    <e v="#N/A"/>
    <x v="5"/>
    <s v="הנהלה כללית"/>
    <x v="22"/>
    <s v="מינהל כספי"/>
    <x v="74"/>
    <e v="#N/A"/>
    <s v="6281"/>
    <e v="#N/A"/>
    <m/>
    <s v="5"/>
    <x v="11"/>
    <s v="54"/>
    <s v="הוצאות תקשורת"/>
    <s v="541"/>
    <e v="#N/A"/>
  </r>
  <r>
    <n v="610"/>
    <s v="62810"/>
    <n v="1"/>
    <s v="162810.610"/>
    <s v="כיבודים                         "/>
    <m/>
    <m/>
    <n v="5000"/>
    <n v="5000"/>
    <n v="5415"/>
    <e v="#N/A"/>
    <x v="5"/>
    <s v="הנהלה כללית"/>
    <x v="22"/>
    <s v="מינהל כספי"/>
    <x v="74"/>
    <e v="#N/A"/>
    <s v="6281"/>
    <e v="#N/A"/>
    <m/>
    <s v="6"/>
    <x v="12"/>
    <s v="61"/>
    <s v="עמלות"/>
    <s v="610"/>
    <e v="#N/A"/>
  </r>
  <r>
    <n v="670"/>
    <s v="62810"/>
    <n v="1"/>
    <s v="162810.670"/>
    <s v="סעיף שאינו חוזר                 "/>
    <m/>
    <m/>
    <n v="0"/>
    <n v="14000"/>
    <n v="13060"/>
    <m/>
    <x v="5"/>
    <s v="הנהלה כללית"/>
    <x v="22"/>
    <s v="מינהל כספי"/>
    <x v="74"/>
    <e v="#N/A"/>
    <s v="6281"/>
    <e v="#N/A"/>
    <m/>
    <s v="6"/>
    <x v="12"/>
    <s v="67"/>
    <e v="#N/A"/>
    <s v="670"/>
    <e v="#N/A"/>
  </r>
  <r>
    <n v="680"/>
    <s v="62810"/>
    <n v="1"/>
    <s v="162810.680"/>
    <s v="הוצאות מיוחדות                  "/>
    <m/>
    <m/>
    <n v="4000"/>
    <n v="4000"/>
    <n v="645"/>
    <e v="#N/A"/>
    <x v="5"/>
    <s v="הנהלה כללית"/>
    <x v="22"/>
    <s v="מינהל כספי"/>
    <x v="74"/>
    <e v="#N/A"/>
    <s v="6281"/>
    <e v="#N/A"/>
    <m/>
    <s v="6"/>
    <x v="12"/>
    <s v="68"/>
    <s v="ריבית על הוצאות אחרות"/>
    <s v="680"/>
    <e v="#N/A"/>
  </r>
  <r>
    <n v="691"/>
    <s v="62810"/>
    <n v="1"/>
    <s v="162810.691"/>
    <s v="מערכות מידע ומחשוב              "/>
    <m/>
    <m/>
    <n v="1760000"/>
    <n v="1740000"/>
    <n v="2285731"/>
    <e v="#N/A"/>
    <x v="5"/>
    <s v="הנהלה כללית"/>
    <x v="22"/>
    <s v="מינהל כספי"/>
    <x v="74"/>
    <e v="#N/A"/>
    <s v="6281"/>
    <e v="#N/A"/>
    <m/>
    <s v="6"/>
    <x v="12"/>
    <s v="69"/>
    <s v="שונות"/>
    <s v="691"/>
    <s v="תשלום ע&quot;ח קרן"/>
  </r>
  <r>
    <n v="751"/>
    <s v="62810"/>
    <n v="1"/>
    <s v="162810.751"/>
    <s v="עבודה בקבלנות                   "/>
    <m/>
    <m/>
    <n v="248000"/>
    <n v="248000"/>
    <n v="259950"/>
    <e v="#N/A"/>
    <x v="5"/>
    <s v="הנהלה כללית"/>
    <x v="22"/>
    <s v="מינהל כספי"/>
    <x v="74"/>
    <e v="#N/A"/>
    <s v="6281"/>
    <e v="#N/A"/>
    <m/>
    <s v="7"/>
    <x v="13"/>
    <s v="75"/>
    <s v="עבודות קבלניות"/>
    <s v="751"/>
    <e v="#N/A"/>
  </r>
  <r>
    <n v="781"/>
    <s v="62810"/>
    <n v="1"/>
    <s v="162810.781"/>
    <s v="שאילתות בגין גמלאים             "/>
    <m/>
    <m/>
    <n v="60000"/>
    <n v="60000"/>
    <n v="17202"/>
    <e v="#N/A"/>
    <x v="5"/>
    <s v="הנהלה כללית"/>
    <x v="22"/>
    <s v="מינהל כספי"/>
    <x v="74"/>
    <e v="#N/A"/>
    <s v="6281"/>
    <e v="#N/A"/>
    <m/>
    <s v="7"/>
    <x v="13"/>
    <s v="78"/>
    <s v="הוצאות שונות"/>
    <s v="781"/>
    <e v="#N/A"/>
  </r>
  <r>
    <n v="782"/>
    <s v="62810"/>
    <n v="1"/>
    <s v="162810.782"/>
    <s v="תביעות מיטיבים                  "/>
    <m/>
    <m/>
    <n v="115000"/>
    <n v="0"/>
    <n v="49344"/>
    <e v="#N/A"/>
    <x v="5"/>
    <s v="הנהלה כללית"/>
    <x v="22"/>
    <s v="מינהל כספי"/>
    <x v="74"/>
    <e v="#N/A"/>
    <s v="6281"/>
    <e v="#N/A"/>
    <m/>
    <s v="7"/>
    <x v="13"/>
    <s v="78"/>
    <s v="הוצאות שונות"/>
    <s v="782"/>
    <e v="#N/A"/>
  </r>
  <r>
    <n v="783"/>
    <s v="62810"/>
    <n v="1"/>
    <s v="162810.783"/>
    <s v="הפקת תלושי שכר                  "/>
    <m/>
    <m/>
    <n v="3191000"/>
    <n v="3061000"/>
    <n v="3056246"/>
    <e v="#N/A"/>
    <x v="5"/>
    <s v="הנהלה כללית"/>
    <x v="22"/>
    <s v="מינהל כספי"/>
    <x v="74"/>
    <e v="#N/A"/>
    <s v="6281"/>
    <e v="#N/A"/>
    <m/>
    <s v="7"/>
    <x v="13"/>
    <s v="78"/>
    <s v="הוצאות שונות"/>
    <s v="783"/>
    <e v="#N/A"/>
  </r>
  <r>
    <n v="784"/>
    <s v="62810"/>
    <n v="1"/>
    <s v="162810.784"/>
    <s v="עיבודי שכר נוספים               "/>
    <m/>
    <m/>
    <n v="75000"/>
    <n v="75000"/>
    <n v="57595"/>
    <e v="#N/A"/>
    <x v="5"/>
    <s v="הנהלה כללית"/>
    <x v="22"/>
    <s v="מינהל כספי"/>
    <x v="74"/>
    <e v="#N/A"/>
    <s v="6281"/>
    <e v="#N/A"/>
    <m/>
    <s v="7"/>
    <x v="13"/>
    <s v="78"/>
    <s v="הוצאות שונות"/>
    <s v="784"/>
    <e v="#N/A"/>
  </r>
  <r>
    <n v="786"/>
    <s v="62810"/>
    <n v="1"/>
    <s v="162810.786"/>
    <s v="משלוח תלושי שכר לגימלאים        "/>
    <m/>
    <m/>
    <n v="125000"/>
    <n v="125000"/>
    <n v="139714"/>
    <e v="#N/A"/>
    <x v="5"/>
    <s v="הנהלה כללית"/>
    <x v="22"/>
    <s v="מינהל כספי"/>
    <x v="74"/>
    <e v="#N/A"/>
    <s v="6281"/>
    <e v="#N/A"/>
    <m/>
    <s v="7"/>
    <x v="13"/>
    <s v="78"/>
    <s v="הוצאות שונות"/>
    <s v="786"/>
    <e v="#N/A"/>
  </r>
  <r>
    <n v="932"/>
    <s v="62810"/>
    <n v="1"/>
    <s v="162810.932"/>
    <s v="ציוד וריהוט משרדי               "/>
    <m/>
    <m/>
    <n v="10000"/>
    <n v="10000"/>
    <n v="6750"/>
    <e v="#N/A"/>
    <x v="5"/>
    <s v="הנהלה כללית"/>
    <x v="22"/>
    <s v="מינהל כספי"/>
    <x v="74"/>
    <e v="#N/A"/>
    <s v="6281"/>
    <e v="#N/A"/>
    <m/>
    <s v="9"/>
    <x v="17"/>
    <s v="93"/>
    <s v="רכישת ציוד יסודי"/>
    <s v="932"/>
    <e v="#N/A"/>
  </r>
  <r>
    <n v="999"/>
    <s v="62810"/>
    <n v="1"/>
    <s v="162810.999"/>
    <s v="השתת' מוסדות חוץ בעיבוד תלושים  "/>
    <m/>
    <m/>
    <n v="-1236000"/>
    <n v="-1132000"/>
    <n v="-1183223"/>
    <e v="#N/A"/>
    <x v="5"/>
    <s v="הנהלה כללית"/>
    <x v="22"/>
    <s v="מינהל כספי"/>
    <x v="74"/>
    <e v="#N/A"/>
    <s v="6281"/>
    <e v="#N/A"/>
    <m/>
    <s v="9"/>
    <x v="17"/>
    <s v="99"/>
    <e v="#N/A"/>
    <s v="999"/>
    <e v="#N/A"/>
  </r>
  <r>
    <n v="110"/>
    <s v="62820"/>
    <n v="1"/>
    <s v="162820.110"/>
    <s v="משכורת כוללת                    "/>
    <m/>
    <m/>
    <n v="1502000"/>
    <n v="1490000"/>
    <n v="1449257"/>
    <e v="#N/A"/>
    <x v="5"/>
    <s v="הנהלה כללית"/>
    <x v="22"/>
    <s v="מינהל כספי"/>
    <x v="74"/>
    <e v="#N/A"/>
    <s v="6282"/>
    <e v="#N/A"/>
    <m/>
    <s v="1"/>
    <x v="9"/>
    <s v="11"/>
    <s v="השכר הקובע"/>
    <s v="110"/>
    <e v="#N/A"/>
  </r>
  <r>
    <n v="124"/>
    <s v="62820"/>
    <n v="1"/>
    <s v="162820.124"/>
    <s v="החזר הוצאות                     "/>
    <m/>
    <m/>
    <n v="42000"/>
    <n v="42000"/>
    <n v="40944"/>
    <e v="#N/A"/>
    <x v="5"/>
    <s v="הנהלה כללית"/>
    <x v="22"/>
    <s v="מינהל כספי"/>
    <x v="74"/>
    <e v="#N/A"/>
    <s v="6282"/>
    <e v="#N/A"/>
    <m/>
    <s v="1"/>
    <x v="9"/>
    <s v="12"/>
    <s v="תוספות שאינן נכללות בשכר הקובע"/>
    <s v="124"/>
    <e v="#N/A"/>
  </r>
  <r>
    <n v="126"/>
    <s v="62820"/>
    <n v="1"/>
    <s v="162820.126"/>
    <s v="הבראה                           "/>
    <m/>
    <m/>
    <n v="43000"/>
    <n v="45000"/>
    <n v="43981"/>
    <e v="#N/A"/>
    <x v="5"/>
    <s v="הנהלה כללית"/>
    <x v="22"/>
    <s v="מינהל כספי"/>
    <x v="74"/>
    <e v="#N/A"/>
    <s v="6282"/>
    <e v="#N/A"/>
    <m/>
    <s v="1"/>
    <x v="9"/>
    <s v="12"/>
    <s v="תוספות שאינן נכללות בשכר הקובע"/>
    <s v="126"/>
    <e v="#N/A"/>
  </r>
  <r>
    <n v="127"/>
    <s v="62820"/>
    <n v="1"/>
    <s v="162820.127"/>
    <s v="השתתפות באחזקת רכב-5            "/>
    <m/>
    <m/>
    <n v="214000"/>
    <n v="207000"/>
    <n v="191123"/>
    <e v="#N/A"/>
    <x v="5"/>
    <s v="הנהלה כללית"/>
    <x v="22"/>
    <s v="מינהל כספי"/>
    <x v="74"/>
    <e v="#N/A"/>
    <s v="6282"/>
    <e v="#N/A"/>
    <m/>
    <s v="1"/>
    <x v="9"/>
    <s v="12"/>
    <s v="תוספות שאינן נכללות בשכר הקובע"/>
    <s v="127"/>
    <e v="#N/A"/>
  </r>
  <r>
    <n v="130"/>
    <s v="62820"/>
    <n v="1"/>
    <s v="162820.130"/>
    <s v="תשלומים מיוחדים                 "/>
    <m/>
    <m/>
    <n v="271000"/>
    <n v="266000"/>
    <n v="260801"/>
    <e v="#N/A"/>
    <x v="5"/>
    <s v="הנהלה כללית"/>
    <x v="22"/>
    <s v="מינהל כספי"/>
    <x v="74"/>
    <e v="#N/A"/>
    <s v="6282"/>
    <e v="#N/A"/>
    <m/>
    <s v="1"/>
    <x v="9"/>
    <s v="13"/>
    <s v="שעות נוספות"/>
    <s v="130"/>
    <e v="#N/A"/>
  </r>
  <r>
    <n v="181"/>
    <s v="62820"/>
    <n v="1"/>
    <s v="162820.181"/>
    <s v="מיסים וביטוח לאומי              "/>
    <m/>
    <m/>
    <n v="319000"/>
    <n v="314000"/>
    <n v="326169"/>
    <e v="#N/A"/>
    <x v="5"/>
    <s v="הנהלה כללית"/>
    <x v="22"/>
    <s v="מינהל כספי"/>
    <x v="74"/>
    <e v="#N/A"/>
    <s v="6282"/>
    <e v="#N/A"/>
    <m/>
    <s v="1"/>
    <x v="9"/>
    <s v="18"/>
    <s v="נלוות לשכר"/>
    <s v="181"/>
    <s v="הפרשות סוציאליות"/>
  </r>
  <r>
    <n v="182"/>
    <s v="62820"/>
    <n v="1"/>
    <s v="162820.182"/>
    <s v="קופות גמל והשתלמות              "/>
    <m/>
    <m/>
    <n v="263000"/>
    <n v="258000"/>
    <n v="239501"/>
    <e v="#N/A"/>
    <x v="5"/>
    <s v="הנהלה כללית"/>
    <x v="22"/>
    <s v="מינהל כספי"/>
    <x v="74"/>
    <e v="#N/A"/>
    <s v="6282"/>
    <e v="#N/A"/>
    <m/>
    <s v="1"/>
    <x v="9"/>
    <s v="18"/>
    <s v="נלוות לשכר"/>
    <s v="182"/>
    <s v="מיסיום ועלויות"/>
  </r>
  <r>
    <n v="310"/>
    <s v="62820"/>
    <n v="1"/>
    <s v="162820.310"/>
    <s v="שעות נוספות רשומות              "/>
    <m/>
    <m/>
    <n v="361000"/>
    <n v="354000"/>
    <n v="290690"/>
    <e v="#N/A"/>
    <x v="5"/>
    <s v="הנהלה כללית"/>
    <x v="22"/>
    <s v="מינהל כספי"/>
    <x v="74"/>
    <e v="#N/A"/>
    <s v="6282"/>
    <e v="#N/A"/>
    <m/>
    <s v="3"/>
    <x v="14"/>
    <s v="31"/>
    <s v="פנסיה"/>
    <s v="310"/>
    <e v="#N/A"/>
  </r>
  <r>
    <n v="399"/>
    <s v="62820"/>
    <n v="1"/>
    <s v="162820.399"/>
    <s v="השתתפות ביה ח בתגמולים          "/>
    <m/>
    <m/>
    <n v="-935000"/>
    <n v="-906000"/>
    <n v="-968577"/>
    <e v="#N/A"/>
    <x v="5"/>
    <s v="הנהלה כללית"/>
    <x v="22"/>
    <s v="מינהל כספי"/>
    <x v="74"/>
    <e v="#N/A"/>
    <s v="6282"/>
    <e v="#N/A"/>
    <m/>
    <s v="3"/>
    <x v="14"/>
    <s v="39"/>
    <e v="#N/A"/>
    <s v="399"/>
    <e v="#N/A"/>
  </r>
  <r>
    <n v="531"/>
    <s v="62820"/>
    <n v="1"/>
    <s v="162820.531"/>
    <s v="אחזקת רכב                       "/>
    <m/>
    <m/>
    <n v="4000"/>
    <n v="4000"/>
    <n v="1630"/>
    <e v="#N/A"/>
    <x v="5"/>
    <s v="הנהלה כללית"/>
    <x v="22"/>
    <s v="מינהל כספי"/>
    <x v="74"/>
    <e v="#N/A"/>
    <s v="6282"/>
    <e v="#N/A"/>
    <m/>
    <s v="5"/>
    <x v="11"/>
    <s v="53"/>
    <s v="הוצאות רכב מינהלי"/>
    <s v="531"/>
    <s v="דלק ושמנים"/>
  </r>
  <r>
    <n v="533"/>
    <s v="62820"/>
    <n v="1"/>
    <s v="162820.533"/>
    <s v="שכירת רכב                       "/>
    <m/>
    <m/>
    <n v="88000"/>
    <n v="88000"/>
    <n v="75522"/>
    <e v="#N/A"/>
    <x v="5"/>
    <s v="הנהלה כללית"/>
    <x v="22"/>
    <s v="מינהל כספי"/>
    <x v="74"/>
    <e v="#N/A"/>
    <s v="6282"/>
    <e v="#N/A"/>
    <m/>
    <s v="5"/>
    <x v="11"/>
    <s v="53"/>
    <s v="הוצאות רכב מינהלי"/>
    <s v="533"/>
    <s v="רישוי וביטוח"/>
  </r>
  <r>
    <n v="534"/>
    <s v="62820"/>
    <n v="1"/>
    <s v="162820.534"/>
    <s v="דלק ושמן                        "/>
    <m/>
    <m/>
    <n v="28000"/>
    <n v="28000"/>
    <n v="26973"/>
    <e v="#N/A"/>
    <x v="5"/>
    <s v="הנהלה כללית"/>
    <x v="22"/>
    <s v="מינהל כספי"/>
    <x v="74"/>
    <e v="#N/A"/>
    <s v="6282"/>
    <e v="#N/A"/>
    <m/>
    <s v="5"/>
    <x v="11"/>
    <s v="53"/>
    <s v="הוצאות רכב מינהלי"/>
    <s v="534"/>
    <e v="#N/A"/>
  </r>
  <r>
    <n v="651"/>
    <s v="6310"/>
    <n v="1"/>
    <s v="16310.651"/>
    <s v="עמלה ריבית והוצאות מימון        "/>
    <m/>
    <m/>
    <n v="1000000"/>
    <n v="1500000"/>
    <n v="584280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1"/>
    <e v="#N/A"/>
  </r>
  <r>
    <n v="652"/>
    <s v="6310"/>
    <n v="1"/>
    <s v="16310.652"/>
    <s v="ריבית על קרנות הרשות            "/>
    <m/>
    <m/>
    <n v="39500000"/>
    <n v="55000000"/>
    <n v="63355503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2"/>
    <e v="#N/A"/>
  </r>
  <r>
    <n v="653"/>
    <s v="6310"/>
    <n v="1"/>
    <s v="16310.653"/>
    <s v="עמלות בנקאיות בגין תקבולים      "/>
    <m/>
    <m/>
    <n v="4500000"/>
    <n v="5800000"/>
    <n v="4199554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3"/>
    <e v="#N/A"/>
  </r>
  <r>
    <n v="654"/>
    <s v="6310"/>
    <n v="1"/>
    <s v="16310.654"/>
    <s v="הוראות קבע בגין תקבולים         "/>
    <m/>
    <m/>
    <n v="50000"/>
    <n v="50000"/>
    <n v="-37913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4"/>
    <e v="#N/A"/>
  </r>
  <r>
    <n v="655"/>
    <s v="6310"/>
    <n v="1"/>
    <s v="16310.655"/>
    <s v="עמלות לחברות אשראי              "/>
    <m/>
    <m/>
    <n v="8800000"/>
    <n v="8000000"/>
    <n v="8054630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5"/>
    <e v="#N/A"/>
  </r>
  <r>
    <n v="656"/>
    <s v="6310"/>
    <n v="1"/>
    <s v="16310.656"/>
    <s v="עמלות )בנק ואשראי(-גביה ע י גו ח"/>
    <m/>
    <m/>
    <n v="900000"/>
    <n v="900000"/>
    <n v="748380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6"/>
    <e v="#N/A"/>
  </r>
  <r>
    <n v="657"/>
    <s v="6310"/>
    <n v="1"/>
    <s v="16310.657"/>
    <s v="עמלות מימון ותפעול-חסכונות גחלת "/>
    <m/>
    <m/>
    <n v="1700000"/>
    <n v="1700000"/>
    <n v="1556484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7"/>
    <e v="#N/A"/>
  </r>
  <r>
    <n v="659"/>
    <s v="6310"/>
    <n v="1"/>
    <s v="16310.659"/>
    <s v="שיערוך הקרן לחוסכי גחלת         "/>
    <m/>
    <m/>
    <n v="50000"/>
    <n v="50000"/>
    <n v="16080"/>
    <e v="#N/A"/>
    <x v="5"/>
    <s v="הנהלה כללית"/>
    <x v="23"/>
    <s v="הוצאות מימון"/>
    <x v="75"/>
    <s v="עמלות והוצאות בנקאיות"/>
    <s v="6310"/>
    <e v="#N/A"/>
    <m/>
    <s v="6"/>
    <x v="12"/>
    <s v="65"/>
    <s v="ריבית פיגורים לספקים ונותני שירות"/>
    <s v="659"/>
    <e v="#N/A"/>
  </r>
  <r>
    <n v="999"/>
    <s v="6310"/>
    <n v="1"/>
    <s v="16310.999"/>
    <s v="השתתפות אגף סל ע                "/>
    <m/>
    <m/>
    <n v="-500000"/>
    <n v="0"/>
    <n v="0"/>
    <e v="#N/A"/>
    <x v="5"/>
    <s v="הנהלה כללית"/>
    <x v="23"/>
    <s v="הוצאות מימון"/>
    <x v="75"/>
    <s v="עמלות והוצאות בנקאיות"/>
    <s v="6310"/>
    <e v="#N/A"/>
    <m/>
    <s v="9"/>
    <x v="17"/>
    <s v="99"/>
    <e v="#N/A"/>
    <s v="999"/>
    <e v="#N/A"/>
  </r>
  <r>
    <n v="991"/>
    <s v="64911"/>
    <n v="1"/>
    <s v="164911.991"/>
    <s v="תשלומים על חשבון קרן            "/>
    <m/>
    <m/>
    <n v="9340000"/>
    <n v="9330000"/>
    <n v="9333333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1"/>
    <e v="#N/A"/>
  </r>
  <r>
    <n v="992"/>
    <s v="64911"/>
    <n v="1"/>
    <s v="164911.992"/>
    <s v="תשלומים על חשבון ריבית          "/>
    <m/>
    <m/>
    <n v="1430000"/>
    <n v="2040000"/>
    <n v="2659952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2"/>
    <e v="#N/A"/>
  </r>
  <r>
    <n v="993"/>
    <s v="64911"/>
    <n v="1"/>
    <s v="164911.993"/>
    <s v="הצמדה על הקרן                   "/>
    <m/>
    <m/>
    <n v="2270000"/>
    <n v="2360000"/>
    <n v="2101719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3"/>
    <e v="#N/A"/>
  </r>
  <r>
    <n v="994"/>
    <s v="64911"/>
    <n v="1"/>
    <s v="164911.994"/>
    <s v="הצמדה על הריבית                 "/>
    <m/>
    <m/>
    <n v="350000"/>
    <n v="520000"/>
    <n v="599367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4"/>
    <e v="#N/A"/>
  </r>
  <r>
    <n v="991"/>
    <s v="64912"/>
    <n v="1"/>
    <s v="164912.991"/>
    <s v="תשלומים על חשבון קרן            "/>
    <m/>
    <m/>
    <n v="10600000"/>
    <n v="14790000"/>
    <n v="20739949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1"/>
    <e v="#N/A"/>
  </r>
  <r>
    <n v="992"/>
    <s v="64912"/>
    <n v="1"/>
    <s v="164912.992"/>
    <s v="תשלומים על חשבון ריבית          "/>
    <m/>
    <m/>
    <n v="1340000"/>
    <n v="2150000"/>
    <n v="3283913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2"/>
    <e v="#N/A"/>
  </r>
  <r>
    <n v="993"/>
    <s v="64912"/>
    <n v="1"/>
    <s v="164912.993"/>
    <s v="הצמדה על הקרן                   "/>
    <m/>
    <m/>
    <n v="2820000"/>
    <n v="4430000"/>
    <n v="5934060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3"/>
    <e v="#N/A"/>
  </r>
  <r>
    <n v="994"/>
    <s v="64912"/>
    <n v="1"/>
    <s v="164912.994"/>
    <s v="הצמדה על הריבית                 "/>
    <m/>
    <m/>
    <n v="320000"/>
    <n v="570000"/>
    <n v="837121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4"/>
    <e v="#N/A"/>
  </r>
  <r>
    <n v="991"/>
    <s v="64913"/>
    <n v="1"/>
    <s v="164913.991"/>
    <s v="תשלומים על חשבון קרן            "/>
    <m/>
    <m/>
    <n v="560000"/>
    <n v="720000"/>
    <n v="828836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1"/>
    <e v="#N/A"/>
  </r>
  <r>
    <n v="992"/>
    <s v="64913"/>
    <n v="1"/>
    <s v="164913.992"/>
    <s v="תשלומים על חשבון ריבית          "/>
    <m/>
    <m/>
    <n v="90000"/>
    <n v="120000"/>
    <n v="145991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2"/>
    <e v="#N/A"/>
  </r>
  <r>
    <n v="993"/>
    <s v="64913"/>
    <n v="1"/>
    <s v="164913.993"/>
    <s v="הצמדה על הקרן                   "/>
    <m/>
    <m/>
    <n v="120000"/>
    <n v="180000"/>
    <n v="215762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3"/>
    <e v="#N/A"/>
  </r>
  <r>
    <n v="994"/>
    <s v="64913"/>
    <n v="1"/>
    <s v="164913.994"/>
    <s v="הצמדה על הריבית                 "/>
    <m/>
    <m/>
    <n v="20000"/>
    <n v="20000"/>
    <n v="33537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4"/>
    <e v="#N/A"/>
  </r>
  <r>
    <n v="991"/>
    <s v="64914"/>
    <n v="1"/>
    <s v="164914.991"/>
    <s v="תשלומים על חשבון קרן            "/>
    <m/>
    <m/>
    <n v="29000000"/>
    <n v="48500000"/>
    <n v="54626746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1"/>
    <e v="#N/A"/>
  </r>
  <r>
    <n v="991"/>
    <s v="64915"/>
    <n v="1"/>
    <s v="164915.991"/>
    <s v="תשלומים על חשבון קרן            "/>
    <m/>
    <m/>
    <n v="5920000"/>
    <n v="5950000"/>
    <n v="0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1"/>
    <e v="#N/A"/>
  </r>
  <r>
    <n v="992"/>
    <s v="64915"/>
    <n v="1"/>
    <s v="164915.992"/>
    <s v="תשלומים על חשבון ריבית          "/>
    <m/>
    <m/>
    <n v="890000"/>
    <n v="2550000"/>
    <n v="0"/>
    <e v="#N/A"/>
    <x v="5"/>
    <s v="הנהלה כללית"/>
    <x v="24"/>
    <s v="פרעון מלוות"/>
    <x v="76"/>
    <s v="פרעון מלוות מוכר"/>
    <s v="6491"/>
    <s v="פרעון מלוות מוכר לא למחזור"/>
    <m/>
    <s v="9"/>
    <x v="17"/>
    <s v="99"/>
    <e v="#N/A"/>
    <s v="992"/>
    <e v="#N/A"/>
  </r>
  <r>
    <n v="991"/>
    <s v="64922"/>
    <n v="1"/>
    <s v="164922.991"/>
    <s v="תשלומים על חשבון קרן            "/>
    <m/>
    <m/>
    <n v="3560000"/>
    <n v="3920000"/>
    <n v="3871554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1"/>
    <e v="#N/A"/>
  </r>
  <r>
    <n v="992"/>
    <s v="64922"/>
    <n v="1"/>
    <s v="164922.992"/>
    <s v="תשלומים על חשבון ריבית          "/>
    <m/>
    <m/>
    <n v="880000"/>
    <n v="990000"/>
    <n v="685339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2"/>
    <e v="#N/A"/>
  </r>
  <r>
    <n v="993"/>
    <s v="64922"/>
    <n v="1"/>
    <s v="164922.993"/>
    <s v="הצמדה על הקרן                   "/>
    <m/>
    <m/>
    <n v="140000"/>
    <n v="280000"/>
    <n v="527023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3"/>
    <e v="#N/A"/>
  </r>
  <r>
    <n v="994"/>
    <s v="64922"/>
    <n v="1"/>
    <s v="164922.994"/>
    <s v="הצמדה על הריבית                 "/>
    <m/>
    <m/>
    <n v="20000"/>
    <n v="40000"/>
    <n v="55570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4"/>
    <e v="#N/A"/>
  </r>
  <r>
    <n v="991"/>
    <s v="64923"/>
    <n v="1"/>
    <s v="164923.991"/>
    <s v="תשלומים על חשבון קרן            "/>
    <m/>
    <m/>
    <n v="920000"/>
    <n v="990000"/>
    <n v="665510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1"/>
    <e v="#N/A"/>
  </r>
  <r>
    <n v="992"/>
    <s v="64923"/>
    <n v="1"/>
    <s v="164923.992"/>
    <s v="תשלומים על חשבון ריבית          "/>
    <m/>
    <m/>
    <n v="250000"/>
    <n v="270000"/>
    <n v="138882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2"/>
    <e v="#N/A"/>
  </r>
  <r>
    <n v="993"/>
    <s v="64923"/>
    <n v="1"/>
    <s v="164923.993"/>
    <s v="הצמדה על הקרן                   "/>
    <m/>
    <m/>
    <n v="40000"/>
    <n v="60000"/>
    <n v="64018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3"/>
    <e v="#N/A"/>
  </r>
  <r>
    <n v="994"/>
    <s v="64923"/>
    <n v="1"/>
    <s v="164923.994"/>
    <s v="הצמדה על הריבית                 "/>
    <m/>
    <m/>
    <n v="10000"/>
    <n v="10000"/>
    <n v="10545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4"/>
    <e v="#N/A"/>
  </r>
  <r>
    <n v="991"/>
    <s v="64924"/>
    <n v="1"/>
    <s v="164924.991"/>
    <s v="תשלומים על חשבון קרן            "/>
    <m/>
    <m/>
    <n v="460000"/>
    <n v="900000"/>
    <n v="1009977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1"/>
    <e v="#N/A"/>
  </r>
  <r>
    <n v="992"/>
    <s v="64924"/>
    <n v="1"/>
    <s v="164924.992"/>
    <s v="תשלומים על חשבון ריבית          "/>
    <m/>
    <m/>
    <n v="90000"/>
    <n v="160000"/>
    <n v="149331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2"/>
    <e v="#N/A"/>
  </r>
  <r>
    <n v="993"/>
    <s v="64924"/>
    <n v="1"/>
    <s v="164924.993"/>
    <s v="הצמדה על הקרן                   "/>
    <m/>
    <m/>
    <n v="50000"/>
    <n v="190000"/>
    <n v="236062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3"/>
    <e v="#N/A"/>
  </r>
  <r>
    <n v="994"/>
    <s v="64924"/>
    <n v="1"/>
    <s v="164924.994"/>
    <s v="הצמדה על הריבית                 "/>
    <m/>
    <m/>
    <n v="10000"/>
    <n v="10000"/>
    <n v="24227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4"/>
    <e v="#N/A"/>
  </r>
  <r>
    <n v="991"/>
    <s v="64925"/>
    <n v="1"/>
    <s v="164925.991"/>
    <s v="תשלומים על חשבון קרן            "/>
    <m/>
    <m/>
    <n v="710000"/>
    <n v="740000"/>
    <n v="718938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1"/>
    <e v="#N/A"/>
  </r>
  <r>
    <n v="992"/>
    <s v="64925"/>
    <n v="1"/>
    <s v="164925.992"/>
    <s v="תשלומים על חשבון ריבית          "/>
    <m/>
    <m/>
    <n v="100000"/>
    <n v="120000"/>
    <n v="137855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2"/>
    <e v="#N/A"/>
  </r>
  <r>
    <n v="993"/>
    <s v="64925"/>
    <n v="1"/>
    <s v="164925.993"/>
    <s v="הצמדה על הקרן                   "/>
    <m/>
    <m/>
    <n v="30000"/>
    <n v="40000"/>
    <n v="42801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3"/>
    <e v="#N/A"/>
  </r>
  <r>
    <n v="994"/>
    <s v="64925"/>
    <n v="1"/>
    <s v="164925.994"/>
    <s v="הצמדה על הריבית                 "/>
    <m/>
    <m/>
    <n v="10000"/>
    <n v="10000"/>
    <n v="8254"/>
    <e v="#N/A"/>
    <x v="5"/>
    <s v="הנהלה כללית"/>
    <x v="24"/>
    <s v="פרעון מלוות"/>
    <x v="76"/>
    <s v="פרעון מלוות מוכר"/>
    <s v="6492"/>
    <s v="פרעון מלוות מוכר למחזור נטו"/>
    <m/>
    <s v="9"/>
    <x v="17"/>
    <s v="99"/>
    <e v="#N/A"/>
    <s v="994"/>
    <e v="#N/A"/>
  </r>
  <r>
    <n v="991"/>
    <s v="64931"/>
    <n v="1"/>
    <s v="164931.991"/>
    <s v="תשלומים על חשבון קרן            "/>
    <m/>
    <m/>
    <n v="850000"/>
    <n v="890000"/>
    <n v="886188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1"/>
    <n v="1"/>
    <s v="164931.992"/>
    <s v="תשלומים על חשבון ריבית          "/>
    <m/>
    <m/>
    <n v="120000"/>
    <n v="160000"/>
    <n v="179286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1"/>
    <n v="1"/>
    <s v="164931.993"/>
    <s v="הצמדה על הקרן                   "/>
    <m/>
    <m/>
    <n v="170000"/>
    <n v="190000"/>
    <n v="167106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1"/>
    <n v="1"/>
    <s v="164931.994"/>
    <s v="הצמדה על הריבית                 "/>
    <m/>
    <m/>
    <n v="10000"/>
    <n v="20000"/>
    <n v="29937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2"/>
    <n v="1"/>
    <s v="164932.991"/>
    <s v="תשלומים על חשבון קרן            "/>
    <m/>
    <m/>
    <n v="26300000"/>
    <n v="28860000"/>
    <n v="27050503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2"/>
    <n v="1"/>
    <s v="164932.992"/>
    <s v="תשלומים על חשבון ריבית          "/>
    <m/>
    <m/>
    <n v="4820000"/>
    <n v="6030000"/>
    <n v="5677664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2"/>
    <n v="1"/>
    <s v="164932.993"/>
    <s v="הצמדה על הקרן                   "/>
    <m/>
    <m/>
    <n v="3770000"/>
    <n v="4750000"/>
    <n v="4655205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2"/>
    <n v="1"/>
    <s v="164932.994"/>
    <s v="הצמדה על הריבית                 "/>
    <m/>
    <m/>
    <n v="440000"/>
    <n v="720000"/>
    <n v="925858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3"/>
    <n v="1"/>
    <s v="164933.991"/>
    <s v="תשלומים על חשבון קרן            "/>
    <m/>
    <m/>
    <n v="2130000"/>
    <n v="2160000"/>
    <n v="1613532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3"/>
    <n v="1"/>
    <s v="164933.992"/>
    <s v="תשלומים על חשבון ריבית          "/>
    <m/>
    <m/>
    <n v="480000"/>
    <n v="550000"/>
    <n v="344127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3"/>
    <n v="1"/>
    <s v="164933.993"/>
    <s v="הצמדה על הקרן                   "/>
    <m/>
    <m/>
    <n v="170000"/>
    <n v="190000"/>
    <n v="169460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3"/>
    <n v="1"/>
    <s v="164933.994"/>
    <s v="הצמדה על הריבית                 "/>
    <m/>
    <m/>
    <n v="10000"/>
    <n v="20000"/>
    <n v="31059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4"/>
    <n v="1"/>
    <s v="164934.991"/>
    <s v="תשלומים על חשבון קרן            "/>
    <m/>
    <m/>
    <n v="2720000"/>
    <n v="2720000"/>
    <n v="1755941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4"/>
    <n v="1"/>
    <s v="164934.992"/>
    <s v="תשלומים על חשבון ריבית          "/>
    <m/>
    <m/>
    <n v="810000"/>
    <n v="870000"/>
    <n v="421637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4"/>
    <n v="1"/>
    <s v="164934.993"/>
    <s v="הצמדה על הקרן                   "/>
    <m/>
    <m/>
    <n v="70000"/>
    <n v="80000"/>
    <n v="72220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4"/>
    <n v="1"/>
    <s v="164934.994"/>
    <s v="הצמדה על הריבית                 "/>
    <m/>
    <m/>
    <n v="10000"/>
    <n v="10000"/>
    <n v="16290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5"/>
    <n v="1"/>
    <s v="164935.991"/>
    <s v="תשלומים על חשבון קרן            "/>
    <m/>
    <m/>
    <n v="4970000"/>
    <n v="5650000"/>
    <n v="5526395"/>
    <m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5"/>
    <n v="1"/>
    <s v="164935.992"/>
    <s v="תשלומים על חשבון ריבית          "/>
    <m/>
    <m/>
    <n v="460000"/>
    <n v="750000"/>
    <n v="984738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5"/>
    <n v="1"/>
    <s v="164935.993"/>
    <s v="הצמדה על הקרן                   "/>
    <m/>
    <m/>
    <n v="1300000"/>
    <n v="1570000"/>
    <n v="1425148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5"/>
    <n v="1"/>
    <s v="164935.994"/>
    <s v="הצמדה על הריבית                 "/>
    <m/>
    <m/>
    <n v="80000"/>
    <n v="180000"/>
    <n v="243774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6"/>
    <n v="1"/>
    <s v="164936.991"/>
    <s v="תשלומים על חשבון קרן            "/>
    <m/>
    <m/>
    <n v="16540000"/>
    <n v="16950000"/>
    <n v="15978872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6"/>
    <n v="1"/>
    <s v="164936.992"/>
    <s v="תשלומים על חשבון ריבית          "/>
    <m/>
    <m/>
    <n v="2740000"/>
    <n v="3440000"/>
    <n v="3626232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6"/>
    <n v="1"/>
    <s v="164936.993"/>
    <s v="הצמדה על הקרן                   "/>
    <m/>
    <m/>
    <n v="2310000"/>
    <n v="2580000"/>
    <n v="2331675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6"/>
    <n v="1"/>
    <s v="164936.994"/>
    <s v="הצמדה על הריבית                 "/>
    <m/>
    <m/>
    <n v="310000"/>
    <n v="460000"/>
    <n v="545396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7"/>
    <n v="1"/>
    <s v="164937.991"/>
    <s v="תשלומים על חשבון קרן            "/>
    <m/>
    <m/>
    <n v="1190000"/>
    <n v="1200000"/>
    <n v="1063787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7"/>
    <n v="1"/>
    <s v="164937.992"/>
    <s v="תשלומים על חשבון ריבית          "/>
    <m/>
    <m/>
    <n v="220000"/>
    <n v="260000"/>
    <n v="227215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3"/>
    <s v="64937"/>
    <n v="1"/>
    <s v="164937.993"/>
    <s v="הצמדה על הקרן                   "/>
    <m/>
    <m/>
    <n v="120000"/>
    <n v="130000"/>
    <n v="120306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3"/>
    <e v="#N/A"/>
  </r>
  <r>
    <n v="994"/>
    <s v="64937"/>
    <n v="1"/>
    <s v="164937.994"/>
    <s v="הצמדה על הריבית                 "/>
    <m/>
    <m/>
    <n v="20000"/>
    <n v="20000"/>
    <n v="25722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4"/>
    <e v="#N/A"/>
  </r>
  <r>
    <n v="991"/>
    <s v="64938"/>
    <n v="1"/>
    <s v="164938.991"/>
    <s v="תשלומים על חשבון קרן            "/>
    <m/>
    <m/>
    <n v="3050000"/>
    <n v="3050000"/>
    <n v="3052733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1"/>
    <e v="#N/A"/>
  </r>
  <r>
    <n v="992"/>
    <s v="64938"/>
    <n v="1"/>
    <s v="164938.992"/>
    <s v="תשלומים על חשבון ריבית          "/>
    <m/>
    <m/>
    <n v="280000"/>
    <n v="350000"/>
    <n v="505281"/>
    <e v="#N/A"/>
    <x v="5"/>
    <s v="הנהלה כללית"/>
    <x v="24"/>
    <s v="פרעון מלוות"/>
    <x v="76"/>
    <s v="פרעון מלוות מוכר"/>
    <s v="6493"/>
    <e v="#N/A"/>
    <m/>
    <s v="9"/>
    <x v="17"/>
    <s v="99"/>
    <e v="#N/A"/>
    <s v="992"/>
    <e v="#N/A"/>
  </r>
  <r>
    <n v="991"/>
    <s v="64941"/>
    <n v="1"/>
    <s v="164941.991"/>
    <s v="תשלומים על חשבון קרן            "/>
    <m/>
    <m/>
    <n v="13410000"/>
    <n v="14630000"/>
    <n v="15903878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1"/>
    <e v="#N/A"/>
  </r>
  <r>
    <n v="992"/>
    <s v="64941"/>
    <n v="1"/>
    <s v="164941.992"/>
    <s v="תשלומים על חשבון ריבית          "/>
    <m/>
    <m/>
    <n v="2080000"/>
    <n v="2700000"/>
    <n v="3186776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2"/>
    <e v="#N/A"/>
  </r>
  <r>
    <n v="993"/>
    <s v="64941"/>
    <n v="1"/>
    <s v="164941.993"/>
    <s v="הצמדה על הקרן                   "/>
    <m/>
    <m/>
    <n v="1910000"/>
    <n v="2470000"/>
    <n v="2922591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3"/>
    <e v="#N/A"/>
  </r>
  <r>
    <n v="994"/>
    <s v="64941"/>
    <n v="1"/>
    <s v="164941.994"/>
    <s v="הצמדה על הריבית                 "/>
    <m/>
    <m/>
    <n v="240000"/>
    <n v="380000"/>
    <n v="488923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4"/>
    <e v="#N/A"/>
  </r>
  <r>
    <n v="991"/>
    <s v="64942"/>
    <n v="1"/>
    <s v="164942.991"/>
    <s v="תשלומים על חשבון קרן            "/>
    <m/>
    <m/>
    <n v="9790000"/>
    <n v="9830000"/>
    <n v="9785151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1"/>
    <e v="#N/A"/>
  </r>
  <r>
    <n v="992"/>
    <s v="64942"/>
    <n v="1"/>
    <s v="164942.992"/>
    <s v="תשלומים על חשבון ריבית          "/>
    <m/>
    <m/>
    <n v="1890000"/>
    <n v="2310000"/>
    <n v="2593456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2"/>
    <e v="#N/A"/>
  </r>
  <r>
    <n v="993"/>
    <s v="64942"/>
    <n v="1"/>
    <s v="164942.993"/>
    <s v="הצמדה על הקרן                   "/>
    <m/>
    <m/>
    <n v="1290000"/>
    <n v="1380000"/>
    <n v="1278076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3"/>
    <e v="#N/A"/>
  </r>
  <r>
    <n v="994"/>
    <s v="64942"/>
    <n v="1"/>
    <s v="164942.994"/>
    <s v="הצמדה על הריבית                 "/>
    <m/>
    <m/>
    <n v="240000"/>
    <n v="330000"/>
    <n v="361130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4"/>
    <e v="#N/A"/>
  </r>
  <r>
    <n v="991"/>
    <s v="64943"/>
    <n v="1"/>
    <s v="164943.991"/>
    <s v="תשלומים על חשבון קרן            "/>
    <m/>
    <m/>
    <n v="180000"/>
    <n v="190000"/>
    <n v="183926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1"/>
    <e v="#N/A"/>
  </r>
  <r>
    <n v="992"/>
    <s v="64943"/>
    <n v="1"/>
    <s v="164943.992"/>
    <s v="תשלומים על חשבון ריבית          "/>
    <m/>
    <m/>
    <n v="40000"/>
    <n v="40000"/>
    <n v="41738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2"/>
    <e v="#N/A"/>
  </r>
  <r>
    <n v="993"/>
    <s v="64943"/>
    <n v="1"/>
    <s v="164943.993"/>
    <s v="הצמדה על הקרן                   "/>
    <m/>
    <m/>
    <n v="10000"/>
    <n v="20000"/>
    <n v="16071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3"/>
    <e v="#N/A"/>
  </r>
  <r>
    <n v="994"/>
    <s v="64943"/>
    <n v="1"/>
    <s v="164943.994"/>
    <s v="הצמדה על הריבית                 "/>
    <m/>
    <m/>
    <n v="10000"/>
    <n v="10000"/>
    <n v="3325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4"/>
    <e v="#N/A"/>
  </r>
  <r>
    <n v="991"/>
    <s v="64944"/>
    <n v="1"/>
    <s v="164944.991"/>
    <s v="תשלומים על חשבון קרן            "/>
    <m/>
    <m/>
    <n v="1070000"/>
    <n v="1090000"/>
    <n v="1121667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1"/>
    <e v="#N/A"/>
  </r>
  <r>
    <n v="992"/>
    <s v="64944"/>
    <n v="1"/>
    <s v="164944.992"/>
    <s v="תשלומים על חשבון ריבית          "/>
    <m/>
    <m/>
    <n v="220000"/>
    <n v="260000"/>
    <n v="264422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2"/>
    <e v="#N/A"/>
  </r>
  <r>
    <n v="993"/>
    <s v="64944"/>
    <n v="1"/>
    <s v="164944.993"/>
    <s v="הצמדה על הקרן                   "/>
    <m/>
    <m/>
    <n v="110000"/>
    <n v="120000"/>
    <n v="136233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3"/>
    <e v="#N/A"/>
  </r>
  <r>
    <n v="994"/>
    <s v="64944"/>
    <n v="1"/>
    <s v="164944.994"/>
    <s v="הצמדה על הריבית                 "/>
    <m/>
    <m/>
    <n v="20000"/>
    <n v="30000"/>
    <n v="30489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4"/>
    <e v="#N/A"/>
  </r>
  <r>
    <n v="991"/>
    <s v="64945"/>
    <n v="1"/>
    <s v="164945.991"/>
    <s v="תשלומים על חשבון קרן            "/>
    <m/>
    <m/>
    <n v="780000"/>
    <n v="780000"/>
    <n v="821109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1"/>
    <e v="#N/A"/>
  </r>
  <r>
    <n v="992"/>
    <s v="64945"/>
    <n v="1"/>
    <s v="164945.992"/>
    <s v="תשלומים על חשבון ריבית          "/>
    <m/>
    <m/>
    <n v="130000"/>
    <n v="160000"/>
    <n v="198841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2"/>
    <e v="#N/A"/>
  </r>
  <r>
    <n v="993"/>
    <s v="64945"/>
    <n v="1"/>
    <s v="164945.993"/>
    <s v="הצמדה על הקרן                   "/>
    <m/>
    <m/>
    <n v="80000"/>
    <n v="90000"/>
    <n v="90666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3"/>
    <e v="#N/A"/>
  </r>
  <r>
    <n v="994"/>
    <s v="64945"/>
    <n v="1"/>
    <s v="164945.994"/>
    <s v="הצמדה על הריבית                 "/>
    <m/>
    <m/>
    <n v="10000"/>
    <n v="20000"/>
    <n v="21634"/>
    <e v="#N/A"/>
    <x v="5"/>
    <s v="הנהלה כללית"/>
    <x v="24"/>
    <s v="פרעון מלוות"/>
    <x v="76"/>
    <s v="פרעון מלוות מוכר"/>
    <s v="6494"/>
    <e v="#N/A"/>
    <m/>
    <s v="9"/>
    <x v="17"/>
    <s v="99"/>
    <e v="#N/A"/>
    <s v="994"/>
    <e v="#N/A"/>
  </r>
  <r>
    <n v="991"/>
    <s v="64951"/>
    <n v="1"/>
    <s v="164951.991"/>
    <s v="תשלומים על חשבון קרן            "/>
    <m/>
    <m/>
    <n v="1220000"/>
    <n v="1210000"/>
    <n v="1244128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1"/>
    <n v="1"/>
    <s v="164951.992"/>
    <s v="תשלומים על חשבון ריבית          "/>
    <m/>
    <m/>
    <n v="160000"/>
    <n v="240000"/>
    <n v="308989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1"/>
    <n v="1"/>
    <s v="164951.993"/>
    <s v="הצמדה על הקרן                   "/>
    <m/>
    <m/>
    <n v="270000"/>
    <n v="280000"/>
    <n v="259149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1"/>
    <n v="1"/>
    <s v="164951.994"/>
    <s v="הצמדה על הריבית                 "/>
    <m/>
    <m/>
    <n v="30000"/>
    <n v="50000"/>
    <n v="62014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991"/>
    <s v="64952"/>
    <n v="1"/>
    <s v="164952.991"/>
    <s v="תשלומים על חשבון קרן            "/>
    <m/>
    <m/>
    <n v="1250000"/>
    <n v="1290000"/>
    <n v="1250345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2"/>
    <n v="1"/>
    <s v="164952.992"/>
    <s v="תשלומים על חשבון ריבית          "/>
    <m/>
    <m/>
    <n v="140000"/>
    <n v="200000"/>
    <n v="261983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2"/>
    <n v="1"/>
    <s v="164952.993"/>
    <s v="הצמדה על הקרן                   "/>
    <m/>
    <m/>
    <n v="320000"/>
    <n v="340000"/>
    <n v="299779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2"/>
    <n v="1"/>
    <s v="164952.994"/>
    <s v="הצמדה על הריבית                 "/>
    <m/>
    <m/>
    <n v="30000"/>
    <n v="50000"/>
    <n v="59763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991"/>
    <s v="64953"/>
    <n v="1"/>
    <s v="164953.991"/>
    <s v="תשלומים על חשבון קרן            "/>
    <m/>
    <m/>
    <n v="470000"/>
    <n v="470000"/>
    <n v="276798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3"/>
    <n v="1"/>
    <s v="164953.992"/>
    <s v="תשלומים על חשבון ריבית          "/>
    <m/>
    <m/>
    <n v="130000"/>
    <n v="140000"/>
    <n v="74733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3"/>
    <n v="1"/>
    <s v="164953.993"/>
    <s v="הצמדה על הקרן                   "/>
    <m/>
    <m/>
    <n v="40000"/>
    <n v="40000"/>
    <n v="38646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3"/>
    <n v="1"/>
    <s v="164953.994"/>
    <s v="הצמדה על הריבית                 "/>
    <m/>
    <m/>
    <n v="10000"/>
    <n v="10000"/>
    <n v="11350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991"/>
    <s v="64954"/>
    <n v="1"/>
    <s v="164954.991"/>
    <s v="תשלומים על חשבון קרן            "/>
    <m/>
    <m/>
    <n v="210000"/>
    <n v="210000"/>
    <n v="768850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4"/>
    <n v="1"/>
    <s v="164954.992"/>
    <s v="תשלומים על חשבון ריבית          "/>
    <m/>
    <m/>
    <n v="60000"/>
    <n v="60000"/>
    <n v="87854"/>
    <e v="#N/A"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4"/>
    <n v="1"/>
    <s v="164954.993"/>
    <s v="הצמדה על הקרן                   "/>
    <m/>
    <m/>
    <n v="20000"/>
    <n v="20000"/>
    <n v="204730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4"/>
    <n v="1"/>
    <s v="164954.994"/>
    <s v="הצמדה על הריבית                 "/>
    <m/>
    <m/>
    <n v="10000"/>
    <n v="10000"/>
    <n v="11663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991"/>
    <s v="64955"/>
    <n v="1"/>
    <s v="164955.991"/>
    <s v="תשלומים על חשבון קרן            "/>
    <m/>
    <m/>
    <n v="10570000"/>
    <n v="3150000"/>
    <n v="3055273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5"/>
    <n v="1"/>
    <s v="164955.992"/>
    <s v="תשלומים על חשבון ריבית          "/>
    <m/>
    <m/>
    <n v="1980000"/>
    <n v="960000"/>
    <n v="727118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5"/>
    <n v="1"/>
    <s v="164955.993"/>
    <s v="הצמדה על הקרן                   "/>
    <m/>
    <m/>
    <n v="220000"/>
    <n v="260000"/>
    <n v="279724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5"/>
    <n v="1"/>
    <s v="164955.994"/>
    <s v="הצמדה על הריבית                 "/>
    <m/>
    <m/>
    <n v="20000"/>
    <n v="40000"/>
    <n v="47845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991"/>
    <s v="64956"/>
    <n v="1"/>
    <s v="164956.991"/>
    <s v="תשלומים על חשבון קרן            "/>
    <m/>
    <m/>
    <n v="19190000"/>
    <n v="19210000"/>
    <n v="15929040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1"/>
    <e v="#N/A"/>
  </r>
  <r>
    <n v="992"/>
    <s v="64956"/>
    <n v="1"/>
    <s v="164956.992"/>
    <s v="תשלומים על חשבון ריבית          "/>
    <m/>
    <m/>
    <n v="4770000"/>
    <n v="5350000"/>
    <n v="4165989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2"/>
    <e v="#N/A"/>
  </r>
  <r>
    <n v="993"/>
    <s v="64956"/>
    <n v="1"/>
    <s v="164956.993"/>
    <s v="הצמדה על הקרן                   "/>
    <m/>
    <m/>
    <n v="1310000"/>
    <n v="1470000"/>
    <n v="1297331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3"/>
    <e v="#N/A"/>
  </r>
  <r>
    <n v="994"/>
    <s v="64956"/>
    <n v="1"/>
    <s v="164956.994"/>
    <s v="הצמדה על הריבית                 "/>
    <m/>
    <m/>
    <n v="240000"/>
    <n v="330000"/>
    <n v="355518"/>
    <m/>
    <x v="5"/>
    <s v="הנהלה כללית"/>
    <x v="24"/>
    <s v="פרעון מלוות"/>
    <x v="76"/>
    <s v="פרעון מלוות מוכר"/>
    <s v="6495"/>
    <e v="#N/A"/>
    <m/>
    <s v="9"/>
    <x v="17"/>
    <s v="99"/>
    <e v="#N/A"/>
    <s v="994"/>
    <e v="#N/A"/>
  </r>
  <r>
    <n v="110"/>
    <s v="71110"/>
    <n v="1"/>
    <s v="171110.110"/>
    <s v="משכורת כוללת                    "/>
    <m/>
    <m/>
    <n v="1278000"/>
    <n v="1254000"/>
    <n v="1234665"/>
    <m/>
    <x v="6"/>
    <s v="שירותים מקומיים"/>
    <x v="25"/>
    <s v="תברואה"/>
    <x v="77"/>
    <s v="מינהל תברואה"/>
    <s v="7111"/>
    <e v="#N/A"/>
    <m/>
    <s v="1"/>
    <x v="9"/>
    <s v="11"/>
    <s v="השכר הקובע"/>
    <s v="110"/>
    <e v="#N/A"/>
  </r>
  <r>
    <n v="124"/>
    <s v="71110"/>
    <n v="1"/>
    <s v="171110.124"/>
    <s v="החזר הוצאות                     "/>
    <m/>
    <m/>
    <n v="36000"/>
    <n v="31000"/>
    <n v="32210"/>
    <m/>
    <x v="6"/>
    <s v="שירותים מקומיים"/>
    <x v="25"/>
    <s v="תברואה"/>
    <x v="77"/>
    <s v="מינהל תברואה"/>
    <s v="7111"/>
    <e v="#N/A"/>
    <m/>
    <s v="1"/>
    <x v="9"/>
    <s v="12"/>
    <s v="תוספות שאינן נכללות בשכר הקובע"/>
    <s v="124"/>
    <e v="#N/A"/>
  </r>
  <r>
    <n v="126"/>
    <s v="71110"/>
    <n v="1"/>
    <s v="171110.126"/>
    <s v="הבראה                           "/>
    <m/>
    <m/>
    <n v="40000"/>
    <n v="47000"/>
    <n v="46116"/>
    <m/>
    <x v="6"/>
    <s v="שירותים מקומיים"/>
    <x v="25"/>
    <s v="תברואה"/>
    <x v="77"/>
    <s v="מינהל תברואה"/>
    <s v="7111"/>
    <e v="#N/A"/>
    <m/>
    <s v="1"/>
    <x v="9"/>
    <s v="12"/>
    <s v="תוספות שאינן נכללות בשכר הקובע"/>
    <s v="126"/>
    <e v="#N/A"/>
  </r>
  <r>
    <n v="127"/>
    <s v="71110"/>
    <n v="1"/>
    <s v="171110.127"/>
    <s v="השתתפות באחזקת רכב- 4           "/>
    <m/>
    <m/>
    <n v="136000"/>
    <n v="114000"/>
    <n v="121696"/>
    <m/>
    <x v="6"/>
    <s v="שירותים מקומיים"/>
    <x v="25"/>
    <s v="תברואה"/>
    <x v="77"/>
    <s v="מינהל תברואה"/>
    <s v="7111"/>
    <e v="#N/A"/>
    <m/>
    <s v="1"/>
    <x v="9"/>
    <s v="12"/>
    <s v="תוספות שאינן נכללות בשכר הקובע"/>
    <s v="127"/>
    <e v="#N/A"/>
  </r>
  <r>
    <n v="130"/>
    <s v="71110"/>
    <n v="1"/>
    <s v="171110.130"/>
    <s v="תשלומים  מיוחדים                "/>
    <m/>
    <m/>
    <n v="797000"/>
    <n v="776000"/>
    <n v="788870"/>
    <m/>
    <x v="6"/>
    <s v="שירותים מקומיים"/>
    <x v="25"/>
    <s v="תברואה"/>
    <x v="77"/>
    <s v="מינהל תברואה"/>
    <s v="7111"/>
    <e v="#N/A"/>
    <m/>
    <s v="1"/>
    <x v="9"/>
    <s v="13"/>
    <s v="שעות נוספות"/>
    <s v="130"/>
    <e v="#N/A"/>
  </r>
  <r>
    <n v="181"/>
    <s v="71110"/>
    <n v="1"/>
    <s v="171110.181"/>
    <s v="מיסים וביטוח לאומי              "/>
    <m/>
    <m/>
    <n v="299000"/>
    <n v="290000"/>
    <n v="323524"/>
    <m/>
    <x v="6"/>
    <s v="שירותים מקומיים"/>
    <x v="25"/>
    <s v="תברואה"/>
    <x v="77"/>
    <s v="מינהל תברואה"/>
    <s v="7111"/>
    <e v="#N/A"/>
    <m/>
    <s v="1"/>
    <x v="9"/>
    <s v="18"/>
    <s v="נלוות לשכר"/>
    <s v="181"/>
    <s v="הפרשות סוציאליות"/>
  </r>
  <r>
    <n v="182"/>
    <s v="71110"/>
    <n v="1"/>
    <s v="171110.182"/>
    <s v="קופות גמל והשתלמות              "/>
    <m/>
    <m/>
    <n v="281000"/>
    <n v="279000"/>
    <n v="266879"/>
    <m/>
    <x v="6"/>
    <s v="שירותים מקומיים"/>
    <x v="25"/>
    <s v="תברואה"/>
    <x v="77"/>
    <s v="מינהל תברואה"/>
    <s v="7111"/>
    <e v="#N/A"/>
    <m/>
    <s v="1"/>
    <x v="9"/>
    <s v="18"/>
    <s v="נלוות לשכר"/>
    <s v="182"/>
    <s v="מיסיום ועלויות"/>
  </r>
  <r>
    <n v="531"/>
    <s v="71110"/>
    <n v="1"/>
    <s v="171110.531"/>
    <s v="אחזקת רכב                       "/>
    <m/>
    <m/>
    <n v="5000"/>
    <n v="5000"/>
    <n v="3473"/>
    <m/>
    <x v="6"/>
    <s v="שירותים מקומיים"/>
    <x v="25"/>
    <s v="תברואה"/>
    <x v="77"/>
    <s v="מינהל תברואה"/>
    <s v="7111"/>
    <e v="#N/A"/>
    <m/>
    <s v="5"/>
    <x v="11"/>
    <s v="53"/>
    <s v="הוצאות רכב מינהלי"/>
    <s v="531"/>
    <s v="דלק ושמנים"/>
  </r>
  <r>
    <n v="533"/>
    <s v="71110"/>
    <n v="1"/>
    <s v="171110.533"/>
    <s v="שכירת רכב                       "/>
    <m/>
    <m/>
    <n v="40000"/>
    <n v="40000"/>
    <n v="35926"/>
    <m/>
    <x v="6"/>
    <s v="שירותים מקומיים"/>
    <x v="25"/>
    <s v="תברואה"/>
    <x v="77"/>
    <s v="מינהל תברואה"/>
    <s v="7111"/>
    <e v="#N/A"/>
    <m/>
    <s v="5"/>
    <x v="11"/>
    <s v="53"/>
    <s v="הוצאות רכב מינהלי"/>
    <s v="533"/>
    <s v="רישוי וביטוח"/>
  </r>
  <r>
    <n v="534"/>
    <s v="71110"/>
    <n v="1"/>
    <s v="171110.534"/>
    <s v="דלק ושמן                        "/>
    <m/>
    <m/>
    <n v="25000"/>
    <n v="25000"/>
    <n v="21961"/>
    <m/>
    <x v="6"/>
    <s v="שירותים מקומיים"/>
    <x v="25"/>
    <s v="תברואה"/>
    <x v="77"/>
    <s v="מינהל תברואה"/>
    <s v="7111"/>
    <e v="#N/A"/>
    <m/>
    <s v="5"/>
    <x v="11"/>
    <s v="53"/>
    <s v="הוצאות רכב מינהלי"/>
    <s v="534"/>
    <e v="#N/A"/>
  </r>
  <r>
    <n v="110"/>
    <s v="71120"/>
    <n v="1"/>
    <s v="171120.110"/>
    <s v="משכורת כוללת                    "/>
    <m/>
    <m/>
    <n v="1557000"/>
    <n v="1524000"/>
    <n v="1465648"/>
    <m/>
    <x v="6"/>
    <s v="שירותים מקומיים"/>
    <x v="25"/>
    <s v="תברואה"/>
    <x v="77"/>
    <s v="מינהל תברואה"/>
    <s v="7112"/>
    <e v="#N/A"/>
    <m/>
    <s v="1"/>
    <x v="9"/>
    <s v="11"/>
    <s v="השכר הקובע"/>
    <s v="110"/>
    <e v="#N/A"/>
  </r>
  <r>
    <n v="124"/>
    <s v="71120"/>
    <n v="1"/>
    <s v="171120.124"/>
    <s v="החזר הוצאות                     "/>
    <m/>
    <m/>
    <n v="116000"/>
    <n v="114000"/>
    <n v="112168"/>
    <m/>
    <x v="6"/>
    <s v="שירותים מקומיים"/>
    <x v="25"/>
    <s v="תברואה"/>
    <x v="77"/>
    <s v="מינהל תברואה"/>
    <s v="7112"/>
    <e v="#N/A"/>
    <m/>
    <s v="1"/>
    <x v="9"/>
    <s v="12"/>
    <s v="תוספות שאינן נכללות בשכר הקובע"/>
    <s v="124"/>
    <e v="#N/A"/>
  </r>
  <r>
    <n v="126"/>
    <s v="71120"/>
    <n v="1"/>
    <s v="171120.126"/>
    <s v="הבראה                           "/>
    <m/>
    <m/>
    <n v="87000"/>
    <n v="89000"/>
    <n v="87527"/>
    <m/>
    <x v="6"/>
    <s v="שירותים מקומיים"/>
    <x v="25"/>
    <s v="תברואה"/>
    <x v="77"/>
    <s v="מינהל תברואה"/>
    <s v="7112"/>
    <e v="#N/A"/>
    <m/>
    <s v="1"/>
    <x v="9"/>
    <s v="12"/>
    <s v="תוספות שאינן נכללות בשכר הקובע"/>
    <s v="126"/>
    <e v="#N/A"/>
  </r>
  <r>
    <n v="127"/>
    <s v="71120"/>
    <n v="1"/>
    <s v="171120.127"/>
    <s v="השתתפות באחזקת רכב-15           "/>
    <m/>
    <m/>
    <n v="399000"/>
    <n v="371000"/>
    <n v="356423"/>
    <m/>
    <x v="6"/>
    <s v="שירותים מקומיים"/>
    <x v="25"/>
    <s v="תברואה"/>
    <x v="77"/>
    <s v="מינהל תברואה"/>
    <s v="7112"/>
    <e v="#N/A"/>
    <m/>
    <s v="1"/>
    <x v="9"/>
    <s v="12"/>
    <s v="תוספות שאינן נכללות בשכר הקובע"/>
    <s v="127"/>
    <e v="#N/A"/>
  </r>
  <r>
    <n v="130"/>
    <s v="71120"/>
    <n v="1"/>
    <s v="171120.130"/>
    <s v="תשלומים מיוחדים                 "/>
    <m/>
    <m/>
    <n v="453000"/>
    <n v="456000"/>
    <n v="443587"/>
    <m/>
    <x v="6"/>
    <s v="שירותים מקומיים"/>
    <x v="25"/>
    <s v="תברואה"/>
    <x v="77"/>
    <s v="מינהל תברואה"/>
    <s v="7112"/>
    <e v="#N/A"/>
    <m/>
    <s v="1"/>
    <x v="9"/>
    <s v="13"/>
    <s v="שעות נוספות"/>
    <s v="130"/>
    <e v="#N/A"/>
  </r>
  <r>
    <n v="181"/>
    <s v="71120"/>
    <n v="1"/>
    <s v="171120.181"/>
    <s v="מיסים וביטוח לאומי              "/>
    <m/>
    <m/>
    <n v="537000"/>
    <n v="525000"/>
    <n v="331827"/>
    <m/>
    <x v="6"/>
    <s v="שירותים מקומיים"/>
    <x v="25"/>
    <s v="תברואה"/>
    <x v="77"/>
    <s v="מינהל תברואה"/>
    <s v="7112"/>
    <e v="#N/A"/>
    <m/>
    <s v="1"/>
    <x v="9"/>
    <s v="18"/>
    <s v="נלוות לשכר"/>
    <s v="181"/>
    <s v="הפרשות סוציאליות"/>
  </r>
  <r>
    <n v="182"/>
    <s v="71120"/>
    <n v="1"/>
    <s v="171120.182"/>
    <s v="קופות גמל והשתלמות              "/>
    <m/>
    <m/>
    <n v="289000"/>
    <n v="275000"/>
    <n v="259188"/>
    <m/>
    <x v="6"/>
    <s v="שירותים מקומיים"/>
    <x v="25"/>
    <s v="תברואה"/>
    <x v="77"/>
    <s v="מינהל תברואה"/>
    <s v="7112"/>
    <e v="#N/A"/>
    <m/>
    <s v="1"/>
    <x v="9"/>
    <s v="18"/>
    <s v="נלוות לשכר"/>
    <s v="182"/>
    <s v="מיסיום ועלויות"/>
  </r>
  <r>
    <n v="310"/>
    <s v="71120"/>
    <n v="1"/>
    <s v="171120.310"/>
    <s v="שעות נוספות רשומות              "/>
    <m/>
    <m/>
    <n v="1395000"/>
    <n v="1368000"/>
    <n v="2519906"/>
    <m/>
    <x v="6"/>
    <s v="שירותים מקומיים"/>
    <x v="25"/>
    <s v="תברואה"/>
    <x v="77"/>
    <s v="מינהל תברואה"/>
    <s v="7112"/>
    <e v="#N/A"/>
    <m/>
    <s v="3"/>
    <x v="14"/>
    <s v="31"/>
    <s v="פנסיה"/>
    <s v="310"/>
    <e v="#N/A"/>
  </r>
  <r>
    <n v="340"/>
    <s v="71120"/>
    <n v="1"/>
    <s v="171120.340"/>
    <s v="שעות נוספות מיוחדות             "/>
    <m/>
    <m/>
    <n v="96000"/>
    <n v="94000"/>
    <n v="56894"/>
    <m/>
    <x v="6"/>
    <s v="שירותים מקומיים"/>
    <x v="25"/>
    <s v="תברואה"/>
    <x v="77"/>
    <s v="מינהל תברואה"/>
    <s v="7112"/>
    <e v="#N/A"/>
    <m/>
    <s v="3"/>
    <x v="14"/>
    <s v="34"/>
    <e v="#N/A"/>
    <s v="340"/>
    <e v="#N/A"/>
  </r>
  <r>
    <n v="411"/>
    <s v="71120"/>
    <n v="1"/>
    <s v="171120.411"/>
    <s v="שכר דירה ודמי חכירה             "/>
    <m/>
    <m/>
    <n v="675000"/>
    <n v="655000"/>
    <n v="633973"/>
    <m/>
    <x v="6"/>
    <s v="שירותים מקומיים"/>
    <x v="25"/>
    <s v="תברואה"/>
    <x v="77"/>
    <s v="מינהל תברואה"/>
    <s v="7112"/>
    <e v="#N/A"/>
    <m/>
    <s v="4"/>
    <x v="15"/>
    <s v="41"/>
    <s v="שכר דירה ודמי חכירה"/>
    <s v="411"/>
    <e v="#N/A"/>
  </r>
  <r>
    <n v="412"/>
    <s v="71120"/>
    <n v="1"/>
    <s v="171120.412"/>
    <s v="מיסים ואגרות                    "/>
    <m/>
    <m/>
    <n v="3000"/>
    <n v="3000"/>
    <n v="0"/>
    <m/>
    <x v="6"/>
    <s v="שירותים מקומיים"/>
    <x v="25"/>
    <s v="תברואה"/>
    <x v="77"/>
    <s v="מינהל תברואה"/>
    <s v="7112"/>
    <e v="#N/A"/>
    <m/>
    <s v="4"/>
    <x v="15"/>
    <s v="41"/>
    <s v="שכר דירה ודמי חכירה"/>
    <s v="412"/>
    <e v="#N/A"/>
  </r>
  <r>
    <n v="431"/>
    <s v="71120"/>
    <n v="1"/>
    <s v="171120.431"/>
    <s v="מים                             "/>
    <m/>
    <m/>
    <n v="162000"/>
    <n v="195000"/>
    <n v="195000"/>
    <m/>
    <x v="6"/>
    <s v="שירותים מקומיים"/>
    <x v="25"/>
    <s v="תברואה"/>
    <x v="77"/>
    <s v="מינהל תברואה"/>
    <s v="7112"/>
    <e v="#N/A"/>
    <m/>
    <s v="4"/>
    <x v="15"/>
    <s v="43"/>
    <s v="חשמל, מים וחומרי ניקיון"/>
    <s v="431"/>
    <s v="חשמל"/>
  </r>
  <r>
    <n v="433"/>
    <s v="71120"/>
    <n v="1"/>
    <s v="171120.433"/>
    <s v="בטוח                            "/>
    <m/>
    <m/>
    <n v="146000"/>
    <n v="146000"/>
    <n v="127000"/>
    <m/>
    <x v="6"/>
    <s v="שירותים מקומיים"/>
    <x v="25"/>
    <s v="תברואה"/>
    <x v="77"/>
    <s v="מינהל תברואה"/>
    <s v="7112"/>
    <e v="#N/A"/>
    <m/>
    <s v="4"/>
    <x v="15"/>
    <s v="43"/>
    <s v="חשמל, מים וחומרי ניקיון"/>
    <s v="433"/>
    <s v="חומרי ניקיון"/>
  </r>
  <r>
    <n v="435"/>
    <s v="71120"/>
    <n v="1"/>
    <s v="171120.435"/>
    <s v="חשמל ואנרגיה                    "/>
    <m/>
    <m/>
    <n v="690000"/>
    <n v="805000"/>
    <n v="597301"/>
    <m/>
    <x v="6"/>
    <s v="שירותים מקומיים"/>
    <x v="25"/>
    <s v="תברואה"/>
    <x v="77"/>
    <s v="מינהל תברואה"/>
    <s v="7112"/>
    <e v="#N/A"/>
    <m/>
    <s v="4"/>
    <x v="15"/>
    <s v="43"/>
    <s v="חשמל, מים וחומרי ניקיון"/>
    <s v="435"/>
    <e v="#N/A"/>
  </r>
  <r>
    <n v="437"/>
    <s v="71120"/>
    <n v="1"/>
    <s v="171120.437"/>
    <s v="שמירה                           "/>
    <m/>
    <m/>
    <n v="1868000"/>
    <n v="1700000"/>
    <n v="1700000"/>
    <m/>
    <x v="6"/>
    <s v="שירותים מקומיים"/>
    <x v="25"/>
    <s v="תברואה"/>
    <x v="77"/>
    <s v="מינהל תברואה"/>
    <s v="7112"/>
    <e v="#N/A"/>
    <m/>
    <s v="4"/>
    <x v="15"/>
    <s v="43"/>
    <s v="חשמל, מים וחומרי ניקיון"/>
    <s v="437"/>
    <e v="#N/A"/>
  </r>
  <r>
    <n v="439"/>
    <s v="71120"/>
    <n v="1"/>
    <s v="171120.439"/>
    <s v="אחזקת בניני העיריה-השתתפות      "/>
    <m/>
    <m/>
    <n v="435000"/>
    <n v="475000"/>
    <n v="430000"/>
    <m/>
    <x v="6"/>
    <s v="שירותים מקומיים"/>
    <x v="25"/>
    <s v="תברואה"/>
    <x v="77"/>
    <s v="מינהל תברואה"/>
    <s v="7112"/>
    <e v="#N/A"/>
    <m/>
    <s v="4"/>
    <x v="15"/>
    <s v="43"/>
    <s v="חשמל, מים וחומרי ניקיון"/>
    <s v="439"/>
    <e v="#N/A"/>
  </r>
  <r>
    <n v="461"/>
    <s v="71120"/>
    <n v="1"/>
    <s v="171120.461"/>
    <s v="צורכי משרד                      "/>
    <m/>
    <m/>
    <n v="211000"/>
    <n v="240000"/>
    <n v="239377"/>
    <m/>
    <x v="6"/>
    <s v="שירותים מקומיים"/>
    <x v="25"/>
    <s v="תברואה"/>
    <x v="77"/>
    <s v="מינהל תברואה"/>
    <s v="7112"/>
    <e v="#N/A"/>
    <m/>
    <s v="4"/>
    <x v="15"/>
    <s v="46"/>
    <e v="#N/A"/>
    <s v="461"/>
    <e v="#N/A"/>
  </r>
  <r>
    <n v="462"/>
    <s v="71120"/>
    <n v="1"/>
    <s v="171120.462"/>
    <s v="ספרים ועתונים                   "/>
    <m/>
    <m/>
    <n v="5000"/>
    <n v="5000"/>
    <n v="2085"/>
    <m/>
    <x v="6"/>
    <s v="שירותים מקומיים"/>
    <x v="25"/>
    <s v="תברואה"/>
    <x v="77"/>
    <s v="מינהל תברואה"/>
    <s v="7112"/>
    <e v="#N/A"/>
    <m/>
    <s v="4"/>
    <x v="15"/>
    <s v="46"/>
    <e v="#N/A"/>
    <s v="462"/>
    <e v="#N/A"/>
  </r>
  <r>
    <n v="464"/>
    <s v="71120"/>
    <n v="1"/>
    <s v="171120.464"/>
    <s v="דאר                             "/>
    <m/>
    <m/>
    <n v="145000"/>
    <n v="145000"/>
    <n v="147233"/>
    <m/>
    <x v="6"/>
    <s v="שירותים מקומיים"/>
    <x v="25"/>
    <s v="תברואה"/>
    <x v="77"/>
    <s v="מינהל תברואה"/>
    <s v="7112"/>
    <e v="#N/A"/>
    <m/>
    <s v="4"/>
    <x v="15"/>
    <s v="46"/>
    <e v="#N/A"/>
    <s v="464"/>
    <e v="#N/A"/>
  </r>
  <r>
    <n v="510"/>
    <s v="71120"/>
    <n v="1"/>
    <s v="171120.510"/>
    <s v="נסיעות ואש ל                    "/>
    <m/>
    <m/>
    <n v="4000"/>
    <n v="4000"/>
    <n v="1546"/>
    <m/>
    <x v="6"/>
    <s v="שירותים מקומיים"/>
    <x v="25"/>
    <s v="תברואה"/>
    <x v="77"/>
    <s v="מינהל תברואה"/>
    <s v="7112"/>
    <e v="#N/A"/>
    <m/>
    <s v="5"/>
    <x v="11"/>
    <s v="51"/>
    <s v="אש&quot;ל וכיבודים"/>
    <s v="510"/>
    <e v="#N/A"/>
  </r>
  <r>
    <n v="521"/>
    <s v="71120"/>
    <n v="1"/>
    <s v="171120.521"/>
    <s v="הדרכה וכנסים                    "/>
    <m/>
    <m/>
    <n v="150000"/>
    <n v="150000"/>
    <n v="146471"/>
    <m/>
    <x v="6"/>
    <s v="שירותים מקומיים"/>
    <x v="25"/>
    <s v="תברואה"/>
    <x v="77"/>
    <s v="מינהל תברואה"/>
    <s v="7112"/>
    <e v="#N/A"/>
    <m/>
    <s v="5"/>
    <x v="11"/>
    <s v="52"/>
    <s v="השתלמויות וספרות מקצועית"/>
    <s v="521"/>
    <s v="השתלמויות וספרות מקצועית"/>
  </r>
  <r>
    <n v="522"/>
    <s v="71120"/>
    <n v="1"/>
    <s v="171120.522"/>
    <s v="גיבוש יחידתי                    "/>
    <m/>
    <m/>
    <n v="136000"/>
    <n v="136000"/>
    <n v="123991"/>
    <m/>
    <x v="6"/>
    <s v="שירותים מקומיים"/>
    <x v="25"/>
    <s v="תברואה"/>
    <x v="77"/>
    <s v="מינהל תברואה"/>
    <s v="7112"/>
    <e v="#N/A"/>
    <m/>
    <s v="5"/>
    <x v="11"/>
    <s v="52"/>
    <s v="השתלמויות וספרות מקצועית"/>
    <s v="522"/>
    <s v="ספרות מקצועית ועיתונות"/>
  </r>
  <r>
    <n v="541"/>
    <s v="71120"/>
    <n v="1"/>
    <s v="171120.541"/>
    <s v="החזקת מכשירי קשר וסלולר         "/>
    <m/>
    <m/>
    <n v="325000"/>
    <n v="358000"/>
    <n v="403361"/>
    <m/>
    <x v="6"/>
    <s v="שירותים מקומיים"/>
    <x v="25"/>
    <s v="תברואה"/>
    <x v="77"/>
    <s v="מינהל תברואה"/>
    <s v="7112"/>
    <e v="#N/A"/>
    <m/>
    <s v="5"/>
    <x v="11"/>
    <s v="54"/>
    <s v="הוצאות תקשורת"/>
    <s v="541"/>
    <e v="#N/A"/>
  </r>
  <r>
    <n v="610"/>
    <s v="71120"/>
    <n v="1"/>
    <s v="171120.610"/>
    <s v="כיבודים                         "/>
    <m/>
    <m/>
    <n v="105000"/>
    <n v="105000"/>
    <n v="100219"/>
    <m/>
    <x v="6"/>
    <s v="שירותים מקומיים"/>
    <x v="25"/>
    <s v="תברואה"/>
    <x v="77"/>
    <s v="מינהל תברואה"/>
    <s v="7112"/>
    <e v="#N/A"/>
    <m/>
    <s v="6"/>
    <x v="12"/>
    <s v="61"/>
    <s v="עמלות"/>
    <s v="610"/>
    <e v="#N/A"/>
  </r>
  <r>
    <n v="670"/>
    <s v="71120"/>
    <n v="1"/>
    <s v="171120.670"/>
    <s v="סעיף שאינו חוזר                 "/>
    <m/>
    <m/>
    <n v="0"/>
    <n v="286000"/>
    <n v="258346"/>
    <m/>
    <x v="6"/>
    <s v="שירותים מקומיים"/>
    <x v="25"/>
    <s v="תברואה"/>
    <x v="77"/>
    <s v="מינהל תברואה"/>
    <s v="7112"/>
    <e v="#N/A"/>
    <m/>
    <s v="6"/>
    <x v="12"/>
    <s v="67"/>
    <e v="#N/A"/>
    <s v="670"/>
    <e v="#N/A"/>
  </r>
  <r>
    <n v="681"/>
    <s v="71120"/>
    <n v="1"/>
    <s v="171120.681"/>
    <s v="הוצאות שונות                    "/>
    <m/>
    <m/>
    <n v="30000"/>
    <n v="30000"/>
    <n v="28225"/>
    <m/>
    <x v="6"/>
    <s v="שירותים מקומיים"/>
    <x v="25"/>
    <s v="תברואה"/>
    <x v="77"/>
    <s v="מינהל תברואה"/>
    <s v="7112"/>
    <e v="#N/A"/>
    <m/>
    <s v="6"/>
    <x v="12"/>
    <s v="68"/>
    <s v="ריבית על הוצאות אחרות"/>
    <s v="681"/>
    <e v="#N/A"/>
  </r>
  <r>
    <n v="683"/>
    <s v="71120"/>
    <n v="1"/>
    <s v="171120.683"/>
    <s v="החזר קנסות                      "/>
    <m/>
    <m/>
    <n v="5000"/>
    <n v="5000"/>
    <n v="0"/>
    <m/>
    <x v="6"/>
    <s v="שירותים מקומיים"/>
    <x v="25"/>
    <s v="תברואה"/>
    <x v="77"/>
    <s v="מינהל תברואה"/>
    <s v="7112"/>
    <e v="#N/A"/>
    <m/>
    <s v="6"/>
    <x v="12"/>
    <s v="68"/>
    <s v="ריבית על הוצאות אחרות"/>
    <s v="683"/>
    <e v="#N/A"/>
  </r>
  <r>
    <n v="691"/>
    <s v="71120"/>
    <n v="1"/>
    <s v="171120.691"/>
    <s v="מערכות מידע ומחשוב              "/>
    <m/>
    <m/>
    <n v="1900000"/>
    <n v="1700000"/>
    <n v="1505820"/>
    <m/>
    <x v="6"/>
    <s v="שירותים מקומיים"/>
    <x v="25"/>
    <s v="תברואה"/>
    <x v="77"/>
    <s v="מינהל תברואה"/>
    <s v="7112"/>
    <e v="#N/A"/>
    <m/>
    <s v="6"/>
    <x v="12"/>
    <s v="69"/>
    <s v="שונות"/>
    <s v="691"/>
    <s v="תשלום ע&quot;ח קרן"/>
  </r>
  <r>
    <n v="693"/>
    <s v="71120"/>
    <n v="1"/>
    <s v="171120.693"/>
    <s v="מיחשוב יחידתי                   "/>
    <m/>
    <m/>
    <n v="100000"/>
    <n v="100000"/>
    <n v="110107"/>
    <m/>
    <x v="6"/>
    <s v="שירותים מקומיים"/>
    <x v="25"/>
    <s v="תברואה"/>
    <x v="77"/>
    <s v="מינהל תברואה"/>
    <s v="7112"/>
    <e v="#N/A"/>
    <m/>
    <s v="6"/>
    <x v="12"/>
    <s v="69"/>
    <s v="שונות"/>
    <s v="693"/>
    <s v="תשלום ע&quot;ח הצמדת ערך"/>
  </r>
  <r>
    <n v="784"/>
    <s v="71120"/>
    <n v="1"/>
    <s v="171120.784"/>
    <s v="דמי חבר ורשיונות                "/>
    <m/>
    <m/>
    <n v="4000"/>
    <n v="4000"/>
    <n v="3759"/>
    <m/>
    <x v="6"/>
    <s v="שירותים מקומיים"/>
    <x v="25"/>
    <s v="תברואה"/>
    <x v="77"/>
    <s v="מינהל תברואה"/>
    <s v="7112"/>
    <e v="#N/A"/>
    <m/>
    <s v="7"/>
    <x v="13"/>
    <s v="78"/>
    <s v="הוצאות שונות"/>
    <s v="784"/>
    <e v="#N/A"/>
  </r>
  <r>
    <n v="110"/>
    <s v="71130"/>
    <n v="1"/>
    <s v="171130.110"/>
    <s v="משכורת כוללת                    "/>
    <m/>
    <m/>
    <n v="473000"/>
    <n v="485000"/>
    <n v="460185"/>
    <m/>
    <x v="6"/>
    <s v="שירותים מקומיים"/>
    <x v="25"/>
    <s v="תברואה"/>
    <x v="77"/>
    <s v="מינהל תברואה"/>
    <s v="7113"/>
    <e v="#N/A"/>
    <m/>
    <s v="1"/>
    <x v="9"/>
    <s v="11"/>
    <s v="השכר הקובע"/>
    <s v="110"/>
    <e v="#N/A"/>
  </r>
  <r>
    <n v="124"/>
    <s v="71130"/>
    <n v="1"/>
    <s v="171130.124"/>
    <s v="החזר הוצאות                     "/>
    <m/>
    <m/>
    <n v="18000"/>
    <n v="22000"/>
    <n v="20706"/>
    <m/>
    <x v="6"/>
    <s v="שירותים מקומיים"/>
    <x v="25"/>
    <s v="תברואה"/>
    <x v="77"/>
    <s v="מינהל תברואה"/>
    <s v="7113"/>
    <e v="#N/A"/>
    <m/>
    <s v="1"/>
    <x v="9"/>
    <s v="12"/>
    <s v="תוספות שאינן נכללות בשכר הקובע"/>
    <s v="124"/>
    <e v="#N/A"/>
  </r>
  <r>
    <n v="126"/>
    <s v="71130"/>
    <n v="1"/>
    <s v="171130.126"/>
    <s v="הבראה                           "/>
    <m/>
    <m/>
    <n v="26000"/>
    <n v="28000"/>
    <n v="27250"/>
    <m/>
    <x v="6"/>
    <s v="שירותים מקומיים"/>
    <x v="25"/>
    <s v="תברואה"/>
    <x v="77"/>
    <s v="מינהל תברואה"/>
    <s v="7113"/>
    <e v="#N/A"/>
    <m/>
    <s v="1"/>
    <x v="9"/>
    <s v="12"/>
    <s v="תוספות שאינן נכללות בשכר הקובע"/>
    <s v="126"/>
    <e v="#N/A"/>
  </r>
  <r>
    <n v="127"/>
    <s v="71130"/>
    <n v="1"/>
    <s v="171130.127"/>
    <s v="השתתפות באחזקת רכב - 4          "/>
    <m/>
    <m/>
    <n v="126000"/>
    <n v="126000"/>
    <n v="118004"/>
    <m/>
    <x v="6"/>
    <s v="שירותים מקומיים"/>
    <x v="25"/>
    <s v="תברואה"/>
    <x v="77"/>
    <s v="מינהל תברואה"/>
    <s v="7113"/>
    <e v="#N/A"/>
    <m/>
    <s v="1"/>
    <x v="9"/>
    <s v="12"/>
    <s v="תוספות שאינן נכללות בשכר הקובע"/>
    <s v="127"/>
    <e v="#N/A"/>
  </r>
  <r>
    <n v="130"/>
    <s v="71130"/>
    <n v="1"/>
    <s v="171130.130"/>
    <s v="תשלומים מיוחדים                 "/>
    <m/>
    <m/>
    <n v="374000"/>
    <n v="377000"/>
    <n v="366331"/>
    <m/>
    <x v="6"/>
    <s v="שירותים מקומיים"/>
    <x v="25"/>
    <s v="תברואה"/>
    <x v="77"/>
    <s v="מינהל תברואה"/>
    <s v="7113"/>
    <e v="#N/A"/>
    <m/>
    <s v="1"/>
    <x v="9"/>
    <s v="13"/>
    <s v="שעות נוספות"/>
    <s v="130"/>
    <e v="#N/A"/>
  </r>
  <r>
    <n v="181"/>
    <s v="71130"/>
    <n v="1"/>
    <s v="171130.181"/>
    <s v="מיסים וביטוח לאומי              "/>
    <m/>
    <m/>
    <n v="133000"/>
    <n v="136000"/>
    <n v="144023"/>
    <m/>
    <x v="6"/>
    <s v="שירותים מקומיים"/>
    <x v="25"/>
    <s v="תברואה"/>
    <x v="77"/>
    <s v="מינהל תברואה"/>
    <s v="7113"/>
    <e v="#N/A"/>
    <m/>
    <s v="1"/>
    <x v="9"/>
    <s v="18"/>
    <s v="נלוות לשכר"/>
    <s v="181"/>
    <s v="הפרשות סוציאליות"/>
  </r>
  <r>
    <n v="182"/>
    <s v="71130"/>
    <n v="1"/>
    <s v="171130.182"/>
    <s v="קופות גמל והשתלמות              "/>
    <m/>
    <m/>
    <n v="112000"/>
    <n v="122000"/>
    <n v="109370"/>
    <m/>
    <x v="6"/>
    <s v="שירותים מקומיים"/>
    <x v="25"/>
    <s v="תברואה"/>
    <x v="77"/>
    <s v="מינהל תברואה"/>
    <s v="7113"/>
    <e v="#N/A"/>
    <m/>
    <s v="1"/>
    <x v="9"/>
    <s v="18"/>
    <s v="נלוות לשכר"/>
    <s v="182"/>
    <s v="מיסיום ועלויות"/>
  </r>
  <r>
    <n v="781"/>
    <s v="71130"/>
    <n v="1"/>
    <s v="171130.781"/>
    <s v="פעולות ניקיון מיוחדות           "/>
    <m/>
    <m/>
    <n v="30000"/>
    <n v="30000"/>
    <n v="13216"/>
    <m/>
    <x v="6"/>
    <s v="שירותים מקומיים"/>
    <x v="25"/>
    <s v="תברואה"/>
    <x v="77"/>
    <s v="מינהל תברואה"/>
    <s v="7113"/>
    <e v="#N/A"/>
    <m/>
    <s v="7"/>
    <x v="13"/>
    <s v="78"/>
    <s v="הוצאות שונות"/>
    <s v="781"/>
    <e v="#N/A"/>
  </r>
  <r>
    <n v="110"/>
    <s v="71140"/>
    <n v="1"/>
    <s v="171140.110"/>
    <s v="משכורת כוללת                    "/>
    <m/>
    <m/>
    <n v="2166000"/>
    <n v="2117000"/>
    <n v="2050220"/>
    <m/>
    <x v="6"/>
    <s v="שירותים מקומיים"/>
    <x v="25"/>
    <s v="תברואה"/>
    <x v="77"/>
    <s v="מינהל תברואה"/>
    <s v="7114"/>
    <e v="#N/A"/>
    <m/>
    <s v="1"/>
    <x v="9"/>
    <s v="11"/>
    <s v="השכר הקובע"/>
    <s v="110"/>
    <e v="#N/A"/>
  </r>
  <r>
    <n v="124"/>
    <s v="71140"/>
    <n v="1"/>
    <s v="171140.124"/>
    <s v="החזר הוצאות                     "/>
    <m/>
    <m/>
    <n v="138000"/>
    <n v="136000"/>
    <n v="133049"/>
    <m/>
    <x v="6"/>
    <s v="שירותים מקומיים"/>
    <x v="25"/>
    <s v="תברואה"/>
    <x v="77"/>
    <s v="מינהל תברואה"/>
    <s v="7114"/>
    <e v="#N/A"/>
    <m/>
    <s v="1"/>
    <x v="9"/>
    <s v="12"/>
    <s v="תוספות שאינן נכללות בשכר הקובע"/>
    <s v="124"/>
    <e v="#N/A"/>
  </r>
  <r>
    <n v="126"/>
    <s v="71140"/>
    <n v="1"/>
    <s v="171140.126"/>
    <s v="הבראה                           "/>
    <m/>
    <m/>
    <n v="141000"/>
    <n v="139000"/>
    <n v="137494"/>
    <m/>
    <x v="6"/>
    <s v="שירותים מקומיים"/>
    <x v="25"/>
    <s v="תברואה"/>
    <x v="77"/>
    <s v="מינהל תברואה"/>
    <s v="7114"/>
    <e v="#N/A"/>
    <m/>
    <s v="1"/>
    <x v="9"/>
    <s v="12"/>
    <s v="תוספות שאינן נכללות בשכר הקובע"/>
    <s v="126"/>
    <e v="#N/A"/>
  </r>
  <r>
    <n v="127"/>
    <s v="71140"/>
    <n v="1"/>
    <s v="171140.127"/>
    <s v="השתתפות באחזקת רכב- 19          "/>
    <m/>
    <m/>
    <n v="548000"/>
    <n v="538000"/>
    <n v="501133"/>
    <m/>
    <x v="6"/>
    <s v="שירותים מקומיים"/>
    <x v="25"/>
    <s v="תברואה"/>
    <x v="77"/>
    <s v="מינהל תברואה"/>
    <s v="7114"/>
    <e v="#N/A"/>
    <m/>
    <s v="1"/>
    <x v="9"/>
    <s v="12"/>
    <s v="תוספות שאינן נכללות בשכר הקובע"/>
    <s v="127"/>
    <e v="#N/A"/>
  </r>
  <r>
    <n v="130"/>
    <s v="71140"/>
    <n v="1"/>
    <s v="171140.130"/>
    <s v="תשלומים מיוחדים                 "/>
    <m/>
    <m/>
    <n v="1770000"/>
    <n v="1754000"/>
    <n v="1650859"/>
    <m/>
    <x v="6"/>
    <s v="שירותים מקומיים"/>
    <x v="25"/>
    <s v="תברואה"/>
    <x v="77"/>
    <s v="מינהל תברואה"/>
    <s v="7114"/>
    <e v="#N/A"/>
    <m/>
    <s v="1"/>
    <x v="9"/>
    <s v="13"/>
    <s v="שעות נוספות"/>
    <s v="130"/>
    <e v="#N/A"/>
  </r>
  <r>
    <n v="181"/>
    <s v="71140"/>
    <n v="1"/>
    <s v="171140.181"/>
    <s v="מיסים וביטוח לאומי              "/>
    <m/>
    <m/>
    <n v="623000"/>
    <n v="613000"/>
    <n v="628438"/>
    <m/>
    <x v="6"/>
    <s v="שירותים מקומיים"/>
    <x v="25"/>
    <s v="תברואה"/>
    <x v="77"/>
    <s v="מינהל תברואה"/>
    <s v="7114"/>
    <e v="#N/A"/>
    <m/>
    <s v="1"/>
    <x v="9"/>
    <s v="18"/>
    <s v="נלוות לשכר"/>
    <s v="181"/>
    <s v="הפרשות סוציאליות"/>
  </r>
  <r>
    <n v="182"/>
    <s v="71140"/>
    <n v="1"/>
    <s v="171140.182"/>
    <s v="קופות גמל והשתלמות              "/>
    <m/>
    <m/>
    <n v="586000"/>
    <n v="572000"/>
    <n v="534293"/>
    <m/>
    <x v="6"/>
    <s v="שירותים מקומיים"/>
    <x v="25"/>
    <s v="תברואה"/>
    <x v="77"/>
    <s v="מינהל תברואה"/>
    <s v="7114"/>
    <e v="#N/A"/>
    <m/>
    <s v="1"/>
    <x v="9"/>
    <s v="18"/>
    <s v="נלוות לשכר"/>
    <s v="182"/>
    <s v="מיסיום ועלויות"/>
  </r>
  <r>
    <n v="434"/>
    <s v="71140"/>
    <n v="1"/>
    <s v="171140.434"/>
    <s v="תקוני מבנים  מתקנים ואינונטר    "/>
    <m/>
    <m/>
    <n v="254000"/>
    <n v="254000"/>
    <n v="246300"/>
    <m/>
    <x v="6"/>
    <s v="שירותים מקומיים"/>
    <x v="25"/>
    <s v="תברואה"/>
    <x v="77"/>
    <s v="מינהל תברואה"/>
    <s v="7114"/>
    <e v="#N/A"/>
    <m/>
    <s v="4"/>
    <x v="15"/>
    <s v="43"/>
    <s v="חשמל, מים וחומרי ניקיון"/>
    <s v="434"/>
    <s v="שירותי ניקיון"/>
  </r>
  <r>
    <n v="695"/>
    <s v="71140"/>
    <n v="1"/>
    <s v="171140.695"/>
    <s v="תקשורת - ציוד והתקנה            "/>
    <m/>
    <m/>
    <n v="140000"/>
    <n v="90000"/>
    <n v="28535"/>
    <m/>
    <x v="6"/>
    <s v="שירותים מקומיים"/>
    <x v="25"/>
    <s v="תברואה"/>
    <x v="77"/>
    <s v="מינהל תברואה"/>
    <s v="7114"/>
    <e v="#N/A"/>
    <m/>
    <s v="6"/>
    <x v="12"/>
    <s v="69"/>
    <s v="שונות"/>
    <s v="695"/>
    <e v="#N/A"/>
  </r>
  <r>
    <n v="721"/>
    <s v="71140"/>
    <n v="1"/>
    <s v="171140.721"/>
    <s v="אחזקת מכלונים ומכלי 110 0       "/>
    <m/>
    <m/>
    <n v="157000"/>
    <n v="150000"/>
    <n v="147088"/>
    <m/>
    <x v="6"/>
    <s v="שירותים מקומיים"/>
    <x v="25"/>
    <s v="תברואה"/>
    <x v="77"/>
    <s v="מינהל תברואה"/>
    <s v="7114"/>
    <e v="#N/A"/>
    <m/>
    <s v="7"/>
    <x v="13"/>
    <s v="72"/>
    <s v="חומרים"/>
    <s v="721"/>
    <e v="#N/A"/>
  </r>
  <r>
    <n v="752"/>
    <s v="71140"/>
    <n v="1"/>
    <s v="171140.752"/>
    <s v="אחזקת טמוני קרקע ומכולות        "/>
    <m/>
    <m/>
    <n v="510000"/>
    <n v="510000"/>
    <n v="418517"/>
    <m/>
    <x v="6"/>
    <s v="שירותים מקומיים"/>
    <x v="25"/>
    <s v="תברואה"/>
    <x v="77"/>
    <s v="מינהל תברואה"/>
    <s v="7114"/>
    <e v="#N/A"/>
    <m/>
    <s v="7"/>
    <x v="13"/>
    <s v="75"/>
    <s v="עבודות קבלניות"/>
    <s v="752"/>
    <e v="#N/A"/>
  </r>
  <r>
    <n v="753"/>
    <s v="71140"/>
    <n v="1"/>
    <s v="171140.753"/>
    <s v="אחזקת כלי אצירה למיחזור         "/>
    <m/>
    <m/>
    <n v="50000"/>
    <n v="50000"/>
    <n v="0"/>
    <m/>
    <x v="6"/>
    <s v="שירותים מקומיים"/>
    <x v="25"/>
    <s v="תברואה"/>
    <x v="77"/>
    <s v="מינהל תברואה"/>
    <s v="7114"/>
    <e v="#N/A"/>
    <m/>
    <s v="7"/>
    <x v="13"/>
    <s v="75"/>
    <s v="עבודות קבלניות"/>
    <s v="753"/>
    <e v="#N/A"/>
  </r>
  <r>
    <n v="781"/>
    <s v="71140"/>
    <n v="1"/>
    <s v="171140.781"/>
    <s v="ייעוץ וסקרים                    "/>
    <m/>
    <m/>
    <n v="40000"/>
    <n v="40000"/>
    <n v="90527"/>
    <m/>
    <x v="6"/>
    <s v="שירותים מקומיים"/>
    <x v="25"/>
    <s v="תברואה"/>
    <x v="77"/>
    <s v="מינהל תברואה"/>
    <s v="7114"/>
    <e v="#N/A"/>
    <m/>
    <s v="7"/>
    <x v="13"/>
    <s v="78"/>
    <s v="הוצאות שונות"/>
    <s v="781"/>
    <e v="#N/A"/>
  </r>
  <r>
    <n v="782"/>
    <s v="71140"/>
    <n v="1"/>
    <s v="171140.782"/>
    <s v="פרויקטים בתחום המיחזור          "/>
    <m/>
    <m/>
    <n v="150000"/>
    <n v="150000"/>
    <n v="93544"/>
    <m/>
    <x v="6"/>
    <s v="שירותים מקומיים"/>
    <x v="25"/>
    <s v="תברואה"/>
    <x v="77"/>
    <s v="מינהל תברואה"/>
    <s v="7114"/>
    <e v="#N/A"/>
    <m/>
    <s v="7"/>
    <x v="13"/>
    <s v="78"/>
    <s v="הוצאות שונות"/>
    <s v="782"/>
    <e v="#N/A"/>
  </r>
  <r>
    <n v="932"/>
    <s v="71140"/>
    <n v="1"/>
    <s v="171140.932"/>
    <s v="ציוד וריהוט משרדי               "/>
    <m/>
    <m/>
    <n v="190000"/>
    <n v="190000"/>
    <n v="163765"/>
    <m/>
    <x v="6"/>
    <s v="שירותים מקומיים"/>
    <x v="25"/>
    <s v="תברואה"/>
    <x v="77"/>
    <s v="מינהל תברואה"/>
    <s v="7114"/>
    <e v="#N/A"/>
    <m/>
    <s v="9"/>
    <x v="17"/>
    <s v="93"/>
    <s v="רכישת ציוד יסודי"/>
    <s v="932"/>
    <e v="#N/A"/>
  </r>
  <r>
    <n v="934"/>
    <s v="71140"/>
    <n v="1"/>
    <s v="171140.934"/>
    <s v="רכישת מכשירים וכלי עבודה        "/>
    <m/>
    <m/>
    <n v="90000"/>
    <n v="90000"/>
    <n v="79300"/>
    <m/>
    <x v="6"/>
    <s v="שירותים מקומיים"/>
    <x v="25"/>
    <s v="תברואה"/>
    <x v="77"/>
    <s v="מינהל תברואה"/>
    <s v="7114"/>
    <e v="#N/A"/>
    <m/>
    <s v="9"/>
    <x v="17"/>
    <s v="93"/>
    <s v="רכישת ציוד יסודי"/>
    <s v="934"/>
    <e v="#N/A"/>
  </r>
  <r>
    <n v="935"/>
    <s v="71140"/>
    <n v="1"/>
    <s v="171140.935"/>
    <s v="רכישת ציוד בטיחות               "/>
    <m/>
    <m/>
    <n v="200000"/>
    <n v="200000"/>
    <n v="197330"/>
    <m/>
    <x v="6"/>
    <s v="שירותים מקומיים"/>
    <x v="25"/>
    <s v="תברואה"/>
    <x v="77"/>
    <s v="מינהל תברואה"/>
    <s v="7114"/>
    <e v="#N/A"/>
    <m/>
    <s v="9"/>
    <x v="17"/>
    <s v="93"/>
    <s v="רכישת ציוד יסודי"/>
    <s v="935"/>
    <e v="#N/A"/>
  </r>
  <r>
    <n v="981"/>
    <s v="71140"/>
    <n v="1"/>
    <s v="171140.981"/>
    <s v="רכישת מיכלונים                  "/>
    <m/>
    <m/>
    <n v="2300000"/>
    <n v="2300000"/>
    <n v="2295815"/>
    <m/>
    <x v="6"/>
    <s v="שירותים מקומיים"/>
    <x v="25"/>
    <s v="תברואה"/>
    <x v="77"/>
    <s v="מינהל תברואה"/>
    <s v="7114"/>
    <e v="#N/A"/>
    <m/>
    <s v="9"/>
    <x v="17"/>
    <s v="98"/>
    <s v="הוצאות אחרות"/>
    <s v="981"/>
    <e v="#N/A"/>
  </r>
  <r>
    <n v="985"/>
    <s v="71140"/>
    <n v="1"/>
    <s v="171140.985"/>
    <s v="רכישת מכולות סגורות/פתוחות      "/>
    <m/>
    <m/>
    <n v="50000"/>
    <n v="50000"/>
    <n v="0"/>
    <m/>
    <x v="6"/>
    <s v="שירותים מקומיים"/>
    <x v="25"/>
    <s v="תברואה"/>
    <x v="77"/>
    <s v="מינהל תברואה"/>
    <s v="7114"/>
    <e v="#N/A"/>
    <m/>
    <s v="9"/>
    <x v="17"/>
    <s v="98"/>
    <s v="הוצאות אחרות"/>
    <s v="985"/>
    <e v="#N/A"/>
  </r>
  <r>
    <n v="110"/>
    <s v="71150"/>
    <n v="1"/>
    <s v="171150.110"/>
    <s v="משכורת כוללת                    "/>
    <m/>
    <m/>
    <n v="855000"/>
    <n v="756000"/>
    <n v="762220"/>
    <m/>
    <x v="6"/>
    <s v="שירותים מקומיים"/>
    <x v="25"/>
    <s v="תברואה"/>
    <x v="77"/>
    <s v="מינהל תברואה"/>
    <s v="7115"/>
    <e v="#N/A"/>
    <m/>
    <s v="1"/>
    <x v="9"/>
    <s v="11"/>
    <s v="השכר הקובע"/>
    <s v="110"/>
    <e v="#N/A"/>
  </r>
  <r>
    <n v="124"/>
    <s v="71150"/>
    <n v="1"/>
    <s v="171150.124"/>
    <s v="החזר הוצאות                     "/>
    <m/>
    <m/>
    <n v="61000"/>
    <n v="62000"/>
    <n v="62024"/>
    <m/>
    <x v="6"/>
    <s v="שירותים מקומיים"/>
    <x v="25"/>
    <s v="תברואה"/>
    <x v="77"/>
    <s v="מינהל תברואה"/>
    <s v="7115"/>
    <e v="#N/A"/>
    <m/>
    <s v="1"/>
    <x v="9"/>
    <s v="12"/>
    <s v="תוספות שאינן נכללות בשכר הקובע"/>
    <s v="124"/>
    <e v="#N/A"/>
  </r>
  <r>
    <n v="126"/>
    <s v="71150"/>
    <n v="1"/>
    <s v="171150.126"/>
    <s v="הבראה                           "/>
    <m/>
    <m/>
    <n v="52000"/>
    <n v="54000"/>
    <n v="52948"/>
    <m/>
    <x v="6"/>
    <s v="שירותים מקומיים"/>
    <x v="25"/>
    <s v="תברואה"/>
    <x v="77"/>
    <s v="מינהל תברואה"/>
    <s v="7115"/>
    <e v="#N/A"/>
    <m/>
    <s v="1"/>
    <x v="9"/>
    <s v="12"/>
    <s v="תוספות שאינן נכללות בשכר הקובע"/>
    <s v="126"/>
    <e v="#N/A"/>
  </r>
  <r>
    <n v="127"/>
    <s v="71150"/>
    <n v="1"/>
    <s v="171150.127"/>
    <s v="השתתפות באחזקת רכב- 6           "/>
    <m/>
    <m/>
    <n v="202000"/>
    <n v="229000"/>
    <n v="217483"/>
    <m/>
    <x v="6"/>
    <s v="שירותים מקומיים"/>
    <x v="25"/>
    <s v="תברואה"/>
    <x v="77"/>
    <s v="מינהל תברואה"/>
    <s v="7115"/>
    <e v="#N/A"/>
    <m/>
    <s v="1"/>
    <x v="9"/>
    <s v="12"/>
    <s v="תוספות שאינן נכללות בשכר הקובע"/>
    <s v="127"/>
    <e v="#N/A"/>
  </r>
  <r>
    <n v="130"/>
    <s v="71150"/>
    <n v="1"/>
    <s v="171150.130"/>
    <s v="תשלומים מיוחדים                 "/>
    <m/>
    <m/>
    <n v="603000"/>
    <n v="622000"/>
    <n v="594750"/>
    <m/>
    <x v="6"/>
    <s v="שירותים מקומיים"/>
    <x v="25"/>
    <s v="תברואה"/>
    <x v="77"/>
    <s v="מינהל תברואה"/>
    <s v="7115"/>
    <e v="#N/A"/>
    <m/>
    <s v="1"/>
    <x v="9"/>
    <s v="13"/>
    <s v="שעות נוספות"/>
    <s v="130"/>
    <e v="#N/A"/>
  </r>
  <r>
    <n v="181"/>
    <s v="71150"/>
    <n v="1"/>
    <s v="171150.181"/>
    <s v="מיסים וביטוח לאומי              "/>
    <m/>
    <m/>
    <n v="232000"/>
    <n v="225000"/>
    <n v="249682"/>
    <m/>
    <x v="6"/>
    <s v="שירותים מקומיים"/>
    <x v="25"/>
    <s v="תברואה"/>
    <x v="77"/>
    <s v="מינהל תברואה"/>
    <s v="7115"/>
    <e v="#N/A"/>
    <m/>
    <s v="1"/>
    <x v="9"/>
    <s v="18"/>
    <s v="נלוות לשכר"/>
    <s v="181"/>
    <s v="הפרשות סוציאליות"/>
  </r>
  <r>
    <n v="182"/>
    <s v="71150"/>
    <n v="1"/>
    <s v="171150.182"/>
    <s v="קופות גמל והשתלמות              "/>
    <m/>
    <m/>
    <n v="295000"/>
    <n v="270000"/>
    <n v="263022"/>
    <m/>
    <x v="6"/>
    <s v="שירותים מקומיים"/>
    <x v="25"/>
    <s v="תברואה"/>
    <x v="77"/>
    <s v="מינהל תברואה"/>
    <s v="7115"/>
    <e v="#N/A"/>
    <m/>
    <s v="1"/>
    <x v="9"/>
    <s v="18"/>
    <s v="נלוות לשכר"/>
    <s v="182"/>
    <s v="מיסיום ועלויות"/>
  </r>
  <r>
    <n v="110"/>
    <s v="71211"/>
    <n v="1"/>
    <s v="171211.110"/>
    <s v="משכורת כוללת                    "/>
    <m/>
    <m/>
    <n v="11776000"/>
    <n v="11687000"/>
    <n v="11459038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1"/>
    <s v="השכר הקובע"/>
    <s v="110"/>
    <e v="#N/A"/>
  </r>
  <r>
    <n v="124"/>
    <s v="71211"/>
    <n v="1"/>
    <s v="171211.124"/>
    <s v="החזר הוצאות                     "/>
    <m/>
    <m/>
    <n v="455000"/>
    <n v="458000"/>
    <n v="446555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4"/>
    <e v="#N/A"/>
  </r>
  <r>
    <n v="126"/>
    <s v="71211"/>
    <n v="1"/>
    <s v="171211.126"/>
    <s v="הבראה                           "/>
    <m/>
    <m/>
    <n v="751000"/>
    <n v="753000"/>
    <n v="742597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6"/>
    <e v="#N/A"/>
  </r>
  <r>
    <n v="127"/>
    <s v="71211"/>
    <n v="1"/>
    <s v="171211.127"/>
    <s v="השתתפות באחזקת רכב - 105        "/>
    <m/>
    <m/>
    <n v="2881000"/>
    <n v="2778000"/>
    <n v="2615283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7"/>
    <e v="#N/A"/>
  </r>
  <r>
    <n v="130"/>
    <s v="71211"/>
    <n v="1"/>
    <s v="171211.130"/>
    <s v="תשלומים מיוחדים                 "/>
    <m/>
    <m/>
    <n v="13898000"/>
    <n v="13312000"/>
    <n v="13129457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3"/>
    <s v="שעות נוספות"/>
    <s v="130"/>
    <e v="#N/A"/>
  </r>
  <r>
    <n v="181"/>
    <s v="71211"/>
    <n v="1"/>
    <s v="171211.181"/>
    <s v="מיסים וביטוח לאומי              "/>
    <m/>
    <m/>
    <n v="4193000"/>
    <n v="3792000"/>
    <n v="3830665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1"/>
    <s v="הפרשות סוציאליות"/>
  </r>
  <r>
    <n v="182"/>
    <s v="71211"/>
    <n v="1"/>
    <s v="171211.182"/>
    <s v="קופות גמל והשתלמות              "/>
    <m/>
    <m/>
    <n v="3342000"/>
    <n v="3332000"/>
    <n v="3191716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2"/>
    <s v="מיסיום ועלויות"/>
  </r>
  <r>
    <n v="531"/>
    <s v="71211"/>
    <n v="1"/>
    <s v="171211.531"/>
    <s v="אחזקת רכב                       "/>
    <m/>
    <m/>
    <n v="969000"/>
    <n v="969000"/>
    <n v="961989"/>
    <m/>
    <x v="6"/>
    <s v="שירותים מקומיים"/>
    <x v="25"/>
    <s v="תברואה"/>
    <x v="78"/>
    <s v="שירותי ניקיון"/>
    <s v="7121"/>
    <s v="מינהל שירותי ניקיון"/>
    <m/>
    <s v="5"/>
    <x v="11"/>
    <s v="53"/>
    <s v="הוצאות רכב מינהלי"/>
    <s v="531"/>
    <s v="דלק ושמנים"/>
  </r>
  <r>
    <n v="532"/>
    <s v="71211"/>
    <n v="1"/>
    <s v="171211.532"/>
    <s v="ביטוח רכב                       "/>
    <m/>
    <m/>
    <n v="172000"/>
    <n v="157000"/>
    <n v="149188"/>
    <m/>
    <x v="6"/>
    <s v="שירותים מקומיים"/>
    <x v="25"/>
    <s v="תברואה"/>
    <x v="78"/>
    <s v="שירותי ניקיון"/>
    <s v="7121"/>
    <s v="מינהל שירותי ניקיון"/>
    <m/>
    <s v="5"/>
    <x v="11"/>
    <s v="53"/>
    <s v="הוצאות רכב מינהלי"/>
    <s v="532"/>
    <s v="תיקונים"/>
  </r>
  <r>
    <n v="534"/>
    <s v="71211"/>
    <n v="1"/>
    <s v="171211.534"/>
    <s v="דלק ושמן                        "/>
    <m/>
    <m/>
    <n v="1500000"/>
    <n v="1500000"/>
    <n v="1338916"/>
    <m/>
    <x v="6"/>
    <s v="שירותים מקומיים"/>
    <x v="25"/>
    <s v="תברואה"/>
    <x v="78"/>
    <s v="שירותי ניקיון"/>
    <s v="7121"/>
    <s v="מינהל שירותי ניקיון"/>
    <m/>
    <s v="5"/>
    <x v="11"/>
    <s v="53"/>
    <s v="הוצאות רכב מינהלי"/>
    <s v="534"/>
    <e v="#N/A"/>
  </r>
  <r>
    <n v="110"/>
    <s v="71212"/>
    <n v="1"/>
    <s v="171212.110"/>
    <s v="משכורת כוללת                    "/>
    <m/>
    <m/>
    <n v="951000"/>
    <n v="919000"/>
    <n v="904993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1"/>
    <s v="השכר הקובע"/>
    <s v="110"/>
    <e v="#N/A"/>
  </r>
  <r>
    <n v="124"/>
    <s v="71212"/>
    <n v="1"/>
    <s v="171212.124"/>
    <s v="החזר הוצאות                     "/>
    <m/>
    <m/>
    <n v="59000"/>
    <n v="59000"/>
    <n v="57330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4"/>
    <e v="#N/A"/>
  </r>
  <r>
    <n v="126"/>
    <s v="71212"/>
    <n v="1"/>
    <s v="171212.126"/>
    <s v="הבראה                           "/>
    <m/>
    <m/>
    <n v="78000"/>
    <n v="78000"/>
    <n v="77287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6"/>
    <e v="#N/A"/>
  </r>
  <r>
    <n v="127"/>
    <s v="71212"/>
    <n v="1"/>
    <s v="171212.127"/>
    <s v="השתתפות באחזקת רכב-13           "/>
    <m/>
    <m/>
    <n v="216000"/>
    <n v="215000"/>
    <n v="204996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7"/>
    <e v="#N/A"/>
  </r>
  <r>
    <n v="130"/>
    <s v="71212"/>
    <n v="1"/>
    <s v="171212.130"/>
    <s v="תשלומים מיוחדים                 "/>
    <m/>
    <m/>
    <n v="764000"/>
    <n v="693000"/>
    <n v="706361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3"/>
    <s v="שעות נוספות"/>
    <s v="130"/>
    <e v="#N/A"/>
  </r>
  <r>
    <n v="181"/>
    <s v="71212"/>
    <n v="1"/>
    <s v="171212.181"/>
    <s v="מיסים וביטוח לאומי              "/>
    <m/>
    <m/>
    <n v="270000"/>
    <n v="257000"/>
    <n v="255336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1"/>
    <s v="הפרשות סוציאליות"/>
  </r>
  <r>
    <n v="182"/>
    <s v="71212"/>
    <n v="1"/>
    <s v="171212.182"/>
    <s v="קופות גמל והשתלמות              "/>
    <m/>
    <m/>
    <n v="255000"/>
    <n v="235000"/>
    <n v="231831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2"/>
    <s v="מיסיום ועלויות"/>
  </r>
  <r>
    <n v="110"/>
    <s v="71213"/>
    <n v="1"/>
    <s v="171213.110"/>
    <s v="משכורת כוללת                    "/>
    <m/>
    <m/>
    <n v="780000"/>
    <n v="805000"/>
    <n v="770893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1"/>
    <s v="השכר הקובע"/>
    <s v="110"/>
    <e v="#N/A"/>
  </r>
  <r>
    <n v="124"/>
    <s v="71213"/>
    <n v="1"/>
    <s v="171213.124"/>
    <s v="החזר הוצאות                     "/>
    <m/>
    <m/>
    <n v="37000"/>
    <n v="37000"/>
    <n v="36052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4"/>
    <e v="#N/A"/>
  </r>
  <r>
    <n v="126"/>
    <s v="71213"/>
    <n v="1"/>
    <s v="171213.126"/>
    <s v="הבראה                           "/>
    <m/>
    <m/>
    <n v="53000"/>
    <n v="55000"/>
    <n v="54229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6"/>
    <e v="#N/A"/>
  </r>
  <r>
    <n v="127"/>
    <s v="71213"/>
    <n v="1"/>
    <s v="171213.127"/>
    <s v="השתתפות באחזקת רכב -9           "/>
    <m/>
    <m/>
    <n v="150000"/>
    <n v="156000"/>
    <n v="151889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2"/>
    <s v="תוספות שאינן נכללות בשכר הקובע"/>
    <s v="127"/>
    <e v="#N/A"/>
  </r>
  <r>
    <n v="130"/>
    <s v="71213"/>
    <n v="1"/>
    <s v="171213.130"/>
    <s v="תשלומים מיוחדים                 "/>
    <m/>
    <m/>
    <n v="700000"/>
    <n v="681000"/>
    <n v="679855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3"/>
    <s v="שעות נוספות"/>
    <s v="130"/>
    <e v="#N/A"/>
  </r>
  <r>
    <n v="181"/>
    <s v="71213"/>
    <n v="1"/>
    <s v="171213.181"/>
    <s v="מיסים וביטוח לאומי              "/>
    <m/>
    <m/>
    <n v="225000"/>
    <n v="227000"/>
    <n v="230227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1"/>
    <s v="הפרשות סוציאליות"/>
  </r>
  <r>
    <n v="182"/>
    <s v="71213"/>
    <n v="1"/>
    <s v="171213.182"/>
    <s v="קופות גמל והשתלמות              "/>
    <m/>
    <m/>
    <n v="242000"/>
    <n v="240000"/>
    <n v="228792"/>
    <m/>
    <x v="6"/>
    <s v="שירותים מקומיים"/>
    <x v="25"/>
    <s v="תברואה"/>
    <x v="78"/>
    <s v="שירותי ניקיון"/>
    <s v="7121"/>
    <s v="מינהל שירותי ניקיון"/>
    <m/>
    <s v="1"/>
    <x v="9"/>
    <s v="18"/>
    <s v="נלוות לשכר"/>
    <s v="182"/>
    <s v="מיסיום ועלויות"/>
  </r>
  <r>
    <n v="110"/>
    <s v="71222"/>
    <n v="1"/>
    <s v="171222.110"/>
    <s v="משכורת כוללת                    "/>
    <m/>
    <m/>
    <n v="755000"/>
    <n v="752000"/>
    <n v="716651"/>
    <m/>
    <x v="6"/>
    <s v="שירותים מקומיים"/>
    <x v="25"/>
    <s v="תברואה"/>
    <x v="78"/>
    <s v="שירותי ניקיון"/>
    <s v="7122"/>
    <s v="ניקוי רחובות"/>
    <m/>
    <s v="1"/>
    <x v="9"/>
    <s v="11"/>
    <s v="השכר הקובע"/>
    <s v="110"/>
    <e v="#N/A"/>
  </r>
  <r>
    <n v="124"/>
    <s v="71222"/>
    <n v="1"/>
    <s v="171222.124"/>
    <s v="החזר הוצאות                     "/>
    <m/>
    <m/>
    <n v="45000"/>
    <n v="44000"/>
    <n v="43288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4"/>
    <e v="#N/A"/>
  </r>
  <r>
    <n v="126"/>
    <s v="71222"/>
    <n v="1"/>
    <s v="171222.126"/>
    <s v="הבראה                           "/>
    <m/>
    <m/>
    <n v="66000"/>
    <n v="65000"/>
    <n v="64477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6"/>
    <e v="#N/A"/>
  </r>
  <r>
    <n v="127"/>
    <s v="71222"/>
    <n v="1"/>
    <s v="171222.127"/>
    <s v="השתתפות באחזקת רכב- 10          "/>
    <m/>
    <m/>
    <n v="193000"/>
    <n v="185000"/>
    <n v="181646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7"/>
    <e v="#N/A"/>
  </r>
  <r>
    <n v="130"/>
    <s v="71222"/>
    <n v="1"/>
    <s v="171222.130"/>
    <s v="תשלומים מיוחדים                 "/>
    <m/>
    <m/>
    <n v="872000"/>
    <n v="763000"/>
    <n v="761140"/>
    <m/>
    <x v="6"/>
    <s v="שירותים מקומיים"/>
    <x v="25"/>
    <s v="תברואה"/>
    <x v="78"/>
    <s v="שירותי ניקיון"/>
    <s v="7122"/>
    <s v="ניקוי רחובות"/>
    <m/>
    <s v="1"/>
    <x v="9"/>
    <s v="13"/>
    <s v="שעות נוספות"/>
    <s v="130"/>
    <e v="#N/A"/>
  </r>
  <r>
    <n v="181"/>
    <s v="71222"/>
    <n v="1"/>
    <s v="171222.181"/>
    <s v="מיסים וביטוח לאומי              "/>
    <m/>
    <m/>
    <n v="253000"/>
    <n v="237000"/>
    <n v="238732"/>
    <m/>
    <x v="6"/>
    <s v="שירותים מקומיים"/>
    <x v="25"/>
    <s v="תברואה"/>
    <x v="78"/>
    <s v="שירותי ניקיון"/>
    <s v="7122"/>
    <s v="ניקוי רחובות"/>
    <m/>
    <s v="1"/>
    <x v="9"/>
    <s v="18"/>
    <s v="נלוות לשכר"/>
    <s v="181"/>
    <s v="הפרשות סוציאליות"/>
  </r>
  <r>
    <n v="182"/>
    <s v="71222"/>
    <n v="1"/>
    <s v="171222.182"/>
    <s v="קופות גמל והשתלמות              "/>
    <m/>
    <m/>
    <n v="267000"/>
    <n v="251000"/>
    <n v="242838"/>
    <m/>
    <x v="6"/>
    <s v="שירותים מקומיים"/>
    <x v="25"/>
    <s v="תברואה"/>
    <x v="78"/>
    <s v="שירותי ניקיון"/>
    <s v="7122"/>
    <s v="ניקוי רחובות"/>
    <m/>
    <s v="1"/>
    <x v="9"/>
    <s v="18"/>
    <s v="נלוות לשכר"/>
    <s v="182"/>
    <s v="מיסיום ועלויות"/>
  </r>
  <r>
    <n v="755"/>
    <s v="71223"/>
    <n v="1"/>
    <s v="171223.755"/>
    <s v="ניקוי ו/או שטיפה ע י קבלנים     "/>
    <m/>
    <m/>
    <n v="91105000"/>
    <n v="81805000"/>
    <n v="76096722"/>
    <m/>
    <x v="6"/>
    <s v="שירותים מקומיים"/>
    <x v="25"/>
    <s v="תברואה"/>
    <x v="78"/>
    <s v="שירותי ניקיון"/>
    <s v="7122"/>
    <s v="ניקוי רחובות"/>
    <m/>
    <s v="7"/>
    <x v="13"/>
    <s v="75"/>
    <s v="עבודות קבלניות"/>
    <s v="755"/>
    <e v="#N/A"/>
  </r>
  <r>
    <n v="756"/>
    <s v="71223"/>
    <n v="1"/>
    <s v="171223.756"/>
    <s v="איסוף נייר וקרטון               "/>
    <m/>
    <m/>
    <n v="70000"/>
    <n v="70000"/>
    <n v="124882"/>
    <m/>
    <x v="6"/>
    <s v="שירותים מקומיים"/>
    <x v="25"/>
    <s v="תברואה"/>
    <x v="78"/>
    <s v="שירותי ניקיון"/>
    <s v="7122"/>
    <s v="ניקוי רחובות"/>
    <m/>
    <s v="7"/>
    <x v="13"/>
    <s v="75"/>
    <s v="עבודות קבלניות"/>
    <s v="756"/>
    <e v="#N/A"/>
  </r>
  <r>
    <n v="759"/>
    <s v="71223"/>
    <n v="1"/>
    <s v="171223.759"/>
    <s v="איסוף פלסטיק                    "/>
    <m/>
    <m/>
    <n v="10000"/>
    <n v="10000"/>
    <n v="0"/>
    <m/>
    <x v="6"/>
    <s v="שירותים מקומיים"/>
    <x v="25"/>
    <s v="תברואה"/>
    <x v="78"/>
    <s v="שירותי ניקיון"/>
    <s v="7122"/>
    <s v="ניקוי רחובות"/>
    <m/>
    <s v="7"/>
    <x v="13"/>
    <s v="75"/>
    <s v="עבודות קבלניות"/>
    <s v="759"/>
    <e v="#N/A"/>
  </r>
  <r>
    <n v="781"/>
    <s v="71223"/>
    <n v="1"/>
    <s v="171223.781"/>
    <s v="השתתפות בניקיון בתחנות האגף     "/>
    <m/>
    <m/>
    <n v="307000"/>
    <n v="307000"/>
    <n v="382232"/>
    <m/>
    <x v="6"/>
    <s v="שירותים מקומיים"/>
    <x v="25"/>
    <s v="תברואה"/>
    <x v="78"/>
    <s v="שירותי ניקיון"/>
    <s v="7122"/>
    <s v="ניקוי רחובות"/>
    <m/>
    <s v="7"/>
    <x v="13"/>
    <s v="78"/>
    <s v="הוצאות שונות"/>
    <s v="781"/>
    <e v="#N/A"/>
  </r>
  <r>
    <n v="110"/>
    <s v="71224"/>
    <n v="1"/>
    <s v="171224.110"/>
    <s v="משכורת כוללת                    "/>
    <m/>
    <m/>
    <n v="346000"/>
    <n v="308000"/>
    <n v="318218"/>
    <m/>
    <x v="6"/>
    <s v="שירותים מקומיים"/>
    <x v="25"/>
    <s v="תברואה"/>
    <x v="78"/>
    <s v="שירותי ניקיון"/>
    <s v="7122"/>
    <s v="ניקוי רחובות"/>
    <m/>
    <s v="1"/>
    <x v="9"/>
    <s v="11"/>
    <s v="השכר הקובע"/>
    <s v="110"/>
    <e v="#N/A"/>
  </r>
  <r>
    <n v="124"/>
    <s v="71224"/>
    <n v="1"/>
    <s v="171224.124"/>
    <s v="החזר הוצאות                     "/>
    <m/>
    <m/>
    <n v="18000"/>
    <n v="17000"/>
    <n v="17501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4"/>
    <e v="#N/A"/>
  </r>
  <r>
    <n v="126"/>
    <s v="71224"/>
    <n v="1"/>
    <s v="171224.126"/>
    <s v="הבראה                           "/>
    <m/>
    <m/>
    <n v="26000"/>
    <n v="24000"/>
    <n v="24403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6"/>
    <e v="#N/A"/>
  </r>
  <r>
    <n v="127"/>
    <s v="71224"/>
    <n v="1"/>
    <s v="171224.127"/>
    <s v="השתתפות באחזקת רכב - 5          "/>
    <m/>
    <m/>
    <n v="42000"/>
    <n v="16000"/>
    <n v="14280"/>
    <m/>
    <x v="6"/>
    <s v="שירותים מקומיים"/>
    <x v="25"/>
    <s v="תברואה"/>
    <x v="78"/>
    <s v="שירותי ניקיון"/>
    <s v="7122"/>
    <s v="ניקוי רחובות"/>
    <m/>
    <s v="1"/>
    <x v="9"/>
    <s v="12"/>
    <s v="תוספות שאינן נכללות בשכר הקובע"/>
    <s v="127"/>
    <e v="#N/A"/>
  </r>
  <r>
    <n v="130"/>
    <s v="71224"/>
    <n v="1"/>
    <s v="171224.130"/>
    <s v="תשלומים מיוחדים                 "/>
    <m/>
    <m/>
    <n v="220000"/>
    <n v="211000"/>
    <n v="200489"/>
    <m/>
    <x v="6"/>
    <s v="שירותים מקומיים"/>
    <x v="25"/>
    <s v="תברואה"/>
    <x v="78"/>
    <s v="שירותי ניקיון"/>
    <s v="7122"/>
    <s v="ניקוי רחובות"/>
    <m/>
    <s v="1"/>
    <x v="9"/>
    <s v="13"/>
    <s v="שעות נוספות"/>
    <s v="130"/>
    <e v="#N/A"/>
  </r>
  <r>
    <n v="181"/>
    <s v="71224"/>
    <n v="1"/>
    <s v="171224.181"/>
    <s v="מיסים וביטוח לאומי              "/>
    <m/>
    <m/>
    <n v="85000"/>
    <n v="75000"/>
    <n v="77052"/>
    <m/>
    <x v="6"/>
    <s v="שירותים מקומיים"/>
    <x v="25"/>
    <s v="תברואה"/>
    <x v="78"/>
    <s v="שירותי ניקיון"/>
    <s v="7122"/>
    <s v="ניקוי רחובות"/>
    <m/>
    <s v="1"/>
    <x v="9"/>
    <s v="18"/>
    <s v="נלוות לשכר"/>
    <s v="181"/>
    <s v="הפרשות סוציאליות"/>
  </r>
  <r>
    <n v="182"/>
    <s v="71224"/>
    <n v="1"/>
    <s v="171224.182"/>
    <s v="קופות גמל והשתלמות              "/>
    <m/>
    <m/>
    <n v="99000"/>
    <n v="96000"/>
    <n v="91812"/>
    <m/>
    <x v="6"/>
    <s v="שירותים מקומיים"/>
    <x v="25"/>
    <s v="תברואה"/>
    <x v="78"/>
    <s v="שירותי ניקיון"/>
    <s v="7122"/>
    <s v="ניקוי רחובות"/>
    <m/>
    <s v="1"/>
    <x v="9"/>
    <s v="18"/>
    <s v="נלוות לשכר"/>
    <s v="182"/>
    <s v="מיסיום ועלויות"/>
  </r>
  <r>
    <n v="431"/>
    <s v="71225"/>
    <n v="1"/>
    <s v="171225.431"/>
    <s v="מים                             "/>
    <m/>
    <m/>
    <n v="378000"/>
    <n v="456000"/>
    <n v="687629"/>
    <m/>
    <x v="6"/>
    <s v="שירותים מקומיים"/>
    <x v="25"/>
    <s v="תברואה"/>
    <x v="78"/>
    <s v="שירותי ניקיון"/>
    <s v="7122"/>
    <s v="ניקוי רחובות"/>
    <m/>
    <s v="4"/>
    <x v="15"/>
    <s v="43"/>
    <s v="חשמל, מים וחומרי ניקיון"/>
    <s v="431"/>
    <s v="חשמל"/>
  </r>
  <r>
    <n v="435"/>
    <s v="71225"/>
    <n v="1"/>
    <s v="171225.435"/>
    <s v="חשמל ואנרגיה                    "/>
    <m/>
    <m/>
    <n v="54000"/>
    <n v="54000"/>
    <n v="45077"/>
    <m/>
    <x v="6"/>
    <s v="שירותים מקומיים"/>
    <x v="25"/>
    <s v="תברואה"/>
    <x v="78"/>
    <s v="שירותי ניקיון"/>
    <s v="7122"/>
    <s v="ניקוי רחובות"/>
    <m/>
    <s v="4"/>
    <x v="15"/>
    <s v="43"/>
    <s v="חשמל, מים וחומרי ניקיון"/>
    <s v="435"/>
    <e v="#N/A"/>
  </r>
  <r>
    <n v="721"/>
    <s v="71225"/>
    <n v="1"/>
    <s v="171225.721"/>
    <s v="חומרי ניקיון                    "/>
    <m/>
    <m/>
    <n v="140000"/>
    <n v="140000"/>
    <n v="138014"/>
    <m/>
    <x v="6"/>
    <s v="שירותים מקומיים"/>
    <x v="25"/>
    <s v="תברואה"/>
    <x v="78"/>
    <s v="שירותי ניקיון"/>
    <s v="7122"/>
    <s v="ניקוי רחובות"/>
    <m/>
    <s v="7"/>
    <x v="13"/>
    <s v="72"/>
    <s v="חומרים"/>
    <s v="721"/>
    <e v="#N/A"/>
  </r>
  <r>
    <n v="751"/>
    <s v="71225"/>
    <n v="1"/>
    <s v="171225.751"/>
    <s v="נקיון בש צ                      "/>
    <m/>
    <m/>
    <n v="1100000"/>
    <n v="1100000"/>
    <n v="1104634"/>
    <m/>
    <x v="6"/>
    <s v="שירותים מקומיים"/>
    <x v="25"/>
    <s v="תברואה"/>
    <x v="78"/>
    <s v="שירותי ניקיון"/>
    <s v="7122"/>
    <s v="ניקוי רחובות"/>
    <m/>
    <s v="7"/>
    <x v="13"/>
    <s v="75"/>
    <s v="עבודות קבלניות"/>
    <s v="751"/>
    <e v="#N/A"/>
  </r>
  <r>
    <n v="752"/>
    <s v="71225"/>
    <n v="1"/>
    <s v="171225.752"/>
    <s v="אחזקת בש צ                      "/>
    <m/>
    <m/>
    <n v="130000"/>
    <n v="130000"/>
    <n v="120986"/>
    <m/>
    <x v="6"/>
    <s v="שירותים מקומיים"/>
    <x v="25"/>
    <s v="תברואה"/>
    <x v="78"/>
    <s v="שירותי ניקיון"/>
    <s v="7122"/>
    <s v="ניקוי רחובות"/>
    <m/>
    <s v="7"/>
    <x v="13"/>
    <s v="75"/>
    <s v="עבודות קבלניות"/>
    <s v="752"/>
    <e v="#N/A"/>
  </r>
  <r>
    <n v="110"/>
    <s v="71231"/>
    <n v="1"/>
    <s v="171231.110"/>
    <s v="משכורת כוללת                    "/>
    <m/>
    <m/>
    <n v="1191000"/>
    <n v="994000"/>
    <n v="1000144"/>
    <m/>
    <x v="6"/>
    <s v="שירותים מקומיים"/>
    <x v="25"/>
    <s v="תברואה"/>
    <x v="78"/>
    <s v="שירותי ניקיון"/>
    <s v="7123"/>
    <s v="אסוף ובעור אשפה"/>
    <m/>
    <s v="1"/>
    <x v="9"/>
    <s v="11"/>
    <s v="השכר הקובע"/>
    <s v="110"/>
    <e v="#N/A"/>
  </r>
  <r>
    <n v="124"/>
    <s v="71231"/>
    <n v="1"/>
    <s v="171231.124"/>
    <s v="החזר הוצאות                     "/>
    <m/>
    <m/>
    <n v="52000"/>
    <n v="49000"/>
    <n v="50267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4"/>
    <e v="#N/A"/>
  </r>
  <r>
    <n v="126"/>
    <s v="71231"/>
    <n v="1"/>
    <s v="171231.126"/>
    <s v="הבראה                           "/>
    <m/>
    <m/>
    <n v="60000"/>
    <n v="66000"/>
    <n v="64904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6"/>
    <e v="#N/A"/>
  </r>
  <r>
    <n v="127"/>
    <s v="71231"/>
    <n v="1"/>
    <s v="171231.127"/>
    <s v="השתתפות באחזקת רכב - 10         "/>
    <m/>
    <m/>
    <n v="288000"/>
    <n v="291000"/>
    <n v="294672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7"/>
    <e v="#N/A"/>
  </r>
  <r>
    <n v="130"/>
    <s v="71231"/>
    <n v="1"/>
    <s v="171231.130"/>
    <s v="תשלומים מיוחדים                 "/>
    <m/>
    <m/>
    <n v="1001000"/>
    <n v="879000"/>
    <n v="921398"/>
    <m/>
    <x v="6"/>
    <s v="שירותים מקומיים"/>
    <x v="25"/>
    <s v="תברואה"/>
    <x v="78"/>
    <s v="שירותי ניקיון"/>
    <s v="7123"/>
    <s v="אסוף ובעור אשפה"/>
    <m/>
    <s v="1"/>
    <x v="9"/>
    <s v="13"/>
    <s v="שעות נוספות"/>
    <s v="130"/>
    <e v="#N/A"/>
  </r>
  <r>
    <n v="181"/>
    <s v="71231"/>
    <n v="1"/>
    <s v="171231.181"/>
    <s v="מיסים וביטוח לאומי              "/>
    <m/>
    <m/>
    <n v="339000"/>
    <n v="298000"/>
    <n v="317532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1"/>
    <s v="הפרשות סוציאליות"/>
  </r>
  <r>
    <n v="182"/>
    <s v="71231"/>
    <n v="1"/>
    <s v="171231.182"/>
    <s v="קופות גמל והשתלמות              "/>
    <m/>
    <m/>
    <n v="315000"/>
    <n v="278000"/>
    <n v="278000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2"/>
    <s v="מיסיום ועלויות"/>
  </r>
  <r>
    <n v="753"/>
    <s v="71231"/>
    <n v="1"/>
    <s v="171231.753"/>
    <s v="החזקת ציוד כיבוי אש             "/>
    <m/>
    <m/>
    <n v="7000"/>
    <n v="5000"/>
    <n v="0"/>
    <m/>
    <x v="6"/>
    <s v="שירותים מקומיים"/>
    <x v="25"/>
    <s v="תברואה"/>
    <x v="78"/>
    <s v="שירותי ניקיון"/>
    <s v="7123"/>
    <s v="אסוף ובעור אשפה"/>
    <m/>
    <s v="7"/>
    <x v="13"/>
    <s v="75"/>
    <s v="עבודות קבלניות"/>
    <s v="753"/>
    <e v="#N/A"/>
  </r>
  <r>
    <n v="755"/>
    <s v="71231"/>
    <n v="1"/>
    <s v="171231.755"/>
    <s v="החזקת מתחם יגאל אלון 62         "/>
    <m/>
    <m/>
    <n v="187000"/>
    <n v="137000"/>
    <n v="195999"/>
    <m/>
    <x v="6"/>
    <s v="שירותים מקומיים"/>
    <x v="25"/>
    <s v="תברואה"/>
    <x v="78"/>
    <s v="שירותי ניקיון"/>
    <s v="7123"/>
    <s v="אסוף ובעור אשפה"/>
    <m/>
    <s v="7"/>
    <x v="13"/>
    <s v="75"/>
    <s v="עבודות קבלניות"/>
    <s v="755"/>
    <e v="#N/A"/>
  </r>
  <r>
    <n v="756"/>
    <s v="71231"/>
    <n v="1"/>
    <s v="171231.756"/>
    <s v="החזקת מרכז לוגיסטי עירוני       "/>
    <m/>
    <m/>
    <n v="430000"/>
    <n v="350000"/>
    <n v="475841"/>
    <m/>
    <x v="6"/>
    <s v="שירותים מקומיים"/>
    <x v="25"/>
    <s v="תברואה"/>
    <x v="78"/>
    <s v="שירותי ניקיון"/>
    <s v="7123"/>
    <s v="אסוף ובעור אשפה"/>
    <m/>
    <s v="7"/>
    <x v="13"/>
    <s v="75"/>
    <s v="עבודות קבלניות"/>
    <s v="756"/>
    <e v="#N/A"/>
  </r>
  <r>
    <n v="110"/>
    <s v="71232"/>
    <n v="1"/>
    <s v="171232.110"/>
    <s v="משכורת כוללת                    "/>
    <m/>
    <m/>
    <n v="32625000"/>
    <n v="31454000"/>
    <n v="30546978"/>
    <m/>
    <x v="6"/>
    <s v="שירותים מקומיים"/>
    <x v="25"/>
    <s v="תברואה"/>
    <x v="78"/>
    <s v="שירותי ניקיון"/>
    <s v="7123"/>
    <s v="אסוף ובעור אשפה"/>
    <m/>
    <s v="1"/>
    <x v="9"/>
    <s v="11"/>
    <s v="השכר הקובע"/>
    <s v="110"/>
    <e v="#N/A"/>
  </r>
  <r>
    <n v="124"/>
    <s v="71232"/>
    <n v="1"/>
    <s v="171232.124"/>
    <s v="החזר הוצאות                     "/>
    <m/>
    <m/>
    <n v="1648000"/>
    <n v="1592000"/>
    <n v="1545751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4"/>
    <e v="#N/A"/>
  </r>
  <r>
    <n v="126"/>
    <s v="71232"/>
    <n v="1"/>
    <s v="171232.126"/>
    <s v="הבראה                           "/>
    <m/>
    <m/>
    <n v="2755000"/>
    <n v="2770000"/>
    <n v="2696822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6"/>
    <e v="#N/A"/>
  </r>
  <r>
    <n v="127"/>
    <s v="71232"/>
    <n v="1"/>
    <s v="171232.127"/>
    <s v="השתתפות באחזקת רכב - 371        "/>
    <m/>
    <m/>
    <n v="7563000"/>
    <n v="6522000"/>
    <n v="6183189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7"/>
    <e v="#N/A"/>
  </r>
  <r>
    <n v="130"/>
    <s v="71232"/>
    <n v="1"/>
    <s v="171232.130"/>
    <s v="תשלומים  מיוחדים                "/>
    <m/>
    <m/>
    <n v="37630000"/>
    <n v="35152000"/>
    <n v="34584069"/>
    <m/>
    <x v="6"/>
    <s v="שירותים מקומיים"/>
    <x v="25"/>
    <s v="תברואה"/>
    <x v="78"/>
    <s v="שירותי ניקיון"/>
    <s v="7123"/>
    <s v="אסוף ובעור אשפה"/>
    <m/>
    <s v="1"/>
    <x v="9"/>
    <s v="13"/>
    <s v="שעות נוספות"/>
    <s v="130"/>
    <e v="#N/A"/>
  </r>
  <r>
    <n v="181"/>
    <s v="71232"/>
    <n v="1"/>
    <s v="171232.181"/>
    <s v="מיסים וביטוח לאומי              "/>
    <m/>
    <m/>
    <n v="10737000"/>
    <n v="10136000"/>
    <n v="9927389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1"/>
    <s v="הפרשות סוציאליות"/>
  </r>
  <r>
    <n v="182"/>
    <s v="71232"/>
    <n v="1"/>
    <s v="171232.182"/>
    <s v="קופות גמל והשתלמות              "/>
    <m/>
    <m/>
    <n v="9603000"/>
    <n v="9727000"/>
    <n v="9336928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2"/>
    <s v="מיסיום ועלויות"/>
  </r>
  <r>
    <n v="751"/>
    <s v="71232"/>
    <n v="1"/>
    <s v="171232.751"/>
    <s v="עבודת קבלנים בשכונות            "/>
    <m/>
    <m/>
    <n v="1760000"/>
    <n v="1760000"/>
    <n v="1965379"/>
    <m/>
    <x v="6"/>
    <s v="שירותים מקומיים"/>
    <x v="25"/>
    <s v="תברואה"/>
    <x v="78"/>
    <s v="שירותי ניקיון"/>
    <s v="7123"/>
    <s v="אסוף ובעור אשפה"/>
    <m/>
    <s v="7"/>
    <x v="13"/>
    <s v="75"/>
    <s v="עבודות קבלניות"/>
    <s v="751"/>
    <e v="#N/A"/>
  </r>
  <r>
    <n v="110"/>
    <s v="71233"/>
    <n v="1"/>
    <s v="171233.110"/>
    <s v="משכורת כוללת                    "/>
    <m/>
    <m/>
    <n v="11896000"/>
    <n v="11655000"/>
    <n v="11368483"/>
    <m/>
    <x v="6"/>
    <s v="שירותים מקומיים"/>
    <x v="25"/>
    <s v="תברואה"/>
    <x v="78"/>
    <s v="שירותי ניקיון"/>
    <s v="7123"/>
    <s v="אסוף ובעור אשפה"/>
    <m/>
    <s v="1"/>
    <x v="9"/>
    <s v="11"/>
    <s v="השכר הקובע"/>
    <s v="110"/>
    <e v="#N/A"/>
  </r>
  <r>
    <n v="124"/>
    <s v="71233"/>
    <n v="1"/>
    <s v="171233.124"/>
    <s v="החזר הוצאות                     "/>
    <m/>
    <m/>
    <n v="570000"/>
    <n v="582000"/>
    <n v="557115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4"/>
    <e v="#N/A"/>
  </r>
  <r>
    <n v="126"/>
    <s v="71233"/>
    <n v="1"/>
    <s v="171233.126"/>
    <s v="הבראה                           "/>
    <m/>
    <m/>
    <n v="966000"/>
    <n v="955000"/>
    <n v="927864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6"/>
    <e v="#N/A"/>
  </r>
  <r>
    <n v="127"/>
    <s v="71233"/>
    <n v="1"/>
    <s v="171233.127"/>
    <s v="השתתפות באחזקת רכב-132          "/>
    <m/>
    <m/>
    <n v="3083000"/>
    <n v="2973000"/>
    <n v="2812993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7"/>
    <e v="#N/A"/>
  </r>
  <r>
    <n v="130"/>
    <s v="71233"/>
    <n v="1"/>
    <s v="171233.130"/>
    <s v="תשלומים מיוחדים                 "/>
    <m/>
    <m/>
    <n v="19500000"/>
    <n v="18177000"/>
    <n v="18350793"/>
    <m/>
    <x v="6"/>
    <s v="שירותים מקומיים"/>
    <x v="25"/>
    <s v="תברואה"/>
    <x v="78"/>
    <s v="שירותי ניקיון"/>
    <s v="7123"/>
    <s v="אסוף ובעור אשפה"/>
    <m/>
    <s v="1"/>
    <x v="9"/>
    <s v="13"/>
    <s v="שעות נוספות"/>
    <s v="130"/>
    <e v="#N/A"/>
  </r>
  <r>
    <n v="181"/>
    <s v="71233"/>
    <n v="1"/>
    <s v="171233.181"/>
    <s v="מיסים וביטוח לאומי              "/>
    <m/>
    <m/>
    <n v="4711000"/>
    <n v="4486000"/>
    <n v="4622957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1"/>
    <s v="הפרשות סוציאליות"/>
  </r>
  <r>
    <n v="182"/>
    <s v="71233"/>
    <n v="1"/>
    <s v="171233.182"/>
    <s v="קופות גמל והשתלמות              "/>
    <m/>
    <m/>
    <n v="4288000"/>
    <n v="4198000"/>
    <n v="4081098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2"/>
    <s v="מיסיום ועלויות"/>
  </r>
  <r>
    <n v="110"/>
    <s v="71235"/>
    <n v="1"/>
    <s v="171235.110"/>
    <s v="משכורת כוללת                    "/>
    <m/>
    <m/>
    <n v="627000"/>
    <n v="571000"/>
    <n v="584297"/>
    <m/>
    <x v="6"/>
    <s v="שירותים מקומיים"/>
    <x v="25"/>
    <s v="תברואה"/>
    <x v="78"/>
    <s v="שירותי ניקיון"/>
    <s v="7123"/>
    <s v="אסוף ובעור אשפה"/>
    <m/>
    <s v="1"/>
    <x v="9"/>
    <s v="11"/>
    <s v="השכר הקובע"/>
    <s v="110"/>
    <e v="#N/A"/>
  </r>
  <r>
    <n v="124"/>
    <s v="71235"/>
    <n v="1"/>
    <s v="171235.124"/>
    <s v="החזר הוצאות                     "/>
    <m/>
    <m/>
    <n v="28000"/>
    <n v="26000"/>
    <n v="27048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4"/>
    <e v="#N/A"/>
  </r>
  <r>
    <n v="126"/>
    <s v="71235"/>
    <n v="1"/>
    <s v="171235.126"/>
    <s v="הבראה                           "/>
    <m/>
    <m/>
    <n v="47000"/>
    <n v="42000"/>
    <n v="42443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6"/>
    <e v="#N/A"/>
  </r>
  <r>
    <n v="127"/>
    <s v="71235"/>
    <n v="1"/>
    <s v="171235.127"/>
    <s v="השתתפות באחזקת רכב-8            "/>
    <m/>
    <m/>
    <n v="159000"/>
    <n v="130000"/>
    <n v="138626"/>
    <m/>
    <x v="6"/>
    <s v="שירותים מקומיים"/>
    <x v="25"/>
    <s v="תברואה"/>
    <x v="78"/>
    <s v="שירותי ניקיון"/>
    <s v="7123"/>
    <s v="אסוף ובעור אשפה"/>
    <m/>
    <s v="1"/>
    <x v="9"/>
    <s v="12"/>
    <s v="תוספות שאינן נכללות בשכר הקובע"/>
    <s v="127"/>
    <e v="#N/A"/>
  </r>
  <r>
    <n v="130"/>
    <s v="71235"/>
    <n v="1"/>
    <s v="171235.130"/>
    <s v="תשלומים מיוחדים                 "/>
    <m/>
    <m/>
    <n v="237000"/>
    <n v="227000"/>
    <n v="222297"/>
    <m/>
    <x v="6"/>
    <s v="שירותים מקומיים"/>
    <x v="25"/>
    <s v="תברואה"/>
    <x v="78"/>
    <s v="שירותי ניקיון"/>
    <s v="7123"/>
    <s v="אסוף ובעור אשפה"/>
    <m/>
    <s v="1"/>
    <x v="9"/>
    <s v="13"/>
    <s v="שעות נוספות"/>
    <s v="130"/>
    <e v="#N/A"/>
  </r>
  <r>
    <n v="181"/>
    <s v="71235"/>
    <n v="1"/>
    <s v="171235.181"/>
    <s v="מיסים וביטוח לאומי              "/>
    <m/>
    <m/>
    <n v="144000"/>
    <n v="130000"/>
    <n v="147485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1"/>
    <s v="הפרשות סוציאליות"/>
  </r>
  <r>
    <n v="182"/>
    <s v="71235"/>
    <n v="1"/>
    <s v="171235.182"/>
    <s v="קופות גמל והשתלמות              "/>
    <m/>
    <m/>
    <n v="167000"/>
    <n v="153000"/>
    <n v="151493"/>
    <m/>
    <x v="6"/>
    <s v="שירותים מקומיים"/>
    <x v="25"/>
    <s v="תברואה"/>
    <x v="78"/>
    <s v="שירותי ניקיון"/>
    <s v="7123"/>
    <s v="אסוף ובעור אשפה"/>
    <m/>
    <s v="1"/>
    <x v="9"/>
    <s v="18"/>
    <s v="נלוות לשכר"/>
    <s v="182"/>
    <s v="מיסיום ועלויות"/>
  </r>
  <r>
    <n v="531"/>
    <s v="71236"/>
    <n v="1"/>
    <s v="171236.531"/>
    <s v="אחזקת רכב                       "/>
    <m/>
    <m/>
    <n v="12940000"/>
    <n v="10740000"/>
    <n v="10759076"/>
    <m/>
    <x v="6"/>
    <s v="שירותים מקומיים"/>
    <x v="25"/>
    <s v="תברואה"/>
    <x v="78"/>
    <s v="שירותי ניקיון"/>
    <s v="7123"/>
    <s v="אסוף ובעור אשפה"/>
    <m/>
    <s v="5"/>
    <x v="11"/>
    <s v="53"/>
    <s v="הוצאות רכב מינהלי"/>
    <s v="531"/>
    <s v="דלק ושמנים"/>
  </r>
  <r>
    <n v="532"/>
    <s v="71236"/>
    <n v="1"/>
    <s v="171236.532"/>
    <s v="בטוח רכב                        "/>
    <m/>
    <m/>
    <n v="1600000"/>
    <n v="1465000"/>
    <n v="1390376"/>
    <m/>
    <x v="6"/>
    <s v="שירותים מקומיים"/>
    <x v="25"/>
    <s v="תברואה"/>
    <x v="78"/>
    <s v="שירותי ניקיון"/>
    <s v="7123"/>
    <s v="אסוף ובעור אשפה"/>
    <m/>
    <s v="5"/>
    <x v="11"/>
    <s v="53"/>
    <s v="הוצאות רכב מינהלי"/>
    <s v="532"/>
    <s v="תיקונים"/>
  </r>
  <r>
    <n v="533"/>
    <s v="71236"/>
    <n v="1"/>
    <s v="171236.533"/>
    <s v="שכירת רכב                       "/>
    <m/>
    <m/>
    <n v="230000"/>
    <n v="230000"/>
    <n v="144981"/>
    <m/>
    <x v="6"/>
    <s v="שירותים מקומיים"/>
    <x v="25"/>
    <s v="תברואה"/>
    <x v="78"/>
    <s v="שירותי ניקיון"/>
    <s v="7123"/>
    <s v="אסוף ובעור אשפה"/>
    <m/>
    <s v="5"/>
    <x v="11"/>
    <s v="53"/>
    <s v="הוצאות רכב מינהלי"/>
    <s v="533"/>
    <s v="רישוי וביטוח"/>
  </r>
  <r>
    <n v="534"/>
    <s v="71236"/>
    <n v="1"/>
    <s v="171236.534"/>
    <s v="דלק ושמן                        "/>
    <m/>
    <m/>
    <n v="10490000"/>
    <n v="12450000"/>
    <n v="11992856"/>
    <m/>
    <x v="6"/>
    <s v="שירותים מקומיים"/>
    <x v="25"/>
    <s v="תברואה"/>
    <x v="78"/>
    <s v="שירותי ניקיון"/>
    <s v="7123"/>
    <s v="אסוף ובעור אשפה"/>
    <m/>
    <s v="5"/>
    <x v="11"/>
    <s v="53"/>
    <s v="הוצאות רכב מינהלי"/>
    <s v="534"/>
    <e v="#N/A"/>
  </r>
  <r>
    <n v="831"/>
    <s v="71238"/>
    <n v="1"/>
    <s v="171238.831"/>
    <s v="השתתפות לאיגוד ערים דן לתברואה  "/>
    <m/>
    <m/>
    <n v="98050000"/>
    <n v="101550000"/>
    <n v="100949999"/>
    <m/>
    <x v="6"/>
    <s v="שירותים מקומיים"/>
    <x v="25"/>
    <s v="תברואה"/>
    <x v="78"/>
    <s v="שירותי ניקיון"/>
    <s v="7123"/>
    <s v="אסוף ובעור אשפה"/>
    <m/>
    <s v="8"/>
    <x v="16"/>
    <s v="83"/>
    <e v="#N/A"/>
    <s v="831"/>
    <e v="#N/A"/>
  </r>
  <r>
    <n v="110"/>
    <s v="71241"/>
    <n v="1"/>
    <s v="171241.110"/>
    <s v="משכורת כוללת                    "/>
    <m/>
    <m/>
    <n v="1127000"/>
    <n v="995000"/>
    <n v="1025452"/>
    <m/>
    <x v="6"/>
    <s v="שירותים מקומיים"/>
    <x v="25"/>
    <s v="תברואה"/>
    <x v="78"/>
    <s v="שירותי ניקיון"/>
    <s v="7124"/>
    <s v="ניקוי חצרות"/>
    <m/>
    <s v="1"/>
    <x v="9"/>
    <s v="11"/>
    <s v="השכר הקובע"/>
    <s v="110"/>
    <e v="#N/A"/>
  </r>
  <r>
    <n v="124"/>
    <s v="71241"/>
    <n v="1"/>
    <s v="171241.124"/>
    <s v="החזר הוצאות                     "/>
    <m/>
    <m/>
    <n v="44000"/>
    <n v="43000"/>
    <n v="42603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4"/>
    <e v="#N/A"/>
  </r>
  <r>
    <n v="126"/>
    <s v="71241"/>
    <n v="1"/>
    <s v="171241.126"/>
    <s v="הבראה                           "/>
    <m/>
    <m/>
    <n v="71000"/>
    <n v="63000"/>
    <n v="62342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6"/>
    <e v="#N/A"/>
  </r>
  <r>
    <n v="127"/>
    <s v="71241"/>
    <n v="1"/>
    <s v="171241.127"/>
    <s v="השתתפות באחזקת רכב - 11         "/>
    <m/>
    <m/>
    <n v="332000"/>
    <n v="305000"/>
    <n v="287715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7"/>
    <e v="#N/A"/>
  </r>
  <r>
    <n v="130"/>
    <s v="71241"/>
    <n v="1"/>
    <s v="171241.130"/>
    <s v="תשלומים  מיוחדים                "/>
    <m/>
    <m/>
    <n v="1158000"/>
    <n v="1085000"/>
    <n v="1100656"/>
    <m/>
    <x v="6"/>
    <s v="שירותים מקומיים"/>
    <x v="25"/>
    <s v="תברואה"/>
    <x v="78"/>
    <s v="שירותי ניקיון"/>
    <s v="7124"/>
    <s v="ניקוי חצרות"/>
    <m/>
    <s v="1"/>
    <x v="9"/>
    <s v="13"/>
    <s v="שעות נוספות"/>
    <s v="130"/>
    <e v="#N/A"/>
  </r>
  <r>
    <n v="181"/>
    <s v="71241"/>
    <n v="1"/>
    <s v="171241.181"/>
    <s v="מיסים וביטוח לאומי              "/>
    <m/>
    <m/>
    <n v="357000"/>
    <n v="326000"/>
    <n v="337509"/>
    <m/>
    <x v="6"/>
    <s v="שירותים מקומיים"/>
    <x v="25"/>
    <s v="תברואה"/>
    <x v="78"/>
    <s v="שירותי ניקיון"/>
    <s v="7124"/>
    <s v="ניקוי חצרות"/>
    <m/>
    <s v="1"/>
    <x v="9"/>
    <s v="18"/>
    <s v="נלוות לשכר"/>
    <s v="181"/>
    <s v="הפרשות סוציאליות"/>
  </r>
  <r>
    <n v="182"/>
    <s v="71241"/>
    <n v="1"/>
    <s v="171241.182"/>
    <s v="קופות גמל והשתלמות              "/>
    <m/>
    <m/>
    <n v="346000"/>
    <n v="320000"/>
    <n v="311034"/>
    <m/>
    <x v="6"/>
    <s v="שירותים מקומיים"/>
    <x v="25"/>
    <s v="תברואה"/>
    <x v="78"/>
    <s v="שירותי ניקיון"/>
    <s v="7124"/>
    <s v="ניקוי חצרות"/>
    <m/>
    <s v="1"/>
    <x v="9"/>
    <s v="18"/>
    <s v="נלוות לשכר"/>
    <s v="182"/>
    <s v="מיסיום ועלויות"/>
  </r>
  <r>
    <n v="110"/>
    <s v="71242"/>
    <n v="1"/>
    <s v="171242.110"/>
    <s v="משכורת כוללת                    "/>
    <m/>
    <m/>
    <n v="4259000"/>
    <n v="4061000"/>
    <n v="4015305"/>
    <m/>
    <x v="6"/>
    <s v="שירותים מקומיים"/>
    <x v="25"/>
    <s v="תברואה"/>
    <x v="78"/>
    <s v="שירותי ניקיון"/>
    <s v="7124"/>
    <s v="ניקוי חצרות"/>
    <m/>
    <s v="1"/>
    <x v="9"/>
    <s v="11"/>
    <s v="השכר הקובע"/>
    <s v="110"/>
    <e v="#N/A"/>
  </r>
  <r>
    <n v="124"/>
    <s v="71242"/>
    <n v="1"/>
    <s v="171242.124"/>
    <s v="החזר הוצאות                     "/>
    <m/>
    <m/>
    <n v="207000"/>
    <n v="205000"/>
    <n v="211550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4"/>
    <e v="#N/A"/>
  </r>
  <r>
    <n v="126"/>
    <s v="71242"/>
    <n v="1"/>
    <s v="171242.126"/>
    <s v="הבראה                           "/>
    <m/>
    <m/>
    <n v="318000"/>
    <n v="330000"/>
    <n v="344168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6"/>
    <e v="#N/A"/>
  </r>
  <r>
    <n v="127"/>
    <s v="71242"/>
    <n v="1"/>
    <s v="171242.127"/>
    <s v="השתתפות באחזקת רכב - 46         "/>
    <m/>
    <m/>
    <n v="990000"/>
    <n v="1068000"/>
    <n v="1005503"/>
    <m/>
    <x v="6"/>
    <s v="שירותים מקומיים"/>
    <x v="25"/>
    <s v="תברואה"/>
    <x v="78"/>
    <s v="שירותי ניקיון"/>
    <s v="7124"/>
    <s v="ניקוי חצרות"/>
    <m/>
    <s v="1"/>
    <x v="9"/>
    <s v="12"/>
    <s v="תוספות שאינן נכללות בשכר הקובע"/>
    <s v="127"/>
    <e v="#N/A"/>
  </r>
  <r>
    <n v="130"/>
    <s v="71242"/>
    <n v="1"/>
    <s v="171242.130"/>
    <s v="תשלומים מיוחדים                 "/>
    <m/>
    <m/>
    <n v="4056000"/>
    <n v="4641000"/>
    <n v="4239432"/>
    <m/>
    <x v="6"/>
    <s v="שירותים מקומיים"/>
    <x v="25"/>
    <s v="תברואה"/>
    <x v="78"/>
    <s v="שירותי ניקיון"/>
    <s v="7124"/>
    <s v="ניקוי חצרות"/>
    <m/>
    <s v="1"/>
    <x v="9"/>
    <s v="13"/>
    <s v="שעות נוספות"/>
    <s v="130"/>
    <e v="#N/A"/>
  </r>
  <r>
    <n v="181"/>
    <s v="71242"/>
    <n v="1"/>
    <s v="171242.181"/>
    <s v="מיסים וביטוח לאומי              "/>
    <m/>
    <m/>
    <n v="1286000"/>
    <n v="1348000"/>
    <n v="1339833"/>
    <m/>
    <x v="6"/>
    <s v="שירותים מקומיים"/>
    <x v="25"/>
    <s v="תברואה"/>
    <x v="78"/>
    <s v="שירותי ניקיון"/>
    <s v="7124"/>
    <s v="ניקוי חצרות"/>
    <m/>
    <s v="1"/>
    <x v="9"/>
    <s v="18"/>
    <s v="נלוות לשכר"/>
    <s v="181"/>
    <s v="הפרשות סוציאליות"/>
  </r>
  <r>
    <n v="182"/>
    <s v="71242"/>
    <n v="1"/>
    <s v="171242.182"/>
    <s v="קופות גמל והשתלמות              "/>
    <m/>
    <m/>
    <n v="1336000"/>
    <n v="1344000"/>
    <n v="1270827"/>
    <m/>
    <x v="6"/>
    <s v="שירותים מקומיים"/>
    <x v="25"/>
    <s v="תברואה"/>
    <x v="78"/>
    <s v="שירותי ניקיון"/>
    <s v="7124"/>
    <s v="ניקוי חצרות"/>
    <m/>
    <s v="1"/>
    <x v="9"/>
    <s v="18"/>
    <s v="נלוות לשכר"/>
    <s v="182"/>
    <s v="מיסיום ועלויות"/>
  </r>
  <r>
    <n v="531"/>
    <s v="71244"/>
    <n v="1"/>
    <s v="171244.531"/>
    <s v="אחזקת רכב                       "/>
    <m/>
    <m/>
    <n v="2430000"/>
    <n v="3270000"/>
    <n v="3271071"/>
    <m/>
    <x v="6"/>
    <s v="שירותים מקומיים"/>
    <x v="25"/>
    <s v="תברואה"/>
    <x v="78"/>
    <s v="שירותי ניקיון"/>
    <s v="7124"/>
    <s v="ניקוי חצרות"/>
    <m/>
    <s v="5"/>
    <x v="11"/>
    <s v="53"/>
    <s v="הוצאות רכב מינהלי"/>
    <s v="531"/>
    <s v="דלק ושמנים"/>
  </r>
  <r>
    <n v="532"/>
    <s v="71244"/>
    <n v="1"/>
    <s v="171244.532"/>
    <s v="ביטוח רכב                       "/>
    <m/>
    <m/>
    <n v="657000"/>
    <n v="601000"/>
    <n v="570076"/>
    <m/>
    <x v="6"/>
    <s v="שירותים מקומיים"/>
    <x v="25"/>
    <s v="תברואה"/>
    <x v="78"/>
    <s v="שירותי ניקיון"/>
    <s v="7124"/>
    <s v="ניקוי חצרות"/>
    <m/>
    <s v="5"/>
    <x v="11"/>
    <s v="53"/>
    <s v="הוצאות רכב מינהלי"/>
    <s v="532"/>
    <s v="תיקונים"/>
  </r>
  <r>
    <n v="534"/>
    <s v="71244"/>
    <n v="1"/>
    <s v="171244.534"/>
    <s v="דלק ושמן                        "/>
    <m/>
    <m/>
    <n v="1870000"/>
    <n v="1470000"/>
    <n v="1862452"/>
    <m/>
    <x v="6"/>
    <s v="שירותים מקומיים"/>
    <x v="25"/>
    <s v="תברואה"/>
    <x v="78"/>
    <s v="שירותי ניקיון"/>
    <s v="7124"/>
    <s v="ניקוי חצרות"/>
    <m/>
    <s v="5"/>
    <x v="11"/>
    <s v="53"/>
    <s v="הוצאות רכב מינהלי"/>
    <s v="534"/>
    <e v="#N/A"/>
  </r>
  <r>
    <n v="799"/>
    <s v="71250"/>
    <n v="1"/>
    <s v="171250.799"/>
    <s v="עלויות עודפות-מוסך              "/>
    <m/>
    <m/>
    <n v="6975000"/>
    <n v="6936000"/>
    <n v="6789889"/>
    <m/>
    <x v="6"/>
    <s v="שירותים מקומיים"/>
    <x v="25"/>
    <s v="תברואה"/>
    <x v="78"/>
    <s v="שירותי ניקיון"/>
    <s v="7125"/>
    <s v="בתי שימוש ציבוריים"/>
    <m/>
    <s v="7"/>
    <x v="13"/>
    <s v="79"/>
    <s v="השתתפות בתקציבי עזר 092"/>
    <s v="799"/>
    <e v="#N/A"/>
  </r>
  <r>
    <n v="433"/>
    <s v="71261"/>
    <n v="1"/>
    <s v="171261.433"/>
    <s v="ביטוח                           "/>
    <m/>
    <m/>
    <n v="1935000"/>
    <n v="2214000"/>
    <n v="1721000"/>
    <m/>
    <x v="6"/>
    <s v="שירותים מקומיים"/>
    <x v="25"/>
    <s v="תברואה"/>
    <x v="78"/>
    <s v="שירותי ניקיון"/>
    <s v="7126"/>
    <e v="#N/A"/>
    <m/>
    <s v="4"/>
    <x v="15"/>
    <s v="43"/>
    <s v="חשמל, מים וחומרי ניקיון"/>
    <s v="433"/>
    <s v="חומרי ניקיון"/>
  </r>
  <r>
    <n v="722"/>
    <s v="71261"/>
    <n v="1"/>
    <s v="171261.722"/>
    <s v="כפפות לעבודה                    "/>
    <m/>
    <m/>
    <n v="270000"/>
    <n v="240000"/>
    <n v="236749"/>
    <m/>
    <x v="6"/>
    <s v="שירותים מקומיים"/>
    <x v="25"/>
    <s v="תברואה"/>
    <x v="78"/>
    <s v="שירותי ניקיון"/>
    <s v="7126"/>
    <e v="#N/A"/>
    <m/>
    <s v="7"/>
    <x v="13"/>
    <s v="72"/>
    <s v="חומרים"/>
    <s v="722"/>
    <e v="#N/A"/>
  </r>
  <r>
    <n v="723"/>
    <s v="71261"/>
    <n v="1"/>
    <s v="171261.723"/>
    <s v="שקיות נילון                     "/>
    <m/>
    <m/>
    <n v="27000"/>
    <n v="27000"/>
    <n v="24166"/>
    <m/>
    <x v="6"/>
    <s v="שירותים מקומיים"/>
    <x v="25"/>
    <s v="תברואה"/>
    <x v="78"/>
    <s v="שירותי ניקיון"/>
    <s v="7126"/>
    <e v="#N/A"/>
    <m/>
    <s v="7"/>
    <x v="13"/>
    <s v="72"/>
    <s v="חומרים"/>
    <s v="723"/>
    <e v="#N/A"/>
  </r>
  <r>
    <n v="761"/>
    <s v="71261"/>
    <n v="1"/>
    <s v="171261.761"/>
    <s v="בגדי עבודה יחידתיים             "/>
    <m/>
    <m/>
    <n v="80000"/>
    <n v="80000"/>
    <n v="66921"/>
    <m/>
    <x v="6"/>
    <s v="שירותים מקומיים"/>
    <x v="25"/>
    <s v="תברואה"/>
    <x v="78"/>
    <s v="שירותי ניקיון"/>
    <s v="7126"/>
    <e v="#N/A"/>
    <m/>
    <s v="7"/>
    <x v="13"/>
    <s v="76"/>
    <s v="קניית שירותים מרשויות ומוסדות"/>
    <s v="761"/>
    <e v="#N/A"/>
  </r>
  <r>
    <n v="762"/>
    <s v="71261"/>
    <n v="1"/>
    <s v="171261.762"/>
    <s v="כביסה                           "/>
    <m/>
    <m/>
    <n v="25000"/>
    <n v="25000"/>
    <n v="24319"/>
    <m/>
    <x v="6"/>
    <s v="שירותים מקומיים"/>
    <x v="25"/>
    <s v="תברואה"/>
    <x v="78"/>
    <s v="שירותי ניקיון"/>
    <s v="7126"/>
    <e v="#N/A"/>
    <m/>
    <s v="7"/>
    <x v="13"/>
    <s v="76"/>
    <s v="קניית שירותים מרשויות ומוסדות"/>
    <s v="762"/>
    <e v="#N/A"/>
  </r>
  <r>
    <n v="781"/>
    <s v="71261"/>
    <n v="1"/>
    <s v="171261.781"/>
    <s v="חלב לפועלים                     "/>
    <m/>
    <m/>
    <n v="345000"/>
    <n v="345000"/>
    <n v="344858"/>
    <m/>
    <x v="6"/>
    <s v="שירותים מקומיים"/>
    <x v="25"/>
    <s v="תברואה"/>
    <x v="78"/>
    <s v="שירותי ניקיון"/>
    <s v="7126"/>
    <e v="#N/A"/>
    <m/>
    <s v="7"/>
    <x v="13"/>
    <s v="78"/>
    <s v="הוצאות שונות"/>
    <s v="781"/>
    <e v="#N/A"/>
  </r>
  <r>
    <n v="783"/>
    <s v="71261"/>
    <n v="1"/>
    <s v="171261.783"/>
    <s v="כלי עבודה-תיקונים               "/>
    <m/>
    <m/>
    <n v="27000"/>
    <n v="27000"/>
    <n v="7371"/>
    <m/>
    <x v="6"/>
    <s v="שירותים מקומיים"/>
    <x v="25"/>
    <s v="תברואה"/>
    <x v="78"/>
    <s v="שירותי ניקיון"/>
    <s v="7126"/>
    <e v="#N/A"/>
    <m/>
    <s v="7"/>
    <x v="13"/>
    <s v="78"/>
    <s v="הוצאות שונות"/>
    <s v="783"/>
    <e v="#N/A"/>
  </r>
  <r>
    <n v="784"/>
    <s v="71261"/>
    <n v="1"/>
    <s v="171261.784"/>
    <s v="בטיחות וציוד כיבוי אש           "/>
    <m/>
    <m/>
    <n v="65000"/>
    <n v="65000"/>
    <n v="57255"/>
    <m/>
    <x v="6"/>
    <s v="שירותים מקומיים"/>
    <x v="25"/>
    <s v="תברואה"/>
    <x v="78"/>
    <s v="שירותי ניקיון"/>
    <s v="7126"/>
    <e v="#N/A"/>
    <m/>
    <s v="7"/>
    <x v="13"/>
    <s v="78"/>
    <s v="הוצאות שונות"/>
    <s v="784"/>
    <e v="#N/A"/>
  </r>
  <r>
    <n v="785"/>
    <s v="71261"/>
    <n v="1"/>
    <s v="171261.785"/>
    <s v="תיקוני מזגנים                   "/>
    <m/>
    <m/>
    <n v="35000"/>
    <n v="35000"/>
    <n v="13529"/>
    <m/>
    <x v="6"/>
    <s v="שירותים מקומיים"/>
    <x v="25"/>
    <s v="תברואה"/>
    <x v="78"/>
    <s v="שירותי ניקיון"/>
    <s v="7126"/>
    <e v="#N/A"/>
    <m/>
    <s v="7"/>
    <x v="13"/>
    <s v="78"/>
    <s v="הוצאות שונות"/>
    <s v="785"/>
    <e v="#N/A"/>
  </r>
  <r>
    <n v="791"/>
    <s v="71261"/>
    <n v="1"/>
    <s v="171261.791"/>
    <s v="עב' בין מחלקתיות-הוצאות מוחזרות "/>
    <m/>
    <m/>
    <n v="-50000"/>
    <n v="-50000"/>
    <n v="0"/>
    <m/>
    <x v="6"/>
    <s v="שירותים מקומיים"/>
    <x v="25"/>
    <s v="תברואה"/>
    <x v="78"/>
    <s v="שירותי ניקיון"/>
    <s v="7126"/>
    <e v="#N/A"/>
    <m/>
    <s v="7"/>
    <x v="13"/>
    <s v="79"/>
    <s v="השתתפות בתקציבי עזר 092"/>
    <s v="791"/>
    <e v="#N/A"/>
  </r>
  <r>
    <n v="791"/>
    <s v="71261"/>
    <n v="1"/>
    <s v="171261.791"/>
    <s v="עבודות בין-מחלקתיות             "/>
    <m/>
    <m/>
    <n v="170000"/>
    <n v="170000"/>
    <n v="181982"/>
    <m/>
    <x v="6"/>
    <s v="שירותים מקומיים"/>
    <x v="25"/>
    <s v="תברואה"/>
    <x v="78"/>
    <s v="שירותי ניקיון"/>
    <s v="7126"/>
    <e v="#N/A"/>
    <m/>
    <s v="7"/>
    <x v="13"/>
    <s v="79"/>
    <s v="השתתפות בתקציבי עזר 092"/>
    <s v="791"/>
    <e v="#N/A"/>
  </r>
  <r>
    <n v="110"/>
    <s v="71510"/>
    <n v="1"/>
    <s v="171510.110"/>
    <s v="משכורת כוללת                    "/>
    <m/>
    <m/>
    <n v="1395000"/>
    <n v="1188000"/>
    <n v="1213884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1"/>
    <s v="השכר הקובע"/>
    <s v="110"/>
    <e v="#N/A"/>
  </r>
  <r>
    <n v="124"/>
    <s v="71510"/>
    <n v="1"/>
    <s v="171510.124"/>
    <s v="החזר הוצאות                     "/>
    <m/>
    <m/>
    <n v="59000"/>
    <n v="58000"/>
    <n v="59272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2"/>
    <s v="תוספות שאינן נכללות בשכר הקובע"/>
    <s v="124"/>
    <e v="#N/A"/>
  </r>
  <r>
    <n v="126"/>
    <s v="71510"/>
    <n v="1"/>
    <s v="171510.126"/>
    <s v="הבראה                           "/>
    <m/>
    <m/>
    <n v="103000"/>
    <n v="104000"/>
    <n v="104912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2"/>
    <s v="תוספות שאינן נכללות בשכר הקובע"/>
    <s v="126"/>
    <e v="#N/A"/>
  </r>
  <r>
    <n v="127"/>
    <s v="71510"/>
    <n v="1"/>
    <s v="171510.127"/>
    <s v="השתתפות באחזקת רכב-13           "/>
    <m/>
    <m/>
    <n v="331000"/>
    <n v="267000"/>
    <n v="283782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2"/>
    <s v="תוספות שאינן נכללות בשכר הקובע"/>
    <s v="127"/>
    <e v="#N/A"/>
  </r>
  <r>
    <n v="130"/>
    <s v="71510"/>
    <n v="1"/>
    <s v="171510.130"/>
    <s v="תשלומים מיוחדים                 "/>
    <m/>
    <m/>
    <n v="710000"/>
    <n v="718000"/>
    <n v="732788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3"/>
    <s v="שעות נוספות"/>
    <s v="130"/>
    <e v="#N/A"/>
  </r>
  <r>
    <n v="181"/>
    <s v="71510"/>
    <n v="1"/>
    <s v="171510.181"/>
    <s v="מיסים וביטוח לאומי              "/>
    <m/>
    <m/>
    <n v="339000"/>
    <n v="305000"/>
    <n v="316709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8"/>
    <s v="נלוות לשכר"/>
    <s v="181"/>
    <s v="הפרשות סוציאליות"/>
  </r>
  <r>
    <n v="182"/>
    <s v="71510"/>
    <n v="1"/>
    <s v="171510.182"/>
    <s v="קופות גמל והשתלמות              "/>
    <m/>
    <m/>
    <n v="323000"/>
    <n v="290000"/>
    <n v="294282"/>
    <m/>
    <x v="6"/>
    <s v="שירותים מקומיים"/>
    <x v="25"/>
    <s v="תברואה"/>
    <x v="79"/>
    <s v="תברואה מונעת"/>
    <s v="7151"/>
    <s v="מכירת חומרי תברואה"/>
    <m/>
    <s v="1"/>
    <x v="9"/>
    <s v="18"/>
    <s v="נלוות לשכר"/>
    <s v="182"/>
    <s v="מיסיום ועלויות"/>
  </r>
  <r>
    <n v="433"/>
    <s v="71510"/>
    <n v="1"/>
    <s v="171510.433"/>
    <s v="ביטוח                           "/>
    <m/>
    <m/>
    <n v="43000"/>
    <n v="43000"/>
    <n v="39000"/>
    <m/>
    <x v="6"/>
    <s v="שירותים מקומיים"/>
    <x v="25"/>
    <s v="תברואה"/>
    <x v="79"/>
    <s v="תברואה מונעת"/>
    <s v="7151"/>
    <s v="מכירת חומרי תברואה"/>
    <m/>
    <s v="4"/>
    <x v="15"/>
    <s v="43"/>
    <s v="חשמל, מים וחומרי ניקיון"/>
    <s v="433"/>
    <s v="חומרי ניקיון"/>
  </r>
  <r>
    <n v="531"/>
    <s v="71510"/>
    <n v="1"/>
    <s v="171510.531"/>
    <s v="אחזקת רכב                       "/>
    <m/>
    <m/>
    <n v="32000"/>
    <n v="32000"/>
    <n v="31982"/>
    <m/>
    <x v="6"/>
    <s v="שירותים מקומיים"/>
    <x v="25"/>
    <s v="תברואה"/>
    <x v="79"/>
    <s v="תברואה מונעת"/>
    <s v="7151"/>
    <s v="מכירת חומרי תברואה"/>
    <m/>
    <s v="5"/>
    <x v="11"/>
    <s v="53"/>
    <s v="הוצאות רכב מינהלי"/>
    <s v="531"/>
    <s v="דלק ושמנים"/>
  </r>
  <r>
    <n v="532"/>
    <s v="71510"/>
    <n v="1"/>
    <s v="171510.532"/>
    <s v="ביטוח רכב                       "/>
    <m/>
    <m/>
    <n v="27000"/>
    <n v="25000"/>
    <n v="23712"/>
    <m/>
    <x v="6"/>
    <s v="שירותים מקומיים"/>
    <x v="25"/>
    <s v="תברואה"/>
    <x v="79"/>
    <s v="תברואה מונעת"/>
    <s v="7151"/>
    <s v="מכירת חומרי תברואה"/>
    <m/>
    <s v="5"/>
    <x v="11"/>
    <s v="53"/>
    <s v="הוצאות רכב מינהלי"/>
    <s v="532"/>
    <s v="תיקונים"/>
  </r>
  <r>
    <n v="534"/>
    <s v="71510"/>
    <n v="1"/>
    <s v="171510.534"/>
    <s v="דלק ושמן                        "/>
    <m/>
    <m/>
    <n v="53000"/>
    <n v="54000"/>
    <n v="7947"/>
    <m/>
    <x v="6"/>
    <s v="שירותים מקומיים"/>
    <x v="25"/>
    <s v="תברואה"/>
    <x v="79"/>
    <s v="תברואה מונעת"/>
    <s v="7151"/>
    <s v="מכירת חומרי תברואה"/>
    <m/>
    <s v="5"/>
    <x v="11"/>
    <s v="53"/>
    <s v="הוצאות רכב מינהלי"/>
    <s v="534"/>
    <e v="#N/A"/>
  </r>
  <r>
    <n v="721"/>
    <s v="71510"/>
    <n v="1"/>
    <s v="171510.721"/>
    <s v="חמרי הדברה                      "/>
    <m/>
    <m/>
    <n v="200000"/>
    <n v="200000"/>
    <n v="93287"/>
    <m/>
    <x v="6"/>
    <s v="שירותים מקומיים"/>
    <x v="25"/>
    <s v="תברואה"/>
    <x v="79"/>
    <s v="תברואה מונעת"/>
    <s v="7151"/>
    <s v="מכירת חומרי תברואה"/>
    <m/>
    <s v="7"/>
    <x v="13"/>
    <s v="72"/>
    <s v="חומרים"/>
    <s v="721"/>
    <e v="#N/A"/>
  </r>
  <r>
    <n v="752"/>
    <s v="71510"/>
    <n v="1"/>
    <s v="171510.752"/>
    <s v="פינוי פגרים                     "/>
    <m/>
    <m/>
    <n v="330000"/>
    <n v="330000"/>
    <n v="268519"/>
    <m/>
    <x v="6"/>
    <s v="שירותים מקומיים"/>
    <x v="25"/>
    <s v="תברואה"/>
    <x v="79"/>
    <s v="תברואה מונעת"/>
    <s v="7151"/>
    <s v="מכירת חומרי תברואה"/>
    <m/>
    <s v="7"/>
    <x v="13"/>
    <s v="75"/>
    <s v="עבודות קבלניות"/>
    <s v="752"/>
    <e v="#N/A"/>
  </r>
  <r>
    <n v="753"/>
    <s v="71510"/>
    <n v="1"/>
    <s v="171510.753"/>
    <s v="לכידת נחשים                     "/>
    <m/>
    <m/>
    <n v="15000"/>
    <n v="15000"/>
    <n v="12337"/>
    <m/>
    <x v="6"/>
    <s v="שירותים מקומיים"/>
    <x v="25"/>
    <s v="תברואה"/>
    <x v="79"/>
    <s v="תברואה מונעת"/>
    <s v="7151"/>
    <s v="מכירת חומרי תברואה"/>
    <m/>
    <s v="7"/>
    <x v="13"/>
    <s v="75"/>
    <s v="עבודות קבלניות"/>
    <s v="753"/>
    <e v="#N/A"/>
  </r>
  <r>
    <n v="754"/>
    <s v="71510"/>
    <n v="1"/>
    <s v="171510.754"/>
    <s v="הדברה ביולוגית                  "/>
    <m/>
    <m/>
    <n v="5000"/>
    <n v="5000"/>
    <n v="0"/>
    <m/>
    <x v="6"/>
    <s v="שירותים מקומיים"/>
    <x v="25"/>
    <s v="תברואה"/>
    <x v="79"/>
    <s v="תברואה מונעת"/>
    <s v="7151"/>
    <s v="מכירת חומרי תברואה"/>
    <m/>
    <s v="7"/>
    <x v="13"/>
    <s v="75"/>
    <s v="עבודות קבלניות"/>
    <s v="754"/>
    <e v="#N/A"/>
  </r>
  <r>
    <n v="934"/>
    <s v="71510"/>
    <n v="1"/>
    <s v="171510.934"/>
    <s v="רכישת ציוד                      "/>
    <m/>
    <m/>
    <n v="35000"/>
    <n v="35000"/>
    <n v="25978"/>
    <m/>
    <x v="6"/>
    <s v="שירותים מקומיים"/>
    <x v="25"/>
    <s v="תברואה"/>
    <x v="79"/>
    <s v="תברואה מונעת"/>
    <s v="7151"/>
    <s v="מכירת חומרי תברואה"/>
    <m/>
    <s v="9"/>
    <x v="17"/>
    <s v="93"/>
    <s v="רכישת ציוד יסודי"/>
    <s v="934"/>
    <e v="#N/A"/>
  </r>
  <r>
    <n v="110"/>
    <s v="7210"/>
    <n v="1"/>
    <s v="17210.110"/>
    <s v="משכורת כוללת                    "/>
    <m/>
    <m/>
    <n v="1726000"/>
    <n v="1623000"/>
    <n v="1608734"/>
    <m/>
    <x v="6"/>
    <s v="שירותים מקומיים"/>
    <x v="26"/>
    <s v="שמירה ובטחון"/>
    <x v="80"/>
    <s v="מינהל שמירה ובטחון"/>
    <s v="7210"/>
    <e v="#N/A"/>
    <m/>
    <s v="1"/>
    <x v="9"/>
    <s v="11"/>
    <s v="השכר הקובע"/>
    <s v="110"/>
    <e v="#N/A"/>
  </r>
  <r>
    <n v="124"/>
    <s v="7210"/>
    <n v="1"/>
    <s v="17210.124"/>
    <s v="החזר הוצאות                     "/>
    <m/>
    <m/>
    <n v="97000"/>
    <n v="93000"/>
    <n v="95052"/>
    <m/>
    <x v="6"/>
    <s v="שירותים מקומיים"/>
    <x v="26"/>
    <s v="שמירה ובטחון"/>
    <x v="80"/>
    <s v="מינהל שמירה ובטחון"/>
    <s v="7210"/>
    <e v="#N/A"/>
    <m/>
    <s v="1"/>
    <x v="9"/>
    <s v="12"/>
    <s v="תוספות שאינן נכללות בשכר הקובע"/>
    <s v="124"/>
    <e v="#N/A"/>
  </r>
  <r>
    <n v="126"/>
    <s v="7210"/>
    <n v="1"/>
    <s v="17210.126"/>
    <s v="הבראה                           "/>
    <m/>
    <m/>
    <n v="68000"/>
    <n v="63000"/>
    <n v="63052"/>
    <m/>
    <x v="6"/>
    <s v="שירותים מקומיים"/>
    <x v="26"/>
    <s v="שמירה ובטחון"/>
    <x v="80"/>
    <s v="מינהל שמירה ובטחון"/>
    <s v="7210"/>
    <e v="#N/A"/>
    <m/>
    <s v="1"/>
    <x v="9"/>
    <s v="12"/>
    <s v="תוספות שאינן נכללות בשכר הקובע"/>
    <s v="126"/>
    <e v="#N/A"/>
  </r>
  <r>
    <n v="127"/>
    <s v="7210"/>
    <n v="1"/>
    <s v="17210.127"/>
    <s v="השתתפות באחזקת רכב-12           "/>
    <m/>
    <m/>
    <n v="328000"/>
    <n v="271000"/>
    <n v="265453"/>
    <m/>
    <x v="6"/>
    <s v="שירותים מקומיים"/>
    <x v="26"/>
    <s v="שמירה ובטחון"/>
    <x v="80"/>
    <s v="מינהל שמירה ובטחון"/>
    <s v="7210"/>
    <e v="#N/A"/>
    <m/>
    <s v="1"/>
    <x v="9"/>
    <s v="12"/>
    <s v="תוספות שאינן נכללות בשכר הקובע"/>
    <s v="127"/>
    <e v="#N/A"/>
  </r>
  <r>
    <n v="130"/>
    <s v="7210"/>
    <n v="1"/>
    <s v="17210.130"/>
    <s v="תשלומים מיוחדים                 "/>
    <m/>
    <m/>
    <n v="221000"/>
    <n v="220000"/>
    <n v="212885"/>
    <m/>
    <x v="6"/>
    <s v="שירותים מקומיים"/>
    <x v="26"/>
    <s v="שמירה ובטחון"/>
    <x v="80"/>
    <s v="מינהל שמירה ובטחון"/>
    <s v="7210"/>
    <e v="#N/A"/>
    <m/>
    <s v="1"/>
    <x v="9"/>
    <s v="13"/>
    <s v="שעות נוספות"/>
    <s v="130"/>
    <e v="#N/A"/>
  </r>
  <r>
    <n v="181"/>
    <s v="7210"/>
    <n v="1"/>
    <s v="17210.181"/>
    <s v="מיסים וביטוח לאומי              "/>
    <m/>
    <m/>
    <n v="342000"/>
    <n v="313000"/>
    <n v="316775"/>
    <m/>
    <x v="6"/>
    <s v="שירותים מקומיים"/>
    <x v="26"/>
    <s v="שמירה ובטחון"/>
    <x v="80"/>
    <s v="מינהל שמירה ובטחון"/>
    <s v="7210"/>
    <e v="#N/A"/>
    <m/>
    <s v="1"/>
    <x v="9"/>
    <s v="18"/>
    <s v="נלוות לשכר"/>
    <s v="181"/>
    <s v="הפרשות סוציאליות"/>
  </r>
  <r>
    <n v="182"/>
    <s v="7210"/>
    <n v="1"/>
    <s v="17210.182"/>
    <s v="קופות גמל והשתלמות              "/>
    <m/>
    <m/>
    <n v="307000"/>
    <n v="289000"/>
    <n v="288214"/>
    <m/>
    <x v="6"/>
    <s v="שירותים מקומיים"/>
    <x v="26"/>
    <s v="שמירה ובטחון"/>
    <x v="80"/>
    <s v="מינהל שמירה ובטחון"/>
    <s v="7210"/>
    <e v="#N/A"/>
    <m/>
    <s v="1"/>
    <x v="9"/>
    <s v="18"/>
    <s v="נלוות לשכר"/>
    <s v="182"/>
    <s v="מיסיום ועלויות"/>
  </r>
  <r>
    <n v="310"/>
    <s v="7210"/>
    <n v="1"/>
    <s v="17210.310"/>
    <s v="שעות נוספות רשומות              "/>
    <m/>
    <m/>
    <n v="169000"/>
    <n v="116000"/>
    <n v="148610"/>
    <m/>
    <x v="6"/>
    <s v="שירותים מקומיים"/>
    <x v="26"/>
    <s v="שמירה ובטחון"/>
    <x v="80"/>
    <s v="מינהל שמירה ובטחון"/>
    <s v="7210"/>
    <e v="#N/A"/>
    <m/>
    <s v="3"/>
    <x v="14"/>
    <s v="31"/>
    <s v="פנסיה"/>
    <s v="310"/>
    <e v="#N/A"/>
  </r>
  <r>
    <n v="340"/>
    <s v="7210"/>
    <n v="1"/>
    <s v="17210.340"/>
    <s v="שעות נוספות מיוחדות             "/>
    <m/>
    <m/>
    <n v="2000"/>
    <n v="2000"/>
    <n v="0"/>
    <m/>
    <x v="6"/>
    <s v="שירותים מקומיים"/>
    <x v="26"/>
    <s v="שמירה ובטחון"/>
    <x v="80"/>
    <s v="מינהל שמירה ובטחון"/>
    <s v="7210"/>
    <e v="#N/A"/>
    <m/>
    <s v="3"/>
    <x v="14"/>
    <s v="34"/>
    <e v="#N/A"/>
    <s v="340"/>
    <e v="#N/A"/>
  </r>
  <r>
    <n v="411"/>
    <s v="7210"/>
    <n v="1"/>
    <s v="17210.411"/>
    <s v="שכר דירה                        "/>
    <m/>
    <m/>
    <n v="1000"/>
    <n v="1000"/>
    <n v="0"/>
    <m/>
    <x v="6"/>
    <s v="שירותים מקומיים"/>
    <x v="26"/>
    <s v="שמירה ובטחון"/>
    <x v="80"/>
    <s v="מינהל שמירה ובטחון"/>
    <s v="7210"/>
    <e v="#N/A"/>
    <m/>
    <s v="4"/>
    <x v="15"/>
    <s v="41"/>
    <s v="שכר דירה ודמי חכירה"/>
    <s v="411"/>
    <e v="#N/A"/>
  </r>
  <r>
    <n v="412"/>
    <s v="7210"/>
    <n v="1"/>
    <s v="17210.412"/>
    <s v="מיסים ואגרות                    "/>
    <m/>
    <m/>
    <n v="1000"/>
    <n v="1000"/>
    <n v="2640"/>
    <m/>
    <x v="6"/>
    <s v="שירותים מקומיים"/>
    <x v="26"/>
    <s v="שמירה ובטחון"/>
    <x v="80"/>
    <s v="מינהל שמירה ובטחון"/>
    <s v="7210"/>
    <e v="#N/A"/>
    <m/>
    <s v="4"/>
    <x v="15"/>
    <s v="41"/>
    <s v="שכר דירה ודמי חכירה"/>
    <s v="412"/>
    <e v="#N/A"/>
  </r>
  <r>
    <n v="433"/>
    <s v="7210"/>
    <n v="1"/>
    <s v="17210.433"/>
    <s v="ביטוח                           "/>
    <m/>
    <m/>
    <n v="35000"/>
    <n v="33000"/>
    <n v="29000"/>
    <m/>
    <x v="6"/>
    <s v="שירותים מקומיים"/>
    <x v="26"/>
    <s v="שמירה ובטחון"/>
    <x v="80"/>
    <s v="מינהל שמירה ובטחון"/>
    <s v="7210"/>
    <e v="#N/A"/>
    <m/>
    <s v="4"/>
    <x v="15"/>
    <s v="43"/>
    <s v="חשמל, מים וחומרי ניקיון"/>
    <s v="433"/>
    <s v="חומרי ניקיון"/>
  </r>
  <r>
    <n v="434"/>
    <s v="7210"/>
    <n v="1"/>
    <s v="17210.434"/>
    <s v="תקוני מבנים  מתקנים ואינונטר    "/>
    <m/>
    <m/>
    <n v="18000"/>
    <n v="18000"/>
    <n v="14590"/>
    <m/>
    <x v="6"/>
    <s v="שירותים מקומיים"/>
    <x v="26"/>
    <s v="שמירה ובטחון"/>
    <x v="80"/>
    <s v="מינהל שמירה ובטחון"/>
    <s v="7210"/>
    <e v="#N/A"/>
    <m/>
    <s v="4"/>
    <x v="15"/>
    <s v="43"/>
    <s v="חשמל, מים וחומרי ניקיון"/>
    <s v="434"/>
    <s v="שירותי ניקיון"/>
  </r>
  <r>
    <n v="435"/>
    <s v="7210"/>
    <n v="1"/>
    <s v="17210.435"/>
    <s v="חשמל ואנרגיה                    "/>
    <m/>
    <m/>
    <n v="15000"/>
    <n v="15000"/>
    <n v="0"/>
    <m/>
    <x v="6"/>
    <s v="שירותים מקומיים"/>
    <x v="26"/>
    <s v="שמירה ובטחון"/>
    <x v="80"/>
    <s v="מינהל שמירה ובטחון"/>
    <s v="7210"/>
    <e v="#N/A"/>
    <m/>
    <s v="4"/>
    <x v="15"/>
    <s v="43"/>
    <s v="חשמל, מים וחומרי ניקיון"/>
    <s v="435"/>
    <e v="#N/A"/>
  </r>
  <r>
    <n v="437"/>
    <s v="7210"/>
    <n v="1"/>
    <s v="17210.437"/>
    <s v="שמירה                           "/>
    <m/>
    <m/>
    <n v="45000"/>
    <n v="45000"/>
    <n v="117426"/>
    <m/>
    <x v="6"/>
    <s v="שירותים מקומיים"/>
    <x v="26"/>
    <s v="שמירה ובטחון"/>
    <x v="80"/>
    <s v="מינהל שמירה ובטחון"/>
    <s v="7210"/>
    <e v="#N/A"/>
    <m/>
    <s v="4"/>
    <x v="15"/>
    <s v="43"/>
    <s v="חשמל, מים וחומרי ניקיון"/>
    <s v="437"/>
    <e v="#N/A"/>
  </r>
  <r>
    <n v="439"/>
    <s v="7210"/>
    <n v="1"/>
    <s v="17210.439"/>
    <s v="אחזקת בניני העיריה-השתתפות      "/>
    <m/>
    <m/>
    <n v="407000"/>
    <n v="401000"/>
    <n v="400000"/>
    <m/>
    <x v="6"/>
    <s v="שירותים מקומיים"/>
    <x v="26"/>
    <s v="שמירה ובטחון"/>
    <x v="80"/>
    <s v="מינהל שמירה ובטחון"/>
    <s v="7210"/>
    <e v="#N/A"/>
    <m/>
    <s v="4"/>
    <x v="15"/>
    <s v="43"/>
    <s v="חשמל, מים וחומרי ניקיון"/>
    <s v="439"/>
    <e v="#N/A"/>
  </r>
  <r>
    <n v="461"/>
    <s v="7210"/>
    <n v="1"/>
    <s v="17210.461"/>
    <s v="צורכי משרד                      "/>
    <m/>
    <m/>
    <n v="47000"/>
    <n v="50000"/>
    <n v="37364"/>
    <m/>
    <x v="6"/>
    <s v="שירותים מקומיים"/>
    <x v="26"/>
    <s v="שמירה ובטחון"/>
    <x v="80"/>
    <s v="מינהל שמירה ובטחון"/>
    <s v="7210"/>
    <e v="#N/A"/>
    <m/>
    <s v="4"/>
    <x v="15"/>
    <s v="46"/>
    <e v="#N/A"/>
    <s v="461"/>
    <e v="#N/A"/>
  </r>
  <r>
    <n v="464"/>
    <s v="7210"/>
    <n v="1"/>
    <s v="17210.464"/>
    <s v="דאר                             "/>
    <m/>
    <m/>
    <n v="3000"/>
    <n v="3000"/>
    <n v="0"/>
    <m/>
    <x v="6"/>
    <s v="שירותים מקומיים"/>
    <x v="26"/>
    <s v="שמירה ובטחון"/>
    <x v="80"/>
    <s v="מינהל שמירה ובטחון"/>
    <s v="7210"/>
    <e v="#N/A"/>
    <m/>
    <s v="4"/>
    <x v="15"/>
    <s v="46"/>
    <e v="#N/A"/>
    <s v="464"/>
    <e v="#N/A"/>
  </r>
  <r>
    <n v="521"/>
    <s v="7210"/>
    <n v="1"/>
    <s v="17210.521"/>
    <s v="הדרכה וכנסים                    "/>
    <m/>
    <m/>
    <n v="3000"/>
    <n v="3000"/>
    <n v="0"/>
    <m/>
    <x v="6"/>
    <s v="שירותים מקומיים"/>
    <x v="26"/>
    <s v="שמירה ובטחון"/>
    <x v="80"/>
    <s v="מינהל שמירה ובטחון"/>
    <s v="7210"/>
    <e v="#N/A"/>
    <m/>
    <s v="5"/>
    <x v="11"/>
    <s v="52"/>
    <s v="השתלמויות וספרות מקצועית"/>
    <s v="521"/>
    <s v="השתלמויות וספרות מקצועית"/>
  </r>
  <r>
    <n v="522"/>
    <s v="7210"/>
    <n v="1"/>
    <s v="17210.522"/>
    <s v="גיבוש יחידתי                    "/>
    <m/>
    <m/>
    <n v="8000"/>
    <n v="8000"/>
    <n v="19960"/>
    <m/>
    <x v="6"/>
    <s v="שירותים מקומיים"/>
    <x v="26"/>
    <s v="שמירה ובטחון"/>
    <x v="80"/>
    <s v="מינהל שמירה ובטחון"/>
    <s v="7210"/>
    <e v="#N/A"/>
    <m/>
    <s v="5"/>
    <x v="11"/>
    <s v="52"/>
    <s v="השתלמויות וספרות מקצועית"/>
    <s v="522"/>
    <s v="ספרות מקצועית ועיתונות"/>
  </r>
  <r>
    <n v="541"/>
    <s v="7210"/>
    <n v="1"/>
    <s v="17210.541"/>
    <s v="החזקת מכשירי קשר וסלולר         "/>
    <m/>
    <m/>
    <n v="45000"/>
    <n v="45000"/>
    <n v="53576"/>
    <m/>
    <x v="6"/>
    <s v="שירותים מקומיים"/>
    <x v="26"/>
    <s v="שמירה ובטחון"/>
    <x v="80"/>
    <s v="מינהל שמירה ובטחון"/>
    <s v="7210"/>
    <e v="#N/A"/>
    <m/>
    <s v="5"/>
    <x v="11"/>
    <s v="54"/>
    <s v="הוצאות תקשורת"/>
    <s v="541"/>
    <e v="#N/A"/>
  </r>
  <r>
    <n v="610"/>
    <s v="7210"/>
    <n v="1"/>
    <s v="17210.610"/>
    <s v="כיבודים                         "/>
    <m/>
    <m/>
    <n v="28000"/>
    <n v="28000"/>
    <n v="23536"/>
    <m/>
    <x v="6"/>
    <s v="שירותים מקומיים"/>
    <x v="26"/>
    <s v="שמירה ובטחון"/>
    <x v="80"/>
    <s v="מינהל שמירה ובטחון"/>
    <s v="7210"/>
    <e v="#N/A"/>
    <m/>
    <s v="6"/>
    <x v="12"/>
    <s v="61"/>
    <s v="עמלות"/>
    <s v="610"/>
    <e v="#N/A"/>
  </r>
  <r>
    <n v="670"/>
    <s v="7210"/>
    <n v="1"/>
    <s v="17210.670"/>
    <s v="סעיף שאינו חוזר                 "/>
    <m/>
    <m/>
    <n v="0"/>
    <n v="40000"/>
    <n v="37431"/>
    <m/>
    <x v="6"/>
    <s v="שירותים מקומיים"/>
    <x v="26"/>
    <s v="שמירה ובטחון"/>
    <x v="80"/>
    <s v="מינהל שמירה ובטחון"/>
    <s v="7210"/>
    <e v="#N/A"/>
    <m/>
    <s v="6"/>
    <x v="12"/>
    <s v="67"/>
    <e v="#N/A"/>
    <s v="670"/>
    <e v="#N/A"/>
  </r>
  <r>
    <n v="680"/>
    <s v="7210"/>
    <n v="1"/>
    <s v="17210.680"/>
    <s v="הוצאות מיוחדות                  "/>
    <m/>
    <m/>
    <n v="20000"/>
    <n v="20000"/>
    <n v="12074"/>
    <m/>
    <x v="6"/>
    <s v="שירותים מקומיים"/>
    <x v="26"/>
    <s v="שמירה ובטחון"/>
    <x v="80"/>
    <s v="מינהל שמירה ובטחון"/>
    <s v="7210"/>
    <e v="#N/A"/>
    <m/>
    <s v="6"/>
    <x v="12"/>
    <s v="68"/>
    <s v="ריבית על הוצאות אחרות"/>
    <s v="680"/>
    <e v="#N/A"/>
  </r>
  <r>
    <n v="691"/>
    <s v="7210"/>
    <n v="1"/>
    <s v="17210.691"/>
    <s v="מערכות מידע ומחשוב              "/>
    <m/>
    <m/>
    <n v="210000"/>
    <n v="180000"/>
    <n v="284775"/>
    <m/>
    <x v="6"/>
    <s v="שירותים מקומיים"/>
    <x v="26"/>
    <s v="שמירה ובטחון"/>
    <x v="80"/>
    <s v="מינהל שמירה ובטחון"/>
    <s v="7210"/>
    <e v="#N/A"/>
    <m/>
    <s v="6"/>
    <x v="12"/>
    <s v="69"/>
    <s v="שונות"/>
    <s v="691"/>
    <s v="תשלום ע&quot;ח קרן"/>
  </r>
  <r>
    <n v="693"/>
    <s v="7210"/>
    <n v="1"/>
    <s v="17210.693"/>
    <s v="מיחשוב יחידתי                   "/>
    <m/>
    <m/>
    <n v="14000"/>
    <n v="14000"/>
    <n v="18360"/>
    <m/>
    <x v="6"/>
    <s v="שירותים מקומיים"/>
    <x v="26"/>
    <s v="שמירה ובטחון"/>
    <x v="80"/>
    <s v="מינהל שמירה ובטחון"/>
    <s v="7210"/>
    <e v="#N/A"/>
    <m/>
    <s v="6"/>
    <x v="12"/>
    <s v="69"/>
    <s v="שונות"/>
    <s v="693"/>
    <s v="תשלום ע&quot;ח הצמדת ערך"/>
  </r>
  <r>
    <n v="753"/>
    <s v="7210"/>
    <n v="1"/>
    <s v="17210.753"/>
    <s v="דמי איגוד                       "/>
    <m/>
    <m/>
    <n v="1000"/>
    <n v="1000"/>
    <n v="1265"/>
    <m/>
    <x v="6"/>
    <s v="שירותים מקומיים"/>
    <x v="26"/>
    <s v="שמירה ובטחון"/>
    <x v="80"/>
    <s v="מינהל שמירה ובטחון"/>
    <s v="7210"/>
    <e v="#N/A"/>
    <m/>
    <s v="7"/>
    <x v="13"/>
    <s v="75"/>
    <s v="עבודות קבלניות"/>
    <s v="753"/>
    <e v="#N/A"/>
  </r>
  <r>
    <n v="781"/>
    <s v="7210"/>
    <n v="1"/>
    <s v="17210.781"/>
    <s v="אירועים ותרגילים                "/>
    <m/>
    <m/>
    <n v="60000"/>
    <n v="60000"/>
    <n v="28032"/>
    <m/>
    <x v="6"/>
    <s v="שירותים מקומיים"/>
    <x v="26"/>
    <s v="שמירה ובטחון"/>
    <x v="80"/>
    <s v="מינהל שמירה ובטחון"/>
    <s v="7210"/>
    <e v="#N/A"/>
    <m/>
    <s v="7"/>
    <x v="13"/>
    <s v="78"/>
    <s v="הוצאות שונות"/>
    <s v="781"/>
    <e v="#N/A"/>
  </r>
  <r>
    <n v="783"/>
    <s v="7210"/>
    <n v="1"/>
    <s v="17210.783"/>
    <s v="השתלמויות מערך החרום            "/>
    <m/>
    <m/>
    <n v="30000"/>
    <n v="30000"/>
    <n v="10790"/>
    <m/>
    <x v="6"/>
    <s v="שירותים מקומיים"/>
    <x v="26"/>
    <s v="שמירה ובטחון"/>
    <x v="80"/>
    <s v="מינהל שמירה ובטחון"/>
    <s v="7210"/>
    <e v="#N/A"/>
    <m/>
    <s v="7"/>
    <x v="13"/>
    <s v="78"/>
    <s v="הוצאות שונות"/>
    <s v="783"/>
    <e v="#N/A"/>
  </r>
  <r>
    <n v="786"/>
    <s v="7210"/>
    <n v="1"/>
    <s v="17210.786"/>
    <s v="מתנדבי שירות לאומי              "/>
    <m/>
    <m/>
    <n v="115000"/>
    <n v="0"/>
    <n v="0"/>
    <m/>
    <x v="6"/>
    <s v="שירותים מקומיים"/>
    <x v="26"/>
    <s v="שמירה ובטחון"/>
    <x v="80"/>
    <s v="מינהל שמירה ובטחון"/>
    <s v="7210"/>
    <e v="#N/A"/>
    <m/>
    <s v="7"/>
    <x v="13"/>
    <s v="78"/>
    <s v="הוצאות שונות"/>
    <s v="786"/>
    <e v="#N/A"/>
  </r>
  <r>
    <n v="932"/>
    <s v="7210"/>
    <n v="1"/>
    <s v="17210.932"/>
    <s v="ציוד וריהוט משרדי               "/>
    <m/>
    <m/>
    <n v="13000"/>
    <n v="13000"/>
    <n v="10848"/>
    <m/>
    <x v="6"/>
    <s v="שירותים מקומיים"/>
    <x v="26"/>
    <s v="שמירה ובטחון"/>
    <x v="80"/>
    <s v="מינהל שמירה ובטחון"/>
    <s v="7210"/>
    <e v="#N/A"/>
    <m/>
    <s v="9"/>
    <x v="17"/>
    <s v="93"/>
    <s v="רכישת ציוד יסודי"/>
    <s v="932"/>
    <e v="#N/A"/>
  </r>
  <r>
    <n v="934"/>
    <s v="7210"/>
    <n v="1"/>
    <s v="17210.934"/>
    <s v="ציוד תפעולי                     "/>
    <m/>
    <m/>
    <n v="1000"/>
    <n v="1000"/>
    <n v="0"/>
    <m/>
    <x v="6"/>
    <s v="שירותים מקומיים"/>
    <x v="26"/>
    <s v="שמירה ובטחון"/>
    <x v="80"/>
    <s v="מינהל שמירה ובטחון"/>
    <s v="7210"/>
    <e v="#N/A"/>
    <m/>
    <s v="9"/>
    <x v="17"/>
    <s v="93"/>
    <s v="רכישת ציוד יסודי"/>
    <s v="934"/>
    <e v="#N/A"/>
  </r>
  <r>
    <n v="110"/>
    <s v="72210"/>
    <n v="1"/>
    <s v="172210.110"/>
    <s v="משכורת כוללת                    "/>
    <m/>
    <m/>
    <n v="85000"/>
    <n v="89000"/>
    <n v="82242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1"/>
    <s v="השכר הקובע"/>
    <s v="110"/>
    <e v="#N/A"/>
  </r>
  <r>
    <n v="124"/>
    <s v="72210"/>
    <n v="1"/>
    <s v="172210.124"/>
    <s v="החזר הוצאות                     "/>
    <m/>
    <m/>
    <n v="10000"/>
    <n v="9000"/>
    <n v="9358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2"/>
    <s v="תוספות שאינן נכללות בשכר הקובע"/>
    <s v="124"/>
    <e v="#N/A"/>
  </r>
  <r>
    <n v="126"/>
    <s v="72210"/>
    <n v="1"/>
    <s v="172210.126"/>
    <s v="הבראה                           "/>
    <m/>
    <m/>
    <n v="7000"/>
    <n v="5000"/>
    <n v="4697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2"/>
    <s v="תוספות שאינן נכללות בשכר הקובע"/>
    <s v="126"/>
    <e v="#N/A"/>
  </r>
  <r>
    <n v="127"/>
    <s v="72210"/>
    <n v="1"/>
    <s v="172210.127"/>
    <s v="השתתפות באחזקת רכב-1            "/>
    <m/>
    <m/>
    <n v="22000"/>
    <n v="25000"/>
    <n v="23058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2"/>
    <s v="תוספות שאינן נכללות בשכר הקובע"/>
    <s v="127"/>
    <e v="#N/A"/>
  </r>
  <r>
    <n v="130"/>
    <s v="72210"/>
    <n v="1"/>
    <s v="172210.130"/>
    <s v="תשלומים מיוחדים                 "/>
    <m/>
    <m/>
    <n v="6000"/>
    <n v="8000"/>
    <n v="7749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3"/>
    <s v="שעות נוספות"/>
    <s v="130"/>
    <e v="#N/A"/>
  </r>
  <r>
    <n v="181"/>
    <s v="72210"/>
    <n v="1"/>
    <s v="172210.181"/>
    <s v="מיסים וביטוח לאומי              "/>
    <m/>
    <m/>
    <n v="17000"/>
    <n v="18000"/>
    <n v="16575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8"/>
    <s v="נלוות לשכר"/>
    <s v="181"/>
    <s v="הפרשות סוציאליות"/>
  </r>
  <r>
    <n v="182"/>
    <s v="72210"/>
    <n v="1"/>
    <s v="172210.182"/>
    <s v="קופות גמל והשתלמות              "/>
    <m/>
    <m/>
    <n v="31000"/>
    <n v="23000"/>
    <n v="21841"/>
    <m/>
    <x v="6"/>
    <s v="שירותים מקומיים"/>
    <x v="26"/>
    <s v="שמירה ובטחון"/>
    <x v="81"/>
    <s v="שמירה ביטחונית"/>
    <s v="7221"/>
    <s v="משמר אזרחי"/>
    <m/>
    <s v="1"/>
    <x v="9"/>
    <s v="18"/>
    <s v="נלוות לשכר"/>
    <s v="182"/>
    <s v="מיסיום ועלויות"/>
  </r>
  <r>
    <n v="310"/>
    <s v="72210"/>
    <n v="1"/>
    <s v="172210.310"/>
    <s v="שעות נוספות רשומות              "/>
    <m/>
    <m/>
    <n v="4000"/>
    <n v="4000"/>
    <n v="2036"/>
    <m/>
    <x v="6"/>
    <s v="שירותים מקומיים"/>
    <x v="26"/>
    <s v="שמירה ובטחון"/>
    <x v="81"/>
    <s v="שמירה ביטחונית"/>
    <s v="7221"/>
    <s v="משמר אזרחי"/>
    <m/>
    <s v="3"/>
    <x v="14"/>
    <s v="31"/>
    <s v="פנסיה"/>
    <s v="310"/>
    <e v="#N/A"/>
  </r>
  <r>
    <n v="411"/>
    <s v="72210"/>
    <n v="1"/>
    <s v="172210.411"/>
    <s v="שכר דירה וועד בית               "/>
    <m/>
    <m/>
    <n v="415000"/>
    <n v="415000"/>
    <n v="343999"/>
    <m/>
    <x v="6"/>
    <s v="שירותים מקומיים"/>
    <x v="26"/>
    <s v="שמירה ובטחון"/>
    <x v="81"/>
    <s v="שמירה ביטחונית"/>
    <s v="7221"/>
    <s v="משמר אזרחי"/>
    <m/>
    <s v="4"/>
    <x v="15"/>
    <s v="41"/>
    <s v="שכר דירה ודמי חכירה"/>
    <s v="411"/>
    <e v="#N/A"/>
  </r>
  <r>
    <n v="433"/>
    <s v="72210"/>
    <n v="1"/>
    <s v="172210.433"/>
    <s v="ביטוח                           "/>
    <m/>
    <m/>
    <n v="46000"/>
    <n v="39000"/>
    <n v="36000"/>
    <m/>
    <x v="6"/>
    <s v="שירותים מקומיים"/>
    <x v="26"/>
    <s v="שמירה ובטחון"/>
    <x v="81"/>
    <s v="שמירה ביטחונית"/>
    <s v="7221"/>
    <s v="משמר אזרחי"/>
    <m/>
    <s v="4"/>
    <x v="15"/>
    <s v="43"/>
    <s v="חשמל, מים וחומרי ניקיון"/>
    <s v="433"/>
    <s v="חומרי ניקיון"/>
  </r>
  <r>
    <n v="434"/>
    <s v="72210"/>
    <n v="1"/>
    <s v="172210.434"/>
    <s v="אחזקת בסיסים                    "/>
    <m/>
    <m/>
    <n v="138000"/>
    <n v="138000"/>
    <n v="134305"/>
    <m/>
    <x v="6"/>
    <s v="שירותים מקומיים"/>
    <x v="26"/>
    <s v="שמירה ובטחון"/>
    <x v="81"/>
    <s v="שמירה ביטחונית"/>
    <s v="7221"/>
    <s v="משמר אזרחי"/>
    <m/>
    <s v="4"/>
    <x v="15"/>
    <s v="43"/>
    <s v="חשמל, מים וחומרי ניקיון"/>
    <s v="434"/>
    <s v="שירותי ניקיון"/>
  </r>
  <r>
    <n v="435"/>
    <s v="72210"/>
    <n v="1"/>
    <s v="172210.435"/>
    <s v="חשמל ואנרגיה                    "/>
    <m/>
    <m/>
    <n v="102000"/>
    <n v="112000"/>
    <n v="133912"/>
    <m/>
    <x v="6"/>
    <s v="שירותים מקומיים"/>
    <x v="26"/>
    <s v="שמירה ובטחון"/>
    <x v="81"/>
    <s v="שמירה ביטחונית"/>
    <s v="7221"/>
    <s v="משמר אזרחי"/>
    <m/>
    <s v="4"/>
    <x v="15"/>
    <s v="43"/>
    <s v="חשמל, מים וחומרי ניקיון"/>
    <s v="435"/>
    <e v="#N/A"/>
  </r>
  <r>
    <n v="461"/>
    <s v="72210"/>
    <n v="1"/>
    <s v="172210.461"/>
    <s v="צורכי משרד                      "/>
    <m/>
    <m/>
    <n v="22000"/>
    <n v="20000"/>
    <n v="16299"/>
    <m/>
    <x v="6"/>
    <s v="שירותים מקומיים"/>
    <x v="26"/>
    <s v="שמירה ובטחון"/>
    <x v="81"/>
    <s v="שמירה ביטחונית"/>
    <s v="7221"/>
    <s v="משמר אזרחי"/>
    <m/>
    <s v="4"/>
    <x v="15"/>
    <s v="46"/>
    <e v="#N/A"/>
    <s v="461"/>
    <e v="#N/A"/>
  </r>
  <r>
    <n v="610"/>
    <s v="72210"/>
    <n v="1"/>
    <s v="172210.610"/>
    <s v="כבודים למתנדבים                 "/>
    <m/>
    <m/>
    <n v="100000"/>
    <n v="100000"/>
    <n v="83308"/>
    <m/>
    <x v="6"/>
    <s v="שירותים מקומיים"/>
    <x v="26"/>
    <s v="שמירה ובטחון"/>
    <x v="81"/>
    <s v="שמירה ביטחונית"/>
    <s v="7221"/>
    <s v="משמר אזרחי"/>
    <m/>
    <s v="6"/>
    <x v="12"/>
    <s v="61"/>
    <s v="עמלות"/>
    <s v="610"/>
    <e v="#N/A"/>
  </r>
  <r>
    <n v="693"/>
    <s v="72210"/>
    <n v="1"/>
    <s v="172210.693"/>
    <s v="מיחשוב יחידתי                   "/>
    <m/>
    <m/>
    <n v="12000"/>
    <n v="12000"/>
    <n v="11054"/>
    <m/>
    <x v="6"/>
    <s v="שירותים מקומיים"/>
    <x v="26"/>
    <s v="שמירה ובטחון"/>
    <x v="81"/>
    <s v="שמירה ביטחונית"/>
    <s v="7221"/>
    <s v="משמר אזרחי"/>
    <m/>
    <s v="6"/>
    <x v="12"/>
    <s v="69"/>
    <s v="שונות"/>
    <s v="693"/>
    <s v="תשלום ע&quot;ח הצמדת ערך"/>
  </r>
  <r>
    <n v="781"/>
    <s v="72210"/>
    <n v="1"/>
    <s v="172210.781"/>
    <s v="הוצאות שונות ומטווחים           "/>
    <m/>
    <m/>
    <n v="5000"/>
    <n v="5000"/>
    <n v="578"/>
    <m/>
    <x v="6"/>
    <s v="שירותים מקומיים"/>
    <x v="26"/>
    <s v="שמירה ובטחון"/>
    <x v="81"/>
    <s v="שמירה ביטחונית"/>
    <s v="7221"/>
    <s v="משמר אזרחי"/>
    <m/>
    <s v="7"/>
    <x v="13"/>
    <s v="78"/>
    <s v="הוצאות שונות"/>
    <s v="781"/>
    <e v="#N/A"/>
  </r>
  <r>
    <n v="782"/>
    <s v="72210"/>
    <n v="1"/>
    <s v="172210.782"/>
    <s v="ארועים וכנסים                   "/>
    <m/>
    <m/>
    <n v="60000"/>
    <n v="60000"/>
    <n v="60101"/>
    <m/>
    <x v="6"/>
    <s v="שירותים מקומיים"/>
    <x v="26"/>
    <s v="שמירה ובטחון"/>
    <x v="81"/>
    <s v="שמירה ביטחונית"/>
    <s v="7221"/>
    <s v="משמר אזרחי"/>
    <m/>
    <s v="7"/>
    <x v="13"/>
    <s v="78"/>
    <s v="הוצאות שונות"/>
    <s v="782"/>
    <e v="#N/A"/>
  </r>
  <r>
    <n v="783"/>
    <s v="72210"/>
    <n v="1"/>
    <s v="172210.783"/>
    <s v="הוצאות נקיון בבסיסים            "/>
    <m/>
    <m/>
    <n v="10000"/>
    <n v="10000"/>
    <n v="4425"/>
    <m/>
    <x v="6"/>
    <s v="שירותים מקומיים"/>
    <x v="26"/>
    <s v="שמירה ובטחון"/>
    <x v="81"/>
    <s v="שמירה ביטחונית"/>
    <s v="7221"/>
    <s v="משמר אזרחי"/>
    <m/>
    <s v="7"/>
    <x v="13"/>
    <s v="78"/>
    <s v="הוצאות שונות"/>
    <s v="783"/>
    <e v="#N/A"/>
  </r>
  <r>
    <n v="921"/>
    <s v="72210"/>
    <n v="1"/>
    <s v="172210.921"/>
    <s v="העתקה ומיגון בסיסים             "/>
    <m/>
    <m/>
    <n v="28000"/>
    <n v="28000"/>
    <n v="14181"/>
    <m/>
    <x v="6"/>
    <s v="שירותים מקומיים"/>
    <x v="26"/>
    <s v="שמירה ובטחון"/>
    <x v="81"/>
    <s v="שמירה ביטחונית"/>
    <s v="7221"/>
    <s v="משמר אזרחי"/>
    <m/>
    <s v="9"/>
    <x v="17"/>
    <s v="92"/>
    <s v="הוצאות לעבודות פיתוח"/>
    <s v="921"/>
    <e v="#N/A"/>
  </r>
  <r>
    <n v="922"/>
    <s v="72210"/>
    <n v="1"/>
    <s v="172210.922"/>
    <s v="שיפוץ בסיסים                    "/>
    <m/>
    <m/>
    <n v="130000"/>
    <n v="130000"/>
    <n v="129726"/>
    <m/>
    <x v="6"/>
    <s v="שירותים מקומיים"/>
    <x v="26"/>
    <s v="שמירה ובטחון"/>
    <x v="81"/>
    <s v="שמירה ביטחונית"/>
    <s v="7221"/>
    <s v="משמר אזרחי"/>
    <m/>
    <s v="9"/>
    <x v="17"/>
    <s v="92"/>
    <s v="הוצאות לעבודות פיתוח"/>
    <s v="922"/>
    <e v="#N/A"/>
  </r>
  <r>
    <n v="932"/>
    <s v="72210"/>
    <n v="1"/>
    <s v="172210.932"/>
    <s v="ציוד וריהוט משרדי               "/>
    <m/>
    <m/>
    <n v="10000"/>
    <n v="10000"/>
    <n v="10765"/>
    <m/>
    <x v="6"/>
    <s v="שירותים מקומיים"/>
    <x v="26"/>
    <s v="שמירה ובטחון"/>
    <x v="81"/>
    <s v="שמירה ביטחונית"/>
    <s v="7221"/>
    <s v="משמר אזרחי"/>
    <m/>
    <s v="9"/>
    <x v="17"/>
    <s v="93"/>
    <s v="רכישת ציוד יסודי"/>
    <s v="932"/>
    <e v="#N/A"/>
  </r>
  <r>
    <n v="110"/>
    <s v="72220"/>
    <n v="1"/>
    <s v="172220.110"/>
    <s v="משכורת כוללת                    "/>
    <m/>
    <m/>
    <n v="1831000"/>
    <n v="1642000"/>
    <n v="1531000"/>
    <m/>
    <x v="6"/>
    <s v="שירותים מקומיים"/>
    <x v="26"/>
    <s v="שמירה ובטחון"/>
    <x v="81"/>
    <s v="שמירה ביטחונית"/>
    <s v="7222"/>
    <e v="#N/A"/>
    <m/>
    <s v="1"/>
    <x v="9"/>
    <s v="11"/>
    <s v="השכר הקובע"/>
    <s v="110"/>
    <e v="#N/A"/>
  </r>
  <r>
    <n v="124"/>
    <s v="72220"/>
    <n v="1"/>
    <s v="172220.124"/>
    <s v="החזר הוצאות                     "/>
    <m/>
    <m/>
    <n v="99000"/>
    <n v="95000"/>
    <n v="91769"/>
    <m/>
    <x v="6"/>
    <s v="שירותים מקומיים"/>
    <x v="26"/>
    <s v="שמירה ובטחון"/>
    <x v="81"/>
    <s v="שמירה ביטחונית"/>
    <s v="7222"/>
    <e v="#N/A"/>
    <m/>
    <s v="1"/>
    <x v="9"/>
    <s v="12"/>
    <s v="תוספות שאינן נכללות בשכר הקובע"/>
    <s v="124"/>
    <e v="#N/A"/>
  </r>
  <r>
    <n v="126"/>
    <s v="72220"/>
    <n v="1"/>
    <s v="172220.126"/>
    <s v="הבראה                           "/>
    <m/>
    <m/>
    <n v="87000"/>
    <n v="81000"/>
    <n v="76558"/>
    <m/>
    <x v="6"/>
    <s v="שירותים מקומיים"/>
    <x v="26"/>
    <s v="שמירה ובטחון"/>
    <x v="81"/>
    <s v="שמירה ביטחונית"/>
    <s v="7222"/>
    <e v="#N/A"/>
    <m/>
    <s v="1"/>
    <x v="9"/>
    <s v="12"/>
    <s v="תוספות שאינן נכללות בשכר הקובע"/>
    <s v="126"/>
    <e v="#N/A"/>
  </r>
  <r>
    <n v="127"/>
    <s v="72220"/>
    <n v="1"/>
    <s v="172220.127"/>
    <s v="השתתפות באחזקת רכב-14           "/>
    <m/>
    <m/>
    <n v="467000"/>
    <n v="468000"/>
    <n v="448303"/>
    <m/>
    <x v="6"/>
    <s v="שירותים מקומיים"/>
    <x v="26"/>
    <s v="שמירה ובטחון"/>
    <x v="81"/>
    <s v="שמירה ביטחונית"/>
    <s v="7222"/>
    <e v="#N/A"/>
    <m/>
    <s v="1"/>
    <x v="9"/>
    <s v="12"/>
    <s v="תוספות שאינן נכללות בשכר הקובע"/>
    <s v="127"/>
    <e v="#N/A"/>
  </r>
  <r>
    <n v="130"/>
    <s v="72220"/>
    <n v="1"/>
    <s v="172220.130"/>
    <s v="תשלומים מיוחדים                 "/>
    <m/>
    <m/>
    <n v="186000"/>
    <n v="198000"/>
    <n v="182342"/>
    <m/>
    <x v="6"/>
    <s v="שירותים מקומיים"/>
    <x v="26"/>
    <s v="שמירה ובטחון"/>
    <x v="81"/>
    <s v="שמירה ביטחונית"/>
    <s v="7222"/>
    <e v="#N/A"/>
    <m/>
    <s v="1"/>
    <x v="9"/>
    <s v="13"/>
    <s v="שעות נוספות"/>
    <s v="130"/>
    <e v="#N/A"/>
  </r>
  <r>
    <n v="171"/>
    <s v="72220"/>
    <n v="1"/>
    <s v="172220.171"/>
    <s v="סעיף שאינו חוזר                 "/>
    <m/>
    <m/>
    <n v="0"/>
    <n v="0"/>
    <n v="-62666"/>
    <m/>
    <x v="6"/>
    <s v="שירותים מקומיים"/>
    <x v="26"/>
    <s v="שמירה ובטחון"/>
    <x v="81"/>
    <s v="שמירה ביטחונית"/>
    <s v="7222"/>
    <e v="#N/A"/>
    <m/>
    <s v="1"/>
    <x v="9"/>
    <s v="17"/>
    <e v="#N/A"/>
    <s v="171"/>
    <e v="#N/A"/>
  </r>
  <r>
    <n v="181"/>
    <s v="72220"/>
    <n v="1"/>
    <s v="172220.181"/>
    <s v="מיסים וביטוח לאומי              "/>
    <m/>
    <m/>
    <n v="367000"/>
    <n v="340000"/>
    <n v="341148"/>
    <m/>
    <x v="6"/>
    <s v="שירותים מקומיים"/>
    <x v="26"/>
    <s v="שמירה ובטחון"/>
    <x v="81"/>
    <s v="שמירה ביטחונית"/>
    <s v="7222"/>
    <e v="#N/A"/>
    <m/>
    <s v="1"/>
    <x v="9"/>
    <s v="18"/>
    <s v="נלוות לשכר"/>
    <s v="181"/>
    <s v="הפרשות סוציאליות"/>
  </r>
  <r>
    <n v="182"/>
    <s v="72220"/>
    <n v="1"/>
    <s v="172220.182"/>
    <s v="קופות גמל והשתלמות              "/>
    <m/>
    <m/>
    <n v="321000"/>
    <n v="309000"/>
    <n v="297108"/>
    <m/>
    <x v="6"/>
    <s v="שירותים מקומיים"/>
    <x v="26"/>
    <s v="שמירה ובטחון"/>
    <x v="81"/>
    <s v="שמירה ביטחונית"/>
    <s v="7222"/>
    <e v="#N/A"/>
    <m/>
    <s v="1"/>
    <x v="9"/>
    <s v="18"/>
    <s v="נלוות לשכר"/>
    <s v="182"/>
    <s v="מיסיום ועלויות"/>
  </r>
  <r>
    <n v="310"/>
    <s v="72220"/>
    <n v="1"/>
    <s v="172220.310"/>
    <s v="שעות נוספות רשומות              "/>
    <m/>
    <m/>
    <n v="129000"/>
    <n v="114000"/>
    <n v="158021"/>
    <m/>
    <x v="6"/>
    <s v="שירותים מקומיים"/>
    <x v="26"/>
    <s v="שמירה ובטחון"/>
    <x v="81"/>
    <s v="שמירה ביטחונית"/>
    <s v="7222"/>
    <e v="#N/A"/>
    <m/>
    <s v="3"/>
    <x v="14"/>
    <s v="31"/>
    <s v="פנסיה"/>
    <s v="310"/>
    <e v="#N/A"/>
  </r>
  <r>
    <n v="340"/>
    <s v="72220"/>
    <n v="1"/>
    <s v="172220.340"/>
    <s v="שעות נוספות מיוחדות             "/>
    <m/>
    <m/>
    <n v="4000"/>
    <n v="4000"/>
    <n v="2098"/>
    <m/>
    <x v="6"/>
    <s v="שירותים מקומיים"/>
    <x v="26"/>
    <s v="שמירה ובטחון"/>
    <x v="81"/>
    <s v="שמירה ביטחונית"/>
    <s v="7222"/>
    <e v="#N/A"/>
    <m/>
    <s v="3"/>
    <x v="14"/>
    <s v="34"/>
    <e v="#N/A"/>
    <s v="340"/>
    <e v="#N/A"/>
  </r>
  <r>
    <n v="399"/>
    <s v="72220"/>
    <n v="1"/>
    <s v="172220.399"/>
    <s v="השתתפות בשעות נוספות            "/>
    <m/>
    <m/>
    <n v="-53000"/>
    <n v="-52000"/>
    <n v="0"/>
    <m/>
    <x v="6"/>
    <s v="שירותים מקומיים"/>
    <x v="26"/>
    <s v="שמירה ובטחון"/>
    <x v="81"/>
    <s v="שמירה ביטחונית"/>
    <s v="7222"/>
    <e v="#N/A"/>
    <m/>
    <s v="3"/>
    <x v="14"/>
    <s v="39"/>
    <e v="#N/A"/>
    <s v="399"/>
    <e v="#N/A"/>
  </r>
  <r>
    <n v="531"/>
    <s v="72220"/>
    <n v="1"/>
    <s v="172220.531"/>
    <s v="אחזקת רכב                       "/>
    <m/>
    <m/>
    <n v="50000"/>
    <n v="220000"/>
    <n v="145536"/>
    <m/>
    <x v="6"/>
    <s v="שירותים מקומיים"/>
    <x v="26"/>
    <s v="שמירה ובטחון"/>
    <x v="81"/>
    <s v="שמירה ביטחונית"/>
    <s v="7222"/>
    <e v="#N/A"/>
    <m/>
    <s v="5"/>
    <x v="11"/>
    <s v="53"/>
    <s v="הוצאות רכב מינהלי"/>
    <s v="531"/>
    <s v="דלק ושמנים"/>
  </r>
  <r>
    <n v="532"/>
    <s v="72220"/>
    <n v="1"/>
    <s v="172220.532"/>
    <s v="ביטוח רכב                       "/>
    <m/>
    <m/>
    <n v="77000"/>
    <n v="68000"/>
    <n v="82004"/>
    <m/>
    <x v="6"/>
    <s v="שירותים מקומיים"/>
    <x v="26"/>
    <s v="שמירה ובטחון"/>
    <x v="81"/>
    <s v="שמירה ביטחונית"/>
    <s v="7222"/>
    <e v="#N/A"/>
    <m/>
    <s v="5"/>
    <x v="11"/>
    <s v="53"/>
    <s v="הוצאות רכב מינהלי"/>
    <s v="532"/>
    <s v="תיקונים"/>
  </r>
  <r>
    <n v="533"/>
    <s v="72220"/>
    <n v="1"/>
    <s v="172220.533"/>
    <s v="שכירת רכב                       "/>
    <m/>
    <m/>
    <n v="375000"/>
    <n v="275000"/>
    <n v="245855"/>
    <m/>
    <x v="6"/>
    <s v="שירותים מקומיים"/>
    <x v="26"/>
    <s v="שמירה ובטחון"/>
    <x v="81"/>
    <s v="שמירה ביטחונית"/>
    <s v="7222"/>
    <e v="#N/A"/>
    <m/>
    <s v="5"/>
    <x v="11"/>
    <s v="53"/>
    <s v="הוצאות רכב מינהלי"/>
    <s v="533"/>
    <s v="רישוי וביטוח"/>
  </r>
  <r>
    <n v="534"/>
    <s v="72220"/>
    <n v="1"/>
    <s v="172220.534"/>
    <s v="דלק ושמן                        "/>
    <m/>
    <m/>
    <n v="418000"/>
    <n v="346000"/>
    <n v="259847"/>
    <m/>
    <x v="6"/>
    <s v="שירותים מקומיים"/>
    <x v="26"/>
    <s v="שמירה ובטחון"/>
    <x v="81"/>
    <s v="שמירה ביטחונית"/>
    <s v="7222"/>
    <e v="#N/A"/>
    <m/>
    <s v="5"/>
    <x v="11"/>
    <s v="53"/>
    <s v="הוצאות רכב מינהלי"/>
    <s v="534"/>
    <e v="#N/A"/>
  </r>
  <r>
    <n v="541"/>
    <s v="72220"/>
    <n v="1"/>
    <s v="172220.541"/>
    <s v="החזקת מכשירי קשר וסלולר         "/>
    <m/>
    <m/>
    <n v="114000"/>
    <n v="96000"/>
    <n v="110936"/>
    <m/>
    <x v="6"/>
    <s v="שירותים מקומיים"/>
    <x v="26"/>
    <s v="שמירה ובטחון"/>
    <x v="81"/>
    <s v="שמירה ביטחונית"/>
    <s v="7222"/>
    <e v="#N/A"/>
    <m/>
    <s v="5"/>
    <x v="11"/>
    <s v="54"/>
    <s v="הוצאות תקשורת"/>
    <s v="541"/>
    <e v="#N/A"/>
  </r>
  <r>
    <n v="751"/>
    <s v="72220"/>
    <n v="1"/>
    <s v="172220.751"/>
    <s v="אבטחה ושמירה - סיירים           "/>
    <m/>
    <m/>
    <n v="3130000"/>
    <n v="2460000"/>
    <n v="2949652"/>
    <m/>
    <x v="6"/>
    <s v="שירותים מקומיים"/>
    <x v="26"/>
    <s v="שמירה ובטחון"/>
    <x v="81"/>
    <s v="שמירה ביטחונית"/>
    <s v="7222"/>
    <e v="#N/A"/>
    <m/>
    <s v="7"/>
    <x v="13"/>
    <s v="75"/>
    <s v="עבודות קבלניות"/>
    <s v="751"/>
    <e v="#N/A"/>
  </r>
  <r>
    <n v="752"/>
    <s v="72220"/>
    <n v="1"/>
    <s v="172220.752"/>
    <s v="אבטחה ושמירה - מאבטחים/שומרים   "/>
    <m/>
    <m/>
    <n v="32975000"/>
    <n v="30554000"/>
    <n v="31065568"/>
    <m/>
    <x v="6"/>
    <s v="שירותים מקומיים"/>
    <x v="26"/>
    <s v="שמירה ובטחון"/>
    <x v="81"/>
    <s v="שמירה ביטחונית"/>
    <s v="7222"/>
    <e v="#N/A"/>
    <m/>
    <s v="7"/>
    <x v="13"/>
    <s v="75"/>
    <s v="עבודות קבלניות"/>
    <s v="752"/>
    <e v="#N/A"/>
  </r>
  <r>
    <n v="781"/>
    <s v="72220"/>
    <n v="1"/>
    <s v="172220.781"/>
    <s v="הוצאות ביטחון ומטווחים          "/>
    <m/>
    <m/>
    <n v="70000"/>
    <n v="70000"/>
    <n v="8580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1"/>
    <e v="#N/A"/>
  </r>
  <r>
    <n v="782"/>
    <s v="72220"/>
    <n v="1"/>
    <s v="172220.782"/>
    <s v="הוצאות שמירה - שונות            "/>
    <m/>
    <m/>
    <n v="103000"/>
    <n v="103000"/>
    <n v="83491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2"/>
    <e v="#N/A"/>
  </r>
  <r>
    <n v="783"/>
    <s v="72220"/>
    <n v="1"/>
    <s v="172220.783"/>
    <s v="התקנת מערכות מצוקה              "/>
    <m/>
    <m/>
    <n v="2000"/>
    <n v="2000"/>
    <n v="0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3"/>
    <e v="#N/A"/>
  </r>
  <r>
    <n v="784"/>
    <s v="72220"/>
    <n v="1"/>
    <s v="172220.784"/>
    <s v="אחזקת מערכות מצוקה              "/>
    <m/>
    <m/>
    <n v="620000"/>
    <n v="620000"/>
    <n v="562323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4"/>
    <e v="#N/A"/>
  </r>
  <r>
    <n v="785"/>
    <s v="72220"/>
    <n v="1"/>
    <s v="172220.785"/>
    <s v="שילוט וציוד ניידות              "/>
    <m/>
    <m/>
    <n v="10000"/>
    <n v="10000"/>
    <n v="16360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5"/>
    <e v="#N/A"/>
  </r>
  <r>
    <n v="786"/>
    <s v="72220"/>
    <n v="1"/>
    <s v="172220.786"/>
    <s v="התקנת מערכות אזעקה              "/>
    <m/>
    <m/>
    <n v="3000"/>
    <n v="3000"/>
    <n v="0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6"/>
    <e v="#N/A"/>
  </r>
  <r>
    <n v="787"/>
    <s v="72220"/>
    <n v="1"/>
    <s v="172220.787"/>
    <s v="אחזקת מערכות אזעקה              "/>
    <m/>
    <m/>
    <n v="115000"/>
    <n v="115000"/>
    <n v="99350"/>
    <m/>
    <x v="6"/>
    <s v="שירותים מקומיים"/>
    <x v="26"/>
    <s v="שמירה ובטחון"/>
    <x v="81"/>
    <s v="שמירה ביטחונית"/>
    <s v="7222"/>
    <e v="#N/A"/>
    <m/>
    <s v="7"/>
    <x v="13"/>
    <s v="78"/>
    <s v="הוצאות שונות"/>
    <s v="787"/>
    <e v="#N/A"/>
  </r>
  <r>
    <n v="999"/>
    <s v="72220"/>
    <n v="1"/>
    <s v="172220.999"/>
    <s v="השתתפות מינהל חינוך             "/>
    <m/>
    <m/>
    <n v="-29835000"/>
    <n v="-27152000"/>
    <n v="-27523508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חטיבת התפעול            "/>
    <m/>
    <m/>
    <n v="-2598000"/>
    <n v="-2503000"/>
    <n v="-2040457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הנהלת בניני העיריה      "/>
    <m/>
    <m/>
    <n v="-3844000"/>
    <n v="-3444000"/>
    <n v="-3259283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אגף רווחה               "/>
    <m/>
    <m/>
    <n v="-2282000"/>
    <n v="-2100000"/>
    <n v="-2050000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אגף תרבות               "/>
    <m/>
    <m/>
    <n v="-1038000"/>
    <n v="-955000"/>
    <n v="-1215644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מינהל בת ש              "/>
    <m/>
    <m/>
    <n v="-661000"/>
    <n v="-515000"/>
    <n v="-469676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יחידות עירוניות         "/>
    <m/>
    <m/>
    <n v="-992000"/>
    <n v="-1362000"/>
    <n v="-2068897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999"/>
    <s v="72220"/>
    <n v="1"/>
    <s v="172220.999"/>
    <s v="השתתפות אגף בריאות הציבור       "/>
    <m/>
    <m/>
    <n v="-250000"/>
    <n v="-110000"/>
    <n v="-67718"/>
    <m/>
    <x v="6"/>
    <s v="שירותים מקומיים"/>
    <x v="26"/>
    <s v="שמירה ובטחון"/>
    <x v="81"/>
    <s v="שמירה ביטחונית"/>
    <s v="7222"/>
    <e v="#N/A"/>
    <m/>
    <s v="9"/>
    <x v="17"/>
    <s v="99"/>
    <e v="#N/A"/>
    <s v="999"/>
    <e v="#N/A"/>
  </r>
  <r>
    <n v="431"/>
    <s v="72310"/>
    <n v="1"/>
    <s v="172310.431"/>
    <s v="מים                             "/>
    <m/>
    <m/>
    <n v="178000"/>
    <n v="178000"/>
    <n v="210938"/>
    <m/>
    <x v="6"/>
    <s v="שירותים מקומיים"/>
    <x v="26"/>
    <s v="שמירה ובטחון"/>
    <x v="82"/>
    <s v="הג״א"/>
    <s v="7231"/>
    <e v="#N/A"/>
    <m/>
    <s v="4"/>
    <x v="15"/>
    <s v="43"/>
    <s v="חשמל, מים וחומרי ניקיון"/>
    <s v="431"/>
    <s v="חשמל"/>
  </r>
  <r>
    <n v="433"/>
    <s v="72310"/>
    <n v="1"/>
    <s v="172310.433"/>
    <s v="בטוח                            "/>
    <m/>
    <m/>
    <n v="42000"/>
    <n v="44000"/>
    <n v="40000"/>
    <m/>
    <x v="6"/>
    <s v="שירותים מקומיים"/>
    <x v="26"/>
    <s v="שמירה ובטחון"/>
    <x v="82"/>
    <s v="הג״א"/>
    <s v="7231"/>
    <e v="#N/A"/>
    <m/>
    <s v="4"/>
    <x v="15"/>
    <s v="43"/>
    <s v="חשמל, מים וחומרי ניקיון"/>
    <s v="433"/>
    <s v="חומרי ניקיון"/>
  </r>
  <r>
    <n v="435"/>
    <s v="72310"/>
    <n v="1"/>
    <s v="172310.435"/>
    <s v="חשמל ואנרגיה                    "/>
    <m/>
    <m/>
    <n v="108000"/>
    <n v="108000"/>
    <n v="172280"/>
    <m/>
    <x v="6"/>
    <s v="שירותים מקומיים"/>
    <x v="26"/>
    <s v="שמירה ובטחון"/>
    <x v="82"/>
    <s v="הג״א"/>
    <s v="7231"/>
    <e v="#N/A"/>
    <m/>
    <s v="4"/>
    <x v="15"/>
    <s v="43"/>
    <s v="חשמל, מים וחומרי ניקיון"/>
    <s v="435"/>
    <e v="#N/A"/>
  </r>
  <r>
    <n v="531"/>
    <s v="72310"/>
    <n v="1"/>
    <s v="172310.531"/>
    <s v="אחזקת רכב                       "/>
    <m/>
    <m/>
    <n v="95000"/>
    <n v="95000"/>
    <n v="51291"/>
    <m/>
    <x v="6"/>
    <s v="שירותים מקומיים"/>
    <x v="26"/>
    <s v="שמירה ובטחון"/>
    <x v="82"/>
    <s v="הג״א"/>
    <s v="7231"/>
    <e v="#N/A"/>
    <m/>
    <s v="5"/>
    <x v="11"/>
    <s v="53"/>
    <s v="הוצאות רכב מינהלי"/>
    <s v="531"/>
    <s v="דלק ושמנים"/>
  </r>
  <r>
    <n v="532"/>
    <s v="72310"/>
    <n v="1"/>
    <s v="172310.532"/>
    <s v="בטוח רכב                        "/>
    <m/>
    <m/>
    <n v="16000"/>
    <n v="14000"/>
    <n v="16796"/>
    <m/>
    <x v="6"/>
    <s v="שירותים מקומיים"/>
    <x v="26"/>
    <s v="שמירה ובטחון"/>
    <x v="82"/>
    <s v="הג״א"/>
    <s v="7231"/>
    <e v="#N/A"/>
    <m/>
    <s v="5"/>
    <x v="11"/>
    <s v="53"/>
    <s v="הוצאות רכב מינהלי"/>
    <s v="532"/>
    <s v="תיקונים"/>
  </r>
  <r>
    <n v="534"/>
    <s v="72310"/>
    <n v="1"/>
    <s v="172310.534"/>
    <s v="דלק ושמן                        "/>
    <m/>
    <m/>
    <n v="102000"/>
    <n v="102000"/>
    <n v="2307"/>
    <m/>
    <x v="6"/>
    <s v="שירותים מקומיים"/>
    <x v="26"/>
    <s v="שמירה ובטחון"/>
    <x v="82"/>
    <s v="הג״א"/>
    <s v="7231"/>
    <e v="#N/A"/>
    <m/>
    <s v="5"/>
    <x v="11"/>
    <s v="53"/>
    <s v="הוצאות רכב מינהלי"/>
    <s v="534"/>
    <e v="#N/A"/>
  </r>
  <r>
    <n v="830"/>
    <s v="72310"/>
    <n v="1"/>
    <s v="172310.830"/>
    <s v="השתתפות בהוצאות הג א כלל ארצי   "/>
    <m/>
    <m/>
    <n v="3020000"/>
    <n v="2950000"/>
    <n v="2953814"/>
    <m/>
    <x v="6"/>
    <s v="שירותים מקומיים"/>
    <x v="26"/>
    <s v="שמירה ובטחון"/>
    <x v="82"/>
    <s v="הג״א"/>
    <s v="7231"/>
    <e v="#N/A"/>
    <m/>
    <s v="8"/>
    <x v="16"/>
    <s v="83"/>
    <e v="#N/A"/>
    <s v="830"/>
    <e v="#N/A"/>
  </r>
  <r>
    <n v="110"/>
    <s v="72320"/>
    <n v="1"/>
    <s v="172320.110"/>
    <s v="משכורת כוללת                    "/>
    <m/>
    <m/>
    <n v="330000"/>
    <n v="260000"/>
    <n v="254936"/>
    <m/>
    <x v="6"/>
    <s v="שירותים מקומיים"/>
    <x v="26"/>
    <s v="שמירה ובטחון"/>
    <x v="82"/>
    <s v="הג״א"/>
    <s v="7232"/>
    <e v="#N/A"/>
    <m/>
    <s v="1"/>
    <x v="9"/>
    <s v="11"/>
    <s v="השכר הקובע"/>
    <s v="110"/>
    <e v="#N/A"/>
  </r>
  <r>
    <n v="124"/>
    <s v="72320"/>
    <n v="1"/>
    <s v="172320.124"/>
    <s v="החזר הוצאות                     "/>
    <m/>
    <m/>
    <n v="23000"/>
    <n v="17000"/>
    <n v="18489"/>
    <m/>
    <x v="6"/>
    <s v="שירותים מקומיים"/>
    <x v="26"/>
    <s v="שמירה ובטחון"/>
    <x v="82"/>
    <s v="הג״א"/>
    <s v="7232"/>
    <e v="#N/A"/>
    <m/>
    <s v="1"/>
    <x v="9"/>
    <s v="12"/>
    <s v="תוספות שאינן נכללות בשכר הקובע"/>
    <s v="124"/>
    <e v="#N/A"/>
  </r>
  <r>
    <n v="126"/>
    <s v="72320"/>
    <n v="1"/>
    <s v="172320.126"/>
    <s v="הבראה                           "/>
    <m/>
    <m/>
    <n v="22000"/>
    <n v="13000"/>
    <n v="12810"/>
    <m/>
    <x v="6"/>
    <s v="שירותים מקומיים"/>
    <x v="26"/>
    <s v="שמירה ובטחון"/>
    <x v="82"/>
    <s v="הג״א"/>
    <s v="7232"/>
    <e v="#N/A"/>
    <m/>
    <s v="1"/>
    <x v="9"/>
    <s v="12"/>
    <s v="תוספות שאינן נכללות בשכר הקובע"/>
    <s v="126"/>
    <e v="#N/A"/>
  </r>
  <r>
    <n v="127"/>
    <s v="72320"/>
    <n v="1"/>
    <s v="172320.127"/>
    <s v="השתתפות באחזקת רכב-2            "/>
    <m/>
    <m/>
    <n v="92000"/>
    <n v="66000"/>
    <n v="66278"/>
    <m/>
    <x v="6"/>
    <s v="שירותים מקומיים"/>
    <x v="26"/>
    <s v="שמירה ובטחון"/>
    <x v="82"/>
    <s v="הג״א"/>
    <s v="7232"/>
    <e v="#N/A"/>
    <m/>
    <s v="1"/>
    <x v="9"/>
    <s v="12"/>
    <s v="תוספות שאינן נכללות בשכר הקובע"/>
    <s v="127"/>
    <e v="#N/A"/>
  </r>
  <r>
    <n v="130"/>
    <s v="72320"/>
    <n v="1"/>
    <s v="172320.130"/>
    <s v="תשלומים מיוחדים                 "/>
    <m/>
    <m/>
    <n v="116000"/>
    <n v="107000"/>
    <n v="104789"/>
    <m/>
    <x v="6"/>
    <s v="שירותים מקומיים"/>
    <x v="26"/>
    <s v="שמירה ובטחון"/>
    <x v="82"/>
    <s v="הג״א"/>
    <s v="7232"/>
    <e v="#N/A"/>
    <m/>
    <s v="1"/>
    <x v="9"/>
    <s v="13"/>
    <s v="שעות נוספות"/>
    <s v="130"/>
    <e v="#N/A"/>
  </r>
  <r>
    <n v="181"/>
    <s v="72320"/>
    <n v="1"/>
    <s v="172320.181"/>
    <s v="מיסים וביטוח לאומי              "/>
    <m/>
    <m/>
    <n v="78000"/>
    <n v="62000"/>
    <n v="60556"/>
    <m/>
    <x v="6"/>
    <s v="שירותים מקומיים"/>
    <x v="26"/>
    <s v="שמירה ובטחון"/>
    <x v="82"/>
    <s v="הג״א"/>
    <s v="7232"/>
    <e v="#N/A"/>
    <m/>
    <s v="1"/>
    <x v="9"/>
    <s v="18"/>
    <s v="נלוות לשכר"/>
    <s v="181"/>
    <s v="הפרשות סוציאליות"/>
  </r>
  <r>
    <n v="182"/>
    <s v="72320"/>
    <n v="1"/>
    <s v="172320.182"/>
    <s v="קופות גמל והשתלמות              "/>
    <m/>
    <m/>
    <n v="70000"/>
    <n v="47000"/>
    <n v="48172"/>
    <m/>
    <x v="6"/>
    <s v="שירותים מקומיים"/>
    <x v="26"/>
    <s v="שמירה ובטחון"/>
    <x v="82"/>
    <s v="הג״א"/>
    <s v="7232"/>
    <e v="#N/A"/>
    <m/>
    <s v="1"/>
    <x v="9"/>
    <s v="18"/>
    <s v="נלוות לשכר"/>
    <s v="182"/>
    <s v="מיסיום ועלויות"/>
  </r>
  <r>
    <n v="310"/>
    <s v="72320"/>
    <n v="1"/>
    <s v="172320.310"/>
    <s v="שעות  נוספות  רשומות            "/>
    <m/>
    <m/>
    <n v="14000"/>
    <n v="14000"/>
    <n v="9819"/>
    <m/>
    <x v="6"/>
    <s v="שירותים מקומיים"/>
    <x v="26"/>
    <s v="שמירה ובטחון"/>
    <x v="82"/>
    <s v="הג״א"/>
    <s v="7232"/>
    <e v="#N/A"/>
    <m/>
    <s v="3"/>
    <x v="14"/>
    <s v="31"/>
    <s v="פנסיה"/>
    <s v="310"/>
    <e v="#N/A"/>
  </r>
  <r>
    <n v="411"/>
    <s v="72320"/>
    <n v="1"/>
    <s v="172320.411"/>
    <s v="שכר דירה                        "/>
    <m/>
    <m/>
    <n v="540000"/>
    <n v="840000"/>
    <n v="1211970"/>
    <m/>
    <x v="6"/>
    <s v="שירותים מקומיים"/>
    <x v="26"/>
    <s v="שמירה ובטחון"/>
    <x v="82"/>
    <s v="הג״א"/>
    <s v="7232"/>
    <e v="#N/A"/>
    <m/>
    <s v="4"/>
    <x v="15"/>
    <s v="41"/>
    <s v="שכר דירה ודמי חכירה"/>
    <s v="411"/>
    <e v="#N/A"/>
  </r>
  <r>
    <n v="434"/>
    <s v="72320"/>
    <n v="1"/>
    <s v="172320.434"/>
    <s v="תקוני מבנים  מתקנים ואינונטר    "/>
    <m/>
    <m/>
    <n v="15000"/>
    <n v="15000"/>
    <n v="11267"/>
    <m/>
    <x v="6"/>
    <s v="שירותים מקומיים"/>
    <x v="26"/>
    <s v="שמירה ובטחון"/>
    <x v="82"/>
    <s v="הג״א"/>
    <s v="7232"/>
    <e v="#N/A"/>
    <m/>
    <s v="4"/>
    <x v="15"/>
    <s v="43"/>
    <s v="חשמל, מים וחומרי ניקיון"/>
    <s v="434"/>
    <s v="שירותי ניקיון"/>
  </r>
  <r>
    <n v="531"/>
    <s v="72320"/>
    <n v="1"/>
    <s v="172320.531"/>
    <s v="אחזקת רכב חרום                  "/>
    <m/>
    <m/>
    <n v="20000"/>
    <n v="21000"/>
    <n v="2542"/>
    <m/>
    <x v="6"/>
    <s v="שירותים מקומיים"/>
    <x v="26"/>
    <s v="שמירה ובטחון"/>
    <x v="82"/>
    <s v="הג״א"/>
    <s v="7232"/>
    <e v="#N/A"/>
    <m/>
    <s v="5"/>
    <x v="11"/>
    <s v="53"/>
    <s v="הוצאות רכב מינהלי"/>
    <s v="531"/>
    <s v="דלק ושמנים"/>
  </r>
  <r>
    <n v="670"/>
    <s v="72320"/>
    <n v="1"/>
    <s v="172320.670"/>
    <s v="סעיף שאינו חוזר                 "/>
    <m/>
    <m/>
    <n v="0"/>
    <n v="89000"/>
    <n v="74453"/>
    <m/>
    <x v="6"/>
    <s v="שירותים מקומיים"/>
    <x v="26"/>
    <s v="שמירה ובטחון"/>
    <x v="82"/>
    <s v="הג״א"/>
    <s v="7232"/>
    <e v="#N/A"/>
    <m/>
    <s v="6"/>
    <x v="12"/>
    <s v="67"/>
    <e v="#N/A"/>
    <s v="670"/>
    <e v="#N/A"/>
  </r>
  <r>
    <n v="760"/>
    <s v="72320"/>
    <n v="1"/>
    <s v="172320.760"/>
    <s v="בגדי עבודה יחידתיים             "/>
    <m/>
    <m/>
    <n v="8000"/>
    <n v="8000"/>
    <n v="7538"/>
    <m/>
    <x v="6"/>
    <s v="שירותים מקומיים"/>
    <x v="26"/>
    <s v="שמירה ובטחון"/>
    <x v="82"/>
    <s v="הג״א"/>
    <s v="7232"/>
    <e v="#N/A"/>
    <m/>
    <s v="7"/>
    <x v="13"/>
    <s v="76"/>
    <s v="קניית שירותים מרשויות ומוסדות"/>
    <s v="760"/>
    <e v="#N/A"/>
  </r>
  <r>
    <n v="781"/>
    <s v="72320"/>
    <n v="1"/>
    <s v="172320.781"/>
    <s v="אחזקת ציוד הגא                  "/>
    <m/>
    <m/>
    <n v="55000"/>
    <n v="55000"/>
    <n v="55390"/>
    <m/>
    <x v="6"/>
    <s v="שירותים מקומיים"/>
    <x v="26"/>
    <s v="שמירה ובטחון"/>
    <x v="82"/>
    <s v="הג״א"/>
    <s v="7232"/>
    <e v="#N/A"/>
    <m/>
    <s v="7"/>
    <x v="13"/>
    <s v="78"/>
    <s v="הוצאות שונות"/>
    <s v="781"/>
    <e v="#N/A"/>
  </r>
  <r>
    <n v="782"/>
    <s v="72320"/>
    <n v="1"/>
    <s v="172320.782"/>
    <s v="ערכות מגן-אחסון וחלוקה          "/>
    <m/>
    <m/>
    <n v="25000"/>
    <n v="25000"/>
    <n v="2443"/>
    <m/>
    <x v="6"/>
    <s v="שירותים מקומיים"/>
    <x v="26"/>
    <s v="שמירה ובטחון"/>
    <x v="82"/>
    <s v="הג״א"/>
    <s v="7232"/>
    <e v="#N/A"/>
    <m/>
    <s v="7"/>
    <x v="13"/>
    <s v="78"/>
    <s v="הוצאות שונות"/>
    <s v="782"/>
    <e v="#N/A"/>
  </r>
  <r>
    <n v="783"/>
    <s v="72320"/>
    <n v="1"/>
    <s v="172320.783"/>
    <s v="צביעת מחסנים ומקלטים            "/>
    <m/>
    <m/>
    <n v="50000"/>
    <n v="50000"/>
    <n v="42885"/>
    <m/>
    <x v="6"/>
    <s v="שירותים מקומיים"/>
    <x v="26"/>
    <s v="שמירה ובטחון"/>
    <x v="82"/>
    <s v="הג״א"/>
    <s v="7232"/>
    <e v="#N/A"/>
    <m/>
    <s v="7"/>
    <x v="13"/>
    <s v="78"/>
    <s v="הוצאות שונות"/>
    <s v="783"/>
    <e v="#N/A"/>
  </r>
  <r>
    <n v="870"/>
    <s v="72320"/>
    <n v="1"/>
    <s v="172320.870"/>
    <s v=" סעיף שאינו חוזר                "/>
    <m/>
    <m/>
    <n v="0"/>
    <n v="0"/>
    <n v="100000"/>
    <m/>
    <x v="6"/>
    <s v="שירותים מקומיים"/>
    <x v="26"/>
    <s v="שמירה ובטחון"/>
    <x v="82"/>
    <s v="הג״א"/>
    <s v="7232"/>
    <e v="#N/A"/>
    <m/>
    <s v="8"/>
    <x v="16"/>
    <s v="87"/>
    <s v="תמיכות ביחידות סמך ומוסדות הרשות"/>
    <s v="870"/>
    <e v="#N/A"/>
  </r>
  <r>
    <n v="932"/>
    <s v="72320"/>
    <n v="1"/>
    <s v="172320.932"/>
    <s v="ציוד וריהוט משרדי               "/>
    <m/>
    <m/>
    <n v="5000"/>
    <n v="5000"/>
    <n v="4181"/>
    <m/>
    <x v="6"/>
    <s v="שירותים מקומיים"/>
    <x v="26"/>
    <s v="שמירה ובטחון"/>
    <x v="82"/>
    <s v="הג״א"/>
    <s v="7232"/>
    <e v="#N/A"/>
    <m/>
    <s v="9"/>
    <x v="17"/>
    <s v="93"/>
    <s v="רכישת ציוד יסודי"/>
    <s v="932"/>
    <e v="#N/A"/>
  </r>
  <r>
    <n v="110"/>
    <s v="72350"/>
    <n v="1"/>
    <s v="172350.110"/>
    <s v="משכורת כוללת                    "/>
    <m/>
    <m/>
    <n v="1242000"/>
    <n v="1430000"/>
    <n v="1339540"/>
    <m/>
    <x v="6"/>
    <s v="שירותים מקומיים"/>
    <x v="26"/>
    <s v="שמירה ובטחון"/>
    <x v="82"/>
    <s v="הג״א"/>
    <s v="7235"/>
    <e v="#N/A"/>
    <m/>
    <s v="1"/>
    <x v="9"/>
    <s v="11"/>
    <s v="השכר הקובע"/>
    <s v="110"/>
    <e v="#N/A"/>
  </r>
  <r>
    <n v="124"/>
    <s v="72350"/>
    <n v="1"/>
    <s v="172350.124"/>
    <s v="החזר הוצאות                     "/>
    <m/>
    <m/>
    <n v="80000"/>
    <n v="92000"/>
    <n v="86438"/>
    <m/>
    <x v="6"/>
    <s v="שירותים מקומיים"/>
    <x v="26"/>
    <s v="שמירה ובטחון"/>
    <x v="82"/>
    <s v="הג״א"/>
    <s v="7235"/>
    <e v="#N/A"/>
    <m/>
    <s v="1"/>
    <x v="9"/>
    <s v="12"/>
    <s v="תוספות שאינן נכללות בשכר הקובע"/>
    <s v="124"/>
    <e v="#N/A"/>
  </r>
  <r>
    <n v="126"/>
    <s v="72350"/>
    <n v="1"/>
    <s v="172350.126"/>
    <s v="הבראה                           "/>
    <m/>
    <m/>
    <n v="67000"/>
    <n v="82000"/>
    <n v="81763"/>
    <m/>
    <x v="6"/>
    <s v="שירותים מקומיים"/>
    <x v="26"/>
    <s v="שמירה ובטחון"/>
    <x v="82"/>
    <s v="הג״א"/>
    <s v="7235"/>
    <e v="#N/A"/>
    <m/>
    <s v="1"/>
    <x v="9"/>
    <s v="12"/>
    <s v="תוספות שאינן נכללות בשכר הקובע"/>
    <s v="126"/>
    <e v="#N/A"/>
  </r>
  <r>
    <n v="127"/>
    <s v="72350"/>
    <n v="1"/>
    <s v="172350.127"/>
    <s v="השתתפות באחזקת רכב-12           "/>
    <m/>
    <m/>
    <n v="280000"/>
    <n v="325000"/>
    <n v="304953"/>
    <m/>
    <x v="6"/>
    <s v="שירותים מקומיים"/>
    <x v="26"/>
    <s v="שמירה ובטחון"/>
    <x v="82"/>
    <s v="הג״א"/>
    <s v="7235"/>
    <e v="#N/A"/>
    <m/>
    <s v="1"/>
    <x v="9"/>
    <s v="12"/>
    <s v="תוספות שאינן נכללות בשכר הקובע"/>
    <s v="127"/>
    <e v="#N/A"/>
  </r>
  <r>
    <n v="130"/>
    <s v="72350"/>
    <n v="1"/>
    <s v="172350.130"/>
    <s v="תשלומים מיוחדים                 "/>
    <m/>
    <m/>
    <n v="286000"/>
    <n v="367000"/>
    <n v="346048"/>
    <m/>
    <x v="6"/>
    <s v="שירותים מקומיים"/>
    <x v="26"/>
    <s v="שמירה ובטחון"/>
    <x v="82"/>
    <s v="הג״א"/>
    <s v="7235"/>
    <e v="#N/A"/>
    <m/>
    <s v="1"/>
    <x v="9"/>
    <s v="13"/>
    <s v="שעות נוספות"/>
    <s v="130"/>
    <e v="#N/A"/>
  </r>
  <r>
    <n v="181"/>
    <s v="72350"/>
    <n v="1"/>
    <s v="172350.181"/>
    <s v="מיסים וביטוח לאומי              "/>
    <m/>
    <m/>
    <n v="263000"/>
    <n v="308000"/>
    <n v="295958"/>
    <m/>
    <x v="6"/>
    <s v="שירותים מקומיים"/>
    <x v="26"/>
    <s v="שמירה ובטחון"/>
    <x v="82"/>
    <s v="הג״א"/>
    <s v="7235"/>
    <e v="#N/A"/>
    <m/>
    <s v="1"/>
    <x v="9"/>
    <s v="18"/>
    <s v="נלוות לשכר"/>
    <s v="181"/>
    <s v="הפרשות סוציאליות"/>
  </r>
  <r>
    <n v="182"/>
    <s v="72350"/>
    <n v="1"/>
    <s v="172350.182"/>
    <s v="קופות גמל והשתלמות              "/>
    <m/>
    <m/>
    <n v="304000"/>
    <n v="327000"/>
    <n v="312803"/>
    <m/>
    <x v="6"/>
    <s v="שירותים מקומיים"/>
    <x v="26"/>
    <s v="שמירה ובטחון"/>
    <x v="82"/>
    <s v="הג״א"/>
    <s v="7235"/>
    <e v="#N/A"/>
    <m/>
    <s v="1"/>
    <x v="9"/>
    <s v="18"/>
    <s v="נלוות לשכר"/>
    <s v="182"/>
    <s v="מיסיום ועלויות"/>
  </r>
  <r>
    <n v="310"/>
    <s v="72350"/>
    <n v="1"/>
    <s v="172350.310"/>
    <s v="שעות  נוספות  רשומות            "/>
    <m/>
    <m/>
    <n v="57000"/>
    <n v="56000"/>
    <n v="66085"/>
    <m/>
    <x v="6"/>
    <s v="שירותים מקומיים"/>
    <x v="26"/>
    <s v="שמירה ובטחון"/>
    <x v="82"/>
    <s v="הג״א"/>
    <s v="7235"/>
    <e v="#N/A"/>
    <m/>
    <s v="3"/>
    <x v="14"/>
    <s v="31"/>
    <s v="פנסיה"/>
    <s v="310"/>
    <e v="#N/A"/>
  </r>
  <r>
    <n v="340"/>
    <s v="72350"/>
    <n v="1"/>
    <s v="172350.340"/>
    <s v="שעות נוספות מיוחדות             "/>
    <m/>
    <m/>
    <n v="2000"/>
    <n v="2000"/>
    <n v="2631"/>
    <m/>
    <x v="6"/>
    <s v="שירותים מקומיים"/>
    <x v="26"/>
    <s v="שמירה ובטחון"/>
    <x v="82"/>
    <s v="הג״א"/>
    <s v="7235"/>
    <e v="#N/A"/>
    <m/>
    <s v="3"/>
    <x v="14"/>
    <s v="34"/>
    <e v="#N/A"/>
    <s v="340"/>
    <e v="#N/A"/>
  </r>
  <r>
    <n v="781"/>
    <s v="72350"/>
    <n v="1"/>
    <s v="172350.781"/>
    <s v="אחזקת מרכזי בקרה                "/>
    <m/>
    <m/>
    <n v="28000"/>
    <n v="28000"/>
    <n v="28038"/>
    <m/>
    <x v="6"/>
    <s v="שירותים מקומיים"/>
    <x v="26"/>
    <s v="שמירה ובטחון"/>
    <x v="82"/>
    <s v="הג״א"/>
    <s v="7235"/>
    <e v="#N/A"/>
    <m/>
    <s v="7"/>
    <x v="13"/>
    <s v="78"/>
    <s v="הוצאות שונות"/>
    <s v="781"/>
    <e v="#N/A"/>
  </r>
  <r>
    <n v="782"/>
    <s v="72350"/>
    <n v="1"/>
    <s v="172350.782"/>
    <s v="אחזקת מקלטים                    "/>
    <m/>
    <m/>
    <n v="580000"/>
    <n v="580000"/>
    <n v="520073"/>
    <m/>
    <x v="6"/>
    <s v="שירותים מקומיים"/>
    <x v="26"/>
    <s v="שמירה ובטחון"/>
    <x v="82"/>
    <s v="הג״א"/>
    <s v="7235"/>
    <e v="#N/A"/>
    <m/>
    <s v="7"/>
    <x v="13"/>
    <s v="78"/>
    <s v="הוצאות שונות"/>
    <s v="782"/>
    <e v="#N/A"/>
  </r>
  <r>
    <n v="782"/>
    <s v="72350"/>
    <n v="1"/>
    <s v="172350.782"/>
    <s v="דמי שימוש בגין אח' מקלטים       "/>
    <m/>
    <m/>
    <n v="-250000"/>
    <n v="-250000"/>
    <n v="-216808"/>
    <m/>
    <x v="6"/>
    <s v="שירותים מקומיים"/>
    <x v="26"/>
    <s v="שמירה ובטחון"/>
    <x v="82"/>
    <s v="הג״א"/>
    <s v="7235"/>
    <e v="#N/A"/>
    <m/>
    <s v="7"/>
    <x v="13"/>
    <s v="78"/>
    <s v="הוצאות שונות"/>
    <s v="782"/>
    <e v="#N/A"/>
  </r>
  <r>
    <n v="783"/>
    <s v="72350"/>
    <n v="1"/>
    <s v="172350.783"/>
    <s v="מכשירים וכלי עבודה              "/>
    <m/>
    <m/>
    <n v="7000"/>
    <n v="7000"/>
    <n v="6607"/>
    <m/>
    <x v="6"/>
    <s v="שירותים מקומיים"/>
    <x v="26"/>
    <s v="שמירה ובטחון"/>
    <x v="82"/>
    <s v="הג״א"/>
    <s v="7235"/>
    <e v="#N/A"/>
    <m/>
    <s v="7"/>
    <x v="13"/>
    <s v="78"/>
    <s v="הוצאות שונות"/>
    <s v="783"/>
    <e v="#N/A"/>
  </r>
  <r>
    <n v="310"/>
    <s v="72360"/>
    <n v="1"/>
    <s v="172360.310"/>
    <s v="שעות נוספות סופה וחרום          "/>
    <m/>
    <m/>
    <n v="434000"/>
    <n v="425000"/>
    <n v="916421"/>
    <m/>
    <x v="6"/>
    <s v="שירותים מקומיים"/>
    <x v="26"/>
    <s v="שמירה ובטחון"/>
    <x v="82"/>
    <s v="הג״א"/>
    <s v="7236"/>
    <e v="#N/A"/>
    <m/>
    <s v="3"/>
    <x v="14"/>
    <s v="31"/>
    <s v="פנסיה"/>
    <s v="310"/>
    <e v="#N/A"/>
  </r>
  <r>
    <n v="670"/>
    <s v="72360"/>
    <n v="1"/>
    <s v="172360.670"/>
    <s v="סעיף שאינו חוזר                 "/>
    <m/>
    <m/>
    <n v="0"/>
    <n v="0"/>
    <n v="1165725"/>
    <m/>
    <x v="6"/>
    <s v="שירותים מקומיים"/>
    <x v="26"/>
    <s v="שמירה ובטחון"/>
    <x v="82"/>
    <s v="הג״א"/>
    <s v="7236"/>
    <e v="#N/A"/>
    <m/>
    <s v="6"/>
    <x v="12"/>
    <s v="67"/>
    <e v="#N/A"/>
    <s v="670"/>
    <e v="#N/A"/>
  </r>
  <r>
    <n v="781"/>
    <s v="72360"/>
    <n v="1"/>
    <s v="172360.781"/>
    <s v="מל ח- הצטיידות ואחזקה           "/>
    <m/>
    <m/>
    <n v="102000"/>
    <n v="102000"/>
    <n v="86417"/>
    <m/>
    <x v="6"/>
    <s v="שירותים מקומיים"/>
    <x v="26"/>
    <s v="שמירה ובטחון"/>
    <x v="82"/>
    <s v="הג״א"/>
    <s v="7236"/>
    <e v="#N/A"/>
    <m/>
    <s v="7"/>
    <x v="13"/>
    <s v="78"/>
    <s v="הוצאות שונות"/>
    <s v="781"/>
    <e v="#N/A"/>
  </r>
  <r>
    <n v="783"/>
    <s v="72360"/>
    <n v="1"/>
    <s v="172360.783"/>
    <s v="חרום-ארועים בטחוניים            "/>
    <m/>
    <m/>
    <n v="5000"/>
    <n v="5000"/>
    <n v="0"/>
    <m/>
    <x v="6"/>
    <s v="שירותים מקומיים"/>
    <x v="26"/>
    <s v="שמירה ובטחון"/>
    <x v="82"/>
    <s v="הג״א"/>
    <s v="7236"/>
    <e v="#N/A"/>
    <m/>
    <s v="7"/>
    <x v="13"/>
    <s v="78"/>
    <s v="הוצאות שונות"/>
    <s v="783"/>
    <e v="#N/A"/>
  </r>
  <r>
    <n v="784"/>
    <s v="72360"/>
    <n v="1"/>
    <s v="172360.784"/>
    <s v="אחזקת תחנת איסוף חללים          "/>
    <m/>
    <m/>
    <n v="9000"/>
    <n v="9000"/>
    <n v="4130"/>
    <m/>
    <x v="6"/>
    <s v="שירותים מקומיים"/>
    <x v="26"/>
    <s v="שמירה ובטחון"/>
    <x v="82"/>
    <s v="הג״א"/>
    <s v="7236"/>
    <e v="#N/A"/>
    <m/>
    <s v="7"/>
    <x v="13"/>
    <s v="78"/>
    <s v="הוצאות שונות"/>
    <s v="784"/>
    <e v="#N/A"/>
  </r>
  <r>
    <n v="785"/>
    <s v="72360"/>
    <n v="1"/>
    <s v="172360.785"/>
    <s v="תחזוקת מע' כריזה בשווקים        "/>
    <m/>
    <m/>
    <n v="5000"/>
    <n v="5000"/>
    <n v="4547"/>
    <m/>
    <x v="6"/>
    <s v="שירותים מקומיים"/>
    <x v="26"/>
    <s v="שמירה ובטחון"/>
    <x v="82"/>
    <s v="הג״א"/>
    <s v="7236"/>
    <e v="#N/A"/>
    <m/>
    <s v="7"/>
    <x v="13"/>
    <s v="78"/>
    <s v="הוצאות שונות"/>
    <s v="785"/>
    <e v="#N/A"/>
  </r>
  <r>
    <n v="934"/>
    <s v="72360"/>
    <n v="1"/>
    <s v="172360.934"/>
    <s v="ציוד תפעולי                     "/>
    <m/>
    <m/>
    <n v="5000"/>
    <n v="5000"/>
    <n v="0"/>
    <m/>
    <x v="6"/>
    <s v="שירותים מקומיים"/>
    <x v="26"/>
    <s v="שמירה ובטחון"/>
    <x v="82"/>
    <s v="הג״א"/>
    <s v="7236"/>
    <e v="#N/A"/>
    <m/>
    <s v="9"/>
    <x v="17"/>
    <s v="93"/>
    <s v="רכישת ציוד יסודי"/>
    <s v="934"/>
    <e v="#N/A"/>
  </r>
  <r>
    <n v="788"/>
    <s v="72380"/>
    <n v="1"/>
    <s v="172380.788"/>
    <s v="סופת חורף                       "/>
    <m/>
    <m/>
    <n v="200000"/>
    <n v="200000"/>
    <n v="0"/>
    <m/>
    <x v="6"/>
    <s v="שירותים מקומיים"/>
    <x v="26"/>
    <s v="שמירה ובטחון"/>
    <x v="82"/>
    <s v="הג״א"/>
    <s v="7238"/>
    <e v="#N/A"/>
    <m/>
    <s v="7"/>
    <x v="13"/>
    <s v="78"/>
    <s v="הוצאות שונות"/>
    <s v="788"/>
    <e v="#N/A"/>
  </r>
  <r>
    <n v="999"/>
    <s v="72410"/>
    <n v="1"/>
    <s v="172410.999"/>
    <s v="החזר מהנציבות בגין פרעון מלוות  "/>
    <m/>
    <m/>
    <n v="-1700000"/>
    <n v="-1700000"/>
    <n v="0"/>
    <m/>
    <x v="6"/>
    <s v="שירותים מקומיים"/>
    <x v="26"/>
    <s v="שמירה ובטחון"/>
    <x v="83"/>
    <s v="כבוי אש"/>
    <s v="7241"/>
    <e v="#N/A"/>
    <m/>
    <s v="9"/>
    <x v="17"/>
    <s v="99"/>
    <e v="#N/A"/>
    <s v="999"/>
    <e v="#N/A"/>
  </r>
  <r>
    <n v="999"/>
    <s v="72410"/>
    <n v="1"/>
    <s v="172410.999"/>
    <s v="השתת' לנציבות כבאות ארצית       "/>
    <m/>
    <m/>
    <n v="34300000"/>
    <n v="34800000"/>
    <n v="38790000"/>
    <m/>
    <x v="6"/>
    <s v="שירותים מקומיים"/>
    <x v="26"/>
    <s v="שמירה ובטחון"/>
    <x v="83"/>
    <s v="כבוי אש"/>
    <s v="7241"/>
    <e v="#N/A"/>
    <m/>
    <s v="9"/>
    <x v="17"/>
    <s v="99"/>
    <e v="#N/A"/>
    <s v="999"/>
    <e v="#N/A"/>
  </r>
  <r>
    <n v="124"/>
    <s v="725210"/>
    <n v="1"/>
    <s v="1725210.124"/>
    <s v="החזר הוצאות                     "/>
    <m/>
    <m/>
    <n v="86000"/>
    <n v="70000"/>
    <n v="66798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4"/>
    <e v="#N/A"/>
  </r>
  <r>
    <n v="126"/>
    <s v="725210"/>
    <n v="1"/>
    <s v="1725210.126"/>
    <s v="הבראה                           "/>
    <m/>
    <m/>
    <n v="72000"/>
    <n v="59000"/>
    <n v="56269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6"/>
    <e v="#N/A"/>
  </r>
  <r>
    <n v="127"/>
    <s v="725210"/>
    <n v="1"/>
    <s v="1725210.127"/>
    <s v="השתתפות באחזקת רכב-20           "/>
    <m/>
    <m/>
    <n v="357000"/>
    <n v="292000"/>
    <n v="356589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7"/>
    <e v="#N/A"/>
  </r>
  <r>
    <n v="130"/>
    <s v="725210"/>
    <n v="1"/>
    <s v="1725210.130"/>
    <s v="תשלומים מיוחדים                 "/>
    <m/>
    <m/>
    <n v="162000"/>
    <n v="133000"/>
    <n v="17271"/>
    <m/>
    <x v="6"/>
    <s v="שירותים מקומיים"/>
    <x v="26"/>
    <s v="שמירה ובטחון"/>
    <x v="84"/>
    <s v="בטיחות"/>
    <s v="7252"/>
    <e v="#N/A"/>
    <m/>
    <s v="1"/>
    <x v="9"/>
    <s v="13"/>
    <s v="שעות נוספות"/>
    <s v="130"/>
    <e v="#N/A"/>
  </r>
  <r>
    <n v="181"/>
    <s v="725210"/>
    <n v="1"/>
    <s v="1725210.181"/>
    <s v="מיסים וביטוח לאומי              "/>
    <m/>
    <m/>
    <n v="317000"/>
    <n v="258000"/>
    <n v="210880"/>
    <m/>
    <x v="6"/>
    <s v="שירותים מקומיים"/>
    <x v="26"/>
    <s v="שמירה ובטחון"/>
    <x v="84"/>
    <s v="בטיחות"/>
    <s v="7252"/>
    <e v="#N/A"/>
    <m/>
    <s v="1"/>
    <x v="9"/>
    <s v="18"/>
    <s v="נלוות לשכר"/>
    <s v="181"/>
    <s v="הפרשות סוציאליות"/>
  </r>
  <r>
    <n v="182"/>
    <s v="725210"/>
    <n v="1"/>
    <s v="1725210.182"/>
    <s v="קופות גמל והשתלמות              "/>
    <m/>
    <m/>
    <n v="436000"/>
    <n v="358000"/>
    <n v="255963"/>
    <m/>
    <x v="6"/>
    <s v="שירותים מקומיים"/>
    <x v="26"/>
    <s v="שמירה ובטחון"/>
    <x v="84"/>
    <s v="בטיחות"/>
    <s v="7252"/>
    <e v="#N/A"/>
    <m/>
    <s v="1"/>
    <x v="9"/>
    <s v="18"/>
    <s v="נלוות לשכר"/>
    <s v="182"/>
    <s v="מיסיום ועלויות"/>
  </r>
  <r>
    <n v="230"/>
    <s v="725210"/>
    <n v="1"/>
    <s v="1725210.230"/>
    <s v="משימה חולפת-20                  "/>
    <m/>
    <m/>
    <n v="1741000"/>
    <n v="1420000"/>
    <n v="1159749"/>
    <m/>
    <x v="6"/>
    <s v="שירותים מקומיים"/>
    <x v="26"/>
    <s v="שמירה ובטחון"/>
    <x v="84"/>
    <s v="בטיחות"/>
    <s v="7252"/>
    <e v="#N/A"/>
    <m/>
    <s v="2"/>
    <x v="10"/>
    <s v="23"/>
    <s v="שעות נוספות"/>
    <s v="230"/>
    <e v="#N/A"/>
  </r>
  <r>
    <n v="310"/>
    <s v="725210"/>
    <n v="1"/>
    <s v="1725210.310"/>
    <s v="שעות נוספות רשומות              "/>
    <m/>
    <m/>
    <n v="2000"/>
    <n v="2000"/>
    <n v="19389"/>
    <m/>
    <x v="6"/>
    <s v="שירותים מקומיים"/>
    <x v="26"/>
    <s v="שמירה ובטחון"/>
    <x v="84"/>
    <s v="בטיחות"/>
    <s v="7252"/>
    <e v="#N/A"/>
    <m/>
    <s v="3"/>
    <x v="14"/>
    <s v="31"/>
    <s v="פנסיה"/>
    <s v="310"/>
    <e v="#N/A"/>
  </r>
  <r>
    <n v="431"/>
    <s v="725210"/>
    <n v="1"/>
    <s v="1725210.431"/>
    <s v="מים                             "/>
    <m/>
    <m/>
    <n v="25000"/>
    <n v="25000"/>
    <n v="0"/>
    <m/>
    <x v="6"/>
    <s v="שירותים מקומיים"/>
    <x v="26"/>
    <s v="שמירה ובטחון"/>
    <x v="84"/>
    <s v="בטיחות"/>
    <s v="7252"/>
    <e v="#N/A"/>
    <m/>
    <s v="4"/>
    <x v="15"/>
    <s v="43"/>
    <s v="חשמל, מים וחומרי ניקיון"/>
    <s v="431"/>
    <s v="חשמל"/>
  </r>
  <r>
    <n v="433"/>
    <s v="725210"/>
    <n v="1"/>
    <s v="1725210.433"/>
    <s v="ביטוח                           "/>
    <m/>
    <m/>
    <n v="184000"/>
    <n v="50000"/>
    <n v="0"/>
    <m/>
    <x v="6"/>
    <s v="שירותים מקומיים"/>
    <x v="26"/>
    <s v="שמירה ובטחון"/>
    <x v="84"/>
    <s v="בטיחות"/>
    <s v="7252"/>
    <e v="#N/A"/>
    <m/>
    <s v="4"/>
    <x v="15"/>
    <s v="43"/>
    <s v="חשמל, מים וחומרי ניקיון"/>
    <s v="433"/>
    <s v="חומרי ניקיון"/>
  </r>
  <r>
    <n v="434"/>
    <s v="725210"/>
    <n v="1"/>
    <s v="1725210.434"/>
    <s v="תקוני מבנים  מתקנים ואינונטר    "/>
    <m/>
    <m/>
    <n v="80000"/>
    <n v="50000"/>
    <n v="3886"/>
    <m/>
    <x v="6"/>
    <s v="שירותים מקומיים"/>
    <x v="26"/>
    <s v="שמירה ובטחון"/>
    <x v="84"/>
    <s v="בטיחות"/>
    <s v="7252"/>
    <e v="#N/A"/>
    <m/>
    <s v="4"/>
    <x v="15"/>
    <s v="43"/>
    <s v="חשמל, מים וחומרי ניקיון"/>
    <s v="434"/>
    <s v="שירותי ניקיון"/>
  </r>
  <r>
    <n v="435"/>
    <s v="725210"/>
    <n v="1"/>
    <s v="1725210.435"/>
    <s v="חשמל ואנרגיה                    "/>
    <m/>
    <m/>
    <n v="127000"/>
    <n v="42000"/>
    <n v="0"/>
    <m/>
    <x v="6"/>
    <s v="שירותים מקומיים"/>
    <x v="26"/>
    <s v="שמירה ובטחון"/>
    <x v="84"/>
    <s v="בטיחות"/>
    <s v="7252"/>
    <e v="#N/A"/>
    <m/>
    <s v="4"/>
    <x v="15"/>
    <s v="43"/>
    <s v="חשמל, מים וחומרי ניקיון"/>
    <s v="435"/>
    <e v="#N/A"/>
  </r>
  <r>
    <n v="436"/>
    <s v="725210"/>
    <n v="1"/>
    <s v="1725210.436"/>
    <s v="חומרי ניקיון                    "/>
    <m/>
    <m/>
    <n v="30000"/>
    <n v="30000"/>
    <n v="0"/>
    <m/>
    <x v="6"/>
    <s v="שירותים מקומיים"/>
    <x v="26"/>
    <s v="שמירה ובטחון"/>
    <x v="84"/>
    <s v="בטיחות"/>
    <s v="7252"/>
    <e v="#N/A"/>
    <m/>
    <s v="4"/>
    <x v="15"/>
    <s v="43"/>
    <s v="חשמל, מים וחומרי ניקיון"/>
    <s v="436"/>
    <e v="#N/A"/>
  </r>
  <r>
    <n v="461"/>
    <s v="725210"/>
    <n v="1"/>
    <s v="1725210.461"/>
    <s v="צרכי משרד                       "/>
    <m/>
    <m/>
    <n v="80000"/>
    <n v="15000"/>
    <n v="3603"/>
    <m/>
    <x v="6"/>
    <s v="שירותים מקומיים"/>
    <x v="26"/>
    <s v="שמירה ובטחון"/>
    <x v="84"/>
    <s v="בטיחות"/>
    <s v="7252"/>
    <e v="#N/A"/>
    <m/>
    <s v="4"/>
    <x v="15"/>
    <s v="46"/>
    <e v="#N/A"/>
    <s v="461"/>
    <e v="#N/A"/>
  </r>
  <r>
    <n v="462"/>
    <s v="725210"/>
    <n v="1"/>
    <s v="1725210.462"/>
    <s v="ספרים ועתונים                   "/>
    <m/>
    <m/>
    <n v="5000"/>
    <n v="5000"/>
    <n v="1002"/>
    <m/>
    <x v="6"/>
    <s v="שירותים מקומיים"/>
    <x v="26"/>
    <s v="שמירה ובטחון"/>
    <x v="84"/>
    <s v="בטיחות"/>
    <s v="7252"/>
    <e v="#N/A"/>
    <m/>
    <s v="4"/>
    <x v="15"/>
    <s v="46"/>
    <e v="#N/A"/>
    <s v="462"/>
    <e v="#N/A"/>
  </r>
  <r>
    <n v="464"/>
    <s v="725210"/>
    <n v="1"/>
    <s v="1725210.464"/>
    <s v="דאר                             "/>
    <m/>
    <m/>
    <n v="8000"/>
    <n v="8000"/>
    <n v="978"/>
    <m/>
    <x v="6"/>
    <s v="שירותים מקומיים"/>
    <x v="26"/>
    <s v="שמירה ובטחון"/>
    <x v="84"/>
    <s v="בטיחות"/>
    <s v="7252"/>
    <e v="#N/A"/>
    <m/>
    <s v="4"/>
    <x v="15"/>
    <s v="46"/>
    <e v="#N/A"/>
    <s v="464"/>
    <e v="#N/A"/>
  </r>
  <r>
    <n v="510"/>
    <s v="725210"/>
    <n v="1"/>
    <s v="1725210.510"/>
    <s v="נסיעות  ואש ל                   "/>
    <m/>
    <m/>
    <n v="10000"/>
    <n v="20000"/>
    <n v="216"/>
    <m/>
    <x v="6"/>
    <s v="שירותים מקומיים"/>
    <x v="26"/>
    <s v="שמירה ובטחון"/>
    <x v="84"/>
    <s v="בטיחות"/>
    <s v="7252"/>
    <e v="#N/A"/>
    <m/>
    <s v="5"/>
    <x v="11"/>
    <s v="51"/>
    <s v="אש&quot;ל וכיבודים"/>
    <s v="510"/>
    <e v="#N/A"/>
  </r>
  <r>
    <n v="521"/>
    <s v="725210"/>
    <n v="1"/>
    <s v="1725210.521"/>
    <s v="הדרכה וכנסים                    "/>
    <m/>
    <m/>
    <n v="650000"/>
    <n v="200000"/>
    <n v="336175"/>
    <m/>
    <x v="6"/>
    <s v="שירותים מקומיים"/>
    <x v="26"/>
    <s v="שמירה ובטחון"/>
    <x v="84"/>
    <s v="בטיחות"/>
    <s v="7252"/>
    <e v="#N/A"/>
    <m/>
    <s v="5"/>
    <x v="11"/>
    <s v="52"/>
    <s v="השתלמויות וספרות מקצועית"/>
    <s v="521"/>
    <s v="השתלמויות וספרות מקצועית"/>
  </r>
  <r>
    <n v="522"/>
    <s v="725210"/>
    <n v="1"/>
    <s v="1725210.522"/>
    <s v="גיבוש יחידתי                    "/>
    <m/>
    <m/>
    <n v="33000"/>
    <n v="30000"/>
    <n v="0"/>
    <m/>
    <x v="6"/>
    <s v="שירותים מקומיים"/>
    <x v="26"/>
    <s v="שמירה ובטחון"/>
    <x v="84"/>
    <s v="בטיחות"/>
    <s v="7252"/>
    <e v="#N/A"/>
    <m/>
    <s v="5"/>
    <x v="11"/>
    <s v="52"/>
    <s v="השתלמויות וספרות מקצועית"/>
    <s v="522"/>
    <s v="ספרות מקצועית ועיתונות"/>
  </r>
  <r>
    <n v="531"/>
    <s v="725210"/>
    <n v="1"/>
    <s v="1725210.531"/>
    <s v="אחזקת רכב                       "/>
    <m/>
    <m/>
    <n v="10000"/>
    <n v="18000"/>
    <n v="241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1"/>
    <s v="דלק ושמנים"/>
  </r>
  <r>
    <n v="533"/>
    <s v="725210"/>
    <n v="1"/>
    <s v="1725210.533"/>
    <s v="שכירת רכב                       "/>
    <m/>
    <m/>
    <n v="55000"/>
    <n v="48000"/>
    <n v="30303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3"/>
    <s v="רישוי וביטוח"/>
  </r>
  <r>
    <n v="534"/>
    <s v="725210"/>
    <n v="1"/>
    <s v="1725210.534"/>
    <s v="דלק ושמן                        "/>
    <m/>
    <m/>
    <n v="30000"/>
    <n v="24000"/>
    <n v="26265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4"/>
    <e v="#N/A"/>
  </r>
  <r>
    <n v="541"/>
    <s v="725210"/>
    <n v="1"/>
    <s v="1725210.541"/>
    <s v="החזקת מכשירי קשר וסלולר         "/>
    <m/>
    <m/>
    <n v="350000"/>
    <n v="382000"/>
    <n v="6334"/>
    <m/>
    <x v="6"/>
    <s v="שירותים מקומיים"/>
    <x v="26"/>
    <s v="שמירה ובטחון"/>
    <x v="84"/>
    <s v="בטיחות"/>
    <s v="7252"/>
    <e v="#N/A"/>
    <m/>
    <s v="5"/>
    <x v="11"/>
    <s v="54"/>
    <s v="הוצאות תקשורת"/>
    <s v="541"/>
    <e v="#N/A"/>
  </r>
  <r>
    <n v="610"/>
    <s v="725210"/>
    <n v="1"/>
    <s v="1725210.610"/>
    <s v="כיבודים                         "/>
    <m/>
    <m/>
    <n v="70000"/>
    <n v="50000"/>
    <n v="9885"/>
    <m/>
    <x v="6"/>
    <s v="שירותים מקומיים"/>
    <x v="26"/>
    <s v="שמירה ובטחון"/>
    <x v="84"/>
    <s v="בטיחות"/>
    <s v="7252"/>
    <e v="#N/A"/>
    <m/>
    <s v="6"/>
    <x v="12"/>
    <s v="61"/>
    <s v="עמלות"/>
    <s v="610"/>
    <e v="#N/A"/>
  </r>
  <r>
    <n v="670"/>
    <s v="725210"/>
    <n v="1"/>
    <s v="1725210.670"/>
    <s v="סעיף שאינו חוזר                 "/>
    <m/>
    <m/>
    <n v="0"/>
    <n v="183000"/>
    <n v="152652"/>
    <m/>
    <x v="6"/>
    <s v="שירותים מקומיים"/>
    <x v="26"/>
    <s v="שמירה ובטחון"/>
    <x v="84"/>
    <s v="בטיחות"/>
    <s v="7252"/>
    <e v="#N/A"/>
    <m/>
    <s v="6"/>
    <x v="12"/>
    <s v="67"/>
    <e v="#N/A"/>
    <s v="670"/>
    <e v="#N/A"/>
  </r>
  <r>
    <n v="680"/>
    <s v="725210"/>
    <n v="1"/>
    <s v="1725210.680"/>
    <s v="הוצאות מיוחדות                  "/>
    <m/>
    <m/>
    <n v="20000"/>
    <n v="10000"/>
    <n v="5028"/>
    <m/>
    <x v="6"/>
    <s v="שירותים מקומיים"/>
    <x v="26"/>
    <s v="שמירה ובטחון"/>
    <x v="84"/>
    <s v="בטיחות"/>
    <s v="7252"/>
    <e v="#N/A"/>
    <m/>
    <s v="6"/>
    <x v="12"/>
    <s v="68"/>
    <s v="ריבית על הוצאות אחרות"/>
    <s v="680"/>
    <e v="#N/A"/>
  </r>
  <r>
    <n v="691"/>
    <s v="725210"/>
    <n v="1"/>
    <s v="1725210.691"/>
    <s v="מערכות מידע ומחשוב              "/>
    <m/>
    <m/>
    <n v="100000"/>
    <n v="0"/>
    <n v="0"/>
    <m/>
    <x v="6"/>
    <s v="שירותים מקומיים"/>
    <x v="26"/>
    <s v="שמירה ובטחון"/>
    <x v="84"/>
    <s v="בטיחות"/>
    <s v="7252"/>
    <e v="#N/A"/>
    <m/>
    <s v="6"/>
    <x v="12"/>
    <s v="69"/>
    <s v="שונות"/>
    <s v="691"/>
    <s v="תשלום ע&quot;ח קרן"/>
  </r>
  <r>
    <n v="693"/>
    <s v="725210"/>
    <n v="1"/>
    <s v="1725210.693"/>
    <s v="מחשוב יחידתי                    "/>
    <m/>
    <m/>
    <n v="50000"/>
    <n v="10000"/>
    <n v="0"/>
    <m/>
    <x v="6"/>
    <s v="שירותים מקומיים"/>
    <x v="26"/>
    <s v="שמירה ובטחון"/>
    <x v="84"/>
    <s v="בטיחות"/>
    <s v="7252"/>
    <e v="#N/A"/>
    <m/>
    <s v="6"/>
    <x v="12"/>
    <s v="69"/>
    <s v="שונות"/>
    <s v="693"/>
    <s v="תשלום ע&quot;ח הצמדת ערך"/>
  </r>
  <r>
    <n v="695"/>
    <s v="725210"/>
    <n v="1"/>
    <s v="1725210.695"/>
    <s v="תקשורת  ציוד והתקנה             "/>
    <m/>
    <m/>
    <n v="50000"/>
    <n v="10000"/>
    <n v="0"/>
    <m/>
    <x v="6"/>
    <s v="שירותים מקומיים"/>
    <x v="26"/>
    <s v="שמירה ובטחון"/>
    <x v="84"/>
    <s v="בטיחות"/>
    <s v="7252"/>
    <e v="#N/A"/>
    <m/>
    <s v="6"/>
    <x v="12"/>
    <s v="69"/>
    <s v="שונות"/>
    <s v="695"/>
    <e v="#N/A"/>
  </r>
  <r>
    <n v="751"/>
    <s v="725210"/>
    <n v="1"/>
    <s v="1725210.751"/>
    <s v="עבודה בקבלנות - ניקיון          "/>
    <m/>
    <m/>
    <n v="200000"/>
    <n v="175000"/>
    <n v="21401"/>
    <m/>
    <x v="6"/>
    <s v="שירותים מקומיים"/>
    <x v="26"/>
    <s v="שמירה ובטחון"/>
    <x v="84"/>
    <s v="בטיחות"/>
    <s v="7252"/>
    <e v="#N/A"/>
    <m/>
    <s v="7"/>
    <x v="13"/>
    <s v="75"/>
    <s v="עבודות קבלניות"/>
    <s v="751"/>
    <e v="#N/A"/>
  </r>
  <r>
    <n v="755"/>
    <s v="725210"/>
    <n v="1"/>
    <s v="1725210.755"/>
    <s v="מיון והשמת כוח אדם              "/>
    <m/>
    <m/>
    <n v="50000"/>
    <n v="50000"/>
    <n v="180078"/>
    <m/>
    <x v="6"/>
    <s v="שירותים מקומיים"/>
    <x v="26"/>
    <s v="שמירה ובטחון"/>
    <x v="84"/>
    <s v="בטיחות"/>
    <s v="7252"/>
    <e v="#N/A"/>
    <m/>
    <s v="7"/>
    <x v="13"/>
    <s v="75"/>
    <s v="עבודות קבלניות"/>
    <s v="755"/>
    <e v="#N/A"/>
  </r>
  <r>
    <n v="756"/>
    <s v="725210"/>
    <n v="1"/>
    <s v="1725210.756"/>
    <s v="ייעוץ מקצועי וארגוני            "/>
    <m/>
    <m/>
    <n v="130000"/>
    <n v="0"/>
    <n v="0"/>
    <m/>
    <x v="6"/>
    <s v="שירותים מקומיים"/>
    <x v="26"/>
    <s v="שמירה ובטחון"/>
    <x v="84"/>
    <s v="בטיחות"/>
    <s v="7252"/>
    <e v="#N/A"/>
    <m/>
    <s v="7"/>
    <x v="13"/>
    <s v="75"/>
    <s v="עבודות קבלניות"/>
    <s v="756"/>
    <e v="#N/A"/>
  </r>
  <r>
    <n v="761"/>
    <s v="725210"/>
    <n v="1"/>
    <s v="1725210.761"/>
    <s v="ביגוד יחידתי                    "/>
    <m/>
    <m/>
    <n v="500000"/>
    <n v="10000"/>
    <n v="0"/>
    <m/>
    <x v="6"/>
    <s v="שירותים מקומיים"/>
    <x v="26"/>
    <s v="שמירה ובטחון"/>
    <x v="84"/>
    <s v="בטיחות"/>
    <s v="7252"/>
    <e v="#N/A"/>
    <m/>
    <s v="7"/>
    <x v="13"/>
    <s v="76"/>
    <s v="קניית שירותים מרשויות ומוסדות"/>
    <s v="761"/>
    <e v="#N/A"/>
  </r>
  <r>
    <n v="762"/>
    <s v="725210"/>
    <n v="1"/>
    <s v="1725210.762"/>
    <s v="כביסה                           "/>
    <m/>
    <m/>
    <n v="200000"/>
    <n v="200000"/>
    <n v="1216"/>
    <m/>
    <x v="6"/>
    <s v="שירותים מקומיים"/>
    <x v="26"/>
    <s v="שמירה ובטחון"/>
    <x v="84"/>
    <s v="בטיחות"/>
    <s v="7252"/>
    <e v="#N/A"/>
    <m/>
    <s v="7"/>
    <x v="13"/>
    <s v="76"/>
    <s v="קניית שירותים מרשויות ומוסדות"/>
    <s v="762"/>
    <e v="#N/A"/>
  </r>
  <r>
    <n v="782"/>
    <s v="725210"/>
    <n v="1"/>
    <s v="1725210.782"/>
    <s v="תגי זיהוי                       "/>
    <m/>
    <m/>
    <n v="10000"/>
    <n v="5000"/>
    <n v="1092"/>
    <m/>
    <x v="6"/>
    <s v="שירותים מקומיים"/>
    <x v="26"/>
    <s v="שמירה ובטחון"/>
    <x v="84"/>
    <s v="בטיחות"/>
    <s v="7252"/>
    <e v="#N/A"/>
    <m/>
    <s v="7"/>
    <x v="13"/>
    <s v="78"/>
    <s v="הוצאות שונות"/>
    <s v="782"/>
    <e v="#N/A"/>
  </r>
  <r>
    <n v="786"/>
    <s v="725210"/>
    <n v="1"/>
    <s v="1725210.786"/>
    <s v="סיוע והחזר הוצאות               "/>
    <m/>
    <m/>
    <n v="10000"/>
    <n v="20000"/>
    <n v="0"/>
    <m/>
    <x v="6"/>
    <s v="שירותים מקומיים"/>
    <x v="26"/>
    <s v="שמירה ובטחון"/>
    <x v="84"/>
    <s v="בטיחות"/>
    <s v="7252"/>
    <e v="#N/A"/>
    <m/>
    <s v="7"/>
    <x v="13"/>
    <s v="78"/>
    <s v="הוצאות שונות"/>
    <s v="786"/>
    <e v="#N/A"/>
  </r>
  <r>
    <n v="787"/>
    <s v="725210"/>
    <n v="1"/>
    <s v="1725210.787"/>
    <s v="שימוש במאגרי מידע               "/>
    <m/>
    <m/>
    <n v="15000"/>
    <n v="25000"/>
    <n v="0"/>
    <m/>
    <x v="6"/>
    <s v="שירותים מקומיים"/>
    <x v="26"/>
    <s v="שמירה ובטחון"/>
    <x v="84"/>
    <s v="בטיחות"/>
    <s v="7252"/>
    <e v="#N/A"/>
    <m/>
    <s v="7"/>
    <x v="13"/>
    <s v="78"/>
    <s v="הוצאות שונות"/>
    <s v="787"/>
    <e v="#N/A"/>
  </r>
  <r>
    <n v="788"/>
    <s v="725210"/>
    <n v="1"/>
    <s v="1725210.788"/>
    <s v="אינטרנט ופורטל מידע             "/>
    <m/>
    <m/>
    <n v="40000"/>
    <n v="5000"/>
    <n v="0"/>
    <m/>
    <x v="6"/>
    <s v="שירותים מקומיים"/>
    <x v="26"/>
    <s v="שמירה ובטחון"/>
    <x v="84"/>
    <s v="בטיחות"/>
    <s v="7252"/>
    <e v="#N/A"/>
    <m/>
    <s v="7"/>
    <x v="13"/>
    <s v="78"/>
    <s v="הוצאות שונות"/>
    <s v="788"/>
    <e v="#N/A"/>
  </r>
  <r>
    <n v="790"/>
    <s v="725210"/>
    <n v="1"/>
    <s v="1725210.790"/>
    <s v="עתודה                           "/>
    <m/>
    <m/>
    <n v="900000"/>
    <n v="60000"/>
    <n v="0"/>
    <m/>
    <x v="6"/>
    <s v="שירותים מקומיים"/>
    <x v="26"/>
    <s v="שמירה ובטחון"/>
    <x v="84"/>
    <s v="בטיחות"/>
    <s v="7252"/>
    <e v="#N/A"/>
    <m/>
    <s v="7"/>
    <x v="13"/>
    <s v="79"/>
    <s v="השתתפות בתקציבי עזר 092"/>
    <s v="790"/>
    <e v="#N/A"/>
  </r>
  <r>
    <n v="851"/>
    <s v="725210"/>
    <n v="1"/>
    <s v="1725210.851"/>
    <s v="השתת' באגרה לחברת מוס ח         "/>
    <m/>
    <m/>
    <n v="300000"/>
    <n v="2500000"/>
    <n v="0"/>
    <m/>
    <x v="6"/>
    <s v="שירותים מקומיים"/>
    <x v="26"/>
    <s v="שמירה ובטחון"/>
    <x v="84"/>
    <s v="בטיחות"/>
    <s v="7252"/>
    <e v="#N/A"/>
    <m/>
    <s v="8"/>
    <x v="16"/>
    <s v="85"/>
    <s v="מלגות לתלמידים וסטודנטים"/>
    <s v="851"/>
    <e v="#N/A"/>
  </r>
  <r>
    <n v="881"/>
    <s v="725210"/>
    <n v="1"/>
    <s v="1725210.881"/>
    <s v="השתת' באגרת שמירה לבתי תפילה    "/>
    <m/>
    <m/>
    <n v="250000"/>
    <n v="0"/>
    <n v="0"/>
    <m/>
    <x v="6"/>
    <s v="שירותים מקומיים"/>
    <x v="26"/>
    <s v="שמירה ובטחון"/>
    <x v="84"/>
    <s v="בטיחות"/>
    <s v="7252"/>
    <e v="#N/A"/>
    <m/>
    <s v="8"/>
    <x v="16"/>
    <s v="88"/>
    <e v="#N/A"/>
    <s v="881"/>
    <e v="#N/A"/>
  </r>
  <r>
    <n v="932"/>
    <s v="725210"/>
    <n v="1"/>
    <s v="1725210.932"/>
    <s v="ציוד וריהוט משרדי               "/>
    <m/>
    <m/>
    <n v="50000"/>
    <n v="10000"/>
    <n v="0"/>
    <m/>
    <x v="6"/>
    <s v="שירותים מקומיים"/>
    <x v="26"/>
    <s v="שמירה ובטחון"/>
    <x v="84"/>
    <s v="בטיחות"/>
    <s v="7252"/>
    <e v="#N/A"/>
    <m/>
    <s v="9"/>
    <x v="17"/>
    <s v="93"/>
    <s v="רכישת ציוד יסודי"/>
    <s v="932"/>
    <e v="#N/A"/>
  </r>
  <r>
    <n v="999"/>
    <s v="725210"/>
    <n v="1"/>
    <s v="1725210.999"/>
    <s v="השתת' לאגף הגבייה               "/>
    <m/>
    <m/>
    <n v="302000"/>
    <n v="1870000"/>
    <n v="0"/>
    <m/>
    <x v="6"/>
    <s v="שירותים מקומיים"/>
    <x v="26"/>
    <s v="שמירה ובטחון"/>
    <x v="84"/>
    <s v="בטיחות"/>
    <s v="7252"/>
    <e v="#N/A"/>
    <m/>
    <s v="9"/>
    <x v="17"/>
    <s v="99"/>
    <e v="#N/A"/>
    <s v="999"/>
    <e v="#N/A"/>
  </r>
  <r>
    <n v="999"/>
    <s v="725210"/>
    <n v="1"/>
    <s v="1725210.999"/>
    <s v="השתת' לעמלת גביה - כ' אשראי     "/>
    <m/>
    <m/>
    <n v="500000"/>
    <n v="0"/>
    <n v="0"/>
    <m/>
    <x v="6"/>
    <s v="שירותים מקומיים"/>
    <x v="26"/>
    <s v="שמירה ובטחון"/>
    <x v="84"/>
    <s v="בטיחות"/>
    <s v="7252"/>
    <e v="#N/A"/>
    <m/>
    <s v="9"/>
    <x v="17"/>
    <s v="99"/>
    <e v="#N/A"/>
    <s v="999"/>
    <e v="#N/A"/>
  </r>
  <r>
    <n v="999"/>
    <s v="725210"/>
    <n v="1"/>
    <s v="1725210.999"/>
    <s v="סעיף שאינו חוזר                 "/>
    <m/>
    <m/>
    <n v="0"/>
    <n v="890000"/>
    <n v="0"/>
    <m/>
    <x v="6"/>
    <s v="שירותים מקומיים"/>
    <x v="26"/>
    <s v="שמירה ובטחון"/>
    <x v="84"/>
    <s v="בטיחות"/>
    <s v="7252"/>
    <e v="#N/A"/>
    <m/>
    <s v="9"/>
    <x v="17"/>
    <s v="99"/>
    <e v="#N/A"/>
    <s v="999"/>
    <e v="#N/A"/>
  </r>
  <r>
    <n v="124"/>
    <s v="725220"/>
    <n v="1"/>
    <s v="1725220.124"/>
    <s v="החזר הוצאות                     "/>
    <m/>
    <m/>
    <n v="961000"/>
    <n v="959000"/>
    <n v="0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4"/>
    <e v="#N/A"/>
  </r>
  <r>
    <n v="126"/>
    <s v="725220"/>
    <n v="1"/>
    <s v="1725220.126"/>
    <s v="הבראה                           "/>
    <m/>
    <m/>
    <n v="785000"/>
    <n v="783000"/>
    <n v="0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6"/>
    <e v="#N/A"/>
  </r>
  <r>
    <n v="127"/>
    <s v="725220"/>
    <n v="1"/>
    <s v="1725220.127"/>
    <s v="השתתפות באחזקת רכב - 194        "/>
    <m/>
    <m/>
    <n v="4512000"/>
    <n v="4397000"/>
    <n v="0"/>
    <m/>
    <x v="6"/>
    <s v="שירותים מקומיים"/>
    <x v="26"/>
    <s v="שמירה ובטחון"/>
    <x v="84"/>
    <s v="בטיחות"/>
    <s v="7252"/>
    <e v="#N/A"/>
    <m/>
    <s v="1"/>
    <x v="9"/>
    <s v="12"/>
    <s v="תוספות שאינן נכללות בשכר הקובע"/>
    <s v="127"/>
    <e v="#N/A"/>
  </r>
  <r>
    <n v="130"/>
    <s v="725220"/>
    <n v="1"/>
    <s v="1725220.130"/>
    <s v="תשלומים מיוחדים                 "/>
    <m/>
    <m/>
    <n v="1358000"/>
    <n v="2823000"/>
    <n v="0"/>
    <m/>
    <x v="6"/>
    <s v="שירותים מקומיים"/>
    <x v="26"/>
    <s v="שמירה ובטחון"/>
    <x v="84"/>
    <s v="בטיחות"/>
    <s v="7252"/>
    <e v="#N/A"/>
    <m/>
    <s v="1"/>
    <x v="9"/>
    <s v="13"/>
    <s v="שעות נוספות"/>
    <s v="130"/>
    <e v="#N/A"/>
  </r>
  <r>
    <n v="181"/>
    <s v="725220"/>
    <n v="1"/>
    <s v="1725220.181"/>
    <s v="מיסים וביטוח לאומי              "/>
    <m/>
    <m/>
    <n v="3326000"/>
    <n v="3431000"/>
    <n v="0"/>
    <m/>
    <x v="6"/>
    <s v="שירותים מקומיים"/>
    <x v="26"/>
    <s v="שמירה ובטחון"/>
    <x v="84"/>
    <s v="בטיחות"/>
    <s v="7252"/>
    <e v="#N/A"/>
    <m/>
    <s v="1"/>
    <x v="9"/>
    <s v="18"/>
    <s v="נלוות לשכר"/>
    <s v="181"/>
    <s v="הפרשות סוציאליות"/>
  </r>
  <r>
    <n v="182"/>
    <s v="725220"/>
    <n v="1"/>
    <s v="1725220.182"/>
    <s v="קופות גמל והשתלמות              "/>
    <m/>
    <m/>
    <n v="3595000"/>
    <n v="4051000"/>
    <n v="0"/>
    <m/>
    <x v="6"/>
    <s v="שירותים מקומיים"/>
    <x v="26"/>
    <s v="שמירה ובטחון"/>
    <x v="84"/>
    <s v="בטיחות"/>
    <s v="7252"/>
    <e v="#N/A"/>
    <m/>
    <s v="1"/>
    <x v="9"/>
    <s v="18"/>
    <s v="נלוות לשכר"/>
    <s v="182"/>
    <s v="מיסיום ועלויות"/>
  </r>
  <r>
    <n v="230"/>
    <s v="725220"/>
    <n v="1"/>
    <s v="1725220.230"/>
    <s v="משימות חולפות - 194             "/>
    <m/>
    <m/>
    <n v="13428000"/>
    <n v="13160000"/>
    <n v="0"/>
    <m/>
    <x v="6"/>
    <s v="שירותים מקומיים"/>
    <x v="26"/>
    <s v="שמירה ובטחון"/>
    <x v="84"/>
    <s v="בטיחות"/>
    <s v="7252"/>
    <e v="#N/A"/>
    <m/>
    <s v="2"/>
    <x v="10"/>
    <s v="23"/>
    <s v="שעות נוספות"/>
    <s v="230"/>
    <e v="#N/A"/>
  </r>
  <r>
    <n v="310"/>
    <s v="725220"/>
    <n v="1"/>
    <s v="1725220.310"/>
    <s v="שעות נוספות רשומות              "/>
    <m/>
    <m/>
    <n v="4380000"/>
    <n v="4142000"/>
    <n v="0"/>
    <m/>
    <x v="6"/>
    <s v="שירותים מקומיים"/>
    <x v="26"/>
    <s v="שמירה ובטחון"/>
    <x v="84"/>
    <s v="בטיחות"/>
    <s v="7252"/>
    <e v="#N/A"/>
    <m/>
    <s v="3"/>
    <x v="14"/>
    <s v="31"/>
    <s v="פנסיה"/>
    <s v="310"/>
    <e v="#N/A"/>
  </r>
  <r>
    <n v="340"/>
    <s v="725220"/>
    <n v="1"/>
    <s v="1725220.340"/>
    <s v="שעות נוספות מיוחדות             "/>
    <m/>
    <m/>
    <n v="2000"/>
    <n v="2000"/>
    <n v="0"/>
    <m/>
    <x v="6"/>
    <s v="שירותים מקומיים"/>
    <x v="26"/>
    <s v="שמירה ובטחון"/>
    <x v="84"/>
    <s v="בטיחות"/>
    <s v="7252"/>
    <e v="#N/A"/>
    <m/>
    <s v="3"/>
    <x v="14"/>
    <s v="34"/>
    <e v="#N/A"/>
    <s v="340"/>
    <e v="#N/A"/>
  </r>
  <r>
    <n v="531"/>
    <s v="725220"/>
    <n v="1"/>
    <s v="1725220.531"/>
    <s v="אחזקת רכב                       "/>
    <m/>
    <m/>
    <n v="150000"/>
    <n v="440000"/>
    <n v="10247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1"/>
    <s v="דלק ושמנים"/>
  </r>
  <r>
    <n v="532"/>
    <s v="725220"/>
    <n v="1"/>
    <s v="1725220.532"/>
    <s v="ביטוח רכב                       "/>
    <m/>
    <m/>
    <n v="57000"/>
    <n v="0"/>
    <n v="0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2"/>
    <s v="תיקונים"/>
  </r>
  <r>
    <n v="533"/>
    <s v="725220"/>
    <n v="1"/>
    <s v="1725220.533"/>
    <s v="שכירת רכב                       "/>
    <m/>
    <m/>
    <n v="1450000"/>
    <n v="1260000"/>
    <n v="190874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3"/>
    <s v="רישוי וביטוח"/>
  </r>
  <r>
    <n v="534"/>
    <s v="725220"/>
    <n v="1"/>
    <s v="1725220.534"/>
    <s v="דלק ושמן                        "/>
    <m/>
    <m/>
    <n v="1039000"/>
    <n v="720000"/>
    <n v="18185"/>
    <m/>
    <x v="6"/>
    <s v="שירותים מקומיים"/>
    <x v="26"/>
    <s v="שמירה ובטחון"/>
    <x v="84"/>
    <s v="בטיחות"/>
    <s v="7252"/>
    <e v="#N/A"/>
    <m/>
    <s v="5"/>
    <x v="11"/>
    <s v="53"/>
    <s v="הוצאות רכב מינהלי"/>
    <s v="534"/>
    <e v="#N/A"/>
  </r>
  <r>
    <n v="788"/>
    <s v="725220"/>
    <n v="1"/>
    <s v="1725220.788"/>
    <s v="מזון לסיירים                    "/>
    <m/>
    <m/>
    <n v="800000"/>
    <n v="700000"/>
    <n v="25101"/>
    <m/>
    <x v="6"/>
    <s v="שירותים מקומיים"/>
    <x v="26"/>
    <s v="שמירה ובטחון"/>
    <x v="84"/>
    <s v="בטיחות"/>
    <s v="7252"/>
    <e v="#N/A"/>
    <m/>
    <s v="7"/>
    <x v="13"/>
    <s v="78"/>
    <s v="הוצאות שונות"/>
    <s v="788"/>
    <e v="#N/A"/>
  </r>
  <r>
    <n v="934"/>
    <s v="725220"/>
    <n v="1"/>
    <s v="1725220.934"/>
    <s v="ציוד תפעולי                     "/>
    <m/>
    <m/>
    <n v="60000"/>
    <n v="10000"/>
    <n v="158444"/>
    <m/>
    <x v="6"/>
    <s v="שירותים מקומיים"/>
    <x v="26"/>
    <s v="שמירה ובטחון"/>
    <x v="84"/>
    <s v="בטיחות"/>
    <s v="7252"/>
    <e v="#N/A"/>
    <m/>
    <s v="9"/>
    <x v="17"/>
    <s v="93"/>
    <s v="רכישת ציוד יסודי"/>
    <s v="934"/>
    <e v="#N/A"/>
  </r>
  <r>
    <n v="110"/>
    <s v="73110"/>
    <n v="1"/>
    <s v="173110.110"/>
    <s v="משכורת כוללת                    "/>
    <m/>
    <m/>
    <n v="1680000"/>
    <n v="1738000"/>
    <n v="1628113"/>
    <m/>
    <x v="6"/>
    <s v="שירותים מקומיים"/>
    <x v="27"/>
    <s v="תכנון ובנין עיר"/>
    <x v="85"/>
    <s v="משרד מהנדס הרשות"/>
    <s v="7311"/>
    <e v="#N/A"/>
    <m/>
    <s v="1"/>
    <x v="9"/>
    <s v="11"/>
    <s v="השכר הקובע"/>
    <s v="110"/>
    <e v="#N/A"/>
  </r>
  <r>
    <n v="124"/>
    <s v="73110"/>
    <n v="1"/>
    <s v="173110.124"/>
    <s v="החזר הוצאות                     "/>
    <m/>
    <m/>
    <n v="59000"/>
    <n v="61000"/>
    <n v="55166"/>
    <m/>
    <x v="6"/>
    <s v="שירותים מקומיים"/>
    <x v="27"/>
    <s v="תכנון ובנין עיר"/>
    <x v="85"/>
    <s v="משרד מהנדס הרשות"/>
    <s v="7311"/>
    <e v="#N/A"/>
    <m/>
    <s v="1"/>
    <x v="9"/>
    <s v="12"/>
    <s v="תוספות שאינן נכללות בשכר הקובע"/>
    <s v="124"/>
    <e v="#N/A"/>
  </r>
  <r>
    <n v="126"/>
    <s v="73110"/>
    <n v="1"/>
    <s v="173110.126"/>
    <s v="הבראה                           "/>
    <m/>
    <m/>
    <n v="55000"/>
    <n v="54000"/>
    <n v="49579"/>
    <m/>
    <x v="6"/>
    <s v="שירותים מקומיים"/>
    <x v="27"/>
    <s v="תכנון ובנין עיר"/>
    <x v="85"/>
    <s v="משרד מהנדס הרשות"/>
    <s v="7311"/>
    <e v="#N/A"/>
    <m/>
    <s v="1"/>
    <x v="9"/>
    <s v="12"/>
    <s v="תוספות שאינן נכללות בשכר הקובע"/>
    <s v="126"/>
    <e v="#N/A"/>
  </r>
  <r>
    <n v="127"/>
    <s v="73110"/>
    <n v="1"/>
    <s v="173110.127"/>
    <s v="השתתפות באחזקת רכב-7            "/>
    <m/>
    <m/>
    <n v="185000"/>
    <n v="155000"/>
    <n v="161903"/>
    <m/>
    <x v="6"/>
    <s v="שירותים מקומיים"/>
    <x v="27"/>
    <s v="תכנון ובנין עיר"/>
    <x v="85"/>
    <s v="משרד מהנדס הרשות"/>
    <s v="7311"/>
    <e v="#N/A"/>
    <m/>
    <s v="1"/>
    <x v="9"/>
    <s v="12"/>
    <s v="תוספות שאינן נכללות בשכר הקובע"/>
    <s v="127"/>
    <e v="#N/A"/>
  </r>
  <r>
    <n v="130"/>
    <s v="73110"/>
    <n v="1"/>
    <s v="173110.130"/>
    <s v="תשלומים מיוחדים                 "/>
    <m/>
    <m/>
    <n v="171000"/>
    <n v="160000"/>
    <n v="160449"/>
    <m/>
    <x v="6"/>
    <s v="שירותים מקומיים"/>
    <x v="27"/>
    <s v="תכנון ובנין עיר"/>
    <x v="85"/>
    <s v="משרד מהנדס הרשות"/>
    <s v="7311"/>
    <e v="#N/A"/>
    <m/>
    <s v="1"/>
    <x v="9"/>
    <s v="13"/>
    <s v="שעות נוספות"/>
    <s v="130"/>
    <e v="#N/A"/>
  </r>
  <r>
    <n v="181"/>
    <s v="73110"/>
    <n v="1"/>
    <s v="173110.181"/>
    <s v="מיסים וביטוח לאומי              "/>
    <m/>
    <m/>
    <n v="281000"/>
    <n v="284000"/>
    <n v="285168"/>
    <m/>
    <x v="6"/>
    <s v="שירותים מקומיים"/>
    <x v="27"/>
    <s v="תכנון ובנין עיר"/>
    <x v="85"/>
    <s v="משרד מהנדס הרשות"/>
    <s v="7311"/>
    <e v="#N/A"/>
    <m/>
    <s v="1"/>
    <x v="9"/>
    <s v="18"/>
    <s v="נלוות לשכר"/>
    <s v="181"/>
    <s v="הפרשות סוציאליות"/>
  </r>
  <r>
    <n v="182"/>
    <s v="73110"/>
    <n v="1"/>
    <s v="173110.182"/>
    <s v="קופות גמל והשתלמות              "/>
    <m/>
    <m/>
    <n v="281000"/>
    <n v="303000"/>
    <n v="277456"/>
    <m/>
    <x v="6"/>
    <s v="שירותים מקומיים"/>
    <x v="27"/>
    <s v="תכנון ובנין עיר"/>
    <x v="85"/>
    <s v="משרד מהנדס הרשות"/>
    <s v="7311"/>
    <e v="#N/A"/>
    <m/>
    <s v="1"/>
    <x v="9"/>
    <s v="18"/>
    <s v="נלוות לשכר"/>
    <s v="182"/>
    <s v="מיסיום ועלויות"/>
  </r>
  <r>
    <n v="110"/>
    <s v="73120"/>
    <n v="1"/>
    <s v="173120.110"/>
    <s v="משכורת כוללת                    "/>
    <m/>
    <m/>
    <n v="1365000"/>
    <n v="1221000"/>
    <n v="1173916"/>
    <m/>
    <x v="6"/>
    <s v="שירותים מקומיים"/>
    <x v="27"/>
    <s v="תכנון ובנין עיר"/>
    <x v="85"/>
    <s v="משרד מהנדס הרשות"/>
    <s v="7312"/>
    <e v="#N/A"/>
    <m/>
    <s v="1"/>
    <x v="9"/>
    <s v="11"/>
    <s v="השכר הקובע"/>
    <s v="110"/>
    <e v="#N/A"/>
  </r>
  <r>
    <n v="124"/>
    <s v="73120"/>
    <n v="1"/>
    <s v="173120.124"/>
    <s v="החזר הוצאות                     "/>
    <m/>
    <m/>
    <n v="61000"/>
    <n v="59000"/>
    <n v="57353"/>
    <m/>
    <x v="6"/>
    <s v="שירותים מקומיים"/>
    <x v="27"/>
    <s v="תכנון ובנין עיר"/>
    <x v="85"/>
    <s v="משרד מהנדס הרשות"/>
    <s v="7312"/>
    <e v="#N/A"/>
    <m/>
    <s v="1"/>
    <x v="9"/>
    <s v="12"/>
    <s v="תוספות שאינן נכללות בשכר הקובע"/>
    <s v="124"/>
    <e v="#N/A"/>
  </r>
  <r>
    <n v="126"/>
    <s v="73120"/>
    <n v="1"/>
    <s v="173120.126"/>
    <s v="הבראה                           "/>
    <m/>
    <m/>
    <n v="56000"/>
    <n v="49000"/>
    <n v="49227"/>
    <m/>
    <x v="6"/>
    <s v="שירותים מקומיים"/>
    <x v="27"/>
    <s v="תכנון ובנין עיר"/>
    <x v="85"/>
    <s v="משרד מהנדס הרשות"/>
    <s v="7312"/>
    <e v="#N/A"/>
    <m/>
    <s v="1"/>
    <x v="9"/>
    <s v="12"/>
    <s v="תוספות שאינן נכללות בשכר הקובע"/>
    <s v="126"/>
    <e v="#N/A"/>
  </r>
  <r>
    <n v="127"/>
    <s v="73120"/>
    <n v="1"/>
    <s v="173120.127"/>
    <s v="השתתפות באחזקת רכב-8            "/>
    <m/>
    <m/>
    <n v="200000"/>
    <n v="196000"/>
    <n v="185125"/>
    <m/>
    <x v="6"/>
    <s v="שירותים מקומיים"/>
    <x v="27"/>
    <s v="תכנון ובנין עיר"/>
    <x v="85"/>
    <s v="משרד מהנדס הרשות"/>
    <s v="7312"/>
    <e v="#N/A"/>
    <m/>
    <s v="1"/>
    <x v="9"/>
    <s v="12"/>
    <s v="תוספות שאינן נכללות בשכר הקובע"/>
    <s v="127"/>
    <e v="#N/A"/>
  </r>
  <r>
    <n v="130"/>
    <s v="73120"/>
    <n v="1"/>
    <s v="173120.130"/>
    <s v="תשלומים מיוחדים                 "/>
    <m/>
    <m/>
    <n v="164000"/>
    <n v="189000"/>
    <n v="172438"/>
    <m/>
    <x v="6"/>
    <s v="שירותים מקומיים"/>
    <x v="27"/>
    <s v="תכנון ובנין עיר"/>
    <x v="85"/>
    <s v="משרד מהנדס הרשות"/>
    <s v="7312"/>
    <e v="#N/A"/>
    <m/>
    <s v="1"/>
    <x v="9"/>
    <s v="13"/>
    <s v="שעות נוספות"/>
    <s v="130"/>
    <e v="#N/A"/>
  </r>
  <r>
    <n v="181"/>
    <s v="73120"/>
    <n v="1"/>
    <s v="173120.181"/>
    <s v="מיסים וביטוח לאומי              "/>
    <m/>
    <m/>
    <n v="252000"/>
    <n v="234000"/>
    <n v="224290"/>
    <m/>
    <x v="6"/>
    <s v="שירותים מקומיים"/>
    <x v="27"/>
    <s v="תכנון ובנין עיר"/>
    <x v="85"/>
    <s v="משרד מהנדס הרשות"/>
    <s v="7312"/>
    <e v="#N/A"/>
    <m/>
    <s v="1"/>
    <x v="9"/>
    <s v="18"/>
    <s v="נלוות לשכר"/>
    <s v="181"/>
    <s v="הפרשות סוציאליות"/>
  </r>
  <r>
    <n v="182"/>
    <s v="73120"/>
    <n v="1"/>
    <s v="173120.182"/>
    <s v="קופות גמל והשתלמות              "/>
    <m/>
    <m/>
    <n v="272000"/>
    <n v="228000"/>
    <n v="232606"/>
    <m/>
    <x v="6"/>
    <s v="שירותים מקומיים"/>
    <x v="27"/>
    <s v="תכנון ובנין עיר"/>
    <x v="85"/>
    <s v="משרד מהנדס הרשות"/>
    <s v="7312"/>
    <e v="#N/A"/>
    <m/>
    <s v="1"/>
    <x v="9"/>
    <s v="18"/>
    <s v="נלוות לשכר"/>
    <s v="182"/>
    <s v="מיסיום ועלויות"/>
  </r>
  <r>
    <n v="310"/>
    <s v="73120"/>
    <n v="1"/>
    <s v="173120.310"/>
    <s v="שעות  נוספות  רשומות            "/>
    <m/>
    <m/>
    <n v="75000"/>
    <n v="74000"/>
    <n v="187430"/>
    <m/>
    <x v="6"/>
    <s v="שירותים מקומיים"/>
    <x v="27"/>
    <s v="תכנון ובנין עיר"/>
    <x v="85"/>
    <s v="משרד מהנדס הרשות"/>
    <s v="7312"/>
    <e v="#N/A"/>
    <m/>
    <s v="3"/>
    <x v="14"/>
    <s v="31"/>
    <s v="פנסיה"/>
    <s v="310"/>
    <e v="#N/A"/>
  </r>
  <r>
    <n v="412"/>
    <s v="73120"/>
    <n v="1"/>
    <s v="173120.412"/>
    <s v="מיסים ואגרות                    "/>
    <m/>
    <m/>
    <n v="4000"/>
    <n v="4000"/>
    <n v="345"/>
    <m/>
    <x v="6"/>
    <s v="שירותים מקומיים"/>
    <x v="27"/>
    <s v="תכנון ובנין עיר"/>
    <x v="85"/>
    <s v="משרד מהנדס הרשות"/>
    <s v="7312"/>
    <e v="#N/A"/>
    <m/>
    <s v="4"/>
    <x v="15"/>
    <s v="41"/>
    <s v="שכר דירה ודמי חכירה"/>
    <s v="412"/>
    <e v="#N/A"/>
  </r>
  <r>
    <n v="433"/>
    <s v="73120"/>
    <n v="1"/>
    <s v="173120.433"/>
    <s v="בטוח                            "/>
    <m/>
    <m/>
    <n v="668000"/>
    <n v="658000"/>
    <n v="593000"/>
    <m/>
    <x v="6"/>
    <s v="שירותים מקומיים"/>
    <x v="27"/>
    <s v="תכנון ובנין עיר"/>
    <x v="85"/>
    <s v="משרד מהנדס הרשות"/>
    <s v="7312"/>
    <e v="#N/A"/>
    <m/>
    <s v="4"/>
    <x v="15"/>
    <s v="43"/>
    <s v="חשמל, מים וחומרי ניקיון"/>
    <s v="433"/>
    <s v="חומרי ניקיון"/>
  </r>
  <r>
    <n v="434"/>
    <s v="73120"/>
    <n v="1"/>
    <s v="173120.434"/>
    <s v="תקוני מבנים  מתקנים ואינונטר    "/>
    <m/>
    <m/>
    <n v="95000"/>
    <n v="95000"/>
    <n v="54026"/>
    <m/>
    <x v="6"/>
    <s v="שירותים מקומיים"/>
    <x v="27"/>
    <s v="תכנון ובנין עיר"/>
    <x v="85"/>
    <s v="משרד מהנדס הרשות"/>
    <s v="7312"/>
    <e v="#N/A"/>
    <m/>
    <s v="4"/>
    <x v="15"/>
    <s v="43"/>
    <s v="חשמל, מים וחומרי ניקיון"/>
    <s v="434"/>
    <s v="שירותי ניקיון"/>
  </r>
  <r>
    <n v="437"/>
    <s v="73120"/>
    <n v="1"/>
    <s v="173120.437"/>
    <s v="שמירה                           "/>
    <m/>
    <m/>
    <n v="221000"/>
    <n v="400000"/>
    <n v="272457"/>
    <m/>
    <x v="6"/>
    <s v="שירותים מקומיים"/>
    <x v="27"/>
    <s v="תכנון ובנין עיר"/>
    <x v="85"/>
    <s v="משרד מהנדס הרשות"/>
    <s v="7312"/>
    <e v="#N/A"/>
    <m/>
    <s v="4"/>
    <x v="15"/>
    <s v="43"/>
    <s v="חשמל, מים וחומרי ניקיון"/>
    <s v="437"/>
    <e v="#N/A"/>
  </r>
  <r>
    <n v="439"/>
    <s v="73120"/>
    <n v="1"/>
    <s v="173120.439"/>
    <s v="אחזקת בניני העיריה-השתתפות      "/>
    <m/>
    <m/>
    <n v="3279000"/>
    <n v="2901000"/>
    <n v="2348296"/>
    <m/>
    <x v="6"/>
    <s v="שירותים מקומיים"/>
    <x v="27"/>
    <s v="תכנון ובנין עיר"/>
    <x v="85"/>
    <s v="משרד מהנדס הרשות"/>
    <s v="7312"/>
    <e v="#N/A"/>
    <m/>
    <s v="4"/>
    <x v="15"/>
    <s v="43"/>
    <s v="חשמל, מים וחומרי ניקיון"/>
    <s v="439"/>
    <e v="#N/A"/>
  </r>
  <r>
    <n v="461"/>
    <s v="73120"/>
    <n v="1"/>
    <s v="173120.461"/>
    <s v="צורכי משרד                      "/>
    <m/>
    <m/>
    <n v="458000"/>
    <n v="477000"/>
    <n v="390204"/>
    <m/>
    <x v="6"/>
    <s v="שירותים מקומיים"/>
    <x v="27"/>
    <s v="תכנון ובנין עיר"/>
    <x v="85"/>
    <s v="משרד מהנדס הרשות"/>
    <s v="7312"/>
    <e v="#N/A"/>
    <m/>
    <s v="4"/>
    <x v="15"/>
    <s v="46"/>
    <e v="#N/A"/>
    <s v="461"/>
    <e v="#N/A"/>
  </r>
  <r>
    <n v="462"/>
    <s v="73120"/>
    <n v="1"/>
    <s v="173120.462"/>
    <s v="ספרים ועתונים                   "/>
    <m/>
    <m/>
    <n v="25000"/>
    <n v="25000"/>
    <n v="21861"/>
    <m/>
    <x v="6"/>
    <s v="שירותים מקומיים"/>
    <x v="27"/>
    <s v="תכנון ובנין עיר"/>
    <x v="85"/>
    <s v="משרד מהנדס הרשות"/>
    <s v="7312"/>
    <e v="#N/A"/>
    <m/>
    <s v="4"/>
    <x v="15"/>
    <s v="46"/>
    <e v="#N/A"/>
    <s v="462"/>
    <e v="#N/A"/>
  </r>
  <r>
    <n v="464"/>
    <s v="73120"/>
    <n v="1"/>
    <s v="173120.464"/>
    <s v="דאר                             "/>
    <m/>
    <m/>
    <n v="220000"/>
    <n v="150000"/>
    <n v="149633"/>
    <m/>
    <x v="6"/>
    <s v="שירותים מקומיים"/>
    <x v="27"/>
    <s v="תכנון ובנין עיר"/>
    <x v="85"/>
    <s v="משרד מהנדס הרשות"/>
    <s v="7312"/>
    <e v="#N/A"/>
    <m/>
    <s v="4"/>
    <x v="15"/>
    <s v="46"/>
    <e v="#N/A"/>
    <s v="464"/>
    <e v="#N/A"/>
  </r>
  <r>
    <n v="510"/>
    <s v="73120"/>
    <n v="1"/>
    <s v="173120.510"/>
    <s v="נסיעות ואש ל                    "/>
    <m/>
    <m/>
    <n v="17000"/>
    <n v="17000"/>
    <n v="17368"/>
    <m/>
    <x v="6"/>
    <s v="שירותים מקומיים"/>
    <x v="27"/>
    <s v="תכנון ובנין עיר"/>
    <x v="85"/>
    <s v="משרד מהנדס הרשות"/>
    <s v="7312"/>
    <e v="#N/A"/>
    <m/>
    <s v="5"/>
    <x v="11"/>
    <s v="51"/>
    <s v="אש&quot;ל וכיבודים"/>
    <s v="510"/>
    <e v="#N/A"/>
  </r>
  <r>
    <n v="521"/>
    <s v="73120"/>
    <n v="1"/>
    <s v="173120.521"/>
    <s v="הדרכה וכנסים                    "/>
    <m/>
    <m/>
    <n v="264000"/>
    <n v="265000"/>
    <n v="257189"/>
    <m/>
    <x v="6"/>
    <s v="שירותים מקומיים"/>
    <x v="27"/>
    <s v="תכנון ובנין עיר"/>
    <x v="85"/>
    <s v="משרד מהנדס הרשות"/>
    <s v="7312"/>
    <e v="#N/A"/>
    <m/>
    <s v="5"/>
    <x v="11"/>
    <s v="52"/>
    <s v="השתלמויות וספרות מקצועית"/>
    <s v="521"/>
    <s v="השתלמויות וספרות מקצועית"/>
  </r>
  <r>
    <n v="522"/>
    <s v="73120"/>
    <n v="1"/>
    <s v="173120.522"/>
    <s v="גיבוש יחידתי                    "/>
    <m/>
    <m/>
    <n v="75000"/>
    <n v="75000"/>
    <n v="32217"/>
    <m/>
    <x v="6"/>
    <s v="שירותים מקומיים"/>
    <x v="27"/>
    <s v="תכנון ובנין עיר"/>
    <x v="85"/>
    <s v="משרד מהנדס הרשות"/>
    <s v="7312"/>
    <e v="#N/A"/>
    <m/>
    <s v="5"/>
    <x v="11"/>
    <s v="52"/>
    <s v="השתלמויות וספרות מקצועית"/>
    <s v="522"/>
    <s v="ספרות מקצועית ועיתונות"/>
  </r>
  <r>
    <n v="531"/>
    <s v="73120"/>
    <n v="1"/>
    <s v="173120.531"/>
    <s v="אחזקת רכב                       "/>
    <m/>
    <m/>
    <n v="12000"/>
    <n v="12000"/>
    <n v="3968"/>
    <m/>
    <x v="6"/>
    <s v="שירותים מקומיים"/>
    <x v="27"/>
    <s v="תכנון ובנין עיר"/>
    <x v="85"/>
    <s v="משרד מהנדס הרשות"/>
    <s v="7312"/>
    <e v="#N/A"/>
    <m/>
    <s v="5"/>
    <x v="11"/>
    <s v="53"/>
    <s v="הוצאות רכב מינהלי"/>
    <s v="531"/>
    <s v="דלק ושמנים"/>
  </r>
  <r>
    <n v="533"/>
    <s v="73120"/>
    <n v="1"/>
    <s v="173120.533"/>
    <s v="שכירת רכב ורכב עירוני           "/>
    <m/>
    <m/>
    <n v="170000"/>
    <n v="170000"/>
    <n v="152191"/>
    <m/>
    <x v="6"/>
    <s v="שירותים מקומיים"/>
    <x v="27"/>
    <s v="תכנון ובנין עיר"/>
    <x v="85"/>
    <s v="משרד מהנדס הרשות"/>
    <s v="7312"/>
    <e v="#N/A"/>
    <m/>
    <s v="5"/>
    <x v="11"/>
    <s v="53"/>
    <s v="הוצאות רכב מינהלי"/>
    <s v="533"/>
    <s v="רישוי וביטוח"/>
  </r>
  <r>
    <n v="534"/>
    <s v="73120"/>
    <n v="1"/>
    <s v="173120.534"/>
    <s v="דלק ושמן                        "/>
    <m/>
    <m/>
    <n v="68000"/>
    <n v="68000"/>
    <n v="87430"/>
    <m/>
    <x v="6"/>
    <s v="שירותים מקומיים"/>
    <x v="27"/>
    <s v="תכנון ובנין עיר"/>
    <x v="85"/>
    <s v="משרד מהנדס הרשות"/>
    <s v="7312"/>
    <e v="#N/A"/>
    <m/>
    <s v="5"/>
    <x v="11"/>
    <s v="53"/>
    <s v="הוצאות רכב מינהלי"/>
    <s v="534"/>
    <e v="#N/A"/>
  </r>
  <r>
    <n v="541"/>
    <s v="73120"/>
    <n v="1"/>
    <s v="173120.541"/>
    <s v="החזקת מכשירי קשר וסלולר         "/>
    <m/>
    <m/>
    <n v="152000"/>
    <n v="152000"/>
    <n v="175429"/>
    <m/>
    <x v="6"/>
    <s v="שירותים מקומיים"/>
    <x v="27"/>
    <s v="תכנון ובנין עיר"/>
    <x v="85"/>
    <s v="משרד מהנדס הרשות"/>
    <s v="7312"/>
    <e v="#N/A"/>
    <m/>
    <s v="5"/>
    <x v="11"/>
    <s v="54"/>
    <s v="הוצאות תקשורת"/>
    <s v="541"/>
    <e v="#N/A"/>
  </r>
  <r>
    <n v="610"/>
    <s v="73120"/>
    <n v="1"/>
    <s v="173120.610"/>
    <s v="כיבודים                         "/>
    <m/>
    <m/>
    <n v="32000"/>
    <n v="32000"/>
    <n v="57836"/>
    <m/>
    <x v="6"/>
    <s v="שירותים מקומיים"/>
    <x v="27"/>
    <s v="תכנון ובנין עיר"/>
    <x v="85"/>
    <s v="משרד מהנדס הרשות"/>
    <s v="7312"/>
    <e v="#N/A"/>
    <m/>
    <s v="6"/>
    <x v="12"/>
    <s v="61"/>
    <s v="עמלות"/>
    <s v="610"/>
    <e v="#N/A"/>
  </r>
  <r>
    <n v="670"/>
    <s v="73120"/>
    <n v="1"/>
    <s v="173120.670"/>
    <s v="סעיף שאינו חוזר                 "/>
    <m/>
    <m/>
    <n v="0"/>
    <n v="5022000"/>
    <n v="610364"/>
    <m/>
    <x v="6"/>
    <s v="שירותים מקומיים"/>
    <x v="27"/>
    <s v="תכנון ובנין עיר"/>
    <x v="85"/>
    <s v="משרד מהנדס הרשות"/>
    <s v="7312"/>
    <e v="#N/A"/>
    <m/>
    <s v="6"/>
    <x v="12"/>
    <s v="67"/>
    <e v="#N/A"/>
    <s v="670"/>
    <e v="#N/A"/>
  </r>
  <r>
    <n v="680"/>
    <s v="73120"/>
    <n v="1"/>
    <s v="173120.680"/>
    <s v="הוצאות   מיוחדות                "/>
    <m/>
    <m/>
    <n v="24000"/>
    <n v="24000"/>
    <n v="27364"/>
    <m/>
    <x v="6"/>
    <s v="שירותים מקומיים"/>
    <x v="27"/>
    <s v="תכנון ובנין עיר"/>
    <x v="85"/>
    <s v="משרד מהנדס הרשות"/>
    <s v="7312"/>
    <e v="#N/A"/>
    <m/>
    <s v="6"/>
    <x v="12"/>
    <s v="68"/>
    <s v="ריבית על הוצאות אחרות"/>
    <s v="680"/>
    <e v="#N/A"/>
  </r>
  <r>
    <n v="691"/>
    <s v="73120"/>
    <n v="1"/>
    <s v="173120.691"/>
    <s v="מערכות מידע ומחשוב              "/>
    <m/>
    <m/>
    <n v="690000"/>
    <n v="640000"/>
    <n v="603277"/>
    <m/>
    <x v="6"/>
    <s v="שירותים מקומיים"/>
    <x v="27"/>
    <s v="תכנון ובנין עיר"/>
    <x v="85"/>
    <s v="משרד מהנדס הרשות"/>
    <s v="7312"/>
    <e v="#N/A"/>
    <m/>
    <s v="6"/>
    <x v="12"/>
    <s v="69"/>
    <s v="שונות"/>
    <s v="691"/>
    <s v="תשלום ע&quot;ח קרן"/>
  </r>
  <r>
    <n v="693"/>
    <s v="73120"/>
    <n v="1"/>
    <s v="173120.693"/>
    <s v="מיחשוב יחידתי                   "/>
    <m/>
    <m/>
    <n v="37000"/>
    <n v="37000"/>
    <n v="35089"/>
    <m/>
    <x v="6"/>
    <s v="שירותים מקומיים"/>
    <x v="27"/>
    <s v="תכנון ובנין עיר"/>
    <x v="85"/>
    <s v="משרד מהנדס הרשות"/>
    <s v="7312"/>
    <e v="#N/A"/>
    <m/>
    <s v="6"/>
    <x v="12"/>
    <s v="69"/>
    <s v="שונות"/>
    <s v="693"/>
    <s v="תשלום ע&quot;ח הצמדת ערך"/>
  </r>
  <r>
    <n v="751"/>
    <s v="73120"/>
    <n v="1"/>
    <s v="173120.751"/>
    <s v="אדריכל שילוט                    "/>
    <m/>
    <m/>
    <n v="186000"/>
    <n v="151000"/>
    <n v="209274"/>
    <m/>
    <x v="6"/>
    <s v="שירותים מקומיים"/>
    <x v="27"/>
    <s v="תכנון ובנין עיר"/>
    <x v="85"/>
    <s v="משרד מהנדס הרשות"/>
    <s v="7312"/>
    <e v="#N/A"/>
    <m/>
    <s v="7"/>
    <x v="13"/>
    <s v="75"/>
    <s v="עבודות קבלניות"/>
    <s v="751"/>
    <e v="#N/A"/>
  </r>
  <r>
    <n v="781"/>
    <s v="73120"/>
    <n v="1"/>
    <s v="173120.781"/>
    <s v="חוברות ופרסומי מידע למכירה      "/>
    <m/>
    <m/>
    <n v="6000"/>
    <n v="6000"/>
    <n v="0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1"/>
    <e v="#N/A"/>
  </r>
  <r>
    <n v="782"/>
    <s v="73120"/>
    <n v="1"/>
    <s v="173120.782"/>
    <s v="שירותי דוור-מסרונים             "/>
    <m/>
    <m/>
    <n v="10000"/>
    <n v="10000"/>
    <n v="2242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2"/>
    <e v="#N/A"/>
  </r>
  <r>
    <n v="783"/>
    <s v="73120"/>
    <n v="1"/>
    <s v="173120.783"/>
    <s v="כנס שימור מבנים                 "/>
    <m/>
    <m/>
    <n v="15000"/>
    <n v="15000"/>
    <n v="0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3"/>
    <e v="#N/A"/>
  </r>
  <r>
    <n v="784"/>
    <s v="73120"/>
    <n v="1"/>
    <s v="173120.784"/>
    <s v="דמי חבר אונסק ו                 "/>
    <m/>
    <m/>
    <n v="14000"/>
    <n v="14000"/>
    <n v="11063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4"/>
    <e v="#N/A"/>
  </r>
  <r>
    <n v="786"/>
    <s v="73120"/>
    <n v="1"/>
    <s v="173120.786"/>
    <s v="שיתוף ציבור                     "/>
    <m/>
    <m/>
    <n v="40000"/>
    <n v="0"/>
    <n v="0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6"/>
    <e v="#N/A"/>
  </r>
  <r>
    <n v="787"/>
    <s v="73120"/>
    <n v="1"/>
    <s v="173120.787"/>
    <s v="שרותים לוועדת בנין עיר          "/>
    <m/>
    <m/>
    <n v="45000"/>
    <n v="85000"/>
    <n v="54617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7"/>
    <e v="#N/A"/>
  </r>
  <r>
    <n v="788"/>
    <s v="73120"/>
    <n v="1"/>
    <s v="173120.788"/>
    <s v="הדפסת פרוטוקולים וחוברות        "/>
    <m/>
    <m/>
    <n v="40000"/>
    <n v="40000"/>
    <n v="38187"/>
    <m/>
    <x v="6"/>
    <s v="שירותים מקומיים"/>
    <x v="27"/>
    <s v="תכנון ובנין עיר"/>
    <x v="85"/>
    <s v="משרד מהנדס הרשות"/>
    <s v="7312"/>
    <e v="#N/A"/>
    <m/>
    <s v="7"/>
    <x v="13"/>
    <s v="78"/>
    <s v="הוצאות שונות"/>
    <s v="788"/>
    <e v="#N/A"/>
  </r>
  <r>
    <n v="791"/>
    <s v="73120"/>
    <n v="1"/>
    <s v="173120.791"/>
    <s v="עתודת מהנדס העיר                "/>
    <m/>
    <m/>
    <n v="82000"/>
    <n v="82000"/>
    <n v="0"/>
    <m/>
    <x v="6"/>
    <s v="שירותים מקומיים"/>
    <x v="27"/>
    <s v="תכנון ובנין עיר"/>
    <x v="85"/>
    <s v="משרד מהנדס הרשות"/>
    <s v="7312"/>
    <e v="#N/A"/>
    <m/>
    <s v="7"/>
    <x v="13"/>
    <s v="79"/>
    <s v="השתתפות בתקציבי עזר 092"/>
    <s v="791"/>
    <e v="#N/A"/>
  </r>
  <r>
    <n v="932"/>
    <s v="73120"/>
    <n v="1"/>
    <s v="173120.932"/>
    <s v="ציוד תפעולי                     "/>
    <m/>
    <m/>
    <n v="31000"/>
    <n v="31000"/>
    <n v="30591"/>
    <m/>
    <x v="6"/>
    <s v="שירותים מקומיים"/>
    <x v="27"/>
    <s v="תכנון ובנין עיר"/>
    <x v="85"/>
    <s v="משרד מהנדס הרשות"/>
    <s v="7312"/>
    <e v="#N/A"/>
    <m/>
    <s v="9"/>
    <x v="17"/>
    <s v="93"/>
    <s v="רכישת ציוד יסודי"/>
    <s v="932"/>
    <e v="#N/A"/>
  </r>
  <r>
    <n v="934"/>
    <s v="73120"/>
    <n v="1"/>
    <s v="173120.934"/>
    <s v="מכשירים וכלי עבודה              "/>
    <m/>
    <m/>
    <n v="20000"/>
    <n v="20000"/>
    <n v="17393"/>
    <m/>
    <x v="6"/>
    <s v="שירותים מקומיים"/>
    <x v="27"/>
    <s v="תכנון ובנין עיר"/>
    <x v="85"/>
    <s v="משרד מהנדס הרשות"/>
    <s v="7312"/>
    <e v="#N/A"/>
    <m/>
    <s v="9"/>
    <x v="17"/>
    <s v="93"/>
    <s v="רכישת ציוד יסודי"/>
    <s v="934"/>
    <e v="#N/A"/>
  </r>
  <r>
    <n v="110"/>
    <s v="73140"/>
    <n v="1"/>
    <s v="173140.110"/>
    <s v="משכורת כוללת                    "/>
    <m/>
    <m/>
    <n v="98000"/>
    <n v="93000"/>
    <n v="85356"/>
    <m/>
    <x v="6"/>
    <s v="שירותים מקומיים"/>
    <x v="27"/>
    <s v="תכנון ובנין עיר"/>
    <x v="85"/>
    <s v="משרד מהנדס הרשות"/>
    <s v="7314"/>
    <e v="#N/A"/>
    <m/>
    <s v="1"/>
    <x v="9"/>
    <s v="11"/>
    <s v="השכר הקובע"/>
    <s v="110"/>
    <e v="#N/A"/>
  </r>
  <r>
    <n v="124"/>
    <s v="73140"/>
    <n v="1"/>
    <s v="173140.124"/>
    <s v="החזר הוצאות                     "/>
    <m/>
    <m/>
    <n v="6000"/>
    <n v="6000"/>
    <n v="5916"/>
    <m/>
    <x v="6"/>
    <s v="שירותים מקומיים"/>
    <x v="27"/>
    <s v="תכנון ובנין עיר"/>
    <x v="85"/>
    <s v="משרד מהנדס הרשות"/>
    <s v="7314"/>
    <e v="#N/A"/>
    <m/>
    <s v="1"/>
    <x v="9"/>
    <s v="12"/>
    <s v="תוספות שאינן נכללות בשכר הקובע"/>
    <s v="124"/>
    <e v="#N/A"/>
  </r>
  <r>
    <n v="126"/>
    <s v="73140"/>
    <n v="1"/>
    <s v="173140.126"/>
    <s v="הבראה                           "/>
    <m/>
    <m/>
    <n v="6000"/>
    <n v="5000"/>
    <n v="5124"/>
    <m/>
    <x v="6"/>
    <s v="שירותים מקומיים"/>
    <x v="27"/>
    <s v="תכנון ובנין עיר"/>
    <x v="85"/>
    <s v="משרד מהנדס הרשות"/>
    <s v="7314"/>
    <e v="#N/A"/>
    <m/>
    <s v="1"/>
    <x v="9"/>
    <s v="12"/>
    <s v="תוספות שאינן נכללות בשכר הקובע"/>
    <s v="126"/>
    <e v="#N/A"/>
  </r>
  <r>
    <n v="127"/>
    <s v="73140"/>
    <n v="1"/>
    <s v="173140.127"/>
    <s v="השתתפות באחזקת רכב -1           "/>
    <m/>
    <m/>
    <n v="33000"/>
    <n v="26000"/>
    <n v="20095"/>
    <m/>
    <x v="6"/>
    <s v="שירותים מקומיים"/>
    <x v="27"/>
    <s v="תכנון ובנין עיר"/>
    <x v="85"/>
    <s v="משרד מהנדס הרשות"/>
    <s v="7314"/>
    <e v="#N/A"/>
    <m/>
    <s v="1"/>
    <x v="9"/>
    <s v="12"/>
    <s v="תוספות שאינן נכללות בשכר הקובע"/>
    <s v="127"/>
    <e v="#N/A"/>
  </r>
  <r>
    <n v="130"/>
    <s v="73140"/>
    <n v="1"/>
    <s v="173140.130"/>
    <s v="תשלומים מיוחדים                 "/>
    <m/>
    <m/>
    <n v="22000"/>
    <n v="18000"/>
    <n v="17876"/>
    <m/>
    <x v="6"/>
    <s v="שירותים מקומיים"/>
    <x v="27"/>
    <s v="תכנון ובנין עיר"/>
    <x v="85"/>
    <s v="משרד מהנדס הרשות"/>
    <s v="7314"/>
    <e v="#N/A"/>
    <m/>
    <s v="1"/>
    <x v="9"/>
    <s v="13"/>
    <s v="שעות נוספות"/>
    <s v="130"/>
    <e v="#N/A"/>
  </r>
  <r>
    <n v="181"/>
    <s v="73140"/>
    <n v="1"/>
    <s v="173140.181"/>
    <s v="מיסים וביטוח לאומי              "/>
    <m/>
    <m/>
    <n v="22000"/>
    <n v="19000"/>
    <n v="17469"/>
    <m/>
    <x v="6"/>
    <s v="שירותים מקומיים"/>
    <x v="27"/>
    <s v="תכנון ובנין עיר"/>
    <x v="85"/>
    <s v="משרד מהנדס הרשות"/>
    <s v="7314"/>
    <e v="#N/A"/>
    <m/>
    <s v="1"/>
    <x v="9"/>
    <s v="18"/>
    <s v="נלוות לשכר"/>
    <s v="181"/>
    <s v="הפרשות סוציאליות"/>
  </r>
  <r>
    <n v="182"/>
    <s v="73140"/>
    <n v="1"/>
    <s v="173140.182"/>
    <s v="קופות גמל והשתלמות              "/>
    <m/>
    <m/>
    <n v="16000"/>
    <n v="13000"/>
    <n v="12271"/>
    <m/>
    <x v="6"/>
    <s v="שירותים מקומיים"/>
    <x v="27"/>
    <s v="תכנון ובנין עיר"/>
    <x v="85"/>
    <s v="משרד מהנדס הרשות"/>
    <s v="7314"/>
    <e v="#N/A"/>
    <m/>
    <s v="1"/>
    <x v="9"/>
    <s v="18"/>
    <s v="נלוות לשכר"/>
    <s v="182"/>
    <s v="מיסיום ועלויות"/>
  </r>
  <r>
    <n v="110"/>
    <s v="73150"/>
    <n v="1"/>
    <s v="173150.110"/>
    <s v="משכורת כוללת                    "/>
    <m/>
    <m/>
    <n v="1441000"/>
    <n v="1524000"/>
    <n v="994506"/>
    <m/>
    <x v="6"/>
    <s v="שירותים מקומיים"/>
    <x v="27"/>
    <s v="תכנון ובנין עיר"/>
    <x v="85"/>
    <s v="משרד מהנדס הרשות"/>
    <s v="7315"/>
    <e v="#N/A"/>
    <m/>
    <s v="1"/>
    <x v="9"/>
    <s v="11"/>
    <s v="השכר הקובע"/>
    <s v="110"/>
    <e v="#N/A"/>
  </r>
  <r>
    <n v="124"/>
    <s v="73150"/>
    <n v="1"/>
    <s v="173150.124"/>
    <s v="החזר הוצאות                     "/>
    <m/>
    <m/>
    <n v="72000"/>
    <n v="58000"/>
    <n v="41557"/>
    <m/>
    <x v="6"/>
    <s v="שירותים מקומיים"/>
    <x v="27"/>
    <s v="תכנון ובנין עיר"/>
    <x v="85"/>
    <s v="משרד מהנדס הרשות"/>
    <s v="7315"/>
    <e v="#N/A"/>
    <m/>
    <s v="1"/>
    <x v="9"/>
    <s v="12"/>
    <s v="תוספות שאינן נכללות בשכר הקובע"/>
    <s v="124"/>
    <e v="#N/A"/>
  </r>
  <r>
    <n v="126"/>
    <s v="73150"/>
    <n v="1"/>
    <s v="173150.126"/>
    <s v="הבראה                           "/>
    <m/>
    <m/>
    <n v="53000"/>
    <n v="62000"/>
    <n v="38230"/>
    <m/>
    <x v="6"/>
    <s v="שירותים מקומיים"/>
    <x v="27"/>
    <s v="תכנון ובנין עיר"/>
    <x v="85"/>
    <s v="משרד מהנדס הרשות"/>
    <s v="7315"/>
    <e v="#N/A"/>
    <m/>
    <s v="1"/>
    <x v="9"/>
    <s v="12"/>
    <s v="תוספות שאינן נכללות בשכר הקובע"/>
    <s v="126"/>
    <e v="#N/A"/>
  </r>
  <r>
    <n v="127"/>
    <s v="73150"/>
    <n v="1"/>
    <s v="173150.127"/>
    <s v="השתתפות באחזקת רכב -6           "/>
    <m/>
    <m/>
    <n v="217000"/>
    <n v="284000"/>
    <n v="167081"/>
    <m/>
    <x v="6"/>
    <s v="שירותים מקומיים"/>
    <x v="27"/>
    <s v="תכנון ובנין עיר"/>
    <x v="85"/>
    <s v="משרד מהנדס הרשות"/>
    <s v="7315"/>
    <e v="#N/A"/>
    <m/>
    <s v="1"/>
    <x v="9"/>
    <s v="12"/>
    <s v="תוספות שאינן נכללות בשכר הקובע"/>
    <s v="127"/>
    <e v="#N/A"/>
  </r>
  <r>
    <n v="130"/>
    <s v="73150"/>
    <n v="1"/>
    <s v="173150.130"/>
    <s v="תשלומים מיוחדים                 "/>
    <m/>
    <m/>
    <n v="143000"/>
    <n v="208000"/>
    <n v="125393"/>
    <m/>
    <x v="6"/>
    <s v="שירותים מקומיים"/>
    <x v="27"/>
    <s v="תכנון ובנין עיר"/>
    <x v="85"/>
    <s v="משרד מהנדס הרשות"/>
    <s v="7315"/>
    <e v="#N/A"/>
    <m/>
    <s v="1"/>
    <x v="9"/>
    <s v="13"/>
    <s v="שעות נוספות"/>
    <s v="130"/>
    <e v="#N/A"/>
  </r>
  <r>
    <n v="181"/>
    <s v="73150"/>
    <n v="1"/>
    <s v="173150.181"/>
    <s v="מיסים וביטוח לאומי              "/>
    <m/>
    <m/>
    <n v="252000"/>
    <n v="280000"/>
    <n v="205046"/>
    <m/>
    <x v="6"/>
    <s v="שירותים מקומיים"/>
    <x v="27"/>
    <s v="תכנון ובנין עיר"/>
    <x v="85"/>
    <s v="משרד מהנדס הרשות"/>
    <s v="7315"/>
    <e v="#N/A"/>
    <m/>
    <s v="1"/>
    <x v="9"/>
    <s v="18"/>
    <s v="נלוות לשכר"/>
    <s v="181"/>
    <s v="הפרשות סוציאליות"/>
  </r>
  <r>
    <n v="182"/>
    <s v="73150"/>
    <n v="1"/>
    <s v="173150.182"/>
    <s v="קופות גמל והשתלמות              "/>
    <m/>
    <m/>
    <n v="275000"/>
    <n v="295000"/>
    <n v="183431"/>
    <m/>
    <x v="6"/>
    <s v="שירותים מקומיים"/>
    <x v="27"/>
    <s v="תכנון ובנין עיר"/>
    <x v="85"/>
    <s v="משרד מהנדס הרשות"/>
    <s v="7315"/>
    <e v="#N/A"/>
    <m/>
    <s v="1"/>
    <x v="9"/>
    <s v="18"/>
    <s v="נלוות לשכר"/>
    <s v="182"/>
    <s v="מיסיום ועלויות"/>
  </r>
  <r>
    <n v="691"/>
    <s v="73150"/>
    <n v="1"/>
    <s v="173150.691"/>
    <s v="מערכות מידע ומחשוב              "/>
    <m/>
    <m/>
    <n v="870000"/>
    <n v="630000"/>
    <n v="559815"/>
    <m/>
    <x v="6"/>
    <s v="שירותים מקומיים"/>
    <x v="27"/>
    <s v="תכנון ובנין עיר"/>
    <x v="85"/>
    <s v="משרד מהנדס הרשות"/>
    <s v="7315"/>
    <e v="#N/A"/>
    <m/>
    <s v="6"/>
    <x v="12"/>
    <s v="69"/>
    <s v="שונות"/>
    <s v="691"/>
    <s v="תשלום ע&quot;ח קרן"/>
  </r>
  <r>
    <n v="110"/>
    <s v="73160"/>
    <n v="1"/>
    <s v="173160.110"/>
    <s v="משכורת כוללת                    "/>
    <m/>
    <m/>
    <n v="463000"/>
    <n v="421000"/>
    <n v="361671"/>
    <m/>
    <x v="6"/>
    <s v="שירותים מקומיים"/>
    <x v="27"/>
    <s v="תכנון ובנין עיר"/>
    <x v="85"/>
    <s v="משרד מהנדס הרשות"/>
    <s v="7316"/>
    <e v="#N/A"/>
    <m/>
    <s v="1"/>
    <x v="9"/>
    <s v="11"/>
    <s v="השכר הקובע"/>
    <s v="110"/>
    <e v="#N/A"/>
  </r>
  <r>
    <n v="124"/>
    <s v="73160"/>
    <n v="1"/>
    <s v="173160.124"/>
    <s v="החזר הוצאות                     "/>
    <m/>
    <m/>
    <n v="19000"/>
    <n v="19000"/>
    <n v="14080"/>
    <m/>
    <x v="6"/>
    <s v="שירותים מקומיים"/>
    <x v="27"/>
    <s v="תכנון ובנין עיר"/>
    <x v="85"/>
    <s v="משרד מהנדס הרשות"/>
    <s v="7316"/>
    <e v="#N/A"/>
    <m/>
    <s v="1"/>
    <x v="9"/>
    <s v="12"/>
    <s v="תוספות שאינן נכללות בשכר הקובע"/>
    <s v="124"/>
    <e v="#N/A"/>
  </r>
  <r>
    <n v="126"/>
    <s v="73160"/>
    <n v="1"/>
    <s v="173160.126"/>
    <s v="הבראה                           "/>
    <m/>
    <m/>
    <n v="16000"/>
    <n v="15000"/>
    <n v="14265"/>
    <m/>
    <x v="6"/>
    <s v="שירותים מקומיים"/>
    <x v="27"/>
    <s v="תכנון ובנין עיר"/>
    <x v="85"/>
    <s v="משרד מהנדס הרשות"/>
    <s v="7316"/>
    <e v="#N/A"/>
    <m/>
    <s v="1"/>
    <x v="9"/>
    <s v="12"/>
    <s v="תוספות שאינן נכללות בשכר הקובע"/>
    <s v="126"/>
    <e v="#N/A"/>
  </r>
  <r>
    <n v="127"/>
    <s v="73160"/>
    <n v="1"/>
    <s v="173160.127"/>
    <s v="השתתפות באחזקת רכב-3            "/>
    <m/>
    <m/>
    <n v="87000"/>
    <n v="62000"/>
    <n v="72988"/>
    <m/>
    <x v="6"/>
    <s v="שירותים מקומיים"/>
    <x v="27"/>
    <s v="תכנון ובנין עיר"/>
    <x v="85"/>
    <s v="משרד מהנדס הרשות"/>
    <s v="7316"/>
    <e v="#N/A"/>
    <m/>
    <s v="1"/>
    <x v="9"/>
    <s v="12"/>
    <s v="תוספות שאינן נכללות בשכר הקובע"/>
    <s v="127"/>
    <e v="#N/A"/>
  </r>
  <r>
    <n v="130"/>
    <s v="73160"/>
    <n v="1"/>
    <s v="173160.130"/>
    <s v="תשלומים מיוחדים                 "/>
    <m/>
    <m/>
    <n v="12000"/>
    <n v="41000"/>
    <n v="21757"/>
    <m/>
    <x v="6"/>
    <s v="שירותים מקומיים"/>
    <x v="27"/>
    <s v="תכנון ובנין עיר"/>
    <x v="85"/>
    <s v="משרד מהנדס הרשות"/>
    <s v="7316"/>
    <e v="#N/A"/>
    <m/>
    <s v="1"/>
    <x v="9"/>
    <s v="13"/>
    <s v="שעות נוספות"/>
    <s v="130"/>
    <e v="#N/A"/>
  </r>
  <r>
    <n v="181"/>
    <s v="73160"/>
    <n v="1"/>
    <s v="173160.181"/>
    <s v="מיסים וביטוח לאומי              "/>
    <m/>
    <m/>
    <n v="78000"/>
    <n v="73000"/>
    <n v="65015"/>
    <m/>
    <x v="6"/>
    <s v="שירותים מקומיים"/>
    <x v="27"/>
    <s v="תכנון ובנין עיר"/>
    <x v="85"/>
    <s v="משרד מהנדס הרשות"/>
    <s v="7316"/>
    <e v="#N/A"/>
    <m/>
    <s v="1"/>
    <x v="9"/>
    <s v="18"/>
    <s v="נלוות לשכר"/>
    <s v="181"/>
    <s v="הפרשות סוציאליות"/>
  </r>
  <r>
    <n v="182"/>
    <s v="73160"/>
    <n v="1"/>
    <s v="173160.182"/>
    <s v="קופות גמל והשתלמות              "/>
    <m/>
    <m/>
    <n v="82000"/>
    <n v="63000"/>
    <n v="52715"/>
    <m/>
    <x v="6"/>
    <s v="שירותים מקומיים"/>
    <x v="27"/>
    <s v="תכנון ובנין עיר"/>
    <x v="85"/>
    <s v="משרד מהנדס הרשות"/>
    <s v="7316"/>
    <e v="#N/A"/>
    <m/>
    <s v="1"/>
    <x v="9"/>
    <s v="18"/>
    <s v="נלוות לשכר"/>
    <s v="182"/>
    <s v="מיסיום ועלויות"/>
  </r>
  <r>
    <n v="670"/>
    <s v="73160"/>
    <n v="1"/>
    <s v="173160.670"/>
    <s v="סעיף שאינו חוזר                 "/>
    <m/>
    <m/>
    <n v="0"/>
    <n v="2000"/>
    <n v="1419"/>
    <m/>
    <x v="6"/>
    <s v="שירותים מקומיים"/>
    <x v="27"/>
    <s v="תכנון ובנין עיר"/>
    <x v="85"/>
    <s v="משרד מהנדס הרשות"/>
    <s v="7316"/>
    <e v="#N/A"/>
    <m/>
    <s v="6"/>
    <x v="12"/>
    <s v="67"/>
    <e v="#N/A"/>
    <s v="670"/>
    <e v="#N/A"/>
  </r>
  <r>
    <n v="110"/>
    <s v="73210"/>
    <n v="1"/>
    <s v="173210.110"/>
    <s v="משכורת כוללת                    "/>
    <m/>
    <m/>
    <n v="945000"/>
    <n v="1118000"/>
    <n v="1110785"/>
    <m/>
    <x v="6"/>
    <s v="שירותים מקומיים"/>
    <x v="27"/>
    <s v="תכנון ובנין עיר"/>
    <x v="86"/>
    <s v="תכנון עיר"/>
    <s v="7321"/>
    <s v="תכנון כללי"/>
    <m/>
    <s v="1"/>
    <x v="9"/>
    <s v="11"/>
    <s v="השכר הקובע"/>
    <s v="110"/>
    <e v="#N/A"/>
  </r>
  <r>
    <n v="124"/>
    <s v="73210"/>
    <n v="1"/>
    <s v="173210.124"/>
    <s v="החזר הוצאות                     "/>
    <m/>
    <m/>
    <n v="52000"/>
    <n v="58000"/>
    <n v="56961"/>
    <m/>
    <x v="6"/>
    <s v="שירותים מקומיים"/>
    <x v="27"/>
    <s v="תכנון ובנין עיר"/>
    <x v="86"/>
    <s v="תכנון עיר"/>
    <s v="7321"/>
    <s v="תכנון כללי"/>
    <m/>
    <s v="1"/>
    <x v="9"/>
    <s v="12"/>
    <s v="תוספות שאינן נכללות בשכר הקובע"/>
    <s v="124"/>
    <e v="#N/A"/>
  </r>
  <r>
    <n v="126"/>
    <s v="73210"/>
    <n v="1"/>
    <s v="173210.126"/>
    <s v="הבראה                           "/>
    <m/>
    <m/>
    <n v="39000"/>
    <n v="52000"/>
    <n v="49959"/>
    <m/>
    <x v="6"/>
    <s v="שירותים מקומיים"/>
    <x v="27"/>
    <s v="תכנון ובנין עיר"/>
    <x v="86"/>
    <s v="תכנון עיר"/>
    <s v="7321"/>
    <s v="תכנון כללי"/>
    <m/>
    <s v="1"/>
    <x v="9"/>
    <s v="12"/>
    <s v="תוספות שאינן נכללות בשכר הקובע"/>
    <s v="126"/>
    <e v="#N/A"/>
  </r>
  <r>
    <n v="127"/>
    <s v="73210"/>
    <n v="1"/>
    <s v="173210.127"/>
    <s v="השתתפות באחזקת רכב-8            "/>
    <m/>
    <m/>
    <n v="170000"/>
    <n v="194000"/>
    <n v="213488"/>
    <m/>
    <x v="6"/>
    <s v="שירותים מקומיים"/>
    <x v="27"/>
    <s v="תכנון ובנין עיר"/>
    <x v="86"/>
    <s v="תכנון עיר"/>
    <s v="7321"/>
    <s v="תכנון כללי"/>
    <m/>
    <s v="1"/>
    <x v="9"/>
    <s v="12"/>
    <s v="תוספות שאינן נכללות בשכר הקובע"/>
    <s v="127"/>
    <e v="#N/A"/>
  </r>
  <r>
    <n v="130"/>
    <s v="73210"/>
    <n v="1"/>
    <s v="173210.130"/>
    <s v="תשלומים מיוחדים                 "/>
    <m/>
    <m/>
    <n v="155000"/>
    <n v="182000"/>
    <n v="192772"/>
    <m/>
    <x v="6"/>
    <s v="שירותים מקומיים"/>
    <x v="27"/>
    <s v="תכנון ובנין עיר"/>
    <x v="86"/>
    <s v="תכנון עיר"/>
    <s v="7321"/>
    <s v="תכנון כללי"/>
    <m/>
    <s v="1"/>
    <x v="9"/>
    <s v="13"/>
    <s v="שעות נוספות"/>
    <s v="130"/>
    <e v="#N/A"/>
  </r>
  <r>
    <n v="181"/>
    <s v="73210"/>
    <n v="1"/>
    <s v="173210.181"/>
    <s v="מיסים וביטוח לאומי              "/>
    <m/>
    <m/>
    <n v="283000"/>
    <n v="313000"/>
    <n v="224114"/>
    <m/>
    <x v="6"/>
    <s v="שירותים מקומיים"/>
    <x v="27"/>
    <s v="תכנון ובנין עיר"/>
    <x v="86"/>
    <s v="תכנון עיר"/>
    <s v="7321"/>
    <s v="תכנון כללי"/>
    <m/>
    <s v="1"/>
    <x v="9"/>
    <s v="18"/>
    <s v="נלוות לשכר"/>
    <s v="181"/>
    <s v="הפרשות סוציאליות"/>
  </r>
  <r>
    <n v="182"/>
    <s v="73210"/>
    <n v="1"/>
    <s v="173210.182"/>
    <s v="קופות גמל והשתלמות              "/>
    <m/>
    <m/>
    <n v="205000"/>
    <n v="204000"/>
    <n v="204517"/>
    <m/>
    <x v="6"/>
    <s v="שירותים מקומיים"/>
    <x v="27"/>
    <s v="תכנון ובנין עיר"/>
    <x v="86"/>
    <s v="תכנון עיר"/>
    <s v="7321"/>
    <s v="תכנון כללי"/>
    <m/>
    <s v="1"/>
    <x v="9"/>
    <s v="18"/>
    <s v="נלוות לשכר"/>
    <s v="182"/>
    <s v="מיסיום ועלויות"/>
  </r>
  <r>
    <n v="310"/>
    <s v="73210"/>
    <n v="1"/>
    <s v="173210.310"/>
    <s v="שעות נוספות רשומות              "/>
    <m/>
    <m/>
    <n v="743000"/>
    <n v="728000"/>
    <n v="524595"/>
    <m/>
    <x v="6"/>
    <s v="שירותים מקומיים"/>
    <x v="27"/>
    <s v="תכנון ובנין עיר"/>
    <x v="86"/>
    <s v="תכנון עיר"/>
    <s v="7321"/>
    <s v="תכנון כללי"/>
    <m/>
    <s v="3"/>
    <x v="14"/>
    <s v="31"/>
    <s v="פנסיה"/>
    <s v="310"/>
    <e v="#N/A"/>
  </r>
  <r>
    <n v="340"/>
    <s v="73210"/>
    <n v="1"/>
    <s v="173210.340"/>
    <s v="שעות נוספות מיוחדות             "/>
    <m/>
    <m/>
    <n v="61000"/>
    <n v="60000"/>
    <n v="0"/>
    <m/>
    <x v="6"/>
    <s v="שירותים מקומיים"/>
    <x v="27"/>
    <s v="תכנון ובנין עיר"/>
    <x v="86"/>
    <s v="תכנון עיר"/>
    <s v="7321"/>
    <s v="תכנון כללי"/>
    <m/>
    <s v="3"/>
    <x v="14"/>
    <s v="34"/>
    <e v="#N/A"/>
    <s v="340"/>
    <e v="#N/A"/>
  </r>
  <r>
    <n v="610"/>
    <s v="73210"/>
    <n v="1"/>
    <s v="173210.610"/>
    <s v="כיבודים                         "/>
    <m/>
    <m/>
    <n v="16000"/>
    <n v="16000"/>
    <n v="12952"/>
    <m/>
    <x v="6"/>
    <s v="שירותים מקומיים"/>
    <x v="27"/>
    <s v="תכנון ובנין עיר"/>
    <x v="86"/>
    <s v="תכנון עיר"/>
    <s v="7321"/>
    <s v="תכנון כללי"/>
    <m/>
    <s v="6"/>
    <x v="12"/>
    <s v="61"/>
    <s v="עמלות"/>
    <s v="610"/>
    <e v="#N/A"/>
  </r>
  <r>
    <n v="691"/>
    <s v="73210"/>
    <n v="1"/>
    <s v="173210.691"/>
    <s v="מערכות מידע ומחשוב              "/>
    <m/>
    <m/>
    <n v="1360000"/>
    <n v="1330000"/>
    <n v="1071161"/>
    <m/>
    <x v="6"/>
    <s v="שירותים מקומיים"/>
    <x v="27"/>
    <s v="תכנון ובנין עיר"/>
    <x v="86"/>
    <s v="תכנון עיר"/>
    <s v="7321"/>
    <s v="תכנון כללי"/>
    <m/>
    <s v="6"/>
    <x v="12"/>
    <s v="69"/>
    <s v="שונות"/>
    <s v="691"/>
    <s v="תשלום ע&quot;ח קרן"/>
  </r>
  <r>
    <n v="693"/>
    <s v="73210"/>
    <n v="1"/>
    <s v="173210.693"/>
    <s v="מיחשוב יחידתי                   "/>
    <m/>
    <m/>
    <n v="15000"/>
    <n v="15000"/>
    <n v="15145"/>
    <m/>
    <x v="6"/>
    <s v="שירותים מקומיים"/>
    <x v="27"/>
    <s v="תכנון ובנין עיר"/>
    <x v="86"/>
    <s v="תכנון עיר"/>
    <s v="7321"/>
    <s v="תכנון כללי"/>
    <m/>
    <s v="6"/>
    <x v="12"/>
    <s v="69"/>
    <s v="שונות"/>
    <s v="693"/>
    <s v="תשלום ע&quot;ח הצמדת ערך"/>
  </r>
  <r>
    <n v="751"/>
    <s v="73210"/>
    <n v="1"/>
    <s v="173210.751"/>
    <s v="נסחים ומסמכים לטאבו             "/>
    <m/>
    <m/>
    <n v="71000"/>
    <n v="72000"/>
    <n v="42195"/>
    <m/>
    <x v="6"/>
    <s v="שירותים מקומיים"/>
    <x v="27"/>
    <s v="תכנון ובנין עיר"/>
    <x v="86"/>
    <s v="תכנון עיר"/>
    <s v="7321"/>
    <s v="תכנון כללי"/>
    <m/>
    <s v="7"/>
    <x v="13"/>
    <s v="75"/>
    <s v="עבודות קבלניות"/>
    <s v="751"/>
    <e v="#N/A"/>
  </r>
  <r>
    <n v="752"/>
    <s v="73210"/>
    <n v="1"/>
    <s v="173210.752"/>
    <s v="תשלום למשקיפים בועדה המקומית    "/>
    <m/>
    <m/>
    <n v="160000"/>
    <n v="160000"/>
    <n v="0"/>
    <m/>
    <x v="6"/>
    <s v="שירותים מקומיים"/>
    <x v="27"/>
    <s v="תכנון ובנין עיר"/>
    <x v="86"/>
    <s v="תכנון עיר"/>
    <s v="7321"/>
    <s v="תכנון כללי"/>
    <m/>
    <s v="7"/>
    <x v="13"/>
    <s v="75"/>
    <s v="עבודות קבלניות"/>
    <s v="752"/>
    <e v="#N/A"/>
  </r>
  <r>
    <n v="110"/>
    <s v="73221"/>
    <n v="1"/>
    <s v="173221.110"/>
    <s v="משכורת כוללת                    "/>
    <m/>
    <m/>
    <n v="1068000"/>
    <n v="991000"/>
    <n v="995691"/>
    <m/>
    <x v="6"/>
    <s v="שירותים מקומיים"/>
    <x v="27"/>
    <s v="תכנון ובנין עיר"/>
    <x v="86"/>
    <s v="תכנון עיר"/>
    <s v="7322"/>
    <s v="תוכנית אב"/>
    <m/>
    <s v="1"/>
    <x v="9"/>
    <s v="11"/>
    <s v="השכר הקובע"/>
    <s v="110"/>
    <e v="#N/A"/>
  </r>
  <r>
    <n v="124"/>
    <s v="73221"/>
    <n v="1"/>
    <s v="173221.124"/>
    <s v="החזר הוצאות                     "/>
    <m/>
    <m/>
    <n v="42000"/>
    <n v="43000"/>
    <n v="41570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4"/>
    <e v="#N/A"/>
  </r>
  <r>
    <n v="126"/>
    <s v="73221"/>
    <n v="1"/>
    <s v="173221.126"/>
    <s v="הבראה                           "/>
    <m/>
    <m/>
    <n v="38000"/>
    <n v="37000"/>
    <n v="36295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6"/>
    <e v="#N/A"/>
  </r>
  <r>
    <n v="127"/>
    <s v="73221"/>
    <n v="1"/>
    <s v="173221.127"/>
    <s v="השתתפות באחזקת רכב-7            "/>
    <m/>
    <m/>
    <n v="225000"/>
    <n v="212000"/>
    <n v="206872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7"/>
    <e v="#N/A"/>
  </r>
  <r>
    <n v="130"/>
    <s v="73221"/>
    <n v="1"/>
    <s v="173221.130"/>
    <s v="תשלומים מיוחדים                 "/>
    <m/>
    <m/>
    <n v="117000"/>
    <n v="110000"/>
    <n v="109558"/>
    <m/>
    <x v="6"/>
    <s v="שירותים מקומיים"/>
    <x v="27"/>
    <s v="תכנון ובנין עיר"/>
    <x v="86"/>
    <s v="תכנון עיר"/>
    <s v="7322"/>
    <s v="תוכנית אב"/>
    <m/>
    <s v="1"/>
    <x v="9"/>
    <s v="13"/>
    <s v="שעות נוספות"/>
    <s v="130"/>
    <e v="#N/A"/>
  </r>
  <r>
    <n v="181"/>
    <s v="73221"/>
    <n v="1"/>
    <s v="173221.181"/>
    <s v="מיסים וביטוח לאומי              "/>
    <m/>
    <m/>
    <n v="195000"/>
    <n v="182000"/>
    <n v="194938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1"/>
    <s v="הפרשות סוציאליות"/>
  </r>
  <r>
    <n v="182"/>
    <s v="73221"/>
    <n v="1"/>
    <s v="173221.182"/>
    <s v="קופות גמל והשתלמות              "/>
    <m/>
    <m/>
    <n v="190000"/>
    <n v="179000"/>
    <n v="174115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2"/>
    <s v="מיסיום ועלויות"/>
  </r>
  <r>
    <n v="110"/>
    <s v="73222"/>
    <n v="1"/>
    <s v="173222.110"/>
    <s v="משכורת כוללת                    "/>
    <m/>
    <m/>
    <n v="1214000"/>
    <n v="1252000"/>
    <n v="1110588"/>
    <m/>
    <x v="6"/>
    <s v="שירותים מקומיים"/>
    <x v="27"/>
    <s v="תכנון ובנין עיר"/>
    <x v="86"/>
    <s v="תכנון עיר"/>
    <s v="7322"/>
    <s v="תוכנית אב"/>
    <m/>
    <s v="1"/>
    <x v="9"/>
    <s v="11"/>
    <s v="השכר הקובע"/>
    <s v="110"/>
    <e v="#N/A"/>
  </r>
  <r>
    <n v="124"/>
    <s v="73222"/>
    <n v="1"/>
    <s v="173222.124"/>
    <s v="החזר הוצאות                     "/>
    <m/>
    <m/>
    <n v="47000"/>
    <n v="51000"/>
    <n v="45900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4"/>
    <e v="#N/A"/>
  </r>
  <r>
    <n v="126"/>
    <s v="73222"/>
    <n v="1"/>
    <s v="173222.126"/>
    <s v="הבראה                           "/>
    <m/>
    <m/>
    <n v="40000"/>
    <n v="44000"/>
    <n v="41692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6"/>
    <e v="#N/A"/>
  </r>
  <r>
    <n v="127"/>
    <s v="73222"/>
    <n v="1"/>
    <s v="173222.127"/>
    <s v="השתתפות באחזקת רכב-8            "/>
    <m/>
    <m/>
    <n v="264000"/>
    <n v="238000"/>
    <n v="233936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7"/>
    <e v="#N/A"/>
  </r>
  <r>
    <n v="130"/>
    <s v="73222"/>
    <n v="1"/>
    <s v="173222.130"/>
    <s v="תשלומים מיוחדים                 "/>
    <m/>
    <m/>
    <n v="44000"/>
    <n v="53000"/>
    <n v="45451"/>
    <m/>
    <x v="6"/>
    <s v="שירותים מקומיים"/>
    <x v="27"/>
    <s v="תכנון ובנין עיר"/>
    <x v="86"/>
    <s v="תכנון עיר"/>
    <s v="7322"/>
    <s v="תוכנית אב"/>
    <m/>
    <s v="1"/>
    <x v="9"/>
    <s v="13"/>
    <s v="שעות נוספות"/>
    <s v="130"/>
    <e v="#N/A"/>
  </r>
  <r>
    <n v="181"/>
    <s v="73222"/>
    <n v="1"/>
    <s v="173222.181"/>
    <s v="מיסים וביטוח לאומי              "/>
    <m/>
    <m/>
    <n v="210000"/>
    <n v="214000"/>
    <n v="198369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1"/>
    <s v="הפרשות סוציאליות"/>
  </r>
  <r>
    <n v="182"/>
    <s v="73222"/>
    <n v="1"/>
    <s v="173222.182"/>
    <s v="קופות גמל והשתלמות              "/>
    <m/>
    <m/>
    <n v="224000"/>
    <n v="215000"/>
    <n v="197448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2"/>
    <s v="מיסיום ועלויות"/>
  </r>
  <r>
    <n v="110"/>
    <s v="73223"/>
    <n v="1"/>
    <s v="173223.110"/>
    <s v="משכורת כוללת                    "/>
    <m/>
    <m/>
    <n v="990000"/>
    <n v="886000"/>
    <n v="895124"/>
    <m/>
    <x v="6"/>
    <s v="שירותים מקומיים"/>
    <x v="27"/>
    <s v="תכנון ובנין עיר"/>
    <x v="86"/>
    <s v="תכנון עיר"/>
    <s v="7322"/>
    <s v="תוכנית אב"/>
    <m/>
    <s v="1"/>
    <x v="9"/>
    <s v="11"/>
    <s v="השכר הקובע"/>
    <s v="110"/>
    <e v="#N/A"/>
  </r>
  <r>
    <n v="124"/>
    <s v="73223"/>
    <n v="1"/>
    <s v="173223.124"/>
    <s v="החזר הוצאות                     "/>
    <m/>
    <m/>
    <n v="36000"/>
    <n v="29000"/>
    <n v="31947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4"/>
    <e v="#N/A"/>
  </r>
  <r>
    <n v="126"/>
    <s v="73223"/>
    <n v="1"/>
    <s v="173223.126"/>
    <s v="הבראה                           "/>
    <m/>
    <m/>
    <n v="29000"/>
    <n v="23000"/>
    <n v="23485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6"/>
    <e v="#N/A"/>
  </r>
  <r>
    <n v="127"/>
    <s v="73223"/>
    <n v="1"/>
    <s v="173223.127"/>
    <s v="השתתפות באחזקת רכב-5            "/>
    <m/>
    <m/>
    <n v="150000"/>
    <n v="147000"/>
    <n v="163434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7"/>
    <e v="#N/A"/>
  </r>
  <r>
    <n v="130"/>
    <s v="73223"/>
    <n v="1"/>
    <s v="173223.130"/>
    <s v="תשלומים מיוחדים                 "/>
    <m/>
    <m/>
    <n v="34000"/>
    <n v="14000"/>
    <n v="25878"/>
    <m/>
    <x v="6"/>
    <s v="שירותים מקומיים"/>
    <x v="27"/>
    <s v="תכנון ובנין עיר"/>
    <x v="86"/>
    <s v="תכנון עיר"/>
    <s v="7322"/>
    <s v="תוכנית אב"/>
    <m/>
    <s v="1"/>
    <x v="9"/>
    <s v="13"/>
    <s v="שעות נוספות"/>
    <s v="130"/>
    <e v="#N/A"/>
  </r>
  <r>
    <n v="181"/>
    <s v="73223"/>
    <n v="1"/>
    <s v="173223.181"/>
    <s v="מיסים וביטוח לאומי              "/>
    <m/>
    <m/>
    <n v="162000"/>
    <n v="144000"/>
    <n v="157506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1"/>
    <s v="הפרשות סוציאליות"/>
  </r>
  <r>
    <n v="182"/>
    <s v="73223"/>
    <n v="1"/>
    <s v="173223.182"/>
    <s v="קופות גמל והשתלמות              "/>
    <m/>
    <m/>
    <n v="186000"/>
    <n v="167000"/>
    <n v="165400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2"/>
    <s v="מיסיום ועלויות"/>
  </r>
  <r>
    <n v="110"/>
    <s v="73224"/>
    <n v="1"/>
    <s v="173224.110"/>
    <s v="משכורת כוללת                    "/>
    <m/>
    <m/>
    <n v="1001000"/>
    <n v="967000"/>
    <n v="871183"/>
    <m/>
    <x v="6"/>
    <s v="שירותים מקומיים"/>
    <x v="27"/>
    <s v="תכנון ובנין עיר"/>
    <x v="86"/>
    <s v="תכנון עיר"/>
    <s v="7322"/>
    <s v="תוכנית אב"/>
    <m/>
    <s v="1"/>
    <x v="9"/>
    <s v="11"/>
    <s v="השכר הקובע"/>
    <s v="110"/>
    <e v="#N/A"/>
  </r>
  <r>
    <n v="124"/>
    <s v="73224"/>
    <n v="1"/>
    <s v="173224.124"/>
    <s v="החזר הוצאות                     "/>
    <m/>
    <m/>
    <n v="46000"/>
    <n v="41000"/>
    <n v="39623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4"/>
    <e v="#N/A"/>
  </r>
  <r>
    <n v="126"/>
    <s v="73224"/>
    <n v="1"/>
    <s v="173224.126"/>
    <s v="הבראה                           "/>
    <m/>
    <m/>
    <n v="32000"/>
    <n v="37000"/>
    <n v="31033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6"/>
    <e v="#N/A"/>
  </r>
  <r>
    <n v="127"/>
    <s v="73224"/>
    <n v="1"/>
    <s v="173224.127"/>
    <s v="השתתפות באחזקת רכב-6            "/>
    <m/>
    <m/>
    <n v="158000"/>
    <n v="206000"/>
    <n v="183653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7"/>
    <e v="#N/A"/>
  </r>
  <r>
    <n v="130"/>
    <s v="73224"/>
    <n v="1"/>
    <s v="173224.130"/>
    <s v="תשלומים מיוחדים                 "/>
    <m/>
    <m/>
    <n v="71000"/>
    <n v="73000"/>
    <n v="66140"/>
    <m/>
    <x v="6"/>
    <s v="שירותים מקומיים"/>
    <x v="27"/>
    <s v="תכנון ובנין עיר"/>
    <x v="86"/>
    <s v="תכנון עיר"/>
    <s v="7322"/>
    <s v="תוכנית אב"/>
    <m/>
    <s v="1"/>
    <x v="9"/>
    <s v="13"/>
    <s v="שעות נוספות"/>
    <s v="130"/>
    <e v="#N/A"/>
  </r>
  <r>
    <n v="181"/>
    <s v="73224"/>
    <n v="1"/>
    <s v="173224.181"/>
    <s v="מיסים וביטוח לאומי              "/>
    <m/>
    <m/>
    <n v="171000"/>
    <n v="173000"/>
    <n v="157827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1"/>
    <s v="הפרשות סוציאליות"/>
  </r>
  <r>
    <n v="182"/>
    <s v="73224"/>
    <n v="1"/>
    <s v="173224.182"/>
    <s v="קופות גמל והשתלמות              "/>
    <m/>
    <m/>
    <n v="163000"/>
    <n v="154000"/>
    <n v="142112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2"/>
    <s v="מיסיום ועלויות"/>
  </r>
  <r>
    <n v="110"/>
    <s v="73225"/>
    <n v="1"/>
    <s v="173225.110"/>
    <s v="משכורת כוללת                    "/>
    <m/>
    <m/>
    <n v="1148000"/>
    <n v="1111000"/>
    <n v="1066060"/>
    <m/>
    <x v="6"/>
    <s v="שירותים מקומיים"/>
    <x v="27"/>
    <s v="תכנון ובנין עיר"/>
    <x v="86"/>
    <s v="תכנון עיר"/>
    <s v="7322"/>
    <s v="תוכנית אב"/>
    <m/>
    <s v="1"/>
    <x v="9"/>
    <s v="11"/>
    <s v="השכר הקובע"/>
    <s v="110"/>
    <e v="#N/A"/>
  </r>
  <r>
    <n v="124"/>
    <s v="73225"/>
    <n v="1"/>
    <s v="173225.124"/>
    <s v="החזר הוצאות                     "/>
    <m/>
    <m/>
    <n v="43000"/>
    <n v="43000"/>
    <n v="41796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4"/>
    <e v="#N/A"/>
  </r>
  <r>
    <n v="126"/>
    <s v="73225"/>
    <n v="1"/>
    <s v="173225.126"/>
    <s v="הבראה                           "/>
    <m/>
    <m/>
    <n v="35000"/>
    <n v="33000"/>
    <n v="33306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6"/>
    <e v="#N/A"/>
  </r>
  <r>
    <n v="127"/>
    <s v="73225"/>
    <n v="1"/>
    <s v="173225.127"/>
    <s v="השתתפות באחזקת רכב-7            "/>
    <m/>
    <m/>
    <n v="183000"/>
    <n v="168000"/>
    <n v="177685"/>
    <m/>
    <x v="6"/>
    <s v="שירותים מקומיים"/>
    <x v="27"/>
    <s v="תכנון ובנין עיר"/>
    <x v="86"/>
    <s v="תכנון עיר"/>
    <s v="7322"/>
    <s v="תוכנית אב"/>
    <m/>
    <s v="1"/>
    <x v="9"/>
    <s v="12"/>
    <s v="תוספות שאינן נכללות בשכר הקובע"/>
    <s v="127"/>
    <e v="#N/A"/>
  </r>
  <r>
    <n v="130"/>
    <s v="73225"/>
    <n v="1"/>
    <s v="173225.130"/>
    <s v="תשלומים מיוחדים                 "/>
    <m/>
    <m/>
    <n v="38000"/>
    <n v="47000"/>
    <n v="44678"/>
    <m/>
    <x v="6"/>
    <s v="שירותים מקומיים"/>
    <x v="27"/>
    <s v="תכנון ובנין עיר"/>
    <x v="86"/>
    <s v="תכנון עיר"/>
    <s v="7322"/>
    <s v="תוכנית אב"/>
    <m/>
    <s v="1"/>
    <x v="9"/>
    <s v="13"/>
    <s v="שעות נוספות"/>
    <s v="130"/>
    <e v="#N/A"/>
  </r>
  <r>
    <n v="181"/>
    <s v="73225"/>
    <n v="1"/>
    <s v="173225.181"/>
    <s v="מיסים וביטוח לאומי              "/>
    <m/>
    <m/>
    <n v="189000"/>
    <n v="183000"/>
    <n v="182860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1"/>
    <s v="הפרשות סוציאליות"/>
  </r>
  <r>
    <n v="182"/>
    <s v="73225"/>
    <n v="1"/>
    <s v="173225.182"/>
    <s v="קופות גמל והשתלמות              "/>
    <m/>
    <m/>
    <n v="198000"/>
    <n v="208000"/>
    <n v="192585"/>
    <m/>
    <x v="6"/>
    <s v="שירותים מקומיים"/>
    <x v="27"/>
    <s v="תכנון ובנין עיר"/>
    <x v="86"/>
    <s v="תכנון עיר"/>
    <s v="7322"/>
    <s v="תוכנית אב"/>
    <m/>
    <s v="1"/>
    <x v="9"/>
    <s v="18"/>
    <s v="נלוות לשכר"/>
    <s v="182"/>
    <s v="מיסיום ועלויות"/>
  </r>
  <r>
    <n v="781"/>
    <s v="73225"/>
    <n v="1"/>
    <s v="173225.781"/>
    <s v="מרכז מורשת השימור               "/>
    <m/>
    <m/>
    <n v="600000"/>
    <n v="0"/>
    <n v="0"/>
    <m/>
    <x v="6"/>
    <s v="שירותים מקומיים"/>
    <x v="27"/>
    <s v="תכנון ובנין עיר"/>
    <x v="86"/>
    <s v="תכנון עיר"/>
    <s v="7322"/>
    <s v="תוכנית אב"/>
    <m/>
    <s v="7"/>
    <x v="13"/>
    <s v="78"/>
    <s v="הוצאות שונות"/>
    <s v="781"/>
    <e v="#N/A"/>
  </r>
  <r>
    <n v="110"/>
    <s v="73231"/>
    <n v="1"/>
    <s v="173231.110"/>
    <s v="משכורת כוללת                    "/>
    <m/>
    <m/>
    <n v="304000"/>
    <n v="312000"/>
    <n v="295182"/>
    <m/>
    <x v="6"/>
    <s v="שירותים מקומיים"/>
    <x v="27"/>
    <s v="תכנון ובנין עיר"/>
    <x v="86"/>
    <s v="תכנון עיר"/>
    <s v="7323"/>
    <s v="מדידות"/>
    <m/>
    <s v="1"/>
    <x v="9"/>
    <s v="11"/>
    <s v="השכר הקובע"/>
    <s v="110"/>
    <e v="#N/A"/>
  </r>
  <r>
    <n v="124"/>
    <s v="73231"/>
    <n v="1"/>
    <s v="173231.124"/>
    <s v="החזר הוצאות                     "/>
    <m/>
    <m/>
    <n v="17000"/>
    <n v="16000"/>
    <n v="16588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4"/>
    <e v="#N/A"/>
  </r>
  <r>
    <n v="126"/>
    <s v="73231"/>
    <n v="1"/>
    <s v="173231.126"/>
    <s v="הבראה                           "/>
    <m/>
    <m/>
    <n v="17000"/>
    <n v="17000"/>
    <n v="16815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6"/>
    <e v="#N/A"/>
  </r>
  <r>
    <n v="127"/>
    <s v="73231"/>
    <n v="1"/>
    <s v="173231.127"/>
    <s v="השתתפות באחזקת רכב-3            "/>
    <m/>
    <m/>
    <n v="67000"/>
    <n v="51000"/>
    <n v="59606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7"/>
    <e v="#N/A"/>
  </r>
  <r>
    <n v="130"/>
    <s v="73231"/>
    <n v="1"/>
    <s v="173231.130"/>
    <s v="תשלומים מיוחדים                 "/>
    <m/>
    <m/>
    <n v="79000"/>
    <n v="54000"/>
    <n v="65486"/>
    <m/>
    <x v="6"/>
    <s v="שירותים מקומיים"/>
    <x v="27"/>
    <s v="תכנון ובנין עיר"/>
    <x v="86"/>
    <s v="תכנון עיר"/>
    <s v="7323"/>
    <s v="מדידות"/>
    <m/>
    <s v="1"/>
    <x v="9"/>
    <s v="13"/>
    <s v="שעות נוספות"/>
    <s v="130"/>
    <e v="#N/A"/>
  </r>
  <r>
    <n v="181"/>
    <s v="73231"/>
    <n v="1"/>
    <s v="173231.181"/>
    <s v="מיסים וביטוח לאומי              "/>
    <m/>
    <m/>
    <n v="63000"/>
    <n v="59000"/>
    <n v="62720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1"/>
    <s v="הפרשות סוציאליות"/>
  </r>
  <r>
    <n v="182"/>
    <s v="73231"/>
    <n v="1"/>
    <s v="173231.182"/>
    <s v="קופות גמל והשתלמות              "/>
    <m/>
    <m/>
    <n v="60000"/>
    <n v="56000"/>
    <n v="55621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2"/>
    <s v="מיסיום ועלויות"/>
  </r>
  <r>
    <n v="110"/>
    <s v="73232"/>
    <n v="1"/>
    <s v="173232.110"/>
    <s v="משכורת כוללת                    "/>
    <m/>
    <m/>
    <n v="668000"/>
    <n v="651000"/>
    <n v="594351"/>
    <m/>
    <x v="6"/>
    <s v="שירותים מקומיים"/>
    <x v="27"/>
    <s v="תכנון ובנין עיר"/>
    <x v="86"/>
    <s v="תכנון עיר"/>
    <s v="7323"/>
    <s v="מדידות"/>
    <m/>
    <s v="1"/>
    <x v="9"/>
    <s v="11"/>
    <s v="השכר הקובע"/>
    <s v="110"/>
    <e v="#N/A"/>
  </r>
  <r>
    <n v="124"/>
    <s v="73232"/>
    <n v="1"/>
    <s v="173232.124"/>
    <s v="החזר הוצאות                     "/>
    <m/>
    <m/>
    <n v="56000"/>
    <n v="52000"/>
    <n v="51138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4"/>
    <e v="#N/A"/>
  </r>
  <r>
    <n v="126"/>
    <s v="73232"/>
    <n v="1"/>
    <s v="173232.126"/>
    <s v="הבראה                           "/>
    <m/>
    <m/>
    <n v="42000"/>
    <n v="45000"/>
    <n v="43138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6"/>
    <e v="#N/A"/>
  </r>
  <r>
    <n v="127"/>
    <s v="73232"/>
    <n v="1"/>
    <s v="173232.127"/>
    <s v="השתתפות באחזקת רכב-7            "/>
    <m/>
    <m/>
    <n v="121000"/>
    <n v="125000"/>
    <n v="117856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7"/>
    <e v="#N/A"/>
  </r>
  <r>
    <n v="130"/>
    <s v="73232"/>
    <n v="1"/>
    <s v="173232.130"/>
    <s v="תשלומים מיוחדים                 "/>
    <m/>
    <m/>
    <n v="161000"/>
    <n v="187000"/>
    <n v="165988"/>
    <m/>
    <x v="6"/>
    <s v="שירותים מקומיים"/>
    <x v="27"/>
    <s v="תכנון ובנין עיר"/>
    <x v="86"/>
    <s v="תכנון עיר"/>
    <s v="7323"/>
    <s v="מדידות"/>
    <m/>
    <s v="1"/>
    <x v="9"/>
    <s v="13"/>
    <s v="שעות נוספות"/>
    <s v="130"/>
    <e v="#N/A"/>
  </r>
  <r>
    <n v="181"/>
    <s v="73232"/>
    <n v="1"/>
    <s v="173232.181"/>
    <s v="מיסים וביטוח לאומי              "/>
    <m/>
    <m/>
    <n v="137000"/>
    <n v="139000"/>
    <n v="124891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1"/>
    <s v="הפרשות סוציאליות"/>
  </r>
  <r>
    <n v="182"/>
    <s v="73232"/>
    <n v="1"/>
    <s v="173232.182"/>
    <s v="קופות גמל והשתלמות              "/>
    <m/>
    <m/>
    <n v="134000"/>
    <n v="139000"/>
    <n v="126269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2"/>
    <s v="מיסיום ועלויות"/>
  </r>
  <r>
    <n v="751"/>
    <s v="73232"/>
    <n v="1"/>
    <s v="173232.751"/>
    <s v="מפות  מדידות והעתקות אור        "/>
    <m/>
    <m/>
    <n v="29000"/>
    <n v="30000"/>
    <n v="21490"/>
    <m/>
    <x v="6"/>
    <s v="שירותים מקומיים"/>
    <x v="27"/>
    <s v="תכנון ובנין עיר"/>
    <x v="86"/>
    <s v="תכנון עיר"/>
    <s v="7323"/>
    <s v="מדידות"/>
    <m/>
    <s v="7"/>
    <x v="13"/>
    <s v="75"/>
    <s v="עבודות קבלניות"/>
    <s v="751"/>
    <e v="#N/A"/>
  </r>
  <r>
    <n v="752"/>
    <s v="73232"/>
    <n v="1"/>
    <s v="173232.752"/>
    <s v="תצהירים לתעודות עובד ציבור      "/>
    <m/>
    <m/>
    <n v="300000"/>
    <n v="0"/>
    <n v="0"/>
    <m/>
    <x v="6"/>
    <s v="שירותים מקומיים"/>
    <x v="27"/>
    <s v="תכנון ובנין עיר"/>
    <x v="86"/>
    <s v="תכנון עיר"/>
    <s v="7323"/>
    <s v="מדידות"/>
    <m/>
    <s v="7"/>
    <x v="13"/>
    <s v="75"/>
    <s v="עבודות קבלניות"/>
    <s v="752"/>
    <e v="#N/A"/>
  </r>
  <r>
    <n v="110"/>
    <s v="73233"/>
    <n v="1"/>
    <s v="173233.110"/>
    <s v="משכורת כוללת                    "/>
    <m/>
    <m/>
    <n v="503000"/>
    <n v="495000"/>
    <n v="483325"/>
    <m/>
    <x v="6"/>
    <s v="שירותים מקומיים"/>
    <x v="27"/>
    <s v="תכנון ובנין עיר"/>
    <x v="86"/>
    <s v="תכנון עיר"/>
    <s v="7323"/>
    <s v="מדידות"/>
    <m/>
    <s v="1"/>
    <x v="9"/>
    <s v="11"/>
    <s v="השכר הקובע"/>
    <s v="110"/>
    <e v="#N/A"/>
  </r>
  <r>
    <n v="124"/>
    <s v="73233"/>
    <n v="1"/>
    <s v="173233.124"/>
    <s v="החזר הוצאות                     "/>
    <m/>
    <m/>
    <n v="47000"/>
    <n v="44000"/>
    <n v="43308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4"/>
    <e v="#N/A"/>
  </r>
  <r>
    <n v="126"/>
    <s v="73233"/>
    <n v="1"/>
    <s v="173233.126"/>
    <s v="הבראה                           "/>
    <m/>
    <m/>
    <n v="27000"/>
    <n v="28000"/>
    <n v="27353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6"/>
    <e v="#N/A"/>
  </r>
  <r>
    <n v="127"/>
    <s v="73233"/>
    <n v="1"/>
    <s v="173233.127"/>
    <s v="השתתפות באחזקת רכב-5            "/>
    <m/>
    <m/>
    <n v="88000"/>
    <n v="77000"/>
    <n v="90318"/>
    <m/>
    <x v="6"/>
    <s v="שירותים מקומיים"/>
    <x v="27"/>
    <s v="תכנון ובנין עיר"/>
    <x v="86"/>
    <s v="תכנון עיר"/>
    <s v="7323"/>
    <s v="מדידות"/>
    <m/>
    <s v="1"/>
    <x v="9"/>
    <s v="12"/>
    <s v="תוספות שאינן נכללות בשכר הקובע"/>
    <s v="127"/>
    <e v="#N/A"/>
  </r>
  <r>
    <n v="130"/>
    <s v="73233"/>
    <n v="1"/>
    <s v="173233.130"/>
    <s v="תשלומים מיוחדים                 "/>
    <m/>
    <m/>
    <n v="97000"/>
    <n v="75000"/>
    <n v="95668"/>
    <m/>
    <x v="6"/>
    <s v="שירותים מקומיים"/>
    <x v="27"/>
    <s v="תכנון ובנין עיר"/>
    <x v="86"/>
    <s v="תכנון עיר"/>
    <s v="7323"/>
    <s v="מדידות"/>
    <m/>
    <s v="1"/>
    <x v="9"/>
    <s v="13"/>
    <s v="שעות נוספות"/>
    <s v="130"/>
    <e v="#N/A"/>
  </r>
  <r>
    <n v="181"/>
    <s v="73233"/>
    <n v="1"/>
    <s v="173233.181"/>
    <s v="מיסים וביטוח לאומי              "/>
    <m/>
    <m/>
    <n v="100000"/>
    <n v="94000"/>
    <n v="95665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1"/>
    <s v="הפרשות סוציאליות"/>
  </r>
  <r>
    <n v="182"/>
    <s v="73233"/>
    <n v="1"/>
    <s v="173233.182"/>
    <s v="קופות גמל והשתלמות              "/>
    <m/>
    <m/>
    <n v="102000"/>
    <n v="107000"/>
    <n v="101491"/>
    <m/>
    <x v="6"/>
    <s v="שירותים מקומיים"/>
    <x v="27"/>
    <s v="תכנון ובנין עיר"/>
    <x v="86"/>
    <s v="תכנון עיר"/>
    <s v="7323"/>
    <s v="מדידות"/>
    <m/>
    <s v="1"/>
    <x v="9"/>
    <s v="18"/>
    <s v="נלוות לשכר"/>
    <s v="182"/>
    <s v="מיסיום ועלויות"/>
  </r>
  <r>
    <n v="110"/>
    <s v="73241"/>
    <n v="1"/>
    <s v="173241.110"/>
    <s v="משכורת כוללת                    "/>
    <m/>
    <m/>
    <n v="282000"/>
    <n v="391000"/>
    <n v="367445"/>
    <m/>
    <x v="6"/>
    <s v="שירותים מקומיים"/>
    <x v="27"/>
    <s v="תכנון ובנין עיר"/>
    <x v="86"/>
    <s v="תכנון עיר"/>
    <s v="7324"/>
    <e v="#N/A"/>
    <m/>
    <s v="1"/>
    <x v="9"/>
    <s v="11"/>
    <s v="השכר הקובע"/>
    <s v="110"/>
    <e v="#N/A"/>
  </r>
  <r>
    <n v="124"/>
    <s v="73241"/>
    <n v="1"/>
    <s v="173241.124"/>
    <s v="החזר הוצאות                     "/>
    <m/>
    <m/>
    <n v="19000"/>
    <n v="12000"/>
    <n v="12087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4"/>
    <e v="#N/A"/>
  </r>
  <r>
    <n v="126"/>
    <s v="73241"/>
    <n v="1"/>
    <s v="173241.126"/>
    <s v="הבראה                           "/>
    <m/>
    <m/>
    <n v="9000"/>
    <n v="12000"/>
    <n v="11956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6"/>
    <e v="#N/A"/>
  </r>
  <r>
    <n v="127"/>
    <s v="73241"/>
    <n v="1"/>
    <s v="173241.127"/>
    <s v="השתתפות באחזקת רכב-2            "/>
    <m/>
    <m/>
    <n v="28000"/>
    <n v="60000"/>
    <n v="49758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7"/>
    <e v="#N/A"/>
  </r>
  <r>
    <n v="130"/>
    <s v="73241"/>
    <n v="1"/>
    <s v="173241.130"/>
    <s v="תשלומים מיוחדים                 "/>
    <m/>
    <m/>
    <n v="20000"/>
    <n v="26000"/>
    <n v="23859"/>
    <m/>
    <x v="6"/>
    <s v="שירותים מקומיים"/>
    <x v="27"/>
    <s v="תכנון ובנין עיר"/>
    <x v="86"/>
    <s v="תכנון עיר"/>
    <s v="7324"/>
    <e v="#N/A"/>
    <m/>
    <s v="1"/>
    <x v="9"/>
    <s v="13"/>
    <s v="שעות נוספות"/>
    <s v="130"/>
    <e v="#N/A"/>
  </r>
  <r>
    <n v="181"/>
    <s v="73241"/>
    <n v="1"/>
    <s v="173241.181"/>
    <s v="מיסים וביטוח לאומי              "/>
    <m/>
    <m/>
    <n v="47000"/>
    <n v="66000"/>
    <n v="63955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1"/>
    <s v="הפרשות סוציאליות"/>
  </r>
  <r>
    <n v="182"/>
    <s v="73241"/>
    <n v="1"/>
    <s v="173241.182"/>
    <s v="קופות גמל והשתלמות              "/>
    <m/>
    <m/>
    <n v="60000"/>
    <n v="88000"/>
    <n v="83668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2"/>
    <s v="מיסיום ועלויות"/>
  </r>
  <r>
    <n v="110"/>
    <s v="73242"/>
    <n v="1"/>
    <s v="173242.110"/>
    <s v="משכורת כוללת                    "/>
    <m/>
    <m/>
    <n v="332000"/>
    <n v="330000"/>
    <n v="320431"/>
    <m/>
    <x v="6"/>
    <s v="שירותים מקומיים"/>
    <x v="27"/>
    <s v="תכנון ובנין עיר"/>
    <x v="86"/>
    <s v="תכנון עיר"/>
    <s v="7324"/>
    <e v="#N/A"/>
    <m/>
    <s v="1"/>
    <x v="9"/>
    <s v="11"/>
    <s v="השכר הקובע"/>
    <s v="110"/>
    <e v="#N/A"/>
  </r>
  <r>
    <n v="124"/>
    <s v="73242"/>
    <n v="1"/>
    <s v="173242.124"/>
    <s v="החזר הוצאות                     "/>
    <m/>
    <m/>
    <n v="17000"/>
    <n v="17000"/>
    <n v="17245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4"/>
    <e v="#N/A"/>
  </r>
  <r>
    <n v="126"/>
    <s v="73242"/>
    <n v="1"/>
    <s v="173242.126"/>
    <s v="הבראה                           "/>
    <m/>
    <m/>
    <n v="17000"/>
    <n v="17000"/>
    <n v="17080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6"/>
    <e v="#N/A"/>
  </r>
  <r>
    <n v="127"/>
    <s v="73242"/>
    <n v="1"/>
    <s v="173242.127"/>
    <s v="השתתפות באחזקת רכב-3            "/>
    <m/>
    <m/>
    <n v="79000"/>
    <n v="81000"/>
    <n v="76324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7"/>
    <e v="#N/A"/>
  </r>
  <r>
    <n v="130"/>
    <s v="73242"/>
    <n v="1"/>
    <s v="173242.130"/>
    <s v="תשלומים מיוחדים                 "/>
    <m/>
    <m/>
    <n v="108000"/>
    <n v="104000"/>
    <n v="101746"/>
    <m/>
    <x v="6"/>
    <s v="שירותים מקומיים"/>
    <x v="27"/>
    <s v="תכנון ובנין עיר"/>
    <x v="86"/>
    <s v="תכנון עיר"/>
    <s v="7324"/>
    <e v="#N/A"/>
    <m/>
    <s v="1"/>
    <x v="9"/>
    <s v="13"/>
    <s v="שעות נוספות"/>
    <s v="130"/>
    <e v="#N/A"/>
  </r>
  <r>
    <n v="181"/>
    <s v="73242"/>
    <n v="1"/>
    <s v="173242.181"/>
    <s v="מיסים וביטוח לאומי              "/>
    <m/>
    <m/>
    <n v="72000"/>
    <n v="72000"/>
    <n v="74030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1"/>
    <s v="הפרשות סוציאליות"/>
  </r>
  <r>
    <n v="182"/>
    <s v="73242"/>
    <n v="1"/>
    <s v="173242.182"/>
    <s v="קופות גמל והשתלמות              "/>
    <m/>
    <m/>
    <n v="54000"/>
    <n v="53000"/>
    <n v="51148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2"/>
    <s v="מיסיום ועלויות"/>
  </r>
  <r>
    <n v="110"/>
    <s v="73243"/>
    <n v="1"/>
    <s v="173243.110"/>
    <s v="משכורת כוללת                    "/>
    <m/>
    <m/>
    <n v="614000"/>
    <n v="631000"/>
    <n v="610676"/>
    <m/>
    <x v="6"/>
    <s v="שירותים מקומיים"/>
    <x v="27"/>
    <s v="תכנון ובנין עיר"/>
    <x v="86"/>
    <s v="תכנון עיר"/>
    <s v="7324"/>
    <e v="#N/A"/>
    <m/>
    <s v="1"/>
    <x v="9"/>
    <s v="11"/>
    <s v="השכר הקובע"/>
    <s v="110"/>
    <e v="#N/A"/>
  </r>
  <r>
    <n v="124"/>
    <s v="73243"/>
    <n v="1"/>
    <s v="173243.124"/>
    <s v="החזר הוצאות                     "/>
    <m/>
    <m/>
    <n v="40000"/>
    <n v="42000"/>
    <n v="40448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4"/>
    <e v="#N/A"/>
  </r>
  <r>
    <n v="126"/>
    <s v="73243"/>
    <n v="1"/>
    <s v="173243.126"/>
    <s v="הבראה                           "/>
    <m/>
    <m/>
    <n v="32000"/>
    <n v="34000"/>
    <n v="33442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6"/>
    <e v="#N/A"/>
  </r>
  <r>
    <n v="127"/>
    <s v="73243"/>
    <n v="1"/>
    <s v="173243.127"/>
    <s v="השתתפות באחזקת רכב-6            "/>
    <m/>
    <m/>
    <n v="134000"/>
    <n v="123000"/>
    <n v="120546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7"/>
    <e v="#N/A"/>
  </r>
  <r>
    <n v="130"/>
    <s v="73243"/>
    <n v="1"/>
    <s v="173243.130"/>
    <s v="תשלומים מיוחדים                 "/>
    <m/>
    <m/>
    <n v="136000"/>
    <n v="141000"/>
    <n v="137478"/>
    <m/>
    <x v="6"/>
    <s v="שירותים מקומיים"/>
    <x v="27"/>
    <s v="תכנון ובנין עיר"/>
    <x v="86"/>
    <s v="תכנון עיר"/>
    <s v="7324"/>
    <e v="#N/A"/>
    <m/>
    <s v="1"/>
    <x v="9"/>
    <s v="13"/>
    <s v="שעות נוספות"/>
    <s v="130"/>
    <e v="#N/A"/>
  </r>
  <r>
    <n v="181"/>
    <s v="73243"/>
    <n v="1"/>
    <s v="173243.181"/>
    <s v="מיסים וביטוח לאומי              "/>
    <m/>
    <m/>
    <n v="125000"/>
    <n v="127000"/>
    <n v="121096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1"/>
    <s v="הפרשות סוציאליות"/>
  </r>
  <r>
    <n v="182"/>
    <s v="73243"/>
    <n v="1"/>
    <s v="173243.182"/>
    <s v="קופות גמל והשתלמות              "/>
    <m/>
    <m/>
    <n v="115000"/>
    <n v="115000"/>
    <n v="107167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2"/>
    <s v="מיסיום ועלויות"/>
  </r>
  <r>
    <n v="781"/>
    <s v="73243"/>
    <n v="1"/>
    <s v="173243.781"/>
    <s v="רכישת תכניות ומפות              "/>
    <m/>
    <m/>
    <n v="5000"/>
    <n v="5000"/>
    <n v="0"/>
    <m/>
    <x v="6"/>
    <s v="שירותים מקומיים"/>
    <x v="27"/>
    <s v="תכנון ובנין עיר"/>
    <x v="86"/>
    <s v="תכנון עיר"/>
    <s v="7324"/>
    <e v="#N/A"/>
    <m/>
    <s v="7"/>
    <x v="13"/>
    <s v="78"/>
    <s v="הוצאות שונות"/>
    <s v="781"/>
    <e v="#N/A"/>
  </r>
  <r>
    <n v="999"/>
    <s v="73243"/>
    <n v="1"/>
    <s v="173243.999"/>
    <s v="השתתפות מחלקות                  "/>
    <m/>
    <m/>
    <n v="-5000"/>
    <n v="-5000"/>
    <n v="0"/>
    <m/>
    <x v="6"/>
    <s v="שירותים מקומיים"/>
    <x v="27"/>
    <s v="תכנון ובנין עיר"/>
    <x v="86"/>
    <s v="תכנון עיר"/>
    <s v="7324"/>
    <e v="#N/A"/>
    <m/>
    <s v="9"/>
    <x v="17"/>
    <s v="99"/>
    <e v="#N/A"/>
    <s v="999"/>
    <e v="#N/A"/>
  </r>
  <r>
    <n v="110"/>
    <s v="73244"/>
    <n v="1"/>
    <s v="173244.110"/>
    <s v="משכורת כוללת                    "/>
    <m/>
    <m/>
    <n v="308000"/>
    <n v="301000"/>
    <n v="298775"/>
    <m/>
    <x v="6"/>
    <s v="שירותים מקומיים"/>
    <x v="27"/>
    <s v="תכנון ובנין עיר"/>
    <x v="86"/>
    <s v="תכנון עיר"/>
    <s v="7324"/>
    <e v="#N/A"/>
    <m/>
    <s v="1"/>
    <x v="9"/>
    <s v="11"/>
    <s v="השכר הקובע"/>
    <s v="110"/>
    <e v="#N/A"/>
  </r>
  <r>
    <n v="124"/>
    <s v="73244"/>
    <n v="1"/>
    <s v="173244.124"/>
    <s v="החזר הוצאות                     "/>
    <m/>
    <m/>
    <n v="22000"/>
    <n v="23000"/>
    <n v="22742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4"/>
    <e v="#N/A"/>
  </r>
  <r>
    <n v="126"/>
    <s v="73244"/>
    <n v="1"/>
    <s v="173244.126"/>
    <s v="הבראה                           "/>
    <m/>
    <m/>
    <n v="14000"/>
    <n v="15000"/>
    <n v="14518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6"/>
    <e v="#N/A"/>
  </r>
  <r>
    <n v="127"/>
    <s v="73244"/>
    <n v="1"/>
    <s v="173244.127"/>
    <s v="השתתפות באחזקת רכב-3            "/>
    <m/>
    <m/>
    <n v="72000"/>
    <n v="82000"/>
    <n v="81561"/>
    <m/>
    <x v="6"/>
    <s v="שירותים מקומיים"/>
    <x v="27"/>
    <s v="תכנון ובנין עיר"/>
    <x v="86"/>
    <s v="תכנון עיר"/>
    <s v="7324"/>
    <e v="#N/A"/>
    <m/>
    <s v="1"/>
    <x v="9"/>
    <s v="12"/>
    <s v="תוספות שאינן נכללות בשכר הקובע"/>
    <s v="127"/>
    <e v="#N/A"/>
  </r>
  <r>
    <n v="130"/>
    <s v="73244"/>
    <n v="1"/>
    <s v="173244.130"/>
    <s v="תשלומים מיוחדים                 "/>
    <m/>
    <m/>
    <n v="87000"/>
    <n v="83000"/>
    <n v="82816"/>
    <m/>
    <x v="6"/>
    <s v="שירותים מקומיים"/>
    <x v="27"/>
    <s v="תכנון ובנין עיר"/>
    <x v="86"/>
    <s v="תכנון עיר"/>
    <s v="7324"/>
    <e v="#N/A"/>
    <m/>
    <s v="1"/>
    <x v="9"/>
    <s v="13"/>
    <s v="שעות נוספות"/>
    <s v="130"/>
    <e v="#N/A"/>
  </r>
  <r>
    <n v="181"/>
    <s v="73244"/>
    <n v="1"/>
    <s v="173244.181"/>
    <s v="מיסים וביטוח לאומי              "/>
    <m/>
    <m/>
    <n v="66000"/>
    <n v="66000"/>
    <n v="66376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1"/>
    <s v="הפרשות סוציאליות"/>
  </r>
  <r>
    <n v="182"/>
    <s v="73244"/>
    <n v="1"/>
    <s v="173244.182"/>
    <s v="קופות גמל והשתלמות              "/>
    <m/>
    <m/>
    <n v="63000"/>
    <n v="55000"/>
    <n v="56240"/>
    <m/>
    <x v="6"/>
    <s v="שירותים מקומיים"/>
    <x v="27"/>
    <s v="תכנון ובנין עיר"/>
    <x v="86"/>
    <s v="תכנון עיר"/>
    <s v="7324"/>
    <e v="#N/A"/>
    <m/>
    <s v="1"/>
    <x v="9"/>
    <s v="18"/>
    <s v="נלוות לשכר"/>
    <s v="182"/>
    <s v="מיסיום ועלויות"/>
  </r>
  <r>
    <n v="751"/>
    <s v="73244"/>
    <n v="1"/>
    <s v="173244.751"/>
    <s v="העסקת מפענח-עבודה בקבלנות       "/>
    <m/>
    <m/>
    <n v="993000"/>
    <n v="381000"/>
    <n v="386520"/>
    <m/>
    <x v="6"/>
    <s v="שירותים מקומיים"/>
    <x v="27"/>
    <s v="תכנון ובנין עיר"/>
    <x v="86"/>
    <s v="תכנון עיר"/>
    <s v="7324"/>
    <e v="#N/A"/>
    <m/>
    <s v="7"/>
    <x v="13"/>
    <s v="75"/>
    <s v="עבודות קבלניות"/>
    <s v="751"/>
    <e v="#N/A"/>
  </r>
  <r>
    <n v="752"/>
    <s v="73244"/>
    <n v="1"/>
    <s v="173244.752"/>
    <s v="פיתוח ופיענוח תצלומי אויר       "/>
    <m/>
    <m/>
    <n v="866000"/>
    <n v="866000"/>
    <n v="642625"/>
    <m/>
    <x v="6"/>
    <s v="שירותים מקומיים"/>
    <x v="27"/>
    <s v="תכנון ובנין עיר"/>
    <x v="86"/>
    <s v="תכנון עיר"/>
    <s v="7324"/>
    <e v="#N/A"/>
    <m/>
    <s v="7"/>
    <x v="13"/>
    <s v="75"/>
    <s v="עבודות קבלניות"/>
    <s v="752"/>
    <e v="#N/A"/>
  </r>
  <r>
    <n v="110"/>
    <s v="73250"/>
    <n v="1"/>
    <s v="173250.110"/>
    <s v="משכורת כוללת                    "/>
    <m/>
    <m/>
    <n v="339000"/>
    <n v="328000"/>
    <n v="318494"/>
    <m/>
    <x v="6"/>
    <s v="שירותים מקומיים"/>
    <x v="27"/>
    <s v="תכנון ובנין עיר"/>
    <x v="86"/>
    <s v="תכנון עיר"/>
    <s v="7325"/>
    <e v="#N/A"/>
    <m/>
    <s v="1"/>
    <x v="9"/>
    <s v="11"/>
    <s v="השכר הקובע"/>
    <s v="110"/>
    <e v="#N/A"/>
  </r>
  <r>
    <n v="124"/>
    <s v="73250"/>
    <n v="1"/>
    <s v="173250.124"/>
    <s v="החזר הוצאות                     "/>
    <m/>
    <m/>
    <n v="17000"/>
    <n v="17000"/>
    <n v="17391"/>
    <m/>
    <x v="6"/>
    <s v="שירותים מקומיים"/>
    <x v="27"/>
    <s v="תכנון ובנין עיר"/>
    <x v="86"/>
    <s v="תכנון עיר"/>
    <s v="7325"/>
    <e v="#N/A"/>
    <m/>
    <s v="1"/>
    <x v="9"/>
    <s v="12"/>
    <s v="תוספות שאינן נכללות בשכר הקובע"/>
    <s v="124"/>
    <e v="#N/A"/>
  </r>
  <r>
    <n v="126"/>
    <s v="73250"/>
    <n v="1"/>
    <s v="173250.126"/>
    <s v="הבראה                           "/>
    <m/>
    <m/>
    <n v="18000"/>
    <n v="18000"/>
    <n v="18361"/>
    <m/>
    <x v="6"/>
    <s v="שירותים מקומיים"/>
    <x v="27"/>
    <s v="תכנון ובנין עיר"/>
    <x v="86"/>
    <s v="תכנון עיר"/>
    <s v="7325"/>
    <e v="#N/A"/>
    <m/>
    <s v="1"/>
    <x v="9"/>
    <s v="12"/>
    <s v="תוספות שאינן נכללות בשכר הקובע"/>
    <s v="126"/>
    <e v="#N/A"/>
  </r>
  <r>
    <n v="127"/>
    <s v="73250"/>
    <n v="1"/>
    <s v="173250.127"/>
    <s v="השתתפות באחזקת רכב-3            "/>
    <m/>
    <m/>
    <n v="77000"/>
    <n v="80000"/>
    <n v="83614"/>
    <m/>
    <x v="6"/>
    <s v="שירותים מקומיים"/>
    <x v="27"/>
    <s v="תכנון ובנין עיר"/>
    <x v="86"/>
    <s v="תכנון עיר"/>
    <s v="7325"/>
    <e v="#N/A"/>
    <m/>
    <s v="1"/>
    <x v="9"/>
    <s v="12"/>
    <s v="תוספות שאינן נכללות בשכר הקובע"/>
    <s v="127"/>
    <e v="#N/A"/>
  </r>
  <r>
    <n v="130"/>
    <s v="73250"/>
    <n v="1"/>
    <s v="173250.130"/>
    <s v="תשלומים מיוחדים                 "/>
    <m/>
    <m/>
    <n v="129000"/>
    <n v="122000"/>
    <n v="120343"/>
    <m/>
    <x v="6"/>
    <s v="שירותים מקומיים"/>
    <x v="27"/>
    <s v="תכנון ובנין עיר"/>
    <x v="86"/>
    <s v="תכנון עיר"/>
    <s v="7325"/>
    <e v="#N/A"/>
    <m/>
    <s v="1"/>
    <x v="9"/>
    <s v="13"/>
    <s v="שעות נוספות"/>
    <s v="130"/>
    <e v="#N/A"/>
  </r>
  <r>
    <n v="181"/>
    <s v="73250"/>
    <n v="1"/>
    <s v="173250.181"/>
    <s v="מיסים וביטוח לאומי              "/>
    <m/>
    <m/>
    <n v="76000"/>
    <n v="74000"/>
    <n v="76372"/>
    <m/>
    <x v="6"/>
    <s v="שירותים מקומיים"/>
    <x v="27"/>
    <s v="תכנון ובנין עיר"/>
    <x v="86"/>
    <s v="תכנון עיר"/>
    <s v="7325"/>
    <e v="#N/A"/>
    <m/>
    <s v="1"/>
    <x v="9"/>
    <s v="18"/>
    <s v="נלוות לשכר"/>
    <s v="181"/>
    <s v="הפרשות סוציאליות"/>
  </r>
  <r>
    <n v="182"/>
    <s v="73250"/>
    <n v="1"/>
    <s v="173250.182"/>
    <s v="קופות גמל והשתלמות              "/>
    <m/>
    <m/>
    <n v="58000"/>
    <n v="57000"/>
    <n v="53957"/>
    <m/>
    <x v="6"/>
    <s v="שירותים מקומיים"/>
    <x v="27"/>
    <s v="תכנון ובנין עיר"/>
    <x v="86"/>
    <s v="תכנון עיר"/>
    <s v="7325"/>
    <e v="#N/A"/>
    <m/>
    <s v="1"/>
    <x v="9"/>
    <s v="18"/>
    <s v="נלוות לשכר"/>
    <s v="182"/>
    <s v="מיסיום ועלויות"/>
  </r>
  <r>
    <n v="110"/>
    <s v="73510"/>
    <n v="1"/>
    <s v="173510.110"/>
    <s v="משכורת כוללת                    "/>
    <m/>
    <m/>
    <n v="1059000"/>
    <n v="1480000"/>
    <n v="1304529"/>
    <m/>
    <x v="6"/>
    <s v="שירותים מקומיים"/>
    <x v="27"/>
    <s v="תכנון ובנין עיר"/>
    <x v="87"/>
    <e v="#N/A"/>
    <s v="7351"/>
    <e v="#N/A"/>
    <m/>
    <s v="1"/>
    <x v="9"/>
    <s v="11"/>
    <s v="השכר הקובע"/>
    <s v="110"/>
    <e v="#N/A"/>
  </r>
  <r>
    <n v="124"/>
    <s v="73510"/>
    <n v="1"/>
    <s v="173510.124"/>
    <s v="החזר הוצאות                     "/>
    <m/>
    <m/>
    <n v="63000"/>
    <n v="81000"/>
    <n v="74927"/>
    <m/>
    <x v="6"/>
    <s v="שירותים מקומיים"/>
    <x v="27"/>
    <s v="תכנון ובנין עיר"/>
    <x v="87"/>
    <e v="#N/A"/>
    <s v="7351"/>
    <e v="#N/A"/>
    <m/>
    <s v="1"/>
    <x v="9"/>
    <s v="12"/>
    <s v="תוספות שאינן נכללות בשכר הקובע"/>
    <s v="124"/>
    <e v="#N/A"/>
  </r>
  <r>
    <n v="126"/>
    <s v="73510"/>
    <n v="1"/>
    <s v="173510.126"/>
    <s v="הבראה                           "/>
    <m/>
    <m/>
    <n v="52000"/>
    <n v="54000"/>
    <n v="54169"/>
    <m/>
    <x v="6"/>
    <s v="שירותים מקומיים"/>
    <x v="27"/>
    <s v="תכנון ובנין עיר"/>
    <x v="87"/>
    <e v="#N/A"/>
    <s v="7351"/>
    <e v="#N/A"/>
    <m/>
    <s v="1"/>
    <x v="9"/>
    <s v="12"/>
    <s v="תוספות שאינן נכללות בשכר הקובע"/>
    <s v="126"/>
    <e v="#N/A"/>
  </r>
  <r>
    <n v="127"/>
    <s v="73510"/>
    <n v="1"/>
    <s v="173510.127"/>
    <s v="השתתפות באחזקת רכב-8            "/>
    <m/>
    <m/>
    <n v="166000"/>
    <n v="222000"/>
    <n v="207964"/>
    <m/>
    <x v="6"/>
    <s v="שירותים מקומיים"/>
    <x v="27"/>
    <s v="תכנון ובנין עיר"/>
    <x v="87"/>
    <e v="#N/A"/>
    <s v="7351"/>
    <e v="#N/A"/>
    <m/>
    <s v="1"/>
    <x v="9"/>
    <s v="12"/>
    <s v="תוספות שאינן נכללות בשכר הקובע"/>
    <s v="127"/>
    <e v="#N/A"/>
  </r>
  <r>
    <n v="130"/>
    <s v="73510"/>
    <n v="1"/>
    <s v="173510.130"/>
    <s v="תשלומים מיוחדים                 "/>
    <m/>
    <m/>
    <n v="158000"/>
    <n v="260000"/>
    <n v="233190"/>
    <m/>
    <x v="6"/>
    <s v="שירותים מקומיים"/>
    <x v="27"/>
    <s v="תכנון ובנין עיר"/>
    <x v="87"/>
    <e v="#N/A"/>
    <s v="7351"/>
    <e v="#N/A"/>
    <m/>
    <s v="1"/>
    <x v="9"/>
    <s v="13"/>
    <s v="שעות נוספות"/>
    <s v="130"/>
    <e v="#N/A"/>
  </r>
  <r>
    <n v="181"/>
    <s v="73510"/>
    <n v="1"/>
    <s v="173510.181"/>
    <s v="מיסים וביטוח לאומי              "/>
    <m/>
    <m/>
    <n v="270000"/>
    <n v="348000"/>
    <n v="249349"/>
    <m/>
    <x v="6"/>
    <s v="שירותים מקומיים"/>
    <x v="27"/>
    <s v="תכנון ובנין עיר"/>
    <x v="87"/>
    <e v="#N/A"/>
    <s v="7351"/>
    <e v="#N/A"/>
    <m/>
    <s v="1"/>
    <x v="9"/>
    <s v="18"/>
    <s v="נלוות לשכר"/>
    <s v="181"/>
    <s v="הפרשות סוציאליות"/>
  </r>
  <r>
    <n v="182"/>
    <s v="73510"/>
    <n v="1"/>
    <s v="173510.182"/>
    <s v="קופות גמל והשתלמות              "/>
    <m/>
    <m/>
    <n v="218000"/>
    <n v="260000"/>
    <n v="241329"/>
    <m/>
    <x v="6"/>
    <s v="שירותים מקומיים"/>
    <x v="27"/>
    <s v="תכנון ובנין עיר"/>
    <x v="87"/>
    <e v="#N/A"/>
    <s v="7351"/>
    <e v="#N/A"/>
    <m/>
    <s v="1"/>
    <x v="9"/>
    <s v="18"/>
    <s v="נלוות לשכר"/>
    <s v="182"/>
    <s v="מיסיום ועלויות"/>
  </r>
  <r>
    <n v="310"/>
    <s v="73510"/>
    <n v="1"/>
    <s v="173510.310"/>
    <s v="שעות נוספות רשומות              "/>
    <m/>
    <m/>
    <n v="521000"/>
    <n v="511000"/>
    <n v="531108"/>
    <m/>
    <x v="6"/>
    <s v="שירותים מקומיים"/>
    <x v="27"/>
    <s v="תכנון ובנין עיר"/>
    <x v="87"/>
    <e v="#N/A"/>
    <s v="7351"/>
    <e v="#N/A"/>
    <m/>
    <s v="3"/>
    <x v="14"/>
    <s v="31"/>
    <s v="פנסיה"/>
    <s v="310"/>
    <e v="#N/A"/>
  </r>
  <r>
    <n v="340"/>
    <s v="73510"/>
    <n v="1"/>
    <s v="173510.340"/>
    <s v="שעות נוספות מיוחדות             "/>
    <m/>
    <m/>
    <n v="52000"/>
    <n v="51000"/>
    <n v="66483"/>
    <m/>
    <x v="6"/>
    <s v="שירותים מקומיים"/>
    <x v="27"/>
    <s v="תכנון ובנין עיר"/>
    <x v="87"/>
    <e v="#N/A"/>
    <s v="7351"/>
    <e v="#N/A"/>
    <m/>
    <s v="3"/>
    <x v="14"/>
    <s v="34"/>
    <e v="#N/A"/>
    <s v="340"/>
    <e v="#N/A"/>
  </r>
  <r>
    <n v="436"/>
    <s v="73510"/>
    <n v="1"/>
    <s v="173510.436"/>
    <s v="נקיון תיקי בנין בגנזך           "/>
    <m/>
    <m/>
    <n v="35000"/>
    <n v="35000"/>
    <n v="35004"/>
    <m/>
    <x v="6"/>
    <s v="שירותים מקומיים"/>
    <x v="27"/>
    <s v="תכנון ובנין עיר"/>
    <x v="87"/>
    <e v="#N/A"/>
    <s v="7351"/>
    <e v="#N/A"/>
    <m/>
    <s v="4"/>
    <x v="15"/>
    <s v="43"/>
    <s v="חשמל, מים וחומרי ניקיון"/>
    <s v="436"/>
    <e v="#N/A"/>
  </r>
  <r>
    <n v="464"/>
    <s v="73510"/>
    <n v="1"/>
    <s v="173510.464"/>
    <s v="דאר                             "/>
    <m/>
    <m/>
    <n v="221000"/>
    <n v="221000"/>
    <n v="244057"/>
    <m/>
    <x v="6"/>
    <s v="שירותים מקומיים"/>
    <x v="27"/>
    <s v="תכנון ובנין עיר"/>
    <x v="87"/>
    <e v="#N/A"/>
    <s v="7351"/>
    <e v="#N/A"/>
    <m/>
    <s v="4"/>
    <x v="15"/>
    <s v="46"/>
    <e v="#N/A"/>
    <s v="464"/>
    <e v="#N/A"/>
  </r>
  <r>
    <n v="531"/>
    <s v="73510"/>
    <n v="1"/>
    <s v="173510.531"/>
    <s v="אחזקת רכב                       "/>
    <m/>
    <m/>
    <n v="4000"/>
    <n v="4000"/>
    <n v="0"/>
    <m/>
    <x v="6"/>
    <s v="שירותים מקומיים"/>
    <x v="27"/>
    <s v="תכנון ובנין עיר"/>
    <x v="87"/>
    <e v="#N/A"/>
    <s v="7351"/>
    <e v="#N/A"/>
    <m/>
    <s v="5"/>
    <x v="11"/>
    <s v="53"/>
    <s v="הוצאות רכב מינהלי"/>
    <s v="531"/>
    <s v="דלק ושמנים"/>
  </r>
  <r>
    <n v="533"/>
    <s v="73510"/>
    <n v="1"/>
    <s v="173510.533"/>
    <s v="שכירת רכב ורכב עירוני           "/>
    <m/>
    <m/>
    <n v="54000"/>
    <n v="54000"/>
    <n v="7245"/>
    <m/>
    <x v="6"/>
    <s v="שירותים מקומיים"/>
    <x v="27"/>
    <s v="תכנון ובנין עיר"/>
    <x v="87"/>
    <e v="#N/A"/>
    <s v="7351"/>
    <e v="#N/A"/>
    <m/>
    <s v="5"/>
    <x v="11"/>
    <s v="53"/>
    <s v="הוצאות רכב מינהלי"/>
    <s v="533"/>
    <s v="רישוי וביטוח"/>
  </r>
  <r>
    <n v="534"/>
    <s v="73510"/>
    <n v="1"/>
    <s v="173510.534"/>
    <s v="דלק ושמן                        "/>
    <m/>
    <m/>
    <n v="20000"/>
    <n v="20000"/>
    <n v="2943"/>
    <m/>
    <x v="6"/>
    <s v="שירותים מקומיים"/>
    <x v="27"/>
    <s v="תכנון ובנין עיר"/>
    <x v="87"/>
    <e v="#N/A"/>
    <s v="7351"/>
    <e v="#N/A"/>
    <m/>
    <s v="5"/>
    <x v="11"/>
    <s v="53"/>
    <s v="הוצאות רכב מינהלי"/>
    <s v="534"/>
    <e v="#N/A"/>
  </r>
  <r>
    <n v="610"/>
    <s v="73510"/>
    <n v="1"/>
    <s v="173510.610"/>
    <s v="כיבודים                         "/>
    <m/>
    <m/>
    <n v="20000"/>
    <n v="20000"/>
    <n v="19288"/>
    <m/>
    <x v="6"/>
    <s v="שירותים מקומיים"/>
    <x v="27"/>
    <s v="תכנון ובנין עיר"/>
    <x v="87"/>
    <e v="#N/A"/>
    <s v="7351"/>
    <e v="#N/A"/>
    <m/>
    <s v="6"/>
    <x v="12"/>
    <s v="61"/>
    <s v="עמלות"/>
    <s v="610"/>
    <e v="#N/A"/>
  </r>
  <r>
    <n v="670"/>
    <s v="73510"/>
    <n v="1"/>
    <s v="173510.670"/>
    <s v="סעיף שאינו חוזר                 "/>
    <m/>
    <m/>
    <n v="0"/>
    <n v="60000"/>
    <n v="61661"/>
    <m/>
    <x v="6"/>
    <s v="שירותים מקומיים"/>
    <x v="27"/>
    <s v="תכנון ובנין עיר"/>
    <x v="87"/>
    <e v="#N/A"/>
    <s v="7351"/>
    <e v="#N/A"/>
    <m/>
    <s v="6"/>
    <x v="12"/>
    <s v="67"/>
    <e v="#N/A"/>
    <s v="670"/>
    <e v="#N/A"/>
  </r>
  <r>
    <n v="691"/>
    <s v="73510"/>
    <n v="1"/>
    <s v="173510.691"/>
    <s v="מערכות מידע ומחשוב              "/>
    <m/>
    <m/>
    <n v="2530000"/>
    <n v="2780000"/>
    <n v="2519923"/>
    <m/>
    <x v="6"/>
    <s v="שירותים מקומיים"/>
    <x v="27"/>
    <s v="תכנון ובנין עיר"/>
    <x v="87"/>
    <e v="#N/A"/>
    <s v="7351"/>
    <e v="#N/A"/>
    <m/>
    <s v="6"/>
    <x v="12"/>
    <s v="69"/>
    <s v="שונות"/>
    <s v="691"/>
    <s v="תשלום ע&quot;ח קרן"/>
  </r>
  <r>
    <n v="781"/>
    <s v="73510"/>
    <n v="1"/>
    <s v="173510.781"/>
    <s v="חוברות ופרסומי מידע             "/>
    <m/>
    <m/>
    <n v="30000"/>
    <n v="30000"/>
    <n v="48988"/>
    <m/>
    <x v="6"/>
    <s v="שירותים מקומיים"/>
    <x v="27"/>
    <s v="תכנון ובנין עיר"/>
    <x v="87"/>
    <e v="#N/A"/>
    <s v="7351"/>
    <e v="#N/A"/>
    <m/>
    <s v="7"/>
    <x v="13"/>
    <s v="78"/>
    <s v="הוצאות שונות"/>
    <s v="781"/>
    <e v="#N/A"/>
  </r>
  <r>
    <n v="782"/>
    <s v="73510"/>
    <n v="1"/>
    <s v="173510.782"/>
    <s v="בדיקות תמ א-עבודה בקבלנות       "/>
    <m/>
    <m/>
    <n v="382000"/>
    <n v="377000"/>
    <n v="152220"/>
    <m/>
    <x v="6"/>
    <s v="שירותים מקומיים"/>
    <x v="27"/>
    <s v="תכנון ובנין עיר"/>
    <x v="87"/>
    <e v="#N/A"/>
    <s v="7351"/>
    <e v="#N/A"/>
    <m/>
    <s v="7"/>
    <x v="13"/>
    <s v="78"/>
    <s v="הוצאות שונות"/>
    <s v="782"/>
    <e v="#N/A"/>
  </r>
  <r>
    <n v="783"/>
    <s v="73510"/>
    <n v="1"/>
    <s v="173510.783"/>
    <s v="מוקד מערכת רישוי מקוון          "/>
    <m/>
    <m/>
    <n v="785000"/>
    <n v="0"/>
    <n v="0"/>
    <m/>
    <x v="6"/>
    <s v="שירותים מקומיים"/>
    <x v="27"/>
    <s v="תכנון ובנין עיר"/>
    <x v="87"/>
    <e v="#N/A"/>
    <s v="7351"/>
    <e v="#N/A"/>
    <m/>
    <s v="7"/>
    <x v="13"/>
    <s v="78"/>
    <s v="הוצאות שונות"/>
    <s v="783"/>
    <e v="#N/A"/>
  </r>
  <r>
    <n v="110"/>
    <s v="73521"/>
    <n v="1"/>
    <s v="173521.110"/>
    <s v="משכורת כוללת                    "/>
    <m/>
    <m/>
    <n v="574000"/>
    <n v="549000"/>
    <n v="364384"/>
    <m/>
    <x v="6"/>
    <s v="שירותים מקומיים"/>
    <x v="27"/>
    <s v="תכנון ובנין עיר"/>
    <x v="87"/>
    <e v="#N/A"/>
    <s v="7352"/>
    <e v="#N/A"/>
    <m/>
    <s v="1"/>
    <x v="9"/>
    <s v="11"/>
    <s v="השכר הקובע"/>
    <s v="110"/>
    <e v="#N/A"/>
  </r>
  <r>
    <n v="124"/>
    <s v="73521"/>
    <n v="1"/>
    <s v="173521.124"/>
    <s v="החזר הוצאות                     "/>
    <m/>
    <m/>
    <n v="49000"/>
    <n v="38000"/>
    <n v="35090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4"/>
    <e v="#N/A"/>
  </r>
  <r>
    <n v="126"/>
    <s v="73521"/>
    <n v="1"/>
    <s v="173521.126"/>
    <s v="הבראה                           "/>
    <m/>
    <m/>
    <n v="31000"/>
    <n v="12000"/>
    <n v="13896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6"/>
    <e v="#N/A"/>
  </r>
  <r>
    <n v="127"/>
    <s v="73521"/>
    <n v="1"/>
    <s v="173521.127"/>
    <s v="השתתפות באחזקת רכב-6            "/>
    <m/>
    <m/>
    <n v="142000"/>
    <n v="73000"/>
    <n v="91811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7"/>
    <e v="#N/A"/>
  </r>
  <r>
    <n v="130"/>
    <s v="73521"/>
    <n v="1"/>
    <s v="173521.130"/>
    <s v="תשלומים מיוחדים                 "/>
    <m/>
    <m/>
    <n v="82000"/>
    <n v="81000"/>
    <n v="64827"/>
    <m/>
    <x v="6"/>
    <s v="שירותים מקומיים"/>
    <x v="27"/>
    <s v="תכנון ובנין עיר"/>
    <x v="87"/>
    <e v="#N/A"/>
    <s v="7352"/>
    <e v="#N/A"/>
    <m/>
    <s v="1"/>
    <x v="9"/>
    <s v="13"/>
    <s v="שעות נוספות"/>
    <s v="130"/>
    <e v="#N/A"/>
  </r>
  <r>
    <n v="181"/>
    <s v="73521"/>
    <n v="1"/>
    <s v="173521.181"/>
    <s v="מיסים וביטוח לאומי              "/>
    <m/>
    <m/>
    <n v="115000"/>
    <n v="98000"/>
    <n v="76953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1"/>
    <s v="הפרשות סוציאליות"/>
  </r>
  <r>
    <n v="182"/>
    <s v="73521"/>
    <n v="1"/>
    <s v="173521.182"/>
    <s v="קופות גמל והשתלמות              "/>
    <m/>
    <m/>
    <n v="120000"/>
    <n v="101000"/>
    <n v="71243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2"/>
    <s v="מיסיום ועלויות"/>
  </r>
  <r>
    <n v="110"/>
    <s v="73522"/>
    <n v="1"/>
    <s v="173522.110"/>
    <s v="משכורת כוללת                    "/>
    <m/>
    <m/>
    <n v="3511000"/>
    <n v="3226000"/>
    <n v="3349434"/>
    <m/>
    <x v="6"/>
    <s v="שירותים מקומיים"/>
    <x v="27"/>
    <s v="תכנון ובנין עיר"/>
    <x v="87"/>
    <e v="#N/A"/>
    <s v="7352"/>
    <e v="#N/A"/>
    <m/>
    <s v="1"/>
    <x v="9"/>
    <s v="11"/>
    <s v="השכר הקובע"/>
    <s v="110"/>
    <e v="#N/A"/>
  </r>
  <r>
    <n v="124"/>
    <s v="73522"/>
    <n v="1"/>
    <s v="173522.124"/>
    <s v="החזר הוצאות                     "/>
    <m/>
    <m/>
    <n v="218000"/>
    <n v="248000"/>
    <n v="224776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4"/>
    <e v="#N/A"/>
  </r>
  <r>
    <n v="126"/>
    <s v="73522"/>
    <n v="1"/>
    <s v="173522.126"/>
    <s v="הבראה                           "/>
    <m/>
    <m/>
    <n v="159000"/>
    <n v="182000"/>
    <n v="173610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6"/>
    <e v="#N/A"/>
  </r>
  <r>
    <n v="127"/>
    <s v="73522"/>
    <n v="1"/>
    <s v="173522.127"/>
    <s v="השתתפות באחזקת רכב-31           "/>
    <m/>
    <m/>
    <n v="794000"/>
    <n v="843000"/>
    <n v="815526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7"/>
    <e v="#N/A"/>
  </r>
  <r>
    <n v="130"/>
    <s v="73522"/>
    <n v="1"/>
    <s v="173522.130"/>
    <s v="תשלומים מיוחדים                 "/>
    <m/>
    <m/>
    <n v="910000"/>
    <n v="836000"/>
    <n v="878798"/>
    <m/>
    <x v="6"/>
    <s v="שירותים מקומיים"/>
    <x v="27"/>
    <s v="תכנון ובנין עיר"/>
    <x v="87"/>
    <e v="#N/A"/>
    <s v="7352"/>
    <e v="#N/A"/>
    <m/>
    <s v="1"/>
    <x v="9"/>
    <s v="13"/>
    <s v="שעות נוספות"/>
    <s v="130"/>
    <e v="#N/A"/>
  </r>
  <r>
    <n v="181"/>
    <s v="73522"/>
    <n v="1"/>
    <s v="173522.181"/>
    <s v="מיסים וביטוח לאומי              "/>
    <m/>
    <m/>
    <n v="731000"/>
    <n v="698000"/>
    <n v="721350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1"/>
    <s v="הפרשות סוציאליות"/>
  </r>
  <r>
    <n v="182"/>
    <s v="73522"/>
    <n v="1"/>
    <s v="173522.182"/>
    <s v="קופות גמל והשתלמות              "/>
    <m/>
    <m/>
    <n v="728000"/>
    <n v="938000"/>
    <n v="718167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2"/>
    <s v="מיסיום ועלויות"/>
  </r>
  <r>
    <n v="110"/>
    <s v="73523"/>
    <n v="1"/>
    <s v="173523.110"/>
    <s v="א. משכורת ושכר לעובדים          "/>
    <m/>
    <m/>
    <n v="2221000"/>
    <n v="1515000"/>
    <n v="1663530"/>
    <m/>
    <x v="6"/>
    <s v="שירותים מקומיים"/>
    <x v="27"/>
    <s v="תכנון ובנין עיר"/>
    <x v="87"/>
    <e v="#N/A"/>
    <s v="7352"/>
    <e v="#N/A"/>
    <m/>
    <s v="1"/>
    <x v="9"/>
    <s v="11"/>
    <s v="השכר הקובע"/>
    <s v="110"/>
    <e v="#N/A"/>
  </r>
  <r>
    <n v="124"/>
    <s v="73523"/>
    <n v="1"/>
    <s v="173523.124"/>
    <s v="החזר הוצאות                     "/>
    <m/>
    <m/>
    <n v="108000"/>
    <n v="72000"/>
    <n v="86458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4"/>
    <e v="#N/A"/>
  </r>
  <r>
    <n v="126"/>
    <s v="73523"/>
    <n v="1"/>
    <s v="173523.126"/>
    <s v="הבראה                           "/>
    <m/>
    <m/>
    <n v="82000"/>
    <n v="61000"/>
    <n v="61278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6"/>
    <e v="#N/A"/>
  </r>
  <r>
    <n v="127"/>
    <s v="73523"/>
    <n v="1"/>
    <s v="173523.127"/>
    <s v="השתתפות באחזקת רכב-16           "/>
    <m/>
    <m/>
    <n v="461000"/>
    <n v="302000"/>
    <n v="342520"/>
    <m/>
    <x v="6"/>
    <s v="שירותים מקומיים"/>
    <x v="27"/>
    <s v="תכנון ובנין עיר"/>
    <x v="87"/>
    <e v="#N/A"/>
    <s v="7352"/>
    <e v="#N/A"/>
    <m/>
    <s v="1"/>
    <x v="9"/>
    <s v="12"/>
    <s v="תוספות שאינן נכללות בשכר הקובע"/>
    <s v="127"/>
    <e v="#N/A"/>
  </r>
  <r>
    <n v="130"/>
    <s v="73523"/>
    <n v="1"/>
    <s v="173523.130"/>
    <s v="תשלומים מיוחדים                 "/>
    <m/>
    <m/>
    <n v="405000"/>
    <n v="266000"/>
    <n v="303749"/>
    <m/>
    <x v="6"/>
    <s v="שירותים מקומיים"/>
    <x v="27"/>
    <s v="תכנון ובנין עיר"/>
    <x v="87"/>
    <e v="#N/A"/>
    <s v="7352"/>
    <e v="#N/A"/>
    <m/>
    <s v="1"/>
    <x v="9"/>
    <s v="13"/>
    <s v="שעות נוספות"/>
    <s v="130"/>
    <e v="#N/A"/>
  </r>
  <r>
    <n v="181"/>
    <s v="73523"/>
    <n v="1"/>
    <s v="173523.181"/>
    <s v="מיסים וביטוח לאומי              "/>
    <m/>
    <m/>
    <n v="429000"/>
    <n v="290000"/>
    <n v="339351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1"/>
    <s v="הפרשות סוציאליות"/>
  </r>
  <r>
    <n v="182"/>
    <s v="73523"/>
    <n v="1"/>
    <s v="173523.182"/>
    <s v="קופות גמל והשתלמות              "/>
    <m/>
    <m/>
    <n v="459000"/>
    <n v="277000"/>
    <n v="307912"/>
    <m/>
    <x v="6"/>
    <s v="שירותים מקומיים"/>
    <x v="27"/>
    <s v="תכנון ובנין עיר"/>
    <x v="87"/>
    <e v="#N/A"/>
    <s v="7352"/>
    <e v="#N/A"/>
    <m/>
    <s v="1"/>
    <x v="9"/>
    <s v="18"/>
    <s v="נלוות לשכר"/>
    <s v="182"/>
    <s v="מיסיום ועלויות"/>
  </r>
  <r>
    <n v="110"/>
    <s v="73531"/>
    <n v="1"/>
    <s v="173531.110"/>
    <s v="משכורת כוללת                    "/>
    <m/>
    <m/>
    <n v="696000"/>
    <n v="733000"/>
    <n v="691301"/>
    <m/>
    <x v="6"/>
    <s v="שירותים מקומיים"/>
    <x v="27"/>
    <s v="תכנון ובנין עיר"/>
    <x v="87"/>
    <e v="#N/A"/>
    <s v="7353"/>
    <e v="#N/A"/>
    <m/>
    <s v="1"/>
    <x v="9"/>
    <s v="11"/>
    <s v="השכר הקובע"/>
    <s v="110"/>
    <e v="#N/A"/>
  </r>
  <r>
    <n v="124"/>
    <s v="73531"/>
    <n v="1"/>
    <s v="173531.124"/>
    <s v="החזר הוצאות                     "/>
    <m/>
    <m/>
    <n v="47000"/>
    <n v="48000"/>
    <n v="45119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4"/>
    <e v="#N/A"/>
  </r>
  <r>
    <n v="126"/>
    <s v="73531"/>
    <n v="1"/>
    <s v="173531.126"/>
    <s v="הבראה                           "/>
    <m/>
    <m/>
    <n v="37000"/>
    <n v="33000"/>
    <n v="33141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6"/>
    <e v="#N/A"/>
  </r>
  <r>
    <n v="127"/>
    <s v="73531"/>
    <n v="1"/>
    <s v="173531.127"/>
    <s v="השתתפות באחזקת רכב-7            "/>
    <m/>
    <m/>
    <n v="165000"/>
    <n v="172000"/>
    <n v="163733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7"/>
    <e v="#N/A"/>
  </r>
  <r>
    <n v="130"/>
    <s v="73531"/>
    <n v="1"/>
    <s v="173531.130"/>
    <s v="תשלומים מיוחדים                 "/>
    <m/>
    <m/>
    <n v="164000"/>
    <n v="208000"/>
    <n v="187485"/>
    <m/>
    <x v="6"/>
    <s v="שירותים מקומיים"/>
    <x v="27"/>
    <s v="תכנון ובנין עיר"/>
    <x v="87"/>
    <e v="#N/A"/>
    <s v="7353"/>
    <e v="#N/A"/>
    <m/>
    <s v="1"/>
    <x v="9"/>
    <s v="13"/>
    <s v="שעות נוספות"/>
    <s v="130"/>
    <e v="#N/A"/>
  </r>
  <r>
    <n v="181"/>
    <s v="73531"/>
    <n v="1"/>
    <s v="173531.181"/>
    <s v="מיסים וביטוח לאומי              "/>
    <m/>
    <m/>
    <n v="145000"/>
    <n v="156000"/>
    <n v="156620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1"/>
    <s v="הפרשות סוציאליות"/>
  </r>
  <r>
    <n v="182"/>
    <s v="73531"/>
    <n v="1"/>
    <s v="173531.182"/>
    <s v="קופות גמל והשתלמות              "/>
    <m/>
    <m/>
    <n v="145000"/>
    <n v="155000"/>
    <n v="145145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2"/>
    <s v="מיסיום ועלויות"/>
  </r>
  <r>
    <n v="110"/>
    <s v="73532"/>
    <n v="1"/>
    <s v="173532.110"/>
    <s v="משכורת כוללת                    "/>
    <m/>
    <m/>
    <n v="2628000"/>
    <n v="2772000"/>
    <n v="2677029"/>
    <m/>
    <x v="6"/>
    <s v="שירותים מקומיים"/>
    <x v="27"/>
    <s v="תכנון ובנין עיר"/>
    <x v="87"/>
    <e v="#N/A"/>
    <s v="7353"/>
    <e v="#N/A"/>
    <m/>
    <s v="1"/>
    <x v="9"/>
    <s v="11"/>
    <s v="השכר הקובע"/>
    <s v="110"/>
    <e v="#N/A"/>
  </r>
  <r>
    <n v="124"/>
    <s v="73532"/>
    <n v="1"/>
    <s v="173532.124"/>
    <s v="החזר הוצאות                     "/>
    <m/>
    <m/>
    <n v="142000"/>
    <n v="150000"/>
    <n v="139925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4"/>
    <e v="#N/A"/>
  </r>
  <r>
    <n v="126"/>
    <s v="73532"/>
    <n v="1"/>
    <s v="173532.126"/>
    <s v="הבראה                           "/>
    <m/>
    <m/>
    <n v="129000"/>
    <n v="143000"/>
    <n v="135793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6"/>
    <e v="#N/A"/>
  </r>
  <r>
    <n v="127"/>
    <s v="73532"/>
    <n v="1"/>
    <s v="173532.127"/>
    <s v="השתתפות באחזקת רכב-24           "/>
    <m/>
    <m/>
    <n v="743000"/>
    <n v="769000"/>
    <n v="716829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7"/>
    <e v="#N/A"/>
  </r>
  <r>
    <n v="130"/>
    <s v="73532"/>
    <n v="1"/>
    <s v="173532.130"/>
    <s v="תשלומים מיוחדים                 "/>
    <m/>
    <m/>
    <n v="973000"/>
    <n v="1074000"/>
    <n v="1005642"/>
    <m/>
    <x v="6"/>
    <s v="שירותים מקומיים"/>
    <x v="27"/>
    <s v="תכנון ובנין עיר"/>
    <x v="87"/>
    <e v="#N/A"/>
    <s v="7353"/>
    <e v="#N/A"/>
    <m/>
    <s v="1"/>
    <x v="9"/>
    <s v="13"/>
    <s v="שעות נוספות"/>
    <s v="130"/>
    <e v="#N/A"/>
  </r>
  <r>
    <n v="181"/>
    <s v="73532"/>
    <n v="1"/>
    <s v="173532.181"/>
    <s v="מיסים וביטוח לאומי              "/>
    <m/>
    <m/>
    <n v="614000"/>
    <n v="651000"/>
    <n v="636410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1"/>
    <s v="הפרשות סוציאליות"/>
  </r>
  <r>
    <n v="182"/>
    <s v="73532"/>
    <n v="1"/>
    <s v="173532.182"/>
    <s v="קופות גמל והשתלמות              "/>
    <m/>
    <m/>
    <n v="591000"/>
    <n v="604000"/>
    <n v="555376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2"/>
    <s v="מיסיום ועלויות"/>
  </r>
  <r>
    <n v="230"/>
    <s v="73532"/>
    <n v="1"/>
    <s v="173532.230"/>
    <s v="משימות חולפות-1                 "/>
    <m/>
    <m/>
    <n v="83000"/>
    <n v="69000"/>
    <n v="0"/>
    <m/>
    <x v="6"/>
    <s v="שירותים מקומיים"/>
    <x v="27"/>
    <s v="תכנון ובנין עיר"/>
    <x v="87"/>
    <e v="#N/A"/>
    <s v="7353"/>
    <e v="#N/A"/>
    <m/>
    <s v="2"/>
    <x v="10"/>
    <s v="23"/>
    <s v="שעות נוספות"/>
    <s v="230"/>
    <e v="#N/A"/>
  </r>
  <r>
    <n v="531"/>
    <s v="73532"/>
    <n v="1"/>
    <s v="173532.531"/>
    <s v="אחזקת רכב                       "/>
    <m/>
    <m/>
    <n v="4000"/>
    <n v="4000"/>
    <n v="2446"/>
    <m/>
    <x v="6"/>
    <s v="שירותים מקומיים"/>
    <x v="27"/>
    <s v="תכנון ובנין עיר"/>
    <x v="87"/>
    <e v="#N/A"/>
    <s v="7353"/>
    <e v="#N/A"/>
    <m/>
    <s v="5"/>
    <x v="11"/>
    <s v="53"/>
    <s v="הוצאות רכב מינהלי"/>
    <s v="531"/>
    <s v="דלק ושמנים"/>
  </r>
  <r>
    <n v="533"/>
    <s v="73532"/>
    <n v="1"/>
    <s v="173532.533"/>
    <s v="שכירת רכב ורכב עירוני           "/>
    <m/>
    <m/>
    <n v="475000"/>
    <n v="285000"/>
    <n v="338563"/>
    <m/>
    <x v="6"/>
    <s v="שירותים מקומיים"/>
    <x v="27"/>
    <s v="תכנון ובנין עיר"/>
    <x v="87"/>
    <e v="#N/A"/>
    <s v="7353"/>
    <e v="#N/A"/>
    <m/>
    <s v="5"/>
    <x v="11"/>
    <s v="53"/>
    <s v="הוצאות רכב מינהלי"/>
    <s v="533"/>
    <s v="רישוי וביטוח"/>
  </r>
  <r>
    <n v="534"/>
    <s v="73532"/>
    <n v="1"/>
    <s v="173532.534"/>
    <s v="דלק ושמן                        "/>
    <m/>
    <m/>
    <n v="6000"/>
    <n v="6000"/>
    <n v="1249"/>
    <m/>
    <x v="6"/>
    <s v="שירותים מקומיים"/>
    <x v="27"/>
    <s v="תכנון ובנין עיר"/>
    <x v="87"/>
    <e v="#N/A"/>
    <s v="7353"/>
    <e v="#N/A"/>
    <m/>
    <s v="5"/>
    <x v="11"/>
    <s v="53"/>
    <s v="הוצאות רכב מינהלי"/>
    <s v="534"/>
    <e v="#N/A"/>
  </r>
  <r>
    <n v="751"/>
    <s v="73532"/>
    <n v="1"/>
    <s v="173532.751"/>
    <s v="סיוע למפקחי בניה                "/>
    <m/>
    <m/>
    <n v="51000"/>
    <n v="51000"/>
    <n v="34240"/>
    <m/>
    <x v="6"/>
    <s v="שירותים מקומיים"/>
    <x v="27"/>
    <s v="תכנון ובנין עיר"/>
    <x v="87"/>
    <e v="#N/A"/>
    <s v="7353"/>
    <e v="#N/A"/>
    <m/>
    <s v="7"/>
    <x v="13"/>
    <s v="75"/>
    <s v="עבודות קבלניות"/>
    <s v="751"/>
    <e v="#N/A"/>
  </r>
  <r>
    <n v="110"/>
    <s v="73533"/>
    <n v="1"/>
    <s v="173533.110"/>
    <s v="משכורת כוללת                    "/>
    <m/>
    <m/>
    <n v="474000"/>
    <n v="474000"/>
    <n v="456126"/>
    <m/>
    <x v="6"/>
    <s v="שירותים מקומיים"/>
    <x v="27"/>
    <s v="תכנון ובנין עיר"/>
    <x v="87"/>
    <e v="#N/A"/>
    <s v="7353"/>
    <e v="#N/A"/>
    <m/>
    <s v="1"/>
    <x v="9"/>
    <s v="11"/>
    <s v="השכר הקובע"/>
    <s v="110"/>
    <e v="#N/A"/>
  </r>
  <r>
    <n v="124"/>
    <s v="73533"/>
    <n v="1"/>
    <s v="173533.124"/>
    <s v="החזר הוצאות                     "/>
    <m/>
    <m/>
    <n v="42000"/>
    <n v="42000"/>
    <n v="41371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4"/>
    <e v="#N/A"/>
  </r>
  <r>
    <n v="126"/>
    <s v="73533"/>
    <n v="1"/>
    <s v="173533.126"/>
    <s v="הבראה                           "/>
    <m/>
    <m/>
    <n v="24000"/>
    <n v="24000"/>
    <n v="23912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6"/>
    <e v="#N/A"/>
  </r>
  <r>
    <n v="127"/>
    <s v="73533"/>
    <n v="1"/>
    <s v="173533.127"/>
    <s v="השתתפות באחזקת רכב-4            "/>
    <m/>
    <m/>
    <n v="126000"/>
    <n v="127000"/>
    <n v="122392"/>
    <m/>
    <x v="6"/>
    <s v="שירותים מקומיים"/>
    <x v="27"/>
    <s v="תכנון ובנין עיר"/>
    <x v="87"/>
    <e v="#N/A"/>
    <s v="7353"/>
    <e v="#N/A"/>
    <m/>
    <s v="1"/>
    <x v="9"/>
    <s v="12"/>
    <s v="תוספות שאינן נכללות בשכר הקובע"/>
    <s v="127"/>
    <e v="#N/A"/>
  </r>
  <r>
    <n v="130"/>
    <s v="73533"/>
    <n v="1"/>
    <s v="173533.130"/>
    <s v="תשלומים מיוחדים                 "/>
    <m/>
    <m/>
    <n v="217000"/>
    <n v="216000"/>
    <n v="211312"/>
    <m/>
    <x v="6"/>
    <s v="שירותים מקומיים"/>
    <x v="27"/>
    <s v="תכנון ובנין עיר"/>
    <x v="87"/>
    <e v="#N/A"/>
    <s v="7353"/>
    <e v="#N/A"/>
    <m/>
    <s v="1"/>
    <x v="9"/>
    <s v="13"/>
    <s v="שעות נוספות"/>
    <s v="130"/>
    <e v="#N/A"/>
  </r>
  <r>
    <n v="181"/>
    <s v="73533"/>
    <n v="1"/>
    <s v="173533.181"/>
    <s v="מיסים וביטוח לאומי              "/>
    <m/>
    <m/>
    <n v="115000"/>
    <n v="115000"/>
    <n v="118844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1"/>
    <s v="הפרשות סוציאליות"/>
  </r>
  <r>
    <n v="182"/>
    <s v="73533"/>
    <n v="1"/>
    <s v="173533.182"/>
    <s v="קופות גמל והשתלמות              "/>
    <m/>
    <m/>
    <n v="84000"/>
    <n v="85000"/>
    <n v="82794"/>
    <m/>
    <x v="6"/>
    <s v="שירותים מקומיים"/>
    <x v="27"/>
    <s v="תכנון ובנין עיר"/>
    <x v="87"/>
    <e v="#N/A"/>
    <s v="7353"/>
    <e v="#N/A"/>
    <m/>
    <s v="1"/>
    <x v="9"/>
    <s v="18"/>
    <s v="נלוות לשכר"/>
    <s v="182"/>
    <s v="מיסיום ועלויות"/>
  </r>
  <r>
    <n v="110"/>
    <s v="73540"/>
    <n v="1"/>
    <s v="173540.110"/>
    <s v="משכורת כוללת                    "/>
    <m/>
    <m/>
    <n v="2242000"/>
    <n v="2160000"/>
    <n v="2028482"/>
    <m/>
    <x v="6"/>
    <s v="שירותים מקומיים"/>
    <x v="27"/>
    <s v="תכנון ובנין עיר"/>
    <x v="87"/>
    <e v="#N/A"/>
    <s v="7354"/>
    <e v="#N/A"/>
    <m/>
    <s v="1"/>
    <x v="9"/>
    <s v="11"/>
    <s v="השכר הקובע"/>
    <s v="110"/>
    <e v="#N/A"/>
  </r>
  <r>
    <n v="124"/>
    <s v="73540"/>
    <n v="1"/>
    <s v="173540.124"/>
    <s v="החזר הוצאות                     "/>
    <m/>
    <m/>
    <n v="227000"/>
    <n v="212000"/>
    <n v="203333"/>
    <m/>
    <x v="6"/>
    <s v="שירותים מקומיים"/>
    <x v="27"/>
    <s v="תכנון ובנין עיר"/>
    <x v="87"/>
    <e v="#N/A"/>
    <s v="7354"/>
    <e v="#N/A"/>
    <m/>
    <s v="1"/>
    <x v="9"/>
    <s v="12"/>
    <s v="תוספות שאינן נכללות בשכר הקובע"/>
    <s v="124"/>
    <e v="#N/A"/>
  </r>
  <r>
    <n v="126"/>
    <s v="73540"/>
    <n v="1"/>
    <s v="173540.126"/>
    <s v="הבראה                           "/>
    <m/>
    <m/>
    <n v="142000"/>
    <n v="149000"/>
    <n v="137702"/>
    <m/>
    <x v="6"/>
    <s v="שירותים מקומיים"/>
    <x v="27"/>
    <s v="תכנון ובנין עיר"/>
    <x v="87"/>
    <e v="#N/A"/>
    <s v="7354"/>
    <e v="#N/A"/>
    <m/>
    <s v="1"/>
    <x v="9"/>
    <s v="12"/>
    <s v="תוספות שאינן נכללות בשכר הקובע"/>
    <s v="126"/>
    <e v="#N/A"/>
  </r>
  <r>
    <n v="127"/>
    <s v="73540"/>
    <n v="1"/>
    <s v="173540.127"/>
    <s v="השתתפות באחזקת רכב - 20         "/>
    <m/>
    <m/>
    <n v="426000"/>
    <n v="412000"/>
    <n v="384872"/>
    <m/>
    <x v="6"/>
    <s v="שירותים מקומיים"/>
    <x v="27"/>
    <s v="תכנון ובנין עיר"/>
    <x v="87"/>
    <e v="#N/A"/>
    <s v="7354"/>
    <e v="#N/A"/>
    <m/>
    <s v="1"/>
    <x v="9"/>
    <s v="12"/>
    <s v="תוספות שאינן נכללות בשכר הקובע"/>
    <s v="127"/>
    <e v="#N/A"/>
  </r>
  <r>
    <n v="130"/>
    <s v="73540"/>
    <n v="1"/>
    <s v="173540.130"/>
    <s v="תשלומים מיוחדים                 "/>
    <m/>
    <m/>
    <n v="449000"/>
    <n v="577000"/>
    <n v="511495"/>
    <m/>
    <x v="6"/>
    <s v="שירותים מקומיים"/>
    <x v="27"/>
    <s v="תכנון ובנין עיר"/>
    <x v="87"/>
    <e v="#N/A"/>
    <s v="7354"/>
    <e v="#N/A"/>
    <m/>
    <s v="1"/>
    <x v="9"/>
    <s v="13"/>
    <s v="שעות נוספות"/>
    <s v="130"/>
    <e v="#N/A"/>
  </r>
  <r>
    <n v="170"/>
    <s v="73540"/>
    <n v="1"/>
    <s v="173540.170"/>
    <s v="סעיף שאינו חוזר                 "/>
    <m/>
    <m/>
    <n v="0"/>
    <n v="0"/>
    <n v="45745"/>
    <m/>
    <x v="6"/>
    <s v="שירותים מקומיים"/>
    <x v="27"/>
    <s v="תכנון ובנין עיר"/>
    <x v="87"/>
    <e v="#N/A"/>
    <s v="7354"/>
    <e v="#N/A"/>
    <m/>
    <s v="1"/>
    <x v="9"/>
    <s v="17"/>
    <e v="#N/A"/>
    <s v="170"/>
    <e v="#N/A"/>
  </r>
  <r>
    <n v="181"/>
    <s v="73540"/>
    <n v="1"/>
    <s v="173540.181"/>
    <s v="מיסים וביטוח לאומי              "/>
    <m/>
    <m/>
    <n v="456000"/>
    <n v="459000"/>
    <n v="424269"/>
    <m/>
    <x v="6"/>
    <s v="שירותים מקומיים"/>
    <x v="27"/>
    <s v="תכנון ובנין עיר"/>
    <x v="87"/>
    <e v="#N/A"/>
    <s v="7354"/>
    <e v="#N/A"/>
    <m/>
    <s v="1"/>
    <x v="9"/>
    <s v="18"/>
    <s v="נלוות לשכר"/>
    <s v="181"/>
    <s v="הפרשות סוציאליות"/>
  </r>
  <r>
    <n v="182"/>
    <s v="73540"/>
    <n v="1"/>
    <s v="173540.182"/>
    <s v="קופות גמל והשתלמות              "/>
    <m/>
    <m/>
    <n v="556000"/>
    <n v="588000"/>
    <n v="524670"/>
    <m/>
    <x v="6"/>
    <s v="שירותים מקומיים"/>
    <x v="27"/>
    <s v="תכנון ובנין עיר"/>
    <x v="87"/>
    <e v="#N/A"/>
    <s v="7354"/>
    <e v="#N/A"/>
    <m/>
    <s v="1"/>
    <x v="9"/>
    <s v="18"/>
    <s v="נלוות לשכר"/>
    <s v="182"/>
    <s v="מיסיום ועלויות"/>
  </r>
  <r>
    <n v="751"/>
    <s v="73540"/>
    <n v="1"/>
    <s v="173540.751"/>
    <s v="שירותי גניזה                    "/>
    <m/>
    <m/>
    <n v="135000"/>
    <n v="65000"/>
    <n v="104337"/>
    <m/>
    <x v="6"/>
    <s v="שירותים מקומיים"/>
    <x v="27"/>
    <s v="תכנון ובנין עיר"/>
    <x v="87"/>
    <e v="#N/A"/>
    <s v="7354"/>
    <e v="#N/A"/>
    <m/>
    <s v="7"/>
    <x v="13"/>
    <s v="75"/>
    <s v="עבודות קבלניות"/>
    <s v="751"/>
    <e v="#N/A"/>
  </r>
  <r>
    <n v="754"/>
    <s v="73540"/>
    <n v="1"/>
    <s v="173540.754"/>
    <s v="צילום מסמכים בגנזך הטכני        "/>
    <m/>
    <m/>
    <n v="390000"/>
    <n v="390000"/>
    <n v="113852"/>
    <m/>
    <x v="6"/>
    <s v="שירותים מקומיים"/>
    <x v="27"/>
    <s v="תכנון ובנין עיר"/>
    <x v="87"/>
    <e v="#N/A"/>
    <s v="7354"/>
    <e v="#N/A"/>
    <m/>
    <s v="7"/>
    <x v="13"/>
    <s v="75"/>
    <s v="עבודות קבלניות"/>
    <s v="754"/>
    <e v="#N/A"/>
  </r>
  <r>
    <n v="782"/>
    <s v="73540"/>
    <n v="1"/>
    <s v="173540.782"/>
    <s v="תיקים לתיקיית הגנזך             "/>
    <m/>
    <m/>
    <n v="58000"/>
    <n v="58000"/>
    <n v="22152"/>
    <m/>
    <x v="6"/>
    <s v="שירותים מקומיים"/>
    <x v="27"/>
    <s v="תכנון ובנין עיר"/>
    <x v="87"/>
    <e v="#N/A"/>
    <s v="7354"/>
    <e v="#N/A"/>
    <m/>
    <s v="7"/>
    <x v="13"/>
    <s v="78"/>
    <s v="הוצאות שונות"/>
    <s v="782"/>
    <e v="#N/A"/>
  </r>
  <r>
    <n v="783"/>
    <s v="73540"/>
    <n v="1"/>
    <s v="173540.783"/>
    <s v="תיקי מידע הגשה                  "/>
    <m/>
    <m/>
    <n v="30000"/>
    <n v="30000"/>
    <n v="28544"/>
    <m/>
    <x v="6"/>
    <s v="שירותים מקומיים"/>
    <x v="27"/>
    <s v="תכנון ובנין עיר"/>
    <x v="87"/>
    <e v="#N/A"/>
    <s v="7354"/>
    <e v="#N/A"/>
    <m/>
    <s v="7"/>
    <x v="13"/>
    <s v="78"/>
    <s v="הוצאות שונות"/>
    <s v="783"/>
    <e v="#N/A"/>
  </r>
  <r>
    <n v="110"/>
    <s v="73610"/>
    <n v="1"/>
    <s v="173610.110"/>
    <s v="משכורת כוללת                    "/>
    <m/>
    <m/>
    <n v="820000"/>
    <n v="972000"/>
    <n v="898347"/>
    <m/>
    <x v="6"/>
    <s v="שירותים מקומיים"/>
    <x v="27"/>
    <s v="תכנון ובנין עיר"/>
    <x v="88"/>
    <e v="#N/A"/>
    <s v="7361"/>
    <e v="#N/A"/>
    <m/>
    <s v="1"/>
    <x v="9"/>
    <s v="11"/>
    <s v="השכר הקובע"/>
    <s v="110"/>
    <e v="#N/A"/>
  </r>
  <r>
    <n v="124"/>
    <s v="73610"/>
    <n v="1"/>
    <s v="173610.124"/>
    <s v="החזר הוצאות                     "/>
    <m/>
    <m/>
    <n v="51000"/>
    <n v="43000"/>
    <n v="42244"/>
    <m/>
    <x v="6"/>
    <s v="שירותים מקומיים"/>
    <x v="27"/>
    <s v="תכנון ובנין עיר"/>
    <x v="88"/>
    <e v="#N/A"/>
    <s v="7361"/>
    <e v="#N/A"/>
    <m/>
    <s v="1"/>
    <x v="9"/>
    <s v="12"/>
    <s v="תוספות שאינן נכללות בשכר הקובע"/>
    <s v="124"/>
    <e v="#N/A"/>
  </r>
  <r>
    <n v="126"/>
    <s v="73610"/>
    <n v="1"/>
    <s v="173610.126"/>
    <s v="הבראה                           "/>
    <m/>
    <m/>
    <n v="53000"/>
    <n v="42000"/>
    <n v="39711"/>
    <m/>
    <x v="6"/>
    <s v="שירותים מקומיים"/>
    <x v="27"/>
    <s v="תכנון ובנין עיר"/>
    <x v="88"/>
    <e v="#N/A"/>
    <s v="7361"/>
    <e v="#N/A"/>
    <m/>
    <s v="1"/>
    <x v="9"/>
    <s v="12"/>
    <s v="תוספות שאינן נכללות בשכר הקובע"/>
    <s v="126"/>
    <e v="#N/A"/>
  </r>
  <r>
    <n v="127"/>
    <s v="73610"/>
    <n v="1"/>
    <s v="173610.127"/>
    <s v="השתתפות באחזקת רכב-7            "/>
    <m/>
    <m/>
    <n v="204000"/>
    <n v="151000"/>
    <n v="142305"/>
    <m/>
    <x v="6"/>
    <s v="שירותים מקומיים"/>
    <x v="27"/>
    <s v="תכנון ובנין עיר"/>
    <x v="88"/>
    <e v="#N/A"/>
    <s v="7361"/>
    <e v="#N/A"/>
    <m/>
    <s v="1"/>
    <x v="9"/>
    <s v="12"/>
    <s v="תוספות שאינן נכללות בשכר הקובע"/>
    <s v="127"/>
    <e v="#N/A"/>
  </r>
  <r>
    <n v="130"/>
    <s v="73610"/>
    <n v="1"/>
    <s v="173610.130"/>
    <s v="תשלומים מיוחדים                 "/>
    <m/>
    <m/>
    <n v="278000"/>
    <n v="193000"/>
    <n v="195589"/>
    <m/>
    <x v="6"/>
    <s v="שירותים מקומיים"/>
    <x v="27"/>
    <s v="תכנון ובנין עיר"/>
    <x v="88"/>
    <e v="#N/A"/>
    <s v="7361"/>
    <e v="#N/A"/>
    <m/>
    <s v="1"/>
    <x v="9"/>
    <s v="13"/>
    <s v="שעות נוספות"/>
    <s v="130"/>
    <e v="#N/A"/>
  </r>
  <r>
    <n v="181"/>
    <s v="73610"/>
    <n v="1"/>
    <s v="173610.181"/>
    <s v="מיסים וביטוח לאומי              "/>
    <m/>
    <m/>
    <n v="191000"/>
    <n v="190000"/>
    <n v="180326"/>
    <m/>
    <x v="6"/>
    <s v="שירותים מקומיים"/>
    <x v="27"/>
    <s v="תכנון ובנין עיר"/>
    <x v="88"/>
    <e v="#N/A"/>
    <s v="7361"/>
    <e v="#N/A"/>
    <m/>
    <s v="1"/>
    <x v="9"/>
    <s v="18"/>
    <s v="נלוות לשכר"/>
    <s v="181"/>
    <s v="הפרשות סוציאליות"/>
  </r>
  <r>
    <n v="182"/>
    <s v="73610"/>
    <n v="1"/>
    <s v="173610.182"/>
    <s v="קופות גמל והשתלמות              "/>
    <m/>
    <m/>
    <n v="169000"/>
    <n v="179000"/>
    <n v="164499"/>
    <m/>
    <x v="6"/>
    <s v="שירותים מקומיים"/>
    <x v="27"/>
    <s v="תכנון ובנין עיר"/>
    <x v="88"/>
    <e v="#N/A"/>
    <s v="7361"/>
    <e v="#N/A"/>
    <m/>
    <s v="1"/>
    <x v="9"/>
    <s v="18"/>
    <s v="נלוות לשכר"/>
    <s v="182"/>
    <s v="מיסיום ועלויות"/>
  </r>
  <r>
    <n v="310"/>
    <s v="73610"/>
    <n v="1"/>
    <s v="173610.310"/>
    <s v="שעות נוספות רשומות              "/>
    <m/>
    <m/>
    <n v="50000"/>
    <n v="49000"/>
    <n v="69556"/>
    <m/>
    <x v="6"/>
    <s v="שירותים מקומיים"/>
    <x v="27"/>
    <s v="תכנון ובנין עיר"/>
    <x v="88"/>
    <e v="#N/A"/>
    <s v="7361"/>
    <e v="#N/A"/>
    <m/>
    <s v="3"/>
    <x v="14"/>
    <s v="31"/>
    <s v="פנסיה"/>
    <s v="310"/>
    <e v="#N/A"/>
  </r>
  <r>
    <n v="531"/>
    <s v="73610"/>
    <n v="1"/>
    <s v="173610.531"/>
    <s v="אחזקת רכב                       "/>
    <m/>
    <m/>
    <n v="44000"/>
    <n v="24000"/>
    <n v="16314"/>
    <m/>
    <x v="6"/>
    <s v="שירותים מקומיים"/>
    <x v="27"/>
    <s v="תכנון ובנין עיר"/>
    <x v="88"/>
    <e v="#N/A"/>
    <s v="7361"/>
    <e v="#N/A"/>
    <m/>
    <s v="5"/>
    <x v="11"/>
    <s v="53"/>
    <s v="הוצאות רכב מינהלי"/>
    <s v="531"/>
    <s v="דלק ושמנים"/>
  </r>
  <r>
    <n v="532"/>
    <s v="73610"/>
    <n v="1"/>
    <s v="173610.532"/>
    <s v="ביטוח רכב                       "/>
    <m/>
    <m/>
    <n v="25000"/>
    <n v="22000"/>
    <n v="19760"/>
    <m/>
    <x v="6"/>
    <s v="שירותים מקומיים"/>
    <x v="27"/>
    <s v="תכנון ובנין עיר"/>
    <x v="88"/>
    <e v="#N/A"/>
    <s v="7361"/>
    <e v="#N/A"/>
    <m/>
    <s v="5"/>
    <x v="11"/>
    <s v="53"/>
    <s v="הוצאות רכב מינהלי"/>
    <s v="532"/>
    <s v="תיקונים"/>
  </r>
  <r>
    <n v="533"/>
    <s v="73610"/>
    <n v="1"/>
    <s v="173610.533"/>
    <s v="שכירת רכב ורכב עירוני           "/>
    <m/>
    <m/>
    <n v="52000"/>
    <n v="52000"/>
    <n v="34359"/>
    <m/>
    <x v="6"/>
    <s v="שירותים מקומיים"/>
    <x v="27"/>
    <s v="תכנון ובנין עיר"/>
    <x v="88"/>
    <e v="#N/A"/>
    <s v="7361"/>
    <e v="#N/A"/>
    <m/>
    <s v="5"/>
    <x v="11"/>
    <s v="53"/>
    <s v="הוצאות רכב מינהלי"/>
    <s v="533"/>
    <s v="רישוי וביטוח"/>
  </r>
  <r>
    <n v="534"/>
    <s v="73610"/>
    <n v="1"/>
    <s v="173610.534"/>
    <s v="דלק ושמן                        "/>
    <m/>
    <m/>
    <n v="45000"/>
    <n v="45000"/>
    <n v="34189"/>
    <m/>
    <x v="6"/>
    <s v="שירותים מקומיים"/>
    <x v="27"/>
    <s v="תכנון ובנין עיר"/>
    <x v="88"/>
    <e v="#N/A"/>
    <s v="7361"/>
    <e v="#N/A"/>
    <m/>
    <s v="5"/>
    <x v="11"/>
    <s v="53"/>
    <s v="הוצאות רכב מינהלי"/>
    <s v="534"/>
    <e v="#N/A"/>
  </r>
  <r>
    <n v="670"/>
    <s v="73610"/>
    <n v="1"/>
    <s v="173610.670"/>
    <s v="סעיף שאינו חוזר                 "/>
    <m/>
    <m/>
    <n v="0"/>
    <n v="0"/>
    <n v="22883"/>
    <m/>
    <x v="6"/>
    <s v="שירותים מקומיים"/>
    <x v="27"/>
    <s v="תכנון ובנין עיר"/>
    <x v="88"/>
    <e v="#N/A"/>
    <s v="7361"/>
    <e v="#N/A"/>
    <m/>
    <s v="6"/>
    <x v="12"/>
    <s v="67"/>
    <e v="#N/A"/>
    <s v="670"/>
    <e v="#N/A"/>
  </r>
  <r>
    <n v="691"/>
    <s v="73610"/>
    <n v="1"/>
    <s v="173610.691"/>
    <s v="מערכות מידע ומחשוב              "/>
    <m/>
    <m/>
    <n v="1750000"/>
    <n v="1000000"/>
    <n v="638671"/>
    <m/>
    <x v="6"/>
    <s v="שירותים מקומיים"/>
    <x v="27"/>
    <s v="תכנון ובנין עיר"/>
    <x v="88"/>
    <e v="#N/A"/>
    <s v="7361"/>
    <e v="#N/A"/>
    <m/>
    <s v="6"/>
    <x v="12"/>
    <s v="69"/>
    <s v="שונות"/>
    <s v="691"/>
    <s v="תשלום ע&quot;ח קרן"/>
  </r>
  <r>
    <n v="781"/>
    <s v="73610"/>
    <n v="1"/>
    <s v="173610.781"/>
    <s v="רכישת תיקים לגנזך               "/>
    <m/>
    <m/>
    <n v="24000"/>
    <n v="20000"/>
    <n v="15510"/>
    <m/>
    <x v="6"/>
    <s v="שירותים מקומיים"/>
    <x v="27"/>
    <s v="תכנון ובנין עיר"/>
    <x v="88"/>
    <e v="#N/A"/>
    <s v="7361"/>
    <e v="#N/A"/>
    <m/>
    <s v="7"/>
    <x v="13"/>
    <s v="78"/>
    <s v="הוצאות שונות"/>
    <s v="781"/>
    <e v="#N/A"/>
  </r>
  <r>
    <n v="783"/>
    <s v="73610"/>
    <n v="1"/>
    <s v="173610.783"/>
    <s v="חוברות ופרסומי מידע             "/>
    <m/>
    <m/>
    <n v="30000"/>
    <n v="27000"/>
    <n v="0"/>
    <m/>
    <x v="6"/>
    <s v="שירותים מקומיים"/>
    <x v="27"/>
    <s v="תכנון ובנין עיר"/>
    <x v="88"/>
    <e v="#N/A"/>
    <s v="7361"/>
    <e v="#N/A"/>
    <m/>
    <s v="7"/>
    <x v="13"/>
    <s v="78"/>
    <s v="הוצאות שונות"/>
    <s v="783"/>
    <e v="#N/A"/>
  </r>
  <r>
    <n v="110"/>
    <s v="73620"/>
    <n v="1"/>
    <s v="173620.110"/>
    <s v="משכורת כוללת                    "/>
    <m/>
    <m/>
    <n v="970000"/>
    <n v="966000"/>
    <n v="937810"/>
    <m/>
    <x v="6"/>
    <s v="שירותים מקומיים"/>
    <x v="27"/>
    <s v="תכנון ובנין עיר"/>
    <x v="88"/>
    <e v="#N/A"/>
    <s v="7362"/>
    <e v="#N/A"/>
    <m/>
    <s v="1"/>
    <x v="9"/>
    <s v="11"/>
    <s v="השכר הקובע"/>
    <s v="110"/>
    <e v="#N/A"/>
  </r>
  <r>
    <n v="124"/>
    <s v="73620"/>
    <n v="1"/>
    <s v="173620.124"/>
    <s v="החזר הוצאות                     "/>
    <m/>
    <m/>
    <n v="86000"/>
    <n v="91000"/>
    <n v="88542"/>
    <m/>
    <x v="6"/>
    <s v="שירותים מקומיים"/>
    <x v="27"/>
    <s v="תכנון ובנין עיר"/>
    <x v="88"/>
    <e v="#N/A"/>
    <s v="7362"/>
    <e v="#N/A"/>
    <m/>
    <s v="1"/>
    <x v="9"/>
    <s v="12"/>
    <s v="תוספות שאינן נכללות בשכר הקובע"/>
    <s v="124"/>
    <e v="#N/A"/>
  </r>
  <r>
    <n v="126"/>
    <s v="73620"/>
    <n v="1"/>
    <s v="173620.126"/>
    <s v="הבראה                           "/>
    <m/>
    <m/>
    <n v="60000"/>
    <n v="67000"/>
    <n v="66201"/>
    <m/>
    <x v="6"/>
    <s v="שירותים מקומיים"/>
    <x v="27"/>
    <s v="תכנון ובנין עיר"/>
    <x v="88"/>
    <e v="#N/A"/>
    <s v="7362"/>
    <e v="#N/A"/>
    <m/>
    <s v="1"/>
    <x v="9"/>
    <s v="12"/>
    <s v="תוספות שאינן נכללות בשכר הקובע"/>
    <s v="126"/>
    <e v="#N/A"/>
  </r>
  <r>
    <n v="127"/>
    <s v="73620"/>
    <n v="1"/>
    <s v="173620.127"/>
    <s v="השתתפות באחזקת רכב-12           "/>
    <m/>
    <m/>
    <n v="214000"/>
    <n v="218000"/>
    <n v="219035"/>
    <m/>
    <x v="6"/>
    <s v="שירותים מקומיים"/>
    <x v="27"/>
    <s v="תכנון ובנין עיר"/>
    <x v="88"/>
    <e v="#N/A"/>
    <s v="7362"/>
    <e v="#N/A"/>
    <m/>
    <s v="1"/>
    <x v="9"/>
    <s v="12"/>
    <s v="תוספות שאינן נכללות בשכר הקובע"/>
    <s v="127"/>
    <e v="#N/A"/>
  </r>
  <r>
    <n v="130"/>
    <s v="73620"/>
    <n v="1"/>
    <s v="173620.130"/>
    <s v="תשלומים מיוחדים                 "/>
    <m/>
    <m/>
    <n v="276000"/>
    <n v="270000"/>
    <n v="263127"/>
    <m/>
    <x v="6"/>
    <s v="שירותים מקומיים"/>
    <x v="27"/>
    <s v="תכנון ובנין עיר"/>
    <x v="88"/>
    <e v="#N/A"/>
    <s v="7362"/>
    <e v="#N/A"/>
    <m/>
    <s v="1"/>
    <x v="9"/>
    <s v="13"/>
    <s v="שעות נוספות"/>
    <s v="130"/>
    <e v="#N/A"/>
  </r>
  <r>
    <n v="181"/>
    <s v="73620"/>
    <n v="1"/>
    <s v="173620.181"/>
    <s v="מיסים וביטוח לאומי              "/>
    <m/>
    <m/>
    <n v="210000"/>
    <n v="211000"/>
    <n v="200716"/>
    <m/>
    <x v="6"/>
    <s v="שירותים מקומיים"/>
    <x v="27"/>
    <s v="תכנון ובנין עיר"/>
    <x v="88"/>
    <e v="#N/A"/>
    <s v="7362"/>
    <e v="#N/A"/>
    <m/>
    <s v="1"/>
    <x v="9"/>
    <s v="18"/>
    <s v="נלוות לשכר"/>
    <s v="181"/>
    <s v="הפרשות סוציאליות"/>
  </r>
  <r>
    <n v="182"/>
    <s v="73620"/>
    <n v="1"/>
    <s v="173620.182"/>
    <s v="קופות גמל והשתלמות              "/>
    <m/>
    <m/>
    <n v="234000"/>
    <n v="243000"/>
    <n v="230558"/>
    <m/>
    <x v="6"/>
    <s v="שירותים מקומיים"/>
    <x v="27"/>
    <s v="תכנון ובנין עיר"/>
    <x v="88"/>
    <e v="#N/A"/>
    <s v="7362"/>
    <e v="#N/A"/>
    <m/>
    <s v="1"/>
    <x v="9"/>
    <s v="18"/>
    <s v="נלוות לשכר"/>
    <s v="182"/>
    <s v="מיסיום ועלויות"/>
  </r>
  <r>
    <n v="110"/>
    <s v="73630"/>
    <n v="1"/>
    <s v="173630.110"/>
    <s v="משכורת כוללת                    "/>
    <m/>
    <m/>
    <n v="990000"/>
    <n v="780000"/>
    <n v="767323"/>
    <m/>
    <x v="6"/>
    <s v="שירותים מקומיים"/>
    <x v="27"/>
    <s v="תכנון ובנין עיר"/>
    <x v="88"/>
    <e v="#N/A"/>
    <s v="7363"/>
    <e v="#N/A"/>
    <m/>
    <s v="1"/>
    <x v="9"/>
    <s v="11"/>
    <s v="השכר הקובע"/>
    <s v="110"/>
    <e v="#N/A"/>
  </r>
  <r>
    <n v="124"/>
    <s v="73630"/>
    <n v="1"/>
    <s v="173630.124"/>
    <s v="החזר הוצאות                     "/>
    <m/>
    <m/>
    <n v="91000"/>
    <n v="75000"/>
    <n v="80928"/>
    <m/>
    <x v="6"/>
    <s v="שירותים מקומיים"/>
    <x v="27"/>
    <s v="תכנון ובנין עיר"/>
    <x v="88"/>
    <e v="#N/A"/>
    <s v="7363"/>
    <e v="#N/A"/>
    <m/>
    <s v="1"/>
    <x v="9"/>
    <s v="12"/>
    <s v="תוספות שאינן נכללות בשכר הקובע"/>
    <s v="124"/>
    <e v="#N/A"/>
  </r>
  <r>
    <n v="126"/>
    <s v="73630"/>
    <n v="1"/>
    <s v="173630.126"/>
    <s v="הבראה                           "/>
    <m/>
    <m/>
    <n v="54000"/>
    <n v="44000"/>
    <n v="42700"/>
    <m/>
    <x v="6"/>
    <s v="שירותים מקומיים"/>
    <x v="27"/>
    <s v="תכנון ובנין עיר"/>
    <x v="88"/>
    <e v="#N/A"/>
    <s v="7363"/>
    <e v="#N/A"/>
    <m/>
    <s v="1"/>
    <x v="9"/>
    <s v="12"/>
    <s v="תוספות שאינן נכללות בשכר הקובע"/>
    <s v="126"/>
    <e v="#N/A"/>
  </r>
  <r>
    <n v="127"/>
    <s v="73630"/>
    <n v="1"/>
    <s v="173630.127"/>
    <s v="השתתפות באחזקת רכב-9            "/>
    <m/>
    <m/>
    <n v="220000"/>
    <n v="164000"/>
    <n v="170111"/>
    <m/>
    <x v="6"/>
    <s v="שירותים מקומיים"/>
    <x v="27"/>
    <s v="תכנון ובנין עיר"/>
    <x v="88"/>
    <e v="#N/A"/>
    <s v="7363"/>
    <e v="#N/A"/>
    <m/>
    <s v="1"/>
    <x v="9"/>
    <s v="12"/>
    <s v="תוספות שאינן נכללות בשכר הקובע"/>
    <s v="127"/>
    <e v="#N/A"/>
  </r>
  <r>
    <n v="130"/>
    <s v="73630"/>
    <n v="1"/>
    <s v="173630.130"/>
    <s v="תשלומים מיוחדים                 "/>
    <m/>
    <m/>
    <n v="306000"/>
    <n v="278000"/>
    <n v="281232"/>
    <m/>
    <x v="6"/>
    <s v="שירותים מקומיים"/>
    <x v="27"/>
    <s v="תכנון ובנין עיר"/>
    <x v="88"/>
    <e v="#N/A"/>
    <s v="7363"/>
    <e v="#N/A"/>
    <m/>
    <s v="1"/>
    <x v="9"/>
    <s v="13"/>
    <s v="שעות נוספות"/>
    <s v="130"/>
    <e v="#N/A"/>
  </r>
  <r>
    <n v="181"/>
    <s v="73630"/>
    <n v="1"/>
    <s v="173630.181"/>
    <s v="מיסים וביטוח לאומי              "/>
    <m/>
    <m/>
    <n v="217000"/>
    <n v="176000"/>
    <n v="179117"/>
    <m/>
    <x v="6"/>
    <s v="שירותים מקומיים"/>
    <x v="27"/>
    <s v="תכנון ובנין עיר"/>
    <x v="88"/>
    <e v="#N/A"/>
    <s v="7363"/>
    <e v="#N/A"/>
    <m/>
    <s v="1"/>
    <x v="9"/>
    <s v="18"/>
    <s v="נלוות לשכר"/>
    <s v="181"/>
    <s v="הפרשות סוציאליות"/>
  </r>
  <r>
    <n v="182"/>
    <s v="73630"/>
    <n v="1"/>
    <s v="173630.182"/>
    <s v="קופות גמל והשתלמות              "/>
    <m/>
    <m/>
    <n v="219000"/>
    <n v="168000"/>
    <n v="160331"/>
    <m/>
    <x v="6"/>
    <s v="שירותים מקומיים"/>
    <x v="27"/>
    <s v="תכנון ובנין עיר"/>
    <x v="88"/>
    <e v="#N/A"/>
    <s v="7363"/>
    <e v="#N/A"/>
    <m/>
    <s v="1"/>
    <x v="9"/>
    <s v="18"/>
    <s v="נלוות לשכר"/>
    <s v="182"/>
    <s v="מיסיום ועלויות"/>
  </r>
  <r>
    <n v="110"/>
    <s v="73640"/>
    <n v="1"/>
    <s v="173640.110"/>
    <s v="משכורת כוללת                    "/>
    <m/>
    <m/>
    <n v="1365000"/>
    <n v="1385000"/>
    <n v="1346331"/>
    <m/>
    <x v="6"/>
    <s v="שירותים מקומיים"/>
    <x v="27"/>
    <s v="תכנון ובנין עיר"/>
    <x v="88"/>
    <e v="#N/A"/>
    <s v="7364"/>
    <e v="#N/A"/>
    <m/>
    <s v="1"/>
    <x v="9"/>
    <s v="11"/>
    <s v="השכר הקובע"/>
    <s v="110"/>
    <e v="#N/A"/>
  </r>
  <r>
    <n v="124"/>
    <s v="73640"/>
    <n v="1"/>
    <s v="173640.124"/>
    <s v="החזר הוצאות                     "/>
    <m/>
    <m/>
    <n v="93000"/>
    <n v="95000"/>
    <n v="94393"/>
    <m/>
    <x v="6"/>
    <s v="שירותים מקומיים"/>
    <x v="27"/>
    <s v="תכנון ובנין עיר"/>
    <x v="88"/>
    <e v="#N/A"/>
    <s v="7364"/>
    <e v="#N/A"/>
    <m/>
    <s v="1"/>
    <x v="9"/>
    <s v="12"/>
    <s v="תוספות שאינן נכללות בשכר הקובע"/>
    <s v="124"/>
    <e v="#N/A"/>
  </r>
  <r>
    <n v="126"/>
    <s v="73640"/>
    <n v="1"/>
    <s v="173640.126"/>
    <s v="הבראה                           "/>
    <m/>
    <m/>
    <n v="68000"/>
    <n v="73000"/>
    <n v="71736"/>
    <m/>
    <x v="6"/>
    <s v="שירותים מקומיים"/>
    <x v="27"/>
    <s v="תכנון ובנין עיר"/>
    <x v="88"/>
    <e v="#N/A"/>
    <s v="7364"/>
    <e v="#N/A"/>
    <m/>
    <s v="1"/>
    <x v="9"/>
    <s v="12"/>
    <s v="תוספות שאינן נכללות בשכר הקובע"/>
    <s v="126"/>
    <e v="#N/A"/>
  </r>
  <r>
    <n v="127"/>
    <s v="73640"/>
    <n v="1"/>
    <s v="173640.127"/>
    <s v="השתתפות באחזקת רכב-12           "/>
    <m/>
    <m/>
    <n v="297000"/>
    <n v="300000"/>
    <n v="284433"/>
    <m/>
    <x v="6"/>
    <s v="שירותים מקומיים"/>
    <x v="27"/>
    <s v="תכנון ובנין עיר"/>
    <x v="88"/>
    <e v="#N/A"/>
    <s v="7364"/>
    <e v="#N/A"/>
    <m/>
    <s v="1"/>
    <x v="9"/>
    <s v="12"/>
    <s v="תוספות שאינן נכללות בשכר הקובע"/>
    <s v="127"/>
    <e v="#N/A"/>
  </r>
  <r>
    <n v="130"/>
    <s v="73640"/>
    <n v="1"/>
    <s v="173640.130"/>
    <s v="תשלומים מיוחדים                 "/>
    <m/>
    <m/>
    <n v="441000"/>
    <n v="445000"/>
    <n v="454682"/>
    <m/>
    <x v="6"/>
    <s v="שירותים מקומיים"/>
    <x v="27"/>
    <s v="תכנון ובנין עיר"/>
    <x v="88"/>
    <e v="#N/A"/>
    <s v="7364"/>
    <e v="#N/A"/>
    <m/>
    <s v="1"/>
    <x v="9"/>
    <s v="13"/>
    <s v="שעות נוספות"/>
    <s v="130"/>
    <e v="#N/A"/>
  </r>
  <r>
    <n v="181"/>
    <s v="73640"/>
    <n v="1"/>
    <s v="173640.181"/>
    <s v="מיסים וביטוח לאומי              "/>
    <m/>
    <m/>
    <n v="296000"/>
    <n v="301000"/>
    <n v="299389"/>
    <m/>
    <x v="6"/>
    <s v="שירותים מקומיים"/>
    <x v="27"/>
    <s v="תכנון ובנין עיר"/>
    <x v="88"/>
    <e v="#N/A"/>
    <s v="7364"/>
    <e v="#N/A"/>
    <m/>
    <s v="1"/>
    <x v="9"/>
    <s v="18"/>
    <s v="נלוות לשכר"/>
    <s v="181"/>
    <s v="הפרשות סוציאליות"/>
  </r>
  <r>
    <n v="182"/>
    <s v="73640"/>
    <n v="1"/>
    <s v="173640.182"/>
    <s v="קופות גמל והשתלמות              "/>
    <m/>
    <m/>
    <n v="307000"/>
    <n v="301000"/>
    <n v="290077"/>
    <m/>
    <x v="6"/>
    <s v="שירותים מקומיים"/>
    <x v="27"/>
    <s v="תכנון ובנין עיר"/>
    <x v="88"/>
    <e v="#N/A"/>
    <s v="7364"/>
    <e v="#N/A"/>
    <m/>
    <s v="1"/>
    <x v="9"/>
    <s v="18"/>
    <s v="נלוות לשכר"/>
    <s v="182"/>
    <s v="מיסיום ועלויות"/>
  </r>
  <r>
    <n v="110"/>
    <s v="74111"/>
    <n v="1"/>
    <s v="174111.110"/>
    <s v="משכורת כוללת                    "/>
    <m/>
    <m/>
    <n v="2363000"/>
    <n v="2290000"/>
    <n v="2230580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1"/>
    <s v="השכר הקובע"/>
    <s v="110"/>
    <e v="#N/A"/>
  </r>
  <r>
    <n v="124"/>
    <s v="74111"/>
    <n v="1"/>
    <s v="174111.124"/>
    <s v="החזר הוצאות                     "/>
    <m/>
    <m/>
    <n v="74000"/>
    <n v="72000"/>
    <n v="71409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4"/>
    <e v="#N/A"/>
  </r>
  <r>
    <n v="126"/>
    <s v="74111"/>
    <n v="1"/>
    <s v="174111.126"/>
    <s v="הבראה                           "/>
    <m/>
    <m/>
    <n v="75000"/>
    <n v="73000"/>
    <n v="72163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6"/>
    <e v="#N/A"/>
  </r>
  <r>
    <n v="127"/>
    <s v="74111"/>
    <n v="1"/>
    <s v="174111.127"/>
    <s v="השתתפות באחזקת רכב-11           "/>
    <m/>
    <m/>
    <n v="291000"/>
    <n v="271000"/>
    <n v="260901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7"/>
    <e v="#N/A"/>
  </r>
  <r>
    <n v="130"/>
    <s v="74111"/>
    <n v="1"/>
    <s v="174111.130"/>
    <s v="תשלומים מיוחדים                 "/>
    <m/>
    <m/>
    <n v="282000"/>
    <n v="257000"/>
    <n v="253191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3"/>
    <s v="שעות נוספות"/>
    <s v="130"/>
    <e v="#N/A"/>
  </r>
  <r>
    <n v="181"/>
    <s v="74111"/>
    <n v="1"/>
    <s v="174111.181"/>
    <s v="מיסים וביטוח לאומי              "/>
    <m/>
    <m/>
    <n v="403000"/>
    <n v="388000"/>
    <n v="403367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1"/>
    <s v="הפרשות סוציאליות"/>
  </r>
  <r>
    <n v="182"/>
    <s v="74111"/>
    <n v="1"/>
    <s v="174111.182"/>
    <s v="קופות גמל והשתלמות              "/>
    <m/>
    <m/>
    <n v="392000"/>
    <n v="378000"/>
    <n v="360297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2"/>
    <s v="מיסיום ועלויות"/>
  </r>
  <r>
    <n v="412"/>
    <s v="74111"/>
    <n v="1"/>
    <s v="174111.412"/>
    <s v="מיסים ואגרות                    "/>
    <m/>
    <m/>
    <n v="2000"/>
    <n v="2000"/>
    <n v="690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1"/>
    <s v="שכר דירה ודמי חכירה"/>
    <s v="412"/>
    <e v="#N/A"/>
  </r>
  <r>
    <n v="531"/>
    <s v="74111"/>
    <n v="1"/>
    <s v="174111.531"/>
    <s v="אחזקת רכב                       "/>
    <m/>
    <m/>
    <n v="8000"/>
    <n v="8000"/>
    <n v="6132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3"/>
    <s v="הוצאות רכב מינהלי"/>
    <s v="531"/>
    <s v="דלק ושמנים"/>
  </r>
  <r>
    <n v="533"/>
    <s v="74111"/>
    <n v="1"/>
    <s v="174111.533"/>
    <s v="שכירת רכב                       "/>
    <m/>
    <m/>
    <n v="160000"/>
    <n v="158000"/>
    <n v="144509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3"/>
    <s v="הוצאות רכב מינהלי"/>
    <s v="533"/>
    <s v="רישוי וביטוח"/>
  </r>
  <r>
    <n v="534"/>
    <s v="74111"/>
    <n v="1"/>
    <s v="174111.534"/>
    <s v="דלק ושמן                        "/>
    <m/>
    <m/>
    <n v="74000"/>
    <n v="72000"/>
    <n v="51563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3"/>
    <s v="הוצאות רכב מינהלי"/>
    <s v="534"/>
    <e v="#N/A"/>
  </r>
  <r>
    <n v="541"/>
    <s v="74111"/>
    <n v="1"/>
    <s v="174111.541"/>
    <s v="החזקת מכשירי קשר וסלולר         "/>
    <m/>
    <m/>
    <n v="192000"/>
    <n v="192000"/>
    <n v="181793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4"/>
    <s v="הוצאות תקשורת"/>
    <s v="541"/>
    <e v="#N/A"/>
  </r>
  <r>
    <n v="691"/>
    <s v="74111"/>
    <n v="1"/>
    <s v="174111.691"/>
    <s v="מערכות מידע ומחשוב              "/>
    <m/>
    <m/>
    <n v="490000"/>
    <n v="440000"/>
    <n v="313253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9"/>
    <s v="שונות"/>
    <s v="691"/>
    <s v="תשלום ע&quot;ח קרן"/>
  </r>
  <r>
    <n v="693"/>
    <s v="74111"/>
    <n v="1"/>
    <s v="174111.693"/>
    <s v="מיחשוב יחידתי                   "/>
    <m/>
    <m/>
    <n v="90000"/>
    <n v="89000"/>
    <n v="81470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9"/>
    <s v="שונות"/>
    <s v="693"/>
    <s v="תשלום ע&quot;ח הצמדת ערך"/>
  </r>
  <r>
    <n v="781"/>
    <s v="74111"/>
    <n v="1"/>
    <s v="174111.781"/>
    <s v="תגבור כ א יח' פרוייקטים משולבים "/>
    <m/>
    <m/>
    <n v="355000"/>
    <n v="355000"/>
    <n v="336079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8"/>
    <s v="הוצאות שונות"/>
    <s v="781"/>
    <e v="#N/A"/>
  </r>
  <r>
    <n v="790"/>
    <s v="74111"/>
    <n v="1"/>
    <s v="174111.790"/>
    <s v="עתודת מינהל                     "/>
    <m/>
    <m/>
    <n v="60000"/>
    <n v="60000"/>
    <n v="0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9"/>
    <s v="השתתפות בתקציבי עזר 092"/>
    <s v="790"/>
    <e v="#N/A"/>
  </r>
  <r>
    <n v="110"/>
    <s v="74112"/>
    <n v="1"/>
    <s v="174112.110"/>
    <s v="משכורת כוללת                    "/>
    <m/>
    <m/>
    <n v="835000"/>
    <n v="929000"/>
    <n v="909052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1"/>
    <s v="השכר הקובע"/>
    <s v="110"/>
    <e v="#N/A"/>
  </r>
  <r>
    <n v="124"/>
    <s v="74112"/>
    <n v="1"/>
    <s v="174112.124"/>
    <s v="החזר הוצאות                     "/>
    <m/>
    <m/>
    <n v="57000"/>
    <n v="62000"/>
    <n v="60472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4"/>
    <e v="#N/A"/>
  </r>
  <r>
    <n v="126"/>
    <s v="74112"/>
    <n v="1"/>
    <s v="174112.126"/>
    <s v="הבראה                           "/>
    <m/>
    <m/>
    <n v="49000"/>
    <n v="54000"/>
    <n v="54659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6"/>
    <e v="#N/A"/>
  </r>
  <r>
    <n v="127"/>
    <s v="74112"/>
    <n v="1"/>
    <s v="174112.127"/>
    <s v="השתתפות באחזקת רכב-9            "/>
    <m/>
    <m/>
    <n v="218000"/>
    <n v="247000"/>
    <n v="231623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7"/>
    <e v="#N/A"/>
  </r>
  <r>
    <n v="130"/>
    <s v="74112"/>
    <n v="1"/>
    <s v="174112.130"/>
    <s v="תשלומים מיוחדים                 "/>
    <m/>
    <m/>
    <n v="210000"/>
    <n v="232000"/>
    <n v="218390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3"/>
    <s v="שעות נוספות"/>
    <s v="130"/>
    <e v="#N/A"/>
  </r>
  <r>
    <n v="181"/>
    <s v="74112"/>
    <n v="1"/>
    <s v="174112.181"/>
    <s v="מיסים וביטוח לאומי              "/>
    <m/>
    <m/>
    <n v="210000"/>
    <n v="221000"/>
    <n v="193487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1"/>
    <s v="הפרשות סוציאליות"/>
  </r>
  <r>
    <n v="182"/>
    <s v="74112"/>
    <n v="1"/>
    <s v="174112.182"/>
    <s v="קופות גמל והשתלמות              "/>
    <m/>
    <m/>
    <n v="128000"/>
    <n v="142000"/>
    <n v="135527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2"/>
    <s v="מיסיום ועלויות"/>
  </r>
  <r>
    <n v="310"/>
    <s v="74112"/>
    <n v="1"/>
    <s v="174112.310"/>
    <s v="שעות נוספות רשומות              "/>
    <m/>
    <m/>
    <n v="213000"/>
    <n v="149000"/>
    <n v="129653"/>
    <m/>
    <x v="6"/>
    <s v="שירותים מקומיים"/>
    <x v="28"/>
    <s v="נכסים ציבוריים"/>
    <x v="89"/>
    <s v="מינהל נכסים ציבוריים"/>
    <s v="7411"/>
    <e v="#N/A"/>
    <m/>
    <s v="3"/>
    <x v="14"/>
    <s v="31"/>
    <s v="פנסיה"/>
    <s v="310"/>
    <e v="#N/A"/>
  </r>
  <r>
    <n v="340"/>
    <s v="74112"/>
    <n v="1"/>
    <s v="174112.340"/>
    <s v="שעות נוספות מיוחדות             "/>
    <m/>
    <m/>
    <n v="20000"/>
    <n v="20000"/>
    <n v="20468"/>
    <m/>
    <x v="6"/>
    <s v="שירותים מקומיים"/>
    <x v="28"/>
    <s v="נכסים ציבוריים"/>
    <x v="89"/>
    <s v="מינהל נכסים ציבוריים"/>
    <s v="7411"/>
    <e v="#N/A"/>
    <m/>
    <s v="3"/>
    <x v="14"/>
    <s v="34"/>
    <e v="#N/A"/>
    <s v="340"/>
    <e v="#N/A"/>
  </r>
  <r>
    <n v="433"/>
    <s v="74112"/>
    <n v="1"/>
    <s v="174112.433"/>
    <s v="בטוח                            "/>
    <m/>
    <m/>
    <n v="112000"/>
    <n v="113000"/>
    <n v="101000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3"/>
    <s v="חשמל, מים וחומרי ניקיון"/>
    <s v="433"/>
    <s v="חומרי ניקיון"/>
  </r>
  <r>
    <n v="434"/>
    <s v="74112"/>
    <n v="1"/>
    <s v="174112.434"/>
    <s v="תקוני מבנים  מתקנים ואינונטר    "/>
    <m/>
    <m/>
    <n v="45000"/>
    <n v="55000"/>
    <n v="51723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3"/>
    <s v="חשמל, מים וחומרי ניקיון"/>
    <s v="434"/>
    <s v="שירותי ניקיון"/>
  </r>
  <r>
    <n v="439"/>
    <s v="74112"/>
    <n v="1"/>
    <s v="174112.439"/>
    <s v="אחזקת בניני העיריה-השתתפות      "/>
    <m/>
    <m/>
    <n v="1017000"/>
    <n v="2200000"/>
    <n v="1948010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3"/>
    <s v="חשמל, מים וחומרי ניקיון"/>
    <s v="439"/>
    <e v="#N/A"/>
  </r>
  <r>
    <n v="461"/>
    <s v="74112"/>
    <n v="1"/>
    <s v="174112.461"/>
    <s v="צורכי משרד                      "/>
    <m/>
    <m/>
    <n v="134000"/>
    <n v="136000"/>
    <n v="135999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6"/>
    <e v="#N/A"/>
    <s v="461"/>
    <e v="#N/A"/>
  </r>
  <r>
    <n v="462"/>
    <s v="74112"/>
    <n v="1"/>
    <s v="174112.462"/>
    <s v="ספרים ועתונים                   "/>
    <m/>
    <m/>
    <n v="10000"/>
    <n v="10000"/>
    <n v="8147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6"/>
    <e v="#N/A"/>
    <s v="462"/>
    <e v="#N/A"/>
  </r>
  <r>
    <n v="464"/>
    <s v="74112"/>
    <n v="1"/>
    <s v="174112.464"/>
    <s v="דאר                             "/>
    <m/>
    <m/>
    <n v="6000"/>
    <n v="6000"/>
    <n v="5069"/>
    <m/>
    <x v="6"/>
    <s v="שירותים מקומיים"/>
    <x v="28"/>
    <s v="נכסים ציבוריים"/>
    <x v="89"/>
    <s v="מינהל נכסים ציבוריים"/>
    <s v="7411"/>
    <e v="#N/A"/>
    <m/>
    <s v="4"/>
    <x v="15"/>
    <s v="46"/>
    <e v="#N/A"/>
    <s v="464"/>
    <e v="#N/A"/>
  </r>
  <r>
    <n v="510"/>
    <s v="74112"/>
    <n v="1"/>
    <s v="174112.510"/>
    <s v="נסיעות  ואש ל                   "/>
    <m/>
    <m/>
    <n v="18000"/>
    <n v="18000"/>
    <n v="4133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1"/>
    <s v="אש&quot;ל וכיבודים"/>
    <s v="510"/>
    <e v="#N/A"/>
  </r>
  <r>
    <n v="521"/>
    <s v="74112"/>
    <n v="1"/>
    <s v="174112.521"/>
    <s v="הדרכה וכנסים                    "/>
    <m/>
    <m/>
    <n v="140000"/>
    <n v="110000"/>
    <n v="140388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2"/>
    <s v="השתלמויות וספרות מקצועית"/>
    <s v="521"/>
    <s v="השתלמויות וספרות מקצועית"/>
  </r>
  <r>
    <n v="522"/>
    <s v="74112"/>
    <n v="1"/>
    <s v="174112.522"/>
    <s v="גיבוש יחידתי                    "/>
    <m/>
    <m/>
    <n v="82000"/>
    <n v="72000"/>
    <n v="71097"/>
    <m/>
    <x v="6"/>
    <s v="שירותים מקומיים"/>
    <x v="28"/>
    <s v="נכסים ציבוריים"/>
    <x v="89"/>
    <s v="מינהל נכסים ציבוריים"/>
    <s v="7411"/>
    <e v="#N/A"/>
    <m/>
    <s v="5"/>
    <x v="11"/>
    <s v="52"/>
    <s v="השתלמויות וספרות מקצועית"/>
    <s v="522"/>
    <s v="ספרות מקצועית ועיתונות"/>
  </r>
  <r>
    <n v="610"/>
    <s v="74112"/>
    <n v="1"/>
    <s v="174112.610"/>
    <s v="כיבודים                         "/>
    <m/>
    <m/>
    <n v="40000"/>
    <n v="40000"/>
    <n v="38112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1"/>
    <s v="עמלות"/>
    <s v="610"/>
    <e v="#N/A"/>
  </r>
  <r>
    <n v="670"/>
    <s v="74112"/>
    <n v="1"/>
    <s v="174112.670"/>
    <s v="סעיף שאינו חוזר                 "/>
    <m/>
    <m/>
    <n v="0"/>
    <n v="449000"/>
    <n v="275269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7"/>
    <e v="#N/A"/>
    <s v="670"/>
    <e v="#N/A"/>
  </r>
  <r>
    <n v="680"/>
    <s v="74112"/>
    <n v="1"/>
    <s v="174112.680"/>
    <s v="הוצאות מיוחדות                  "/>
    <m/>
    <m/>
    <n v="15000"/>
    <n v="10000"/>
    <n v="10783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8"/>
    <s v="ריבית על הוצאות אחרות"/>
    <s v="680"/>
    <e v="#N/A"/>
  </r>
  <r>
    <n v="760"/>
    <s v="74112"/>
    <n v="1"/>
    <s v="174112.760"/>
    <s v="בגדי  עבודה  יחידתיים           "/>
    <m/>
    <m/>
    <n v="20000"/>
    <n v="15000"/>
    <n v="17767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6"/>
    <s v="קניית שירותים מרשויות ומוסדות"/>
    <s v="760"/>
    <e v="#N/A"/>
  </r>
  <r>
    <n v="783"/>
    <s v="74112"/>
    <n v="1"/>
    <s v="174112.783"/>
    <s v="שליחויות                        "/>
    <m/>
    <m/>
    <n v="5000"/>
    <n v="5000"/>
    <n v="30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8"/>
    <s v="הוצאות שונות"/>
    <s v="783"/>
    <e v="#N/A"/>
  </r>
  <r>
    <n v="920"/>
    <s v="74112"/>
    <n v="1"/>
    <s v="174112.920"/>
    <s v="הוצאות פיתוח                    "/>
    <m/>
    <m/>
    <n v="70000"/>
    <n v="100000"/>
    <n v="53868"/>
    <m/>
    <x v="6"/>
    <s v="שירותים מקומיים"/>
    <x v="28"/>
    <s v="נכסים ציבוריים"/>
    <x v="89"/>
    <s v="מינהל נכסים ציבוריים"/>
    <s v="7411"/>
    <e v="#N/A"/>
    <m/>
    <s v="9"/>
    <x v="17"/>
    <s v="92"/>
    <s v="הוצאות לעבודות פיתוח"/>
    <s v="920"/>
    <e v="#N/A"/>
  </r>
  <r>
    <n v="932"/>
    <s v="74112"/>
    <n v="1"/>
    <s v="174112.932"/>
    <s v="ציוד וריהוט משרדי               "/>
    <m/>
    <m/>
    <n v="30000"/>
    <n v="40000"/>
    <n v="24431"/>
    <m/>
    <x v="6"/>
    <s v="שירותים מקומיים"/>
    <x v="28"/>
    <s v="נכסים ציבוריים"/>
    <x v="89"/>
    <s v="מינהל נכסים ציבוריים"/>
    <s v="7411"/>
    <e v="#N/A"/>
    <m/>
    <s v="9"/>
    <x v="17"/>
    <s v="93"/>
    <s v="רכישת ציוד יסודי"/>
    <s v="932"/>
    <e v="#N/A"/>
  </r>
  <r>
    <n v="110"/>
    <s v="74113"/>
    <n v="1"/>
    <s v="174113.110"/>
    <s v="משכורת כוללת                    "/>
    <m/>
    <m/>
    <n v="1382000"/>
    <n v="1163000"/>
    <n v="1039870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1"/>
    <s v="השכר הקובע"/>
    <s v="110"/>
    <e v="#N/A"/>
  </r>
  <r>
    <n v="124"/>
    <s v="74113"/>
    <n v="1"/>
    <s v="174113.124"/>
    <s v="החזר הוצאות                     "/>
    <m/>
    <m/>
    <n v="75000"/>
    <n v="83000"/>
    <n v="76164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4"/>
    <e v="#N/A"/>
  </r>
  <r>
    <n v="126"/>
    <s v="74113"/>
    <n v="1"/>
    <s v="174113.126"/>
    <s v="הבראה                           "/>
    <m/>
    <m/>
    <n v="61000"/>
    <n v="66000"/>
    <n v="59154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6"/>
    <e v="#N/A"/>
  </r>
  <r>
    <n v="127"/>
    <s v="74113"/>
    <n v="1"/>
    <s v="174113.127"/>
    <s v="השתתפות באחזקת רכב-12           "/>
    <m/>
    <m/>
    <n v="225000"/>
    <n v="242000"/>
    <n v="236035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7"/>
    <e v="#N/A"/>
  </r>
  <r>
    <n v="130"/>
    <s v="74113"/>
    <n v="1"/>
    <s v="174113.130"/>
    <s v="תשלומים מיוחדים                 "/>
    <m/>
    <m/>
    <n v="333000"/>
    <n v="365000"/>
    <n v="322227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3"/>
    <s v="שעות נוספות"/>
    <s v="130"/>
    <e v="#N/A"/>
  </r>
  <r>
    <n v="181"/>
    <s v="74113"/>
    <n v="1"/>
    <s v="174113.181"/>
    <s v="מיסים וביטוח לאומי              "/>
    <m/>
    <m/>
    <n v="272000"/>
    <n v="251000"/>
    <n v="231195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1"/>
    <s v="הפרשות סוציאליות"/>
  </r>
  <r>
    <n v="182"/>
    <s v="74113"/>
    <n v="1"/>
    <s v="174113.182"/>
    <s v="קופות גמל והשתלמות              "/>
    <m/>
    <m/>
    <n v="182000"/>
    <n v="181000"/>
    <n v="159564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2"/>
    <s v="מיסיום ועלויות"/>
  </r>
  <r>
    <n v="691"/>
    <s v="74113"/>
    <n v="1"/>
    <s v="174113.691"/>
    <s v="מערכות מידע ומחשוב              "/>
    <m/>
    <m/>
    <n v="870000"/>
    <n v="840000"/>
    <n v="756034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9"/>
    <s v="שונות"/>
    <s v="691"/>
    <s v="תשלום ע&quot;ח קרן"/>
  </r>
  <r>
    <n v="751"/>
    <s v="74113"/>
    <n v="1"/>
    <s v="174113.751"/>
    <s v="תגבור כ א                       "/>
    <m/>
    <m/>
    <n v="1330000"/>
    <n v="1090000"/>
    <n v="970129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5"/>
    <s v="עבודות קבלניות"/>
    <s v="751"/>
    <e v="#N/A"/>
  </r>
  <r>
    <n v="752"/>
    <s v="74113"/>
    <n v="1"/>
    <s v="174113.752"/>
    <s v="יעוץ מקצועי                     "/>
    <m/>
    <m/>
    <n v="105000"/>
    <n v="105000"/>
    <n v="50705"/>
    <m/>
    <x v="6"/>
    <s v="שירותים מקומיים"/>
    <x v="28"/>
    <s v="נכסים ציבוריים"/>
    <x v="89"/>
    <s v="מינהל נכסים ציבוריים"/>
    <s v="7411"/>
    <e v="#N/A"/>
    <m/>
    <s v="7"/>
    <x v="13"/>
    <s v="75"/>
    <s v="עבודות קבלניות"/>
    <s v="752"/>
    <e v="#N/A"/>
  </r>
  <r>
    <n v="110"/>
    <s v="74115"/>
    <n v="1"/>
    <s v="174115.110"/>
    <s v="משכורת כוללת                    "/>
    <m/>
    <m/>
    <n v="578000"/>
    <n v="615000"/>
    <n v="598860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1"/>
    <s v="השכר הקובע"/>
    <s v="110"/>
    <e v="#N/A"/>
  </r>
  <r>
    <n v="124"/>
    <s v="74115"/>
    <n v="1"/>
    <s v="174115.124"/>
    <s v="החזר הוצאות                     "/>
    <m/>
    <m/>
    <n v="35000"/>
    <n v="34000"/>
    <n v="34706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4"/>
    <e v="#N/A"/>
  </r>
  <r>
    <n v="126"/>
    <s v="74115"/>
    <n v="1"/>
    <s v="174115.126"/>
    <s v="הבראה                           "/>
    <m/>
    <m/>
    <n v="28000"/>
    <n v="28000"/>
    <n v="29036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6"/>
    <e v="#N/A"/>
  </r>
  <r>
    <n v="127"/>
    <s v="74115"/>
    <n v="1"/>
    <s v="174115.127"/>
    <s v="השתתפות באחזקת רכב-4            "/>
    <m/>
    <m/>
    <n v="125000"/>
    <n v="123000"/>
    <n v="125574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2"/>
    <s v="תוספות שאינן נכללות בשכר הקובע"/>
    <s v="127"/>
    <e v="#N/A"/>
  </r>
  <r>
    <n v="130"/>
    <s v="74115"/>
    <n v="1"/>
    <s v="174115.130"/>
    <s v="תשלומים מיוחדים                 "/>
    <m/>
    <m/>
    <n v="130000"/>
    <n v="127000"/>
    <n v="129332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3"/>
    <s v="שעות נוספות"/>
    <s v="130"/>
    <e v="#N/A"/>
  </r>
  <r>
    <n v="181"/>
    <s v="74115"/>
    <n v="1"/>
    <s v="174115.181"/>
    <s v="מיסים וביטוח לאומי              "/>
    <m/>
    <m/>
    <n v="117000"/>
    <n v="121000"/>
    <n v="120813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1"/>
    <s v="הפרשות סוציאליות"/>
  </r>
  <r>
    <n v="182"/>
    <s v="74115"/>
    <n v="1"/>
    <s v="174115.182"/>
    <s v="קופות גמל והשתלמות              "/>
    <m/>
    <m/>
    <n v="77000"/>
    <n v="73000"/>
    <n v="67956"/>
    <m/>
    <x v="6"/>
    <s v="שירותים מקומיים"/>
    <x v="28"/>
    <s v="נכסים ציבוריים"/>
    <x v="89"/>
    <s v="מינהל נכסים ציבוריים"/>
    <s v="7411"/>
    <e v="#N/A"/>
    <m/>
    <s v="1"/>
    <x v="9"/>
    <s v="18"/>
    <s v="נלוות לשכר"/>
    <s v="182"/>
    <s v="מיסיום ועלויות"/>
  </r>
  <r>
    <n v="691"/>
    <s v="74115"/>
    <n v="1"/>
    <s v="174115.691"/>
    <s v="מערכות מידע ומחשוב              "/>
    <m/>
    <m/>
    <n v="90000"/>
    <n v="150000"/>
    <n v="76981"/>
    <m/>
    <x v="6"/>
    <s v="שירותים מקומיים"/>
    <x v="28"/>
    <s v="נכסים ציבוריים"/>
    <x v="89"/>
    <s v="מינהל נכסים ציבוריים"/>
    <s v="7411"/>
    <e v="#N/A"/>
    <m/>
    <s v="6"/>
    <x v="12"/>
    <s v="69"/>
    <s v="שונות"/>
    <s v="691"/>
    <s v="תשלום ע&quot;ח קרן"/>
  </r>
  <r>
    <n v="110"/>
    <s v="74142"/>
    <n v="1"/>
    <s v="174142.110"/>
    <s v="משכורת כוללת                    "/>
    <m/>
    <m/>
    <n v="842000"/>
    <n v="865000"/>
    <n v="742368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1"/>
    <s v="השכר הקובע"/>
    <s v="110"/>
    <e v="#N/A"/>
  </r>
  <r>
    <n v="124"/>
    <s v="74142"/>
    <n v="1"/>
    <s v="174142.124"/>
    <s v="החזר הוצאות                     "/>
    <m/>
    <m/>
    <n v="55000"/>
    <n v="57000"/>
    <n v="51789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2"/>
    <s v="תוספות שאינן נכללות בשכר הקובע"/>
    <s v="124"/>
    <e v="#N/A"/>
  </r>
  <r>
    <n v="126"/>
    <s v="74142"/>
    <n v="1"/>
    <s v="174142.126"/>
    <s v="הבראה                           "/>
    <m/>
    <m/>
    <n v="51000"/>
    <n v="53000"/>
    <n v="48263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2"/>
    <s v="תוספות שאינן נכללות בשכר הקובע"/>
    <s v="126"/>
    <e v="#N/A"/>
  </r>
  <r>
    <n v="127"/>
    <s v="74142"/>
    <n v="1"/>
    <s v="174142.127"/>
    <s v="השתתפות באחזקת רכב-6            "/>
    <m/>
    <m/>
    <n v="158000"/>
    <n v="164000"/>
    <n v="130727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2"/>
    <s v="תוספות שאינן נכללות בשכר הקובע"/>
    <s v="127"/>
    <e v="#N/A"/>
  </r>
  <r>
    <n v="130"/>
    <s v="74142"/>
    <n v="1"/>
    <s v="174142.130"/>
    <s v="תשלומים מיוחדים                 "/>
    <m/>
    <m/>
    <n v="186000"/>
    <n v="191000"/>
    <n v="155708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3"/>
    <s v="שעות נוספות"/>
    <s v="130"/>
    <e v="#N/A"/>
  </r>
  <r>
    <n v="181"/>
    <s v="74142"/>
    <n v="1"/>
    <s v="174142.181"/>
    <s v="מיסים וביטוח לאומי              "/>
    <m/>
    <m/>
    <n v="169000"/>
    <n v="174000"/>
    <n v="135849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8"/>
    <s v="נלוות לשכר"/>
    <s v="181"/>
    <s v="הפרשות סוציאליות"/>
  </r>
  <r>
    <n v="182"/>
    <s v="74142"/>
    <n v="1"/>
    <s v="174142.182"/>
    <s v="קופות גמל והשתלמות              "/>
    <m/>
    <m/>
    <n v="109000"/>
    <n v="109000"/>
    <n v="96817"/>
    <m/>
    <x v="6"/>
    <s v="שירותים מקומיים"/>
    <x v="28"/>
    <s v="נכסים ציבוריים"/>
    <x v="89"/>
    <s v="מינהל נכסים ציבוריים"/>
    <s v="7414"/>
    <e v="#N/A"/>
    <m/>
    <s v="1"/>
    <x v="9"/>
    <s v="18"/>
    <s v="נלוות לשכר"/>
    <s v="182"/>
    <s v="מיסיום ועלויות"/>
  </r>
  <r>
    <n v="691"/>
    <s v="74142"/>
    <n v="1"/>
    <s v="174142.691"/>
    <s v="מערכות מידע ומחשוב              "/>
    <m/>
    <m/>
    <n v="370000"/>
    <n v="310000"/>
    <n v="258501"/>
    <m/>
    <x v="6"/>
    <s v="שירותים מקומיים"/>
    <x v="28"/>
    <s v="נכסים ציבוריים"/>
    <x v="89"/>
    <s v="מינהל נכסים ציבוריים"/>
    <s v="7414"/>
    <e v="#N/A"/>
    <m/>
    <s v="6"/>
    <x v="12"/>
    <s v="69"/>
    <s v="שונות"/>
    <s v="691"/>
    <s v="תשלום ע&quot;ח קרן"/>
  </r>
  <r>
    <n v="781"/>
    <s v="74150"/>
    <n v="1"/>
    <s v="174150.781"/>
    <s v="פרוייקט סיויטס                  "/>
    <m/>
    <m/>
    <n v="120000"/>
    <n v="120000"/>
    <n v="192722"/>
    <m/>
    <x v="6"/>
    <s v="שירותים מקומיים"/>
    <x v="28"/>
    <s v="נכסים ציבוריים"/>
    <x v="89"/>
    <s v="מינהל נכסים ציבוריים"/>
    <s v="7415"/>
    <e v="#N/A"/>
    <m/>
    <s v="7"/>
    <x v="13"/>
    <s v="78"/>
    <s v="הוצאות שונות"/>
    <s v="781"/>
    <e v="#N/A"/>
  </r>
  <r>
    <n v="110"/>
    <s v="74210"/>
    <n v="1"/>
    <s v="174210.110"/>
    <s v="משכורת כוללת                    "/>
    <m/>
    <m/>
    <n v="750000"/>
    <n v="719000"/>
    <n v="728391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1"/>
    <s v="השכר הקובע"/>
    <s v="110"/>
    <e v="#N/A"/>
  </r>
  <r>
    <n v="124"/>
    <s v="74210"/>
    <n v="1"/>
    <s v="174210.124"/>
    <s v="החזר הוצאות                     "/>
    <m/>
    <m/>
    <n v="26000"/>
    <n v="26000"/>
    <n v="27092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2"/>
    <s v="תוספות שאינן נכללות בשכר הקובע"/>
    <s v="124"/>
    <e v="#N/A"/>
  </r>
  <r>
    <n v="126"/>
    <s v="74210"/>
    <n v="1"/>
    <s v="174210.126"/>
    <s v="הבראה                           "/>
    <m/>
    <m/>
    <n v="25000"/>
    <n v="25000"/>
    <n v="26474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2"/>
    <s v="תוספות שאינן נכללות בשכר הקובע"/>
    <s v="126"/>
    <e v="#N/A"/>
  </r>
  <r>
    <n v="127"/>
    <s v="74210"/>
    <n v="1"/>
    <s v="174210.127"/>
    <s v="השתתפות באחזקת רכב-4            "/>
    <m/>
    <m/>
    <n v="103000"/>
    <n v="103000"/>
    <n v="101704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2"/>
    <s v="תוספות שאינן נכללות בשכר הקובע"/>
    <s v="127"/>
    <e v="#N/A"/>
  </r>
  <r>
    <n v="130"/>
    <s v="74210"/>
    <n v="1"/>
    <s v="174210.130"/>
    <s v="תשלומים מיוחדים                 "/>
    <m/>
    <m/>
    <n v="90000"/>
    <n v="88000"/>
    <n v="87472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3"/>
    <s v="שעות נוספות"/>
    <s v="130"/>
    <e v="#N/A"/>
  </r>
  <r>
    <n v="181"/>
    <s v="74210"/>
    <n v="1"/>
    <s v="174210.181"/>
    <s v="מיסים וביטוח לאומי              "/>
    <m/>
    <m/>
    <n v="135000"/>
    <n v="131000"/>
    <n v="142390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8"/>
    <s v="נלוות לשכר"/>
    <s v="181"/>
    <s v="הפרשות סוציאליות"/>
  </r>
  <r>
    <n v="182"/>
    <s v="74210"/>
    <n v="1"/>
    <s v="174210.182"/>
    <s v="קופות גמל והשתלמות              "/>
    <m/>
    <m/>
    <n v="151000"/>
    <n v="144000"/>
    <n v="142466"/>
    <m/>
    <x v="6"/>
    <s v="שירותים מקומיים"/>
    <x v="28"/>
    <s v="נכסים ציבוריים"/>
    <x v="90"/>
    <s v="דרכים ומדרכות"/>
    <s v="7421"/>
    <s v="אחזקת כבישים עורקים"/>
    <m/>
    <s v="1"/>
    <x v="9"/>
    <s v="18"/>
    <s v="נלוות לשכר"/>
    <s v="182"/>
    <s v="מיסיום ועלויות"/>
  </r>
  <r>
    <n v="310"/>
    <s v="74210"/>
    <n v="1"/>
    <s v="174210.310"/>
    <s v="שעות נוספות רשומות              "/>
    <m/>
    <m/>
    <n v="30000"/>
    <n v="29000"/>
    <n v="40443"/>
    <m/>
    <x v="6"/>
    <s v="שירותים מקומיים"/>
    <x v="28"/>
    <s v="נכסים ציבוריים"/>
    <x v="90"/>
    <s v="דרכים ומדרכות"/>
    <s v="7421"/>
    <s v="אחזקת כבישים עורקים"/>
    <m/>
    <s v="3"/>
    <x v="14"/>
    <s v="31"/>
    <s v="פנסיה"/>
    <s v="310"/>
    <e v="#N/A"/>
  </r>
  <r>
    <n v="340"/>
    <s v="74210"/>
    <n v="1"/>
    <s v="174210.340"/>
    <s v="שעות נוספות מיוחדות             "/>
    <m/>
    <m/>
    <n v="10000"/>
    <n v="10000"/>
    <n v="2667"/>
    <m/>
    <x v="6"/>
    <s v="שירותים מקומיים"/>
    <x v="28"/>
    <s v="נכסים ציבוריים"/>
    <x v="90"/>
    <s v="דרכים ומדרכות"/>
    <s v="7421"/>
    <s v="אחזקת כבישים עורקים"/>
    <m/>
    <s v="3"/>
    <x v="14"/>
    <s v="34"/>
    <e v="#N/A"/>
    <s v="340"/>
    <e v="#N/A"/>
  </r>
  <r>
    <n v="412"/>
    <s v="74210"/>
    <n v="1"/>
    <s v="174210.412"/>
    <s v="מיסים ואגרות                    "/>
    <m/>
    <m/>
    <n v="1000"/>
    <n v="1000"/>
    <n v="0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1"/>
    <s v="שכר דירה ודמי חכירה"/>
    <s v="412"/>
    <e v="#N/A"/>
  </r>
  <r>
    <n v="432"/>
    <s v="74210"/>
    <n v="1"/>
    <s v="174210.432"/>
    <s v="תחזוקת החצר הגן                 "/>
    <m/>
    <m/>
    <n v="12000"/>
    <n v="12000"/>
    <n v="7918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2"/>
    <s v="מים"/>
  </r>
  <r>
    <n v="433"/>
    <s v="74210"/>
    <n v="1"/>
    <s v="174210.433"/>
    <s v="ביטוח                           "/>
    <m/>
    <m/>
    <n v="548000"/>
    <n v="550000"/>
    <n v="494000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3"/>
    <s v="חומרי ניקיון"/>
  </r>
  <r>
    <n v="434"/>
    <s v="74210"/>
    <n v="1"/>
    <s v="174210.434"/>
    <s v="תיקוני מבנים  מתקנים ואינונטר   "/>
    <m/>
    <m/>
    <n v="20000"/>
    <n v="20000"/>
    <n v="9238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4"/>
    <s v="שירותי ניקיון"/>
  </r>
  <r>
    <n v="435"/>
    <s v="74210"/>
    <n v="1"/>
    <s v="174210.435"/>
    <s v="חשמל ואנרגיה                    "/>
    <m/>
    <m/>
    <n v="170000"/>
    <n v="170000"/>
    <n v="169533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5"/>
    <e v="#N/A"/>
  </r>
  <r>
    <n v="436"/>
    <s v="74210"/>
    <n v="1"/>
    <s v="174210.436"/>
    <s v="נקיון - גבעת התחמושת            "/>
    <m/>
    <m/>
    <n v="100000"/>
    <n v="80000"/>
    <n v="87771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6"/>
    <e v="#N/A"/>
  </r>
  <r>
    <n v="437"/>
    <s v="74210"/>
    <n v="1"/>
    <s v="174210.437"/>
    <s v="שמירה - גבעת התחמושת            "/>
    <m/>
    <m/>
    <n v="661000"/>
    <n v="515000"/>
    <n v="552726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3"/>
    <s v="חשמל, מים וחומרי ניקיון"/>
    <s v="437"/>
    <e v="#N/A"/>
  </r>
  <r>
    <n v="462"/>
    <s v="74210"/>
    <n v="1"/>
    <s v="174210.462"/>
    <s v="ספרים ועתונים                   "/>
    <m/>
    <m/>
    <n v="4000"/>
    <n v="4000"/>
    <n v="3626"/>
    <m/>
    <x v="6"/>
    <s v="שירותים מקומיים"/>
    <x v="28"/>
    <s v="נכסים ציבוריים"/>
    <x v="90"/>
    <s v="דרכים ומדרכות"/>
    <s v="7421"/>
    <s v="אחזקת כבישים עורקים"/>
    <m/>
    <s v="4"/>
    <x v="15"/>
    <s v="46"/>
    <e v="#N/A"/>
    <s v="462"/>
    <e v="#N/A"/>
  </r>
  <r>
    <n v="531"/>
    <s v="74210"/>
    <n v="1"/>
    <s v="174210.531"/>
    <s v="אחזקת רכב                       "/>
    <m/>
    <m/>
    <n v="2000"/>
    <n v="2000"/>
    <n v="-118"/>
    <m/>
    <x v="6"/>
    <s v="שירותים מקומיים"/>
    <x v="28"/>
    <s v="נכסים ציבוריים"/>
    <x v="90"/>
    <s v="דרכים ומדרכות"/>
    <s v="7421"/>
    <s v="אחזקת כבישים עורקים"/>
    <m/>
    <s v="5"/>
    <x v="11"/>
    <s v="53"/>
    <s v="הוצאות רכב מינהלי"/>
    <s v="531"/>
    <s v="דלק ושמנים"/>
  </r>
  <r>
    <n v="533"/>
    <s v="74210"/>
    <n v="1"/>
    <s v="174210.533"/>
    <s v="שכירת רכב                       "/>
    <m/>
    <m/>
    <n v="38000"/>
    <n v="38000"/>
    <n v="35155"/>
    <m/>
    <x v="6"/>
    <s v="שירותים מקומיים"/>
    <x v="28"/>
    <s v="נכסים ציבוריים"/>
    <x v="90"/>
    <s v="דרכים ומדרכות"/>
    <s v="7421"/>
    <s v="אחזקת כבישים עורקים"/>
    <m/>
    <s v="5"/>
    <x v="11"/>
    <s v="53"/>
    <s v="הוצאות רכב מינהלי"/>
    <s v="533"/>
    <s v="רישוי וביטוח"/>
  </r>
  <r>
    <n v="534"/>
    <s v="74210"/>
    <n v="1"/>
    <s v="174210.534"/>
    <s v="דלק ושמן                        "/>
    <m/>
    <m/>
    <n v="21000"/>
    <n v="21000"/>
    <n v="22691"/>
    <m/>
    <x v="6"/>
    <s v="שירותים מקומיים"/>
    <x v="28"/>
    <s v="נכסים ציבוריים"/>
    <x v="90"/>
    <s v="דרכים ומדרכות"/>
    <s v="7421"/>
    <s v="אחזקת כבישים עורקים"/>
    <m/>
    <s v="5"/>
    <x v="11"/>
    <s v="53"/>
    <s v="הוצאות רכב מינהלי"/>
    <s v="534"/>
    <e v="#N/A"/>
  </r>
  <r>
    <n v="691"/>
    <s v="74210"/>
    <n v="1"/>
    <s v="174210.691"/>
    <s v="מערכות מידע ומחשוב              "/>
    <m/>
    <m/>
    <n v="1530000"/>
    <n v="1360000"/>
    <n v="1159387"/>
    <m/>
    <x v="6"/>
    <s v="שירותים מקומיים"/>
    <x v="28"/>
    <s v="נכסים ציבוריים"/>
    <x v="90"/>
    <s v="דרכים ומדרכות"/>
    <s v="7421"/>
    <s v="אחזקת כבישים עורקים"/>
    <m/>
    <s v="6"/>
    <x v="12"/>
    <s v="69"/>
    <s v="שונות"/>
    <s v="691"/>
    <s v="תשלום ע&quot;ח קרן"/>
  </r>
  <r>
    <n v="757"/>
    <s v="74210"/>
    <n v="1"/>
    <s v="174210.757"/>
    <s v="שיטור                           "/>
    <m/>
    <m/>
    <n v="50000"/>
    <n v="50000"/>
    <n v="50000"/>
    <m/>
    <x v="6"/>
    <s v="שירותים מקומיים"/>
    <x v="28"/>
    <s v="נכסים ציבוריים"/>
    <x v="90"/>
    <s v="דרכים ומדרכות"/>
    <s v="7421"/>
    <s v="אחזקת כבישים עורקים"/>
    <m/>
    <s v="7"/>
    <x v="13"/>
    <s v="75"/>
    <s v="עבודות קבלניות"/>
    <s v="757"/>
    <e v="#N/A"/>
  </r>
  <r>
    <n v="932"/>
    <s v="74210"/>
    <n v="1"/>
    <s v="174210.932"/>
    <s v="ציוד וריהוט משרדי               "/>
    <m/>
    <m/>
    <n v="15000"/>
    <n v="15000"/>
    <n v="6840"/>
    <m/>
    <x v="6"/>
    <s v="שירותים מקומיים"/>
    <x v="28"/>
    <s v="נכסים ציבוריים"/>
    <x v="90"/>
    <s v="דרכים ומדרכות"/>
    <s v="7421"/>
    <s v="אחזקת כבישים עורקים"/>
    <m/>
    <s v="9"/>
    <x v="17"/>
    <s v="93"/>
    <s v="רכישת ציוד יסודי"/>
    <s v="932"/>
    <e v="#N/A"/>
  </r>
  <r>
    <n v="934"/>
    <s v="74210"/>
    <n v="1"/>
    <s v="174210.934"/>
    <s v="ציוד תפעולי                     "/>
    <m/>
    <m/>
    <n v="25000"/>
    <n v="25000"/>
    <n v="24668"/>
    <m/>
    <x v="6"/>
    <s v="שירותים מקומיים"/>
    <x v="28"/>
    <s v="נכסים ציבוריים"/>
    <x v="90"/>
    <s v="דרכים ומדרכות"/>
    <s v="7421"/>
    <s v="אחזקת כבישים עורקים"/>
    <m/>
    <s v="9"/>
    <x v="17"/>
    <s v="93"/>
    <s v="רכישת ציוד יסודי"/>
    <s v="934"/>
    <e v="#N/A"/>
  </r>
  <r>
    <n v="110"/>
    <s v="74221"/>
    <n v="1"/>
    <s v="174221.110"/>
    <s v="משכורת כוללת                    "/>
    <m/>
    <m/>
    <n v="2200000"/>
    <n v="2195000"/>
    <n v="219189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1"/>
    <s v="השכר הקובע"/>
    <s v="110"/>
    <e v="#N/A"/>
  </r>
  <r>
    <n v="124"/>
    <s v="74221"/>
    <n v="1"/>
    <s v="174221.124"/>
    <s v="החזר הוצאות                     "/>
    <m/>
    <m/>
    <n v="147000"/>
    <n v="142000"/>
    <n v="13805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4"/>
    <e v="#N/A"/>
  </r>
  <r>
    <n v="126"/>
    <s v="74221"/>
    <n v="1"/>
    <s v="174221.126"/>
    <s v="הבראה                           "/>
    <m/>
    <m/>
    <n v="118000"/>
    <n v="114000"/>
    <n v="111492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6"/>
    <e v="#N/A"/>
  </r>
  <r>
    <n v="127"/>
    <s v="74221"/>
    <n v="1"/>
    <s v="174221.127"/>
    <s v="השתתפות באחזקת רכב-16           "/>
    <m/>
    <m/>
    <n v="453000"/>
    <n v="438000"/>
    <n v="402147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7"/>
    <e v="#N/A"/>
  </r>
  <r>
    <n v="130"/>
    <s v="74221"/>
    <n v="1"/>
    <s v="174221.130"/>
    <s v="תשלומים מיוחדים                 "/>
    <m/>
    <m/>
    <n v="496000"/>
    <n v="477000"/>
    <n v="454315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3"/>
    <s v="שעות נוספות"/>
    <s v="130"/>
    <e v="#N/A"/>
  </r>
  <r>
    <n v="181"/>
    <s v="74221"/>
    <n v="1"/>
    <s v="174221.181"/>
    <s v="מיסים וביטוח לאומי              "/>
    <m/>
    <m/>
    <n v="508000"/>
    <n v="500000"/>
    <n v="453276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8"/>
    <s v="נלוות לשכר"/>
    <s v="181"/>
    <s v="הפרשות סוציאליות"/>
  </r>
  <r>
    <n v="182"/>
    <s v="74221"/>
    <n v="1"/>
    <s v="174221.182"/>
    <s v="קופות גמל והשתלמות              "/>
    <m/>
    <m/>
    <n v="472000"/>
    <n v="440000"/>
    <n v="42965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8"/>
    <s v="נלוות לשכר"/>
    <s v="182"/>
    <s v="מיסיום ועלויות"/>
  </r>
  <r>
    <n v="310"/>
    <s v="74221"/>
    <n v="1"/>
    <s v="174221.310"/>
    <s v="שעות נוספות רשומות              "/>
    <m/>
    <m/>
    <n v="413000"/>
    <n v="405000"/>
    <n v="224814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3"/>
    <x v="14"/>
    <s v="31"/>
    <s v="פנסיה"/>
    <s v="310"/>
    <e v="#N/A"/>
  </r>
  <r>
    <n v="340"/>
    <s v="74221"/>
    <n v="1"/>
    <s v="174221.340"/>
    <s v="שעות נוספות מיוחדות             "/>
    <m/>
    <m/>
    <n v="53000"/>
    <n v="52000"/>
    <n v="60566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3"/>
    <x v="14"/>
    <s v="34"/>
    <e v="#N/A"/>
    <s v="340"/>
    <e v="#N/A"/>
  </r>
  <r>
    <n v="461"/>
    <s v="74221"/>
    <n v="1"/>
    <s v="174221.461"/>
    <s v="צורכי משרד                      "/>
    <m/>
    <m/>
    <n v="16000"/>
    <n v="16000"/>
    <n v="1575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4"/>
    <x v="15"/>
    <s v="46"/>
    <e v="#N/A"/>
    <s v="461"/>
    <e v="#N/A"/>
  </r>
  <r>
    <n v="531"/>
    <s v="74221"/>
    <n v="1"/>
    <s v="174221.531"/>
    <s v="אחזקת רכב                       "/>
    <m/>
    <m/>
    <n v="33000"/>
    <n v="33000"/>
    <n v="34419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5"/>
    <x v="11"/>
    <s v="53"/>
    <s v="הוצאות רכב מינהלי"/>
    <s v="531"/>
    <s v="דלק ושמנים"/>
  </r>
  <r>
    <n v="532"/>
    <s v="74221"/>
    <n v="1"/>
    <s v="174221.532"/>
    <s v="ביטוח רכב                       "/>
    <m/>
    <m/>
    <n v="65000"/>
    <n v="67000"/>
    <n v="62244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5"/>
    <x v="11"/>
    <s v="53"/>
    <s v="הוצאות רכב מינהלי"/>
    <s v="532"/>
    <s v="תיקונים"/>
  </r>
  <r>
    <n v="533"/>
    <s v="74221"/>
    <n v="1"/>
    <s v="174221.533"/>
    <s v="שכירת רכב ורכב עירוני           "/>
    <m/>
    <m/>
    <n v="142000"/>
    <n v="143000"/>
    <n v="130755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5"/>
    <x v="11"/>
    <s v="53"/>
    <s v="הוצאות רכב מינהלי"/>
    <s v="533"/>
    <s v="רישוי וביטוח"/>
  </r>
  <r>
    <n v="534"/>
    <s v="74221"/>
    <n v="1"/>
    <s v="174221.534"/>
    <s v="דלק ושמן                        "/>
    <m/>
    <m/>
    <n v="126000"/>
    <n v="126000"/>
    <n v="80744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5"/>
    <x v="11"/>
    <s v="53"/>
    <s v="הוצאות רכב מינהלי"/>
    <s v="534"/>
    <e v="#N/A"/>
  </r>
  <r>
    <n v="753"/>
    <s v="74221"/>
    <n v="1"/>
    <s v="174221.753"/>
    <s v="אחזקת מערכת מנ מ                "/>
    <m/>
    <m/>
    <n v="50000"/>
    <n v="50000"/>
    <n v="1770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3"/>
    <e v="#N/A"/>
  </r>
  <r>
    <n v="781"/>
    <s v="74221"/>
    <n v="1"/>
    <s v="174221.781"/>
    <s v="מדידות ומפות                    "/>
    <m/>
    <m/>
    <n v="4000"/>
    <n v="4000"/>
    <n v="3132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8"/>
    <s v="הוצאות שונות"/>
    <s v="781"/>
    <e v="#N/A"/>
  </r>
  <r>
    <n v="110"/>
    <s v="74226"/>
    <n v="1"/>
    <s v="174226.110"/>
    <s v="משכורת כוללת                    "/>
    <m/>
    <m/>
    <n v="1672000"/>
    <n v="1652000"/>
    <n v="1618664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1"/>
    <s v="השכר הקובע"/>
    <s v="110"/>
    <e v="#N/A"/>
  </r>
  <r>
    <n v="124"/>
    <s v="74226"/>
    <n v="1"/>
    <s v="174226.124"/>
    <s v="החזר הוצאות                     "/>
    <m/>
    <m/>
    <n v="127000"/>
    <n v="124000"/>
    <n v="134116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4"/>
    <e v="#N/A"/>
  </r>
  <r>
    <n v="126"/>
    <s v="74226"/>
    <n v="1"/>
    <s v="174226.126"/>
    <s v="הבראה                           "/>
    <m/>
    <m/>
    <n v="87000"/>
    <n v="86000"/>
    <n v="8355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6"/>
    <e v="#N/A"/>
  </r>
  <r>
    <n v="127"/>
    <s v="74226"/>
    <n v="1"/>
    <s v="174226.127"/>
    <s v="השתתפות באחזקת רכב-11           "/>
    <m/>
    <m/>
    <n v="293000"/>
    <n v="290000"/>
    <n v="282797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2"/>
    <s v="תוספות שאינן נכללות בשכר הקובע"/>
    <s v="127"/>
    <e v="#N/A"/>
  </r>
  <r>
    <n v="130"/>
    <s v="74226"/>
    <n v="1"/>
    <s v="174226.130"/>
    <s v="תשלומים מיוחדים                 "/>
    <m/>
    <m/>
    <n v="253000"/>
    <n v="249000"/>
    <n v="25526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3"/>
    <s v="שעות נוספות"/>
    <s v="130"/>
    <e v="#N/A"/>
  </r>
  <r>
    <n v="181"/>
    <s v="74226"/>
    <n v="1"/>
    <s v="174226.181"/>
    <s v="מיסים וביטוח לאומי              "/>
    <m/>
    <m/>
    <n v="318000"/>
    <n v="314000"/>
    <n v="317534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8"/>
    <s v="נלוות לשכר"/>
    <s v="181"/>
    <s v="הפרשות סוציאליות"/>
  </r>
  <r>
    <n v="182"/>
    <s v="74226"/>
    <n v="1"/>
    <s v="174226.182"/>
    <s v="קופות גמל והשתלמות              "/>
    <m/>
    <m/>
    <n v="310000"/>
    <n v="295000"/>
    <n v="27546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1"/>
    <x v="9"/>
    <s v="18"/>
    <s v="נלוות לשכר"/>
    <s v="182"/>
    <s v="מיסיום ועלויות"/>
  </r>
  <r>
    <n v="461"/>
    <s v="74226"/>
    <n v="1"/>
    <s v="174226.461"/>
    <s v="צורכי משרד                      "/>
    <m/>
    <m/>
    <n v="8000"/>
    <n v="8000"/>
    <n v="679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4"/>
    <x v="15"/>
    <s v="46"/>
    <e v="#N/A"/>
    <s v="461"/>
    <e v="#N/A"/>
  </r>
  <r>
    <n v="610"/>
    <s v="74226"/>
    <n v="1"/>
    <s v="174226.610"/>
    <s v="כיבודים                         "/>
    <m/>
    <m/>
    <n v="1000"/>
    <n v="1000"/>
    <n v="100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6"/>
    <x v="12"/>
    <s v="61"/>
    <s v="עמלות"/>
    <s v="610"/>
    <e v="#N/A"/>
  </r>
  <r>
    <n v="721"/>
    <s v="74226"/>
    <n v="1"/>
    <s v="174226.721"/>
    <s v="חמרים לתחזוקה                   "/>
    <m/>
    <m/>
    <n v="91000"/>
    <n v="66000"/>
    <n v="55997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2"/>
    <s v="חומרים"/>
    <s v="721"/>
    <e v="#N/A"/>
  </r>
  <r>
    <n v="751"/>
    <s v="74226"/>
    <n v="1"/>
    <s v="174226.751"/>
    <s v="תיק' שבר ותחזוקה במיסעות ומדרכות"/>
    <m/>
    <m/>
    <n v="3300000"/>
    <n v="3300000"/>
    <n v="305963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1"/>
    <e v="#N/A"/>
  </r>
  <r>
    <n v="752"/>
    <s v="74226"/>
    <n v="1"/>
    <s v="174226.752"/>
    <s v="תחזוקת הטיילת                   "/>
    <m/>
    <m/>
    <n v="50000"/>
    <n v="100000"/>
    <n v="99963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2"/>
    <e v="#N/A"/>
  </r>
  <r>
    <n v="753"/>
    <s v="74226"/>
    <n v="1"/>
    <s v="174226.753"/>
    <s v="פקוח על קבלנים בעבודות אחזקה    "/>
    <m/>
    <m/>
    <n v="875000"/>
    <n v="725000"/>
    <n v="539557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3"/>
    <e v="#N/A"/>
  </r>
  <r>
    <n v="754"/>
    <s v="74226"/>
    <n v="1"/>
    <s v="174226.754"/>
    <s v="אחזקה יזומה של מסעות ומדרכות    "/>
    <m/>
    <m/>
    <n v="2150000"/>
    <n v="1300000"/>
    <n v="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4"/>
    <e v="#N/A"/>
  </r>
  <r>
    <n v="755"/>
    <s v="74226"/>
    <n v="1"/>
    <s v="174226.755"/>
    <s v="הנמכת מדרכות                    "/>
    <m/>
    <m/>
    <n v="150000"/>
    <n v="300000"/>
    <n v="49782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5"/>
    <e v="#N/A"/>
  </r>
  <r>
    <n v="756"/>
    <s v="74226"/>
    <n v="1"/>
    <s v="174226.756"/>
    <s v="עבודות במגרשים פרטיים           "/>
    <m/>
    <m/>
    <n v="70000"/>
    <n v="70000"/>
    <n v="522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6"/>
    <e v="#N/A"/>
  </r>
  <r>
    <n v="757"/>
    <s v="74226"/>
    <n v="1"/>
    <s v="174226.757"/>
    <s v="שיקום מדרכות לאחר צווי הריסה    "/>
    <m/>
    <m/>
    <n v="50000"/>
    <n v="50000"/>
    <n v="25091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7"/>
    <e v="#N/A"/>
  </r>
  <r>
    <n v="781"/>
    <s v="74226"/>
    <n v="1"/>
    <s v="174226.781"/>
    <s v="חידוש רישיונות נהיגה ורכב       "/>
    <m/>
    <m/>
    <n v="1000"/>
    <n v="1000"/>
    <n v="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8"/>
    <s v="הוצאות שונות"/>
    <s v="781"/>
    <e v="#N/A"/>
  </r>
  <r>
    <n v="934"/>
    <s v="74226"/>
    <n v="1"/>
    <s v="174226.934"/>
    <s v="ציוד תפעולי                     "/>
    <m/>
    <m/>
    <n v="10000"/>
    <n v="10000"/>
    <n v="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9"/>
    <x v="17"/>
    <s v="93"/>
    <s v="רכישת ציוד יסודי"/>
    <s v="934"/>
    <e v="#N/A"/>
  </r>
  <r>
    <n v="750"/>
    <s v="74228"/>
    <n v="1"/>
    <s v="174228.750"/>
    <s v="פעולות ע י גורמי חוץ            "/>
    <m/>
    <m/>
    <n v="10000"/>
    <n v="10000"/>
    <n v="0"/>
    <m/>
    <x v="6"/>
    <s v="שירותים מקומיים"/>
    <x v="28"/>
    <s v="נכסים ציבוריים"/>
    <x v="90"/>
    <s v="דרכים ומדרכות"/>
    <s v="7422"/>
    <s v="אחזקת כבישים פנימיים ומדרכות"/>
    <m/>
    <s v="7"/>
    <x v="13"/>
    <s v="75"/>
    <s v="עבודות קבלניות"/>
    <s v="750"/>
    <e v="#N/A"/>
  </r>
  <r>
    <n v="110"/>
    <s v="74231"/>
    <n v="1"/>
    <s v="174231.110"/>
    <s v="משכורת כוללת                    "/>
    <m/>
    <m/>
    <n v="275000"/>
    <n v="259000"/>
    <n v="245196"/>
    <m/>
    <x v="6"/>
    <s v="שירותים מקומיים"/>
    <x v="28"/>
    <s v="נכסים ציבוריים"/>
    <x v="90"/>
    <s v="דרכים ומדרכות"/>
    <s v="7423"/>
    <e v="#N/A"/>
    <m/>
    <s v="1"/>
    <x v="9"/>
    <s v="11"/>
    <s v="השכר הקובע"/>
    <s v="110"/>
    <e v="#N/A"/>
  </r>
  <r>
    <n v="124"/>
    <s v="74231"/>
    <n v="1"/>
    <s v="174231.124"/>
    <s v="החזר הוצאות                     "/>
    <m/>
    <m/>
    <n v="10000"/>
    <n v="12000"/>
    <n v="10777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4"/>
    <e v="#N/A"/>
  </r>
  <r>
    <n v="126"/>
    <s v="74231"/>
    <n v="1"/>
    <s v="174231.126"/>
    <s v="הבראה                           "/>
    <m/>
    <m/>
    <n v="10000"/>
    <n v="10000"/>
    <n v="9821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6"/>
    <e v="#N/A"/>
  </r>
  <r>
    <n v="127"/>
    <s v="74231"/>
    <n v="1"/>
    <s v="174231.127"/>
    <s v="השתתפות באחזקת רכב-1            "/>
    <m/>
    <m/>
    <n v="49000"/>
    <n v="39000"/>
    <n v="39833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7"/>
    <e v="#N/A"/>
  </r>
  <r>
    <n v="130"/>
    <s v="74231"/>
    <n v="1"/>
    <s v="174231.130"/>
    <s v="תשלומים מיוחדים                 "/>
    <m/>
    <m/>
    <n v="79000"/>
    <n v="51000"/>
    <n v="50223"/>
    <m/>
    <x v="6"/>
    <s v="שירותים מקומיים"/>
    <x v="28"/>
    <s v="נכסים ציבוריים"/>
    <x v="90"/>
    <s v="דרכים ומדרכות"/>
    <s v="7423"/>
    <e v="#N/A"/>
    <m/>
    <s v="1"/>
    <x v="9"/>
    <s v="13"/>
    <s v="שעות נוספות"/>
    <s v="130"/>
    <e v="#N/A"/>
  </r>
  <r>
    <n v="181"/>
    <s v="74231"/>
    <n v="1"/>
    <s v="174231.181"/>
    <s v="מיסים וביטוח לאומי              "/>
    <m/>
    <m/>
    <n v="172000"/>
    <n v="163000"/>
    <n v="64062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1"/>
    <s v="הפרשות סוציאליות"/>
  </r>
  <r>
    <n v="182"/>
    <s v="74231"/>
    <n v="1"/>
    <s v="174231.182"/>
    <s v="קופות גמל והשתלמות              "/>
    <m/>
    <m/>
    <n v="54000"/>
    <n v="52000"/>
    <n v="54698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2"/>
    <s v="מיסיום ועלויות"/>
  </r>
  <r>
    <n v="310"/>
    <s v="74231"/>
    <n v="1"/>
    <s v="174231.310"/>
    <s v="שעות נוספות רשומות              "/>
    <m/>
    <m/>
    <n v="668000"/>
    <n v="655000"/>
    <n v="650308"/>
    <m/>
    <x v="6"/>
    <s v="שירותים מקומיים"/>
    <x v="28"/>
    <s v="נכסים ציבוריים"/>
    <x v="90"/>
    <s v="דרכים ומדרכות"/>
    <s v="7423"/>
    <e v="#N/A"/>
    <m/>
    <s v="3"/>
    <x v="14"/>
    <s v="31"/>
    <s v="פנסיה"/>
    <s v="310"/>
    <e v="#N/A"/>
  </r>
  <r>
    <n v="340"/>
    <s v="74231"/>
    <n v="1"/>
    <s v="174231.340"/>
    <s v="שעות נוספות מיוחדות             "/>
    <m/>
    <m/>
    <n v="223000"/>
    <n v="219000"/>
    <n v="209856"/>
    <m/>
    <x v="6"/>
    <s v="שירותים מקומיים"/>
    <x v="28"/>
    <s v="נכסים ציבוריים"/>
    <x v="90"/>
    <s v="דרכים ומדרכות"/>
    <s v="7423"/>
    <e v="#N/A"/>
    <m/>
    <s v="3"/>
    <x v="14"/>
    <s v="34"/>
    <e v="#N/A"/>
    <s v="340"/>
    <e v="#N/A"/>
  </r>
  <r>
    <n v="461"/>
    <s v="74231"/>
    <n v="1"/>
    <s v="174231.461"/>
    <s v="צורכי משרד                      "/>
    <m/>
    <m/>
    <n v="13000"/>
    <n v="13000"/>
    <n v="8641"/>
    <m/>
    <x v="6"/>
    <s v="שירותים מקומיים"/>
    <x v="28"/>
    <s v="נכסים ציבוריים"/>
    <x v="90"/>
    <s v="דרכים ומדרכות"/>
    <s v="7423"/>
    <e v="#N/A"/>
    <m/>
    <s v="4"/>
    <x v="15"/>
    <s v="46"/>
    <e v="#N/A"/>
    <s v="461"/>
    <e v="#N/A"/>
  </r>
  <r>
    <n v="610"/>
    <s v="74231"/>
    <n v="1"/>
    <s v="174231.610"/>
    <s v="כיבודים                         "/>
    <m/>
    <m/>
    <n v="7000"/>
    <n v="7000"/>
    <n v="6481"/>
    <m/>
    <x v="6"/>
    <s v="שירותים מקומיים"/>
    <x v="28"/>
    <s v="נכסים ציבוריים"/>
    <x v="90"/>
    <s v="דרכים ומדרכות"/>
    <s v="7423"/>
    <e v="#N/A"/>
    <m/>
    <s v="6"/>
    <x v="12"/>
    <s v="61"/>
    <s v="עמלות"/>
    <s v="610"/>
    <e v="#N/A"/>
  </r>
  <r>
    <n v="670"/>
    <s v="74231"/>
    <n v="1"/>
    <s v="174231.670"/>
    <s v="סעיף שאינו חוזר                 "/>
    <m/>
    <m/>
    <n v="0"/>
    <n v="11000"/>
    <n v="10419"/>
    <m/>
    <x v="6"/>
    <s v="שירותים מקומיים"/>
    <x v="28"/>
    <s v="נכסים ציבוריים"/>
    <x v="90"/>
    <s v="דרכים ומדרכות"/>
    <s v="7423"/>
    <e v="#N/A"/>
    <m/>
    <s v="6"/>
    <x v="12"/>
    <s v="67"/>
    <e v="#N/A"/>
    <s v="670"/>
    <e v="#N/A"/>
  </r>
  <r>
    <n v="110"/>
    <s v="74232"/>
    <n v="1"/>
    <s v="174232.110"/>
    <s v="משכורת כוללת                    "/>
    <m/>
    <m/>
    <n v="677000"/>
    <n v="656000"/>
    <n v="675835"/>
    <m/>
    <x v="6"/>
    <s v="שירותים מקומיים"/>
    <x v="28"/>
    <s v="נכסים ציבוריים"/>
    <x v="90"/>
    <s v="דרכים ומדרכות"/>
    <s v="7423"/>
    <e v="#N/A"/>
    <m/>
    <s v="1"/>
    <x v="9"/>
    <s v="11"/>
    <s v="השכר הקובע"/>
    <s v="110"/>
    <e v="#N/A"/>
  </r>
  <r>
    <n v="124"/>
    <s v="74232"/>
    <n v="1"/>
    <s v="174232.124"/>
    <s v="החזר הוצאות                     "/>
    <m/>
    <m/>
    <n v="44000"/>
    <n v="44000"/>
    <n v="42449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4"/>
    <e v="#N/A"/>
  </r>
  <r>
    <n v="126"/>
    <s v="74232"/>
    <n v="1"/>
    <s v="174232.126"/>
    <s v="הבראה                           "/>
    <m/>
    <m/>
    <n v="38000"/>
    <n v="41000"/>
    <n v="36722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6"/>
    <e v="#N/A"/>
  </r>
  <r>
    <n v="127"/>
    <s v="74232"/>
    <n v="1"/>
    <s v="174232.127"/>
    <s v="השתתפות באחזקת רכב-5            "/>
    <m/>
    <m/>
    <n v="168000"/>
    <n v="179000"/>
    <n v="177376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7"/>
    <e v="#N/A"/>
  </r>
  <r>
    <n v="130"/>
    <s v="74232"/>
    <n v="1"/>
    <s v="174232.130"/>
    <s v="תשלומים מיוחדים                 "/>
    <m/>
    <m/>
    <n v="243000"/>
    <n v="242000"/>
    <n v="230652"/>
    <m/>
    <x v="6"/>
    <s v="שירותים מקומיים"/>
    <x v="28"/>
    <s v="נכסים ציבוריים"/>
    <x v="90"/>
    <s v="דרכים ומדרכות"/>
    <s v="7423"/>
    <e v="#N/A"/>
    <m/>
    <s v="1"/>
    <x v="9"/>
    <s v="13"/>
    <s v="שעות נוספות"/>
    <s v="130"/>
    <e v="#N/A"/>
  </r>
  <r>
    <n v="181"/>
    <s v="74232"/>
    <n v="1"/>
    <s v="174232.181"/>
    <s v="מיסים וביטוח לאומי              "/>
    <m/>
    <m/>
    <n v="153000"/>
    <n v="152000"/>
    <n v="175181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1"/>
    <s v="הפרשות סוציאליות"/>
  </r>
  <r>
    <n v="182"/>
    <s v="74232"/>
    <n v="1"/>
    <s v="174232.182"/>
    <s v="קופות גמל והשתלמות              "/>
    <m/>
    <m/>
    <n v="177000"/>
    <n v="154000"/>
    <n v="159891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2"/>
    <s v="מיסיום ועלויות"/>
  </r>
  <r>
    <n v="110"/>
    <s v="74233"/>
    <n v="1"/>
    <s v="174233.110"/>
    <s v="משכורת כוללת                    "/>
    <m/>
    <m/>
    <n v="1418000"/>
    <n v="1448000"/>
    <n v="1374195"/>
    <m/>
    <x v="6"/>
    <s v="שירותים מקומיים"/>
    <x v="28"/>
    <s v="נכסים ציבוריים"/>
    <x v="90"/>
    <s v="דרכים ומדרכות"/>
    <s v="7423"/>
    <e v="#N/A"/>
    <m/>
    <s v="1"/>
    <x v="9"/>
    <s v="11"/>
    <s v="השכר הקובע"/>
    <s v="110"/>
    <e v="#N/A"/>
  </r>
  <r>
    <n v="124"/>
    <s v="74233"/>
    <n v="1"/>
    <s v="174233.124"/>
    <s v="החזר הוצאות                     "/>
    <m/>
    <m/>
    <n v="89000"/>
    <n v="95000"/>
    <n v="95909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4"/>
    <e v="#N/A"/>
  </r>
  <r>
    <n v="126"/>
    <s v="74233"/>
    <n v="1"/>
    <s v="174233.126"/>
    <s v="הבראה                           "/>
    <m/>
    <m/>
    <n v="96000"/>
    <n v="104000"/>
    <n v="104205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6"/>
    <e v="#N/A"/>
  </r>
  <r>
    <n v="127"/>
    <s v="74233"/>
    <n v="1"/>
    <s v="174233.127"/>
    <s v="השתתפות באחזקת רכב-17           "/>
    <m/>
    <m/>
    <n v="359000"/>
    <n v="372000"/>
    <n v="337237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7"/>
    <e v="#N/A"/>
  </r>
  <r>
    <n v="130"/>
    <s v="74233"/>
    <n v="1"/>
    <s v="174233.130"/>
    <s v="תשלומים מיוחדים                 "/>
    <m/>
    <m/>
    <n v="669000"/>
    <n v="697000"/>
    <n v="689922"/>
    <m/>
    <x v="6"/>
    <s v="שירותים מקומיים"/>
    <x v="28"/>
    <s v="נכסים ציבוריים"/>
    <x v="90"/>
    <s v="דרכים ומדרכות"/>
    <s v="7423"/>
    <e v="#N/A"/>
    <m/>
    <s v="1"/>
    <x v="9"/>
    <s v="13"/>
    <s v="שעות נוספות"/>
    <s v="130"/>
    <e v="#N/A"/>
  </r>
  <r>
    <n v="181"/>
    <s v="74233"/>
    <n v="1"/>
    <s v="174233.181"/>
    <s v="מיסים וביטוח לאומי              "/>
    <m/>
    <m/>
    <n v="344000"/>
    <n v="355000"/>
    <n v="400012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1"/>
    <s v="הפרשות סוציאליות"/>
  </r>
  <r>
    <n v="182"/>
    <s v="74233"/>
    <n v="1"/>
    <s v="174233.182"/>
    <s v="קופות גמל והשתלמות              "/>
    <m/>
    <m/>
    <n v="405000"/>
    <n v="407000"/>
    <n v="383291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2"/>
    <s v="מיסיום ועלויות"/>
  </r>
  <r>
    <n v="720"/>
    <s v="74233"/>
    <n v="1"/>
    <s v="174233.720"/>
    <s v="חמרים                           "/>
    <m/>
    <m/>
    <n v="1000000"/>
    <n v="850000"/>
    <n v="948321"/>
    <m/>
    <x v="6"/>
    <s v="שירותים מקומיים"/>
    <x v="28"/>
    <s v="נכסים ציבוריים"/>
    <x v="90"/>
    <s v="דרכים ומדרכות"/>
    <s v="7423"/>
    <e v="#N/A"/>
    <m/>
    <s v="7"/>
    <x v="13"/>
    <s v="72"/>
    <s v="חומרים"/>
    <s v="720"/>
    <e v="#N/A"/>
  </r>
  <r>
    <n v="751"/>
    <s v="74233"/>
    <n v="1"/>
    <s v="174233.751"/>
    <s v="עבודות ע י גורמי חוץ            "/>
    <m/>
    <m/>
    <n v="730000"/>
    <n v="730000"/>
    <n v="712672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1"/>
    <e v="#N/A"/>
  </r>
  <r>
    <n v="752"/>
    <s v="74233"/>
    <n v="1"/>
    <s v="174233.752"/>
    <s v="ניקוי פנסים                     "/>
    <m/>
    <m/>
    <n v="100000"/>
    <n v="100000"/>
    <n v="96479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2"/>
    <e v="#N/A"/>
  </r>
  <r>
    <n v="753"/>
    <s v="74233"/>
    <n v="1"/>
    <s v="174233.753"/>
    <s v="צביעת עמודים ומניעת קורוזיה     "/>
    <m/>
    <m/>
    <n v="120000"/>
    <n v="120000"/>
    <n v="119858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3"/>
    <e v="#N/A"/>
  </r>
  <r>
    <n v="755"/>
    <s v="74233"/>
    <n v="1"/>
    <s v="174233.755"/>
    <s v="אחזקת מרכזי הדלקה               "/>
    <m/>
    <m/>
    <n v="40000"/>
    <n v="40000"/>
    <n v="28147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5"/>
    <e v="#N/A"/>
  </r>
  <r>
    <n v="756"/>
    <s v="74233"/>
    <n v="1"/>
    <s v="174233.756"/>
    <s v="תיקוני גרלנדות                  "/>
    <m/>
    <m/>
    <n v="40000"/>
    <n v="40000"/>
    <n v="33569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6"/>
    <e v="#N/A"/>
  </r>
  <r>
    <n v="781"/>
    <s v="74233"/>
    <n v="1"/>
    <s v="174233.781"/>
    <s v="תקוני עמודים לאחר תאונות        "/>
    <m/>
    <m/>
    <n v="100000"/>
    <n v="100000"/>
    <n v="96701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1"/>
    <e v="#N/A"/>
  </r>
  <r>
    <n v="782"/>
    <s v="74233"/>
    <n v="1"/>
    <s v="174233.782"/>
    <s v="תשלומים לחברת החשמל             "/>
    <m/>
    <m/>
    <n v="20975000"/>
    <n v="21775000"/>
    <n v="22225000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2"/>
    <e v="#N/A"/>
  </r>
  <r>
    <n v="783"/>
    <s v="74233"/>
    <n v="1"/>
    <s v="174233.783"/>
    <s v="מתקני תאורה במעברים             "/>
    <m/>
    <m/>
    <n v="10000"/>
    <n v="10000"/>
    <n v="9480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3"/>
    <e v="#N/A"/>
  </r>
  <r>
    <n v="784"/>
    <s v="74233"/>
    <n v="1"/>
    <s v="174233.784"/>
    <s v="תקשורת מרכז בקרת מאור           "/>
    <m/>
    <m/>
    <n v="70000"/>
    <n v="70000"/>
    <n v="82123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4"/>
    <e v="#N/A"/>
  </r>
  <r>
    <n v="785"/>
    <s v="74233"/>
    <n v="1"/>
    <s v="174233.785"/>
    <s v="עמלת גביית חשמל מפירסום         "/>
    <m/>
    <m/>
    <n v="15000"/>
    <n v="15000"/>
    <n v="14868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5"/>
    <e v="#N/A"/>
  </r>
  <r>
    <n v="786"/>
    <s v="74233"/>
    <n v="1"/>
    <s v="174233.786"/>
    <s v="אחזקת מרכז בקרת מאור            "/>
    <m/>
    <m/>
    <n v="150000"/>
    <n v="150000"/>
    <n v="147837"/>
    <m/>
    <x v="6"/>
    <s v="שירותים מקומיים"/>
    <x v="28"/>
    <s v="נכסים ציבוריים"/>
    <x v="90"/>
    <s v="דרכים ומדרכות"/>
    <s v="7423"/>
    <e v="#N/A"/>
    <m/>
    <s v="7"/>
    <x v="13"/>
    <s v="78"/>
    <s v="הוצאות שונות"/>
    <s v="786"/>
    <e v="#N/A"/>
  </r>
  <r>
    <n v="934"/>
    <s v="74233"/>
    <n v="1"/>
    <s v="174233.934"/>
    <s v="ציוד תפעולי                     "/>
    <m/>
    <m/>
    <n v="30000"/>
    <n v="30000"/>
    <n v="24188"/>
    <m/>
    <x v="6"/>
    <s v="שירותים מקומיים"/>
    <x v="28"/>
    <s v="נכסים ציבוריים"/>
    <x v="90"/>
    <s v="דרכים ומדרכות"/>
    <s v="7423"/>
    <e v="#N/A"/>
    <m/>
    <s v="9"/>
    <x v="17"/>
    <s v="93"/>
    <s v="רכישת ציוד יסודי"/>
    <s v="934"/>
    <e v="#N/A"/>
  </r>
  <r>
    <n v="110"/>
    <s v="74234"/>
    <n v="1"/>
    <s v="174234.110"/>
    <s v="משכורת כוללת                    "/>
    <m/>
    <m/>
    <n v="603000"/>
    <n v="607000"/>
    <n v="544502"/>
    <m/>
    <x v="6"/>
    <s v="שירותים מקומיים"/>
    <x v="28"/>
    <s v="נכסים ציבוריים"/>
    <x v="90"/>
    <s v="דרכים ומדרכות"/>
    <s v="7423"/>
    <e v="#N/A"/>
    <m/>
    <s v="1"/>
    <x v="9"/>
    <s v="11"/>
    <s v="השכר הקובע"/>
    <s v="110"/>
    <e v="#N/A"/>
  </r>
  <r>
    <n v="124"/>
    <s v="74234"/>
    <n v="1"/>
    <s v="174234.124"/>
    <s v="החזר הוצאות                     "/>
    <m/>
    <m/>
    <n v="50000"/>
    <n v="49000"/>
    <n v="41691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4"/>
    <e v="#N/A"/>
  </r>
  <r>
    <n v="126"/>
    <s v="74234"/>
    <n v="1"/>
    <s v="174234.126"/>
    <s v="הבראה                           "/>
    <m/>
    <m/>
    <n v="45000"/>
    <n v="44000"/>
    <n v="43127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6"/>
    <e v="#N/A"/>
  </r>
  <r>
    <n v="127"/>
    <s v="74234"/>
    <n v="1"/>
    <s v="174234.127"/>
    <s v="השתתפות באחזקת רכב-8            "/>
    <m/>
    <m/>
    <n v="178000"/>
    <n v="174000"/>
    <n v="153855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7"/>
    <e v="#N/A"/>
  </r>
  <r>
    <n v="130"/>
    <s v="74234"/>
    <n v="1"/>
    <s v="174234.130"/>
    <s v="תשלומים מיוחדים                 "/>
    <m/>
    <m/>
    <n v="249000"/>
    <n v="242000"/>
    <n v="218692"/>
    <m/>
    <x v="6"/>
    <s v="שירותים מקומיים"/>
    <x v="28"/>
    <s v="נכסים ציבוריים"/>
    <x v="90"/>
    <s v="דרכים ומדרכות"/>
    <s v="7423"/>
    <e v="#N/A"/>
    <m/>
    <s v="1"/>
    <x v="9"/>
    <s v="13"/>
    <s v="שעות נוספות"/>
    <s v="130"/>
    <e v="#N/A"/>
  </r>
  <r>
    <n v="181"/>
    <s v="74234"/>
    <n v="1"/>
    <s v="174234.181"/>
    <s v="מיסים וביטוח לאומי              "/>
    <m/>
    <m/>
    <n v="147000"/>
    <n v="146000"/>
    <n v="145163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1"/>
    <s v="הפרשות סוציאליות"/>
  </r>
  <r>
    <n v="182"/>
    <s v="74234"/>
    <n v="1"/>
    <s v="174234.182"/>
    <s v="קופות גמל והשתלמות              "/>
    <m/>
    <m/>
    <n v="138000"/>
    <n v="135000"/>
    <n v="124296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2"/>
    <s v="מיסיום ועלויות"/>
  </r>
  <r>
    <n v="434"/>
    <s v="74234"/>
    <n v="1"/>
    <s v="174234.434"/>
    <s v="תקוני מבנים  מתקנים ואינונטר    "/>
    <m/>
    <m/>
    <n v="1000"/>
    <n v="1000"/>
    <n v="644"/>
    <m/>
    <x v="6"/>
    <s v="שירותים מקומיים"/>
    <x v="28"/>
    <s v="נכסים ציבוריים"/>
    <x v="90"/>
    <s v="דרכים ומדרכות"/>
    <s v="7423"/>
    <e v="#N/A"/>
    <m/>
    <s v="4"/>
    <x v="15"/>
    <s v="43"/>
    <s v="חשמל, מים וחומרי ניקיון"/>
    <s v="434"/>
    <s v="שירותי ניקיון"/>
  </r>
  <r>
    <n v="531"/>
    <s v="74234"/>
    <n v="1"/>
    <s v="174234.531"/>
    <s v="אחזקת רכב                       "/>
    <m/>
    <m/>
    <n v="278000"/>
    <n v="278000"/>
    <n v="310002"/>
    <m/>
    <x v="6"/>
    <s v="שירותים מקומיים"/>
    <x v="28"/>
    <s v="נכסים ציבוריים"/>
    <x v="90"/>
    <s v="דרכים ומדרכות"/>
    <s v="7423"/>
    <e v="#N/A"/>
    <m/>
    <s v="5"/>
    <x v="11"/>
    <s v="53"/>
    <s v="הוצאות רכב מינהלי"/>
    <s v="531"/>
    <s v="דלק ושמנים"/>
  </r>
  <r>
    <n v="532"/>
    <s v="74234"/>
    <n v="1"/>
    <s v="174234.532"/>
    <s v="בטוח רכב                        "/>
    <m/>
    <m/>
    <n v="126000"/>
    <n v="121000"/>
    <n v="119548"/>
    <m/>
    <x v="6"/>
    <s v="שירותים מקומיים"/>
    <x v="28"/>
    <s v="נכסים ציבוריים"/>
    <x v="90"/>
    <s v="דרכים ומדרכות"/>
    <s v="7423"/>
    <e v="#N/A"/>
    <m/>
    <s v="5"/>
    <x v="11"/>
    <s v="53"/>
    <s v="הוצאות רכב מינהלי"/>
    <s v="532"/>
    <s v="תיקונים"/>
  </r>
  <r>
    <n v="533"/>
    <s v="74234"/>
    <n v="1"/>
    <s v="174234.533"/>
    <s v="שכירת רכב ורכב עירוני           "/>
    <m/>
    <m/>
    <n v="198000"/>
    <n v="138000"/>
    <n v="87920"/>
    <m/>
    <x v="6"/>
    <s v="שירותים מקומיים"/>
    <x v="28"/>
    <s v="נכסים ציבוריים"/>
    <x v="90"/>
    <s v="דרכים ומדרכות"/>
    <s v="7423"/>
    <e v="#N/A"/>
    <m/>
    <s v="5"/>
    <x v="11"/>
    <s v="53"/>
    <s v="הוצאות רכב מינהלי"/>
    <s v="533"/>
    <s v="רישוי וביטוח"/>
  </r>
  <r>
    <n v="534"/>
    <s v="74234"/>
    <n v="1"/>
    <s v="174234.534"/>
    <s v="דלק ושמן                        "/>
    <m/>
    <m/>
    <n v="178000"/>
    <n v="178000"/>
    <n v="199479"/>
    <m/>
    <x v="6"/>
    <s v="שירותים מקומיים"/>
    <x v="28"/>
    <s v="נכסים ציבוריים"/>
    <x v="90"/>
    <s v="דרכים ומדרכות"/>
    <s v="7423"/>
    <e v="#N/A"/>
    <m/>
    <s v="5"/>
    <x v="11"/>
    <s v="53"/>
    <s v="הוצאות רכב מינהלי"/>
    <s v="534"/>
    <e v="#N/A"/>
  </r>
  <r>
    <n v="760"/>
    <s v="74234"/>
    <n v="1"/>
    <s v="174234.760"/>
    <s v="בגדי  עבודה  לבתי המלאכה        "/>
    <m/>
    <m/>
    <n v="10000"/>
    <n v="10000"/>
    <n v="8958"/>
    <m/>
    <x v="6"/>
    <s v="שירותים מקומיים"/>
    <x v="28"/>
    <s v="נכסים ציבוריים"/>
    <x v="90"/>
    <s v="דרכים ומדרכות"/>
    <s v="7423"/>
    <e v="#N/A"/>
    <m/>
    <s v="7"/>
    <x v="13"/>
    <s v="76"/>
    <s v="קניית שירותים מרשויות ומוסדות"/>
    <s v="760"/>
    <e v="#N/A"/>
  </r>
  <r>
    <n v="110"/>
    <s v="74235"/>
    <n v="1"/>
    <s v="174235.110"/>
    <s v="משכורת כוללת                    "/>
    <m/>
    <m/>
    <n v="203000"/>
    <n v="204000"/>
    <n v="203451"/>
    <m/>
    <x v="6"/>
    <s v="שירותים מקומיים"/>
    <x v="28"/>
    <s v="נכסים ציבוריים"/>
    <x v="90"/>
    <s v="דרכים ומדרכות"/>
    <s v="7423"/>
    <e v="#N/A"/>
    <m/>
    <s v="1"/>
    <x v="9"/>
    <s v="11"/>
    <s v="השכר הקובע"/>
    <s v="110"/>
    <e v="#N/A"/>
  </r>
  <r>
    <n v="124"/>
    <s v="74235"/>
    <n v="1"/>
    <s v="174235.124"/>
    <s v="החזר הוצאות                     "/>
    <m/>
    <m/>
    <n v="13000"/>
    <n v="13000"/>
    <n v="14461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4"/>
    <e v="#N/A"/>
  </r>
  <r>
    <n v="126"/>
    <s v="74235"/>
    <n v="1"/>
    <s v="174235.126"/>
    <s v="הבראה                           "/>
    <m/>
    <m/>
    <n v="14000"/>
    <n v="14000"/>
    <n v="14945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6"/>
    <e v="#N/A"/>
  </r>
  <r>
    <n v="127"/>
    <s v="74235"/>
    <n v="1"/>
    <s v="174235.127"/>
    <s v="השתתפות באחזקת רכב-3            "/>
    <m/>
    <m/>
    <n v="53000"/>
    <n v="52000"/>
    <n v="50675"/>
    <m/>
    <x v="6"/>
    <s v="שירותים מקומיים"/>
    <x v="28"/>
    <s v="נכסים ציבוריים"/>
    <x v="90"/>
    <s v="דרכים ומדרכות"/>
    <s v="7423"/>
    <e v="#N/A"/>
    <m/>
    <s v="1"/>
    <x v="9"/>
    <s v="12"/>
    <s v="תוספות שאינן נכללות בשכר הקובע"/>
    <s v="127"/>
    <e v="#N/A"/>
  </r>
  <r>
    <n v="130"/>
    <s v="74235"/>
    <n v="1"/>
    <s v="174235.130"/>
    <s v="תשלומים מיוחדים                 "/>
    <m/>
    <m/>
    <n v="82000"/>
    <n v="81000"/>
    <n v="84123"/>
    <m/>
    <x v="6"/>
    <s v="שירותים מקומיים"/>
    <x v="28"/>
    <s v="נכסים ציבוריים"/>
    <x v="90"/>
    <s v="דרכים ומדרכות"/>
    <s v="7423"/>
    <e v="#N/A"/>
    <m/>
    <s v="1"/>
    <x v="9"/>
    <s v="13"/>
    <s v="שעות נוספות"/>
    <s v="130"/>
    <e v="#N/A"/>
  </r>
  <r>
    <n v="181"/>
    <s v="74235"/>
    <n v="1"/>
    <s v="174235.181"/>
    <s v="מיסים וביטוח לאומי              "/>
    <m/>
    <m/>
    <n v="47000"/>
    <n v="48000"/>
    <n v="51438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1"/>
    <s v="הפרשות סוציאליות"/>
  </r>
  <r>
    <n v="182"/>
    <s v="74235"/>
    <n v="1"/>
    <s v="174235.182"/>
    <s v="קופות גמל והשתלמות              "/>
    <m/>
    <m/>
    <n v="58000"/>
    <n v="57000"/>
    <n v="56880"/>
    <m/>
    <x v="6"/>
    <s v="שירותים מקומיים"/>
    <x v="28"/>
    <s v="נכסים ציבוריים"/>
    <x v="90"/>
    <s v="דרכים ומדרכות"/>
    <s v="7423"/>
    <e v="#N/A"/>
    <m/>
    <s v="1"/>
    <x v="9"/>
    <s v="18"/>
    <s v="נלוות לשכר"/>
    <s v="182"/>
    <s v="מיסיום ועלויות"/>
  </r>
  <r>
    <n v="720"/>
    <s v="74235"/>
    <n v="1"/>
    <s v="174235.720"/>
    <s v="חמרים                           "/>
    <m/>
    <m/>
    <n v="50000"/>
    <n v="40000"/>
    <n v="39640"/>
    <m/>
    <x v="6"/>
    <s v="שירותים מקומיים"/>
    <x v="28"/>
    <s v="נכסים ציבוריים"/>
    <x v="90"/>
    <s v="דרכים ומדרכות"/>
    <s v="7423"/>
    <e v="#N/A"/>
    <m/>
    <s v="7"/>
    <x v="13"/>
    <s v="72"/>
    <s v="חומרים"/>
    <s v="720"/>
    <e v="#N/A"/>
  </r>
  <r>
    <n v="751"/>
    <s v="74235"/>
    <n v="1"/>
    <s v="174235.751"/>
    <s v="עבודות בקבלנות                  "/>
    <m/>
    <m/>
    <n v="10000"/>
    <n v="10000"/>
    <n v="5279"/>
    <m/>
    <x v="6"/>
    <s v="שירותים מקומיים"/>
    <x v="28"/>
    <s v="נכסים ציבוריים"/>
    <x v="90"/>
    <s v="דרכים ומדרכות"/>
    <s v="7423"/>
    <e v="#N/A"/>
    <m/>
    <s v="7"/>
    <x v="13"/>
    <s v="75"/>
    <s v="עבודות קבלניות"/>
    <s v="751"/>
    <e v="#N/A"/>
  </r>
  <r>
    <n v="999"/>
    <s v="74235"/>
    <n v="1"/>
    <s v="174235.999"/>
    <s v="הוצאות מוחזרות מהמחלקות         "/>
    <m/>
    <m/>
    <n v="-200000"/>
    <n v="-200000"/>
    <n v="-232095"/>
    <m/>
    <x v="6"/>
    <s v="שירותים מקומיים"/>
    <x v="28"/>
    <s v="נכסים ציבוריים"/>
    <x v="90"/>
    <s v="דרכים ומדרכות"/>
    <s v="7423"/>
    <e v="#N/A"/>
    <m/>
    <s v="9"/>
    <x v="17"/>
    <s v="99"/>
    <e v="#N/A"/>
    <s v="999"/>
    <e v="#N/A"/>
  </r>
  <r>
    <n v="751"/>
    <s v="74240"/>
    <n v="1"/>
    <s v="174240.751"/>
    <s v="תחזוקת שוק התקווה               "/>
    <m/>
    <m/>
    <n v="1130000"/>
    <n v="1130000"/>
    <n v="1062000"/>
    <m/>
    <x v="6"/>
    <s v="שירותים מקומיים"/>
    <x v="28"/>
    <s v="נכסים ציבוריים"/>
    <x v="90"/>
    <s v="דרכים ומדרכות"/>
    <s v="7424"/>
    <e v="#N/A"/>
    <m/>
    <s v="7"/>
    <x v="13"/>
    <s v="75"/>
    <s v="עבודות קבלניות"/>
    <s v="751"/>
    <e v="#N/A"/>
  </r>
  <r>
    <n v="752"/>
    <s v="74240"/>
    <n v="1"/>
    <s v="174240.752"/>
    <s v="תחזוקת שוק הכרמל                "/>
    <m/>
    <m/>
    <n v="560000"/>
    <n v="560000"/>
    <n v="559999"/>
    <m/>
    <x v="6"/>
    <s v="שירותים מקומיים"/>
    <x v="28"/>
    <s v="נכסים ציבוריים"/>
    <x v="90"/>
    <s v="דרכים ומדרכות"/>
    <s v="7424"/>
    <e v="#N/A"/>
    <m/>
    <s v="7"/>
    <x v="13"/>
    <s v="75"/>
    <s v="עבודות קבלניות"/>
    <s v="752"/>
    <e v="#N/A"/>
  </r>
  <r>
    <n v="110"/>
    <s v="74411"/>
    <n v="1"/>
    <s v="174411.110"/>
    <s v="משכורת כוללת                    "/>
    <m/>
    <m/>
    <n v="1213000"/>
    <n v="1244000"/>
    <n v="1052431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1"/>
    <s v="השכר הקובע"/>
    <s v="110"/>
    <e v="#N/A"/>
  </r>
  <r>
    <n v="124"/>
    <s v="74411"/>
    <n v="1"/>
    <s v="174411.124"/>
    <s v="החזר הוצאות                     "/>
    <m/>
    <m/>
    <n v="52000"/>
    <n v="57000"/>
    <n v="47072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2"/>
    <s v="תוספות שאינן נכללות בשכר הקובע"/>
    <s v="124"/>
    <e v="#N/A"/>
  </r>
  <r>
    <n v="126"/>
    <s v="74411"/>
    <n v="1"/>
    <s v="174411.126"/>
    <s v="הבראה                           "/>
    <m/>
    <m/>
    <n v="56000"/>
    <n v="60000"/>
    <n v="46970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2"/>
    <s v="תוספות שאינן נכללות בשכר הקובע"/>
    <s v="126"/>
    <e v="#N/A"/>
  </r>
  <r>
    <n v="127"/>
    <s v="74411"/>
    <n v="1"/>
    <s v="174411.127"/>
    <s v="השתתפות באחזקת רכב-8            "/>
    <m/>
    <m/>
    <n v="214000"/>
    <n v="220000"/>
    <n v="133878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2"/>
    <s v="תוספות שאינן נכללות בשכר הקובע"/>
    <s v="127"/>
    <e v="#N/A"/>
  </r>
  <r>
    <n v="130"/>
    <s v="74411"/>
    <n v="1"/>
    <s v="174411.130"/>
    <s v="תשלומים מיוחדים                 "/>
    <m/>
    <m/>
    <n v="205000"/>
    <n v="215000"/>
    <n v="156029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3"/>
    <s v="שעות נוספות"/>
    <s v="130"/>
    <e v="#N/A"/>
  </r>
  <r>
    <n v="181"/>
    <s v="74411"/>
    <n v="1"/>
    <s v="174411.181"/>
    <s v="מיסים וביטוח לאומי              "/>
    <m/>
    <m/>
    <n v="307000"/>
    <n v="313000"/>
    <n v="191034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8"/>
    <s v="נלוות לשכר"/>
    <s v="181"/>
    <s v="הפרשות סוציאליות"/>
  </r>
  <r>
    <n v="182"/>
    <s v="74411"/>
    <n v="1"/>
    <s v="174411.182"/>
    <s v="קופות גמל והשתלמות              "/>
    <m/>
    <m/>
    <n v="208000"/>
    <n v="225000"/>
    <n v="164555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1"/>
    <x v="9"/>
    <s v="18"/>
    <s v="נלוות לשכר"/>
    <s v="182"/>
    <s v="מיסיום ועלויות"/>
  </r>
  <r>
    <n v="310"/>
    <s v="74411"/>
    <n v="1"/>
    <s v="174411.310"/>
    <s v="שעות נוספות רשומות              "/>
    <m/>
    <m/>
    <n v="578000"/>
    <n v="533000"/>
    <n v="413683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3"/>
    <x v="14"/>
    <s v="31"/>
    <s v="פנסיה"/>
    <s v="310"/>
    <e v="#N/A"/>
  </r>
  <r>
    <n v="340"/>
    <s v="74411"/>
    <n v="1"/>
    <s v="174411.340"/>
    <s v="שעות נוספות מיוחדות             "/>
    <m/>
    <m/>
    <n v="57000"/>
    <n v="56000"/>
    <n v="48594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3"/>
    <x v="14"/>
    <s v="34"/>
    <e v="#N/A"/>
    <s v="340"/>
    <e v="#N/A"/>
  </r>
  <r>
    <n v="433"/>
    <s v="74411"/>
    <n v="1"/>
    <s v="174411.433"/>
    <s v="ביטוח                           "/>
    <m/>
    <m/>
    <n v="517000"/>
    <n v="510000"/>
    <n v="439000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4"/>
    <x v="15"/>
    <s v="43"/>
    <s v="חשמל, מים וחומרי ניקיון"/>
    <s v="433"/>
    <s v="חומרי ניקיון"/>
  </r>
  <r>
    <n v="462"/>
    <s v="74411"/>
    <n v="1"/>
    <s v="174411.462"/>
    <s v="ספרים ועתונים                   "/>
    <m/>
    <m/>
    <n v="2000"/>
    <n v="2000"/>
    <n v="1732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4"/>
    <x v="15"/>
    <s v="46"/>
    <e v="#N/A"/>
    <s v="462"/>
    <e v="#N/A"/>
  </r>
  <r>
    <n v="531"/>
    <s v="74411"/>
    <n v="1"/>
    <s v="174411.531"/>
    <s v="אחזקת רכב                       "/>
    <m/>
    <m/>
    <n v="13000"/>
    <n v="13000"/>
    <n v="15371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5"/>
    <x v="11"/>
    <s v="53"/>
    <s v="הוצאות רכב מינהלי"/>
    <s v="531"/>
    <s v="דלק ושמנים"/>
  </r>
  <r>
    <n v="532"/>
    <s v="74411"/>
    <n v="1"/>
    <s v="174411.532"/>
    <s v="בטוח רכב                        "/>
    <m/>
    <m/>
    <n v="25000"/>
    <n v="19000"/>
    <n v="24700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5"/>
    <x v="11"/>
    <s v="53"/>
    <s v="הוצאות רכב מינהלי"/>
    <s v="532"/>
    <s v="תיקונים"/>
  </r>
  <r>
    <n v="533"/>
    <s v="74411"/>
    <n v="1"/>
    <s v="174411.533"/>
    <s v="שכירת רכב ורכב עירוני           "/>
    <m/>
    <m/>
    <n v="229000"/>
    <n v="186000"/>
    <n v="146936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5"/>
    <x v="11"/>
    <s v="53"/>
    <s v="הוצאות רכב מינהלי"/>
    <s v="533"/>
    <s v="רישוי וביטוח"/>
  </r>
  <r>
    <n v="534"/>
    <s v="74411"/>
    <n v="1"/>
    <s v="174411.534"/>
    <s v="דלק ושמן                        "/>
    <m/>
    <m/>
    <n v="65000"/>
    <n v="65000"/>
    <n v="56148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5"/>
    <x v="11"/>
    <s v="53"/>
    <s v="הוצאות רכב מינהלי"/>
    <s v="534"/>
    <e v="#N/A"/>
  </r>
  <r>
    <n v="691"/>
    <s v="74411"/>
    <n v="1"/>
    <s v="174411.691"/>
    <s v="מערכות מידע ומחשוב              "/>
    <m/>
    <m/>
    <n v="1970000"/>
    <n v="2290000"/>
    <n v="2087570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6"/>
    <x v="12"/>
    <s v="69"/>
    <s v="שונות"/>
    <s v="691"/>
    <s v="תשלום ע&quot;ח קרן"/>
  </r>
  <r>
    <n v="693"/>
    <s v="74411"/>
    <n v="1"/>
    <s v="174411.693"/>
    <s v="מיחשוב יחידתי                   "/>
    <m/>
    <m/>
    <n v="8000"/>
    <n v="8000"/>
    <n v="6432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6"/>
    <x v="12"/>
    <s v="69"/>
    <s v="שונות"/>
    <s v="693"/>
    <s v="תשלום ע&quot;ח הצמדת ערך"/>
  </r>
  <r>
    <n v="932"/>
    <s v="74411"/>
    <n v="1"/>
    <s v="174411.932"/>
    <s v="ציוד וריהוט משרדי               "/>
    <m/>
    <m/>
    <n v="10000"/>
    <n v="10000"/>
    <n v="3758"/>
    <m/>
    <x v="6"/>
    <s v="שירותים מקומיים"/>
    <x v="28"/>
    <s v="נכסים ציבוריים"/>
    <x v="91"/>
    <s v="בטיחות בדרכים"/>
    <s v="7441"/>
    <s v="תחזוקת רמזורים ואיי תנועה"/>
    <m/>
    <s v="9"/>
    <x v="17"/>
    <s v="93"/>
    <s v="רכישת ציוד יסודי"/>
    <s v="932"/>
    <e v="#N/A"/>
  </r>
  <r>
    <n v="110"/>
    <s v="74420"/>
    <n v="1"/>
    <s v="174420.110"/>
    <s v="משכורת כוללת                    "/>
    <m/>
    <m/>
    <n v="1255000"/>
    <n v="1098000"/>
    <n v="1047350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1"/>
    <s v="השכר הקובע"/>
    <s v="110"/>
    <e v="#N/A"/>
  </r>
  <r>
    <n v="124"/>
    <s v="74420"/>
    <n v="1"/>
    <s v="174420.124"/>
    <s v="החזר הוצאות                     "/>
    <m/>
    <m/>
    <n v="86000"/>
    <n v="81000"/>
    <n v="71052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2"/>
    <s v="תוספות שאינן נכללות בשכר הקובע"/>
    <s v="124"/>
    <e v="#N/A"/>
  </r>
  <r>
    <n v="126"/>
    <s v="74420"/>
    <n v="1"/>
    <s v="174420.126"/>
    <s v="הבראה                           "/>
    <m/>
    <m/>
    <n v="83000"/>
    <n v="79000"/>
    <n v="71523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2"/>
    <s v="תוספות שאינן נכללות בשכר הקובע"/>
    <s v="126"/>
    <e v="#N/A"/>
  </r>
  <r>
    <n v="127"/>
    <s v="74420"/>
    <n v="1"/>
    <s v="174420.127"/>
    <s v="השתתפות באחזקת רכב-10           "/>
    <m/>
    <m/>
    <n v="291000"/>
    <n v="205000"/>
    <n v="207851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2"/>
    <s v="תוספות שאינן נכללות בשכר הקובע"/>
    <s v="127"/>
    <e v="#N/A"/>
  </r>
  <r>
    <n v="130"/>
    <s v="74420"/>
    <n v="1"/>
    <s v="174420.130"/>
    <s v="תשלומים מיוחדים                 "/>
    <m/>
    <m/>
    <n v="304000"/>
    <n v="247000"/>
    <n v="240131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3"/>
    <s v="שעות נוספות"/>
    <s v="130"/>
    <e v="#N/A"/>
  </r>
  <r>
    <n v="170"/>
    <s v="74420"/>
    <n v="1"/>
    <s v="174420.170"/>
    <s v="סעיף שאינו חוזר                 "/>
    <m/>
    <m/>
    <n v="0"/>
    <n v="126000"/>
    <n v="126618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7"/>
    <e v="#N/A"/>
    <s v="170"/>
    <e v="#N/A"/>
  </r>
  <r>
    <n v="181"/>
    <s v="74420"/>
    <n v="1"/>
    <s v="174420.181"/>
    <s v="מיסים וביטוח לאומי              "/>
    <m/>
    <m/>
    <n v="264000"/>
    <n v="240000"/>
    <n v="231862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8"/>
    <s v="נלוות לשכר"/>
    <s v="181"/>
    <s v="הפרשות סוציאליות"/>
  </r>
  <r>
    <n v="182"/>
    <s v="74420"/>
    <n v="1"/>
    <s v="174420.182"/>
    <s v="קופות גמל והשתלמות              "/>
    <m/>
    <m/>
    <n v="257000"/>
    <n v="225000"/>
    <n v="184109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1"/>
    <x v="9"/>
    <s v="18"/>
    <s v="נלוות לשכר"/>
    <s v="182"/>
    <s v="מיסיום ועלויות"/>
  </r>
  <r>
    <n v="431"/>
    <s v="74420"/>
    <n v="1"/>
    <s v="174420.431"/>
    <s v="מים                             "/>
    <m/>
    <m/>
    <n v="5000"/>
    <n v="6000"/>
    <n v="5648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4"/>
    <x v="15"/>
    <s v="43"/>
    <s v="חשמל, מים וחומרי ניקיון"/>
    <s v="431"/>
    <s v="חשמל"/>
  </r>
  <r>
    <n v="781"/>
    <s v="74420"/>
    <n v="1"/>
    <s v="174420.781"/>
    <s v="הפעלת מרכזי הדרכה               "/>
    <m/>
    <m/>
    <n v="410000"/>
    <n v="410000"/>
    <n v="353639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7"/>
    <x v="13"/>
    <s v="78"/>
    <s v="הוצאות שונות"/>
    <s v="781"/>
    <e v="#N/A"/>
  </r>
  <r>
    <n v="782"/>
    <s v="74420"/>
    <n v="1"/>
    <s v="174420.782"/>
    <s v="הפקת חוברות וסקרים              "/>
    <m/>
    <m/>
    <n v="5000"/>
    <n v="5000"/>
    <n v="7173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7"/>
    <x v="13"/>
    <s v="78"/>
    <s v="הוצאות שונות"/>
    <s v="782"/>
    <e v="#N/A"/>
  </r>
  <r>
    <n v="783"/>
    <s v="74420"/>
    <n v="1"/>
    <s v="174420.783"/>
    <s v="מטה בטיחות                      "/>
    <m/>
    <m/>
    <n v="960000"/>
    <n v="1360000"/>
    <n v="1807116"/>
    <m/>
    <x v="6"/>
    <s v="שירותים מקומיים"/>
    <x v="28"/>
    <s v="נכסים ציבוריים"/>
    <x v="91"/>
    <s v="בטיחות בדרכים"/>
    <s v="7442"/>
    <s v="תחזוקת מעברים תת קרקעיים וגשרים"/>
    <m/>
    <s v="7"/>
    <x v="13"/>
    <s v="78"/>
    <s v="הוצאות שונות"/>
    <s v="783"/>
    <e v="#N/A"/>
  </r>
  <r>
    <n v="110"/>
    <s v="74440"/>
    <n v="1"/>
    <s v="174440.110"/>
    <s v="משכורת כוללת                    "/>
    <m/>
    <m/>
    <n v="1848000"/>
    <n v="1864000"/>
    <n v="1427312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1"/>
    <s v="השכר הקובע"/>
    <s v="110"/>
    <e v="#N/A"/>
  </r>
  <r>
    <n v="124"/>
    <s v="74440"/>
    <n v="1"/>
    <s v="174440.124"/>
    <s v="החזר הוצאות                     "/>
    <m/>
    <m/>
    <n v="111000"/>
    <n v="111000"/>
    <n v="93476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2"/>
    <s v="תוספות שאינן נכללות בשכר הקובע"/>
    <s v="124"/>
    <e v="#N/A"/>
  </r>
  <r>
    <n v="126"/>
    <s v="74440"/>
    <n v="1"/>
    <s v="174440.126"/>
    <s v="הבראה                           "/>
    <m/>
    <m/>
    <n v="100000"/>
    <n v="101000"/>
    <n v="77650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2"/>
    <s v="תוספות שאינן נכללות בשכר הקובע"/>
    <s v="126"/>
    <e v="#N/A"/>
  </r>
  <r>
    <n v="127"/>
    <s v="74440"/>
    <n v="1"/>
    <s v="174440.127"/>
    <s v="השתתפות באחזקת רכב-16           "/>
    <m/>
    <m/>
    <n v="564000"/>
    <n v="563000"/>
    <n v="373807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2"/>
    <s v="תוספות שאינן נכללות בשכר הקובע"/>
    <s v="127"/>
    <e v="#N/A"/>
  </r>
  <r>
    <n v="130"/>
    <s v="74440"/>
    <n v="1"/>
    <s v="174440.130"/>
    <s v="תשלומים מיוחדים                 "/>
    <m/>
    <m/>
    <n v="425000"/>
    <n v="423000"/>
    <n v="242385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3"/>
    <s v="שעות נוספות"/>
    <s v="130"/>
    <e v="#N/A"/>
  </r>
  <r>
    <n v="181"/>
    <s v="74440"/>
    <n v="1"/>
    <s v="174440.181"/>
    <s v="מיסים וביטוח לאומי              "/>
    <m/>
    <m/>
    <n v="399000"/>
    <n v="401000"/>
    <n v="297001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8"/>
    <s v="נלוות לשכר"/>
    <s v="181"/>
    <s v="הפרשות סוציאליות"/>
  </r>
  <r>
    <n v="182"/>
    <s v="74440"/>
    <n v="1"/>
    <s v="174440.182"/>
    <s v="קופות גמל והשתלמות              "/>
    <m/>
    <m/>
    <n v="323000"/>
    <n v="324000"/>
    <n v="261060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1"/>
    <x v="9"/>
    <s v="18"/>
    <s v="נלוות לשכר"/>
    <s v="182"/>
    <s v="מיסיום ועלויות"/>
  </r>
  <r>
    <n v="461"/>
    <s v="74440"/>
    <n v="1"/>
    <s v="174440.461"/>
    <s v="צורכי משרד                      "/>
    <m/>
    <m/>
    <n v="38000"/>
    <n v="38000"/>
    <n v="37877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4"/>
    <x v="15"/>
    <s v="46"/>
    <e v="#N/A"/>
    <s v="461"/>
    <e v="#N/A"/>
  </r>
  <r>
    <n v="751"/>
    <s v="74440"/>
    <n v="1"/>
    <s v="174440.751"/>
    <s v="ייעוץ לנושאי תחבורה             "/>
    <m/>
    <m/>
    <n v="242000"/>
    <n v="242000"/>
    <n v="241999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7"/>
    <x v="13"/>
    <s v="75"/>
    <s v="עבודות קבלניות"/>
    <s v="751"/>
    <e v="#N/A"/>
  </r>
  <r>
    <n v="752"/>
    <s v="74440"/>
    <n v="1"/>
    <s v="174440.752"/>
    <s v="תיגבור כ א                      "/>
    <m/>
    <m/>
    <n v="420000"/>
    <n v="200000"/>
    <n v="477127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7"/>
    <x v="13"/>
    <s v="75"/>
    <s v="עבודות קבלניות"/>
    <s v="752"/>
    <e v="#N/A"/>
  </r>
  <r>
    <n v="754"/>
    <s v="74440"/>
    <n v="1"/>
    <s v="174440.754"/>
    <s v="רשיונות למוניות                 "/>
    <m/>
    <m/>
    <n v="9000"/>
    <n v="9000"/>
    <n v="6171"/>
    <m/>
    <x v="6"/>
    <s v="שירותים מקומיים"/>
    <x v="28"/>
    <s v="נכסים ציבוריים"/>
    <x v="91"/>
    <s v="בטיחות בדרכים"/>
    <s v="7444"/>
    <s v="שלטים תמרורים וסימוני כבישים"/>
    <m/>
    <s v="7"/>
    <x v="13"/>
    <s v="75"/>
    <s v="עבודות קבלניות"/>
    <s v="754"/>
    <e v="#N/A"/>
  </r>
  <r>
    <n v="110"/>
    <s v="74450"/>
    <n v="1"/>
    <s v="174450.110"/>
    <s v="משכורת כוללת                    "/>
    <m/>
    <m/>
    <n v="1550000"/>
    <n v="1221000"/>
    <n v="870924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1"/>
    <s v="השכר הקובע"/>
    <s v="110"/>
    <e v="#N/A"/>
  </r>
  <r>
    <n v="124"/>
    <s v="74450"/>
    <n v="1"/>
    <s v="174450.124"/>
    <s v="החזר הוצאות                     "/>
    <m/>
    <m/>
    <n v="94000"/>
    <n v="86000"/>
    <n v="63685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2"/>
    <s v="תוספות שאינן נכללות בשכר הקובע"/>
    <s v="124"/>
    <e v="#N/A"/>
  </r>
  <r>
    <n v="126"/>
    <s v="74450"/>
    <n v="1"/>
    <s v="174450.126"/>
    <s v="הבראה                           "/>
    <m/>
    <m/>
    <n v="83000"/>
    <n v="75000"/>
    <n v="55537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2"/>
    <s v="תוספות שאינן נכללות בשכר הקובע"/>
    <s v="126"/>
    <e v="#N/A"/>
  </r>
  <r>
    <n v="127"/>
    <s v="74450"/>
    <n v="1"/>
    <s v="174450.127"/>
    <s v="השתתפות באחזקת רכב-9            "/>
    <m/>
    <m/>
    <n v="292000"/>
    <n v="200000"/>
    <n v="167741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2"/>
    <s v="תוספות שאינן נכללות בשכר הקובע"/>
    <s v="127"/>
    <e v="#N/A"/>
  </r>
  <r>
    <n v="130"/>
    <s v="74450"/>
    <n v="1"/>
    <s v="174450.130"/>
    <s v="תשלומים מיוחדים                 "/>
    <m/>
    <m/>
    <n v="271000"/>
    <n v="237000"/>
    <n v="175442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3"/>
    <s v="שעות נוספות"/>
    <s v="130"/>
    <e v="#N/A"/>
  </r>
  <r>
    <n v="181"/>
    <s v="74450"/>
    <n v="1"/>
    <s v="174450.181"/>
    <s v="מיסים וביטוח לאומי              "/>
    <m/>
    <m/>
    <n v="299000"/>
    <n v="238000"/>
    <n v="182395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8"/>
    <s v="נלוות לשכר"/>
    <s v="181"/>
    <s v="הפרשות סוציאליות"/>
  </r>
  <r>
    <n v="182"/>
    <s v="74450"/>
    <n v="1"/>
    <s v="174450.182"/>
    <s v="קופות גמל והשתלמות              "/>
    <m/>
    <m/>
    <n v="341000"/>
    <n v="260000"/>
    <n v="195466"/>
    <m/>
    <x v="6"/>
    <s v="שירותים מקומיים"/>
    <x v="28"/>
    <s v="נכסים ציבוריים"/>
    <x v="91"/>
    <s v="בטיחות בדרכים"/>
    <s v="7445"/>
    <s v="מטה בטיחות עירוני"/>
    <m/>
    <s v="1"/>
    <x v="9"/>
    <s v="18"/>
    <s v="נלוות לשכר"/>
    <s v="182"/>
    <s v="מיסיום ועלויות"/>
  </r>
  <r>
    <n v="434"/>
    <s v="74450"/>
    <n v="1"/>
    <s v="174450.434"/>
    <s v="תקוני מבנים  מתקנים ואינונטר    "/>
    <m/>
    <m/>
    <n v="2000"/>
    <n v="2000"/>
    <n v="397"/>
    <m/>
    <x v="6"/>
    <s v="שירותים מקומיים"/>
    <x v="28"/>
    <s v="נכסים ציבוריים"/>
    <x v="91"/>
    <s v="בטיחות בדרכים"/>
    <s v="7445"/>
    <s v="מטה בטיחות עירוני"/>
    <m/>
    <s v="4"/>
    <x v="15"/>
    <s v="43"/>
    <s v="חשמל, מים וחומרי ניקיון"/>
    <s v="434"/>
    <s v="שירותי ניקיון"/>
  </r>
  <r>
    <n v="610"/>
    <s v="74450"/>
    <n v="1"/>
    <s v="174450.610"/>
    <s v="כיבודים                         "/>
    <m/>
    <m/>
    <n v="2000"/>
    <n v="2000"/>
    <n v="1999"/>
    <m/>
    <x v="6"/>
    <s v="שירותים מקומיים"/>
    <x v="28"/>
    <s v="נכסים ציבוריים"/>
    <x v="91"/>
    <s v="בטיחות בדרכים"/>
    <s v="7445"/>
    <s v="מטה בטיחות עירוני"/>
    <m/>
    <s v="6"/>
    <x v="12"/>
    <s v="61"/>
    <s v="עמלות"/>
    <s v="610"/>
    <e v="#N/A"/>
  </r>
  <r>
    <n v="670"/>
    <s v="74450"/>
    <n v="1"/>
    <s v="174450.670"/>
    <s v="סעיף שאינו חוזר                 "/>
    <m/>
    <m/>
    <n v="0"/>
    <n v="140000"/>
    <n v="98816"/>
    <m/>
    <x v="6"/>
    <s v="שירותים מקומיים"/>
    <x v="28"/>
    <s v="נכסים ציבוריים"/>
    <x v="91"/>
    <s v="בטיחות בדרכים"/>
    <s v="7445"/>
    <s v="מטה בטיחות עירוני"/>
    <m/>
    <s v="6"/>
    <x v="12"/>
    <s v="67"/>
    <e v="#N/A"/>
    <s v="670"/>
    <e v="#N/A"/>
  </r>
  <r>
    <n v="751"/>
    <s v="74450"/>
    <n v="1"/>
    <s v="174450.751"/>
    <s v="סימון כבישים ואבני שפה          "/>
    <m/>
    <m/>
    <n v="4050000"/>
    <n v="2470000"/>
    <n v="4059482"/>
    <m/>
    <x v="6"/>
    <s v="שירותים מקומיים"/>
    <x v="28"/>
    <s v="נכסים ציבוריים"/>
    <x v="91"/>
    <s v="בטיחות בדרכים"/>
    <s v="7445"/>
    <s v="מטה בטיחות עירוני"/>
    <m/>
    <s v="7"/>
    <x v="13"/>
    <s v="75"/>
    <s v="עבודות קבלניות"/>
    <s v="751"/>
    <e v="#N/A"/>
  </r>
  <r>
    <n v="752"/>
    <s v="74450"/>
    <n v="1"/>
    <s v="174450.752"/>
    <s v="צביעת תמרורים גדרות בטחון ואביזר"/>
    <m/>
    <m/>
    <n v="10000"/>
    <n v="10000"/>
    <n v="0"/>
    <m/>
    <x v="6"/>
    <s v="שירותים מקומיים"/>
    <x v="28"/>
    <s v="נכסים ציבוריים"/>
    <x v="91"/>
    <s v="בטיחות בדרכים"/>
    <s v="7445"/>
    <s v="מטה בטיחות עירוני"/>
    <m/>
    <s v="7"/>
    <x v="13"/>
    <s v="75"/>
    <s v="עבודות קבלניות"/>
    <s v="752"/>
    <e v="#N/A"/>
  </r>
  <r>
    <n v="754"/>
    <s v="74450"/>
    <n v="1"/>
    <s v="174450.754"/>
    <s v="תחזוקת אביזרי תנועה             "/>
    <m/>
    <m/>
    <n v="1085000"/>
    <n v="1085000"/>
    <n v="1584999"/>
    <m/>
    <x v="6"/>
    <s v="שירותים מקומיים"/>
    <x v="28"/>
    <s v="נכסים ציבוריים"/>
    <x v="91"/>
    <s v="בטיחות בדרכים"/>
    <s v="7445"/>
    <s v="מטה בטיחות עירוני"/>
    <m/>
    <s v="7"/>
    <x v="13"/>
    <s v="75"/>
    <s v="עבודות קבלניות"/>
    <s v="754"/>
    <e v="#N/A"/>
  </r>
  <r>
    <n v="756"/>
    <s v="74450"/>
    <n v="1"/>
    <s v="174450.756"/>
    <s v="רכישת תמרורים                   "/>
    <m/>
    <m/>
    <n v="500000"/>
    <n v="500000"/>
    <n v="0"/>
    <m/>
    <x v="6"/>
    <s v="שירותים מקומיים"/>
    <x v="28"/>
    <s v="נכסים ציבוריים"/>
    <x v="91"/>
    <s v="בטיחות בדרכים"/>
    <s v="7445"/>
    <s v="מטה בטיחות עירוני"/>
    <m/>
    <s v="7"/>
    <x v="13"/>
    <s v="75"/>
    <s v="עבודות קבלניות"/>
    <s v="756"/>
    <e v="#N/A"/>
  </r>
  <r>
    <n v="781"/>
    <s v="74450"/>
    <n v="1"/>
    <s v="174450.781"/>
    <s v="פיקוח על סימון כבישים ואבני-שפה "/>
    <m/>
    <m/>
    <n v="130000"/>
    <n v="150000"/>
    <n v="334999"/>
    <m/>
    <x v="6"/>
    <s v="שירותים מקומיים"/>
    <x v="28"/>
    <s v="נכסים ציבוריים"/>
    <x v="91"/>
    <s v="בטיחות בדרכים"/>
    <s v="7445"/>
    <s v="מטה בטיחות עירוני"/>
    <m/>
    <s v="7"/>
    <x v="13"/>
    <s v="78"/>
    <s v="הוצאות שונות"/>
    <s v="781"/>
    <e v="#N/A"/>
  </r>
  <r>
    <n v="110"/>
    <s v="74460"/>
    <n v="1"/>
    <s v="174460.110"/>
    <s v="משכורת כוללת                    "/>
    <m/>
    <m/>
    <n v="1984000"/>
    <n v="1873000"/>
    <n v="1692039"/>
    <m/>
    <x v="6"/>
    <s v="שירותים מקומיים"/>
    <x v="28"/>
    <s v="נכסים ציבוריים"/>
    <x v="91"/>
    <s v="בטיחות בדרכים"/>
    <s v="7446"/>
    <e v="#N/A"/>
    <m/>
    <s v="1"/>
    <x v="9"/>
    <s v="11"/>
    <s v="השכר הקובע"/>
    <s v="110"/>
    <e v="#N/A"/>
  </r>
  <r>
    <n v="124"/>
    <s v="74460"/>
    <n v="1"/>
    <s v="174460.124"/>
    <s v="החזר הוצאות                     "/>
    <m/>
    <m/>
    <n v="139000"/>
    <n v="134000"/>
    <n v="122275"/>
    <m/>
    <x v="6"/>
    <s v="שירותים מקומיים"/>
    <x v="28"/>
    <s v="נכסים ציבוריים"/>
    <x v="91"/>
    <s v="בטיחות בדרכים"/>
    <s v="7446"/>
    <e v="#N/A"/>
    <m/>
    <s v="1"/>
    <x v="9"/>
    <s v="12"/>
    <s v="תוספות שאינן נכללות בשכר הקובע"/>
    <s v="124"/>
    <e v="#N/A"/>
  </r>
  <r>
    <n v="126"/>
    <s v="74460"/>
    <n v="1"/>
    <s v="174460.126"/>
    <s v="הבראה                           "/>
    <m/>
    <m/>
    <n v="127000"/>
    <n v="122000"/>
    <n v="95956"/>
    <m/>
    <x v="6"/>
    <s v="שירותים מקומיים"/>
    <x v="28"/>
    <s v="נכסים ציבוריים"/>
    <x v="91"/>
    <s v="בטיחות בדרכים"/>
    <s v="7446"/>
    <e v="#N/A"/>
    <m/>
    <s v="1"/>
    <x v="9"/>
    <s v="12"/>
    <s v="תוספות שאינן נכללות בשכר הקובע"/>
    <s v="126"/>
    <e v="#N/A"/>
  </r>
  <r>
    <n v="127"/>
    <s v="74460"/>
    <n v="1"/>
    <s v="174460.127"/>
    <s v="השתתפות באחזקת רכב-13           "/>
    <m/>
    <m/>
    <n v="407000"/>
    <n v="376000"/>
    <n v="337775"/>
    <m/>
    <x v="6"/>
    <s v="שירותים מקומיים"/>
    <x v="28"/>
    <s v="נכסים ציבוריים"/>
    <x v="91"/>
    <s v="בטיחות בדרכים"/>
    <s v="7446"/>
    <e v="#N/A"/>
    <m/>
    <s v="1"/>
    <x v="9"/>
    <s v="12"/>
    <s v="תוספות שאינן נכללות בשכר הקובע"/>
    <s v="127"/>
    <e v="#N/A"/>
  </r>
  <r>
    <n v="130"/>
    <s v="74460"/>
    <n v="1"/>
    <s v="174460.130"/>
    <s v="תשלומים מיוחדים                 "/>
    <m/>
    <m/>
    <n v="526000"/>
    <n v="524000"/>
    <n v="479704"/>
    <m/>
    <x v="6"/>
    <s v="שירותים מקומיים"/>
    <x v="28"/>
    <s v="נכסים ציבוריים"/>
    <x v="91"/>
    <s v="בטיחות בדרכים"/>
    <s v="7446"/>
    <e v="#N/A"/>
    <m/>
    <s v="1"/>
    <x v="9"/>
    <s v="13"/>
    <s v="שעות נוספות"/>
    <s v="130"/>
    <e v="#N/A"/>
  </r>
  <r>
    <n v="181"/>
    <s v="74460"/>
    <n v="1"/>
    <s v="174460.181"/>
    <s v="מיסים וביטוח לאומי              "/>
    <m/>
    <m/>
    <n v="416000"/>
    <n v="396000"/>
    <n v="393256"/>
    <m/>
    <x v="6"/>
    <s v="שירותים מקומיים"/>
    <x v="28"/>
    <s v="נכסים ציבוריים"/>
    <x v="91"/>
    <s v="בטיחות בדרכים"/>
    <s v="7446"/>
    <e v="#N/A"/>
    <m/>
    <s v="1"/>
    <x v="9"/>
    <s v="18"/>
    <s v="נלוות לשכר"/>
    <s v="181"/>
    <s v="הפרשות סוציאליות"/>
  </r>
  <r>
    <n v="182"/>
    <s v="74460"/>
    <n v="1"/>
    <s v="174460.182"/>
    <s v="קופות גמל והשתלמות              "/>
    <m/>
    <m/>
    <n v="431000"/>
    <n v="397000"/>
    <n v="330245"/>
    <m/>
    <x v="6"/>
    <s v="שירותים מקומיים"/>
    <x v="28"/>
    <s v="נכסים ציבוריים"/>
    <x v="91"/>
    <s v="בטיחות בדרכים"/>
    <s v="7446"/>
    <e v="#N/A"/>
    <m/>
    <s v="1"/>
    <x v="9"/>
    <s v="18"/>
    <s v="נלוות לשכר"/>
    <s v="182"/>
    <s v="מיסיום ועלויות"/>
  </r>
  <r>
    <n v="750"/>
    <s v="74460"/>
    <n v="1"/>
    <s v="174460.750"/>
    <s v="אחזקת רמזורים בקבלנות           "/>
    <m/>
    <m/>
    <n v="4100000"/>
    <n v="3920000"/>
    <n v="3743589"/>
    <m/>
    <x v="6"/>
    <s v="שירותים מקומיים"/>
    <x v="28"/>
    <s v="נכסים ציבוריים"/>
    <x v="91"/>
    <s v="בטיחות בדרכים"/>
    <s v="7446"/>
    <e v="#N/A"/>
    <m/>
    <s v="7"/>
    <x v="13"/>
    <s v="75"/>
    <s v="עבודות קבלניות"/>
    <s v="750"/>
    <e v="#N/A"/>
  </r>
  <r>
    <n v="781"/>
    <s v="74460"/>
    <n v="1"/>
    <s v="174460.781"/>
    <s v="חשמל לרמזורים                   "/>
    <m/>
    <m/>
    <n v="3023000"/>
    <n v="3648000"/>
    <n v="3542000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1"/>
    <e v="#N/A"/>
  </r>
  <r>
    <n v="782"/>
    <s v="74460"/>
    <n v="1"/>
    <s v="174460.782"/>
    <s v="שינויים ברמזורים קיימים         "/>
    <m/>
    <m/>
    <n v="30000"/>
    <n v="30000"/>
    <n v="15711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2"/>
    <e v="#N/A"/>
  </r>
  <r>
    <n v="784"/>
    <s v="74460"/>
    <n v="1"/>
    <s v="174460.784"/>
    <s v="תחזוקת מרכז בקרה                "/>
    <m/>
    <m/>
    <n v="1400000"/>
    <n v="1400000"/>
    <n v="1331579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4"/>
    <e v="#N/A"/>
  </r>
  <r>
    <n v="785"/>
    <s v="74460"/>
    <n v="1"/>
    <s v="174460.785"/>
    <s v="תיקון כבלים                     "/>
    <m/>
    <m/>
    <n v="40000"/>
    <n v="40000"/>
    <n v="29968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5"/>
    <e v="#N/A"/>
  </r>
  <r>
    <n v="787"/>
    <s v="74460"/>
    <n v="1"/>
    <s v="174460.787"/>
    <s v="תיקוני נזקים באביזרי תנועה      "/>
    <m/>
    <m/>
    <n v="60000"/>
    <n v="60000"/>
    <n v="34529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7"/>
    <e v="#N/A"/>
  </r>
  <r>
    <n v="789"/>
    <s v="74460"/>
    <n v="1"/>
    <s v="174460.789"/>
    <s v="אחזקת תמרורים מוארים            "/>
    <m/>
    <m/>
    <n v="320000"/>
    <n v="350000"/>
    <n v="335895"/>
    <m/>
    <x v="6"/>
    <s v="שירותים מקומיים"/>
    <x v="28"/>
    <s v="נכסים ציבוריים"/>
    <x v="91"/>
    <s v="בטיחות בדרכים"/>
    <s v="7446"/>
    <e v="#N/A"/>
    <m/>
    <s v="7"/>
    <x v="13"/>
    <s v="78"/>
    <s v="הוצאות שונות"/>
    <s v="789"/>
    <e v="#N/A"/>
  </r>
  <r>
    <n v="934"/>
    <s v="74460"/>
    <n v="1"/>
    <s v="174460.934"/>
    <s v="ציוד תפעולי                     "/>
    <m/>
    <m/>
    <n v="10000"/>
    <n v="10000"/>
    <n v="9571"/>
    <m/>
    <x v="6"/>
    <s v="שירותים מקומיים"/>
    <x v="28"/>
    <s v="נכסים ציבוריים"/>
    <x v="91"/>
    <s v="בטיחות בדרכים"/>
    <s v="7446"/>
    <e v="#N/A"/>
    <m/>
    <s v="9"/>
    <x v="17"/>
    <s v="93"/>
    <s v="רכישת ציוד יסודי"/>
    <s v="934"/>
    <e v="#N/A"/>
  </r>
  <r>
    <n v="110"/>
    <s v="74510"/>
    <n v="1"/>
    <s v="174510.110"/>
    <s v="משכורת כוללת                    "/>
    <m/>
    <m/>
    <n v="360000"/>
    <n v="347000"/>
    <n v="342670"/>
    <m/>
    <x v="6"/>
    <s v="שירותים מקומיים"/>
    <x v="28"/>
    <s v="נכסים ציבוריים"/>
    <x v="92"/>
    <s v="תיעול וניקוז"/>
    <s v="7451"/>
    <e v="#N/A"/>
    <m/>
    <s v="1"/>
    <x v="9"/>
    <s v="11"/>
    <s v="השכר הקובע"/>
    <s v="110"/>
    <e v="#N/A"/>
  </r>
  <r>
    <n v="124"/>
    <s v="74510"/>
    <n v="1"/>
    <s v="174510.124"/>
    <s v="החזר הוצאות                     "/>
    <m/>
    <m/>
    <n v="13000"/>
    <n v="12000"/>
    <n v="11880"/>
    <m/>
    <x v="6"/>
    <s v="שירותים מקומיים"/>
    <x v="28"/>
    <s v="נכסים ציבוריים"/>
    <x v="92"/>
    <s v="תיעול וניקוז"/>
    <s v="7451"/>
    <e v="#N/A"/>
    <m/>
    <s v="1"/>
    <x v="9"/>
    <s v="12"/>
    <s v="תוספות שאינן נכללות בשכר הקובע"/>
    <s v="124"/>
    <e v="#N/A"/>
  </r>
  <r>
    <n v="126"/>
    <s v="74510"/>
    <n v="1"/>
    <s v="174510.126"/>
    <s v="הבראה                           "/>
    <m/>
    <m/>
    <n v="13000"/>
    <n v="12000"/>
    <n v="11956"/>
    <m/>
    <x v="6"/>
    <s v="שירותים מקומיים"/>
    <x v="28"/>
    <s v="נכסים ציבוריים"/>
    <x v="92"/>
    <s v="תיעול וניקוז"/>
    <s v="7451"/>
    <e v="#N/A"/>
    <m/>
    <s v="1"/>
    <x v="9"/>
    <s v="12"/>
    <s v="תוספות שאינן נכללות בשכר הקובע"/>
    <s v="126"/>
    <e v="#N/A"/>
  </r>
  <r>
    <n v="127"/>
    <s v="74510"/>
    <n v="1"/>
    <s v="174510.127"/>
    <s v="השתתפות באחזקת רכב-2            "/>
    <m/>
    <m/>
    <n v="62000"/>
    <n v="61000"/>
    <n v="58098"/>
    <m/>
    <x v="6"/>
    <s v="שירותים מקומיים"/>
    <x v="28"/>
    <s v="נכסים ציבוריים"/>
    <x v="92"/>
    <s v="תיעול וניקוז"/>
    <s v="7451"/>
    <e v="#N/A"/>
    <m/>
    <s v="1"/>
    <x v="9"/>
    <s v="12"/>
    <s v="תוספות שאינן נכללות בשכר הקובע"/>
    <s v="127"/>
    <e v="#N/A"/>
  </r>
  <r>
    <n v="130"/>
    <s v="74510"/>
    <n v="1"/>
    <s v="174510.130"/>
    <s v="תשלומים מיוחדים                 "/>
    <m/>
    <m/>
    <n v="69000"/>
    <n v="68000"/>
    <n v="67261"/>
    <m/>
    <x v="6"/>
    <s v="שירותים מקומיים"/>
    <x v="28"/>
    <s v="נכסים ציבוריים"/>
    <x v="92"/>
    <s v="תיעול וניקוז"/>
    <s v="7451"/>
    <e v="#N/A"/>
    <m/>
    <s v="1"/>
    <x v="9"/>
    <s v="13"/>
    <s v="שעות נוספות"/>
    <s v="130"/>
    <e v="#N/A"/>
  </r>
  <r>
    <n v="181"/>
    <s v="74510"/>
    <n v="1"/>
    <s v="174510.181"/>
    <s v="מיסים וביטוח לאומי              "/>
    <m/>
    <m/>
    <n v="76000"/>
    <n v="75000"/>
    <n v="76909"/>
    <m/>
    <x v="6"/>
    <s v="שירותים מקומיים"/>
    <x v="28"/>
    <s v="נכסים ציבוריים"/>
    <x v="92"/>
    <s v="תיעול וניקוז"/>
    <s v="7451"/>
    <e v="#N/A"/>
    <m/>
    <s v="1"/>
    <x v="9"/>
    <s v="18"/>
    <s v="נלוות לשכר"/>
    <s v="181"/>
    <s v="הפרשות סוציאליות"/>
  </r>
  <r>
    <n v="182"/>
    <s v="74510"/>
    <n v="1"/>
    <s v="174510.182"/>
    <s v="קופות גמל והשתלמות              "/>
    <m/>
    <m/>
    <n v="58000"/>
    <n v="57000"/>
    <n v="52832"/>
    <m/>
    <x v="6"/>
    <s v="שירותים מקומיים"/>
    <x v="28"/>
    <s v="נכסים ציבוריים"/>
    <x v="92"/>
    <s v="תיעול וניקוז"/>
    <s v="7451"/>
    <e v="#N/A"/>
    <m/>
    <s v="1"/>
    <x v="9"/>
    <s v="18"/>
    <s v="נלוות לשכר"/>
    <s v="182"/>
    <s v="מיסיום ועלויות"/>
  </r>
  <r>
    <n v="310"/>
    <s v="74510"/>
    <n v="1"/>
    <s v="174510.310"/>
    <s v="שעות נוספות רשומות              "/>
    <m/>
    <m/>
    <n v="69000"/>
    <n v="68000"/>
    <n v="63047"/>
    <m/>
    <x v="6"/>
    <s v="שירותים מקומיים"/>
    <x v="28"/>
    <s v="נכסים ציבוריים"/>
    <x v="92"/>
    <s v="תיעול וניקוז"/>
    <s v="7451"/>
    <e v="#N/A"/>
    <m/>
    <s v="3"/>
    <x v="14"/>
    <s v="31"/>
    <s v="פנסיה"/>
    <s v="310"/>
    <e v="#N/A"/>
  </r>
  <r>
    <n v="435"/>
    <s v="74510"/>
    <n v="1"/>
    <s v="174510.435"/>
    <s v="חשמל ואנרגיה                    "/>
    <m/>
    <m/>
    <n v="40000"/>
    <n v="40000"/>
    <n v="45433"/>
    <m/>
    <x v="6"/>
    <s v="שירותים מקומיים"/>
    <x v="28"/>
    <s v="נכסים ציבוריים"/>
    <x v="92"/>
    <s v="תיעול וניקוז"/>
    <s v="7451"/>
    <e v="#N/A"/>
    <m/>
    <s v="4"/>
    <x v="15"/>
    <s v="43"/>
    <s v="חשמל, מים וחומרי ניקיון"/>
    <s v="435"/>
    <e v="#N/A"/>
  </r>
  <r>
    <n v="830"/>
    <s v="74510"/>
    <n v="1"/>
    <s v="174510.830"/>
    <s v="השתתפות ברשות ניקוז ירקון       "/>
    <m/>
    <m/>
    <n v="1310000"/>
    <n v="1200000"/>
    <n v="990342"/>
    <m/>
    <x v="6"/>
    <s v="שירותים מקומיים"/>
    <x v="28"/>
    <s v="נכסים ציבוריים"/>
    <x v="92"/>
    <s v="תיעול וניקוז"/>
    <s v="7451"/>
    <e v="#N/A"/>
    <m/>
    <s v="8"/>
    <x v="16"/>
    <s v="83"/>
    <e v="#N/A"/>
    <s v="830"/>
    <e v="#N/A"/>
  </r>
  <r>
    <n v="841"/>
    <s v="74510"/>
    <n v="1"/>
    <s v="174510.841"/>
    <s v="אחזקה גלובלית של רשת התיעול     "/>
    <m/>
    <m/>
    <n v="5100000"/>
    <n v="5100000"/>
    <n v="4830511"/>
    <m/>
    <x v="6"/>
    <s v="שירותים מקומיים"/>
    <x v="28"/>
    <s v="נכסים ציבוריים"/>
    <x v="92"/>
    <s v="תיעול וניקוז"/>
    <s v="7451"/>
    <e v="#N/A"/>
    <m/>
    <s v="8"/>
    <x v="16"/>
    <s v="84"/>
    <s v="תמיכות רווחה"/>
    <s v="841"/>
    <e v="#N/A"/>
  </r>
  <r>
    <n v="842"/>
    <s v="74510"/>
    <n v="1"/>
    <s v="174510.842"/>
    <s v="כוננות סופה                     "/>
    <m/>
    <m/>
    <n v="800000"/>
    <n v="800000"/>
    <n v="499407"/>
    <m/>
    <x v="6"/>
    <s v="שירותים מקומיים"/>
    <x v="28"/>
    <s v="נכסים ציבוריים"/>
    <x v="92"/>
    <s v="תיעול וניקוז"/>
    <s v="7451"/>
    <e v="#N/A"/>
    <m/>
    <s v="8"/>
    <x v="16"/>
    <s v="84"/>
    <s v="תמיכות רווחה"/>
    <s v="842"/>
    <e v="#N/A"/>
  </r>
  <r>
    <n v="844"/>
    <s v="74510"/>
    <n v="1"/>
    <s v="174510.844"/>
    <s v="עבודות תיעול קטנות              "/>
    <m/>
    <m/>
    <n v="190000"/>
    <n v="190000"/>
    <n v="216181"/>
    <m/>
    <x v="6"/>
    <s v="שירותים מקומיים"/>
    <x v="28"/>
    <s v="נכסים ציבוריים"/>
    <x v="92"/>
    <s v="תיעול וניקוז"/>
    <s v="7451"/>
    <e v="#N/A"/>
    <m/>
    <s v="8"/>
    <x v="16"/>
    <s v="84"/>
    <s v="תמיכות רווחה"/>
    <s v="844"/>
    <e v="#N/A"/>
  </r>
  <r>
    <n v="110"/>
    <s v="74610"/>
    <n v="1"/>
    <s v="174610.110"/>
    <s v="משכורת כוללת                    "/>
    <m/>
    <m/>
    <n v="3065000"/>
    <n v="3237000"/>
    <n v="2930899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1"/>
    <s v="השכר הקובע"/>
    <s v="110"/>
    <e v="#N/A"/>
  </r>
  <r>
    <n v="124"/>
    <s v="74610"/>
    <n v="1"/>
    <s v="174610.124"/>
    <s v="החזר הוצאות                     "/>
    <m/>
    <m/>
    <n v="279000"/>
    <n v="226000"/>
    <n v="233608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2"/>
    <s v="תוספות שאינן נכללות בשכר הקובע"/>
    <s v="124"/>
    <e v="#N/A"/>
  </r>
  <r>
    <n v="126"/>
    <s v="74610"/>
    <n v="1"/>
    <s v="174610.126"/>
    <s v="הבראה                           "/>
    <m/>
    <m/>
    <n v="252000"/>
    <n v="206000"/>
    <n v="203099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2"/>
    <s v="תוספות שאינן נכללות בשכר הקובע"/>
    <s v="126"/>
    <e v="#N/A"/>
  </r>
  <r>
    <n v="127"/>
    <s v="74610"/>
    <n v="1"/>
    <s v="174610.127"/>
    <s v="השתתפות באחזקת רכב-37           "/>
    <m/>
    <m/>
    <n v="1120000"/>
    <n v="954000"/>
    <n v="874941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2"/>
    <s v="תוספות שאינן נכללות בשכר הקובע"/>
    <s v="127"/>
    <e v="#N/A"/>
  </r>
  <r>
    <n v="130"/>
    <s v="74610"/>
    <n v="1"/>
    <s v="174610.130"/>
    <s v="תשלומים מיוחדים                 "/>
    <m/>
    <m/>
    <n v="1367000"/>
    <n v="1209000"/>
    <n v="1129313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3"/>
    <s v="שעות נוספות"/>
    <s v="130"/>
    <e v="#N/A"/>
  </r>
  <r>
    <n v="181"/>
    <s v="74610"/>
    <n v="1"/>
    <s v="174610.181"/>
    <s v="מיסים וביטוח לאומי              "/>
    <m/>
    <m/>
    <n v="1251000"/>
    <n v="1115000"/>
    <n v="855640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8"/>
    <s v="נלוות לשכר"/>
    <s v="181"/>
    <s v="הפרשות סוציאליות"/>
  </r>
  <r>
    <n v="182"/>
    <s v="74610"/>
    <n v="1"/>
    <s v="174610.182"/>
    <s v="קופות גמל והשתלמות              "/>
    <m/>
    <m/>
    <n v="1136000"/>
    <n v="954000"/>
    <n v="866457"/>
    <m/>
    <x v="6"/>
    <s v="שירותים מקומיים"/>
    <x v="28"/>
    <s v="נכסים ציבוריים"/>
    <x v="93"/>
    <s v="גנים ונטיעות"/>
    <s v="7461"/>
    <s v="גינות ציבוריות"/>
    <m/>
    <s v="1"/>
    <x v="9"/>
    <s v="18"/>
    <s v="נלוות לשכר"/>
    <s v="182"/>
    <s v="מיסיום ועלויות"/>
  </r>
  <r>
    <n v="230"/>
    <s v="74610"/>
    <n v="1"/>
    <s v="174610.230"/>
    <s v="משימות חולפות - 20              "/>
    <m/>
    <m/>
    <n v="1317000"/>
    <n v="629000"/>
    <n v="639028"/>
    <m/>
    <x v="6"/>
    <s v="שירותים מקומיים"/>
    <x v="28"/>
    <s v="נכסים ציבוריים"/>
    <x v="93"/>
    <s v="גנים ונטיעות"/>
    <s v="7461"/>
    <s v="גינות ציבוריות"/>
    <m/>
    <s v="2"/>
    <x v="10"/>
    <s v="23"/>
    <s v="שעות נוספות"/>
    <s v="230"/>
    <e v="#N/A"/>
  </r>
  <r>
    <n v="310"/>
    <s v="74610"/>
    <n v="1"/>
    <s v="174610.310"/>
    <s v="שעות נוספות רשומות              "/>
    <m/>
    <m/>
    <n v="1946000"/>
    <n v="1810000"/>
    <n v="1895730"/>
    <m/>
    <x v="6"/>
    <s v="שירותים מקומיים"/>
    <x v="28"/>
    <s v="נכסים ציבוריים"/>
    <x v="93"/>
    <s v="גנים ונטיעות"/>
    <s v="7461"/>
    <s v="גינות ציבוריות"/>
    <m/>
    <s v="3"/>
    <x v="14"/>
    <s v="31"/>
    <s v="פנסיה"/>
    <s v="310"/>
    <e v="#N/A"/>
  </r>
  <r>
    <n v="340"/>
    <s v="74610"/>
    <n v="1"/>
    <s v="174610.340"/>
    <s v="שעות נוספות מיוחדות             "/>
    <m/>
    <m/>
    <n v="264000"/>
    <n v="259000"/>
    <n v="244902"/>
    <m/>
    <x v="6"/>
    <s v="שירותים מקומיים"/>
    <x v="28"/>
    <s v="נכסים ציבוריים"/>
    <x v="93"/>
    <s v="גנים ונטיעות"/>
    <s v="7461"/>
    <s v="גינות ציבוריות"/>
    <m/>
    <s v="3"/>
    <x v="14"/>
    <s v="34"/>
    <e v="#N/A"/>
    <s v="340"/>
    <e v="#N/A"/>
  </r>
  <r>
    <n v="411"/>
    <s v="74610"/>
    <n v="1"/>
    <s v="174610.411"/>
    <s v="שכר דירה וועד בית               "/>
    <m/>
    <m/>
    <n v="196000"/>
    <n v="196000"/>
    <n v="200750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1"/>
    <s v="שכר דירה ודמי חכירה"/>
    <s v="411"/>
    <e v="#N/A"/>
  </r>
  <r>
    <n v="433"/>
    <s v="74610"/>
    <n v="1"/>
    <s v="174610.433"/>
    <s v="ביטוח                           "/>
    <m/>
    <m/>
    <n v="562000"/>
    <n v="555000"/>
    <n v="489000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3"/>
    <s v="חשמל, מים וחומרי ניקיון"/>
    <s v="433"/>
    <s v="חומרי ניקיון"/>
  </r>
  <r>
    <n v="434"/>
    <s v="74610"/>
    <n v="1"/>
    <s v="174610.434"/>
    <s v="תקוני מבנים  מתקנים ואינונטר    "/>
    <m/>
    <m/>
    <n v="60000"/>
    <n v="60000"/>
    <n v="54672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3"/>
    <s v="חשמל, מים וחומרי ניקיון"/>
    <s v="434"/>
    <s v="שירותי ניקיון"/>
  </r>
  <r>
    <n v="435"/>
    <s v="74610"/>
    <n v="1"/>
    <s v="174610.435"/>
    <s v="חשמל ואנרגיה                    "/>
    <m/>
    <m/>
    <n v="728000"/>
    <n v="930000"/>
    <n v="602985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3"/>
    <s v="חשמל, מים וחומרי ניקיון"/>
    <s v="435"/>
    <e v="#N/A"/>
  </r>
  <r>
    <n v="436"/>
    <s v="74610"/>
    <n v="1"/>
    <s v="174610.436"/>
    <s v="נקיון                           "/>
    <m/>
    <m/>
    <n v="195000"/>
    <n v="165000"/>
    <n v="107531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3"/>
    <s v="חשמל, מים וחומרי ניקיון"/>
    <s v="436"/>
    <e v="#N/A"/>
  </r>
  <r>
    <n v="439"/>
    <s v="74610"/>
    <n v="1"/>
    <s v="174610.439"/>
    <s v="אחזקת בניני העיריה-השתתפות      "/>
    <m/>
    <m/>
    <n v="177000"/>
    <n v="217000"/>
    <n v="240000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3"/>
    <s v="חשמל, מים וחומרי ניקיון"/>
    <s v="439"/>
    <e v="#N/A"/>
  </r>
  <r>
    <n v="461"/>
    <s v="74610"/>
    <n v="1"/>
    <s v="174610.461"/>
    <s v="צורכי משרד                      "/>
    <m/>
    <m/>
    <n v="143000"/>
    <n v="148000"/>
    <n v="145520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6"/>
    <e v="#N/A"/>
    <s v="461"/>
    <e v="#N/A"/>
  </r>
  <r>
    <n v="462"/>
    <s v="74610"/>
    <n v="1"/>
    <s v="174610.462"/>
    <s v="ספרים ועתונים                   "/>
    <m/>
    <m/>
    <n v="9000"/>
    <n v="9000"/>
    <n v="6193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6"/>
    <e v="#N/A"/>
    <s v="462"/>
    <e v="#N/A"/>
  </r>
  <r>
    <n v="464"/>
    <s v="74610"/>
    <n v="1"/>
    <s v="174610.464"/>
    <s v="דאר                             "/>
    <m/>
    <m/>
    <n v="98000"/>
    <n v="3000"/>
    <n v="83465"/>
    <m/>
    <x v="6"/>
    <s v="שירותים מקומיים"/>
    <x v="28"/>
    <s v="נכסים ציבוריים"/>
    <x v="93"/>
    <s v="גנים ונטיעות"/>
    <s v="7461"/>
    <s v="גינות ציבוריות"/>
    <m/>
    <s v="4"/>
    <x v="15"/>
    <s v="46"/>
    <e v="#N/A"/>
    <s v="464"/>
    <e v="#N/A"/>
  </r>
  <r>
    <n v="510"/>
    <s v="74610"/>
    <n v="1"/>
    <s v="174610.510"/>
    <s v="נסיעות  ואש ל                   "/>
    <m/>
    <m/>
    <n v="18000"/>
    <n v="18000"/>
    <n v="2731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1"/>
    <s v="אש&quot;ל וכיבודים"/>
    <s v="510"/>
    <e v="#N/A"/>
  </r>
  <r>
    <n v="521"/>
    <s v="74610"/>
    <n v="1"/>
    <s v="174610.521"/>
    <s v="הדרכה וכנסים                    "/>
    <m/>
    <m/>
    <n v="70000"/>
    <n v="70000"/>
    <n v="50181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2"/>
    <s v="השתלמויות וספרות מקצועית"/>
    <s v="521"/>
    <s v="השתלמויות וספרות מקצועית"/>
  </r>
  <r>
    <n v="522"/>
    <s v="74610"/>
    <n v="1"/>
    <s v="174610.522"/>
    <s v="גיבוש יחידתי                    "/>
    <m/>
    <m/>
    <n v="37000"/>
    <n v="35000"/>
    <n v="50400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2"/>
    <s v="השתלמויות וספרות מקצועית"/>
    <s v="522"/>
    <s v="ספרות מקצועית ועיתונות"/>
  </r>
  <r>
    <n v="533"/>
    <s v="74610"/>
    <n v="1"/>
    <s v="174610.533"/>
    <s v="שכירת רכב                       "/>
    <m/>
    <m/>
    <n v="37000"/>
    <n v="37000"/>
    <n v="37757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3"/>
    <s v="הוצאות רכב מינהלי"/>
    <s v="533"/>
    <s v="רישוי וביטוח"/>
  </r>
  <r>
    <n v="534"/>
    <s v="74610"/>
    <n v="1"/>
    <s v="174610.534"/>
    <s v="דלק ושמן                        "/>
    <m/>
    <m/>
    <n v="13000"/>
    <n v="13000"/>
    <n v="22341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3"/>
    <s v="הוצאות רכב מינהלי"/>
    <s v="534"/>
    <e v="#N/A"/>
  </r>
  <r>
    <n v="541"/>
    <s v="74610"/>
    <n v="1"/>
    <s v="174610.541"/>
    <s v="החזקת מכשירי קשר וסלולר         "/>
    <m/>
    <m/>
    <n v="265000"/>
    <n v="255000"/>
    <n v="300300"/>
    <m/>
    <x v="6"/>
    <s v="שירותים מקומיים"/>
    <x v="28"/>
    <s v="נכסים ציבוריים"/>
    <x v="93"/>
    <s v="גנים ונטיעות"/>
    <s v="7461"/>
    <s v="גינות ציבוריות"/>
    <m/>
    <s v="5"/>
    <x v="11"/>
    <s v="54"/>
    <s v="הוצאות תקשורת"/>
    <s v="541"/>
    <e v="#N/A"/>
  </r>
  <r>
    <n v="610"/>
    <s v="74610"/>
    <n v="1"/>
    <s v="174610.610"/>
    <s v="כיבודים                         "/>
    <m/>
    <m/>
    <n v="34000"/>
    <n v="34000"/>
    <n v="28078"/>
    <m/>
    <x v="6"/>
    <s v="שירותים מקומיים"/>
    <x v="28"/>
    <s v="נכסים ציבוריים"/>
    <x v="93"/>
    <s v="גנים ונטיעות"/>
    <s v="7461"/>
    <s v="גינות ציבוריות"/>
    <m/>
    <s v="6"/>
    <x v="12"/>
    <s v="61"/>
    <s v="עמלות"/>
    <s v="610"/>
    <e v="#N/A"/>
  </r>
  <r>
    <n v="670"/>
    <s v="74610"/>
    <n v="1"/>
    <s v="174610.670"/>
    <s v="סעיף שאינו חוזר                 "/>
    <m/>
    <m/>
    <n v="0"/>
    <n v="184000"/>
    <n v="157767"/>
    <m/>
    <x v="6"/>
    <s v="שירותים מקומיים"/>
    <x v="28"/>
    <s v="נכסים ציבוריים"/>
    <x v="93"/>
    <s v="גנים ונטיעות"/>
    <s v="7461"/>
    <s v="גינות ציבוריות"/>
    <m/>
    <s v="6"/>
    <x v="12"/>
    <s v="67"/>
    <e v="#N/A"/>
    <s v="670"/>
    <e v="#N/A"/>
  </r>
  <r>
    <n v="680"/>
    <s v="74610"/>
    <n v="1"/>
    <s v="174610.680"/>
    <s v="הוצאות מיוחדות                  "/>
    <m/>
    <m/>
    <n v="18000"/>
    <n v="18000"/>
    <n v="6818"/>
    <m/>
    <x v="6"/>
    <s v="שירותים מקומיים"/>
    <x v="28"/>
    <s v="נכסים ציבוריים"/>
    <x v="93"/>
    <s v="גנים ונטיעות"/>
    <s v="7461"/>
    <s v="גינות ציבוריות"/>
    <m/>
    <s v="6"/>
    <x v="12"/>
    <s v="68"/>
    <s v="ריבית על הוצאות אחרות"/>
    <s v="680"/>
    <e v="#N/A"/>
  </r>
  <r>
    <n v="691"/>
    <s v="74610"/>
    <n v="1"/>
    <s v="174610.691"/>
    <s v="מערכות מידע ומחשוב              "/>
    <m/>
    <m/>
    <n v="750000"/>
    <n v="680000"/>
    <n v="641204"/>
    <m/>
    <x v="6"/>
    <s v="שירותים מקומיים"/>
    <x v="28"/>
    <s v="נכסים ציבוריים"/>
    <x v="93"/>
    <s v="גנים ונטיעות"/>
    <s v="7461"/>
    <s v="גינות ציבוריות"/>
    <m/>
    <s v="6"/>
    <x v="12"/>
    <s v="69"/>
    <s v="שונות"/>
    <s v="691"/>
    <s v="תשלום ע&quot;ח קרן"/>
  </r>
  <r>
    <n v="693"/>
    <s v="74610"/>
    <n v="1"/>
    <s v="174610.693"/>
    <s v="מיחשוב יחידתי                   "/>
    <m/>
    <m/>
    <n v="105000"/>
    <n v="105000"/>
    <n v="132591"/>
    <m/>
    <x v="6"/>
    <s v="שירותים מקומיים"/>
    <x v="28"/>
    <s v="נכסים ציבוריים"/>
    <x v="93"/>
    <s v="גנים ונטיעות"/>
    <s v="7461"/>
    <s v="גינות ציבוריות"/>
    <m/>
    <s v="6"/>
    <x v="12"/>
    <s v="69"/>
    <s v="שונות"/>
    <s v="693"/>
    <s v="תשלום ע&quot;ח הצמדת ערך"/>
  </r>
  <r>
    <n v="751"/>
    <s v="74610"/>
    <n v="1"/>
    <s v="174610.751"/>
    <s v="שימוש במאגרי מידע               "/>
    <m/>
    <m/>
    <n v="29000"/>
    <n v="0"/>
    <n v="28000"/>
    <m/>
    <x v="6"/>
    <s v="שירותים מקומיים"/>
    <x v="28"/>
    <s v="נכסים ציבוריים"/>
    <x v="93"/>
    <s v="גנים ונטיעות"/>
    <s v="7461"/>
    <s v="גינות ציבוריות"/>
    <m/>
    <s v="7"/>
    <x v="13"/>
    <s v="75"/>
    <s v="עבודות קבלניות"/>
    <s v="751"/>
    <e v="#N/A"/>
  </r>
  <r>
    <n v="760"/>
    <s v="74610"/>
    <n v="1"/>
    <s v="174610.760"/>
    <s v="ביגוד יחידתי וכביסה             "/>
    <m/>
    <m/>
    <n v="70000"/>
    <n v="45000"/>
    <n v="65106"/>
    <m/>
    <x v="6"/>
    <s v="שירותים מקומיים"/>
    <x v="28"/>
    <s v="נכסים ציבוריים"/>
    <x v="93"/>
    <s v="גנים ונטיעות"/>
    <s v="7461"/>
    <s v="גינות ציבוריות"/>
    <m/>
    <s v="7"/>
    <x v="13"/>
    <s v="76"/>
    <s v="קניית שירותים מרשויות ומוסדות"/>
    <s v="760"/>
    <e v="#N/A"/>
  </r>
  <r>
    <n v="841"/>
    <s v="74610"/>
    <n v="1"/>
    <s v="174610.841"/>
    <s v="השתתפות בתחזוקת מ. תחבורה אוניבר"/>
    <m/>
    <m/>
    <n v="325000"/>
    <n v="325000"/>
    <n v="225009"/>
    <m/>
    <x v="6"/>
    <s v="שירותים מקומיים"/>
    <x v="28"/>
    <s v="נכסים ציבוריים"/>
    <x v="93"/>
    <s v="גנים ונטיעות"/>
    <s v="7461"/>
    <s v="גינות ציבוריות"/>
    <m/>
    <s v="8"/>
    <x v="16"/>
    <s v="84"/>
    <s v="תמיכות רווחה"/>
    <s v="841"/>
    <e v="#N/A"/>
  </r>
  <r>
    <n v="932"/>
    <s v="74610"/>
    <n v="1"/>
    <s v="174610.932"/>
    <s v="ציוד וריהוט משרדי               "/>
    <m/>
    <m/>
    <n v="80000"/>
    <n v="80000"/>
    <n v="79200"/>
    <m/>
    <x v="6"/>
    <s v="שירותים מקומיים"/>
    <x v="28"/>
    <s v="נכסים ציבוריים"/>
    <x v="93"/>
    <s v="גנים ונטיעות"/>
    <s v="7461"/>
    <s v="גינות ציבוריות"/>
    <m/>
    <s v="9"/>
    <x v="17"/>
    <s v="93"/>
    <s v="רכישת ציוד יסודי"/>
    <s v="932"/>
    <e v="#N/A"/>
  </r>
  <r>
    <n v="110"/>
    <s v="74620"/>
    <n v="1"/>
    <s v="174620.110"/>
    <s v="משכורת כוללת                    "/>
    <m/>
    <m/>
    <n v="8817000"/>
    <n v="8620000"/>
    <n v="8209279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1"/>
    <s v="השכר הקובע"/>
    <s v="110"/>
    <e v="#N/A"/>
  </r>
  <r>
    <n v="124"/>
    <s v="74620"/>
    <n v="1"/>
    <s v="174620.124"/>
    <s v="החזר הוצאות                     "/>
    <m/>
    <m/>
    <n v="515000"/>
    <n v="534000"/>
    <n v="538900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2"/>
    <s v="תוספות שאינן נכללות בשכר הקובע"/>
    <s v="124"/>
    <e v="#N/A"/>
  </r>
  <r>
    <n v="126"/>
    <s v="74620"/>
    <n v="1"/>
    <s v="174620.126"/>
    <s v="הבראה                           "/>
    <m/>
    <m/>
    <n v="493000"/>
    <n v="501000"/>
    <n v="489902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2"/>
    <s v="תוספות שאינן נכללות בשכר הקובע"/>
    <s v="126"/>
    <e v="#N/A"/>
  </r>
  <r>
    <n v="127"/>
    <s v="74620"/>
    <n v="1"/>
    <s v="174620.127"/>
    <s v="השתתפות באחזקת רכב - 60         "/>
    <m/>
    <m/>
    <n v="1436000"/>
    <n v="1439000"/>
    <n v="1373901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2"/>
    <s v="תוספות שאינן נכללות בשכר הקובע"/>
    <s v="127"/>
    <e v="#N/A"/>
  </r>
  <r>
    <n v="130"/>
    <s v="74620"/>
    <n v="1"/>
    <s v="174620.130"/>
    <s v="תשלומים מיוחדים                 "/>
    <m/>
    <m/>
    <n v="2114000"/>
    <n v="2066000"/>
    <n v="2007249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3"/>
    <s v="שעות נוספות"/>
    <s v="130"/>
    <e v="#N/A"/>
  </r>
  <r>
    <n v="181"/>
    <s v="74620"/>
    <n v="1"/>
    <s v="174620.181"/>
    <s v="מיסים וביטוח לאומי              "/>
    <m/>
    <m/>
    <n v="1749000"/>
    <n v="1721000"/>
    <n v="1764427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8"/>
    <s v="נלוות לשכר"/>
    <s v="181"/>
    <s v="הפרשות סוציאליות"/>
  </r>
  <r>
    <n v="182"/>
    <s v="74620"/>
    <n v="1"/>
    <s v="174620.182"/>
    <s v="קופות גמל והשתלמות              "/>
    <m/>
    <m/>
    <n v="2209000"/>
    <n v="2235000"/>
    <n v="2118740"/>
    <m/>
    <x v="6"/>
    <s v="שירותים מקומיים"/>
    <x v="28"/>
    <s v="נכסים ציבוריים"/>
    <x v="93"/>
    <s v="גנים ונטיעות"/>
    <s v="7462"/>
    <s v="טיפוח פינות נוי"/>
    <m/>
    <s v="1"/>
    <x v="9"/>
    <s v="18"/>
    <s v="נלוות לשכר"/>
    <s v="182"/>
    <s v="מיסיום ועלויות"/>
  </r>
  <r>
    <n v="434"/>
    <s v="74620"/>
    <n v="1"/>
    <s v="174620.434"/>
    <s v="תקוני מבנים מתקנים ואינונטר     "/>
    <m/>
    <m/>
    <n v="40000"/>
    <n v="40000"/>
    <n v="4429"/>
    <m/>
    <x v="6"/>
    <s v="שירותים מקומיים"/>
    <x v="28"/>
    <s v="נכסים ציבוריים"/>
    <x v="93"/>
    <s v="גנים ונטיעות"/>
    <s v="7462"/>
    <s v="טיפוח פינות נוי"/>
    <m/>
    <s v="4"/>
    <x v="15"/>
    <s v="43"/>
    <s v="חשמל, מים וחומרי ניקיון"/>
    <s v="434"/>
    <s v="שירותי ניקיון"/>
  </r>
  <r>
    <n v="437"/>
    <s v="74620"/>
    <n v="1"/>
    <s v="174620.437"/>
    <s v="שמירה                           "/>
    <m/>
    <m/>
    <n v="685000"/>
    <n v="590000"/>
    <n v="622943"/>
    <m/>
    <x v="6"/>
    <s v="שירותים מקומיים"/>
    <x v="28"/>
    <s v="נכסים ציבוריים"/>
    <x v="93"/>
    <s v="גנים ונטיעות"/>
    <s v="7462"/>
    <s v="טיפוח פינות נוי"/>
    <m/>
    <s v="4"/>
    <x v="15"/>
    <s v="43"/>
    <s v="חשמל, מים וחומרי ניקיון"/>
    <s v="437"/>
    <e v="#N/A"/>
  </r>
  <r>
    <n v="721"/>
    <s v="74620"/>
    <n v="1"/>
    <s v="174620.721"/>
    <s v="חמרים לעבודה עצמית              "/>
    <m/>
    <m/>
    <n v="395000"/>
    <n v="395000"/>
    <n v="394006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2"/>
    <s v="חומרים"/>
    <s v="721"/>
    <e v="#N/A"/>
  </r>
  <r>
    <n v="751"/>
    <s v="74620"/>
    <n v="1"/>
    <s v="174620.751"/>
    <s v="אחזקת מתחמים                    "/>
    <m/>
    <m/>
    <n v="1715000"/>
    <n v="1745000"/>
    <n v="1567009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1"/>
    <e v="#N/A"/>
  </r>
  <r>
    <n v="752"/>
    <s v="74620"/>
    <n v="1"/>
    <s v="174620.752"/>
    <s v="אחזקת מתחם התרבות               "/>
    <m/>
    <m/>
    <n v="1085000"/>
    <n v="1085000"/>
    <n v="1079889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2"/>
    <e v="#N/A"/>
  </r>
  <r>
    <n v="753"/>
    <s v="74620"/>
    <n v="1"/>
    <s v="174620.753"/>
    <s v="אחזקת גידור מחסומים ומעקות      "/>
    <m/>
    <m/>
    <n v="755000"/>
    <n v="505000"/>
    <n v="404821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3"/>
    <e v="#N/A"/>
  </r>
  <r>
    <n v="754"/>
    <s v="74620"/>
    <n v="1"/>
    <s v="174620.754"/>
    <s v="אחזקת עמודי חסימה               "/>
    <m/>
    <m/>
    <n v="500000"/>
    <n v="350000"/>
    <n v="350763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4"/>
    <e v="#N/A"/>
  </r>
  <r>
    <n v="755"/>
    <s v="74620"/>
    <n v="1"/>
    <s v="174620.755"/>
    <s v="אחזקת מתחם שרונה                "/>
    <m/>
    <m/>
    <n v="1300000"/>
    <n v="1300000"/>
    <n v="1296770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5"/>
    <e v="#N/A"/>
  </r>
  <r>
    <n v="756"/>
    <s v="74620"/>
    <n v="1"/>
    <s v="174620.756"/>
    <s v="אחזקת מדרחוב נחלת בנימין        "/>
    <m/>
    <m/>
    <n v="810000"/>
    <n v="810000"/>
    <n v="672936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6"/>
    <e v="#N/A"/>
  </r>
  <r>
    <n v="757"/>
    <s v="74620"/>
    <n v="1"/>
    <s v="174620.757"/>
    <s v="אחזקת פסלים ואנדרטאות           "/>
    <m/>
    <m/>
    <n v="170000"/>
    <n v="170000"/>
    <n v="404155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7"/>
    <e v="#N/A"/>
  </r>
  <r>
    <n v="758"/>
    <s v="74620"/>
    <n v="1"/>
    <s v="174620.758"/>
    <s v="אחזקת משטחי גומי והצללה בגנים   "/>
    <m/>
    <m/>
    <n v="475000"/>
    <n v="200000"/>
    <n v="199874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8"/>
    <e v="#N/A"/>
  </r>
  <r>
    <n v="759"/>
    <s v="74620"/>
    <n v="1"/>
    <s v="174620.759"/>
    <s v="אחזקת מזרקות                    "/>
    <m/>
    <m/>
    <n v="1340000"/>
    <n v="1390000"/>
    <n v="1491944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5"/>
    <s v="עבודות קבלניות"/>
    <s v="759"/>
    <e v="#N/A"/>
  </r>
  <r>
    <n v="781"/>
    <s v="74620"/>
    <n v="1"/>
    <s v="174620.781"/>
    <s v="תקוני כלים ומכשירים             "/>
    <m/>
    <m/>
    <n v="60000"/>
    <n v="60000"/>
    <n v="60002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1"/>
    <e v="#N/A"/>
  </r>
  <r>
    <n v="782"/>
    <s v="74620"/>
    <n v="1"/>
    <s v="174620.782"/>
    <s v="אחזקת מתקני שעשועים בגנים       "/>
    <m/>
    <m/>
    <n v="1215000"/>
    <n v="1080000"/>
    <n v="1074980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2"/>
    <e v="#N/A"/>
  </r>
  <r>
    <n v="783"/>
    <s v="74620"/>
    <n v="1"/>
    <s v="174620.783"/>
    <s v="אחזקת ריהוט רחוב וגן            "/>
    <m/>
    <m/>
    <n v="1030000"/>
    <n v="230000"/>
    <n v="232260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3"/>
    <e v="#N/A"/>
  </r>
  <r>
    <n v="784"/>
    <s v="74620"/>
    <n v="1"/>
    <s v="174620.784"/>
    <s v="שילוט רחובות ובתים              "/>
    <m/>
    <m/>
    <n v="90000"/>
    <n v="90000"/>
    <n v="87991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4"/>
    <e v="#N/A"/>
  </r>
  <r>
    <n v="785"/>
    <s v="74620"/>
    <n v="1"/>
    <s v="174620.785"/>
    <s v="הצבת עמודי חסימה                "/>
    <m/>
    <m/>
    <n v="10000"/>
    <n v="10000"/>
    <n v="0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5"/>
    <e v="#N/A"/>
  </r>
  <r>
    <n v="786"/>
    <s v="74620"/>
    <n v="1"/>
    <s v="174620.786"/>
    <s v="תשלומים לחברת חשמל-מזרקות       "/>
    <m/>
    <m/>
    <n v="730000"/>
    <n v="730000"/>
    <n v="874592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6"/>
    <e v="#N/A"/>
  </r>
  <r>
    <n v="788"/>
    <s v="74620"/>
    <n v="1"/>
    <s v="174620.788"/>
    <s v="ל ג בעומר                       "/>
    <m/>
    <m/>
    <n v="50000"/>
    <n v="50000"/>
    <n v="49748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8"/>
    <e v="#N/A"/>
  </r>
  <r>
    <n v="789"/>
    <s v="74620"/>
    <n v="1"/>
    <s v="174620.789"/>
    <s v="אחזקת מחסנים                    "/>
    <m/>
    <m/>
    <n v="20000"/>
    <n v="20000"/>
    <n v="18113"/>
    <m/>
    <x v="6"/>
    <s v="שירותים מקומיים"/>
    <x v="28"/>
    <s v="נכסים ציבוריים"/>
    <x v="93"/>
    <s v="גנים ונטיעות"/>
    <s v="7462"/>
    <s v="טיפוח פינות נוי"/>
    <m/>
    <s v="7"/>
    <x v="13"/>
    <s v="78"/>
    <s v="הוצאות שונות"/>
    <s v="789"/>
    <e v="#N/A"/>
  </r>
  <r>
    <n v="934"/>
    <s v="74620"/>
    <n v="1"/>
    <s v="174620.934"/>
    <s v="ציוד תפעולי                     "/>
    <m/>
    <m/>
    <n v="280000"/>
    <n v="210000"/>
    <n v="199401"/>
    <m/>
    <x v="6"/>
    <s v="שירותים מקומיים"/>
    <x v="28"/>
    <s v="נכסים ציבוריים"/>
    <x v="93"/>
    <s v="גנים ונטיעות"/>
    <s v="7462"/>
    <s v="טיפוח פינות נוי"/>
    <m/>
    <s v="9"/>
    <x v="17"/>
    <s v="93"/>
    <s v="רכישת ציוד יסודי"/>
    <s v="934"/>
    <e v="#N/A"/>
  </r>
  <r>
    <n v="981"/>
    <s v="74620"/>
    <n v="1"/>
    <s v="174620.981"/>
    <s v="רכישת דגלים                     "/>
    <m/>
    <m/>
    <n v="150000"/>
    <n v="150000"/>
    <n v="159914"/>
    <m/>
    <x v="6"/>
    <s v="שירותים מקומיים"/>
    <x v="28"/>
    <s v="נכסים ציבוריים"/>
    <x v="93"/>
    <s v="גנים ונטיעות"/>
    <s v="7462"/>
    <s v="טיפוח פינות נוי"/>
    <m/>
    <s v="9"/>
    <x v="17"/>
    <s v="98"/>
    <s v="הוצאות אחרות"/>
    <s v="981"/>
    <e v="#N/A"/>
  </r>
  <r>
    <n v="110"/>
    <s v="74630"/>
    <n v="1"/>
    <s v="174630.110"/>
    <s v="משכורת כוללת                    "/>
    <m/>
    <m/>
    <n v="5115000"/>
    <n v="4832000"/>
    <n v="4655952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1"/>
    <s v="השכר הקובע"/>
    <s v="110"/>
    <e v="#N/A"/>
  </r>
  <r>
    <n v="124"/>
    <s v="74630"/>
    <n v="1"/>
    <s v="174630.124"/>
    <s v="החזר הוצאות                     "/>
    <m/>
    <m/>
    <n v="422000"/>
    <n v="448000"/>
    <n v="427604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2"/>
    <s v="תוספות שאינן נכללות בשכר הקובע"/>
    <s v="124"/>
    <e v="#N/A"/>
  </r>
  <r>
    <n v="126"/>
    <s v="74630"/>
    <n v="1"/>
    <s v="174630.126"/>
    <s v="הבראה                           "/>
    <m/>
    <m/>
    <n v="303000"/>
    <n v="311000"/>
    <n v="307020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2"/>
    <s v="תוספות שאינן נכללות בשכר הקובע"/>
    <s v="126"/>
    <e v="#N/A"/>
  </r>
  <r>
    <n v="127"/>
    <s v="74630"/>
    <n v="1"/>
    <s v="174630.127"/>
    <s v="השתתפות באחזקת רכב - 55         "/>
    <m/>
    <m/>
    <n v="1363000"/>
    <n v="1300000"/>
    <n v="1290047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2"/>
    <s v="תוספות שאינן נכללות בשכר הקובע"/>
    <s v="127"/>
    <e v="#N/A"/>
  </r>
  <r>
    <n v="130"/>
    <s v="74630"/>
    <n v="1"/>
    <s v="174630.130"/>
    <s v="תשלומים מיוחדים                 "/>
    <m/>
    <m/>
    <n v="1835000"/>
    <n v="1792000"/>
    <n v="1673642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3"/>
    <s v="שעות נוספות"/>
    <s v="130"/>
    <e v="#N/A"/>
  </r>
  <r>
    <n v="181"/>
    <s v="74630"/>
    <n v="1"/>
    <s v="174630.181"/>
    <s v="מיסים וביטוח לאומי              "/>
    <m/>
    <m/>
    <n v="1167000"/>
    <n v="1136000"/>
    <n v="1134221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8"/>
    <s v="נלוות לשכר"/>
    <s v="181"/>
    <s v="הפרשות סוציאליות"/>
  </r>
  <r>
    <n v="182"/>
    <s v="74630"/>
    <n v="1"/>
    <s v="174630.182"/>
    <s v="קופות גמל והשתלמות              "/>
    <m/>
    <m/>
    <n v="1370000"/>
    <n v="1266000"/>
    <n v="1169105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1"/>
    <x v="9"/>
    <s v="18"/>
    <s v="נלוות לשכר"/>
    <s v="182"/>
    <s v="מיסיום ועלויות"/>
  </r>
  <r>
    <n v="431"/>
    <s v="74630"/>
    <n v="1"/>
    <s v="174630.431"/>
    <s v="מים להשקיה                      "/>
    <m/>
    <m/>
    <n v="17115000"/>
    <n v="18409000"/>
    <n v="18363979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4"/>
    <x v="15"/>
    <s v="43"/>
    <s v="חשמל, מים וחומרי ניקיון"/>
    <s v="431"/>
    <s v="חשמל"/>
  </r>
  <r>
    <n v="432"/>
    <s v="74630"/>
    <n v="1"/>
    <s v="174630.432"/>
    <s v="תחזוקת החצר הגן                 "/>
    <m/>
    <m/>
    <n v="60000"/>
    <n v="60000"/>
    <n v="59361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4"/>
    <x v="15"/>
    <s v="43"/>
    <s v="חשמל, מים וחומרי ניקיון"/>
    <s v="432"/>
    <s v="מים"/>
  </r>
  <r>
    <n v="531"/>
    <s v="74630"/>
    <n v="1"/>
    <s v="174630.531"/>
    <s v="אחזקת רכב                       "/>
    <m/>
    <m/>
    <n v="705000"/>
    <n v="705000"/>
    <n v="673318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5"/>
    <x v="11"/>
    <s v="53"/>
    <s v="הוצאות רכב מינהלי"/>
    <s v="531"/>
    <s v="דלק ושמנים"/>
  </r>
  <r>
    <n v="532"/>
    <s v="74630"/>
    <n v="1"/>
    <s v="174630.532"/>
    <s v="ביטוח רכב                       "/>
    <m/>
    <m/>
    <n v="956000"/>
    <n v="929000"/>
    <n v="909948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5"/>
    <x v="11"/>
    <s v="53"/>
    <s v="הוצאות רכב מינהלי"/>
    <s v="532"/>
    <s v="תיקונים"/>
  </r>
  <r>
    <n v="533"/>
    <s v="74630"/>
    <n v="1"/>
    <s v="174630.533"/>
    <s v="שכירת רכב                       "/>
    <m/>
    <m/>
    <n v="450000"/>
    <n v="450000"/>
    <n v="308971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5"/>
    <x v="11"/>
    <s v="53"/>
    <s v="הוצאות רכב מינהלי"/>
    <s v="533"/>
    <s v="רישוי וביטוח"/>
  </r>
  <r>
    <n v="534"/>
    <s v="74630"/>
    <n v="1"/>
    <s v="174630.534"/>
    <s v="דלק ושמן                        "/>
    <m/>
    <m/>
    <n v="500000"/>
    <n v="500000"/>
    <n v="633950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5"/>
    <x v="11"/>
    <s v="53"/>
    <s v="הוצאות רכב מינהלי"/>
    <s v="534"/>
    <e v="#N/A"/>
  </r>
  <r>
    <n v="722"/>
    <s v="74630"/>
    <n v="1"/>
    <s v="174630.722"/>
    <s v="חמרי דישון והדברה               "/>
    <m/>
    <m/>
    <n v="60000"/>
    <n v="60000"/>
    <n v="56330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2"/>
    <s v="חומרים"/>
    <s v="722"/>
    <e v="#N/A"/>
  </r>
  <r>
    <n v="751"/>
    <s v="74630"/>
    <n v="1"/>
    <s v="174630.751"/>
    <s v="השקיה וטיפול בעצים צעירים       "/>
    <m/>
    <m/>
    <n v="1730000"/>
    <n v="1730000"/>
    <n v="1735720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1"/>
    <e v="#N/A"/>
  </r>
  <r>
    <n v="752"/>
    <s v="74630"/>
    <n v="1"/>
    <s v="174630.752"/>
    <s v="אחזקת גנים ושטחים מגוננים       "/>
    <m/>
    <m/>
    <n v="44030000"/>
    <n v="41888000"/>
    <n v="41517193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2"/>
    <e v="#N/A"/>
  </r>
  <r>
    <n v="753"/>
    <s v="74630"/>
    <n v="1"/>
    <s v="174630.753"/>
    <s v="גיזום עצים ופינוי הגזם          "/>
    <m/>
    <m/>
    <n v="6050000"/>
    <n v="6270000"/>
    <n v="6311490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3"/>
    <e v="#N/A"/>
  </r>
  <r>
    <n v="754"/>
    <s v="74630"/>
    <n v="1"/>
    <s v="174630.754"/>
    <s v="שמירה בגנים                     "/>
    <m/>
    <m/>
    <n v="255000"/>
    <n v="405000"/>
    <n v="125907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4"/>
    <e v="#N/A"/>
  </r>
  <r>
    <n v="755"/>
    <s v="74630"/>
    <n v="1"/>
    <s v="174630.755"/>
    <s v="שמירה על פסל דני קראוון         "/>
    <m/>
    <m/>
    <n v="570000"/>
    <n v="380000"/>
    <n v="431003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5"/>
    <e v="#N/A"/>
  </r>
  <r>
    <n v="757"/>
    <s v="74630"/>
    <n v="1"/>
    <s v="174630.757"/>
    <s v="אחזקת מערכת השקייה              "/>
    <m/>
    <m/>
    <n v="1260000"/>
    <n v="1177000"/>
    <n v="1079497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7"/>
    <e v="#N/A"/>
  </r>
  <r>
    <n v="758"/>
    <s v="74630"/>
    <n v="1"/>
    <s v="174630.758"/>
    <s v="חלוקת סכך                       "/>
    <m/>
    <m/>
    <n v="25000"/>
    <n v="25000"/>
    <n v="25055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5"/>
    <s v="עבודות קבלניות"/>
    <s v="758"/>
    <e v="#N/A"/>
  </r>
  <r>
    <n v="781"/>
    <s v="74630"/>
    <n v="1"/>
    <s v="174630.781"/>
    <s v="נטיעת עצים                      "/>
    <m/>
    <m/>
    <n v="350000"/>
    <n v="350000"/>
    <n v="349849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8"/>
    <s v="הוצאות שונות"/>
    <s v="781"/>
    <e v="#N/A"/>
  </r>
  <r>
    <n v="782"/>
    <s v="74630"/>
    <n v="1"/>
    <s v="174630.782"/>
    <s v="שיקום ברחובות ובצירים           "/>
    <m/>
    <m/>
    <n v="500000"/>
    <n v="500000"/>
    <n v="500803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8"/>
    <s v="הוצאות שונות"/>
    <s v="782"/>
    <e v="#N/A"/>
  </r>
  <r>
    <n v="783"/>
    <s v="74630"/>
    <n v="1"/>
    <s v="174630.783"/>
    <s v="שיקום מערכות השקיה              "/>
    <m/>
    <m/>
    <n v="350000"/>
    <n v="350000"/>
    <n v="340434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8"/>
    <s v="הוצאות שונות"/>
    <s v="783"/>
    <e v="#N/A"/>
  </r>
  <r>
    <n v="785"/>
    <s v="74630"/>
    <n v="1"/>
    <s v="174630.785"/>
    <s v="צמחיה עונתית                    "/>
    <m/>
    <m/>
    <n v="1400000"/>
    <n v="1800000"/>
    <n v="1972219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8"/>
    <s v="הוצאות שונות"/>
    <s v="785"/>
    <e v="#N/A"/>
  </r>
  <r>
    <n v="786"/>
    <s v="74630"/>
    <n v="1"/>
    <s v="174630.786"/>
    <s v="השתתפות באירועים                "/>
    <m/>
    <m/>
    <n v="40000"/>
    <n v="40000"/>
    <n v="39093"/>
    <m/>
    <x v="6"/>
    <s v="שירותים מקומיים"/>
    <x v="28"/>
    <s v="נכסים ציבוריים"/>
    <x v="93"/>
    <s v="גנים ונטיעות"/>
    <s v="7463"/>
    <s v="מזרקות ואלמנטי רחוב אומנותיים"/>
    <m/>
    <s v="7"/>
    <x v="13"/>
    <s v="78"/>
    <s v="הוצאות שונות"/>
    <s v="786"/>
    <e v="#N/A"/>
  </r>
  <r>
    <n v="110"/>
    <s v="74640"/>
    <n v="1"/>
    <s v="174640.110"/>
    <s v="משכורת כוללת                    "/>
    <m/>
    <m/>
    <n v="604000"/>
    <n v="601000"/>
    <n v="554916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1"/>
    <s v="השכר הקובע"/>
    <s v="110"/>
    <e v="#N/A"/>
  </r>
  <r>
    <n v="124"/>
    <s v="74640"/>
    <n v="1"/>
    <s v="174640.124"/>
    <s v="החזר הוצאות                     "/>
    <m/>
    <m/>
    <n v="47000"/>
    <n v="46000"/>
    <n v="43611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2"/>
    <s v="תוספות שאינן נכללות בשכר הקובע"/>
    <s v="124"/>
    <e v="#N/A"/>
  </r>
  <r>
    <n v="126"/>
    <s v="74640"/>
    <n v="1"/>
    <s v="174640.126"/>
    <s v="הבראה                           "/>
    <m/>
    <m/>
    <n v="36000"/>
    <n v="39000"/>
    <n v="37639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2"/>
    <s v="תוספות שאינן נכללות בשכר הקובע"/>
    <s v="126"/>
    <e v="#N/A"/>
  </r>
  <r>
    <n v="127"/>
    <s v="74640"/>
    <n v="1"/>
    <s v="174640.127"/>
    <s v="השתתפות באחזקת רכב - 3          "/>
    <m/>
    <m/>
    <n v="74000"/>
    <n v="68000"/>
    <n v="60489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2"/>
    <s v="תוספות שאינן נכללות בשכר הקובע"/>
    <s v="127"/>
    <e v="#N/A"/>
  </r>
  <r>
    <n v="130"/>
    <s v="74640"/>
    <n v="1"/>
    <s v="174640.130"/>
    <s v="תשלומים מיוחדים                 "/>
    <m/>
    <m/>
    <n v="128000"/>
    <n v="143000"/>
    <n v="118892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3"/>
    <s v="שעות נוספות"/>
    <s v="130"/>
    <e v="#N/A"/>
  </r>
  <r>
    <n v="181"/>
    <s v="74640"/>
    <n v="1"/>
    <s v="174640.181"/>
    <s v="מיסים וביטוח לאומי              "/>
    <m/>
    <m/>
    <n v="116000"/>
    <n v="117000"/>
    <n v="106084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8"/>
    <s v="נלוות לשכר"/>
    <s v="181"/>
    <s v="הפרשות סוציאליות"/>
  </r>
  <r>
    <n v="182"/>
    <s v="74640"/>
    <n v="1"/>
    <s v="174640.182"/>
    <s v="קופות גמל והשתלמות              "/>
    <m/>
    <m/>
    <n v="143000"/>
    <n v="142000"/>
    <n v="130112"/>
    <m/>
    <x v="6"/>
    <s v="שירותים מקומיים"/>
    <x v="28"/>
    <s v="נכסים ציבוריים"/>
    <x v="93"/>
    <s v="גנים ונטיעות"/>
    <s v="7464"/>
    <s v="ריהוט רחוב ומתקני משחקים"/>
    <m/>
    <s v="1"/>
    <x v="9"/>
    <s v="18"/>
    <s v="נלוות לשכר"/>
    <s v="182"/>
    <s v="מיסיום ועלויות"/>
  </r>
  <r>
    <n v="722"/>
    <s v="74640"/>
    <n v="1"/>
    <s v="174640.722"/>
    <s v="שתילים וזרעים למשתלה            "/>
    <m/>
    <m/>
    <n v="80000"/>
    <n v="80000"/>
    <n v="75470"/>
    <m/>
    <x v="6"/>
    <s v="שירותים מקומיים"/>
    <x v="28"/>
    <s v="נכסים ציבוריים"/>
    <x v="93"/>
    <s v="גנים ונטיעות"/>
    <s v="7464"/>
    <s v="ריהוט רחוב ומתקני משחקים"/>
    <m/>
    <s v="7"/>
    <x v="13"/>
    <s v="72"/>
    <s v="חומרים"/>
    <s v="722"/>
    <e v="#N/A"/>
  </r>
  <r>
    <n v="723"/>
    <s v="74640"/>
    <n v="1"/>
    <s v="174640.723"/>
    <s v="עציצים וחומרי מצע               "/>
    <m/>
    <m/>
    <n v="80000"/>
    <n v="80000"/>
    <n v="77468"/>
    <m/>
    <x v="6"/>
    <s v="שירותים מקומיים"/>
    <x v="28"/>
    <s v="נכסים ציבוריים"/>
    <x v="93"/>
    <s v="גנים ונטיעות"/>
    <s v="7464"/>
    <s v="ריהוט רחוב ומתקני משחקים"/>
    <m/>
    <s v="7"/>
    <x v="13"/>
    <s v="72"/>
    <s v="חומרים"/>
    <s v="723"/>
    <e v="#N/A"/>
  </r>
  <r>
    <n v="110"/>
    <s v="74650"/>
    <n v="1"/>
    <s v="174650.110"/>
    <s v="משכורת כוללת                    "/>
    <m/>
    <m/>
    <n v="1399000"/>
    <n v="1311000"/>
    <n v="1264692"/>
    <m/>
    <x v="6"/>
    <s v="שירותים מקומיים"/>
    <x v="28"/>
    <s v="נכסים ציבוריים"/>
    <x v="93"/>
    <s v="גנים ונטיעות"/>
    <s v="7465"/>
    <e v="#N/A"/>
    <m/>
    <s v="1"/>
    <x v="9"/>
    <s v="11"/>
    <s v="השכר הקובע"/>
    <s v="110"/>
    <e v="#N/A"/>
  </r>
  <r>
    <n v="124"/>
    <s v="74650"/>
    <n v="1"/>
    <s v="174650.124"/>
    <s v="החזר הוצאות                     "/>
    <m/>
    <m/>
    <n v="88000"/>
    <n v="91000"/>
    <n v="86517"/>
    <m/>
    <x v="6"/>
    <s v="שירותים מקומיים"/>
    <x v="28"/>
    <s v="נכסים ציבוריים"/>
    <x v="93"/>
    <s v="גנים ונטיעות"/>
    <s v="7465"/>
    <e v="#N/A"/>
    <m/>
    <s v="1"/>
    <x v="9"/>
    <s v="12"/>
    <s v="תוספות שאינן נכללות בשכר הקובע"/>
    <s v="124"/>
    <e v="#N/A"/>
  </r>
  <r>
    <n v="126"/>
    <s v="74650"/>
    <n v="1"/>
    <s v="174650.126"/>
    <s v="הבראה                           "/>
    <m/>
    <m/>
    <n v="63000"/>
    <n v="57000"/>
    <n v="56364"/>
    <m/>
    <x v="6"/>
    <s v="שירותים מקומיים"/>
    <x v="28"/>
    <s v="נכסים ציבוריים"/>
    <x v="93"/>
    <s v="גנים ונטיעות"/>
    <s v="7465"/>
    <e v="#N/A"/>
    <m/>
    <s v="1"/>
    <x v="9"/>
    <s v="12"/>
    <s v="תוספות שאינן נכללות בשכר הקובע"/>
    <s v="126"/>
    <e v="#N/A"/>
  </r>
  <r>
    <n v="127"/>
    <s v="74650"/>
    <n v="1"/>
    <s v="174650.127"/>
    <s v="השתתפות באחזקת רכב - 10         "/>
    <m/>
    <m/>
    <n v="331000"/>
    <n v="303000"/>
    <n v="298359"/>
    <m/>
    <x v="6"/>
    <s v="שירותים מקומיים"/>
    <x v="28"/>
    <s v="נכסים ציבוריים"/>
    <x v="93"/>
    <s v="גנים ונטיעות"/>
    <s v="7465"/>
    <e v="#N/A"/>
    <m/>
    <s v="1"/>
    <x v="9"/>
    <s v="12"/>
    <s v="תוספות שאינן נכללות בשכר הקובע"/>
    <s v="127"/>
    <e v="#N/A"/>
  </r>
  <r>
    <n v="130"/>
    <s v="74650"/>
    <n v="1"/>
    <s v="174650.130"/>
    <s v="תשלומים מיוחדים                 "/>
    <m/>
    <m/>
    <n v="528000"/>
    <n v="433000"/>
    <n v="436965"/>
    <m/>
    <x v="6"/>
    <s v="שירותים מקומיים"/>
    <x v="28"/>
    <s v="נכסים ציבוריים"/>
    <x v="93"/>
    <s v="גנים ונטיעות"/>
    <s v="7465"/>
    <e v="#N/A"/>
    <m/>
    <s v="1"/>
    <x v="9"/>
    <s v="13"/>
    <s v="שעות נוספות"/>
    <s v="130"/>
    <e v="#N/A"/>
  </r>
  <r>
    <n v="181"/>
    <s v="74650"/>
    <n v="1"/>
    <s v="174650.181"/>
    <s v="מיסים וביטוח לאומי              "/>
    <m/>
    <m/>
    <n v="315000"/>
    <n v="287000"/>
    <n v="299431"/>
    <m/>
    <x v="6"/>
    <s v="שירותים מקומיים"/>
    <x v="28"/>
    <s v="נכסים ציבוריים"/>
    <x v="93"/>
    <s v="גנים ונטיעות"/>
    <s v="7465"/>
    <e v="#N/A"/>
    <m/>
    <s v="1"/>
    <x v="9"/>
    <s v="18"/>
    <s v="נלוות לשכר"/>
    <s v="181"/>
    <s v="הפרשות סוציאליות"/>
  </r>
  <r>
    <n v="182"/>
    <s v="74650"/>
    <n v="1"/>
    <s v="174650.182"/>
    <s v="קופות גמל והשתלמות              "/>
    <m/>
    <m/>
    <n v="270000"/>
    <n v="249000"/>
    <n v="230175"/>
    <m/>
    <x v="6"/>
    <s v="שירותים מקומיים"/>
    <x v="28"/>
    <s v="נכסים ציבוריים"/>
    <x v="93"/>
    <s v="גנים ונטיעות"/>
    <s v="7465"/>
    <e v="#N/A"/>
    <m/>
    <s v="1"/>
    <x v="9"/>
    <s v="18"/>
    <s v="נלוות לשכר"/>
    <s v="182"/>
    <s v="מיסיום ועלויות"/>
  </r>
  <r>
    <n v="670"/>
    <s v="74660"/>
    <n v="1"/>
    <s v="174660.670"/>
    <s v="סעיפים שאינם חוזרים             "/>
    <m/>
    <m/>
    <n v="0"/>
    <n v="0"/>
    <n v="7932"/>
    <m/>
    <x v="6"/>
    <s v="שירותים מקומיים"/>
    <x v="28"/>
    <s v="נכסים ציבוריים"/>
    <x v="93"/>
    <s v="גנים ונטיעות"/>
    <s v="7466"/>
    <e v="#N/A"/>
    <m/>
    <s v="6"/>
    <x v="12"/>
    <s v="67"/>
    <e v="#N/A"/>
    <s v="670"/>
    <e v="#N/A"/>
  </r>
  <r>
    <n v="842"/>
    <s v="74660"/>
    <n v="1"/>
    <s v="174660.842"/>
    <s v="השתתפות לחברת גני יהושע         "/>
    <m/>
    <m/>
    <n v="13600000"/>
    <n v="13600000"/>
    <n v="23160000"/>
    <m/>
    <x v="6"/>
    <s v="שירותים מקומיים"/>
    <x v="28"/>
    <s v="נכסים ציבוריים"/>
    <x v="93"/>
    <s v="גנים ונטיעות"/>
    <s v="7466"/>
    <e v="#N/A"/>
    <m/>
    <s v="8"/>
    <x v="16"/>
    <s v="84"/>
    <s v="תמיכות רווחה"/>
    <s v="842"/>
    <e v="#N/A"/>
  </r>
  <r>
    <n v="843"/>
    <s v="74660"/>
    <n v="1"/>
    <s v="174660.843"/>
    <s v="שירותים ציבוריים - הר' לפיתוח כל"/>
    <m/>
    <m/>
    <n v="2480000"/>
    <n v="0"/>
    <n v="0"/>
    <m/>
    <x v="6"/>
    <s v="שירותים מקומיים"/>
    <x v="28"/>
    <s v="נכסים ציבוריים"/>
    <x v="93"/>
    <s v="גנים ונטיעות"/>
    <s v="7466"/>
    <e v="#N/A"/>
    <m/>
    <s v="8"/>
    <x v="16"/>
    <s v="84"/>
    <s v="תמיכות רווחה"/>
    <s v="843"/>
    <e v="#N/A"/>
  </r>
  <r>
    <n v="870"/>
    <s v="74660"/>
    <n v="1"/>
    <s v="174660.870"/>
    <s v="סעיף שאינו חוזר                 "/>
    <m/>
    <m/>
    <n v="0"/>
    <n v="0"/>
    <n v="175000"/>
    <m/>
    <x v="6"/>
    <s v="שירותים מקומיים"/>
    <x v="28"/>
    <s v="נכסים ציבוריים"/>
    <x v="93"/>
    <s v="גנים ונטיעות"/>
    <s v="7466"/>
    <e v="#N/A"/>
    <m/>
    <s v="8"/>
    <x v="16"/>
    <s v="87"/>
    <s v="תמיכות ביחידות סמך ומוסדות הרשות"/>
    <s v="870"/>
    <e v="#N/A"/>
  </r>
  <r>
    <n v="110"/>
    <s v="74680"/>
    <n v="1"/>
    <s v="174680.110"/>
    <s v="משכורת כוללת                    "/>
    <m/>
    <m/>
    <n v="1619000"/>
    <n v="1494000"/>
    <n v="1502050"/>
    <m/>
    <x v="6"/>
    <s v="שירותים מקומיים"/>
    <x v="28"/>
    <s v="נכסים ציבוריים"/>
    <x v="93"/>
    <s v="גנים ונטיעות"/>
    <s v="7468"/>
    <e v="#N/A"/>
    <m/>
    <s v="1"/>
    <x v="9"/>
    <s v="11"/>
    <s v="השכר הקובע"/>
    <s v="110"/>
    <e v="#N/A"/>
  </r>
  <r>
    <n v="124"/>
    <s v="74680"/>
    <n v="1"/>
    <s v="174680.124"/>
    <s v="החזר הוצאות                     "/>
    <m/>
    <m/>
    <n v="103000"/>
    <n v="91000"/>
    <n v="95736"/>
    <m/>
    <x v="6"/>
    <s v="שירותים מקומיים"/>
    <x v="28"/>
    <s v="נכסים ציבוריים"/>
    <x v="93"/>
    <s v="גנים ונטיעות"/>
    <s v="7468"/>
    <e v="#N/A"/>
    <m/>
    <s v="1"/>
    <x v="9"/>
    <s v="12"/>
    <s v="תוספות שאינן נכללות בשכר הקובע"/>
    <s v="124"/>
    <e v="#N/A"/>
  </r>
  <r>
    <n v="126"/>
    <s v="74680"/>
    <n v="1"/>
    <s v="174680.126"/>
    <s v="הבראה                           "/>
    <m/>
    <m/>
    <n v="84000"/>
    <n v="79000"/>
    <n v="80007"/>
    <m/>
    <x v="6"/>
    <s v="שירותים מקומיים"/>
    <x v="28"/>
    <s v="נכסים ציבוריים"/>
    <x v="93"/>
    <s v="גנים ונטיעות"/>
    <s v="7468"/>
    <e v="#N/A"/>
    <m/>
    <s v="1"/>
    <x v="9"/>
    <s v="12"/>
    <s v="תוספות שאינן נכללות בשכר הקובע"/>
    <s v="126"/>
    <e v="#N/A"/>
  </r>
  <r>
    <n v="127"/>
    <s v="74680"/>
    <n v="1"/>
    <s v="174680.127"/>
    <s v="השתתפות באחזקת רכב - 15         "/>
    <m/>
    <m/>
    <n v="380000"/>
    <n v="362000"/>
    <n v="387936"/>
    <m/>
    <x v="6"/>
    <s v="שירותים מקומיים"/>
    <x v="28"/>
    <s v="נכסים ציבוריים"/>
    <x v="93"/>
    <s v="גנים ונטיעות"/>
    <s v="7468"/>
    <e v="#N/A"/>
    <m/>
    <s v="1"/>
    <x v="9"/>
    <s v="12"/>
    <s v="תוספות שאינן נכללות בשכר הקובע"/>
    <s v="127"/>
    <e v="#N/A"/>
  </r>
  <r>
    <n v="130"/>
    <s v="74680"/>
    <n v="1"/>
    <s v="174680.130"/>
    <s v="תשלומים מיוחדים                 "/>
    <m/>
    <m/>
    <n v="488000"/>
    <n v="472000"/>
    <n v="469472"/>
    <m/>
    <x v="6"/>
    <s v="שירותים מקומיים"/>
    <x v="28"/>
    <s v="נכסים ציבוריים"/>
    <x v="93"/>
    <s v="גנים ונטיעות"/>
    <s v="7468"/>
    <e v="#N/A"/>
    <m/>
    <s v="1"/>
    <x v="9"/>
    <s v="13"/>
    <s v="שעות נוספות"/>
    <s v="130"/>
    <e v="#N/A"/>
  </r>
  <r>
    <n v="181"/>
    <s v="74680"/>
    <n v="1"/>
    <s v="174680.181"/>
    <s v="מיסים וביטוח לאומי              "/>
    <m/>
    <m/>
    <n v="350000"/>
    <n v="334000"/>
    <n v="365022"/>
    <m/>
    <x v="6"/>
    <s v="שירותים מקומיים"/>
    <x v="28"/>
    <s v="נכסים ציבוריים"/>
    <x v="93"/>
    <s v="גנים ונטיעות"/>
    <s v="7468"/>
    <e v="#N/A"/>
    <m/>
    <s v="1"/>
    <x v="9"/>
    <s v="18"/>
    <s v="נלוות לשכר"/>
    <s v="181"/>
    <s v="הפרשות סוציאליות"/>
  </r>
  <r>
    <n v="182"/>
    <s v="74680"/>
    <n v="1"/>
    <s v="174680.182"/>
    <s v="קופות גמל והשתלמות              "/>
    <m/>
    <m/>
    <n v="388000"/>
    <n v="367000"/>
    <n v="363876"/>
    <m/>
    <x v="6"/>
    <s v="שירותים מקומיים"/>
    <x v="28"/>
    <s v="נכסים ציבוריים"/>
    <x v="93"/>
    <s v="גנים ונטיעות"/>
    <s v="7468"/>
    <e v="#N/A"/>
    <m/>
    <s v="1"/>
    <x v="9"/>
    <s v="18"/>
    <s v="נלוות לשכר"/>
    <s v="182"/>
    <s v="מיסיום ועלויות"/>
  </r>
  <r>
    <n v="230"/>
    <s v="74680"/>
    <n v="1"/>
    <s v="174680.230"/>
    <s v="משימה חולפת - 1                 "/>
    <m/>
    <m/>
    <n v="1000"/>
    <n v="54000"/>
    <n v="49713"/>
    <m/>
    <x v="6"/>
    <s v="שירותים מקומיים"/>
    <x v="28"/>
    <s v="נכסים ציבוריים"/>
    <x v="93"/>
    <s v="גנים ונטיעות"/>
    <s v="7468"/>
    <e v="#N/A"/>
    <m/>
    <s v="2"/>
    <x v="10"/>
    <s v="23"/>
    <s v="שעות נוספות"/>
    <s v="230"/>
    <e v="#N/A"/>
  </r>
  <r>
    <n v="752"/>
    <s v="74680"/>
    <n v="1"/>
    <s v="174680.752"/>
    <s v="מטה חורף                        "/>
    <m/>
    <m/>
    <n v="120000"/>
    <n v="120000"/>
    <n v="94555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2"/>
    <e v="#N/A"/>
  </r>
  <r>
    <n v="754"/>
    <s v="74680"/>
    <n v="1"/>
    <s v="174680.754"/>
    <s v="פינוי פסולת בנין                "/>
    <m/>
    <m/>
    <n v="3390000"/>
    <n v="3590000"/>
    <n v="3533657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4"/>
    <e v="#N/A"/>
  </r>
  <r>
    <n v="756"/>
    <s v="74680"/>
    <n v="1"/>
    <s v="174680.756"/>
    <s v="הסרת שילוט                      "/>
    <m/>
    <m/>
    <n v="220000"/>
    <n v="220000"/>
    <n v="267159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6"/>
    <e v="#N/A"/>
  </r>
  <r>
    <n v="757"/>
    <s v="74680"/>
    <n v="1"/>
    <s v="174680.757"/>
    <s v="הסרת מפגעים                     "/>
    <m/>
    <m/>
    <n v="200000"/>
    <n v="200000"/>
    <n v="237091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7"/>
    <e v="#N/A"/>
  </r>
  <r>
    <n v="758"/>
    <s v="74680"/>
    <n v="1"/>
    <s v="174680.758"/>
    <s v="הריסת מבנים מסוכנים             "/>
    <m/>
    <m/>
    <n v="1700000"/>
    <n v="1700000"/>
    <n v="1571105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8"/>
    <e v="#N/A"/>
  </r>
  <r>
    <n v="759"/>
    <s v="74680"/>
    <n v="1"/>
    <s v="174680.759"/>
    <s v="צווי הריסה מינהליים             "/>
    <m/>
    <m/>
    <n v="2090000"/>
    <n v="2090000"/>
    <n v="2259853"/>
    <m/>
    <x v="6"/>
    <s v="שירותים מקומיים"/>
    <x v="28"/>
    <s v="נכסים ציבוריים"/>
    <x v="93"/>
    <s v="גנים ונטיעות"/>
    <s v="7468"/>
    <e v="#N/A"/>
    <m/>
    <s v="7"/>
    <x v="13"/>
    <s v="75"/>
    <s v="עבודות קבלניות"/>
    <s v="759"/>
    <e v="#N/A"/>
  </r>
  <r>
    <n v="750"/>
    <s v="74691"/>
    <n v="1"/>
    <s v="174691.750"/>
    <s v="עבודה בקבלנות                   "/>
    <m/>
    <m/>
    <n v="270000"/>
    <n v="270000"/>
    <n v="175092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0"/>
    <e v="#N/A"/>
  </r>
  <r>
    <n v="999"/>
    <s v="74691"/>
    <n v="1"/>
    <s v="174691.999"/>
    <s v="החזר הוצאות מיחידות עירוניות    "/>
    <m/>
    <m/>
    <n v="-200000"/>
    <n v="-200000"/>
    <n v="0"/>
    <m/>
    <x v="6"/>
    <s v="שירותים מקומיים"/>
    <x v="28"/>
    <s v="נכסים ציבוריים"/>
    <x v="93"/>
    <s v="גנים ונטיעות"/>
    <s v="7469"/>
    <e v="#N/A"/>
    <m/>
    <s v="9"/>
    <x v="17"/>
    <s v="99"/>
    <e v="#N/A"/>
    <s v="999"/>
    <e v="#N/A"/>
  </r>
  <r>
    <n v="721"/>
    <s v="74692"/>
    <n v="1"/>
    <s v="174692.721"/>
    <s v="חומרים וציוד עבודה              "/>
    <m/>
    <m/>
    <n v="100000"/>
    <n v="100000"/>
    <n v="99676"/>
    <m/>
    <x v="6"/>
    <s v="שירותים מקומיים"/>
    <x v="28"/>
    <s v="נכסים ציבוריים"/>
    <x v="93"/>
    <s v="גנים ונטיעות"/>
    <s v="7469"/>
    <e v="#N/A"/>
    <m/>
    <s v="7"/>
    <x v="13"/>
    <s v="72"/>
    <s v="חומרים"/>
    <s v="721"/>
    <e v="#N/A"/>
  </r>
  <r>
    <n v="751"/>
    <s v="74692"/>
    <n v="1"/>
    <s v="174692.751"/>
    <s v="אחזקת חצרות בתי ס וגני ל        "/>
    <m/>
    <m/>
    <n v="3967000"/>
    <n v="3710000"/>
    <n v="3547870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1"/>
    <e v="#N/A"/>
  </r>
  <r>
    <n v="752"/>
    <s v="74692"/>
    <n v="1"/>
    <s v="174692.752"/>
    <s v="אחזקת מתקני משחק וריהוט         "/>
    <m/>
    <m/>
    <n v="133000"/>
    <n v="130000"/>
    <n v="124662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2"/>
    <e v="#N/A"/>
  </r>
  <r>
    <n v="753"/>
    <s v="74692"/>
    <n v="1"/>
    <s v="174692.753"/>
    <s v="החלפת חול בארגזי חול            "/>
    <m/>
    <m/>
    <n v="1017000"/>
    <n v="950000"/>
    <n v="908197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3"/>
    <e v="#N/A"/>
  </r>
  <r>
    <n v="754"/>
    <s v="74692"/>
    <n v="1"/>
    <s v="174692.754"/>
    <s v="בדיקת בטיחות מתקני משחק         "/>
    <m/>
    <m/>
    <n v="276000"/>
    <n v="260000"/>
    <n v="219155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4"/>
    <e v="#N/A"/>
  </r>
  <r>
    <n v="755"/>
    <s v="74692"/>
    <n v="1"/>
    <s v="174692.755"/>
    <s v="גיזום עצים                      "/>
    <m/>
    <m/>
    <n v="1279000"/>
    <n v="1191000"/>
    <n v="674846"/>
    <m/>
    <x v="6"/>
    <s v="שירותים מקומיים"/>
    <x v="28"/>
    <s v="נכסים ציבוריים"/>
    <x v="93"/>
    <s v="גנים ונטיעות"/>
    <s v="7469"/>
    <e v="#N/A"/>
    <m/>
    <s v="7"/>
    <x v="13"/>
    <s v="75"/>
    <s v="עבודות קבלניות"/>
    <s v="755"/>
    <e v="#N/A"/>
  </r>
  <r>
    <n v="999"/>
    <s v="74692"/>
    <n v="1"/>
    <s v="174692.999"/>
    <s v="השתתפות מינהל חינוך             "/>
    <m/>
    <m/>
    <n v="-6772000"/>
    <n v="-6341000"/>
    <n v="-5699000"/>
    <m/>
    <x v="6"/>
    <s v="שירותים מקומיים"/>
    <x v="28"/>
    <s v="נכסים ציבוריים"/>
    <x v="93"/>
    <s v="גנים ונטיעות"/>
    <s v="7469"/>
    <e v="#N/A"/>
    <m/>
    <s v="9"/>
    <x v="17"/>
    <s v="99"/>
    <e v="#N/A"/>
    <s v="999"/>
    <e v="#N/A"/>
  </r>
  <r>
    <n v="110"/>
    <s v="74911"/>
    <n v="1"/>
    <s v="174911.110"/>
    <s v="משכורת כוללת                    "/>
    <m/>
    <m/>
    <n v="814000"/>
    <n v="850000"/>
    <n v="72270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1"/>
    <s v="השכר הקובע"/>
    <s v="110"/>
    <e v="#N/A"/>
  </r>
  <r>
    <n v="124"/>
    <s v="74911"/>
    <n v="1"/>
    <s v="174911.124"/>
    <s v="החזר הוצאות                     "/>
    <m/>
    <m/>
    <n v="29000"/>
    <n v="37000"/>
    <n v="30094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4"/>
    <e v="#N/A"/>
  </r>
  <r>
    <n v="126"/>
    <s v="74911"/>
    <n v="1"/>
    <s v="174911.126"/>
    <s v="הבראה                           "/>
    <m/>
    <m/>
    <n v="27000"/>
    <n v="31000"/>
    <n v="2533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6"/>
    <e v="#N/A"/>
  </r>
  <r>
    <n v="127"/>
    <s v="74911"/>
    <n v="1"/>
    <s v="174911.127"/>
    <s v="השתתפות באחזקת רכב-4            "/>
    <m/>
    <m/>
    <n v="118000"/>
    <n v="167000"/>
    <n v="14392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7"/>
    <e v="#N/A"/>
  </r>
  <r>
    <n v="130"/>
    <s v="74911"/>
    <n v="1"/>
    <s v="174911.130"/>
    <s v="תשלומים מיוחדים                 "/>
    <m/>
    <m/>
    <n v="136000"/>
    <n v="133000"/>
    <n v="140862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3"/>
    <s v="שעות נוספות"/>
    <s v="130"/>
    <e v="#N/A"/>
  </r>
  <r>
    <n v="181"/>
    <s v="74911"/>
    <n v="1"/>
    <s v="174911.181"/>
    <s v="מיסים וביטוח לאומי              "/>
    <m/>
    <m/>
    <n v="168000"/>
    <n v="180000"/>
    <n v="162065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1"/>
    <s v="הפרשות סוציאליות"/>
  </r>
  <r>
    <n v="182"/>
    <s v="74911"/>
    <n v="1"/>
    <s v="174911.182"/>
    <s v="קופות גמל והשתלמות              "/>
    <m/>
    <m/>
    <n v="121000"/>
    <n v="184000"/>
    <n v="11850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2"/>
    <s v="מיסיום ועלויות"/>
  </r>
  <r>
    <n v="310"/>
    <s v="74911"/>
    <n v="1"/>
    <s v="174911.310"/>
    <s v="שעות נוספות רשומות              "/>
    <m/>
    <m/>
    <n v="157000"/>
    <n v="154000"/>
    <n v="239213"/>
    <m/>
    <x v="6"/>
    <s v="שירותים מקומיים"/>
    <x v="28"/>
    <s v="נכסים ציבוריים"/>
    <x v="94"/>
    <s v="נכסים ציבוריים אחרים"/>
    <s v="7491"/>
    <e v="#N/A"/>
    <m/>
    <s v="3"/>
    <x v="14"/>
    <s v="31"/>
    <s v="פנסיה"/>
    <s v="310"/>
    <e v="#N/A"/>
  </r>
  <r>
    <n v="433"/>
    <s v="74911"/>
    <n v="1"/>
    <s v="174911.433"/>
    <s v="ביטוח                           "/>
    <m/>
    <m/>
    <n v="74000"/>
    <n v="72000"/>
    <n v="60000"/>
    <m/>
    <x v="6"/>
    <s v="שירותים מקומיים"/>
    <x v="28"/>
    <s v="נכסים ציבוריים"/>
    <x v="94"/>
    <s v="נכסים ציבוריים אחרים"/>
    <s v="7491"/>
    <e v="#N/A"/>
    <m/>
    <s v="4"/>
    <x v="15"/>
    <s v="43"/>
    <s v="חשמל, מים וחומרי ניקיון"/>
    <s v="433"/>
    <s v="חומרי ניקיון"/>
  </r>
  <r>
    <n v="461"/>
    <s v="74911"/>
    <n v="1"/>
    <s v="174911.461"/>
    <s v="צורכי משרד                      "/>
    <m/>
    <m/>
    <n v="14000"/>
    <n v="14000"/>
    <n v="11716"/>
    <m/>
    <x v="6"/>
    <s v="שירותים מקומיים"/>
    <x v="28"/>
    <s v="נכסים ציבוריים"/>
    <x v="94"/>
    <s v="נכסים ציבוריים אחרים"/>
    <s v="7491"/>
    <e v="#N/A"/>
    <m/>
    <s v="4"/>
    <x v="15"/>
    <s v="46"/>
    <e v="#N/A"/>
    <s v="461"/>
    <e v="#N/A"/>
  </r>
  <r>
    <n v="462"/>
    <s v="74911"/>
    <n v="1"/>
    <s v="174911.462"/>
    <s v="ספרים ועתונים                   "/>
    <m/>
    <m/>
    <n v="5000"/>
    <n v="5000"/>
    <n v="6913"/>
    <m/>
    <x v="6"/>
    <s v="שירותים מקומיים"/>
    <x v="28"/>
    <s v="נכסים ציבוריים"/>
    <x v="94"/>
    <s v="נכסים ציבוריים אחרים"/>
    <s v="7491"/>
    <e v="#N/A"/>
    <m/>
    <s v="4"/>
    <x v="15"/>
    <s v="46"/>
    <e v="#N/A"/>
    <s v="462"/>
    <e v="#N/A"/>
  </r>
  <r>
    <n v="531"/>
    <s v="74911"/>
    <n v="1"/>
    <s v="174911.531"/>
    <s v="אחזקת רכב                       "/>
    <m/>
    <m/>
    <n v="7000"/>
    <n v="7000"/>
    <n v="1592"/>
    <m/>
    <x v="6"/>
    <s v="שירותים מקומיים"/>
    <x v="28"/>
    <s v="נכסים ציבוריים"/>
    <x v="94"/>
    <s v="נכסים ציבוריים אחרים"/>
    <s v="7491"/>
    <e v="#N/A"/>
    <m/>
    <s v="5"/>
    <x v="11"/>
    <s v="53"/>
    <s v="הוצאות רכב מינהלי"/>
    <s v="531"/>
    <s v="דלק ושמנים"/>
  </r>
  <r>
    <n v="533"/>
    <s v="74911"/>
    <n v="1"/>
    <s v="174911.533"/>
    <s v="שכירת רכב ורכב עירוני           "/>
    <m/>
    <m/>
    <n v="196000"/>
    <n v="198000"/>
    <n v="131592"/>
    <m/>
    <x v="6"/>
    <s v="שירותים מקומיים"/>
    <x v="28"/>
    <s v="נכסים ציבוריים"/>
    <x v="94"/>
    <s v="נכסים ציבוריים אחרים"/>
    <s v="7491"/>
    <e v="#N/A"/>
    <m/>
    <s v="5"/>
    <x v="11"/>
    <s v="53"/>
    <s v="הוצאות רכב מינהלי"/>
    <s v="533"/>
    <s v="רישוי וביטוח"/>
  </r>
  <r>
    <n v="534"/>
    <s v="74911"/>
    <n v="1"/>
    <s v="174911.534"/>
    <s v="דלק ושמן                        "/>
    <m/>
    <m/>
    <n v="54000"/>
    <n v="14000"/>
    <n v="17412"/>
    <m/>
    <x v="6"/>
    <s v="שירותים מקומיים"/>
    <x v="28"/>
    <s v="נכסים ציבוריים"/>
    <x v="94"/>
    <s v="נכסים ציבוריים אחרים"/>
    <s v="7491"/>
    <e v="#N/A"/>
    <m/>
    <s v="5"/>
    <x v="11"/>
    <s v="53"/>
    <s v="הוצאות רכב מינהלי"/>
    <s v="534"/>
    <e v="#N/A"/>
  </r>
  <r>
    <n v="670"/>
    <s v="74911"/>
    <n v="1"/>
    <s v="174911.670"/>
    <s v="סעיף שאינו חוזר                 "/>
    <m/>
    <m/>
    <n v="0"/>
    <n v="0"/>
    <n v="137328"/>
    <m/>
    <x v="6"/>
    <s v="שירותים מקומיים"/>
    <x v="28"/>
    <s v="נכסים ציבוריים"/>
    <x v="94"/>
    <s v="נכסים ציבוריים אחרים"/>
    <s v="7491"/>
    <e v="#N/A"/>
    <m/>
    <s v="6"/>
    <x v="12"/>
    <s v="67"/>
    <e v="#N/A"/>
    <s v="670"/>
    <e v="#N/A"/>
  </r>
  <r>
    <n v="691"/>
    <s v="74911"/>
    <n v="1"/>
    <s v="174911.691"/>
    <s v="מערכות מידע ומחשוב              "/>
    <m/>
    <m/>
    <n v="570000"/>
    <n v="500000"/>
    <n v="424334"/>
    <m/>
    <x v="6"/>
    <s v="שירותים מקומיים"/>
    <x v="28"/>
    <s v="נכסים ציבוריים"/>
    <x v="94"/>
    <s v="נכסים ציבוריים אחרים"/>
    <s v="7491"/>
    <e v="#N/A"/>
    <m/>
    <s v="6"/>
    <x v="12"/>
    <s v="69"/>
    <s v="שונות"/>
    <s v="691"/>
    <s v="תשלום ע&quot;ח קרן"/>
  </r>
  <r>
    <n v="751"/>
    <s v="74911"/>
    <n v="1"/>
    <s v="174911.751"/>
    <s v="ייעוץ מקצועי                    "/>
    <m/>
    <m/>
    <n v="30000"/>
    <n v="30000"/>
    <n v="0"/>
    <m/>
    <x v="6"/>
    <s v="שירותים מקומיים"/>
    <x v="28"/>
    <s v="נכסים ציבוריים"/>
    <x v="94"/>
    <s v="נכסים ציבוריים אחרים"/>
    <s v="7491"/>
    <e v="#N/A"/>
    <m/>
    <s v="7"/>
    <x v="13"/>
    <s v="75"/>
    <s v="עבודות קבלניות"/>
    <s v="751"/>
    <e v="#N/A"/>
  </r>
  <r>
    <n v="932"/>
    <s v="74911"/>
    <n v="1"/>
    <s v="174911.932"/>
    <s v="ציוד וריהוט משרדי               "/>
    <m/>
    <m/>
    <n v="10000"/>
    <n v="10000"/>
    <n v="2591"/>
    <m/>
    <x v="6"/>
    <s v="שירותים מקומיים"/>
    <x v="28"/>
    <s v="נכסים ציבוריים"/>
    <x v="94"/>
    <s v="נכסים ציבוריים אחרים"/>
    <s v="7491"/>
    <e v="#N/A"/>
    <m/>
    <s v="9"/>
    <x v="17"/>
    <s v="93"/>
    <s v="רכישת ציוד יסודי"/>
    <s v="932"/>
    <e v="#N/A"/>
  </r>
  <r>
    <n v="110"/>
    <s v="74915"/>
    <n v="1"/>
    <s v="174915.110"/>
    <s v="משכורת כוללת                    "/>
    <m/>
    <m/>
    <n v="1361000"/>
    <n v="1252000"/>
    <n v="117159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1"/>
    <s v="השכר הקובע"/>
    <s v="110"/>
    <e v="#N/A"/>
  </r>
  <r>
    <n v="124"/>
    <s v="74915"/>
    <n v="1"/>
    <s v="174915.124"/>
    <s v="החזר הוצאות                     "/>
    <m/>
    <m/>
    <n v="81000"/>
    <n v="76000"/>
    <n v="6042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4"/>
    <e v="#N/A"/>
  </r>
  <r>
    <n v="126"/>
    <s v="74915"/>
    <n v="1"/>
    <s v="174915.126"/>
    <s v="הבראה                           "/>
    <m/>
    <m/>
    <n v="68000"/>
    <n v="65000"/>
    <n v="60254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6"/>
    <e v="#N/A"/>
  </r>
  <r>
    <n v="127"/>
    <s v="74915"/>
    <n v="1"/>
    <s v="174915.127"/>
    <s v="השתתפות באחזקת רכב-12           "/>
    <m/>
    <m/>
    <n v="308000"/>
    <n v="289000"/>
    <n v="27879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7"/>
    <e v="#N/A"/>
  </r>
  <r>
    <n v="130"/>
    <s v="74915"/>
    <n v="1"/>
    <s v="174915.130"/>
    <s v="תשלומים מיוחדים                 "/>
    <m/>
    <m/>
    <n v="278000"/>
    <n v="258000"/>
    <n v="18159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3"/>
    <s v="שעות נוספות"/>
    <s v="130"/>
    <e v="#N/A"/>
  </r>
  <r>
    <n v="181"/>
    <s v="74915"/>
    <n v="1"/>
    <s v="174915.181"/>
    <s v="מיסים וביטוח לאומי              "/>
    <m/>
    <m/>
    <n v="275000"/>
    <n v="255000"/>
    <n v="235489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1"/>
    <s v="הפרשות סוציאליות"/>
  </r>
  <r>
    <n v="182"/>
    <s v="74915"/>
    <n v="1"/>
    <s v="174915.182"/>
    <s v="קופות גמל והשתלמות              "/>
    <m/>
    <m/>
    <n v="299000"/>
    <n v="275000"/>
    <n v="209566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2"/>
    <s v="מיסיום ועלויות"/>
  </r>
  <r>
    <n v="340"/>
    <s v="74915"/>
    <n v="1"/>
    <s v="174915.340"/>
    <s v="שעות נוספות מיוחדות             "/>
    <m/>
    <m/>
    <n v="10000"/>
    <n v="10000"/>
    <n v="7044"/>
    <m/>
    <x v="6"/>
    <s v="שירותים מקומיים"/>
    <x v="28"/>
    <s v="נכסים ציבוריים"/>
    <x v="94"/>
    <s v="נכסים ציבוריים אחרים"/>
    <s v="7491"/>
    <e v="#N/A"/>
    <m/>
    <s v="3"/>
    <x v="14"/>
    <s v="34"/>
    <e v="#N/A"/>
    <s v="340"/>
    <e v="#N/A"/>
  </r>
  <r>
    <n v="110"/>
    <s v="74916"/>
    <n v="1"/>
    <s v="174916.110"/>
    <s v="משכורת כוללת                    "/>
    <m/>
    <m/>
    <n v="1096000"/>
    <n v="1106000"/>
    <n v="91401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1"/>
    <s v="השכר הקובע"/>
    <s v="110"/>
    <e v="#N/A"/>
  </r>
  <r>
    <n v="124"/>
    <s v="74916"/>
    <n v="1"/>
    <s v="174916.124"/>
    <s v="החזר הוצאות                     "/>
    <m/>
    <m/>
    <n v="81000"/>
    <n v="81000"/>
    <n v="69810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4"/>
    <e v="#N/A"/>
  </r>
  <r>
    <n v="126"/>
    <s v="74916"/>
    <n v="1"/>
    <s v="174916.126"/>
    <s v="הבראה                           "/>
    <m/>
    <m/>
    <n v="63000"/>
    <n v="63000"/>
    <n v="48258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6"/>
    <e v="#N/A"/>
  </r>
  <r>
    <n v="127"/>
    <s v="74916"/>
    <n v="1"/>
    <s v="174916.127"/>
    <s v="השתתפות באחזקת רכב-8            "/>
    <m/>
    <m/>
    <n v="261000"/>
    <n v="257000"/>
    <n v="21783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7"/>
    <e v="#N/A"/>
  </r>
  <r>
    <n v="130"/>
    <s v="74916"/>
    <n v="1"/>
    <s v="174916.130"/>
    <s v="תשלומים מיוחדים                 "/>
    <m/>
    <m/>
    <n v="173000"/>
    <n v="173000"/>
    <n v="14331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3"/>
    <s v="שעות נוספות"/>
    <s v="130"/>
    <e v="#N/A"/>
  </r>
  <r>
    <n v="181"/>
    <s v="74916"/>
    <n v="1"/>
    <s v="174916.181"/>
    <s v="מיסים וביטוח לאומי              "/>
    <m/>
    <m/>
    <n v="221000"/>
    <n v="222000"/>
    <n v="187672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1"/>
    <s v="הפרשות סוציאליות"/>
  </r>
  <r>
    <n v="182"/>
    <s v="74916"/>
    <n v="1"/>
    <s v="174916.182"/>
    <s v="קופות גמל והשתלמות              "/>
    <m/>
    <m/>
    <n v="260000"/>
    <n v="256000"/>
    <n v="177380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2"/>
    <s v="מיסיום ועלויות"/>
  </r>
  <r>
    <n v="340"/>
    <s v="74916"/>
    <n v="1"/>
    <s v="174916.340"/>
    <s v="שעות נוספות מיוחדות             "/>
    <m/>
    <m/>
    <n v="15000"/>
    <n v="15000"/>
    <n v="12168"/>
    <m/>
    <x v="6"/>
    <s v="שירותים מקומיים"/>
    <x v="28"/>
    <s v="נכסים ציבוריים"/>
    <x v="94"/>
    <s v="נכסים ציבוריים אחרים"/>
    <s v="7491"/>
    <e v="#N/A"/>
    <m/>
    <s v="3"/>
    <x v="14"/>
    <s v="34"/>
    <e v="#N/A"/>
    <s v="340"/>
    <e v="#N/A"/>
  </r>
  <r>
    <n v="110"/>
    <s v="74917"/>
    <n v="1"/>
    <s v="174917.110"/>
    <s v="משכורת כוללת                    "/>
    <m/>
    <m/>
    <n v="379000"/>
    <n v="275000"/>
    <n v="332174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1"/>
    <s v="השכר הקובע"/>
    <s v="110"/>
    <e v="#N/A"/>
  </r>
  <r>
    <n v="124"/>
    <s v="74917"/>
    <n v="1"/>
    <s v="174917.124"/>
    <s v="החזר הוצאות                     "/>
    <m/>
    <m/>
    <n v="20000"/>
    <n v="16000"/>
    <n v="16450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4"/>
    <e v="#N/A"/>
  </r>
  <r>
    <n v="126"/>
    <s v="74917"/>
    <n v="1"/>
    <s v="174917.126"/>
    <s v="הבראה                           "/>
    <m/>
    <m/>
    <n v="19000"/>
    <n v="19000"/>
    <n v="16818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6"/>
    <e v="#N/A"/>
  </r>
  <r>
    <n v="127"/>
    <s v="74917"/>
    <n v="1"/>
    <s v="174917.127"/>
    <s v="השתתפות באחזקת רכב - 3          "/>
    <m/>
    <m/>
    <n v="83000"/>
    <n v="84000"/>
    <n v="82706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2"/>
    <s v="תוספות שאינן נכללות בשכר הקובע"/>
    <s v="127"/>
    <e v="#N/A"/>
  </r>
  <r>
    <n v="130"/>
    <s v="74917"/>
    <n v="1"/>
    <s v="174917.130"/>
    <s v="תשלומים מיוחדים                 "/>
    <m/>
    <m/>
    <n v="80000"/>
    <n v="61000"/>
    <n v="70641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3"/>
    <s v="שעות נוספות"/>
    <s v="130"/>
    <e v="#N/A"/>
  </r>
  <r>
    <n v="181"/>
    <s v="74917"/>
    <n v="1"/>
    <s v="174917.181"/>
    <s v="מיסים וביטוח לאומי              "/>
    <m/>
    <m/>
    <n v="75000"/>
    <n v="60000"/>
    <n v="67983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1"/>
    <s v="הפרשות סוציאליות"/>
  </r>
  <r>
    <n v="182"/>
    <s v="74917"/>
    <n v="1"/>
    <s v="174917.182"/>
    <s v="קופות גמל והשתלמות              "/>
    <m/>
    <m/>
    <n v="64000"/>
    <n v="46000"/>
    <n v="52278"/>
    <m/>
    <x v="6"/>
    <s v="שירותים מקומיים"/>
    <x v="28"/>
    <s v="נכסים ציבוריים"/>
    <x v="94"/>
    <s v="נכסים ציבוריים אחרים"/>
    <s v="7491"/>
    <e v="#N/A"/>
    <m/>
    <s v="1"/>
    <x v="9"/>
    <s v="18"/>
    <s v="נלוות לשכר"/>
    <s v="182"/>
    <s v="מיסיום ועלויות"/>
  </r>
  <r>
    <n v="110"/>
    <s v="75120"/>
    <n v="1"/>
    <s v="175120.110"/>
    <s v="משכורת כוללת                    "/>
    <m/>
    <m/>
    <n v="411000"/>
    <n v="382000"/>
    <n v="385897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1"/>
    <s v="השכר הקובע"/>
    <s v="110"/>
    <e v="#N/A"/>
  </r>
  <r>
    <n v="124"/>
    <s v="75120"/>
    <n v="1"/>
    <s v="175120.124"/>
    <s v="החזר הוצאות                     "/>
    <m/>
    <m/>
    <n v="12000"/>
    <n v="22000"/>
    <n v="16708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2"/>
    <s v="תוספות שאינן נכללות בשכר הקובע"/>
    <s v="124"/>
    <e v="#N/A"/>
  </r>
  <r>
    <n v="126"/>
    <s v="75120"/>
    <n v="1"/>
    <s v="175120.126"/>
    <s v="הבראה                           "/>
    <m/>
    <m/>
    <n v="13000"/>
    <n v="24000"/>
    <n v="23165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2"/>
    <s v="תוספות שאינן נכללות בשכר הקובע"/>
    <s v="126"/>
    <e v="#N/A"/>
  </r>
  <r>
    <n v="127"/>
    <s v="75120"/>
    <n v="1"/>
    <s v="175120.127"/>
    <s v="השתתפות באחזקת רכב - 4          "/>
    <m/>
    <m/>
    <n v="96000"/>
    <n v="145000"/>
    <n v="141706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2"/>
    <s v="תוספות שאינן נכללות בשכר הקובע"/>
    <s v="127"/>
    <e v="#N/A"/>
  </r>
  <r>
    <n v="130"/>
    <s v="75120"/>
    <n v="1"/>
    <s v="175120.130"/>
    <s v="תשלומים מיוחדים                 "/>
    <m/>
    <m/>
    <n v="56000"/>
    <n v="62000"/>
    <n v="64539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3"/>
    <s v="שעות נוספות"/>
    <s v="130"/>
    <e v="#N/A"/>
  </r>
  <r>
    <n v="170"/>
    <s v="75120"/>
    <n v="1"/>
    <s v="175120.170"/>
    <s v="סעיף שאינו חוזר                 "/>
    <m/>
    <m/>
    <n v="0"/>
    <n v="93000"/>
    <n v="89112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7"/>
    <e v="#N/A"/>
    <s v="170"/>
    <e v="#N/A"/>
  </r>
  <r>
    <n v="181"/>
    <s v="75120"/>
    <n v="1"/>
    <s v="175120.181"/>
    <s v="מיסים וביטוח לאומי              "/>
    <m/>
    <m/>
    <n v="94000"/>
    <n v="113000"/>
    <n v="117260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8"/>
    <s v="נלוות לשכר"/>
    <s v="181"/>
    <s v="הפרשות סוציאליות"/>
  </r>
  <r>
    <n v="182"/>
    <s v="75120"/>
    <n v="1"/>
    <s v="175120.182"/>
    <s v="קופות גמל והשתלמות              "/>
    <m/>
    <m/>
    <n v="93000"/>
    <n v="126000"/>
    <n v="120364"/>
    <m/>
    <x v="6"/>
    <s v="שירותים מקומיים"/>
    <x v="29"/>
    <s v="חגיגות מבצעים ואירועים"/>
    <x v="95"/>
    <s v="חגיגות יום העצמאות"/>
    <s v="7512"/>
    <e v="#N/A"/>
    <m/>
    <s v="1"/>
    <x v="9"/>
    <s v="18"/>
    <s v="נלוות לשכר"/>
    <s v="182"/>
    <s v="מיסיום ועלויות"/>
  </r>
  <r>
    <n v="310"/>
    <s v="75120"/>
    <n v="1"/>
    <s v="175120.310"/>
    <s v="שעות נוספות רשומות              "/>
    <m/>
    <m/>
    <n v="73000"/>
    <n v="72000"/>
    <n v="51266"/>
    <m/>
    <x v="6"/>
    <s v="שירותים מקומיים"/>
    <x v="29"/>
    <s v="חגיגות מבצעים ואירועים"/>
    <x v="95"/>
    <s v="חגיגות יום העצמאות"/>
    <s v="7512"/>
    <e v="#N/A"/>
    <m/>
    <s v="3"/>
    <x v="14"/>
    <s v="31"/>
    <s v="פנסיה"/>
    <s v="310"/>
    <e v="#N/A"/>
  </r>
  <r>
    <n v="340"/>
    <s v="75120"/>
    <n v="1"/>
    <s v="175120.340"/>
    <s v="שעות נוספות מיוחדות             "/>
    <m/>
    <m/>
    <n v="62000"/>
    <n v="61000"/>
    <n v="119215"/>
    <m/>
    <x v="6"/>
    <s v="שירותים מקומיים"/>
    <x v="29"/>
    <s v="חגיגות מבצעים ואירועים"/>
    <x v="95"/>
    <s v="חגיגות יום העצמאות"/>
    <s v="7512"/>
    <e v="#N/A"/>
    <m/>
    <s v="3"/>
    <x v="14"/>
    <s v="34"/>
    <e v="#N/A"/>
    <s v="340"/>
    <e v="#N/A"/>
  </r>
  <r>
    <n v="412"/>
    <s v="75120"/>
    <n v="1"/>
    <s v="175120.412"/>
    <s v="מיסים ואגרות                    "/>
    <m/>
    <m/>
    <n v="1000"/>
    <n v="1000"/>
    <n v="345"/>
    <m/>
    <x v="6"/>
    <s v="שירותים מקומיים"/>
    <x v="29"/>
    <s v="חגיגות מבצעים ואירועים"/>
    <x v="95"/>
    <s v="חגיגות יום העצמאות"/>
    <s v="7512"/>
    <e v="#N/A"/>
    <m/>
    <s v="4"/>
    <x v="15"/>
    <s v="41"/>
    <s v="שכר דירה ודמי חכירה"/>
    <s v="412"/>
    <e v="#N/A"/>
  </r>
  <r>
    <n v="433"/>
    <s v="75120"/>
    <n v="1"/>
    <s v="175120.433"/>
    <s v="בטוח                            "/>
    <m/>
    <m/>
    <n v="11000"/>
    <n v="11000"/>
    <n v="9000"/>
    <m/>
    <x v="6"/>
    <s v="שירותים מקומיים"/>
    <x v="29"/>
    <s v="חגיגות מבצעים ואירועים"/>
    <x v="95"/>
    <s v="חגיגות יום העצמאות"/>
    <s v="7512"/>
    <e v="#N/A"/>
    <m/>
    <s v="4"/>
    <x v="15"/>
    <s v="43"/>
    <s v="חשמל, מים וחומרי ניקיון"/>
    <s v="433"/>
    <s v="חומרי ניקיון"/>
  </r>
  <r>
    <n v="439"/>
    <s v="75120"/>
    <n v="1"/>
    <s v="175120.439"/>
    <s v="אחזקת בניני העיריה-השתתפות      "/>
    <m/>
    <m/>
    <n v="282000"/>
    <n v="275000"/>
    <n v="270000"/>
    <m/>
    <x v="6"/>
    <s v="שירותים מקומיים"/>
    <x v="29"/>
    <s v="חגיגות מבצעים ואירועים"/>
    <x v="95"/>
    <s v="חגיגות יום העצמאות"/>
    <s v="7512"/>
    <e v="#N/A"/>
    <m/>
    <s v="4"/>
    <x v="15"/>
    <s v="43"/>
    <s v="חשמל, מים וחומרי ניקיון"/>
    <s v="439"/>
    <e v="#N/A"/>
  </r>
  <r>
    <n v="461"/>
    <s v="75120"/>
    <n v="1"/>
    <s v="175120.461"/>
    <s v="צורכי משרד                      "/>
    <m/>
    <m/>
    <n v="13000"/>
    <n v="13000"/>
    <n v="6811"/>
    <m/>
    <x v="6"/>
    <s v="שירותים מקומיים"/>
    <x v="29"/>
    <s v="חגיגות מבצעים ואירועים"/>
    <x v="95"/>
    <s v="חגיגות יום העצמאות"/>
    <s v="7512"/>
    <e v="#N/A"/>
    <m/>
    <s v="4"/>
    <x v="15"/>
    <s v="46"/>
    <e v="#N/A"/>
    <s v="461"/>
    <e v="#N/A"/>
  </r>
  <r>
    <n v="464"/>
    <s v="75120"/>
    <n v="1"/>
    <s v="175120.464"/>
    <s v="דאר                             "/>
    <m/>
    <m/>
    <n v="15000"/>
    <n v="15000"/>
    <n v="16330"/>
    <m/>
    <x v="6"/>
    <s v="שירותים מקומיים"/>
    <x v="29"/>
    <s v="חגיגות מבצעים ואירועים"/>
    <x v="95"/>
    <s v="חגיגות יום העצמאות"/>
    <s v="7512"/>
    <e v="#N/A"/>
    <m/>
    <s v="4"/>
    <x v="15"/>
    <s v="46"/>
    <e v="#N/A"/>
    <s v="464"/>
    <e v="#N/A"/>
  </r>
  <r>
    <n v="510"/>
    <s v="75120"/>
    <n v="1"/>
    <s v="175120.510"/>
    <s v="נסיעות ודמי חניה                "/>
    <m/>
    <m/>
    <n v="5000"/>
    <n v="5000"/>
    <n v="3792"/>
    <m/>
    <x v="6"/>
    <s v="שירותים מקומיים"/>
    <x v="29"/>
    <s v="חגיגות מבצעים ואירועים"/>
    <x v="95"/>
    <s v="חגיגות יום העצמאות"/>
    <s v="7512"/>
    <e v="#N/A"/>
    <m/>
    <s v="5"/>
    <x v="11"/>
    <s v="51"/>
    <s v="אש&quot;ל וכיבודים"/>
    <s v="510"/>
    <e v="#N/A"/>
  </r>
  <r>
    <n v="521"/>
    <s v="75120"/>
    <n v="1"/>
    <s v="175120.521"/>
    <s v="הדרכה וכנסים                    "/>
    <m/>
    <m/>
    <n v="1000"/>
    <n v="1000"/>
    <n v="1031"/>
    <m/>
    <x v="6"/>
    <s v="שירותים מקומיים"/>
    <x v="29"/>
    <s v="חגיגות מבצעים ואירועים"/>
    <x v="95"/>
    <s v="חגיגות יום העצמאות"/>
    <s v="7512"/>
    <e v="#N/A"/>
    <m/>
    <s v="5"/>
    <x v="11"/>
    <s v="52"/>
    <s v="השתלמויות וספרות מקצועית"/>
    <s v="521"/>
    <s v="השתלמויות וספרות מקצועית"/>
  </r>
  <r>
    <n v="522"/>
    <s v="75120"/>
    <n v="1"/>
    <s v="175120.522"/>
    <s v="גיבוש יחידתי                    "/>
    <m/>
    <m/>
    <n v="1000"/>
    <n v="1000"/>
    <n v="1000"/>
    <m/>
    <x v="6"/>
    <s v="שירותים מקומיים"/>
    <x v="29"/>
    <s v="חגיגות מבצעים ואירועים"/>
    <x v="95"/>
    <s v="חגיגות יום העצמאות"/>
    <s v="7512"/>
    <e v="#N/A"/>
    <m/>
    <s v="5"/>
    <x v="11"/>
    <s v="52"/>
    <s v="השתלמויות וספרות מקצועית"/>
    <s v="522"/>
    <s v="ספרות מקצועית ועיתונות"/>
  </r>
  <r>
    <n v="541"/>
    <s v="75120"/>
    <n v="1"/>
    <s v="175120.541"/>
    <s v="החזקת מכשירי קשר וסלולר         "/>
    <m/>
    <m/>
    <n v="4000"/>
    <n v="4000"/>
    <n v="4384"/>
    <m/>
    <x v="6"/>
    <s v="שירותים מקומיים"/>
    <x v="29"/>
    <s v="חגיגות מבצעים ואירועים"/>
    <x v="95"/>
    <s v="חגיגות יום העצמאות"/>
    <s v="7512"/>
    <e v="#N/A"/>
    <m/>
    <s v="5"/>
    <x v="11"/>
    <s v="54"/>
    <s v="הוצאות תקשורת"/>
    <s v="541"/>
    <e v="#N/A"/>
  </r>
  <r>
    <n v="610"/>
    <s v="75120"/>
    <n v="1"/>
    <s v="175120.610"/>
    <s v="כיבודים                         "/>
    <m/>
    <m/>
    <n v="5000"/>
    <n v="5000"/>
    <n v="2579"/>
    <m/>
    <x v="6"/>
    <s v="שירותים מקומיים"/>
    <x v="29"/>
    <s v="חגיגות מבצעים ואירועים"/>
    <x v="95"/>
    <s v="חגיגות יום העצמאות"/>
    <s v="7512"/>
    <e v="#N/A"/>
    <m/>
    <s v="6"/>
    <x v="12"/>
    <s v="61"/>
    <s v="עמלות"/>
    <s v="610"/>
    <e v="#N/A"/>
  </r>
  <r>
    <n v="670"/>
    <s v="75120"/>
    <n v="1"/>
    <s v="175120.670"/>
    <s v="סעיף שאינו חוזר                 "/>
    <m/>
    <m/>
    <n v="0"/>
    <n v="133000"/>
    <n v="292944"/>
    <m/>
    <x v="6"/>
    <s v="שירותים מקומיים"/>
    <x v="29"/>
    <s v="חגיגות מבצעים ואירועים"/>
    <x v="95"/>
    <s v="חגיגות יום העצמאות"/>
    <s v="7512"/>
    <e v="#N/A"/>
    <m/>
    <s v="6"/>
    <x v="12"/>
    <s v="67"/>
    <e v="#N/A"/>
    <s v="670"/>
    <e v="#N/A"/>
  </r>
  <r>
    <n v="691"/>
    <s v="75120"/>
    <n v="1"/>
    <s v="175120.691"/>
    <s v="מערכות מידע ומחשוב              "/>
    <m/>
    <m/>
    <n v="140000"/>
    <n v="0"/>
    <n v="0"/>
    <m/>
    <x v="6"/>
    <s v="שירותים מקומיים"/>
    <x v="29"/>
    <s v="חגיגות מבצעים ואירועים"/>
    <x v="95"/>
    <s v="חגיגות יום העצמאות"/>
    <s v="7512"/>
    <e v="#N/A"/>
    <m/>
    <s v="6"/>
    <x v="12"/>
    <s v="69"/>
    <s v="שונות"/>
    <s v="691"/>
    <s v="תשלום ע&quot;ח קרן"/>
  </r>
  <r>
    <n v="693"/>
    <s v="75120"/>
    <n v="1"/>
    <s v="175120.693"/>
    <s v="מיחשוב יחידתי                   "/>
    <m/>
    <m/>
    <n v="3000"/>
    <n v="3000"/>
    <n v="1617"/>
    <m/>
    <x v="6"/>
    <s v="שירותים מקומיים"/>
    <x v="29"/>
    <s v="חגיגות מבצעים ואירועים"/>
    <x v="95"/>
    <s v="חגיגות יום העצמאות"/>
    <s v="7512"/>
    <e v="#N/A"/>
    <m/>
    <s v="6"/>
    <x v="12"/>
    <s v="69"/>
    <s v="שונות"/>
    <s v="693"/>
    <s v="תשלום ע&quot;ח הצמדת ערך"/>
  </r>
  <r>
    <n v="751"/>
    <s v="75120"/>
    <n v="1"/>
    <s v="175120.751"/>
    <s v="עבודה בקבלנות                   "/>
    <m/>
    <m/>
    <n v="61000"/>
    <n v="61000"/>
    <n v="60829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5"/>
    <s v="עבודות קבלניות"/>
    <s v="751"/>
    <e v="#N/A"/>
  </r>
  <r>
    <n v="753"/>
    <s v="75120"/>
    <n v="1"/>
    <s v="175120.753"/>
    <s v="שילוט  הנצחה                    "/>
    <m/>
    <m/>
    <n v="20000"/>
    <n v="20000"/>
    <n v="19296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5"/>
    <s v="עבודות קבלניות"/>
    <s v="753"/>
    <e v="#N/A"/>
  </r>
  <r>
    <n v="781"/>
    <s v="75120"/>
    <n v="1"/>
    <s v="175120.781"/>
    <s v="טקסים וקבלות פנים               "/>
    <m/>
    <m/>
    <n v="1135000"/>
    <n v="1135000"/>
    <n v="1478935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1"/>
    <e v="#N/A"/>
  </r>
  <r>
    <n v="782"/>
    <s v="75120"/>
    <n v="1"/>
    <s v="175120.782"/>
    <s v="אירוח אורחים                    "/>
    <m/>
    <m/>
    <n v="170000"/>
    <n v="170000"/>
    <n v="175498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2"/>
    <e v="#N/A"/>
  </r>
  <r>
    <n v="783"/>
    <s v="75120"/>
    <n v="1"/>
    <s v="175120.783"/>
    <s v="חידוש מלאי תשורות               "/>
    <m/>
    <m/>
    <n v="110000"/>
    <n v="110000"/>
    <n v="115252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3"/>
    <e v="#N/A"/>
  </r>
  <r>
    <n v="784"/>
    <s v="75120"/>
    <n v="1"/>
    <s v="175120.784"/>
    <s v="אימוץ חיל השריון                "/>
    <m/>
    <m/>
    <n v="200000"/>
    <n v="200000"/>
    <n v="196379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4"/>
    <e v="#N/A"/>
  </r>
  <r>
    <n v="785"/>
    <s v="75120"/>
    <n v="1"/>
    <s v="175120.785"/>
    <s v="מסיבות לפנסיונרים               "/>
    <m/>
    <m/>
    <n v="25000"/>
    <n v="25000"/>
    <n v="26550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5"/>
    <e v="#N/A"/>
  </r>
  <r>
    <n v="786"/>
    <s v="75120"/>
    <n v="1"/>
    <s v="175120.786"/>
    <s v="טקסים לחלוקת פרסים              "/>
    <m/>
    <m/>
    <n v="10000"/>
    <n v="10000"/>
    <n v="2684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6"/>
    <e v="#N/A"/>
  </r>
  <r>
    <n v="787"/>
    <s v="75120"/>
    <n v="1"/>
    <s v="175120.787"/>
    <s v="כנסים וארועים ארציים ובינל א    "/>
    <m/>
    <m/>
    <n v="65000"/>
    <n v="65000"/>
    <n v="99610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7"/>
    <e v="#N/A"/>
  </r>
  <r>
    <n v="788"/>
    <s v="75120"/>
    <n v="1"/>
    <s v="175120.788"/>
    <s v="קשרי חוץ                        "/>
    <m/>
    <m/>
    <n v="30000"/>
    <n v="30000"/>
    <n v="26988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8"/>
    <e v="#N/A"/>
  </r>
  <r>
    <n v="789"/>
    <s v="75120"/>
    <n v="1"/>
    <s v="175120.789"/>
    <s v="ערים תאומות                     "/>
    <m/>
    <m/>
    <n v="25000"/>
    <n v="25000"/>
    <n v="21910"/>
    <m/>
    <x v="6"/>
    <s v="שירותים מקומיים"/>
    <x v="29"/>
    <s v="חגיגות מבצעים ואירועים"/>
    <x v="95"/>
    <s v="חגיגות יום העצמאות"/>
    <s v="7512"/>
    <e v="#N/A"/>
    <m/>
    <s v="7"/>
    <x v="13"/>
    <s v="78"/>
    <s v="הוצאות שונות"/>
    <s v="789"/>
    <e v="#N/A"/>
  </r>
  <r>
    <n v="861"/>
    <s v="75120"/>
    <n v="1"/>
    <s v="175120.861"/>
    <s v="שיום  הנצחה ומורשת - יובל חי    "/>
    <m/>
    <m/>
    <n v="165000"/>
    <n v="0"/>
    <n v="0"/>
    <m/>
    <x v="6"/>
    <s v="שירותים מקומיים"/>
    <x v="29"/>
    <s v="חגיגות מבצעים ואירועים"/>
    <x v="95"/>
    <s v="חגיגות יום העצמאות"/>
    <s v="7512"/>
    <e v="#N/A"/>
    <m/>
    <s v="8"/>
    <x v="16"/>
    <s v="86"/>
    <s v="הנחות"/>
    <s v="861"/>
    <e v="#N/A"/>
  </r>
  <r>
    <n v="932"/>
    <s v="75120"/>
    <n v="1"/>
    <s v="175120.932"/>
    <s v="ציוד ורהוט משרדי                "/>
    <m/>
    <m/>
    <n v="13000"/>
    <n v="12000"/>
    <n v="9150"/>
    <m/>
    <x v="6"/>
    <s v="שירותים מקומיים"/>
    <x v="29"/>
    <s v="חגיגות מבצעים ואירועים"/>
    <x v="95"/>
    <s v="חגיגות יום העצמאות"/>
    <s v="7512"/>
    <e v="#N/A"/>
    <m/>
    <s v="9"/>
    <x v="17"/>
    <s v="93"/>
    <s v="רכישת ציוד יסודי"/>
    <s v="932"/>
    <e v="#N/A"/>
  </r>
  <r>
    <n v="110"/>
    <s v="75160"/>
    <n v="1"/>
    <s v="175160.110"/>
    <s v="משכורת כוללת                    "/>
    <m/>
    <m/>
    <n v="612000"/>
    <n v="593000"/>
    <n v="580180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1"/>
    <s v="השכר הקובע"/>
    <s v="110"/>
    <e v="#N/A"/>
  </r>
  <r>
    <n v="124"/>
    <s v="75160"/>
    <n v="1"/>
    <s v="175160.124"/>
    <s v="החזר הוצאות                     "/>
    <m/>
    <m/>
    <n v="30000"/>
    <n v="33000"/>
    <n v="26567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2"/>
    <s v="תוספות שאינן נכללות בשכר הקובע"/>
    <s v="124"/>
    <e v="#N/A"/>
  </r>
  <r>
    <n v="126"/>
    <s v="75160"/>
    <n v="1"/>
    <s v="175160.126"/>
    <s v="הבראה                           "/>
    <m/>
    <m/>
    <n v="25000"/>
    <n v="26000"/>
    <n v="25439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2"/>
    <s v="תוספות שאינן נכללות בשכר הקובע"/>
    <s v="126"/>
    <e v="#N/A"/>
  </r>
  <r>
    <n v="127"/>
    <s v="75160"/>
    <n v="1"/>
    <s v="175160.127"/>
    <s v="השתתפות באחזקת רכב - 5          "/>
    <m/>
    <m/>
    <n v="127000"/>
    <n v="113000"/>
    <n v="110933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2"/>
    <s v="תוספות שאינן נכללות בשכר הקובע"/>
    <s v="127"/>
    <e v="#N/A"/>
  </r>
  <r>
    <n v="130"/>
    <s v="75160"/>
    <n v="1"/>
    <s v="175160.130"/>
    <s v="תשלומים מיוחדים                 "/>
    <m/>
    <m/>
    <n v="80000"/>
    <n v="78000"/>
    <n v="77906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3"/>
    <s v="שעות נוספות"/>
    <s v="130"/>
    <e v="#N/A"/>
  </r>
  <r>
    <n v="181"/>
    <s v="75160"/>
    <n v="1"/>
    <s v="175160.181"/>
    <s v="מיסים וביטוח לאומי              "/>
    <m/>
    <m/>
    <n v="117000"/>
    <n v="114000"/>
    <n v="107896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8"/>
    <s v="נלוות לשכר"/>
    <s v="181"/>
    <s v="הפרשות סוציאליות"/>
  </r>
  <r>
    <n v="182"/>
    <s v="75160"/>
    <n v="1"/>
    <s v="175160.182"/>
    <s v="קופות גמל והשתלמות              "/>
    <m/>
    <m/>
    <n v="75000"/>
    <n v="71000"/>
    <n v="69780"/>
    <m/>
    <x v="6"/>
    <s v="שירותים מקומיים"/>
    <x v="29"/>
    <s v="חגיגות מבצעים ואירועים"/>
    <x v="95"/>
    <s v="חגיגות יום העצמאות"/>
    <s v="7516"/>
    <e v="#N/A"/>
    <m/>
    <s v="1"/>
    <x v="9"/>
    <s v="18"/>
    <s v="נלוות לשכר"/>
    <s v="182"/>
    <s v="מיסיום ועלויות"/>
  </r>
  <r>
    <n v="310"/>
    <s v="75160"/>
    <n v="1"/>
    <s v="175160.310"/>
    <s v="שעות נוספות רשומות              "/>
    <m/>
    <m/>
    <n v="24000"/>
    <n v="22000"/>
    <n v="18818"/>
    <m/>
    <x v="6"/>
    <s v="שירותים מקומיים"/>
    <x v="29"/>
    <s v="חגיגות מבצעים ואירועים"/>
    <x v="95"/>
    <s v="חגיגות יום העצמאות"/>
    <s v="7516"/>
    <e v="#N/A"/>
    <m/>
    <s v="3"/>
    <x v="14"/>
    <s v="31"/>
    <s v="פנסיה"/>
    <s v="310"/>
    <e v="#N/A"/>
  </r>
  <r>
    <n v="411"/>
    <s v="75160"/>
    <n v="1"/>
    <s v="175160.411"/>
    <s v="שכר דירה                        "/>
    <m/>
    <m/>
    <n v="198000"/>
    <n v="200000"/>
    <n v="0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1"/>
    <s v="שכר דירה ודמי חכירה"/>
    <s v="411"/>
    <e v="#N/A"/>
  </r>
  <r>
    <n v="433"/>
    <s v="75160"/>
    <n v="1"/>
    <s v="175160.433"/>
    <s v="ביטוח                           "/>
    <m/>
    <m/>
    <n v="12000"/>
    <n v="10000"/>
    <n v="9000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3"/>
    <s v="חשמל, מים וחומרי ניקיון"/>
    <s v="433"/>
    <s v="חומרי ניקיון"/>
  </r>
  <r>
    <n v="434"/>
    <s v="75160"/>
    <n v="1"/>
    <s v="175160.434"/>
    <s v="תקוני מבנים  מתקנים ואינונטר    "/>
    <m/>
    <m/>
    <n v="3000"/>
    <n v="3000"/>
    <n v="1951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3"/>
    <s v="חשמל, מים וחומרי ניקיון"/>
    <s v="434"/>
    <s v="שירותי ניקיון"/>
  </r>
  <r>
    <n v="439"/>
    <s v="75160"/>
    <n v="1"/>
    <s v="175160.439"/>
    <s v="אחזקת בניני העיריה-השתתפות      "/>
    <m/>
    <m/>
    <n v="409000"/>
    <n v="164000"/>
    <n v="170000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3"/>
    <s v="חשמל, מים וחומרי ניקיון"/>
    <s v="439"/>
    <e v="#N/A"/>
  </r>
  <r>
    <n v="461"/>
    <s v="75160"/>
    <n v="1"/>
    <s v="175160.461"/>
    <s v="צורכי משרד                      "/>
    <m/>
    <m/>
    <n v="5000"/>
    <n v="5000"/>
    <n v="3216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6"/>
    <e v="#N/A"/>
    <s v="461"/>
    <e v="#N/A"/>
  </r>
  <r>
    <n v="462"/>
    <s v="75160"/>
    <n v="1"/>
    <s v="175160.462"/>
    <s v="ספרים ועתונים                   "/>
    <m/>
    <m/>
    <n v="3000"/>
    <n v="3000"/>
    <n v="2688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6"/>
    <e v="#N/A"/>
    <s v="462"/>
    <e v="#N/A"/>
  </r>
  <r>
    <n v="464"/>
    <s v="75160"/>
    <n v="1"/>
    <s v="175160.464"/>
    <s v="דאר                             "/>
    <m/>
    <m/>
    <n v="3000"/>
    <n v="3000"/>
    <n v="2760"/>
    <m/>
    <x v="6"/>
    <s v="שירותים מקומיים"/>
    <x v="29"/>
    <s v="חגיגות מבצעים ואירועים"/>
    <x v="95"/>
    <s v="חגיגות יום העצמאות"/>
    <s v="7516"/>
    <e v="#N/A"/>
    <m/>
    <s v="4"/>
    <x v="15"/>
    <s v="46"/>
    <e v="#N/A"/>
    <s v="464"/>
    <e v="#N/A"/>
  </r>
  <r>
    <n v="521"/>
    <s v="75160"/>
    <n v="1"/>
    <s v="175160.521"/>
    <s v="הדרכה וכנסים                    "/>
    <m/>
    <m/>
    <n v="2000"/>
    <n v="2000"/>
    <n v="0"/>
    <m/>
    <x v="6"/>
    <s v="שירותים מקומיים"/>
    <x v="29"/>
    <s v="חגיגות מבצעים ואירועים"/>
    <x v="95"/>
    <s v="חגיגות יום העצמאות"/>
    <s v="7516"/>
    <e v="#N/A"/>
    <m/>
    <s v="5"/>
    <x v="11"/>
    <s v="52"/>
    <s v="השתלמויות וספרות מקצועית"/>
    <s v="521"/>
    <s v="השתלמויות וספרות מקצועית"/>
  </r>
  <r>
    <n v="541"/>
    <s v="75160"/>
    <n v="1"/>
    <s v="175160.541"/>
    <s v="החזקת מכשירי קשר וסלולר         "/>
    <m/>
    <m/>
    <n v="2000"/>
    <n v="2000"/>
    <n v="2634"/>
    <m/>
    <x v="6"/>
    <s v="שירותים מקומיים"/>
    <x v="29"/>
    <s v="חגיגות מבצעים ואירועים"/>
    <x v="95"/>
    <s v="חגיגות יום העצמאות"/>
    <s v="7516"/>
    <e v="#N/A"/>
    <m/>
    <s v="5"/>
    <x v="11"/>
    <s v="54"/>
    <s v="הוצאות תקשורת"/>
    <s v="541"/>
    <e v="#N/A"/>
  </r>
  <r>
    <n v="610"/>
    <s v="75160"/>
    <n v="1"/>
    <s v="175160.610"/>
    <s v="כיבודים                         "/>
    <m/>
    <m/>
    <n v="5000"/>
    <n v="5000"/>
    <n v="3247"/>
    <m/>
    <x v="6"/>
    <s v="שירותים מקומיים"/>
    <x v="29"/>
    <s v="חגיגות מבצעים ואירועים"/>
    <x v="95"/>
    <s v="חגיגות יום העצמאות"/>
    <s v="7516"/>
    <e v="#N/A"/>
    <m/>
    <s v="6"/>
    <x v="12"/>
    <s v="61"/>
    <s v="עמלות"/>
    <s v="610"/>
    <e v="#N/A"/>
  </r>
  <r>
    <n v="670"/>
    <s v="75160"/>
    <n v="1"/>
    <s v="175160.670"/>
    <s v="סעיף שאינו חוזר                 "/>
    <m/>
    <m/>
    <n v="0"/>
    <n v="31000"/>
    <n v="33954"/>
    <m/>
    <x v="6"/>
    <s v="שירותים מקומיים"/>
    <x v="29"/>
    <s v="חגיגות מבצעים ואירועים"/>
    <x v="95"/>
    <s v="חגיגות יום העצמאות"/>
    <s v="7516"/>
    <e v="#N/A"/>
    <m/>
    <s v="6"/>
    <x v="12"/>
    <s v="67"/>
    <e v="#N/A"/>
    <s v="670"/>
    <e v="#N/A"/>
  </r>
  <r>
    <n v="691"/>
    <s v="75160"/>
    <n v="1"/>
    <s v="175160.691"/>
    <s v="מערכות מידע ומחשוב              "/>
    <m/>
    <m/>
    <n v="70000"/>
    <n v="60000"/>
    <n v="107333"/>
    <m/>
    <x v="6"/>
    <s v="שירותים מקומיים"/>
    <x v="29"/>
    <s v="חגיגות מבצעים ואירועים"/>
    <x v="95"/>
    <s v="חגיגות יום העצמאות"/>
    <s v="7516"/>
    <e v="#N/A"/>
    <m/>
    <s v="6"/>
    <x v="12"/>
    <s v="69"/>
    <s v="שונות"/>
    <s v="691"/>
    <s v="תשלום ע&quot;ח קרן"/>
  </r>
  <r>
    <n v="693"/>
    <s v="75160"/>
    <n v="1"/>
    <s v="175160.693"/>
    <s v="מיחשוב יחידתי                   "/>
    <m/>
    <m/>
    <n v="5000"/>
    <n v="5000"/>
    <n v="2931"/>
    <m/>
    <x v="6"/>
    <s v="שירותים מקומיים"/>
    <x v="29"/>
    <s v="חגיגות מבצעים ואירועים"/>
    <x v="95"/>
    <s v="חגיגות יום העצמאות"/>
    <s v="7516"/>
    <e v="#N/A"/>
    <m/>
    <s v="6"/>
    <x v="12"/>
    <s v="69"/>
    <s v="שונות"/>
    <s v="693"/>
    <s v="תשלום ע&quot;ח הצמדת ערך"/>
  </r>
  <r>
    <n v="751"/>
    <s v="75160"/>
    <n v="1"/>
    <s v="175160.751"/>
    <s v="העסקת יועץ חיצוני               "/>
    <m/>
    <m/>
    <n v="360000"/>
    <n v="360000"/>
    <n v="345000"/>
    <m/>
    <x v="6"/>
    <s v="שירותים מקומיים"/>
    <x v="29"/>
    <s v="חגיגות מבצעים ואירועים"/>
    <x v="95"/>
    <s v="חגיגות יום העצמאות"/>
    <s v="7516"/>
    <e v="#N/A"/>
    <m/>
    <s v="7"/>
    <x v="13"/>
    <s v="75"/>
    <s v="עבודות קבלניות"/>
    <s v="751"/>
    <e v="#N/A"/>
  </r>
  <r>
    <n v="781"/>
    <s v="75160"/>
    <n v="1"/>
    <s v="175160.781"/>
    <s v="סיורים                          "/>
    <m/>
    <m/>
    <n v="20000"/>
    <n v="20000"/>
    <n v="12926"/>
    <m/>
    <x v="6"/>
    <s v="שירותים מקומיים"/>
    <x v="29"/>
    <s v="חגיגות מבצעים ואירועים"/>
    <x v="95"/>
    <s v="חגיגות יום העצמאות"/>
    <s v="7516"/>
    <e v="#N/A"/>
    <m/>
    <s v="7"/>
    <x v="13"/>
    <s v="78"/>
    <s v="הוצאות שונות"/>
    <s v="781"/>
    <e v="#N/A"/>
  </r>
  <r>
    <n v="782"/>
    <s v="75160"/>
    <n v="1"/>
    <s v="175160.782"/>
    <s v="נסיעות לחו ל                    "/>
    <m/>
    <m/>
    <n v="300000"/>
    <n v="300000"/>
    <n v="229932"/>
    <m/>
    <x v="6"/>
    <s v="שירותים מקומיים"/>
    <x v="29"/>
    <s v="חגיגות מבצעים ואירועים"/>
    <x v="95"/>
    <s v="חגיגות יום העצמאות"/>
    <s v="7516"/>
    <e v="#N/A"/>
    <m/>
    <s v="7"/>
    <x v="13"/>
    <s v="78"/>
    <s v="הוצאות שונות"/>
    <s v="782"/>
    <e v="#N/A"/>
  </r>
  <r>
    <n v="783"/>
    <s v="75160"/>
    <n v="1"/>
    <s v="175160.783"/>
    <s v="הפקות דפוס                      "/>
    <m/>
    <m/>
    <n v="4000"/>
    <n v="4000"/>
    <n v="1093"/>
    <m/>
    <x v="6"/>
    <s v="שירותים מקומיים"/>
    <x v="29"/>
    <s v="חגיגות מבצעים ואירועים"/>
    <x v="95"/>
    <s v="חגיגות יום העצמאות"/>
    <s v="7516"/>
    <e v="#N/A"/>
    <m/>
    <s v="7"/>
    <x v="13"/>
    <s v="78"/>
    <s v="הוצאות שונות"/>
    <s v="783"/>
    <e v="#N/A"/>
  </r>
  <r>
    <n v="784"/>
    <s v="75160"/>
    <n v="1"/>
    <s v="175160.784"/>
    <s v="עידוד עסקים                     "/>
    <m/>
    <m/>
    <n v="974000"/>
    <n v="508000"/>
    <n v="415161"/>
    <m/>
    <x v="6"/>
    <s v="שירותים מקומיים"/>
    <x v="29"/>
    <s v="חגיגות מבצעים ואירועים"/>
    <x v="95"/>
    <s v="חגיגות יום העצמאות"/>
    <s v="7516"/>
    <e v="#N/A"/>
    <m/>
    <s v="7"/>
    <x v="13"/>
    <s v="78"/>
    <s v="הוצאות שונות"/>
    <s v="784"/>
    <e v="#N/A"/>
  </r>
  <r>
    <n v="932"/>
    <s v="75160"/>
    <n v="1"/>
    <s v="175160.932"/>
    <s v="ציוד ורהוט משרדי                "/>
    <m/>
    <m/>
    <n v="5000"/>
    <n v="5000"/>
    <n v="4974"/>
    <m/>
    <x v="6"/>
    <s v="שירותים מקומיים"/>
    <x v="29"/>
    <s v="חגיגות מבצעים ואירועים"/>
    <x v="95"/>
    <s v="חגיגות יום העצמאות"/>
    <s v="7516"/>
    <e v="#N/A"/>
    <m/>
    <s v="9"/>
    <x v="17"/>
    <s v="93"/>
    <s v="רכישת ציוד יסודי"/>
    <s v="932"/>
    <e v="#N/A"/>
  </r>
  <r>
    <n v="812"/>
    <s v="76520"/>
    <n v="1"/>
    <s v="176520.812"/>
    <s v="תשלום מיסים-חב' עירו' ובתי ס משו"/>
    <m/>
    <m/>
    <n v="4000000"/>
    <n v="4000000"/>
    <n v="3909381"/>
    <m/>
    <x v="6"/>
    <s v="שירותים מקומיים"/>
    <x v="30"/>
    <s v="שירותים עירוניים שונים"/>
    <x v="96"/>
    <s v="מוסדות כלליים"/>
    <s v="7652"/>
    <e v="#N/A"/>
    <m/>
    <s v="8"/>
    <x v="16"/>
    <s v="81"/>
    <s v="השתתפויות ותרומות למוסדות עפ&quot;י חוק והסכמים"/>
    <s v="812"/>
    <e v="#N/A"/>
  </r>
  <r>
    <n v="822"/>
    <s v="76920"/>
    <n v="1"/>
    <s v="176920.822"/>
    <s v="הקצבות ליחידים                  "/>
    <m/>
    <m/>
    <n v="35000"/>
    <n v="35000"/>
    <n v="0"/>
    <m/>
    <x v="6"/>
    <s v="שירותים מקומיים"/>
    <x v="30"/>
    <s v="שירותים עירוניים שונים"/>
    <x v="97"/>
    <s v="שירותים שונים"/>
    <s v="7692"/>
    <e v="#N/A"/>
    <m/>
    <s v="8"/>
    <x v="16"/>
    <s v="82"/>
    <s v="הקצבות בהמלצת ועדת הקצבות"/>
    <s v="822"/>
    <e v="#N/A"/>
  </r>
  <r>
    <n v="830"/>
    <s v="76520"/>
    <n v="1"/>
    <s v="176520.830"/>
    <s v="השתתפות למרכז השלטון המקומי     "/>
    <m/>
    <m/>
    <n v="1465000"/>
    <n v="1465000"/>
    <n v="1487100"/>
    <m/>
    <x v="6"/>
    <s v="שירותים מקומיים"/>
    <x v="30"/>
    <s v="שירותים עירוניים שונים"/>
    <x v="96"/>
    <s v="מוסדות כלליים"/>
    <s v="7652"/>
    <e v="#N/A"/>
    <m/>
    <s v="8"/>
    <x v="16"/>
    <s v="83"/>
    <e v="#N/A"/>
    <s v="830"/>
    <e v="#N/A"/>
  </r>
  <r>
    <n v="811"/>
    <s v="76530"/>
    <n v="1"/>
    <s v="176530.811"/>
    <s v="תמיכות חד פעמיות לכיסוי מיסים   "/>
    <m/>
    <m/>
    <n v="110000"/>
    <n v="110000"/>
    <n v="56345"/>
    <m/>
    <x v="6"/>
    <s v="שירותים מקומיים"/>
    <x v="30"/>
    <s v="שירותים עירוניים שונים"/>
    <x v="96"/>
    <s v="מוסדות כלליים"/>
    <s v="7653"/>
    <e v="#N/A"/>
    <m/>
    <s v="8"/>
    <x v="16"/>
    <s v="81"/>
    <s v="השתתפויות ותרומות למוסדות עפ&quot;י חוק והסכמים"/>
    <s v="811"/>
    <e v="#N/A"/>
  </r>
  <r>
    <n v="812"/>
    <s v="76530"/>
    <n v="1"/>
    <s v="176530.812"/>
    <s v="תמיכות לכיסוי מיסים-בריאות ורווח"/>
    <m/>
    <m/>
    <n v="3430000"/>
    <n v="3430000"/>
    <n v="2523115"/>
    <m/>
    <x v="6"/>
    <s v="שירותים מקומיים"/>
    <x v="30"/>
    <s v="שירותים עירוניים שונים"/>
    <x v="96"/>
    <s v="מוסדות כלליים"/>
    <s v="7653"/>
    <e v="#N/A"/>
    <m/>
    <s v="8"/>
    <x v="16"/>
    <s v="81"/>
    <s v="השתתפויות ותרומות למוסדות עפ&quot;י חוק והסכמים"/>
    <s v="812"/>
    <e v="#N/A"/>
  </r>
  <r>
    <n v="813"/>
    <s v="76530"/>
    <n v="1"/>
    <s v="176530.813"/>
    <s v="תמיכות לכיסוי מיסים-מוסדות שונים"/>
    <m/>
    <m/>
    <n v="280000"/>
    <n v="280000"/>
    <n v="257615"/>
    <m/>
    <x v="6"/>
    <s v="שירותים מקומיים"/>
    <x v="30"/>
    <s v="שירותים עירוניים שונים"/>
    <x v="96"/>
    <s v="מוסדות כלליים"/>
    <s v="7653"/>
    <e v="#N/A"/>
    <m/>
    <s v="8"/>
    <x v="16"/>
    <s v="81"/>
    <s v="השתתפויות ותרומות למוסדות עפ&quot;י חוק והסכמים"/>
    <s v="813"/>
    <e v="#N/A"/>
  </r>
  <r>
    <n v="811"/>
    <s v="76540"/>
    <n v="1"/>
    <s v="176540.811"/>
    <s v="תמיכות למוסדות דת               "/>
    <m/>
    <m/>
    <n v="1870000"/>
    <n v="1690000"/>
    <n v="1657511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1"/>
    <e v="#N/A"/>
  </r>
  <r>
    <n v="812"/>
    <s v="76540"/>
    <n v="1"/>
    <s v="176540.812"/>
    <s v="תמיכות למוסדות בריאות ורווחה    "/>
    <m/>
    <m/>
    <n v="1400000"/>
    <n v="1260000"/>
    <n v="1239521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2"/>
    <e v="#N/A"/>
  </r>
  <r>
    <n v="814"/>
    <s v="76540"/>
    <n v="1"/>
    <s v="176540.814"/>
    <s v="תמיכות לארגוני איכות סביבה      "/>
    <m/>
    <m/>
    <n v="140000"/>
    <n v="140000"/>
    <n v="14000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4"/>
    <e v="#N/A"/>
  </r>
  <r>
    <n v="815"/>
    <s v="76540"/>
    <n v="1"/>
    <s v="176540.815"/>
    <s v="תמיכות למוסדות המטפלים בבע ח    "/>
    <m/>
    <m/>
    <n v="85000"/>
    <n v="85000"/>
    <n v="8000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5"/>
    <e v="#N/A"/>
  </r>
  <r>
    <n v="816"/>
    <s v="76540"/>
    <n v="1"/>
    <s v="176540.816"/>
    <s v="תמיכות - קהילה גאה              "/>
    <m/>
    <m/>
    <n v="115000"/>
    <n v="115000"/>
    <n v="19500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6"/>
    <e v="#N/A"/>
  </r>
  <r>
    <n v="817"/>
    <s v="76540"/>
    <n v="1"/>
    <s v="176540.817"/>
    <s v="תמיכות - מחתרות                 "/>
    <m/>
    <m/>
    <n v="60000"/>
    <n v="40000"/>
    <n v="4500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7"/>
    <e v="#N/A"/>
  </r>
  <r>
    <n v="818"/>
    <s v="76540"/>
    <n v="1"/>
    <s v="176540.818"/>
    <s v="תמיכות - מיעוטים                "/>
    <m/>
    <m/>
    <n v="95000"/>
    <n v="95000"/>
    <n v="8945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8"/>
    <e v="#N/A"/>
  </r>
  <r>
    <n v="819"/>
    <s v="76540"/>
    <n v="1"/>
    <s v="176540.819"/>
    <s v="תרומות חד פעמיות                "/>
    <m/>
    <m/>
    <n v="95000"/>
    <n v="95000"/>
    <n v="63500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1"/>
    <s v="השתתפויות ותרומות למוסדות עפ&quot;י חוק והסכמים"/>
    <s v="819"/>
    <e v="#N/A"/>
  </r>
  <r>
    <n v="870"/>
    <s v="76540"/>
    <n v="1"/>
    <s v="176540.870"/>
    <s v="סעיף שאינו חוזר                 "/>
    <m/>
    <m/>
    <n v="0"/>
    <n v="140000"/>
    <n v="215435"/>
    <m/>
    <x v="6"/>
    <s v="שירותים מקומיים"/>
    <x v="30"/>
    <s v="שירותים עירוניים שונים"/>
    <x v="96"/>
    <s v="מוסדות כלליים"/>
    <s v="7654"/>
    <e v="#N/A"/>
    <m/>
    <s v="8"/>
    <x v="16"/>
    <s v="87"/>
    <s v="תמיכות ביחידות סמך ומוסדות הרשות"/>
    <s v="870"/>
    <e v="#N/A"/>
  </r>
  <r>
    <n v="160"/>
    <s v="76991"/>
    <n v="1"/>
    <s v="176991.160"/>
    <s v="התייקרויות ובלתי נראה מראש      "/>
    <m/>
    <m/>
    <n v="34000000"/>
    <n v="40000000"/>
    <n v="0"/>
    <m/>
    <x v="6"/>
    <s v="שירותים מקומיים"/>
    <x v="30"/>
    <s v="שירותים עירוניים שונים"/>
    <x v="97"/>
    <s v="שירותים שונים"/>
    <s v="7699"/>
    <e v="#N/A"/>
    <m/>
    <s v="1"/>
    <x v="9"/>
    <s v="16"/>
    <e v="#N/A"/>
    <s v="160"/>
    <e v="#N/A"/>
  </r>
  <r>
    <n v="160"/>
    <s v="76992"/>
    <n v="1"/>
    <s v="176992.160"/>
    <s v="הפרשים משנים קודמות             "/>
    <m/>
    <m/>
    <n v="500000"/>
    <n v="500000"/>
    <n v="1877751"/>
    <m/>
    <x v="6"/>
    <s v="שירותים מקומיים"/>
    <x v="30"/>
    <s v="שירותים עירוניים שונים"/>
    <x v="97"/>
    <s v="שירותים שונים"/>
    <s v="7699"/>
    <e v="#N/A"/>
    <m/>
    <s v="1"/>
    <x v="9"/>
    <s v="16"/>
    <e v="#N/A"/>
    <s v="160"/>
    <e v="#N/A"/>
  </r>
  <r>
    <n v="621"/>
    <s v="76993"/>
    <n v="1"/>
    <s v="176993.621"/>
    <s v="הוצאות משפטיות פסוקות           "/>
    <m/>
    <m/>
    <n v="17800000"/>
    <n v="17300000"/>
    <n v="17695229"/>
    <m/>
    <x v="6"/>
    <s v="שירותים מקומיים"/>
    <x v="30"/>
    <s v="שירותים עירוניים שונים"/>
    <x v="97"/>
    <s v="שירותים שונים"/>
    <s v="7699"/>
    <e v="#N/A"/>
    <m/>
    <s v="6"/>
    <x v="12"/>
    <s v="62"/>
    <s v="ריבית משיכת יתר"/>
    <s v="621"/>
    <e v="#N/A"/>
  </r>
  <r>
    <n v="622"/>
    <s v="76993"/>
    <n v="1"/>
    <s v="176993.622"/>
    <s v="החזר הוצ' משפטיות לעובדים וחברי "/>
    <m/>
    <m/>
    <n v="50000"/>
    <n v="50000"/>
    <n v="0"/>
    <m/>
    <x v="6"/>
    <s v="שירותים מקומיים"/>
    <x v="30"/>
    <s v="שירותים עירוניים שונים"/>
    <x v="97"/>
    <s v="שירותים שונים"/>
    <s v="7699"/>
    <e v="#N/A"/>
    <m/>
    <s v="6"/>
    <x v="12"/>
    <s v="62"/>
    <s v="ריבית משיכת יתר"/>
    <s v="622"/>
    <e v="#N/A"/>
  </r>
  <r>
    <n v="670"/>
    <s v="76993"/>
    <n v="1"/>
    <s v="176993.670"/>
    <s v="סעיפים שאינם חוזרים             "/>
    <m/>
    <m/>
    <n v="0"/>
    <n v="0"/>
    <n v="2485000"/>
    <m/>
    <x v="6"/>
    <s v="שירותים מקומיים"/>
    <x v="30"/>
    <s v="שירותים עירוניים שונים"/>
    <x v="97"/>
    <s v="שירותים שונים"/>
    <s v="7699"/>
    <e v="#N/A"/>
    <m/>
    <s v="6"/>
    <x v="12"/>
    <s v="67"/>
    <e v="#N/A"/>
    <s v="670"/>
    <e v="#N/A"/>
  </r>
  <r>
    <n v="753"/>
    <s v="76993"/>
    <n v="1"/>
    <s v="176993.753"/>
    <s v="הסדר חניון תל ברוך              "/>
    <m/>
    <m/>
    <n v="320000"/>
    <n v="0"/>
    <n v="31400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5"/>
    <s v="עבודות קבלניות"/>
    <s v="753"/>
    <e v="#N/A"/>
  </r>
  <r>
    <n v="760"/>
    <s v="76993"/>
    <n v="1"/>
    <s v="176993.760"/>
    <s v="ביגוד                           "/>
    <m/>
    <m/>
    <n v="5010000"/>
    <n v="4850000"/>
    <n v="5866655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6"/>
    <s v="קניית שירותים מרשויות ומוסדות"/>
    <s v="760"/>
    <e v="#N/A"/>
  </r>
  <r>
    <n v="781"/>
    <s v="76993"/>
    <n v="1"/>
    <s v="176993.781"/>
    <s v="שי לעובדים                      "/>
    <m/>
    <m/>
    <n v="9850000"/>
    <n v="8700000"/>
    <n v="7730489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1"/>
    <e v="#N/A"/>
  </r>
  <r>
    <n v="782"/>
    <s v="76993"/>
    <n v="1"/>
    <s v="176993.782"/>
    <s v="תביעות נזקי פינוי אשפה          "/>
    <m/>
    <m/>
    <n v="25000"/>
    <n v="25000"/>
    <n v="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2"/>
    <e v="#N/A"/>
  </r>
  <r>
    <n v="783"/>
    <s v="76993"/>
    <n v="1"/>
    <s v="176993.783"/>
    <s v="הנחות ממיסים                    "/>
    <m/>
    <m/>
    <n v="92000000"/>
    <n v="100000000"/>
    <n v="88838109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3"/>
    <e v="#N/A"/>
  </r>
  <r>
    <n v="784"/>
    <s v="76993"/>
    <n v="1"/>
    <s v="176993.784"/>
    <s v="הוצאות כלליות-שונות             "/>
    <m/>
    <m/>
    <n v="10000"/>
    <n v="10000"/>
    <n v="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4"/>
    <e v="#N/A"/>
  </r>
  <r>
    <n v="785"/>
    <s v="76993"/>
    <n v="1"/>
    <s v="176993.785"/>
    <s v="תביעות נזיקין-עובדי עירייה      "/>
    <m/>
    <m/>
    <n v="30000"/>
    <n v="30000"/>
    <n v="6221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5"/>
    <e v="#N/A"/>
  </r>
  <r>
    <n v="786"/>
    <s v="76993"/>
    <n v="1"/>
    <s v="176993.786"/>
    <s v="יום הגמלאי                      "/>
    <m/>
    <m/>
    <n v="80000"/>
    <n v="60000"/>
    <n v="6000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6"/>
    <e v="#N/A"/>
  </r>
  <r>
    <n v="787"/>
    <s v="76993"/>
    <n v="1"/>
    <s v="176993.787"/>
    <s v="חניה בגן העיר                   "/>
    <m/>
    <m/>
    <n v="3995000"/>
    <n v="4095000"/>
    <n v="3561683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7"/>
    <e v="#N/A"/>
  </r>
  <r>
    <n v="788"/>
    <s v="76993"/>
    <n v="1"/>
    <s v="176993.788"/>
    <s v="חניה בחניון השק ם               "/>
    <m/>
    <m/>
    <n v="1390000"/>
    <n v="1390000"/>
    <n v="137997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8"/>
    <e v="#N/A"/>
  </r>
  <r>
    <n v="789"/>
    <s v="76993"/>
    <n v="1"/>
    <s v="176993.789"/>
    <s v="מס הכנסה - הוצאות עודפות        "/>
    <m/>
    <m/>
    <n v="4000000"/>
    <n v="4000000"/>
    <n v="650000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8"/>
    <s v="הוצאות שונות"/>
    <s v="789"/>
    <e v="#N/A"/>
  </r>
  <r>
    <n v="791"/>
    <s v="76993"/>
    <n v="1"/>
    <s v="176993.791"/>
    <s v="השתתפות לרכש ולוגיסטיקה         "/>
    <m/>
    <m/>
    <n v="5970000"/>
    <n v="5930000"/>
    <n v="6363258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9"/>
    <s v="השתתפות בתקציבי עזר 092"/>
    <s v="791"/>
    <e v="#N/A"/>
  </r>
  <r>
    <n v="792"/>
    <s v="76993"/>
    <n v="1"/>
    <s v="176993.792"/>
    <s v="מס במקור על דיבידנד עתידים      "/>
    <m/>
    <m/>
    <n v="1385000"/>
    <n v="1000000"/>
    <n v="100000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9"/>
    <s v="השתתפות בתקציבי עזר 092"/>
    <s v="792"/>
    <e v="#N/A"/>
  </r>
  <r>
    <n v="794"/>
    <s v="76993"/>
    <n v="1"/>
    <s v="176993.794"/>
    <s v="התיקרויות ובלתי נראה מראש       "/>
    <m/>
    <m/>
    <n v="25000000"/>
    <n v="25000000"/>
    <n v="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9"/>
    <s v="השתתפות בתקציבי עזר 092"/>
    <s v="794"/>
    <s v="אפסנאות תקציבי עזר 094"/>
  </r>
  <r>
    <n v="797"/>
    <s v="76993"/>
    <n v="1"/>
    <s v="176993.797"/>
    <s v="רזרבה-שונות                     "/>
    <m/>
    <m/>
    <n v="23000000"/>
    <n v="20000000"/>
    <n v="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9"/>
    <s v="השתתפות בתקציבי עזר 092"/>
    <s v="797"/>
    <s v="הסעות תקציבי עזר 097"/>
  </r>
  <r>
    <n v="798"/>
    <s v="76993"/>
    <n v="1"/>
    <s v="176993.798"/>
    <s v="עתודת הסכם עובדי קבלן           "/>
    <m/>
    <m/>
    <n v="2705000"/>
    <n v="1000000"/>
    <n v="0"/>
    <m/>
    <x v="6"/>
    <s v="שירותים מקומיים"/>
    <x v="30"/>
    <s v="שירותים עירוניים שונים"/>
    <x v="97"/>
    <s v="שירותים שונים"/>
    <s v="7699"/>
    <e v="#N/A"/>
    <m/>
    <s v="7"/>
    <x v="13"/>
    <s v="79"/>
    <s v="השתתפות בתקציבי עזר 092"/>
    <s v="798"/>
    <e v="#N/A"/>
  </r>
  <r>
    <n v="870"/>
    <s v="76993"/>
    <n v="1"/>
    <s v="176993.870"/>
    <s v="סעיף שאינו חוזר                 "/>
    <m/>
    <m/>
    <n v="0"/>
    <n v="0"/>
    <n v="6496000"/>
    <m/>
    <x v="6"/>
    <s v="שירותים מקומיים"/>
    <x v="30"/>
    <s v="שירותים עירוניים שונים"/>
    <x v="97"/>
    <s v="שירותים שונים"/>
    <s v="7699"/>
    <e v="#N/A"/>
    <m/>
    <s v="8"/>
    <x v="16"/>
    <s v="87"/>
    <s v="תמיכות ביחידות סמך ומוסדות הרשות"/>
    <s v="870"/>
    <e v="#N/A"/>
  </r>
  <r>
    <n v="911"/>
    <s v="76993"/>
    <n v="1"/>
    <s v="176993.911"/>
    <s v="כיסוי גרעון מצטבר               "/>
    <m/>
    <m/>
    <n v="20000000"/>
    <n v="20000000"/>
    <n v="20000000"/>
    <m/>
    <x v="6"/>
    <s v="שירותים מקומיים"/>
    <x v="30"/>
    <s v="שירותים עירוניים שונים"/>
    <x v="97"/>
    <s v="שירותים שונים"/>
    <s v="7699"/>
    <e v="#N/A"/>
    <m/>
    <s v="9"/>
    <x v="17"/>
    <s v="91"/>
    <s v="השתתפות בתקציב בלתי רגיל"/>
    <s v="911"/>
    <e v="#N/A"/>
  </r>
  <r>
    <n v="912"/>
    <s v="76993"/>
    <n v="1"/>
    <s v="176993.912"/>
    <s v="השת' בתקציב הבלתי רגיל          "/>
    <m/>
    <m/>
    <n v="7000000"/>
    <n v="5000000"/>
    <n v="6000000"/>
    <m/>
    <x v="6"/>
    <s v="שירותים מקומיים"/>
    <x v="30"/>
    <s v="שירותים עירוניים שונים"/>
    <x v="97"/>
    <s v="שירותים שונים"/>
    <s v="7699"/>
    <e v="#N/A"/>
    <m/>
    <s v="9"/>
    <x v="17"/>
    <s v="91"/>
    <s v="השתתפות בתקציב בלתי רגיל"/>
    <s v="912"/>
    <e v="#N/A"/>
  </r>
  <r>
    <n v="913"/>
    <s v="76993"/>
    <n v="1"/>
    <s v="176993.913"/>
    <s v="העברה לקרן תקבולים-ס' שאינו חוזר"/>
    <m/>
    <m/>
    <n v="0"/>
    <n v="0"/>
    <n v="4700000"/>
    <m/>
    <x v="6"/>
    <s v="שירותים מקומיים"/>
    <x v="30"/>
    <s v="שירותים עירוניים שונים"/>
    <x v="97"/>
    <s v="שירותים שונים"/>
    <s v="7699"/>
    <e v="#N/A"/>
    <m/>
    <s v="9"/>
    <x v="17"/>
    <s v="91"/>
    <s v="השתתפות בתקציב בלתי רגיל"/>
    <s v="913"/>
    <e v="#N/A"/>
  </r>
  <r>
    <n v="970"/>
    <s v="76993"/>
    <n v="1"/>
    <s v="176993.970"/>
    <s v="סעיפים שאינם חוזרים             "/>
    <m/>
    <m/>
    <n v="0"/>
    <n v="0"/>
    <n v="115000000"/>
    <m/>
    <x v="6"/>
    <s v="שירותים מקומיים"/>
    <x v="30"/>
    <s v="שירותים עירוניים שונים"/>
    <x v="97"/>
    <s v="שירותים שונים"/>
    <s v="7699"/>
    <e v="#N/A"/>
    <m/>
    <s v="9"/>
    <x v="17"/>
    <s v="97"/>
    <s v="מקדמת על הוצאות עודפות"/>
    <s v="970"/>
    <e v="#N/A"/>
  </r>
  <r>
    <n v="841"/>
    <s v="7640"/>
    <n v="1"/>
    <s v="17640.841"/>
    <s v="הקצבה למחלקה לשיפוצי בתים       "/>
    <m/>
    <m/>
    <n v="3635000"/>
    <n v="3635000"/>
    <n v="3352000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1"/>
    <e v="#N/A"/>
  </r>
  <r>
    <n v="842"/>
    <s v="7640"/>
    <n v="1"/>
    <s v="17640.842"/>
    <s v="הוצ' מימון-הלוואות לשיפוץ בתים  "/>
    <m/>
    <m/>
    <n v="3615000"/>
    <n v="3415000"/>
    <n v="2161624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2"/>
    <e v="#N/A"/>
  </r>
  <r>
    <n v="843"/>
    <s v="7640"/>
    <n v="1"/>
    <s v="17640.843"/>
    <s v="הקצבה לתרבות הדיור              "/>
    <m/>
    <m/>
    <n v="500000"/>
    <n v="500000"/>
    <n v="500000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3"/>
    <e v="#N/A"/>
  </r>
  <r>
    <n v="844"/>
    <s v="7640"/>
    <n v="1"/>
    <s v="17640.844"/>
    <s v="הוצ' משפטיות- גביה מסרבני שפוץ  "/>
    <m/>
    <m/>
    <n v="180000"/>
    <n v="180000"/>
    <n v="55418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4"/>
    <e v="#N/A"/>
  </r>
  <r>
    <n v="845"/>
    <s v="7640"/>
    <n v="1"/>
    <s v="17640.845"/>
    <s v="מינהלת שימור מבנים- הפעלה       "/>
    <m/>
    <m/>
    <n v="1000000"/>
    <n v="1000000"/>
    <n v="611090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5"/>
    <e v="#N/A"/>
  </r>
  <r>
    <n v="846"/>
    <s v="7640"/>
    <n v="1"/>
    <s v="17640.846"/>
    <s v="דיור בר השגה                    "/>
    <m/>
    <m/>
    <n v="600000"/>
    <n v="600000"/>
    <n v="602390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6"/>
    <e v="#N/A"/>
  </r>
  <r>
    <n v="847"/>
    <s v="7640"/>
    <n v="1"/>
    <s v="17640.847"/>
    <s v="מינהלת תמ א 38                  "/>
    <m/>
    <m/>
    <n v="1000000"/>
    <n v="1000000"/>
    <n v="999189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7"/>
    <e v="#N/A"/>
  </r>
  <r>
    <n v="848"/>
    <s v="7640"/>
    <n v="1"/>
    <s v="17640.848"/>
    <s v="מינהלת מתחמי שיפוץ עירוניים     "/>
    <m/>
    <m/>
    <n v="250000"/>
    <n v="250000"/>
    <n v="249998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8"/>
    <e v="#N/A"/>
  </r>
  <r>
    <n v="849"/>
    <s v="7640"/>
    <n v="1"/>
    <s v="17640.849"/>
    <s v="התחדשות עירונית                 "/>
    <m/>
    <m/>
    <n v="600000"/>
    <n v="600000"/>
    <n v="0"/>
    <m/>
    <x v="6"/>
    <s v="שירותים מקומיים"/>
    <x v="30"/>
    <s v="שירותים עירוניים שונים"/>
    <x v="98"/>
    <s v="תרבות הדיור"/>
    <s v="7640"/>
    <e v="#N/A"/>
    <m/>
    <s v="8"/>
    <x v="16"/>
    <s v="84"/>
    <s v="תמיכות רווחה"/>
    <s v="849"/>
    <e v="#N/A"/>
  </r>
  <r>
    <n v="171"/>
    <s v="77120"/>
    <n v="1"/>
    <s v="177120.171"/>
    <s v="סעיף שאינו חוזר                 "/>
    <m/>
    <m/>
    <n v="0"/>
    <n v="224000"/>
    <n v="215795"/>
    <m/>
    <x v="6"/>
    <s v="שירותים מקומיים"/>
    <x v="31"/>
    <s v="פיתוח כלכלי"/>
    <x v="99"/>
    <s v="עידוד קייט ותיירות"/>
    <s v="7712"/>
    <e v="#N/A"/>
    <m/>
    <s v="1"/>
    <x v="9"/>
    <s v="17"/>
    <e v="#N/A"/>
    <s v="171"/>
    <e v="#N/A"/>
  </r>
  <r>
    <n v="171"/>
    <s v="77120"/>
    <n v="1"/>
    <s v="177120.171"/>
    <s v="סעיף שאינו חוזר                 "/>
    <m/>
    <m/>
    <n v="0"/>
    <n v="-224000"/>
    <n v="-215795"/>
    <m/>
    <x v="6"/>
    <s v="שירותים מקומיים"/>
    <x v="31"/>
    <s v="פיתוח כלכלי"/>
    <x v="99"/>
    <s v="עידוד קייט ותיירות"/>
    <s v="7712"/>
    <e v="#N/A"/>
    <m/>
    <s v="1"/>
    <x v="9"/>
    <s v="17"/>
    <e v="#N/A"/>
    <s v="171"/>
    <e v="#N/A"/>
  </r>
  <r>
    <n v="841"/>
    <s v="77120"/>
    <n v="1"/>
    <s v="177120.841"/>
    <s v="פעילות שוטפת                    "/>
    <m/>
    <m/>
    <n v="2400000"/>
    <n v="2100000"/>
    <n v="2075794"/>
    <m/>
    <x v="6"/>
    <s v="שירותים מקומיים"/>
    <x v="31"/>
    <s v="פיתוח כלכלי"/>
    <x v="99"/>
    <s v="עידוד קייט ותיירות"/>
    <s v="7712"/>
    <e v="#N/A"/>
    <m/>
    <s v="8"/>
    <x v="16"/>
    <s v="84"/>
    <s v="תמיכות רווחה"/>
    <s v="841"/>
    <e v="#N/A"/>
  </r>
  <r>
    <n v="842"/>
    <s v="77120"/>
    <n v="1"/>
    <s v="177120.842"/>
    <s v="מבצע לעידוד התיירות             "/>
    <m/>
    <m/>
    <n v="1500000"/>
    <n v="1500000"/>
    <n v="1600000"/>
    <m/>
    <x v="6"/>
    <s v="שירותים מקומיים"/>
    <x v="31"/>
    <s v="פיתוח כלכלי"/>
    <x v="99"/>
    <s v="עידוד קייט ותיירות"/>
    <s v="7712"/>
    <e v="#N/A"/>
    <m/>
    <s v="8"/>
    <x v="16"/>
    <s v="84"/>
    <s v="תמיכות רווחה"/>
    <s v="842"/>
    <e v="#N/A"/>
  </r>
  <r>
    <n v="843"/>
    <s v="77120"/>
    <n v="1"/>
    <s v="177120.843"/>
    <s v="לשכות מודיעין-השתתפות העירייה   "/>
    <m/>
    <m/>
    <n v="200000"/>
    <n v="200000"/>
    <n v="200000"/>
    <m/>
    <x v="6"/>
    <s v="שירותים מקומיים"/>
    <x v="31"/>
    <s v="פיתוח כלכלי"/>
    <x v="99"/>
    <s v="עידוד קייט ותיירות"/>
    <s v="7712"/>
    <e v="#N/A"/>
    <m/>
    <s v="8"/>
    <x v="16"/>
    <s v="84"/>
    <s v="תמיכות רווחה"/>
    <s v="843"/>
    <e v="#N/A"/>
  </r>
  <r>
    <n v="844"/>
    <s v="77120"/>
    <n v="1"/>
    <s v="177120.844"/>
    <s v="ארועי פולקלור ביפו              "/>
    <m/>
    <m/>
    <n v="220000"/>
    <n v="220000"/>
    <n v="220000"/>
    <m/>
    <x v="6"/>
    <s v="שירותים מקומיים"/>
    <x v="31"/>
    <s v="פיתוח כלכלי"/>
    <x v="99"/>
    <s v="עידוד קייט ותיירות"/>
    <s v="7712"/>
    <e v="#N/A"/>
    <m/>
    <s v="8"/>
    <x v="16"/>
    <s v="84"/>
    <s v="תמיכות רווחה"/>
    <s v="844"/>
    <e v="#N/A"/>
  </r>
  <r>
    <n v="846"/>
    <s v="77120"/>
    <n v="1"/>
    <s v="177120.846"/>
    <s v="פעילות עיר עולם                 "/>
    <m/>
    <m/>
    <n v="1400000"/>
    <n v="1300000"/>
    <n v="1108000"/>
    <m/>
    <x v="6"/>
    <s v="שירותים מקומיים"/>
    <x v="31"/>
    <s v="פיתוח כלכלי"/>
    <x v="99"/>
    <s v="עידוד קייט ותיירות"/>
    <s v="7712"/>
    <e v="#N/A"/>
    <m/>
    <s v="8"/>
    <x v="16"/>
    <s v="84"/>
    <s v="תמיכות רווחה"/>
    <s v="846"/>
    <e v="#N/A"/>
  </r>
  <r>
    <n v="110"/>
    <s v="77210"/>
    <n v="1"/>
    <s v="177210.110"/>
    <s v="משכורת כוללת                    "/>
    <m/>
    <m/>
    <n v="647000"/>
    <n v="623000"/>
    <n v="553741"/>
    <m/>
    <x v="6"/>
    <s v="שירותים מקומיים"/>
    <x v="31"/>
    <s v="פיתוח כלכלי"/>
    <x v="100"/>
    <s v="עידוד תעשיה ומלאכה"/>
    <s v="7721"/>
    <e v="#N/A"/>
    <m/>
    <s v="1"/>
    <x v="9"/>
    <s v="11"/>
    <s v="השכר הקובע"/>
    <s v="110"/>
    <e v="#N/A"/>
  </r>
  <r>
    <n v="124"/>
    <s v="77210"/>
    <n v="1"/>
    <s v="177210.124"/>
    <s v="החזר הוצאות                     "/>
    <m/>
    <m/>
    <n v="16000"/>
    <n v="24000"/>
    <n v="14576"/>
    <m/>
    <x v="6"/>
    <s v="שירותים מקומיים"/>
    <x v="31"/>
    <s v="פיתוח כלכלי"/>
    <x v="100"/>
    <s v="עידוד תעשיה ומלאכה"/>
    <s v="7721"/>
    <e v="#N/A"/>
    <m/>
    <s v="1"/>
    <x v="9"/>
    <s v="12"/>
    <s v="תוספות שאינן נכללות בשכר הקובע"/>
    <s v="124"/>
    <e v="#N/A"/>
  </r>
  <r>
    <n v="126"/>
    <s v="77210"/>
    <n v="1"/>
    <s v="177210.126"/>
    <s v="הבראה                           "/>
    <m/>
    <m/>
    <n v="12000"/>
    <n v="16000"/>
    <n v="17518"/>
    <m/>
    <x v="6"/>
    <s v="שירותים מקומיים"/>
    <x v="31"/>
    <s v="פיתוח כלכלי"/>
    <x v="100"/>
    <s v="עידוד תעשיה ומלאכה"/>
    <s v="7721"/>
    <e v="#N/A"/>
    <m/>
    <s v="1"/>
    <x v="9"/>
    <s v="12"/>
    <s v="תוספות שאינן נכללות בשכר הקובע"/>
    <s v="126"/>
    <e v="#N/A"/>
  </r>
  <r>
    <n v="127"/>
    <s v="77210"/>
    <n v="1"/>
    <s v="177210.127"/>
    <s v="השתתפות באחזקת רכב-2            "/>
    <m/>
    <m/>
    <n v="46000"/>
    <n v="50000"/>
    <n v="46604"/>
    <m/>
    <x v="6"/>
    <s v="שירותים מקומיים"/>
    <x v="31"/>
    <s v="פיתוח כלכלי"/>
    <x v="100"/>
    <s v="עידוד תעשיה ומלאכה"/>
    <s v="7721"/>
    <e v="#N/A"/>
    <m/>
    <s v="1"/>
    <x v="9"/>
    <s v="12"/>
    <s v="תוספות שאינן נכללות בשכר הקובע"/>
    <s v="127"/>
    <e v="#N/A"/>
  </r>
  <r>
    <n v="130"/>
    <s v="77210"/>
    <n v="1"/>
    <s v="177210.130"/>
    <s v="תשלומים מיוחדים                 "/>
    <m/>
    <m/>
    <n v="13000"/>
    <n v="55000"/>
    <n v="21973"/>
    <m/>
    <x v="6"/>
    <s v="שירותים מקומיים"/>
    <x v="31"/>
    <s v="פיתוח כלכלי"/>
    <x v="100"/>
    <s v="עידוד תעשיה ומלאכה"/>
    <s v="7721"/>
    <e v="#N/A"/>
    <m/>
    <s v="1"/>
    <x v="9"/>
    <s v="13"/>
    <s v="שעות נוספות"/>
    <s v="130"/>
    <e v="#N/A"/>
  </r>
  <r>
    <n v="181"/>
    <s v="77210"/>
    <n v="1"/>
    <s v="177210.181"/>
    <s v="מיסים וביטוח לאומי              "/>
    <m/>
    <m/>
    <n v="98000"/>
    <n v="102000"/>
    <n v="93616"/>
    <m/>
    <x v="6"/>
    <s v="שירותים מקומיים"/>
    <x v="31"/>
    <s v="פיתוח כלכלי"/>
    <x v="100"/>
    <s v="עידוד תעשיה ומלאכה"/>
    <s v="7721"/>
    <e v="#N/A"/>
    <m/>
    <s v="1"/>
    <x v="9"/>
    <s v="18"/>
    <s v="נלוות לשכר"/>
    <s v="181"/>
    <s v="הפרשות סוציאליות"/>
  </r>
  <r>
    <n v="182"/>
    <s v="77210"/>
    <n v="1"/>
    <s v="177210.182"/>
    <s v="קופות גמל והשתלמות              "/>
    <m/>
    <m/>
    <n v="115000"/>
    <n v="116000"/>
    <n v="102357"/>
    <m/>
    <x v="6"/>
    <s v="שירותים מקומיים"/>
    <x v="31"/>
    <s v="פיתוח כלכלי"/>
    <x v="100"/>
    <s v="עידוד תעשיה ומלאכה"/>
    <s v="7721"/>
    <e v="#N/A"/>
    <m/>
    <s v="1"/>
    <x v="9"/>
    <s v="18"/>
    <s v="נלוות לשכר"/>
    <s v="182"/>
    <s v="מיסיום ועלויות"/>
  </r>
  <r>
    <n v="310"/>
    <s v="77210"/>
    <n v="1"/>
    <s v="177210.310"/>
    <s v="שעות נוספות רשומות              "/>
    <m/>
    <m/>
    <n v="13000"/>
    <n v="14000"/>
    <n v="3021"/>
    <m/>
    <x v="6"/>
    <s v="שירותים מקומיים"/>
    <x v="31"/>
    <s v="פיתוח כלכלי"/>
    <x v="100"/>
    <s v="עידוד תעשיה ומלאכה"/>
    <s v="7721"/>
    <e v="#N/A"/>
    <m/>
    <s v="3"/>
    <x v="14"/>
    <s v="31"/>
    <s v="פנסיה"/>
    <s v="310"/>
    <e v="#N/A"/>
  </r>
  <r>
    <n v="434"/>
    <s v="77210"/>
    <n v="1"/>
    <s v="177210.434"/>
    <s v="תיקוני מבנים מתקנים ואינוורטר   "/>
    <m/>
    <m/>
    <n v="1000"/>
    <n v="1000"/>
    <n v="0"/>
    <m/>
    <x v="6"/>
    <s v="שירותים מקומיים"/>
    <x v="31"/>
    <s v="פיתוח כלכלי"/>
    <x v="100"/>
    <s v="עידוד תעשיה ומלאכה"/>
    <s v="7721"/>
    <e v="#N/A"/>
    <m/>
    <s v="4"/>
    <x v="15"/>
    <s v="43"/>
    <s v="חשמל, מים וחומרי ניקיון"/>
    <s v="434"/>
    <s v="שירותי ניקיון"/>
  </r>
  <r>
    <n v="439"/>
    <s v="77210"/>
    <n v="1"/>
    <s v="177210.439"/>
    <s v="אחזקת בנייני העירייה - השתתפות  "/>
    <m/>
    <m/>
    <n v="63000"/>
    <n v="0"/>
    <n v="0"/>
    <m/>
    <x v="6"/>
    <s v="שירותים מקומיים"/>
    <x v="31"/>
    <s v="פיתוח כלכלי"/>
    <x v="100"/>
    <s v="עידוד תעשיה ומלאכה"/>
    <s v="7721"/>
    <e v="#N/A"/>
    <m/>
    <s v="4"/>
    <x v="15"/>
    <s v="43"/>
    <s v="חשמל, מים וחומרי ניקיון"/>
    <s v="439"/>
    <e v="#N/A"/>
  </r>
  <r>
    <n v="461"/>
    <s v="77210"/>
    <n v="1"/>
    <s v="177210.461"/>
    <s v="צורכי משרד                      "/>
    <m/>
    <m/>
    <n v="10000"/>
    <n v="10000"/>
    <n v="8212"/>
    <m/>
    <x v="6"/>
    <s v="שירותים מקומיים"/>
    <x v="31"/>
    <s v="פיתוח כלכלי"/>
    <x v="100"/>
    <s v="עידוד תעשיה ומלאכה"/>
    <s v="7721"/>
    <e v="#N/A"/>
    <m/>
    <s v="4"/>
    <x v="15"/>
    <s v="46"/>
    <e v="#N/A"/>
    <s v="461"/>
    <e v="#N/A"/>
  </r>
  <r>
    <n v="462"/>
    <s v="77210"/>
    <n v="1"/>
    <s v="177210.462"/>
    <s v="ספרים ועתונים                   "/>
    <m/>
    <m/>
    <n v="4000"/>
    <n v="4000"/>
    <n v="2883"/>
    <m/>
    <x v="6"/>
    <s v="שירותים מקומיים"/>
    <x v="31"/>
    <s v="פיתוח כלכלי"/>
    <x v="100"/>
    <s v="עידוד תעשיה ומלאכה"/>
    <s v="7721"/>
    <e v="#N/A"/>
    <m/>
    <s v="4"/>
    <x v="15"/>
    <s v="46"/>
    <e v="#N/A"/>
    <s v="462"/>
    <e v="#N/A"/>
  </r>
  <r>
    <n v="464"/>
    <s v="77210"/>
    <n v="1"/>
    <s v="177210.464"/>
    <s v="דאר                             "/>
    <m/>
    <m/>
    <n v="2000"/>
    <n v="2000"/>
    <n v="648"/>
    <m/>
    <x v="6"/>
    <s v="שירותים מקומיים"/>
    <x v="31"/>
    <s v="פיתוח כלכלי"/>
    <x v="100"/>
    <s v="עידוד תעשיה ומלאכה"/>
    <s v="7721"/>
    <e v="#N/A"/>
    <m/>
    <s v="4"/>
    <x v="15"/>
    <s v="46"/>
    <e v="#N/A"/>
    <s v="464"/>
    <e v="#N/A"/>
  </r>
  <r>
    <n v="510"/>
    <s v="77210"/>
    <n v="1"/>
    <s v="177210.510"/>
    <s v="נסיעות ואש ל                    "/>
    <m/>
    <m/>
    <n v="2000"/>
    <n v="2000"/>
    <n v="1360"/>
    <m/>
    <x v="6"/>
    <s v="שירותים מקומיים"/>
    <x v="31"/>
    <s v="פיתוח כלכלי"/>
    <x v="100"/>
    <s v="עידוד תעשיה ומלאכה"/>
    <s v="7721"/>
    <e v="#N/A"/>
    <m/>
    <s v="5"/>
    <x v="11"/>
    <s v="51"/>
    <s v="אש&quot;ל וכיבודים"/>
    <s v="510"/>
    <e v="#N/A"/>
  </r>
  <r>
    <n v="522"/>
    <s v="77210"/>
    <n v="1"/>
    <s v="177210.522"/>
    <s v="גיבוש יחידתי                    "/>
    <m/>
    <m/>
    <n v="1000"/>
    <n v="1000"/>
    <n v="0"/>
    <m/>
    <x v="6"/>
    <s v="שירותים מקומיים"/>
    <x v="31"/>
    <s v="פיתוח כלכלי"/>
    <x v="100"/>
    <s v="עידוד תעשיה ומלאכה"/>
    <s v="7721"/>
    <e v="#N/A"/>
    <m/>
    <s v="5"/>
    <x v="11"/>
    <s v="52"/>
    <s v="השתלמויות וספרות מקצועית"/>
    <s v="522"/>
    <s v="ספרות מקצועית ועיתונות"/>
  </r>
  <r>
    <n v="531"/>
    <s v="77210"/>
    <n v="1"/>
    <s v="177210.531"/>
    <s v="אחזקת רכב                       "/>
    <m/>
    <m/>
    <n v="3000"/>
    <n v="3000"/>
    <n v="488"/>
    <m/>
    <x v="6"/>
    <s v="שירותים מקומיים"/>
    <x v="31"/>
    <s v="פיתוח כלכלי"/>
    <x v="100"/>
    <s v="עידוד תעשיה ומלאכה"/>
    <s v="7721"/>
    <e v="#N/A"/>
    <m/>
    <s v="5"/>
    <x v="11"/>
    <s v="53"/>
    <s v="הוצאות רכב מינהלי"/>
    <s v="531"/>
    <s v="דלק ושמנים"/>
  </r>
  <r>
    <n v="533"/>
    <s v="77210"/>
    <n v="1"/>
    <s v="177210.533"/>
    <s v="שכירת רכב                       "/>
    <m/>
    <m/>
    <n v="55000"/>
    <n v="57000"/>
    <n v="41615"/>
    <m/>
    <x v="6"/>
    <s v="שירותים מקומיים"/>
    <x v="31"/>
    <s v="פיתוח כלכלי"/>
    <x v="100"/>
    <s v="עידוד תעשיה ומלאכה"/>
    <s v="7721"/>
    <e v="#N/A"/>
    <m/>
    <s v="5"/>
    <x v="11"/>
    <s v="53"/>
    <s v="הוצאות רכב מינהלי"/>
    <s v="533"/>
    <s v="רישוי וביטוח"/>
  </r>
  <r>
    <n v="534"/>
    <s v="77210"/>
    <n v="1"/>
    <s v="177210.534"/>
    <s v="דלק ושמן                        "/>
    <m/>
    <m/>
    <n v="32000"/>
    <n v="32000"/>
    <n v="23750"/>
    <m/>
    <x v="6"/>
    <s v="שירותים מקומיים"/>
    <x v="31"/>
    <s v="פיתוח כלכלי"/>
    <x v="100"/>
    <s v="עידוד תעשיה ומלאכה"/>
    <s v="7721"/>
    <e v="#N/A"/>
    <m/>
    <s v="5"/>
    <x v="11"/>
    <s v="53"/>
    <s v="הוצאות רכב מינהלי"/>
    <s v="534"/>
    <e v="#N/A"/>
  </r>
  <r>
    <n v="541"/>
    <s v="77210"/>
    <n v="1"/>
    <s v="177210.541"/>
    <s v="החזקת מכשירי קשר וסלולר         "/>
    <m/>
    <m/>
    <n v="9000"/>
    <n v="9000"/>
    <n v="7836"/>
    <m/>
    <x v="6"/>
    <s v="שירותים מקומיים"/>
    <x v="31"/>
    <s v="פיתוח כלכלי"/>
    <x v="100"/>
    <s v="עידוד תעשיה ומלאכה"/>
    <s v="7721"/>
    <e v="#N/A"/>
    <m/>
    <s v="5"/>
    <x v="11"/>
    <s v="54"/>
    <s v="הוצאות תקשורת"/>
    <s v="541"/>
    <e v="#N/A"/>
  </r>
  <r>
    <n v="610"/>
    <s v="77210"/>
    <n v="1"/>
    <s v="177210.610"/>
    <s v="כיבודים                         "/>
    <m/>
    <m/>
    <n v="4000"/>
    <n v="4000"/>
    <n v="2058"/>
    <m/>
    <x v="6"/>
    <s v="שירותים מקומיים"/>
    <x v="31"/>
    <s v="פיתוח כלכלי"/>
    <x v="100"/>
    <s v="עידוד תעשיה ומלאכה"/>
    <s v="7721"/>
    <e v="#N/A"/>
    <m/>
    <s v="6"/>
    <x v="12"/>
    <s v="61"/>
    <s v="עמלות"/>
    <s v="610"/>
    <e v="#N/A"/>
  </r>
  <r>
    <n v="670"/>
    <s v="77210"/>
    <n v="1"/>
    <s v="177210.670"/>
    <s v="סעיף שאינו חוזר                 "/>
    <m/>
    <m/>
    <n v="0"/>
    <n v="1000"/>
    <n v="615"/>
    <m/>
    <x v="6"/>
    <s v="שירותים מקומיים"/>
    <x v="31"/>
    <s v="פיתוח כלכלי"/>
    <x v="100"/>
    <s v="עידוד תעשיה ומלאכה"/>
    <s v="7721"/>
    <e v="#N/A"/>
    <m/>
    <s v="6"/>
    <x v="12"/>
    <s v="67"/>
    <e v="#N/A"/>
    <s v="670"/>
    <e v="#N/A"/>
  </r>
  <r>
    <n v="693"/>
    <s v="77210"/>
    <n v="1"/>
    <s v="177210.693"/>
    <s v="מיחשוב יחידתי                   "/>
    <m/>
    <m/>
    <n v="5000"/>
    <n v="5000"/>
    <n v="0"/>
    <m/>
    <x v="6"/>
    <s v="שירותים מקומיים"/>
    <x v="31"/>
    <s v="פיתוח כלכלי"/>
    <x v="100"/>
    <s v="עידוד תעשיה ומלאכה"/>
    <s v="7721"/>
    <e v="#N/A"/>
    <m/>
    <s v="6"/>
    <x v="12"/>
    <s v="69"/>
    <s v="שונות"/>
    <s v="693"/>
    <s v="תשלום ע&quot;ח הצמדת ערך"/>
  </r>
  <r>
    <n v="781"/>
    <s v="77210"/>
    <n v="1"/>
    <s v="177210.781"/>
    <s v="פרויקטים תחבורתיים              "/>
    <m/>
    <m/>
    <n v="640000"/>
    <n v="640000"/>
    <n v="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1"/>
    <e v="#N/A"/>
  </r>
  <r>
    <n v="782"/>
    <s v="77210"/>
    <n v="1"/>
    <s v="177210.782"/>
    <s v="השתלמויות כנסים וקשר בינ ל      "/>
    <m/>
    <m/>
    <n v="35000"/>
    <n v="35000"/>
    <n v="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2"/>
    <e v="#N/A"/>
  </r>
  <r>
    <n v="783"/>
    <s v="77210"/>
    <n v="1"/>
    <s v="177210.783"/>
    <s v="פעולות יחודיות בנושא התחבורה    "/>
    <m/>
    <m/>
    <n v="20000"/>
    <n v="20000"/>
    <n v="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3"/>
    <e v="#N/A"/>
  </r>
  <r>
    <n v="784"/>
    <s v="77210"/>
    <n v="1"/>
    <s v="177210.784"/>
    <s v="כנס תחבורה וחניה                "/>
    <m/>
    <m/>
    <n v="10000"/>
    <n v="10000"/>
    <n v="2368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4"/>
    <e v="#N/A"/>
  </r>
  <r>
    <n v="785"/>
    <s v="77210"/>
    <n v="1"/>
    <s v="177210.785"/>
    <s v="עידוד רכיבה על אופניים          "/>
    <m/>
    <m/>
    <n v="500000"/>
    <n v="500000"/>
    <n v="137100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5"/>
    <e v="#N/A"/>
  </r>
  <r>
    <n v="786"/>
    <s v="77210"/>
    <n v="1"/>
    <s v="177210.786"/>
    <s v="הפעלת ועדת נכים                 "/>
    <m/>
    <m/>
    <n v="28000"/>
    <n v="28000"/>
    <n v="1925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6"/>
    <e v="#N/A"/>
  </r>
  <r>
    <n v="787"/>
    <s v="77210"/>
    <n v="1"/>
    <s v="177210.787"/>
    <s v="פרויקט שיתוף מכוניות            "/>
    <m/>
    <m/>
    <n v="11000000"/>
    <n v="0"/>
    <n v="0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7"/>
    <e v="#N/A"/>
  </r>
  <r>
    <n v="788"/>
    <s v="77210"/>
    <n v="1"/>
    <s v="177210.788"/>
    <s v="סקרים ומחקרים                   "/>
    <m/>
    <m/>
    <n v="82000"/>
    <n v="82000"/>
    <n v="96324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8"/>
    <e v="#N/A"/>
  </r>
  <r>
    <n v="789"/>
    <s v="77210"/>
    <n v="1"/>
    <s v="177210.789"/>
    <s v="פרויקט השכרת אופניים            "/>
    <m/>
    <m/>
    <n v="8000000"/>
    <n v="8000000"/>
    <n v="6508471"/>
    <m/>
    <x v="6"/>
    <s v="שירותים מקומיים"/>
    <x v="31"/>
    <s v="פיתוח כלכלי"/>
    <x v="100"/>
    <s v="עידוד תעשיה ומלאכה"/>
    <s v="7721"/>
    <e v="#N/A"/>
    <m/>
    <s v="7"/>
    <x v="13"/>
    <s v="78"/>
    <s v="הוצאות שונות"/>
    <s v="789"/>
    <e v="#N/A"/>
  </r>
  <r>
    <n v="932"/>
    <s v="77210"/>
    <n v="1"/>
    <s v="177210.932"/>
    <s v="ציוד וריהוט משרדי               "/>
    <m/>
    <m/>
    <n v="4000"/>
    <n v="4000"/>
    <n v="625"/>
    <m/>
    <x v="6"/>
    <s v="שירותים מקומיים"/>
    <x v="31"/>
    <s v="פיתוח כלכלי"/>
    <x v="100"/>
    <s v="עידוד תעשיה ומלאכה"/>
    <s v="7721"/>
    <e v="#N/A"/>
    <m/>
    <s v="9"/>
    <x v="17"/>
    <s v="93"/>
    <s v="רכישת ציוד יסודי"/>
    <s v="932"/>
    <e v="#N/A"/>
  </r>
  <r>
    <n v="841"/>
    <s v="77310"/>
    <n v="1"/>
    <s v="177310.841"/>
    <s v="שרונה - תפעול הדרך התת קרקעית   "/>
    <m/>
    <m/>
    <n v="4000000"/>
    <n v="4000000"/>
    <n v="1600000"/>
    <m/>
    <x v="6"/>
    <s v="שירותים מקומיים"/>
    <x v="31"/>
    <s v="פיתוח כלכלי"/>
    <x v="101"/>
    <s v="חברות עירוניות"/>
    <s v="7731"/>
    <s v="הון מניות"/>
    <m/>
    <s v="8"/>
    <x v="16"/>
    <s v="84"/>
    <s v="תמיכות רווחה"/>
    <s v="841"/>
    <e v="#N/A"/>
  </r>
  <r>
    <n v="843"/>
    <s v="77310"/>
    <n v="1"/>
    <s v="177310.843"/>
    <s v="תפעול נמל יפו                   "/>
    <m/>
    <m/>
    <n v="5100000"/>
    <n v="5100000"/>
    <n v="5100000"/>
    <m/>
    <x v="6"/>
    <s v="שירותים מקומיים"/>
    <x v="31"/>
    <s v="פיתוח כלכלי"/>
    <x v="101"/>
    <s v="חברות עירוניות"/>
    <s v="7731"/>
    <s v="הון מניות"/>
    <m/>
    <s v="8"/>
    <x v="16"/>
    <s v="84"/>
    <s v="תמיכות רווחה"/>
    <s v="843"/>
    <e v="#N/A"/>
  </r>
  <r>
    <n v="844"/>
    <s v="77310"/>
    <n v="1"/>
    <s v="177310.844"/>
    <s v="השתתפות לחברת יפו העתיקה        "/>
    <m/>
    <m/>
    <n v="940000"/>
    <n v="940000"/>
    <n v="940000"/>
    <m/>
    <x v="6"/>
    <s v="שירותים מקומיים"/>
    <x v="31"/>
    <s v="פיתוח כלכלי"/>
    <x v="101"/>
    <s v="חברות עירוניות"/>
    <s v="7731"/>
    <s v="הון מניות"/>
    <m/>
    <s v="8"/>
    <x v="16"/>
    <s v="84"/>
    <s v="תמיכות רווחה"/>
    <s v="844"/>
    <e v="#N/A"/>
  </r>
  <r>
    <n v="845"/>
    <s v="77310"/>
    <n v="1"/>
    <s v="177310.845"/>
    <s v="מינהלת מתחם מנשיה               "/>
    <m/>
    <m/>
    <n v="350000"/>
    <n v="370000"/>
    <n v="348612"/>
    <m/>
    <x v="6"/>
    <s v="שירותים מקומיים"/>
    <x v="31"/>
    <s v="פיתוח כלכלי"/>
    <x v="101"/>
    <s v="חברות עירוניות"/>
    <s v="7731"/>
    <s v="הון מניות"/>
    <m/>
    <s v="8"/>
    <x v="16"/>
    <s v="84"/>
    <s v="תמיכות רווחה"/>
    <s v="845"/>
    <e v="#N/A"/>
  </r>
  <r>
    <n v="846"/>
    <s v="77310"/>
    <n v="1"/>
    <s v="177310.846"/>
    <s v="מינהלת מתחם השוק הסיטונאי       "/>
    <m/>
    <m/>
    <n v="100000"/>
    <n v="100000"/>
    <n v="0"/>
    <m/>
    <x v="6"/>
    <s v="שירותים מקומיים"/>
    <x v="31"/>
    <s v="פיתוח כלכלי"/>
    <x v="101"/>
    <s v="חברות עירוניות"/>
    <s v="7731"/>
    <s v="הון מניות"/>
    <m/>
    <s v="8"/>
    <x v="16"/>
    <s v="84"/>
    <s v="תמיכות רווחה"/>
    <s v="846"/>
    <e v="#N/A"/>
  </r>
  <r>
    <n v="110"/>
    <s v="78110"/>
    <n v="1"/>
    <s v="178110.110"/>
    <s v="משכורת כוללת                    "/>
    <m/>
    <m/>
    <n v="3444000"/>
    <n v="3004000"/>
    <n v="2984276"/>
    <m/>
    <x v="6"/>
    <s v="שירותים מקומיים"/>
    <x v="32"/>
    <s v="פיקוח עירוני"/>
    <x v="102"/>
    <s v="פיקוח על חוקי עזר"/>
    <s v="7811"/>
    <e v="#N/A"/>
    <m/>
    <s v="1"/>
    <x v="9"/>
    <s v="11"/>
    <s v="השכר הקובע"/>
    <s v="110"/>
    <e v="#N/A"/>
  </r>
  <r>
    <n v="124"/>
    <s v="78110"/>
    <n v="1"/>
    <s v="178110.124"/>
    <s v="החזר הוצאות                     "/>
    <m/>
    <m/>
    <n v="158000"/>
    <n v="141000"/>
    <n v="144597"/>
    <m/>
    <x v="6"/>
    <s v="שירותים מקומיים"/>
    <x v="32"/>
    <s v="פיקוח עירוני"/>
    <x v="102"/>
    <s v="פיקוח על חוקי עזר"/>
    <s v="7811"/>
    <e v="#N/A"/>
    <m/>
    <s v="1"/>
    <x v="9"/>
    <s v="12"/>
    <s v="תוספות שאינן נכללות בשכר הקובע"/>
    <s v="124"/>
    <e v="#N/A"/>
  </r>
  <r>
    <n v="126"/>
    <s v="78110"/>
    <n v="1"/>
    <s v="178110.126"/>
    <s v="הבראה                           "/>
    <m/>
    <m/>
    <n v="175000"/>
    <n v="166000"/>
    <n v="169092"/>
    <m/>
    <x v="6"/>
    <s v="שירותים מקומיים"/>
    <x v="32"/>
    <s v="פיקוח עירוני"/>
    <x v="102"/>
    <s v="פיקוח על חוקי עזר"/>
    <s v="7811"/>
    <e v="#N/A"/>
    <m/>
    <s v="1"/>
    <x v="9"/>
    <s v="12"/>
    <s v="תוספות שאינן נכללות בשכר הקובע"/>
    <s v="126"/>
    <e v="#N/A"/>
  </r>
  <r>
    <n v="127"/>
    <s v="78110"/>
    <n v="1"/>
    <s v="178110.127"/>
    <s v="השתתפות באחזקת רכב- 28          "/>
    <m/>
    <m/>
    <n v="807000"/>
    <n v="721000"/>
    <n v="720716"/>
    <m/>
    <x v="6"/>
    <s v="שירותים מקומיים"/>
    <x v="32"/>
    <s v="פיקוח עירוני"/>
    <x v="102"/>
    <s v="פיקוח על חוקי עזר"/>
    <s v="7811"/>
    <e v="#N/A"/>
    <m/>
    <s v="1"/>
    <x v="9"/>
    <s v="12"/>
    <s v="תוספות שאינן נכללות בשכר הקובע"/>
    <s v="127"/>
    <e v="#N/A"/>
  </r>
  <r>
    <n v="130"/>
    <s v="78110"/>
    <n v="1"/>
    <s v="178110.130"/>
    <s v="תשלומים מיוחדים                 "/>
    <m/>
    <m/>
    <n v="1266000"/>
    <n v="1158000"/>
    <n v="1217322"/>
    <m/>
    <x v="6"/>
    <s v="שירותים מקומיים"/>
    <x v="32"/>
    <s v="פיקוח עירוני"/>
    <x v="102"/>
    <s v="פיקוח על חוקי עזר"/>
    <s v="7811"/>
    <e v="#N/A"/>
    <m/>
    <s v="1"/>
    <x v="9"/>
    <s v="13"/>
    <s v="שעות נוספות"/>
    <s v="130"/>
    <e v="#N/A"/>
  </r>
  <r>
    <n v="181"/>
    <s v="78110"/>
    <n v="1"/>
    <s v="178110.181"/>
    <s v="מיסים וביטוח לאומי              "/>
    <m/>
    <m/>
    <n v="844000"/>
    <n v="776000"/>
    <n v="778092"/>
    <m/>
    <x v="6"/>
    <s v="שירותים מקומיים"/>
    <x v="32"/>
    <s v="פיקוח עירוני"/>
    <x v="102"/>
    <s v="פיקוח על חוקי עזר"/>
    <s v="7811"/>
    <e v="#N/A"/>
    <m/>
    <s v="1"/>
    <x v="9"/>
    <s v="18"/>
    <s v="נלוות לשכר"/>
    <s v="181"/>
    <s v="הפרשות סוציאליות"/>
  </r>
  <r>
    <n v="182"/>
    <s v="78110"/>
    <n v="1"/>
    <s v="178110.182"/>
    <s v="קופות גמל והשתלמות              "/>
    <m/>
    <m/>
    <n v="705000"/>
    <n v="638000"/>
    <n v="639255"/>
    <m/>
    <x v="6"/>
    <s v="שירותים מקומיים"/>
    <x v="32"/>
    <s v="פיקוח עירוני"/>
    <x v="102"/>
    <s v="פיקוח על חוקי עזר"/>
    <s v="7811"/>
    <e v="#N/A"/>
    <m/>
    <s v="1"/>
    <x v="9"/>
    <s v="18"/>
    <s v="נלוות לשכר"/>
    <s v="182"/>
    <s v="מיסיום ועלויות"/>
  </r>
  <r>
    <n v="230"/>
    <s v="78110"/>
    <n v="1"/>
    <s v="178110.230"/>
    <s v="משימות חולפות - 1               "/>
    <m/>
    <m/>
    <n v="65000"/>
    <n v="222000"/>
    <n v="276210"/>
    <m/>
    <x v="6"/>
    <s v="שירותים מקומיים"/>
    <x v="32"/>
    <s v="פיקוח עירוני"/>
    <x v="102"/>
    <s v="פיקוח על חוקי עזר"/>
    <s v="7811"/>
    <e v="#N/A"/>
    <m/>
    <s v="2"/>
    <x v="10"/>
    <s v="23"/>
    <s v="שעות נוספות"/>
    <s v="230"/>
    <e v="#N/A"/>
  </r>
  <r>
    <n v="310"/>
    <s v="78110"/>
    <n v="1"/>
    <s v="178110.310"/>
    <s v="שעות  נוספות  רשומות            "/>
    <m/>
    <m/>
    <n v="380000"/>
    <n v="373000"/>
    <n v="352617"/>
    <m/>
    <x v="6"/>
    <s v="שירותים מקומיים"/>
    <x v="32"/>
    <s v="פיקוח עירוני"/>
    <x v="102"/>
    <s v="פיקוח על חוקי עזר"/>
    <s v="7811"/>
    <e v="#N/A"/>
    <m/>
    <s v="3"/>
    <x v="14"/>
    <s v="31"/>
    <s v="פנסיה"/>
    <s v="310"/>
    <e v="#N/A"/>
  </r>
  <r>
    <n v="340"/>
    <s v="78110"/>
    <n v="1"/>
    <s v="178110.340"/>
    <s v="שעות נוספות מיוחדות             "/>
    <m/>
    <m/>
    <n v="152000"/>
    <n v="149000"/>
    <n v="33329"/>
    <m/>
    <x v="6"/>
    <s v="שירותים מקומיים"/>
    <x v="32"/>
    <s v="פיקוח עירוני"/>
    <x v="102"/>
    <s v="פיקוח על חוקי עזר"/>
    <s v="7811"/>
    <e v="#N/A"/>
    <m/>
    <s v="3"/>
    <x v="14"/>
    <s v="34"/>
    <e v="#N/A"/>
    <s v="340"/>
    <e v="#N/A"/>
  </r>
  <r>
    <n v="399"/>
    <s v="78110"/>
    <n v="1"/>
    <s v="178110.399"/>
    <s v="החזר בגין שכר                   "/>
    <m/>
    <m/>
    <n v="-519000"/>
    <n v="-509000"/>
    <n v="-542283"/>
    <m/>
    <x v="6"/>
    <s v="שירותים מקומיים"/>
    <x v="32"/>
    <s v="פיקוח עירוני"/>
    <x v="102"/>
    <s v="פיקוח על חוקי עזר"/>
    <s v="7811"/>
    <e v="#N/A"/>
    <m/>
    <s v="3"/>
    <x v="14"/>
    <s v="39"/>
    <e v="#N/A"/>
    <s v="399"/>
    <e v="#N/A"/>
  </r>
  <r>
    <n v="412"/>
    <s v="78110"/>
    <n v="1"/>
    <s v="178110.412"/>
    <s v="מיסים ואגרות                    "/>
    <m/>
    <m/>
    <n v="2000"/>
    <n v="2000"/>
    <n v="1176"/>
    <m/>
    <x v="6"/>
    <s v="שירותים מקומיים"/>
    <x v="32"/>
    <s v="פיקוח עירוני"/>
    <x v="102"/>
    <s v="פיקוח על חוקי עזר"/>
    <s v="7811"/>
    <e v="#N/A"/>
    <m/>
    <s v="4"/>
    <x v="15"/>
    <s v="41"/>
    <s v="שכר דירה ודמי חכירה"/>
    <s v="412"/>
    <e v="#N/A"/>
  </r>
  <r>
    <n v="431"/>
    <s v="78110"/>
    <n v="1"/>
    <s v="178110.431"/>
    <s v="מים                             "/>
    <m/>
    <m/>
    <n v="34000"/>
    <n v="24000"/>
    <n v="39993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1"/>
    <s v="חשמל"/>
  </r>
  <r>
    <n v="432"/>
    <s v="78110"/>
    <n v="1"/>
    <s v="178110.432"/>
    <s v="תחזוקת החצר הגן                 "/>
    <m/>
    <m/>
    <n v="21000"/>
    <n v="21000"/>
    <n v="18936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2"/>
    <s v="מים"/>
  </r>
  <r>
    <n v="433"/>
    <s v="78110"/>
    <n v="1"/>
    <s v="178110.433"/>
    <s v="בטוח                            "/>
    <m/>
    <m/>
    <n v="837000"/>
    <n v="971000"/>
    <n v="736000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3"/>
    <s v="חומרי ניקיון"/>
  </r>
  <r>
    <n v="434"/>
    <s v="78110"/>
    <n v="1"/>
    <s v="178110.434"/>
    <s v="תקוני מבנים  מתקנים ואינונטר    "/>
    <m/>
    <m/>
    <n v="115000"/>
    <n v="115000"/>
    <n v="117288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4"/>
    <s v="שירותי ניקיון"/>
  </r>
  <r>
    <n v="435"/>
    <s v="78110"/>
    <n v="1"/>
    <s v="178110.435"/>
    <s v="חשמל ואנרגיה                    "/>
    <m/>
    <m/>
    <n v="187000"/>
    <n v="247000"/>
    <n v="214550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5"/>
    <e v="#N/A"/>
  </r>
  <r>
    <n v="436"/>
    <s v="78110"/>
    <n v="1"/>
    <s v="178110.436"/>
    <s v="נקיון                           "/>
    <m/>
    <m/>
    <n v="30000"/>
    <n v="30000"/>
    <n v="26312"/>
    <m/>
    <x v="6"/>
    <s v="שירותים מקומיים"/>
    <x v="32"/>
    <s v="פיקוח עירוני"/>
    <x v="102"/>
    <s v="פיקוח על חוקי עזר"/>
    <s v="7811"/>
    <e v="#N/A"/>
    <m/>
    <s v="4"/>
    <x v="15"/>
    <s v="43"/>
    <s v="חשמל, מים וחומרי ניקיון"/>
    <s v="436"/>
    <e v="#N/A"/>
  </r>
  <r>
    <n v="461"/>
    <s v="78110"/>
    <n v="1"/>
    <s v="178110.461"/>
    <s v="צורכי משרד                      "/>
    <m/>
    <m/>
    <n v="222000"/>
    <n v="230000"/>
    <n v="202076"/>
    <m/>
    <x v="6"/>
    <s v="שירותים מקומיים"/>
    <x v="32"/>
    <s v="פיקוח עירוני"/>
    <x v="102"/>
    <s v="פיקוח על חוקי עזר"/>
    <s v="7811"/>
    <e v="#N/A"/>
    <m/>
    <s v="4"/>
    <x v="15"/>
    <s v="46"/>
    <e v="#N/A"/>
    <s v="461"/>
    <e v="#N/A"/>
  </r>
  <r>
    <n v="462"/>
    <s v="78110"/>
    <n v="1"/>
    <s v="178110.462"/>
    <s v="ספרים ועתונים                   "/>
    <m/>
    <m/>
    <n v="5000"/>
    <n v="5000"/>
    <n v="2961"/>
    <m/>
    <x v="6"/>
    <s v="שירותים מקומיים"/>
    <x v="32"/>
    <s v="פיקוח עירוני"/>
    <x v="102"/>
    <s v="פיקוח על חוקי עזר"/>
    <s v="7811"/>
    <e v="#N/A"/>
    <m/>
    <s v="4"/>
    <x v="15"/>
    <s v="46"/>
    <e v="#N/A"/>
    <s v="462"/>
    <e v="#N/A"/>
  </r>
  <r>
    <n v="464"/>
    <s v="78110"/>
    <n v="1"/>
    <s v="178110.464"/>
    <s v="דאר                             "/>
    <m/>
    <m/>
    <n v="175000"/>
    <n v="155000"/>
    <n v="229272"/>
    <m/>
    <x v="6"/>
    <s v="שירותים מקומיים"/>
    <x v="32"/>
    <s v="פיקוח עירוני"/>
    <x v="102"/>
    <s v="פיקוח על חוקי עזר"/>
    <s v="7811"/>
    <e v="#N/A"/>
    <m/>
    <s v="4"/>
    <x v="15"/>
    <s v="46"/>
    <e v="#N/A"/>
    <s v="464"/>
    <e v="#N/A"/>
  </r>
  <r>
    <n v="510"/>
    <s v="78110"/>
    <n v="1"/>
    <s v="178110.510"/>
    <s v="נסיעות  ואש ל                   "/>
    <m/>
    <m/>
    <n v="30000"/>
    <n v="30000"/>
    <n v="1270"/>
    <m/>
    <x v="6"/>
    <s v="שירותים מקומיים"/>
    <x v="32"/>
    <s v="פיקוח עירוני"/>
    <x v="102"/>
    <s v="פיקוח על חוקי עזר"/>
    <s v="7811"/>
    <e v="#N/A"/>
    <m/>
    <s v="5"/>
    <x v="11"/>
    <s v="51"/>
    <s v="אש&quot;ל וכיבודים"/>
    <s v="510"/>
    <e v="#N/A"/>
  </r>
  <r>
    <n v="521"/>
    <s v="78110"/>
    <n v="1"/>
    <s v="178110.521"/>
    <s v="הדרכה וכנסים                    "/>
    <m/>
    <m/>
    <n v="254000"/>
    <n v="194000"/>
    <n v="148335"/>
    <m/>
    <x v="6"/>
    <s v="שירותים מקומיים"/>
    <x v="32"/>
    <s v="פיקוח עירוני"/>
    <x v="102"/>
    <s v="פיקוח על חוקי עזר"/>
    <s v="7811"/>
    <e v="#N/A"/>
    <m/>
    <s v="5"/>
    <x v="11"/>
    <s v="52"/>
    <s v="השתלמויות וספרות מקצועית"/>
    <s v="521"/>
    <s v="השתלמויות וספרות מקצועית"/>
  </r>
  <r>
    <n v="522"/>
    <s v="78110"/>
    <n v="1"/>
    <s v="178110.522"/>
    <s v="גיבוש יחידתי                    "/>
    <m/>
    <m/>
    <n v="98000"/>
    <n v="98000"/>
    <n v="135150"/>
    <m/>
    <x v="6"/>
    <s v="שירותים מקומיים"/>
    <x v="32"/>
    <s v="פיקוח עירוני"/>
    <x v="102"/>
    <s v="פיקוח על חוקי עזר"/>
    <s v="7811"/>
    <e v="#N/A"/>
    <m/>
    <s v="5"/>
    <x v="11"/>
    <s v="52"/>
    <s v="השתלמויות וספרות מקצועית"/>
    <s v="522"/>
    <s v="ספרות מקצועית ועיתונות"/>
  </r>
  <r>
    <n v="531"/>
    <s v="78110"/>
    <n v="1"/>
    <s v="178110.531"/>
    <s v="אחזקת רכב                       "/>
    <m/>
    <m/>
    <n v="840000"/>
    <n v="840000"/>
    <n v="728641"/>
    <m/>
    <x v="6"/>
    <s v="שירותים מקומיים"/>
    <x v="32"/>
    <s v="פיקוח עירוני"/>
    <x v="102"/>
    <s v="פיקוח על חוקי עזר"/>
    <s v="7811"/>
    <e v="#N/A"/>
    <m/>
    <s v="5"/>
    <x v="11"/>
    <s v="53"/>
    <s v="הוצאות רכב מינהלי"/>
    <s v="531"/>
    <s v="דלק ושמנים"/>
  </r>
  <r>
    <n v="532"/>
    <s v="78110"/>
    <n v="1"/>
    <s v="178110.532"/>
    <s v="בטוח רכב                        "/>
    <m/>
    <m/>
    <n v="846000"/>
    <n v="689000"/>
    <n v="658008"/>
    <m/>
    <x v="6"/>
    <s v="שירותים מקומיים"/>
    <x v="32"/>
    <s v="פיקוח עירוני"/>
    <x v="102"/>
    <s v="פיקוח על חוקי עזר"/>
    <s v="7811"/>
    <e v="#N/A"/>
    <m/>
    <s v="5"/>
    <x v="11"/>
    <s v="53"/>
    <s v="הוצאות רכב מינהלי"/>
    <s v="532"/>
    <s v="תיקונים"/>
  </r>
  <r>
    <n v="533"/>
    <s v="78110"/>
    <n v="1"/>
    <s v="178110.533"/>
    <s v="שכירת רכב                       "/>
    <m/>
    <m/>
    <n v="496000"/>
    <n v="496000"/>
    <n v="222763"/>
    <m/>
    <x v="6"/>
    <s v="שירותים מקומיים"/>
    <x v="32"/>
    <s v="פיקוח עירוני"/>
    <x v="102"/>
    <s v="פיקוח על חוקי עזר"/>
    <s v="7811"/>
    <e v="#N/A"/>
    <m/>
    <s v="5"/>
    <x v="11"/>
    <s v="53"/>
    <s v="הוצאות רכב מינהלי"/>
    <s v="533"/>
    <s v="רישוי וביטוח"/>
  </r>
  <r>
    <n v="534"/>
    <s v="78110"/>
    <n v="1"/>
    <s v="178110.534"/>
    <s v="דלק ושמן                        "/>
    <m/>
    <m/>
    <n v="916000"/>
    <n v="1216000"/>
    <n v="811201"/>
    <m/>
    <x v="6"/>
    <s v="שירותים מקומיים"/>
    <x v="32"/>
    <s v="פיקוח עירוני"/>
    <x v="102"/>
    <s v="פיקוח על חוקי עזר"/>
    <s v="7811"/>
    <e v="#N/A"/>
    <m/>
    <s v="5"/>
    <x v="11"/>
    <s v="53"/>
    <s v="הוצאות רכב מינהלי"/>
    <s v="534"/>
    <e v="#N/A"/>
  </r>
  <r>
    <n v="541"/>
    <s v="78110"/>
    <n v="1"/>
    <s v="178110.541"/>
    <s v="החזקת מכשירי קשר וסלולר         "/>
    <m/>
    <m/>
    <n v="1430000"/>
    <n v="1410000"/>
    <n v="1815567"/>
    <m/>
    <x v="6"/>
    <s v="שירותים מקומיים"/>
    <x v="32"/>
    <s v="פיקוח עירוני"/>
    <x v="102"/>
    <s v="פיקוח על חוקי עזר"/>
    <s v="7811"/>
    <e v="#N/A"/>
    <m/>
    <s v="5"/>
    <x v="11"/>
    <s v="54"/>
    <s v="הוצאות תקשורת"/>
    <s v="541"/>
    <e v="#N/A"/>
  </r>
  <r>
    <n v="610"/>
    <s v="78110"/>
    <n v="1"/>
    <s v="178110.610"/>
    <s v="כיבודים                         "/>
    <m/>
    <m/>
    <n v="90000"/>
    <n v="50000"/>
    <n v="72613"/>
    <m/>
    <x v="6"/>
    <s v="שירותים מקומיים"/>
    <x v="32"/>
    <s v="פיקוח עירוני"/>
    <x v="102"/>
    <s v="פיקוח על חוקי עזר"/>
    <s v="7811"/>
    <e v="#N/A"/>
    <m/>
    <s v="6"/>
    <x v="12"/>
    <s v="61"/>
    <s v="עמלות"/>
    <s v="610"/>
    <e v="#N/A"/>
  </r>
  <r>
    <n v="680"/>
    <s v="78110"/>
    <n v="1"/>
    <s v="178110.680"/>
    <s v="הוצאות   מיוחדות                "/>
    <m/>
    <m/>
    <n v="50000"/>
    <n v="50000"/>
    <n v="42290"/>
    <m/>
    <x v="6"/>
    <s v="שירותים מקומיים"/>
    <x v="32"/>
    <s v="פיקוח עירוני"/>
    <x v="102"/>
    <s v="פיקוח על חוקי עזר"/>
    <s v="7811"/>
    <e v="#N/A"/>
    <m/>
    <s v="6"/>
    <x v="12"/>
    <s v="68"/>
    <s v="ריבית על הוצאות אחרות"/>
    <s v="680"/>
    <e v="#N/A"/>
  </r>
  <r>
    <n v="691"/>
    <s v="78110"/>
    <n v="1"/>
    <s v="178110.691"/>
    <s v="מערכות מידע ומחשוב              "/>
    <m/>
    <m/>
    <n v="4290000"/>
    <n v="5370000"/>
    <n v="4924965"/>
    <m/>
    <x v="6"/>
    <s v="שירותים מקומיים"/>
    <x v="32"/>
    <s v="פיקוח עירוני"/>
    <x v="102"/>
    <s v="פיקוח על חוקי עזר"/>
    <s v="7811"/>
    <e v="#N/A"/>
    <m/>
    <s v="6"/>
    <x v="12"/>
    <s v="69"/>
    <s v="שונות"/>
    <s v="691"/>
    <s v="תשלום ע&quot;ח קרן"/>
  </r>
  <r>
    <n v="693"/>
    <s v="78110"/>
    <n v="1"/>
    <s v="178110.693"/>
    <s v="מיחשוב יחידתי                   "/>
    <m/>
    <m/>
    <n v="130000"/>
    <n v="130000"/>
    <n v="110097"/>
    <m/>
    <x v="6"/>
    <s v="שירותים מקומיים"/>
    <x v="32"/>
    <s v="פיקוח עירוני"/>
    <x v="102"/>
    <s v="פיקוח על חוקי עזר"/>
    <s v="7811"/>
    <e v="#N/A"/>
    <m/>
    <s v="6"/>
    <x v="12"/>
    <s v="69"/>
    <s v="שונות"/>
    <s v="693"/>
    <s v="תשלום ע&quot;ח הצמדת ערך"/>
  </r>
  <r>
    <n v="695"/>
    <s v="78110"/>
    <n v="1"/>
    <s v="178110.695"/>
    <s v="תקשורת - ציוד והתקנה            "/>
    <m/>
    <m/>
    <n v="680000"/>
    <n v="935000"/>
    <n v="265565"/>
    <m/>
    <x v="6"/>
    <s v="שירותים מקומיים"/>
    <x v="32"/>
    <s v="פיקוח עירוני"/>
    <x v="102"/>
    <s v="פיקוח על חוקי עזר"/>
    <s v="7811"/>
    <e v="#N/A"/>
    <m/>
    <s v="6"/>
    <x v="12"/>
    <s v="69"/>
    <s v="שונות"/>
    <s v="695"/>
    <e v="#N/A"/>
  </r>
  <r>
    <n v="751"/>
    <s v="78110"/>
    <n v="1"/>
    <s v="178110.751"/>
    <s v="עבודה בקבלנות - ניקיון משרדים   "/>
    <m/>
    <m/>
    <n v="610000"/>
    <n v="610000"/>
    <n v="637084"/>
    <m/>
    <x v="6"/>
    <s v="שירותים מקומיים"/>
    <x v="32"/>
    <s v="פיקוח עירוני"/>
    <x v="102"/>
    <s v="פיקוח על חוקי עזר"/>
    <s v="7811"/>
    <e v="#N/A"/>
    <m/>
    <s v="7"/>
    <x v="13"/>
    <s v="75"/>
    <s v="עבודות קבלניות"/>
    <s v="751"/>
    <e v="#N/A"/>
  </r>
  <r>
    <n v="755"/>
    <s v="78110"/>
    <n v="1"/>
    <s v="178110.755"/>
    <s v="מיון והשמת כ א                  "/>
    <m/>
    <m/>
    <n v="10000"/>
    <n v="10000"/>
    <n v="7670"/>
    <m/>
    <x v="6"/>
    <s v="שירותים מקומיים"/>
    <x v="32"/>
    <s v="פיקוח עירוני"/>
    <x v="102"/>
    <s v="פיקוח על חוקי עזר"/>
    <s v="7811"/>
    <e v="#N/A"/>
    <m/>
    <s v="7"/>
    <x v="13"/>
    <s v="75"/>
    <s v="עבודות קבלניות"/>
    <s v="755"/>
    <e v="#N/A"/>
  </r>
  <r>
    <n v="762"/>
    <s v="78110"/>
    <n v="1"/>
    <s v="178110.762"/>
    <s v="כביסה                           "/>
    <m/>
    <m/>
    <n v="561000"/>
    <n v="541000"/>
    <n v="548947"/>
    <m/>
    <x v="6"/>
    <s v="שירותים מקומיים"/>
    <x v="32"/>
    <s v="פיקוח עירוני"/>
    <x v="102"/>
    <s v="פיקוח על חוקי עזר"/>
    <s v="7811"/>
    <e v="#N/A"/>
    <m/>
    <s v="7"/>
    <x v="13"/>
    <s v="76"/>
    <s v="קניית שירותים מרשויות ומוסדות"/>
    <s v="762"/>
    <e v="#N/A"/>
  </r>
  <r>
    <n v="782"/>
    <s v="78110"/>
    <n v="1"/>
    <s v="178110.782"/>
    <s v="תגי זיהוי                       "/>
    <m/>
    <m/>
    <n v="10000"/>
    <n v="10000"/>
    <n v="4156"/>
    <m/>
    <x v="6"/>
    <s v="שירותים מקומיים"/>
    <x v="32"/>
    <s v="פיקוח עירוני"/>
    <x v="102"/>
    <s v="פיקוח על חוקי עזר"/>
    <s v="7811"/>
    <e v="#N/A"/>
    <m/>
    <s v="7"/>
    <x v="13"/>
    <s v="78"/>
    <s v="הוצאות שונות"/>
    <s v="782"/>
    <e v="#N/A"/>
  </r>
  <r>
    <n v="786"/>
    <s v="78110"/>
    <n v="1"/>
    <s v="178110.786"/>
    <s v="סיוע והחזר הוצ' לנפגעים בעבודה  "/>
    <m/>
    <m/>
    <n v="40000"/>
    <n v="40000"/>
    <n v="0"/>
    <m/>
    <x v="6"/>
    <s v="שירותים מקומיים"/>
    <x v="32"/>
    <s v="פיקוח עירוני"/>
    <x v="102"/>
    <s v="פיקוח על חוקי עזר"/>
    <s v="7811"/>
    <e v="#N/A"/>
    <m/>
    <s v="7"/>
    <x v="13"/>
    <s v="78"/>
    <s v="הוצאות שונות"/>
    <s v="786"/>
    <e v="#N/A"/>
  </r>
  <r>
    <n v="787"/>
    <s v="78110"/>
    <n v="1"/>
    <s v="178110.787"/>
    <s v="שימוש במאגרי מידע               "/>
    <m/>
    <m/>
    <n v="150000"/>
    <n v="120000"/>
    <n v="141322"/>
    <m/>
    <x v="6"/>
    <s v="שירותים מקומיים"/>
    <x v="32"/>
    <s v="פיקוח עירוני"/>
    <x v="102"/>
    <s v="פיקוח על חוקי עזר"/>
    <s v="7811"/>
    <e v="#N/A"/>
    <m/>
    <s v="7"/>
    <x v="13"/>
    <s v="78"/>
    <s v="הוצאות שונות"/>
    <s v="787"/>
    <e v="#N/A"/>
  </r>
  <r>
    <n v="788"/>
    <s v="78110"/>
    <n v="1"/>
    <s v="178110.788"/>
    <s v="מזון למפקחים                    "/>
    <m/>
    <m/>
    <n v="1064000"/>
    <n v="1164000"/>
    <n v="749375"/>
    <m/>
    <x v="6"/>
    <s v="שירותים מקומיים"/>
    <x v="32"/>
    <s v="פיקוח עירוני"/>
    <x v="102"/>
    <s v="פיקוח על חוקי עזר"/>
    <s v="7811"/>
    <e v="#N/A"/>
    <m/>
    <s v="7"/>
    <x v="13"/>
    <s v="78"/>
    <s v="הוצאות שונות"/>
    <s v="788"/>
    <e v="#N/A"/>
  </r>
  <r>
    <n v="932"/>
    <s v="78110"/>
    <n v="1"/>
    <s v="178110.932"/>
    <s v="ציוד ורהוט משרדי                "/>
    <m/>
    <m/>
    <n v="90000"/>
    <n v="90000"/>
    <n v="74852"/>
    <m/>
    <x v="6"/>
    <s v="שירותים מקומיים"/>
    <x v="32"/>
    <s v="פיקוח עירוני"/>
    <x v="102"/>
    <s v="פיקוח על חוקי עזר"/>
    <s v="7811"/>
    <e v="#N/A"/>
    <m/>
    <s v="9"/>
    <x v="17"/>
    <s v="93"/>
    <s v="רכישת ציוד יסודי"/>
    <s v="932"/>
    <e v="#N/A"/>
  </r>
  <r>
    <n v="934"/>
    <s v="78110"/>
    <n v="1"/>
    <s v="178110.934"/>
    <s v="ציוד תפעולי                     "/>
    <m/>
    <m/>
    <n v="187000"/>
    <n v="185000"/>
    <n v="97723"/>
    <m/>
    <x v="6"/>
    <s v="שירותים מקומיים"/>
    <x v="32"/>
    <s v="פיקוח עירוני"/>
    <x v="102"/>
    <s v="פיקוח על חוקי עזר"/>
    <s v="7811"/>
    <e v="#N/A"/>
    <m/>
    <s v="9"/>
    <x v="17"/>
    <s v="93"/>
    <s v="רכישת ציוד יסודי"/>
    <s v="934"/>
    <e v="#N/A"/>
  </r>
  <r>
    <n v="110"/>
    <s v="78121"/>
    <n v="1"/>
    <s v="178121.110"/>
    <s v="משכורת כוללת                    "/>
    <m/>
    <m/>
    <n v="502000"/>
    <n v="476000"/>
    <n v="457553"/>
    <m/>
    <x v="6"/>
    <s v="שירותים מקומיים"/>
    <x v="32"/>
    <s v="פיקוח עירוני"/>
    <x v="102"/>
    <s v="פיקוח על חוקי עזר"/>
    <s v="7812"/>
    <e v="#N/A"/>
    <m/>
    <s v="1"/>
    <x v="9"/>
    <s v="11"/>
    <s v="השכר הקובע"/>
    <s v="110"/>
    <e v="#N/A"/>
  </r>
  <r>
    <n v="124"/>
    <s v="78121"/>
    <n v="1"/>
    <s v="178121.124"/>
    <s v="החזר הוצאות                     "/>
    <m/>
    <m/>
    <n v="22000"/>
    <n v="22000"/>
    <n v="21592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4"/>
    <e v="#N/A"/>
  </r>
  <r>
    <n v="126"/>
    <s v="78121"/>
    <n v="1"/>
    <s v="178121.126"/>
    <s v="הבראה                           "/>
    <m/>
    <m/>
    <n v="31000"/>
    <n v="29000"/>
    <n v="28609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6"/>
    <e v="#N/A"/>
  </r>
  <r>
    <n v="127"/>
    <s v="78121"/>
    <n v="1"/>
    <s v="178121.127"/>
    <s v="השתתפות באחזקת רכב-6            "/>
    <m/>
    <m/>
    <n v="172000"/>
    <n v="163000"/>
    <n v="154675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7"/>
    <e v="#N/A"/>
  </r>
  <r>
    <n v="130"/>
    <s v="78121"/>
    <n v="1"/>
    <s v="178121.130"/>
    <s v="תשלומים מיוחדים                 "/>
    <m/>
    <m/>
    <n v="337000"/>
    <n v="321000"/>
    <n v="319663"/>
    <m/>
    <x v="6"/>
    <s v="שירותים מקומיים"/>
    <x v="32"/>
    <s v="פיקוח עירוני"/>
    <x v="102"/>
    <s v="פיקוח על חוקי עזר"/>
    <s v="7812"/>
    <e v="#N/A"/>
    <m/>
    <s v="1"/>
    <x v="9"/>
    <s v="13"/>
    <s v="שעות נוספות"/>
    <s v="130"/>
    <e v="#N/A"/>
  </r>
  <r>
    <n v="181"/>
    <s v="78121"/>
    <n v="1"/>
    <s v="178121.181"/>
    <s v="מיסים וביטוח לאומי              "/>
    <m/>
    <m/>
    <n v="166000"/>
    <n v="159000"/>
    <n v="144961"/>
    <m/>
    <x v="6"/>
    <s v="שירותים מקומיים"/>
    <x v="32"/>
    <s v="פיקוח עירוני"/>
    <x v="102"/>
    <s v="פיקוח על חוקי עזר"/>
    <s v="7812"/>
    <e v="#N/A"/>
    <m/>
    <s v="1"/>
    <x v="9"/>
    <s v="18"/>
    <s v="נלוות לשכר"/>
    <s v="181"/>
    <s v="הפרשות סוציאליות"/>
  </r>
  <r>
    <n v="182"/>
    <s v="78121"/>
    <n v="1"/>
    <s v="178121.182"/>
    <s v="קופות גמל והשתלמות              "/>
    <m/>
    <m/>
    <n v="143000"/>
    <n v="136000"/>
    <n v="127993"/>
    <m/>
    <x v="6"/>
    <s v="שירותים מקומיים"/>
    <x v="32"/>
    <s v="פיקוח עירוני"/>
    <x v="102"/>
    <s v="פיקוח על חוקי עזר"/>
    <s v="7812"/>
    <e v="#N/A"/>
    <m/>
    <s v="1"/>
    <x v="9"/>
    <s v="18"/>
    <s v="נלוות לשכר"/>
    <s v="182"/>
    <s v="מיסיום ועלויות"/>
  </r>
  <r>
    <n v="310"/>
    <s v="78121"/>
    <n v="1"/>
    <s v="178121.310"/>
    <s v="שעות  נוספות  רשומות            "/>
    <m/>
    <m/>
    <n v="201000"/>
    <n v="197000"/>
    <n v="193238"/>
    <m/>
    <x v="6"/>
    <s v="שירותים מקומיים"/>
    <x v="32"/>
    <s v="פיקוח עירוני"/>
    <x v="102"/>
    <s v="פיקוח על חוקי עזר"/>
    <s v="7812"/>
    <e v="#N/A"/>
    <m/>
    <s v="3"/>
    <x v="14"/>
    <s v="31"/>
    <s v="פנסיה"/>
    <s v="310"/>
    <e v="#N/A"/>
  </r>
  <r>
    <n v="340"/>
    <s v="78121"/>
    <n v="1"/>
    <s v="178121.340"/>
    <s v="שעות נוספות מיוחדות             "/>
    <m/>
    <m/>
    <n v="4000"/>
    <n v="4000"/>
    <n v="3046"/>
    <m/>
    <x v="6"/>
    <s v="שירותים מקומיים"/>
    <x v="32"/>
    <s v="פיקוח עירוני"/>
    <x v="102"/>
    <s v="פיקוח על חוקי עזר"/>
    <s v="7812"/>
    <e v="#N/A"/>
    <m/>
    <s v="3"/>
    <x v="14"/>
    <s v="34"/>
    <e v="#N/A"/>
    <s v="340"/>
    <e v="#N/A"/>
  </r>
  <r>
    <n v="784"/>
    <s v="78121"/>
    <n v="1"/>
    <s v="178121.784"/>
    <s v="חקירות פסולת בניין              "/>
    <m/>
    <m/>
    <n v="15000"/>
    <n v="15000"/>
    <n v="10773"/>
    <m/>
    <x v="6"/>
    <s v="שירותים מקומיים"/>
    <x v="32"/>
    <s v="פיקוח עירוני"/>
    <x v="102"/>
    <s v="פיקוח על חוקי עזר"/>
    <s v="7812"/>
    <e v="#N/A"/>
    <m/>
    <s v="7"/>
    <x v="13"/>
    <s v="78"/>
    <s v="הוצאות שונות"/>
    <s v="784"/>
    <e v="#N/A"/>
  </r>
  <r>
    <n v="110"/>
    <s v="78122"/>
    <n v="1"/>
    <s v="178122.110"/>
    <s v="משכורת כוללת                    "/>
    <m/>
    <m/>
    <n v="106000"/>
    <n v="106000"/>
    <n v="110348"/>
    <m/>
    <x v="6"/>
    <s v="שירותים מקומיים"/>
    <x v="32"/>
    <s v="פיקוח עירוני"/>
    <x v="102"/>
    <s v="פיקוח על חוקי עזר"/>
    <s v="7812"/>
    <e v="#N/A"/>
    <m/>
    <s v="1"/>
    <x v="9"/>
    <s v="11"/>
    <s v="השכר הקובע"/>
    <s v="110"/>
    <e v="#N/A"/>
  </r>
  <r>
    <n v="124"/>
    <s v="78122"/>
    <n v="1"/>
    <s v="178122.124"/>
    <s v="החזר הוצאות                     "/>
    <m/>
    <m/>
    <n v="15000"/>
    <n v="18000"/>
    <n v="17051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4"/>
    <e v="#N/A"/>
  </r>
  <r>
    <n v="126"/>
    <s v="78122"/>
    <n v="1"/>
    <s v="178122.126"/>
    <s v="הבראה                           "/>
    <m/>
    <m/>
    <n v="18000"/>
    <n v="22000"/>
    <n v="20092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6"/>
    <e v="#N/A"/>
  </r>
  <r>
    <n v="127"/>
    <s v="78122"/>
    <n v="1"/>
    <s v="178122.127"/>
    <s v="השתתפות באחזקת רכב - 4          "/>
    <m/>
    <m/>
    <n v="75000"/>
    <n v="98000"/>
    <n v="89524"/>
    <m/>
    <x v="6"/>
    <s v="שירותים מקומיים"/>
    <x v="32"/>
    <s v="פיקוח עירוני"/>
    <x v="102"/>
    <s v="פיקוח על חוקי עזר"/>
    <s v="7812"/>
    <e v="#N/A"/>
    <m/>
    <s v="1"/>
    <x v="9"/>
    <s v="12"/>
    <s v="תוספות שאינן נכללות בשכר הקובע"/>
    <s v="127"/>
    <e v="#N/A"/>
  </r>
  <r>
    <n v="130"/>
    <s v="78122"/>
    <n v="1"/>
    <s v="178122.130"/>
    <s v="תשלומים מיוחדים                 "/>
    <m/>
    <m/>
    <n v="146000"/>
    <n v="164000"/>
    <n v="152682"/>
    <m/>
    <x v="6"/>
    <s v="שירותים מקומיים"/>
    <x v="32"/>
    <s v="פיקוח עירוני"/>
    <x v="102"/>
    <s v="פיקוח על חוקי עזר"/>
    <s v="7812"/>
    <e v="#N/A"/>
    <m/>
    <s v="1"/>
    <x v="9"/>
    <s v="13"/>
    <s v="שעות נוספות"/>
    <s v="130"/>
    <e v="#N/A"/>
  </r>
  <r>
    <n v="181"/>
    <s v="78122"/>
    <n v="1"/>
    <s v="178122.181"/>
    <s v="מיסים וביטוח לאומי              "/>
    <m/>
    <m/>
    <n v="73000"/>
    <n v="90000"/>
    <n v="92107"/>
    <m/>
    <x v="6"/>
    <s v="שירותים מקומיים"/>
    <x v="32"/>
    <s v="פיקוח עירוני"/>
    <x v="102"/>
    <s v="פיקוח על חוקי עזר"/>
    <s v="7812"/>
    <e v="#N/A"/>
    <m/>
    <s v="1"/>
    <x v="9"/>
    <s v="18"/>
    <s v="נלוות לשכר"/>
    <s v="181"/>
    <s v="הפרשות סוציאליות"/>
  </r>
  <r>
    <n v="182"/>
    <s v="78122"/>
    <n v="1"/>
    <s v="178122.182"/>
    <s v="קופות גמל והשתלמות              "/>
    <m/>
    <m/>
    <n v="83000"/>
    <n v="99000"/>
    <n v="86766"/>
    <m/>
    <x v="6"/>
    <s v="שירותים מקומיים"/>
    <x v="32"/>
    <s v="פיקוח עירוני"/>
    <x v="102"/>
    <s v="פיקוח על חוקי עזר"/>
    <s v="7812"/>
    <e v="#N/A"/>
    <m/>
    <s v="1"/>
    <x v="9"/>
    <s v="18"/>
    <s v="נלוות לשכר"/>
    <s v="182"/>
    <s v="מיסיום ועלויות"/>
  </r>
  <r>
    <n v="230"/>
    <s v="78122"/>
    <n v="1"/>
    <s v="178122.230"/>
    <s v="משימות חולפות - 3               "/>
    <m/>
    <m/>
    <n v="200000"/>
    <n v="280000"/>
    <n v="232153"/>
    <m/>
    <x v="6"/>
    <s v="שירותים מקומיים"/>
    <x v="32"/>
    <s v="פיקוח עירוני"/>
    <x v="102"/>
    <s v="פיקוח על חוקי עזר"/>
    <s v="7812"/>
    <e v="#N/A"/>
    <m/>
    <s v="2"/>
    <x v="10"/>
    <s v="23"/>
    <s v="שעות נוספות"/>
    <s v="230"/>
    <e v="#N/A"/>
  </r>
  <r>
    <n v="110"/>
    <s v="78130"/>
    <n v="1"/>
    <s v="178130.110"/>
    <s v="משכורת כוללת                    "/>
    <m/>
    <m/>
    <n v="14122000"/>
    <n v="13153000"/>
    <n v="12569400"/>
    <m/>
    <x v="6"/>
    <s v="שירותים מקומיים"/>
    <x v="32"/>
    <s v="פיקוח עירוני"/>
    <x v="102"/>
    <s v="פיקוח על חוקי עזר"/>
    <s v="7813"/>
    <e v="#N/A"/>
    <m/>
    <s v="1"/>
    <x v="9"/>
    <s v="11"/>
    <s v="השכר הקובע"/>
    <s v="110"/>
    <e v="#N/A"/>
  </r>
  <r>
    <n v="124"/>
    <s v="78130"/>
    <n v="1"/>
    <s v="178130.124"/>
    <s v="החזר הוצאות                     "/>
    <m/>
    <m/>
    <n v="1293000"/>
    <n v="1222000"/>
    <n v="1132955"/>
    <m/>
    <x v="6"/>
    <s v="שירותים מקומיים"/>
    <x v="32"/>
    <s v="פיקוח עירוני"/>
    <x v="102"/>
    <s v="פיקוח על חוקי עזר"/>
    <s v="7813"/>
    <e v="#N/A"/>
    <m/>
    <s v="1"/>
    <x v="9"/>
    <s v="12"/>
    <s v="תוספות שאינן נכללות בשכר הקובע"/>
    <s v="124"/>
    <e v="#N/A"/>
  </r>
  <r>
    <n v="126"/>
    <s v="78130"/>
    <n v="1"/>
    <s v="178130.126"/>
    <s v="הבראה                           "/>
    <m/>
    <m/>
    <n v="1353000"/>
    <n v="1243000"/>
    <n v="1166819"/>
    <m/>
    <x v="6"/>
    <s v="שירותים מקומיים"/>
    <x v="32"/>
    <s v="פיקוח עירוני"/>
    <x v="102"/>
    <s v="פיקוח על חוקי עזר"/>
    <s v="7813"/>
    <e v="#N/A"/>
    <m/>
    <s v="1"/>
    <x v="9"/>
    <s v="12"/>
    <s v="תוספות שאינן נכללות בשכר הקובע"/>
    <s v="126"/>
    <e v="#N/A"/>
  </r>
  <r>
    <n v="127"/>
    <s v="78130"/>
    <n v="1"/>
    <s v="178130.127"/>
    <s v="השתתפות באחזקת רכב- 229         "/>
    <m/>
    <m/>
    <n v="6332000"/>
    <n v="5870000"/>
    <n v="5494540"/>
    <m/>
    <x v="6"/>
    <s v="שירותים מקומיים"/>
    <x v="32"/>
    <s v="פיקוח עירוני"/>
    <x v="102"/>
    <s v="פיקוח על חוקי עזר"/>
    <s v="7813"/>
    <e v="#N/A"/>
    <m/>
    <s v="1"/>
    <x v="9"/>
    <s v="12"/>
    <s v="תוספות שאינן נכללות בשכר הקובע"/>
    <s v="127"/>
    <e v="#N/A"/>
  </r>
  <r>
    <n v="130"/>
    <s v="78130"/>
    <n v="1"/>
    <s v="178130.130"/>
    <s v="תשלומים מיוחדים                 "/>
    <m/>
    <m/>
    <n v="10232000"/>
    <n v="9261000"/>
    <n v="8965465"/>
    <m/>
    <x v="6"/>
    <s v="שירותים מקומיים"/>
    <x v="32"/>
    <s v="פיקוח עירוני"/>
    <x v="102"/>
    <s v="פיקוח על חוקי עזר"/>
    <s v="7813"/>
    <e v="#N/A"/>
    <m/>
    <s v="1"/>
    <x v="9"/>
    <s v="13"/>
    <s v="שעות נוספות"/>
    <s v="130"/>
    <e v="#N/A"/>
  </r>
  <r>
    <n v="181"/>
    <s v="78130"/>
    <n v="1"/>
    <s v="178130.181"/>
    <s v="מיסים וביטוח לאומי              "/>
    <m/>
    <m/>
    <n v="5798000"/>
    <n v="5338000"/>
    <n v="4951741"/>
    <m/>
    <x v="6"/>
    <s v="שירותים מקומיים"/>
    <x v="32"/>
    <s v="פיקוח עירוני"/>
    <x v="102"/>
    <s v="פיקוח על חוקי עזר"/>
    <s v="7813"/>
    <e v="#N/A"/>
    <m/>
    <s v="1"/>
    <x v="9"/>
    <s v="18"/>
    <s v="נלוות לשכר"/>
    <s v="181"/>
    <s v="הפרשות סוציאליות"/>
  </r>
  <r>
    <n v="182"/>
    <s v="78130"/>
    <n v="1"/>
    <s v="178130.182"/>
    <s v="קופות גמל והשתלמות              "/>
    <m/>
    <m/>
    <n v="5945000"/>
    <n v="5596000"/>
    <n v="5068263"/>
    <m/>
    <x v="6"/>
    <s v="שירותים מקומיים"/>
    <x v="32"/>
    <s v="פיקוח עירוני"/>
    <x v="102"/>
    <s v="פיקוח על חוקי עזר"/>
    <s v="7813"/>
    <e v="#N/A"/>
    <m/>
    <s v="1"/>
    <x v="9"/>
    <s v="18"/>
    <s v="נלוות לשכר"/>
    <s v="182"/>
    <s v="מיסיום ועלויות"/>
  </r>
  <r>
    <n v="230"/>
    <s v="78130"/>
    <n v="1"/>
    <s v="178130.230"/>
    <s v="משימות חולפות - 109             "/>
    <m/>
    <m/>
    <n v="6450000"/>
    <n v="5709000"/>
    <n v="4848767"/>
    <m/>
    <x v="6"/>
    <s v="שירותים מקומיים"/>
    <x v="32"/>
    <s v="פיקוח עירוני"/>
    <x v="102"/>
    <s v="פיקוח על חוקי עזר"/>
    <s v="7813"/>
    <e v="#N/A"/>
    <m/>
    <s v="2"/>
    <x v="10"/>
    <s v="23"/>
    <s v="שעות נוספות"/>
    <s v="230"/>
    <e v="#N/A"/>
  </r>
  <r>
    <n v="310"/>
    <s v="78130"/>
    <n v="1"/>
    <s v="178130.310"/>
    <s v="שעות  נוספות  רשומות            "/>
    <m/>
    <m/>
    <n v="4417000"/>
    <n v="4230000"/>
    <n v="3823228"/>
    <m/>
    <x v="6"/>
    <s v="שירותים מקומיים"/>
    <x v="32"/>
    <s v="פיקוח עירוני"/>
    <x v="102"/>
    <s v="פיקוח על חוקי עזר"/>
    <s v="7813"/>
    <e v="#N/A"/>
    <m/>
    <s v="3"/>
    <x v="14"/>
    <s v="31"/>
    <s v="פנסיה"/>
    <s v="310"/>
    <e v="#N/A"/>
  </r>
  <r>
    <n v="340"/>
    <s v="78130"/>
    <n v="1"/>
    <s v="178130.340"/>
    <s v="שעות נוספות מיוחדות             "/>
    <m/>
    <m/>
    <n v="129000"/>
    <n v="126000"/>
    <n v="68267"/>
    <m/>
    <x v="6"/>
    <s v="שירותים מקומיים"/>
    <x v="32"/>
    <s v="פיקוח עירוני"/>
    <x v="102"/>
    <s v="פיקוח על חוקי עזר"/>
    <s v="7813"/>
    <e v="#N/A"/>
    <m/>
    <s v="3"/>
    <x v="14"/>
    <s v="34"/>
    <e v="#N/A"/>
    <s v="340"/>
    <e v="#N/A"/>
  </r>
  <r>
    <n v="399"/>
    <s v="78130"/>
    <n v="1"/>
    <s v="178130.399"/>
    <s v="החזר בגין עבודה נוספת           "/>
    <m/>
    <m/>
    <n v="-463000"/>
    <n v="-454000"/>
    <n v="-154930"/>
    <m/>
    <x v="6"/>
    <s v="שירותים מקומיים"/>
    <x v="32"/>
    <s v="פיקוח עירוני"/>
    <x v="102"/>
    <s v="פיקוח על חוקי עזר"/>
    <s v="7813"/>
    <e v="#N/A"/>
    <m/>
    <s v="3"/>
    <x v="14"/>
    <s v="39"/>
    <e v="#N/A"/>
    <s v="399"/>
    <e v="#N/A"/>
  </r>
  <r>
    <n v="411"/>
    <s v="78130"/>
    <n v="1"/>
    <s v="178130.411"/>
    <s v="שכר דירה                        "/>
    <m/>
    <m/>
    <n v="466000"/>
    <n v="274000"/>
    <n v="269566"/>
    <m/>
    <x v="6"/>
    <s v="שירותים מקומיים"/>
    <x v="32"/>
    <s v="פיקוח עירוני"/>
    <x v="102"/>
    <s v="פיקוח על חוקי עזר"/>
    <s v="7813"/>
    <e v="#N/A"/>
    <m/>
    <s v="4"/>
    <x v="15"/>
    <s v="41"/>
    <s v="שכר דירה ודמי חכירה"/>
    <s v="411"/>
    <e v="#N/A"/>
  </r>
  <r>
    <n v="439"/>
    <s v="78130"/>
    <n v="1"/>
    <s v="178130.439"/>
    <s v="אחזקת בניני העיריה - השתתפות    "/>
    <m/>
    <m/>
    <n v="246000"/>
    <n v="253000"/>
    <n v="0"/>
    <m/>
    <x v="6"/>
    <s v="שירותים מקומיים"/>
    <x v="32"/>
    <s v="פיקוח עירוני"/>
    <x v="102"/>
    <s v="פיקוח על חוקי עזר"/>
    <s v="7813"/>
    <e v="#N/A"/>
    <m/>
    <s v="4"/>
    <x v="15"/>
    <s v="43"/>
    <s v="חשמל, מים וחומרי ניקיון"/>
    <s v="439"/>
    <e v="#N/A"/>
  </r>
  <r>
    <n v="670"/>
    <s v="78130"/>
    <n v="1"/>
    <s v="178130.670"/>
    <s v="סעיף שאינו חוזר                 "/>
    <m/>
    <m/>
    <n v="0"/>
    <n v="438000"/>
    <n v="305014"/>
    <m/>
    <x v="6"/>
    <s v="שירותים מקומיים"/>
    <x v="32"/>
    <s v="פיקוח עירוני"/>
    <x v="102"/>
    <s v="פיקוח על חוקי עזר"/>
    <s v="7813"/>
    <e v="#N/A"/>
    <m/>
    <s v="6"/>
    <x v="12"/>
    <s v="67"/>
    <e v="#N/A"/>
    <s v="670"/>
    <e v="#N/A"/>
  </r>
  <r>
    <n v="752"/>
    <s v="78130"/>
    <n v="1"/>
    <s v="178130.752"/>
    <s v="גרירת רכב                       "/>
    <m/>
    <m/>
    <n v="8525000"/>
    <n v="7540000"/>
    <n v="6337892"/>
    <m/>
    <x v="6"/>
    <s v="שירותים מקומיים"/>
    <x v="32"/>
    <s v="פיקוח עירוני"/>
    <x v="102"/>
    <s v="פיקוח על חוקי עזר"/>
    <s v="7813"/>
    <e v="#N/A"/>
    <m/>
    <s v="7"/>
    <x v="13"/>
    <s v="75"/>
    <s v="עבודות קבלניות"/>
    <s v="752"/>
    <e v="#N/A"/>
  </r>
  <r>
    <n v="754"/>
    <s v="78130"/>
    <n v="1"/>
    <s v="178130.754"/>
    <s v="אכיפת מודעות פרועות             "/>
    <m/>
    <m/>
    <n v="20000"/>
    <n v="20000"/>
    <n v="8798"/>
    <m/>
    <x v="6"/>
    <s v="שירותים מקומיים"/>
    <x v="32"/>
    <s v="פיקוח עירוני"/>
    <x v="102"/>
    <s v="פיקוח על חוקי עזר"/>
    <s v="7813"/>
    <e v="#N/A"/>
    <m/>
    <s v="7"/>
    <x v="13"/>
    <s v="75"/>
    <s v="עבודות קבלניות"/>
    <s v="754"/>
    <e v="#N/A"/>
  </r>
  <r>
    <n v="755"/>
    <s v="78130"/>
    <n v="1"/>
    <s v="178130.755"/>
    <s v="הדפסת דוחות                     "/>
    <m/>
    <m/>
    <n v="200000"/>
    <n v="200000"/>
    <n v="133425"/>
    <m/>
    <x v="6"/>
    <s v="שירותים מקומיים"/>
    <x v="32"/>
    <s v="פיקוח עירוני"/>
    <x v="102"/>
    <s v="פיקוח על חוקי עזר"/>
    <s v="7813"/>
    <e v="#N/A"/>
    <m/>
    <s v="7"/>
    <x v="13"/>
    <s v="75"/>
    <s v="עבודות קבלניות"/>
    <s v="755"/>
    <e v="#N/A"/>
  </r>
  <r>
    <n v="110"/>
    <s v="78140"/>
    <n v="1"/>
    <s v="178140.110"/>
    <s v="משכורת כוללת                    "/>
    <m/>
    <m/>
    <n v="1468000"/>
    <n v="1504000"/>
    <n v="1453743"/>
    <m/>
    <x v="6"/>
    <s v="שירותים מקומיים"/>
    <x v="32"/>
    <s v="פיקוח עירוני"/>
    <x v="102"/>
    <s v="פיקוח על חוקי עזר"/>
    <s v="7814"/>
    <e v="#N/A"/>
    <m/>
    <s v="1"/>
    <x v="9"/>
    <s v="11"/>
    <s v="השכר הקובע"/>
    <s v="110"/>
    <e v="#N/A"/>
  </r>
  <r>
    <n v="124"/>
    <s v="78140"/>
    <n v="1"/>
    <s v="178140.124"/>
    <s v="החזר הוצאות                     "/>
    <m/>
    <m/>
    <n v="123000"/>
    <n v="125000"/>
    <n v="124989"/>
    <m/>
    <x v="6"/>
    <s v="שירותים מקומיים"/>
    <x v="32"/>
    <s v="פיקוח עירוני"/>
    <x v="102"/>
    <s v="פיקוח על חוקי עזר"/>
    <s v="7814"/>
    <e v="#N/A"/>
    <m/>
    <s v="1"/>
    <x v="9"/>
    <s v="12"/>
    <s v="תוספות שאינן נכללות בשכר הקובע"/>
    <s v="124"/>
    <e v="#N/A"/>
  </r>
  <r>
    <n v="126"/>
    <s v="78140"/>
    <n v="1"/>
    <s v="178140.126"/>
    <s v="הבראה                           "/>
    <m/>
    <m/>
    <n v="88000"/>
    <n v="92000"/>
    <n v="90739"/>
    <m/>
    <x v="6"/>
    <s v="שירותים מקומיים"/>
    <x v="32"/>
    <s v="פיקוח עירוני"/>
    <x v="102"/>
    <s v="פיקוח על חוקי עזר"/>
    <s v="7814"/>
    <e v="#N/A"/>
    <m/>
    <s v="1"/>
    <x v="9"/>
    <s v="12"/>
    <s v="תוספות שאינן נכללות בשכר הקובע"/>
    <s v="126"/>
    <e v="#N/A"/>
  </r>
  <r>
    <n v="127"/>
    <s v="78140"/>
    <n v="1"/>
    <s v="178140.127"/>
    <s v="השתתפות באחזקת רכב-16           "/>
    <m/>
    <m/>
    <n v="548000"/>
    <n v="559000"/>
    <n v="543734"/>
    <m/>
    <x v="6"/>
    <s v="שירותים מקומיים"/>
    <x v="32"/>
    <s v="פיקוח עירוני"/>
    <x v="102"/>
    <s v="פיקוח על חוקי עזר"/>
    <s v="7814"/>
    <e v="#N/A"/>
    <m/>
    <s v="1"/>
    <x v="9"/>
    <s v="12"/>
    <s v="תוספות שאינן נכללות בשכר הקובע"/>
    <s v="127"/>
    <e v="#N/A"/>
  </r>
  <r>
    <n v="130"/>
    <s v="78140"/>
    <n v="1"/>
    <s v="178140.130"/>
    <s v="תשלומים מיוחדים                 "/>
    <m/>
    <m/>
    <n v="583000"/>
    <n v="584000"/>
    <n v="592968"/>
    <m/>
    <x v="6"/>
    <s v="שירותים מקומיים"/>
    <x v="32"/>
    <s v="פיקוח עירוני"/>
    <x v="102"/>
    <s v="פיקוח על חוקי עזר"/>
    <s v="7814"/>
    <e v="#N/A"/>
    <m/>
    <s v="1"/>
    <x v="9"/>
    <s v="13"/>
    <s v="שעות נוספות"/>
    <s v="130"/>
    <e v="#N/A"/>
  </r>
  <r>
    <n v="181"/>
    <s v="78140"/>
    <n v="1"/>
    <s v="178140.181"/>
    <s v="מיסים וביטוח לאומי              "/>
    <m/>
    <m/>
    <n v="420000"/>
    <n v="426000"/>
    <n v="441499"/>
    <m/>
    <x v="6"/>
    <s v="שירותים מקומיים"/>
    <x v="32"/>
    <s v="פיקוח עירוני"/>
    <x v="102"/>
    <s v="פיקוח על חוקי עזר"/>
    <s v="7814"/>
    <e v="#N/A"/>
    <m/>
    <s v="1"/>
    <x v="9"/>
    <s v="18"/>
    <s v="נלוות לשכר"/>
    <s v="181"/>
    <s v="הפרשות סוציאליות"/>
  </r>
  <r>
    <n v="182"/>
    <s v="78140"/>
    <n v="1"/>
    <s v="178140.182"/>
    <s v="קופות גמל והשתלמות              "/>
    <m/>
    <m/>
    <n v="469000"/>
    <n v="486000"/>
    <n v="458525"/>
    <m/>
    <x v="6"/>
    <s v="שירותים מקומיים"/>
    <x v="32"/>
    <s v="פיקוח עירוני"/>
    <x v="102"/>
    <s v="פיקוח על חוקי עזר"/>
    <s v="7814"/>
    <e v="#N/A"/>
    <m/>
    <s v="1"/>
    <x v="9"/>
    <s v="18"/>
    <s v="נלוות לשכר"/>
    <s v="182"/>
    <s v="מיסיום ועלויות"/>
  </r>
  <r>
    <n v="310"/>
    <s v="78140"/>
    <n v="1"/>
    <s v="178140.310"/>
    <s v="שעות נוספות רשומות              "/>
    <m/>
    <m/>
    <n v="315000"/>
    <n v="309000"/>
    <n v="273480"/>
    <m/>
    <x v="6"/>
    <s v="שירותים מקומיים"/>
    <x v="32"/>
    <s v="פיקוח עירוני"/>
    <x v="102"/>
    <s v="פיקוח על חוקי עזר"/>
    <s v="7814"/>
    <e v="#N/A"/>
    <m/>
    <s v="3"/>
    <x v="14"/>
    <s v="31"/>
    <s v="פנסיה"/>
    <s v="310"/>
    <e v="#N/A"/>
  </r>
  <r>
    <n v="340"/>
    <s v="78140"/>
    <n v="1"/>
    <s v="178140.340"/>
    <s v="שעות נוספות מיוחדות             "/>
    <m/>
    <m/>
    <n v="85000"/>
    <n v="83000"/>
    <n v="152320"/>
    <m/>
    <x v="6"/>
    <s v="שירותים מקומיים"/>
    <x v="32"/>
    <s v="פיקוח עירוני"/>
    <x v="102"/>
    <s v="פיקוח על חוקי עזר"/>
    <s v="7814"/>
    <e v="#N/A"/>
    <m/>
    <s v="3"/>
    <x v="14"/>
    <s v="34"/>
    <e v="#N/A"/>
    <s v="340"/>
    <e v="#N/A"/>
  </r>
  <r>
    <n v="761"/>
    <s v="78140"/>
    <n v="1"/>
    <s v="178140.761"/>
    <s v="ביגוד יחידתי                    "/>
    <m/>
    <m/>
    <n v="25000"/>
    <n v="5000"/>
    <n v="1073"/>
    <m/>
    <x v="6"/>
    <s v="שירותים מקומיים"/>
    <x v="32"/>
    <s v="פיקוח עירוני"/>
    <x v="102"/>
    <s v="פיקוח על חוקי עזר"/>
    <s v="7814"/>
    <e v="#N/A"/>
    <m/>
    <s v="7"/>
    <x v="13"/>
    <s v="76"/>
    <s v="קניית שירותים מרשויות ומוסדות"/>
    <s v="761"/>
    <e v="#N/A"/>
  </r>
  <r>
    <n v="781"/>
    <s v="78140"/>
    <n v="1"/>
    <s v="178140.781"/>
    <s v="פעולות מיוחדות                  "/>
    <m/>
    <m/>
    <n v="51000"/>
    <n v="51000"/>
    <n v="20351"/>
    <m/>
    <x v="6"/>
    <s v="שירותים מקומיים"/>
    <x v="32"/>
    <s v="פיקוח עירוני"/>
    <x v="102"/>
    <s v="פיקוח על חוקי עזר"/>
    <s v="7814"/>
    <e v="#N/A"/>
    <m/>
    <s v="7"/>
    <x v="13"/>
    <s v="78"/>
    <s v="הוצאות שונות"/>
    <s v="781"/>
    <e v="#N/A"/>
  </r>
  <r>
    <n v="982"/>
    <s v="78140"/>
    <n v="1"/>
    <s v="178140.982"/>
    <s v="רכישות שונות                    "/>
    <m/>
    <m/>
    <n v="25000"/>
    <n v="25000"/>
    <n v="4801"/>
    <m/>
    <x v="6"/>
    <s v="שירותים מקומיים"/>
    <x v="32"/>
    <s v="פיקוח עירוני"/>
    <x v="102"/>
    <s v="פיקוח על חוקי עזר"/>
    <s v="7814"/>
    <e v="#N/A"/>
    <m/>
    <s v="9"/>
    <x v="17"/>
    <s v="98"/>
    <s v="הוצאות אחרות"/>
    <s v="982"/>
    <e v="#N/A"/>
  </r>
  <r>
    <n v="110"/>
    <s v="71411"/>
    <n v="1"/>
    <s v="171411.110"/>
    <s v="משכורת כוללת                    "/>
    <m/>
    <m/>
    <n v="464000"/>
    <n v="617000"/>
    <n v="400731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1"/>
    <s v="השכר הקובע"/>
    <s v="110"/>
    <e v="#N/A"/>
  </r>
  <r>
    <n v="124"/>
    <s v="71411"/>
    <n v="1"/>
    <s v="171411.124"/>
    <s v="החזר הוצאות                     "/>
    <m/>
    <m/>
    <n v="29000"/>
    <n v="49000"/>
    <n v="22030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2"/>
    <s v="תוספות שאינן נכללות בשכר הקובע"/>
    <s v="124"/>
    <e v="#N/A"/>
  </r>
  <r>
    <n v="126"/>
    <s v="71411"/>
    <n v="1"/>
    <s v="171411.126"/>
    <s v="הבראה                           "/>
    <m/>
    <m/>
    <n v="23000"/>
    <n v="39000"/>
    <n v="17934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2"/>
    <s v="תוספות שאינן נכללות בשכר הקובע"/>
    <s v="126"/>
    <e v="#N/A"/>
  </r>
  <r>
    <n v="127"/>
    <s v="71411"/>
    <n v="1"/>
    <s v="171411.127"/>
    <s v="השתתפות באחזקת רכב - 2          "/>
    <m/>
    <m/>
    <n v="68000"/>
    <n v="153000"/>
    <n v="58583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2"/>
    <s v="תוספות שאינן נכללות בשכר הקובע"/>
    <s v="127"/>
    <e v="#N/A"/>
  </r>
  <r>
    <n v="130"/>
    <s v="71411"/>
    <n v="1"/>
    <s v="171411.130"/>
    <s v="תשלומים  מיוחדים                "/>
    <m/>
    <m/>
    <n v="270000"/>
    <n v="333000"/>
    <n v="261106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3"/>
    <s v="שעות נוספות"/>
    <s v="130"/>
    <e v="#N/A"/>
  </r>
  <r>
    <n v="181"/>
    <s v="71411"/>
    <n v="1"/>
    <s v="171411.181"/>
    <s v="מיסים וביטוח לאומי              "/>
    <m/>
    <m/>
    <n v="116000"/>
    <n v="160000"/>
    <n v="100733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8"/>
    <s v="נלוות לשכר"/>
    <s v="181"/>
    <s v="הפרשות סוציאליות"/>
  </r>
  <r>
    <n v="182"/>
    <s v="71411"/>
    <n v="1"/>
    <s v="171411.182"/>
    <s v="קופות גמל והשתלמות              "/>
    <m/>
    <m/>
    <n v="57000"/>
    <n v="88000"/>
    <n v="43115"/>
    <m/>
    <x v="6"/>
    <s v="שירותים מקומיים"/>
    <x v="25"/>
    <s v="תברואה"/>
    <x v="103"/>
    <s v="שרות וטרינרי"/>
    <s v="7141"/>
    <s v="מינהל שרות וטרינרי"/>
    <m/>
    <s v="1"/>
    <x v="9"/>
    <s v="18"/>
    <s v="נלוות לשכר"/>
    <s v="182"/>
    <s v="מיסיום ועלויות"/>
  </r>
  <r>
    <n v="310"/>
    <s v="71411"/>
    <n v="1"/>
    <s v="171411.310"/>
    <s v="שעות  נוספות רשומות             "/>
    <m/>
    <m/>
    <n v="31000"/>
    <n v="30000"/>
    <n v="7408"/>
    <m/>
    <x v="6"/>
    <s v="שירותים מקומיים"/>
    <x v="25"/>
    <s v="תברואה"/>
    <x v="103"/>
    <s v="שרות וטרינרי"/>
    <s v="7141"/>
    <s v="מינהל שרות וטרינרי"/>
    <m/>
    <s v="3"/>
    <x v="14"/>
    <s v="31"/>
    <s v="פנסיה"/>
    <s v="310"/>
    <e v="#N/A"/>
  </r>
  <r>
    <n v="340"/>
    <s v="71411"/>
    <n v="1"/>
    <s v="171411.340"/>
    <s v="שעות נוספות מיוחדות             "/>
    <m/>
    <m/>
    <n v="4000"/>
    <n v="4000"/>
    <n v="0"/>
    <m/>
    <x v="6"/>
    <s v="שירותים מקומיים"/>
    <x v="25"/>
    <s v="תברואה"/>
    <x v="103"/>
    <s v="שרות וטרינרי"/>
    <s v="7141"/>
    <s v="מינהל שרות וטרינרי"/>
    <m/>
    <s v="3"/>
    <x v="14"/>
    <s v="34"/>
    <e v="#N/A"/>
    <s v="340"/>
    <e v="#N/A"/>
  </r>
  <r>
    <n v="431"/>
    <s v="71411"/>
    <n v="1"/>
    <s v="171411.431"/>
    <s v="מים                             "/>
    <m/>
    <m/>
    <n v="10000"/>
    <n v="11000"/>
    <n v="11451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3"/>
    <s v="חשמל, מים וחומרי ניקיון"/>
    <s v="431"/>
    <s v="חשמל"/>
  </r>
  <r>
    <n v="433"/>
    <s v="71411"/>
    <n v="1"/>
    <s v="171411.433"/>
    <s v="בטוח                            "/>
    <m/>
    <m/>
    <n v="39000"/>
    <n v="39000"/>
    <n v="35000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3"/>
    <s v="חשמל, מים וחומרי ניקיון"/>
    <s v="433"/>
    <s v="חומרי ניקיון"/>
  </r>
  <r>
    <n v="434"/>
    <s v="71411"/>
    <n v="1"/>
    <s v="171411.434"/>
    <s v="תקוני מבנים  מתקנים ואינונטר    "/>
    <m/>
    <m/>
    <n v="35000"/>
    <n v="35000"/>
    <n v="35486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3"/>
    <s v="חשמל, מים וחומרי ניקיון"/>
    <s v="434"/>
    <s v="שירותי ניקיון"/>
  </r>
  <r>
    <n v="435"/>
    <s v="71411"/>
    <n v="1"/>
    <s v="171411.435"/>
    <s v="חשמל ואנרגיה                    "/>
    <m/>
    <m/>
    <n v="43000"/>
    <n v="43000"/>
    <n v="31416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3"/>
    <s v="חשמל, מים וחומרי ניקיון"/>
    <s v="435"/>
    <e v="#N/A"/>
  </r>
  <r>
    <n v="436"/>
    <s v="71411"/>
    <n v="1"/>
    <s v="171411.436"/>
    <s v="נקיון                           "/>
    <m/>
    <m/>
    <n v="21000"/>
    <n v="21000"/>
    <n v="15963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3"/>
    <s v="חשמל, מים וחומרי ניקיון"/>
    <s v="436"/>
    <e v="#N/A"/>
  </r>
  <r>
    <n v="461"/>
    <s v="71411"/>
    <n v="1"/>
    <s v="171411.461"/>
    <s v="צורכי משרד                      "/>
    <m/>
    <m/>
    <n v="16000"/>
    <n v="16000"/>
    <n v="16588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6"/>
    <e v="#N/A"/>
    <s v="461"/>
    <e v="#N/A"/>
  </r>
  <r>
    <n v="464"/>
    <s v="71411"/>
    <n v="1"/>
    <s v="171411.464"/>
    <s v="דאר                             "/>
    <m/>
    <m/>
    <n v="22000"/>
    <n v="22000"/>
    <n v="28829"/>
    <m/>
    <x v="6"/>
    <s v="שירותים מקומיים"/>
    <x v="25"/>
    <s v="תברואה"/>
    <x v="103"/>
    <s v="שרות וטרינרי"/>
    <s v="7141"/>
    <s v="מינהל שרות וטרינרי"/>
    <m/>
    <s v="4"/>
    <x v="15"/>
    <s v="46"/>
    <e v="#N/A"/>
    <s v="464"/>
    <e v="#N/A"/>
  </r>
  <r>
    <n v="531"/>
    <s v="71411"/>
    <n v="1"/>
    <s v="171411.531"/>
    <s v="אחזקת רכב                       "/>
    <m/>
    <m/>
    <n v="48000"/>
    <n v="48000"/>
    <n v="48202"/>
    <m/>
    <x v="6"/>
    <s v="שירותים מקומיים"/>
    <x v="25"/>
    <s v="תברואה"/>
    <x v="103"/>
    <s v="שרות וטרינרי"/>
    <s v="7141"/>
    <s v="מינהל שרות וטרינרי"/>
    <m/>
    <s v="5"/>
    <x v="11"/>
    <s v="53"/>
    <s v="הוצאות רכב מינהלי"/>
    <s v="531"/>
    <s v="דלק ושמנים"/>
  </r>
  <r>
    <n v="532"/>
    <s v="71411"/>
    <n v="1"/>
    <s v="171411.532"/>
    <s v="בטוח רכב                        "/>
    <m/>
    <m/>
    <n v="1000"/>
    <n v="1000"/>
    <n v="988"/>
    <m/>
    <x v="6"/>
    <s v="שירותים מקומיים"/>
    <x v="25"/>
    <s v="תברואה"/>
    <x v="103"/>
    <s v="שרות וטרינרי"/>
    <s v="7141"/>
    <s v="מינהל שרות וטרינרי"/>
    <m/>
    <s v="5"/>
    <x v="11"/>
    <s v="53"/>
    <s v="הוצאות רכב מינהלי"/>
    <s v="532"/>
    <s v="תיקונים"/>
  </r>
  <r>
    <n v="534"/>
    <s v="71411"/>
    <n v="1"/>
    <s v="171411.534"/>
    <s v="דלק ושמן                        "/>
    <m/>
    <m/>
    <n v="60000"/>
    <n v="60000"/>
    <n v="61651"/>
    <m/>
    <x v="6"/>
    <s v="שירותים מקומיים"/>
    <x v="25"/>
    <s v="תברואה"/>
    <x v="103"/>
    <s v="שרות וטרינרי"/>
    <s v="7141"/>
    <s v="מינהל שרות וטרינרי"/>
    <m/>
    <s v="5"/>
    <x v="11"/>
    <s v="53"/>
    <s v="הוצאות רכב מינהלי"/>
    <s v="534"/>
    <e v="#N/A"/>
  </r>
  <r>
    <n v="670"/>
    <s v="71411"/>
    <n v="1"/>
    <s v="171411.670"/>
    <s v="סעיף שאינו חוזר                 "/>
    <m/>
    <m/>
    <n v="0"/>
    <n v="3000"/>
    <n v="4063"/>
    <m/>
    <x v="6"/>
    <s v="שירותים מקומיים"/>
    <x v="25"/>
    <s v="תברואה"/>
    <x v="103"/>
    <s v="שרות וטרינרי"/>
    <s v="7141"/>
    <s v="מינהל שרות וטרינרי"/>
    <m/>
    <s v="6"/>
    <x v="12"/>
    <s v="67"/>
    <e v="#N/A"/>
    <s v="670"/>
    <e v="#N/A"/>
  </r>
  <r>
    <n v="760"/>
    <s v="71411"/>
    <n v="1"/>
    <s v="171411.760"/>
    <s v="בגדי עבודה יחידתיים             "/>
    <m/>
    <m/>
    <n v="7000"/>
    <n v="7000"/>
    <n v="3264"/>
    <m/>
    <x v="6"/>
    <s v="שירותים מקומיים"/>
    <x v="25"/>
    <s v="תברואה"/>
    <x v="103"/>
    <s v="שרות וטרינרי"/>
    <s v="7141"/>
    <s v="מינהל שרות וטרינרי"/>
    <m/>
    <s v="7"/>
    <x v="13"/>
    <s v="76"/>
    <s v="קניית שירותים מרשויות ומוסדות"/>
    <s v="760"/>
    <e v="#N/A"/>
  </r>
  <r>
    <n v="932"/>
    <s v="71411"/>
    <n v="1"/>
    <s v="171411.932"/>
    <s v="ציוד ורהוט משרדי                "/>
    <m/>
    <m/>
    <n v="5000"/>
    <n v="5000"/>
    <n v="3877"/>
    <m/>
    <x v="6"/>
    <s v="שירותים מקומיים"/>
    <x v="25"/>
    <s v="תברואה"/>
    <x v="103"/>
    <s v="שרות וטרינרי"/>
    <s v="7141"/>
    <s v="מינהל שרות וטרינרי"/>
    <m/>
    <s v="9"/>
    <x v="17"/>
    <s v="93"/>
    <s v="רכישת ציוד יסודי"/>
    <s v="932"/>
    <e v="#N/A"/>
  </r>
  <r>
    <n v="110"/>
    <s v="71422"/>
    <n v="1"/>
    <s v="171422.110"/>
    <s v="משכורת כוללת                    "/>
    <m/>
    <m/>
    <n v="711000"/>
    <n v="763000"/>
    <n v="694838"/>
    <m/>
    <x v="6"/>
    <s v="שירותים מקומיים"/>
    <x v="25"/>
    <s v="תברואה"/>
    <x v="103"/>
    <s v="שרות וטרינרי"/>
    <s v="7142"/>
    <s v="פיקוח וטרינרי"/>
    <m/>
    <s v="1"/>
    <x v="9"/>
    <s v="11"/>
    <s v="השכר הקובע"/>
    <s v="110"/>
    <e v="#N/A"/>
  </r>
  <r>
    <n v="124"/>
    <s v="71422"/>
    <n v="1"/>
    <s v="171422.124"/>
    <s v="החזר הוצאות                     "/>
    <m/>
    <m/>
    <n v="40000"/>
    <n v="39000"/>
    <n v="36979"/>
    <m/>
    <x v="6"/>
    <s v="שירותים מקומיים"/>
    <x v="25"/>
    <s v="תברואה"/>
    <x v="103"/>
    <s v="שרות וטרינרי"/>
    <s v="7142"/>
    <s v="פיקוח וטרינרי"/>
    <m/>
    <s v="1"/>
    <x v="9"/>
    <s v="12"/>
    <s v="תוספות שאינן נכללות בשכר הקובע"/>
    <s v="124"/>
    <e v="#N/A"/>
  </r>
  <r>
    <n v="126"/>
    <s v="71422"/>
    <n v="1"/>
    <s v="171422.126"/>
    <s v="הבראה                           "/>
    <m/>
    <m/>
    <n v="30000"/>
    <n v="26000"/>
    <n v="27201"/>
    <m/>
    <x v="6"/>
    <s v="שירותים מקומיים"/>
    <x v="25"/>
    <s v="תברואה"/>
    <x v="103"/>
    <s v="שרות וטרינרי"/>
    <s v="7142"/>
    <s v="פיקוח וטרינרי"/>
    <m/>
    <s v="1"/>
    <x v="9"/>
    <s v="12"/>
    <s v="תוספות שאינן נכללות בשכר הקובע"/>
    <s v="126"/>
    <e v="#N/A"/>
  </r>
  <r>
    <n v="127"/>
    <s v="71422"/>
    <n v="1"/>
    <s v="171422.127"/>
    <s v="השתתפות באחזקת רכב - 6          "/>
    <m/>
    <m/>
    <n v="155000"/>
    <n v="145000"/>
    <n v="143797"/>
    <m/>
    <x v="6"/>
    <s v="שירותים מקומיים"/>
    <x v="25"/>
    <s v="תברואה"/>
    <x v="103"/>
    <s v="שרות וטרינרי"/>
    <s v="7142"/>
    <s v="פיקוח וטרינרי"/>
    <m/>
    <s v="1"/>
    <x v="9"/>
    <s v="12"/>
    <s v="תוספות שאינן נכללות בשכר הקובע"/>
    <s v="127"/>
    <e v="#N/A"/>
  </r>
  <r>
    <n v="130"/>
    <s v="71422"/>
    <n v="1"/>
    <s v="171422.130"/>
    <s v="תשלומים מיוחדים                 "/>
    <m/>
    <m/>
    <n v="737000"/>
    <n v="794000"/>
    <n v="736332"/>
    <m/>
    <x v="6"/>
    <s v="שירותים מקומיים"/>
    <x v="25"/>
    <s v="תברואה"/>
    <x v="103"/>
    <s v="שרות וטרינרי"/>
    <s v="7142"/>
    <s v="פיקוח וטרינרי"/>
    <m/>
    <s v="1"/>
    <x v="9"/>
    <s v="13"/>
    <s v="שעות נוספות"/>
    <s v="130"/>
    <e v="#N/A"/>
  </r>
  <r>
    <n v="181"/>
    <s v="71422"/>
    <n v="1"/>
    <s v="171422.181"/>
    <s v="מיסים וביטוח לאומי              "/>
    <m/>
    <m/>
    <n v="224000"/>
    <n v="236000"/>
    <n v="227025"/>
    <m/>
    <x v="6"/>
    <s v="שירותים מקומיים"/>
    <x v="25"/>
    <s v="תברואה"/>
    <x v="103"/>
    <s v="שרות וטרינרי"/>
    <s v="7142"/>
    <s v="פיקוח וטרינרי"/>
    <m/>
    <s v="1"/>
    <x v="9"/>
    <s v="18"/>
    <s v="נלוות לשכר"/>
    <s v="181"/>
    <s v="הפרשות סוציאליות"/>
  </r>
  <r>
    <n v="182"/>
    <s v="71422"/>
    <n v="1"/>
    <s v="171422.182"/>
    <s v="קופות גמל והשתלמות              "/>
    <m/>
    <m/>
    <n v="239000"/>
    <n v="233000"/>
    <n v="223550"/>
    <m/>
    <x v="6"/>
    <s v="שירותים מקומיים"/>
    <x v="25"/>
    <s v="תברואה"/>
    <x v="103"/>
    <s v="שרות וטרינרי"/>
    <s v="7142"/>
    <s v="פיקוח וטרינרי"/>
    <m/>
    <s v="1"/>
    <x v="9"/>
    <s v="18"/>
    <s v="נלוות לשכר"/>
    <s v="182"/>
    <s v="מיסיום ועלויות"/>
  </r>
  <r>
    <n v="310"/>
    <s v="71422"/>
    <n v="1"/>
    <s v="171422.310"/>
    <s v="שעות נוספות רשומות              "/>
    <m/>
    <m/>
    <n v="35000"/>
    <n v="34000"/>
    <n v="0"/>
    <m/>
    <x v="6"/>
    <s v="שירותים מקומיים"/>
    <x v="25"/>
    <s v="תברואה"/>
    <x v="103"/>
    <s v="שרות וטרינרי"/>
    <s v="7142"/>
    <s v="פיקוח וטרינרי"/>
    <m/>
    <s v="3"/>
    <x v="14"/>
    <s v="31"/>
    <s v="פנסיה"/>
    <s v="310"/>
    <e v="#N/A"/>
  </r>
  <r>
    <n v="340"/>
    <s v="71422"/>
    <n v="1"/>
    <s v="171422.340"/>
    <s v="שעות נוספות מיוחדות             "/>
    <m/>
    <m/>
    <n v="4000"/>
    <n v="4000"/>
    <n v="0"/>
    <m/>
    <x v="6"/>
    <s v="שירותים מקומיים"/>
    <x v="25"/>
    <s v="תברואה"/>
    <x v="103"/>
    <s v="שרות וטרינרי"/>
    <s v="7142"/>
    <s v="פיקוח וטרינרי"/>
    <m/>
    <s v="3"/>
    <x v="14"/>
    <s v="34"/>
    <e v="#N/A"/>
    <s v="340"/>
    <e v="#N/A"/>
  </r>
  <r>
    <n v="755"/>
    <s v="71422"/>
    <n v="1"/>
    <s v="171422.755"/>
    <s v="לכידה ואחסנת בע ח               "/>
    <m/>
    <m/>
    <n v="85000"/>
    <n v="85000"/>
    <n v="79419"/>
    <m/>
    <x v="6"/>
    <s v="שירותים מקומיים"/>
    <x v="25"/>
    <s v="תברואה"/>
    <x v="103"/>
    <s v="שרות וטרינרי"/>
    <s v="7142"/>
    <s v="פיקוח וטרינרי"/>
    <m/>
    <s v="7"/>
    <x v="13"/>
    <s v="75"/>
    <s v="עבודות קבלניות"/>
    <s v="755"/>
    <e v="#N/A"/>
  </r>
  <r>
    <n v="756"/>
    <s v="71422"/>
    <n v="1"/>
    <s v="171422.756"/>
    <s v="סיוע לבע ח פצועים               "/>
    <m/>
    <m/>
    <n v="40000"/>
    <n v="40000"/>
    <n v="187671"/>
    <m/>
    <x v="6"/>
    <s v="שירותים מקומיים"/>
    <x v="25"/>
    <s v="תברואה"/>
    <x v="103"/>
    <s v="שרות וטרינרי"/>
    <s v="7142"/>
    <s v="פיקוח וטרינרי"/>
    <m/>
    <s v="7"/>
    <x v="13"/>
    <s v="75"/>
    <s v="עבודות קבלניות"/>
    <s v="756"/>
    <e v="#N/A"/>
  </r>
  <r>
    <n v="781"/>
    <s v="71422"/>
    <n v="1"/>
    <s v="171422.781"/>
    <s v="בדיקות מעבדה                    "/>
    <m/>
    <m/>
    <n v="5000"/>
    <n v="5000"/>
    <n v="1400"/>
    <m/>
    <x v="6"/>
    <s v="שירותים מקומיים"/>
    <x v="25"/>
    <s v="תברואה"/>
    <x v="103"/>
    <s v="שרות וטרינרי"/>
    <s v="7142"/>
    <s v="פיקוח וטרינרי"/>
    <m/>
    <s v="7"/>
    <x v="13"/>
    <s v="78"/>
    <s v="הוצאות שונות"/>
    <s v="781"/>
    <e v="#N/A"/>
  </r>
  <r>
    <n v="110"/>
    <s v="71433"/>
    <n v="1"/>
    <s v="171433.110"/>
    <s v="משכורת כוללת                    "/>
    <m/>
    <m/>
    <n v="399000"/>
    <n v="353000"/>
    <n v="362081"/>
    <m/>
    <x v="6"/>
    <s v="שירותים מקומיים"/>
    <x v="25"/>
    <s v="תברואה"/>
    <x v="103"/>
    <s v="שרות וטרינרי"/>
    <s v="7143"/>
    <s v="מלחמה בכלבת"/>
    <m/>
    <s v="1"/>
    <x v="9"/>
    <s v="11"/>
    <s v="השכר הקובע"/>
    <s v="110"/>
    <e v="#N/A"/>
  </r>
  <r>
    <n v="124"/>
    <s v="71433"/>
    <n v="1"/>
    <s v="171433.124"/>
    <s v="החזר הוצאות                     "/>
    <m/>
    <m/>
    <n v="24000"/>
    <n v="22000"/>
    <n v="22694"/>
    <m/>
    <x v="6"/>
    <s v="שירותים מקומיים"/>
    <x v="25"/>
    <s v="תברואה"/>
    <x v="103"/>
    <s v="שרות וטרינרי"/>
    <s v="7143"/>
    <s v="מלחמה בכלבת"/>
    <m/>
    <s v="1"/>
    <x v="9"/>
    <s v="12"/>
    <s v="תוספות שאינן נכללות בשכר הקובע"/>
    <s v="124"/>
    <e v="#N/A"/>
  </r>
  <r>
    <n v="126"/>
    <s v="71433"/>
    <n v="1"/>
    <s v="171433.126"/>
    <s v="הבראה                           "/>
    <m/>
    <m/>
    <n v="27000"/>
    <n v="27000"/>
    <n v="27328"/>
    <m/>
    <x v="6"/>
    <s v="שירותים מקומיים"/>
    <x v="25"/>
    <s v="תברואה"/>
    <x v="103"/>
    <s v="שרות וטרינרי"/>
    <s v="7143"/>
    <s v="מלחמה בכלבת"/>
    <m/>
    <s v="1"/>
    <x v="9"/>
    <s v="12"/>
    <s v="תוספות שאינן נכללות בשכר הקובע"/>
    <s v="126"/>
    <e v="#N/A"/>
  </r>
  <r>
    <n v="127"/>
    <s v="71433"/>
    <n v="1"/>
    <s v="171433.127"/>
    <s v="השתתפות באחזקת רכב-5            "/>
    <m/>
    <m/>
    <n v="109000"/>
    <n v="100000"/>
    <n v="94745"/>
    <m/>
    <x v="6"/>
    <s v="שירותים מקומיים"/>
    <x v="25"/>
    <s v="תברואה"/>
    <x v="103"/>
    <s v="שרות וטרינרי"/>
    <s v="7143"/>
    <s v="מלחמה בכלבת"/>
    <m/>
    <s v="1"/>
    <x v="9"/>
    <s v="12"/>
    <s v="תוספות שאינן נכללות בשכר הקובע"/>
    <s v="127"/>
    <e v="#N/A"/>
  </r>
  <r>
    <n v="130"/>
    <s v="71433"/>
    <n v="1"/>
    <s v="171433.130"/>
    <s v="תשלומים מיוחדים                 "/>
    <m/>
    <m/>
    <n v="205000"/>
    <n v="161000"/>
    <n v="181219"/>
    <m/>
    <x v="6"/>
    <s v="שירותים מקומיים"/>
    <x v="25"/>
    <s v="תברואה"/>
    <x v="103"/>
    <s v="שרות וטרינרי"/>
    <s v="7143"/>
    <s v="מלחמה בכלבת"/>
    <m/>
    <s v="1"/>
    <x v="9"/>
    <s v="13"/>
    <s v="שעות נוספות"/>
    <s v="130"/>
    <e v="#N/A"/>
  </r>
  <r>
    <n v="181"/>
    <s v="71433"/>
    <n v="1"/>
    <s v="171433.181"/>
    <s v="מיסים וביטוח לאומי              "/>
    <m/>
    <m/>
    <n v="111000"/>
    <n v="98000"/>
    <n v="100997"/>
    <m/>
    <x v="6"/>
    <s v="שירותים מקומיים"/>
    <x v="25"/>
    <s v="תברואה"/>
    <x v="103"/>
    <s v="שרות וטרינרי"/>
    <s v="7143"/>
    <s v="מלחמה בכלבת"/>
    <m/>
    <s v="1"/>
    <x v="9"/>
    <s v="18"/>
    <s v="נלוות לשכר"/>
    <s v="181"/>
    <s v="הפרשות סוציאליות"/>
  </r>
  <r>
    <n v="182"/>
    <s v="71433"/>
    <n v="1"/>
    <s v="171433.182"/>
    <s v="קופות גמל והשתלמות              "/>
    <m/>
    <m/>
    <n v="104000"/>
    <n v="92000"/>
    <n v="93099"/>
    <m/>
    <x v="6"/>
    <s v="שירותים מקומיים"/>
    <x v="25"/>
    <s v="תברואה"/>
    <x v="103"/>
    <s v="שרות וטרינרי"/>
    <s v="7143"/>
    <s v="מלחמה בכלבת"/>
    <m/>
    <s v="1"/>
    <x v="9"/>
    <s v="18"/>
    <s v="נלוות לשכר"/>
    <s v="182"/>
    <s v="מיסיום ועלויות"/>
  </r>
  <r>
    <n v="310"/>
    <s v="71433"/>
    <n v="1"/>
    <s v="171433.310"/>
    <s v="שעות נוספות רשומות              "/>
    <m/>
    <m/>
    <n v="67000"/>
    <n v="66000"/>
    <n v="61131"/>
    <m/>
    <x v="6"/>
    <s v="שירותים מקומיים"/>
    <x v="25"/>
    <s v="תברואה"/>
    <x v="103"/>
    <s v="שרות וטרינרי"/>
    <s v="7143"/>
    <s v="מלחמה בכלבת"/>
    <m/>
    <s v="3"/>
    <x v="14"/>
    <s v="31"/>
    <s v="פנסיה"/>
    <s v="310"/>
    <e v="#N/A"/>
  </r>
  <r>
    <n v="340"/>
    <s v="71433"/>
    <n v="1"/>
    <s v="171433.340"/>
    <s v="שעות נוספות מיוחדות             "/>
    <m/>
    <m/>
    <n v="19000"/>
    <n v="19000"/>
    <n v="25691"/>
    <m/>
    <x v="6"/>
    <s v="שירותים מקומיים"/>
    <x v="25"/>
    <s v="תברואה"/>
    <x v="103"/>
    <s v="שרות וטרינרי"/>
    <s v="7143"/>
    <s v="מלחמה בכלבת"/>
    <m/>
    <s v="3"/>
    <x v="14"/>
    <s v="34"/>
    <e v="#N/A"/>
    <s v="340"/>
    <e v="#N/A"/>
  </r>
  <r>
    <n v="680"/>
    <s v="71433"/>
    <n v="1"/>
    <s v="171433.680"/>
    <s v="חלב לפועלים                     "/>
    <m/>
    <m/>
    <n v="5000"/>
    <n v="5000"/>
    <n v="5000"/>
    <m/>
    <x v="6"/>
    <s v="שירותים מקומיים"/>
    <x v="25"/>
    <s v="תברואה"/>
    <x v="103"/>
    <s v="שרות וטרינרי"/>
    <s v="7143"/>
    <s v="מלחמה בכלבת"/>
    <m/>
    <s v="6"/>
    <x v="12"/>
    <s v="68"/>
    <s v="ריבית על הוצאות אחרות"/>
    <s v="680"/>
    <e v="#N/A"/>
  </r>
  <r>
    <n v="720"/>
    <s v="71433"/>
    <n v="1"/>
    <s v="171433.720"/>
    <s v="חמרים  וציוד שוטף               "/>
    <m/>
    <m/>
    <n v="45000"/>
    <n v="45000"/>
    <n v="44689"/>
    <m/>
    <x v="6"/>
    <s v="שירותים מקומיים"/>
    <x v="25"/>
    <s v="תברואה"/>
    <x v="103"/>
    <s v="שרות וטרינרי"/>
    <s v="7143"/>
    <s v="מלחמה בכלבת"/>
    <m/>
    <s v="7"/>
    <x v="13"/>
    <s v="72"/>
    <s v="חומרים"/>
    <s v="720"/>
    <e v="#N/A"/>
  </r>
  <r>
    <n v="781"/>
    <s v="71433"/>
    <n v="1"/>
    <s v="171433.781"/>
    <s v="רשיונות וסימון לכלבים           "/>
    <m/>
    <m/>
    <n v="20000"/>
    <n v="20000"/>
    <n v="8059"/>
    <m/>
    <x v="6"/>
    <s v="שירותים מקומיים"/>
    <x v="25"/>
    <s v="תברואה"/>
    <x v="103"/>
    <s v="שרות וטרינרי"/>
    <s v="7143"/>
    <s v="מלחמה בכלבת"/>
    <m/>
    <s v="7"/>
    <x v="13"/>
    <s v="78"/>
    <s v="הוצאות שונות"/>
    <s v="781"/>
    <e v="#N/A"/>
  </r>
  <r>
    <n v="782"/>
    <s v="71433"/>
    <n v="1"/>
    <s v="171433.782"/>
    <s v="חיסון נגד כלבת                  "/>
    <m/>
    <m/>
    <n v="400000"/>
    <n v="400000"/>
    <n v="331426"/>
    <m/>
    <x v="6"/>
    <s v="שירותים מקומיים"/>
    <x v="25"/>
    <s v="תברואה"/>
    <x v="103"/>
    <s v="שרות וטרינרי"/>
    <s v="7143"/>
    <s v="מלחמה בכלבת"/>
    <m/>
    <s v="7"/>
    <x v="13"/>
    <s v="78"/>
    <s v="הוצאות שונות"/>
    <s v="782"/>
    <e v="#N/A"/>
  </r>
  <r>
    <n v="783"/>
    <s v="71433"/>
    <n v="1"/>
    <s v="171433.783"/>
    <s v="הזנת בע ח בהסגר                 "/>
    <m/>
    <m/>
    <n v="40000"/>
    <n v="40000"/>
    <n v="31451"/>
    <m/>
    <x v="6"/>
    <s v="שירותים מקומיים"/>
    <x v="25"/>
    <s v="תברואה"/>
    <x v="103"/>
    <s v="שרות וטרינרי"/>
    <s v="7143"/>
    <s v="מלחמה בכלבת"/>
    <m/>
    <s v="7"/>
    <x v="13"/>
    <s v="78"/>
    <s v="הוצאות שונות"/>
    <s v="783"/>
    <e v="#N/A"/>
  </r>
  <r>
    <n v="784"/>
    <s v="71433"/>
    <n v="1"/>
    <s v="171433.784"/>
    <s v="רישום כלבים בשרותים הוטרינריים  "/>
    <m/>
    <m/>
    <n v="125000"/>
    <n v="125000"/>
    <n v="112455"/>
    <m/>
    <x v="6"/>
    <s v="שירותים מקומיים"/>
    <x v="25"/>
    <s v="תברואה"/>
    <x v="103"/>
    <s v="שרות וטרינרי"/>
    <s v="7143"/>
    <s v="מלחמה בכלבת"/>
    <m/>
    <s v="7"/>
    <x v="13"/>
    <s v="78"/>
    <s v="הוצאות שונות"/>
    <s v="784"/>
    <e v="#N/A"/>
  </r>
  <r>
    <n v="981"/>
    <s v="71433"/>
    <n v="1"/>
    <s v="171433.981"/>
    <s v="ציוד מדעי ומעבדתי               "/>
    <m/>
    <m/>
    <n v="35000"/>
    <n v="35000"/>
    <n v="29577"/>
    <m/>
    <x v="6"/>
    <s v="שירותים מקומיים"/>
    <x v="25"/>
    <s v="תברואה"/>
    <x v="103"/>
    <s v="שרות וטרינרי"/>
    <s v="7143"/>
    <s v="מלחמה בכלבת"/>
    <m/>
    <s v="9"/>
    <x v="17"/>
    <s v="98"/>
    <s v="הוצאות אחרות"/>
    <s v="981"/>
    <e v="#N/A"/>
  </r>
  <r>
    <n v="982"/>
    <s v="71433"/>
    <n v="1"/>
    <s v="171433.982"/>
    <s v="רכישת אמצעים לסימון כלבים       "/>
    <m/>
    <m/>
    <n v="10000"/>
    <n v="10000"/>
    <n v="9666"/>
    <m/>
    <x v="6"/>
    <s v="שירותים מקומיים"/>
    <x v="25"/>
    <s v="תברואה"/>
    <x v="103"/>
    <s v="שרות וטרינרי"/>
    <s v="7143"/>
    <s v="מלחמה בכלבת"/>
    <m/>
    <s v="9"/>
    <x v="17"/>
    <s v="98"/>
    <s v="הוצאות אחרות"/>
    <s v="982"/>
    <e v="#N/A"/>
  </r>
  <r>
    <n v="110"/>
    <s v="74710"/>
    <n v="1"/>
    <s v="174710.110"/>
    <s v="משכורת כוללת                    "/>
    <m/>
    <m/>
    <n v="1154000"/>
    <n v="1218000"/>
    <n v="1124171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1"/>
    <s v="השכר הקובע"/>
    <s v="110"/>
    <e v="#N/A"/>
  </r>
  <r>
    <n v="124"/>
    <s v="74710"/>
    <n v="1"/>
    <s v="174710.124"/>
    <s v="החזר הוצאות                     "/>
    <m/>
    <m/>
    <n v="62000"/>
    <n v="76000"/>
    <n v="69918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2"/>
    <s v="תוספות שאינן נכללות בשכר הקובע"/>
    <s v="124"/>
    <e v="#N/A"/>
  </r>
  <r>
    <n v="126"/>
    <s v="74710"/>
    <n v="1"/>
    <s v="174710.126"/>
    <s v="הבראה                           "/>
    <m/>
    <m/>
    <n v="59000"/>
    <n v="51000"/>
    <n v="60766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2"/>
    <s v="תוספות שאינן נכללות בשכר הקובע"/>
    <s v="126"/>
    <e v="#N/A"/>
  </r>
  <r>
    <n v="127"/>
    <s v="74710"/>
    <n v="1"/>
    <s v="174710.127"/>
    <s v="השתתפות באחזקת רכב - 9          "/>
    <m/>
    <m/>
    <n v="285000"/>
    <n v="276000"/>
    <n v="265398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2"/>
    <s v="תוספות שאינן נכללות בשכר הקובע"/>
    <s v="127"/>
    <e v="#N/A"/>
  </r>
  <r>
    <n v="130"/>
    <s v="74710"/>
    <n v="1"/>
    <s v="174710.130"/>
    <s v="תשלומים מיוחדים                 "/>
    <m/>
    <m/>
    <n v="1036000"/>
    <n v="867000"/>
    <n v="871807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3"/>
    <s v="שעות נוספות"/>
    <s v="130"/>
    <e v="#N/A"/>
  </r>
  <r>
    <n v="181"/>
    <s v="74710"/>
    <n v="1"/>
    <s v="174710.181"/>
    <s v="מיסים וביטוח לאומי              "/>
    <m/>
    <m/>
    <n v="348000"/>
    <n v="331000"/>
    <n v="336541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8"/>
    <s v="נלוות לשכר"/>
    <s v="181"/>
    <s v="הפרשות סוציאליות"/>
  </r>
  <r>
    <n v="182"/>
    <s v="74710"/>
    <n v="1"/>
    <s v="174710.182"/>
    <s v="קופות גמל והשתלמות              "/>
    <m/>
    <m/>
    <n v="306000"/>
    <n v="280000"/>
    <n v="263338"/>
    <m/>
    <x v="6"/>
    <s v="שירותים מקומיים"/>
    <x v="28"/>
    <s v="נכסים ציבוריים"/>
    <x v="104"/>
    <s v="חופים, בריכות ומרחצאות"/>
    <s v="7471"/>
    <e v="#N/A"/>
    <m/>
    <s v="1"/>
    <x v="9"/>
    <s v="18"/>
    <s v="נלוות לשכר"/>
    <s v="182"/>
    <s v="מיסיום ועלויות"/>
  </r>
  <r>
    <n v="310"/>
    <s v="74710"/>
    <n v="1"/>
    <s v="174710.310"/>
    <s v="שעות  נוספות  רשומות            "/>
    <m/>
    <m/>
    <n v="59000"/>
    <n v="38000"/>
    <n v="41530"/>
    <m/>
    <x v="6"/>
    <s v="שירותים מקומיים"/>
    <x v="28"/>
    <s v="נכסים ציבוריים"/>
    <x v="104"/>
    <s v="חופים, בריכות ומרחצאות"/>
    <s v="7471"/>
    <e v="#N/A"/>
    <m/>
    <s v="3"/>
    <x v="14"/>
    <s v="31"/>
    <s v="פנסיה"/>
    <s v="310"/>
    <e v="#N/A"/>
  </r>
  <r>
    <n v="340"/>
    <s v="74710"/>
    <n v="1"/>
    <s v="174710.340"/>
    <s v="שעות נוספות מיוחדות             "/>
    <m/>
    <m/>
    <n v="2000"/>
    <n v="2000"/>
    <n v="2083"/>
    <m/>
    <x v="6"/>
    <s v="שירותים מקומיים"/>
    <x v="28"/>
    <s v="נכסים ציבוריים"/>
    <x v="104"/>
    <s v="חופים, בריכות ומרחצאות"/>
    <s v="7471"/>
    <e v="#N/A"/>
    <m/>
    <s v="3"/>
    <x v="14"/>
    <s v="34"/>
    <e v="#N/A"/>
    <s v="340"/>
    <e v="#N/A"/>
  </r>
  <r>
    <n v="411"/>
    <s v="74710"/>
    <n v="1"/>
    <s v="174710.411"/>
    <s v="שכר דירה                        "/>
    <m/>
    <m/>
    <n v="577000"/>
    <n v="577000"/>
    <n v="521545"/>
    <m/>
    <x v="6"/>
    <s v="שירותים מקומיים"/>
    <x v="28"/>
    <s v="נכסים ציבוריים"/>
    <x v="104"/>
    <s v="חופים, בריכות ומרחצאות"/>
    <s v="7471"/>
    <e v="#N/A"/>
    <m/>
    <s v="4"/>
    <x v="15"/>
    <s v="41"/>
    <s v="שכר דירה ודמי חכירה"/>
    <s v="411"/>
    <e v="#N/A"/>
  </r>
  <r>
    <n v="461"/>
    <s v="74710"/>
    <n v="1"/>
    <s v="174710.461"/>
    <s v="צורכי משרד                      "/>
    <m/>
    <m/>
    <n v="42000"/>
    <n v="44000"/>
    <n v="61668"/>
    <m/>
    <x v="6"/>
    <s v="שירותים מקומיים"/>
    <x v="28"/>
    <s v="נכסים ציבוריים"/>
    <x v="104"/>
    <s v="חופים, בריכות ומרחצאות"/>
    <s v="7471"/>
    <e v="#N/A"/>
    <m/>
    <s v="4"/>
    <x v="15"/>
    <s v="46"/>
    <e v="#N/A"/>
    <s v="461"/>
    <e v="#N/A"/>
  </r>
  <r>
    <n v="462"/>
    <s v="74710"/>
    <n v="1"/>
    <s v="174710.462"/>
    <s v="ספרים ועתונים                   "/>
    <m/>
    <m/>
    <n v="3000"/>
    <n v="3000"/>
    <n v="2688"/>
    <m/>
    <x v="6"/>
    <s v="שירותים מקומיים"/>
    <x v="28"/>
    <s v="נכסים ציבוריים"/>
    <x v="104"/>
    <s v="חופים, בריכות ומרחצאות"/>
    <s v="7471"/>
    <e v="#N/A"/>
    <m/>
    <s v="4"/>
    <x v="15"/>
    <s v="46"/>
    <e v="#N/A"/>
    <s v="462"/>
    <e v="#N/A"/>
  </r>
  <r>
    <n v="521"/>
    <s v="74710"/>
    <n v="1"/>
    <s v="174710.521"/>
    <s v="הדרכה וכנסים                    "/>
    <m/>
    <m/>
    <n v="6000"/>
    <n v="6000"/>
    <n v="5950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2"/>
    <s v="השתלמויות וספרות מקצועית"/>
    <s v="521"/>
    <s v="השתלמויות וספרות מקצועית"/>
  </r>
  <r>
    <n v="522"/>
    <s v="74710"/>
    <n v="1"/>
    <s v="174710.522"/>
    <s v="השתלמות יחידתית                 "/>
    <m/>
    <m/>
    <n v="305000"/>
    <n v="255000"/>
    <n v="223233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2"/>
    <s v="השתלמויות וספרות מקצועית"/>
    <s v="522"/>
    <s v="ספרות מקצועית ועיתונות"/>
  </r>
  <r>
    <n v="531"/>
    <s v="74710"/>
    <n v="1"/>
    <s v="174710.531"/>
    <s v="אחזקת רכב                       "/>
    <m/>
    <m/>
    <n v="5000"/>
    <n v="5000"/>
    <n v="1454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3"/>
    <s v="הוצאות רכב מינהלי"/>
    <s v="531"/>
    <s v="דלק ושמנים"/>
  </r>
  <r>
    <n v="533"/>
    <s v="74710"/>
    <n v="1"/>
    <s v="174710.533"/>
    <s v="שכירת רכב                       "/>
    <m/>
    <m/>
    <n v="37000"/>
    <n v="37000"/>
    <n v="36240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3"/>
    <s v="הוצאות רכב מינהלי"/>
    <s v="533"/>
    <s v="רישוי וביטוח"/>
  </r>
  <r>
    <n v="534"/>
    <s v="74710"/>
    <n v="1"/>
    <s v="174710.534"/>
    <s v="דלק ושמן                        "/>
    <m/>
    <m/>
    <n v="19000"/>
    <n v="19000"/>
    <n v="14711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3"/>
    <s v="הוצאות רכב מינהלי"/>
    <s v="534"/>
    <e v="#N/A"/>
  </r>
  <r>
    <n v="541"/>
    <s v="74710"/>
    <n v="1"/>
    <s v="174710.541"/>
    <s v="החזקת מכשירי קשר וסלולר         "/>
    <m/>
    <m/>
    <n v="192000"/>
    <n v="183000"/>
    <n v="245184"/>
    <m/>
    <x v="6"/>
    <s v="שירותים מקומיים"/>
    <x v="28"/>
    <s v="נכסים ציבוריים"/>
    <x v="104"/>
    <s v="חופים, בריכות ומרחצאות"/>
    <s v="7471"/>
    <e v="#N/A"/>
    <m/>
    <s v="5"/>
    <x v="11"/>
    <s v="54"/>
    <s v="הוצאות תקשורת"/>
    <s v="541"/>
    <e v="#N/A"/>
  </r>
  <r>
    <n v="610"/>
    <s v="74710"/>
    <n v="1"/>
    <s v="174710.610"/>
    <s v="כיבודים                         "/>
    <m/>
    <m/>
    <n v="50000"/>
    <n v="50000"/>
    <n v="42497"/>
    <m/>
    <x v="6"/>
    <s v="שירותים מקומיים"/>
    <x v="28"/>
    <s v="נכסים ציבוריים"/>
    <x v="104"/>
    <s v="חופים, בריכות ומרחצאות"/>
    <s v="7471"/>
    <e v="#N/A"/>
    <m/>
    <s v="6"/>
    <x v="12"/>
    <s v="61"/>
    <s v="עמלות"/>
    <s v="610"/>
    <e v="#N/A"/>
  </r>
  <r>
    <n v="670"/>
    <s v="74710"/>
    <n v="1"/>
    <s v="174710.670"/>
    <s v="סעיף שאינו חוזר                 "/>
    <m/>
    <m/>
    <n v="0"/>
    <n v="100000"/>
    <n v="104482"/>
    <m/>
    <x v="6"/>
    <s v="שירותים מקומיים"/>
    <x v="28"/>
    <s v="נכסים ציבוריים"/>
    <x v="104"/>
    <s v="חופים, בריכות ומרחצאות"/>
    <s v="7471"/>
    <e v="#N/A"/>
    <m/>
    <s v="6"/>
    <x v="12"/>
    <s v="67"/>
    <e v="#N/A"/>
    <s v="670"/>
    <e v="#N/A"/>
  </r>
  <r>
    <n v="680"/>
    <s v="74710"/>
    <n v="1"/>
    <s v="174710.680"/>
    <s v="הוצאות   מיוחדות                "/>
    <m/>
    <m/>
    <n v="4000"/>
    <n v="4000"/>
    <n v="6485"/>
    <m/>
    <x v="6"/>
    <s v="שירותים מקומיים"/>
    <x v="28"/>
    <s v="נכסים ציבוריים"/>
    <x v="104"/>
    <s v="חופים, בריכות ומרחצאות"/>
    <s v="7471"/>
    <e v="#N/A"/>
    <m/>
    <s v="6"/>
    <x v="12"/>
    <s v="68"/>
    <s v="ריבית על הוצאות אחרות"/>
    <s v="680"/>
    <e v="#N/A"/>
  </r>
  <r>
    <n v="691"/>
    <s v="74710"/>
    <n v="1"/>
    <s v="174710.691"/>
    <s v="מערכות מידע ומחשוב              "/>
    <m/>
    <m/>
    <n v="70000"/>
    <n v="60000"/>
    <n v="95133"/>
    <m/>
    <x v="6"/>
    <s v="שירותים מקומיים"/>
    <x v="28"/>
    <s v="נכסים ציבוריים"/>
    <x v="104"/>
    <s v="חופים, בריכות ומרחצאות"/>
    <s v="7471"/>
    <e v="#N/A"/>
    <m/>
    <s v="6"/>
    <x v="12"/>
    <s v="69"/>
    <s v="שונות"/>
    <s v="691"/>
    <s v="תשלום ע&quot;ח קרן"/>
  </r>
  <r>
    <n v="693"/>
    <s v="74710"/>
    <n v="1"/>
    <s v="174710.693"/>
    <s v="מיחשוב יחידתי                   "/>
    <m/>
    <m/>
    <n v="38000"/>
    <n v="18000"/>
    <n v="23984"/>
    <m/>
    <x v="6"/>
    <s v="שירותים מקומיים"/>
    <x v="28"/>
    <s v="נכסים ציבוריים"/>
    <x v="104"/>
    <s v="חופים, בריכות ומרחצאות"/>
    <s v="7471"/>
    <e v="#N/A"/>
    <m/>
    <s v="6"/>
    <x v="12"/>
    <s v="69"/>
    <s v="שונות"/>
    <s v="693"/>
    <s v="תשלום ע&quot;ח הצמדת ערך"/>
  </r>
  <r>
    <n v="110"/>
    <s v="74720"/>
    <n v="1"/>
    <s v="174720.110"/>
    <s v="משכורת כוללת                    "/>
    <m/>
    <m/>
    <n v="6263000"/>
    <n v="5645000"/>
    <n v="4799394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1"/>
    <s v="השכר הקובע"/>
    <s v="110"/>
    <e v="#N/A"/>
  </r>
  <r>
    <n v="124"/>
    <s v="74720"/>
    <n v="1"/>
    <s v="174720.124"/>
    <s v="החזר הוצאות                     "/>
    <m/>
    <m/>
    <n v="327000"/>
    <n v="334000"/>
    <n v="300608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2"/>
    <s v="תוספות שאינן נכללות בשכר הקובע"/>
    <s v="124"/>
    <e v="#N/A"/>
  </r>
  <r>
    <n v="126"/>
    <s v="74720"/>
    <n v="1"/>
    <s v="174720.126"/>
    <s v="הבראה                           "/>
    <m/>
    <m/>
    <n v="337000"/>
    <n v="366000"/>
    <n v="327734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2"/>
    <s v="תוספות שאינן נכללות בשכר הקובע"/>
    <s v="126"/>
    <e v="#N/A"/>
  </r>
  <r>
    <n v="127"/>
    <s v="74720"/>
    <n v="1"/>
    <s v="174720.127"/>
    <s v="השתתפות באחזקת רכב - 59         "/>
    <m/>
    <m/>
    <n v="1432000"/>
    <n v="1556000"/>
    <n v="1317335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2"/>
    <s v="תוספות שאינן נכללות בשכר הקובע"/>
    <s v="127"/>
    <e v="#N/A"/>
  </r>
  <r>
    <n v="130"/>
    <s v="74720"/>
    <n v="1"/>
    <s v="174720.130"/>
    <s v="תשלומים מיוחדים                 "/>
    <m/>
    <m/>
    <n v="8213000"/>
    <n v="8564000"/>
    <n v="8657551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3"/>
    <s v="שעות נוספות"/>
    <s v="130"/>
    <e v="#N/A"/>
  </r>
  <r>
    <n v="181"/>
    <s v="74720"/>
    <n v="1"/>
    <s v="174720.181"/>
    <s v="מיסים וביטוח לאומי              "/>
    <m/>
    <m/>
    <n v="2231000"/>
    <n v="2205000"/>
    <n v="2135709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8"/>
    <s v="נלוות לשכר"/>
    <s v="181"/>
    <s v="הפרשות סוציאליות"/>
  </r>
  <r>
    <n v="182"/>
    <s v="74720"/>
    <n v="1"/>
    <s v="174720.182"/>
    <s v="קופות גמל והשתלמות              "/>
    <m/>
    <m/>
    <n v="2183000"/>
    <n v="2298000"/>
    <n v="2107298"/>
    <m/>
    <x v="6"/>
    <s v="שירותים מקומיים"/>
    <x v="28"/>
    <s v="נכסים ציבוריים"/>
    <x v="104"/>
    <s v="חופים, בריכות ומרחצאות"/>
    <s v="7472"/>
    <s v="חופי רחצה"/>
    <m/>
    <s v="1"/>
    <x v="9"/>
    <s v="18"/>
    <s v="נלוות לשכר"/>
    <s v="182"/>
    <s v="מיסיום ועלויות"/>
  </r>
  <r>
    <n v="230"/>
    <s v="74720"/>
    <n v="1"/>
    <s v="174720.230"/>
    <s v="משימות חולפות - 8               "/>
    <m/>
    <m/>
    <n v="485000"/>
    <n v="396000"/>
    <n v="561823"/>
    <m/>
    <x v="6"/>
    <s v="שירותים מקומיים"/>
    <x v="28"/>
    <s v="נכסים ציבוריים"/>
    <x v="104"/>
    <s v="חופים, בריכות ומרחצאות"/>
    <s v="7472"/>
    <s v="חופי רחצה"/>
    <m/>
    <s v="2"/>
    <x v="10"/>
    <s v="23"/>
    <s v="שעות נוספות"/>
    <s v="230"/>
    <e v="#N/A"/>
  </r>
  <r>
    <n v="250"/>
    <s v="74720"/>
    <n v="1"/>
    <s v="174720.250"/>
    <s v="עובדים יומיים - 1.26            "/>
    <m/>
    <m/>
    <n v="2346000"/>
    <n v="1841000"/>
    <n v="2526351"/>
    <m/>
    <x v="6"/>
    <s v="שירותים מקומיים"/>
    <x v="28"/>
    <s v="נכסים ציבוריים"/>
    <x v="104"/>
    <s v="חופים, בריכות ומרחצאות"/>
    <s v="7472"/>
    <s v="חופי רחצה"/>
    <m/>
    <s v="2"/>
    <x v="10"/>
    <s v="25"/>
    <e v="#N/A"/>
    <s v="250"/>
    <e v="#N/A"/>
  </r>
  <r>
    <n v="433"/>
    <s v="74720"/>
    <n v="1"/>
    <s v="174720.433"/>
    <s v="ביטוח                           "/>
    <m/>
    <m/>
    <n v="231000"/>
    <n v="225000"/>
    <n v="184000"/>
    <m/>
    <x v="6"/>
    <s v="שירותים מקומיים"/>
    <x v="28"/>
    <s v="נכסים ציבוריים"/>
    <x v="104"/>
    <s v="חופים, בריכות ומרחצאות"/>
    <s v="7472"/>
    <s v="חופי רחצה"/>
    <m/>
    <s v="4"/>
    <x v="15"/>
    <s v="43"/>
    <s v="חשמל, מים וחומרי ניקיון"/>
    <s v="433"/>
    <s v="חומרי ניקיון"/>
  </r>
  <r>
    <n v="436"/>
    <s v="74720"/>
    <n v="1"/>
    <s v="174720.436"/>
    <s v="נקיון                           "/>
    <m/>
    <m/>
    <n v="165000"/>
    <n v="165000"/>
    <n v="219398"/>
    <m/>
    <x v="6"/>
    <s v="שירותים מקומיים"/>
    <x v="28"/>
    <s v="נכסים ציבוריים"/>
    <x v="104"/>
    <s v="חופים, בריכות ומרחצאות"/>
    <s v="7472"/>
    <s v="חופי רחצה"/>
    <m/>
    <s v="4"/>
    <x v="15"/>
    <s v="43"/>
    <s v="חשמל, מים וחומרי ניקיון"/>
    <s v="436"/>
    <e v="#N/A"/>
  </r>
  <r>
    <n v="531"/>
    <s v="74720"/>
    <n v="1"/>
    <s v="174720.531"/>
    <s v="אחזקת רכב                       "/>
    <m/>
    <m/>
    <n v="409000"/>
    <n v="379000"/>
    <n v="283182"/>
    <m/>
    <x v="6"/>
    <s v="שירותים מקומיים"/>
    <x v="28"/>
    <s v="נכסים ציבוריים"/>
    <x v="104"/>
    <s v="חופים, בריכות ומרחצאות"/>
    <s v="7472"/>
    <s v="חופי רחצה"/>
    <m/>
    <s v="5"/>
    <x v="11"/>
    <s v="53"/>
    <s v="הוצאות רכב מינהלי"/>
    <s v="531"/>
    <s v="דלק ושמנים"/>
  </r>
  <r>
    <n v="532"/>
    <s v="74720"/>
    <n v="1"/>
    <s v="174720.532"/>
    <s v="בטוח רכב                        "/>
    <m/>
    <m/>
    <n v="183000"/>
    <n v="119000"/>
    <n v="182780"/>
    <m/>
    <x v="6"/>
    <s v="שירותים מקומיים"/>
    <x v="28"/>
    <s v="נכסים ציבוריים"/>
    <x v="104"/>
    <s v="חופים, בריכות ומרחצאות"/>
    <s v="7472"/>
    <s v="חופי רחצה"/>
    <m/>
    <s v="5"/>
    <x v="11"/>
    <s v="53"/>
    <s v="הוצאות רכב מינהלי"/>
    <s v="532"/>
    <s v="תיקונים"/>
  </r>
  <r>
    <n v="534"/>
    <s v="74720"/>
    <n v="1"/>
    <s v="174720.534"/>
    <s v="דלק ושמן                        "/>
    <m/>
    <m/>
    <n v="124000"/>
    <n v="124000"/>
    <n v="127050"/>
    <m/>
    <x v="6"/>
    <s v="שירותים מקומיים"/>
    <x v="28"/>
    <s v="נכסים ציבוריים"/>
    <x v="104"/>
    <s v="חופים, בריכות ומרחצאות"/>
    <s v="7472"/>
    <s v="חופי רחצה"/>
    <m/>
    <s v="5"/>
    <x v="11"/>
    <s v="53"/>
    <s v="הוצאות רכב מינהלי"/>
    <s v="534"/>
    <e v="#N/A"/>
  </r>
  <r>
    <n v="670"/>
    <s v="74720"/>
    <n v="1"/>
    <s v="174720.670"/>
    <s v="סעיף שאינו חוזר                 "/>
    <m/>
    <m/>
    <n v="0"/>
    <n v="0"/>
    <n v="76257"/>
    <m/>
    <x v="6"/>
    <s v="שירותים מקומיים"/>
    <x v="28"/>
    <s v="נכסים ציבוריים"/>
    <x v="104"/>
    <s v="חופים, בריכות ומרחצאות"/>
    <s v="7472"/>
    <s v="חופי רחצה"/>
    <m/>
    <s v="6"/>
    <x v="12"/>
    <s v="67"/>
    <e v="#N/A"/>
    <s v="670"/>
    <e v="#N/A"/>
  </r>
  <r>
    <n v="721"/>
    <s v="74720"/>
    <n v="1"/>
    <s v="174720.721"/>
    <s v="חמרים - משחת מיגון              "/>
    <m/>
    <m/>
    <n v="330000"/>
    <n v="320000"/>
    <n v="319902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2"/>
    <s v="חומרים"/>
    <s v="721"/>
    <e v="#N/A"/>
  </r>
  <r>
    <n v="722"/>
    <s v="74720"/>
    <n v="1"/>
    <s v="174720.722"/>
    <s v="שקיות ניילון                    "/>
    <m/>
    <m/>
    <n v="177000"/>
    <n v="137000"/>
    <n v="194936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2"/>
    <s v="חומרים"/>
    <s v="722"/>
    <e v="#N/A"/>
  </r>
  <r>
    <n v="723"/>
    <s v="74720"/>
    <n v="1"/>
    <s v="174720.723"/>
    <s v="חמרים לעבודה עצמית              "/>
    <m/>
    <m/>
    <n v="100000"/>
    <n v="100000"/>
    <n v="100533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2"/>
    <s v="חומרים"/>
    <s v="723"/>
    <e v="#N/A"/>
  </r>
  <r>
    <n v="751"/>
    <s v="74720"/>
    <n v="1"/>
    <s v="174720.751"/>
    <s v="ניפוי וניקוי החופים             "/>
    <m/>
    <m/>
    <n v="1320000"/>
    <n v="1320000"/>
    <n v="1355411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1"/>
    <e v="#N/A"/>
  </r>
  <r>
    <n v="752"/>
    <s v="74720"/>
    <n v="1"/>
    <s v="174720.752"/>
    <s v="אחזקת מבנים וסככות צל           "/>
    <m/>
    <m/>
    <n v="285000"/>
    <n v="285000"/>
    <n v="303550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2"/>
    <e v="#N/A"/>
  </r>
  <r>
    <n v="753"/>
    <s v="74720"/>
    <n v="1"/>
    <s v="174720.753"/>
    <s v="פקוח וסדרנות ע י קבלן           "/>
    <m/>
    <m/>
    <n v="200000"/>
    <n v="200000"/>
    <n v="199975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3"/>
    <e v="#N/A"/>
  </r>
  <r>
    <n v="754"/>
    <s v="74720"/>
    <n v="1"/>
    <s v="174720.754"/>
    <s v="הפעלת בתי שימוש ציבוריים בחופים "/>
    <m/>
    <m/>
    <n v="120000"/>
    <n v="180000"/>
    <n v="215079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4"/>
    <e v="#N/A"/>
  </r>
  <r>
    <n v="755"/>
    <s v="74720"/>
    <n v="1"/>
    <s v="174720.755"/>
    <s v="התקנת סככות צל                  "/>
    <m/>
    <m/>
    <n v="360000"/>
    <n v="360000"/>
    <n v="322351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5"/>
    <e v="#N/A"/>
  </r>
  <r>
    <n v="756"/>
    <s v="74720"/>
    <n v="1"/>
    <s v="174720.756"/>
    <s v="התקנת שלטים ואחזקתם             "/>
    <m/>
    <m/>
    <n v="120000"/>
    <n v="120000"/>
    <n v="96943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6"/>
    <e v="#N/A"/>
  </r>
  <r>
    <n v="758"/>
    <s v="74720"/>
    <n v="1"/>
    <s v="174720.758"/>
    <s v="שבילי הנגשה בחופים              "/>
    <m/>
    <m/>
    <n v="50000"/>
    <n v="50000"/>
    <n v="0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5"/>
    <s v="עבודות קבלניות"/>
    <s v="758"/>
    <e v="#N/A"/>
  </r>
  <r>
    <n v="761"/>
    <s v="74720"/>
    <n v="1"/>
    <s v="174720.761"/>
    <s v="בגדי עבודה יחידתיים             "/>
    <m/>
    <m/>
    <n v="240000"/>
    <n v="250000"/>
    <n v="173852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6"/>
    <s v="קניית שירותים מרשויות ומוסדות"/>
    <s v="761"/>
    <e v="#N/A"/>
  </r>
  <r>
    <n v="791"/>
    <s v="74720"/>
    <n v="1"/>
    <s v="174720.791"/>
    <s v="עתודה למתקני חוף                "/>
    <m/>
    <m/>
    <n v="10000"/>
    <n v="0"/>
    <n v="0"/>
    <m/>
    <x v="6"/>
    <s v="שירותים מקומיים"/>
    <x v="28"/>
    <s v="נכסים ציבוריים"/>
    <x v="104"/>
    <s v="חופים, בריכות ומרחצאות"/>
    <s v="7472"/>
    <s v="חופי רחצה"/>
    <m/>
    <s v="7"/>
    <x v="13"/>
    <s v="79"/>
    <s v="השתתפות בתקציבי עזר 092"/>
    <s v="791"/>
    <e v="#N/A"/>
  </r>
  <r>
    <n v="870"/>
    <s v="74720"/>
    <n v="1"/>
    <s v="174720.870"/>
    <s v=" סעיף שאינו חוזר                "/>
    <m/>
    <m/>
    <n v="0"/>
    <n v="58000"/>
    <n v="0"/>
    <m/>
    <x v="6"/>
    <s v="שירותים מקומיים"/>
    <x v="28"/>
    <s v="נכסים ציבוריים"/>
    <x v="104"/>
    <s v="חופים, בריכות ומרחצאות"/>
    <s v="7472"/>
    <s v="חופי רחצה"/>
    <m/>
    <s v="8"/>
    <x v="16"/>
    <s v="87"/>
    <s v="תמיכות ביחידות סמך ומוסדות הרשות"/>
    <s v="870"/>
    <e v="#N/A"/>
  </r>
  <r>
    <n v="932"/>
    <s v="74720"/>
    <n v="1"/>
    <s v="174720.932"/>
    <s v="ציוד וריהוט משרדי               "/>
    <m/>
    <m/>
    <n v="70000"/>
    <n v="70000"/>
    <n v="69687"/>
    <m/>
    <x v="6"/>
    <s v="שירותים מקומיים"/>
    <x v="28"/>
    <s v="נכסים ציבוריים"/>
    <x v="104"/>
    <s v="חופים, בריכות ומרחצאות"/>
    <s v="7472"/>
    <s v="חופי רחצה"/>
    <m/>
    <s v="9"/>
    <x v="17"/>
    <s v="93"/>
    <s v="רכישת ציוד יסודי"/>
    <s v="932"/>
    <e v="#N/A"/>
  </r>
  <r>
    <n v="934"/>
    <s v="74720"/>
    <n v="1"/>
    <s v="174720.934"/>
    <s v="ציוד תפעולי                     "/>
    <m/>
    <m/>
    <n v="56000"/>
    <n v="56000"/>
    <n v="66494"/>
    <m/>
    <x v="6"/>
    <s v="שירותים מקומיים"/>
    <x v="28"/>
    <s v="נכסים ציבוריים"/>
    <x v="104"/>
    <s v="חופים, בריכות ומרחצאות"/>
    <s v="7472"/>
    <s v="חופי רחצה"/>
    <m/>
    <s v="9"/>
    <x v="17"/>
    <s v="93"/>
    <s v="רכישת ציוד יסודי"/>
    <s v="934"/>
    <e v="#N/A"/>
  </r>
  <r>
    <n v="936"/>
    <s v="74720"/>
    <n v="1"/>
    <s v="174720.936"/>
    <s v="רכישת מתקני משחק לחופים         "/>
    <m/>
    <m/>
    <n v="100000"/>
    <n v="100000"/>
    <n v="97694"/>
    <m/>
    <x v="6"/>
    <s v="שירותים מקומיים"/>
    <x v="28"/>
    <s v="נכסים ציבוריים"/>
    <x v="104"/>
    <s v="חופים, בריכות ומרחצאות"/>
    <s v="7472"/>
    <s v="חופי רחצה"/>
    <m/>
    <s v="9"/>
    <x v="17"/>
    <s v="93"/>
    <s v="רכישת ציוד יסודי"/>
    <s v="936"/>
    <e v="#N/A"/>
  </r>
  <r>
    <n v="110"/>
    <s v="74730"/>
    <n v="1"/>
    <s v="174730.110"/>
    <s v="משכורת כוללת                    "/>
    <m/>
    <m/>
    <n v="5732000"/>
    <n v="6407000"/>
    <n v="5671425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1"/>
    <s v="השכר הקובע"/>
    <s v="110"/>
    <e v="#N/A"/>
  </r>
  <r>
    <n v="124"/>
    <s v="74730"/>
    <n v="1"/>
    <s v="174730.124"/>
    <s v="החזר הוצאות                     "/>
    <m/>
    <m/>
    <n v="305000"/>
    <n v="256000"/>
    <n v="232011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2"/>
    <s v="תוספות שאינן נכללות בשכר הקובע"/>
    <s v="124"/>
    <e v="#N/A"/>
  </r>
  <r>
    <n v="126"/>
    <s v="74730"/>
    <n v="1"/>
    <s v="174730.126"/>
    <s v="הבראה                           "/>
    <m/>
    <m/>
    <n v="299000"/>
    <n v="295000"/>
    <n v="264213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2"/>
    <s v="תוספות שאינן נכללות בשכר הקובע"/>
    <s v="126"/>
    <e v="#N/A"/>
  </r>
  <r>
    <n v="127"/>
    <s v="74730"/>
    <n v="1"/>
    <s v="174730.127"/>
    <s v="השתתפות באחזקת רכב - 41         "/>
    <m/>
    <m/>
    <n v="1324000"/>
    <n v="1269000"/>
    <n v="1163438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2"/>
    <s v="תוספות שאינן נכללות בשכר הקובע"/>
    <s v="127"/>
    <e v="#N/A"/>
  </r>
  <r>
    <n v="130"/>
    <s v="74730"/>
    <n v="1"/>
    <s v="174730.130"/>
    <s v="תשלומים מיוחדים                 "/>
    <m/>
    <m/>
    <n v="6852000"/>
    <n v="5884000"/>
    <n v="5633566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3"/>
    <s v="שעות נוספות"/>
    <s v="130"/>
    <e v="#N/A"/>
  </r>
  <r>
    <n v="181"/>
    <s v="74730"/>
    <n v="1"/>
    <s v="174730.181"/>
    <s v="מיסים וביטוח לאומי              "/>
    <m/>
    <m/>
    <n v="2158000"/>
    <n v="2087000"/>
    <n v="1855217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8"/>
    <s v="נלוות לשכר"/>
    <s v="181"/>
    <s v="הפרשות סוציאליות"/>
  </r>
  <r>
    <n v="182"/>
    <s v="74730"/>
    <n v="1"/>
    <s v="174730.182"/>
    <s v="קופות גמל והשתלמות              "/>
    <m/>
    <m/>
    <n v="2042000"/>
    <n v="2044000"/>
    <n v="1717323"/>
    <m/>
    <x v="6"/>
    <s v="שירותים מקומיים"/>
    <x v="28"/>
    <s v="נכסים ציבוריים"/>
    <x v="104"/>
    <s v="חופים, בריכות ומרחצאות"/>
    <s v="7473"/>
    <s v="בריכות שחיה"/>
    <m/>
    <s v="1"/>
    <x v="9"/>
    <s v="18"/>
    <s v="נלוות לשכר"/>
    <s v="182"/>
    <s v="מיסיום ועלויות"/>
  </r>
  <r>
    <n v="230"/>
    <s v="74730"/>
    <n v="1"/>
    <s v="174730.230"/>
    <s v="משימות חולפות - 31              "/>
    <m/>
    <m/>
    <n v="1450000"/>
    <n v="1316000"/>
    <n v="866374"/>
    <m/>
    <x v="6"/>
    <s v="שירותים מקומיים"/>
    <x v="28"/>
    <s v="נכסים ציבוריים"/>
    <x v="104"/>
    <s v="חופים, בריכות ומרחצאות"/>
    <s v="7473"/>
    <s v="בריכות שחיה"/>
    <m/>
    <s v="2"/>
    <x v="10"/>
    <s v="23"/>
    <s v="שעות נוספות"/>
    <s v="230"/>
    <e v="#N/A"/>
  </r>
  <r>
    <n v="310"/>
    <s v="74730"/>
    <n v="1"/>
    <s v="174730.310"/>
    <s v="שעות נוספות רשומות              "/>
    <m/>
    <m/>
    <n v="20000"/>
    <n v="528000"/>
    <n v="4203"/>
    <m/>
    <x v="6"/>
    <s v="שירותים מקומיים"/>
    <x v="28"/>
    <s v="נכסים ציבוריים"/>
    <x v="104"/>
    <s v="חופים, בריכות ומרחצאות"/>
    <s v="7473"/>
    <s v="בריכות שחיה"/>
    <m/>
    <s v="3"/>
    <x v="14"/>
    <s v="31"/>
    <s v="פנסיה"/>
    <s v="310"/>
    <e v="#N/A"/>
  </r>
  <r>
    <n v="431"/>
    <s v="74730"/>
    <n v="1"/>
    <s v="174730.431"/>
    <s v="מים                             "/>
    <m/>
    <m/>
    <n v="1894000"/>
    <n v="1894000"/>
    <n v="2118456"/>
    <m/>
    <x v="6"/>
    <s v="שירותים מקומיים"/>
    <x v="28"/>
    <s v="נכסים ציבוריים"/>
    <x v="104"/>
    <s v="חופים, בריכות ומרחצאות"/>
    <s v="7473"/>
    <s v="בריכות שחיה"/>
    <m/>
    <s v="4"/>
    <x v="15"/>
    <s v="43"/>
    <s v="חשמל, מים וחומרי ניקיון"/>
    <s v="431"/>
    <s v="חשמל"/>
  </r>
  <r>
    <n v="433"/>
    <s v="74730"/>
    <n v="1"/>
    <s v="174730.433"/>
    <s v="ביטוח                           "/>
    <m/>
    <m/>
    <n v="164000"/>
    <n v="121000"/>
    <n v="129000"/>
    <m/>
    <x v="6"/>
    <s v="שירותים מקומיים"/>
    <x v="28"/>
    <s v="נכסים ציבוריים"/>
    <x v="104"/>
    <s v="חופים, בריכות ומרחצאות"/>
    <s v="7473"/>
    <s v="בריכות שחיה"/>
    <m/>
    <s v="4"/>
    <x v="15"/>
    <s v="43"/>
    <s v="חשמל, מים וחומרי ניקיון"/>
    <s v="433"/>
    <s v="חומרי ניקיון"/>
  </r>
  <r>
    <n v="434"/>
    <s v="74730"/>
    <n v="1"/>
    <s v="174730.434"/>
    <s v="תקוני מבנים מתקנים ואינונטר     "/>
    <m/>
    <m/>
    <n v="30000"/>
    <n v="32000"/>
    <n v="32542"/>
    <m/>
    <x v="6"/>
    <s v="שירותים מקומיים"/>
    <x v="28"/>
    <s v="נכסים ציבוריים"/>
    <x v="104"/>
    <s v="חופים, בריכות ומרחצאות"/>
    <s v="7473"/>
    <s v="בריכות שחיה"/>
    <m/>
    <s v="4"/>
    <x v="15"/>
    <s v="43"/>
    <s v="חשמל, מים וחומרי ניקיון"/>
    <s v="434"/>
    <s v="שירותי ניקיון"/>
  </r>
  <r>
    <n v="435"/>
    <s v="74730"/>
    <n v="1"/>
    <s v="174730.435"/>
    <s v="חשמל ואנרגיה                    "/>
    <m/>
    <m/>
    <n v="342000"/>
    <n v="342000"/>
    <n v="389604"/>
    <m/>
    <x v="6"/>
    <s v="שירותים מקומיים"/>
    <x v="28"/>
    <s v="נכסים ציבוריים"/>
    <x v="104"/>
    <s v="חופים, בריכות ומרחצאות"/>
    <s v="7473"/>
    <s v="בריכות שחיה"/>
    <m/>
    <s v="4"/>
    <x v="15"/>
    <s v="43"/>
    <s v="חשמל, מים וחומרי ניקיון"/>
    <s v="435"/>
    <e v="#N/A"/>
  </r>
  <r>
    <n v="721"/>
    <s v="74730"/>
    <n v="1"/>
    <s v="174730.721"/>
    <s v="חמרים - משחת מיגון              "/>
    <m/>
    <m/>
    <n v="495000"/>
    <n v="395000"/>
    <n v="324927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2"/>
    <s v="חומרים"/>
    <s v="721"/>
    <e v="#N/A"/>
  </r>
  <r>
    <n v="751"/>
    <s v="74730"/>
    <n v="1"/>
    <s v="174730.751"/>
    <s v="פיקוח משטרתי בחופי הרחצה        "/>
    <m/>
    <m/>
    <n v="10000"/>
    <n v="100000"/>
    <n v="90988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5"/>
    <s v="עבודות קבלניות"/>
    <s v="751"/>
    <e v="#N/A"/>
  </r>
  <r>
    <n v="752"/>
    <s v="74730"/>
    <n v="1"/>
    <s v="174730.752"/>
    <s v="אחזקת תחנות עזרה ראשונה         "/>
    <m/>
    <m/>
    <n v="1680000"/>
    <n v="1280000"/>
    <n v="1375481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5"/>
    <s v="עבודות קבלניות"/>
    <s v="752"/>
    <e v="#N/A"/>
  </r>
  <r>
    <n v="754"/>
    <s v="74730"/>
    <n v="1"/>
    <s v="174730.754"/>
    <s v="השכרת רמקולים                   "/>
    <m/>
    <m/>
    <n v="127000"/>
    <n v="507000"/>
    <n v="441709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5"/>
    <s v="עבודות קבלניות"/>
    <s v="754"/>
    <e v="#N/A"/>
  </r>
  <r>
    <n v="783"/>
    <s v="74730"/>
    <n v="1"/>
    <s v="174730.783"/>
    <s v="אחזקת סירות וציוד הצלה          "/>
    <m/>
    <m/>
    <n v="30000"/>
    <n v="30000"/>
    <n v="30073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8"/>
    <s v="הוצאות שונות"/>
    <s v="783"/>
    <e v="#N/A"/>
  </r>
  <r>
    <n v="784"/>
    <s v="74730"/>
    <n v="1"/>
    <s v="174730.784"/>
    <s v="פרויקט דגל כחול                 "/>
    <m/>
    <m/>
    <n v="40000"/>
    <n v="40000"/>
    <n v="38884"/>
    <m/>
    <x v="6"/>
    <s v="שירותים מקומיים"/>
    <x v="28"/>
    <s v="נכסים ציבוריים"/>
    <x v="104"/>
    <s v="חופים, בריכות ומרחצאות"/>
    <s v="7473"/>
    <s v="בריכות שחיה"/>
    <m/>
    <s v="7"/>
    <x v="13"/>
    <s v="78"/>
    <s v="הוצאות שונות"/>
    <s v="784"/>
    <e v="#N/A"/>
  </r>
  <r>
    <n v="921"/>
    <s v="74730"/>
    <n v="1"/>
    <s v="174730.921"/>
    <s v="שיפוץ מבנים בחופים              "/>
    <m/>
    <m/>
    <n v="150000"/>
    <n v="150000"/>
    <n v="143449"/>
    <m/>
    <x v="6"/>
    <s v="שירותים מקומיים"/>
    <x v="28"/>
    <s v="נכסים ציבוריים"/>
    <x v="104"/>
    <s v="חופים, בריכות ומרחצאות"/>
    <s v="7473"/>
    <s v="בריכות שחיה"/>
    <m/>
    <s v="9"/>
    <x v="17"/>
    <s v="92"/>
    <s v="הוצאות לעבודות פיתוח"/>
    <s v="921"/>
    <e v="#N/A"/>
  </r>
  <r>
    <n v="922"/>
    <s v="74730"/>
    <n v="1"/>
    <s v="174730.922"/>
    <s v="שיפוץ מערכת חשמל בחופים         "/>
    <m/>
    <m/>
    <n v="80000"/>
    <n v="80000"/>
    <n v="104695"/>
    <m/>
    <x v="6"/>
    <s v="שירותים מקומיים"/>
    <x v="28"/>
    <s v="נכסים ציבוריים"/>
    <x v="104"/>
    <s v="חופים, בריכות ומרחצאות"/>
    <s v="7473"/>
    <s v="בריכות שחיה"/>
    <m/>
    <s v="9"/>
    <x v="17"/>
    <s v="92"/>
    <s v="הוצאות לעבודות פיתוח"/>
    <s v="922"/>
    <e v="#N/A"/>
  </r>
  <r>
    <n v="981"/>
    <s v="74730"/>
    <n v="1"/>
    <s v="174730.981"/>
    <s v="רכישת חסקות וגלשנים             "/>
    <m/>
    <m/>
    <n v="140000"/>
    <n v="140000"/>
    <n v="139214"/>
    <m/>
    <x v="6"/>
    <s v="שירותים מקומיים"/>
    <x v="28"/>
    <s v="נכסים ציבוריים"/>
    <x v="104"/>
    <s v="חופים, בריכות ומרחצאות"/>
    <s v="7473"/>
    <s v="בריכות שחיה"/>
    <m/>
    <s v="9"/>
    <x v="17"/>
    <s v="98"/>
    <s v="הוצאות אחרות"/>
    <s v="981"/>
    <e v="#N/A"/>
  </r>
  <r>
    <n v="110"/>
    <s v="81111"/>
    <n v="1"/>
    <s v="181111.110"/>
    <s v="משכורת כוללת                    "/>
    <m/>
    <m/>
    <n v="1871000"/>
    <n v="1977000"/>
    <n v="1719199"/>
    <m/>
    <x v="7"/>
    <s v="שירותים ממלכתיים"/>
    <x v="33"/>
    <s v="חינוך"/>
    <x v="105"/>
    <s v="מינהל החינוך"/>
    <s v="8111"/>
    <e v="#N/A"/>
    <m/>
    <s v="1"/>
    <x v="9"/>
    <s v="11"/>
    <s v="השכר הקובע"/>
    <s v="110"/>
    <e v="#N/A"/>
  </r>
  <r>
    <n v="124"/>
    <s v="81111"/>
    <n v="1"/>
    <s v="181111.124"/>
    <s v="החזר הוצאות                     "/>
    <m/>
    <m/>
    <n v="83000"/>
    <n v="84000"/>
    <n v="74745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4"/>
    <e v="#N/A"/>
  </r>
  <r>
    <n v="126"/>
    <s v="81111"/>
    <n v="1"/>
    <s v="181111.126"/>
    <s v="הבראה                           "/>
    <m/>
    <m/>
    <n v="79000"/>
    <n v="83000"/>
    <n v="61126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6"/>
    <e v="#N/A"/>
  </r>
  <r>
    <n v="127"/>
    <s v="81111"/>
    <n v="1"/>
    <s v="181111.127"/>
    <s v="השתתפות באחזקת רכב - 10         "/>
    <m/>
    <m/>
    <n v="306000"/>
    <n v="224000"/>
    <n v="214779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7"/>
    <e v="#N/A"/>
  </r>
  <r>
    <n v="130"/>
    <s v="81111"/>
    <n v="1"/>
    <s v="181111.130"/>
    <s v="תשלומים מיוחדים                 "/>
    <m/>
    <m/>
    <n v="261000"/>
    <n v="294000"/>
    <n v="232265"/>
    <m/>
    <x v="7"/>
    <s v="שירותים ממלכתיים"/>
    <x v="33"/>
    <s v="חינוך"/>
    <x v="105"/>
    <s v="מינהל החינוך"/>
    <s v="8111"/>
    <e v="#N/A"/>
    <m/>
    <s v="1"/>
    <x v="9"/>
    <s v="13"/>
    <s v="שעות נוספות"/>
    <s v="130"/>
    <e v="#N/A"/>
  </r>
  <r>
    <n v="181"/>
    <s v="81111"/>
    <n v="1"/>
    <s v="181111.181"/>
    <s v="מיסים וביטוח לאומי              "/>
    <m/>
    <m/>
    <n v="360000"/>
    <n v="368000"/>
    <n v="301361"/>
    <m/>
    <x v="7"/>
    <s v="שירותים ממלכתיים"/>
    <x v="33"/>
    <s v="חינוך"/>
    <x v="105"/>
    <s v="מינהל החינוך"/>
    <s v="8111"/>
    <e v="#N/A"/>
    <m/>
    <s v="1"/>
    <x v="9"/>
    <s v="18"/>
    <s v="נלוות לשכר"/>
    <s v="181"/>
    <s v="הפרשות סוציאליות"/>
  </r>
  <r>
    <n v="182"/>
    <s v="81111"/>
    <n v="1"/>
    <s v="181111.182"/>
    <s v="קופות גמל והשתלמות              "/>
    <m/>
    <m/>
    <n v="340000"/>
    <n v="303000"/>
    <n v="273178"/>
    <m/>
    <x v="7"/>
    <s v="שירותים ממלכתיים"/>
    <x v="33"/>
    <s v="חינוך"/>
    <x v="105"/>
    <s v="מינהל החינוך"/>
    <s v="8111"/>
    <e v="#N/A"/>
    <m/>
    <s v="1"/>
    <x v="9"/>
    <s v="18"/>
    <s v="נלוות לשכר"/>
    <s v="182"/>
    <s v="מיסיום ועלויות"/>
  </r>
  <r>
    <n v="310"/>
    <s v="81111"/>
    <n v="1"/>
    <s v="181111.310"/>
    <s v="שעות  נוספות  רשומות            "/>
    <m/>
    <m/>
    <n v="152000"/>
    <n v="147000"/>
    <n v="24131"/>
    <m/>
    <x v="7"/>
    <s v="שירותים ממלכתיים"/>
    <x v="33"/>
    <s v="חינוך"/>
    <x v="105"/>
    <s v="מינהל החינוך"/>
    <s v="8111"/>
    <e v="#N/A"/>
    <m/>
    <s v="3"/>
    <x v="14"/>
    <s v="31"/>
    <s v="פנסיה"/>
    <s v="310"/>
    <e v="#N/A"/>
  </r>
  <r>
    <n v="412"/>
    <s v="81111"/>
    <n v="1"/>
    <s v="181111.412"/>
    <s v="מיסים ואגרות                    "/>
    <m/>
    <m/>
    <n v="5000"/>
    <n v="5000"/>
    <n v="4140"/>
    <m/>
    <x v="7"/>
    <s v="שירותים ממלכתיים"/>
    <x v="33"/>
    <s v="חינוך"/>
    <x v="105"/>
    <s v="מינהל החינוך"/>
    <s v="8111"/>
    <e v="#N/A"/>
    <m/>
    <s v="4"/>
    <x v="15"/>
    <s v="41"/>
    <s v="שכר דירה ודמי חכירה"/>
    <s v="412"/>
    <e v="#N/A"/>
  </r>
  <r>
    <n v="432"/>
    <s v="81111"/>
    <n v="1"/>
    <s v="181111.432"/>
    <s v="תחזוקת החצר הגן                 "/>
    <m/>
    <m/>
    <n v="285000"/>
    <n v="35000"/>
    <n v="35000"/>
    <m/>
    <x v="7"/>
    <s v="שירותים ממלכתיים"/>
    <x v="33"/>
    <s v="חינוך"/>
    <x v="105"/>
    <s v="מינהל החינוך"/>
    <s v="8111"/>
    <e v="#N/A"/>
    <m/>
    <s v="4"/>
    <x v="15"/>
    <s v="43"/>
    <s v="חשמל, מים וחומרי ניקיון"/>
    <s v="432"/>
    <s v="מים"/>
  </r>
  <r>
    <n v="433"/>
    <s v="81111"/>
    <n v="1"/>
    <s v="181111.433"/>
    <s v="ביטוח                           "/>
    <m/>
    <m/>
    <n v="411000"/>
    <n v="381000"/>
    <n v="338000"/>
    <m/>
    <x v="7"/>
    <s v="שירותים ממלכתיים"/>
    <x v="33"/>
    <s v="חינוך"/>
    <x v="105"/>
    <s v="מינהל החינוך"/>
    <s v="8111"/>
    <e v="#N/A"/>
    <m/>
    <s v="4"/>
    <x v="15"/>
    <s v="43"/>
    <s v="חשמל, מים וחומרי ניקיון"/>
    <s v="433"/>
    <s v="חומרי ניקיון"/>
  </r>
  <r>
    <n v="434"/>
    <s v="81111"/>
    <n v="1"/>
    <s v="181111.434"/>
    <s v="תקוני מבנים  מתקנים ואינונטר    "/>
    <m/>
    <m/>
    <n v="67000"/>
    <n v="67000"/>
    <n v="44677"/>
    <m/>
    <x v="7"/>
    <s v="שירותים ממלכתיים"/>
    <x v="33"/>
    <s v="חינוך"/>
    <x v="105"/>
    <s v="מינהל החינוך"/>
    <s v="8111"/>
    <e v="#N/A"/>
    <m/>
    <s v="4"/>
    <x v="15"/>
    <s v="43"/>
    <s v="חשמל, מים וחומרי ניקיון"/>
    <s v="434"/>
    <s v="שירותי ניקיון"/>
  </r>
  <r>
    <n v="439"/>
    <s v="81111"/>
    <n v="1"/>
    <s v="181111.439"/>
    <s v="אחזקת בניני העיריה-השתתפות      "/>
    <m/>
    <m/>
    <n v="1750000"/>
    <n v="1658000"/>
    <n v="1911905"/>
    <m/>
    <x v="7"/>
    <s v="שירותים ממלכתיים"/>
    <x v="33"/>
    <s v="חינוך"/>
    <x v="105"/>
    <s v="מינהל החינוך"/>
    <s v="8111"/>
    <e v="#N/A"/>
    <m/>
    <s v="4"/>
    <x v="15"/>
    <s v="43"/>
    <s v="חשמל, מים וחומרי ניקיון"/>
    <s v="439"/>
    <e v="#N/A"/>
  </r>
  <r>
    <n v="461"/>
    <s v="81111"/>
    <n v="1"/>
    <s v="181111.461"/>
    <s v="צורכי משרד                      "/>
    <m/>
    <m/>
    <n v="258000"/>
    <n v="261000"/>
    <n v="217743"/>
    <m/>
    <x v="7"/>
    <s v="שירותים ממלכתיים"/>
    <x v="33"/>
    <s v="חינוך"/>
    <x v="105"/>
    <s v="מינהל החינוך"/>
    <s v="8111"/>
    <e v="#N/A"/>
    <m/>
    <s v="4"/>
    <x v="15"/>
    <s v="46"/>
    <e v="#N/A"/>
    <s v="461"/>
    <e v="#N/A"/>
  </r>
  <r>
    <n v="462"/>
    <s v="81111"/>
    <n v="1"/>
    <s v="181111.462"/>
    <s v="ספרים ועתונים                   "/>
    <m/>
    <m/>
    <n v="25000"/>
    <n v="25000"/>
    <n v="18555"/>
    <m/>
    <x v="7"/>
    <s v="שירותים ממלכתיים"/>
    <x v="33"/>
    <s v="חינוך"/>
    <x v="105"/>
    <s v="מינהל החינוך"/>
    <s v="8111"/>
    <e v="#N/A"/>
    <m/>
    <s v="4"/>
    <x v="15"/>
    <s v="46"/>
    <e v="#N/A"/>
    <s v="462"/>
    <e v="#N/A"/>
  </r>
  <r>
    <n v="464"/>
    <s v="81111"/>
    <n v="1"/>
    <s v="181111.464"/>
    <s v="דאר                             "/>
    <m/>
    <m/>
    <n v="387000"/>
    <n v="467000"/>
    <n v="313565"/>
    <m/>
    <x v="7"/>
    <s v="שירותים ממלכתיים"/>
    <x v="33"/>
    <s v="חינוך"/>
    <x v="105"/>
    <s v="מינהל החינוך"/>
    <s v="8111"/>
    <e v="#N/A"/>
    <m/>
    <s v="4"/>
    <x v="15"/>
    <s v="46"/>
    <e v="#N/A"/>
    <s v="464"/>
    <e v="#N/A"/>
  </r>
  <r>
    <n v="510"/>
    <s v="81111"/>
    <n v="1"/>
    <s v="181111.510"/>
    <s v="נסיעות  ואש ל                   "/>
    <m/>
    <m/>
    <n v="90000"/>
    <n v="90000"/>
    <n v="69986"/>
    <m/>
    <x v="7"/>
    <s v="שירותים ממלכתיים"/>
    <x v="33"/>
    <s v="חינוך"/>
    <x v="105"/>
    <s v="מינהל החינוך"/>
    <s v="8111"/>
    <e v="#N/A"/>
    <m/>
    <s v="5"/>
    <x v="11"/>
    <s v="51"/>
    <s v="אש&quot;ל וכיבודים"/>
    <s v="510"/>
    <e v="#N/A"/>
  </r>
  <r>
    <n v="521"/>
    <s v="81111"/>
    <n v="1"/>
    <s v="181111.521"/>
    <s v="הדרכה וכנסים                    "/>
    <m/>
    <m/>
    <n v="103000"/>
    <n v="103000"/>
    <n v="102819"/>
    <m/>
    <x v="7"/>
    <s v="שירותים ממלכתיים"/>
    <x v="33"/>
    <s v="חינוך"/>
    <x v="105"/>
    <s v="מינהל החינוך"/>
    <s v="8111"/>
    <e v="#N/A"/>
    <m/>
    <s v="5"/>
    <x v="11"/>
    <s v="52"/>
    <s v="השתלמויות וספרות מקצועית"/>
    <s v="521"/>
    <s v="השתלמויות וספרות מקצועית"/>
  </r>
  <r>
    <n v="522"/>
    <s v="81111"/>
    <n v="1"/>
    <s v="181111.522"/>
    <s v="גיבוש יחידתי                    "/>
    <m/>
    <m/>
    <n v="340000"/>
    <n v="340000"/>
    <n v="320966"/>
    <m/>
    <x v="7"/>
    <s v="שירותים ממלכתיים"/>
    <x v="33"/>
    <s v="חינוך"/>
    <x v="105"/>
    <s v="מינהל החינוך"/>
    <s v="8111"/>
    <e v="#N/A"/>
    <m/>
    <s v="5"/>
    <x v="11"/>
    <s v="52"/>
    <s v="השתלמויות וספרות מקצועית"/>
    <s v="522"/>
    <s v="ספרות מקצועית ועיתונות"/>
  </r>
  <r>
    <n v="531"/>
    <s v="81111"/>
    <n v="1"/>
    <s v="181111.531"/>
    <s v="אחזקת רכב                       "/>
    <m/>
    <m/>
    <n v="6000"/>
    <n v="6000"/>
    <n v="4472"/>
    <m/>
    <x v="7"/>
    <s v="שירותים ממלכתיים"/>
    <x v="33"/>
    <s v="חינוך"/>
    <x v="105"/>
    <s v="מינהל החינוך"/>
    <s v="8111"/>
    <e v="#N/A"/>
    <m/>
    <s v="5"/>
    <x v="11"/>
    <s v="53"/>
    <s v="הוצאות רכב מינהלי"/>
    <s v="531"/>
    <s v="דלק ושמנים"/>
  </r>
  <r>
    <n v="533"/>
    <s v="81111"/>
    <n v="1"/>
    <s v="181111.533"/>
    <s v="שכירת רכב ורכב עירוני           "/>
    <m/>
    <m/>
    <n v="78000"/>
    <n v="78000"/>
    <n v="68169"/>
    <m/>
    <x v="7"/>
    <s v="שירותים ממלכתיים"/>
    <x v="33"/>
    <s v="חינוך"/>
    <x v="105"/>
    <s v="מינהל החינוך"/>
    <s v="8111"/>
    <e v="#N/A"/>
    <m/>
    <s v="5"/>
    <x v="11"/>
    <s v="53"/>
    <s v="הוצאות רכב מינהלי"/>
    <s v="533"/>
    <s v="רישוי וביטוח"/>
  </r>
  <r>
    <n v="534"/>
    <s v="81111"/>
    <n v="1"/>
    <s v="181111.534"/>
    <s v="דלק ושמן                        "/>
    <m/>
    <m/>
    <n v="42000"/>
    <n v="42000"/>
    <n v="28202"/>
    <m/>
    <x v="7"/>
    <s v="שירותים ממלכתיים"/>
    <x v="33"/>
    <s v="חינוך"/>
    <x v="105"/>
    <s v="מינהל החינוך"/>
    <s v="8111"/>
    <e v="#N/A"/>
    <m/>
    <s v="5"/>
    <x v="11"/>
    <s v="53"/>
    <s v="הוצאות רכב מינהלי"/>
    <s v="534"/>
    <e v="#N/A"/>
  </r>
  <r>
    <n v="541"/>
    <s v="81111"/>
    <n v="1"/>
    <s v="181111.541"/>
    <s v="החזקת מכשירי קשר וסלולר         "/>
    <m/>
    <m/>
    <n v="232000"/>
    <n v="172000"/>
    <n v="178706"/>
    <m/>
    <x v="7"/>
    <s v="שירותים ממלכתיים"/>
    <x v="33"/>
    <s v="חינוך"/>
    <x v="105"/>
    <s v="מינהל החינוך"/>
    <s v="8111"/>
    <e v="#N/A"/>
    <m/>
    <s v="5"/>
    <x v="11"/>
    <s v="54"/>
    <s v="הוצאות תקשורת"/>
    <s v="541"/>
    <e v="#N/A"/>
  </r>
  <r>
    <n v="610"/>
    <s v="81111"/>
    <n v="1"/>
    <s v="181111.610"/>
    <s v="כיבודים                         "/>
    <m/>
    <m/>
    <n v="86000"/>
    <n v="86000"/>
    <n v="85111"/>
    <m/>
    <x v="7"/>
    <s v="שירותים ממלכתיים"/>
    <x v="33"/>
    <s v="חינוך"/>
    <x v="105"/>
    <s v="מינהל החינוך"/>
    <s v="8111"/>
    <e v="#N/A"/>
    <m/>
    <s v="6"/>
    <x v="12"/>
    <s v="61"/>
    <s v="עמלות"/>
    <s v="610"/>
    <e v="#N/A"/>
  </r>
  <r>
    <n v="670"/>
    <s v="81111"/>
    <n v="1"/>
    <s v="181111.670"/>
    <s v="ס. שאינו חוזר                   "/>
    <m/>
    <m/>
    <n v="0"/>
    <n v="285000"/>
    <n v="217997"/>
    <m/>
    <x v="7"/>
    <s v="שירותים ממלכתיים"/>
    <x v="33"/>
    <s v="חינוך"/>
    <x v="105"/>
    <s v="מינהל החינוך"/>
    <s v="8111"/>
    <e v="#N/A"/>
    <m/>
    <s v="6"/>
    <x v="12"/>
    <s v="67"/>
    <e v="#N/A"/>
    <s v="670"/>
    <e v="#N/A"/>
  </r>
  <r>
    <n v="680"/>
    <s v="81111"/>
    <n v="1"/>
    <s v="181111.680"/>
    <s v="הוצאות מיוחדות                  "/>
    <m/>
    <m/>
    <n v="45000"/>
    <n v="45000"/>
    <n v="29504"/>
    <m/>
    <x v="7"/>
    <s v="שירותים ממלכתיים"/>
    <x v="33"/>
    <s v="חינוך"/>
    <x v="105"/>
    <s v="מינהל החינוך"/>
    <s v="8111"/>
    <e v="#N/A"/>
    <m/>
    <s v="6"/>
    <x v="12"/>
    <s v="68"/>
    <s v="ריבית על הוצאות אחרות"/>
    <s v="680"/>
    <e v="#N/A"/>
  </r>
  <r>
    <n v="691"/>
    <s v="81111"/>
    <n v="1"/>
    <s v="181111.691"/>
    <s v="מערכות מידע ומחשוב              "/>
    <m/>
    <m/>
    <n v="1140000"/>
    <n v="970000"/>
    <n v="893522"/>
    <m/>
    <x v="7"/>
    <s v="שירותים ממלכתיים"/>
    <x v="33"/>
    <s v="חינוך"/>
    <x v="105"/>
    <s v="מינהל החינוך"/>
    <s v="8111"/>
    <e v="#N/A"/>
    <m/>
    <s v="6"/>
    <x v="12"/>
    <s v="69"/>
    <s v="שונות"/>
    <s v="691"/>
    <s v="תשלום ע&quot;ח קרן"/>
  </r>
  <r>
    <n v="693"/>
    <s v="81111"/>
    <n v="1"/>
    <s v="181111.693"/>
    <s v="מיחשוב יחידתי                   "/>
    <m/>
    <m/>
    <n v="58000"/>
    <n v="58000"/>
    <n v="49444"/>
    <m/>
    <x v="7"/>
    <s v="שירותים ממלכתיים"/>
    <x v="33"/>
    <s v="חינוך"/>
    <x v="105"/>
    <s v="מינהל החינוך"/>
    <s v="8111"/>
    <e v="#N/A"/>
    <m/>
    <s v="6"/>
    <x v="12"/>
    <s v="69"/>
    <s v="שונות"/>
    <s v="693"/>
    <s v="תשלום ע&quot;ח הצמדת ערך"/>
  </r>
  <r>
    <n v="753"/>
    <s v="81111"/>
    <n v="1"/>
    <s v="181111.753"/>
    <s v="בטוח תלמידים                    "/>
    <m/>
    <m/>
    <n v="3170000"/>
    <n v="1950000"/>
    <n v="1950000"/>
    <m/>
    <x v="7"/>
    <s v="שירותים ממלכתיים"/>
    <x v="33"/>
    <s v="חינוך"/>
    <x v="105"/>
    <s v="מינהל החינוך"/>
    <s v="8111"/>
    <e v="#N/A"/>
    <m/>
    <s v="7"/>
    <x v="13"/>
    <s v="75"/>
    <s v="עבודות קבלניות"/>
    <s v="753"/>
    <e v="#N/A"/>
  </r>
  <r>
    <n v="756"/>
    <s v="81111"/>
    <n v="1"/>
    <s v="181111.756"/>
    <s v="סקרים יעוץ ופיקוח הנדסי         "/>
    <m/>
    <m/>
    <n v="180000"/>
    <n v="180000"/>
    <n v="194975"/>
    <m/>
    <x v="7"/>
    <s v="שירותים ממלכתיים"/>
    <x v="33"/>
    <s v="חינוך"/>
    <x v="105"/>
    <s v="מינהל החינוך"/>
    <s v="8111"/>
    <e v="#N/A"/>
    <m/>
    <s v="7"/>
    <x v="13"/>
    <s v="75"/>
    <s v="עבודות קבלניות"/>
    <s v="756"/>
    <e v="#N/A"/>
  </r>
  <r>
    <n v="781"/>
    <s v="81111"/>
    <n v="1"/>
    <s v="181111.781"/>
    <s v="שיתוף ציבור בפעילות מערכת החינוך"/>
    <m/>
    <m/>
    <n v="50000"/>
    <n v="50000"/>
    <n v="0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1"/>
    <e v="#N/A"/>
  </r>
  <r>
    <n v="782"/>
    <s v="81111"/>
    <n v="1"/>
    <s v="181111.782"/>
    <s v="פעילות קהילתית בית ספרית        "/>
    <m/>
    <m/>
    <n v="250000"/>
    <n v="200000"/>
    <n v="249962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2"/>
    <e v="#N/A"/>
  </r>
  <r>
    <n v="783"/>
    <s v="81111"/>
    <n v="1"/>
    <s v="181111.783"/>
    <s v="הפעלת משחקיה בבנין העיריה       "/>
    <m/>
    <m/>
    <n v="300000"/>
    <n v="250000"/>
    <n v="286996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3"/>
    <e v="#N/A"/>
  </r>
  <r>
    <n v="784"/>
    <s v="81111"/>
    <n v="1"/>
    <s v="181111.784"/>
    <s v="פעילות ועד הורים מרכזי          "/>
    <m/>
    <m/>
    <n v="50000"/>
    <n v="50000"/>
    <n v="50000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4"/>
    <e v="#N/A"/>
  </r>
  <r>
    <n v="785"/>
    <s v="81111"/>
    <n v="1"/>
    <s v="181111.785"/>
    <s v="כנס ת א לחינוך מתקדם            "/>
    <m/>
    <m/>
    <n v="300000"/>
    <n v="300000"/>
    <n v="293150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5"/>
    <e v="#N/A"/>
  </r>
  <r>
    <n v="786"/>
    <s v="81111"/>
    <n v="1"/>
    <s v="181111.786"/>
    <s v="יוזמות פדגוגיות                 "/>
    <m/>
    <m/>
    <n v="300000"/>
    <n v="300000"/>
    <n v="284973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6"/>
    <e v="#N/A"/>
  </r>
  <r>
    <n v="787"/>
    <s v="81111"/>
    <n v="1"/>
    <s v="181111.787"/>
    <s v="משלחות נוער מחו ל ולחו ל        "/>
    <m/>
    <m/>
    <n v="637000"/>
    <n v="537000"/>
    <n v="512804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7"/>
    <e v="#N/A"/>
  </r>
  <r>
    <n v="788"/>
    <s v="81111"/>
    <n v="1"/>
    <s v="181111.788"/>
    <s v="פעילות לגיל השלישי              "/>
    <m/>
    <m/>
    <n v="404000"/>
    <n v="354000"/>
    <n v="125797"/>
    <m/>
    <x v="7"/>
    <s v="שירותים ממלכתיים"/>
    <x v="33"/>
    <s v="חינוך"/>
    <x v="105"/>
    <s v="מינהל החינוך"/>
    <s v="8111"/>
    <e v="#N/A"/>
    <m/>
    <s v="7"/>
    <x v="13"/>
    <s v="78"/>
    <s v="הוצאות שונות"/>
    <s v="788"/>
    <e v="#N/A"/>
  </r>
  <r>
    <n v="821"/>
    <s v="81111"/>
    <n v="1"/>
    <s v="181111.821"/>
    <s v="מלגות לסטודנטים -יעקב חי מייכר  "/>
    <m/>
    <m/>
    <n v="125000"/>
    <n v="125000"/>
    <n v="125000"/>
    <m/>
    <x v="7"/>
    <s v="שירותים ממלכתיים"/>
    <x v="33"/>
    <s v="חינוך"/>
    <x v="105"/>
    <s v="מינהל החינוך"/>
    <s v="8111"/>
    <e v="#N/A"/>
    <m/>
    <s v="8"/>
    <x v="16"/>
    <s v="82"/>
    <s v="הקצבות בהמלצת ועדת הקצבות"/>
    <s v="821"/>
    <e v="#N/A"/>
  </r>
  <r>
    <n v="822"/>
    <s v="81111"/>
    <n v="1"/>
    <s v="181111.822"/>
    <s v="מלגות -קרן רבינוביץ             "/>
    <m/>
    <m/>
    <n v="36000"/>
    <n v="0"/>
    <n v="0"/>
    <m/>
    <x v="7"/>
    <s v="שירותים ממלכתיים"/>
    <x v="33"/>
    <s v="חינוך"/>
    <x v="105"/>
    <s v="מינהל החינוך"/>
    <s v="8111"/>
    <e v="#N/A"/>
    <m/>
    <s v="8"/>
    <x v="16"/>
    <s v="82"/>
    <s v="הקצבות בהמלצת ועדת הקצבות"/>
    <s v="822"/>
    <e v="#N/A"/>
  </r>
  <r>
    <n v="864"/>
    <s v="81111"/>
    <n v="1"/>
    <s v="181111.864"/>
    <s v="קרית חינוך יפו-תכנית לצמצום פערי"/>
    <m/>
    <m/>
    <n v="640000"/>
    <n v="0"/>
    <n v="0"/>
    <m/>
    <x v="7"/>
    <s v="שירותים ממלכתיים"/>
    <x v="33"/>
    <s v="חינוך"/>
    <x v="105"/>
    <s v="מינהל החינוך"/>
    <s v="8111"/>
    <e v="#N/A"/>
    <m/>
    <s v="8"/>
    <x v="16"/>
    <s v="86"/>
    <s v="הנחות"/>
    <s v="864"/>
    <e v="#N/A"/>
  </r>
  <r>
    <n v="871"/>
    <s v="81111"/>
    <n v="1"/>
    <s v="181111.871"/>
    <s v="סעיף שאינו חוזר                 "/>
    <m/>
    <m/>
    <n v="0"/>
    <n v="130000"/>
    <n v="1391000"/>
    <m/>
    <x v="7"/>
    <s v="שירותים ממלכתיים"/>
    <x v="33"/>
    <s v="חינוך"/>
    <x v="105"/>
    <s v="מינהל החינוך"/>
    <s v="8111"/>
    <e v="#N/A"/>
    <m/>
    <s v="8"/>
    <x v="16"/>
    <s v="87"/>
    <s v="תמיכות ביחידות סמך ומוסדות הרשות"/>
    <s v="871"/>
    <e v="#N/A"/>
  </r>
  <r>
    <n v="932"/>
    <s v="81111"/>
    <n v="1"/>
    <s v="181111.932"/>
    <s v="ציוד ורהוט משרדי                "/>
    <m/>
    <m/>
    <n v="108000"/>
    <n v="108000"/>
    <n v="107371"/>
    <m/>
    <x v="7"/>
    <s v="שירותים ממלכתיים"/>
    <x v="33"/>
    <s v="חינוך"/>
    <x v="105"/>
    <s v="מינהל החינוך"/>
    <s v="8111"/>
    <e v="#N/A"/>
    <m/>
    <s v="9"/>
    <x v="17"/>
    <s v="93"/>
    <s v="רכישת ציוד יסודי"/>
    <s v="932"/>
    <e v="#N/A"/>
  </r>
  <r>
    <n v="981"/>
    <s v="81111"/>
    <n v="1"/>
    <s v="181111.981"/>
    <s v="רכישת נזקי פריצות               "/>
    <m/>
    <m/>
    <n v="332000"/>
    <n v="332000"/>
    <n v="331497"/>
    <m/>
    <x v="7"/>
    <s v="שירותים ממלכתיים"/>
    <x v="33"/>
    <s v="חינוך"/>
    <x v="105"/>
    <s v="מינהל החינוך"/>
    <s v="8111"/>
    <e v="#N/A"/>
    <m/>
    <s v="9"/>
    <x v="17"/>
    <s v="98"/>
    <s v="הוצאות אחרות"/>
    <s v="981"/>
    <e v="#N/A"/>
  </r>
  <r>
    <n v="982"/>
    <s v="81111"/>
    <n v="1"/>
    <s v="181111.982"/>
    <s v="הצטיידות לנושא קשר              "/>
    <m/>
    <m/>
    <n v="24000"/>
    <n v="24000"/>
    <n v="3108"/>
    <m/>
    <x v="7"/>
    <s v="שירותים ממלכתיים"/>
    <x v="33"/>
    <s v="חינוך"/>
    <x v="105"/>
    <s v="מינהל החינוך"/>
    <s v="8111"/>
    <e v="#N/A"/>
    <m/>
    <s v="9"/>
    <x v="17"/>
    <s v="98"/>
    <s v="הוצאות אחרות"/>
    <s v="982"/>
    <e v="#N/A"/>
  </r>
  <r>
    <n v="110"/>
    <s v="81112"/>
    <n v="1"/>
    <s v="181112.110"/>
    <s v="משכורת כוללת                    "/>
    <m/>
    <m/>
    <n v="3278000"/>
    <n v="3122000"/>
    <n v="3119398"/>
    <m/>
    <x v="7"/>
    <s v="שירותים ממלכתיים"/>
    <x v="33"/>
    <s v="חינוך"/>
    <x v="105"/>
    <s v="מינהל החינוך"/>
    <s v="8111"/>
    <e v="#N/A"/>
    <m/>
    <s v="1"/>
    <x v="9"/>
    <s v="11"/>
    <s v="השכר הקובע"/>
    <s v="110"/>
    <e v="#N/A"/>
  </r>
  <r>
    <n v="124"/>
    <s v="81112"/>
    <n v="1"/>
    <s v="181112.124"/>
    <s v="החזר הוצאות                     "/>
    <m/>
    <m/>
    <n v="234000"/>
    <n v="217000"/>
    <n v="219522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4"/>
    <e v="#N/A"/>
  </r>
  <r>
    <n v="126"/>
    <s v="81112"/>
    <n v="1"/>
    <s v="181112.126"/>
    <s v="הבראה                           "/>
    <m/>
    <m/>
    <n v="174000"/>
    <n v="163000"/>
    <n v="165045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6"/>
    <e v="#N/A"/>
  </r>
  <r>
    <n v="127"/>
    <s v="81112"/>
    <n v="1"/>
    <s v="181112.127"/>
    <s v="השתתפות באחזקת רכב-28           "/>
    <m/>
    <m/>
    <n v="820000"/>
    <n v="720000"/>
    <n v="756006"/>
    <m/>
    <x v="7"/>
    <s v="שירותים ממלכתיים"/>
    <x v="33"/>
    <s v="חינוך"/>
    <x v="105"/>
    <s v="מינהל החינוך"/>
    <s v="8111"/>
    <e v="#N/A"/>
    <m/>
    <s v="1"/>
    <x v="9"/>
    <s v="12"/>
    <s v="תוספות שאינן נכללות בשכר הקובע"/>
    <s v="127"/>
    <e v="#N/A"/>
  </r>
  <r>
    <n v="130"/>
    <s v="81112"/>
    <n v="1"/>
    <s v="181112.130"/>
    <s v="תשלומים מיוחדים                 "/>
    <m/>
    <m/>
    <n v="524000"/>
    <n v="490000"/>
    <n v="500798"/>
    <m/>
    <x v="7"/>
    <s v="שירותים ממלכתיים"/>
    <x v="33"/>
    <s v="חינוך"/>
    <x v="105"/>
    <s v="מינהל החינוך"/>
    <s v="8111"/>
    <e v="#N/A"/>
    <m/>
    <s v="1"/>
    <x v="9"/>
    <s v="13"/>
    <s v="שעות נוספות"/>
    <s v="130"/>
    <e v="#N/A"/>
  </r>
  <r>
    <n v="181"/>
    <s v="81112"/>
    <n v="1"/>
    <s v="181112.181"/>
    <s v="מיסים וביטוח לאומי              "/>
    <m/>
    <m/>
    <n v="682000"/>
    <n v="639000"/>
    <n v="648355"/>
    <m/>
    <x v="7"/>
    <s v="שירותים ממלכתיים"/>
    <x v="33"/>
    <s v="חינוך"/>
    <x v="105"/>
    <s v="מינהל החינוך"/>
    <s v="8111"/>
    <e v="#N/A"/>
    <m/>
    <s v="1"/>
    <x v="9"/>
    <s v="18"/>
    <s v="נלוות לשכר"/>
    <s v="181"/>
    <s v="הפרשות סוציאליות"/>
  </r>
  <r>
    <n v="182"/>
    <s v="81112"/>
    <n v="1"/>
    <s v="181112.182"/>
    <s v="קופות גמל והשתלמות              "/>
    <m/>
    <m/>
    <n v="622000"/>
    <n v="575000"/>
    <n v="524664"/>
    <m/>
    <x v="7"/>
    <s v="שירותים ממלכתיים"/>
    <x v="33"/>
    <s v="חינוך"/>
    <x v="105"/>
    <s v="מינהל החינוך"/>
    <s v="8111"/>
    <e v="#N/A"/>
    <m/>
    <s v="1"/>
    <x v="9"/>
    <s v="18"/>
    <s v="נלוות לשכר"/>
    <s v="182"/>
    <s v="מיסיום ועלויות"/>
  </r>
  <r>
    <n v="310"/>
    <s v="81112"/>
    <n v="1"/>
    <s v="181112.310"/>
    <s v="שעות  נוספות  רשומות            "/>
    <m/>
    <m/>
    <n v="185000"/>
    <n v="177000"/>
    <n v="205814"/>
    <m/>
    <x v="7"/>
    <s v="שירותים ממלכתיים"/>
    <x v="33"/>
    <s v="חינוך"/>
    <x v="105"/>
    <s v="מינהל החינוך"/>
    <s v="8111"/>
    <e v="#N/A"/>
    <m/>
    <s v="3"/>
    <x v="14"/>
    <s v="31"/>
    <s v="פנסיה"/>
    <s v="310"/>
    <e v="#N/A"/>
  </r>
  <r>
    <n v="670"/>
    <s v="81112"/>
    <n v="1"/>
    <s v="181112.670"/>
    <s v="סעיף שאינו חוזר                 "/>
    <m/>
    <m/>
    <n v="0"/>
    <n v="0"/>
    <n v="535"/>
    <m/>
    <x v="7"/>
    <s v="שירותים ממלכתיים"/>
    <x v="33"/>
    <s v="חינוך"/>
    <x v="105"/>
    <s v="מינהל החינוך"/>
    <s v="8111"/>
    <e v="#N/A"/>
    <m/>
    <s v="6"/>
    <x v="12"/>
    <s v="67"/>
    <e v="#N/A"/>
    <s v="670"/>
    <e v="#N/A"/>
  </r>
  <r>
    <n v="110"/>
    <s v="81121"/>
    <n v="1"/>
    <s v="181121.110"/>
    <s v="משכורת כוללת                    "/>
    <m/>
    <m/>
    <n v="1601000"/>
    <n v="1213000"/>
    <n v="1114253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1"/>
    <n v="1"/>
    <s v="181121.124"/>
    <s v="החזר הוצאות                     "/>
    <m/>
    <m/>
    <n v="97000"/>
    <n v="75000"/>
    <n v="71367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1"/>
    <n v="1"/>
    <s v="181121.126"/>
    <s v="הבראה                           "/>
    <m/>
    <m/>
    <n v="74000"/>
    <n v="60000"/>
    <n v="53142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1"/>
    <n v="1"/>
    <s v="181121.127"/>
    <s v="השתתפות באחזקת רכב - 8          "/>
    <m/>
    <m/>
    <n v="353000"/>
    <n v="262000"/>
    <n v="224741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1"/>
    <n v="1"/>
    <s v="181121.130"/>
    <s v="תשלומים מיוחדים                 "/>
    <m/>
    <m/>
    <n v="226000"/>
    <n v="195000"/>
    <n v="192981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1"/>
    <n v="1"/>
    <s v="181121.181"/>
    <s v="מיסים וביטוח לאומי              "/>
    <m/>
    <m/>
    <n v="338000"/>
    <n v="260000"/>
    <n v="235867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1"/>
    <n v="1"/>
    <s v="181121.182"/>
    <s v="קופות גמל והשתלמות              "/>
    <m/>
    <m/>
    <n v="334000"/>
    <n v="246000"/>
    <n v="216484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1"/>
    <n v="1"/>
    <s v="181121.310"/>
    <s v="שעות נוספות רשומות              "/>
    <m/>
    <m/>
    <n v="126000"/>
    <n v="92000"/>
    <n v="95450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340"/>
    <s v="81121"/>
    <n v="1"/>
    <s v="181121.340"/>
    <s v="שעות נוספות מיוחדות             "/>
    <m/>
    <m/>
    <n v="110000"/>
    <n v="88000"/>
    <n v="93583"/>
    <m/>
    <x v="7"/>
    <s v="שירותים ממלכתיים"/>
    <x v="33"/>
    <s v="חינוך"/>
    <x v="105"/>
    <s v="מינהל החינוך"/>
    <s v="8112"/>
    <e v="#N/A"/>
    <m/>
    <s v="3"/>
    <x v="14"/>
    <s v="34"/>
    <e v="#N/A"/>
    <s v="340"/>
    <e v="#N/A"/>
  </r>
  <r>
    <n v="411"/>
    <s v="81121"/>
    <n v="1"/>
    <s v="181121.411"/>
    <s v="שכר דירה                        "/>
    <m/>
    <m/>
    <n v="1229000"/>
    <n v="1024000"/>
    <n v="1023996"/>
    <m/>
    <x v="7"/>
    <s v="שירותים ממלכתיים"/>
    <x v="33"/>
    <s v="חינוך"/>
    <x v="105"/>
    <s v="מינהל החינוך"/>
    <s v="8112"/>
    <e v="#N/A"/>
    <m/>
    <s v="4"/>
    <x v="15"/>
    <s v="41"/>
    <s v="שכר דירה ודמי חכירה"/>
    <s v="411"/>
    <e v="#N/A"/>
  </r>
  <r>
    <n v="434"/>
    <s v="81121"/>
    <n v="1"/>
    <s v="181121.434"/>
    <s v="תיקוני מבנים מתקנים             "/>
    <m/>
    <m/>
    <n v="12000"/>
    <n v="12000"/>
    <n v="10318"/>
    <m/>
    <x v="7"/>
    <s v="שירותים ממלכתיים"/>
    <x v="33"/>
    <s v="חינוך"/>
    <x v="105"/>
    <s v="מינהל החינוך"/>
    <s v="8112"/>
    <e v="#N/A"/>
    <m/>
    <s v="4"/>
    <x v="15"/>
    <s v="43"/>
    <s v="חשמל, מים וחומרי ניקיון"/>
    <s v="434"/>
    <s v="שירותי ניקיון"/>
  </r>
  <r>
    <n v="435"/>
    <s v="81121"/>
    <n v="1"/>
    <s v="181121.435"/>
    <s v="חשמל ואנרגיה                    "/>
    <m/>
    <m/>
    <n v="64000"/>
    <n v="64000"/>
    <n v="55189"/>
    <m/>
    <x v="7"/>
    <s v="שירותים ממלכתיים"/>
    <x v="33"/>
    <s v="חינוך"/>
    <x v="105"/>
    <s v="מינהל החינוך"/>
    <s v="8112"/>
    <e v="#N/A"/>
    <m/>
    <s v="4"/>
    <x v="15"/>
    <s v="43"/>
    <s v="חשמל, מים וחומרי ניקיון"/>
    <s v="435"/>
    <e v="#N/A"/>
  </r>
  <r>
    <n v="531"/>
    <s v="81121"/>
    <n v="1"/>
    <s v="181121.531"/>
    <s v="אחזקת רכב                       "/>
    <m/>
    <m/>
    <n v="52000"/>
    <n v="52000"/>
    <n v="44025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1"/>
    <s v="דלק ושמנים"/>
  </r>
  <r>
    <n v="533"/>
    <s v="81121"/>
    <n v="1"/>
    <s v="181121.533"/>
    <s v="שכירת רכב ורכב עירוני           "/>
    <m/>
    <m/>
    <n v="57000"/>
    <n v="57000"/>
    <n v="35407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3"/>
    <s v="רישוי וביטוח"/>
  </r>
  <r>
    <n v="534"/>
    <s v="81121"/>
    <n v="1"/>
    <s v="181121.534"/>
    <s v="דלק ושמן                        "/>
    <m/>
    <m/>
    <n v="158000"/>
    <n v="158000"/>
    <n v="67333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4"/>
    <e v="#N/A"/>
  </r>
  <r>
    <n v="610"/>
    <s v="81121"/>
    <n v="1"/>
    <s v="181121.610"/>
    <s v="כיבודים                         "/>
    <m/>
    <m/>
    <n v="3000"/>
    <n v="3000"/>
    <n v="2967"/>
    <m/>
    <x v="7"/>
    <s v="שירותים ממלכתיים"/>
    <x v="33"/>
    <s v="חינוך"/>
    <x v="105"/>
    <s v="מינהל החינוך"/>
    <s v="8112"/>
    <e v="#N/A"/>
    <m/>
    <s v="6"/>
    <x v="12"/>
    <s v="61"/>
    <s v="עמלות"/>
    <s v="610"/>
    <e v="#N/A"/>
  </r>
  <r>
    <n v="670"/>
    <s v="81121"/>
    <n v="1"/>
    <s v="181121.670"/>
    <s v="ס. שאינו חוזר                   "/>
    <m/>
    <m/>
    <n v="0"/>
    <n v="22000"/>
    <n v="786"/>
    <m/>
    <x v="7"/>
    <s v="שירותים ממלכתיים"/>
    <x v="33"/>
    <s v="חינוך"/>
    <x v="105"/>
    <s v="מינהל החינוך"/>
    <s v="8112"/>
    <e v="#N/A"/>
    <m/>
    <s v="6"/>
    <x v="12"/>
    <s v="67"/>
    <e v="#N/A"/>
    <s v="670"/>
    <e v="#N/A"/>
  </r>
  <r>
    <n v="691"/>
    <s v="81121"/>
    <n v="1"/>
    <s v="181121.691"/>
    <s v="מערכות מידע ומחשוב              "/>
    <m/>
    <m/>
    <n v="4410000"/>
    <n v="2140000"/>
    <n v="1851525"/>
    <m/>
    <x v="7"/>
    <s v="שירותים ממלכתיים"/>
    <x v="33"/>
    <s v="חינוך"/>
    <x v="105"/>
    <s v="מינהל החינוך"/>
    <s v="8112"/>
    <e v="#N/A"/>
    <m/>
    <s v="6"/>
    <x v="12"/>
    <s v="69"/>
    <s v="שונות"/>
    <s v="691"/>
    <s v="תשלום ע&quot;ח קרן"/>
  </r>
  <r>
    <n v="751"/>
    <s v="81121"/>
    <n v="1"/>
    <s v="181121.751"/>
    <s v="ניקיון                          "/>
    <m/>
    <m/>
    <n v="102000"/>
    <n v="102000"/>
    <n v="103536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1"/>
    <e v="#N/A"/>
  </r>
  <r>
    <n v="752"/>
    <s v="81121"/>
    <n v="1"/>
    <s v="181121.752"/>
    <s v="מיון והשמת כח אדם               "/>
    <m/>
    <m/>
    <n v="50000"/>
    <n v="50000"/>
    <n v="0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2"/>
    <e v="#N/A"/>
  </r>
  <r>
    <n v="753"/>
    <s v="81121"/>
    <n v="1"/>
    <s v="181121.753"/>
    <s v="בדיקות תקופתיות במוסדות חינוך   "/>
    <m/>
    <m/>
    <n v="2064000"/>
    <n v="500000"/>
    <n v="0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3"/>
    <e v="#N/A"/>
  </r>
  <r>
    <n v="754"/>
    <s v="81121"/>
    <n v="1"/>
    <s v="181121.754"/>
    <s v="החזקת מערכות אב כ               "/>
    <m/>
    <m/>
    <n v="150000"/>
    <n v="150000"/>
    <n v="0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4"/>
    <e v="#N/A"/>
  </r>
  <r>
    <n v="781"/>
    <s v="81121"/>
    <n v="1"/>
    <s v="181121.781"/>
    <s v="החזקת מקלטים                    "/>
    <m/>
    <m/>
    <n v="171000"/>
    <n v="171000"/>
    <n v="168000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1"/>
    <e v="#N/A"/>
  </r>
  <r>
    <n v="110"/>
    <s v="81122"/>
    <n v="1"/>
    <s v="181122.110"/>
    <s v="משכורת כוללת                    "/>
    <m/>
    <m/>
    <n v="1860000"/>
    <n v="1876000"/>
    <n v="1904363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2"/>
    <n v="1"/>
    <s v="181122.124"/>
    <s v="החזר הוצאות                     "/>
    <m/>
    <m/>
    <n v="119000"/>
    <n v="106000"/>
    <n v="111000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2"/>
    <n v="1"/>
    <s v="181122.126"/>
    <s v="הבראה                           "/>
    <m/>
    <m/>
    <n v="102000"/>
    <n v="101000"/>
    <n v="105469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2"/>
    <n v="1"/>
    <s v="181122.127"/>
    <s v="השתתפות באחזקת רכב -20          "/>
    <m/>
    <m/>
    <n v="522000"/>
    <n v="440000"/>
    <n v="475146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2"/>
    <n v="1"/>
    <s v="181122.130"/>
    <s v="תשלומים  מיוחדים                "/>
    <m/>
    <m/>
    <n v="273000"/>
    <n v="285000"/>
    <n v="292187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2"/>
    <n v="1"/>
    <s v="181122.181"/>
    <s v="מיסים וביטוח לאומי              "/>
    <m/>
    <m/>
    <n v="383000"/>
    <n v="374000"/>
    <n v="380381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2"/>
    <n v="1"/>
    <s v="181122.182"/>
    <s v="קופות גמל והשתלמות              "/>
    <m/>
    <m/>
    <n v="430000"/>
    <n v="402000"/>
    <n v="398294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2"/>
    <n v="1"/>
    <s v="181122.310"/>
    <s v="שעות נוספות רשומות              "/>
    <m/>
    <m/>
    <n v="52000"/>
    <n v="51000"/>
    <n v="57565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412"/>
    <s v="81122"/>
    <n v="1"/>
    <s v="181122.412"/>
    <s v="מיסים ואגרות                    "/>
    <m/>
    <m/>
    <n v="100000"/>
    <n v="100000"/>
    <n v="47774"/>
    <m/>
    <x v="7"/>
    <s v="שירותים ממלכתיים"/>
    <x v="33"/>
    <s v="חינוך"/>
    <x v="105"/>
    <s v="מינהל החינוך"/>
    <s v="8112"/>
    <e v="#N/A"/>
    <m/>
    <s v="4"/>
    <x v="15"/>
    <s v="41"/>
    <s v="שכר דירה ודמי חכירה"/>
    <s v="412"/>
    <e v="#N/A"/>
  </r>
  <r>
    <n v="531"/>
    <s v="81122"/>
    <n v="1"/>
    <s v="181122.531"/>
    <s v="אחזקת רכב                       "/>
    <m/>
    <m/>
    <n v="28000"/>
    <n v="28000"/>
    <n v="26710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1"/>
    <s v="דלק ושמנים"/>
  </r>
  <r>
    <n v="532"/>
    <s v="81122"/>
    <n v="1"/>
    <s v="181122.532"/>
    <s v="בטוח רכב                        "/>
    <m/>
    <m/>
    <n v="80000"/>
    <n v="89000"/>
    <n v="83980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2"/>
    <s v="תיקונים"/>
  </r>
  <r>
    <n v="534"/>
    <s v="81122"/>
    <n v="1"/>
    <s v="181122.534"/>
    <s v="דלק ושמן                        "/>
    <m/>
    <m/>
    <n v="10000"/>
    <n v="10000"/>
    <n v="11624"/>
    <m/>
    <x v="7"/>
    <s v="שירותים ממלכתיים"/>
    <x v="33"/>
    <s v="חינוך"/>
    <x v="105"/>
    <s v="מינהל החינוך"/>
    <s v="8112"/>
    <e v="#N/A"/>
    <m/>
    <s v="5"/>
    <x v="11"/>
    <s v="53"/>
    <s v="הוצאות רכב מינהלי"/>
    <s v="534"/>
    <e v="#N/A"/>
  </r>
  <r>
    <n v="610"/>
    <s v="81122"/>
    <n v="1"/>
    <s v="181122.610"/>
    <s v="כיבודים                         "/>
    <m/>
    <m/>
    <n v="1000"/>
    <n v="1000"/>
    <n v="1002"/>
    <m/>
    <x v="7"/>
    <s v="שירותים ממלכתיים"/>
    <x v="33"/>
    <s v="חינוך"/>
    <x v="105"/>
    <s v="מינהל החינוך"/>
    <s v="8112"/>
    <e v="#N/A"/>
    <m/>
    <s v="6"/>
    <x v="12"/>
    <s v="61"/>
    <s v="עמלות"/>
    <s v="610"/>
    <e v="#N/A"/>
  </r>
  <r>
    <n v="670"/>
    <s v="81122"/>
    <n v="1"/>
    <s v="181122.670"/>
    <s v="ס. שאינו חוזר                   "/>
    <m/>
    <m/>
    <n v="0"/>
    <n v="37000"/>
    <n v="36268"/>
    <m/>
    <x v="7"/>
    <s v="שירותים ממלכתיים"/>
    <x v="33"/>
    <s v="חינוך"/>
    <x v="105"/>
    <s v="מינהל החינוך"/>
    <s v="8112"/>
    <e v="#N/A"/>
    <m/>
    <s v="6"/>
    <x v="12"/>
    <s v="67"/>
    <e v="#N/A"/>
    <s v="670"/>
    <e v="#N/A"/>
  </r>
  <r>
    <n v="710"/>
    <s v="81122"/>
    <n v="1"/>
    <s v="181122.710"/>
    <s v="הובלות וסבלות                   "/>
    <m/>
    <m/>
    <n v="1220000"/>
    <n v="1020000"/>
    <n v="1292236"/>
    <m/>
    <x v="7"/>
    <s v="שירותים ממלכתיים"/>
    <x v="33"/>
    <s v="חינוך"/>
    <x v="105"/>
    <s v="מינהל החינוך"/>
    <s v="8112"/>
    <e v="#N/A"/>
    <m/>
    <s v="7"/>
    <x v="13"/>
    <s v="71"/>
    <s v="הובלות והסעות קבלניות"/>
    <s v="710"/>
    <e v="#N/A"/>
  </r>
  <r>
    <n v="720"/>
    <s v="81122"/>
    <n v="1"/>
    <s v="181122.720"/>
    <s v="חומרים                          "/>
    <m/>
    <m/>
    <n v="110000"/>
    <n v="90000"/>
    <n v="74624"/>
    <m/>
    <x v="7"/>
    <s v="שירותים ממלכתיים"/>
    <x v="33"/>
    <s v="חינוך"/>
    <x v="105"/>
    <s v="מינהל החינוך"/>
    <s v="8112"/>
    <e v="#N/A"/>
    <m/>
    <s v="7"/>
    <x v="13"/>
    <s v="72"/>
    <s v="חומרים"/>
    <s v="720"/>
    <e v="#N/A"/>
  </r>
  <r>
    <n v="753"/>
    <s v="81122"/>
    <n v="1"/>
    <s v="181122.753"/>
    <s v="תגבור שמירה                     "/>
    <m/>
    <m/>
    <n v="30000"/>
    <n v="30000"/>
    <n v="18420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3"/>
    <e v="#N/A"/>
  </r>
  <r>
    <n v="781"/>
    <s v="81122"/>
    <n v="1"/>
    <s v="181122.781"/>
    <s v="אחזקת מעליות וביקורות תקופתיות  "/>
    <m/>
    <m/>
    <n v="721000"/>
    <n v="577000"/>
    <n v="465028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1"/>
    <e v="#N/A"/>
  </r>
  <r>
    <n v="782"/>
    <s v="81122"/>
    <n v="1"/>
    <s v="181122.782"/>
    <s v="אחזקת מערכות איתוראן            "/>
    <m/>
    <m/>
    <n v="480000"/>
    <n v="633000"/>
    <n v="506251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2"/>
    <e v="#N/A"/>
  </r>
  <r>
    <n v="783"/>
    <s v="81122"/>
    <n v="1"/>
    <s v="181122.783"/>
    <s v="כיבוי אש                        "/>
    <m/>
    <m/>
    <n v="1000000"/>
    <n v="611000"/>
    <n v="605145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3"/>
    <e v="#N/A"/>
  </r>
  <r>
    <n v="784"/>
    <s v="81122"/>
    <n v="1"/>
    <s v="181122.784"/>
    <s v="אחזקת מזגנים                    "/>
    <m/>
    <m/>
    <n v="1943000"/>
    <n v="1943000"/>
    <n v="1292908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4"/>
    <e v="#N/A"/>
  </r>
  <r>
    <n v="785"/>
    <s v="81122"/>
    <n v="1"/>
    <s v="181122.785"/>
    <s v="תחזוקת ציוד וריהוט              "/>
    <m/>
    <m/>
    <n v="100000"/>
    <n v="0"/>
    <n v="0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5"/>
    <e v="#N/A"/>
  </r>
  <r>
    <n v="932"/>
    <s v="81122"/>
    <n v="1"/>
    <s v="181122.932"/>
    <s v="ציוד וריהוט במוסדות חינוך       "/>
    <m/>
    <m/>
    <n v="4500000"/>
    <n v="4500000"/>
    <n v="4458845"/>
    <m/>
    <x v="7"/>
    <s v="שירותים ממלכתיים"/>
    <x v="33"/>
    <s v="חינוך"/>
    <x v="105"/>
    <s v="מינהל החינוך"/>
    <s v="8112"/>
    <e v="#N/A"/>
    <m/>
    <s v="9"/>
    <x v="17"/>
    <s v="93"/>
    <s v="רכישת ציוד יסודי"/>
    <s v="932"/>
    <e v="#N/A"/>
  </r>
  <r>
    <n v="935"/>
    <s v="81122"/>
    <n v="1"/>
    <s v="181122.935"/>
    <s v="רכישת ציוד למעבדות              "/>
    <m/>
    <m/>
    <n v="192000"/>
    <n v="185000"/>
    <n v="182394"/>
    <m/>
    <x v="7"/>
    <s v="שירותים ממלכתיים"/>
    <x v="33"/>
    <s v="חינוך"/>
    <x v="105"/>
    <s v="מינהל החינוך"/>
    <s v="8112"/>
    <e v="#N/A"/>
    <m/>
    <s v="9"/>
    <x v="17"/>
    <s v="93"/>
    <s v="רכישת ציוד יסודי"/>
    <s v="935"/>
    <e v="#N/A"/>
  </r>
  <r>
    <n v="981"/>
    <s v="81122"/>
    <n v="1"/>
    <s v="181122.981"/>
    <s v="מיזוג אויר למוסדות חינוך        "/>
    <m/>
    <m/>
    <n v="3500000"/>
    <n v="3500000"/>
    <n v="3499957"/>
    <m/>
    <x v="7"/>
    <s v="שירותים ממלכתיים"/>
    <x v="33"/>
    <s v="חינוך"/>
    <x v="105"/>
    <s v="מינהל החינוך"/>
    <s v="8112"/>
    <e v="#N/A"/>
    <m/>
    <s v="9"/>
    <x v="17"/>
    <s v="98"/>
    <s v="הוצאות אחרות"/>
    <s v="981"/>
    <e v="#N/A"/>
  </r>
  <r>
    <n v="982"/>
    <s v="81122"/>
    <n v="1"/>
    <s v="181122.982"/>
    <s v="רכישת מערכות השקיה              "/>
    <m/>
    <m/>
    <n v="50000"/>
    <n v="50000"/>
    <n v="47516"/>
    <m/>
    <x v="7"/>
    <s v="שירותים ממלכתיים"/>
    <x v="33"/>
    <s v="חינוך"/>
    <x v="105"/>
    <s v="מינהל החינוך"/>
    <s v="8112"/>
    <e v="#N/A"/>
    <m/>
    <s v="9"/>
    <x v="17"/>
    <s v="98"/>
    <s v="הוצאות אחרות"/>
    <s v="982"/>
    <e v="#N/A"/>
  </r>
  <r>
    <n v="983"/>
    <s v="81122"/>
    <n v="1"/>
    <s v="181122.983"/>
    <s v="רכישת גלאי איתוראן              "/>
    <m/>
    <m/>
    <n v="50000"/>
    <n v="100000"/>
    <n v="16048"/>
    <m/>
    <x v="7"/>
    <s v="שירותים ממלכתיים"/>
    <x v="33"/>
    <s v="חינוך"/>
    <x v="105"/>
    <s v="מינהל החינוך"/>
    <s v="8112"/>
    <e v="#N/A"/>
    <m/>
    <s v="9"/>
    <x v="17"/>
    <s v="98"/>
    <s v="הוצאות אחרות"/>
    <s v="983"/>
    <e v="#N/A"/>
  </r>
  <r>
    <n v="110"/>
    <s v="81123"/>
    <n v="1"/>
    <s v="181123.110"/>
    <s v="משכורת כוללת                    "/>
    <m/>
    <m/>
    <n v="945000"/>
    <n v="1236000"/>
    <n v="965054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3"/>
    <n v="1"/>
    <s v="181123.124"/>
    <s v="החזר הוצאות                     "/>
    <m/>
    <m/>
    <n v="62000"/>
    <n v="66000"/>
    <n v="46817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3"/>
    <n v="1"/>
    <s v="181123.126"/>
    <s v="הבראה                           "/>
    <m/>
    <m/>
    <n v="56000"/>
    <n v="62000"/>
    <n v="43981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3"/>
    <n v="1"/>
    <s v="181123.127"/>
    <s v="השתתפות באחזקת רכב - 7          "/>
    <m/>
    <m/>
    <n v="310000"/>
    <n v="353000"/>
    <n v="246208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3"/>
    <n v="1"/>
    <s v="181123.130"/>
    <s v="תשלומים מיוחדים                 "/>
    <m/>
    <m/>
    <n v="441000"/>
    <n v="414000"/>
    <n v="290864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3"/>
    <n v="1"/>
    <s v="181123.181"/>
    <s v="מיסים וביטוח לאומי              "/>
    <m/>
    <m/>
    <n v="239000"/>
    <n v="280000"/>
    <n v="211739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3"/>
    <n v="1"/>
    <s v="181123.182"/>
    <s v="קופות גמל והשתלמות              "/>
    <m/>
    <m/>
    <n v="173000"/>
    <n v="241000"/>
    <n v="149162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3"/>
    <n v="1"/>
    <s v="181123.310"/>
    <s v="שעות נוספות רשומות              "/>
    <m/>
    <m/>
    <n v="13000"/>
    <n v="10000"/>
    <n v="47697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781"/>
    <s v="81123"/>
    <n v="1"/>
    <s v="181123.781"/>
    <s v="פרוייקטים בתחומי נקיון          "/>
    <m/>
    <m/>
    <n v="600000"/>
    <n v="600000"/>
    <n v="544191"/>
    <m/>
    <x v="7"/>
    <s v="שירותים ממלכתיים"/>
    <x v="33"/>
    <s v="חינוך"/>
    <x v="105"/>
    <s v="מינהל החינוך"/>
    <s v="8112"/>
    <e v="#N/A"/>
    <m/>
    <s v="7"/>
    <x v="13"/>
    <s v="78"/>
    <s v="הוצאות שונות"/>
    <s v="781"/>
    <e v="#N/A"/>
  </r>
  <r>
    <n v="110"/>
    <s v="81124"/>
    <n v="1"/>
    <s v="181124.110"/>
    <s v="משכורת כוללת                    "/>
    <m/>
    <m/>
    <n v="993000"/>
    <n v="909000"/>
    <n v="868221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4"/>
    <n v="1"/>
    <s v="181124.124"/>
    <s v="החזר הוצאות                     "/>
    <m/>
    <m/>
    <n v="104000"/>
    <n v="112000"/>
    <n v="104615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4"/>
    <n v="1"/>
    <s v="181124.126"/>
    <s v="הבראה                           "/>
    <m/>
    <m/>
    <n v="61000"/>
    <n v="53000"/>
    <n v="54892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4"/>
    <n v="1"/>
    <s v="181124.127"/>
    <s v="השתתפות באחזקת רכב - 9          "/>
    <m/>
    <m/>
    <n v="290000"/>
    <n v="303000"/>
    <n v="295358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4"/>
    <n v="1"/>
    <s v="181124.130"/>
    <s v="תשלומים מיוחדים                 "/>
    <m/>
    <m/>
    <n v="78000"/>
    <n v="122000"/>
    <n v="116299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4"/>
    <n v="1"/>
    <s v="181124.181"/>
    <s v="מיסים וביטוח לאומי              "/>
    <m/>
    <m/>
    <n v="209000"/>
    <n v="203000"/>
    <n v="212729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4"/>
    <n v="1"/>
    <s v="181124.182"/>
    <s v="קופות גמל והשתלמות              "/>
    <m/>
    <m/>
    <n v="267000"/>
    <n v="225000"/>
    <n v="202328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4"/>
    <n v="1"/>
    <s v="181124.310"/>
    <s v="שעות נוספות רשומות              "/>
    <m/>
    <m/>
    <n v="71000"/>
    <n v="50000"/>
    <n v="93543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110"/>
    <s v="81125"/>
    <n v="1"/>
    <s v="181125.110"/>
    <s v="משכורת כוללת                    "/>
    <m/>
    <m/>
    <n v="469000"/>
    <n v="462000"/>
    <n v="455923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5"/>
    <n v="1"/>
    <s v="181125.124"/>
    <s v="החזר הוצאות                     "/>
    <m/>
    <m/>
    <n v="43000"/>
    <n v="43000"/>
    <n v="41966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5"/>
    <n v="1"/>
    <s v="181125.126"/>
    <s v="הבראה                           "/>
    <m/>
    <m/>
    <n v="33000"/>
    <n v="32000"/>
    <n v="32452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5"/>
    <n v="1"/>
    <s v="181125.127"/>
    <s v="השתתפות באחזקת רכב - 5          "/>
    <m/>
    <m/>
    <n v="93000"/>
    <n v="94000"/>
    <n v="92214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5"/>
    <n v="1"/>
    <s v="181125.130"/>
    <s v="תשלומים מיוחדים                 "/>
    <m/>
    <m/>
    <n v="84000"/>
    <n v="76000"/>
    <n v="82280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5"/>
    <n v="1"/>
    <s v="181125.181"/>
    <s v="מיסים וביטוח לאומי              "/>
    <m/>
    <m/>
    <n v="98000"/>
    <n v="96000"/>
    <n v="95379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5"/>
    <n v="1"/>
    <s v="181125.182"/>
    <s v="קופות גמל והשתלמות              "/>
    <m/>
    <m/>
    <n v="105000"/>
    <n v="107000"/>
    <n v="100056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5"/>
    <n v="1"/>
    <s v="181125.310"/>
    <s v="שעות  נוספות  רשומות            "/>
    <m/>
    <m/>
    <n v="24000"/>
    <n v="24000"/>
    <n v="49928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512"/>
    <s v="81125"/>
    <n v="1"/>
    <s v="181125.512"/>
    <s v="הסעת תלמידים                    "/>
    <m/>
    <m/>
    <n v="480000"/>
    <n v="470000"/>
    <n v="534452"/>
    <m/>
    <x v="7"/>
    <s v="שירותים ממלכתיים"/>
    <x v="33"/>
    <s v="חינוך"/>
    <x v="105"/>
    <s v="מינהל החינוך"/>
    <s v="8112"/>
    <e v="#N/A"/>
    <m/>
    <s v="5"/>
    <x v="11"/>
    <s v="51"/>
    <s v="אש&quot;ל וכיבודים"/>
    <s v="512"/>
    <s v="אשל ונסיעות"/>
  </r>
  <r>
    <n v="861"/>
    <s v="81125"/>
    <n v="1"/>
    <s v="181125.861"/>
    <s v="הפעלה שוטפת - יובל חינוך        "/>
    <m/>
    <m/>
    <n v="110000"/>
    <n v="110000"/>
    <n v="108502"/>
    <m/>
    <x v="7"/>
    <s v="שירותים ממלכתיים"/>
    <x v="33"/>
    <s v="חינוך"/>
    <x v="105"/>
    <s v="מינהל החינוך"/>
    <s v="8112"/>
    <e v="#N/A"/>
    <m/>
    <s v="8"/>
    <x v="16"/>
    <s v="86"/>
    <s v="הנחות"/>
    <s v="861"/>
    <e v="#N/A"/>
  </r>
  <r>
    <n v="881"/>
    <s v="81125"/>
    <n v="1"/>
    <s v="181125.881"/>
    <s v="הפעלה שוטפת -הרשות לפיתוח כלכלי "/>
    <m/>
    <m/>
    <n v="200000"/>
    <n v="200000"/>
    <n v="195000"/>
    <m/>
    <x v="7"/>
    <s v="שירותים ממלכתיים"/>
    <x v="33"/>
    <s v="חינוך"/>
    <x v="105"/>
    <s v="מינהל החינוך"/>
    <s v="8112"/>
    <e v="#N/A"/>
    <m/>
    <s v="8"/>
    <x v="16"/>
    <s v="88"/>
    <e v="#N/A"/>
    <s v="881"/>
    <e v="#N/A"/>
  </r>
  <r>
    <n v="882"/>
    <s v="81125"/>
    <n v="1"/>
    <s v="181125.882"/>
    <s v="מים-הרשות לפיתוח כלכלי          "/>
    <m/>
    <m/>
    <n v="90000"/>
    <n v="90000"/>
    <n v="90000"/>
    <m/>
    <x v="7"/>
    <s v="שירותים ממלכתיים"/>
    <x v="33"/>
    <s v="חינוך"/>
    <x v="105"/>
    <s v="מינהל החינוך"/>
    <s v="8112"/>
    <e v="#N/A"/>
    <m/>
    <s v="8"/>
    <x v="16"/>
    <s v="88"/>
    <e v="#N/A"/>
    <s v="882"/>
    <e v="#N/A"/>
  </r>
  <r>
    <n v="110"/>
    <s v="81127"/>
    <n v="1"/>
    <s v="181127.110"/>
    <s v="משכורת כוללת                    "/>
    <m/>
    <m/>
    <n v="868000"/>
    <n v="620000"/>
    <n v="485628"/>
    <m/>
    <x v="7"/>
    <s v="שירותים ממלכתיים"/>
    <x v="33"/>
    <s v="חינוך"/>
    <x v="105"/>
    <s v="מינהל החינוך"/>
    <s v="8112"/>
    <e v="#N/A"/>
    <m/>
    <s v="1"/>
    <x v="9"/>
    <s v="11"/>
    <s v="השכר הקובע"/>
    <s v="110"/>
    <e v="#N/A"/>
  </r>
  <r>
    <n v="124"/>
    <s v="81127"/>
    <n v="1"/>
    <s v="181127.124"/>
    <s v="החזר הוצאות                     "/>
    <m/>
    <m/>
    <n v="60000"/>
    <n v="45000"/>
    <n v="35114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4"/>
    <e v="#N/A"/>
  </r>
  <r>
    <n v="126"/>
    <s v="81127"/>
    <n v="1"/>
    <s v="181127.126"/>
    <s v="הבראה                           "/>
    <m/>
    <m/>
    <n v="51000"/>
    <n v="40000"/>
    <n v="29032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6"/>
    <e v="#N/A"/>
  </r>
  <r>
    <n v="127"/>
    <s v="81127"/>
    <n v="1"/>
    <s v="181127.127"/>
    <s v="השתתפות באחזקת רכב - 8          "/>
    <m/>
    <m/>
    <n v="294000"/>
    <n v="248000"/>
    <n v="174379"/>
    <m/>
    <x v="7"/>
    <s v="שירותים ממלכתיים"/>
    <x v="33"/>
    <s v="חינוך"/>
    <x v="105"/>
    <s v="מינהל החינוך"/>
    <s v="8112"/>
    <e v="#N/A"/>
    <m/>
    <s v="1"/>
    <x v="9"/>
    <s v="12"/>
    <s v="תוספות שאינן נכללות בשכר הקובע"/>
    <s v="127"/>
    <e v="#N/A"/>
  </r>
  <r>
    <n v="130"/>
    <s v="81127"/>
    <n v="1"/>
    <s v="181127.130"/>
    <s v="תשלומים מיוחדים                 "/>
    <m/>
    <m/>
    <n v="119000"/>
    <n v="159000"/>
    <n v="102851"/>
    <m/>
    <x v="7"/>
    <s v="שירותים ממלכתיים"/>
    <x v="33"/>
    <s v="חינוך"/>
    <x v="105"/>
    <s v="מינהל החינוך"/>
    <s v="8112"/>
    <e v="#N/A"/>
    <m/>
    <s v="1"/>
    <x v="9"/>
    <s v="13"/>
    <s v="שעות נוספות"/>
    <s v="130"/>
    <e v="#N/A"/>
  </r>
  <r>
    <n v="181"/>
    <s v="81127"/>
    <n v="1"/>
    <s v="181127.181"/>
    <s v="מיסים וביטוח לאומי              "/>
    <m/>
    <m/>
    <n v="183000"/>
    <n v="146000"/>
    <n v="119287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1"/>
    <s v="הפרשות סוציאליות"/>
  </r>
  <r>
    <n v="182"/>
    <s v="81127"/>
    <n v="1"/>
    <s v="181127.182"/>
    <s v="קופות גמל והשתלמות              "/>
    <m/>
    <m/>
    <n v="193000"/>
    <n v="127000"/>
    <n v="103673"/>
    <m/>
    <x v="7"/>
    <s v="שירותים ממלכתיים"/>
    <x v="33"/>
    <s v="חינוך"/>
    <x v="105"/>
    <s v="מינהל החינוך"/>
    <s v="8112"/>
    <e v="#N/A"/>
    <m/>
    <s v="1"/>
    <x v="9"/>
    <s v="18"/>
    <s v="נלוות לשכר"/>
    <s v="182"/>
    <s v="מיסיום ועלויות"/>
  </r>
  <r>
    <n v="310"/>
    <s v="81127"/>
    <n v="1"/>
    <s v="181127.310"/>
    <s v="שעות נוספות רשומות              "/>
    <m/>
    <m/>
    <n v="5000"/>
    <n v="5000"/>
    <n v="92404"/>
    <m/>
    <x v="7"/>
    <s v="שירותים ממלכתיים"/>
    <x v="33"/>
    <s v="חינוך"/>
    <x v="105"/>
    <s v="מינהל החינוך"/>
    <s v="8112"/>
    <e v="#N/A"/>
    <m/>
    <s v="3"/>
    <x v="14"/>
    <s v="31"/>
    <s v="פנסיה"/>
    <s v="310"/>
    <e v="#N/A"/>
  </r>
  <r>
    <n v="751"/>
    <s v="81127"/>
    <n v="1"/>
    <s v="181127.751"/>
    <s v="תכנון ובקרת מערך היסעים         "/>
    <m/>
    <m/>
    <n v="142000"/>
    <n v="0"/>
    <n v="0"/>
    <m/>
    <x v="7"/>
    <s v="שירותים ממלכתיים"/>
    <x v="33"/>
    <s v="חינוך"/>
    <x v="105"/>
    <s v="מינהל החינוך"/>
    <s v="8112"/>
    <e v="#N/A"/>
    <m/>
    <s v="7"/>
    <x v="13"/>
    <s v="75"/>
    <s v="עבודות קבלניות"/>
    <s v="751"/>
    <e v="#N/A"/>
  </r>
  <r>
    <n v="110"/>
    <s v="81130"/>
    <n v="1"/>
    <s v="181130.110"/>
    <s v="משכורת כוללת                    "/>
    <m/>
    <m/>
    <n v="1902000"/>
    <n v="1903000"/>
    <n v="1738551"/>
    <m/>
    <x v="7"/>
    <s v="שירותים ממלכתיים"/>
    <x v="33"/>
    <s v="חינוך"/>
    <x v="105"/>
    <s v="מינהל החינוך"/>
    <s v="8113"/>
    <e v="#N/A"/>
    <m/>
    <s v="1"/>
    <x v="9"/>
    <s v="11"/>
    <s v="השכר הקובע"/>
    <s v="110"/>
    <e v="#N/A"/>
  </r>
  <r>
    <n v="124"/>
    <s v="81130"/>
    <n v="1"/>
    <s v="181130.124"/>
    <s v="החזר הוצאות                     "/>
    <m/>
    <m/>
    <n v="149000"/>
    <n v="135000"/>
    <n v="137379"/>
    <m/>
    <x v="7"/>
    <s v="שירותים ממלכתיים"/>
    <x v="33"/>
    <s v="חינוך"/>
    <x v="105"/>
    <s v="מינהל החינוך"/>
    <s v="8113"/>
    <e v="#N/A"/>
    <m/>
    <s v="1"/>
    <x v="9"/>
    <s v="12"/>
    <s v="תוספות שאינן נכללות בשכר הקובע"/>
    <s v="124"/>
    <e v="#N/A"/>
  </r>
  <r>
    <n v="126"/>
    <s v="81130"/>
    <n v="1"/>
    <s v="181130.126"/>
    <s v="הבראה                           "/>
    <m/>
    <m/>
    <n v="118000"/>
    <n v="104000"/>
    <n v="102907"/>
    <m/>
    <x v="7"/>
    <s v="שירותים ממלכתיים"/>
    <x v="33"/>
    <s v="חינוך"/>
    <x v="105"/>
    <s v="מינהל החינוך"/>
    <s v="8113"/>
    <e v="#N/A"/>
    <m/>
    <s v="1"/>
    <x v="9"/>
    <s v="12"/>
    <s v="תוספות שאינן נכללות בשכר הקובע"/>
    <s v="126"/>
    <e v="#N/A"/>
  </r>
  <r>
    <n v="127"/>
    <s v="81130"/>
    <n v="1"/>
    <s v="181130.127"/>
    <s v="השתתפות באחזקת רכב - 18         "/>
    <m/>
    <m/>
    <n v="473000"/>
    <n v="443000"/>
    <n v="384523"/>
    <m/>
    <x v="7"/>
    <s v="שירותים ממלכתיים"/>
    <x v="33"/>
    <s v="חינוך"/>
    <x v="105"/>
    <s v="מינהל החינוך"/>
    <s v="8113"/>
    <e v="#N/A"/>
    <m/>
    <s v="1"/>
    <x v="9"/>
    <s v="12"/>
    <s v="תוספות שאינן נכללות בשכר הקובע"/>
    <s v="127"/>
    <e v="#N/A"/>
  </r>
  <r>
    <n v="130"/>
    <s v="81130"/>
    <n v="1"/>
    <s v="181130.130"/>
    <s v="תשלומים מיוחדים                 "/>
    <m/>
    <m/>
    <n v="332000"/>
    <n v="339000"/>
    <n v="325223"/>
    <m/>
    <x v="7"/>
    <s v="שירותים ממלכתיים"/>
    <x v="33"/>
    <s v="חינוך"/>
    <x v="105"/>
    <s v="מינהל החינוך"/>
    <s v="8113"/>
    <e v="#N/A"/>
    <m/>
    <s v="1"/>
    <x v="9"/>
    <s v="13"/>
    <s v="שעות נוספות"/>
    <s v="130"/>
    <e v="#N/A"/>
  </r>
  <r>
    <n v="181"/>
    <s v="81130"/>
    <n v="1"/>
    <s v="181130.181"/>
    <s v="מיסים וביטוח לאומי              "/>
    <m/>
    <m/>
    <n v="390000"/>
    <n v="383000"/>
    <n v="345025"/>
    <m/>
    <x v="7"/>
    <s v="שירותים ממלכתיים"/>
    <x v="33"/>
    <s v="חינוך"/>
    <x v="105"/>
    <s v="מינהל החינוך"/>
    <s v="8113"/>
    <e v="#N/A"/>
    <m/>
    <s v="1"/>
    <x v="9"/>
    <s v="18"/>
    <s v="נלוות לשכר"/>
    <s v="181"/>
    <s v="הפרשות סוציאליות"/>
  </r>
  <r>
    <n v="182"/>
    <s v="81130"/>
    <n v="1"/>
    <s v="181130.182"/>
    <s v="קופות גמל והשתלמות              "/>
    <m/>
    <m/>
    <n v="357000"/>
    <n v="338000"/>
    <n v="310912"/>
    <m/>
    <x v="7"/>
    <s v="שירותים ממלכתיים"/>
    <x v="33"/>
    <s v="חינוך"/>
    <x v="105"/>
    <s v="מינהל החינוך"/>
    <s v="8113"/>
    <e v="#N/A"/>
    <m/>
    <s v="1"/>
    <x v="9"/>
    <s v="18"/>
    <s v="נלוות לשכר"/>
    <s v="182"/>
    <s v="מיסיום ועלויות"/>
  </r>
  <r>
    <n v="310"/>
    <s v="81130"/>
    <n v="1"/>
    <s v="181130.310"/>
    <s v="שעות נוספות רשומות              "/>
    <m/>
    <m/>
    <n v="5000"/>
    <n v="5000"/>
    <n v="5015"/>
    <m/>
    <x v="7"/>
    <s v="שירותים ממלכתיים"/>
    <x v="33"/>
    <s v="חינוך"/>
    <x v="105"/>
    <s v="מינהל החינוך"/>
    <s v="8113"/>
    <e v="#N/A"/>
    <m/>
    <s v="3"/>
    <x v="14"/>
    <s v="31"/>
    <s v="פנסיה"/>
    <s v="310"/>
    <e v="#N/A"/>
  </r>
  <r>
    <n v="650"/>
    <s v="81130"/>
    <n v="1"/>
    <s v="181130.650"/>
    <s v="עמלה בנקאית                     "/>
    <m/>
    <m/>
    <n v="1000"/>
    <n v="1000"/>
    <n v="528"/>
    <m/>
    <x v="7"/>
    <s v="שירותים ממלכתיים"/>
    <x v="33"/>
    <s v="חינוך"/>
    <x v="105"/>
    <s v="מינהל החינוך"/>
    <s v="8113"/>
    <e v="#N/A"/>
    <m/>
    <s v="6"/>
    <x v="12"/>
    <s v="65"/>
    <s v="ריבית פיגורים לספקים ונותני שירות"/>
    <s v="650"/>
    <e v="#N/A"/>
  </r>
  <r>
    <n v="691"/>
    <s v="81130"/>
    <n v="1"/>
    <s v="181130.691"/>
    <s v="מערכות מידע ומחשוב              "/>
    <m/>
    <m/>
    <n v="530000"/>
    <n v="490000"/>
    <n v="437159"/>
    <m/>
    <x v="7"/>
    <s v="שירותים ממלכתיים"/>
    <x v="33"/>
    <s v="חינוך"/>
    <x v="105"/>
    <s v="מינהל החינוך"/>
    <s v="8113"/>
    <e v="#N/A"/>
    <m/>
    <s v="6"/>
    <x v="12"/>
    <s v="69"/>
    <s v="שונות"/>
    <s v="691"/>
    <s v="תשלום ע&quot;ח קרן"/>
  </r>
  <r>
    <n v="110"/>
    <s v="81150"/>
    <n v="1"/>
    <s v="181150.110"/>
    <s v="משכורת כוללת                    "/>
    <m/>
    <m/>
    <n v="512000"/>
    <n v="503000"/>
    <n v="410805"/>
    <m/>
    <x v="7"/>
    <s v="שירותים ממלכתיים"/>
    <x v="33"/>
    <s v="חינוך"/>
    <x v="105"/>
    <s v="מינהל החינוך"/>
    <s v="8115"/>
    <e v="#N/A"/>
    <m/>
    <s v="1"/>
    <x v="9"/>
    <s v="11"/>
    <s v="השכר הקובע"/>
    <s v="110"/>
    <e v="#N/A"/>
  </r>
  <r>
    <n v="124"/>
    <s v="81150"/>
    <n v="1"/>
    <s v="181150.124"/>
    <s v="החזר הוצאות                     "/>
    <m/>
    <m/>
    <n v="26000"/>
    <n v="25000"/>
    <n v="21390"/>
    <m/>
    <x v="7"/>
    <s v="שירותים ממלכתיים"/>
    <x v="33"/>
    <s v="חינוך"/>
    <x v="105"/>
    <s v="מינהל החינוך"/>
    <s v="8115"/>
    <e v="#N/A"/>
    <m/>
    <s v="1"/>
    <x v="9"/>
    <s v="12"/>
    <s v="תוספות שאינן נכללות בשכר הקובע"/>
    <s v="124"/>
    <e v="#N/A"/>
  </r>
  <r>
    <n v="126"/>
    <s v="81150"/>
    <n v="1"/>
    <s v="181150.126"/>
    <s v="הבראה                           "/>
    <m/>
    <m/>
    <n v="22000"/>
    <n v="23000"/>
    <n v="19196"/>
    <m/>
    <x v="7"/>
    <s v="שירותים ממלכתיים"/>
    <x v="33"/>
    <s v="חינוך"/>
    <x v="105"/>
    <s v="מינהל החינוך"/>
    <s v="8115"/>
    <e v="#N/A"/>
    <m/>
    <s v="1"/>
    <x v="9"/>
    <s v="12"/>
    <s v="תוספות שאינן נכללות בשכר הקובע"/>
    <s v="126"/>
    <e v="#N/A"/>
  </r>
  <r>
    <n v="127"/>
    <s v="81150"/>
    <n v="1"/>
    <s v="181150.127"/>
    <s v="השתתפות באחזקת רכב-4            "/>
    <m/>
    <m/>
    <n v="112000"/>
    <n v="110000"/>
    <n v="90228"/>
    <m/>
    <x v="7"/>
    <s v="שירותים ממלכתיים"/>
    <x v="33"/>
    <s v="חינוך"/>
    <x v="105"/>
    <s v="מינהל החינוך"/>
    <s v="8115"/>
    <e v="#N/A"/>
    <m/>
    <s v="1"/>
    <x v="9"/>
    <s v="12"/>
    <s v="תוספות שאינן נכללות בשכר הקובע"/>
    <s v="127"/>
    <e v="#N/A"/>
  </r>
  <r>
    <n v="130"/>
    <s v="81150"/>
    <n v="1"/>
    <s v="181150.130"/>
    <s v="תשלומים מיוחדים                 "/>
    <m/>
    <m/>
    <n v="10000"/>
    <n v="10000"/>
    <n v="8521"/>
    <m/>
    <x v="7"/>
    <s v="שירותים ממלכתיים"/>
    <x v="33"/>
    <s v="חינוך"/>
    <x v="105"/>
    <s v="מינהל החינוך"/>
    <s v="8115"/>
    <e v="#N/A"/>
    <m/>
    <s v="1"/>
    <x v="9"/>
    <s v="13"/>
    <s v="שעות נוספות"/>
    <s v="130"/>
    <e v="#N/A"/>
  </r>
  <r>
    <n v="181"/>
    <s v="81150"/>
    <n v="1"/>
    <s v="181150.181"/>
    <s v="מיסים וביטוח לאומי              "/>
    <m/>
    <m/>
    <n v="89000"/>
    <n v="88000"/>
    <n v="70682"/>
    <m/>
    <x v="7"/>
    <s v="שירותים ממלכתיים"/>
    <x v="33"/>
    <s v="חינוך"/>
    <x v="105"/>
    <s v="מינהל החינוך"/>
    <s v="8115"/>
    <e v="#N/A"/>
    <m/>
    <s v="1"/>
    <x v="9"/>
    <s v="18"/>
    <s v="נלוות לשכר"/>
    <s v="181"/>
    <s v="הפרשות סוציאליות"/>
  </r>
  <r>
    <n v="182"/>
    <s v="81150"/>
    <n v="1"/>
    <s v="181150.182"/>
    <s v="קופות גמל והשתלמות              "/>
    <m/>
    <m/>
    <n v="116000"/>
    <n v="100000"/>
    <n v="87062"/>
    <m/>
    <x v="7"/>
    <s v="שירותים ממלכתיים"/>
    <x v="33"/>
    <s v="חינוך"/>
    <x v="105"/>
    <s v="מינהל החינוך"/>
    <s v="8115"/>
    <e v="#N/A"/>
    <m/>
    <s v="1"/>
    <x v="9"/>
    <s v="18"/>
    <s v="נלוות לשכר"/>
    <s v="182"/>
    <s v="מיסיום ועלויות"/>
  </r>
  <r>
    <n v="310"/>
    <s v="81150"/>
    <n v="1"/>
    <s v="181150.310"/>
    <s v="שעות נוספות רשומות              "/>
    <m/>
    <m/>
    <n v="2000"/>
    <n v="2000"/>
    <n v="0"/>
    <m/>
    <x v="7"/>
    <s v="שירותים ממלכתיים"/>
    <x v="33"/>
    <s v="חינוך"/>
    <x v="105"/>
    <s v="מינהל החינוך"/>
    <s v="8115"/>
    <e v="#N/A"/>
    <m/>
    <s v="3"/>
    <x v="14"/>
    <s v="31"/>
    <s v="פנסיה"/>
    <s v="310"/>
    <e v="#N/A"/>
  </r>
  <r>
    <n v="691"/>
    <s v="81150"/>
    <n v="1"/>
    <s v="181150.691"/>
    <s v="מערכות מידע ומחשוב              "/>
    <m/>
    <m/>
    <n v="700000"/>
    <n v="690000"/>
    <n v="622098"/>
    <m/>
    <x v="7"/>
    <s v="שירותים ממלכתיים"/>
    <x v="33"/>
    <s v="חינוך"/>
    <x v="105"/>
    <s v="מינהל החינוך"/>
    <s v="8115"/>
    <e v="#N/A"/>
    <m/>
    <s v="6"/>
    <x v="12"/>
    <s v="69"/>
    <s v="שונות"/>
    <s v="691"/>
    <s v="תשלום ע&quot;ח קרן"/>
  </r>
  <r>
    <n v="752"/>
    <s v="81150"/>
    <n v="1"/>
    <s v="181150.752"/>
    <s v="הערכת פרוייקטים ויעוץ           "/>
    <m/>
    <m/>
    <n v="300000"/>
    <n v="300000"/>
    <n v="294375"/>
    <m/>
    <x v="7"/>
    <s v="שירותים ממלכתיים"/>
    <x v="33"/>
    <s v="חינוך"/>
    <x v="105"/>
    <s v="מינהל החינוך"/>
    <s v="8115"/>
    <e v="#N/A"/>
    <m/>
    <s v="7"/>
    <x v="13"/>
    <s v="75"/>
    <s v="עבודות קבלניות"/>
    <s v="752"/>
    <e v="#N/A"/>
  </r>
  <r>
    <n v="861"/>
    <s v="81150"/>
    <n v="1"/>
    <s v="181150.861"/>
    <s v="פרוייקט מנב ס ע י יובל חינוך    "/>
    <m/>
    <m/>
    <n v="241000"/>
    <n v="319000"/>
    <n v="319000"/>
    <m/>
    <x v="7"/>
    <s v="שירותים ממלכתיים"/>
    <x v="33"/>
    <s v="חינוך"/>
    <x v="105"/>
    <s v="מינהל החינוך"/>
    <s v="8115"/>
    <e v="#N/A"/>
    <m/>
    <s v="8"/>
    <x v="16"/>
    <s v="86"/>
    <s v="הנחות"/>
    <s v="861"/>
    <e v="#N/A"/>
  </r>
  <r>
    <n v="110"/>
    <s v="81160"/>
    <n v="1"/>
    <s v="181160.110"/>
    <s v="משכורת כוללת                    "/>
    <m/>
    <m/>
    <n v="2532000"/>
    <n v="2810000"/>
    <n v="2574446"/>
    <m/>
    <x v="7"/>
    <s v="שירותים ממלכתיים"/>
    <x v="33"/>
    <s v="חינוך"/>
    <x v="105"/>
    <s v="מינהל החינוך"/>
    <s v="8116"/>
    <e v="#N/A"/>
    <m/>
    <s v="1"/>
    <x v="9"/>
    <s v="11"/>
    <s v="השכר הקובע"/>
    <s v="110"/>
    <e v="#N/A"/>
  </r>
  <r>
    <n v="124"/>
    <s v="81160"/>
    <n v="1"/>
    <s v="181160.124"/>
    <s v="החזר הוצאות                     "/>
    <m/>
    <m/>
    <n v="124000"/>
    <n v="123000"/>
    <n v="116047"/>
    <m/>
    <x v="7"/>
    <s v="שירותים ממלכתיים"/>
    <x v="33"/>
    <s v="חינוך"/>
    <x v="105"/>
    <s v="מינהל החינוך"/>
    <s v="8116"/>
    <e v="#N/A"/>
    <m/>
    <s v="1"/>
    <x v="9"/>
    <s v="12"/>
    <s v="תוספות שאינן נכללות בשכר הקובע"/>
    <s v="124"/>
    <e v="#N/A"/>
  </r>
  <r>
    <n v="126"/>
    <s v="81160"/>
    <n v="1"/>
    <s v="181160.126"/>
    <s v="הבראה                           "/>
    <m/>
    <m/>
    <n v="99000"/>
    <n v="104000"/>
    <n v="97565"/>
    <m/>
    <x v="7"/>
    <s v="שירותים ממלכתיים"/>
    <x v="33"/>
    <s v="חינוך"/>
    <x v="105"/>
    <s v="מינהל החינוך"/>
    <s v="8116"/>
    <e v="#N/A"/>
    <m/>
    <s v="1"/>
    <x v="9"/>
    <s v="12"/>
    <s v="תוספות שאינן נכללות בשכר הקובע"/>
    <s v="126"/>
    <e v="#N/A"/>
  </r>
  <r>
    <n v="127"/>
    <s v="81160"/>
    <n v="1"/>
    <s v="181160.127"/>
    <s v="השתתפות באחזקת רכב-18           "/>
    <m/>
    <m/>
    <n v="508000"/>
    <n v="486000"/>
    <n v="439832"/>
    <m/>
    <x v="7"/>
    <s v="שירותים ממלכתיים"/>
    <x v="33"/>
    <s v="חינוך"/>
    <x v="105"/>
    <s v="מינהל החינוך"/>
    <s v="8116"/>
    <e v="#N/A"/>
    <m/>
    <s v="1"/>
    <x v="9"/>
    <s v="12"/>
    <s v="תוספות שאינן נכללות בשכר הקובע"/>
    <s v="127"/>
    <e v="#N/A"/>
  </r>
  <r>
    <n v="130"/>
    <s v="81160"/>
    <n v="1"/>
    <s v="181160.130"/>
    <s v="תשלומים מיוחדים                 "/>
    <m/>
    <m/>
    <n v="276000"/>
    <n v="261000"/>
    <n v="267081"/>
    <m/>
    <x v="7"/>
    <s v="שירותים ממלכתיים"/>
    <x v="33"/>
    <s v="חינוך"/>
    <x v="105"/>
    <s v="מינהל החינוך"/>
    <s v="8116"/>
    <e v="#N/A"/>
    <m/>
    <s v="1"/>
    <x v="9"/>
    <s v="13"/>
    <s v="שעות נוספות"/>
    <s v="130"/>
    <e v="#N/A"/>
  </r>
  <r>
    <n v="181"/>
    <s v="81160"/>
    <n v="1"/>
    <s v="181160.181"/>
    <s v="מיסים וביטוח לאומי              "/>
    <m/>
    <m/>
    <n v="465000"/>
    <n v="497000"/>
    <n v="474775"/>
    <m/>
    <x v="7"/>
    <s v="שירותים ממלכתיים"/>
    <x v="33"/>
    <s v="חינוך"/>
    <x v="105"/>
    <s v="מינהל החינוך"/>
    <s v="8116"/>
    <e v="#N/A"/>
    <m/>
    <s v="1"/>
    <x v="9"/>
    <s v="18"/>
    <s v="נלוות לשכר"/>
    <s v="181"/>
    <s v="הפרשות סוציאליות"/>
  </r>
  <r>
    <n v="182"/>
    <s v="81160"/>
    <n v="1"/>
    <s v="181160.182"/>
    <s v="קופות גמל והשתלמות              "/>
    <m/>
    <m/>
    <n v="459000"/>
    <n v="499000"/>
    <n v="459352"/>
    <m/>
    <x v="7"/>
    <s v="שירותים ממלכתיים"/>
    <x v="33"/>
    <s v="חינוך"/>
    <x v="105"/>
    <s v="מינהל החינוך"/>
    <s v="8116"/>
    <e v="#N/A"/>
    <m/>
    <s v="1"/>
    <x v="9"/>
    <s v="18"/>
    <s v="נלוות לשכר"/>
    <s v="182"/>
    <s v="מיסיום ועלויות"/>
  </r>
  <r>
    <n v="310"/>
    <s v="81160"/>
    <n v="1"/>
    <s v="181160.310"/>
    <s v="שעות  נוספות  רשומות            "/>
    <m/>
    <m/>
    <n v="14000"/>
    <n v="14000"/>
    <n v="37623"/>
    <m/>
    <x v="7"/>
    <s v="שירותים ממלכתיים"/>
    <x v="33"/>
    <s v="חינוך"/>
    <x v="105"/>
    <s v="מינהל החינוך"/>
    <s v="8116"/>
    <e v="#N/A"/>
    <m/>
    <s v="3"/>
    <x v="14"/>
    <s v="31"/>
    <s v="פנסיה"/>
    <s v="310"/>
    <e v="#N/A"/>
  </r>
  <r>
    <n v="434"/>
    <s v="81160"/>
    <n v="1"/>
    <s v="181160.434"/>
    <s v="תקוני מבנים יחידת המשלחות       "/>
    <m/>
    <m/>
    <n v="10000"/>
    <n v="10000"/>
    <n v="4993"/>
    <m/>
    <x v="7"/>
    <s v="שירותים ממלכתיים"/>
    <x v="33"/>
    <s v="חינוך"/>
    <x v="105"/>
    <s v="מינהל החינוך"/>
    <s v="8116"/>
    <e v="#N/A"/>
    <m/>
    <s v="4"/>
    <x v="15"/>
    <s v="43"/>
    <s v="חשמל, מים וחומרי ניקיון"/>
    <s v="434"/>
    <s v="שירותי ניקיון"/>
  </r>
  <r>
    <n v="461"/>
    <s v="81160"/>
    <n v="1"/>
    <s v="181160.461"/>
    <s v="צורכי משרד                      "/>
    <m/>
    <m/>
    <n v="18000"/>
    <n v="18000"/>
    <n v="15287"/>
    <m/>
    <x v="7"/>
    <s v="שירותים ממלכתיים"/>
    <x v="33"/>
    <s v="חינוך"/>
    <x v="105"/>
    <s v="מינהל החינוך"/>
    <s v="8116"/>
    <e v="#N/A"/>
    <m/>
    <s v="4"/>
    <x v="15"/>
    <s v="46"/>
    <e v="#N/A"/>
    <s v="461"/>
    <e v="#N/A"/>
  </r>
  <r>
    <n v="531"/>
    <s v="81160"/>
    <n v="1"/>
    <s v="181160.531"/>
    <s v="אחזקת רכב                       "/>
    <m/>
    <m/>
    <n v="2000"/>
    <n v="3000"/>
    <n v="1070"/>
    <m/>
    <x v="7"/>
    <s v="שירותים ממלכתיים"/>
    <x v="33"/>
    <s v="חינוך"/>
    <x v="105"/>
    <s v="מינהל החינוך"/>
    <s v="8116"/>
    <e v="#N/A"/>
    <m/>
    <s v="5"/>
    <x v="11"/>
    <s v="53"/>
    <s v="הוצאות רכב מינהלי"/>
    <s v="531"/>
    <s v="דלק ושמנים"/>
  </r>
  <r>
    <n v="533"/>
    <s v="81160"/>
    <n v="1"/>
    <s v="181160.533"/>
    <s v="שכירת רכב ורכב עירוני           "/>
    <m/>
    <m/>
    <n v="39000"/>
    <n v="79000"/>
    <n v="33686"/>
    <m/>
    <x v="7"/>
    <s v="שירותים ממלכתיים"/>
    <x v="33"/>
    <s v="חינוך"/>
    <x v="105"/>
    <s v="מינהל החינוך"/>
    <s v="8116"/>
    <e v="#N/A"/>
    <m/>
    <s v="5"/>
    <x v="11"/>
    <s v="53"/>
    <s v="הוצאות רכב מינהלי"/>
    <s v="533"/>
    <s v="רישוי וביטוח"/>
  </r>
  <r>
    <n v="534"/>
    <s v="81160"/>
    <n v="1"/>
    <s v="181160.534"/>
    <s v="דלק ושמן                        "/>
    <m/>
    <m/>
    <n v="18000"/>
    <n v="36000"/>
    <n v="17522"/>
    <m/>
    <x v="7"/>
    <s v="שירותים ממלכתיים"/>
    <x v="33"/>
    <s v="חינוך"/>
    <x v="105"/>
    <s v="מינהל החינוך"/>
    <s v="8116"/>
    <e v="#N/A"/>
    <m/>
    <s v="5"/>
    <x v="11"/>
    <s v="53"/>
    <s v="הוצאות רכב מינהלי"/>
    <s v="534"/>
    <e v="#N/A"/>
  </r>
  <r>
    <n v="691"/>
    <s v="81160"/>
    <n v="1"/>
    <s v="181160.691"/>
    <s v="מערכות מידע ומחשוב              "/>
    <m/>
    <m/>
    <n v="1560000"/>
    <n v="860000"/>
    <n v="1558731"/>
    <m/>
    <x v="7"/>
    <s v="שירותים ממלכתיים"/>
    <x v="33"/>
    <s v="חינוך"/>
    <x v="105"/>
    <s v="מינהל החינוך"/>
    <s v="8116"/>
    <e v="#N/A"/>
    <m/>
    <s v="6"/>
    <x v="12"/>
    <s v="69"/>
    <s v="שונות"/>
    <s v="691"/>
    <s v="תשלום ע&quot;ח קרן"/>
  </r>
  <r>
    <n v="751"/>
    <s v="81160"/>
    <n v="1"/>
    <s v="181160.751"/>
    <s v="ניקיון יחידת המשלחות            "/>
    <m/>
    <m/>
    <n v="20000"/>
    <n v="20000"/>
    <n v="16361"/>
    <m/>
    <x v="7"/>
    <s v="שירותים ממלכתיים"/>
    <x v="33"/>
    <s v="חינוך"/>
    <x v="105"/>
    <s v="מינהל החינוך"/>
    <s v="8116"/>
    <e v="#N/A"/>
    <m/>
    <s v="7"/>
    <x v="13"/>
    <s v="75"/>
    <s v="עבודות קבלניות"/>
    <s v="751"/>
    <e v="#N/A"/>
  </r>
  <r>
    <n v="781"/>
    <s v="81160"/>
    <n v="1"/>
    <s v="181160.781"/>
    <s v="יוזמות פדגוגיות                 "/>
    <m/>
    <m/>
    <n v="180000"/>
    <n v="180000"/>
    <n v="179999"/>
    <m/>
    <x v="7"/>
    <s v="שירותים ממלכתיים"/>
    <x v="33"/>
    <s v="חינוך"/>
    <x v="105"/>
    <s v="מינהל החינוך"/>
    <s v="8116"/>
    <e v="#N/A"/>
    <m/>
    <s v="7"/>
    <x v="13"/>
    <s v="78"/>
    <s v="הוצאות שונות"/>
    <s v="781"/>
    <e v="#N/A"/>
  </r>
  <r>
    <n v="782"/>
    <s v="81160"/>
    <n v="1"/>
    <s v="181160.782"/>
    <s v="תשלום לחברה לאוטומציה           "/>
    <m/>
    <m/>
    <n v="140000"/>
    <n v="140000"/>
    <n v="204155"/>
    <m/>
    <x v="7"/>
    <s v="שירותים ממלכתיים"/>
    <x v="33"/>
    <s v="חינוך"/>
    <x v="105"/>
    <s v="מינהל החינוך"/>
    <s v="8116"/>
    <e v="#N/A"/>
    <m/>
    <s v="7"/>
    <x v="13"/>
    <s v="78"/>
    <s v="הוצאות שונות"/>
    <s v="782"/>
    <e v="#N/A"/>
  </r>
  <r>
    <n v="783"/>
    <s v="81160"/>
    <n v="1"/>
    <s v="181160.783"/>
    <s v="פעילות במרחבי חינוך             "/>
    <m/>
    <m/>
    <n v="65000"/>
    <n v="65000"/>
    <n v="64999"/>
    <m/>
    <x v="7"/>
    <s v="שירותים ממלכתיים"/>
    <x v="33"/>
    <s v="חינוך"/>
    <x v="105"/>
    <s v="מינהל החינוך"/>
    <s v="8116"/>
    <e v="#N/A"/>
    <m/>
    <s v="7"/>
    <x v="13"/>
    <s v="78"/>
    <s v="הוצאות שונות"/>
    <s v="783"/>
    <e v="#N/A"/>
  </r>
  <r>
    <n v="791"/>
    <s v="81160"/>
    <n v="1"/>
    <s v="181160.791"/>
    <s v="עתודה למינוף יוזמות חינוכיות    "/>
    <m/>
    <m/>
    <n v="74000"/>
    <n v="74000"/>
    <n v="0"/>
    <m/>
    <x v="7"/>
    <s v="שירותים ממלכתיים"/>
    <x v="33"/>
    <s v="חינוך"/>
    <x v="105"/>
    <s v="מינהל החינוך"/>
    <s v="8116"/>
    <e v="#N/A"/>
    <m/>
    <s v="7"/>
    <x v="13"/>
    <s v="79"/>
    <s v="השתתפות בתקציבי עזר 092"/>
    <s v="791"/>
    <e v="#N/A"/>
  </r>
  <r>
    <n v="821"/>
    <s v="81160"/>
    <n v="1"/>
    <s v="181160.821"/>
    <s v="הנחות לנזקקים                   "/>
    <m/>
    <m/>
    <n v="50000"/>
    <n v="50000"/>
    <n v="49989"/>
    <m/>
    <x v="7"/>
    <s v="שירותים ממלכתיים"/>
    <x v="33"/>
    <s v="חינוך"/>
    <x v="105"/>
    <s v="מינהל החינוך"/>
    <s v="8116"/>
    <e v="#N/A"/>
    <m/>
    <s v="8"/>
    <x v="16"/>
    <s v="82"/>
    <s v="הקצבות בהמלצת ועדת הקצבות"/>
    <s v="821"/>
    <e v="#N/A"/>
  </r>
  <r>
    <n v="861"/>
    <s v="81160"/>
    <n v="1"/>
    <s v="181160.861"/>
    <s v="יוזמות חינוכיות באמצעות יובל חינ"/>
    <m/>
    <m/>
    <n v="718000"/>
    <n v="1034000"/>
    <n v="944121"/>
    <m/>
    <x v="7"/>
    <s v="שירותים ממלכתיים"/>
    <x v="33"/>
    <s v="חינוך"/>
    <x v="105"/>
    <s v="מינהל החינוך"/>
    <s v="8116"/>
    <e v="#N/A"/>
    <m/>
    <s v="8"/>
    <x v="16"/>
    <s v="86"/>
    <s v="הנחות"/>
    <s v="861"/>
    <e v="#N/A"/>
  </r>
  <r>
    <n v="862"/>
    <s v="81160"/>
    <n v="1"/>
    <s v="181160.862"/>
    <s v="סל תרבות - יובל חינוך           "/>
    <m/>
    <m/>
    <n v="564000"/>
    <n v="564000"/>
    <n v="564000"/>
    <m/>
    <x v="7"/>
    <s v="שירותים ממלכתיים"/>
    <x v="33"/>
    <s v="חינוך"/>
    <x v="105"/>
    <s v="מינהל החינוך"/>
    <s v="8116"/>
    <e v="#N/A"/>
    <m/>
    <s v="8"/>
    <x v="16"/>
    <s v="86"/>
    <s v="הנחות"/>
    <s v="862"/>
    <e v="#N/A"/>
  </r>
  <r>
    <n v="110"/>
    <s v="81170"/>
    <n v="1"/>
    <s v="181170.110"/>
    <s v="משכורת כוללת                    "/>
    <m/>
    <m/>
    <n v="689000"/>
    <n v="704000"/>
    <n v="631397"/>
    <m/>
    <x v="7"/>
    <s v="שירותים ממלכתיים"/>
    <x v="33"/>
    <s v="חינוך"/>
    <x v="105"/>
    <s v="מינהל החינוך"/>
    <s v="8117"/>
    <e v="#N/A"/>
    <m/>
    <s v="1"/>
    <x v="9"/>
    <s v="11"/>
    <s v="השכר הקובע"/>
    <s v="110"/>
    <e v="#N/A"/>
  </r>
  <r>
    <n v="124"/>
    <s v="81170"/>
    <n v="1"/>
    <s v="181170.124"/>
    <s v="החזר הוצאות                     "/>
    <m/>
    <m/>
    <n v="80000"/>
    <n v="84000"/>
    <n v="75670"/>
    <m/>
    <x v="7"/>
    <s v="שירותים ממלכתיים"/>
    <x v="33"/>
    <s v="חינוך"/>
    <x v="105"/>
    <s v="מינהל החינוך"/>
    <s v="8117"/>
    <e v="#N/A"/>
    <m/>
    <s v="1"/>
    <x v="9"/>
    <s v="12"/>
    <s v="תוספות שאינן נכללות בשכר הקובע"/>
    <s v="124"/>
    <e v="#N/A"/>
  </r>
  <r>
    <n v="126"/>
    <s v="81170"/>
    <n v="1"/>
    <s v="181170.126"/>
    <s v="הבראה                           "/>
    <m/>
    <m/>
    <n v="60000"/>
    <n v="60000"/>
    <n v="54906"/>
    <m/>
    <x v="7"/>
    <s v="שירותים ממלכתיים"/>
    <x v="33"/>
    <s v="חינוך"/>
    <x v="105"/>
    <s v="מינהל החינוך"/>
    <s v="8117"/>
    <e v="#N/A"/>
    <m/>
    <s v="1"/>
    <x v="9"/>
    <s v="12"/>
    <s v="תוספות שאינן נכללות בשכר הקובע"/>
    <s v="126"/>
    <e v="#N/A"/>
  </r>
  <r>
    <n v="127"/>
    <s v="81170"/>
    <n v="1"/>
    <s v="181170.127"/>
    <s v="השתתפות באחזקת רכב-7            "/>
    <m/>
    <m/>
    <n v="158000"/>
    <n v="151000"/>
    <n v="134836"/>
    <m/>
    <x v="7"/>
    <s v="שירותים ממלכתיים"/>
    <x v="33"/>
    <s v="חינוך"/>
    <x v="105"/>
    <s v="מינהל החינוך"/>
    <s v="8117"/>
    <e v="#N/A"/>
    <m/>
    <s v="1"/>
    <x v="9"/>
    <s v="12"/>
    <s v="תוספות שאינן נכללות בשכר הקובע"/>
    <s v="127"/>
    <e v="#N/A"/>
  </r>
  <r>
    <n v="130"/>
    <s v="81170"/>
    <n v="1"/>
    <s v="181170.130"/>
    <s v="תשלומים מיוחדים                 "/>
    <m/>
    <m/>
    <n v="54000"/>
    <n v="57000"/>
    <n v="51599"/>
    <m/>
    <x v="7"/>
    <s v="שירותים ממלכתיים"/>
    <x v="33"/>
    <s v="חינוך"/>
    <x v="105"/>
    <s v="מינהל החינוך"/>
    <s v="8117"/>
    <e v="#N/A"/>
    <m/>
    <s v="1"/>
    <x v="9"/>
    <s v="13"/>
    <s v="שעות נוספות"/>
    <s v="130"/>
    <e v="#N/A"/>
  </r>
  <r>
    <n v="181"/>
    <s v="81170"/>
    <n v="1"/>
    <s v="181170.181"/>
    <s v="מיסים וביטוח לאומי              "/>
    <m/>
    <m/>
    <n v="180000"/>
    <n v="179000"/>
    <n v="150161"/>
    <m/>
    <x v="7"/>
    <s v="שירותים ממלכתיים"/>
    <x v="33"/>
    <s v="חינוך"/>
    <x v="105"/>
    <s v="מינהל החינוך"/>
    <s v="8117"/>
    <e v="#N/A"/>
    <m/>
    <s v="1"/>
    <x v="9"/>
    <s v="18"/>
    <s v="נלוות לשכר"/>
    <s v="181"/>
    <s v="הפרשות סוציאליות"/>
  </r>
  <r>
    <n v="182"/>
    <s v="81170"/>
    <n v="1"/>
    <s v="181170.182"/>
    <s v="קופות גמל והשתלמות              "/>
    <m/>
    <m/>
    <n v="245000"/>
    <n v="292000"/>
    <n v="230400"/>
    <m/>
    <x v="7"/>
    <s v="שירותים ממלכתיים"/>
    <x v="33"/>
    <s v="חינוך"/>
    <x v="105"/>
    <s v="מינהל החינוך"/>
    <s v="8117"/>
    <e v="#N/A"/>
    <m/>
    <s v="1"/>
    <x v="9"/>
    <s v="18"/>
    <s v="נלוות לשכר"/>
    <s v="182"/>
    <s v="מיסיום ועלויות"/>
  </r>
  <r>
    <n v="230"/>
    <s v="81170"/>
    <n v="1"/>
    <s v="181170.230"/>
    <s v="משימות חולפות -3.6              "/>
    <m/>
    <m/>
    <n v="265000"/>
    <n v="246000"/>
    <n v="253381"/>
    <m/>
    <x v="7"/>
    <s v="שירותים ממלכתיים"/>
    <x v="33"/>
    <s v="חינוך"/>
    <x v="105"/>
    <s v="מינהל החינוך"/>
    <s v="8117"/>
    <e v="#N/A"/>
    <m/>
    <s v="2"/>
    <x v="10"/>
    <s v="23"/>
    <s v="שעות נוספות"/>
    <s v="230"/>
    <e v="#N/A"/>
  </r>
  <r>
    <n v="250"/>
    <s v="81170"/>
    <n v="1"/>
    <s v="181170.250"/>
    <s v="עובדים יומיים-1.9               "/>
    <m/>
    <m/>
    <n v="214000"/>
    <n v="193000"/>
    <n v="221736"/>
    <m/>
    <x v="7"/>
    <s v="שירותים ממלכתיים"/>
    <x v="33"/>
    <s v="חינוך"/>
    <x v="105"/>
    <s v="מינהל החינוך"/>
    <s v="8117"/>
    <e v="#N/A"/>
    <m/>
    <s v="2"/>
    <x v="10"/>
    <s v="25"/>
    <e v="#N/A"/>
    <s v="250"/>
    <e v="#N/A"/>
  </r>
  <r>
    <n v="310"/>
    <s v="81170"/>
    <n v="1"/>
    <s v="181170.310"/>
    <s v="שעות  נוספות  רשומות            "/>
    <m/>
    <m/>
    <n v="68000"/>
    <n v="67000"/>
    <n v="29722"/>
    <m/>
    <x v="7"/>
    <s v="שירותים ממלכתיים"/>
    <x v="33"/>
    <s v="חינוך"/>
    <x v="105"/>
    <s v="מינהל החינוך"/>
    <s v="8117"/>
    <e v="#N/A"/>
    <m/>
    <s v="3"/>
    <x v="14"/>
    <s v="31"/>
    <s v="פנסיה"/>
    <s v="310"/>
    <e v="#N/A"/>
  </r>
  <r>
    <n v="411"/>
    <s v="81170"/>
    <n v="1"/>
    <s v="181170.411"/>
    <s v="שכר דירה                        "/>
    <m/>
    <m/>
    <n v="539000"/>
    <n v="539000"/>
    <n v="529181"/>
    <m/>
    <x v="7"/>
    <s v="שירותים ממלכתיים"/>
    <x v="33"/>
    <s v="חינוך"/>
    <x v="105"/>
    <s v="מינהל החינוך"/>
    <s v="8117"/>
    <e v="#N/A"/>
    <m/>
    <s v="4"/>
    <x v="15"/>
    <s v="41"/>
    <s v="שכר דירה ודמי חכירה"/>
    <s v="411"/>
    <e v="#N/A"/>
  </r>
  <r>
    <n v="434"/>
    <s v="81170"/>
    <n v="1"/>
    <s v="181170.434"/>
    <s v="תיקוני מבנים מתקנים ואינונטר    "/>
    <m/>
    <m/>
    <n v="20000"/>
    <n v="20000"/>
    <n v="8028"/>
    <m/>
    <x v="7"/>
    <s v="שירותים ממלכתיים"/>
    <x v="33"/>
    <s v="חינוך"/>
    <x v="105"/>
    <s v="מינהל החינוך"/>
    <s v="8117"/>
    <e v="#N/A"/>
    <m/>
    <s v="4"/>
    <x v="15"/>
    <s v="43"/>
    <s v="חשמל, מים וחומרי ניקיון"/>
    <s v="434"/>
    <s v="שירותי ניקיון"/>
  </r>
  <r>
    <n v="435"/>
    <s v="81170"/>
    <n v="1"/>
    <s v="181170.435"/>
    <s v="חשמל ואנרגיה                    "/>
    <m/>
    <m/>
    <n v="60000"/>
    <n v="60000"/>
    <n v="44083"/>
    <m/>
    <x v="7"/>
    <s v="שירותים ממלכתיים"/>
    <x v="33"/>
    <s v="חינוך"/>
    <x v="105"/>
    <s v="מינהל החינוך"/>
    <s v="8117"/>
    <e v="#N/A"/>
    <m/>
    <s v="4"/>
    <x v="15"/>
    <s v="43"/>
    <s v="חשמל, מים וחומרי ניקיון"/>
    <s v="435"/>
    <e v="#N/A"/>
  </r>
  <r>
    <n v="670"/>
    <s v="81170"/>
    <n v="1"/>
    <s v="181170.670"/>
    <s v="סעיף שאינו חוזר                 "/>
    <m/>
    <m/>
    <n v="0"/>
    <n v="2000"/>
    <n v="0"/>
    <m/>
    <x v="7"/>
    <s v="שירותים ממלכתיים"/>
    <x v="33"/>
    <s v="חינוך"/>
    <x v="105"/>
    <s v="מינהל החינוך"/>
    <s v="8117"/>
    <e v="#N/A"/>
    <m/>
    <s v="6"/>
    <x v="12"/>
    <s v="67"/>
    <e v="#N/A"/>
    <s v="670"/>
    <e v="#N/A"/>
  </r>
  <r>
    <n v="751"/>
    <s v="81170"/>
    <n v="1"/>
    <s v="181170.751"/>
    <s v="ניקיון                          "/>
    <m/>
    <m/>
    <n v="57000"/>
    <n v="42000"/>
    <n v="50398"/>
    <m/>
    <x v="7"/>
    <s v="שירותים ממלכתיים"/>
    <x v="33"/>
    <s v="חינוך"/>
    <x v="105"/>
    <s v="מינהל החינוך"/>
    <s v="8117"/>
    <e v="#N/A"/>
    <m/>
    <s v="7"/>
    <x v="13"/>
    <s v="75"/>
    <s v="עבודות קבלניות"/>
    <s v="751"/>
    <e v="#N/A"/>
  </r>
  <r>
    <n v="783"/>
    <s v="81170"/>
    <n v="1"/>
    <s v="181170.783"/>
    <s v="רישום תלמידים                   "/>
    <m/>
    <m/>
    <n v="146000"/>
    <n v="146000"/>
    <n v="85511"/>
    <m/>
    <x v="7"/>
    <s v="שירותים ממלכתיים"/>
    <x v="33"/>
    <s v="חינוך"/>
    <x v="105"/>
    <s v="מינהל החינוך"/>
    <s v="8117"/>
    <e v="#N/A"/>
    <m/>
    <s v="7"/>
    <x v="13"/>
    <s v="78"/>
    <s v="הוצאות שונות"/>
    <s v="783"/>
    <e v="#N/A"/>
  </r>
  <r>
    <n v="785"/>
    <s v="81170"/>
    <n v="1"/>
    <s v="181170.785"/>
    <s v="שמירה                           "/>
    <m/>
    <m/>
    <n v="115000"/>
    <n v="115000"/>
    <n v="103268"/>
    <m/>
    <x v="7"/>
    <s v="שירותים ממלכתיים"/>
    <x v="33"/>
    <s v="חינוך"/>
    <x v="105"/>
    <s v="מינהל החינוך"/>
    <s v="8117"/>
    <e v="#N/A"/>
    <m/>
    <s v="7"/>
    <x v="13"/>
    <s v="78"/>
    <s v="הוצאות שונות"/>
    <s v="785"/>
    <e v="#N/A"/>
  </r>
  <r>
    <n v="110"/>
    <s v="81210"/>
    <n v="1"/>
    <s v="181210.110"/>
    <s v="משכורת כוללת                    "/>
    <m/>
    <m/>
    <n v="2917000"/>
    <n v="2846000"/>
    <n v="2188369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1"/>
    <s v="השכר הקובע"/>
    <s v="110"/>
    <e v="#N/A"/>
  </r>
  <r>
    <n v="124"/>
    <s v="81210"/>
    <n v="1"/>
    <s v="181210.124"/>
    <s v="החזר הוצאות                     "/>
    <m/>
    <m/>
    <n v="134000"/>
    <n v="131000"/>
    <n v="101673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2"/>
    <s v="תוספות שאינן נכללות בשכר הקובע"/>
    <s v="124"/>
    <e v="#N/A"/>
  </r>
  <r>
    <n v="126"/>
    <s v="81210"/>
    <n v="1"/>
    <s v="181210.126"/>
    <s v="הבראה                           "/>
    <m/>
    <m/>
    <n v="114000"/>
    <n v="120000"/>
    <n v="90069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2"/>
    <s v="תוספות שאינן נכללות בשכר הקובע"/>
    <s v="126"/>
    <e v="#N/A"/>
  </r>
  <r>
    <n v="127"/>
    <s v="81210"/>
    <n v="1"/>
    <s v="181210.127"/>
    <s v="השתתפות באחזקת רכב - 21         "/>
    <m/>
    <m/>
    <n v="678000"/>
    <n v="679000"/>
    <n v="499287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2"/>
    <s v="תוספות שאינן נכללות בשכר הקובע"/>
    <s v="127"/>
    <e v="#N/A"/>
  </r>
  <r>
    <n v="130"/>
    <s v="81210"/>
    <n v="1"/>
    <s v="181210.130"/>
    <s v="תשלומים מיוחדים                 "/>
    <m/>
    <m/>
    <n v="329000"/>
    <n v="359000"/>
    <n v="282038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3"/>
    <s v="שעות נוספות"/>
    <s v="130"/>
    <e v="#N/A"/>
  </r>
  <r>
    <n v="181"/>
    <s v="81210"/>
    <n v="1"/>
    <s v="181210.181"/>
    <s v="מיסים וביטוח לאומי              "/>
    <m/>
    <m/>
    <n v="547000"/>
    <n v="542000"/>
    <n v="430874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8"/>
    <s v="נלוות לשכר"/>
    <s v="181"/>
    <s v="הפרשות סוציאליות"/>
  </r>
  <r>
    <n v="182"/>
    <s v="81210"/>
    <n v="1"/>
    <s v="181210.182"/>
    <s v="קופות גמל והשתלמות              "/>
    <m/>
    <m/>
    <n v="578000"/>
    <n v="577000"/>
    <n v="423511"/>
    <m/>
    <x v="7"/>
    <s v="שירותים ממלכתיים"/>
    <x v="33"/>
    <s v="חינוך"/>
    <x v="106"/>
    <s v="חינוך קדם יסודי"/>
    <s v="8121"/>
    <s v="מינהל החינוך הקדם יסודי"/>
    <m/>
    <s v="1"/>
    <x v="9"/>
    <s v="18"/>
    <s v="נלוות לשכר"/>
    <s v="182"/>
    <s v="מיסיום ועלויות"/>
  </r>
  <r>
    <n v="310"/>
    <s v="81210"/>
    <n v="1"/>
    <s v="181210.310"/>
    <s v="שעות נוספות רשומות              "/>
    <m/>
    <m/>
    <n v="9000"/>
    <n v="9000"/>
    <n v="111534"/>
    <m/>
    <x v="7"/>
    <s v="שירותים ממלכתיים"/>
    <x v="33"/>
    <s v="חינוך"/>
    <x v="106"/>
    <s v="חינוך קדם יסודי"/>
    <s v="8121"/>
    <s v="מינהל החינוך הקדם יסודי"/>
    <m/>
    <s v="3"/>
    <x v="14"/>
    <s v="31"/>
    <s v="פנסיה"/>
    <s v="310"/>
    <e v="#N/A"/>
  </r>
  <r>
    <n v="432"/>
    <s v="81210"/>
    <n v="1"/>
    <s v="181210.432"/>
    <s v="תחזוקת החצר הגן                 "/>
    <m/>
    <m/>
    <n v="3067000"/>
    <n v="2963000"/>
    <n v="2593000"/>
    <m/>
    <x v="7"/>
    <s v="שירותים ממלכתיים"/>
    <x v="33"/>
    <s v="חינוך"/>
    <x v="106"/>
    <s v="חינוך קדם יסודי"/>
    <s v="8121"/>
    <s v="מינהל החינוך הקדם יסודי"/>
    <m/>
    <s v="4"/>
    <x v="15"/>
    <s v="43"/>
    <s v="חשמל, מים וחומרי ניקיון"/>
    <s v="432"/>
    <s v="מים"/>
  </r>
  <r>
    <n v="433"/>
    <s v="81210"/>
    <n v="1"/>
    <s v="181210.433"/>
    <s v="ביטוח                           "/>
    <m/>
    <m/>
    <n v="4483000"/>
    <n v="3547000"/>
    <n v="3292970"/>
    <m/>
    <x v="7"/>
    <s v="שירותים ממלכתיים"/>
    <x v="33"/>
    <s v="חינוך"/>
    <x v="106"/>
    <s v="חינוך קדם יסודי"/>
    <s v="8121"/>
    <s v="מינהל החינוך הקדם יסודי"/>
    <m/>
    <s v="4"/>
    <x v="15"/>
    <s v="43"/>
    <s v="חשמל, מים וחומרי ניקיון"/>
    <s v="433"/>
    <s v="חומרי ניקיון"/>
  </r>
  <r>
    <n v="461"/>
    <s v="81210"/>
    <n v="1"/>
    <s v="181210.461"/>
    <s v="צורכי משרד                      "/>
    <m/>
    <m/>
    <n v="46000"/>
    <n v="41000"/>
    <n v="38436"/>
    <m/>
    <x v="7"/>
    <s v="שירותים ממלכתיים"/>
    <x v="33"/>
    <s v="חינוך"/>
    <x v="106"/>
    <s v="חינוך קדם יסודי"/>
    <s v="8121"/>
    <s v="מינהל החינוך הקדם יסודי"/>
    <m/>
    <s v="4"/>
    <x v="15"/>
    <s v="46"/>
    <e v="#N/A"/>
    <s v="461"/>
    <e v="#N/A"/>
  </r>
  <r>
    <n v="521"/>
    <s v="81210"/>
    <n v="1"/>
    <s v="181210.521"/>
    <s v="הדרכה וכנסים                    "/>
    <m/>
    <m/>
    <n v="51000"/>
    <n v="51000"/>
    <n v="50150"/>
    <m/>
    <x v="7"/>
    <s v="שירותים ממלכתיים"/>
    <x v="33"/>
    <s v="חינוך"/>
    <x v="106"/>
    <s v="חינוך קדם יסודי"/>
    <s v="8121"/>
    <s v="מינהל החינוך הקדם יסודי"/>
    <m/>
    <s v="5"/>
    <x v="11"/>
    <s v="52"/>
    <s v="השתלמויות וספרות מקצועית"/>
    <s v="521"/>
    <s v="השתלמויות וספרות מקצועית"/>
  </r>
  <r>
    <n v="693"/>
    <s v="81210"/>
    <n v="1"/>
    <s v="181210.693"/>
    <s v="ביטוח ושירות מחשבים             "/>
    <m/>
    <m/>
    <n v="247000"/>
    <n v="247000"/>
    <n v="233699"/>
    <m/>
    <x v="7"/>
    <s v="שירותים ממלכתיים"/>
    <x v="33"/>
    <s v="חינוך"/>
    <x v="106"/>
    <s v="חינוך קדם יסודי"/>
    <s v="8121"/>
    <s v="מינהל החינוך הקדם יסודי"/>
    <m/>
    <s v="6"/>
    <x v="12"/>
    <s v="69"/>
    <s v="שונות"/>
    <s v="693"/>
    <s v="תשלום ע&quot;ח הצמדת ערך"/>
  </r>
  <r>
    <n v="751"/>
    <s v="81210"/>
    <n v="1"/>
    <s v="181210.751"/>
    <s v="מילוי ארגזי חול ע י שפ ע        "/>
    <m/>
    <m/>
    <n v="1021000"/>
    <n v="983000"/>
    <n v="958000"/>
    <m/>
    <x v="7"/>
    <s v="שירותים ממלכתיים"/>
    <x v="33"/>
    <s v="חינוך"/>
    <x v="106"/>
    <s v="חינוך קדם יסודי"/>
    <s v="8121"/>
    <s v="מינהל החינוך הקדם יסודי"/>
    <m/>
    <s v="7"/>
    <x v="13"/>
    <s v="75"/>
    <s v="עבודות קבלניות"/>
    <s v="751"/>
    <e v="#N/A"/>
  </r>
  <r>
    <n v="754"/>
    <s v="81210"/>
    <n v="1"/>
    <s v="181210.754"/>
    <s v="מתקני חצר-מכון התקנים ע י שפ ע  "/>
    <m/>
    <m/>
    <n v="510000"/>
    <n v="491000"/>
    <n v="478000"/>
    <m/>
    <x v="7"/>
    <s v="שירותים ממלכתיים"/>
    <x v="33"/>
    <s v="חינוך"/>
    <x v="106"/>
    <s v="חינוך קדם יסודי"/>
    <s v="8121"/>
    <s v="מינהל החינוך הקדם יסודי"/>
    <m/>
    <s v="7"/>
    <x v="13"/>
    <s v="75"/>
    <s v="עבודות קבלניות"/>
    <s v="754"/>
    <e v="#N/A"/>
  </r>
  <r>
    <n v="755"/>
    <s v="81210"/>
    <n v="1"/>
    <s v="181210.755"/>
    <s v="ניקיון באשכולות גני ילדים       "/>
    <m/>
    <m/>
    <n v="213000"/>
    <n v="289000"/>
    <n v="196271"/>
    <m/>
    <x v="7"/>
    <s v="שירותים ממלכתיים"/>
    <x v="33"/>
    <s v="חינוך"/>
    <x v="106"/>
    <s v="חינוך קדם יסודי"/>
    <s v="8121"/>
    <s v="מינהל החינוך הקדם יסודי"/>
    <m/>
    <s v="7"/>
    <x v="13"/>
    <s v="75"/>
    <s v="עבודות קבלניות"/>
    <s v="755"/>
    <e v="#N/A"/>
  </r>
  <r>
    <n v="791"/>
    <s v="81210"/>
    <n v="1"/>
    <s v="181210.791"/>
    <s v="עתודה לכיתות גן חדשות           "/>
    <m/>
    <m/>
    <n v="807000"/>
    <n v="807000"/>
    <n v="0"/>
    <m/>
    <x v="7"/>
    <s v="שירותים ממלכתיים"/>
    <x v="33"/>
    <s v="חינוך"/>
    <x v="106"/>
    <s v="חינוך קדם יסודי"/>
    <s v="8121"/>
    <s v="מינהל החינוך הקדם יסודי"/>
    <m/>
    <s v="7"/>
    <x v="13"/>
    <s v="79"/>
    <s v="השתתפות בתקציבי עזר 092"/>
    <s v="791"/>
    <e v="#N/A"/>
  </r>
  <r>
    <n v="861"/>
    <s v="81210"/>
    <n v="1"/>
    <s v="181210.861"/>
    <s v="פרויקט גינות אקולוגיות - יובל חי"/>
    <m/>
    <m/>
    <n v="190000"/>
    <n v="190000"/>
    <n v="165000"/>
    <m/>
    <x v="7"/>
    <s v="שירותים ממלכתיים"/>
    <x v="33"/>
    <s v="חינוך"/>
    <x v="106"/>
    <s v="חינוך קדם יסודי"/>
    <s v="8121"/>
    <s v="מינהל החינוך הקדם יסודי"/>
    <m/>
    <s v="8"/>
    <x v="16"/>
    <s v="86"/>
    <s v="הנחות"/>
    <s v="861"/>
    <e v="#N/A"/>
  </r>
  <r>
    <n v="862"/>
    <s v="81210"/>
    <n v="1"/>
    <s v="181210.862"/>
    <s v="תכנית סב גן - יובל חינוך        "/>
    <m/>
    <m/>
    <n v="25000"/>
    <n v="25000"/>
    <n v="0"/>
    <m/>
    <x v="7"/>
    <s v="שירותים ממלכתיים"/>
    <x v="33"/>
    <s v="חינוך"/>
    <x v="106"/>
    <s v="חינוך קדם יסודי"/>
    <s v="8121"/>
    <s v="מינהל החינוך הקדם יסודי"/>
    <m/>
    <s v="8"/>
    <x v="16"/>
    <s v="86"/>
    <s v="הנחות"/>
    <s v="862"/>
    <e v="#N/A"/>
  </r>
  <r>
    <n v="110"/>
    <s v="81220"/>
    <n v="1"/>
    <s v="181220.110"/>
    <s v="משכורת כוללת                    "/>
    <m/>
    <m/>
    <n v="20083000"/>
    <n v="19036000"/>
    <n v="17144806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1"/>
    <s v="השכר הקובע"/>
    <s v="110"/>
    <e v="#N/A"/>
  </r>
  <r>
    <n v="124"/>
    <s v="81220"/>
    <n v="1"/>
    <s v="181220.124"/>
    <s v="החזר הוצאות                     "/>
    <m/>
    <m/>
    <n v="1951000"/>
    <n v="1855000"/>
    <n v="1587943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2"/>
    <s v="תוספות שאינן נכללות בשכר הקובע"/>
    <s v="124"/>
    <e v="#N/A"/>
  </r>
  <r>
    <n v="126"/>
    <s v="81220"/>
    <n v="1"/>
    <s v="181220.126"/>
    <s v="הבראה                           "/>
    <m/>
    <m/>
    <n v="1581000"/>
    <n v="1495000"/>
    <n v="1291655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2"/>
    <s v="תוספות שאינן נכללות בשכר הקובע"/>
    <s v="126"/>
    <e v="#N/A"/>
  </r>
  <r>
    <n v="130"/>
    <s v="81220"/>
    <n v="1"/>
    <s v="181220.130"/>
    <s v="תשלומים מיוחדים                 "/>
    <m/>
    <m/>
    <n v="1807000"/>
    <n v="1810000"/>
    <n v="1561679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3"/>
    <s v="שעות נוספות"/>
    <s v="130"/>
    <e v="#N/A"/>
  </r>
  <r>
    <n v="160"/>
    <s v="81220"/>
    <n v="1"/>
    <s v="181220.160"/>
    <s v="עתודת שכר                       "/>
    <m/>
    <m/>
    <n v="203000"/>
    <n v="203000"/>
    <n v="0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6"/>
    <e v="#N/A"/>
    <s v="160"/>
    <e v="#N/A"/>
  </r>
  <r>
    <n v="171"/>
    <s v="81220"/>
    <n v="1"/>
    <s v="181220.171"/>
    <s v="סעיף שאינו חוזר                 "/>
    <m/>
    <m/>
    <n v="0"/>
    <n v="0"/>
    <n v="-19475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7"/>
    <e v="#N/A"/>
    <s v="171"/>
    <e v="#N/A"/>
  </r>
  <r>
    <n v="181"/>
    <s v="81220"/>
    <n v="1"/>
    <s v="181220.181"/>
    <s v="מיסים וביטוח לאומי              "/>
    <m/>
    <m/>
    <n v="3598000"/>
    <n v="3677000"/>
    <n v="2824485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8"/>
    <s v="נלוות לשכר"/>
    <s v="181"/>
    <s v="הפרשות סוציאליות"/>
  </r>
  <r>
    <n v="182"/>
    <s v="81220"/>
    <n v="1"/>
    <s v="181220.182"/>
    <s v="קופות גמל והשתלמות              "/>
    <m/>
    <m/>
    <n v="5700000"/>
    <n v="5281000"/>
    <n v="4444969"/>
    <m/>
    <x v="7"/>
    <s v="שירותים ממלכתיים"/>
    <x v="33"/>
    <s v="חינוך"/>
    <x v="106"/>
    <s v="חינוך קדם יסודי"/>
    <s v="8122"/>
    <s v="גני ילדים גיל חובה"/>
    <m/>
    <s v="1"/>
    <x v="9"/>
    <s v="18"/>
    <s v="נלוות לשכר"/>
    <s v="182"/>
    <s v="מיסיום ועלויות"/>
  </r>
  <r>
    <n v="230"/>
    <s v="81220"/>
    <n v="1"/>
    <s v="181220.230"/>
    <s v="משימות חולפות - 59              "/>
    <m/>
    <m/>
    <n v="3844000"/>
    <n v="3368000"/>
    <n v="1901640"/>
    <m/>
    <x v="7"/>
    <s v="שירותים ממלכתיים"/>
    <x v="33"/>
    <s v="חינוך"/>
    <x v="106"/>
    <s v="חינוך קדם יסודי"/>
    <s v="8122"/>
    <s v="גני ילדים גיל חובה"/>
    <m/>
    <s v="2"/>
    <x v="10"/>
    <s v="23"/>
    <s v="שעות נוספות"/>
    <s v="230"/>
    <e v="#N/A"/>
  </r>
  <r>
    <n v="250"/>
    <s v="81220"/>
    <n v="1"/>
    <s v="181220.250"/>
    <s v="עובדים יומיים - 1.74            "/>
    <m/>
    <m/>
    <n v="1771000"/>
    <n v="1725000"/>
    <n v="7089621"/>
    <m/>
    <x v="7"/>
    <s v="שירותים ממלכתיים"/>
    <x v="33"/>
    <s v="חינוך"/>
    <x v="106"/>
    <s v="חינוך קדם יסודי"/>
    <s v="8122"/>
    <s v="גני ילדים גיל חובה"/>
    <m/>
    <s v="2"/>
    <x v="10"/>
    <s v="25"/>
    <e v="#N/A"/>
    <s v="250"/>
    <e v="#N/A"/>
  </r>
  <r>
    <n v="310"/>
    <s v="81220"/>
    <n v="1"/>
    <s v="181220.310"/>
    <s v="שעות נוספות רשומות              "/>
    <m/>
    <m/>
    <n v="575000"/>
    <n v="549000"/>
    <n v="405979"/>
    <m/>
    <x v="7"/>
    <s v="שירותים ממלכתיים"/>
    <x v="33"/>
    <s v="חינוך"/>
    <x v="106"/>
    <s v="חינוך קדם יסודי"/>
    <s v="8122"/>
    <s v="גני ילדים גיל חובה"/>
    <m/>
    <s v="3"/>
    <x v="14"/>
    <s v="31"/>
    <s v="פנסיה"/>
    <s v="310"/>
    <e v="#N/A"/>
  </r>
  <r>
    <n v="411"/>
    <s v="81220"/>
    <n v="1"/>
    <s v="181220.411"/>
    <s v="שכר דירה ודמי חכירה             "/>
    <m/>
    <m/>
    <n v="963000"/>
    <n v="886000"/>
    <n v="666112"/>
    <m/>
    <x v="7"/>
    <s v="שירותים ממלכתיים"/>
    <x v="33"/>
    <s v="חינוך"/>
    <x v="106"/>
    <s v="חינוך קדם יסודי"/>
    <s v="8122"/>
    <s v="גני ילדים גיל חובה"/>
    <m/>
    <s v="4"/>
    <x v="15"/>
    <s v="41"/>
    <s v="שכר דירה ודמי חכירה"/>
    <s v="411"/>
    <e v="#N/A"/>
  </r>
  <r>
    <n v="431"/>
    <s v="81220"/>
    <n v="1"/>
    <s v="181220.431"/>
    <s v="מים                             "/>
    <m/>
    <m/>
    <n v="742000"/>
    <n v="972000"/>
    <n v="932000"/>
    <m/>
    <x v="7"/>
    <s v="שירותים ממלכתיים"/>
    <x v="33"/>
    <s v="חינוך"/>
    <x v="106"/>
    <s v="חינוך קדם יסודי"/>
    <s v="8122"/>
    <s v="גני ילדים גיל חובה"/>
    <m/>
    <s v="4"/>
    <x v="15"/>
    <s v="43"/>
    <s v="חשמל, מים וחומרי ניקיון"/>
    <s v="431"/>
    <s v="חשמל"/>
  </r>
  <r>
    <n v="435"/>
    <s v="81220"/>
    <n v="1"/>
    <s v="181220.435"/>
    <s v="חשמל ואנרגיה                    "/>
    <m/>
    <m/>
    <n v="1905000"/>
    <n v="1844000"/>
    <n v="1555462"/>
    <m/>
    <x v="7"/>
    <s v="שירותים ממלכתיים"/>
    <x v="33"/>
    <s v="חינוך"/>
    <x v="106"/>
    <s v="חינוך קדם יסודי"/>
    <s v="8122"/>
    <s v="גני ילדים גיל חובה"/>
    <m/>
    <s v="4"/>
    <x v="15"/>
    <s v="43"/>
    <s v="חשמל, מים וחומרי ניקיון"/>
    <s v="435"/>
    <e v="#N/A"/>
  </r>
  <r>
    <n v="436"/>
    <s v="81220"/>
    <n v="1"/>
    <s v="181220.436"/>
    <s v="חומרי ניקיון                    "/>
    <m/>
    <m/>
    <n v="218000"/>
    <n v="207000"/>
    <n v="144300"/>
    <m/>
    <x v="7"/>
    <s v="שירותים ממלכתיים"/>
    <x v="33"/>
    <s v="חינוך"/>
    <x v="106"/>
    <s v="חינוך קדם יסודי"/>
    <s v="8122"/>
    <s v="גני ילדים גיל חובה"/>
    <m/>
    <s v="4"/>
    <x v="15"/>
    <s v="43"/>
    <s v="חשמל, מים וחומרי ניקיון"/>
    <s v="436"/>
    <e v="#N/A"/>
  </r>
  <r>
    <n v="437"/>
    <s v="81220"/>
    <n v="1"/>
    <s v="181220.437"/>
    <s v="שמירה                           "/>
    <m/>
    <m/>
    <n v="5363000"/>
    <n v="5123000"/>
    <n v="5037446"/>
    <m/>
    <x v="7"/>
    <s v="שירותים ממלכתיים"/>
    <x v="33"/>
    <s v="חינוך"/>
    <x v="106"/>
    <s v="חינוך קדם יסודי"/>
    <s v="8122"/>
    <s v="גני ילדים גיל חובה"/>
    <m/>
    <s v="4"/>
    <x v="15"/>
    <s v="43"/>
    <s v="חשמל, מים וחומרי ניקיון"/>
    <s v="437"/>
    <e v="#N/A"/>
  </r>
  <r>
    <n v="670"/>
    <s v="81220"/>
    <n v="1"/>
    <s v="181220.670"/>
    <s v="סעיף שאינו חוזר                 "/>
    <m/>
    <m/>
    <n v="0"/>
    <n v="933000"/>
    <n v="790061"/>
    <m/>
    <x v="7"/>
    <s v="שירותים ממלכתיים"/>
    <x v="33"/>
    <s v="חינוך"/>
    <x v="106"/>
    <s v="חינוך קדם יסודי"/>
    <s v="8122"/>
    <s v="גני ילדים גיל חובה"/>
    <m/>
    <s v="6"/>
    <x v="12"/>
    <s v="67"/>
    <e v="#N/A"/>
    <s v="670"/>
    <e v="#N/A"/>
  </r>
  <r>
    <n v="722"/>
    <s v="81220"/>
    <n v="1"/>
    <s v="181220.722"/>
    <s v="חמרים מכשירים וציוד לימודי      "/>
    <m/>
    <m/>
    <n v="357000"/>
    <n v="769000"/>
    <n v="706849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2"/>
    <s v="חומרים"/>
    <s v="722"/>
    <e v="#N/A"/>
  </r>
  <r>
    <n v="724"/>
    <s v="81220"/>
    <n v="1"/>
    <s v="181220.724"/>
    <s v="חומרי לימוד-חינוך מיוחד הארכת שנ"/>
    <m/>
    <m/>
    <n v="230000"/>
    <n v="230000"/>
    <n v="185357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2"/>
    <s v="חומרים"/>
    <s v="724"/>
    <e v="#N/A"/>
  </r>
  <r>
    <n v="753"/>
    <s v="81220"/>
    <n v="1"/>
    <s v="181220.753"/>
    <s v="עבודות בקבלנות                  "/>
    <m/>
    <m/>
    <n v="196000"/>
    <n v="196000"/>
    <n v="180070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5"/>
    <s v="עבודות קבלניות"/>
    <s v="753"/>
    <e v="#N/A"/>
  </r>
  <r>
    <n v="759"/>
    <s v="81220"/>
    <n v="1"/>
    <s v="181220.759"/>
    <s v="שכר גננות חובה                  "/>
    <m/>
    <m/>
    <n v="34500000"/>
    <n v="0"/>
    <n v="0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5"/>
    <s v="עבודות קבלניות"/>
    <s v="759"/>
    <e v="#N/A"/>
  </r>
  <r>
    <n v="781"/>
    <s v="81220"/>
    <n v="1"/>
    <s v="181220.781"/>
    <s v="הוצאות אחזקה כלליות לגנים       "/>
    <m/>
    <m/>
    <n v="33000"/>
    <n v="32000"/>
    <n v="30000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8"/>
    <s v="הוצאות שונות"/>
    <s v="781"/>
    <e v="#N/A"/>
  </r>
  <r>
    <n v="783"/>
    <s v="81220"/>
    <n v="1"/>
    <s v="181220.783"/>
    <s v="אחזקת ציוד ורהוט                "/>
    <m/>
    <m/>
    <n v="33000"/>
    <n v="32000"/>
    <n v="30000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8"/>
    <s v="הוצאות שונות"/>
    <s v="783"/>
    <e v="#N/A"/>
  </r>
  <r>
    <n v="785"/>
    <s v="81220"/>
    <n v="1"/>
    <s v="181220.785"/>
    <s v="תקוני מבנים ומתקנים             "/>
    <m/>
    <m/>
    <n v="1518000"/>
    <n v="1577000"/>
    <n v="1681904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8"/>
    <s v="הוצאות שונות"/>
    <s v="785"/>
    <e v="#N/A"/>
  </r>
  <r>
    <n v="786"/>
    <s v="81220"/>
    <n v="1"/>
    <s v="181220.786"/>
    <s v="ארועים וחגיגות מרכזיות          "/>
    <m/>
    <m/>
    <n v="146000"/>
    <n v="76000"/>
    <n v="75970"/>
    <m/>
    <x v="7"/>
    <s v="שירותים ממלכתיים"/>
    <x v="33"/>
    <s v="חינוך"/>
    <x v="106"/>
    <s v="חינוך קדם יסודי"/>
    <s v="8122"/>
    <s v="גני ילדים גיל חובה"/>
    <m/>
    <s v="7"/>
    <x v="13"/>
    <s v="78"/>
    <s v="הוצאות שונות"/>
    <s v="786"/>
    <e v="#N/A"/>
  </r>
  <r>
    <n v="820"/>
    <s v="81220"/>
    <n v="1"/>
    <s v="181220.820"/>
    <s v="השתת' לסיוע לילדים-גני ל בשכונות"/>
    <m/>
    <m/>
    <n v="39000"/>
    <n v="39000"/>
    <n v="3898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2"/>
    <s v="הקצבות בהמלצת ועדת הקצבות"/>
    <s v="820"/>
    <e v="#N/A"/>
  </r>
  <r>
    <n v="858"/>
    <s v="81220"/>
    <n v="1"/>
    <s v="181220.858"/>
    <s v="אחזקת גנים במבנים-מוסדות חינוך  "/>
    <m/>
    <m/>
    <n v="50000"/>
    <n v="77000"/>
    <n v="7700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5"/>
    <s v="מלגות לתלמידים וסטודנטים"/>
    <s v="858"/>
    <e v="#N/A"/>
  </r>
  <r>
    <n v="861"/>
    <s v="81220"/>
    <n v="1"/>
    <s v="181220.861"/>
    <s v="אחזקת גנים במבנים של בתי ס      "/>
    <m/>
    <m/>
    <n v="363000"/>
    <n v="343000"/>
    <n v="606964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6"/>
    <s v="הנחות"/>
    <s v="861"/>
    <e v="#N/A"/>
  </r>
  <r>
    <n v="862"/>
    <s v="81220"/>
    <n v="1"/>
    <s v="181220.862"/>
    <s v="ניהול עצמי בחטיבות צעירות-יובל ח"/>
    <m/>
    <m/>
    <n v="682000"/>
    <n v="749000"/>
    <n v="755102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6"/>
    <s v="הנחות"/>
    <s v="862"/>
    <e v="#N/A"/>
  </r>
  <r>
    <n v="863"/>
    <s v="81220"/>
    <n v="1"/>
    <s v="181220.863"/>
    <s v="תיגבור אשכול בן יהודה מגג סולארי"/>
    <m/>
    <m/>
    <n v="11000"/>
    <n v="0"/>
    <n v="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6"/>
    <s v="הנחות"/>
    <s v="863"/>
    <e v="#N/A"/>
  </r>
  <r>
    <n v="864"/>
    <s v="81220"/>
    <n v="1"/>
    <s v="181220.864"/>
    <s v="הזנה לגני חנ מ-יובל חינוך       "/>
    <m/>
    <m/>
    <n v="620000"/>
    <n v="520000"/>
    <n v="497636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6"/>
    <s v="הנחות"/>
    <s v="864"/>
    <e v="#N/A"/>
  </r>
  <r>
    <n v="870"/>
    <s v="81220"/>
    <n v="1"/>
    <s v="181220.870"/>
    <s v="סעיף שאינו חוזר                 "/>
    <m/>
    <m/>
    <n v="0"/>
    <n v="0"/>
    <n v="41183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7"/>
    <s v="תמיכות ביחידות סמך ומוסדות הרשות"/>
    <s v="870"/>
    <e v="#N/A"/>
  </r>
  <r>
    <n v="881"/>
    <s v="81220"/>
    <n v="1"/>
    <s v="181220.881"/>
    <s v="השתת' לאקים - כתות גן           "/>
    <m/>
    <m/>
    <n v="333000"/>
    <n v="253000"/>
    <n v="16300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8"/>
    <e v="#N/A"/>
    <s v="881"/>
    <e v="#N/A"/>
  </r>
  <r>
    <n v="882"/>
    <s v="81220"/>
    <n v="1"/>
    <s v="181220.882"/>
    <s v="השתת' למעון יהודי ערבי ביפו-נעמ "/>
    <m/>
    <m/>
    <n v="102000"/>
    <n v="102000"/>
    <n v="10200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8"/>
    <e v="#N/A"/>
    <s v="882"/>
    <e v="#N/A"/>
  </r>
  <r>
    <n v="884"/>
    <s v="81220"/>
    <n v="1"/>
    <s v="181220.884"/>
    <s v="השתת' למרכז לילדים אשרמן        "/>
    <m/>
    <m/>
    <n v="40000"/>
    <n v="40000"/>
    <n v="40000"/>
    <m/>
    <x v="7"/>
    <s v="שירותים ממלכתיים"/>
    <x v="33"/>
    <s v="חינוך"/>
    <x v="106"/>
    <s v="חינוך קדם יסודי"/>
    <s v="8122"/>
    <s v="גני ילדים גיל חובה"/>
    <m/>
    <s v="8"/>
    <x v="16"/>
    <s v="88"/>
    <e v="#N/A"/>
    <s v="884"/>
    <e v="#N/A"/>
  </r>
  <r>
    <n v="110"/>
    <s v="81230"/>
    <n v="1"/>
    <s v="181230.110"/>
    <s v="משכורת כוללת                    "/>
    <m/>
    <m/>
    <n v="28125000"/>
    <n v="26768000"/>
    <n v="26124477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1"/>
    <s v="השכר הקובע"/>
    <s v="110"/>
    <e v="#N/A"/>
  </r>
  <r>
    <n v="124"/>
    <s v="81230"/>
    <n v="1"/>
    <s v="181230.124"/>
    <s v="החזר הוצאות                     "/>
    <m/>
    <m/>
    <n v="3007000"/>
    <n v="2151000"/>
    <n v="2131083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2"/>
    <s v="תוספות שאינן נכללות בשכר הקובע"/>
    <s v="124"/>
    <e v="#N/A"/>
  </r>
  <r>
    <n v="126"/>
    <s v="81230"/>
    <n v="1"/>
    <s v="181230.126"/>
    <s v="הבראה                           "/>
    <m/>
    <m/>
    <n v="2521000"/>
    <n v="1815000"/>
    <n v="1794557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2"/>
    <s v="תוספות שאינן נכללות בשכר הקובע"/>
    <s v="126"/>
    <e v="#N/A"/>
  </r>
  <r>
    <n v="130"/>
    <s v="81230"/>
    <n v="1"/>
    <s v="181230.130"/>
    <s v="תשלומים מיוחדים                 "/>
    <m/>
    <m/>
    <n v="2934000"/>
    <n v="2290000"/>
    <n v="2375293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3"/>
    <s v="שעות נוספות"/>
    <s v="130"/>
    <e v="#N/A"/>
  </r>
  <r>
    <n v="181"/>
    <s v="81230"/>
    <n v="1"/>
    <s v="181230.181"/>
    <s v="מיסים וביטוח לאומי              "/>
    <m/>
    <m/>
    <n v="5801000"/>
    <n v="4368000"/>
    <n v="3890630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8"/>
    <s v="נלוות לשכר"/>
    <s v="181"/>
    <s v="הפרשות סוציאליות"/>
  </r>
  <r>
    <n v="182"/>
    <s v="81230"/>
    <n v="1"/>
    <s v="181230.182"/>
    <s v="קופות גמל והשתלמות              "/>
    <m/>
    <m/>
    <n v="8787000"/>
    <n v="6126000"/>
    <n v="5927117"/>
    <m/>
    <x v="7"/>
    <s v="שירותים ממלכתיים"/>
    <x v="33"/>
    <s v="חינוך"/>
    <x v="106"/>
    <s v="חינוך קדם יסודי"/>
    <s v="8123"/>
    <s v="גני ילדים טרום חובה"/>
    <m/>
    <s v="1"/>
    <x v="9"/>
    <s v="18"/>
    <s v="נלוות לשכר"/>
    <s v="182"/>
    <s v="מיסיום ועלויות"/>
  </r>
  <r>
    <n v="230"/>
    <s v="81230"/>
    <n v="1"/>
    <s v="181230.230"/>
    <s v="משימות חולפות - 1.515           "/>
    <m/>
    <m/>
    <n v="9587000"/>
    <n v="108000"/>
    <n v="267455"/>
    <m/>
    <x v="7"/>
    <s v="שירותים ממלכתיים"/>
    <x v="33"/>
    <s v="חינוך"/>
    <x v="106"/>
    <s v="חינוך קדם יסודי"/>
    <s v="8123"/>
    <s v="גני ילדים טרום חובה"/>
    <m/>
    <s v="2"/>
    <x v="10"/>
    <s v="23"/>
    <s v="שעות נוספות"/>
    <s v="230"/>
    <e v="#N/A"/>
  </r>
  <r>
    <n v="250"/>
    <s v="81230"/>
    <n v="1"/>
    <s v="181230.250"/>
    <s v="עובדים יומיים - 3.26            "/>
    <m/>
    <m/>
    <n v="3328000"/>
    <n v="5026000"/>
    <n v="11715"/>
    <m/>
    <x v="7"/>
    <s v="שירותים ממלכתיים"/>
    <x v="33"/>
    <s v="חינוך"/>
    <x v="106"/>
    <s v="חינוך קדם יסודי"/>
    <s v="8123"/>
    <s v="גני ילדים טרום חובה"/>
    <m/>
    <s v="2"/>
    <x v="10"/>
    <s v="25"/>
    <e v="#N/A"/>
    <s v="250"/>
    <e v="#N/A"/>
  </r>
  <r>
    <n v="310"/>
    <s v="81230"/>
    <n v="1"/>
    <s v="181230.310"/>
    <s v="שעות נוספות רשומות              "/>
    <m/>
    <m/>
    <n v="271000"/>
    <n v="266000"/>
    <n v="299373"/>
    <m/>
    <x v="7"/>
    <s v="שירותים ממלכתיים"/>
    <x v="33"/>
    <s v="חינוך"/>
    <x v="106"/>
    <s v="חינוך קדם יסודי"/>
    <s v="8123"/>
    <s v="גני ילדים טרום חובה"/>
    <m/>
    <s v="3"/>
    <x v="14"/>
    <s v="31"/>
    <s v="פנסיה"/>
    <s v="310"/>
    <e v="#N/A"/>
  </r>
  <r>
    <n v="411"/>
    <s v="81230"/>
    <n v="1"/>
    <s v="181230.411"/>
    <s v="שכר דירה                        "/>
    <m/>
    <m/>
    <n v="54000"/>
    <n v="54000"/>
    <n v="47000"/>
    <m/>
    <x v="7"/>
    <s v="שירותים ממלכתיים"/>
    <x v="33"/>
    <s v="חינוך"/>
    <x v="106"/>
    <s v="חינוך קדם יסודי"/>
    <s v="8123"/>
    <s v="גני ילדים טרום חובה"/>
    <m/>
    <s v="4"/>
    <x v="15"/>
    <s v="41"/>
    <s v="שכר דירה ודמי חכירה"/>
    <s v="411"/>
    <e v="#N/A"/>
  </r>
  <r>
    <n v="431"/>
    <s v="81230"/>
    <n v="1"/>
    <s v="181230.431"/>
    <s v="מים                             "/>
    <m/>
    <m/>
    <n v="928000"/>
    <n v="707000"/>
    <n v="840577"/>
    <m/>
    <x v="7"/>
    <s v="שירותים ממלכתיים"/>
    <x v="33"/>
    <s v="חינוך"/>
    <x v="106"/>
    <s v="חינוך קדם יסודי"/>
    <s v="8123"/>
    <s v="גני ילדים טרום חובה"/>
    <m/>
    <s v="4"/>
    <x v="15"/>
    <s v="43"/>
    <s v="חשמל, מים וחומרי ניקיון"/>
    <s v="431"/>
    <s v="חשמל"/>
  </r>
  <r>
    <n v="435"/>
    <s v="81230"/>
    <n v="1"/>
    <s v="181230.435"/>
    <s v="חשמל ואנרגיה                    "/>
    <m/>
    <m/>
    <n v="2618000"/>
    <n v="2521000"/>
    <n v="2083315"/>
    <m/>
    <x v="7"/>
    <s v="שירותים ממלכתיים"/>
    <x v="33"/>
    <s v="חינוך"/>
    <x v="106"/>
    <s v="חינוך קדם יסודי"/>
    <s v="8123"/>
    <s v="גני ילדים טרום חובה"/>
    <m/>
    <s v="4"/>
    <x v="15"/>
    <s v="43"/>
    <s v="חשמל, מים וחומרי ניקיון"/>
    <s v="435"/>
    <e v="#N/A"/>
  </r>
  <r>
    <n v="436"/>
    <s v="81230"/>
    <n v="1"/>
    <s v="181230.436"/>
    <s v="נקיון                           "/>
    <m/>
    <m/>
    <n v="392000"/>
    <n v="376000"/>
    <n v="278000"/>
    <m/>
    <x v="7"/>
    <s v="שירותים ממלכתיים"/>
    <x v="33"/>
    <s v="חינוך"/>
    <x v="106"/>
    <s v="חינוך קדם יסודי"/>
    <s v="8123"/>
    <s v="גני ילדים טרום חובה"/>
    <m/>
    <s v="4"/>
    <x v="15"/>
    <s v="43"/>
    <s v="חשמל, מים וחומרי ניקיון"/>
    <s v="436"/>
    <e v="#N/A"/>
  </r>
  <r>
    <n v="722"/>
    <s v="81230"/>
    <n v="1"/>
    <s v="181230.722"/>
    <s v="חמרים מכשירים וציוד למודי       "/>
    <m/>
    <m/>
    <n v="815000"/>
    <n v="503000"/>
    <n v="482953"/>
    <m/>
    <x v="7"/>
    <s v="שירותים ממלכתיים"/>
    <x v="33"/>
    <s v="חינוך"/>
    <x v="106"/>
    <s v="חינוך קדם יסודי"/>
    <s v="8123"/>
    <s v="גני ילדים טרום חובה"/>
    <m/>
    <s v="7"/>
    <x v="13"/>
    <s v="72"/>
    <s v="חומרים"/>
    <s v="722"/>
    <e v="#N/A"/>
  </r>
  <r>
    <n v="759"/>
    <s v="81230"/>
    <n v="1"/>
    <s v="181230.759"/>
    <s v="החזר שכר גננות למשרד החינוך     "/>
    <m/>
    <m/>
    <n v="51760000"/>
    <n v="51982000"/>
    <n v="79665652"/>
    <m/>
    <x v="7"/>
    <s v="שירותים ממלכתיים"/>
    <x v="33"/>
    <s v="חינוך"/>
    <x v="106"/>
    <s v="חינוך קדם יסודי"/>
    <s v="8123"/>
    <s v="גני ילדים טרום חובה"/>
    <m/>
    <s v="7"/>
    <x v="13"/>
    <s v="75"/>
    <s v="עבודות קבלניות"/>
    <s v="759"/>
    <e v="#N/A"/>
  </r>
  <r>
    <n v="781"/>
    <s v="81230"/>
    <n v="1"/>
    <s v="181230.781"/>
    <s v="הוצאות אחזקה כלליות לגנים       "/>
    <m/>
    <m/>
    <n v="41000"/>
    <n v="39000"/>
    <n v="37950"/>
    <m/>
    <x v="7"/>
    <s v="שירותים ממלכתיים"/>
    <x v="33"/>
    <s v="חינוך"/>
    <x v="106"/>
    <s v="חינוך קדם יסודי"/>
    <s v="8123"/>
    <s v="גני ילדים טרום חובה"/>
    <m/>
    <s v="7"/>
    <x v="13"/>
    <s v="78"/>
    <s v="הוצאות שונות"/>
    <s v="781"/>
    <e v="#N/A"/>
  </r>
  <r>
    <n v="782"/>
    <s v="81230"/>
    <n v="1"/>
    <s v="181230.782"/>
    <s v="אחזקת ציוד ורהוט                "/>
    <m/>
    <m/>
    <n v="41000"/>
    <n v="39000"/>
    <n v="35970"/>
    <m/>
    <x v="7"/>
    <s v="שירותים ממלכתיים"/>
    <x v="33"/>
    <s v="חינוך"/>
    <x v="106"/>
    <s v="חינוך קדם יסודי"/>
    <s v="8123"/>
    <s v="גני ילדים טרום חובה"/>
    <m/>
    <s v="7"/>
    <x v="13"/>
    <s v="78"/>
    <s v="הוצאות שונות"/>
    <s v="782"/>
    <e v="#N/A"/>
  </r>
  <r>
    <n v="785"/>
    <s v="81230"/>
    <n v="1"/>
    <s v="181230.785"/>
    <s v="תקוני מבנים ומתקנים             "/>
    <m/>
    <m/>
    <n v="1761000"/>
    <n v="1805000"/>
    <n v="1708412"/>
    <m/>
    <x v="7"/>
    <s v="שירותים ממלכתיים"/>
    <x v="33"/>
    <s v="חינוך"/>
    <x v="106"/>
    <s v="חינוך קדם יסודי"/>
    <s v="8123"/>
    <s v="גני ילדים טרום חובה"/>
    <m/>
    <s v="7"/>
    <x v="13"/>
    <s v="78"/>
    <s v="הוצאות שונות"/>
    <s v="785"/>
    <e v="#N/A"/>
  </r>
  <r>
    <n v="694"/>
    <s v="81251"/>
    <n v="1"/>
    <s v="181251.694"/>
    <s v="רכישת מחשבים ולומדות            "/>
    <m/>
    <m/>
    <n v="143000"/>
    <n v="173000"/>
    <n v="130271"/>
    <m/>
    <x v="7"/>
    <s v="שירותים ממלכתיים"/>
    <x v="33"/>
    <s v="חינוך"/>
    <x v="106"/>
    <s v="חינוך קדם יסודי"/>
    <s v="8125"/>
    <s v="גני מועדון וצהרונים"/>
    <m/>
    <s v="6"/>
    <x v="12"/>
    <s v="69"/>
    <s v="שונות"/>
    <s v="694"/>
    <e v="#N/A"/>
  </r>
  <r>
    <n v="720"/>
    <s v="81251"/>
    <n v="1"/>
    <s v="181251.720"/>
    <s v="חמרים וציוד                     "/>
    <m/>
    <m/>
    <n v="120000"/>
    <n v="118000"/>
    <n v="115700"/>
    <m/>
    <x v="7"/>
    <s v="שירותים ממלכתיים"/>
    <x v="33"/>
    <s v="חינוך"/>
    <x v="106"/>
    <s v="חינוך קדם יסודי"/>
    <s v="8125"/>
    <s v="גני מועדון וצהרונים"/>
    <m/>
    <s v="7"/>
    <x v="13"/>
    <s v="72"/>
    <s v="חומרים"/>
    <s v="720"/>
    <e v="#N/A"/>
  </r>
  <r>
    <n v="752"/>
    <s v="81251"/>
    <n v="1"/>
    <s v="181251.752"/>
    <s v="הכשרה טרום תפקידית              "/>
    <m/>
    <m/>
    <n v="124000"/>
    <n v="124000"/>
    <n v="107741"/>
    <m/>
    <x v="7"/>
    <s v="שירותים ממלכתיים"/>
    <x v="33"/>
    <s v="חינוך"/>
    <x v="106"/>
    <s v="חינוך קדם יסודי"/>
    <s v="8125"/>
    <s v="גני מועדון וצהרונים"/>
    <m/>
    <s v="7"/>
    <x v="13"/>
    <s v="75"/>
    <s v="עבודות קבלניות"/>
    <s v="752"/>
    <e v="#N/A"/>
  </r>
  <r>
    <n v="783"/>
    <s v="81251"/>
    <n v="1"/>
    <s v="181251.783"/>
    <s v="יוזמות חינוכיות                 "/>
    <m/>
    <m/>
    <n v="13000"/>
    <n v="13000"/>
    <n v="12950"/>
    <m/>
    <x v="7"/>
    <s v="שירותים ממלכתיים"/>
    <x v="33"/>
    <s v="חינוך"/>
    <x v="106"/>
    <s v="חינוך קדם יסודי"/>
    <s v="8125"/>
    <s v="גני מועדון וצהרונים"/>
    <m/>
    <s v="7"/>
    <x v="13"/>
    <s v="78"/>
    <s v="הוצאות שונות"/>
    <s v="783"/>
    <e v="#N/A"/>
  </r>
  <r>
    <n v="861"/>
    <s v="81251"/>
    <n v="1"/>
    <s v="181251.861"/>
    <s v="תיגבור וסיוע לגנים-יובל חינוך   "/>
    <m/>
    <m/>
    <n v="833000"/>
    <n v="465000"/>
    <n v="465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1"/>
    <e v="#N/A"/>
  </r>
  <r>
    <n v="862"/>
    <s v="81251"/>
    <n v="1"/>
    <s v="181251.862"/>
    <s v="התחדשות לגיל הרך-יובל חינוך     "/>
    <m/>
    <m/>
    <n v="250000"/>
    <n v="250000"/>
    <n v="196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2"/>
    <e v="#N/A"/>
  </r>
  <r>
    <n v="863"/>
    <s v="81251"/>
    <n v="1"/>
    <s v="181251.863"/>
    <s v="כישורי הורות ותגבור בגני ל -יובל"/>
    <m/>
    <m/>
    <n v="400000"/>
    <n v="400000"/>
    <n v="418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3"/>
    <e v="#N/A"/>
  </r>
  <r>
    <n v="864"/>
    <s v="81251"/>
    <n v="1"/>
    <s v="181251.864"/>
    <s v="בנות שרות לאומי-גני ל-יובל חינוך"/>
    <m/>
    <m/>
    <n v="43000"/>
    <n v="43000"/>
    <n v="43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4"/>
    <e v="#N/A"/>
  </r>
  <r>
    <n v="865"/>
    <s v="81251"/>
    <n v="1"/>
    <s v="181251.865"/>
    <s v="סל תרבות-ע י יובל חינוך         "/>
    <m/>
    <m/>
    <n v="54000"/>
    <n v="30000"/>
    <n v="30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5"/>
    <e v="#N/A"/>
  </r>
  <r>
    <n v="866"/>
    <s v="81251"/>
    <n v="1"/>
    <s v="181251.866"/>
    <s v="ספר עד הבית הדרכת אמהות לגיל הרך"/>
    <m/>
    <m/>
    <n v="149000"/>
    <n v="169000"/>
    <n v="169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6"/>
    <e v="#N/A"/>
  </r>
  <r>
    <n v="867"/>
    <s v="81251"/>
    <n v="1"/>
    <s v="181251.867"/>
    <s v="פרוייקט מעג ן - יובל חינוך      "/>
    <m/>
    <m/>
    <n v="269000"/>
    <n v="269000"/>
    <n v="269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7"/>
    <e v="#N/A"/>
  </r>
  <r>
    <n v="868"/>
    <s v="81251"/>
    <n v="1"/>
    <s v="181251.868"/>
    <s v="מיומנויות יסוד בגני ל-יובל חינוך"/>
    <m/>
    <m/>
    <n v="432000"/>
    <n v="502000"/>
    <n v="332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8"/>
    <e v="#N/A"/>
  </r>
  <r>
    <n v="869"/>
    <s v="81251"/>
    <n v="1"/>
    <s v="181251.869"/>
    <s v="תוכניות לצמצום פערים-יובל חינוך "/>
    <m/>
    <m/>
    <n v="579000"/>
    <n v="579000"/>
    <n v="579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9"/>
    <e v="#N/A"/>
  </r>
  <r>
    <n v="861"/>
    <s v="81252"/>
    <n v="1"/>
    <s v="181252.861"/>
    <s v="מרכזים מדעיים-יובל חינוך        "/>
    <m/>
    <m/>
    <n v="325000"/>
    <n v="325000"/>
    <n v="331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1"/>
    <e v="#N/A"/>
  </r>
  <r>
    <n v="721"/>
    <s v="81253"/>
    <n v="1"/>
    <s v="181253.721"/>
    <s v="חומרים  מכשירים וציוד לימודי    "/>
    <m/>
    <m/>
    <n v="425000"/>
    <n v="0"/>
    <n v="0"/>
    <m/>
    <x v="7"/>
    <s v="שירותים ממלכתיים"/>
    <x v="33"/>
    <s v="חינוך"/>
    <x v="106"/>
    <s v="חינוך קדם יסודי"/>
    <s v="8125"/>
    <s v="גני מועדון וצהרונים"/>
    <m/>
    <s v="7"/>
    <x v="13"/>
    <s v="72"/>
    <s v="חומרים"/>
    <s v="721"/>
    <e v="#N/A"/>
  </r>
  <r>
    <n v="861"/>
    <s v="81253"/>
    <n v="1"/>
    <s v="181253.861"/>
    <s v="הפ' מועדוניות גן ע י יובל חינוך "/>
    <m/>
    <m/>
    <n v="19257000"/>
    <n v="19910000"/>
    <n v="19509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1"/>
    <e v="#N/A"/>
  </r>
  <r>
    <n v="863"/>
    <s v="81253"/>
    <n v="1"/>
    <s v="181253.863"/>
    <s v="השתלמויות למועדוניות גן-יובל חינ"/>
    <m/>
    <m/>
    <n v="120000"/>
    <n v="120000"/>
    <n v="91000"/>
    <m/>
    <x v="7"/>
    <s v="שירותים ממלכתיים"/>
    <x v="33"/>
    <s v="חינוך"/>
    <x v="106"/>
    <s v="חינוך קדם יסודי"/>
    <s v="8125"/>
    <s v="גני מועדון וצהרונים"/>
    <m/>
    <s v="8"/>
    <x v="16"/>
    <s v="86"/>
    <s v="הנחות"/>
    <s v="863"/>
    <e v="#N/A"/>
  </r>
  <r>
    <n v="110"/>
    <s v="81310"/>
    <n v="1"/>
    <s v="181310.110"/>
    <s v="משכורת כוללת                    "/>
    <m/>
    <m/>
    <n v="2723000"/>
    <n v="2884000"/>
    <n v="2542231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1"/>
    <s v="השכר הקובע"/>
    <s v="110"/>
    <e v="#N/A"/>
  </r>
  <r>
    <n v="124"/>
    <s v="81310"/>
    <n v="1"/>
    <s v="181310.124"/>
    <s v="החזר הוצאות                     "/>
    <m/>
    <m/>
    <n v="154000"/>
    <n v="144000"/>
    <n v="139577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2"/>
    <s v="תוספות שאינן נכללות בשכר הקובע"/>
    <s v="124"/>
    <e v="#N/A"/>
  </r>
  <r>
    <n v="126"/>
    <s v="81310"/>
    <n v="1"/>
    <s v="181310.126"/>
    <s v="הבראה                           "/>
    <m/>
    <m/>
    <n v="124000"/>
    <n v="127000"/>
    <n v="123074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2"/>
    <s v="תוספות שאינן נכללות בשכר הקובע"/>
    <s v="126"/>
    <e v="#N/A"/>
  </r>
  <r>
    <n v="127"/>
    <s v="81310"/>
    <n v="1"/>
    <s v="181310.127"/>
    <s v="השתתפות באחזקת רכב - 23         "/>
    <m/>
    <m/>
    <n v="580000"/>
    <n v="564000"/>
    <n v="542066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2"/>
    <s v="תוספות שאינן נכללות בשכר הקובע"/>
    <s v="127"/>
    <e v="#N/A"/>
  </r>
  <r>
    <n v="130"/>
    <s v="81310"/>
    <n v="1"/>
    <s v="181310.130"/>
    <s v="תשלומים מיוחדים                 "/>
    <m/>
    <m/>
    <n v="344000"/>
    <n v="351000"/>
    <n v="337379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3"/>
    <s v="שעות נוספות"/>
    <s v="130"/>
    <e v="#N/A"/>
  </r>
  <r>
    <n v="181"/>
    <s v="81310"/>
    <n v="1"/>
    <s v="181310.181"/>
    <s v="מיסים וביטוח לאומי              "/>
    <m/>
    <m/>
    <n v="514000"/>
    <n v="533000"/>
    <n v="486305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8"/>
    <s v="נלוות לשכר"/>
    <s v="181"/>
    <s v="הפרשות סוציאליות"/>
  </r>
  <r>
    <n v="182"/>
    <s v="81310"/>
    <n v="1"/>
    <s v="181310.182"/>
    <s v="קופות גמל והשתלמות              "/>
    <m/>
    <m/>
    <n v="560000"/>
    <n v="578000"/>
    <n v="504045"/>
    <m/>
    <x v="7"/>
    <s v="שירותים ממלכתיים"/>
    <x v="33"/>
    <s v="חינוך"/>
    <x v="107"/>
    <s v="חינוך יסודי"/>
    <s v="8131"/>
    <s v="מינהל החינוך היסודי"/>
    <m/>
    <s v="1"/>
    <x v="9"/>
    <s v="18"/>
    <s v="נלוות לשכר"/>
    <s v="182"/>
    <s v="מיסיום ועלויות"/>
  </r>
  <r>
    <n v="310"/>
    <s v="81310"/>
    <n v="1"/>
    <s v="181310.310"/>
    <s v="שעות נוספות רשומות              "/>
    <m/>
    <m/>
    <n v="6000"/>
    <n v="6000"/>
    <n v="64483"/>
    <m/>
    <x v="7"/>
    <s v="שירותים ממלכתיים"/>
    <x v="33"/>
    <s v="חינוך"/>
    <x v="107"/>
    <s v="חינוך יסודי"/>
    <s v="8131"/>
    <s v="מינהל החינוך היסודי"/>
    <m/>
    <s v="3"/>
    <x v="14"/>
    <s v="31"/>
    <s v="פנסיה"/>
    <s v="310"/>
    <e v="#N/A"/>
  </r>
  <r>
    <n v="340"/>
    <s v="81310"/>
    <n v="1"/>
    <s v="181310.340"/>
    <s v="שעות נוספות מיוחדות             "/>
    <m/>
    <m/>
    <n v="3000"/>
    <n v="3000"/>
    <n v="7907"/>
    <m/>
    <x v="7"/>
    <s v="שירותים ממלכתיים"/>
    <x v="33"/>
    <s v="חינוך"/>
    <x v="107"/>
    <s v="חינוך יסודי"/>
    <s v="8131"/>
    <s v="מינהל החינוך היסודי"/>
    <m/>
    <s v="3"/>
    <x v="14"/>
    <s v="34"/>
    <e v="#N/A"/>
    <s v="340"/>
    <e v="#N/A"/>
  </r>
  <r>
    <n v="432"/>
    <s v="81310"/>
    <n v="1"/>
    <s v="181310.432"/>
    <s v="תחזוקת החצר הגן                 "/>
    <m/>
    <m/>
    <n v="1247000"/>
    <n v="1227000"/>
    <n v="1063000"/>
    <m/>
    <x v="7"/>
    <s v="שירותים ממלכתיים"/>
    <x v="33"/>
    <s v="חינוך"/>
    <x v="107"/>
    <s v="חינוך יסודי"/>
    <s v="8131"/>
    <s v="מינהל החינוך היסודי"/>
    <m/>
    <s v="4"/>
    <x v="15"/>
    <s v="43"/>
    <s v="חשמל, מים וחומרי ניקיון"/>
    <s v="432"/>
    <s v="מים"/>
  </r>
  <r>
    <n v="433"/>
    <s v="81310"/>
    <n v="1"/>
    <s v="181310.433"/>
    <s v="ביטוח                           "/>
    <m/>
    <m/>
    <n v="2763000"/>
    <n v="2754000"/>
    <n v="2441380"/>
    <m/>
    <x v="7"/>
    <s v="שירותים ממלכתיים"/>
    <x v="33"/>
    <s v="חינוך"/>
    <x v="107"/>
    <s v="חינוך יסודי"/>
    <s v="8131"/>
    <s v="מינהל החינוך היסודי"/>
    <m/>
    <s v="4"/>
    <x v="15"/>
    <s v="43"/>
    <s v="חשמל, מים וחומרי ניקיון"/>
    <s v="433"/>
    <s v="חומרי ניקיון"/>
  </r>
  <r>
    <n v="461"/>
    <s v="81310"/>
    <n v="1"/>
    <s v="181310.461"/>
    <s v="צורכי משרד                      "/>
    <m/>
    <m/>
    <n v="18000"/>
    <n v="18000"/>
    <n v="11934"/>
    <m/>
    <x v="7"/>
    <s v="שירותים ממלכתיים"/>
    <x v="33"/>
    <s v="חינוך"/>
    <x v="107"/>
    <s v="חינוך יסודי"/>
    <s v="8131"/>
    <s v="מינהל החינוך היסודי"/>
    <m/>
    <s v="4"/>
    <x v="15"/>
    <s v="46"/>
    <e v="#N/A"/>
    <s v="461"/>
    <e v="#N/A"/>
  </r>
  <r>
    <n v="610"/>
    <s v="81310"/>
    <n v="1"/>
    <s v="181310.610"/>
    <s v="כיבודים                         "/>
    <m/>
    <m/>
    <n v="8000"/>
    <n v="8000"/>
    <n v="7914"/>
    <m/>
    <x v="7"/>
    <s v="שירותים ממלכתיים"/>
    <x v="33"/>
    <s v="חינוך"/>
    <x v="107"/>
    <s v="חינוך יסודי"/>
    <s v="8131"/>
    <s v="מינהל החינוך היסודי"/>
    <m/>
    <s v="6"/>
    <x v="12"/>
    <s v="61"/>
    <s v="עמלות"/>
    <s v="610"/>
    <e v="#N/A"/>
  </r>
  <r>
    <n v="670"/>
    <s v="81310"/>
    <n v="1"/>
    <s v="181310.670"/>
    <s v="ס. שאינו חוזר                   "/>
    <m/>
    <m/>
    <n v="0"/>
    <n v="8000"/>
    <n v="9566"/>
    <m/>
    <x v="7"/>
    <s v="שירותים ממלכתיים"/>
    <x v="33"/>
    <s v="חינוך"/>
    <x v="107"/>
    <s v="חינוך יסודי"/>
    <s v="8131"/>
    <s v="מינהל החינוך היסודי"/>
    <m/>
    <s v="6"/>
    <x v="12"/>
    <s v="67"/>
    <e v="#N/A"/>
    <s v="670"/>
    <e v="#N/A"/>
  </r>
  <r>
    <n v="693"/>
    <s v="81310"/>
    <n v="1"/>
    <s v="181310.693"/>
    <s v="ביטוח ושירות מחשבים             "/>
    <m/>
    <m/>
    <n v="1909000"/>
    <n v="1909000"/>
    <n v="2075247"/>
    <m/>
    <x v="7"/>
    <s v="שירותים ממלכתיים"/>
    <x v="33"/>
    <s v="חינוך"/>
    <x v="107"/>
    <s v="חינוך יסודי"/>
    <s v="8131"/>
    <s v="מינהל החינוך היסודי"/>
    <m/>
    <s v="6"/>
    <x v="12"/>
    <s v="69"/>
    <s v="שונות"/>
    <s v="693"/>
    <s v="תשלום ע&quot;ח הצמדת ערך"/>
  </r>
  <r>
    <n v="694"/>
    <s v="81310"/>
    <n v="1"/>
    <s v="181310.694"/>
    <s v="השתת. ביוזמות מחשוב בית ספר     "/>
    <m/>
    <m/>
    <n v="320000"/>
    <n v="320000"/>
    <n v="319786"/>
    <m/>
    <x v="7"/>
    <s v="שירותים ממלכתיים"/>
    <x v="33"/>
    <s v="חינוך"/>
    <x v="107"/>
    <s v="חינוך יסודי"/>
    <s v="8131"/>
    <s v="מינהל החינוך היסודי"/>
    <m/>
    <s v="6"/>
    <x v="12"/>
    <s v="69"/>
    <s v="שונות"/>
    <s v="694"/>
    <e v="#N/A"/>
  </r>
  <r>
    <n v="781"/>
    <s v="81310"/>
    <n v="1"/>
    <s v="181310.781"/>
    <s v="בתי ס בניהול עצמי-יובל חינוך    "/>
    <m/>
    <m/>
    <n v="15243000"/>
    <n v="14745000"/>
    <n v="14329733"/>
    <m/>
    <x v="7"/>
    <s v="שירותים ממלכתיים"/>
    <x v="33"/>
    <s v="חינוך"/>
    <x v="107"/>
    <s v="חינוך יסודי"/>
    <s v="8131"/>
    <s v="מינהל החינוך היסודי"/>
    <m/>
    <s v="7"/>
    <x v="13"/>
    <s v="78"/>
    <s v="הוצאות שונות"/>
    <s v="781"/>
    <e v="#N/A"/>
  </r>
  <r>
    <n v="782"/>
    <s v="81310"/>
    <n v="1"/>
    <s v="181310.782"/>
    <s v="תיגבור בתי ס בניהול עצמי        "/>
    <m/>
    <m/>
    <n v="209000"/>
    <n v="209000"/>
    <n v="209000"/>
    <m/>
    <x v="7"/>
    <s v="שירותים ממלכתיים"/>
    <x v="33"/>
    <s v="חינוך"/>
    <x v="107"/>
    <s v="חינוך יסודי"/>
    <s v="8131"/>
    <s v="מינהל החינוך היסודי"/>
    <m/>
    <s v="7"/>
    <x v="13"/>
    <s v="78"/>
    <s v="הוצאות שונות"/>
    <s v="782"/>
    <e v="#N/A"/>
  </r>
  <r>
    <n v="783"/>
    <s v="81310"/>
    <n v="1"/>
    <s v="181310.783"/>
    <s v="יוזמות פדגוגיות חינוך יסודי     "/>
    <m/>
    <m/>
    <n v="93000"/>
    <n v="93000"/>
    <n v="168980"/>
    <m/>
    <x v="7"/>
    <s v="שירותים ממלכתיים"/>
    <x v="33"/>
    <s v="חינוך"/>
    <x v="107"/>
    <s v="חינוך יסודי"/>
    <s v="8131"/>
    <s v="מינהל החינוך היסודי"/>
    <m/>
    <s v="7"/>
    <x v="13"/>
    <s v="78"/>
    <s v="הוצאות שונות"/>
    <s v="783"/>
    <e v="#N/A"/>
  </r>
  <r>
    <n v="784"/>
    <s v="81310"/>
    <n v="1"/>
    <s v="181310.784"/>
    <s v="פרויקט התיקשוב                  "/>
    <m/>
    <m/>
    <n v="5712000"/>
    <n v="5129000"/>
    <n v="4874469"/>
    <m/>
    <x v="7"/>
    <s v="שירותים ממלכתיים"/>
    <x v="33"/>
    <s v="חינוך"/>
    <x v="107"/>
    <s v="חינוך יסודי"/>
    <s v="8131"/>
    <s v="מינהל החינוך היסודי"/>
    <m/>
    <s v="7"/>
    <x v="13"/>
    <s v="78"/>
    <s v="הוצאות שונות"/>
    <s v="784"/>
    <e v="#N/A"/>
  </r>
  <r>
    <n v="791"/>
    <s v="81310"/>
    <n v="1"/>
    <s v="181310.791"/>
    <s v="עתודה לפתיחת בתי ספר יסודיים    "/>
    <m/>
    <m/>
    <n v="642000"/>
    <n v="0"/>
    <n v="0"/>
    <m/>
    <x v="7"/>
    <s v="שירותים ממלכתיים"/>
    <x v="33"/>
    <s v="חינוך"/>
    <x v="107"/>
    <s v="חינוך יסודי"/>
    <s v="8131"/>
    <s v="מינהל החינוך היסודי"/>
    <m/>
    <s v="7"/>
    <x v="13"/>
    <s v="79"/>
    <s v="השתתפות בתקציבי עזר 092"/>
    <s v="791"/>
    <e v="#N/A"/>
  </r>
  <r>
    <n v="861"/>
    <s v="81310"/>
    <n v="1"/>
    <s v="181310.861"/>
    <s v="תגבור מורים בבתי הספר היסודיים-י"/>
    <m/>
    <m/>
    <n v="1200000"/>
    <n v="0"/>
    <n v="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1"/>
    <e v="#N/A"/>
  </r>
  <r>
    <n v="862"/>
    <s v="81310"/>
    <n v="1"/>
    <s v="181310.862"/>
    <s v="סל תרבות ע י יובל חינוך         "/>
    <m/>
    <m/>
    <n v="93000"/>
    <n v="56000"/>
    <n v="56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2"/>
    <e v="#N/A"/>
  </r>
  <r>
    <n v="863"/>
    <s v="81310"/>
    <n v="1"/>
    <s v="181310.863"/>
    <s v="פרוייקט חינוך לשוני מתוקשב-יובל "/>
    <m/>
    <m/>
    <n v="145000"/>
    <n v="145000"/>
    <n v="150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3"/>
    <e v="#N/A"/>
  </r>
  <r>
    <n v="864"/>
    <s v="81310"/>
    <n v="1"/>
    <s v="181310.864"/>
    <s v="אסיסטנטים לחדרי מחשב-יובל חינוך "/>
    <m/>
    <m/>
    <n v="7268000"/>
    <n v="6763000"/>
    <n v="6252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4"/>
    <e v="#N/A"/>
  </r>
  <r>
    <n v="865"/>
    <s v="81310"/>
    <n v="1"/>
    <s v="181310.865"/>
    <s v="מיומנויות יסוד בחינוך יסודי-יובל"/>
    <m/>
    <m/>
    <n v="100000"/>
    <n v="100000"/>
    <n v="100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5"/>
    <e v="#N/A"/>
  </r>
  <r>
    <n v="866"/>
    <s v="81310"/>
    <n v="1"/>
    <s v="181310.866"/>
    <s v="תלמידים מצטינים בדרום-יובל חינוך"/>
    <m/>
    <m/>
    <n v="150000"/>
    <n v="150000"/>
    <n v="150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6"/>
    <e v="#N/A"/>
  </r>
  <r>
    <n v="867"/>
    <s v="81310"/>
    <n v="1"/>
    <s v="181310.867"/>
    <s v="אולפן לעולים מאתיופיה-יובל חינוך"/>
    <m/>
    <m/>
    <n v="75000"/>
    <n v="75000"/>
    <n v="75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7"/>
    <e v="#N/A"/>
  </r>
  <r>
    <n v="868"/>
    <s v="81310"/>
    <n v="1"/>
    <s v="181310.868"/>
    <s v="אולפן לילדי דראפור-יובל חינוך   "/>
    <m/>
    <m/>
    <n v="25000"/>
    <n v="25000"/>
    <n v="2500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8"/>
    <e v="#N/A"/>
  </r>
  <r>
    <n v="869"/>
    <s v="81310"/>
    <n v="1"/>
    <s v="181310.869"/>
    <s v="אולפן לעולים מצרפת -יובל חינוך  "/>
    <m/>
    <m/>
    <n v="80000"/>
    <n v="0"/>
    <n v="0"/>
    <m/>
    <x v="7"/>
    <s v="שירותים ממלכתיים"/>
    <x v="33"/>
    <s v="חינוך"/>
    <x v="107"/>
    <s v="חינוך יסודי"/>
    <s v="8131"/>
    <s v="מינהל החינוך היסודי"/>
    <m/>
    <s v="8"/>
    <x v="16"/>
    <s v="86"/>
    <s v="הנחות"/>
    <s v="869"/>
    <e v="#N/A"/>
  </r>
  <r>
    <n v="110"/>
    <s v="81323"/>
    <n v="1"/>
    <s v="181323.110"/>
    <s v="משכורת כוללת                    "/>
    <m/>
    <m/>
    <n v="8201000"/>
    <n v="8266000"/>
    <n v="7429131"/>
    <m/>
    <x v="7"/>
    <s v="שירותים ממלכתיים"/>
    <x v="33"/>
    <s v="חינוך"/>
    <x v="107"/>
    <s v="חינוך יסודי"/>
    <s v="8132"/>
    <s v="בתי״ס יסודיים"/>
    <m/>
    <s v="1"/>
    <x v="9"/>
    <s v="11"/>
    <s v="השכר הקובע"/>
    <s v="110"/>
    <e v="#N/A"/>
  </r>
  <r>
    <n v="124"/>
    <s v="81323"/>
    <n v="1"/>
    <s v="181323.124"/>
    <s v="החזר הוצאות                     "/>
    <m/>
    <m/>
    <n v="666000"/>
    <n v="659000"/>
    <n v="612350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4"/>
    <e v="#N/A"/>
  </r>
  <r>
    <n v="126"/>
    <s v="81323"/>
    <n v="1"/>
    <s v="181323.126"/>
    <s v="הבראה                           "/>
    <m/>
    <m/>
    <n v="547000"/>
    <n v="554000"/>
    <n v="499308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6"/>
    <e v="#N/A"/>
  </r>
  <r>
    <n v="127"/>
    <s v="81323"/>
    <n v="1"/>
    <s v="181323.127"/>
    <s v="השתתפות באחזקת רכב-80           "/>
    <m/>
    <m/>
    <n v="1572000"/>
    <n v="1416000"/>
    <n v="1327586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7"/>
    <e v="#N/A"/>
  </r>
  <r>
    <n v="130"/>
    <s v="81323"/>
    <n v="1"/>
    <s v="181323.130"/>
    <s v="תשלומים מיוחדים                 "/>
    <m/>
    <m/>
    <n v="1715000"/>
    <n v="1651000"/>
    <n v="1532957"/>
    <m/>
    <x v="7"/>
    <s v="שירותים ממלכתיים"/>
    <x v="33"/>
    <s v="חינוך"/>
    <x v="107"/>
    <s v="חינוך יסודי"/>
    <s v="8132"/>
    <s v="בתי״ס יסודיים"/>
    <m/>
    <s v="1"/>
    <x v="9"/>
    <s v="13"/>
    <s v="שעות נוספות"/>
    <s v="130"/>
    <e v="#N/A"/>
  </r>
  <r>
    <n v="181"/>
    <s v="81323"/>
    <n v="1"/>
    <s v="181323.181"/>
    <s v="מיסים וביטוח לאומי              "/>
    <m/>
    <m/>
    <n v="1795000"/>
    <n v="1784000"/>
    <n v="1576119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1"/>
    <s v="הפרשות סוציאליות"/>
  </r>
  <r>
    <n v="182"/>
    <s v="81323"/>
    <n v="1"/>
    <s v="181323.182"/>
    <s v="קופות גמל והשתלמות              "/>
    <m/>
    <m/>
    <n v="1829000"/>
    <n v="1859000"/>
    <n v="1654572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2"/>
    <s v="מיסיום ועלויות"/>
  </r>
  <r>
    <n v="250"/>
    <s v="81323"/>
    <n v="1"/>
    <s v="181323.250"/>
    <s v="עובדים יומיים -10               "/>
    <m/>
    <m/>
    <n v="1081000"/>
    <n v="1048000"/>
    <n v="735774"/>
    <m/>
    <x v="7"/>
    <s v="שירותים ממלכתיים"/>
    <x v="33"/>
    <s v="חינוך"/>
    <x v="107"/>
    <s v="חינוך יסודי"/>
    <s v="8132"/>
    <s v="בתי״ס יסודיים"/>
    <m/>
    <s v="2"/>
    <x v="10"/>
    <s v="25"/>
    <e v="#N/A"/>
    <s v="250"/>
    <e v="#N/A"/>
  </r>
  <r>
    <n v="310"/>
    <s v="81323"/>
    <n v="1"/>
    <s v="181323.310"/>
    <s v="שעות נוספות רשומות              "/>
    <m/>
    <m/>
    <n v="748000"/>
    <n v="734000"/>
    <n v="644364"/>
    <m/>
    <x v="7"/>
    <s v="שירותים ממלכתיים"/>
    <x v="33"/>
    <s v="חינוך"/>
    <x v="107"/>
    <s v="חינוך יסודי"/>
    <s v="8132"/>
    <s v="בתי״ס יסודיים"/>
    <m/>
    <s v="3"/>
    <x v="14"/>
    <s v="31"/>
    <s v="פנסיה"/>
    <s v="310"/>
    <e v="#N/A"/>
  </r>
  <r>
    <n v="340"/>
    <s v="81323"/>
    <n v="1"/>
    <s v="181323.340"/>
    <s v="שעות נוספות מיוחדות             "/>
    <m/>
    <m/>
    <n v="275000"/>
    <n v="270000"/>
    <n v="328798"/>
    <m/>
    <x v="7"/>
    <s v="שירותים ממלכתיים"/>
    <x v="33"/>
    <s v="חינוך"/>
    <x v="107"/>
    <s v="חינוך יסודי"/>
    <s v="8132"/>
    <s v="בתי״ס יסודיים"/>
    <m/>
    <s v="3"/>
    <x v="14"/>
    <s v="34"/>
    <e v="#N/A"/>
    <s v="340"/>
    <e v="#N/A"/>
  </r>
  <r>
    <n v="399"/>
    <s v="81323"/>
    <n v="1"/>
    <s v="181323.399"/>
    <s v="החזר בגין שעות נוספות מיוחדות   "/>
    <m/>
    <m/>
    <n v="-351000"/>
    <n v="-344000"/>
    <n v="-416751"/>
    <m/>
    <x v="7"/>
    <s v="שירותים ממלכתיים"/>
    <x v="33"/>
    <s v="חינוך"/>
    <x v="107"/>
    <s v="חינוך יסודי"/>
    <s v="8132"/>
    <s v="בתי״ס יסודיים"/>
    <m/>
    <s v="3"/>
    <x v="14"/>
    <s v="39"/>
    <e v="#N/A"/>
    <s v="399"/>
    <e v="#N/A"/>
  </r>
  <r>
    <n v="110"/>
    <s v="81324"/>
    <n v="1"/>
    <s v="181324.110"/>
    <s v="משכורת כוללת                    "/>
    <m/>
    <m/>
    <n v="16400000"/>
    <n v="15423000"/>
    <n v="14673934"/>
    <m/>
    <x v="7"/>
    <s v="שירותים ממלכתיים"/>
    <x v="33"/>
    <s v="חינוך"/>
    <x v="107"/>
    <s v="חינוך יסודי"/>
    <s v="8132"/>
    <s v="בתי״ס יסודיים"/>
    <m/>
    <s v="1"/>
    <x v="9"/>
    <s v="11"/>
    <s v="השכר הקובע"/>
    <s v="110"/>
    <e v="#N/A"/>
  </r>
  <r>
    <n v="124"/>
    <s v="81324"/>
    <n v="1"/>
    <s v="181324.124"/>
    <s v="החזר הוצאות                     "/>
    <m/>
    <m/>
    <n v="1498000"/>
    <n v="1423000"/>
    <n v="1368730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4"/>
    <e v="#N/A"/>
  </r>
  <r>
    <n v="126"/>
    <s v="81324"/>
    <n v="1"/>
    <s v="181324.126"/>
    <s v="הבראה                           "/>
    <m/>
    <m/>
    <n v="1271000"/>
    <n v="1197000"/>
    <n v="1174978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6"/>
    <e v="#N/A"/>
  </r>
  <r>
    <n v="127"/>
    <s v="81324"/>
    <n v="1"/>
    <s v="181324.127"/>
    <s v="השתתפות באחזקת רכב -49          "/>
    <m/>
    <m/>
    <n v="1093000"/>
    <n v="1010000"/>
    <n v="885344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7"/>
    <e v="#N/A"/>
  </r>
  <r>
    <n v="130"/>
    <s v="81324"/>
    <n v="1"/>
    <s v="181324.130"/>
    <s v="תשלומים מיוחדים                 "/>
    <m/>
    <m/>
    <n v="4927000"/>
    <n v="4711000"/>
    <n v="4295156"/>
    <m/>
    <x v="7"/>
    <s v="שירותים ממלכתיים"/>
    <x v="33"/>
    <s v="חינוך"/>
    <x v="107"/>
    <s v="חינוך יסודי"/>
    <s v="8132"/>
    <s v="בתי״ס יסודיים"/>
    <m/>
    <s v="1"/>
    <x v="9"/>
    <s v="13"/>
    <s v="שעות נוספות"/>
    <s v="130"/>
    <e v="#N/A"/>
  </r>
  <r>
    <n v="181"/>
    <s v="81324"/>
    <n v="1"/>
    <s v="181324.181"/>
    <s v="מיסים וביטוח לאומי              "/>
    <m/>
    <m/>
    <n v="3443000"/>
    <n v="3226000"/>
    <n v="2843218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1"/>
    <s v="הפרשות סוציאליות"/>
  </r>
  <r>
    <n v="182"/>
    <s v="81324"/>
    <n v="1"/>
    <s v="181324.182"/>
    <s v="קופות גמל והשתלמות              "/>
    <m/>
    <m/>
    <n v="4185000"/>
    <n v="3873000"/>
    <n v="3647339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2"/>
    <s v="מיסיום ועלויות"/>
  </r>
  <r>
    <n v="250"/>
    <s v="81324"/>
    <n v="1"/>
    <s v="181324.250"/>
    <s v="עובדים יומיים -14.30            "/>
    <m/>
    <m/>
    <n v="1545000"/>
    <n v="1542000"/>
    <n v="1549554"/>
    <m/>
    <x v="7"/>
    <s v="שירותים ממלכתיים"/>
    <x v="33"/>
    <s v="חינוך"/>
    <x v="107"/>
    <s v="חינוך יסודי"/>
    <s v="8132"/>
    <s v="בתי״ס יסודיים"/>
    <m/>
    <s v="2"/>
    <x v="10"/>
    <s v="25"/>
    <e v="#N/A"/>
    <s v="250"/>
    <e v="#N/A"/>
  </r>
  <r>
    <n v="310"/>
    <s v="81324"/>
    <n v="1"/>
    <s v="181324.310"/>
    <s v="שעות נוספות רשומות              "/>
    <m/>
    <m/>
    <n v="919000"/>
    <n v="893000"/>
    <n v="1432264"/>
    <m/>
    <x v="7"/>
    <s v="שירותים ממלכתיים"/>
    <x v="33"/>
    <s v="חינוך"/>
    <x v="107"/>
    <s v="חינוך יסודי"/>
    <s v="8132"/>
    <s v="בתי״ס יסודיים"/>
    <m/>
    <s v="3"/>
    <x v="14"/>
    <s v="31"/>
    <s v="פנסיה"/>
    <s v="310"/>
    <e v="#N/A"/>
  </r>
  <r>
    <n v="340"/>
    <s v="81324"/>
    <n v="1"/>
    <s v="181324.340"/>
    <s v="שעות נוספות מיוחדות             "/>
    <m/>
    <m/>
    <n v="97000"/>
    <n v="95000"/>
    <n v="109599"/>
    <m/>
    <x v="7"/>
    <s v="שירותים ממלכתיים"/>
    <x v="33"/>
    <s v="חינוך"/>
    <x v="107"/>
    <s v="חינוך יסודי"/>
    <s v="8132"/>
    <s v="בתי״ס יסודיים"/>
    <m/>
    <s v="3"/>
    <x v="14"/>
    <s v="34"/>
    <e v="#N/A"/>
    <s v="340"/>
    <e v="#N/A"/>
  </r>
  <r>
    <n v="399"/>
    <s v="81324"/>
    <n v="1"/>
    <s v="181324.399"/>
    <s v="החזר בגין שעות נוספות מיוחדות   "/>
    <m/>
    <m/>
    <n v="-116000"/>
    <n v="-114000"/>
    <n v="-138918"/>
    <m/>
    <x v="7"/>
    <s v="שירותים ממלכתיים"/>
    <x v="33"/>
    <s v="חינוך"/>
    <x v="107"/>
    <s v="חינוך יסודי"/>
    <s v="8132"/>
    <s v="בתי״ס יסודיים"/>
    <m/>
    <s v="3"/>
    <x v="14"/>
    <s v="39"/>
    <e v="#N/A"/>
    <s v="399"/>
    <e v="#N/A"/>
  </r>
  <r>
    <n v="411"/>
    <s v="81324"/>
    <n v="1"/>
    <s v="181324.411"/>
    <s v="שכר דירה ודמי חכירה             "/>
    <m/>
    <m/>
    <n v="117000"/>
    <n v="114000"/>
    <n v="110091"/>
    <m/>
    <x v="7"/>
    <s v="שירותים ממלכתיים"/>
    <x v="33"/>
    <s v="חינוך"/>
    <x v="107"/>
    <s v="חינוך יסודי"/>
    <s v="8132"/>
    <s v="בתי״ס יסודיים"/>
    <m/>
    <s v="4"/>
    <x v="15"/>
    <s v="41"/>
    <s v="שכר דירה ודמי חכירה"/>
    <s v="411"/>
    <e v="#N/A"/>
  </r>
  <r>
    <n v="436"/>
    <s v="81324"/>
    <n v="1"/>
    <s v="181324.436"/>
    <s v="נקיון                           "/>
    <m/>
    <m/>
    <n v="17000"/>
    <n v="17000"/>
    <n v="0"/>
    <m/>
    <x v="7"/>
    <s v="שירותים ממלכתיים"/>
    <x v="33"/>
    <s v="חינוך"/>
    <x v="107"/>
    <s v="חינוך יסודי"/>
    <s v="8132"/>
    <s v="בתי״ס יסודיים"/>
    <m/>
    <s v="4"/>
    <x v="15"/>
    <s v="43"/>
    <s v="חשמל, מים וחומרי ניקיון"/>
    <s v="436"/>
    <e v="#N/A"/>
  </r>
  <r>
    <n v="437"/>
    <s v="81324"/>
    <n v="1"/>
    <s v="181324.437"/>
    <s v="שמירה                           "/>
    <m/>
    <m/>
    <n v="12001000"/>
    <n v="10518000"/>
    <n v="10816000"/>
    <m/>
    <x v="7"/>
    <s v="שירותים ממלכתיים"/>
    <x v="33"/>
    <s v="חינוך"/>
    <x v="107"/>
    <s v="חינוך יסודי"/>
    <s v="8132"/>
    <s v="בתי״ס יסודיים"/>
    <m/>
    <s v="4"/>
    <x v="15"/>
    <s v="43"/>
    <s v="חשמל, מים וחומרי ניקיון"/>
    <s v="437"/>
    <e v="#N/A"/>
  </r>
  <r>
    <n v="751"/>
    <s v="81324"/>
    <n v="1"/>
    <s v="181324.751"/>
    <s v="עבודה בקבלנות - נקיון בתי ס     "/>
    <m/>
    <m/>
    <n v="994000"/>
    <n v="1019000"/>
    <n v="949379"/>
    <m/>
    <x v="7"/>
    <s v="שירותים ממלכתיים"/>
    <x v="33"/>
    <s v="חינוך"/>
    <x v="107"/>
    <s v="חינוך יסודי"/>
    <s v="8132"/>
    <s v="בתי״ס יסודיים"/>
    <m/>
    <s v="7"/>
    <x v="13"/>
    <s v="75"/>
    <s v="עבודות קבלניות"/>
    <s v="751"/>
    <e v="#N/A"/>
  </r>
  <r>
    <n v="782"/>
    <s v="81324"/>
    <n v="1"/>
    <s v="181324.782"/>
    <s v="תחזוקת ציוד משקי ורהוט          "/>
    <m/>
    <m/>
    <n v="8000"/>
    <n v="8000"/>
    <n v="656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2"/>
    <e v="#N/A"/>
  </r>
  <r>
    <n v="784"/>
    <s v="81324"/>
    <n v="1"/>
    <s v="181324.784"/>
    <s v="הקצבות מיוחדות לבתיהס בשכונות   "/>
    <m/>
    <m/>
    <n v="30000"/>
    <n v="30000"/>
    <n v="3200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4"/>
    <e v="#N/A"/>
  </r>
  <r>
    <n v="785"/>
    <s v="81324"/>
    <n v="1"/>
    <s v="181324.785"/>
    <s v="תקוני מבנים ומתקנים             "/>
    <m/>
    <m/>
    <n v="1666000"/>
    <n v="1796000"/>
    <n v="156744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5"/>
    <e v="#N/A"/>
  </r>
  <r>
    <n v="787"/>
    <s v="81324"/>
    <n v="1"/>
    <s v="181324.787"/>
    <s v="אחזקת אולם ספורט שורשים         "/>
    <m/>
    <m/>
    <n v="50000"/>
    <n v="50000"/>
    <n v="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7"/>
    <e v="#N/A"/>
  </r>
  <r>
    <n v="861"/>
    <s v="81324"/>
    <n v="1"/>
    <s v="181324.861"/>
    <s v="קבלני ניקיון - יובל חינוך       "/>
    <m/>
    <m/>
    <n v="2057000"/>
    <n v="1992000"/>
    <n v="1857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1"/>
    <e v="#N/A"/>
  </r>
  <r>
    <n v="862"/>
    <s v="81324"/>
    <n v="1"/>
    <s v="181324.862"/>
    <s v="הפעלת אולם ספורט ביה ס שורשים-יו"/>
    <m/>
    <m/>
    <n v="80000"/>
    <n v="0"/>
    <n v="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2"/>
    <e v="#N/A"/>
  </r>
  <r>
    <n v="863"/>
    <s v="81324"/>
    <n v="1"/>
    <s v="181324.863"/>
    <s v="תגבור בתי ספר מגגות סולרים      "/>
    <m/>
    <m/>
    <n v="246000"/>
    <n v="198000"/>
    <n v="132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3"/>
    <e v="#N/A"/>
  </r>
  <r>
    <n v="865"/>
    <s v="81324"/>
    <n v="1"/>
    <s v="181324.865"/>
    <s v="אחזקת אולם ספורט חסן ערפה-יובל ח"/>
    <m/>
    <m/>
    <n v="50000"/>
    <n v="0"/>
    <n v="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5"/>
    <e v="#N/A"/>
  </r>
  <r>
    <n v="694"/>
    <s v="81325"/>
    <n v="1"/>
    <s v="181325.694"/>
    <s v="רכישת מחשבים ולומדות            "/>
    <m/>
    <m/>
    <n v="54000"/>
    <n v="54000"/>
    <n v="54000"/>
    <m/>
    <x v="7"/>
    <s v="שירותים ממלכתיים"/>
    <x v="33"/>
    <s v="חינוך"/>
    <x v="107"/>
    <s v="חינוך יסודי"/>
    <s v="8132"/>
    <s v="בתי״ס יסודיים"/>
    <m/>
    <s v="6"/>
    <x v="12"/>
    <s v="69"/>
    <s v="שונות"/>
    <s v="694"/>
    <e v="#N/A"/>
  </r>
  <r>
    <n v="721"/>
    <s v="81325"/>
    <n v="1"/>
    <s v="181325.721"/>
    <s v="חומרים וציוד-יוחא י יסודיים     "/>
    <m/>
    <m/>
    <n v="243000"/>
    <n v="243000"/>
    <n v="243000"/>
    <m/>
    <x v="7"/>
    <s v="שירותים ממלכתיים"/>
    <x v="33"/>
    <s v="חינוך"/>
    <x v="107"/>
    <s v="חינוך יסודי"/>
    <s v="8132"/>
    <s v="בתי״ס יסודיים"/>
    <m/>
    <s v="7"/>
    <x v="13"/>
    <s v="72"/>
    <s v="חומרים"/>
    <s v="721"/>
    <e v="#N/A"/>
  </r>
  <r>
    <n v="753"/>
    <s v="81325"/>
    <n v="1"/>
    <s v="181325.753"/>
    <s v="טיפוח הרובד העליון בשכ' הדרום   "/>
    <m/>
    <m/>
    <n v="54000"/>
    <n v="54000"/>
    <n v="54000"/>
    <m/>
    <x v="7"/>
    <s v="שירותים ממלכתיים"/>
    <x v="33"/>
    <s v="חינוך"/>
    <x v="107"/>
    <s v="חינוך יסודי"/>
    <s v="8132"/>
    <s v="בתי״ס יסודיים"/>
    <m/>
    <s v="7"/>
    <x v="13"/>
    <s v="75"/>
    <s v="עבודות קבלניות"/>
    <s v="753"/>
    <e v="#N/A"/>
  </r>
  <r>
    <n v="784"/>
    <s v="81325"/>
    <n v="1"/>
    <s v="181325.784"/>
    <s v="השתלמויות מורים וסייעות         "/>
    <m/>
    <m/>
    <n v="62000"/>
    <n v="62000"/>
    <n v="6000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4"/>
    <e v="#N/A"/>
  </r>
  <r>
    <n v="785"/>
    <s v="81325"/>
    <n v="1"/>
    <s v="181325.785"/>
    <s v="עידוד ופיתוח יוזמות בבתי ספר    "/>
    <m/>
    <m/>
    <n v="30000"/>
    <n v="30000"/>
    <n v="30189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5"/>
    <e v="#N/A"/>
  </r>
  <r>
    <n v="821"/>
    <s v="81325"/>
    <n v="1"/>
    <s v="181325.821"/>
    <s v="הנחות לנזקקים                   "/>
    <m/>
    <m/>
    <n v="404000"/>
    <n v="404000"/>
    <n v="404000"/>
    <m/>
    <x v="7"/>
    <s v="שירותים ממלכתיים"/>
    <x v="33"/>
    <s v="חינוך"/>
    <x v="107"/>
    <s v="חינוך יסודי"/>
    <s v="8132"/>
    <s v="בתי״ס יסודיים"/>
    <m/>
    <s v="8"/>
    <x v="16"/>
    <s v="82"/>
    <s v="הקצבות בהמלצת ועדת הקצבות"/>
    <s v="821"/>
    <e v="#N/A"/>
  </r>
  <r>
    <n v="822"/>
    <s v="81325"/>
    <n v="1"/>
    <s v="181325.822"/>
    <s v="סיוע תלמידים עולים              "/>
    <m/>
    <m/>
    <n v="270000"/>
    <n v="220000"/>
    <n v="246876"/>
    <m/>
    <x v="7"/>
    <s v="שירותים ממלכתיים"/>
    <x v="33"/>
    <s v="חינוך"/>
    <x v="107"/>
    <s v="חינוך יסודי"/>
    <s v="8132"/>
    <s v="בתי״ס יסודיים"/>
    <m/>
    <s v="8"/>
    <x v="16"/>
    <s v="82"/>
    <s v="הקצבות בהמלצת ועדת הקצבות"/>
    <s v="822"/>
    <e v="#N/A"/>
  </r>
  <r>
    <n v="852"/>
    <s v="81325"/>
    <n v="1"/>
    <s v="181325.852"/>
    <s v="מרכזי למידה במרכזים קהילתים-מוסד"/>
    <m/>
    <m/>
    <n v="1616000"/>
    <n v="1080000"/>
    <n v="480000"/>
    <m/>
    <x v="7"/>
    <s v="שירותים ממלכתיים"/>
    <x v="33"/>
    <s v="חינוך"/>
    <x v="107"/>
    <s v="חינוך יסודי"/>
    <s v="8132"/>
    <s v="בתי״ס יסודיים"/>
    <m/>
    <s v="8"/>
    <x v="16"/>
    <s v="85"/>
    <s v="מלגות לתלמידים וסטודנטים"/>
    <s v="852"/>
    <e v="#N/A"/>
  </r>
  <r>
    <n v="858"/>
    <s v="81325"/>
    <n v="1"/>
    <s v="181325.858"/>
    <s v="פע' חברתית בשכ' התקוה-ע י חב'מוס"/>
    <m/>
    <m/>
    <n v="292000"/>
    <n v="289000"/>
    <n v="289000"/>
    <m/>
    <x v="7"/>
    <s v="שירותים ממלכתיים"/>
    <x v="33"/>
    <s v="חינוך"/>
    <x v="107"/>
    <s v="חינוך יסודי"/>
    <s v="8132"/>
    <s v="בתי״ס יסודיים"/>
    <m/>
    <s v="8"/>
    <x v="16"/>
    <s v="85"/>
    <s v="מלגות לתלמידים וסטודנטים"/>
    <s v="858"/>
    <e v="#N/A"/>
  </r>
  <r>
    <n v="861"/>
    <s v="81325"/>
    <n v="1"/>
    <s v="181325.861"/>
    <s v="יוחא י-הפעלה באמצעות יובל חינוך "/>
    <m/>
    <m/>
    <n v="6256000"/>
    <n v="6256000"/>
    <n v="7138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1"/>
    <e v="#N/A"/>
  </r>
  <r>
    <n v="862"/>
    <s v="81325"/>
    <n v="1"/>
    <s v="181325.862"/>
    <s v="פנימיות יום ייחודיות-יובל חינוך "/>
    <m/>
    <m/>
    <n v="500000"/>
    <n v="500000"/>
    <n v="485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2"/>
    <e v="#N/A"/>
  </r>
  <r>
    <n v="863"/>
    <s v="81325"/>
    <n v="1"/>
    <s v="181325.863"/>
    <s v="פרוייקט הזנה-באמצעות יובל חינוך "/>
    <m/>
    <m/>
    <n v="6794000"/>
    <n v="5365000"/>
    <n v="5074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3"/>
    <e v="#N/A"/>
  </r>
  <r>
    <n v="864"/>
    <s v="81325"/>
    <n v="1"/>
    <s v="181325.864"/>
    <s v="מועדוניות בשיתוף עמותות-יובל חינ"/>
    <m/>
    <m/>
    <n v="224000"/>
    <n v="224000"/>
    <n v="22425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4"/>
    <e v="#N/A"/>
  </r>
  <r>
    <n v="865"/>
    <s v="81325"/>
    <n v="1"/>
    <s v="181325.865"/>
    <s v="העשרה וטיפוח בשכונות-יובל חינוך "/>
    <m/>
    <m/>
    <n v="199000"/>
    <n v="199000"/>
    <n v="178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5"/>
    <e v="#N/A"/>
  </r>
  <r>
    <n v="866"/>
    <s v="81325"/>
    <n v="1"/>
    <s v="181325.866"/>
    <s v="פנימיות יום-יובל חינוך          "/>
    <m/>
    <m/>
    <n v="858000"/>
    <n v="858000"/>
    <n v="715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6"/>
    <e v="#N/A"/>
  </r>
  <r>
    <n v="868"/>
    <s v="81325"/>
    <n v="1"/>
    <s v="181325.868"/>
    <s v="פרויקטים בחינוך היסודי -יובל חינ"/>
    <m/>
    <m/>
    <n v="470000"/>
    <n v="470000"/>
    <n v="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8"/>
    <e v="#N/A"/>
  </r>
  <r>
    <n v="869"/>
    <s v="81325"/>
    <n v="1"/>
    <s v="181325.869"/>
    <s v="פרוייקט התחדשות-יסודי-יובל חינוך"/>
    <m/>
    <m/>
    <n v="145000"/>
    <n v="145000"/>
    <n v="123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9"/>
    <e v="#N/A"/>
  </r>
  <r>
    <n v="870"/>
    <s v="81325"/>
    <n v="1"/>
    <s v="181325.870"/>
    <s v="ס. שאינו חוזר                   "/>
    <m/>
    <m/>
    <n v="0"/>
    <n v="63000"/>
    <n v="63000"/>
    <m/>
    <x v="7"/>
    <s v="שירותים ממלכתיים"/>
    <x v="33"/>
    <s v="חינוך"/>
    <x v="107"/>
    <s v="חינוך יסודי"/>
    <s v="8132"/>
    <s v="בתי״ס יסודיים"/>
    <m/>
    <s v="8"/>
    <x v="16"/>
    <s v="87"/>
    <s v="תמיכות ביחידות סמך ומוסדות הרשות"/>
    <s v="870"/>
    <e v="#N/A"/>
  </r>
  <r>
    <n v="881"/>
    <s v="81325"/>
    <n v="1"/>
    <s v="181325.881"/>
    <s v="השתתפות לחמד ע                  "/>
    <m/>
    <m/>
    <n v="18000"/>
    <n v="18000"/>
    <n v="18000"/>
    <m/>
    <x v="7"/>
    <s v="שירותים ממלכתיים"/>
    <x v="33"/>
    <s v="חינוך"/>
    <x v="107"/>
    <s v="חינוך יסודי"/>
    <s v="8132"/>
    <s v="בתי״ס יסודיים"/>
    <m/>
    <s v="8"/>
    <x v="16"/>
    <s v="88"/>
    <e v="#N/A"/>
    <s v="881"/>
    <e v="#N/A"/>
  </r>
  <r>
    <n v="882"/>
    <s v="81325"/>
    <n v="1"/>
    <s v="181325.882"/>
    <s v="תוכ' לקידום תלמידים אתיופים-המרכ"/>
    <m/>
    <m/>
    <n v="428000"/>
    <n v="528000"/>
    <n v="530000"/>
    <m/>
    <x v="7"/>
    <s v="שירותים ממלכתיים"/>
    <x v="33"/>
    <s v="חינוך"/>
    <x v="107"/>
    <s v="חינוך יסודי"/>
    <s v="8132"/>
    <s v="בתי״ס יסודיים"/>
    <m/>
    <s v="8"/>
    <x v="16"/>
    <s v="88"/>
    <e v="#N/A"/>
    <s v="882"/>
    <e v="#N/A"/>
  </r>
  <r>
    <n v="883"/>
    <s v="81325"/>
    <n v="1"/>
    <s v="181325.883"/>
    <s v="מרכז העשרה למחוננים             "/>
    <m/>
    <m/>
    <n v="158000"/>
    <n v="100000"/>
    <n v="30000"/>
    <m/>
    <x v="7"/>
    <s v="שירותים ממלכתיים"/>
    <x v="33"/>
    <s v="חינוך"/>
    <x v="107"/>
    <s v="חינוך יסודי"/>
    <s v="8132"/>
    <s v="בתי״ס יסודיים"/>
    <m/>
    <s v="8"/>
    <x v="16"/>
    <s v="88"/>
    <e v="#N/A"/>
    <s v="883"/>
    <e v="#N/A"/>
  </r>
  <r>
    <n v="781"/>
    <s v="81326"/>
    <n v="1"/>
    <s v="181326.781"/>
    <s v="ספרים לספריות                   "/>
    <m/>
    <m/>
    <n v="43000"/>
    <n v="43000"/>
    <n v="42970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1"/>
    <e v="#N/A"/>
  </r>
  <r>
    <n v="782"/>
    <s v="81326"/>
    <n v="1"/>
    <s v="181326.782"/>
    <s v="ספרי מתנות לבוגרים              "/>
    <m/>
    <m/>
    <n v="65000"/>
    <n v="65000"/>
    <n v="63501"/>
    <m/>
    <x v="7"/>
    <s v="שירותים ממלכתיים"/>
    <x v="33"/>
    <s v="חינוך"/>
    <x v="107"/>
    <s v="חינוך יסודי"/>
    <s v="8132"/>
    <s v="בתי״ס יסודיים"/>
    <m/>
    <s v="7"/>
    <x v="13"/>
    <s v="78"/>
    <s v="הוצאות שונות"/>
    <s v="782"/>
    <e v="#N/A"/>
  </r>
  <r>
    <n v="861"/>
    <s v="81326"/>
    <n v="1"/>
    <s v="181326.861"/>
    <s v="השאלת ספרים יסודי - ס. שאינו חוז"/>
    <m/>
    <m/>
    <n v="0"/>
    <n v="0"/>
    <n v="388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1"/>
    <e v="#N/A"/>
  </r>
  <r>
    <n v="862"/>
    <s v="81326"/>
    <n v="1"/>
    <s v="181326.862"/>
    <s v="הפעלת ספריה ביה ס נופים-יובל חינ"/>
    <m/>
    <m/>
    <n v="53000"/>
    <n v="53000"/>
    <n v="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2"/>
    <e v="#N/A"/>
  </r>
  <r>
    <n v="863"/>
    <s v="81326"/>
    <n v="1"/>
    <s v="181326.863"/>
    <s v="ספרים ומכשירי כתיבה -יובל חינוך "/>
    <m/>
    <m/>
    <n v="144000"/>
    <n v="144000"/>
    <n v="144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3"/>
    <e v="#N/A"/>
  </r>
  <r>
    <n v="721"/>
    <s v="81327"/>
    <n v="1"/>
    <s v="181327.721"/>
    <s v="מכשירי לימוד וציוד              "/>
    <m/>
    <m/>
    <n v="34000"/>
    <n v="34000"/>
    <n v="32894"/>
    <m/>
    <x v="7"/>
    <s v="שירותים ממלכתיים"/>
    <x v="33"/>
    <s v="חינוך"/>
    <x v="107"/>
    <s v="חינוך יסודי"/>
    <s v="8132"/>
    <s v="בתי״ס יסודיים"/>
    <m/>
    <s v="7"/>
    <x v="13"/>
    <s v="72"/>
    <s v="חומרים"/>
    <s v="721"/>
    <e v="#N/A"/>
  </r>
  <r>
    <n v="722"/>
    <s v="81327"/>
    <n v="1"/>
    <s v="181327.722"/>
    <s v="חמרי עבודה                      "/>
    <m/>
    <m/>
    <n v="120000"/>
    <n v="120000"/>
    <n v="119999"/>
    <m/>
    <x v="7"/>
    <s v="שירותים ממלכתיים"/>
    <x v="33"/>
    <s v="חינוך"/>
    <x v="107"/>
    <s v="חינוך יסודי"/>
    <s v="8132"/>
    <s v="בתי״ס יסודיים"/>
    <m/>
    <s v="7"/>
    <x v="13"/>
    <s v="72"/>
    <s v="חומרים"/>
    <s v="722"/>
    <e v="#N/A"/>
  </r>
  <r>
    <n v="724"/>
    <s v="81327"/>
    <n v="1"/>
    <s v="181327.724"/>
    <s v="דמי שכפול לבתי ס יסודיים        "/>
    <m/>
    <m/>
    <n v="230000"/>
    <n v="230000"/>
    <n v="259709"/>
    <m/>
    <x v="7"/>
    <s v="שירותים ממלכתיים"/>
    <x v="33"/>
    <s v="חינוך"/>
    <x v="107"/>
    <s v="חינוך יסודי"/>
    <s v="8132"/>
    <s v="בתי״ס יסודיים"/>
    <m/>
    <s v="7"/>
    <x v="13"/>
    <s v="72"/>
    <s v="חומרים"/>
    <s v="724"/>
    <e v="#N/A"/>
  </r>
  <r>
    <n v="751"/>
    <s v="81327"/>
    <n v="1"/>
    <s v="181327.751"/>
    <s v="עבודות בקבלנות-תיקון מתקנים וציו"/>
    <m/>
    <m/>
    <n v="51000"/>
    <n v="51000"/>
    <n v="0"/>
    <m/>
    <x v="7"/>
    <s v="שירותים ממלכתיים"/>
    <x v="33"/>
    <s v="חינוך"/>
    <x v="107"/>
    <s v="חינוך יסודי"/>
    <s v="8132"/>
    <s v="בתי״ס יסודיים"/>
    <m/>
    <s v="7"/>
    <x v="13"/>
    <s v="75"/>
    <s v="עבודות קבלניות"/>
    <s v="751"/>
    <e v="#N/A"/>
  </r>
  <r>
    <n v="981"/>
    <s v="81327"/>
    <n v="1"/>
    <s v="181327.981"/>
    <s v="רכישת ציוד לחינוך גופני         "/>
    <m/>
    <m/>
    <n v="51000"/>
    <n v="50000"/>
    <n v="50000"/>
    <m/>
    <x v="7"/>
    <s v="שירותים ממלכתיים"/>
    <x v="33"/>
    <s v="חינוך"/>
    <x v="107"/>
    <s v="חינוך יסודי"/>
    <s v="8132"/>
    <s v="בתי״ס יסודיים"/>
    <m/>
    <s v="9"/>
    <x v="17"/>
    <s v="98"/>
    <s v="הוצאות אחרות"/>
    <s v="981"/>
    <e v="#N/A"/>
  </r>
  <r>
    <n v="982"/>
    <s v="81327"/>
    <n v="1"/>
    <s v="181327.982"/>
    <s v="רכישת ציוד - הקצבות משרד החינוך "/>
    <m/>
    <m/>
    <n v="100000"/>
    <n v="100000"/>
    <n v="80048"/>
    <m/>
    <x v="7"/>
    <s v="שירותים ממלכתיים"/>
    <x v="33"/>
    <s v="חינוך"/>
    <x v="107"/>
    <s v="חינוך יסודי"/>
    <s v="8132"/>
    <s v="בתי״ס יסודיים"/>
    <m/>
    <s v="9"/>
    <x v="17"/>
    <s v="98"/>
    <s v="הוצאות אחרות"/>
    <s v="982"/>
    <e v="#N/A"/>
  </r>
  <r>
    <n v="110"/>
    <s v="81328"/>
    <n v="1"/>
    <s v="181328.110"/>
    <s v="משכורת כוללת                    "/>
    <m/>
    <m/>
    <n v="917000"/>
    <n v="916000"/>
    <n v="885398"/>
    <m/>
    <x v="7"/>
    <s v="שירותים ממלכתיים"/>
    <x v="33"/>
    <s v="חינוך"/>
    <x v="107"/>
    <s v="חינוך יסודי"/>
    <s v="8132"/>
    <s v="בתי״ס יסודיים"/>
    <m/>
    <s v="1"/>
    <x v="9"/>
    <s v="11"/>
    <s v="השכר הקובע"/>
    <s v="110"/>
    <e v="#N/A"/>
  </r>
  <r>
    <n v="124"/>
    <s v="81328"/>
    <n v="1"/>
    <s v="181328.124"/>
    <s v="החזר הוצאות                     "/>
    <m/>
    <m/>
    <n v="60000"/>
    <n v="59000"/>
    <n v="57823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4"/>
    <e v="#N/A"/>
  </r>
  <r>
    <n v="126"/>
    <s v="81328"/>
    <n v="1"/>
    <s v="181328.126"/>
    <s v="הבראה                           "/>
    <m/>
    <m/>
    <n v="55000"/>
    <n v="57000"/>
    <n v="56458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6"/>
    <e v="#N/A"/>
  </r>
  <r>
    <n v="127"/>
    <s v="81328"/>
    <n v="1"/>
    <s v="181328.127"/>
    <s v="השתתפות באחזקת רכב - 5          "/>
    <m/>
    <m/>
    <n v="112000"/>
    <n v="120000"/>
    <n v="112442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7"/>
    <e v="#N/A"/>
  </r>
  <r>
    <n v="130"/>
    <s v="81328"/>
    <n v="1"/>
    <s v="181328.130"/>
    <s v="תשלומים מיוחדים                 "/>
    <m/>
    <m/>
    <n v="190000"/>
    <n v="204000"/>
    <n v="199089"/>
    <m/>
    <x v="7"/>
    <s v="שירותים ממלכתיים"/>
    <x v="33"/>
    <s v="חינוך"/>
    <x v="107"/>
    <s v="חינוך יסודי"/>
    <s v="8132"/>
    <s v="בתי״ס יסודיים"/>
    <m/>
    <s v="1"/>
    <x v="9"/>
    <s v="13"/>
    <s v="שעות נוספות"/>
    <s v="130"/>
    <e v="#N/A"/>
  </r>
  <r>
    <n v="181"/>
    <s v="81328"/>
    <n v="1"/>
    <s v="181328.181"/>
    <s v="מיסים וביטוח לאומי              "/>
    <m/>
    <m/>
    <n v="181000"/>
    <n v="184000"/>
    <n v="179003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1"/>
    <s v="הפרשות סוציאליות"/>
  </r>
  <r>
    <n v="182"/>
    <s v="81328"/>
    <n v="1"/>
    <s v="181328.182"/>
    <s v="קופות גמל והשתלמות              "/>
    <m/>
    <m/>
    <n v="214000"/>
    <n v="225000"/>
    <n v="210426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2"/>
    <s v="מיסיום ועלויות"/>
  </r>
  <r>
    <n v="230"/>
    <s v="81328"/>
    <n v="1"/>
    <s v="181328.230"/>
    <s v="משימה חולפת - 0.5               "/>
    <m/>
    <m/>
    <n v="51000"/>
    <n v="50000"/>
    <n v="0"/>
    <m/>
    <x v="7"/>
    <s v="שירותים ממלכתיים"/>
    <x v="33"/>
    <s v="חינוך"/>
    <x v="107"/>
    <s v="חינוך יסודי"/>
    <s v="8132"/>
    <s v="בתי״ס יסודיים"/>
    <m/>
    <s v="2"/>
    <x v="10"/>
    <s v="23"/>
    <s v="שעות נוספות"/>
    <s v="230"/>
    <e v="#N/A"/>
  </r>
  <r>
    <n v="437"/>
    <s v="81328"/>
    <n v="1"/>
    <s v="181328.437"/>
    <s v="שמירה                           "/>
    <m/>
    <m/>
    <n v="315000"/>
    <n v="290000"/>
    <n v="244362"/>
    <m/>
    <x v="7"/>
    <s v="שירותים ממלכתיים"/>
    <x v="33"/>
    <s v="חינוך"/>
    <x v="107"/>
    <s v="חינוך יסודי"/>
    <s v="8132"/>
    <s v="בתי״ס יסודיים"/>
    <m/>
    <s v="4"/>
    <x v="15"/>
    <s v="43"/>
    <s v="חשמל, מים וחומרי ניקיון"/>
    <s v="437"/>
    <e v="#N/A"/>
  </r>
  <r>
    <n v="511"/>
    <s v="81328"/>
    <n v="1"/>
    <s v="181328.511"/>
    <s v="הסעת תלמידים                    "/>
    <m/>
    <m/>
    <n v="2950000"/>
    <n v="3000000"/>
    <n v="2829994"/>
    <m/>
    <x v="7"/>
    <s v="שירותים ממלכתיים"/>
    <x v="33"/>
    <s v="חינוך"/>
    <x v="107"/>
    <s v="חינוך יסודי"/>
    <s v="8132"/>
    <s v="בתי״ס יסודיים"/>
    <m/>
    <s v="5"/>
    <x v="11"/>
    <s v="51"/>
    <s v="אש&quot;ל וכיבודים"/>
    <s v="511"/>
    <s v="אירוח וכיבוד"/>
  </r>
  <r>
    <n v="861"/>
    <s v="81328"/>
    <n v="1"/>
    <s v="181328.861"/>
    <s v="תגבור למקצועות אומנות-יובל חינוך"/>
    <m/>
    <m/>
    <n v="3588000"/>
    <n v="4163000"/>
    <n v="4114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1"/>
    <e v="#N/A"/>
  </r>
  <r>
    <n v="862"/>
    <s v="81328"/>
    <n v="1"/>
    <s v="181328.862"/>
    <s v="קנית שרותים- יובל חינוך         "/>
    <m/>
    <m/>
    <n v="112000"/>
    <n v="112000"/>
    <n v="161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2"/>
    <e v="#N/A"/>
  </r>
  <r>
    <n v="863"/>
    <s v="81328"/>
    <n v="1"/>
    <s v="181328.863"/>
    <s v="ליווי הסעות - יובל חינוך        "/>
    <m/>
    <m/>
    <n v="314000"/>
    <n v="314000"/>
    <n v="314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3"/>
    <e v="#N/A"/>
  </r>
  <r>
    <n v="864"/>
    <s v="81328"/>
    <n v="1"/>
    <s v="181328.864"/>
    <s v="הפעלה שוטפת-יובל חינוך          "/>
    <m/>
    <m/>
    <n v="336000"/>
    <n v="532000"/>
    <n v="52772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4"/>
    <e v="#N/A"/>
  </r>
  <r>
    <n v="865"/>
    <s v="81328"/>
    <n v="1"/>
    <s v="181328.865"/>
    <s v="פעולות חברה והעשרה -יובל חינוך  "/>
    <m/>
    <m/>
    <n v="465000"/>
    <n v="465000"/>
    <n v="465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5"/>
    <e v="#N/A"/>
  </r>
  <r>
    <n v="866"/>
    <s v="81328"/>
    <n v="1"/>
    <s v="181328.866"/>
    <s v="קבלנות נקיון -יובל חינוך        "/>
    <m/>
    <m/>
    <n v="908000"/>
    <n v="962000"/>
    <n v="838238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6"/>
    <e v="#N/A"/>
  </r>
  <r>
    <n v="110"/>
    <s v="81329"/>
    <n v="1"/>
    <s v="181329.110"/>
    <s v="משכורת כוללת                    "/>
    <m/>
    <m/>
    <n v="3233000"/>
    <n v="3333000"/>
    <n v="3404857"/>
    <m/>
    <x v="7"/>
    <s v="שירותים ממלכתיים"/>
    <x v="33"/>
    <s v="חינוך"/>
    <x v="107"/>
    <s v="חינוך יסודי"/>
    <s v="8132"/>
    <s v="בתי״ס יסודיים"/>
    <m/>
    <s v="1"/>
    <x v="9"/>
    <s v="11"/>
    <s v="השכר הקובע"/>
    <s v="110"/>
    <e v="#N/A"/>
  </r>
  <r>
    <n v="124"/>
    <s v="81329"/>
    <n v="1"/>
    <s v="181329.124"/>
    <s v="החזר הוצאות                     "/>
    <m/>
    <m/>
    <n v="173000"/>
    <n v="186000"/>
    <n v="166424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4"/>
    <e v="#N/A"/>
  </r>
  <r>
    <n v="126"/>
    <s v="81329"/>
    <n v="1"/>
    <s v="181329.126"/>
    <s v="הבראה                           "/>
    <m/>
    <m/>
    <n v="138000"/>
    <n v="145000"/>
    <n v="143485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6"/>
    <e v="#N/A"/>
  </r>
  <r>
    <n v="127"/>
    <s v="81329"/>
    <n v="1"/>
    <s v="181329.127"/>
    <s v="השתתפות באחזקת רכב - 5          "/>
    <m/>
    <m/>
    <n v="107000"/>
    <n v="86000"/>
    <n v="105382"/>
    <m/>
    <x v="7"/>
    <s v="שירותים ממלכתיים"/>
    <x v="33"/>
    <s v="חינוך"/>
    <x v="107"/>
    <s v="חינוך יסודי"/>
    <s v="8132"/>
    <s v="בתי״ס יסודיים"/>
    <m/>
    <s v="1"/>
    <x v="9"/>
    <s v="12"/>
    <s v="תוספות שאינן נכללות בשכר הקובע"/>
    <s v="127"/>
    <e v="#N/A"/>
  </r>
  <r>
    <n v="130"/>
    <s v="81329"/>
    <n v="1"/>
    <s v="181329.130"/>
    <s v="תשלומים מיוחדים                 "/>
    <m/>
    <m/>
    <n v="416000"/>
    <n v="446000"/>
    <n v="372422"/>
    <m/>
    <x v="7"/>
    <s v="שירותים ממלכתיים"/>
    <x v="33"/>
    <s v="חינוך"/>
    <x v="107"/>
    <s v="חינוך יסודי"/>
    <s v="8132"/>
    <s v="בתי״ס יסודיים"/>
    <m/>
    <s v="1"/>
    <x v="9"/>
    <s v="13"/>
    <s v="שעות נוספות"/>
    <s v="130"/>
    <e v="#N/A"/>
  </r>
  <r>
    <n v="181"/>
    <s v="81329"/>
    <n v="1"/>
    <s v="181329.181"/>
    <s v="מיסים וביטוח לאומי              "/>
    <m/>
    <m/>
    <n v="535000"/>
    <n v="551000"/>
    <n v="549859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1"/>
    <s v="הפרשות סוציאליות"/>
  </r>
  <r>
    <n v="182"/>
    <s v="81329"/>
    <n v="1"/>
    <s v="181329.182"/>
    <s v="קופות גמל והשתלמות              "/>
    <m/>
    <m/>
    <n v="755000"/>
    <n v="838000"/>
    <n v="749452"/>
    <m/>
    <x v="7"/>
    <s v="שירותים ממלכתיים"/>
    <x v="33"/>
    <s v="חינוך"/>
    <x v="107"/>
    <s v="חינוך יסודי"/>
    <s v="8132"/>
    <s v="בתי״ס יסודיים"/>
    <m/>
    <s v="1"/>
    <x v="9"/>
    <s v="18"/>
    <s v="נלוות לשכר"/>
    <s v="182"/>
    <s v="מיסיום ועלויות"/>
  </r>
  <r>
    <n v="230"/>
    <s v="81329"/>
    <n v="1"/>
    <s v="181329.230"/>
    <s v="משימה חולפת - 0.2               "/>
    <m/>
    <m/>
    <n v="23000"/>
    <n v="20000"/>
    <n v="30698"/>
    <m/>
    <x v="7"/>
    <s v="שירותים ממלכתיים"/>
    <x v="33"/>
    <s v="חינוך"/>
    <x v="107"/>
    <s v="חינוך יסודי"/>
    <s v="8132"/>
    <s v="בתי״ס יסודיים"/>
    <m/>
    <s v="2"/>
    <x v="10"/>
    <s v="23"/>
    <s v="שעות נוספות"/>
    <s v="230"/>
    <e v="#N/A"/>
  </r>
  <r>
    <n v="437"/>
    <s v="81329"/>
    <n v="1"/>
    <s v="181329.437"/>
    <s v="שמירה                           "/>
    <m/>
    <m/>
    <n v="403000"/>
    <n v="370000"/>
    <n v="346013"/>
    <m/>
    <x v="7"/>
    <s v="שירותים ממלכתיים"/>
    <x v="33"/>
    <s v="חינוך"/>
    <x v="107"/>
    <s v="חינוך יסודי"/>
    <s v="8132"/>
    <s v="בתי״ס יסודיים"/>
    <m/>
    <s v="4"/>
    <x v="15"/>
    <s v="43"/>
    <s v="חשמל, מים וחומרי ניקיון"/>
    <s v="437"/>
    <e v="#N/A"/>
  </r>
  <r>
    <n v="511"/>
    <s v="81329"/>
    <n v="1"/>
    <s v="181329.511"/>
    <s v="הסעת תלמידים                    "/>
    <m/>
    <m/>
    <n v="2750000"/>
    <n v="2700000"/>
    <n v="2620992"/>
    <m/>
    <x v="7"/>
    <s v="שירותים ממלכתיים"/>
    <x v="33"/>
    <s v="חינוך"/>
    <x v="107"/>
    <s v="חינוך יסודי"/>
    <s v="8132"/>
    <s v="בתי״ס יסודיים"/>
    <m/>
    <s v="5"/>
    <x v="11"/>
    <s v="51"/>
    <s v="אש&quot;ל וכיבודים"/>
    <s v="511"/>
    <s v="אירוח וכיבוד"/>
  </r>
  <r>
    <n v="841"/>
    <s v="81329"/>
    <n v="1"/>
    <s v="181329.841"/>
    <s v="הפעלת גני טבע אמצעות גני יהושוע "/>
    <m/>
    <m/>
    <n v="350000"/>
    <n v="702000"/>
    <n v="702000"/>
    <m/>
    <x v="7"/>
    <s v="שירותים ממלכתיים"/>
    <x v="33"/>
    <s v="חינוך"/>
    <x v="107"/>
    <s v="חינוך יסודי"/>
    <s v="8132"/>
    <s v="בתי״ס יסודיים"/>
    <m/>
    <s v="8"/>
    <x v="16"/>
    <s v="84"/>
    <s v="תמיכות רווחה"/>
    <s v="841"/>
    <e v="#N/A"/>
  </r>
  <r>
    <n v="861"/>
    <s v="81329"/>
    <n v="1"/>
    <s v="181329.861"/>
    <s v="תוכנית לימודים יחודיים-יובל חינו"/>
    <m/>
    <m/>
    <n v="1221000"/>
    <n v="1330000"/>
    <n v="1181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1"/>
    <e v="#N/A"/>
  </r>
  <r>
    <n v="862"/>
    <s v="81329"/>
    <n v="1"/>
    <s v="181329.862"/>
    <s v="הפעלת פינת החי-יובל חינוך       "/>
    <m/>
    <m/>
    <n v="80000"/>
    <n v="0"/>
    <n v="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2"/>
    <e v="#N/A"/>
  </r>
  <r>
    <n v="863"/>
    <s v="81329"/>
    <n v="1"/>
    <s v="181329.863"/>
    <s v="לווי בהסעות-יובל חינוך          "/>
    <m/>
    <m/>
    <n v="209000"/>
    <n v="209000"/>
    <n v="249229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3"/>
    <e v="#N/A"/>
  </r>
  <r>
    <n v="864"/>
    <s v="81329"/>
    <n v="1"/>
    <s v="181329.864"/>
    <s v="הפעלה שוטפת- יובל חינוך         "/>
    <m/>
    <m/>
    <n v="410000"/>
    <n v="410000"/>
    <n v="403817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4"/>
    <e v="#N/A"/>
  </r>
  <r>
    <n v="865"/>
    <s v="81329"/>
    <n v="1"/>
    <s v="181329.865"/>
    <s v="פעולות חברה והעשרה-יובל חינוך   "/>
    <m/>
    <m/>
    <n v="507000"/>
    <n v="507000"/>
    <n v="507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5"/>
    <e v="#N/A"/>
  </r>
  <r>
    <n v="868"/>
    <s v="81329"/>
    <n v="1"/>
    <s v="181329.868"/>
    <s v="פרויקט מעבדת צילום-יובל חינוך   "/>
    <m/>
    <m/>
    <n v="24000"/>
    <n v="24000"/>
    <n v="46000"/>
    <m/>
    <x v="7"/>
    <s v="שירותים ממלכתיים"/>
    <x v="33"/>
    <s v="חינוך"/>
    <x v="107"/>
    <s v="חינוך יסודי"/>
    <s v="8132"/>
    <s v="בתי״ס יסודיים"/>
    <m/>
    <s v="8"/>
    <x v="16"/>
    <s v="86"/>
    <s v="הנחות"/>
    <s v="868"/>
    <e v="#N/A"/>
  </r>
  <r>
    <n v="870"/>
    <s v="81329"/>
    <n v="1"/>
    <s v="181329.870"/>
    <s v="ס.שאינו חוזר                    "/>
    <m/>
    <m/>
    <n v="0"/>
    <n v="398000"/>
    <n v="485010"/>
    <m/>
    <x v="7"/>
    <s v="שירותים ממלכתיים"/>
    <x v="33"/>
    <s v="חינוך"/>
    <x v="107"/>
    <s v="חינוך יסודי"/>
    <s v="8132"/>
    <s v="בתי״ס יסודיים"/>
    <m/>
    <s v="8"/>
    <x v="16"/>
    <s v="87"/>
    <s v="תמיכות ביחידות סמך ומוסדות הרשות"/>
    <s v="870"/>
    <e v="#N/A"/>
  </r>
  <r>
    <n v="110"/>
    <s v="81331"/>
    <n v="1"/>
    <s v="181331.110"/>
    <s v="משכורת כוללת                    "/>
    <m/>
    <m/>
    <n v="4774000"/>
    <n v="4760000"/>
    <n v="4608896"/>
    <m/>
    <x v="7"/>
    <s v="שירותים ממלכתיים"/>
    <x v="33"/>
    <s v="חינוך"/>
    <x v="107"/>
    <s v="חינוך יסודי"/>
    <s v="8133"/>
    <s v="חינוך מיוחד"/>
    <m/>
    <s v="1"/>
    <x v="9"/>
    <s v="11"/>
    <s v="השכר הקובע"/>
    <s v="110"/>
    <e v="#N/A"/>
  </r>
  <r>
    <n v="124"/>
    <s v="81331"/>
    <n v="1"/>
    <s v="181331.124"/>
    <s v="החזר הוצאות                     "/>
    <m/>
    <m/>
    <n v="390000"/>
    <n v="409000"/>
    <n v="392301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4"/>
    <e v="#N/A"/>
  </r>
  <r>
    <n v="126"/>
    <s v="81331"/>
    <n v="1"/>
    <s v="181331.126"/>
    <s v="הבראה                           "/>
    <m/>
    <m/>
    <n v="348000"/>
    <n v="356000"/>
    <n v="345781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6"/>
    <e v="#N/A"/>
  </r>
  <r>
    <n v="127"/>
    <s v="81331"/>
    <n v="1"/>
    <s v="181331.127"/>
    <s v="השתתפות באחזקת רכב - 26         "/>
    <m/>
    <m/>
    <n v="469000"/>
    <n v="437000"/>
    <n v="422439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7"/>
    <e v="#N/A"/>
  </r>
  <r>
    <n v="130"/>
    <s v="81331"/>
    <n v="1"/>
    <s v="181331.130"/>
    <s v="תשלומים מיוחדים                 "/>
    <m/>
    <m/>
    <n v="1428000"/>
    <n v="1491000"/>
    <n v="1383346"/>
    <m/>
    <x v="7"/>
    <s v="שירותים ממלכתיים"/>
    <x v="33"/>
    <s v="חינוך"/>
    <x v="107"/>
    <s v="חינוך יסודי"/>
    <s v="8133"/>
    <s v="חינוך מיוחד"/>
    <m/>
    <s v="1"/>
    <x v="9"/>
    <s v="13"/>
    <s v="שעות נוספות"/>
    <s v="130"/>
    <e v="#N/A"/>
  </r>
  <r>
    <n v="170"/>
    <s v="81331"/>
    <n v="1"/>
    <s v="181331.170"/>
    <s v="ס. שאינו חוזר                   "/>
    <m/>
    <m/>
    <n v="0"/>
    <n v="124000"/>
    <n v="0"/>
    <m/>
    <x v="7"/>
    <s v="שירותים ממלכתיים"/>
    <x v="33"/>
    <s v="חינוך"/>
    <x v="107"/>
    <s v="חינוך יסודי"/>
    <s v="8133"/>
    <s v="חינוך מיוחד"/>
    <m/>
    <s v="1"/>
    <x v="9"/>
    <s v="17"/>
    <e v="#N/A"/>
    <s v="170"/>
    <e v="#N/A"/>
  </r>
  <r>
    <n v="181"/>
    <s v="81331"/>
    <n v="1"/>
    <s v="181331.181"/>
    <s v="מיסים וביטוח לאומי              "/>
    <m/>
    <m/>
    <n v="999000"/>
    <n v="1021000"/>
    <n v="926825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1"/>
    <s v="הפרשות סוציאליות"/>
  </r>
  <r>
    <n v="182"/>
    <s v="81331"/>
    <n v="1"/>
    <s v="181331.182"/>
    <s v="קופות גמל והשתלמות              "/>
    <m/>
    <m/>
    <n v="1020000"/>
    <n v="1059000"/>
    <n v="1007391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2"/>
    <s v="מיסיום ועלויות"/>
  </r>
  <r>
    <n v="250"/>
    <s v="81331"/>
    <n v="1"/>
    <s v="181331.250"/>
    <s v="עובדים יומיים -0.5              "/>
    <m/>
    <m/>
    <n v="54000"/>
    <n v="54000"/>
    <n v="0"/>
    <m/>
    <x v="7"/>
    <s v="שירותים ממלכתיים"/>
    <x v="33"/>
    <s v="חינוך"/>
    <x v="107"/>
    <s v="חינוך יסודי"/>
    <s v="8133"/>
    <s v="חינוך מיוחד"/>
    <m/>
    <s v="2"/>
    <x v="10"/>
    <s v="25"/>
    <e v="#N/A"/>
    <s v="250"/>
    <e v="#N/A"/>
  </r>
  <r>
    <n v="310"/>
    <s v="81331"/>
    <n v="1"/>
    <s v="181331.310"/>
    <s v="שעות נוספות רשומות              "/>
    <m/>
    <m/>
    <n v="232000"/>
    <n v="226000"/>
    <n v="502324"/>
    <m/>
    <x v="7"/>
    <s v="שירותים ממלכתיים"/>
    <x v="33"/>
    <s v="חינוך"/>
    <x v="107"/>
    <s v="חינוך יסודי"/>
    <s v="8133"/>
    <s v="חינוך מיוחד"/>
    <m/>
    <s v="3"/>
    <x v="14"/>
    <s v="31"/>
    <s v="פנסיה"/>
    <s v="310"/>
    <e v="#N/A"/>
  </r>
  <r>
    <n v="411"/>
    <s v="81331"/>
    <n v="1"/>
    <s v="181331.411"/>
    <s v="שכר דירה                        "/>
    <m/>
    <m/>
    <n v="157000"/>
    <n v="138000"/>
    <n v="120038"/>
    <m/>
    <x v="7"/>
    <s v="שירותים ממלכתיים"/>
    <x v="33"/>
    <s v="חינוך"/>
    <x v="107"/>
    <s v="חינוך יסודי"/>
    <s v="8133"/>
    <s v="חינוך מיוחד"/>
    <m/>
    <s v="4"/>
    <x v="15"/>
    <s v="41"/>
    <s v="שכר דירה ודמי חכירה"/>
    <s v="411"/>
    <e v="#N/A"/>
  </r>
  <r>
    <n v="431"/>
    <s v="81331"/>
    <n v="1"/>
    <s v="181331.431"/>
    <s v="מים                             "/>
    <m/>
    <m/>
    <n v="400000"/>
    <n v="400000"/>
    <n v="425494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1"/>
    <s v="חשמל"/>
  </r>
  <r>
    <n v="435"/>
    <s v="81331"/>
    <n v="1"/>
    <s v="181331.435"/>
    <s v="חשמל ואנרגיה                    "/>
    <m/>
    <m/>
    <n v="1515000"/>
    <n v="1515000"/>
    <n v="1747800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5"/>
    <e v="#N/A"/>
  </r>
  <r>
    <n v="436"/>
    <s v="81331"/>
    <n v="1"/>
    <s v="181331.436"/>
    <s v="נקיון                           "/>
    <m/>
    <m/>
    <n v="129000"/>
    <n v="129000"/>
    <n v="127004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6"/>
    <e v="#N/A"/>
  </r>
  <r>
    <n v="437"/>
    <s v="81331"/>
    <n v="1"/>
    <s v="181331.437"/>
    <s v="שמירה                           "/>
    <m/>
    <m/>
    <n v="2492000"/>
    <n v="2300000"/>
    <n v="2529074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7"/>
    <e v="#N/A"/>
  </r>
  <r>
    <n v="461"/>
    <s v="81331"/>
    <n v="1"/>
    <s v="181331.461"/>
    <s v="צורכי משרד                      "/>
    <m/>
    <m/>
    <n v="27000"/>
    <n v="17000"/>
    <n v="13412"/>
    <m/>
    <x v="7"/>
    <s v="שירותים ממלכתיים"/>
    <x v="33"/>
    <s v="חינוך"/>
    <x v="107"/>
    <s v="חינוך יסודי"/>
    <s v="8133"/>
    <s v="חינוך מיוחד"/>
    <m/>
    <s v="4"/>
    <x v="15"/>
    <s v="46"/>
    <e v="#N/A"/>
    <s v="461"/>
    <e v="#N/A"/>
  </r>
  <r>
    <n v="521"/>
    <s v="81331"/>
    <n v="1"/>
    <s v="181331.521"/>
    <s v="הדרכה וכנסים                    "/>
    <m/>
    <m/>
    <n v="277000"/>
    <n v="277000"/>
    <n v="249672"/>
    <m/>
    <x v="7"/>
    <s v="שירותים ממלכתיים"/>
    <x v="33"/>
    <s v="חינוך"/>
    <x v="107"/>
    <s v="חינוך יסודי"/>
    <s v="8133"/>
    <s v="חינוך מיוחד"/>
    <m/>
    <s v="5"/>
    <x v="11"/>
    <s v="52"/>
    <s v="השתלמויות וספרות מקצועית"/>
    <s v="521"/>
    <s v="השתלמויות וספרות מקצועית"/>
  </r>
  <r>
    <n v="610"/>
    <s v="81331"/>
    <n v="1"/>
    <s v="181331.610"/>
    <s v="כיבודים                         "/>
    <m/>
    <m/>
    <n v="5000"/>
    <n v="5000"/>
    <n v="4110"/>
    <m/>
    <x v="7"/>
    <s v="שירותים ממלכתיים"/>
    <x v="33"/>
    <s v="חינוך"/>
    <x v="107"/>
    <s v="חינוך יסודי"/>
    <s v="8133"/>
    <s v="חינוך מיוחד"/>
    <m/>
    <s v="6"/>
    <x v="12"/>
    <s v="61"/>
    <s v="עמלות"/>
    <s v="610"/>
    <e v="#N/A"/>
  </r>
  <r>
    <n v="670"/>
    <s v="81331"/>
    <n v="1"/>
    <s v="181331.670"/>
    <s v="ס. שאינו חוזר                   "/>
    <m/>
    <m/>
    <n v="0"/>
    <n v="277000"/>
    <n v="270199"/>
    <m/>
    <x v="7"/>
    <s v="שירותים ממלכתיים"/>
    <x v="33"/>
    <s v="חינוך"/>
    <x v="107"/>
    <s v="חינוך יסודי"/>
    <s v="8133"/>
    <s v="חינוך מיוחד"/>
    <m/>
    <s v="6"/>
    <x v="12"/>
    <s v="67"/>
    <e v="#N/A"/>
    <s v="670"/>
    <e v="#N/A"/>
  </r>
  <r>
    <n v="721"/>
    <s v="81331"/>
    <n v="1"/>
    <s v="181331.721"/>
    <s v="מכשירי למוד וציוד               "/>
    <m/>
    <m/>
    <n v="123000"/>
    <n v="123000"/>
    <n v="120373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1"/>
    <e v="#N/A"/>
  </r>
  <r>
    <n v="723"/>
    <s v="81331"/>
    <n v="1"/>
    <s v="181331.723"/>
    <s v="חמרים למלאכה                    "/>
    <m/>
    <m/>
    <n v="99000"/>
    <n v="99000"/>
    <n v="98999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3"/>
    <e v="#N/A"/>
  </r>
  <r>
    <n v="724"/>
    <s v="81331"/>
    <n v="1"/>
    <s v="181331.724"/>
    <s v="ציוד לחנוך גופני                "/>
    <m/>
    <m/>
    <n v="39000"/>
    <n v="39000"/>
    <n v="38987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4"/>
    <e v="#N/A"/>
  </r>
  <r>
    <n v="725"/>
    <s v="81331"/>
    <n v="1"/>
    <s v="181331.725"/>
    <s v="ארוחות- יום לימודים ארוך        "/>
    <m/>
    <m/>
    <n v="3290000"/>
    <n v="3195000"/>
    <n v="3158967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5"/>
    <e v="#N/A"/>
  </r>
  <r>
    <n v="726"/>
    <s v="81331"/>
    <n v="1"/>
    <s v="181331.726"/>
    <s v="חומרי לימוד-הארכת שנה ל         "/>
    <m/>
    <m/>
    <n v="700000"/>
    <n v="700000"/>
    <n v="643133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6"/>
    <e v="#N/A"/>
  </r>
  <r>
    <n v="727"/>
    <s v="81331"/>
    <n v="1"/>
    <s v="181331.727"/>
    <s v="חומרים וציוד-יוחא י בתי ס מיוחדי"/>
    <m/>
    <m/>
    <n v="27000"/>
    <n v="27000"/>
    <n v="27000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7"/>
    <e v="#N/A"/>
  </r>
  <r>
    <n v="728"/>
    <s v="81331"/>
    <n v="1"/>
    <s v="181331.728"/>
    <s v="תגבור חומרים וציוד לבתי ס מיוחדי"/>
    <m/>
    <m/>
    <n v="215000"/>
    <n v="215000"/>
    <n v="214998"/>
    <m/>
    <x v="7"/>
    <s v="שירותים ממלכתיים"/>
    <x v="33"/>
    <s v="חינוך"/>
    <x v="107"/>
    <s v="חינוך יסודי"/>
    <s v="8133"/>
    <s v="חינוך מיוחד"/>
    <m/>
    <s v="7"/>
    <x v="13"/>
    <s v="72"/>
    <s v="חומרים"/>
    <s v="728"/>
    <e v="#N/A"/>
  </r>
  <r>
    <n v="751"/>
    <s v="81331"/>
    <n v="1"/>
    <s v="181331.751"/>
    <s v="קנית שרותים לבי ס נתיב          "/>
    <m/>
    <m/>
    <n v="81000"/>
    <n v="81000"/>
    <n v="80100"/>
    <m/>
    <x v="7"/>
    <s v="שירותים ממלכתיים"/>
    <x v="33"/>
    <s v="חינוך"/>
    <x v="107"/>
    <s v="חינוך יסודי"/>
    <s v="8133"/>
    <s v="חינוך מיוחד"/>
    <m/>
    <s v="7"/>
    <x v="13"/>
    <s v="75"/>
    <s v="עבודות קבלניות"/>
    <s v="751"/>
    <e v="#N/A"/>
  </r>
  <r>
    <n v="752"/>
    <s v="81331"/>
    <n v="1"/>
    <s v="181331.752"/>
    <s v="עבודה בקבלנות-נקיון בתי ס       "/>
    <m/>
    <m/>
    <n v="1728000"/>
    <n v="1145000"/>
    <n v="1054023"/>
    <m/>
    <x v="7"/>
    <s v="שירותים ממלכתיים"/>
    <x v="33"/>
    <s v="חינוך"/>
    <x v="107"/>
    <s v="חינוך יסודי"/>
    <s v="8133"/>
    <s v="חינוך מיוחד"/>
    <m/>
    <s v="7"/>
    <x v="13"/>
    <s v="75"/>
    <s v="עבודות קבלניות"/>
    <s v="752"/>
    <e v="#N/A"/>
  </r>
  <r>
    <n v="753"/>
    <s v="81331"/>
    <n v="1"/>
    <s v="181331.753"/>
    <s v="ניקיון בית שטראוס               "/>
    <m/>
    <m/>
    <n v="53000"/>
    <n v="53000"/>
    <n v="41187"/>
    <m/>
    <x v="7"/>
    <s v="שירותים ממלכתיים"/>
    <x v="33"/>
    <s v="חינוך"/>
    <x v="107"/>
    <s v="חינוך יסודי"/>
    <s v="8133"/>
    <s v="חינוך מיוחד"/>
    <m/>
    <s v="7"/>
    <x v="13"/>
    <s v="75"/>
    <s v="עבודות קבלניות"/>
    <s v="753"/>
    <e v="#N/A"/>
  </r>
  <r>
    <n v="781"/>
    <s v="81331"/>
    <n v="1"/>
    <s v="181331.781"/>
    <s v="פרויקטים יחודיים-חינוך מיוחד    "/>
    <m/>
    <m/>
    <n v="95000"/>
    <n v="95000"/>
    <n v="98899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1"/>
    <e v="#N/A"/>
  </r>
  <r>
    <n v="783"/>
    <s v="81331"/>
    <n v="1"/>
    <s v="181331.783"/>
    <s v="תחזוקת ציוד משקי וריהוט         "/>
    <m/>
    <m/>
    <n v="272000"/>
    <n v="272000"/>
    <n v="109021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3"/>
    <e v="#N/A"/>
  </r>
  <r>
    <n v="784"/>
    <s v="81331"/>
    <n v="1"/>
    <s v="181331.784"/>
    <s v="תיקוני מבנים ומתקנים-בית שטראוס "/>
    <m/>
    <m/>
    <n v="10000"/>
    <n v="10000"/>
    <n v="8313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4"/>
    <e v="#N/A"/>
  </r>
  <r>
    <n v="785"/>
    <s v="81331"/>
    <n v="1"/>
    <s v="181331.785"/>
    <s v="תקוני מבנים ומתקנים             "/>
    <m/>
    <m/>
    <n v="1110000"/>
    <n v="1197000"/>
    <n v="1077003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5"/>
    <e v="#N/A"/>
  </r>
  <r>
    <n v="786"/>
    <s v="81331"/>
    <n v="1"/>
    <s v="181331.786"/>
    <s v="ספרי מתנה לבוגרים               "/>
    <m/>
    <m/>
    <n v="6000"/>
    <n v="6000"/>
    <n v="6000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6"/>
    <e v="#N/A"/>
  </r>
  <r>
    <n v="787"/>
    <s v="81331"/>
    <n v="1"/>
    <s v="181331.787"/>
    <s v="השתתפות בהפעלת מועדונית-אנוך    "/>
    <m/>
    <m/>
    <n v="45000"/>
    <n v="45000"/>
    <n v="5298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7"/>
    <e v="#N/A"/>
  </r>
  <r>
    <n v="788"/>
    <s v="81331"/>
    <n v="1"/>
    <s v="181331.788"/>
    <s v="מועדונית ביה ס מצדה             "/>
    <m/>
    <m/>
    <n v="150000"/>
    <n v="100000"/>
    <n v="0"/>
    <m/>
    <x v="7"/>
    <s v="שירותים ממלכתיים"/>
    <x v="33"/>
    <s v="חינוך"/>
    <x v="107"/>
    <s v="חינוך יסודי"/>
    <s v="8133"/>
    <s v="חינוך מיוחד"/>
    <m/>
    <s v="7"/>
    <x v="13"/>
    <s v="78"/>
    <s v="הוצאות שונות"/>
    <s v="788"/>
    <e v="#N/A"/>
  </r>
  <r>
    <n v="799"/>
    <s v="81331"/>
    <n v="1"/>
    <s v="181331.799"/>
    <s v="השתתפות בתחזוקת בית שטראוס      "/>
    <m/>
    <m/>
    <n v="44000"/>
    <n v="44000"/>
    <n v="44000"/>
    <m/>
    <x v="7"/>
    <s v="שירותים ממלכתיים"/>
    <x v="33"/>
    <s v="חינוך"/>
    <x v="107"/>
    <s v="חינוך יסודי"/>
    <s v="8133"/>
    <s v="חינוך מיוחד"/>
    <m/>
    <s v="7"/>
    <x v="13"/>
    <s v="79"/>
    <s v="השתתפות בתקציבי עזר 092"/>
    <s v="799"/>
    <e v="#N/A"/>
  </r>
  <r>
    <n v="821"/>
    <s v="81331"/>
    <n v="1"/>
    <s v="181331.821"/>
    <s v="מלגות מקרן אנוך למחקר חינוכי    "/>
    <m/>
    <m/>
    <n v="8000"/>
    <n v="8000"/>
    <n v="8000"/>
    <m/>
    <x v="7"/>
    <s v="שירותים ממלכתיים"/>
    <x v="33"/>
    <s v="חינוך"/>
    <x v="107"/>
    <s v="חינוך יסודי"/>
    <s v="8133"/>
    <s v="חינוך מיוחד"/>
    <m/>
    <s v="8"/>
    <x v="16"/>
    <s v="82"/>
    <s v="הקצבות בהמלצת ועדת הקצבות"/>
    <s v="821"/>
    <e v="#N/A"/>
  </r>
  <r>
    <n v="822"/>
    <s v="81331"/>
    <n v="1"/>
    <s v="181331.822"/>
    <s v="הנחות לנזקקים                   "/>
    <m/>
    <m/>
    <n v="77000"/>
    <n v="77000"/>
    <n v="77000"/>
    <m/>
    <x v="7"/>
    <s v="שירותים ממלכתיים"/>
    <x v="33"/>
    <s v="חינוך"/>
    <x v="107"/>
    <s v="חינוך יסודי"/>
    <s v="8133"/>
    <s v="חינוך מיוחד"/>
    <m/>
    <s v="8"/>
    <x v="16"/>
    <s v="82"/>
    <s v="הקצבות בהמלצת ועדת הקצבות"/>
    <s v="822"/>
    <e v="#N/A"/>
  </r>
  <r>
    <n v="851"/>
    <s v="81331"/>
    <n v="1"/>
    <s v="181331.851"/>
    <s v="הפעלת בריכת בי ס און ע י חב' למו"/>
    <m/>
    <m/>
    <n v="992000"/>
    <n v="991000"/>
    <n v="991000"/>
    <m/>
    <x v="7"/>
    <s v="שירותים ממלכתיים"/>
    <x v="33"/>
    <s v="חינוך"/>
    <x v="107"/>
    <s v="חינוך יסודי"/>
    <s v="8133"/>
    <s v="חינוך מיוחד"/>
    <m/>
    <s v="8"/>
    <x v="16"/>
    <s v="85"/>
    <s v="מלגות לתלמידים וסטודנטים"/>
    <s v="851"/>
    <e v="#N/A"/>
  </r>
  <r>
    <n v="861"/>
    <s v="81331"/>
    <n v="1"/>
    <s v="181331.861"/>
    <s v="מועדוניות בביה ס לחינוך מיוחד-יו"/>
    <m/>
    <m/>
    <n v="60000"/>
    <n v="60000"/>
    <n v="60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1"/>
    <e v="#N/A"/>
  </r>
  <r>
    <n v="862"/>
    <s v="81331"/>
    <n v="1"/>
    <s v="181331.862"/>
    <s v="יוחא י-בתי ס מיוחדים-יובל חינוך "/>
    <m/>
    <m/>
    <n v="2428000"/>
    <n v="2428000"/>
    <n v="2494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2"/>
    <e v="#N/A"/>
  </r>
  <r>
    <n v="110"/>
    <s v="81332"/>
    <n v="1"/>
    <s v="181332.110"/>
    <s v="משכורת כוללת                    "/>
    <m/>
    <m/>
    <n v="562000"/>
    <n v="678000"/>
    <n v="759898"/>
    <m/>
    <x v="7"/>
    <s v="שירותים ממלכתיים"/>
    <x v="33"/>
    <s v="חינוך"/>
    <x v="107"/>
    <s v="חינוך יסודי"/>
    <s v="8133"/>
    <s v="חינוך מיוחד"/>
    <m/>
    <s v="1"/>
    <x v="9"/>
    <s v="11"/>
    <s v="השכר הקובע"/>
    <s v="110"/>
    <e v="#N/A"/>
  </r>
  <r>
    <n v="124"/>
    <s v="81332"/>
    <n v="1"/>
    <s v="181332.124"/>
    <s v="החזר הוצאות                     "/>
    <m/>
    <m/>
    <n v="95000"/>
    <n v="100000"/>
    <n v="97992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4"/>
    <e v="#N/A"/>
  </r>
  <r>
    <n v="126"/>
    <s v="81332"/>
    <n v="1"/>
    <s v="181332.126"/>
    <s v="הבראה                           "/>
    <m/>
    <m/>
    <n v="80000"/>
    <n v="81000"/>
    <n v="80097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6"/>
    <e v="#N/A"/>
  </r>
  <r>
    <n v="127"/>
    <s v="81332"/>
    <n v="1"/>
    <s v="181332.127"/>
    <s v="השתתפות באחזקת רכב - 5          "/>
    <m/>
    <m/>
    <n v="87000"/>
    <n v="93000"/>
    <n v="107682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7"/>
    <e v="#N/A"/>
  </r>
  <r>
    <n v="130"/>
    <s v="81332"/>
    <n v="1"/>
    <s v="181332.130"/>
    <s v="תשלומים מיוחדים                 "/>
    <m/>
    <m/>
    <n v="192000"/>
    <n v="194000"/>
    <n v="173277"/>
    <m/>
    <x v="7"/>
    <s v="שירותים ממלכתיים"/>
    <x v="33"/>
    <s v="חינוך"/>
    <x v="107"/>
    <s v="חינוך יסודי"/>
    <s v="8133"/>
    <s v="חינוך מיוחד"/>
    <m/>
    <s v="1"/>
    <x v="9"/>
    <s v="13"/>
    <s v="שעות נוספות"/>
    <s v="130"/>
    <e v="#N/A"/>
  </r>
  <r>
    <n v="181"/>
    <s v="81332"/>
    <n v="1"/>
    <s v="181332.181"/>
    <s v="מיסים וביטוח לאומי              "/>
    <m/>
    <m/>
    <n v="281000"/>
    <n v="286000"/>
    <n v="255175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1"/>
    <s v="הפרשות סוציאליות"/>
  </r>
  <r>
    <n v="182"/>
    <s v="81332"/>
    <n v="1"/>
    <s v="181332.182"/>
    <s v="קופות גמל והשתלמות              "/>
    <m/>
    <m/>
    <n v="342000"/>
    <n v="350000"/>
    <n v="338106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2"/>
    <s v="מיסיום ועלויות"/>
  </r>
  <r>
    <n v="230"/>
    <s v="81332"/>
    <n v="1"/>
    <s v="181332.230"/>
    <s v="משימות חולפות - 1.25            "/>
    <m/>
    <m/>
    <n v="895000"/>
    <n v="807000"/>
    <n v="716786"/>
    <m/>
    <x v="7"/>
    <s v="שירותים ממלכתיים"/>
    <x v="33"/>
    <s v="חינוך"/>
    <x v="107"/>
    <s v="חינוך יסודי"/>
    <s v="8133"/>
    <s v="חינוך מיוחד"/>
    <m/>
    <s v="2"/>
    <x v="10"/>
    <s v="23"/>
    <s v="שעות נוספות"/>
    <s v="230"/>
    <e v="#N/A"/>
  </r>
  <r>
    <n v="310"/>
    <s v="81332"/>
    <n v="1"/>
    <s v="181332.310"/>
    <s v="שעות נוספות רשומות              "/>
    <m/>
    <m/>
    <n v="41000"/>
    <n v="40000"/>
    <n v="25992"/>
    <m/>
    <x v="7"/>
    <s v="שירותים ממלכתיים"/>
    <x v="33"/>
    <s v="חינוך"/>
    <x v="107"/>
    <s v="חינוך יסודי"/>
    <s v="8133"/>
    <s v="חינוך מיוחד"/>
    <m/>
    <s v="3"/>
    <x v="14"/>
    <s v="31"/>
    <s v="פנסיה"/>
    <s v="310"/>
    <e v="#N/A"/>
  </r>
  <r>
    <n v="340"/>
    <s v="81332"/>
    <n v="1"/>
    <s v="181332.340"/>
    <s v="שעות נוספות מיוחדות             "/>
    <m/>
    <m/>
    <n v="196000"/>
    <n v="192000"/>
    <n v="128888"/>
    <m/>
    <x v="7"/>
    <s v="שירותים ממלכתיים"/>
    <x v="33"/>
    <s v="חינוך"/>
    <x v="107"/>
    <s v="חינוך יסודי"/>
    <s v="8133"/>
    <s v="חינוך מיוחד"/>
    <m/>
    <s v="3"/>
    <x v="14"/>
    <s v="34"/>
    <e v="#N/A"/>
    <s v="340"/>
    <e v="#N/A"/>
  </r>
  <r>
    <n v="861"/>
    <s v="81332"/>
    <n v="1"/>
    <s v="181332.861"/>
    <s v="שיעורי עזר-יובל חינוך           "/>
    <m/>
    <m/>
    <n v="217000"/>
    <n v="217000"/>
    <n v="217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1"/>
    <e v="#N/A"/>
  </r>
  <r>
    <n v="862"/>
    <s v="81332"/>
    <n v="1"/>
    <s v="181332.862"/>
    <s v="השגחה לילית-יובל חינוך          "/>
    <m/>
    <m/>
    <n v="134000"/>
    <n v="119000"/>
    <n v="114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2"/>
    <e v="#N/A"/>
  </r>
  <r>
    <n v="863"/>
    <s v="81332"/>
    <n v="1"/>
    <s v="181332.863"/>
    <s v="תחזוקה שוטפת-יובל חינוך         "/>
    <m/>
    <m/>
    <n v="92000"/>
    <n v="92000"/>
    <n v="81996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3"/>
    <e v="#N/A"/>
  </r>
  <r>
    <n v="864"/>
    <s v="81332"/>
    <n v="1"/>
    <s v="181332.864"/>
    <s v="פעולות חברתיות תרבות והעשרה-יובל"/>
    <m/>
    <m/>
    <n v="299000"/>
    <n v="299000"/>
    <n v="299001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4"/>
    <e v="#N/A"/>
  </r>
  <r>
    <n v="865"/>
    <s v="81332"/>
    <n v="1"/>
    <s v="181332.865"/>
    <s v="הוצאות לחניכים-יובל חינוך       "/>
    <m/>
    <m/>
    <n v="203000"/>
    <n v="192000"/>
    <n v="165996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5"/>
    <e v="#N/A"/>
  </r>
  <r>
    <n v="866"/>
    <s v="81332"/>
    <n v="1"/>
    <s v="181332.866"/>
    <s v="הוצאות אחרות לפנימיה-יובל חינוך "/>
    <m/>
    <m/>
    <n v="156000"/>
    <n v="154000"/>
    <n v="146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6"/>
    <e v="#N/A"/>
  </r>
  <r>
    <n v="867"/>
    <s v="81332"/>
    <n v="1"/>
    <s v="181332.867"/>
    <s v="הוצאות פנימית יום-יובל חינוך    "/>
    <m/>
    <m/>
    <n v="500000"/>
    <n v="528000"/>
    <n v="519998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7"/>
    <e v="#N/A"/>
  </r>
  <r>
    <n v="110"/>
    <s v="81333"/>
    <n v="1"/>
    <s v="181333.110"/>
    <s v="משכורת כוללת                    "/>
    <m/>
    <m/>
    <n v="1119000"/>
    <n v="1213000"/>
    <n v="1168740"/>
    <m/>
    <x v="7"/>
    <s v="שירותים ממלכתיים"/>
    <x v="33"/>
    <s v="חינוך"/>
    <x v="107"/>
    <s v="חינוך יסודי"/>
    <s v="8133"/>
    <s v="חינוך מיוחד"/>
    <m/>
    <s v="1"/>
    <x v="9"/>
    <s v="11"/>
    <s v="השכר הקובע"/>
    <s v="110"/>
    <e v="#N/A"/>
  </r>
  <r>
    <n v="124"/>
    <s v="81333"/>
    <n v="1"/>
    <s v="181333.124"/>
    <s v="החזר הוצאות                     "/>
    <m/>
    <m/>
    <n v="125000"/>
    <n v="136000"/>
    <n v="130251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4"/>
    <e v="#N/A"/>
  </r>
  <r>
    <n v="126"/>
    <s v="81333"/>
    <n v="1"/>
    <s v="181333.126"/>
    <s v="הבראה                           "/>
    <m/>
    <m/>
    <n v="103000"/>
    <n v="107000"/>
    <n v="105796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6"/>
    <e v="#N/A"/>
  </r>
  <r>
    <n v="127"/>
    <s v="81333"/>
    <n v="1"/>
    <s v="181333.127"/>
    <s v="השתתפות באחזקת רכב - 9          "/>
    <m/>
    <m/>
    <n v="111000"/>
    <n v="79000"/>
    <n v="100631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7"/>
    <e v="#N/A"/>
  </r>
  <r>
    <n v="130"/>
    <s v="81333"/>
    <n v="1"/>
    <s v="181333.130"/>
    <s v="תשלומים מיוחדים                 "/>
    <m/>
    <m/>
    <n v="307000"/>
    <n v="284000"/>
    <n v="270457"/>
    <m/>
    <x v="7"/>
    <s v="שירותים ממלכתיים"/>
    <x v="33"/>
    <s v="חינוך"/>
    <x v="107"/>
    <s v="חינוך יסודי"/>
    <s v="8133"/>
    <s v="חינוך מיוחד"/>
    <m/>
    <s v="1"/>
    <x v="9"/>
    <s v="13"/>
    <s v="שעות נוספות"/>
    <s v="130"/>
    <e v="#N/A"/>
  </r>
  <r>
    <n v="181"/>
    <s v="81333"/>
    <n v="1"/>
    <s v="181333.181"/>
    <s v="מיסים וביטוח לאומי              "/>
    <m/>
    <m/>
    <n v="369000"/>
    <n v="365000"/>
    <n v="329403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1"/>
    <s v="הפרשות סוציאליות"/>
  </r>
  <r>
    <n v="182"/>
    <s v="81333"/>
    <n v="1"/>
    <s v="181333.182"/>
    <s v="קופות גמל והשתלמות              "/>
    <m/>
    <m/>
    <n v="474000"/>
    <n v="470000"/>
    <n v="448348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2"/>
    <s v="מיסיום ועלויות"/>
  </r>
  <r>
    <n v="230"/>
    <s v="81333"/>
    <n v="1"/>
    <s v="181333.230"/>
    <s v="משימות חולפות - 1.17            "/>
    <m/>
    <m/>
    <n v="769000"/>
    <n v="683000"/>
    <n v="678765"/>
    <m/>
    <x v="7"/>
    <s v="שירותים ממלכתיים"/>
    <x v="33"/>
    <s v="חינוך"/>
    <x v="107"/>
    <s v="חינוך יסודי"/>
    <s v="8133"/>
    <s v="חינוך מיוחד"/>
    <m/>
    <s v="2"/>
    <x v="10"/>
    <s v="23"/>
    <s v="שעות נוספות"/>
    <s v="230"/>
    <e v="#N/A"/>
  </r>
  <r>
    <n v="250"/>
    <s v="81333"/>
    <n v="1"/>
    <s v="181333.250"/>
    <s v="עובדים יומיים -0.3              "/>
    <m/>
    <m/>
    <n v="32000"/>
    <n v="31000"/>
    <n v="28490"/>
    <m/>
    <x v="7"/>
    <s v="שירותים ממלכתיים"/>
    <x v="33"/>
    <s v="חינוך"/>
    <x v="107"/>
    <s v="חינוך יסודי"/>
    <s v="8133"/>
    <s v="חינוך מיוחד"/>
    <m/>
    <s v="2"/>
    <x v="10"/>
    <s v="25"/>
    <e v="#N/A"/>
    <s v="250"/>
    <e v="#N/A"/>
  </r>
  <r>
    <n v="310"/>
    <s v="81333"/>
    <n v="1"/>
    <s v="181333.310"/>
    <s v="שעות נוספות רשומות              "/>
    <m/>
    <m/>
    <n v="77000"/>
    <n v="80000"/>
    <n v="20090"/>
    <m/>
    <x v="7"/>
    <s v="שירותים ממלכתיים"/>
    <x v="33"/>
    <s v="חינוך"/>
    <x v="107"/>
    <s v="חינוך יסודי"/>
    <s v="8133"/>
    <s v="חינוך מיוחד"/>
    <m/>
    <s v="3"/>
    <x v="14"/>
    <s v="31"/>
    <s v="פנסיה"/>
    <s v="310"/>
    <e v="#N/A"/>
  </r>
  <r>
    <n v="340"/>
    <s v="81333"/>
    <n v="1"/>
    <s v="181333.340"/>
    <s v="שעות נוספות מיוחדות             "/>
    <m/>
    <m/>
    <n v="210000"/>
    <n v="206000"/>
    <n v="239558"/>
    <m/>
    <x v="7"/>
    <s v="שירותים ממלכתיים"/>
    <x v="33"/>
    <s v="חינוך"/>
    <x v="107"/>
    <s v="חינוך יסודי"/>
    <s v="8133"/>
    <s v="חינוך מיוחד"/>
    <m/>
    <s v="3"/>
    <x v="14"/>
    <s v="34"/>
    <e v="#N/A"/>
    <s v="340"/>
    <e v="#N/A"/>
  </r>
  <r>
    <n v="437"/>
    <s v="81333"/>
    <n v="1"/>
    <s v="181333.437"/>
    <s v="שמירה                           "/>
    <m/>
    <m/>
    <n v="671000"/>
    <n v="615000"/>
    <n v="645814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7"/>
    <e v="#N/A"/>
  </r>
  <r>
    <n v="861"/>
    <s v="81333"/>
    <n v="1"/>
    <s v="181333.861"/>
    <s v="שיעורי עזר-יובל חינוך           "/>
    <m/>
    <m/>
    <n v="228000"/>
    <n v="213000"/>
    <n v="217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1"/>
    <e v="#N/A"/>
  </r>
  <r>
    <n v="862"/>
    <s v="81333"/>
    <n v="1"/>
    <s v="181333.862"/>
    <s v="השגחה לילית-יובל חינוך          "/>
    <m/>
    <m/>
    <n v="134000"/>
    <n v="119000"/>
    <n v="114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2"/>
    <e v="#N/A"/>
  </r>
  <r>
    <n v="863"/>
    <s v="81333"/>
    <n v="1"/>
    <s v="181333.863"/>
    <s v="תחזוקה שוטפת-יובל חינוך         "/>
    <m/>
    <m/>
    <n v="650000"/>
    <n v="610000"/>
    <n v="609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3"/>
    <e v="#N/A"/>
  </r>
  <r>
    <n v="864"/>
    <s v="81333"/>
    <n v="1"/>
    <s v="181333.864"/>
    <s v="פעולות חברתיות תרבות והעשרה-יובל"/>
    <m/>
    <m/>
    <n v="291000"/>
    <n v="291000"/>
    <n v="290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4"/>
    <e v="#N/A"/>
  </r>
  <r>
    <n v="865"/>
    <s v="81333"/>
    <n v="1"/>
    <s v="181333.865"/>
    <s v="הוצאות לחניכים                  "/>
    <m/>
    <m/>
    <n v="207000"/>
    <n v="206000"/>
    <n v="164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5"/>
    <e v="#N/A"/>
  </r>
  <r>
    <n v="866"/>
    <s v="81333"/>
    <n v="1"/>
    <s v="181333.866"/>
    <s v="הוצאות אחרות לפנימייה-יובל חינוך"/>
    <m/>
    <m/>
    <n v="197000"/>
    <n v="195000"/>
    <n v="188002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6"/>
    <e v="#N/A"/>
  </r>
  <r>
    <n v="867"/>
    <s v="81333"/>
    <n v="1"/>
    <s v="181333.867"/>
    <s v="מזון-יובל חינוך                 "/>
    <m/>
    <m/>
    <n v="370000"/>
    <n v="370000"/>
    <n v="400004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7"/>
    <e v="#N/A"/>
  </r>
  <r>
    <n v="868"/>
    <s v="81333"/>
    <n v="1"/>
    <s v="181333.868"/>
    <s v="דירת בוגרי פנימיה - יובל חינוך  "/>
    <m/>
    <m/>
    <n v="57000"/>
    <n v="57000"/>
    <n v="57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8"/>
    <e v="#N/A"/>
  </r>
  <r>
    <n v="869"/>
    <s v="81333"/>
    <n v="1"/>
    <s v="181333.869"/>
    <s v="קבלני ניקיון פנימיות - יובל חינו"/>
    <m/>
    <m/>
    <n v="494000"/>
    <n v="494000"/>
    <n v="457573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9"/>
    <e v="#N/A"/>
  </r>
  <r>
    <n v="110"/>
    <s v="81334"/>
    <n v="1"/>
    <s v="181334.110"/>
    <s v="משכורת כוללת                    "/>
    <m/>
    <m/>
    <n v="210000"/>
    <n v="214000"/>
    <n v="205580"/>
    <m/>
    <x v="7"/>
    <s v="שירותים ממלכתיים"/>
    <x v="33"/>
    <s v="חינוך"/>
    <x v="107"/>
    <s v="חינוך יסודי"/>
    <s v="8133"/>
    <s v="חינוך מיוחד"/>
    <m/>
    <s v="1"/>
    <x v="9"/>
    <s v="11"/>
    <s v="השכר הקובע"/>
    <s v="110"/>
    <e v="#N/A"/>
  </r>
  <r>
    <n v="124"/>
    <s v="81334"/>
    <n v="1"/>
    <s v="181334.124"/>
    <s v="החזר הוצאות                     "/>
    <m/>
    <m/>
    <n v="16000"/>
    <n v="17000"/>
    <n v="16662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4"/>
    <e v="#N/A"/>
  </r>
  <r>
    <n v="126"/>
    <s v="81334"/>
    <n v="1"/>
    <s v="181334.126"/>
    <s v="הבראה                           "/>
    <m/>
    <m/>
    <n v="16000"/>
    <n v="16000"/>
    <n v="15991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6"/>
    <e v="#N/A"/>
  </r>
  <r>
    <n v="127"/>
    <s v="81334"/>
    <n v="1"/>
    <s v="181334.127"/>
    <s v="השתתפות באחזקת רכב-1            "/>
    <m/>
    <m/>
    <n v="16000"/>
    <n v="17000"/>
    <n v="16998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7"/>
    <e v="#N/A"/>
  </r>
  <r>
    <n v="130"/>
    <s v="81334"/>
    <n v="1"/>
    <s v="181334.130"/>
    <s v="תשלומים מיוחדים                 "/>
    <m/>
    <m/>
    <n v="33000"/>
    <n v="32000"/>
    <n v="30311"/>
    <m/>
    <x v="7"/>
    <s v="שירותים ממלכתיים"/>
    <x v="33"/>
    <s v="חינוך"/>
    <x v="107"/>
    <s v="חינוך יסודי"/>
    <s v="8133"/>
    <s v="חינוך מיוחד"/>
    <m/>
    <s v="1"/>
    <x v="9"/>
    <s v="13"/>
    <s v="שעות נוספות"/>
    <s v="130"/>
    <e v="#N/A"/>
  </r>
  <r>
    <n v="181"/>
    <s v="81334"/>
    <n v="1"/>
    <s v="181334.181"/>
    <s v="מיסים וביטוח לאומי              "/>
    <m/>
    <m/>
    <n v="40000"/>
    <n v="40000"/>
    <n v="36982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1"/>
    <s v="הפרשות סוציאליות"/>
  </r>
  <r>
    <n v="182"/>
    <s v="81334"/>
    <n v="1"/>
    <s v="181334.182"/>
    <s v="קופות גמל והשתלמות              "/>
    <m/>
    <m/>
    <n v="41000"/>
    <n v="43000"/>
    <n v="41019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2"/>
    <s v="מיסיום ועלויות"/>
  </r>
  <r>
    <n v="310"/>
    <s v="81334"/>
    <n v="1"/>
    <s v="181334.310"/>
    <s v="שעות נוספות רשומות              "/>
    <m/>
    <m/>
    <n v="8000"/>
    <n v="8000"/>
    <n v="464"/>
    <m/>
    <x v="7"/>
    <s v="שירותים ממלכתיים"/>
    <x v="33"/>
    <s v="חינוך"/>
    <x v="107"/>
    <s v="חינוך יסודי"/>
    <s v="8133"/>
    <s v="חינוך מיוחד"/>
    <m/>
    <s v="3"/>
    <x v="14"/>
    <s v="31"/>
    <s v="פנסיה"/>
    <s v="310"/>
    <e v="#N/A"/>
  </r>
  <r>
    <n v="340"/>
    <s v="81334"/>
    <n v="1"/>
    <s v="181334.340"/>
    <s v="שעות נוספות מיוחדות             "/>
    <m/>
    <m/>
    <n v="5000"/>
    <n v="5000"/>
    <n v="15612"/>
    <m/>
    <x v="7"/>
    <s v="שירותים ממלכתיים"/>
    <x v="33"/>
    <s v="חינוך"/>
    <x v="107"/>
    <s v="חינוך יסודי"/>
    <s v="8133"/>
    <s v="חינוך מיוחד"/>
    <m/>
    <s v="3"/>
    <x v="14"/>
    <s v="34"/>
    <e v="#N/A"/>
    <s v="340"/>
    <e v="#N/A"/>
  </r>
  <r>
    <n v="437"/>
    <s v="81334"/>
    <n v="1"/>
    <s v="181334.437"/>
    <s v="שמירה                           "/>
    <m/>
    <m/>
    <n v="698000"/>
    <n v="640000"/>
    <n v="640000"/>
    <m/>
    <x v="7"/>
    <s v="שירותים ממלכתיים"/>
    <x v="33"/>
    <s v="חינוך"/>
    <x v="107"/>
    <s v="חינוך יסודי"/>
    <s v="8133"/>
    <s v="חינוך מיוחד"/>
    <m/>
    <s v="4"/>
    <x v="15"/>
    <s v="43"/>
    <s v="חשמל, מים וחומרי ניקיון"/>
    <s v="437"/>
    <e v="#N/A"/>
  </r>
  <r>
    <n v="862"/>
    <s v="81334"/>
    <n v="1"/>
    <s v="181334.862"/>
    <s v="כח אדם - יובל חינוך             "/>
    <m/>
    <m/>
    <n v="302000"/>
    <n v="162000"/>
    <n v="156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2"/>
    <e v="#N/A"/>
  </r>
  <r>
    <n v="863"/>
    <s v="81334"/>
    <n v="1"/>
    <s v="181334.863"/>
    <s v="תחזוקה שוטפת-יובל חינוך         "/>
    <m/>
    <m/>
    <n v="1167000"/>
    <n v="1168000"/>
    <n v="1117802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3"/>
    <e v="#N/A"/>
  </r>
  <r>
    <n v="864"/>
    <s v="81334"/>
    <n v="1"/>
    <s v="181334.864"/>
    <s v="קבלן ניקיון ואחזקה-יובל חינוך   "/>
    <m/>
    <m/>
    <n v="698000"/>
    <n v="698000"/>
    <n v="698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4"/>
    <e v="#N/A"/>
  </r>
  <r>
    <n v="866"/>
    <s v="81334"/>
    <n v="1"/>
    <s v="181334.866"/>
    <s v="הוצאות אחרות לפנימייה-יובל חינוך"/>
    <m/>
    <m/>
    <n v="111000"/>
    <n v="111000"/>
    <n v="111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6"/>
    <e v="#N/A"/>
  </r>
  <r>
    <n v="867"/>
    <s v="81334"/>
    <n v="1"/>
    <s v="181334.867"/>
    <s v="מזון-יובל חינוך                 "/>
    <m/>
    <m/>
    <n v="788000"/>
    <n v="768000"/>
    <n v="740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7"/>
    <e v="#N/A"/>
  </r>
  <r>
    <n v="110"/>
    <s v="81336"/>
    <n v="1"/>
    <s v="181336.110"/>
    <s v="משכורת כוללת                    "/>
    <m/>
    <m/>
    <n v="1031000"/>
    <n v="1023000"/>
    <n v="997535"/>
    <m/>
    <x v="7"/>
    <s v="שירותים ממלכתיים"/>
    <x v="33"/>
    <s v="חינוך"/>
    <x v="107"/>
    <s v="חינוך יסודי"/>
    <s v="8133"/>
    <s v="חינוך מיוחד"/>
    <m/>
    <s v="1"/>
    <x v="9"/>
    <s v="11"/>
    <s v="השכר הקובע"/>
    <s v="110"/>
    <e v="#N/A"/>
  </r>
  <r>
    <n v="124"/>
    <s v="81336"/>
    <n v="1"/>
    <s v="181336.124"/>
    <s v="החזר הוצאות                     "/>
    <m/>
    <m/>
    <n v="99000"/>
    <n v="92000"/>
    <n v="92513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4"/>
    <e v="#N/A"/>
  </r>
  <r>
    <n v="126"/>
    <s v="81336"/>
    <n v="1"/>
    <s v="181336.126"/>
    <s v="הבראה                           "/>
    <m/>
    <m/>
    <n v="97000"/>
    <n v="92000"/>
    <n v="92679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6"/>
    <e v="#N/A"/>
  </r>
  <r>
    <n v="127"/>
    <s v="81336"/>
    <n v="1"/>
    <s v="181336.127"/>
    <s v="השתתפות באחזקת רכב - 8          "/>
    <m/>
    <m/>
    <n v="113000"/>
    <n v="126000"/>
    <n v="132534"/>
    <m/>
    <x v="7"/>
    <s v="שירותים ממלכתיים"/>
    <x v="33"/>
    <s v="חינוך"/>
    <x v="107"/>
    <s v="חינוך יסודי"/>
    <s v="8133"/>
    <s v="חינוך מיוחד"/>
    <m/>
    <s v="1"/>
    <x v="9"/>
    <s v="12"/>
    <s v="תוספות שאינן נכללות בשכר הקובע"/>
    <s v="127"/>
    <e v="#N/A"/>
  </r>
  <r>
    <n v="130"/>
    <s v="81336"/>
    <n v="1"/>
    <s v="181336.130"/>
    <s v="תשלומים מיוחדים                 "/>
    <m/>
    <m/>
    <n v="233000"/>
    <n v="214000"/>
    <n v="206556"/>
    <m/>
    <x v="7"/>
    <s v="שירותים ממלכתיים"/>
    <x v="33"/>
    <s v="חינוך"/>
    <x v="107"/>
    <s v="חינוך יסודי"/>
    <s v="8133"/>
    <s v="חינוך מיוחד"/>
    <m/>
    <s v="1"/>
    <x v="9"/>
    <s v="13"/>
    <s v="שעות נוספות"/>
    <s v="130"/>
    <e v="#N/A"/>
  </r>
  <r>
    <n v="181"/>
    <s v="81336"/>
    <n v="1"/>
    <s v="181336.181"/>
    <s v="מיסים וביטוח לאומי              "/>
    <m/>
    <m/>
    <n v="330000"/>
    <n v="325000"/>
    <n v="305141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1"/>
    <s v="הפרשות סוציאליות"/>
  </r>
  <r>
    <n v="182"/>
    <s v="81336"/>
    <n v="1"/>
    <s v="181336.182"/>
    <s v="קופות גמל והשתלמות              "/>
    <m/>
    <m/>
    <n v="453000"/>
    <n v="424000"/>
    <n v="419429"/>
    <m/>
    <x v="7"/>
    <s v="שירותים ממלכתיים"/>
    <x v="33"/>
    <s v="חינוך"/>
    <x v="107"/>
    <s v="חינוך יסודי"/>
    <s v="8133"/>
    <s v="חינוך מיוחד"/>
    <m/>
    <s v="1"/>
    <x v="9"/>
    <s v="18"/>
    <s v="נלוות לשכר"/>
    <s v="182"/>
    <s v="מיסיום ועלויות"/>
  </r>
  <r>
    <n v="230"/>
    <s v="81336"/>
    <n v="1"/>
    <s v="181336.230"/>
    <s v="משימות חולפות - 1.00            "/>
    <m/>
    <m/>
    <n v="691000"/>
    <n v="675000"/>
    <n v="706646"/>
    <m/>
    <x v="7"/>
    <s v="שירותים ממלכתיים"/>
    <x v="33"/>
    <s v="חינוך"/>
    <x v="107"/>
    <s v="חינוך יסודי"/>
    <s v="8133"/>
    <s v="חינוך מיוחד"/>
    <m/>
    <s v="2"/>
    <x v="10"/>
    <s v="23"/>
    <s v="שעות נוספות"/>
    <s v="230"/>
    <e v="#N/A"/>
  </r>
  <r>
    <n v="310"/>
    <s v="81336"/>
    <n v="1"/>
    <s v="181336.310"/>
    <s v="שעות נוספות רשומות              "/>
    <m/>
    <m/>
    <n v="68000"/>
    <n v="72000"/>
    <n v="21899"/>
    <m/>
    <x v="7"/>
    <s v="שירותים ממלכתיים"/>
    <x v="33"/>
    <s v="חינוך"/>
    <x v="107"/>
    <s v="חינוך יסודי"/>
    <s v="8133"/>
    <s v="חינוך מיוחד"/>
    <m/>
    <s v="3"/>
    <x v="14"/>
    <s v="31"/>
    <s v="פנסיה"/>
    <s v="310"/>
    <e v="#N/A"/>
  </r>
  <r>
    <n v="340"/>
    <s v="81336"/>
    <n v="1"/>
    <s v="181336.340"/>
    <s v="שעות נוספות מיוחדות             "/>
    <m/>
    <m/>
    <n v="191000"/>
    <n v="187000"/>
    <n v="196672"/>
    <m/>
    <x v="7"/>
    <s v="שירותים ממלכתיים"/>
    <x v="33"/>
    <s v="חינוך"/>
    <x v="107"/>
    <s v="חינוך יסודי"/>
    <s v="8133"/>
    <s v="חינוך מיוחד"/>
    <m/>
    <s v="3"/>
    <x v="14"/>
    <s v="34"/>
    <e v="#N/A"/>
    <s v="340"/>
    <e v="#N/A"/>
  </r>
  <r>
    <n v="861"/>
    <s v="81336"/>
    <n v="1"/>
    <s v="181336.861"/>
    <s v="שיעורי עזר -יובל חינוך          "/>
    <m/>
    <m/>
    <n v="170000"/>
    <n v="170000"/>
    <n v="172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1"/>
    <e v="#N/A"/>
  </r>
  <r>
    <n v="862"/>
    <s v="81336"/>
    <n v="1"/>
    <s v="181336.862"/>
    <s v="השגחה לילית-יובל חינוך          "/>
    <m/>
    <m/>
    <n v="134000"/>
    <n v="119000"/>
    <n v="114000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2"/>
    <e v="#N/A"/>
  </r>
  <r>
    <n v="863"/>
    <s v="81336"/>
    <n v="1"/>
    <s v="181336.863"/>
    <s v="תחזוקה שוטפת-יובל חינוך         "/>
    <m/>
    <m/>
    <n v="79000"/>
    <n v="79000"/>
    <n v="74004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3"/>
    <e v="#N/A"/>
  </r>
  <r>
    <n v="864"/>
    <s v="81336"/>
    <n v="1"/>
    <s v="181336.864"/>
    <s v="פעולות חברתיות תרבות והעשרה-יובל"/>
    <m/>
    <m/>
    <n v="244000"/>
    <n v="244000"/>
    <n v="243999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4"/>
    <e v="#N/A"/>
  </r>
  <r>
    <n v="865"/>
    <s v="81336"/>
    <n v="1"/>
    <s v="181336.865"/>
    <s v="הוצאות לחניכים-יובל חינוך       "/>
    <m/>
    <m/>
    <n v="174000"/>
    <n v="158000"/>
    <n v="134004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5"/>
    <e v="#N/A"/>
  </r>
  <r>
    <n v="866"/>
    <s v="81336"/>
    <n v="1"/>
    <s v="181336.866"/>
    <s v="הוצאות אחרות לפנימייה-יובל חינוך"/>
    <m/>
    <m/>
    <n v="133000"/>
    <n v="131000"/>
    <n v="123996"/>
    <m/>
    <x v="7"/>
    <s v="שירותים ממלכתיים"/>
    <x v="33"/>
    <s v="חינוך"/>
    <x v="107"/>
    <s v="חינוך יסודי"/>
    <s v="8133"/>
    <s v="חינוך מיוחד"/>
    <m/>
    <s v="8"/>
    <x v="16"/>
    <s v="86"/>
    <s v="הנחות"/>
    <s v="866"/>
    <e v="#N/A"/>
  </r>
  <r>
    <n v="999"/>
    <s v="81337"/>
    <n v="1"/>
    <s v="181337.999"/>
    <s v="החזר מאגף הרווחה לפנימיות       "/>
    <m/>
    <m/>
    <n v="-11682000"/>
    <n v="-11290000"/>
    <n v="-12206292"/>
    <m/>
    <x v="7"/>
    <s v="שירותים ממלכתיים"/>
    <x v="33"/>
    <s v="חינוך"/>
    <x v="107"/>
    <s v="חינוך יסודי"/>
    <s v="8133"/>
    <s v="חינוך מיוחד"/>
    <m/>
    <s v="9"/>
    <x v="17"/>
    <s v="99"/>
    <e v="#N/A"/>
    <s v="999"/>
    <e v="#N/A"/>
  </r>
  <r>
    <n v="511"/>
    <s v="81380"/>
    <n v="1"/>
    <s v="181380.511"/>
    <s v="הסעות למרכז לחנוך ימי           "/>
    <m/>
    <m/>
    <n v="450000"/>
    <n v="450000"/>
    <n v="381610"/>
    <m/>
    <x v="7"/>
    <s v="שירותים ממלכתיים"/>
    <x v="33"/>
    <s v="חינוך"/>
    <x v="107"/>
    <s v="חינוך יסודי"/>
    <s v="8138"/>
    <s v="קייטנות לימודיות וחודש לימוד נוסף"/>
    <m/>
    <s v="5"/>
    <x v="11"/>
    <s v="51"/>
    <s v="אש&quot;ל וכיבודים"/>
    <s v="511"/>
    <s v="אירוח וכיבוד"/>
  </r>
  <r>
    <n v="851"/>
    <s v="81380"/>
    <n v="1"/>
    <s v="181380.851"/>
    <s v="הפעלת החינוך הימי-חב' מוסדות חינ"/>
    <m/>
    <m/>
    <n v="693000"/>
    <n v="743000"/>
    <n v="743000"/>
    <m/>
    <x v="7"/>
    <s v="שירותים ממלכתיים"/>
    <x v="33"/>
    <s v="חינוך"/>
    <x v="107"/>
    <s v="חינוך יסודי"/>
    <s v="8138"/>
    <s v="קייטנות לימודיות וחודש לימוד נוסף"/>
    <m/>
    <s v="8"/>
    <x v="16"/>
    <s v="85"/>
    <s v="מלגות לתלמידים וסטודנטים"/>
    <s v="851"/>
    <e v="#N/A"/>
  </r>
  <r>
    <n v="999"/>
    <s v="81380"/>
    <n v="1"/>
    <s v="181380.999"/>
    <s v="החזר ממרכז החתירה               "/>
    <m/>
    <m/>
    <n v="-1143000"/>
    <n v="-1193000"/>
    <n v="-1050000"/>
    <m/>
    <x v="7"/>
    <s v="שירותים ממלכתיים"/>
    <x v="33"/>
    <s v="חינוך"/>
    <x v="107"/>
    <s v="חינוך יסודי"/>
    <s v="8138"/>
    <s v="קייטנות לימודיות וחודש לימוד נוסף"/>
    <m/>
    <s v="9"/>
    <x v="17"/>
    <s v="99"/>
    <e v="#N/A"/>
    <s v="999"/>
    <e v="#N/A"/>
  </r>
  <r>
    <n v="811"/>
    <s v="81390"/>
    <n v="1"/>
    <s v="181390.811"/>
    <s v="תמיכות למוס' החינוך המוכר שאינו "/>
    <m/>
    <m/>
    <n v="1325000"/>
    <n v="0"/>
    <n v="0"/>
    <m/>
    <x v="7"/>
    <s v="שירותים ממלכתיים"/>
    <x v="33"/>
    <s v="חינוך"/>
    <x v="107"/>
    <s v="חינוך יסודי"/>
    <s v="8139"/>
    <e v="#N/A"/>
    <m/>
    <s v="8"/>
    <x v="16"/>
    <s v="81"/>
    <s v="השתתפויות ותרומות למוסדות עפ&quot;י חוק והסכמים"/>
    <s v="811"/>
    <e v="#N/A"/>
  </r>
  <r>
    <n v="870"/>
    <s v="81390"/>
    <n v="1"/>
    <s v="181390.870"/>
    <s v="סעיף שאינו חוזר                 "/>
    <m/>
    <m/>
    <n v="0"/>
    <n v="113000"/>
    <n v="394937"/>
    <m/>
    <x v="7"/>
    <s v="שירותים ממלכתיים"/>
    <x v="33"/>
    <s v="חינוך"/>
    <x v="107"/>
    <s v="חינוך יסודי"/>
    <s v="8139"/>
    <e v="#N/A"/>
    <m/>
    <s v="8"/>
    <x v="16"/>
    <s v="87"/>
    <s v="תמיכות ביחידות סמך ומוסדות הרשות"/>
    <s v="870"/>
    <e v="#N/A"/>
  </r>
  <r>
    <n v="881"/>
    <s v="81390"/>
    <n v="1"/>
    <s v="181390.881"/>
    <s v="השתת' לסידור ילדים מחוץ לעיר    "/>
    <m/>
    <m/>
    <n v="3762000"/>
    <n v="3362000"/>
    <n v="4162000"/>
    <m/>
    <x v="7"/>
    <s v="שירותים ממלכתיים"/>
    <x v="33"/>
    <s v="חינוך"/>
    <x v="107"/>
    <s v="חינוך יסודי"/>
    <s v="8139"/>
    <e v="#N/A"/>
    <m/>
    <s v="8"/>
    <x v="16"/>
    <s v="88"/>
    <e v="#N/A"/>
    <s v="881"/>
    <e v="#N/A"/>
  </r>
  <r>
    <n v="882"/>
    <s v="81390"/>
    <n v="1"/>
    <s v="181390.882"/>
    <s v="השתת' למרכז  שמע                "/>
    <m/>
    <m/>
    <n v="320000"/>
    <n v="315000"/>
    <n v="314444"/>
    <m/>
    <x v="7"/>
    <s v="שירותים ממלכתיים"/>
    <x v="33"/>
    <s v="חינוך"/>
    <x v="107"/>
    <s v="חינוך יסודי"/>
    <s v="8139"/>
    <e v="#N/A"/>
    <m/>
    <s v="8"/>
    <x v="16"/>
    <s v="88"/>
    <e v="#N/A"/>
    <s v="882"/>
    <e v="#N/A"/>
  </r>
  <r>
    <n v="884"/>
    <s v="81390"/>
    <n v="1"/>
    <s v="181390.884"/>
    <s v="השתת למיח א                     "/>
    <m/>
    <m/>
    <n v="280000"/>
    <n v="270000"/>
    <n v="283790"/>
    <m/>
    <x v="7"/>
    <s v="שירותים ממלכתיים"/>
    <x v="33"/>
    <s v="חינוך"/>
    <x v="107"/>
    <s v="חינוך יסודי"/>
    <s v="8139"/>
    <e v="#N/A"/>
    <m/>
    <s v="8"/>
    <x v="16"/>
    <s v="88"/>
    <e v="#N/A"/>
    <s v="884"/>
    <e v="#N/A"/>
  </r>
  <r>
    <n v="885"/>
    <s v="81390"/>
    <n v="1"/>
    <s v="181390.885"/>
    <s v="הקצבה לחינוך המוכר שאינו רשמי   "/>
    <m/>
    <m/>
    <n v="2469000"/>
    <n v="4287000"/>
    <n v="3562675"/>
    <m/>
    <x v="7"/>
    <s v="שירותים ממלכתיים"/>
    <x v="33"/>
    <s v="חינוך"/>
    <x v="107"/>
    <s v="חינוך יסודי"/>
    <s v="8139"/>
    <e v="#N/A"/>
    <m/>
    <s v="8"/>
    <x v="16"/>
    <s v="88"/>
    <e v="#N/A"/>
    <s v="885"/>
    <e v="#N/A"/>
  </r>
  <r>
    <n v="110"/>
    <s v="81720"/>
    <n v="1"/>
    <s v="181720.110"/>
    <s v="משכורת כוללת                    "/>
    <m/>
    <m/>
    <n v="811000"/>
    <n v="784000"/>
    <n v="729215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1"/>
    <s v="השכר הקובע"/>
    <s v="110"/>
    <e v="#N/A"/>
  </r>
  <r>
    <n v="124"/>
    <s v="81720"/>
    <n v="1"/>
    <s v="181720.124"/>
    <s v="החזר הוצאות                     "/>
    <m/>
    <m/>
    <n v="70000"/>
    <n v="70000"/>
    <n v="62736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2"/>
    <s v="תוספות שאינן נכללות בשכר הקובע"/>
    <s v="124"/>
    <e v="#N/A"/>
  </r>
  <r>
    <n v="126"/>
    <s v="81720"/>
    <n v="1"/>
    <s v="181720.126"/>
    <s v="הבראה                           "/>
    <m/>
    <m/>
    <n v="54000"/>
    <n v="54000"/>
    <n v="48640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2"/>
    <s v="תוספות שאינן נכללות בשכר הקובע"/>
    <s v="126"/>
    <e v="#N/A"/>
  </r>
  <r>
    <n v="127"/>
    <s v="81720"/>
    <n v="1"/>
    <s v="181720.127"/>
    <s v="השתתפות באחזקת רכב - 8          "/>
    <m/>
    <m/>
    <n v="146000"/>
    <n v="143000"/>
    <n v="148995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2"/>
    <s v="תוספות שאינן נכללות בשכר הקובע"/>
    <s v="127"/>
    <e v="#N/A"/>
  </r>
  <r>
    <n v="130"/>
    <s v="81720"/>
    <n v="1"/>
    <s v="181720.130"/>
    <s v="תשלומים מיוחדים                 "/>
    <m/>
    <m/>
    <n v="204000"/>
    <n v="183000"/>
    <n v="167315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3"/>
    <s v="שעות נוספות"/>
    <s v="130"/>
    <e v="#N/A"/>
  </r>
  <r>
    <n v="181"/>
    <s v="81720"/>
    <n v="1"/>
    <s v="181720.181"/>
    <s v="מיסים וביטוח לאומי              "/>
    <m/>
    <m/>
    <n v="170000"/>
    <n v="164000"/>
    <n v="147005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8"/>
    <s v="נלוות לשכר"/>
    <s v="181"/>
    <s v="הפרשות סוציאליות"/>
  </r>
  <r>
    <n v="182"/>
    <s v="81720"/>
    <n v="1"/>
    <s v="181720.182"/>
    <s v="קופות גמל והשתלמות              "/>
    <m/>
    <m/>
    <n v="164000"/>
    <n v="164000"/>
    <n v="146299"/>
    <m/>
    <x v="7"/>
    <s v="שירותים ממלכתיים"/>
    <x v="33"/>
    <s v="חינוך"/>
    <x v="108"/>
    <s v="שירותים נוספים לבתי״ס וגנ״י"/>
    <s v="8172"/>
    <s v="מרכזית פדגוגית"/>
    <m/>
    <s v="1"/>
    <x v="9"/>
    <s v="18"/>
    <s v="נלוות לשכר"/>
    <s v="182"/>
    <s v="מיסיום ועלויות"/>
  </r>
  <r>
    <n v="310"/>
    <s v="81720"/>
    <n v="1"/>
    <s v="181720.310"/>
    <s v="שעות נוספות רשומות              "/>
    <m/>
    <m/>
    <n v="17000"/>
    <n v="17000"/>
    <n v="16380"/>
    <m/>
    <x v="7"/>
    <s v="שירותים ממלכתיים"/>
    <x v="33"/>
    <s v="חינוך"/>
    <x v="108"/>
    <s v="שירותים נוספים לבתי״ס וגנ״י"/>
    <s v="8172"/>
    <s v="מרכזית פדגוגית"/>
    <m/>
    <s v="3"/>
    <x v="14"/>
    <s v="31"/>
    <s v="פנסיה"/>
    <s v="310"/>
    <e v="#N/A"/>
  </r>
  <r>
    <n v="437"/>
    <s v="81720"/>
    <n v="1"/>
    <s v="181720.437"/>
    <s v="שמירה                           "/>
    <m/>
    <m/>
    <n v="75000"/>
    <n v="70000"/>
    <n v="54325"/>
    <m/>
    <x v="7"/>
    <s v="שירותים ממלכתיים"/>
    <x v="33"/>
    <s v="חינוך"/>
    <x v="108"/>
    <s v="שירותים נוספים לבתי״ס וגנ״י"/>
    <s v="8172"/>
    <s v="מרכזית פדגוגית"/>
    <m/>
    <s v="4"/>
    <x v="15"/>
    <s v="43"/>
    <s v="חשמל, מים וחומרי ניקיון"/>
    <s v="437"/>
    <e v="#N/A"/>
  </r>
  <r>
    <n v="785"/>
    <s v="81720"/>
    <n v="1"/>
    <s v="181720.785"/>
    <s v="מדור מחשבים - הפעלה וציוד       "/>
    <m/>
    <m/>
    <n v="50000"/>
    <n v="50000"/>
    <n v="0"/>
    <m/>
    <x v="7"/>
    <s v="שירותים ממלכתיים"/>
    <x v="33"/>
    <s v="חינוך"/>
    <x v="108"/>
    <s v="שירותים נוספים לבתי״ס וגנ״י"/>
    <s v="8172"/>
    <s v="מרכזית פדגוגית"/>
    <m/>
    <s v="7"/>
    <x v="13"/>
    <s v="78"/>
    <s v="הוצאות שונות"/>
    <s v="785"/>
    <e v="#N/A"/>
  </r>
  <r>
    <n v="863"/>
    <s v="81720"/>
    <n v="1"/>
    <s v="181720.863"/>
    <s v="פרו' השתלמויות מרכז פיסגה-יובל ח"/>
    <m/>
    <m/>
    <n v="153000"/>
    <n v="153000"/>
    <n v="153000"/>
    <m/>
    <x v="7"/>
    <s v="שירותים ממלכתיים"/>
    <x v="33"/>
    <s v="חינוך"/>
    <x v="108"/>
    <s v="שירותים נוספים לבתי״ס וגנ״י"/>
    <s v="8172"/>
    <s v="מרכזית פדגוגית"/>
    <m/>
    <s v="8"/>
    <x v="16"/>
    <s v="86"/>
    <s v="הנחות"/>
    <s v="863"/>
    <e v="#N/A"/>
  </r>
  <r>
    <n v="864"/>
    <s v="81720"/>
    <n v="1"/>
    <s v="181720.864"/>
    <s v="הפעלה שוטפת-מרכז פיסגה-יובל חינו"/>
    <m/>
    <m/>
    <n v="606000"/>
    <n v="536000"/>
    <n v="634119"/>
    <m/>
    <x v="7"/>
    <s v="שירותים ממלכתיים"/>
    <x v="33"/>
    <s v="חינוך"/>
    <x v="108"/>
    <s v="שירותים נוספים לבתי״ס וגנ״י"/>
    <s v="8172"/>
    <s v="מרכזית פדגוגית"/>
    <m/>
    <s v="8"/>
    <x v="16"/>
    <s v="86"/>
    <s v="הנחות"/>
    <s v="864"/>
    <e v="#N/A"/>
  </r>
  <r>
    <n v="110"/>
    <s v="81731"/>
    <n v="1"/>
    <s v="181731.110"/>
    <s v="משכורת כוללת                    "/>
    <m/>
    <m/>
    <n v="12505000"/>
    <n v="12486000"/>
    <n v="1169955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1"/>
    <s v="השכר הקובע"/>
    <s v="110"/>
    <e v="#N/A"/>
  </r>
  <r>
    <n v="124"/>
    <s v="81731"/>
    <n v="1"/>
    <s v="181731.124"/>
    <s v="החזר הוצאות                     "/>
    <m/>
    <m/>
    <n v="765000"/>
    <n v="775000"/>
    <n v="746778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4"/>
    <e v="#N/A"/>
  </r>
  <r>
    <n v="126"/>
    <s v="81731"/>
    <n v="1"/>
    <s v="181731.126"/>
    <s v="הבראה                           "/>
    <m/>
    <m/>
    <n v="558000"/>
    <n v="567000"/>
    <n v="545653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6"/>
    <e v="#N/A"/>
  </r>
  <r>
    <n v="127"/>
    <s v="81731"/>
    <n v="1"/>
    <s v="181731.127"/>
    <s v="השתתפות באחזקת רכב - 133        "/>
    <m/>
    <m/>
    <n v="1605000"/>
    <n v="1658000"/>
    <n v="1681847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7"/>
    <e v="#N/A"/>
  </r>
  <r>
    <n v="130"/>
    <s v="81731"/>
    <n v="1"/>
    <s v="181731.130"/>
    <s v="תשלומים מיוחדים                 "/>
    <m/>
    <m/>
    <n v="1340000"/>
    <n v="1478000"/>
    <n v="130572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3"/>
    <s v="שעות נוספות"/>
    <s v="130"/>
    <e v="#N/A"/>
  </r>
  <r>
    <n v="181"/>
    <s v="81731"/>
    <n v="1"/>
    <s v="181731.181"/>
    <s v="מיסים וביטוח לאומי              "/>
    <m/>
    <m/>
    <n v="2274000"/>
    <n v="2263000"/>
    <n v="209151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8"/>
    <s v="נלוות לשכר"/>
    <s v="181"/>
    <s v="הפרשות סוציאליות"/>
  </r>
  <r>
    <n v="182"/>
    <s v="81731"/>
    <n v="1"/>
    <s v="181731.182"/>
    <s v="קופות גמל והשתלמות              "/>
    <m/>
    <m/>
    <n v="2315000"/>
    <n v="2301000"/>
    <n v="2102563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8"/>
    <s v="נלוות לשכר"/>
    <s v="182"/>
    <s v="מיסיום ועלויות"/>
  </r>
  <r>
    <n v="230"/>
    <s v="81731"/>
    <n v="1"/>
    <s v="181731.230"/>
    <s v="משימות חולפות - 4.7             "/>
    <m/>
    <m/>
    <n v="311000"/>
    <n v="40000"/>
    <n v="40426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2"/>
    <x v="10"/>
    <s v="23"/>
    <s v="שעות נוספות"/>
    <s v="230"/>
    <e v="#N/A"/>
  </r>
  <r>
    <n v="310"/>
    <s v="81731"/>
    <n v="1"/>
    <s v="181731.310"/>
    <s v="שעות נוספות רשומות              "/>
    <m/>
    <m/>
    <n v="112000"/>
    <n v="110000"/>
    <n v="11446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3"/>
    <x v="14"/>
    <s v="31"/>
    <s v="פנסיה"/>
    <s v="310"/>
    <e v="#N/A"/>
  </r>
  <r>
    <n v="340"/>
    <s v="81731"/>
    <n v="1"/>
    <s v="181731.340"/>
    <s v="שעות נוספות מיוחדות             "/>
    <m/>
    <m/>
    <n v="188000"/>
    <n v="184000"/>
    <n v="231169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3"/>
    <x v="14"/>
    <s v="34"/>
    <e v="#N/A"/>
    <s v="340"/>
    <e v="#N/A"/>
  </r>
  <r>
    <n v="411"/>
    <s v="81731"/>
    <n v="1"/>
    <s v="181731.411"/>
    <s v="שכר דירה                        "/>
    <m/>
    <m/>
    <n v="157000"/>
    <n v="153000"/>
    <n v="150899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1"/>
    <s v="שכר דירה ודמי חכירה"/>
    <s v="411"/>
    <e v="#N/A"/>
  </r>
  <r>
    <n v="431"/>
    <s v="81731"/>
    <n v="1"/>
    <s v="181731.431"/>
    <s v="מים                             "/>
    <m/>
    <m/>
    <n v="20000"/>
    <n v="20000"/>
    <n v="1543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1"/>
    <s v="חשמל"/>
  </r>
  <r>
    <n v="433"/>
    <s v="81731"/>
    <n v="1"/>
    <s v="181731.433"/>
    <s v="ביטוח                           "/>
    <m/>
    <m/>
    <n v="1567000"/>
    <n v="1492000"/>
    <n v="130600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3"/>
    <s v="חומרי ניקיון"/>
  </r>
  <r>
    <n v="434"/>
    <s v="81731"/>
    <n v="1"/>
    <s v="181731.434"/>
    <s v="תקוני מבנים  מתקנים ואינונטר    "/>
    <m/>
    <m/>
    <n v="156000"/>
    <n v="186000"/>
    <n v="104299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4"/>
    <s v="שירותי ניקיון"/>
  </r>
  <r>
    <n v="435"/>
    <s v="81731"/>
    <n v="1"/>
    <s v="181731.435"/>
    <s v="חשמל ואנרגיה                    "/>
    <m/>
    <m/>
    <n v="164000"/>
    <n v="164000"/>
    <n v="226844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5"/>
    <e v="#N/A"/>
  </r>
  <r>
    <n v="436"/>
    <s v="81731"/>
    <n v="1"/>
    <s v="181731.436"/>
    <s v="נקיון                           "/>
    <m/>
    <m/>
    <n v="11000"/>
    <n v="11000"/>
    <n v="11233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6"/>
    <e v="#N/A"/>
  </r>
  <r>
    <n v="461"/>
    <s v="81731"/>
    <n v="1"/>
    <s v="181731.461"/>
    <s v="צורכי משרד                      "/>
    <m/>
    <m/>
    <n v="58000"/>
    <n v="50000"/>
    <n v="59697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6"/>
    <e v="#N/A"/>
    <s v="461"/>
    <e v="#N/A"/>
  </r>
  <r>
    <n v="462"/>
    <s v="81731"/>
    <n v="1"/>
    <s v="181731.462"/>
    <s v="ספרים ועתונים                   "/>
    <m/>
    <m/>
    <n v="7000"/>
    <n v="7000"/>
    <n v="342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6"/>
    <e v="#N/A"/>
    <s v="462"/>
    <e v="#N/A"/>
  </r>
  <r>
    <n v="510"/>
    <s v="81731"/>
    <n v="1"/>
    <s v="181731.510"/>
    <s v="נסיעות  ואש ל                   "/>
    <m/>
    <m/>
    <n v="9000"/>
    <n v="9000"/>
    <n v="7103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1"/>
    <s v="אש&quot;ל וכיבודים"/>
    <s v="510"/>
    <e v="#N/A"/>
  </r>
  <r>
    <n v="521"/>
    <s v="81731"/>
    <n v="1"/>
    <s v="181731.521"/>
    <s v="הדרכה וכנסים                    "/>
    <m/>
    <m/>
    <n v="30000"/>
    <n v="30000"/>
    <n v="25842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2"/>
    <s v="השתלמויות וספרות מקצועית"/>
    <s v="521"/>
    <s v="השתלמויות וספרות מקצועית"/>
  </r>
  <r>
    <n v="531"/>
    <s v="81731"/>
    <n v="1"/>
    <s v="181731.531"/>
    <s v="אחזקת רכב                       "/>
    <m/>
    <m/>
    <n v="3000"/>
    <n v="3000"/>
    <n v="329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3"/>
    <s v="הוצאות רכב מינהלי"/>
    <s v="531"/>
    <s v="דלק ושמנים"/>
  </r>
  <r>
    <n v="533"/>
    <s v="81731"/>
    <n v="1"/>
    <s v="181731.533"/>
    <s v="שכירת רכב עירוני                "/>
    <m/>
    <m/>
    <n v="43000"/>
    <n v="43000"/>
    <n v="36772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3"/>
    <s v="הוצאות רכב מינהלי"/>
    <s v="533"/>
    <s v="רישוי וביטוח"/>
  </r>
  <r>
    <n v="534"/>
    <s v="81731"/>
    <n v="1"/>
    <s v="181731.534"/>
    <s v="דלק ושמן                        "/>
    <m/>
    <m/>
    <n v="21000"/>
    <n v="20000"/>
    <n v="23372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3"/>
    <s v="הוצאות רכב מינהלי"/>
    <s v="534"/>
    <e v="#N/A"/>
  </r>
  <r>
    <n v="541"/>
    <s v="81731"/>
    <n v="1"/>
    <s v="181731.541"/>
    <s v="החזקת מכשירי קשר וסלולר         "/>
    <m/>
    <m/>
    <n v="10000"/>
    <n v="0"/>
    <n v="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5"/>
    <x v="11"/>
    <s v="54"/>
    <s v="הוצאות תקשורת"/>
    <s v="541"/>
    <e v="#N/A"/>
  </r>
  <r>
    <n v="610"/>
    <s v="81731"/>
    <n v="1"/>
    <s v="181731.610"/>
    <s v="כיבודים                         "/>
    <m/>
    <m/>
    <n v="9000"/>
    <n v="9000"/>
    <n v="869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6"/>
    <x v="12"/>
    <s v="61"/>
    <s v="עמלות"/>
    <s v="610"/>
    <e v="#N/A"/>
  </r>
  <r>
    <n v="670"/>
    <s v="81731"/>
    <n v="1"/>
    <s v="181731.670"/>
    <s v="ס. שאינו חוזר                   "/>
    <m/>
    <m/>
    <n v="0"/>
    <n v="134000"/>
    <n v="13231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6"/>
    <x v="12"/>
    <s v="67"/>
    <e v="#N/A"/>
    <s v="670"/>
    <e v="#N/A"/>
  </r>
  <r>
    <n v="691"/>
    <s v="81731"/>
    <n v="1"/>
    <s v="181731.691"/>
    <s v="מערכות מידע ומחשוב              "/>
    <m/>
    <m/>
    <n v="1590000"/>
    <n v="1410000"/>
    <n v="111687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6"/>
    <x v="12"/>
    <s v="69"/>
    <s v="שונות"/>
    <s v="691"/>
    <s v="תשלום ע&quot;ח קרן"/>
  </r>
  <r>
    <n v="693"/>
    <s v="81731"/>
    <n v="1"/>
    <s v="181731.693"/>
    <s v="ביטוח ושירות מחשבים             "/>
    <m/>
    <m/>
    <n v="34000"/>
    <n v="34000"/>
    <n v="3782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6"/>
    <x v="12"/>
    <s v="69"/>
    <s v="שונות"/>
    <s v="693"/>
    <s v="תשלום ע&quot;ח הצמדת ערך"/>
  </r>
  <r>
    <n v="710"/>
    <s v="81731"/>
    <n v="1"/>
    <s v="181731.710"/>
    <s v="הובלות   וסבלות                 "/>
    <m/>
    <m/>
    <n v="5000"/>
    <n v="5000"/>
    <n v="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1"/>
    <s v="הובלות והסעות קבלניות"/>
    <s v="710"/>
    <e v="#N/A"/>
  </r>
  <r>
    <n v="720"/>
    <s v="81731"/>
    <n v="1"/>
    <s v="181731.720"/>
    <s v="חמרים                           "/>
    <m/>
    <m/>
    <n v="12000"/>
    <n v="12000"/>
    <n v="7909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2"/>
    <s v="חומרים"/>
    <s v="720"/>
    <e v="#N/A"/>
  </r>
  <r>
    <n v="751"/>
    <s v="81731"/>
    <n v="1"/>
    <s v="181731.751"/>
    <s v="עבודה בקבלנות-נקיון             "/>
    <m/>
    <m/>
    <n v="233000"/>
    <n v="233000"/>
    <n v="22842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5"/>
    <s v="עבודות קבלניות"/>
    <s v="751"/>
    <e v="#N/A"/>
  </r>
  <r>
    <n v="752"/>
    <s v="81731"/>
    <n v="1"/>
    <s v="181731.752"/>
    <s v="קנית שרותים                     "/>
    <m/>
    <m/>
    <n v="40000"/>
    <n v="40000"/>
    <n v="3974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5"/>
    <s v="עבודות קבלניות"/>
    <s v="752"/>
    <e v="#N/A"/>
  </r>
  <r>
    <n v="753"/>
    <s v="81731"/>
    <n v="1"/>
    <s v="181731.753"/>
    <s v="ייעוץ בנושאי בטיחות             "/>
    <m/>
    <m/>
    <n v="10000"/>
    <n v="0"/>
    <n v="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5"/>
    <s v="עבודות קבלניות"/>
    <s v="753"/>
    <e v="#N/A"/>
  </r>
  <r>
    <n v="782"/>
    <s v="81731"/>
    <n v="1"/>
    <s v="181731.782"/>
    <s v="השתלמות פסיכולוגים              "/>
    <m/>
    <m/>
    <n v="260000"/>
    <n v="230000"/>
    <n v="23648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8"/>
    <s v="הוצאות שונות"/>
    <s v="782"/>
    <e v="#N/A"/>
  </r>
  <r>
    <n v="783"/>
    <s v="81731"/>
    <n v="1"/>
    <s v="181731.783"/>
    <s v="השתלמות פסיכולוגים - הסכם שכר   "/>
    <m/>
    <m/>
    <n v="85000"/>
    <n v="85000"/>
    <n v="8511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8"/>
    <s v="הוצאות שונות"/>
    <s v="783"/>
    <e v="#N/A"/>
  </r>
  <r>
    <n v="784"/>
    <s v="81731"/>
    <n v="1"/>
    <s v="181731.784"/>
    <s v="מחקרים                          "/>
    <m/>
    <m/>
    <n v="25000"/>
    <n v="25000"/>
    <n v="6004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8"/>
    <s v="הוצאות שונות"/>
    <s v="784"/>
    <e v="#N/A"/>
  </r>
  <r>
    <n v="799"/>
    <s v="81731"/>
    <n v="1"/>
    <s v="181731.799"/>
    <s v="השתתפות בגין תחזוקת בית שטראוס  "/>
    <m/>
    <m/>
    <n v="44000"/>
    <n v="44000"/>
    <n v="4400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7"/>
    <x v="13"/>
    <s v="79"/>
    <s v="השתתפות בתקציבי עזר 092"/>
    <s v="799"/>
    <e v="#N/A"/>
  </r>
  <r>
    <n v="861"/>
    <s v="81731"/>
    <n v="1"/>
    <s v="181731.861"/>
    <s v="פרוייקטים בשיתוף שפ י-יובל חינוך"/>
    <m/>
    <m/>
    <n v="90000"/>
    <n v="90000"/>
    <n v="12877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8"/>
    <x v="16"/>
    <s v="86"/>
    <s v="הנחות"/>
    <s v="861"/>
    <e v="#N/A"/>
  </r>
  <r>
    <n v="862"/>
    <s v="81731"/>
    <n v="1"/>
    <s v="181731.862"/>
    <s v="יוזמות הנהלת השפ ח-יובל חינוך   "/>
    <m/>
    <m/>
    <n v="100000"/>
    <n v="100000"/>
    <n v="1800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8"/>
    <x v="16"/>
    <s v="86"/>
    <s v="הנחות"/>
    <s v="862"/>
    <e v="#N/A"/>
  </r>
  <r>
    <n v="863"/>
    <s v="81731"/>
    <n v="1"/>
    <s v="181731.863"/>
    <s v="מועדונים טיפוליים-יובל חינוך    "/>
    <m/>
    <m/>
    <n v="13000"/>
    <n v="13000"/>
    <n v="1300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8"/>
    <x v="16"/>
    <s v="86"/>
    <s v="הנחות"/>
    <s v="863"/>
    <e v="#N/A"/>
  </r>
  <r>
    <n v="864"/>
    <s v="81731"/>
    <n v="1"/>
    <s v="181731.864"/>
    <s v="אבחונים לילדים בחינוך המיוחד-יוב"/>
    <m/>
    <m/>
    <n v="232000"/>
    <n v="262000"/>
    <n v="26200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8"/>
    <x v="16"/>
    <s v="86"/>
    <s v="הנחות"/>
    <s v="864"/>
    <e v="#N/A"/>
  </r>
  <r>
    <n v="932"/>
    <s v="81731"/>
    <n v="1"/>
    <s v="181731.932"/>
    <s v="ציוד ורהוט משרדי                "/>
    <m/>
    <m/>
    <n v="20000"/>
    <n v="20000"/>
    <n v="3047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9"/>
    <x v="17"/>
    <s v="93"/>
    <s v="רכישת ציוד יסודי"/>
    <s v="932"/>
    <e v="#N/A"/>
  </r>
  <r>
    <n v="110"/>
    <s v="81735"/>
    <n v="1"/>
    <s v="181735.110"/>
    <s v="משכורת כוללת                    "/>
    <m/>
    <m/>
    <n v="282000"/>
    <n v="285000"/>
    <n v="286435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1"/>
    <s v="השכר הקובע"/>
    <s v="110"/>
    <e v="#N/A"/>
  </r>
  <r>
    <n v="124"/>
    <s v="81735"/>
    <n v="1"/>
    <s v="181735.124"/>
    <s v="החזר הוצאות                     "/>
    <m/>
    <m/>
    <n v="21000"/>
    <n v="22000"/>
    <n v="2259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4"/>
    <e v="#N/A"/>
  </r>
  <r>
    <n v="126"/>
    <s v="81735"/>
    <n v="1"/>
    <s v="181735.126"/>
    <s v="הבראה                           "/>
    <m/>
    <m/>
    <n v="23000"/>
    <n v="20000"/>
    <n v="2120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6"/>
    <e v="#N/A"/>
  </r>
  <r>
    <n v="127"/>
    <s v="81735"/>
    <n v="1"/>
    <s v="181735.127"/>
    <s v="השתתפות באחזקת רכב-3            "/>
    <m/>
    <m/>
    <n v="29000"/>
    <n v="24000"/>
    <n v="2446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2"/>
    <s v="תוספות שאינן נכללות בשכר הקובע"/>
    <s v="127"/>
    <e v="#N/A"/>
  </r>
  <r>
    <n v="130"/>
    <s v="81735"/>
    <n v="1"/>
    <s v="181735.130"/>
    <s v="תשלומים מיוחדים                 "/>
    <m/>
    <m/>
    <n v="94000"/>
    <n v="95000"/>
    <n v="9725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3"/>
    <s v="שעות נוספות"/>
    <s v="130"/>
    <e v="#N/A"/>
  </r>
  <r>
    <n v="181"/>
    <s v="81735"/>
    <n v="1"/>
    <s v="181735.181"/>
    <s v="מיסים וביטוח לאומי              "/>
    <m/>
    <m/>
    <n v="59000"/>
    <n v="59000"/>
    <n v="6077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8"/>
    <s v="נלוות לשכר"/>
    <s v="181"/>
    <s v="הפרשות סוציאליות"/>
  </r>
  <r>
    <n v="182"/>
    <s v="81735"/>
    <n v="1"/>
    <s v="181735.182"/>
    <s v="קופות גמל והשתלמות              "/>
    <m/>
    <m/>
    <n v="52000"/>
    <n v="48000"/>
    <n v="48401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1"/>
    <x v="9"/>
    <s v="18"/>
    <s v="נלוות לשכר"/>
    <s v="182"/>
    <s v="מיסיום ועלויות"/>
  </r>
  <r>
    <n v="310"/>
    <s v="81735"/>
    <n v="1"/>
    <s v="181735.310"/>
    <s v="שעות נוספות רשומות              "/>
    <m/>
    <m/>
    <n v="2000"/>
    <n v="2000"/>
    <n v="33216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3"/>
    <x v="14"/>
    <s v="31"/>
    <s v="פנסיה"/>
    <s v="310"/>
    <e v="#N/A"/>
  </r>
  <r>
    <n v="434"/>
    <s v="81735"/>
    <n v="1"/>
    <s v="181735.434"/>
    <s v="תקוני מבנים  מתקנים ואינונטר    "/>
    <m/>
    <m/>
    <n v="4000"/>
    <n v="4000"/>
    <n v="230"/>
    <m/>
    <x v="7"/>
    <s v="שירותים ממלכתיים"/>
    <x v="33"/>
    <s v="חינוך"/>
    <x v="108"/>
    <s v="שירותים נוספים לבתי״ס וגנ״י"/>
    <s v="8173"/>
    <s v="שרות פסיכולוגי חינוכי"/>
    <m/>
    <s v="4"/>
    <x v="15"/>
    <s v="43"/>
    <s v="חשמל, מים וחומרי ניקיון"/>
    <s v="434"/>
    <s v="שירותי ניקיון"/>
  </r>
  <r>
    <n v="310"/>
    <s v="81740"/>
    <n v="1"/>
    <s v="181740.310"/>
    <s v="שעות נוספות רשומות              "/>
    <m/>
    <m/>
    <n v="204000"/>
    <n v="0"/>
    <n v="0"/>
    <m/>
    <x v="7"/>
    <s v="שירותים ממלכתיים"/>
    <x v="33"/>
    <s v="חינוך"/>
    <x v="108"/>
    <s v="שירותים נוספים לבתי״ס וגנ״י"/>
    <s v="8174"/>
    <s v="שרות בריאות לתלמיד"/>
    <m/>
    <s v="3"/>
    <x v="14"/>
    <s v="31"/>
    <s v="פנסיה"/>
    <s v="310"/>
    <e v="#N/A"/>
  </r>
  <r>
    <n v="437"/>
    <s v="81740"/>
    <n v="1"/>
    <s v="181740.437"/>
    <s v="שמירה                           "/>
    <m/>
    <m/>
    <n v="396000"/>
    <n v="396000"/>
    <n v="302416"/>
    <m/>
    <x v="7"/>
    <s v="שירותים ממלכתיים"/>
    <x v="33"/>
    <s v="חינוך"/>
    <x v="108"/>
    <s v="שירותים נוספים לבתי״ס וגנ״י"/>
    <s v="8174"/>
    <s v="שרות בריאות לתלמיד"/>
    <m/>
    <s v="4"/>
    <x v="15"/>
    <s v="43"/>
    <s v="חשמל, מים וחומרי ניקיון"/>
    <s v="437"/>
    <e v="#N/A"/>
  </r>
  <r>
    <n v="511"/>
    <s v="81740"/>
    <n v="1"/>
    <s v="181740.511"/>
    <s v="הסעות תלמידים                   "/>
    <m/>
    <m/>
    <n v="300000"/>
    <n v="600000"/>
    <n v="241441"/>
    <m/>
    <x v="7"/>
    <s v="שירותים ממלכתיים"/>
    <x v="33"/>
    <s v="חינוך"/>
    <x v="108"/>
    <s v="שירותים נוספים לבתי״ס וגנ״י"/>
    <s v="8174"/>
    <s v="שרות בריאות לתלמיד"/>
    <m/>
    <s v="5"/>
    <x v="11"/>
    <s v="51"/>
    <s v="אש&quot;ל וכיבודים"/>
    <s v="511"/>
    <s v="אירוח וכיבוד"/>
  </r>
  <r>
    <n v="781"/>
    <s v="81740"/>
    <n v="1"/>
    <s v="181740.781"/>
    <s v="הוצאות שונות                    "/>
    <m/>
    <m/>
    <n v="300000"/>
    <n v="870000"/>
    <n v="160040"/>
    <m/>
    <x v="7"/>
    <s v="שירותים ממלכתיים"/>
    <x v="33"/>
    <s v="חינוך"/>
    <x v="108"/>
    <s v="שירותים נוספים לבתי״ס וגנ״י"/>
    <s v="8174"/>
    <s v="שרות בריאות לתלמיד"/>
    <m/>
    <s v="7"/>
    <x v="13"/>
    <s v="78"/>
    <s v="הוצאות שונות"/>
    <s v="781"/>
    <e v="#N/A"/>
  </r>
  <r>
    <n v="861"/>
    <s v="81740"/>
    <n v="1"/>
    <s v="181740.861"/>
    <s v="בית ספר לחופש הגדול-ע י יובל חינ"/>
    <m/>
    <m/>
    <n v="1940000"/>
    <n v="3100000"/>
    <n v="1910347"/>
    <m/>
    <x v="7"/>
    <s v="שירותים ממלכתיים"/>
    <x v="33"/>
    <s v="חינוך"/>
    <x v="108"/>
    <s v="שירותים נוספים לבתי״ס וגנ״י"/>
    <s v="8174"/>
    <s v="שרות בריאות לתלמיד"/>
    <m/>
    <s v="8"/>
    <x v="16"/>
    <s v="86"/>
    <s v="הנחות"/>
    <s v="861"/>
    <e v="#N/A"/>
  </r>
  <r>
    <n v="110"/>
    <s v="81771"/>
    <n v="1"/>
    <s v="181771.110"/>
    <s v="משכורת כוללת                    "/>
    <m/>
    <m/>
    <n v="407000"/>
    <n v="492000"/>
    <n v="438757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1"/>
    <s v="השכר הקובע"/>
    <s v="110"/>
    <e v="#N/A"/>
  </r>
  <r>
    <n v="124"/>
    <s v="81771"/>
    <n v="1"/>
    <s v="181771.124"/>
    <s v="החזר הוצאות                     "/>
    <m/>
    <m/>
    <n v="29000"/>
    <n v="29000"/>
    <n v="28846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4"/>
    <e v="#N/A"/>
  </r>
  <r>
    <n v="126"/>
    <s v="81771"/>
    <n v="1"/>
    <s v="181771.126"/>
    <s v="הבראה                           "/>
    <m/>
    <m/>
    <n v="24000"/>
    <n v="27000"/>
    <n v="25394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6"/>
    <e v="#N/A"/>
  </r>
  <r>
    <n v="127"/>
    <s v="81771"/>
    <n v="1"/>
    <s v="181771.127"/>
    <s v="השתתפות באחזקת רכב - 4          "/>
    <m/>
    <m/>
    <n v="70000"/>
    <n v="79000"/>
    <n v="89566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7"/>
    <e v="#N/A"/>
  </r>
  <r>
    <n v="130"/>
    <s v="81771"/>
    <n v="1"/>
    <s v="181771.130"/>
    <s v="תשלומים מיוחדים                 "/>
    <m/>
    <m/>
    <n v="60000"/>
    <n v="47000"/>
    <n v="52330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3"/>
    <s v="שעות נוספות"/>
    <s v="130"/>
    <e v="#N/A"/>
  </r>
  <r>
    <n v="181"/>
    <s v="81771"/>
    <n v="1"/>
    <s v="181771.181"/>
    <s v="מיסים וביטוח לאומי              "/>
    <m/>
    <m/>
    <n v="79000"/>
    <n v="90000"/>
    <n v="84263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1"/>
    <s v="הפרשות סוציאליות"/>
  </r>
  <r>
    <n v="182"/>
    <s v="81771"/>
    <n v="1"/>
    <s v="181771.182"/>
    <s v="קופות גמל והשתלמות              "/>
    <m/>
    <m/>
    <n v="72000"/>
    <n v="83000"/>
    <n v="76078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2"/>
    <s v="מיסיום ועלויות"/>
  </r>
  <r>
    <n v="310"/>
    <s v="81771"/>
    <n v="1"/>
    <s v="181771.310"/>
    <s v="שעות נוספות רשומות              "/>
    <m/>
    <m/>
    <n v="12000"/>
    <n v="12000"/>
    <n v="33208"/>
    <m/>
    <x v="7"/>
    <s v="שירותים ממלכתיים"/>
    <x v="33"/>
    <s v="חינוך"/>
    <x v="108"/>
    <s v="שירותים נוספים לבתי״ס וגנ״י"/>
    <s v="8177"/>
    <s v="קב״סים"/>
    <m/>
    <s v="3"/>
    <x v="14"/>
    <s v="31"/>
    <s v="פנסיה"/>
    <s v="310"/>
    <e v="#N/A"/>
  </r>
  <r>
    <n v="781"/>
    <s v="81771"/>
    <n v="1"/>
    <s v="181771.781"/>
    <s v="הוצאות שונות                    "/>
    <m/>
    <m/>
    <n v="10000"/>
    <n v="10000"/>
    <n v="9941"/>
    <m/>
    <x v="7"/>
    <s v="שירותים ממלכתיים"/>
    <x v="33"/>
    <s v="חינוך"/>
    <x v="108"/>
    <s v="שירותים נוספים לבתי״ס וגנ״י"/>
    <s v="8177"/>
    <s v="קב״סים"/>
    <m/>
    <s v="7"/>
    <x v="13"/>
    <s v="78"/>
    <s v="הוצאות שונות"/>
    <s v="781"/>
    <e v="#N/A"/>
  </r>
  <r>
    <n v="851"/>
    <s v="81771"/>
    <n v="1"/>
    <s v="181771.851"/>
    <s v="הפקת חומרים מקצועיים ע י חב' למו"/>
    <m/>
    <m/>
    <n v="35000"/>
    <n v="35000"/>
    <n v="35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1"/>
    <e v="#N/A"/>
  </r>
  <r>
    <n v="852"/>
    <s v="81771"/>
    <n v="1"/>
    <s v="181771.852"/>
    <s v="ימי עיון והשתלמויות ע י חב' למוס"/>
    <m/>
    <m/>
    <n v="15000"/>
    <n v="15000"/>
    <n v="15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2"/>
    <e v="#N/A"/>
  </r>
  <r>
    <n v="853"/>
    <s v="81771"/>
    <n v="1"/>
    <s v="181771.853"/>
    <s v="תחזוקה ביח' לקידום נוער ע י החב'"/>
    <m/>
    <m/>
    <n v="59000"/>
    <n v="59000"/>
    <n v="59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3"/>
    <e v="#N/A"/>
  </r>
  <r>
    <n v="855"/>
    <s v="81771"/>
    <n v="1"/>
    <s v="181771.855"/>
    <s v="פרויקט חופים - ע י מוס ח        "/>
    <m/>
    <m/>
    <n v="18000"/>
    <n v="0"/>
    <n v="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5"/>
    <e v="#N/A"/>
  </r>
  <r>
    <n v="870"/>
    <s v="81771"/>
    <n v="1"/>
    <s v="181771.870"/>
    <s v="סעיף שאינו חוזר                 "/>
    <m/>
    <m/>
    <n v="0"/>
    <n v="0"/>
    <n v="397845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7"/>
    <s v="תמיכות ביחידות סמך ומוסדות הרשות"/>
    <s v="870"/>
    <e v="#N/A"/>
  </r>
  <r>
    <n v="110"/>
    <s v="81772"/>
    <n v="1"/>
    <s v="181772.110"/>
    <s v="משכורת כוללת                    "/>
    <m/>
    <m/>
    <n v="851000"/>
    <n v="905000"/>
    <n v="836225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1"/>
    <s v="השכר הקובע"/>
    <s v="110"/>
    <e v="#N/A"/>
  </r>
  <r>
    <n v="124"/>
    <s v="81772"/>
    <n v="1"/>
    <s v="181772.124"/>
    <s v="החזר הוצאות                     "/>
    <m/>
    <m/>
    <n v="62000"/>
    <n v="61000"/>
    <n v="59751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4"/>
    <e v="#N/A"/>
  </r>
  <r>
    <n v="126"/>
    <s v="81772"/>
    <n v="1"/>
    <s v="181772.126"/>
    <s v="הבראה                           "/>
    <m/>
    <m/>
    <n v="46000"/>
    <n v="45000"/>
    <n v="44444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6"/>
    <e v="#N/A"/>
  </r>
  <r>
    <n v="127"/>
    <s v="81772"/>
    <n v="1"/>
    <s v="181772.127"/>
    <s v="השתתפות באחזקת רכב  - 6         "/>
    <m/>
    <m/>
    <n v="158000"/>
    <n v="162000"/>
    <n v="171638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7"/>
    <e v="#N/A"/>
  </r>
  <r>
    <n v="130"/>
    <s v="81772"/>
    <n v="1"/>
    <s v="181772.130"/>
    <s v="תשלומים מיוחדים                 "/>
    <m/>
    <m/>
    <n v="230000"/>
    <n v="221000"/>
    <n v="220659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3"/>
    <s v="שעות נוספות"/>
    <s v="130"/>
    <e v="#N/A"/>
  </r>
  <r>
    <n v="181"/>
    <s v="81772"/>
    <n v="1"/>
    <s v="181772.181"/>
    <s v="מיסים וביטוח לאומי              "/>
    <m/>
    <m/>
    <n v="176000"/>
    <n v="182000"/>
    <n v="174693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1"/>
    <s v="הפרשות סוציאליות"/>
  </r>
  <r>
    <n v="182"/>
    <s v="81772"/>
    <n v="1"/>
    <s v="181772.182"/>
    <s v="קופות גמל והשתלמות              "/>
    <m/>
    <m/>
    <n v="134000"/>
    <n v="145000"/>
    <n v="140736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2"/>
    <s v="מיסיום ועלויות"/>
  </r>
  <r>
    <n v="670"/>
    <s v="81772"/>
    <n v="1"/>
    <s v="181772.670"/>
    <s v="ס. שאינו חוזר                   "/>
    <m/>
    <m/>
    <n v="0"/>
    <n v="8000"/>
    <n v="7708"/>
    <m/>
    <x v="7"/>
    <s v="שירותים ממלכתיים"/>
    <x v="33"/>
    <s v="חינוך"/>
    <x v="108"/>
    <s v="שירותים נוספים לבתי״ס וגנ״י"/>
    <s v="8177"/>
    <s v="קב״סים"/>
    <m/>
    <s v="6"/>
    <x v="12"/>
    <s v="67"/>
    <e v="#N/A"/>
    <s v="670"/>
    <e v="#N/A"/>
  </r>
  <r>
    <n v="693"/>
    <s v="81772"/>
    <n v="1"/>
    <s v="181772.693"/>
    <s v="מחשוב יחידתי                    "/>
    <m/>
    <m/>
    <n v="8000"/>
    <n v="0"/>
    <n v="0"/>
    <m/>
    <x v="7"/>
    <s v="שירותים ממלכתיים"/>
    <x v="33"/>
    <s v="חינוך"/>
    <x v="108"/>
    <s v="שירותים נוספים לבתי״ס וגנ״י"/>
    <s v="8177"/>
    <s v="קב״סים"/>
    <m/>
    <s v="6"/>
    <x v="12"/>
    <s v="69"/>
    <s v="שונות"/>
    <s v="693"/>
    <s v="תשלום ע&quot;ח הצמדת ערך"/>
  </r>
  <r>
    <n v="110"/>
    <s v="81773"/>
    <n v="1"/>
    <s v="181773.110"/>
    <s v="משכורת כוללת                    "/>
    <m/>
    <m/>
    <n v="1641000"/>
    <n v="1500000"/>
    <n v="1470370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1"/>
    <s v="השכר הקובע"/>
    <s v="110"/>
    <e v="#N/A"/>
  </r>
  <r>
    <n v="124"/>
    <s v="81773"/>
    <n v="1"/>
    <s v="181773.124"/>
    <s v="החזר הוצאות                     "/>
    <m/>
    <m/>
    <n v="105000"/>
    <n v="104000"/>
    <n v="101064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4"/>
    <e v="#N/A"/>
  </r>
  <r>
    <n v="126"/>
    <s v="81773"/>
    <n v="1"/>
    <s v="181773.126"/>
    <s v="הבראה                           "/>
    <m/>
    <m/>
    <n v="83000"/>
    <n v="84000"/>
    <n v="80542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6"/>
    <e v="#N/A"/>
  </r>
  <r>
    <n v="127"/>
    <s v="81773"/>
    <n v="1"/>
    <s v="181773.127"/>
    <s v="השתתפות באחזקת רכב - 9          "/>
    <m/>
    <m/>
    <n v="191000"/>
    <n v="185000"/>
    <n v="200088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7"/>
    <e v="#N/A"/>
  </r>
  <r>
    <n v="130"/>
    <s v="81773"/>
    <n v="1"/>
    <s v="181773.130"/>
    <s v="תשלומים מיוחדים                 "/>
    <m/>
    <m/>
    <n v="353000"/>
    <n v="295000"/>
    <n v="307063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3"/>
    <s v="שעות נוספות"/>
    <s v="130"/>
    <e v="#N/A"/>
  </r>
  <r>
    <n v="181"/>
    <s v="81773"/>
    <n v="1"/>
    <s v="181773.181"/>
    <s v="מיסים וביטוח לאומי              "/>
    <m/>
    <m/>
    <n v="315000"/>
    <n v="288000"/>
    <n v="276940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1"/>
    <s v="הפרשות סוציאליות"/>
  </r>
  <r>
    <n v="182"/>
    <s v="81773"/>
    <n v="1"/>
    <s v="181773.182"/>
    <s v="קופות גמל והשתלמות              "/>
    <m/>
    <m/>
    <n v="356000"/>
    <n v="324000"/>
    <n v="329028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2"/>
    <s v="מיסיום ועלויות"/>
  </r>
  <r>
    <n v="310"/>
    <s v="81773"/>
    <n v="1"/>
    <s v="181773.310"/>
    <s v="שעות נוספות רשומות              "/>
    <m/>
    <m/>
    <n v="35000"/>
    <n v="34000"/>
    <n v="0"/>
    <m/>
    <x v="7"/>
    <s v="שירותים ממלכתיים"/>
    <x v="33"/>
    <s v="חינוך"/>
    <x v="108"/>
    <s v="שירותים נוספים לבתי״ס וגנ״י"/>
    <s v="8177"/>
    <s v="קב״סים"/>
    <m/>
    <s v="3"/>
    <x v="14"/>
    <s v="31"/>
    <s v="פנסיה"/>
    <s v="310"/>
    <e v="#N/A"/>
  </r>
  <r>
    <n v="851"/>
    <s v="81773"/>
    <n v="1"/>
    <s v="181773.851"/>
    <s v="פרויקט היל ה ע י חב' למוס' חינוך"/>
    <m/>
    <m/>
    <n v="371000"/>
    <n v="370000"/>
    <n v="44318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1"/>
    <e v="#N/A"/>
  </r>
  <r>
    <n v="852"/>
    <s v="81773"/>
    <n v="1"/>
    <s v="181773.852"/>
    <s v="עירוני אקסטרני)מ.השכלה( ע י חב' "/>
    <m/>
    <m/>
    <n v="94000"/>
    <n v="94000"/>
    <n v="94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2"/>
    <e v="#N/A"/>
  </r>
  <r>
    <n v="853"/>
    <s v="81773"/>
    <n v="1"/>
    <s v="181773.853"/>
    <s v="הפעלה שוטפת ע.קריירה-מע ן ע י חב"/>
    <m/>
    <m/>
    <n v="596000"/>
    <n v="595000"/>
    <n v="590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3"/>
    <e v="#N/A"/>
  </r>
  <r>
    <n v="854"/>
    <s v="81773"/>
    <n v="1"/>
    <s v="181773.854"/>
    <s v="הפעלה חברתית ע.קריירה-מע ן ע י ח"/>
    <m/>
    <m/>
    <n v="566000"/>
    <n v="545000"/>
    <n v="612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4"/>
    <e v="#N/A"/>
  </r>
  <r>
    <n v="855"/>
    <s v="81773"/>
    <n v="1"/>
    <s v="181773.855"/>
    <s v="ע.קריירה-מען מגמות מקצועיות ע י "/>
    <m/>
    <m/>
    <n v="1886000"/>
    <n v="1885000"/>
    <n v="1940657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5"/>
    <e v="#N/A"/>
  </r>
  <r>
    <n v="856"/>
    <s v="81773"/>
    <n v="1"/>
    <s v="181773.856"/>
    <s v="מרכז שערי ניקנור ע י חב' למו ח  "/>
    <m/>
    <m/>
    <n v="422000"/>
    <n v="376000"/>
    <n v="376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6"/>
    <e v="#N/A"/>
  </r>
  <r>
    <n v="857"/>
    <s v="81773"/>
    <n v="1"/>
    <s v="181773.857"/>
    <s v="נ.מפגש מועדונים ולשכות קידום נוע"/>
    <m/>
    <m/>
    <n v="2315000"/>
    <n v="2236000"/>
    <n v="2236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7"/>
    <e v="#N/A"/>
  </r>
  <r>
    <n v="858"/>
    <s v="81773"/>
    <n v="1"/>
    <s v="181773.858"/>
    <s v="עובדים טיפוליים ע י חב' למוס' חי"/>
    <m/>
    <m/>
    <n v="1424000"/>
    <n v="1433000"/>
    <n v="1467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8"/>
    <e v="#N/A"/>
  </r>
  <r>
    <n v="870"/>
    <s v="81773"/>
    <n v="1"/>
    <s v="181773.870"/>
    <s v="סעיף שאינו חוזר                 "/>
    <m/>
    <m/>
    <n v="0"/>
    <n v="105000"/>
    <n v="105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7"/>
    <s v="תמיכות ביחידות סמך ומוסדות הרשות"/>
    <s v="870"/>
    <e v="#N/A"/>
  </r>
  <r>
    <n v="110"/>
    <s v="81774"/>
    <n v="1"/>
    <s v="181774.110"/>
    <s v="משכורת כוללת                    "/>
    <m/>
    <m/>
    <n v="1826000"/>
    <n v="2027000"/>
    <n v="1717086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1"/>
    <s v="השכר הקובע"/>
    <s v="110"/>
    <e v="#N/A"/>
  </r>
  <r>
    <n v="124"/>
    <s v="81774"/>
    <n v="1"/>
    <s v="181774.124"/>
    <s v="החזר הוצאות                     "/>
    <m/>
    <m/>
    <n v="127000"/>
    <n v="134000"/>
    <n v="120241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4"/>
    <e v="#N/A"/>
  </r>
  <r>
    <n v="126"/>
    <s v="81774"/>
    <n v="1"/>
    <s v="181774.126"/>
    <s v="הבראה                           "/>
    <m/>
    <m/>
    <n v="98000"/>
    <n v="116000"/>
    <n v="102016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6"/>
    <e v="#N/A"/>
  </r>
  <r>
    <n v="127"/>
    <s v="81774"/>
    <n v="1"/>
    <s v="181774.127"/>
    <s v="השתתפות באחזקת רכב - 18         "/>
    <m/>
    <m/>
    <n v="324000"/>
    <n v="357000"/>
    <n v="312404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2"/>
    <s v="תוספות שאינן נכללות בשכר הקובע"/>
    <s v="127"/>
    <e v="#N/A"/>
  </r>
  <r>
    <n v="130"/>
    <s v="81774"/>
    <n v="1"/>
    <s v="181774.130"/>
    <s v="תשלומים מיוחדים                 "/>
    <m/>
    <m/>
    <n v="237000"/>
    <n v="241000"/>
    <n v="226273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3"/>
    <s v="שעות נוספות"/>
    <s v="130"/>
    <e v="#N/A"/>
  </r>
  <r>
    <n v="181"/>
    <s v="81774"/>
    <n v="1"/>
    <s v="181774.181"/>
    <s v="מיסים וביטוח לאומי              "/>
    <m/>
    <m/>
    <n v="342000"/>
    <n v="376000"/>
    <n v="312354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1"/>
    <s v="הפרשות סוציאליות"/>
  </r>
  <r>
    <n v="182"/>
    <s v="81774"/>
    <n v="1"/>
    <s v="181774.182"/>
    <s v="קופות גמל והשתלמות              "/>
    <m/>
    <m/>
    <n v="350000"/>
    <n v="388000"/>
    <n v="339308"/>
    <m/>
    <x v="7"/>
    <s v="שירותים ממלכתיים"/>
    <x v="33"/>
    <s v="חינוך"/>
    <x v="108"/>
    <s v="שירותים נוספים לבתי״ס וגנ״י"/>
    <s v="8177"/>
    <s v="קב״סים"/>
    <m/>
    <s v="1"/>
    <x v="9"/>
    <s v="18"/>
    <s v="נלוות לשכר"/>
    <s v="182"/>
    <s v="מיסיום ועלויות"/>
  </r>
  <r>
    <n v="411"/>
    <s v="81774"/>
    <n v="1"/>
    <s v="181774.411"/>
    <s v="שכר דירה                        "/>
    <m/>
    <m/>
    <n v="240000"/>
    <n v="234000"/>
    <n v="184612"/>
    <m/>
    <x v="7"/>
    <s v="שירותים ממלכתיים"/>
    <x v="33"/>
    <s v="חינוך"/>
    <x v="108"/>
    <s v="שירותים נוספים לבתי״ס וגנ״י"/>
    <s v="8177"/>
    <s v="קב״סים"/>
    <m/>
    <s v="4"/>
    <x v="15"/>
    <s v="41"/>
    <s v="שכר דירה ודמי חכירה"/>
    <s v="411"/>
    <e v="#N/A"/>
  </r>
  <r>
    <n v="851"/>
    <s v="81774"/>
    <n v="1"/>
    <s v="181774.851"/>
    <s v="החזר ממנהל שרותים חברתיים למועדו"/>
    <m/>
    <m/>
    <n v="-1040000"/>
    <n v="-1120000"/>
    <n v="-935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1"/>
    <e v="#N/A"/>
  </r>
  <r>
    <n v="851"/>
    <s v="81774"/>
    <n v="1"/>
    <s v="181774.851"/>
    <s v="הפעלת אכפת משפחתי מועדוניות-ח.מו"/>
    <m/>
    <m/>
    <n v="3772000"/>
    <n v="3810000"/>
    <n v="3875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1"/>
    <e v="#N/A"/>
  </r>
  <r>
    <n v="852"/>
    <s v="81774"/>
    <n v="1"/>
    <s v="181774.852"/>
    <s v="דירות שירות-חב למוסדות חינוך    "/>
    <m/>
    <m/>
    <n v="23000"/>
    <n v="23000"/>
    <n v="23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2"/>
    <e v="#N/A"/>
  </r>
  <r>
    <n v="854"/>
    <s v="81774"/>
    <n v="1"/>
    <s v="181774.854"/>
    <s v="פרוייקטים מיוחדים ע י חב למוסדות"/>
    <m/>
    <m/>
    <n v="341000"/>
    <n v="340000"/>
    <n v="340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4"/>
    <e v="#N/A"/>
  </r>
  <r>
    <n v="855"/>
    <s v="81774"/>
    <n v="1"/>
    <s v="181774.855"/>
    <s v="תכנית מניעה לנוער בסמים-חב מוס  "/>
    <m/>
    <m/>
    <n v="515000"/>
    <n v="664000"/>
    <n v="664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5"/>
    <e v="#N/A"/>
  </r>
  <r>
    <n v="856"/>
    <s v="81774"/>
    <n v="1"/>
    <s v="181774.856"/>
    <s v="הנחיה והסברה מקצועית-חב' מוסדות "/>
    <m/>
    <m/>
    <n v="47000"/>
    <n v="47000"/>
    <n v="47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6"/>
    <e v="#N/A"/>
  </r>
  <r>
    <n v="857"/>
    <s v="81774"/>
    <n v="1"/>
    <s v="181774.857"/>
    <s v="תכנית כל העתיד לפניו - מו ח     "/>
    <m/>
    <m/>
    <n v="149000"/>
    <n v="149000"/>
    <n v="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7"/>
    <e v="#N/A"/>
  </r>
  <r>
    <n v="859"/>
    <s v="81774"/>
    <n v="1"/>
    <s v="181774.859"/>
    <s v="פרויקט  מאמץ -חברה למוסדות חינוך"/>
    <m/>
    <m/>
    <n v="551000"/>
    <n v="550000"/>
    <n v="550000"/>
    <m/>
    <x v="7"/>
    <s v="שירותים ממלכתיים"/>
    <x v="33"/>
    <s v="חינוך"/>
    <x v="108"/>
    <s v="שירותים נוספים לבתי״ס וגנ״י"/>
    <s v="8177"/>
    <s v="קב״סים"/>
    <m/>
    <s v="8"/>
    <x v="16"/>
    <s v="85"/>
    <s v="מלגות לתלמידים וסטודנטים"/>
    <s v="859"/>
    <e v="#N/A"/>
  </r>
  <r>
    <n v="511"/>
    <s v="81781"/>
    <n v="1"/>
    <s v="181781.511"/>
    <s v="הסעת ילדים                      "/>
    <m/>
    <m/>
    <n v="7470000"/>
    <n v="5900000"/>
    <n v="6494996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1"/>
    <s v="אירוח וכיבוד"/>
  </r>
  <r>
    <n v="512"/>
    <s v="81781"/>
    <n v="1"/>
    <s v="181781.512"/>
    <s v="הסעות לפרוייקטים מיוחדים        "/>
    <m/>
    <m/>
    <n v="210000"/>
    <n v="200000"/>
    <n v="160006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2"/>
    <s v="אשל ונסיעות"/>
  </r>
  <r>
    <n v="511"/>
    <s v="81782"/>
    <n v="1"/>
    <s v="181782.511"/>
    <s v="הסעת תלמידים לבתיה ס            "/>
    <m/>
    <m/>
    <n v="26413000"/>
    <n v="25900000"/>
    <n v="25080776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1"/>
    <s v="אירוח וכיבוד"/>
  </r>
  <r>
    <n v="512"/>
    <s v="81782"/>
    <n v="1"/>
    <s v="181782.512"/>
    <s v="הסעות לפרויקטים מיוחדים         "/>
    <m/>
    <m/>
    <n v="260000"/>
    <n v="250000"/>
    <n v="149144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2"/>
    <s v="אשל ונסיעות"/>
  </r>
  <r>
    <n v="513"/>
    <s v="81782"/>
    <n v="1"/>
    <s v="181782.513"/>
    <s v="הסעת מלווים                     "/>
    <m/>
    <m/>
    <n v="250000"/>
    <n v="0"/>
    <n v="67000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3"/>
    <s v="נסיעות לחו&quot;ל"/>
  </r>
  <r>
    <n v="514"/>
    <s v="81782"/>
    <n v="1"/>
    <s v="181782.514"/>
    <s v="החזר הוצאות ליווי והסעה         "/>
    <m/>
    <m/>
    <n v="150000"/>
    <n v="0"/>
    <n v="0"/>
    <m/>
    <x v="7"/>
    <s v="שירותים ממלכתיים"/>
    <x v="33"/>
    <s v="חינוך"/>
    <x v="108"/>
    <s v="שירותים נוספים לבתי״ס וגנ״י"/>
    <s v="8178"/>
    <s v="הסעות ילדים"/>
    <m/>
    <s v="5"/>
    <x v="11"/>
    <s v="51"/>
    <s v="אש&quot;ל וכיבודים"/>
    <s v="514"/>
    <s v="רכישת מתנות"/>
  </r>
  <r>
    <n v="863"/>
    <s v="81782"/>
    <n v="1"/>
    <s v="181782.863"/>
    <s v="לווי בהסעות-יובל חינוך          "/>
    <m/>
    <m/>
    <n v="9565000"/>
    <n v="8361000"/>
    <n v="8276000"/>
    <m/>
    <x v="7"/>
    <s v="שירותים ממלכתיים"/>
    <x v="33"/>
    <s v="חינוך"/>
    <x v="108"/>
    <s v="שירותים נוספים לבתי״ס וגנ״י"/>
    <s v="8178"/>
    <s v="הסעות ילדים"/>
    <m/>
    <s v="8"/>
    <x v="16"/>
    <s v="86"/>
    <s v="הנחות"/>
    <s v="863"/>
    <e v="#N/A"/>
  </r>
  <r>
    <n v="110"/>
    <s v="81791"/>
    <n v="1"/>
    <s v="181791.110"/>
    <s v="משכורת כוללת                    "/>
    <m/>
    <m/>
    <n v="25575000"/>
    <n v="23681000"/>
    <n v="23297475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1"/>
    <s v="השכר הקובע"/>
    <s v="110"/>
    <e v="#N/A"/>
  </r>
  <r>
    <n v="124"/>
    <s v="81791"/>
    <n v="1"/>
    <s v="181791.124"/>
    <s v="החזר הוצאות                     "/>
    <m/>
    <m/>
    <n v="3439000"/>
    <n v="3244000"/>
    <n v="3158404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2"/>
    <s v="תוספות שאינן נכללות בשכר הקובע"/>
    <s v="124"/>
    <e v="#N/A"/>
  </r>
  <r>
    <n v="126"/>
    <s v="81791"/>
    <n v="1"/>
    <s v="181791.126"/>
    <s v="הבראה                           "/>
    <m/>
    <m/>
    <n v="2322000"/>
    <n v="2183000"/>
    <n v="2099190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2"/>
    <s v="תוספות שאינן נכללות בשכר הקובע"/>
    <s v="126"/>
    <e v="#N/A"/>
  </r>
  <r>
    <n v="130"/>
    <s v="81791"/>
    <n v="1"/>
    <s v="181791.130"/>
    <s v="תשלומים מיוחדים                 "/>
    <m/>
    <m/>
    <n v="2447000"/>
    <n v="2514000"/>
    <n v="2445695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3"/>
    <s v="שעות נוספות"/>
    <s v="130"/>
    <e v="#N/A"/>
  </r>
  <r>
    <n v="160"/>
    <s v="81791"/>
    <n v="1"/>
    <s v="181791.160"/>
    <s v="עתודת שכר                       "/>
    <m/>
    <m/>
    <n v="320000"/>
    <n v="320000"/>
    <n v="0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6"/>
    <e v="#N/A"/>
    <s v="160"/>
    <e v="#N/A"/>
  </r>
  <r>
    <n v="181"/>
    <s v="81791"/>
    <n v="1"/>
    <s v="181791.181"/>
    <s v="מיסים וביטוח לאומי              "/>
    <m/>
    <m/>
    <n v="5565000"/>
    <n v="5587000"/>
    <n v="4934130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8"/>
    <s v="נלוות לשכר"/>
    <s v="181"/>
    <s v="הפרשות סוציאליות"/>
  </r>
  <r>
    <n v="182"/>
    <s v="81791"/>
    <n v="1"/>
    <s v="181791.182"/>
    <s v="קופות גמל והשתלמות              "/>
    <m/>
    <m/>
    <n v="8640000"/>
    <n v="8122000"/>
    <n v="7848113"/>
    <m/>
    <x v="7"/>
    <s v="שירותים ממלכתיים"/>
    <x v="33"/>
    <s v="חינוך"/>
    <x v="108"/>
    <s v="שירותים נוספים לבתי״ס וגנ״י"/>
    <s v="8179"/>
    <s v="שירותים אחרים"/>
    <m/>
    <s v="1"/>
    <x v="9"/>
    <s v="18"/>
    <s v="נלוות לשכר"/>
    <s v="182"/>
    <s v="מיסיום ועלויות"/>
  </r>
  <r>
    <n v="230"/>
    <s v="81791"/>
    <n v="1"/>
    <s v="181791.230"/>
    <s v="משימות חולפות -1.264            "/>
    <m/>
    <m/>
    <n v="8207000"/>
    <n v="7563000"/>
    <n v="6741661"/>
    <m/>
    <x v="7"/>
    <s v="שירותים ממלכתיים"/>
    <x v="33"/>
    <s v="חינוך"/>
    <x v="108"/>
    <s v="שירותים נוספים לבתי״ס וגנ״י"/>
    <s v="8179"/>
    <s v="שירותים אחרים"/>
    <m/>
    <s v="2"/>
    <x v="10"/>
    <s v="23"/>
    <s v="שעות נוספות"/>
    <s v="230"/>
    <e v="#N/A"/>
  </r>
  <r>
    <n v="310"/>
    <s v="81791"/>
    <n v="1"/>
    <s v="181791.310"/>
    <s v="שעות נוספות רשומות              "/>
    <m/>
    <m/>
    <n v="2972000"/>
    <n v="2914000"/>
    <n v="3918191"/>
    <m/>
    <x v="7"/>
    <s v="שירותים ממלכתיים"/>
    <x v="33"/>
    <s v="חינוך"/>
    <x v="108"/>
    <s v="שירותים נוספים לבתי״ס וגנ״י"/>
    <s v="8179"/>
    <s v="שירותים אחרים"/>
    <m/>
    <s v="3"/>
    <x v="14"/>
    <s v="31"/>
    <s v="פנסיה"/>
    <s v="310"/>
    <e v="#N/A"/>
  </r>
  <r>
    <n v="340"/>
    <s v="81791"/>
    <n v="1"/>
    <s v="181791.340"/>
    <s v="שעות נוספות מיוחדות             "/>
    <m/>
    <m/>
    <n v="705000"/>
    <n v="613000"/>
    <n v="453159"/>
    <m/>
    <x v="7"/>
    <s v="שירותים ממלכתיים"/>
    <x v="33"/>
    <s v="חינוך"/>
    <x v="108"/>
    <s v="שירותים נוספים לבתי״ס וגנ״י"/>
    <s v="8179"/>
    <s v="שירותים אחרים"/>
    <m/>
    <s v="3"/>
    <x v="14"/>
    <s v="34"/>
    <e v="#N/A"/>
    <s v="340"/>
    <e v="#N/A"/>
  </r>
  <r>
    <n v="752"/>
    <s v="81791"/>
    <n v="1"/>
    <s v="181791.752"/>
    <s v="תגבור סייעות ח. מיוחד בקיץ      "/>
    <m/>
    <m/>
    <n v="233000"/>
    <n v="233000"/>
    <n v="228238"/>
    <m/>
    <x v="7"/>
    <s v="שירותים ממלכתיים"/>
    <x v="33"/>
    <s v="חינוך"/>
    <x v="108"/>
    <s v="שירותים נוספים לבתי״ס וגנ״י"/>
    <s v="8179"/>
    <s v="שירותים אחרים"/>
    <m/>
    <s v="7"/>
    <x v="13"/>
    <s v="75"/>
    <s v="עבודות קבלניות"/>
    <s v="752"/>
    <e v="#N/A"/>
  </r>
  <r>
    <n v="432"/>
    <s v="81413"/>
    <n v="1"/>
    <s v="181413.432"/>
    <s v="תחזוקת החצר הגן                 "/>
    <m/>
    <m/>
    <n v="642000"/>
    <n v="642000"/>
    <n v="572000"/>
    <m/>
    <x v="7"/>
    <s v="שירותים ממלכתיים"/>
    <x v="33"/>
    <s v="חינוך"/>
    <x v="109"/>
    <s v="חטיבות ביניים"/>
    <s v="8141"/>
    <e v="#N/A"/>
    <m/>
    <s v="4"/>
    <x v="15"/>
    <s v="43"/>
    <s v="חשמל, מים וחומרי ניקיון"/>
    <s v="432"/>
    <s v="מים"/>
  </r>
  <r>
    <n v="433"/>
    <s v="81413"/>
    <n v="1"/>
    <s v="181413.433"/>
    <s v="ביטוח                           "/>
    <m/>
    <m/>
    <n v="212000"/>
    <n v="299000"/>
    <n v="242000"/>
    <m/>
    <x v="7"/>
    <s v="שירותים ממלכתיים"/>
    <x v="33"/>
    <s v="חינוך"/>
    <x v="109"/>
    <s v="חטיבות ביניים"/>
    <s v="8141"/>
    <e v="#N/A"/>
    <m/>
    <s v="4"/>
    <x v="15"/>
    <s v="43"/>
    <s v="חשמל, מים וחומרי ניקיון"/>
    <s v="433"/>
    <s v="חומרי ניקיון"/>
  </r>
  <r>
    <n v="436"/>
    <s v="81413"/>
    <n v="1"/>
    <s v="181413.436"/>
    <s v="נקיון                           "/>
    <m/>
    <m/>
    <n v="5000"/>
    <n v="5000"/>
    <n v="0"/>
    <m/>
    <x v="7"/>
    <s v="שירותים ממלכתיים"/>
    <x v="33"/>
    <s v="חינוך"/>
    <x v="109"/>
    <s v="חטיבות ביניים"/>
    <s v="8141"/>
    <e v="#N/A"/>
    <m/>
    <s v="4"/>
    <x v="15"/>
    <s v="43"/>
    <s v="חשמל, מים וחומרי ניקיון"/>
    <s v="436"/>
    <e v="#N/A"/>
  </r>
  <r>
    <n v="437"/>
    <s v="81413"/>
    <n v="1"/>
    <s v="181413.437"/>
    <s v="שמירה                           "/>
    <m/>
    <m/>
    <n v="459000"/>
    <n v="420000"/>
    <n v="420000"/>
    <m/>
    <x v="7"/>
    <s v="שירותים ממלכתיים"/>
    <x v="33"/>
    <s v="חינוך"/>
    <x v="109"/>
    <s v="חטיבות ביניים"/>
    <s v="8141"/>
    <e v="#N/A"/>
    <m/>
    <s v="4"/>
    <x v="15"/>
    <s v="43"/>
    <s v="חשמל, מים וחומרי ניקיון"/>
    <s v="437"/>
    <e v="#N/A"/>
  </r>
  <r>
    <n v="511"/>
    <s v="81413"/>
    <n v="1"/>
    <s v="181413.511"/>
    <s v="הסעת תלמידים לבתיה ס            "/>
    <m/>
    <m/>
    <n v="5770000"/>
    <n v="4620000"/>
    <n v="3940993"/>
    <m/>
    <x v="7"/>
    <s v="שירותים ממלכתיים"/>
    <x v="33"/>
    <s v="חינוך"/>
    <x v="109"/>
    <s v="חטיבות ביניים"/>
    <s v="8141"/>
    <e v="#N/A"/>
    <m/>
    <s v="5"/>
    <x v="11"/>
    <s v="51"/>
    <s v="אש&quot;ל וכיבודים"/>
    <s v="511"/>
    <s v="אירוח וכיבוד"/>
  </r>
  <r>
    <n v="785"/>
    <s v="81413"/>
    <n v="1"/>
    <s v="181413.785"/>
    <s v="תקוני מבנים  מתקנים ואינונטר    "/>
    <m/>
    <m/>
    <n v="200000"/>
    <n v="200000"/>
    <n v="199999"/>
    <m/>
    <x v="7"/>
    <s v="שירותים ממלכתיים"/>
    <x v="33"/>
    <s v="חינוך"/>
    <x v="109"/>
    <s v="חטיבות ביניים"/>
    <s v="8141"/>
    <e v="#N/A"/>
    <m/>
    <s v="7"/>
    <x v="13"/>
    <s v="78"/>
    <s v="הוצאות שונות"/>
    <s v="785"/>
    <e v="#N/A"/>
  </r>
  <r>
    <n v="881"/>
    <s v="81413"/>
    <n v="1"/>
    <s v="181413.881"/>
    <s v="השתתפות לבתה ס-כרטיסי נסיעה לתלמ"/>
    <m/>
    <m/>
    <n v="4000000"/>
    <n v="4000000"/>
    <n v="4056000"/>
    <m/>
    <x v="7"/>
    <s v="שירותים ממלכתיים"/>
    <x v="33"/>
    <s v="חינוך"/>
    <x v="109"/>
    <s v="חטיבות ביניים"/>
    <s v="8141"/>
    <e v="#N/A"/>
    <m/>
    <s v="8"/>
    <x v="16"/>
    <s v="88"/>
    <e v="#N/A"/>
    <s v="881"/>
    <e v="#N/A"/>
  </r>
  <r>
    <n v="721"/>
    <s v="81414"/>
    <n v="1"/>
    <s v="181414.721"/>
    <s v="מכשירי למוד וציוד               "/>
    <m/>
    <m/>
    <n v="40000"/>
    <n v="40000"/>
    <n v="34384"/>
    <m/>
    <x v="7"/>
    <s v="שירותים ממלכתיים"/>
    <x v="33"/>
    <s v="חינוך"/>
    <x v="109"/>
    <s v="חטיבות ביניים"/>
    <s v="8141"/>
    <e v="#N/A"/>
    <m/>
    <s v="7"/>
    <x v="13"/>
    <s v="72"/>
    <s v="חומרים"/>
    <s v="721"/>
    <e v="#N/A"/>
  </r>
  <r>
    <n v="722"/>
    <s v="81414"/>
    <n v="1"/>
    <s v="181414.722"/>
    <s v="ציוד לחנוך גופני                "/>
    <m/>
    <m/>
    <n v="20000"/>
    <n v="20000"/>
    <n v="20000"/>
    <m/>
    <x v="7"/>
    <s v="שירותים ממלכתיים"/>
    <x v="33"/>
    <s v="חינוך"/>
    <x v="109"/>
    <s v="חטיבות ביניים"/>
    <s v="8141"/>
    <e v="#N/A"/>
    <m/>
    <s v="7"/>
    <x v="13"/>
    <s v="72"/>
    <s v="חומרים"/>
    <s v="722"/>
    <e v="#N/A"/>
  </r>
  <r>
    <n v="726"/>
    <s v="81414"/>
    <n v="1"/>
    <s v="181414.726"/>
    <s v="ספרים מחברות ומכשירי כתיבה      "/>
    <m/>
    <m/>
    <n v="38000"/>
    <n v="38000"/>
    <n v="38000"/>
    <m/>
    <x v="7"/>
    <s v="שירותים ממלכתיים"/>
    <x v="33"/>
    <s v="חינוך"/>
    <x v="109"/>
    <s v="חטיבות ביניים"/>
    <s v="8141"/>
    <e v="#N/A"/>
    <m/>
    <s v="7"/>
    <x v="13"/>
    <s v="72"/>
    <s v="חומרים"/>
    <s v="726"/>
    <e v="#N/A"/>
  </r>
  <r>
    <n v="110"/>
    <s v="81421"/>
    <n v="1"/>
    <s v="181421.110"/>
    <s v="משכורת כוללת                    "/>
    <m/>
    <m/>
    <n v="258000"/>
    <n v="242000"/>
    <n v="0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1"/>
    <n v="1"/>
    <s v="181421.124"/>
    <s v="החזר הוצאות                     "/>
    <m/>
    <m/>
    <n v="15000"/>
    <n v="14000"/>
    <n v="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1"/>
    <n v="1"/>
    <s v="181421.126"/>
    <s v="הבראה                           "/>
    <m/>
    <m/>
    <n v="13000"/>
    <n v="11000"/>
    <n v="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30"/>
    <s v="81421"/>
    <n v="1"/>
    <s v="181421.130"/>
    <s v="תשלומים מיוחדים                 "/>
    <m/>
    <m/>
    <n v="79000"/>
    <n v="71000"/>
    <n v="0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81"/>
    <s v="81421"/>
    <n v="1"/>
    <s v="181421.181"/>
    <s v="מיסים וביטוח לאומי              "/>
    <m/>
    <m/>
    <n v="48000"/>
    <n v="44000"/>
    <n v="0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1"/>
    <n v="1"/>
    <s v="181421.182"/>
    <s v="קופות גמל והשתלמות              "/>
    <m/>
    <m/>
    <n v="63000"/>
    <n v="67000"/>
    <n v="0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1"/>
    <n v="1"/>
    <s v="181421.781"/>
    <s v="סל ניהול עצמי-חט ב ב-ג-יובל חינו"/>
    <m/>
    <m/>
    <n v="203000"/>
    <n v="212000"/>
    <n v="211969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1"/>
    <n v="1"/>
    <s v="181421.861"/>
    <s v="תיגבור ע י יובל חינוך           "/>
    <m/>
    <m/>
    <n v="440000"/>
    <n v="473000"/>
    <n v="369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63"/>
    <s v="81421"/>
    <n v="1"/>
    <s v="181421.863"/>
    <s v="פרוייקט תל ם-יובל חינוך         "/>
    <m/>
    <m/>
    <n v="25000"/>
    <n v="30000"/>
    <n v="23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3"/>
    <e v="#N/A"/>
  </r>
  <r>
    <n v="881"/>
    <s v="81421"/>
    <n v="1"/>
    <s v="181421.881"/>
    <s v="השתתפות לחמד ע                  "/>
    <m/>
    <m/>
    <n v="6000"/>
    <n v="12000"/>
    <n v="12000"/>
    <m/>
    <x v="7"/>
    <s v="שירותים ממלכתיים"/>
    <x v="33"/>
    <s v="חינוך"/>
    <x v="109"/>
    <s v="חטיבות ביניים"/>
    <s v="8142"/>
    <e v="#N/A"/>
    <m/>
    <s v="8"/>
    <x v="16"/>
    <s v="88"/>
    <e v="#N/A"/>
    <s v="881"/>
    <e v="#N/A"/>
  </r>
  <r>
    <n v="110"/>
    <s v="81422"/>
    <n v="1"/>
    <s v="181422.110"/>
    <s v="משכורת כוללת                    "/>
    <m/>
    <m/>
    <n v="1229000"/>
    <n v="2042000"/>
    <n v="2109253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2"/>
    <n v="1"/>
    <s v="181422.124"/>
    <s v="החזר הוצאות                     "/>
    <m/>
    <m/>
    <n v="46000"/>
    <n v="64000"/>
    <n v="64257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2"/>
    <n v="1"/>
    <s v="181422.126"/>
    <s v="הבראה                           "/>
    <m/>
    <m/>
    <n v="40000"/>
    <n v="62000"/>
    <n v="69818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27"/>
    <s v="81422"/>
    <n v="1"/>
    <s v="181422.127"/>
    <s v="השתתפות באחזקת רכב - 1          "/>
    <m/>
    <m/>
    <n v="3000"/>
    <n v="3000"/>
    <n v="75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7"/>
    <e v="#N/A"/>
  </r>
  <r>
    <n v="130"/>
    <s v="81422"/>
    <n v="1"/>
    <s v="181422.130"/>
    <s v="תשלומים מיוחדים                 "/>
    <m/>
    <m/>
    <n v="119000"/>
    <n v="248000"/>
    <n v="218469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70"/>
    <s v="81422"/>
    <n v="1"/>
    <s v="181422.170"/>
    <s v="ס. שאינו חוזר                   "/>
    <m/>
    <m/>
    <n v="0"/>
    <n v="0"/>
    <n v="39247"/>
    <m/>
    <x v="7"/>
    <s v="שירותים ממלכתיים"/>
    <x v="33"/>
    <s v="חינוך"/>
    <x v="109"/>
    <s v="חטיבות ביניים"/>
    <s v="8142"/>
    <e v="#N/A"/>
    <m/>
    <s v="1"/>
    <x v="9"/>
    <s v="17"/>
    <e v="#N/A"/>
    <s v="170"/>
    <e v="#N/A"/>
  </r>
  <r>
    <n v="181"/>
    <s v="81422"/>
    <n v="1"/>
    <s v="181422.181"/>
    <s v="מיסים וביטוח לאומי              "/>
    <m/>
    <m/>
    <n v="187000"/>
    <n v="317000"/>
    <n v="327055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2"/>
    <n v="1"/>
    <s v="181422.182"/>
    <s v="קופות גמל והשתלמות              "/>
    <m/>
    <m/>
    <n v="288000"/>
    <n v="494000"/>
    <n v="479150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2"/>
    <n v="1"/>
    <s v="181422.781"/>
    <s v="סל ניהול עצמי-חט ב ד-יובל חינוך "/>
    <m/>
    <m/>
    <n v="284000"/>
    <n v="270000"/>
    <n v="262969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2"/>
    <n v="1"/>
    <s v="181422.861"/>
    <s v="תיגבור ע י יובל חינוך           "/>
    <m/>
    <m/>
    <n v="84000"/>
    <n v="156000"/>
    <n v="77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110"/>
    <s v="81423"/>
    <n v="1"/>
    <s v="181423.110"/>
    <s v="משכורת כוללת                    "/>
    <m/>
    <m/>
    <n v="536000"/>
    <n v="230000"/>
    <n v="129405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3"/>
    <n v="1"/>
    <s v="181423.124"/>
    <s v="החזר הוצאות                     "/>
    <m/>
    <m/>
    <n v="32000"/>
    <n v="10000"/>
    <n v="398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3"/>
    <n v="1"/>
    <s v="181423.126"/>
    <s v="הבראה                           "/>
    <m/>
    <m/>
    <n v="25000"/>
    <n v="8000"/>
    <n v="5549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30"/>
    <s v="81423"/>
    <n v="1"/>
    <s v="181423.130"/>
    <s v="תשלומים מיוחדים                 "/>
    <m/>
    <m/>
    <n v="161000"/>
    <n v="76000"/>
    <n v="35823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70"/>
    <s v="81423"/>
    <n v="1"/>
    <s v="181423.170"/>
    <s v="ס. שאינו חוזר                   "/>
    <m/>
    <m/>
    <n v="0"/>
    <n v="0"/>
    <n v="4257"/>
    <m/>
    <x v="7"/>
    <s v="שירותים ממלכתיים"/>
    <x v="33"/>
    <s v="חינוך"/>
    <x v="109"/>
    <s v="חטיבות ביניים"/>
    <s v="8142"/>
    <e v="#N/A"/>
    <m/>
    <s v="1"/>
    <x v="9"/>
    <s v="17"/>
    <e v="#N/A"/>
    <s v="170"/>
    <e v="#N/A"/>
  </r>
  <r>
    <n v="181"/>
    <s v="81423"/>
    <n v="1"/>
    <s v="181423.181"/>
    <s v="מיסים וביטוח לאומי              "/>
    <m/>
    <m/>
    <n v="102000"/>
    <n v="42000"/>
    <n v="24243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3"/>
    <n v="1"/>
    <s v="181423.182"/>
    <s v="קופות גמל והשתלמות              "/>
    <m/>
    <m/>
    <n v="133000"/>
    <n v="75000"/>
    <n v="36169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3"/>
    <n v="1"/>
    <s v="181423.781"/>
    <s v="סל ניהול עצמי-חט ב ה-יובל חינוך "/>
    <m/>
    <m/>
    <n v="114000"/>
    <n v="66000"/>
    <n v="43947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3"/>
    <n v="1"/>
    <s v="181423.861"/>
    <s v="תיגבור ע י יובל חינוך           "/>
    <m/>
    <m/>
    <n v="56000"/>
    <n v="111000"/>
    <n v="119004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70"/>
    <s v="81423"/>
    <n v="1"/>
    <s v="181423.870"/>
    <s v="סעיף שאינו חוזר                 "/>
    <m/>
    <m/>
    <n v="0"/>
    <n v="0"/>
    <n v="29201"/>
    <m/>
    <x v="7"/>
    <s v="שירותים ממלכתיים"/>
    <x v="33"/>
    <s v="חינוך"/>
    <x v="109"/>
    <s v="חטיבות ביניים"/>
    <s v="8142"/>
    <e v="#N/A"/>
    <m/>
    <s v="8"/>
    <x v="16"/>
    <s v="87"/>
    <s v="תמיכות ביחידות סמך ומוסדות הרשות"/>
    <s v="870"/>
    <e v="#N/A"/>
  </r>
  <r>
    <n v="881"/>
    <s v="81423"/>
    <n v="1"/>
    <s v="181423.881"/>
    <s v="השתתפות לחמד ע                  "/>
    <m/>
    <m/>
    <n v="37000"/>
    <n v="0"/>
    <n v="0"/>
    <m/>
    <x v="7"/>
    <s v="שירותים ממלכתיים"/>
    <x v="33"/>
    <s v="חינוך"/>
    <x v="109"/>
    <s v="חטיבות ביניים"/>
    <s v="8142"/>
    <e v="#N/A"/>
    <m/>
    <s v="8"/>
    <x v="16"/>
    <s v="88"/>
    <e v="#N/A"/>
    <s v="881"/>
    <e v="#N/A"/>
  </r>
  <r>
    <n v="110"/>
    <s v="81424"/>
    <n v="1"/>
    <s v="181424.110"/>
    <s v="משכורת כוללת                    "/>
    <m/>
    <m/>
    <n v="529000"/>
    <n v="761000"/>
    <n v="964486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4"/>
    <n v="1"/>
    <s v="181424.124"/>
    <s v="החזר הוצאות                     "/>
    <m/>
    <m/>
    <n v="20000"/>
    <n v="30000"/>
    <n v="3110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4"/>
    <n v="1"/>
    <s v="181424.126"/>
    <s v="הבראה                           "/>
    <m/>
    <m/>
    <n v="15000"/>
    <n v="22000"/>
    <n v="3104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30"/>
    <s v="81424"/>
    <n v="1"/>
    <s v="181424.130"/>
    <s v="תשלומים מיוחדים                 "/>
    <m/>
    <m/>
    <n v="77000"/>
    <n v="135000"/>
    <n v="165764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70"/>
    <s v="81424"/>
    <n v="1"/>
    <s v="181424.170"/>
    <s v="סעיף שאינו חוזר                 "/>
    <m/>
    <m/>
    <n v="0"/>
    <n v="1000"/>
    <n v="15383"/>
    <m/>
    <x v="7"/>
    <s v="שירותים ממלכתיים"/>
    <x v="33"/>
    <s v="חינוך"/>
    <x v="109"/>
    <s v="חטיבות ביניים"/>
    <s v="8142"/>
    <e v="#N/A"/>
    <m/>
    <s v="1"/>
    <x v="9"/>
    <s v="17"/>
    <e v="#N/A"/>
    <s v="170"/>
    <e v="#N/A"/>
  </r>
  <r>
    <n v="181"/>
    <s v="81424"/>
    <n v="1"/>
    <s v="181424.181"/>
    <s v="מיסים וביטוח לאומי              "/>
    <m/>
    <m/>
    <n v="84000"/>
    <n v="124000"/>
    <n v="165468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4"/>
    <n v="1"/>
    <s v="181424.182"/>
    <s v="קופות גמל והשתלמות              "/>
    <m/>
    <m/>
    <n v="134000"/>
    <n v="198000"/>
    <n v="242757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4"/>
    <n v="1"/>
    <s v="181424.781"/>
    <s v="סל ניהול עצמי-חט ב ו -יובל חינוך"/>
    <m/>
    <m/>
    <n v="129000"/>
    <n v="101000"/>
    <n v="97362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4"/>
    <n v="1"/>
    <s v="181424.861"/>
    <s v="תיגבור ע י יובל חינוך           "/>
    <m/>
    <m/>
    <n v="160000"/>
    <n v="67000"/>
    <n v="112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64"/>
    <s v="81424"/>
    <n v="1"/>
    <s v="181424.864"/>
    <s v="תוכנית מיל ת -יובל חינוך        "/>
    <m/>
    <m/>
    <n v="389000"/>
    <n v="230000"/>
    <n v="167464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4"/>
    <e v="#N/A"/>
  </r>
  <r>
    <n v="110"/>
    <s v="81425"/>
    <n v="1"/>
    <s v="181425.110"/>
    <s v="משכורת כוללת                    "/>
    <m/>
    <m/>
    <n v="453000"/>
    <n v="303000"/>
    <n v="375567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5"/>
    <n v="1"/>
    <s v="181425.124"/>
    <s v="החזר הוצאות                     "/>
    <m/>
    <m/>
    <n v="15000"/>
    <n v="10000"/>
    <n v="11172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5"/>
    <n v="1"/>
    <s v="181425.126"/>
    <s v="הבראה                           "/>
    <m/>
    <m/>
    <n v="13000"/>
    <n v="9000"/>
    <n v="8650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30"/>
    <s v="81425"/>
    <n v="1"/>
    <s v="181425.130"/>
    <s v="תשלומים מיוחדים                 "/>
    <m/>
    <m/>
    <n v="60000"/>
    <n v="44000"/>
    <n v="37304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70"/>
    <s v="81425"/>
    <n v="1"/>
    <s v="181425.170"/>
    <s v="ס. שאינו חוזר                   "/>
    <m/>
    <m/>
    <n v="0"/>
    <n v="0"/>
    <n v="6275"/>
    <m/>
    <x v="7"/>
    <s v="שירותים ממלכתיים"/>
    <x v="33"/>
    <s v="חינוך"/>
    <x v="109"/>
    <s v="חטיבות ביניים"/>
    <s v="8142"/>
    <e v="#N/A"/>
    <m/>
    <s v="1"/>
    <x v="9"/>
    <s v="17"/>
    <e v="#N/A"/>
    <s v="170"/>
    <e v="#N/A"/>
  </r>
  <r>
    <n v="181"/>
    <s v="81425"/>
    <n v="1"/>
    <s v="181425.181"/>
    <s v="מיסים וביטוח לאומי              "/>
    <m/>
    <m/>
    <n v="71000"/>
    <n v="48000"/>
    <n v="56786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5"/>
    <n v="1"/>
    <s v="181425.182"/>
    <s v="קופות גמל והשתלמות              "/>
    <m/>
    <m/>
    <n v="113000"/>
    <n v="82000"/>
    <n v="83825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5"/>
    <n v="1"/>
    <s v="181425.781"/>
    <s v="סל ניהול עצמי-חט ב י ד-יובל חינו"/>
    <m/>
    <m/>
    <n v="303000"/>
    <n v="309000"/>
    <n v="294235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5"/>
    <n v="1"/>
    <s v="181425.861"/>
    <s v="תיגבור ע י יובל חינוך           "/>
    <m/>
    <m/>
    <n v="60000"/>
    <n v="152000"/>
    <n v="45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81"/>
    <s v="81425"/>
    <n v="1"/>
    <s v="181425.881"/>
    <s v="השתתפות לחמד ע                  "/>
    <m/>
    <m/>
    <n v="19000"/>
    <n v="37000"/>
    <n v="18000"/>
    <m/>
    <x v="7"/>
    <s v="שירותים ממלכתיים"/>
    <x v="33"/>
    <s v="חינוך"/>
    <x v="109"/>
    <s v="חטיבות ביניים"/>
    <s v="8142"/>
    <e v="#N/A"/>
    <m/>
    <s v="8"/>
    <x v="16"/>
    <s v="88"/>
    <e v="#N/A"/>
    <s v="881"/>
    <e v="#N/A"/>
  </r>
  <r>
    <n v="110"/>
    <s v="81426"/>
    <n v="1"/>
    <s v="181426.110"/>
    <s v="משכורת כוללת                    "/>
    <m/>
    <m/>
    <n v="125000"/>
    <n v="123000"/>
    <n v="113309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6"/>
    <n v="1"/>
    <s v="181426.124"/>
    <s v="החזר הוצאות                     "/>
    <m/>
    <m/>
    <n v="6000"/>
    <n v="6000"/>
    <n v="5159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6"/>
    <n v="1"/>
    <s v="181426.126"/>
    <s v="הבראה                           "/>
    <m/>
    <m/>
    <n v="6000"/>
    <n v="6000"/>
    <n v="5551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30"/>
    <s v="81426"/>
    <n v="1"/>
    <s v="181426.130"/>
    <s v="תשלומים מיוחדים                 "/>
    <m/>
    <m/>
    <n v="58000"/>
    <n v="65000"/>
    <n v="58073"/>
    <m/>
    <x v="7"/>
    <s v="שירותים ממלכתיים"/>
    <x v="33"/>
    <s v="חינוך"/>
    <x v="109"/>
    <s v="חטיבות ביניים"/>
    <s v="8142"/>
    <e v="#N/A"/>
    <m/>
    <s v="1"/>
    <x v="9"/>
    <s v="13"/>
    <s v="שעות נוספות"/>
    <s v="130"/>
    <e v="#N/A"/>
  </r>
  <r>
    <n v="181"/>
    <s v="81426"/>
    <n v="1"/>
    <s v="181426.181"/>
    <s v="מיסים וביטוח לאומי              "/>
    <m/>
    <m/>
    <n v="26000"/>
    <n v="26000"/>
    <n v="23338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6"/>
    <n v="1"/>
    <s v="181426.182"/>
    <s v="קופות גמל והשתלמות              "/>
    <m/>
    <m/>
    <n v="35000"/>
    <n v="35000"/>
    <n v="33162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781"/>
    <s v="81426"/>
    <n v="1"/>
    <s v="181426.781"/>
    <s v="סל ניהול עצמי-ישיבת בר אילן-יובל"/>
    <m/>
    <m/>
    <n v="88000"/>
    <n v="92000"/>
    <n v="90088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861"/>
    <s v="81426"/>
    <n v="1"/>
    <s v="181426.861"/>
    <s v="תיגבור ע י יובל חינוך           "/>
    <m/>
    <m/>
    <n v="64000"/>
    <n v="154000"/>
    <n v="208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62"/>
    <s v="81426"/>
    <n v="1"/>
    <s v="181426.862"/>
    <s v="ביה ס ניסוי-מרכז הפצה ע י יובל ח"/>
    <m/>
    <m/>
    <n v="45000"/>
    <n v="31000"/>
    <n v="3038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2"/>
    <e v="#N/A"/>
  </r>
  <r>
    <n v="110"/>
    <s v="81428"/>
    <n v="1"/>
    <s v="181428.110"/>
    <s v="משכורת כוללת                    "/>
    <m/>
    <m/>
    <n v="77000"/>
    <n v="75000"/>
    <n v="68214"/>
    <m/>
    <x v="7"/>
    <s v="שירותים ממלכתיים"/>
    <x v="33"/>
    <s v="חינוך"/>
    <x v="109"/>
    <s v="חטיבות ביניים"/>
    <s v="8142"/>
    <e v="#N/A"/>
    <m/>
    <s v="1"/>
    <x v="9"/>
    <s v="11"/>
    <s v="השכר הקובע"/>
    <s v="110"/>
    <e v="#N/A"/>
  </r>
  <r>
    <n v="124"/>
    <s v="81428"/>
    <n v="1"/>
    <s v="181428.124"/>
    <s v="החזר הוצאות                     "/>
    <m/>
    <m/>
    <n v="8000"/>
    <n v="8000"/>
    <n v="8468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4"/>
    <e v="#N/A"/>
  </r>
  <r>
    <n v="126"/>
    <s v="81428"/>
    <n v="1"/>
    <s v="181428.126"/>
    <s v="הבראה                           "/>
    <m/>
    <m/>
    <n v="5000"/>
    <n v="5000"/>
    <n v="5031"/>
    <m/>
    <x v="7"/>
    <s v="שירותים ממלכתיים"/>
    <x v="33"/>
    <s v="חינוך"/>
    <x v="109"/>
    <s v="חטיבות ביניים"/>
    <s v="8142"/>
    <e v="#N/A"/>
    <m/>
    <s v="1"/>
    <x v="9"/>
    <s v="12"/>
    <s v="תוספות שאינן נכללות בשכר הקובע"/>
    <s v="126"/>
    <e v="#N/A"/>
  </r>
  <r>
    <n v="181"/>
    <s v="81428"/>
    <n v="1"/>
    <s v="181428.181"/>
    <s v="מיסים וביטוח לאומי              "/>
    <m/>
    <m/>
    <n v="12000"/>
    <n v="12000"/>
    <n v="9326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1"/>
    <s v="הפרשות סוציאליות"/>
  </r>
  <r>
    <n v="182"/>
    <s v="81428"/>
    <n v="1"/>
    <s v="181428.182"/>
    <s v="קופות גמל והשתלמות              "/>
    <m/>
    <m/>
    <n v="20000"/>
    <n v="21000"/>
    <n v="17587"/>
    <m/>
    <x v="7"/>
    <s v="שירותים ממלכתיים"/>
    <x v="33"/>
    <s v="חינוך"/>
    <x v="109"/>
    <s v="חטיבות ביניים"/>
    <s v="8142"/>
    <e v="#N/A"/>
    <m/>
    <s v="1"/>
    <x v="9"/>
    <s v="18"/>
    <s v="נלוות לשכר"/>
    <s v="182"/>
    <s v="מיסיום ועלויות"/>
  </r>
  <r>
    <n v="694"/>
    <s v="81429"/>
    <n v="1"/>
    <s v="181429.694"/>
    <s v="פרוייקטים למיחשוב               "/>
    <m/>
    <m/>
    <n v="90000"/>
    <n v="90000"/>
    <n v="90000"/>
    <m/>
    <x v="7"/>
    <s v="שירותים ממלכתיים"/>
    <x v="33"/>
    <s v="חינוך"/>
    <x v="109"/>
    <s v="חטיבות ביניים"/>
    <s v="8142"/>
    <e v="#N/A"/>
    <m/>
    <s v="6"/>
    <x v="12"/>
    <s v="69"/>
    <s v="שונות"/>
    <s v="694"/>
    <e v="#N/A"/>
  </r>
  <r>
    <n v="781"/>
    <s v="81429"/>
    <n v="1"/>
    <s v="181429.781"/>
    <s v="הכנסות מחט ב המשתתפים בפרויקט הת"/>
    <m/>
    <m/>
    <n v="-1060000"/>
    <n v="0"/>
    <n v="0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781"/>
    <s v="81429"/>
    <n v="1"/>
    <s v="181429.781"/>
    <s v="פרויקט התקשוב בחטיבת הביניים    "/>
    <m/>
    <m/>
    <n v="2010000"/>
    <n v="0"/>
    <n v="0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1"/>
    <e v="#N/A"/>
  </r>
  <r>
    <n v="782"/>
    <s v="81429"/>
    <n v="1"/>
    <s v="181429.782"/>
    <s v="השתלמות                         "/>
    <m/>
    <m/>
    <n v="36000"/>
    <n v="36000"/>
    <n v="36000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2"/>
    <e v="#N/A"/>
  </r>
  <r>
    <n v="783"/>
    <s v="81429"/>
    <n v="1"/>
    <s v="181429.783"/>
    <s v="פעולות חברה והעשרה              "/>
    <m/>
    <m/>
    <n v="40000"/>
    <n v="40000"/>
    <n v="40000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3"/>
    <e v="#N/A"/>
  </r>
  <r>
    <n v="784"/>
    <s v="81429"/>
    <n v="1"/>
    <s v="181429.784"/>
    <s v="פרויקט תגבור מדעי היהדות        "/>
    <m/>
    <m/>
    <n v="160000"/>
    <n v="230000"/>
    <n v="210156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4"/>
    <e v="#N/A"/>
  </r>
  <r>
    <n v="787"/>
    <s v="81429"/>
    <n v="1"/>
    <s v="181429.787"/>
    <s v="ארוע תלמידים עולים לירושלים     "/>
    <m/>
    <m/>
    <n v="60000"/>
    <n v="60000"/>
    <n v="0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7"/>
    <e v="#N/A"/>
  </r>
  <r>
    <n v="788"/>
    <s v="81429"/>
    <n v="1"/>
    <s v="181429.788"/>
    <s v="סל תרבות חט ב                   "/>
    <m/>
    <m/>
    <n v="55000"/>
    <n v="55000"/>
    <n v="54985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8"/>
    <e v="#N/A"/>
  </r>
  <r>
    <n v="789"/>
    <s v="81429"/>
    <n v="1"/>
    <s v="181429.789"/>
    <s v="פרויקט התחדשות - חטיבות ביניים  "/>
    <m/>
    <m/>
    <n v="90000"/>
    <n v="150000"/>
    <n v="129871"/>
    <m/>
    <x v="7"/>
    <s v="שירותים ממלכתיים"/>
    <x v="33"/>
    <s v="חינוך"/>
    <x v="109"/>
    <s v="חטיבות ביניים"/>
    <s v="8142"/>
    <e v="#N/A"/>
    <m/>
    <s v="7"/>
    <x v="13"/>
    <s v="78"/>
    <s v="הוצאות שונות"/>
    <s v="789"/>
    <e v="#N/A"/>
  </r>
  <r>
    <n v="856"/>
    <s v="81429"/>
    <n v="1"/>
    <s v="181429.856"/>
    <s v="מכללה לשיפור השגים -מוס' חינוך  "/>
    <m/>
    <m/>
    <n v="285000"/>
    <n v="285000"/>
    <n v="274523"/>
    <m/>
    <x v="7"/>
    <s v="שירותים ממלכתיים"/>
    <x v="33"/>
    <s v="חינוך"/>
    <x v="109"/>
    <s v="חטיבות ביניים"/>
    <s v="8142"/>
    <e v="#N/A"/>
    <m/>
    <s v="8"/>
    <x v="16"/>
    <s v="85"/>
    <s v="מלגות לתלמידים וסטודנטים"/>
    <s v="856"/>
    <e v="#N/A"/>
  </r>
  <r>
    <n v="861"/>
    <s v="81429"/>
    <n v="1"/>
    <s v="181429.861"/>
    <s v="תיגבור והעשרה-יובל חינוך        "/>
    <m/>
    <m/>
    <n v="1175000"/>
    <n v="1175000"/>
    <n v="647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1"/>
    <e v="#N/A"/>
  </r>
  <r>
    <n v="862"/>
    <s v="81429"/>
    <n v="1"/>
    <s v="181429.862"/>
    <s v="הפעלת פרוייקטים חט ב-יובל חינוך "/>
    <m/>
    <m/>
    <n v="570000"/>
    <n v="570000"/>
    <n v="655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2"/>
    <e v="#N/A"/>
  </r>
  <r>
    <n v="864"/>
    <s v="81429"/>
    <n v="1"/>
    <s v="181429.864"/>
    <s v="תוכ' כנפיים  לליקוי למידה-יובל ח"/>
    <m/>
    <m/>
    <n v="720000"/>
    <n v="720000"/>
    <n v="720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4"/>
    <e v="#N/A"/>
  </r>
  <r>
    <n v="865"/>
    <s v="81429"/>
    <n v="1"/>
    <s v="181429.865"/>
    <s v="השתלמויות והדרכה פרויקט תקשוב חט"/>
    <m/>
    <m/>
    <n v="90000"/>
    <n v="0"/>
    <n v="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5"/>
    <e v="#N/A"/>
  </r>
  <r>
    <n v="866"/>
    <s v="81429"/>
    <n v="1"/>
    <s v="181429.866"/>
    <s v="מרכז עירוני ללקויות למידה-יובל ח"/>
    <m/>
    <m/>
    <n v="300000"/>
    <n v="300000"/>
    <n v="300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6"/>
    <e v="#N/A"/>
  </r>
  <r>
    <n v="867"/>
    <s v="81429"/>
    <n v="1"/>
    <s v="181429.867"/>
    <s v="יוזמות פדגוגיות-יובל חינוך      "/>
    <m/>
    <m/>
    <n v="86000"/>
    <n v="116000"/>
    <n v="115777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7"/>
    <e v="#N/A"/>
  </r>
  <r>
    <n v="868"/>
    <s v="81429"/>
    <n v="1"/>
    <s v="181429.868"/>
    <s v="תגבור פרוייקטים - יובל חינוך    "/>
    <m/>
    <m/>
    <n v="231000"/>
    <n v="231000"/>
    <n v="231000"/>
    <m/>
    <x v="7"/>
    <s v="שירותים ממלכתיים"/>
    <x v="33"/>
    <s v="חינוך"/>
    <x v="109"/>
    <s v="חטיבות ביניים"/>
    <s v="8142"/>
    <e v="#N/A"/>
    <m/>
    <s v="8"/>
    <x v="16"/>
    <s v="86"/>
    <s v="הנחות"/>
    <s v="868"/>
    <e v="#N/A"/>
  </r>
  <r>
    <n v="882"/>
    <s v="81429"/>
    <n v="1"/>
    <s v="181429.882"/>
    <s v="תגבור והעשרה-חט' ביניים משותפות "/>
    <m/>
    <m/>
    <n v="3188000"/>
    <n v="3188000"/>
    <n v="2921000"/>
    <m/>
    <x v="7"/>
    <s v="שירותים ממלכתיים"/>
    <x v="33"/>
    <s v="חינוך"/>
    <x v="109"/>
    <s v="חטיבות ביניים"/>
    <s v="8142"/>
    <e v="#N/A"/>
    <m/>
    <s v="8"/>
    <x v="16"/>
    <s v="88"/>
    <e v="#N/A"/>
    <s v="882"/>
    <e v="#N/A"/>
  </r>
  <r>
    <n v="110"/>
    <s v="81431"/>
    <n v="1"/>
    <s v="181431.110"/>
    <s v="משכורת כוללת                    "/>
    <m/>
    <m/>
    <n v="984000"/>
    <n v="702000"/>
    <n v="1350341"/>
    <m/>
    <x v="7"/>
    <s v="שירותים ממלכתיים"/>
    <x v="33"/>
    <s v="חינוך"/>
    <x v="109"/>
    <s v="חטיבות ביניים"/>
    <s v="8143"/>
    <e v="#N/A"/>
    <m/>
    <s v="1"/>
    <x v="9"/>
    <s v="11"/>
    <s v="השכר הקובע"/>
    <s v="110"/>
    <e v="#N/A"/>
  </r>
  <r>
    <n v="124"/>
    <s v="81431"/>
    <n v="1"/>
    <s v="181431.124"/>
    <s v="החזר הוצאות                     "/>
    <m/>
    <m/>
    <n v="63000"/>
    <n v="33000"/>
    <n v="57234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4"/>
    <e v="#N/A"/>
  </r>
  <r>
    <n v="126"/>
    <s v="81431"/>
    <n v="1"/>
    <s v="181431.126"/>
    <s v="הבראה                           "/>
    <m/>
    <m/>
    <n v="29000"/>
    <n v="24000"/>
    <n v="45927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6"/>
    <e v="#N/A"/>
  </r>
  <r>
    <n v="130"/>
    <s v="81431"/>
    <n v="1"/>
    <s v="181431.130"/>
    <s v="תשלומים מיוחדים                 "/>
    <m/>
    <m/>
    <n v="166000"/>
    <n v="116000"/>
    <n v="169974"/>
    <m/>
    <x v="7"/>
    <s v="שירותים ממלכתיים"/>
    <x v="33"/>
    <s v="חינוך"/>
    <x v="109"/>
    <s v="חטיבות ביניים"/>
    <s v="8143"/>
    <e v="#N/A"/>
    <m/>
    <s v="1"/>
    <x v="9"/>
    <s v="13"/>
    <s v="שעות נוספות"/>
    <s v="130"/>
    <e v="#N/A"/>
  </r>
  <r>
    <n v="170"/>
    <s v="81431"/>
    <n v="1"/>
    <s v="181431.170"/>
    <s v="ס. שאינו חוזר                   "/>
    <m/>
    <m/>
    <n v="0"/>
    <n v="0"/>
    <n v="11290"/>
    <m/>
    <x v="7"/>
    <s v="שירותים ממלכתיים"/>
    <x v="33"/>
    <s v="חינוך"/>
    <x v="109"/>
    <s v="חטיבות ביניים"/>
    <s v="8143"/>
    <e v="#N/A"/>
    <m/>
    <s v="1"/>
    <x v="9"/>
    <s v="17"/>
    <e v="#N/A"/>
    <s v="170"/>
    <e v="#N/A"/>
  </r>
  <r>
    <n v="181"/>
    <s v="81431"/>
    <n v="1"/>
    <s v="181431.181"/>
    <s v="מיסים וביטוח לאומי              "/>
    <m/>
    <m/>
    <n v="162000"/>
    <n v="114000"/>
    <n v="211223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1"/>
    <s v="הפרשות סוציאליות"/>
  </r>
  <r>
    <n v="182"/>
    <s v="81431"/>
    <n v="1"/>
    <s v="181431.182"/>
    <s v="קופות גמל והשתלמות              "/>
    <m/>
    <m/>
    <n v="235000"/>
    <n v="178000"/>
    <n v="292966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2"/>
    <s v="מיסיום ועלויות"/>
  </r>
  <r>
    <n v="781"/>
    <s v="81431"/>
    <n v="1"/>
    <s v="181431.781"/>
    <s v="סל ניהול עצמי-חט ב א -יובל חינוך"/>
    <m/>
    <m/>
    <n v="359000"/>
    <n v="359000"/>
    <n v="358214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1"/>
    <n v="1"/>
    <s v="181431.861"/>
    <s v="תיגבור ע י יובל חינוך           "/>
    <m/>
    <m/>
    <n v="78000"/>
    <n v="67000"/>
    <n v="148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81"/>
    <s v="81431"/>
    <n v="1"/>
    <s v="181431.881"/>
    <s v="השתתפות לחמד ע                  "/>
    <m/>
    <m/>
    <n v="19000"/>
    <n v="19000"/>
    <n v="18000"/>
    <m/>
    <x v="7"/>
    <s v="שירותים ממלכתיים"/>
    <x v="33"/>
    <s v="חינוך"/>
    <x v="109"/>
    <s v="חטיבות ביניים"/>
    <s v="8143"/>
    <e v="#N/A"/>
    <m/>
    <s v="8"/>
    <x v="16"/>
    <s v="88"/>
    <e v="#N/A"/>
    <s v="881"/>
    <e v="#N/A"/>
  </r>
  <r>
    <n v="110"/>
    <s v="81432"/>
    <n v="1"/>
    <s v="181432.110"/>
    <s v="משכורת כוללת                    "/>
    <m/>
    <m/>
    <n v="872000"/>
    <n v="1296000"/>
    <n v="1579069"/>
    <m/>
    <x v="7"/>
    <s v="שירותים ממלכתיים"/>
    <x v="33"/>
    <s v="חינוך"/>
    <x v="109"/>
    <s v="חטיבות ביניים"/>
    <s v="8143"/>
    <e v="#N/A"/>
    <m/>
    <s v="1"/>
    <x v="9"/>
    <s v="11"/>
    <s v="השכר הקובע"/>
    <s v="110"/>
    <e v="#N/A"/>
  </r>
  <r>
    <n v="124"/>
    <s v="81432"/>
    <n v="1"/>
    <s v="181432.124"/>
    <s v="החזר הוצאות                     "/>
    <m/>
    <m/>
    <n v="22000"/>
    <n v="39000"/>
    <n v="36729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4"/>
    <e v="#N/A"/>
  </r>
  <r>
    <n v="126"/>
    <s v="81432"/>
    <n v="1"/>
    <s v="181432.126"/>
    <s v="הבראה                           "/>
    <m/>
    <m/>
    <n v="20000"/>
    <n v="32000"/>
    <n v="41209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6"/>
    <e v="#N/A"/>
  </r>
  <r>
    <n v="127"/>
    <s v="81432"/>
    <n v="1"/>
    <s v="181432.127"/>
    <s v="השתתפות באחזקת רכב - 2          "/>
    <m/>
    <m/>
    <n v="9000"/>
    <n v="4000"/>
    <n v="6033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7"/>
    <e v="#N/A"/>
  </r>
  <r>
    <n v="130"/>
    <s v="81432"/>
    <n v="1"/>
    <s v="181432.130"/>
    <s v="תשלומים מיוחדים                 "/>
    <m/>
    <m/>
    <n v="97000"/>
    <n v="108000"/>
    <n v="139744"/>
    <m/>
    <x v="7"/>
    <s v="שירותים ממלכתיים"/>
    <x v="33"/>
    <s v="חינוך"/>
    <x v="109"/>
    <s v="חטיבות ביניים"/>
    <s v="8143"/>
    <e v="#N/A"/>
    <m/>
    <s v="1"/>
    <x v="9"/>
    <s v="13"/>
    <s v="שעות נוספות"/>
    <s v="130"/>
    <e v="#N/A"/>
  </r>
  <r>
    <n v="170"/>
    <s v="81432"/>
    <n v="1"/>
    <s v="181432.170"/>
    <s v="ס. שאינו חוזר                   "/>
    <m/>
    <m/>
    <n v="0"/>
    <n v="0"/>
    <n v="27559"/>
    <m/>
    <x v="7"/>
    <s v="שירותים ממלכתיים"/>
    <x v="33"/>
    <s v="חינוך"/>
    <x v="109"/>
    <s v="חטיבות ביניים"/>
    <s v="8143"/>
    <e v="#N/A"/>
    <m/>
    <s v="1"/>
    <x v="9"/>
    <s v="17"/>
    <e v="#N/A"/>
    <s v="170"/>
    <e v="#N/A"/>
  </r>
  <r>
    <n v="181"/>
    <s v="81432"/>
    <n v="1"/>
    <s v="181432.181"/>
    <s v="מיסים וביטוח לאומי              "/>
    <m/>
    <m/>
    <n v="133000"/>
    <n v="193000"/>
    <n v="238495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1"/>
    <s v="הפרשות סוציאליות"/>
  </r>
  <r>
    <n v="182"/>
    <s v="81432"/>
    <n v="1"/>
    <s v="181432.182"/>
    <s v="קופות גמל והשתלמות              "/>
    <m/>
    <m/>
    <n v="143000"/>
    <n v="256000"/>
    <n v="272714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2"/>
    <s v="מיסיום ועלויות"/>
  </r>
  <r>
    <n v="781"/>
    <s v="81432"/>
    <n v="1"/>
    <s v="181432.781"/>
    <s v="סל ניהול עצמי-חט ב ז-יובל חינוך "/>
    <m/>
    <m/>
    <n v="175000"/>
    <n v="191000"/>
    <n v="168674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2"/>
    <n v="1"/>
    <s v="181432.861"/>
    <s v="תיגבור ע י יובל חינוך           "/>
    <m/>
    <m/>
    <n v="418000"/>
    <n v="91000"/>
    <n v="258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62"/>
    <s v="81432"/>
    <n v="1"/>
    <s v="181432.862"/>
    <s v="כיתות אקדמיות ע י יובל חינוך    "/>
    <m/>
    <m/>
    <n v="70000"/>
    <n v="70000"/>
    <n v="249465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2"/>
    <e v="#N/A"/>
  </r>
  <r>
    <n v="863"/>
    <s v="81432"/>
    <n v="1"/>
    <s v="181432.863"/>
    <s v="הזנה-כיתות אקדמאיות יובל חינוך  "/>
    <m/>
    <m/>
    <n v="180000"/>
    <n v="180000"/>
    <n v="180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3"/>
    <e v="#N/A"/>
  </r>
  <r>
    <n v="864"/>
    <s v="81432"/>
    <n v="1"/>
    <s v="181432.864"/>
    <s v="פרויקט  תל ם -יובל חינוך        "/>
    <m/>
    <m/>
    <n v="45000"/>
    <n v="30000"/>
    <n v="40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4"/>
    <e v="#N/A"/>
  </r>
  <r>
    <n v="881"/>
    <s v="81432"/>
    <n v="1"/>
    <s v="181432.881"/>
    <s v="השתתפות לחמד ע                  "/>
    <m/>
    <m/>
    <n v="19000"/>
    <n v="19000"/>
    <n v="12000"/>
    <m/>
    <x v="7"/>
    <s v="שירותים ממלכתיים"/>
    <x v="33"/>
    <s v="חינוך"/>
    <x v="109"/>
    <s v="חטיבות ביניים"/>
    <s v="8143"/>
    <e v="#N/A"/>
    <m/>
    <s v="8"/>
    <x v="16"/>
    <s v="88"/>
    <e v="#N/A"/>
    <s v="881"/>
    <e v="#N/A"/>
  </r>
  <r>
    <n v="110"/>
    <s v="81433"/>
    <n v="1"/>
    <s v="181433.110"/>
    <s v="משכורת כוללת                    "/>
    <m/>
    <m/>
    <n v="210000"/>
    <n v="181000"/>
    <n v="174564"/>
    <m/>
    <x v="7"/>
    <s v="שירותים ממלכתיים"/>
    <x v="33"/>
    <s v="חינוך"/>
    <x v="109"/>
    <s v="חטיבות ביניים"/>
    <s v="8143"/>
    <e v="#N/A"/>
    <m/>
    <s v="1"/>
    <x v="9"/>
    <s v="11"/>
    <s v="השכר הקובע"/>
    <s v="110"/>
    <e v="#N/A"/>
  </r>
  <r>
    <n v="124"/>
    <s v="81433"/>
    <n v="1"/>
    <s v="181433.124"/>
    <s v="החזר הוצאות                     "/>
    <m/>
    <m/>
    <n v="14000"/>
    <n v="10000"/>
    <n v="8995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4"/>
    <e v="#N/A"/>
  </r>
  <r>
    <n v="126"/>
    <s v="81433"/>
    <n v="1"/>
    <s v="181433.126"/>
    <s v="הבראה                           "/>
    <m/>
    <m/>
    <n v="11000"/>
    <n v="7000"/>
    <n v="9822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6"/>
    <e v="#N/A"/>
  </r>
  <r>
    <n v="130"/>
    <s v="81433"/>
    <n v="1"/>
    <s v="181433.130"/>
    <s v="תשלומים מיוחדים                 "/>
    <m/>
    <m/>
    <n v="52000"/>
    <n v="55000"/>
    <n v="52656"/>
    <m/>
    <x v="7"/>
    <s v="שירותים ממלכתיים"/>
    <x v="33"/>
    <s v="חינוך"/>
    <x v="109"/>
    <s v="חטיבות ביניים"/>
    <s v="8143"/>
    <e v="#N/A"/>
    <m/>
    <s v="1"/>
    <x v="9"/>
    <s v="13"/>
    <s v="שעות נוספות"/>
    <s v="130"/>
    <e v="#N/A"/>
  </r>
  <r>
    <n v="181"/>
    <s v="81433"/>
    <n v="1"/>
    <s v="181433.181"/>
    <s v="מיסים וביטוח לאומי              "/>
    <m/>
    <m/>
    <n v="38000"/>
    <n v="33000"/>
    <n v="31128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1"/>
    <s v="הפרשות סוציאליות"/>
  </r>
  <r>
    <n v="182"/>
    <s v="81433"/>
    <n v="1"/>
    <s v="181433.182"/>
    <s v="קופות גמל והשתלמות              "/>
    <m/>
    <m/>
    <n v="50000"/>
    <n v="46000"/>
    <n v="42409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2"/>
    <s v="מיסיום ועלויות"/>
  </r>
  <r>
    <n v="781"/>
    <s v="81433"/>
    <n v="1"/>
    <s v="181433.781"/>
    <s v="סל ניהול עצמי-חט ב ח-יובל חינוך "/>
    <m/>
    <m/>
    <n v="94000"/>
    <n v="93000"/>
    <n v="83781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3"/>
    <n v="1"/>
    <s v="181433.861"/>
    <s v="תיגבור ע י יובל חינוך           "/>
    <m/>
    <m/>
    <n v="112000"/>
    <n v="112000"/>
    <n v="106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63"/>
    <s v="81433"/>
    <n v="1"/>
    <s v="181433.863"/>
    <s v="פרוייקט תל ם-יובל חינוך         "/>
    <m/>
    <m/>
    <n v="25000"/>
    <n v="30000"/>
    <n v="23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3"/>
    <e v="#N/A"/>
  </r>
  <r>
    <n v="864"/>
    <s v="81433"/>
    <n v="1"/>
    <s v="181433.864"/>
    <s v="תוכנית מיל ת -יובל חינוך        "/>
    <m/>
    <m/>
    <n v="327000"/>
    <n v="215000"/>
    <n v="164104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4"/>
    <e v="#N/A"/>
  </r>
  <r>
    <n v="870"/>
    <s v="81433"/>
    <n v="1"/>
    <s v="181433.870"/>
    <s v="סעיף שאינו חוזר                 "/>
    <m/>
    <m/>
    <n v="0"/>
    <n v="0"/>
    <n v="43000"/>
    <m/>
    <x v="7"/>
    <s v="שירותים ממלכתיים"/>
    <x v="33"/>
    <s v="חינוך"/>
    <x v="109"/>
    <s v="חטיבות ביניים"/>
    <s v="8143"/>
    <e v="#N/A"/>
    <m/>
    <s v="8"/>
    <x v="16"/>
    <s v="87"/>
    <s v="תמיכות ביחידות סמך ומוסדות הרשות"/>
    <s v="870"/>
    <e v="#N/A"/>
  </r>
  <r>
    <n v="110"/>
    <s v="81434"/>
    <n v="1"/>
    <s v="181434.110"/>
    <s v="משכורת כוללת                    "/>
    <m/>
    <m/>
    <n v="213000"/>
    <n v="642000"/>
    <n v="604815"/>
    <m/>
    <x v="7"/>
    <s v="שירותים ממלכתיים"/>
    <x v="33"/>
    <s v="חינוך"/>
    <x v="109"/>
    <s v="חטיבות ביניים"/>
    <s v="8143"/>
    <e v="#N/A"/>
    <m/>
    <s v="1"/>
    <x v="9"/>
    <s v="11"/>
    <s v="השכר הקובע"/>
    <s v="110"/>
    <e v="#N/A"/>
  </r>
  <r>
    <n v="124"/>
    <s v="81434"/>
    <n v="1"/>
    <s v="181434.124"/>
    <s v="החזר הוצאות                     "/>
    <m/>
    <m/>
    <n v="16000"/>
    <n v="32000"/>
    <n v="27801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4"/>
    <e v="#N/A"/>
  </r>
  <r>
    <n v="126"/>
    <s v="81434"/>
    <n v="1"/>
    <s v="181434.126"/>
    <s v="הבראה                           "/>
    <m/>
    <m/>
    <n v="9000"/>
    <n v="18000"/>
    <n v="23665"/>
    <m/>
    <x v="7"/>
    <s v="שירותים ממלכתיים"/>
    <x v="33"/>
    <s v="חינוך"/>
    <x v="109"/>
    <s v="חטיבות ביניים"/>
    <s v="8143"/>
    <e v="#N/A"/>
    <m/>
    <s v="1"/>
    <x v="9"/>
    <s v="12"/>
    <s v="תוספות שאינן נכללות בשכר הקובע"/>
    <s v="126"/>
    <e v="#N/A"/>
  </r>
  <r>
    <n v="130"/>
    <s v="81434"/>
    <n v="1"/>
    <s v="181434.130"/>
    <s v="תשלומים מיוחדים                 "/>
    <m/>
    <m/>
    <n v="49000"/>
    <n v="57000"/>
    <n v="64042"/>
    <m/>
    <x v="7"/>
    <s v="שירותים ממלכתיים"/>
    <x v="33"/>
    <s v="חינוך"/>
    <x v="109"/>
    <s v="חטיבות ביניים"/>
    <s v="8143"/>
    <e v="#N/A"/>
    <m/>
    <s v="1"/>
    <x v="9"/>
    <s v="13"/>
    <s v="שעות נוספות"/>
    <s v="130"/>
    <e v="#N/A"/>
  </r>
  <r>
    <n v="170"/>
    <s v="81434"/>
    <n v="1"/>
    <s v="181434.170"/>
    <s v="סעיף שאינו חוזר                 "/>
    <m/>
    <m/>
    <n v="0"/>
    <n v="0"/>
    <n v="6745"/>
    <m/>
    <x v="7"/>
    <s v="שירותים ממלכתיים"/>
    <x v="33"/>
    <s v="חינוך"/>
    <x v="109"/>
    <s v="חטיבות ביניים"/>
    <s v="8143"/>
    <e v="#N/A"/>
    <m/>
    <s v="1"/>
    <x v="9"/>
    <s v="17"/>
    <e v="#N/A"/>
    <s v="170"/>
    <e v="#N/A"/>
  </r>
  <r>
    <n v="181"/>
    <s v="81434"/>
    <n v="1"/>
    <s v="181434.181"/>
    <s v="מיסים וביטוח לאומי              "/>
    <m/>
    <m/>
    <n v="38000"/>
    <n v="98000"/>
    <n v="88601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1"/>
    <s v="הפרשות סוציאליות"/>
  </r>
  <r>
    <n v="182"/>
    <s v="81434"/>
    <n v="1"/>
    <s v="181434.182"/>
    <s v="קופות גמל והשתלמות              "/>
    <m/>
    <m/>
    <n v="56000"/>
    <n v="122000"/>
    <n v="132118"/>
    <m/>
    <x v="7"/>
    <s v="שירותים ממלכתיים"/>
    <x v="33"/>
    <s v="חינוך"/>
    <x v="109"/>
    <s v="חטיבות ביניים"/>
    <s v="8143"/>
    <e v="#N/A"/>
    <m/>
    <s v="1"/>
    <x v="9"/>
    <s v="18"/>
    <s v="נלוות לשכר"/>
    <s v="182"/>
    <s v="מיסיום ועלויות"/>
  </r>
  <r>
    <n v="781"/>
    <s v="81434"/>
    <n v="1"/>
    <s v="181434.781"/>
    <s v="סל ניהול עצמי-חט ב ט -יובל חינוך"/>
    <m/>
    <m/>
    <n v="376000"/>
    <n v="381000"/>
    <n v="360270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4"/>
    <n v="1"/>
    <s v="181434.861"/>
    <s v="תגבור ע י יובל חינוך            "/>
    <m/>
    <m/>
    <n v="556000"/>
    <n v="556000"/>
    <n v="226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81"/>
    <s v="81434"/>
    <n v="1"/>
    <s v="181434.881"/>
    <s v="השתתפות לחמד ע                  "/>
    <m/>
    <m/>
    <n v="12000"/>
    <n v="6000"/>
    <n v="0"/>
    <m/>
    <x v="7"/>
    <s v="שירותים ממלכתיים"/>
    <x v="33"/>
    <s v="חינוך"/>
    <x v="109"/>
    <s v="חטיבות ביניים"/>
    <s v="8143"/>
    <e v="#N/A"/>
    <m/>
    <s v="8"/>
    <x v="16"/>
    <s v="88"/>
    <e v="#N/A"/>
    <s v="881"/>
    <e v="#N/A"/>
  </r>
  <r>
    <n v="781"/>
    <s v="81436"/>
    <n v="1"/>
    <s v="181436.781"/>
    <s v="סל ניהול עצמי-חט ב י ב-יובל חינו"/>
    <m/>
    <m/>
    <n v="258000"/>
    <n v="232000"/>
    <n v="222693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6"/>
    <n v="1"/>
    <s v="181436.861"/>
    <s v="תגבור ע י יובל חינוך            "/>
    <m/>
    <m/>
    <n v="515000"/>
    <n v="515000"/>
    <n v="617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62"/>
    <s v="81436"/>
    <n v="1"/>
    <s v="181436.862"/>
    <s v="כיתות אקדמיות ע י יובל חינוך    "/>
    <m/>
    <m/>
    <n v="124000"/>
    <n v="124000"/>
    <n v="11500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2"/>
    <e v="#N/A"/>
  </r>
  <r>
    <n v="781"/>
    <s v="81437"/>
    <n v="1"/>
    <s v="181437.781"/>
    <s v="סל ניהול עצמי-תיכונט -יובל חינוך"/>
    <m/>
    <m/>
    <n v="497000"/>
    <n v="529000"/>
    <n v="419129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61"/>
    <s v="81437"/>
    <n v="1"/>
    <s v="181437.861"/>
    <s v="תגבור באמצעות יובל חינוך        "/>
    <m/>
    <m/>
    <n v="10000"/>
    <n v="0"/>
    <n v="0"/>
    <m/>
    <x v="7"/>
    <s v="שירותים ממלכתיים"/>
    <x v="33"/>
    <s v="חינוך"/>
    <x v="109"/>
    <s v="חטיבות ביניים"/>
    <s v="8143"/>
    <e v="#N/A"/>
    <m/>
    <s v="8"/>
    <x v="16"/>
    <s v="86"/>
    <s v="הנחות"/>
    <s v="861"/>
    <e v="#N/A"/>
  </r>
  <r>
    <n v="870"/>
    <s v="81437"/>
    <n v="1"/>
    <s v="181437.870"/>
    <s v="סעיף שאינו חוזר                 "/>
    <m/>
    <m/>
    <n v="0"/>
    <n v="0"/>
    <n v="29736"/>
    <m/>
    <x v="7"/>
    <s v="שירותים ממלכתיים"/>
    <x v="33"/>
    <s v="חינוך"/>
    <x v="109"/>
    <s v="חטיבות ביניים"/>
    <s v="8143"/>
    <e v="#N/A"/>
    <m/>
    <s v="8"/>
    <x v="16"/>
    <s v="87"/>
    <s v="תמיכות ביחידות סמך ומוסדות הרשות"/>
    <s v="870"/>
    <e v="#N/A"/>
  </r>
  <r>
    <n v="881"/>
    <s v="81437"/>
    <n v="1"/>
    <s v="181437.881"/>
    <s v="השתתפות לחמד ע                  "/>
    <m/>
    <m/>
    <n v="37000"/>
    <n v="37000"/>
    <n v="0"/>
    <m/>
    <x v="7"/>
    <s v="שירותים ממלכתיים"/>
    <x v="33"/>
    <s v="חינוך"/>
    <x v="109"/>
    <s v="חטיבות ביניים"/>
    <s v="8143"/>
    <e v="#N/A"/>
    <m/>
    <s v="8"/>
    <x v="16"/>
    <s v="88"/>
    <e v="#N/A"/>
    <s v="881"/>
    <e v="#N/A"/>
  </r>
  <r>
    <n v="781"/>
    <s v="81438"/>
    <n v="1"/>
    <s v="181438.781"/>
    <s v="סל ניהול עצמי-חט ב ל ב)אגי'אל(  "/>
    <m/>
    <m/>
    <n v="87000"/>
    <n v="88000"/>
    <n v="82121"/>
    <m/>
    <x v="7"/>
    <s v="שירותים ממלכתיים"/>
    <x v="33"/>
    <s v="חינוך"/>
    <x v="109"/>
    <s v="חטיבות ביניים"/>
    <s v="8143"/>
    <e v="#N/A"/>
    <m/>
    <s v="7"/>
    <x v="13"/>
    <s v="78"/>
    <s v="הוצאות שונות"/>
    <s v="781"/>
    <e v="#N/A"/>
  </r>
  <r>
    <n v="870"/>
    <s v="81438"/>
    <n v="1"/>
    <s v="181438.870"/>
    <s v="סעיף שאינו חוזר                 "/>
    <m/>
    <m/>
    <n v="0"/>
    <n v="0"/>
    <n v="12000"/>
    <m/>
    <x v="7"/>
    <s v="שירותים ממלכתיים"/>
    <x v="33"/>
    <s v="חינוך"/>
    <x v="109"/>
    <s v="חטיבות ביניים"/>
    <s v="8143"/>
    <e v="#N/A"/>
    <m/>
    <s v="8"/>
    <x v="16"/>
    <s v="87"/>
    <s v="תמיכות ביחידות סמך ומוסדות הרשות"/>
    <s v="870"/>
    <e v="#N/A"/>
  </r>
  <r>
    <n v="791"/>
    <s v="81441"/>
    <n v="1"/>
    <s v="181441.791"/>
    <s v="תגבור סל ניהול                  "/>
    <m/>
    <m/>
    <n v="66000"/>
    <n v="126000"/>
    <n v="0"/>
    <m/>
    <x v="7"/>
    <s v="שירותים ממלכתיים"/>
    <x v="33"/>
    <s v="חינוך"/>
    <x v="109"/>
    <s v="חטיבות ביניים"/>
    <s v="8144"/>
    <e v="#N/A"/>
    <m/>
    <s v="7"/>
    <x v="13"/>
    <s v="79"/>
    <s v="השתתפות בתקציבי עזר 092"/>
    <s v="791"/>
    <e v="#N/A"/>
  </r>
  <r>
    <n v="883"/>
    <s v="81441"/>
    <n v="1"/>
    <s v="181441.883"/>
    <s v="השתת' לחט ב תיכון כי ח          "/>
    <m/>
    <m/>
    <n v="446000"/>
    <n v="444000"/>
    <n v="484620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3"/>
    <e v="#N/A"/>
  </r>
  <r>
    <n v="884"/>
    <s v="81441"/>
    <n v="1"/>
    <s v="181441.884"/>
    <s v="השתת' לחט ב עמל ליידי דייויס    "/>
    <m/>
    <m/>
    <n v="552000"/>
    <n v="538000"/>
    <n v="514550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4"/>
    <e v="#N/A"/>
  </r>
  <r>
    <n v="885"/>
    <s v="81441"/>
    <n v="1"/>
    <s v="181441.885"/>
    <s v="השתת' לחט ב תיכון חדש           "/>
    <m/>
    <m/>
    <n v="549000"/>
    <n v="469000"/>
    <n v="469504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5"/>
    <e v="#N/A"/>
  </r>
  <r>
    <n v="886"/>
    <s v="81441"/>
    <n v="1"/>
    <s v="181441.886"/>
    <s v="השתת' לחט ב תיכון הרצליה        "/>
    <m/>
    <m/>
    <n v="572000"/>
    <n v="513000"/>
    <n v="524000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6"/>
    <e v="#N/A"/>
  </r>
  <r>
    <n v="887"/>
    <s v="81441"/>
    <n v="1"/>
    <s v="181441.887"/>
    <s v="השתת' לחט ב אולפנית בני עקיבא   "/>
    <m/>
    <m/>
    <n v="58000"/>
    <n v="47000"/>
    <n v="48216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7"/>
    <e v="#N/A"/>
  </r>
  <r>
    <n v="888"/>
    <s v="81441"/>
    <n v="1"/>
    <s v="181441.888"/>
    <s v="השתת' לחט ב אורט יד סינגלובסקי  "/>
    <m/>
    <m/>
    <n v="490000"/>
    <n v="542000"/>
    <n v="571900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8"/>
    <e v="#N/A"/>
  </r>
  <r>
    <n v="889"/>
    <s v="81441"/>
    <n v="1"/>
    <s v="181441.889"/>
    <s v="חטיבת בניים אמית ראשית          "/>
    <m/>
    <m/>
    <n v="106000"/>
    <n v="91000"/>
    <n v="69350"/>
    <m/>
    <x v="7"/>
    <s v="שירותים ממלכתיים"/>
    <x v="33"/>
    <s v="חינוך"/>
    <x v="109"/>
    <s v="חטיבות ביניים"/>
    <s v="8144"/>
    <e v="#N/A"/>
    <m/>
    <s v="8"/>
    <x v="16"/>
    <s v="88"/>
    <e v="#N/A"/>
    <s v="889"/>
    <e v="#N/A"/>
  </r>
  <r>
    <n v="821"/>
    <s v="81480"/>
    <n v="1"/>
    <s v="181480.821"/>
    <s v="סיוע לתלמידים עולים             "/>
    <m/>
    <m/>
    <n v="130000"/>
    <n v="80000"/>
    <n v="121950"/>
    <m/>
    <x v="7"/>
    <s v="שירותים ממלכתיים"/>
    <x v="33"/>
    <s v="חינוך"/>
    <x v="109"/>
    <s v="חטיבות ביניים"/>
    <s v="8148"/>
    <e v="#N/A"/>
    <m/>
    <s v="8"/>
    <x v="16"/>
    <s v="82"/>
    <s v="הקצבות בהמלצת ועדת הקצבות"/>
    <s v="821"/>
    <e v="#N/A"/>
  </r>
  <r>
    <n v="870"/>
    <s v="81480"/>
    <n v="1"/>
    <s v="181480.870"/>
    <s v="סעיף שאינו חוזר                 "/>
    <m/>
    <m/>
    <n v="0"/>
    <n v="0"/>
    <n v="300000"/>
    <m/>
    <x v="7"/>
    <s v="שירותים ממלכתיים"/>
    <x v="33"/>
    <s v="חינוך"/>
    <x v="109"/>
    <s v="חטיבות ביניים"/>
    <s v="8148"/>
    <e v="#N/A"/>
    <m/>
    <s v="8"/>
    <x v="16"/>
    <s v="87"/>
    <s v="תמיכות ביחידות סמך ומוסדות הרשות"/>
    <s v="870"/>
    <e v="#N/A"/>
  </r>
  <r>
    <n v="851"/>
    <s v="81911"/>
    <n v="1"/>
    <s v="181911.851"/>
    <s v="תוכניות תגבור ע י החב' למוס' חינ"/>
    <m/>
    <m/>
    <n v="49000"/>
    <n v="48000"/>
    <n v="191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61"/>
    <s v="81911"/>
    <n v="1"/>
    <s v="181911.861"/>
    <s v="פעילות העשרה וטיפוח-יובל חינוך  "/>
    <m/>
    <m/>
    <n v="41000"/>
    <n v="41000"/>
    <n v="38975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6"/>
    <s v="הנחות"/>
    <s v="861"/>
    <e v="#N/A"/>
  </r>
  <r>
    <n v="851"/>
    <s v="81912"/>
    <n v="1"/>
    <s v="181912.851"/>
    <s v="תכניות תגבור ע י החב' למוס' חינו"/>
    <m/>
    <m/>
    <n v="41000"/>
    <n v="40000"/>
    <n v="136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61"/>
    <s v="81912"/>
    <n v="1"/>
    <s v="181912.861"/>
    <s v="פעילות העשרה וטיפוח-יובל חינוך  "/>
    <m/>
    <m/>
    <n v="68000"/>
    <n v="68000"/>
    <n v="67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6"/>
    <s v="הנחות"/>
    <s v="861"/>
    <e v="#N/A"/>
  </r>
  <r>
    <n v="851"/>
    <s v="81913"/>
    <n v="1"/>
    <s v="181913.851"/>
    <s v="תכנית תגבור-ע י חב. למוסדות     "/>
    <m/>
    <m/>
    <n v="76000"/>
    <n v="75000"/>
    <n v="190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52"/>
    <s v="81913"/>
    <n v="1"/>
    <s v="181913.852"/>
    <s v="תכנית תנופה התקווה ע י ח.למוסדות"/>
    <m/>
    <m/>
    <n v="121000"/>
    <n v="120000"/>
    <n v="120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2"/>
    <e v="#N/A"/>
  </r>
  <r>
    <n v="851"/>
    <s v="81914"/>
    <n v="1"/>
    <s v="181914.851"/>
    <s v="תכניות תגבור - ס. שאינו חוזר    "/>
    <m/>
    <m/>
    <n v="0"/>
    <n v="0"/>
    <n v="10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61"/>
    <s v="81914"/>
    <n v="1"/>
    <s v="181914.861"/>
    <s v="פעילות העשרה וטיפוח-יובל חינוך  "/>
    <m/>
    <m/>
    <n v="104000"/>
    <n v="104000"/>
    <n v="107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6"/>
    <s v="הנחות"/>
    <s v="861"/>
    <e v="#N/A"/>
  </r>
  <r>
    <n v="852"/>
    <s v="81915"/>
    <n v="1"/>
    <s v="181915.852"/>
    <s v="תוכנית תנופה ע י חב' למוס ח     "/>
    <m/>
    <m/>
    <n v="218000"/>
    <n v="154000"/>
    <n v="224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2"/>
    <e v="#N/A"/>
  </r>
  <r>
    <n v="851"/>
    <s v="81916"/>
    <n v="1"/>
    <s v="181916.851"/>
    <s v="תכניות תגבור - ס. שאינו חוזר    "/>
    <m/>
    <m/>
    <n v="0"/>
    <n v="0"/>
    <n v="84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51"/>
    <s v="81917"/>
    <n v="1"/>
    <s v="181917.851"/>
    <s v="תוכניות תגבור-ע י החב' למוס' חינ"/>
    <m/>
    <m/>
    <n v="109000"/>
    <n v="104000"/>
    <n v="168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51"/>
    <s v="81918"/>
    <n v="1"/>
    <s v="181918.851"/>
    <s v="תוכניות תגבור-ע י החב' למוס'    "/>
    <m/>
    <m/>
    <n v="20000"/>
    <n v="20000"/>
    <n v="31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51"/>
    <s v="81919"/>
    <n v="1"/>
    <s v="181919.851"/>
    <s v="תוכניות תגבור ע י חברה למוס'    "/>
    <m/>
    <m/>
    <n v="40000"/>
    <n v="40000"/>
    <n v="140000"/>
    <m/>
    <x v="7"/>
    <s v="שירותים ממלכתיים"/>
    <x v="33"/>
    <s v="חינוך"/>
    <x v="110"/>
    <s v="שירותי חינוך מיוחדים"/>
    <s v="8191"/>
    <s v="חינוך מוכר שאינו רשמי"/>
    <m/>
    <s v="8"/>
    <x v="16"/>
    <s v="85"/>
    <s v="מלגות לתלמידים וסטודנטים"/>
    <s v="851"/>
    <e v="#N/A"/>
  </r>
  <r>
    <n v="851"/>
    <s v="81960"/>
    <n v="1"/>
    <s v="181960.851"/>
    <s v="תוכנית פל א-מוסדות חינוך        "/>
    <m/>
    <m/>
    <n v="710000"/>
    <n v="506000"/>
    <n v="574000"/>
    <m/>
    <x v="7"/>
    <s v="שירותים ממלכתיים"/>
    <x v="33"/>
    <s v="חינוך"/>
    <x v="110"/>
    <s v="שירותי חינוך מיוחדים"/>
    <s v="8196"/>
    <e v="#N/A"/>
    <m/>
    <s v="8"/>
    <x v="16"/>
    <s v="85"/>
    <s v="מלגות לתלמידים וסטודנטים"/>
    <s v="851"/>
    <e v="#N/A"/>
  </r>
  <r>
    <n v="852"/>
    <s v="81960"/>
    <n v="1"/>
    <s v="181960.852"/>
    <s v="שכונה כעיר  שפירא וק. שלום      "/>
    <m/>
    <m/>
    <n v="2094000"/>
    <n v="1780000"/>
    <n v="1780000"/>
    <m/>
    <x v="7"/>
    <s v="שירותים ממלכתיים"/>
    <x v="33"/>
    <s v="חינוך"/>
    <x v="110"/>
    <s v="שירותי חינוך מיוחדים"/>
    <s v="8196"/>
    <e v="#N/A"/>
    <m/>
    <s v="8"/>
    <x v="16"/>
    <s v="85"/>
    <s v="מלגות לתלמידים וסטודנטים"/>
    <s v="852"/>
    <e v="#N/A"/>
  </r>
  <r>
    <n v="853"/>
    <s v="81960"/>
    <n v="1"/>
    <s v="181960.853"/>
    <s v="שכונה כעיר  כפר שלם             "/>
    <m/>
    <m/>
    <n v="2090000"/>
    <n v="0"/>
    <n v="0"/>
    <m/>
    <x v="7"/>
    <s v="שירותים ממלכתיים"/>
    <x v="33"/>
    <s v="חינוך"/>
    <x v="110"/>
    <s v="שירותי חינוך מיוחדים"/>
    <s v="8196"/>
    <e v="#N/A"/>
    <m/>
    <s v="8"/>
    <x v="16"/>
    <s v="85"/>
    <s v="מלגות לתלמידים וסטודנטים"/>
    <s v="853"/>
    <e v="#N/A"/>
  </r>
  <r>
    <n v="854"/>
    <s v="81960"/>
    <n v="1"/>
    <s v="181960.854"/>
    <s v="תכנית מוטב יחדיו - חב' מו ח     "/>
    <m/>
    <m/>
    <n v="380000"/>
    <n v="0"/>
    <n v="0"/>
    <m/>
    <x v="7"/>
    <s v="שירותים ממלכתיים"/>
    <x v="33"/>
    <s v="חינוך"/>
    <x v="110"/>
    <s v="שירותי חינוך מיוחדים"/>
    <s v="8196"/>
    <e v="#N/A"/>
    <m/>
    <s v="8"/>
    <x v="16"/>
    <s v="85"/>
    <s v="מלגות לתלמידים וסטודנטים"/>
    <s v="854"/>
    <e v="#N/A"/>
  </r>
  <r>
    <n v="861"/>
    <s v="81960"/>
    <n v="1"/>
    <s v="181960.861"/>
    <s v="תכנית מבוגר משמעותי - יובל חינוך"/>
    <m/>
    <m/>
    <n v="235000"/>
    <n v="0"/>
    <n v="0"/>
    <m/>
    <x v="7"/>
    <s v="שירותים ממלכתיים"/>
    <x v="33"/>
    <s v="חינוך"/>
    <x v="110"/>
    <s v="שירותי חינוך מיוחדים"/>
    <s v="8196"/>
    <e v="#N/A"/>
    <m/>
    <s v="8"/>
    <x v="16"/>
    <s v="86"/>
    <s v="הנחות"/>
    <s v="861"/>
    <e v="#N/A"/>
  </r>
  <r>
    <n v="881"/>
    <s v="81960"/>
    <n v="1"/>
    <s v="181960.881"/>
    <s v="תכנית פותחים עתיד               "/>
    <m/>
    <m/>
    <n v="915000"/>
    <n v="450000"/>
    <n v="667000"/>
    <m/>
    <x v="7"/>
    <s v="שירותים ממלכתיים"/>
    <x v="33"/>
    <s v="חינוך"/>
    <x v="110"/>
    <s v="שירותי חינוך מיוחדים"/>
    <s v="8196"/>
    <e v="#N/A"/>
    <m/>
    <s v="8"/>
    <x v="16"/>
    <s v="88"/>
    <e v="#N/A"/>
    <s v="881"/>
    <e v="#N/A"/>
  </r>
  <r>
    <n v="882"/>
    <s v="81960"/>
    <n v="1"/>
    <s v="181960.882"/>
    <s v="תכנית  בוחרים מחר               "/>
    <m/>
    <m/>
    <n v="50000"/>
    <n v="50000"/>
    <n v="17000"/>
    <m/>
    <x v="7"/>
    <s v="שירותים ממלכתיים"/>
    <x v="33"/>
    <s v="חינוך"/>
    <x v="110"/>
    <s v="שירותי חינוך מיוחדים"/>
    <s v="8196"/>
    <e v="#N/A"/>
    <m/>
    <s v="8"/>
    <x v="16"/>
    <s v="88"/>
    <e v="#N/A"/>
    <s v="882"/>
    <e v="#N/A"/>
  </r>
  <r>
    <n v="884"/>
    <s v="81960"/>
    <n v="1"/>
    <s v="181960.884"/>
    <s v="קו הזינוק                       "/>
    <m/>
    <m/>
    <n v="75000"/>
    <n v="0"/>
    <n v="0"/>
    <m/>
    <x v="7"/>
    <s v="שירותים ממלכתיים"/>
    <x v="33"/>
    <s v="חינוך"/>
    <x v="110"/>
    <s v="שירותי חינוך מיוחדים"/>
    <s v="8196"/>
    <e v="#N/A"/>
    <m/>
    <s v="8"/>
    <x v="16"/>
    <s v="88"/>
    <e v="#N/A"/>
    <s v="884"/>
    <e v="#N/A"/>
  </r>
  <r>
    <n v="851"/>
    <s v="81970"/>
    <n v="1"/>
    <s v="181970.851"/>
    <s v="מינהלת שכונת התקוה- מוס' ח      "/>
    <m/>
    <m/>
    <n v="493000"/>
    <n v="719000"/>
    <n v="714000"/>
    <m/>
    <x v="7"/>
    <s v="שירותים ממלכתיים"/>
    <x v="33"/>
    <s v="חינוך"/>
    <x v="110"/>
    <s v="שירותי חינוך מיוחדים"/>
    <s v="8197"/>
    <e v="#N/A"/>
    <m/>
    <s v="8"/>
    <x v="16"/>
    <s v="85"/>
    <s v="מלגות לתלמידים וסטודנטים"/>
    <s v="851"/>
    <e v="#N/A"/>
  </r>
  <r>
    <n v="863"/>
    <s v="81980"/>
    <n v="1"/>
    <s v="181980.863"/>
    <s v="יפו ד'-פעילות העשרה וטיפוח-יובל "/>
    <m/>
    <m/>
    <n v="18000"/>
    <n v="18000"/>
    <n v="18000"/>
    <m/>
    <x v="7"/>
    <s v="שירותים ממלכתיים"/>
    <x v="33"/>
    <s v="חינוך"/>
    <x v="110"/>
    <s v="שירותי חינוך מיוחדים"/>
    <s v="8198"/>
    <e v="#N/A"/>
    <m/>
    <s v="8"/>
    <x v="16"/>
    <s v="86"/>
    <s v="הנחות"/>
    <s v="863"/>
    <e v="#N/A"/>
  </r>
  <r>
    <n v="851"/>
    <s v="81990"/>
    <n v="1"/>
    <s v="181990.851"/>
    <s v="תוכנית לאומית לילדים ונוער בסיכו"/>
    <m/>
    <m/>
    <n v="2278000"/>
    <n v="2268000"/>
    <n v="1862327"/>
    <m/>
    <x v="7"/>
    <s v="שירותים ממלכתיים"/>
    <x v="33"/>
    <s v="חינוך"/>
    <x v="110"/>
    <s v="שירותי חינוך מיוחדים"/>
    <s v="8199"/>
    <e v="#N/A"/>
    <m/>
    <s v="8"/>
    <x v="16"/>
    <s v="85"/>
    <s v="מלגות לתלמידים וסטודנטים"/>
    <s v="851"/>
    <e v="#N/A"/>
  </r>
  <r>
    <n v="861"/>
    <s v="81990"/>
    <n v="1"/>
    <s v="181990.861"/>
    <s v="ת.לאומית לילדים ונוער - יובל חינ"/>
    <m/>
    <m/>
    <n v="275000"/>
    <n v="275000"/>
    <n v="180000"/>
    <m/>
    <x v="7"/>
    <s v="שירותים ממלכתיים"/>
    <x v="33"/>
    <s v="חינוך"/>
    <x v="110"/>
    <s v="שירותי חינוך מיוחדים"/>
    <s v="8199"/>
    <e v="#N/A"/>
    <m/>
    <s v="8"/>
    <x v="16"/>
    <s v="86"/>
    <s v="הנחות"/>
    <s v="861"/>
    <e v="#N/A"/>
  </r>
  <r>
    <n v="110"/>
    <s v="81511"/>
    <n v="1"/>
    <s v="181511.110"/>
    <s v="משכורת כוללת                    "/>
    <m/>
    <m/>
    <n v="2127000"/>
    <n v="2088000"/>
    <n v="2224013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1"/>
    <s v="השכר הקובע"/>
    <s v="110"/>
    <e v="#N/A"/>
  </r>
  <r>
    <n v="124"/>
    <s v="81511"/>
    <n v="1"/>
    <s v="181511.124"/>
    <s v="החזר הוצאות                     "/>
    <m/>
    <m/>
    <n v="74000"/>
    <n v="83000"/>
    <n v="86145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2"/>
    <s v="תוספות שאינן נכללות בשכר הקובע"/>
    <s v="124"/>
    <e v="#N/A"/>
  </r>
  <r>
    <n v="126"/>
    <s v="81511"/>
    <n v="1"/>
    <s v="181511.126"/>
    <s v="הבראה                           "/>
    <m/>
    <m/>
    <n v="64000"/>
    <n v="63000"/>
    <n v="68520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2"/>
    <s v="תוספות שאינן נכללות בשכר הקובע"/>
    <s v="126"/>
    <e v="#N/A"/>
  </r>
  <r>
    <n v="127"/>
    <s v="81511"/>
    <n v="1"/>
    <s v="181511.127"/>
    <s v="השתתפות באחזקת רכב - 11         "/>
    <m/>
    <m/>
    <n v="295000"/>
    <n v="314000"/>
    <n v="331469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2"/>
    <s v="תוספות שאינן נכללות בשכר הקובע"/>
    <s v="127"/>
    <e v="#N/A"/>
  </r>
  <r>
    <n v="130"/>
    <s v="81511"/>
    <n v="1"/>
    <s v="181511.130"/>
    <s v="תשלומים מיוחדים                 "/>
    <m/>
    <m/>
    <n v="145000"/>
    <n v="155000"/>
    <n v="158818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3"/>
    <s v="שעות נוספות"/>
    <s v="130"/>
    <e v="#N/A"/>
  </r>
  <r>
    <n v="181"/>
    <s v="81511"/>
    <n v="1"/>
    <s v="181511.181"/>
    <s v="מיסים וביטוח לאומי              "/>
    <m/>
    <m/>
    <n v="402000"/>
    <n v="401000"/>
    <n v="391390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8"/>
    <s v="נלוות לשכר"/>
    <s v="181"/>
    <s v="הפרשות סוציאליות"/>
  </r>
  <r>
    <n v="182"/>
    <s v="81511"/>
    <n v="1"/>
    <s v="181511.182"/>
    <s v="קופות גמל והשתלמות              "/>
    <m/>
    <m/>
    <n v="370000"/>
    <n v="400000"/>
    <n v="399556"/>
    <m/>
    <x v="7"/>
    <s v="שירותים ממלכתיים"/>
    <x v="33"/>
    <s v="חינוך"/>
    <x v="111"/>
    <s v="חינוך על יסודי"/>
    <s v="8151"/>
    <s v="מינהל החינוך העל יסודי"/>
    <m/>
    <s v="1"/>
    <x v="9"/>
    <s v="18"/>
    <s v="נלוות לשכר"/>
    <s v="182"/>
    <s v="מיסיום ועלויות"/>
  </r>
  <r>
    <n v="230"/>
    <s v="81511"/>
    <n v="1"/>
    <s v="181511.230"/>
    <s v="משימות חולפות - 2.5             "/>
    <m/>
    <m/>
    <n v="102000"/>
    <n v="104000"/>
    <n v="0"/>
    <m/>
    <x v="7"/>
    <s v="שירותים ממלכתיים"/>
    <x v="33"/>
    <s v="חינוך"/>
    <x v="111"/>
    <s v="חינוך על יסודי"/>
    <s v="8151"/>
    <s v="מינהל החינוך העל יסודי"/>
    <m/>
    <s v="2"/>
    <x v="10"/>
    <s v="23"/>
    <s v="שעות נוספות"/>
    <s v="230"/>
    <e v="#N/A"/>
  </r>
  <r>
    <n v="310"/>
    <s v="81511"/>
    <n v="1"/>
    <s v="181511.310"/>
    <s v="שעות נוספות רשומות              "/>
    <m/>
    <m/>
    <n v="260000"/>
    <n v="255000"/>
    <n v="723621"/>
    <m/>
    <x v="7"/>
    <s v="שירותים ממלכתיים"/>
    <x v="33"/>
    <s v="חינוך"/>
    <x v="111"/>
    <s v="חינוך על יסודי"/>
    <s v="8151"/>
    <s v="מינהל החינוך העל יסודי"/>
    <m/>
    <s v="3"/>
    <x v="14"/>
    <s v="31"/>
    <s v="פנסיה"/>
    <s v="310"/>
    <e v="#N/A"/>
  </r>
  <r>
    <n v="433"/>
    <s v="81511"/>
    <n v="1"/>
    <s v="181511.433"/>
    <s v="ביטוח                           "/>
    <m/>
    <m/>
    <n v="2595000"/>
    <n v="2510000"/>
    <n v="2242410"/>
    <m/>
    <x v="7"/>
    <s v="שירותים ממלכתיים"/>
    <x v="33"/>
    <s v="חינוך"/>
    <x v="111"/>
    <s v="חינוך על יסודי"/>
    <s v="8151"/>
    <s v="מינהל החינוך העל יסודי"/>
    <m/>
    <s v="4"/>
    <x v="15"/>
    <s v="43"/>
    <s v="חשמל, מים וחומרי ניקיון"/>
    <s v="433"/>
    <s v="חומרי ניקיון"/>
  </r>
  <r>
    <n v="461"/>
    <s v="81511"/>
    <n v="1"/>
    <s v="181511.461"/>
    <s v="צורכי משרד                      "/>
    <m/>
    <m/>
    <n v="27000"/>
    <n v="27000"/>
    <n v="26649"/>
    <m/>
    <x v="7"/>
    <s v="שירותים ממלכתיים"/>
    <x v="33"/>
    <s v="חינוך"/>
    <x v="111"/>
    <s v="חינוך על יסודי"/>
    <s v="8151"/>
    <s v="מינהל החינוך העל יסודי"/>
    <m/>
    <s v="4"/>
    <x v="15"/>
    <s v="46"/>
    <e v="#N/A"/>
    <s v="461"/>
    <e v="#N/A"/>
  </r>
  <r>
    <n v="531"/>
    <s v="81511"/>
    <n v="1"/>
    <s v="181511.531"/>
    <s v="אחזקת רכב                       "/>
    <m/>
    <m/>
    <n v="3000"/>
    <n v="0"/>
    <n v="0"/>
    <m/>
    <x v="7"/>
    <s v="שירותים ממלכתיים"/>
    <x v="33"/>
    <s v="חינוך"/>
    <x v="111"/>
    <s v="חינוך על יסודי"/>
    <s v="8151"/>
    <s v="מינהל החינוך העל יסודי"/>
    <m/>
    <s v="5"/>
    <x v="11"/>
    <s v="53"/>
    <s v="הוצאות רכב מינהלי"/>
    <s v="531"/>
    <s v="דלק ושמנים"/>
  </r>
  <r>
    <n v="533"/>
    <s v="81511"/>
    <n v="1"/>
    <s v="181511.533"/>
    <s v="שכירת רכב ורכב עירוני           "/>
    <m/>
    <m/>
    <n v="37000"/>
    <n v="0"/>
    <n v="0"/>
    <m/>
    <x v="7"/>
    <s v="שירותים ממלכתיים"/>
    <x v="33"/>
    <s v="חינוך"/>
    <x v="111"/>
    <s v="חינוך על יסודי"/>
    <s v="8151"/>
    <s v="מינהל החינוך העל יסודי"/>
    <m/>
    <s v="5"/>
    <x v="11"/>
    <s v="53"/>
    <s v="הוצאות רכב מינהלי"/>
    <s v="533"/>
    <s v="רישוי וביטוח"/>
  </r>
  <r>
    <n v="534"/>
    <s v="81511"/>
    <n v="1"/>
    <s v="181511.534"/>
    <s v="דלק ושמן                        "/>
    <m/>
    <m/>
    <n v="20000"/>
    <n v="0"/>
    <n v="0"/>
    <m/>
    <x v="7"/>
    <s v="שירותים ממלכתיים"/>
    <x v="33"/>
    <s v="חינוך"/>
    <x v="111"/>
    <s v="חינוך על יסודי"/>
    <s v="8151"/>
    <s v="מינהל החינוך העל יסודי"/>
    <m/>
    <s v="5"/>
    <x v="11"/>
    <s v="53"/>
    <s v="הוצאות רכב מינהלי"/>
    <s v="534"/>
    <e v="#N/A"/>
  </r>
  <r>
    <n v="610"/>
    <s v="81511"/>
    <n v="1"/>
    <s v="181511.610"/>
    <s v="כיבודים                         "/>
    <m/>
    <m/>
    <n v="8000"/>
    <n v="8000"/>
    <n v="7999"/>
    <m/>
    <x v="7"/>
    <s v="שירותים ממלכתיים"/>
    <x v="33"/>
    <s v="חינוך"/>
    <x v="111"/>
    <s v="חינוך על יסודי"/>
    <s v="8151"/>
    <s v="מינהל החינוך העל יסודי"/>
    <m/>
    <s v="6"/>
    <x v="12"/>
    <s v="61"/>
    <s v="עמלות"/>
    <s v="610"/>
    <e v="#N/A"/>
  </r>
  <r>
    <n v="670"/>
    <s v="81511"/>
    <n v="1"/>
    <s v="181511.670"/>
    <s v="ס. שאינו חוזר                   "/>
    <m/>
    <m/>
    <n v="0"/>
    <n v="51000"/>
    <n v="50492"/>
    <m/>
    <x v="7"/>
    <s v="שירותים ממלכתיים"/>
    <x v="33"/>
    <s v="חינוך"/>
    <x v="111"/>
    <s v="חינוך על יסודי"/>
    <s v="8151"/>
    <s v="מינהל החינוך העל יסודי"/>
    <m/>
    <s v="6"/>
    <x v="12"/>
    <s v="67"/>
    <e v="#N/A"/>
    <s v="670"/>
    <e v="#N/A"/>
  </r>
  <r>
    <n v="783"/>
    <s v="81512"/>
    <n v="1"/>
    <s v="181512.783"/>
    <s v="פעולות חברה                     "/>
    <m/>
    <m/>
    <n v="50000"/>
    <n v="50000"/>
    <n v="72997"/>
    <m/>
    <x v="7"/>
    <s v="שירותים ממלכתיים"/>
    <x v="33"/>
    <s v="חינוך"/>
    <x v="111"/>
    <s v="חינוך על יסודי"/>
    <s v="8151"/>
    <s v="מינהל החינוך העל יסודי"/>
    <m/>
    <s v="7"/>
    <x v="13"/>
    <s v="78"/>
    <s v="הוצאות שונות"/>
    <s v="783"/>
    <e v="#N/A"/>
  </r>
  <r>
    <n v="864"/>
    <s v="81512"/>
    <n v="1"/>
    <s v="181512.864"/>
    <s v="דמי שתיה למורים-יובל חינוך      "/>
    <m/>
    <m/>
    <n v="75000"/>
    <n v="70000"/>
    <n v="65641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6"/>
    <s v="הנחות"/>
    <s v="864"/>
    <e v="#N/A"/>
  </r>
  <r>
    <n v="865"/>
    <s v="81512"/>
    <n v="1"/>
    <s v="181512.865"/>
    <s v="שיעורי עזר לילדים ל ל-יובל חינוך"/>
    <m/>
    <m/>
    <n v="120000"/>
    <n v="20000"/>
    <n v="93032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6"/>
    <s v="הנחות"/>
    <s v="865"/>
    <e v="#N/A"/>
  </r>
  <r>
    <n v="437"/>
    <s v="81513"/>
    <n v="1"/>
    <s v="181513.437"/>
    <s v="שמירה                           "/>
    <m/>
    <m/>
    <n v="6962000"/>
    <n v="6410000"/>
    <n v="6366943"/>
    <m/>
    <x v="7"/>
    <s v="שירותים ממלכתיים"/>
    <x v="33"/>
    <s v="חינוך"/>
    <x v="111"/>
    <s v="חינוך על יסודי"/>
    <s v="8151"/>
    <s v="מינהל החינוך העל יסודי"/>
    <m/>
    <s v="4"/>
    <x v="15"/>
    <s v="43"/>
    <s v="חשמל, מים וחומרי ניקיון"/>
    <s v="437"/>
    <e v="#N/A"/>
  </r>
  <r>
    <n v="693"/>
    <s v="81513"/>
    <n v="1"/>
    <s v="181513.693"/>
    <s v="ביטוח ותיקון מחשבים             "/>
    <m/>
    <m/>
    <n v="980000"/>
    <n v="980000"/>
    <n v="938777"/>
    <m/>
    <x v="7"/>
    <s v="שירותים ממלכתיים"/>
    <x v="33"/>
    <s v="חינוך"/>
    <x v="111"/>
    <s v="חינוך על יסודי"/>
    <s v="8151"/>
    <s v="מינהל החינוך העל יסודי"/>
    <m/>
    <s v="6"/>
    <x v="12"/>
    <s v="69"/>
    <s v="שונות"/>
    <s v="693"/>
    <s v="תשלום ע&quot;ח הצמדת ערך"/>
  </r>
  <r>
    <n v="785"/>
    <s v="81513"/>
    <n v="1"/>
    <s v="181513.785"/>
    <s v="תקוני מבנים  מתקנים ואינונטר    "/>
    <m/>
    <m/>
    <n v="150000"/>
    <n v="150000"/>
    <n v="146510"/>
    <m/>
    <x v="7"/>
    <s v="שירותים ממלכתיים"/>
    <x v="33"/>
    <s v="חינוך"/>
    <x v="111"/>
    <s v="חינוך על יסודי"/>
    <s v="8151"/>
    <s v="מינהל החינוך העל יסודי"/>
    <m/>
    <s v="7"/>
    <x v="13"/>
    <s v="78"/>
    <s v="הוצאות שונות"/>
    <s v="785"/>
    <e v="#N/A"/>
  </r>
  <r>
    <n v="863"/>
    <s v="81513"/>
    <n v="1"/>
    <s v="181513.863"/>
    <s v="תגבור חשמל בתה ס בניהול עצמי יוב"/>
    <m/>
    <m/>
    <n v="597000"/>
    <n v="597000"/>
    <n v="597000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6"/>
    <s v="הנחות"/>
    <s v="863"/>
    <e v="#N/A"/>
  </r>
  <r>
    <n v="864"/>
    <s v="81513"/>
    <n v="1"/>
    <s v="181513.864"/>
    <s v="חשמל ומים מזנונים בבתי הספר     "/>
    <m/>
    <m/>
    <n v="40000"/>
    <n v="40000"/>
    <n v="39300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6"/>
    <s v="הנחות"/>
    <s v="864"/>
    <e v="#N/A"/>
  </r>
  <r>
    <n v="865"/>
    <s v="81513"/>
    <n v="1"/>
    <s v="181513.865"/>
    <s v="תגבור בתי ספר מגגות סולרים      "/>
    <m/>
    <m/>
    <n v="43000"/>
    <n v="42000"/>
    <n v="30000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6"/>
    <s v="הנחות"/>
    <s v="865"/>
    <e v="#N/A"/>
  </r>
  <r>
    <n v="725"/>
    <s v="81514"/>
    <n v="1"/>
    <s v="181514.725"/>
    <s v="ציוד לחנוך גופני                "/>
    <m/>
    <m/>
    <n v="15000"/>
    <n v="15000"/>
    <n v="15000"/>
    <m/>
    <x v="7"/>
    <s v="שירותים ממלכתיים"/>
    <x v="33"/>
    <s v="חינוך"/>
    <x v="111"/>
    <s v="חינוך על יסודי"/>
    <s v="8151"/>
    <s v="מינהל החינוך העל יסודי"/>
    <m/>
    <s v="7"/>
    <x v="13"/>
    <s v="72"/>
    <s v="חומרים"/>
    <s v="725"/>
    <e v="#N/A"/>
  </r>
  <r>
    <n v="728"/>
    <s v="81514"/>
    <n v="1"/>
    <s v="181514.728"/>
    <s v="ספרים מחברות ומכשירי כתיבה      "/>
    <m/>
    <m/>
    <n v="60000"/>
    <n v="60000"/>
    <n v="60000"/>
    <m/>
    <x v="7"/>
    <s v="שירותים ממלכתיים"/>
    <x v="33"/>
    <s v="חינוך"/>
    <x v="111"/>
    <s v="חינוך על יסודי"/>
    <s v="8151"/>
    <s v="מינהל החינוך העל יסודי"/>
    <m/>
    <s v="7"/>
    <x v="13"/>
    <s v="72"/>
    <s v="חומרים"/>
    <s v="728"/>
    <e v="#N/A"/>
  </r>
  <r>
    <n v="782"/>
    <s v="81514"/>
    <n v="1"/>
    <s v="181514.782"/>
    <s v="ספרי מתנות לבוגרים              "/>
    <m/>
    <m/>
    <n v="137000"/>
    <n v="137000"/>
    <n v="117863"/>
    <m/>
    <x v="7"/>
    <s v="שירותים ממלכתיים"/>
    <x v="33"/>
    <s v="חינוך"/>
    <x v="111"/>
    <s v="חינוך על יסודי"/>
    <s v="8151"/>
    <s v="מינהל החינוך העל יסודי"/>
    <m/>
    <s v="7"/>
    <x v="13"/>
    <s v="78"/>
    <s v="הוצאות שונות"/>
    <s v="782"/>
    <e v="#N/A"/>
  </r>
  <r>
    <n v="870"/>
    <s v="81514"/>
    <n v="1"/>
    <s v="181514.870"/>
    <s v="סעיף שאינו חוזר                 "/>
    <m/>
    <m/>
    <n v="0"/>
    <n v="0"/>
    <n v="193000"/>
    <m/>
    <x v="7"/>
    <s v="שירותים ממלכתיים"/>
    <x v="33"/>
    <s v="חינוך"/>
    <x v="111"/>
    <s v="חינוך על יסודי"/>
    <s v="8151"/>
    <s v="מינהל החינוך העל יסודי"/>
    <m/>
    <s v="8"/>
    <x v="16"/>
    <s v="87"/>
    <s v="תמיכות ביחידות סמך ומוסדות הרשות"/>
    <s v="870"/>
    <e v="#N/A"/>
  </r>
  <r>
    <n v="981"/>
    <s v="81514"/>
    <n v="1"/>
    <s v="181514.981"/>
    <s v="רכישת ציוד - הקצבת משרד החינוך  "/>
    <m/>
    <m/>
    <n v="60000"/>
    <n v="60000"/>
    <n v="13366"/>
    <m/>
    <x v="7"/>
    <s v="שירותים ממלכתיים"/>
    <x v="33"/>
    <s v="חינוך"/>
    <x v="111"/>
    <s v="חינוך על יסודי"/>
    <s v="8151"/>
    <s v="מינהל החינוך העל יסודי"/>
    <m/>
    <s v="9"/>
    <x v="17"/>
    <s v="98"/>
    <s v="הוצאות אחרות"/>
    <s v="981"/>
    <e v="#N/A"/>
  </r>
  <r>
    <n v="110"/>
    <s v="81521"/>
    <n v="1"/>
    <s v="181521.110"/>
    <s v="משכורת כוללת                    "/>
    <m/>
    <m/>
    <n v="3565000"/>
    <n v="3602000"/>
    <n v="3354523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1"/>
    <n v="1"/>
    <s v="181521.124"/>
    <s v="החזר הוצאות                     "/>
    <m/>
    <m/>
    <n v="213000"/>
    <n v="200000"/>
    <n v="181394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1"/>
    <n v="1"/>
    <s v="181521.126"/>
    <s v="הבראה                           "/>
    <m/>
    <m/>
    <n v="184000"/>
    <n v="174000"/>
    <n v="172013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1"/>
    <n v="1"/>
    <s v="181521.127"/>
    <s v="השתתפות באחזקת רכב - 7          "/>
    <m/>
    <m/>
    <n v="112000"/>
    <n v="100000"/>
    <n v="10172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1"/>
    <n v="1"/>
    <s v="181521.130"/>
    <s v="תשלומים מיוחדים                 "/>
    <m/>
    <m/>
    <n v="1098000"/>
    <n v="1078000"/>
    <n v="1018535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1"/>
    <n v="1"/>
    <s v="181521.181"/>
    <s v="מיסים וביטוח לאומי              "/>
    <m/>
    <m/>
    <n v="676000"/>
    <n v="674000"/>
    <n v="614943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1"/>
    <n v="1"/>
    <s v="181521.182"/>
    <s v="קופות גמל והשתלמות              "/>
    <m/>
    <m/>
    <n v="871000"/>
    <n v="885000"/>
    <n v="803869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531"/>
    <s v="81521"/>
    <n v="1"/>
    <s v="181521.531"/>
    <s v="אחזקת רכב                       "/>
    <m/>
    <m/>
    <n v="2000"/>
    <n v="2000"/>
    <n v="2512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1"/>
    <s v="דלק ושמנים"/>
  </r>
  <r>
    <n v="533"/>
    <s v="81521"/>
    <n v="1"/>
    <s v="181521.533"/>
    <s v="שכירת רכב ורכב עירוני           "/>
    <m/>
    <m/>
    <n v="43000"/>
    <n v="41000"/>
    <n v="41476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3"/>
    <s v="רישוי וביטוח"/>
  </r>
  <r>
    <n v="534"/>
    <s v="81521"/>
    <n v="1"/>
    <s v="181521.534"/>
    <s v="דלק ושמן                        "/>
    <m/>
    <m/>
    <n v="30000"/>
    <n v="29000"/>
    <n v="28506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4"/>
    <e v="#N/A"/>
  </r>
  <r>
    <n v="759"/>
    <s v="81521"/>
    <n v="1"/>
    <s v="181521.759"/>
    <s v="החזר שכר מורים למשרד החינוך     "/>
    <m/>
    <m/>
    <n v="2816000"/>
    <n v="2709000"/>
    <n v="2321339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1"/>
    <n v="1"/>
    <s v="181521.781"/>
    <s v="סל ניהול עצמי-תיכון ב-ג-יובל חינ"/>
    <m/>
    <m/>
    <n v="200000"/>
    <n v="170000"/>
    <n v="153836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1"/>
    <s v="81521"/>
    <n v="1"/>
    <s v="181521.861"/>
    <s v="תיגבור ע י יובל חינוך           "/>
    <m/>
    <m/>
    <n v="895000"/>
    <n v="735000"/>
    <n v="433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4"/>
    <s v="81521"/>
    <n v="1"/>
    <s v="181521.864"/>
    <s v="אסיסטנטים לחדרי מחשב-יובל חינוך "/>
    <m/>
    <m/>
    <n v="251000"/>
    <n v="238000"/>
    <n v="239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6"/>
    <s v="81521"/>
    <n v="1"/>
    <s v="181521.866"/>
    <s v="מכשירי לימוד כיתות טכנולגיות יוב"/>
    <m/>
    <m/>
    <n v="25000"/>
    <n v="28000"/>
    <n v="3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6"/>
    <e v="#N/A"/>
  </r>
  <r>
    <n v="869"/>
    <s v="81521"/>
    <n v="1"/>
    <s v="181521.869"/>
    <s v="קבלני ניקיון-יובל חינוך         "/>
    <m/>
    <m/>
    <n v="638000"/>
    <n v="671000"/>
    <n v="603422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881"/>
    <s v="81521"/>
    <n v="1"/>
    <s v="181521.881"/>
    <s v="השתתפות לחמד ע                  "/>
    <m/>
    <m/>
    <n v="68000"/>
    <n v="68000"/>
    <n v="42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1"/>
    <e v="#N/A"/>
  </r>
  <r>
    <n v="110"/>
    <s v="81522"/>
    <n v="1"/>
    <s v="181522.110"/>
    <s v="משכורת כוללת                    "/>
    <m/>
    <m/>
    <n v="7285000"/>
    <n v="6786000"/>
    <n v="7036644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2"/>
    <n v="1"/>
    <s v="181522.124"/>
    <s v="החזר הוצאות                     "/>
    <m/>
    <m/>
    <n v="406000"/>
    <n v="378000"/>
    <n v="374290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2"/>
    <n v="1"/>
    <s v="181522.126"/>
    <s v="הבראה                           "/>
    <m/>
    <m/>
    <n v="352000"/>
    <n v="330000"/>
    <n v="366402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2"/>
    <n v="1"/>
    <s v="181522.127"/>
    <s v="השתתפות באחזקת רכב - 13         "/>
    <m/>
    <m/>
    <n v="183000"/>
    <n v="140000"/>
    <n v="15794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2"/>
    <n v="1"/>
    <s v="181522.130"/>
    <s v="תשלומים מיוחדים                 "/>
    <m/>
    <m/>
    <n v="2305000"/>
    <n v="2262000"/>
    <n v="234917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2"/>
    <n v="1"/>
    <s v="181522.181"/>
    <s v="מיסים וביטוח לאומי              "/>
    <m/>
    <m/>
    <n v="1377000"/>
    <n v="1294000"/>
    <n v="1292487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2"/>
    <n v="1"/>
    <s v="181522.182"/>
    <s v="קופות גמל והשתלמות              "/>
    <m/>
    <m/>
    <n v="1851000"/>
    <n v="1764000"/>
    <n v="1826011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759"/>
    <s v="81522"/>
    <n v="1"/>
    <s v="181522.759"/>
    <s v="החזר שכר מורים למשרד החינוך     "/>
    <m/>
    <m/>
    <n v="2382000"/>
    <n v="2421000"/>
    <n v="2432923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2"/>
    <n v="1"/>
    <s v="181522.781"/>
    <s v="סל ניהול עצמי-תיכון ד-יובל חינוך"/>
    <m/>
    <m/>
    <n v="392000"/>
    <n v="427000"/>
    <n v="431931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785"/>
    <s v="81522"/>
    <n v="1"/>
    <s v="181522.785"/>
    <s v="תיכון ד-כיתות מחוננים           "/>
    <m/>
    <m/>
    <n v="80000"/>
    <n v="60000"/>
    <n v="58155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5"/>
    <e v="#N/A"/>
  </r>
  <r>
    <n v="861"/>
    <s v="81522"/>
    <n v="1"/>
    <s v="181522.861"/>
    <s v="תיגבור ע י יובל חינוך           "/>
    <m/>
    <m/>
    <n v="63000"/>
    <n v="316000"/>
    <n v="208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4"/>
    <s v="81522"/>
    <n v="1"/>
    <s v="181522.864"/>
    <s v="אסיסטנטים לחדרי מחשב-יובל חינוך "/>
    <m/>
    <m/>
    <n v="268000"/>
    <n v="257000"/>
    <n v="257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7"/>
    <s v="81522"/>
    <n v="1"/>
    <s v="181522.867"/>
    <s v="ספורט השגי -יובל חינוך          "/>
    <m/>
    <m/>
    <n v="60000"/>
    <n v="56000"/>
    <n v="48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7"/>
    <e v="#N/A"/>
  </r>
  <r>
    <n v="869"/>
    <s v="81522"/>
    <n v="1"/>
    <s v="181522.869"/>
    <s v="קבלני ניקיון-יובל חינוך         "/>
    <m/>
    <m/>
    <n v="1040000"/>
    <n v="979000"/>
    <n v="969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110"/>
    <s v="81523"/>
    <n v="1"/>
    <s v="181523.110"/>
    <s v="משכורת כוללת                    "/>
    <m/>
    <m/>
    <n v="2262000"/>
    <n v="3178000"/>
    <n v="298471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3"/>
    <n v="1"/>
    <s v="181523.124"/>
    <s v="החזר הוצאות                     "/>
    <m/>
    <m/>
    <n v="137000"/>
    <n v="194000"/>
    <n v="182549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3"/>
    <n v="1"/>
    <s v="181523.126"/>
    <s v="הבראה                           "/>
    <m/>
    <m/>
    <n v="108000"/>
    <n v="150000"/>
    <n v="146982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3"/>
    <n v="1"/>
    <s v="181523.127"/>
    <s v="השתתפות באחזקת רכב - 8          "/>
    <m/>
    <m/>
    <n v="149000"/>
    <n v="160000"/>
    <n v="171100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3"/>
    <n v="1"/>
    <s v="181523.130"/>
    <s v="תשלומים מיוחדים                 "/>
    <m/>
    <m/>
    <n v="680000"/>
    <n v="982000"/>
    <n v="96034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3"/>
    <n v="1"/>
    <s v="181523.181"/>
    <s v="מיסים וביטוח לאומי              "/>
    <m/>
    <m/>
    <n v="433000"/>
    <n v="610000"/>
    <n v="57823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3"/>
    <n v="1"/>
    <s v="181523.182"/>
    <s v="קופות גמל והשתלמות              "/>
    <m/>
    <m/>
    <n v="560000"/>
    <n v="842000"/>
    <n v="762759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759"/>
    <s v="81523"/>
    <n v="1"/>
    <s v="181523.759"/>
    <s v="החזר שכר מורים למשרד החינוך     "/>
    <m/>
    <m/>
    <n v="314000"/>
    <n v="445000"/>
    <n v="883600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3"/>
    <n v="1"/>
    <s v="181523.781"/>
    <s v="סל ניהול עצמי-תיכון ה-יובל חינוך"/>
    <m/>
    <m/>
    <n v="54000"/>
    <n v="88000"/>
    <n v="89073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1"/>
    <s v="81523"/>
    <n v="1"/>
    <s v="181523.861"/>
    <s v="תיגבור ע י יובל חינוך           "/>
    <m/>
    <m/>
    <n v="139000"/>
    <n v="234000"/>
    <n v="16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2"/>
    <s v="81523"/>
    <n v="1"/>
    <s v="181523.862"/>
    <s v="פרויקט אומץ-יובל חינוך          "/>
    <m/>
    <m/>
    <n v="90000"/>
    <n v="180000"/>
    <n v="24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2"/>
    <e v="#N/A"/>
  </r>
  <r>
    <n v="864"/>
    <s v="81523"/>
    <n v="1"/>
    <s v="181523.864"/>
    <s v="אסיסטנטים לחדרי מחשב-יובל חינוך "/>
    <m/>
    <m/>
    <n v="261000"/>
    <n v="238000"/>
    <n v="24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6"/>
    <s v="81523"/>
    <n v="1"/>
    <s v="181523.866"/>
    <s v="מכשירי לימוד לכיתות טכנולוגיות-י"/>
    <m/>
    <m/>
    <n v="6000"/>
    <n v="9000"/>
    <n v="14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6"/>
    <e v="#N/A"/>
  </r>
  <r>
    <n v="869"/>
    <s v="81523"/>
    <n v="1"/>
    <s v="181523.869"/>
    <s v="קבלני ניקיון-יובל חינוך         "/>
    <m/>
    <m/>
    <n v="585000"/>
    <n v="554000"/>
    <n v="541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870"/>
    <s v="81523"/>
    <n v="1"/>
    <s v="181523.870"/>
    <s v="סעיף שאינו חוזר                 "/>
    <m/>
    <m/>
    <n v="0"/>
    <n v="0"/>
    <n v="24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7"/>
    <s v="תמיכות ביחידות סמך ומוסדות הרשות"/>
    <s v="870"/>
    <e v="#N/A"/>
  </r>
  <r>
    <n v="881"/>
    <s v="81523"/>
    <n v="1"/>
    <s v="181523.881"/>
    <s v="השתתפות לחמד ע                  "/>
    <m/>
    <m/>
    <n v="12000"/>
    <n v="0"/>
    <n v="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1"/>
    <e v="#N/A"/>
  </r>
  <r>
    <n v="110"/>
    <s v="81524"/>
    <n v="1"/>
    <s v="181524.110"/>
    <s v="משכורת כוללת                    "/>
    <m/>
    <m/>
    <n v="2453000"/>
    <n v="2354000"/>
    <n v="2028472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4"/>
    <n v="1"/>
    <s v="181524.124"/>
    <s v="החזר הוצאות                     "/>
    <m/>
    <m/>
    <n v="147000"/>
    <n v="156000"/>
    <n v="131009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4"/>
    <n v="1"/>
    <s v="181524.126"/>
    <s v="הבראה                           "/>
    <m/>
    <m/>
    <n v="125000"/>
    <n v="126000"/>
    <n v="10645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4"/>
    <n v="1"/>
    <s v="181524.127"/>
    <s v="השתתפות באחזקת רכב - 7          "/>
    <m/>
    <m/>
    <n v="140000"/>
    <n v="136000"/>
    <n v="117300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4"/>
    <n v="1"/>
    <s v="181524.130"/>
    <s v="תשלומים מיוחדים                 "/>
    <m/>
    <m/>
    <n v="701000"/>
    <n v="683000"/>
    <n v="592615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4"/>
    <n v="1"/>
    <s v="181524.181"/>
    <s v="מיסים וביטוח לאומי              "/>
    <m/>
    <m/>
    <n v="466000"/>
    <n v="452000"/>
    <n v="374395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4"/>
    <n v="1"/>
    <s v="181524.182"/>
    <s v="קופות גמל והשתלמות              "/>
    <m/>
    <m/>
    <n v="596000"/>
    <n v="592000"/>
    <n v="504170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531"/>
    <s v="81524"/>
    <n v="1"/>
    <s v="181524.531"/>
    <s v="אחזקת רכב                       "/>
    <m/>
    <m/>
    <n v="1000"/>
    <n v="1000"/>
    <n v="160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1"/>
    <s v="דלק ושמנים"/>
  </r>
  <r>
    <n v="533"/>
    <s v="81524"/>
    <n v="1"/>
    <s v="181524.533"/>
    <s v="שכירת רכב ורכב עירוני           "/>
    <m/>
    <m/>
    <n v="36000"/>
    <n v="36000"/>
    <n v="31778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3"/>
    <s v="רישוי וביטוח"/>
  </r>
  <r>
    <n v="534"/>
    <s v="81524"/>
    <n v="1"/>
    <s v="181524.534"/>
    <s v="דלק ושמן                        "/>
    <m/>
    <m/>
    <n v="26000"/>
    <n v="26000"/>
    <n v="21336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4"/>
    <e v="#N/A"/>
  </r>
  <r>
    <n v="759"/>
    <s v="81524"/>
    <n v="1"/>
    <s v="181524.759"/>
    <s v="החזר שכר מורים למשרד החינוך     "/>
    <m/>
    <m/>
    <n v="971000"/>
    <n v="692000"/>
    <n v="475056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4"/>
    <n v="1"/>
    <s v="181524.781"/>
    <s v="סל ניהול עצמי-תיכון ו -יובל חינו"/>
    <m/>
    <m/>
    <n v="69000"/>
    <n v="69000"/>
    <n v="48841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1"/>
    <s v="81524"/>
    <n v="1"/>
    <s v="181524.861"/>
    <s v="תיגבור ע י יובל חינוך           "/>
    <m/>
    <m/>
    <n v="251000"/>
    <n v="195000"/>
    <n v="79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4"/>
    <s v="81524"/>
    <n v="1"/>
    <s v="181524.864"/>
    <s v="אסיסטנטים לחדרי מחשב-יובל חינוך "/>
    <m/>
    <m/>
    <n v="100000"/>
    <n v="105000"/>
    <n v="91985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6"/>
    <s v="81524"/>
    <n v="1"/>
    <s v="181524.866"/>
    <s v="מכשירי לימוד כיתות טכנולוגיות יו"/>
    <m/>
    <m/>
    <n v="15000"/>
    <n v="14000"/>
    <n v="10163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6"/>
    <e v="#N/A"/>
  </r>
  <r>
    <n v="869"/>
    <s v="81524"/>
    <n v="1"/>
    <s v="181524.869"/>
    <s v="קבלני ניקיון-יובל חינוך         "/>
    <m/>
    <m/>
    <n v="804000"/>
    <n v="735000"/>
    <n v="662548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110"/>
    <s v="81525"/>
    <n v="1"/>
    <s v="181525.110"/>
    <s v="משכורת כוללת                    "/>
    <m/>
    <m/>
    <n v="4026000"/>
    <n v="3796000"/>
    <n v="3757955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5"/>
    <n v="1"/>
    <s v="181525.124"/>
    <s v="החזר הוצאות                     "/>
    <m/>
    <m/>
    <n v="274000"/>
    <n v="247000"/>
    <n v="23057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5"/>
    <n v="1"/>
    <s v="181525.126"/>
    <s v="הבראה                           "/>
    <m/>
    <m/>
    <n v="221000"/>
    <n v="214000"/>
    <n v="211094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5"/>
    <n v="1"/>
    <s v="181525.127"/>
    <s v="השתתפות באחזקת רכב - 12         "/>
    <m/>
    <m/>
    <n v="203000"/>
    <n v="162000"/>
    <n v="179271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5"/>
    <n v="1"/>
    <s v="181525.130"/>
    <s v="תשלומים מיוחדים                 "/>
    <m/>
    <m/>
    <n v="1152000"/>
    <n v="1165000"/>
    <n v="106868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5"/>
    <n v="1"/>
    <s v="181525.181"/>
    <s v="מיסים וביטוח לאומי              "/>
    <m/>
    <m/>
    <n v="769000"/>
    <n v="730000"/>
    <n v="681554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5"/>
    <n v="1"/>
    <s v="181525.182"/>
    <s v="קופות גמל והשתלמות              "/>
    <m/>
    <m/>
    <n v="1032000"/>
    <n v="974000"/>
    <n v="912157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759"/>
    <s v="81525"/>
    <n v="1"/>
    <s v="181525.759"/>
    <s v="החזר שכר מורים למשרד החינוך     "/>
    <m/>
    <m/>
    <n v="2461000"/>
    <n v="1949000"/>
    <n v="2544817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5"/>
    <n v="1"/>
    <s v="181525.781"/>
    <s v="סל ניהול עצמי-תיכון י ד-יובל חינ"/>
    <m/>
    <m/>
    <n v="315000"/>
    <n v="292000"/>
    <n v="281529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1"/>
    <s v="81525"/>
    <n v="1"/>
    <s v="181525.861"/>
    <s v="תיגבור ע י יובל חינוך           "/>
    <m/>
    <m/>
    <n v="479000"/>
    <n v="898000"/>
    <n v="610958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3"/>
    <s v="81525"/>
    <n v="1"/>
    <s v="181525.863"/>
    <s v="הפעלת אשכול פיס-יובל חינוך      "/>
    <m/>
    <m/>
    <n v="115000"/>
    <n v="115000"/>
    <n v="114996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3"/>
    <e v="#N/A"/>
  </r>
  <r>
    <n v="864"/>
    <s v="81525"/>
    <n v="1"/>
    <s v="181525.864"/>
    <s v="אסיסטנטים לחדרי מחשב-יובל חינוך "/>
    <m/>
    <m/>
    <n v="270000"/>
    <n v="305000"/>
    <n v="284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6"/>
    <s v="81525"/>
    <n v="1"/>
    <s v="181525.866"/>
    <s v="מכשירי לימוד כיתות טכנולוגיות יו"/>
    <m/>
    <m/>
    <n v="30000"/>
    <n v="28000"/>
    <n v="27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6"/>
    <e v="#N/A"/>
  </r>
  <r>
    <n v="869"/>
    <s v="81525"/>
    <n v="1"/>
    <s v="181525.869"/>
    <s v="קבלני ניקיון-יובל חינוך         "/>
    <m/>
    <m/>
    <n v="679000"/>
    <n v="677000"/>
    <n v="641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881"/>
    <s v="81525"/>
    <n v="1"/>
    <s v="181525.881"/>
    <s v="השתתפות לחמד ע                  "/>
    <m/>
    <m/>
    <n v="124000"/>
    <n v="99000"/>
    <n v="12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1"/>
    <e v="#N/A"/>
  </r>
  <r>
    <n v="110"/>
    <s v="81526"/>
    <n v="1"/>
    <s v="181526.110"/>
    <s v="משכורת כוללת                    "/>
    <m/>
    <m/>
    <n v="1721000"/>
    <n v="1714000"/>
    <n v="1691040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6"/>
    <n v="1"/>
    <s v="181526.124"/>
    <s v="החזר הוצאות                     "/>
    <m/>
    <m/>
    <n v="106000"/>
    <n v="112000"/>
    <n v="103692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6"/>
    <n v="1"/>
    <s v="181526.126"/>
    <s v="הבראה                           "/>
    <m/>
    <m/>
    <n v="83000"/>
    <n v="81000"/>
    <n v="82255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27"/>
    <s v="81526"/>
    <n v="1"/>
    <s v="181526.127"/>
    <s v="השתתפות באחזקת רכב - 6          "/>
    <m/>
    <m/>
    <n v="71000"/>
    <n v="76000"/>
    <n v="7863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7"/>
    <e v="#N/A"/>
  </r>
  <r>
    <n v="130"/>
    <s v="81526"/>
    <n v="1"/>
    <s v="181526.130"/>
    <s v="תשלומים מיוחדים                 "/>
    <m/>
    <m/>
    <n v="569000"/>
    <n v="517000"/>
    <n v="52968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81"/>
    <s v="81526"/>
    <n v="1"/>
    <s v="181526.181"/>
    <s v="מיסים וביטוח לאומי              "/>
    <m/>
    <m/>
    <n v="334000"/>
    <n v="327000"/>
    <n v="321001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6"/>
    <n v="1"/>
    <s v="181526.182"/>
    <s v="קופות גמל והשתלמות              "/>
    <m/>
    <m/>
    <n v="410000"/>
    <n v="396000"/>
    <n v="392264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531"/>
    <s v="81526"/>
    <n v="1"/>
    <s v="181526.531"/>
    <s v="אחזקת רכב                       "/>
    <m/>
    <m/>
    <n v="2000"/>
    <n v="2000"/>
    <n v="482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1"/>
    <s v="דלק ושמנים"/>
  </r>
  <r>
    <n v="533"/>
    <s v="81526"/>
    <n v="1"/>
    <s v="181526.533"/>
    <s v="שכירת רכב ורכב עירוני           "/>
    <m/>
    <m/>
    <n v="41000"/>
    <n v="37000"/>
    <n v="31981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3"/>
    <s v="רישוי וביטוח"/>
  </r>
  <r>
    <n v="534"/>
    <s v="81526"/>
    <n v="1"/>
    <s v="181526.534"/>
    <s v="דלק ושמן                        "/>
    <m/>
    <m/>
    <n v="21000"/>
    <n v="21000"/>
    <n v="18920"/>
    <m/>
    <x v="7"/>
    <s v="שירותים ממלכתיים"/>
    <x v="33"/>
    <s v="חינוך"/>
    <x v="111"/>
    <s v="חינוך על יסודי"/>
    <s v="8152"/>
    <s v="בתי״ס על יסודיים עיוניים"/>
    <m/>
    <s v="5"/>
    <x v="11"/>
    <s v="53"/>
    <s v="הוצאות רכב מינהלי"/>
    <s v="534"/>
    <e v="#N/A"/>
  </r>
  <r>
    <n v="759"/>
    <s v="81526"/>
    <n v="1"/>
    <s v="181526.759"/>
    <s v="החזר שכר מורים למשרד החינוך     "/>
    <m/>
    <m/>
    <n v="560000"/>
    <n v="491000"/>
    <n v="528412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5"/>
    <s v="עבודות קבלניות"/>
    <s v="759"/>
    <e v="#N/A"/>
  </r>
  <r>
    <n v="781"/>
    <s v="81526"/>
    <n v="1"/>
    <s v="181526.781"/>
    <s v="סל ניהול עצמי-ישיבת בר אילן-יובל"/>
    <m/>
    <m/>
    <n v="80000"/>
    <n v="84000"/>
    <n v="75353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1"/>
    <s v="81526"/>
    <n v="1"/>
    <s v="181526.861"/>
    <s v="תיגבור ע י יובל חינוך           "/>
    <m/>
    <m/>
    <n v="184000"/>
    <n v="329000"/>
    <n v="267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4"/>
    <s v="81526"/>
    <n v="1"/>
    <s v="181526.864"/>
    <s v="אסיסטנטים לחדרי מחשב-יובל חינוך "/>
    <m/>
    <m/>
    <n v="65000"/>
    <n v="63000"/>
    <n v="62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6"/>
    <s v="81526"/>
    <n v="1"/>
    <s v="181526.866"/>
    <s v="מכשירי לימוד כיתות טכנולוגיות יו"/>
    <m/>
    <m/>
    <n v="17000"/>
    <n v="13000"/>
    <n v="15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6"/>
    <e v="#N/A"/>
  </r>
  <r>
    <n v="869"/>
    <s v="81526"/>
    <n v="1"/>
    <s v="181526.869"/>
    <s v="קבלני ניקיון-יובל חינוך         "/>
    <m/>
    <m/>
    <n v="395000"/>
    <n v="396000"/>
    <n v="383445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9"/>
    <e v="#N/A"/>
  </r>
  <r>
    <n v="881"/>
    <s v="81526"/>
    <n v="1"/>
    <s v="181526.881"/>
    <s v="השתתפות לחמד ע                  "/>
    <m/>
    <m/>
    <n v="192000"/>
    <n v="192000"/>
    <n v="186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1"/>
    <e v="#N/A"/>
  </r>
  <r>
    <n v="110"/>
    <s v="81527"/>
    <n v="1"/>
    <s v="181527.110"/>
    <s v="משכורת כוללת                    "/>
    <m/>
    <m/>
    <n v="250000"/>
    <n v="374000"/>
    <n v="209186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1"/>
    <s v="השכר הקובע"/>
    <s v="110"/>
    <e v="#N/A"/>
  </r>
  <r>
    <n v="124"/>
    <s v="81527"/>
    <n v="1"/>
    <s v="181527.124"/>
    <s v="החזר הוצאות                     "/>
    <m/>
    <m/>
    <n v="25000"/>
    <n v="21000"/>
    <n v="12463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4"/>
    <e v="#N/A"/>
  </r>
  <r>
    <n v="126"/>
    <s v="81527"/>
    <n v="1"/>
    <s v="181527.126"/>
    <s v="הבראה                           "/>
    <m/>
    <m/>
    <n v="13000"/>
    <n v="12000"/>
    <n v="9268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2"/>
    <s v="תוספות שאינן נכללות בשכר הקובע"/>
    <s v="126"/>
    <e v="#N/A"/>
  </r>
  <r>
    <n v="130"/>
    <s v="81527"/>
    <n v="1"/>
    <s v="181527.130"/>
    <s v="תשלומים מיוחדים                 "/>
    <m/>
    <m/>
    <n v="43000"/>
    <n v="88000"/>
    <n v="49951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3"/>
    <s v="שעות נוספות"/>
    <s v="130"/>
    <e v="#N/A"/>
  </r>
  <r>
    <n v="170"/>
    <s v="81527"/>
    <n v="1"/>
    <s v="181527.170"/>
    <s v="סעיף שאינו חוזר                 "/>
    <m/>
    <m/>
    <n v="0"/>
    <n v="0"/>
    <n v="16981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7"/>
    <e v="#N/A"/>
    <s v="170"/>
    <e v="#N/A"/>
  </r>
  <r>
    <n v="181"/>
    <s v="81527"/>
    <n v="1"/>
    <s v="181527.181"/>
    <s v="מיסים וביטוח לאומי              "/>
    <m/>
    <m/>
    <n v="43000"/>
    <n v="65000"/>
    <n v="34249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1"/>
    <s v="הפרשות סוציאליות"/>
  </r>
  <r>
    <n v="182"/>
    <s v="81527"/>
    <n v="1"/>
    <s v="181527.182"/>
    <s v="קופות גמל והשתלמות              "/>
    <m/>
    <m/>
    <n v="56000"/>
    <n v="70000"/>
    <n v="34943"/>
    <m/>
    <x v="7"/>
    <s v="שירותים ממלכתיים"/>
    <x v="33"/>
    <s v="חינוך"/>
    <x v="111"/>
    <s v="חינוך על יסודי"/>
    <s v="8152"/>
    <s v="בתי״ס על יסודיים עיוניים"/>
    <m/>
    <s v="1"/>
    <x v="9"/>
    <s v="18"/>
    <s v="נלוות לשכר"/>
    <s v="182"/>
    <s v="מיסיום ועלויות"/>
  </r>
  <r>
    <n v="781"/>
    <s v="81527"/>
    <n v="1"/>
    <s v="181527.781"/>
    <s v="סל ניהול עצמי- הפתוח-יובל חינוך "/>
    <m/>
    <m/>
    <n v="22000"/>
    <n v="26000"/>
    <n v="21454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1"/>
    <e v="#N/A"/>
  </r>
  <r>
    <n v="864"/>
    <s v="81527"/>
    <n v="1"/>
    <s v="181527.864"/>
    <s v="אסיסטנטים לחדרי מחשב-יובל חינוך "/>
    <m/>
    <m/>
    <n v="56000"/>
    <n v="50000"/>
    <n v="52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81"/>
    <s v="81527"/>
    <n v="1"/>
    <s v="181527.881"/>
    <s v="השתתפות לחמד ע                  "/>
    <m/>
    <m/>
    <n v="12000"/>
    <n v="25000"/>
    <n v="24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1"/>
    <e v="#N/A"/>
  </r>
  <r>
    <n v="694"/>
    <s v="81529"/>
    <n v="1"/>
    <s v="181529.694"/>
    <s v="מערכות מחשב להוראה              "/>
    <m/>
    <m/>
    <n v="85000"/>
    <n v="85000"/>
    <n v="85000"/>
    <m/>
    <x v="7"/>
    <s v="שירותים ממלכתיים"/>
    <x v="33"/>
    <s v="חינוך"/>
    <x v="111"/>
    <s v="חינוך על יסודי"/>
    <s v="8152"/>
    <s v="בתי״ס על יסודיים עיוניים"/>
    <m/>
    <s v="6"/>
    <x v="12"/>
    <s v="69"/>
    <s v="שונות"/>
    <s v="694"/>
    <e v="#N/A"/>
  </r>
  <r>
    <n v="782"/>
    <s v="81529"/>
    <n v="1"/>
    <s v="181529.782"/>
    <s v="פרויקט התחדשות - חטיבות עליונות "/>
    <m/>
    <m/>
    <n v="90000"/>
    <n v="90000"/>
    <n v="89878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2"/>
    <e v="#N/A"/>
  </r>
  <r>
    <n v="783"/>
    <s v="81529"/>
    <n v="1"/>
    <s v="181529.783"/>
    <s v="פרוייקט רובוטיקה                "/>
    <m/>
    <m/>
    <n v="750000"/>
    <n v="750000"/>
    <n v="748000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3"/>
    <e v="#N/A"/>
  </r>
  <r>
    <n v="784"/>
    <s v="81529"/>
    <n v="1"/>
    <s v="181529.784"/>
    <s v="פרויקט המחצית השלישית           "/>
    <m/>
    <m/>
    <n v="116000"/>
    <n v="116000"/>
    <n v="115999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4"/>
    <e v="#N/A"/>
  </r>
  <r>
    <n v="785"/>
    <s v="81529"/>
    <n v="1"/>
    <s v="181529.785"/>
    <s v="למידה מבוססת פרויקטים           "/>
    <m/>
    <m/>
    <n v="400000"/>
    <n v="200000"/>
    <n v="0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5"/>
    <e v="#N/A"/>
  </r>
  <r>
    <n v="788"/>
    <s v="81529"/>
    <n v="1"/>
    <s v="181529.788"/>
    <s v="סל תרבות חט ע                   "/>
    <m/>
    <m/>
    <n v="53000"/>
    <n v="53000"/>
    <n v="52304"/>
    <m/>
    <x v="7"/>
    <s v="שירותים ממלכתיים"/>
    <x v="33"/>
    <s v="חינוך"/>
    <x v="111"/>
    <s v="חינוך על יסודי"/>
    <s v="8152"/>
    <s v="בתי״ס על יסודיים עיוניים"/>
    <m/>
    <s v="7"/>
    <x v="13"/>
    <s v="78"/>
    <s v="הוצאות שונות"/>
    <s v="788"/>
    <e v="#N/A"/>
  </r>
  <r>
    <n v="820"/>
    <s v="81529"/>
    <n v="1"/>
    <s v="181529.820"/>
    <s v="סבסוד תלבושות וספרים לתלמידים   "/>
    <m/>
    <m/>
    <n v="635000"/>
    <n v="635000"/>
    <n v="634998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2"/>
    <s v="הקצבות בהמלצת ועדת הקצבות"/>
    <s v="820"/>
    <e v="#N/A"/>
  </r>
  <r>
    <n v="851"/>
    <s v="81529"/>
    <n v="1"/>
    <s v="181529.851"/>
    <s v="התנהגויות בסיכון באמצעות מוס' חי"/>
    <m/>
    <m/>
    <n v="151000"/>
    <n v="150000"/>
    <n v="150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5"/>
    <s v="מלגות לתלמידים וסטודנטים"/>
    <s v="851"/>
    <e v="#N/A"/>
  </r>
  <r>
    <n v="861"/>
    <s v="81529"/>
    <n v="1"/>
    <s v="181529.861"/>
    <s v="תיגבור והעשרה-יובל חינוך        "/>
    <m/>
    <m/>
    <n v="1762000"/>
    <n v="1722000"/>
    <n v="1281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1"/>
    <e v="#N/A"/>
  </r>
  <r>
    <n v="862"/>
    <s v="81529"/>
    <n v="1"/>
    <s v="181529.862"/>
    <s v="שעות תפילה ורב                  "/>
    <m/>
    <m/>
    <n v="190000"/>
    <n v="0"/>
    <n v="470554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2"/>
    <e v="#N/A"/>
  </r>
  <r>
    <n v="864"/>
    <s v="81529"/>
    <n v="1"/>
    <s v="181529.864"/>
    <s v="תעודת בגרות חברתית              "/>
    <m/>
    <m/>
    <n v="95000"/>
    <n v="80000"/>
    <n v="59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4"/>
    <e v="#N/A"/>
  </r>
  <r>
    <n v="865"/>
    <s v="81529"/>
    <n v="1"/>
    <s v="181529.865"/>
    <s v="תיגבור בתי ס בניהול עצמי ע י יוב"/>
    <m/>
    <m/>
    <n v="300000"/>
    <n v="298000"/>
    <n v="298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5"/>
    <e v="#N/A"/>
  </r>
  <r>
    <n v="867"/>
    <s v="81529"/>
    <n v="1"/>
    <s v="181529.867"/>
    <s v="יוזמות פדגוגיות- יובל חינוך     "/>
    <m/>
    <m/>
    <n v="55000"/>
    <n v="55000"/>
    <n v="55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7"/>
    <e v="#N/A"/>
  </r>
  <r>
    <n v="868"/>
    <s v="81529"/>
    <n v="1"/>
    <s v="181529.868"/>
    <s v="מיומנויות יסוד בעל יסודי-יובל חי"/>
    <m/>
    <m/>
    <n v="175000"/>
    <n v="175000"/>
    <n v="175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6"/>
    <s v="הנחות"/>
    <s v="868"/>
    <e v="#N/A"/>
  </r>
  <r>
    <n v="882"/>
    <s v="81529"/>
    <n v="1"/>
    <s v="181529.882"/>
    <s v="תגבור והעשרה-בתי ס משותפים      "/>
    <m/>
    <m/>
    <n v="4274000"/>
    <n v="4274000"/>
    <n v="3485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2"/>
    <e v="#N/A"/>
  </r>
  <r>
    <n v="883"/>
    <s v="81529"/>
    <n v="1"/>
    <s v="181529.883"/>
    <s v="ספורט השגי-בתי ס משותפים        "/>
    <m/>
    <m/>
    <n v="69000"/>
    <n v="62000"/>
    <n v="79000"/>
    <m/>
    <x v="7"/>
    <s v="שירותים ממלכתיים"/>
    <x v="33"/>
    <s v="חינוך"/>
    <x v="111"/>
    <s v="חינוך על יסודי"/>
    <s v="8152"/>
    <s v="בתי״ס על יסודיים עיוניים"/>
    <m/>
    <s v="8"/>
    <x v="16"/>
    <s v="88"/>
    <e v="#N/A"/>
    <s v="883"/>
    <e v="#N/A"/>
  </r>
  <r>
    <n v="110"/>
    <s v="81531"/>
    <n v="1"/>
    <s v="181531.110"/>
    <s v="משכורת כוללת                    "/>
    <m/>
    <m/>
    <n v="7581000"/>
    <n v="7150000"/>
    <n v="676851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1"/>
    <n v="1"/>
    <s v="181531.124"/>
    <s v="החזר הוצאות                     "/>
    <m/>
    <m/>
    <n v="463000"/>
    <n v="416000"/>
    <n v="36816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1"/>
    <n v="1"/>
    <s v="181531.126"/>
    <s v="הבראה                           "/>
    <m/>
    <m/>
    <n v="368000"/>
    <n v="351000"/>
    <n v="331713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1"/>
    <n v="1"/>
    <s v="181531.127"/>
    <s v="השתתפות באחזקת רכב - 14         "/>
    <m/>
    <m/>
    <n v="162000"/>
    <n v="177000"/>
    <n v="15368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1"/>
    <n v="1"/>
    <s v="181531.130"/>
    <s v="תשלומים מיוחדים                 "/>
    <m/>
    <m/>
    <n v="2291000"/>
    <n v="2542000"/>
    <n v="224679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1"/>
    <n v="1"/>
    <s v="181531.181"/>
    <s v="מיסים וביטוח לאומי              "/>
    <m/>
    <m/>
    <n v="1434000"/>
    <n v="1391000"/>
    <n v="123694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1"/>
    <n v="1"/>
    <s v="181531.182"/>
    <s v="קופות גמל והשתלמות              "/>
    <m/>
    <m/>
    <n v="1860000"/>
    <n v="1822000"/>
    <n v="158605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759"/>
    <s v="81531"/>
    <n v="1"/>
    <s v="181531.759"/>
    <s v="החזר שכר מורים למשרד החינוך     "/>
    <m/>
    <m/>
    <n v="1152000"/>
    <n v="1788000"/>
    <n v="160482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1"/>
    <n v="1"/>
    <s v="181531.781"/>
    <s v="סל ניהול עצמי-תיכון א-יובל חינוך"/>
    <m/>
    <m/>
    <n v="446000"/>
    <n v="432000"/>
    <n v="382712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785"/>
    <s v="81531"/>
    <n v="1"/>
    <s v="181531.785"/>
    <s v="קנית שרותים ממוזיאון ת א-תיכון א"/>
    <m/>
    <m/>
    <n v="1000000"/>
    <n v="960000"/>
    <n v="943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5"/>
    <e v="#N/A"/>
  </r>
  <r>
    <n v="852"/>
    <s v="81531"/>
    <n v="1"/>
    <s v="181531.852"/>
    <s v="ניקיון ביכורי העיתים            "/>
    <m/>
    <m/>
    <n v="40000"/>
    <n v="40000"/>
    <n v="4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5"/>
    <s v="מלגות לתלמידים וסטודנטים"/>
    <s v="852"/>
    <e v="#N/A"/>
  </r>
  <r>
    <n v="861"/>
    <s v="81531"/>
    <n v="1"/>
    <s v="181531.861"/>
    <s v="תיגבור ע י יובל חינוך           "/>
    <m/>
    <m/>
    <n v="353000"/>
    <n v="589000"/>
    <n v="536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2"/>
    <s v="81531"/>
    <n v="1"/>
    <s v="181531.862"/>
    <s v="מגמת אמנויות-הוראה-יובל חינוך   "/>
    <m/>
    <m/>
    <n v="860000"/>
    <n v="860000"/>
    <n v="86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2"/>
    <e v="#N/A"/>
  </r>
  <r>
    <n v="863"/>
    <s v="81531"/>
    <n v="1"/>
    <s v="181531.863"/>
    <s v="הפעלת אשכול פיס יובל חינוך      "/>
    <m/>
    <m/>
    <n v="177000"/>
    <n v="177000"/>
    <n v="177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3"/>
    <e v="#N/A"/>
  </r>
  <r>
    <n v="864"/>
    <s v="81531"/>
    <n v="1"/>
    <s v="181531.864"/>
    <s v="אסיסטנטים לחדרי מחשב-יובל חינוך "/>
    <m/>
    <m/>
    <n v="379000"/>
    <n v="363000"/>
    <n v="366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5"/>
    <s v="81531"/>
    <n v="1"/>
    <s v="181531.865"/>
    <s v="פעולות העשרה מגמת אומנויות-יובל "/>
    <m/>
    <m/>
    <n v="400000"/>
    <n v="400000"/>
    <n v="40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5"/>
    <e v="#N/A"/>
  </r>
  <r>
    <n v="868"/>
    <s v="81531"/>
    <n v="1"/>
    <s v="181531.868"/>
    <s v="אחזקת אולם ספורט עירוני א'-יובל "/>
    <m/>
    <m/>
    <n v="50000"/>
    <n v="50000"/>
    <n v="50004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8"/>
    <e v="#N/A"/>
  </r>
  <r>
    <n v="869"/>
    <s v="81531"/>
    <n v="1"/>
    <s v="181531.869"/>
    <s v="קבלני נקיון-יובל חינוך          "/>
    <m/>
    <m/>
    <n v="1261000"/>
    <n v="1175000"/>
    <n v="1128722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81"/>
    <s v="81531"/>
    <n v="1"/>
    <s v="181531.881"/>
    <s v="השתתפות לחמד ע                  "/>
    <m/>
    <m/>
    <n v="198000"/>
    <n v="161000"/>
    <n v="12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2"/>
    <n v="1"/>
    <s v="181532.110"/>
    <s v="משכורת כוללת                    "/>
    <m/>
    <m/>
    <n v="3142000"/>
    <n v="2697000"/>
    <n v="259105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2"/>
    <n v="1"/>
    <s v="181532.124"/>
    <s v="החזר הוצאות                     "/>
    <m/>
    <m/>
    <n v="178000"/>
    <n v="149000"/>
    <n v="14156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2"/>
    <n v="1"/>
    <s v="181532.126"/>
    <s v="הבראה                           "/>
    <m/>
    <m/>
    <n v="150000"/>
    <n v="131000"/>
    <n v="12479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2"/>
    <n v="1"/>
    <s v="181532.127"/>
    <s v="השתתפות באחזקת רכב - 10         "/>
    <m/>
    <m/>
    <n v="178000"/>
    <n v="165000"/>
    <n v="14309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2"/>
    <n v="1"/>
    <s v="181532.130"/>
    <s v="תשלומים מיוחדים                 "/>
    <m/>
    <m/>
    <n v="722000"/>
    <n v="784000"/>
    <n v="72478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2"/>
    <n v="1"/>
    <s v="181532.181"/>
    <s v="מיסים וביטוח לאומי              "/>
    <m/>
    <m/>
    <n v="572000"/>
    <n v="514000"/>
    <n v="47033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2"/>
    <n v="1"/>
    <s v="181532.182"/>
    <s v="קופות גמל והשתלמות              "/>
    <m/>
    <m/>
    <n v="668000"/>
    <n v="587000"/>
    <n v="54079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310"/>
    <s v="81532"/>
    <n v="1"/>
    <s v="181532.310"/>
    <s v="שעות נוספות רשומות              "/>
    <m/>
    <m/>
    <n v="3000"/>
    <n v="3000"/>
    <n v="0"/>
    <m/>
    <x v="7"/>
    <s v="שירותים ממלכתיים"/>
    <x v="33"/>
    <s v="חינוך"/>
    <x v="111"/>
    <s v="חינוך על יסודי"/>
    <s v="8153"/>
    <s v="בתי״ס ערב על יסודיים"/>
    <m/>
    <s v="3"/>
    <x v="14"/>
    <s v="31"/>
    <s v="פנסיה"/>
    <s v="310"/>
    <e v="#N/A"/>
  </r>
  <r>
    <n v="531"/>
    <s v="81532"/>
    <n v="1"/>
    <s v="181532.531"/>
    <s v="אחזקת רכב                       "/>
    <m/>
    <m/>
    <n v="2000"/>
    <n v="2000"/>
    <n v="1801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1"/>
    <s v="דלק ושמנים"/>
  </r>
  <r>
    <n v="533"/>
    <s v="81532"/>
    <n v="1"/>
    <s v="181532.533"/>
    <s v="שכירת רכב ורכב עירוני           "/>
    <m/>
    <m/>
    <n v="44000"/>
    <n v="39000"/>
    <n v="46070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3"/>
    <s v="רישוי וביטוח"/>
  </r>
  <r>
    <n v="534"/>
    <s v="81532"/>
    <n v="1"/>
    <s v="181532.534"/>
    <s v="דלק ושמן                        "/>
    <m/>
    <m/>
    <n v="18000"/>
    <n v="18000"/>
    <n v="9406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4"/>
    <e v="#N/A"/>
  </r>
  <r>
    <n v="759"/>
    <s v="81532"/>
    <n v="1"/>
    <s v="181532.759"/>
    <s v="החזר שכר מורים למשרד החינוך     "/>
    <m/>
    <m/>
    <n v="1698000"/>
    <n v="1535000"/>
    <n v="1127206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2"/>
    <n v="1"/>
    <s v="181532.781"/>
    <s v="סל ניהול עצמי-תיכון ז-יובל חינוך"/>
    <m/>
    <m/>
    <n v="115000"/>
    <n v="88000"/>
    <n v="72814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2"/>
    <n v="1"/>
    <s v="181532.861"/>
    <s v="תיגבור ע י יובל חינוך           "/>
    <m/>
    <m/>
    <n v="182000"/>
    <n v="134000"/>
    <n v="53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3"/>
    <s v="81532"/>
    <n v="1"/>
    <s v="181532.863"/>
    <s v="הפעלת אשכול פיס-יובל חינוך      "/>
    <m/>
    <m/>
    <n v="213000"/>
    <n v="213000"/>
    <n v="213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3"/>
    <e v="#N/A"/>
  </r>
  <r>
    <n v="864"/>
    <s v="81532"/>
    <n v="1"/>
    <s v="181532.864"/>
    <s v="אסיסטנטים לחדרי מחשב-יובל חינוך "/>
    <m/>
    <m/>
    <n v="291000"/>
    <n v="293000"/>
    <n v="297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6"/>
    <s v="81532"/>
    <n v="1"/>
    <s v="181532.866"/>
    <s v="מכשירי לימוד כיתות טכנולוגיות יו"/>
    <m/>
    <m/>
    <n v="11000"/>
    <n v="9000"/>
    <n v="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6"/>
    <e v="#N/A"/>
  </r>
  <r>
    <n v="867"/>
    <s v="81532"/>
    <n v="1"/>
    <s v="181532.867"/>
    <s v="כלים וחמרים למעבדות-יובל חינוך  "/>
    <m/>
    <m/>
    <n v="20000"/>
    <n v="20000"/>
    <n v="2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7"/>
    <e v="#N/A"/>
  </r>
  <r>
    <n v="868"/>
    <s v="81532"/>
    <n v="1"/>
    <s v="181532.868"/>
    <s v="העשרה-יובל חינוך                "/>
    <m/>
    <m/>
    <n v="85000"/>
    <n v="85000"/>
    <n v="8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8"/>
    <e v="#N/A"/>
  </r>
  <r>
    <n v="869"/>
    <s v="81532"/>
    <n v="1"/>
    <s v="181532.869"/>
    <s v="קבלני ניקיון-יובל חינוך         "/>
    <m/>
    <m/>
    <n v="871000"/>
    <n v="730000"/>
    <n v="646379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70"/>
    <s v="81532"/>
    <n v="1"/>
    <s v="181532.870"/>
    <s v="סעיף שאינו חוזר                 "/>
    <m/>
    <m/>
    <n v="0"/>
    <n v="0"/>
    <n v="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7"/>
    <s v="תמיכות ביחידות סמך ומוסדות הרשות"/>
    <s v="870"/>
    <e v="#N/A"/>
  </r>
  <r>
    <n v="881"/>
    <s v="81532"/>
    <n v="1"/>
    <s v="181532.881"/>
    <s v="השתתפות לחמד ע                  "/>
    <m/>
    <m/>
    <n v="99000"/>
    <n v="86000"/>
    <n v="5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3"/>
    <n v="1"/>
    <s v="181533.110"/>
    <s v="משכורת כוללת                    "/>
    <m/>
    <m/>
    <n v="1913000"/>
    <n v="1971000"/>
    <n v="173298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3"/>
    <n v="1"/>
    <s v="181533.124"/>
    <s v="החזר הוצאות                     "/>
    <m/>
    <m/>
    <n v="129000"/>
    <n v="137000"/>
    <n v="11681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3"/>
    <n v="1"/>
    <s v="181533.126"/>
    <s v="הבראה                           "/>
    <m/>
    <m/>
    <n v="102000"/>
    <n v="100000"/>
    <n v="9093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3"/>
    <n v="1"/>
    <s v="181533.127"/>
    <s v="השתתפות באחזקת רכב - 6          "/>
    <m/>
    <m/>
    <n v="112000"/>
    <n v="131000"/>
    <n v="10825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3"/>
    <n v="1"/>
    <s v="181533.130"/>
    <s v="תשלומים מיוחדים                 "/>
    <m/>
    <m/>
    <n v="474000"/>
    <n v="448000"/>
    <n v="401137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3"/>
    <n v="1"/>
    <s v="181533.181"/>
    <s v="מיסים וביטוח לאומי              "/>
    <m/>
    <m/>
    <n v="357000"/>
    <n v="365000"/>
    <n v="302724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3"/>
    <n v="1"/>
    <s v="181533.182"/>
    <s v="קופות גמל והשתלמות              "/>
    <m/>
    <m/>
    <n v="455000"/>
    <n v="482000"/>
    <n v="41339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759"/>
    <s v="81533"/>
    <n v="1"/>
    <s v="181533.759"/>
    <s v="החזר שכר מורים למשרד החינוך     "/>
    <m/>
    <m/>
    <n v="1564000"/>
    <n v="1565000"/>
    <n v="1481324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3"/>
    <n v="1"/>
    <s v="181533.781"/>
    <s v="סל ניהול עצמי-תיכון ח-יובל חינוך"/>
    <m/>
    <m/>
    <n v="78000"/>
    <n v="78000"/>
    <n v="71546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3"/>
    <n v="1"/>
    <s v="181533.861"/>
    <s v="תיגבור ע י יובל חינוך           "/>
    <m/>
    <m/>
    <n v="331000"/>
    <n v="265000"/>
    <n v="76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3"/>
    <n v="1"/>
    <s v="181533.864"/>
    <s v="אסיסטנטים לחדרי מחשב-יובל חינוך "/>
    <m/>
    <m/>
    <n v="163000"/>
    <n v="148000"/>
    <n v="15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6"/>
    <s v="81533"/>
    <n v="1"/>
    <s v="181533.866"/>
    <s v="מכשירי לימוד כיתות טכנולוגיות יו"/>
    <m/>
    <m/>
    <n v="29000"/>
    <n v="30000"/>
    <n v="3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6"/>
    <e v="#N/A"/>
  </r>
  <r>
    <n v="869"/>
    <s v="81533"/>
    <n v="1"/>
    <s v="181533.869"/>
    <s v="קבלני ניקיון-יובל חינוך         "/>
    <m/>
    <m/>
    <n v="534000"/>
    <n v="549000"/>
    <n v="492144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110"/>
    <s v="81534"/>
    <n v="1"/>
    <s v="181534.110"/>
    <s v="משכורת כוללת                    "/>
    <m/>
    <m/>
    <n v="6344000"/>
    <n v="5840000"/>
    <n v="5640434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4"/>
    <n v="1"/>
    <s v="181534.124"/>
    <s v="החזר הוצאות                     "/>
    <m/>
    <m/>
    <n v="345000"/>
    <n v="321000"/>
    <n v="30497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4"/>
    <n v="1"/>
    <s v="181534.126"/>
    <s v="הבראה                           "/>
    <m/>
    <m/>
    <n v="305000"/>
    <n v="285000"/>
    <n v="275174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4"/>
    <n v="1"/>
    <s v="181534.127"/>
    <s v="השתתפות באחזקת רכב - 11         "/>
    <m/>
    <m/>
    <n v="181000"/>
    <n v="184000"/>
    <n v="18039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4"/>
    <n v="1"/>
    <s v="181534.130"/>
    <s v="תשלומים מיוחדים                 "/>
    <m/>
    <m/>
    <n v="2231000"/>
    <n v="2123000"/>
    <n v="201189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4"/>
    <n v="1"/>
    <s v="181534.181"/>
    <s v="מיסים וביטוח לאומי              "/>
    <m/>
    <m/>
    <n v="1230000"/>
    <n v="1145000"/>
    <n v="105482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4"/>
    <n v="1"/>
    <s v="181534.182"/>
    <s v="קופות גמל והשתלמות              "/>
    <m/>
    <m/>
    <n v="1486000"/>
    <n v="1413000"/>
    <n v="132302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759"/>
    <s v="81534"/>
    <n v="1"/>
    <s v="181534.759"/>
    <s v="החזר שכר מורים למשרד החינוך     "/>
    <m/>
    <m/>
    <n v="2370000"/>
    <n v="2277000"/>
    <n v="229346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4"/>
    <n v="1"/>
    <s v="181534.781"/>
    <s v="סל ניהול עצמי-תיכון ט-יובל חינוך"/>
    <m/>
    <m/>
    <n v="347000"/>
    <n v="327000"/>
    <n v="299289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4"/>
    <n v="1"/>
    <s v="181534.861"/>
    <s v="תיגבור ע י יובל חינוך           "/>
    <m/>
    <m/>
    <n v="1353000"/>
    <n v="1529000"/>
    <n v="1499999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4"/>
    <n v="1"/>
    <s v="181534.864"/>
    <s v="אסיסטנטים לחדרי מחשב-יובל חינוך "/>
    <m/>
    <m/>
    <n v="288000"/>
    <n v="289000"/>
    <n v="29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6"/>
    <s v="81534"/>
    <n v="1"/>
    <s v="181534.866"/>
    <s v="מכשירי לימוד כיתות טכנולוגיות יו"/>
    <m/>
    <m/>
    <n v="77000"/>
    <n v="75000"/>
    <n v="6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6"/>
    <e v="#N/A"/>
  </r>
  <r>
    <n v="867"/>
    <s v="81534"/>
    <n v="1"/>
    <s v="181534.867"/>
    <s v="ספורט השגי-יובל חינוך           "/>
    <m/>
    <m/>
    <n v="36000"/>
    <n v="41000"/>
    <n v="3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7"/>
    <e v="#N/A"/>
  </r>
  <r>
    <n v="869"/>
    <s v="81534"/>
    <n v="1"/>
    <s v="181534.869"/>
    <s v="קבלני ניקיון-יובל חינוך         "/>
    <m/>
    <m/>
    <n v="1024000"/>
    <n v="1059000"/>
    <n v="929214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81"/>
    <s v="81534"/>
    <n v="1"/>
    <s v="181534.881"/>
    <s v="השתתפות לחמד ע                  "/>
    <m/>
    <m/>
    <n v="142000"/>
    <n v="87000"/>
    <n v="8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5"/>
    <n v="1"/>
    <s v="181535.110"/>
    <s v="משכורת כוללת                    "/>
    <m/>
    <m/>
    <n v="4320000"/>
    <n v="4331000"/>
    <n v="372584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5"/>
    <n v="1"/>
    <s v="181535.124"/>
    <s v="החזר הוצאות                     "/>
    <m/>
    <m/>
    <n v="235000"/>
    <n v="245000"/>
    <n v="20127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5"/>
    <n v="1"/>
    <s v="181535.126"/>
    <s v="הבראה                           "/>
    <m/>
    <m/>
    <n v="195000"/>
    <n v="193000"/>
    <n v="16868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5"/>
    <n v="1"/>
    <s v="181535.127"/>
    <s v="השתתפות באחזקת רכב - 3          "/>
    <m/>
    <m/>
    <n v="61000"/>
    <n v="85000"/>
    <n v="7320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5"/>
    <n v="1"/>
    <s v="181535.130"/>
    <s v="תשלומים מיוחדים                 "/>
    <m/>
    <m/>
    <n v="1295000"/>
    <n v="1395000"/>
    <n v="119393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5"/>
    <n v="1"/>
    <s v="181535.181"/>
    <s v="מיסים וביטוח לאומי              "/>
    <m/>
    <m/>
    <n v="799000"/>
    <n v="817000"/>
    <n v="67660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5"/>
    <n v="1"/>
    <s v="181535.182"/>
    <s v="קופות גמל והשתלמות              "/>
    <m/>
    <m/>
    <n v="1164000"/>
    <n v="1187000"/>
    <n v="982243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781"/>
    <s v="81535"/>
    <n v="1"/>
    <s v="181535.781"/>
    <s v="סל ניהול עצמי-תיכון י א-יובל חינ"/>
    <m/>
    <m/>
    <n v="125000"/>
    <n v="132000"/>
    <n v="136944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5"/>
    <n v="1"/>
    <s v="181535.861"/>
    <s v="תגבור ע י יובל חינוך            "/>
    <m/>
    <m/>
    <n v="389000"/>
    <n v="631000"/>
    <n v="500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5"/>
    <n v="1"/>
    <s v="181535.864"/>
    <s v="אסיסטנטים לחדרי מחשב-יובל חינוך "/>
    <m/>
    <m/>
    <n v="149000"/>
    <n v="139000"/>
    <n v="139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6"/>
    <s v="81535"/>
    <n v="1"/>
    <s v="181535.866"/>
    <s v="מכשירי לימוד כיתות טכנולוגיות יו"/>
    <m/>
    <m/>
    <n v="63000"/>
    <n v="71000"/>
    <n v="73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6"/>
    <e v="#N/A"/>
  </r>
  <r>
    <n v="868"/>
    <s v="81535"/>
    <n v="1"/>
    <s v="181535.868"/>
    <s v="תגבור הפעלה שוטפת מהכנסות עצמיות"/>
    <m/>
    <m/>
    <n v="158000"/>
    <n v="155000"/>
    <n v="158244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8"/>
    <e v="#N/A"/>
  </r>
  <r>
    <n v="869"/>
    <s v="81535"/>
    <n v="1"/>
    <s v="181535.869"/>
    <s v="קבלני ניקיון-יובל חינוך         "/>
    <m/>
    <m/>
    <n v="504000"/>
    <n v="480000"/>
    <n v="441277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70"/>
    <s v="81535"/>
    <n v="1"/>
    <s v="181535.870"/>
    <s v="ס. שאינו חוזר                   "/>
    <m/>
    <m/>
    <n v="0"/>
    <n v="6000"/>
    <n v="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7"/>
    <s v="תמיכות ביחידות סמך ומוסדות הרשות"/>
    <s v="870"/>
    <e v="#N/A"/>
  </r>
  <r>
    <n v="110"/>
    <s v="81536"/>
    <n v="1"/>
    <s v="181536.110"/>
    <s v="משכורת כוללת                    "/>
    <m/>
    <m/>
    <n v="2927000"/>
    <n v="3400000"/>
    <n v="2763951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6"/>
    <n v="1"/>
    <s v="181536.124"/>
    <s v="החזר הוצאות                     "/>
    <m/>
    <m/>
    <n v="252000"/>
    <n v="246000"/>
    <n v="20218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6"/>
    <n v="1"/>
    <s v="181536.126"/>
    <s v="הבראה                           "/>
    <m/>
    <m/>
    <n v="155000"/>
    <n v="178000"/>
    <n v="141553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6"/>
    <n v="1"/>
    <s v="181536.127"/>
    <s v="השתתפות באחזקת רכב - 5          "/>
    <m/>
    <m/>
    <n v="58000"/>
    <n v="85000"/>
    <n v="6140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6"/>
    <n v="1"/>
    <s v="181536.130"/>
    <s v="תשלומים מיוחדים                 "/>
    <m/>
    <m/>
    <n v="899000"/>
    <n v="1042000"/>
    <n v="847104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6"/>
    <n v="1"/>
    <s v="181536.181"/>
    <s v="מיסים וביטוח לאומי              "/>
    <m/>
    <m/>
    <n v="561000"/>
    <n v="648000"/>
    <n v="50246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6"/>
    <n v="1"/>
    <s v="181536.182"/>
    <s v="קופות גמל והשתלמות              "/>
    <m/>
    <m/>
    <n v="736000"/>
    <n v="886000"/>
    <n v="68705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531"/>
    <s v="81536"/>
    <n v="1"/>
    <s v="181536.531"/>
    <s v="אחזקת רכב                       "/>
    <m/>
    <m/>
    <n v="2000"/>
    <n v="2000"/>
    <n v="1258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1"/>
    <s v="דלק ושמנים"/>
  </r>
  <r>
    <n v="533"/>
    <s v="81536"/>
    <n v="1"/>
    <s v="181536.533"/>
    <s v="שכירת רכב ורכב עירוני           "/>
    <m/>
    <m/>
    <n v="44000"/>
    <n v="37000"/>
    <n v="32653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3"/>
    <s v="רישוי וביטוח"/>
  </r>
  <r>
    <n v="534"/>
    <s v="81536"/>
    <n v="1"/>
    <s v="181536.534"/>
    <s v="דלק ושמן                        "/>
    <m/>
    <m/>
    <n v="21000"/>
    <n v="21000"/>
    <n v="14165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4"/>
    <e v="#N/A"/>
  </r>
  <r>
    <n v="759"/>
    <s v="81536"/>
    <n v="1"/>
    <s v="181536.759"/>
    <s v="החזר שכר מורים למשרד החינוך     "/>
    <m/>
    <m/>
    <n v="869000"/>
    <n v="463000"/>
    <n v="86229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6"/>
    <n v="1"/>
    <s v="181536.781"/>
    <s v="סל ניהול עצמי-תיכון י ב-יובל חינ"/>
    <m/>
    <m/>
    <n v="198000"/>
    <n v="193000"/>
    <n v="168528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6"/>
    <n v="1"/>
    <s v="181536.861"/>
    <s v="תיגבור ע י יובל חינוך           "/>
    <m/>
    <m/>
    <n v="933000"/>
    <n v="1047000"/>
    <n v="81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6"/>
    <n v="1"/>
    <s v="181536.864"/>
    <s v="אסיסטנטים לחדרי מחשב-יובל חינוך "/>
    <m/>
    <m/>
    <n v="202000"/>
    <n v="192000"/>
    <n v="19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6"/>
    <s v="81536"/>
    <n v="1"/>
    <s v="181536.866"/>
    <s v="מכשירי לימוד כיתות טכנולוגיות יו"/>
    <m/>
    <m/>
    <n v="43000"/>
    <n v="36000"/>
    <n v="37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6"/>
    <e v="#N/A"/>
  </r>
  <r>
    <n v="867"/>
    <s v="81536"/>
    <n v="1"/>
    <s v="181536.867"/>
    <s v="כלים וחמרים למעבדות-יובל חינוך  "/>
    <m/>
    <m/>
    <n v="22000"/>
    <n v="22000"/>
    <n v="22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7"/>
    <e v="#N/A"/>
  </r>
  <r>
    <n v="868"/>
    <s v="81536"/>
    <n v="1"/>
    <s v="181536.868"/>
    <s v="העשרה-יובל חינוך                "/>
    <m/>
    <m/>
    <n v="45000"/>
    <n v="45000"/>
    <n v="4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8"/>
    <e v="#N/A"/>
  </r>
  <r>
    <n v="869"/>
    <s v="81536"/>
    <n v="1"/>
    <s v="181536.869"/>
    <s v="קבלני ניקיון-יובל חינוך         "/>
    <m/>
    <m/>
    <n v="524000"/>
    <n v="476000"/>
    <n v="419539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81"/>
    <s v="81536"/>
    <n v="1"/>
    <s v="181536.881"/>
    <s v="השתתפות לחמד ע                  "/>
    <m/>
    <m/>
    <n v="49000"/>
    <n v="80000"/>
    <n v="78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7"/>
    <n v="1"/>
    <s v="181537.110"/>
    <s v="משכורת כוללת                    "/>
    <m/>
    <m/>
    <n v="2040000"/>
    <n v="724000"/>
    <n v="57912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7"/>
    <n v="1"/>
    <s v="181537.124"/>
    <s v="החזר הוצאות                     "/>
    <m/>
    <m/>
    <n v="152000"/>
    <n v="60000"/>
    <n v="49600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7"/>
    <n v="1"/>
    <s v="181537.126"/>
    <s v="הבראה                           "/>
    <m/>
    <m/>
    <n v="142000"/>
    <n v="51000"/>
    <n v="3653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7"/>
    <n v="1"/>
    <s v="181537.127"/>
    <s v="השתתפות באחזקת רכב-5            "/>
    <m/>
    <m/>
    <n v="128000"/>
    <n v="83000"/>
    <n v="8246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7"/>
    <n v="1"/>
    <s v="181537.130"/>
    <s v="תשלומים מיוחדים                 "/>
    <m/>
    <m/>
    <n v="296000"/>
    <n v="114000"/>
    <n v="9204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7"/>
    <n v="1"/>
    <s v="181537.181"/>
    <s v="מיסים וביטוח לאומי              "/>
    <m/>
    <m/>
    <n v="372000"/>
    <n v="146000"/>
    <n v="11271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7"/>
    <n v="1"/>
    <s v="181537.182"/>
    <s v="קופות גמל והשתלמות              "/>
    <m/>
    <m/>
    <n v="372000"/>
    <n v="174000"/>
    <n v="143033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310"/>
    <s v="81537"/>
    <n v="1"/>
    <s v="181537.310"/>
    <s v="שעות נוספות רשומות              "/>
    <m/>
    <m/>
    <n v="85000"/>
    <n v="83000"/>
    <n v="70877"/>
    <m/>
    <x v="7"/>
    <s v="שירותים ממלכתיים"/>
    <x v="33"/>
    <s v="חינוך"/>
    <x v="111"/>
    <s v="חינוך על יסודי"/>
    <s v="8153"/>
    <s v="בתי״ס ערב על יסודיים"/>
    <m/>
    <s v="3"/>
    <x v="14"/>
    <s v="31"/>
    <s v="פנסיה"/>
    <s v="310"/>
    <e v="#N/A"/>
  </r>
  <r>
    <n v="531"/>
    <s v="81537"/>
    <n v="1"/>
    <s v="181537.531"/>
    <s v="אחזקת רכב                       "/>
    <m/>
    <m/>
    <n v="2000"/>
    <n v="2000"/>
    <n v="1334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1"/>
    <s v="דלק ושמנים"/>
  </r>
  <r>
    <n v="533"/>
    <s v="81537"/>
    <n v="1"/>
    <s v="181537.533"/>
    <s v="שכירת רכב ורכב עירוני           "/>
    <m/>
    <m/>
    <n v="37000"/>
    <n v="36000"/>
    <n v="31633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3"/>
    <s v="רישוי וביטוח"/>
  </r>
  <r>
    <n v="534"/>
    <s v="81537"/>
    <n v="1"/>
    <s v="181537.534"/>
    <s v="דלק ושמן                        "/>
    <m/>
    <m/>
    <n v="24000"/>
    <n v="23000"/>
    <n v="29643"/>
    <m/>
    <x v="7"/>
    <s v="שירותים ממלכתיים"/>
    <x v="33"/>
    <s v="חינוך"/>
    <x v="111"/>
    <s v="חינוך על יסודי"/>
    <s v="8153"/>
    <s v="בתי״ס ערב על יסודיים"/>
    <m/>
    <s v="5"/>
    <x v="11"/>
    <s v="53"/>
    <s v="הוצאות רכב מינהלי"/>
    <s v="534"/>
    <e v="#N/A"/>
  </r>
  <r>
    <n v="759"/>
    <s v="81537"/>
    <n v="1"/>
    <s v="181537.759"/>
    <s v="החזר שכר מורים למשרד החינוך     "/>
    <m/>
    <m/>
    <n v="860000"/>
    <n v="0"/>
    <n v="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7"/>
    <n v="1"/>
    <s v="181537.781"/>
    <s v="סל ניהול עצמי-חט ע תיכונט-יובל ח"/>
    <m/>
    <m/>
    <n v="127000"/>
    <n v="0"/>
    <n v="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791"/>
    <s v="81537"/>
    <n v="1"/>
    <s v="181537.791"/>
    <s v="עתודה לפתיחת ביה ס תיכונט       "/>
    <m/>
    <m/>
    <n v="170000"/>
    <n v="170000"/>
    <n v="43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9"/>
    <s v="השתתפות בתקציבי עזר 092"/>
    <s v="791"/>
    <e v="#N/A"/>
  </r>
  <r>
    <n v="861"/>
    <s v="81537"/>
    <n v="1"/>
    <s v="181537.861"/>
    <s v="תגבור באמצעות יובל חינוך        "/>
    <m/>
    <m/>
    <n v="40000"/>
    <n v="0"/>
    <n v="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7"/>
    <n v="1"/>
    <s v="181537.864"/>
    <s v="אסיסטנטים לחדרי מחשב -יובל חינוך"/>
    <m/>
    <m/>
    <n v="335000"/>
    <n v="240000"/>
    <n v="209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9"/>
    <s v="81537"/>
    <n v="1"/>
    <s v="181537.869"/>
    <s v="קבלני ניקיון יובל חינוך         "/>
    <m/>
    <m/>
    <n v="785000"/>
    <n v="732000"/>
    <n v="667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81"/>
    <s v="81537"/>
    <n v="1"/>
    <s v="181537.881"/>
    <s v="השתתפות לחמד ע                  "/>
    <m/>
    <m/>
    <n v="74000"/>
    <n v="0"/>
    <n v="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8"/>
    <n v="1"/>
    <s v="181538.110"/>
    <s v="משכורת כוללת                    "/>
    <m/>
    <m/>
    <n v="1214000"/>
    <n v="1240000"/>
    <n v="107351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8"/>
    <n v="1"/>
    <s v="181538.124"/>
    <s v="החזר הוצאות                     "/>
    <m/>
    <m/>
    <n v="91000"/>
    <n v="94000"/>
    <n v="75756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8"/>
    <n v="1"/>
    <s v="181538.126"/>
    <s v="הבראה                           "/>
    <m/>
    <m/>
    <n v="61000"/>
    <n v="70000"/>
    <n v="62128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8"/>
    <n v="1"/>
    <s v="181538.127"/>
    <s v="השתתפות באחזקת רכב-3            "/>
    <m/>
    <m/>
    <n v="61000"/>
    <n v="56000"/>
    <n v="51809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8"/>
    <n v="1"/>
    <s v="181538.130"/>
    <s v="תשלומים מיוחדים                 "/>
    <m/>
    <m/>
    <n v="265000"/>
    <n v="287000"/>
    <n v="25557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8"/>
    <n v="1"/>
    <s v="181538.181"/>
    <s v="מיסים וביטוח לאומי              "/>
    <m/>
    <m/>
    <n v="221000"/>
    <n v="229000"/>
    <n v="18963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8"/>
    <n v="1"/>
    <s v="181538.182"/>
    <s v="קופות גמל והשתלמות              "/>
    <m/>
    <m/>
    <n v="294000"/>
    <n v="313000"/>
    <n v="261437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759"/>
    <s v="81538"/>
    <n v="1"/>
    <s v="181538.759"/>
    <s v="החזר שכר מורים למשרד החינוך     "/>
    <m/>
    <m/>
    <n v="618000"/>
    <n v="588000"/>
    <n v="562869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9"/>
    <e v="#N/A"/>
  </r>
  <r>
    <n v="781"/>
    <s v="81538"/>
    <n v="1"/>
    <s v="181538.781"/>
    <s v="סל ניהול עצמי-ל ב-יובל חינוך    "/>
    <m/>
    <m/>
    <n v="79000"/>
    <n v="74000"/>
    <n v="66171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861"/>
    <s v="81538"/>
    <n v="1"/>
    <s v="181538.861"/>
    <s v="תגבור ע י יובל חינוך            "/>
    <m/>
    <m/>
    <n v="95000"/>
    <n v="0"/>
    <n v="5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1"/>
    <e v="#N/A"/>
  </r>
  <r>
    <n v="864"/>
    <s v="81538"/>
    <n v="1"/>
    <s v="181538.864"/>
    <s v="אסיסטנטים לחדרי מחשב-יובל חינוך "/>
    <m/>
    <m/>
    <n v="58000"/>
    <n v="47000"/>
    <n v="49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869"/>
    <s v="81538"/>
    <n v="1"/>
    <s v="181538.869"/>
    <s v="קבלני ניקיון-יובל חינוך         "/>
    <m/>
    <m/>
    <n v="309000"/>
    <n v="316000"/>
    <n v="32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9"/>
    <e v="#N/A"/>
  </r>
  <r>
    <n v="881"/>
    <s v="81538"/>
    <n v="1"/>
    <s v="181538.881"/>
    <s v="השתתפות לחמד ע                  "/>
    <m/>
    <m/>
    <n v="93000"/>
    <n v="93000"/>
    <n v="84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8"/>
    <e v="#N/A"/>
    <s v="881"/>
    <e v="#N/A"/>
  </r>
  <r>
    <n v="110"/>
    <s v="81539"/>
    <n v="1"/>
    <s v="181539.110"/>
    <s v="משכורת כוללת                    "/>
    <m/>
    <m/>
    <n v="1231000"/>
    <n v="1445000"/>
    <n v="964117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1"/>
    <s v="השכר הקובע"/>
    <s v="110"/>
    <e v="#N/A"/>
  </r>
  <r>
    <n v="124"/>
    <s v="81539"/>
    <n v="1"/>
    <s v="181539.124"/>
    <s v="החזר הוצאות                     "/>
    <m/>
    <m/>
    <n v="148000"/>
    <n v="195000"/>
    <n v="11459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4"/>
    <e v="#N/A"/>
  </r>
  <r>
    <n v="126"/>
    <s v="81539"/>
    <n v="1"/>
    <s v="181539.126"/>
    <s v="הבראה                           "/>
    <m/>
    <m/>
    <n v="43000"/>
    <n v="67000"/>
    <n v="49524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6"/>
    <e v="#N/A"/>
  </r>
  <r>
    <n v="127"/>
    <s v="81539"/>
    <n v="1"/>
    <s v="181539.127"/>
    <s v="השתתפות באחזקת רכב-1            "/>
    <m/>
    <m/>
    <n v="29000"/>
    <n v="26000"/>
    <n v="3367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2"/>
    <s v="תוספות שאינן נכללות בשכר הקובע"/>
    <s v="127"/>
    <e v="#N/A"/>
  </r>
  <r>
    <n v="130"/>
    <s v="81539"/>
    <n v="1"/>
    <s v="181539.130"/>
    <s v="תשלומים מיוחדים                 "/>
    <m/>
    <m/>
    <n v="286000"/>
    <n v="335000"/>
    <n v="230963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3"/>
    <s v="שעות נוספות"/>
    <s v="130"/>
    <e v="#N/A"/>
  </r>
  <r>
    <n v="181"/>
    <s v="81539"/>
    <n v="1"/>
    <s v="181539.181"/>
    <s v="מיסים וביטוח לאומי              "/>
    <m/>
    <m/>
    <n v="227000"/>
    <n v="270000"/>
    <n v="162935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1"/>
    <s v="הפרשות סוציאליות"/>
  </r>
  <r>
    <n v="182"/>
    <s v="81539"/>
    <n v="1"/>
    <s v="181539.182"/>
    <s v="קופות גמל והשתלמות              "/>
    <m/>
    <m/>
    <n v="315000"/>
    <n v="379000"/>
    <n v="237832"/>
    <m/>
    <x v="7"/>
    <s v="שירותים ממלכתיים"/>
    <x v="33"/>
    <s v="חינוך"/>
    <x v="111"/>
    <s v="חינוך על יסודי"/>
    <s v="8153"/>
    <s v="בתי״ס ערב על יסודיים"/>
    <m/>
    <s v="1"/>
    <x v="9"/>
    <s v="18"/>
    <s v="נלוות לשכר"/>
    <s v="182"/>
    <s v="מיסיום ועלויות"/>
  </r>
  <r>
    <n v="411"/>
    <s v="81539"/>
    <n v="1"/>
    <s v="181539.411"/>
    <s v="שכר דירה                        "/>
    <m/>
    <m/>
    <n v="826000"/>
    <n v="826000"/>
    <n v="802208"/>
    <m/>
    <x v="7"/>
    <s v="שירותים ממלכתיים"/>
    <x v="33"/>
    <s v="חינוך"/>
    <x v="111"/>
    <s v="חינוך על יסודי"/>
    <s v="8153"/>
    <s v="בתי״ס ערב על יסודיים"/>
    <m/>
    <s v="4"/>
    <x v="15"/>
    <s v="41"/>
    <s v="שכר דירה ודמי חכירה"/>
    <s v="411"/>
    <e v="#N/A"/>
  </r>
  <r>
    <n v="431"/>
    <s v="81539"/>
    <n v="1"/>
    <s v="181539.431"/>
    <s v="מים                             "/>
    <m/>
    <m/>
    <n v="15000"/>
    <n v="15000"/>
    <n v="19295"/>
    <m/>
    <x v="7"/>
    <s v="שירותים ממלכתיים"/>
    <x v="33"/>
    <s v="חינוך"/>
    <x v="111"/>
    <s v="חינוך על יסודי"/>
    <s v="8153"/>
    <s v="בתי״ס ערב על יסודיים"/>
    <m/>
    <s v="4"/>
    <x v="15"/>
    <s v="43"/>
    <s v="חשמל, מים וחומרי ניקיון"/>
    <s v="431"/>
    <s v="חשמל"/>
  </r>
  <r>
    <n v="434"/>
    <s v="81539"/>
    <n v="1"/>
    <s v="181539.434"/>
    <s v="תקוני מבנים  מתקנים ואינונטר    "/>
    <m/>
    <m/>
    <n v="70000"/>
    <n v="70000"/>
    <n v="43102"/>
    <m/>
    <x v="7"/>
    <s v="שירותים ממלכתיים"/>
    <x v="33"/>
    <s v="חינוך"/>
    <x v="111"/>
    <s v="חינוך על יסודי"/>
    <s v="8153"/>
    <s v="בתי״ס ערב על יסודיים"/>
    <m/>
    <s v="4"/>
    <x v="15"/>
    <s v="43"/>
    <s v="חשמל, מים וחומרי ניקיון"/>
    <s v="434"/>
    <s v="שירותי ניקיון"/>
  </r>
  <r>
    <n v="435"/>
    <s v="81539"/>
    <n v="1"/>
    <s v="181539.435"/>
    <s v="חשמל ואנרגיה                    "/>
    <m/>
    <m/>
    <n v="82000"/>
    <n v="82000"/>
    <n v="86471"/>
    <m/>
    <x v="7"/>
    <s v="שירותים ממלכתיים"/>
    <x v="33"/>
    <s v="חינוך"/>
    <x v="111"/>
    <s v="חינוך על יסודי"/>
    <s v="8153"/>
    <s v="בתי״ס ערב על יסודיים"/>
    <m/>
    <s v="4"/>
    <x v="15"/>
    <s v="43"/>
    <s v="חשמל, מים וחומרי ניקיון"/>
    <s v="435"/>
    <e v="#N/A"/>
  </r>
  <r>
    <n v="670"/>
    <s v="81539"/>
    <n v="1"/>
    <s v="181539.670"/>
    <s v="ס. שאינו חוזר                   "/>
    <m/>
    <m/>
    <n v="0"/>
    <n v="6000"/>
    <n v="5267"/>
    <m/>
    <x v="7"/>
    <s v="שירותים ממלכתיים"/>
    <x v="33"/>
    <s v="חינוך"/>
    <x v="111"/>
    <s v="חינוך על יסודי"/>
    <s v="8153"/>
    <s v="בתי״ס ערב על יסודיים"/>
    <m/>
    <s v="6"/>
    <x v="12"/>
    <s v="67"/>
    <e v="#N/A"/>
    <s v="670"/>
    <e v="#N/A"/>
  </r>
  <r>
    <n v="721"/>
    <s v="81539"/>
    <n v="1"/>
    <s v="181539.721"/>
    <s v="מכשירי לימוד וציוד              "/>
    <m/>
    <m/>
    <n v="9000"/>
    <n v="9000"/>
    <n v="9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2"/>
    <s v="חומרים"/>
    <s v="721"/>
    <e v="#N/A"/>
  </r>
  <r>
    <n v="722"/>
    <s v="81539"/>
    <n v="1"/>
    <s v="181539.722"/>
    <s v="הזנה בתיכון כ ב                 "/>
    <m/>
    <m/>
    <n v="20000"/>
    <n v="20000"/>
    <n v="20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2"/>
    <s v="חומרים"/>
    <s v="722"/>
    <e v="#N/A"/>
  </r>
  <r>
    <n v="723"/>
    <s v="81539"/>
    <n v="1"/>
    <s v="181539.723"/>
    <s v="חמרים ומכשירי לימוד לכתות טכנו  "/>
    <m/>
    <m/>
    <n v="36000"/>
    <n v="37000"/>
    <n v="55999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2"/>
    <s v="חומרים"/>
    <s v="723"/>
    <e v="#N/A"/>
  </r>
  <r>
    <n v="724"/>
    <s v="81539"/>
    <n v="1"/>
    <s v="181539.724"/>
    <s v="כלים וחמרים למעבדות             "/>
    <m/>
    <m/>
    <n v="8000"/>
    <n v="8000"/>
    <n v="8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2"/>
    <s v="חומרים"/>
    <s v="724"/>
    <e v="#N/A"/>
  </r>
  <r>
    <n v="725"/>
    <s v="81539"/>
    <n v="1"/>
    <s v="181539.725"/>
    <s v="דמי שיכפול                      "/>
    <m/>
    <m/>
    <n v="4000"/>
    <n v="4000"/>
    <n v="3999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2"/>
    <s v="חומרים"/>
    <s v="725"/>
    <e v="#N/A"/>
  </r>
  <r>
    <n v="751"/>
    <s v="81539"/>
    <n v="1"/>
    <s v="181539.751"/>
    <s v="קבלנות ניקיון                   "/>
    <m/>
    <m/>
    <n v="162000"/>
    <n v="155000"/>
    <n v="157999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5"/>
    <s v="עבודות קבלניות"/>
    <s v="751"/>
    <e v="#N/A"/>
  </r>
  <r>
    <n v="781"/>
    <s v="81539"/>
    <n v="1"/>
    <s v="181539.781"/>
    <s v="הוצאות אחזקה כללית              "/>
    <m/>
    <m/>
    <n v="2000"/>
    <n v="2000"/>
    <n v="2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1"/>
    <e v="#N/A"/>
  </r>
  <r>
    <n v="784"/>
    <s v="81539"/>
    <n v="1"/>
    <s v="181539.784"/>
    <s v="העשרה בעירוני כ ב               "/>
    <m/>
    <m/>
    <n v="20000"/>
    <n v="20000"/>
    <n v="29000"/>
    <m/>
    <x v="7"/>
    <s v="שירותים ממלכתיים"/>
    <x v="33"/>
    <s v="חינוך"/>
    <x v="111"/>
    <s v="חינוך על יסודי"/>
    <s v="8153"/>
    <s v="בתי״ס ערב על יסודיים"/>
    <m/>
    <s v="7"/>
    <x v="13"/>
    <s v="78"/>
    <s v="הוצאות שונות"/>
    <s v="784"/>
    <e v="#N/A"/>
  </r>
  <r>
    <n v="864"/>
    <s v="81539"/>
    <n v="1"/>
    <s v="181539.864"/>
    <s v="אסיסטנטים לחדרי מחשב-יובל חינוך "/>
    <m/>
    <m/>
    <n v="71000"/>
    <n v="65000"/>
    <n v="67000"/>
    <m/>
    <x v="7"/>
    <s v="שירותים ממלכתיים"/>
    <x v="33"/>
    <s v="חינוך"/>
    <x v="111"/>
    <s v="חינוך על יסודי"/>
    <s v="8153"/>
    <s v="בתי״ס ערב על יסודיים"/>
    <m/>
    <s v="8"/>
    <x v="16"/>
    <s v="86"/>
    <s v="הנחות"/>
    <s v="864"/>
    <e v="#N/A"/>
  </r>
  <r>
    <n v="981"/>
    <s v="81539"/>
    <n v="1"/>
    <s v="181539.981"/>
    <s v="רכישת ציוד לחינוך גופני         "/>
    <m/>
    <m/>
    <n v="2000"/>
    <n v="2000"/>
    <n v="2000"/>
    <m/>
    <x v="7"/>
    <s v="שירותים ממלכתיים"/>
    <x v="33"/>
    <s v="חינוך"/>
    <x v="111"/>
    <s v="חינוך על יסודי"/>
    <s v="8153"/>
    <s v="בתי״ס ערב על יסודיים"/>
    <m/>
    <s v="9"/>
    <x v="17"/>
    <s v="98"/>
    <s v="הוצאות אחרות"/>
    <s v="981"/>
    <e v="#N/A"/>
  </r>
  <r>
    <n v="870"/>
    <s v="81541"/>
    <n v="1"/>
    <s v="181541.870"/>
    <s v="ס. שאינו חוזר                   "/>
    <m/>
    <m/>
    <n v="0"/>
    <n v="250000"/>
    <n v="30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7"/>
    <s v="תמיכות ביחידות סמך ומוסדות הרשות"/>
    <s v="870"/>
    <e v="#N/A"/>
  </r>
  <r>
    <n v="882"/>
    <s v="81541"/>
    <n v="1"/>
    <s v="181541.882"/>
    <s v="השתת'לחטיבה עליונה-גמנסיה הרצליה"/>
    <m/>
    <m/>
    <n v="210000"/>
    <n v="210000"/>
    <n v="210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8"/>
    <e v="#N/A"/>
    <s v="882"/>
    <e v="#N/A"/>
  </r>
  <r>
    <n v="883"/>
    <s v="81541"/>
    <n v="1"/>
    <s v="181541.883"/>
    <s v="השתת' לחטיבה עליונה-תיכון חדש   "/>
    <m/>
    <m/>
    <n v="190000"/>
    <n v="190000"/>
    <n v="190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8"/>
    <e v="#N/A"/>
    <s v="883"/>
    <e v="#N/A"/>
  </r>
  <r>
    <n v="885"/>
    <s v="81541"/>
    <n v="1"/>
    <s v="181541.885"/>
    <s v="השתת' לביה ס המקיף אמי ת        "/>
    <m/>
    <m/>
    <n v="125000"/>
    <n v="125000"/>
    <n v="125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8"/>
    <e v="#N/A"/>
    <s v="885"/>
    <e v="#N/A"/>
  </r>
  <r>
    <n v="887"/>
    <s v="81541"/>
    <n v="1"/>
    <s v="181541.887"/>
    <s v="השתתפות לבי ס תיכון י' כי ח     "/>
    <m/>
    <m/>
    <n v="50000"/>
    <n v="50000"/>
    <n v="50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8"/>
    <e v="#N/A"/>
    <s v="887"/>
    <e v="#N/A"/>
  </r>
  <r>
    <n v="110"/>
    <s v="81544"/>
    <n v="1"/>
    <s v="181544.110"/>
    <s v="משכורת כוללת                    "/>
    <m/>
    <m/>
    <n v="149000"/>
    <n v="140000"/>
    <n v="148488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1"/>
    <s v="השכר הקובע"/>
    <s v="110"/>
    <e v="#N/A"/>
  </r>
  <r>
    <n v="124"/>
    <s v="81544"/>
    <n v="1"/>
    <s v="181544.124"/>
    <s v="החזר הוצאות                     "/>
    <m/>
    <m/>
    <n v="8000"/>
    <n v="7000"/>
    <n v="7042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2"/>
    <s v="תוספות שאינן נכללות בשכר הקובע"/>
    <s v="124"/>
    <e v="#N/A"/>
  </r>
  <r>
    <n v="126"/>
    <s v="81544"/>
    <n v="1"/>
    <s v="181544.126"/>
    <s v="הבראה                           "/>
    <m/>
    <m/>
    <n v="7000"/>
    <n v="6000"/>
    <n v="7493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2"/>
    <s v="תוספות שאינן נכללות בשכר הקובע"/>
    <s v="126"/>
    <e v="#N/A"/>
  </r>
  <r>
    <n v="130"/>
    <s v="81544"/>
    <n v="1"/>
    <s v="181544.130"/>
    <s v="תשלומים מיוחדים                 "/>
    <m/>
    <m/>
    <n v="50000"/>
    <n v="44000"/>
    <n v="49996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3"/>
    <s v="שעות נוספות"/>
    <s v="130"/>
    <e v="#N/A"/>
  </r>
  <r>
    <n v="181"/>
    <s v="81544"/>
    <n v="1"/>
    <s v="181544.181"/>
    <s v="מיסים וביטוח לאומי              "/>
    <m/>
    <m/>
    <n v="28000"/>
    <n v="26000"/>
    <n v="26669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8"/>
    <s v="נלוות לשכר"/>
    <s v="181"/>
    <s v="הפרשות סוציאליות"/>
  </r>
  <r>
    <n v="182"/>
    <s v="81544"/>
    <n v="1"/>
    <s v="181544.182"/>
    <s v="קופות גמל והשתלמות              "/>
    <m/>
    <m/>
    <n v="32000"/>
    <n v="29000"/>
    <n v="31944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8"/>
    <s v="נלוות לשכר"/>
    <s v="182"/>
    <s v="מיסיום ועלויות"/>
  </r>
  <r>
    <n v="882"/>
    <s v="81544"/>
    <n v="1"/>
    <s v="181544.882"/>
    <s v="השת' לתיכון מקיף עמל ע ש ל.דויס "/>
    <m/>
    <m/>
    <n v="30000"/>
    <n v="30000"/>
    <n v="3000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8"/>
    <x v="16"/>
    <s v="88"/>
    <e v="#N/A"/>
    <s v="882"/>
    <e v="#N/A"/>
  </r>
  <r>
    <n v="110"/>
    <s v="81545"/>
    <n v="1"/>
    <s v="181545.110"/>
    <s v="משכורת כוללת                    "/>
    <m/>
    <m/>
    <n v="705000"/>
    <n v="726000"/>
    <n v="829869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1"/>
    <s v="השכר הקובע"/>
    <s v="110"/>
    <e v="#N/A"/>
  </r>
  <r>
    <n v="124"/>
    <s v="81545"/>
    <n v="1"/>
    <s v="181545.124"/>
    <s v="החזר הוצאות                     "/>
    <m/>
    <m/>
    <n v="52000"/>
    <n v="50000"/>
    <n v="59006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2"/>
    <s v="תוספות שאינן נכללות בשכר הקובע"/>
    <s v="124"/>
    <e v="#N/A"/>
  </r>
  <r>
    <n v="126"/>
    <s v="81545"/>
    <n v="1"/>
    <s v="181545.126"/>
    <s v="הבראה                           "/>
    <m/>
    <m/>
    <n v="46000"/>
    <n v="47000"/>
    <n v="61093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2"/>
    <s v="תוספות שאינן נכללות בשכר הקובע"/>
    <s v="126"/>
    <e v="#N/A"/>
  </r>
  <r>
    <n v="127"/>
    <s v="81545"/>
    <n v="1"/>
    <s v="181545.127"/>
    <s v="השתתפות באחזקת רכב - 2          "/>
    <m/>
    <m/>
    <n v="49000"/>
    <n v="63000"/>
    <n v="70681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2"/>
    <s v="תוספות שאינן נכללות בשכר הקובע"/>
    <s v="127"/>
    <e v="#N/A"/>
  </r>
  <r>
    <n v="130"/>
    <s v="81545"/>
    <n v="1"/>
    <s v="181545.130"/>
    <s v="תשלומים מיוחדים                 "/>
    <m/>
    <m/>
    <n v="252000"/>
    <n v="241000"/>
    <n v="292040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3"/>
    <s v="שעות נוספות"/>
    <s v="130"/>
    <e v="#N/A"/>
  </r>
  <r>
    <n v="170"/>
    <s v="81545"/>
    <n v="1"/>
    <s v="181545.170"/>
    <s v="סעיף שאינו חוזר                 "/>
    <m/>
    <m/>
    <n v="0"/>
    <n v="0"/>
    <n v="17866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7"/>
    <e v="#N/A"/>
    <s v="170"/>
    <e v="#N/A"/>
  </r>
  <r>
    <n v="181"/>
    <s v="81545"/>
    <n v="1"/>
    <s v="181545.181"/>
    <s v="מיסים וביטוח לאומי              "/>
    <m/>
    <m/>
    <n v="144000"/>
    <n v="147000"/>
    <n v="168362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8"/>
    <s v="נלוות לשכר"/>
    <s v="181"/>
    <s v="הפרשות סוציאליות"/>
  </r>
  <r>
    <n v="182"/>
    <s v="81545"/>
    <n v="1"/>
    <s v="181545.182"/>
    <s v="קופות גמל והשתלמות              "/>
    <m/>
    <m/>
    <n v="118000"/>
    <n v="127000"/>
    <n v="144982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1"/>
    <x v="9"/>
    <s v="18"/>
    <s v="נלוות לשכר"/>
    <s v="182"/>
    <s v="מיסיום ועלויות"/>
  </r>
  <r>
    <n v="399"/>
    <s v="81545"/>
    <n v="1"/>
    <s v="181545.399"/>
    <s v="השתתפות רשת עמל -שבח            "/>
    <m/>
    <m/>
    <n v="-1141000"/>
    <n v="-1119000"/>
    <n v="-1262422"/>
    <m/>
    <x v="7"/>
    <s v="שירותים ממלכתיים"/>
    <x v="33"/>
    <s v="חינוך"/>
    <x v="111"/>
    <s v="חינוך על יסודי"/>
    <s v="8154"/>
    <s v="ישיבות תיכוניות אולפנות ומתיבתאות"/>
    <m/>
    <s v="3"/>
    <x v="14"/>
    <s v="39"/>
    <e v="#N/A"/>
    <s v="399"/>
    <e v="#N/A"/>
  </r>
  <r>
    <n v="861"/>
    <s v="81555"/>
    <n v="1"/>
    <s v="181555.861"/>
    <s v="בי ס רוז מצקין-יובל חינוך       "/>
    <m/>
    <m/>
    <n v="2500000"/>
    <n v="2400000"/>
    <n v="2400000"/>
    <m/>
    <x v="7"/>
    <s v="שירותים ממלכתיים"/>
    <x v="33"/>
    <s v="חינוך"/>
    <x v="111"/>
    <s v="חינוך על יסודי"/>
    <s v="8155"/>
    <s v="בתי״ס על יסודיים מקצועיים"/>
    <m/>
    <s v="8"/>
    <x v="16"/>
    <s v="86"/>
    <s v="הנחות"/>
    <s v="861"/>
    <e v="#N/A"/>
  </r>
  <r>
    <n v="110"/>
    <s v="81561"/>
    <n v="1"/>
    <s v="181561.110"/>
    <s v="משכורת כוללת                    "/>
    <m/>
    <m/>
    <n v="206000"/>
    <n v="202000"/>
    <n v="298175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1"/>
    <s v="השכר הקובע"/>
    <s v="110"/>
    <e v="#N/A"/>
  </r>
  <r>
    <n v="124"/>
    <s v="81561"/>
    <n v="1"/>
    <s v="181561.124"/>
    <s v="החזר הוצאות                     "/>
    <m/>
    <m/>
    <n v="9000"/>
    <n v="9000"/>
    <n v="13688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2"/>
    <s v="תוספות שאינן נכללות בשכר הקובע"/>
    <s v="124"/>
    <e v="#N/A"/>
  </r>
  <r>
    <n v="126"/>
    <s v="81561"/>
    <n v="1"/>
    <s v="181561.126"/>
    <s v="הבראה                           "/>
    <m/>
    <m/>
    <n v="12000"/>
    <n v="12000"/>
    <n v="17510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2"/>
    <s v="תוספות שאינן נכללות בשכר הקובע"/>
    <s v="126"/>
    <e v="#N/A"/>
  </r>
  <r>
    <n v="127"/>
    <s v="81561"/>
    <n v="1"/>
    <s v="181561.127"/>
    <s v="השתתפות באחזקת רכב - 2          "/>
    <m/>
    <m/>
    <n v="47000"/>
    <n v="46000"/>
    <n v="67312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2"/>
    <s v="תוספות שאינן נכללות בשכר הקובע"/>
    <s v="127"/>
    <e v="#N/A"/>
  </r>
  <r>
    <n v="130"/>
    <s v="81561"/>
    <n v="1"/>
    <s v="181561.130"/>
    <s v="תשלומים מיוחדים                 "/>
    <m/>
    <m/>
    <n v="67000"/>
    <n v="66000"/>
    <n v="101299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3"/>
    <s v="שעות נוספות"/>
    <s v="130"/>
    <e v="#N/A"/>
  </r>
  <r>
    <n v="181"/>
    <s v="81561"/>
    <n v="1"/>
    <s v="181561.181"/>
    <s v="מיסים וביטוח לאומי              "/>
    <m/>
    <m/>
    <n v="45000"/>
    <n v="44000"/>
    <n v="66100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8"/>
    <s v="נלוות לשכר"/>
    <s v="181"/>
    <s v="הפרשות סוציאליות"/>
  </r>
  <r>
    <n v="182"/>
    <s v="81561"/>
    <n v="1"/>
    <s v="181561.182"/>
    <s v="קופות גמל והשתלמות              "/>
    <m/>
    <m/>
    <n v="31000"/>
    <n v="30000"/>
    <n v="44987"/>
    <m/>
    <x v="7"/>
    <s v="שירותים ממלכתיים"/>
    <x v="33"/>
    <s v="חינוך"/>
    <x v="111"/>
    <s v="חינוך על יסודי"/>
    <s v="8156"/>
    <s v="בתי״ס על יסודיים חקלאיים"/>
    <m/>
    <s v="1"/>
    <x v="9"/>
    <s v="18"/>
    <s v="נלוות לשכר"/>
    <s v="182"/>
    <s v="מיסיום ועלויות"/>
  </r>
  <r>
    <n v="310"/>
    <s v="81561"/>
    <n v="1"/>
    <s v="181561.310"/>
    <s v="שעות נוספות רשומות              "/>
    <m/>
    <m/>
    <n v="3000"/>
    <n v="3000"/>
    <n v="11654"/>
    <m/>
    <x v="7"/>
    <s v="שירותים ממלכתיים"/>
    <x v="33"/>
    <s v="חינוך"/>
    <x v="111"/>
    <s v="חינוך על יסודי"/>
    <s v="8156"/>
    <s v="בתי״ס על יסודיים חקלאיים"/>
    <m/>
    <s v="3"/>
    <x v="14"/>
    <s v="31"/>
    <s v="פנסיה"/>
    <s v="310"/>
    <e v="#N/A"/>
  </r>
  <r>
    <n v="863"/>
    <s v="81561"/>
    <n v="1"/>
    <s v="181561.863"/>
    <s v="הפעלת מרכז פיס-יד אליהו יובל חינ"/>
    <m/>
    <m/>
    <n v="130000"/>
    <n v="130000"/>
    <n v="129999"/>
    <m/>
    <x v="7"/>
    <s v="שירותים ממלכתיים"/>
    <x v="33"/>
    <s v="חינוך"/>
    <x v="111"/>
    <s v="חינוך על יסודי"/>
    <s v="8156"/>
    <s v="בתי״ס על יסודיים חקלאיים"/>
    <m/>
    <s v="8"/>
    <x v="16"/>
    <s v="86"/>
    <s v="הנחות"/>
    <s v="863"/>
    <e v="#N/A"/>
  </r>
  <r>
    <n v="869"/>
    <s v="81561"/>
    <n v="1"/>
    <s v="181561.869"/>
    <s v="קבלני ניקיון-יובל חינוך         "/>
    <m/>
    <m/>
    <n v="323000"/>
    <n v="333000"/>
    <n v="288763"/>
    <m/>
    <x v="7"/>
    <s v="שירותים ממלכתיים"/>
    <x v="33"/>
    <s v="חינוך"/>
    <x v="111"/>
    <s v="חינוך על יסודי"/>
    <s v="8156"/>
    <s v="בתי״ס על יסודיים חקלאיים"/>
    <m/>
    <s v="8"/>
    <x v="16"/>
    <s v="86"/>
    <s v="הנחות"/>
    <s v="869"/>
    <e v="#N/A"/>
  </r>
  <r>
    <n v="821"/>
    <s v="81591"/>
    <n v="1"/>
    <s v="181591.821"/>
    <s v="מלגות מקרנות - חינוך תיכון      "/>
    <m/>
    <m/>
    <n v="252000"/>
    <n v="252000"/>
    <n v="283000"/>
    <m/>
    <x v="7"/>
    <s v="שירותים ממלכתיים"/>
    <x v="33"/>
    <s v="חינוך"/>
    <x v="111"/>
    <s v="חינוך על יסודי"/>
    <s v="8159"/>
    <e v="#N/A"/>
    <m/>
    <s v="8"/>
    <x v="16"/>
    <s v="82"/>
    <s v="הקצבות בהמלצת ועדת הקצבות"/>
    <s v="821"/>
    <e v="#N/A"/>
  </r>
  <r>
    <n v="881"/>
    <s v="81591"/>
    <n v="1"/>
    <s v="181591.881"/>
    <s v="הכנסות מבתי ס המשתתפים בחמד ע   "/>
    <m/>
    <m/>
    <n v="-1000000"/>
    <n v="-885000"/>
    <n v="-1030197"/>
    <m/>
    <x v="7"/>
    <s v="שירותים ממלכתיים"/>
    <x v="33"/>
    <s v="חינוך"/>
    <x v="111"/>
    <s v="חינוך על יסודי"/>
    <s v="8159"/>
    <e v="#N/A"/>
    <m/>
    <s v="8"/>
    <x v="16"/>
    <s v="88"/>
    <e v="#N/A"/>
    <s v="881"/>
    <e v="#N/A"/>
  </r>
  <r>
    <n v="881"/>
    <s v="81591"/>
    <n v="1"/>
    <s v="181591.881"/>
    <s v="השתת' לעמותת חמד ע              "/>
    <m/>
    <m/>
    <n v="7090000"/>
    <n v="7090000"/>
    <n v="6890000"/>
    <m/>
    <x v="7"/>
    <s v="שירותים ממלכתיים"/>
    <x v="33"/>
    <s v="חינוך"/>
    <x v="111"/>
    <s v="חינוך על יסודי"/>
    <s v="8159"/>
    <e v="#N/A"/>
    <m/>
    <s v="8"/>
    <x v="16"/>
    <s v="88"/>
    <e v="#N/A"/>
    <s v="881"/>
    <e v="#N/A"/>
  </r>
  <r>
    <n v="882"/>
    <s v="81591"/>
    <n v="1"/>
    <s v="181591.882"/>
    <s v="השתת' לתיכון בית יעקב -עצמאי    "/>
    <m/>
    <m/>
    <n v="310000"/>
    <n v="310000"/>
    <n v="310000"/>
    <m/>
    <x v="7"/>
    <s v="שירותים ממלכתיים"/>
    <x v="33"/>
    <s v="חינוך"/>
    <x v="111"/>
    <s v="חינוך על יסודי"/>
    <s v="8159"/>
    <e v="#N/A"/>
    <m/>
    <s v="8"/>
    <x v="16"/>
    <s v="88"/>
    <e v="#N/A"/>
    <s v="882"/>
    <e v="#N/A"/>
  </r>
  <r>
    <n v="781"/>
    <s v="81620"/>
    <n v="1"/>
    <s v="181620.781"/>
    <s v="טקס חלוקת מלגות-קרן קנטור       "/>
    <m/>
    <m/>
    <n v="6000"/>
    <n v="6000"/>
    <n v="6000"/>
    <m/>
    <x v="7"/>
    <s v="שירותים ממלכתיים"/>
    <x v="33"/>
    <s v="חינוך"/>
    <x v="112"/>
    <s v="חינוך גבוה"/>
    <s v="8162"/>
    <s v="אוניברסיטאות"/>
    <m/>
    <s v="7"/>
    <x v="13"/>
    <s v="78"/>
    <s v="הוצאות שונות"/>
    <s v="781"/>
    <e v="#N/A"/>
  </r>
  <r>
    <n v="821"/>
    <s v="81620"/>
    <n v="1"/>
    <s v="181620.821"/>
    <s v="מלגות מקרנות-אוניברסיטת ת א     "/>
    <m/>
    <m/>
    <n v="56000"/>
    <n v="56000"/>
    <n v="43490"/>
    <m/>
    <x v="7"/>
    <s v="שירותים ממלכתיים"/>
    <x v="33"/>
    <s v="חינוך"/>
    <x v="112"/>
    <s v="חינוך גבוה"/>
    <s v="8162"/>
    <s v="אוניברסיטאות"/>
    <m/>
    <s v="8"/>
    <x v="16"/>
    <s v="82"/>
    <s v="הקצבות בהמלצת ועדת הקצבות"/>
    <s v="821"/>
    <e v="#N/A"/>
  </r>
  <r>
    <n v="822"/>
    <s v="81620"/>
    <n v="1"/>
    <s v="181620.822"/>
    <s v="מלגות מקרן רחל ושרגא קנטור      "/>
    <m/>
    <m/>
    <n v="34000"/>
    <n v="34000"/>
    <n v="33000"/>
    <m/>
    <x v="7"/>
    <s v="שירותים ממלכתיים"/>
    <x v="33"/>
    <s v="חינוך"/>
    <x v="112"/>
    <s v="חינוך גבוה"/>
    <s v="8162"/>
    <s v="אוניברסיטאות"/>
    <m/>
    <s v="8"/>
    <x v="16"/>
    <s v="82"/>
    <s v="הקצבות בהמלצת ועדת הקצבות"/>
    <s v="822"/>
    <e v="#N/A"/>
  </r>
  <r>
    <n v="824"/>
    <s v="81620"/>
    <n v="1"/>
    <s v="181620.824"/>
    <s v="מלגות לסטודנטים-פרוייקט הנצחה   "/>
    <m/>
    <m/>
    <n v="27000"/>
    <n v="27000"/>
    <n v="26950"/>
    <m/>
    <x v="7"/>
    <s v="שירותים ממלכתיים"/>
    <x v="33"/>
    <s v="חינוך"/>
    <x v="112"/>
    <s v="חינוך גבוה"/>
    <s v="8162"/>
    <s v="אוניברסיטאות"/>
    <m/>
    <s v="8"/>
    <x v="16"/>
    <s v="82"/>
    <s v="הקצבות בהמלצת ועדת הקצבות"/>
    <s v="824"/>
    <e v="#N/A"/>
  </r>
  <r>
    <n v="851"/>
    <s v="81620"/>
    <n v="1"/>
    <s v="181620.851"/>
    <s v="תוכנית לעידוד השכלה גבוהה-חברה ל"/>
    <m/>
    <m/>
    <n v="199000"/>
    <n v="199000"/>
    <n v="199000"/>
    <m/>
    <x v="7"/>
    <s v="שירותים ממלכתיים"/>
    <x v="33"/>
    <s v="חינוך"/>
    <x v="112"/>
    <s v="חינוך גבוה"/>
    <s v="8162"/>
    <s v="אוניברסיטאות"/>
    <m/>
    <s v="8"/>
    <x v="16"/>
    <s v="85"/>
    <s v="מלגות לתלמידים וסטודנטים"/>
    <s v="851"/>
    <e v="#N/A"/>
  </r>
  <r>
    <n v="852"/>
    <s v="81620"/>
    <n v="1"/>
    <s v="181620.852"/>
    <s v="מלגות לסטודנטים-שכ' שקום- ע י חב"/>
    <m/>
    <m/>
    <n v="488000"/>
    <n v="486000"/>
    <n v="409000"/>
    <m/>
    <x v="7"/>
    <s v="שירותים ממלכתיים"/>
    <x v="33"/>
    <s v="חינוך"/>
    <x v="112"/>
    <s v="חינוך גבוה"/>
    <s v="8162"/>
    <s v="אוניברסיטאות"/>
    <m/>
    <s v="8"/>
    <x v="16"/>
    <s v="85"/>
    <s v="מלגות לתלמידים וסטודנטים"/>
    <s v="852"/>
    <e v="#N/A"/>
  </r>
  <r>
    <n v="870"/>
    <s v="81620"/>
    <n v="1"/>
    <s v="181620.870"/>
    <s v="ס. שאינו חוזר                   "/>
    <m/>
    <m/>
    <n v="0"/>
    <n v="1782000"/>
    <n v="0"/>
    <m/>
    <x v="7"/>
    <s v="שירותים ממלכתיים"/>
    <x v="33"/>
    <s v="חינוך"/>
    <x v="112"/>
    <s v="חינוך גבוה"/>
    <s v="8162"/>
    <s v="אוניברסיטאות"/>
    <m/>
    <s v="8"/>
    <x v="16"/>
    <s v="87"/>
    <s v="תמיכות ביחידות סמך ומוסדות הרשות"/>
    <s v="870"/>
    <e v="#N/A"/>
  </r>
  <r>
    <n v="110"/>
    <s v="82110"/>
    <n v="1"/>
    <s v="182110.110"/>
    <s v="משכורת כוללת                    "/>
    <m/>
    <m/>
    <n v="883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1"/>
    <s v="השכר הקובע"/>
    <s v="110"/>
    <e v="#N/A"/>
  </r>
  <r>
    <n v="124"/>
    <s v="82110"/>
    <n v="1"/>
    <s v="182110.124"/>
    <s v="החזר הוצאות                     "/>
    <m/>
    <m/>
    <n v="18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2"/>
    <s v="תוספות שאינן נכללות בשכר הקובע"/>
    <s v="124"/>
    <e v="#N/A"/>
  </r>
  <r>
    <n v="126"/>
    <s v="82110"/>
    <n v="1"/>
    <s v="182110.126"/>
    <s v="הבראה                           "/>
    <m/>
    <m/>
    <n v="21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2"/>
    <s v="תוספות שאינן נכללות בשכר הקובע"/>
    <s v="126"/>
    <e v="#N/A"/>
  </r>
  <r>
    <n v="127"/>
    <s v="82110"/>
    <n v="1"/>
    <s v="182110.127"/>
    <s v="השתתפות באחזקת רכב - 2          "/>
    <m/>
    <m/>
    <n v="43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2"/>
    <s v="תוספות שאינן נכללות בשכר הקובע"/>
    <s v="127"/>
    <e v="#N/A"/>
  </r>
  <r>
    <n v="130"/>
    <s v="82110"/>
    <n v="1"/>
    <s v="182110.130"/>
    <s v="תשלומים מיוחדים                 "/>
    <m/>
    <m/>
    <n v="27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3"/>
    <s v="שעות נוספות"/>
    <s v="130"/>
    <e v="#N/A"/>
  </r>
  <r>
    <n v="181"/>
    <s v="82110"/>
    <n v="1"/>
    <s v="182110.181"/>
    <s v="מיסים וביטוח לאומי              "/>
    <m/>
    <m/>
    <n v="132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8"/>
    <s v="נלוות לשכר"/>
    <s v="181"/>
    <s v="הפרשות סוציאליות"/>
  </r>
  <r>
    <n v="182"/>
    <s v="82110"/>
    <n v="1"/>
    <s v="182110.182"/>
    <s v="קופות גמל והשתלמות              "/>
    <m/>
    <m/>
    <n v="204000"/>
    <n v="0"/>
    <n v="0"/>
    <m/>
    <x v="7"/>
    <s v="שירותים ממלכתיים"/>
    <x v="34"/>
    <s v="תרבות"/>
    <x v="113"/>
    <s v="מינהל התרבות"/>
    <s v="8211"/>
    <e v="#N/A"/>
    <m/>
    <s v="1"/>
    <x v="9"/>
    <s v="18"/>
    <s v="נלוות לשכר"/>
    <s v="182"/>
    <s v="מיסיום ועלויות"/>
  </r>
  <r>
    <n v="310"/>
    <s v="82110"/>
    <n v="1"/>
    <s v="182110.310"/>
    <s v="שעות נוספות רשומות              "/>
    <m/>
    <m/>
    <n v="12000"/>
    <n v="0"/>
    <n v="0"/>
    <m/>
    <x v="7"/>
    <s v="שירותים ממלכתיים"/>
    <x v="34"/>
    <s v="תרבות"/>
    <x v="113"/>
    <s v="מינהל התרבות"/>
    <s v="8211"/>
    <e v="#N/A"/>
    <m/>
    <s v="3"/>
    <x v="14"/>
    <s v="31"/>
    <s v="פנסיה"/>
    <s v="310"/>
    <e v="#N/A"/>
  </r>
  <r>
    <n v="433"/>
    <s v="82110"/>
    <n v="1"/>
    <s v="182110.433"/>
    <s v="ביטוח                           "/>
    <m/>
    <m/>
    <n v="9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3"/>
    <s v="חשמל, מים וחומרי ניקיון"/>
    <s v="433"/>
    <s v="חומרי ניקיון"/>
  </r>
  <r>
    <n v="434"/>
    <s v="82110"/>
    <n v="1"/>
    <s v="182110.434"/>
    <s v="תקוני מבנים  מתקנים ואינונטר    "/>
    <m/>
    <m/>
    <n v="10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3"/>
    <s v="חשמל, מים וחומרי ניקיון"/>
    <s v="434"/>
    <s v="שירותי ניקיון"/>
  </r>
  <r>
    <n v="439"/>
    <s v="82110"/>
    <n v="1"/>
    <s v="182110.439"/>
    <s v="אחזקת בנייני העירייה - השתתפות  "/>
    <m/>
    <m/>
    <n v="583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3"/>
    <s v="חשמל, מים וחומרי ניקיון"/>
    <s v="439"/>
    <e v="#N/A"/>
  </r>
  <r>
    <n v="461"/>
    <s v="82110"/>
    <n v="1"/>
    <s v="182110.461"/>
    <s v="צרכי משרד                       "/>
    <m/>
    <m/>
    <n v="10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6"/>
    <e v="#N/A"/>
    <s v="461"/>
    <e v="#N/A"/>
  </r>
  <r>
    <n v="462"/>
    <s v="82110"/>
    <n v="1"/>
    <s v="182110.462"/>
    <s v="ספרים ועתונים                   "/>
    <m/>
    <m/>
    <n v="3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6"/>
    <e v="#N/A"/>
    <s v="462"/>
    <e v="#N/A"/>
  </r>
  <r>
    <n v="464"/>
    <s v="82110"/>
    <n v="1"/>
    <s v="182110.464"/>
    <s v="דאר                             "/>
    <m/>
    <m/>
    <n v="2000"/>
    <n v="0"/>
    <n v="0"/>
    <m/>
    <x v="7"/>
    <s v="שירותים ממלכתיים"/>
    <x v="34"/>
    <s v="תרבות"/>
    <x v="113"/>
    <s v="מינהל התרבות"/>
    <s v="8211"/>
    <e v="#N/A"/>
    <m/>
    <s v="4"/>
    <x v="15"/>
    <s v="46"/>
    <e v="#N/A"/>
    <s v="464"/>
    <e v="#N/A"/>
  </r>
  <r>
    <n v="510"/>
    <s v="82110"/>
    <n v="1"/>
    <s v="182110.510"/>
    <s v="נסיעות  ואש ל                   "/>
    <m/>
    <m/>
    <n v="2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1"/>
    <s v="אש&quot;ל וכיבודים"/>
    <s v="510"/>
    <e v="#N/A"/>
  </r>
  <r>
    <n v="521"/>
    <s v="82110"/>
    <n v="1"/>
    <s v="182110.521"/>
    <s v="הדרכה וכנסים                    "/>
    <m/>
    <m/>
    <n v="4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2"/>
    <s v="השתלמויות וספרות מקצועית"/>
    <s v="521"/>
    <s v="השתלמויות וספרות מקצועית"/>
  </r>
  <r>
    <n v="522"/>
    <s v="82110"/>
    <n v="1"/>
    <s v="182110.522"/>
    <s v="גיבוש יחידתי                    "/>
    <m/>
    <m/>
    <n v="2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2"/>
    <s v="השתלמויות וספרות מקצועית"/>
    <s v="522"/>
    <s v="ספרות מקצועית ועיתונות"/>
  </r>
  <r>
    <n v="531"/>
    <s v="82110"/>
    <n v="1"/>
    <s v="182110.531"/>
    <s v="אחזקת רכב                       "/>
    <m/>
    <m/>
    <n v="10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3"/>
    <s v="הוצאות רכב מינהלי"/>
    <s v="531"/>
    <s v="דלק ושמנים"/>
  </r>
  <r>
    <n v="533"/>
    <s v="82110"/>
    <n v="1"/>
    <s v="182110.533"/>
    <s v="שכירת רכב ורכב עירוני           "/>
    <m/>
    <m/>
    <n v="68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3"/>
    <s v="הוצאות רכב מינהלי"/>
    <s v="533"/>
    <s v="רישוי וביטוח"/>
  </r>
  <r>
    <n v="534"/>
    <s v="82110"/>
    <n v="1"/>
    <s v="182110.534"/>
    <s v="דלק ושמן                        "/>
    <m/>
    <m/>
    <n v="32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3"/>
    <s v="הוצאות רכב מינהלי"/>
    <s v="534"/>
    <e v="#N/A"/>
  </r>
  <r>
    <n v="541"/>
    <s v="82110"/>
    <n v="1"/>
    <s v="182110.541"/>
    <s v="החזקת מכשירי קשר וסלולרי        "/>
    <m/>
    <m/>
    <n v="4000"/>
    <n v="0"/>
    <n v="0"/>
    <m/>
    <x v="7"/>
    <s v="שירותים ממלכתיים"/>
    <x v="34"/>
    <s v="תרבות"/>
    <x v="113"/>
    <s v="מינהל התרבות"/>
    <s v="8211"/>
    <e v="#N/A"/>
    <m/>
    <s v="5"/>
    <x v="11"/>
    <s v="54"/>
    <s v="הוצאות תקשורת"/>
    <s v="541"/>
    <e v="#N/A"/>
  </r>
  <r>
    <n v="610"/>
    <s v="82110"/>
    <n v="1"/>
    <s v="182110.610"/>
    <s v="כיבודים                         "/>
    <m/>
    <m/>
    <n v="6000"/>
    <n v="0"/>
    <n v="0"/>
    <m/>
    <x v="7"/>
    <s v="שירותים ממלכתיים"/>
    <x v="34"/>
    <s v="תרבות"/>
    <x v="113"/>
    <s v="מינהל התרבות"/>
    <s v="8211"/>
    <e v="#N/A"/>
    <m/>
    <s v="6"/>
    <x v="12"/>
    <s v="61"/>
    <s v="עמלות"/>
    <s v="610"/>
    <e v="#N/A"/>
  </r>
  <r>
    <n v="680"/>
    <s v="82110"/>
    <n v="1"/>
    <s v="182110.680"/>
    <s v="הוצאות מיוחדות                  "/>
    <m/>
    <m/>
    <n v="6000"/>
    <n v="0"/>
    <n v="0"/>
    <m/>
    <x v="7"/>
    <s v="שירותים ממלכתיים"/>
    <x v="34"/>
    <s v="תרבות"/>
    <x v="113"/>
    <s v="מינהל התרבות"/>
    <s v="8211"/>
    <e v="#N/A"/>
    <m/>
    <s v="6"/>
    <x v="12"/>
    <s v="68"/>
    <s v="ריבית על הוצאות אחרות"/>
    <s v="680"/>
    <e v="#N/A"/>
  </r>
  <r>
    <n v="693"/>
    <s v="82110"/>
    <n v="1"/>
    <s v="182110.693"/>
    <s v="מחשוב יחידתי                    "/>
    <m/>
    <m/>
    <n v="20000"/>
    <n v="0"/>
    <n v="0"/>
    <m/>
    <x v="7"/>
    <s v="שירותים ממלכתיים"/>
    <x v="34"/>
    <s v="תרבות"/>
    <x v="113"/>
    <s v="מינהל התרבות"/>
    <s v="8211"/>
    <e v="#N/A"/>
    <m/>
    <s v="6"/>
    <x v="12"/>
    <s v="69"/>
    <s v="שונות"/>
    <s v="693"/>
    <s v="תשלום ע&quot;ח הצמדת ערך"/>
  </r>
  <r>
    <n v="695"/>
    <s v="82110"/>
    <n v="1"/>
    <s v="182110.695"/>
    <s v="תקשורת  ציוד והתקנה             "/>
    <m/>
    <m/>
    <n v="13000"/>
    <n v="0"/>
    <n v="0"/>
    <m/>
    <x v="7"/>
    <s v="שירותים ממלכתיים"/>
    <x v="34"/>
    <s v="תרבות"/>
    <x v="113"/>
    <s v="מינהל התרבות"/>
    <s v="8211"/>
    <e v="#N/A"/>
    <m/>
    <s v="6"/>
    <x v="12"/>
    <s v="69"/>
    <s v="שונות"/>
    <s v="695"/>
    <e v="#N/A"/>
  </r>
  <r>
    <n v="751"/>
    <s v="82110"/>
    <n v="1"/>
    <s v="182110.751"/>
    <s v="ייעוץ מקצועי                    "/>
    <m/>
    <m/>
    <n v="280000"/>
    <n v="0"/>
    <n v="0"/>
    <m/>
    <x v="7"/>
    <s v="שירותים ממלכתיים"/>
    <x v="34"/>
    <s v="תרבות"/>
    <x v="113"/>
    <s v="מינהל התרבות"/>
    <s v="8211"/>
    <e v="#N/A"/>
    <m/>
    <s v="7"/>
    <x v="13"/>
    <s v="75"/>
    <s v="עבודות קבלניות"/>
    <s v="751"/>
    <e v="#N/A"/>
  </r>
  <r>
    <n v="791"/>
    <s v="82110"/>
    <n v="1"/>
    <s v="182110.791"/>
    <s v="עתודה להקמת מנהל קהילה          "/>
    <m/>
    <m/>
    <n v="11578000"/>
    <n v="0"/>
    <n v="0"/>
    <m/>
    <x v="7"/>
    <s v="שירותים ממלכתיים"/>
    <x v="34"/>
    <s v="תרבות"/>
    <x v="113"/>
    <s v="מינהל התרבות"/>
    <s v="8211"/>
    <e v="#N/A"/>
    <m/>
    <s v="7"/>
    <x v="13"/>
    <s v="79"/>
    <s v="השתתפות בתקציבי עזר 092"/>
    <s v="791"/>
    <e v="#N/A"/>
  </r>
  <r>
    <n v="932"/>
    <s v="82110"/>
    <n v="1"/>
    <s v="182110.932"/>
    <s v="ציוד וריהוט משרדי               "/>
    <m/>
    <m/>
    <n v="5000"/>
    <n v="0"/>
    <n v="0"/>
    <m/>
    <x v="7"/>
    <s v="שירותים ממלכתיים"/>
    <x v="34"/>
    <s v="תרבות"/>
    <x v="113"/>
    <s v="מינהל התרבות"/>
    <s v="8211"/>
    <e v="#N/A"/>
    <m/>
    <s v="9"/>
    <x v="17"/>
    <s v="93"/>
    <s v="רכישת ציוד יסודי"/>
    <s v="932"/>
    <e v="#N/A"/>
  </r>
  <r>
    <n v="981"/>
    <s v="82110"/>
    <n v="1"/>
    <s v="182110.981"/>
    <s v="רכישות שונות                    "/>
    <m/>
    <m/>
    <n v="13000"/>
    <n v="0"/>
    <n v="0"/>
    <m/>
    <x v="7"/>
    <s v="שירותים ממלכתיים"/>
    <x v="34"/>
    <s v="תרבות"/>
    <x v="113"/>
    <s v="מינהל התרבות"/>
    <s v="8211"/>
    <e v="#N/A"/>
    <m/>
    <s v="9"/>
    <x v="17"/>
    <s v="98"/>
    <s v="הוצאות אחרות"/>
    <s v="981"/>
    <e v="#N/A"/>
  </r>
  <r>
    <n v="110"/>
    <s v="82210"/>
    <n v="1"/>
    <s v="182210.110"/>
    <s v="משכורת כוללת                    "/>
    <m/>
    <m/>
    <n v="468000"/>
    <n v="644000"/>
    <n v="801776"/>
    <m/>
    <x v="7"/>
    <s v="שירותים ממלכתיים"/>
    <x v="34"/>
    <s v="תרבות"/>
    <x v="114"/>
    <s v="פעולות תרבות"/>
    <s v="8221"/>
    <e v="#N/A"/>
    <m/>
    <s v="1"/>
    <x v="9"/>
    <s v="11"/>
    <s v="השכר הקובע"/>
    <s v="110"/>
    <e v="#N/A"/>
  </r>
  <r>
    <n v="124"/>
    <s v="82210"/>
    <n v="1"/>
    <s v="182210.124"/>
    <s v="החזר הוצאות                     "/>
    <m/>
    <m/>
    <n v="14000"/>
    <n v="27000"/>
    <n v="25325"/>
    <m/>
    <x v="7"/>
    <s v="שירותים ממלכתיים"/>
    <x v="34"/>
    <s v="תרבות"/>
    <x v="114"/>
    <s v="פעולות תרבות"/>
    <s v="8221"/>
    <e v="#N/A"/>
    <m/>
    <s v="1"/>
    <x v="9"/>
    <s v="12"/>
    <s v="תוספות שאינן נכללות בשכר הקובע"/>
    <s v="124"/>
    <e v="#N/A"/>
  </r>
  <r>
    <n v="126"/>
    <s v="82210"/>
    <n v="1"/>
    <s v="182210.126"/>
    <s v="הבראה                           "/>
    <m/>
    <m/>
    <n v="14000"/>
    <n v="32000"/>
    <n v="25620"/>
    <m/>
    <x v="7"/>
    <s v="שירותים ממלכתיים"/>
    <x v="34"/>
    <s v="תרבות"/>
    <x v="114"/>
    <s v="פעולות תרבות"/>
    <s v="8221"/>
    <e v="#N/A"/>
    <m/>
    <s v="1"/>
    <x v="9"/>
    <s v="12"/>
    <s v="תוספות שאינן נכללות בשכר הקובע"/>
    <s v="126"/>
    <e v="#N/A"/>
  </r>
  <r>
    <n v="127"/>
    <s v="82210"/>
    <n v="1"/>
    <s v="182210.127"/>
    <s v="השתתפות באחזקת רכב - 2          "/>
    <m/>
    <m/>
    <n v="63000"/>
    <n v="102000"/>
    <n v="94129"/>
    <m/>
    <x v="7"/>
    <s v="שירותים ממלכתיים"/>
    <x v="34"/>
    <s v="תרבות"/>
    <x v="114"/>
    <s v="פעולות תרבות"/>
    <s v="8221"/>
    <e v="#N/A"/>
    <m/>
    <s v="1"/>
    <x v="9"/>
    <s v="12"/>
    <s v="תוספות שאינן נכללות בשכר הקובע"/>
    <s v="127"/>
    <e v="#N/A"/>
  </r>
  <r>
    <n v="130"/>
    <s v="82210"/>
    <n v="1"/>
    <s v="182210.130"/>
    <s v="תשלומים מיוחדים                 "/>
    <m/>
    <m/>
    <n v="68000"/>
    <n v="85000"/>
    <n v="97791"/>
    <m/>
    <x v="7"/>
    <s v="שירותים ממלכתיים"/>
    <x v="34"/>
    <s v="תרבות"/>
    <x v="114"/>
    <s v="פעולות תרבות"/>
    <s v="8221"/>
    <e v="#N/A"/>
    <m/>
    <s v="1"/>
    <x v="9"/>
    <s v="13"/>
    <s v="שעות נוספות"/>
    <s v="130"/>
    <e v="#N/A"/>
  </r>
  <r>
    <n v="170"/>
    <s v="82210"/>
    <n v="1"/>
    <s v="182210.170"/>
    <s v="סעיף שאינו חוזר                 "/>
    <m/>
    <m/>
    <n v="0"/>
    <n v="48000"/>
    <n v="0"/>
    <m/>
    <x v="7"/>
    <s v="שירותים ממלכתיים"/>
    <x v="34"/>
    <s v="תרבות"/>
    <x v="114"/>
    <s v="פעולות תרבות"/>
    <s v="8221"/>
    <e v="#N/A"/>
    <m/>
    <s v="1"/>
    <x v="9"/>
    <s v="17"/>
    <e v="#N/A"/>
    <s v="170"/>
    <e v="#N/A"/>
  </r>
  <r>
    <n v="181"/>
    <s v="82210"/>
    <n v="1"/>
    <s v="182210.181"/>
    <s v="מיסים וביטוח לאומי              "/>
    <m/>
    <m/>
    <n v="124000"/>
    <n v="163000"/>
    <n v="143667"/>
    <m/>
    <x v="7"/>
    <s v="שירותים ממלכתיים"/>
    <x v="34"/>
    <s v="תרבות"/>
    <x v="114"/>
    <s v="פעולות תרבות"/>
    <s v="8221"/>
    <e v="#N/A"/>
    <m/>
    <s v="1"/>
    <x v="9"/>
    <s v="18"/>
    <s v="נלוות לשכר"/>
    <s v="181"/>
    <s v="הפרשות סוציאליות"/>
  </r>
  <r>
    <n v="182"/>
    <s v="82210"/>
    <n v="1"/>
    <s v="182210.182"/>
    <s v="קופות גמל והשתלמות              "/>
    <m/>
    <m/>
    <n v="84000"/>
    <n v="99000"/>
    <n v="144839"/>
    <m/>
    <x v="7"/>
    <s v="שירותים ממלכתיים"/>
    <x v="34"/>
    <s v="תרבות"/>
    <x v="114"/>
    <s v="פעולות תרבות"/>
    <s v="8221"/>
    <e v="#N/A"/>
    <m/>
    <s v="1"/>
    <x v="9"/>
    <s v="18"/>
    <s v="נלוות לשכר"/>
    <s v="182"/>
    <s v="מיסיום ועלויות"/>
  </r>
  <r>
    <n v="310"/>
    <s v="82210"/>
    <n v="1"/>
    <s v="182210.310"/>
    <s v="שעות נוספות רשומות              "/>
    <m/>
    <m/>
    <n v="314000"/>
    <n v="308000"/>
    <n v="536989"/>
    <m/>
    <x v="7"/>
    <s v="שירותים ממלכתיים"/>
    <x v="34"/>
    <s v="תרבות"/>
    <x v="114"/>
    <s v="פעולות תרבות"/>
    <s v="8221"/>
    <e v="#N/A"/>
    <m/>
    <s v="3"/>
    <x v="14"/>
    <s v="31"/>
    <s v="פנסיה"/>
    <s v="310"/>
    <e v="#N/A"/>
  </r>
  <r>
    <n v="433"/>
    <s v="82210"/>
    <n v="1"/>
    <s v="182210.433"/>
    <s v="ביטוח                           "/>
    <m/>
    <m/>
    <n v="118000"/>
    <n v="121000"/>
    <n v="114000"/>
    <m/>
    <x v="7"/>
    <s v="שירותים ממלכתיים"/>
    <x v="34"/>
    <s v="תרבות"/>
    <x v="114"/>
    <s v="פעולות תרבות"/>
    <s v="8221"/>
    <e v="#N/A"/>
    <m/>
    <s v="4"/>
    <x v="15"/>
    <s v="43"/>
    <s v="חשמל, מים וחומרי ניקיון"/>
    <s v="433"/>
    <s v="חומרי ניקיון"/>
  </r>
  <r>
    <n v="461"/>
    <s v="82210"/>
    <n v="1"/>
    <s v="182210.461"/>
    <s v="צורכי משרד                      "/>
    <m/>
    <m/>
    <n v="14000"/>
    <n v="15000"/>
    <n v="13212"/>
    <m/>
    <x v="7"/>
    <s v="שירותים ממלכתיים"/>
    <x v="34"/>
    <s v="תרבות"/>
    <x v="114"/>
    <s v="פעולות תרבות"/>
    <s v="8221"/>
    <e v="#N/A"/>
    <m/>
    <s v="4"/>
    <x v="15"/>
    <s v="46"/>
    <e v="#N/A"/>
    <s v="461"/>
    <e v="#N/A"/>
  </r>
  <r>
    <n v="521"/>
    <s v="82210"/>
    <n v="1"/>
    <s v="182210.521"/>
    <s v="הדרכה וכנסים                    "/>
    <m/>
    <m/>
    <n v="5000"/>
    <n v="5000"/>
    <n v="6830"/>
    <m/>
    <x v="7"/>
    <s v="שירותים ממלכתיים"/>
    <x v="34"/>
    <s v="תרבות"/>
    <x v="114"/>
    <s v="פעולות תרבות"/>
    <s v="8221"/>
    <e v="#N/A"/>
    <m/>
    <s v="5"/>
    <x v="11"/>
    <s v="52"/>
    <s v="השתלמויות וספרות מקצועית"/>
    <s v="521"/>
    <s v="השתלמויות וספרות מקצועית"/>
  </r>
  <r>
    <n v="531"/>
    <s v="82210"/>
    <n v="1"/>
    <s v="182210.531"/>
    <s v="אחזקת רכב                       "/>
    <m/>
    <m/>
    <n v="3000"/>
    <n v="3000"/>
    <n v="-17"/>
    <m/>
    <x v="7"/>
    <s v="שירותים ממלכתיים"/>
    <x v="34"/>
    <s v="תרבות"/>
    <x v="114"/>
    <s v="פעולות תרבות"/>
    <s v="8221"/>
    <e v="#N/A"/>
    <m/>
    <s v="5"/>
    <x v="11"/>
    <s v="53"/>
    <s v="הוצאות רכב מינהלי"/>
    <s v="531"/>
    <s v="דלק ושמנים"/>
  </r>
  <r>
    <n v="532"/>
    <s v="82210"/>
    <n v="1"/>
    <s v="182210.532"/>
    <s v="ביטוח רכב                       "/>
    <m/>
    <m/>
    <n v="4000"/>
    <n v="0"/>
    <n v="0"/>
    <m/>
    <x v="7"/>
    <s v="שירותים ממלכתיים"/>
    <x v="34"/>
    <s v="תרבות"/>
    <x v="114"/>
    <s v="פעולות תרבות"/>
    <s v="8221"/>
    <e v="#N/A"/>
    <m/>
    <s v="5"/>
    <x v="11"/>
    <s v="53"/>
    <s v="הוצאות רכב מינהלי"/>
    <s v="532"/>
    <s v="תיקונים"/>
  </r>
  <r>
    <n v="533"/>
    <s v="82210"/>
    <n v="1"/>
    <s v="182210.533"/>
    <s v="שכירת רכב                       "/>
    <m/>
    <m/>
    <n v="44000"/>
    <n v="44000"/>
    <n v="42172"/>
    <m/>
    <x v="7"/>
    <s v="שירותים ממלכתיים"/>
    <x v="34"/>
    <s v="תרבות"/>
    <x v="114"/>
    <s v="פעולות תרבות"/>
    <s v="8221"/>
    <e v="#N/A"/>
    <m/>
    <s v="5"/>
    <x v="11"/>
    <s v="53"/>
    <s v="הוצאות רכב מינהלי"/>
    <s v="533"/>
    <s v="רישוי וביטוח"/>
  </r>
  <r>
    <n v="534"/>
    <s v="82210"/>
    <n v="1"/>
    <s v="182210.534"/>
    <s v="דלק ושמן                        "/>
    <m/>
    <m/>
    <n v="11000"/>
    <n v="11000"/>
    <n v="6286"/>
    <m/>
    <x v="7"/>
    <s v="שירותים ממלכתיים"/>
    <x v="34"/>
    <s v="תרבות"/>
    <x v="114"/>
    <s v="פעולות תרבות"/>
    <s v="8221"/>
    <e v="#N/A"/>
    <m/>
    <s v="5"/>
    <x v="11"/>
    <s v="53"/>
    <s v="הוצאות רכב מינהלי"/>
    <s v="534"/>
    <e v="#N/A"/>
  </r>
  <r>
    <n v="541"/>
    <s v="82210"/>
    <n v="1"/>
    <s v="182210.541"/>
    <s v="החזקת מכשירי קשר וסלולר         "/>
    <m/>
    <m/>
    <n v="51000"/>
    <n v="47000"/>
    <n v="57379"/>
    <m/>
    <x v="7"/>
    <s v="שירותים ממלכתיים"/>
    <x v="34"/>
    <s v="תרבות"/>
    <x v="114"/>
    <s v="פעולות תרבות"/>
    <s v="8221"/>
    <e v="#N/A"/>
    <m/>
    <s v="5"/>
    <x v="11"/>
    <s v="54"/>
    <s v="הוצאות תקשורת"/>
    <s v="541"/>
    <e v="#N/A"/>
  </r>
  <r>
    <n v="610"/>
    <s v="82210"/>
    <n v="1"/>
    <s v="182210.610"/>
    <s v="כבודים                          "/>
    <m/>
    <m/>
    <n v="16000"/>
    <n v="12000"/>
    <n v="11531"/>
    <m/>
    <x v="7"/>
    <s v="שירותים ממלכתיים"/>
    <x v="34"/>
    <s v="תרבות"/>
    <x v="114"/>
    <s v="פעולות תרבות"/>
    <s v="8221"/>
    <e v="#N/A"/>
    <m/>
    <s v="6"/>
    <x v="12"/>
    <s v="61"/>
    <s v="עמלות"/>
    <s v="610"/>
    <e v="#N/A"/>
  </r>
  <r>
    <n v="670"/>
    <s v="82210"/>
    <n v="1"/>
    <s v="182210.670"/>
    <s v="סעיף שאינו חוזר                 "/>
    <m/>
    <m/>
    <n v="0"/>
    <n v="55000"/>
    <n v="48115"/>
    <m/>
    <x v="7"/>
    <s v="שירותים ממלכתיים"/>
    <x v="34"/>
    <s v="תרבות"/>
    <x v="114"/>
    <s v="פעולות תרבות"/>
    <s v="8221"/>
    <e v="#N/A"/>
    <m/>
    <s v="6"/>
    <x v="12"/>
    <s v="67"/>
    <e v="#N/A"/>
    <s v="670"/>
    <e v="#N/A"/>
  </r>
  <r>
    <n v="691"/>
    <s v="82210"/>
    <n v="1"/>
    <s v="182210.691"/>
    <s v="מערכות מידע ומחשוב              "/>
    <m/>
    <m/>
    <n v="2220000"/>
    <n v="1580000"/>
    <n v="1637724"/>
    <m/>
    <x v="7"/>
    <s v="שירותים ממלכתיים"/>
    <x v="34"/>
    <s v="תרבות"/>
    <x v="114"/>
    <s v="פעולות תרבות"/>
    <s v="8221"/>
    <e v="#N/A"/>
    <m/>
    <s v="6"/>
    <x v="12"/>
    <s v="69"/>
    <s v="שונות"/>
    <s v="691"/>
    <s v="תשלום ע&quot;ח קרן"/>
  </r>
  <r>
    <n v="693"/>
    <s v="82210"/>
    <n v="1"/>
    <s v="182210.693"/>
    <s v="מיחשוב יחידתי                   "/>
    <m/>
    <m/>
    <n v="17000"/>
    <n v="17000"/>
    <n v="16262"/>
    <m/>
    <x v="7"/>
    <s v="שירותים ממלכתיים"/>
    <x v="34"/>
    <s v="תרבות"/>
    <x v="114"/>
    <s v="פעולות תרבות"/>
    <s v="8221"/>
    <e v="#N/A"/>
    <m/>
    <s v="6"/>
    <x v="12"/>
    <s v="69"/>
    <s v="שונות"/>
    <s v="693"/>
    <s v="תשלום ע&quot;ח הצמדת ערך"/>
  </r>
  <r>
    <n v="757"/>
    <s v="82210"/>
    <n v="1"/>
    <s v="182210.757"/>
    <s v="שיטור                           "/>
    <m/>
    <m/>
    <n v="565000"/>
    <n v="565000"/>
    <n v="565000"/>
    <m/>
    <x v="7"/>
    <s v="שירותים ממלכתיים"/>
    <x v="34"/>
    <s v="תרבות"/>
    <x v="114"/>
    <s v="פעולות תרבות"/>
    <s v="8221"/>
    <e v="#N/A"/>
    <m/>
    <s v="7"/>
    <x v="13"/>
    <s v="75"/>
    <s v="עבודות קבלניות"/>
    <s v="757"/>
    <e v="#N/A"/>
  </r>
  <r>
    <n v="781"/>
    <s v="82210"/>
    <n v="1"/>
    <s v="182210.781"/>
    <s v="יוזמות ופעולות תרבות ואמנות שונו"/>
    <m/>
    <m/>
    <n v="1265000"/>
    <n v="1280000"/>
    <n v="1020111"/>
    <m/>
    <x v="7"/>
    <s v="שירותים ממלכתיים"/>
    <x v="34"/>
    <s v="תרבות"/>
    <x v="114"/>
    <s v="פעולות תרבות"/>
    <s v="8221"/>
    <e v="#N/A"/>
    <m/>
    <s v="7"/>
    <x v="13"/>
    <s v="78"/>
    <s v="הוצאות שונות"/>
    <s v="781"/>
    <e v="#N/A"/>
  </r>
  <r>
    <n v="782"/>
    <s v="82210"/>
    <n v="1"/>
    <s v="182210.782"/>
    <s v="דיוור ישיר-אינטרנט              "/>
    <m/>
    <m/>
    <n v="180000"/>
    <n v="180000"/>
    <n v="177000"/>
    <m/>
    <x v="7"/>
    <s v="שירותים ממלכתיים"/>
    <x v="34"/>
    <s v="תרבות"/>
    <x v="114"/>
    <s v="פעולות תרבות"/>
    <s v="8221"/>
    <e v="#N/A"/>
    <m/>
    <s v="7"/>
    <x v="13"/>
    <s v="78"/>
    <s v="הוצאות שונות"/>
    <s v="782"/>
    <e v="#N/A"/>
  </r>
  <r>
    <n v="784"/>
    <s v="82210"/>
    <n v="1"/>
    <s v="182210.784"/>
    <s v="פסטיבלים וארועי תרבות שונים     "/>
    <m/>
    <m/>
    <n v="150000"/>
    <n v="150000"/>
    <n v="150000"/>
    <m/>
    <x v="7"/>
    <s v="שירותים ממלכתיים"/>
    <x v="34"/>
    <s v="תרבות"/>
    <x v="114"/>
    <s v="פעולות תרבות"/>
    <s v="8221"/>
    <e v="#N/A"/>
    <m/>
    <s v="7"/>
    <x v="13"/>
    <s v="78"/>
    <s v="הוצאות שונות"/>
    <s v="784"/>
    <e v="#N/A"/>
  </r>
  <r>
    <n v="787"/>
    <s v="82210"/>
    <n v="1"/>
    <s v="182210.787"/>
    <s v="הוצאות שונות                    "/>
    <m/>
    <m/>
    <n v="37000"/>
    <n v="35000"/>
    <n v="19098"/>
    <m/>
    <x v="7"/>
    <s v="שירותים ממלכתיים"/>
    <x v="34"/>
    <s v="תרבות"/>
    <x v="114"/>
    <s v="פעולות תרבות"/>
    <s v="8221"/>
    <e v="#N/A"/>
    <m/>
    <s v="7"/>
    <x v="13"/>
    <s v="78"/>
    <s v="הוצאות שונות"/>
    <s v="787"/>
    <e v="#N/A"/>
  </r>
  <r>
    <n v="789"/>
    <s v="82210"/>
    <n v="1"/>
    <s v="182210.789"/>
    <s v="תמלוגים וזכויות יוצרים          "/>
    <m/>
    <m/>
    <n v="650000"/>
    <n v="650000"/>
    <n v="629823"/>
    <m/>
    <x v="7"/>
    <s v="שירותים ממלכתיים"/>
    <x v="34"/>
    <s v="תרבות"/>
    <x v="114"/>
    <s v="פעולות תרבות"/>
    <s v="8221"/>
    <e v="#N/A"/>
    <m/>
    <s v="7"/>
    <x v="13"/>
    <s v="78"/>
    <s v="הוצאות שונות"/>
    <s v="789"/>
    <e v="#N/A"/>
  </r>
  <r>
    <n v="851"/>
    <s v="82210"/>
    <n v="1"/>
    <s v="182210.851"/>
    <s v="פרויקטי אמנות - החב' למוסדות חינ"/>
    <m/>
    <m/>
    <n v="160000"/>
    <n v="160000"/>
    <n v="54000"/>
    <m/>
    <x v="7"/>
    <s v="שירותים ממלכתיים"/>
    <x v="34"/>
    <s v="תרבות"/>
    <x v="114"/>
    <s v="פעולות תרבות"/>
    <s v="8221"/>
    <e v="#N/A"/>
    <m/>
    <s v="8"/>
    <x v="16"/>
    <s v="85"/>
    <s v="מלגות לתלמידים וסטודנטים"/>
    <s v="851"/>
    <e v="#N/A"/>
  </r>
  <r>
    <n v="852"/>
    <s v="82210"/>
    <n v="1"/>
    <s v="182210.852"/>
    <s v="פעילות פלורליזם - החב' למוסדות ח"/>
    <m/>
    <m/>
    <n v="120000"/>
    <n v="0"/>
    <n v="0"/>
    <m/>
    <x v="7"/>
    <s v="שירותים ממלכתיים"/>
    <x v="34"/>
    <s v="תרבות"/>
    <x v="114"/>
    <s v="פעולות תרבות"/>
    <s v="8221"/>
    <e v="#N/A"/>
    <m/>
    <s v="8"/>
    <x v="16"/>
    <s v="85"/>
    <s v="מלגות לתלמידים וסטודנטים"/>
    <s v="852"/>
    <e v="#N/A"/>
  </r>
  <r>
    <n v="859"/>
    <s v="82210"/>
    <n v="1"/>
    <s v="182210.859"/>
    <s v="שירות ומידע לגיל הזהב           "/>
    <m/>
    <m/>
    <n v="179000"/>
    <n v="179000"/>
    <n v="179000"/>
    <m/>
    <x v="7"/>
    <s v="שירותים ממלכתיים"/>
    <x v="34"/>
    <s v="תרבות"/>
    <x v="114"/>
    <s v="פעולות תרבות"/>
    <s v="8221"/>
    <e v="#N/A"/>
    <m/>
    <s v="8"/>
    <x v="16"/>
    <s v="85"/>
    <s v="מלגות לתלמידים וסטודנטים"/>
    <s v="859"/>
    <e v="#N/A"/>
  </r>
  <r>
    <n v="932"/>
    <s v="82210"/>
    <n v="1"/>
    <s v="182210.932"/>
    <s v="ציוד וריהוט משרדי               "/>
    <m/>
    <m/>
    <n v="10000"/>
    <n v="10000"/>
    <n v="9618"/>
    <m/>
    <x v="7"/>
    <s v="שירותים ממלכתיים"/>
    <x v="34"/>
    <s v="תרבות"/>
    <x v="114"/>
    <s v="פעולות תרבות"/>
    <s v="8221"/>
    <e v="#N/A"/>
    <m/>
    <s v="9"/>
    <x v="17"/>
    <s v="93"/>
    <s v="רכישת ציוד יסודי"/>
    <s v="932"/>
    <e v="#N/A"/>
  </r>
  <r>
    <n v="110"/>
    <s v="82221"/>
    <n v="1"/>
    <s v="182221.110"/>
    <s v="משכורת כוללת                    "/>
    <m/>
    <m/>
    <n v="1067000"/>
    <n v="988000"/>
    <n v="928838"/>
    <m/>
    <x v="7"/>
    <s v="שירותים ממלכתיים"/>
    <x v="34"/>
    <s v="תרבות"/>
    <x v="114"/>
    <s v="פעולות תרבות"/>
    <s v="8222"/>
    <e v="#N/A"/>
    <m/>
    <s v="1"/>
    <x v="9"/>
    <s v="11"/>
    <s v="השכר הקובע"/>
    <s v="110"/>
    <e v="#N/A"/>
  </r>
  <r>
    <n v="124"/>
    <s v="82221"/>
    <n v="1"/>
    <s v="182221.124"/>
    <s v="החזר הוצאות                     "/>
    <m/>
    <m/>
    <n v="63000"/>
    <n v="62000"/>
    <n v="61321"/>
    <m/>
    <x v="7"/>
    <s v="שירותים ממלכתיים"/>
    <x v="34"/>
    <s v="תרבות"/>
    <x v="114"/>
    <s v="פעולות תרבות"/>
    <s v="8222"/>
    <e v="#N/A"/>
    <m/>
    <s v="1"/>
    <x v="9"/>
    <s v="12"/>
    <s v="תוספות שאינן נכללות בשכר הקובע"/>
    <s v="124"/>
    <e v="#N/A"/>
  </r>
  <r>
    <n v="126"/>
    <s v="82221"/>
    <n v="1"/>
    <s v="182221.126"/>
    <s v="הבראה                           "/>
    <m/>
    <m/>
    <n v="59000"/>
    <n v="61000"/>
    <n v="58464"/>
    <m/>
    <x v="7"/>
    <s v="שירותים ממלכתיים"/>
    <x v="34"/>
    <s v="תרבות"/>
    <x v="114"/>
    <s v="פעולות תרבות"/>
    <s v="8222"/>
    <e v="#N/A"/>
    <m/>
    <s v="1"/>
    <x v="9"/>
    <s v="12"/>
    <s v="תוספות שאינן נכללות בשכר הקובע"/>
    <s v="126"/>
    <e v="#N/A"/>
  </r>
  <r>
    <n v="127"/>
    <s v="82221"/>
    <n v="1"/>
    <s v="182221.127"/>
    <s v="השתתפות באחזקת רכב-8            "/>
    <m/>
    <m/>
    <n v="192000"/>
    <n v="180000"/>
    <n v="183129"/>
    <m/>
    <x v="7"/>
    <s v="שירותים ממלכתיים"/>
    <x v="34"/>
    <s v="תרבות"/>
    <x v="114"/>
    <s v="פעולות תרבות"/>
    <s v="8222"/>
    <e v="#N/A"/>
    <m/>
    <s v="1"/>
    <x v="9"/>
    <s v="12"/>
    <s v="תוספות שאינן נכללות בשכר הקובע"/>
    <s v="127"/>
    <e v="#N/A"/>
  </r>
  <r>
    <n v="130"/>
    <s v="82221"/>
    <n v="1"/>
    <s v="182221.130"/>
    <s v="תשלומים מיוחדים                 "/>
    <m/>
    <m/>
    <n v="132000"/>
    <n v="116000"/>
    <n v="121270"/>
    <m/>
    <x v="7"/>
    <s v="שירותים ממלכתיים"/>
    <x v="34"/>
    <s v="תרבות"/>
    <x v="114"/>
    <s v="פעולות תרבות"/>
    <s v="8222"/>
    <e v="#N/A"/>
    <m/>
    <s v="1"/>
    <x v="9"/>
    <s v="13"/>
    <s v="שעות נוספות"/>
    <s v="130"/>
    <e v="#N/A"/>
  </r>
  <r>
    <n v="170"/>
    <s v="82221"/>
    <n v="1"/>
    <s v="182221.170"/>
    <s v="סעיף שאינו חוזר                 "/>
    <m/>
    <m/>
    <n v="0"/>
    <n v="77000"/>
    <n v="106404"/>
    <m/>
    <x v="7"/>
    <s v="שירותים ממלכתיים"/>
    <x v="34"/>
    <s v="תרבות"/>
    <x v="114"/>
    <s v="פעולות תרבות"/>
    <s v="8222"/>
    <e v="#N/A"/>
    <m/>
    <s v="1"/>
    <x v="9"/>
    <s v="17"/>
    <e v="#N/A"/>
    <s v="170"/>
    <e v="#N/A"/>
  </r>
  <r>
    <n v="181"/>
    <s v="82221"/>
    <n v="1"/>
    <s v="182221.181"/>
    <s v="מיסים וביטוח לאומי              "/>
    <m/>
    <m/>
    <n v="234000"/>
    <n v="229000"/>
    <n v="233624"/>
    <m/>
    <x v="7"/>
    <s v="שירותים ממלכתיים"/>
    <x v="34"/>
    <s v="תרבות"/>
    <x v="114"/>
    <s v="פעולות תרבות"/>
    <s v="8222"/>
    <e v="#N/A"/>
    <m/>
    <s v="1"/>
    <x v="9"/>
    <s v="18"/>
    <s v="נלוות לשכר"/>
    <s v="181"/>
    <s v="הפרשות סוציאליות"/>
  </r>
  <r>
    <n v="182"/>
    <s v="82221"/>
    <n v="1"/>
    <s v="182221.182"/>
    <s v="קופות גמל והשתלמות              "/>
    <m/>
    <m/>
    <n v="255000"/>
    <n v="239000"/>
    <n v="235947"/>
    <m/>
    <x v="7"/>
    <s v="שירותים ממלכתיים"/>
    <x v="34"/>
    <s v="תרבות"/>
    <x v="114"/>
    <s v="פעולות תרבות"/>
    <s v="8222"/>
    <e v="#N/A"/>
    <m/>
    <s v="1"/>
    <x v="9"/>
    <s v="18"/>
    <s v="נלוות לשכר"/>
    <s v="182"/>
    <s v="מיסיום ועלויות"/>
  </r>
  <r>
    <n v="310"/>
    <s v="82221"/>
    <n v="1"/>
    <s v="182221.310"/>
    <s v="שעות נוספות רשומות              "/>
    <m/>
    <m/>
    <n v="271000"/>
    <n v="266000"/>
    <n v="57416"/>
    <m/>
    <x v="7"/>
    <s v="שירותים ממלכתיים"/>
    <x v="34"/>
    <s v="תרבות"/>
    <x v="114"/>
    <s v="פעולות תרבות"/>
    <s v="8222"/>
    <e v="#N/A"/>
    <m/>
    <s v="3"/>
    <x v="14"/>
    <s v="31"/>
    <s v="פנסיה"/>
    <s v="310"/>
    <e v="#N/A"/>
  </r>
  <r>
    <n v="340"/>
    <s v="82221"/>
    <n v="1"/>
    <s v="182221.340"/>
    <s v="שעות נוספות מיוחדות             "/>
    <m/>
    <m/>
    <n v="2000"/>
    <n v="2000"/>
    <n v="88979"/>
    <m/>
    <x v="7"/>
    <s v="שירותים ממלכתיים"/>
    <x v="34"/>
    <s v="תרבות"/>
    <x v="114"/>
    <s v="פעולות תרבות"/>
    <s v="8222"/>
    <e v="#N/A"/>
    <m/>
    <s v="3"/>
    <x v="14"/>
    <s v="34"/>
    <e v="#N/A"/>
    <s v="340"/>
    <e v="#N/A"/>
  </r>
  <r>
    <n v="461"/>
    <s v="82221"/>
    <n v="1"/>
    <s v="182221.461"/>
    <s v="צורכי משרד                      "/>
    <m/>
    <m/>
    <n v="19000"/>
    <n v="19000"/>
    <n v="14492"/>
    <m/>
    <x v="7"/>
    <s v="שירותים ממלכתיים"/>
    <x v="34"/>
    <s v="תרבות"/>
    <x v="114"/>
    <s v="פעולות תרבות"/>
    <s v="8222"/>
    <e v="#N/A"/>
    <m/>
    <s v="4"/>
    <x v="15"/>
    <s v="46"/>
    <e v="#N/A"/>
    <s v="461"/>
    <e v="#N/A"/>
  </r>
  <r>
    <n v="531"/>
    <s v="82221"/>
    <n v="1"/>
    <s v="182221.531"/>
    <s v="אחזקת רכב                       "/>
    <m/>
    <m/>
    <n v="3000"/>
    <n v="3000"/>
    <n v="413"/>
    <m/>
    <x v="7"/>
    <s v="שירותים ממלכתיים"/>
    <x v="34"/>
    <s v="תרבות"/>
    <x v="114"/>
    <s v="פעולות תרבות"/>
    <s v="8222"/>
    <e v="#N/A"/>
    <m/>
    <s v="5"/>
    <x v="11"/>
    <s v="53"/>
    <s v="הוצאות רכב מינהלי"/>
    <s v="531"/>
    <s v="דלק ושמנים"/>
  </r>
  <r>
    <n v="533"/>
    <s v="82221"/>
    <n v="1"/>
    <s v="182221.533"/>
    <s v="שכירת רכב                       "/>
    <m/>
    <m/>
    <n v="38000"/>
    <n v="38000"/>
    <n v="32726"/>
    <m/>
    <x v="7"/>
    <s v="שירותים ממלכתיים"/>
    <x v="34"/>
    <s v="תרבות"/>
    <x v="114"/>
    <s v="פעולות תרבות"/>
    <s v="8222"/>
    <e v="#N/A"/>
    <m/>
    <s v="5"/>
    <x v="11"/>
    <s v="53"/>
    <s v="הוצאות רכב מינהלי"/>
    <s v="533"/>
    <s v="רישוי וביטוח"/>
  </r>
  <r>
    <n v="534"/>
    <s v="82221"/>
    <n v="1"/>
    <s v="182221.534"/>
    <s v="דלק ושמן                        "/>
    <m/>
    <m/>
    <n v="20000"/>
    <n v="20000"/>
    <n v="18842"/>
    <m/>
    <x v="7"/>
    <s v="שירותים ממלכתיים"/>
    <x v="34"/>
    <s v="תרבות"/>
    <x v="114"/>
    <s v="פעולות תרבות"/>
    <s v="8222"/>
    <e v="#N/A"/>
    <m/>
    <s v="5"/>
    <x v="11"/>
    <s v="53"/>
    <s v="הוצאות רכב מינהלי"/>
    <s v="534"/>
    <e v="#N/A"/>
  </r>
  <r>
    <n v="670"/>
    <s v="82221"/>
    <n v="1"/>
    <s v="182221.670"/>
    <s v="סעיף שאינו חוזר                 "/>
    <m/>
    <m/>
    <n v="0"/>
    <n v="24000"/>
    <n v="21740"/>
    <m/>
    <x v="7"/>
    <s v="שירותים ממלכתיים"/>
    <x v="34"/>
    <s v="תרבות"/>
    <x v="114"/>
    <s v="פעולות תרבות"/>
    <s v="8222"/>
    <e v="#N/A"/>
    <m/>
    <s v="6"/>
    <x v="12"/>
    <s v="67"/>
    <e v="#N/A"/>
    <s v="670"/>
    <e v="#N/A"/>
  </r>
  <r>
    <n v="710"/>
    <s v="82221"/>
    <n v="1"/>
    <s v="182221.710"/>
    <s v="הובלות ושליחויות                "/>
    <m/>
    <m/>
    <n v="20000"/>
    <n v="20000"/>
    <n v="9453"/>
    <m/>
    <x v="7"/>
    <s v="שירותים ממלכתיים"/>
    <x v="34"/>
    <s v="תרבות"/>
    <x v="114"/>
    <s v="פעולות תרבות"/>
    <s v="8222"/>
    <e v="#N/A"/>
    <m/>
    <s v="7"/>
    <x v="13"/>
    <s v="71"/>
    <s v="הובלות והסעות קבלניות"/>
    <s v="710"/>
    <e v="#N/A"/>
  </r>
  <r>
    <n v="752"/>
    <s v="82221"/>
    <n v="1"/>
    <s v="182221.752"/>
    <s v="יחסי ציבור                      "/>
    <m/>
    <m/>
    <n v="45000"/>
    <n v="45000"/>
    <n v="40310"/>
    <m/>
    <x v="7"/>
    <s v="שירותים ממלכתיים"/>
    <x v="34"/>
    <s v="תרבות"/>
    <x v="114"/>
    <s v="פעולות תרבות"/>
    <s v="8222"/>
    <e v="#N/A"/>
    <m/>
    <s v="7"/>
    <x v="13"/>
    <s v="75"/>
    <s v="עבודות קבלניות"/>
    <s v="752"/>
    <e v="#N/A"/>
  </r>
  <r>
    <n v="791"/>
    <s v="82221"/>
    <n v="1"/>
    <s v="182221.791"/>
    <s v="עתודה לארועים ומופעים           "/>
    <m/>
    <m/>
    <n v="2000000"/>
    <n v="0"/>
    <n v="0"/>
    <m/>
    <x v="7"/>
    <s v="שירותים ממלכתיים"/>
    <x v="34"/>
    <s v="תרבות"/>
    <x v="114"/>
    <s v="פעולות תרבות"/>
    <s v="8222"/>
    <e v="#N/A"/>
    <m/>
    <s v="7"/>
    <x v="13"/>
    <s v="79"/>
    <s v="השתתפות בתקציבי עזר 092"/>
    <s v="791"/>
    <e v="#N/A"/>
  </r>
  <r>
    <n v="932"/>
    <s v="82221"/>
    <n v="1"/>
    <s v="182221.932"/>
    <s v="ציוד וריהוט משרדי               "/>
    <m/>
    <m/>
    <n v="13000"/>
    <n v="13000"/>
    <n v="11146"/>
    <m/>
    <x v="7"/>
    <s v="שירותים ממלכתיים"/>
    <x v="34"/>
    <s v="תרבות"/>
    <x v="114"/>
    <s v="פעולות תרבות"/>
    <s v="8222"/>
    <e v="#N/A"/>
    <m/>
    <s v="9"/>
    <x v="17"/>
    <s v="93"/>
    <s v="רכישת ציוד יסודי"/>
    <s v="932"/>
    <e v="#N/A"/>
  </r>
  <r>
    <n v="781"/>
    <s v="82222"/>
    <n v="1"/>
    <s v="182222.781"/>
    <s v="חגים ומועדים                    "/>
    <m/>
    <m/>
    <n v="350000"/>
    <n v="350000"/>
    <n v="398525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1"/>
    <e v="#N/A"/>
  </r>
  <r>
    <n v="782"/>
    <s v="82222"/>
    <n v="1"/>
    <s v="182222.782"/>
    <s v="עצרת יום השואה                  "/>
    <m/>
    <m/>
    <n v="120000"/>
    <n v="120000"/>
    <n v="117806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2"/>
    <e v="#N/A"/>
  </r>
  <r>
    <n v="784"/>
    <s v="82222"/>
    <n v="1"/>
    <s v="182222.784"/>
    <s v="יום הזכרון ויום העצמאות         "/>
    <m/>
    <m/>
    <n v="1800000"/>
    <n v="1800000"/>
    <n v="1675976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4"/>
    <e v="#N/A"/>
  </r>
  <r>
    <n v="781"/>
    <s v="82223"/>
    <n v="1"/>
    <s v="182223.781"/>
    <s v="פסטיבל הג'אז                    "/>
    <m/>
    <m/>
    <n v="300000"/>
    <n v="300000"/>
    <n v="2301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1"/>
    <e v="#N/A"/>
  </r>
  <r>
    <n v="782"/>
    <s v="82223"/>
    <n v="1"/>
    <s v="182223.782"/>
    <s v="פסטיבלי ילדים                   "/>
    <m/>
    <m/>
    <n v="120000"/>
    <n v="120000"/>
    <n v="12601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2"/>
    <e v="#N/A"/>
  </r>
  <r>
    <n v="787"/>
    <s v="82223"/>
    <n v="1"/>
    <s v="182223.787"/>
    <s v="פסטיבלים ואירועים ביפו העתיקה   "/>
    <m/>
    <m/>
    <n v="450000"/>
    <n v="450000"/>
    <n v="286182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7"/>
    <e v="#N/A"/>
  </r>
  <r>
    <n v="788"/>
    <s v="82223"/>
    <n v="1"/>
    <s v="182223.788"/>
    <s v="פסטיבל הפסנתר                   "/>
    <m/>
    <m/>
    <n v="500000"/>
    <n v="500000"/>
    <n v="449492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8"/>
    <e v="#N/A"/>
  </r>
  <r>
    <n v="782"/>
    <s v="82224"/>
    <n v="1"/>
    <s v="182224.782"/>
    <s v="ארועי קיץ                       "/>
    <m/>
    <m/>
    <n v="500000"/>
    <n v="500000"/>
    <n v="47613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2"/>
    <e v="#N/A"/>
  </r>
  <r>
    <n v="784"/>
    <s v="82224"/>
    <n v="1"/>
    <s v="182224.784"/>
    <s v="קולנוע בתל-אביב יפו             "/>
    <m/>
    <m/>
    <n v="130000"/>
    <n v="130000"/>
    <n v="91262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4"/>
    <e v="#N/A"/>
  </r>
  <r>
    <n v="785"/>
    <s v="82224"/>
    <n v="1"/>
    <s v="182224.785"/>
    <s v="שבתרבות וסימפוזיונים            "/>
    <m/>
    <m/>
    <n v="70000"/>
    <n v="70000"/>
    <n v="68632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5"/>
    <e v="#N/A"/>
  </r>
  <r>
    <n v="788"/>
    <s v="82224"/>
    <n v="1"/>
    <s v="182224.788"/>
    <s v="ארועים ברחבי העיר               "/>
    <m/>
    <m/>
    <n v="1085000"/>
    <n v="1085000"/>
    <n v="1527516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8"/>
    <e v="#N/A"/>
  </r>
  <r>
    <n v="789"/>
    <s v="82224"/>
    <n v="1"/>
    <s v="182224.789"/>
    <s v="ארועים שונים                    "/>
    <m/>
    <m/>
    <n v="205000"/>
    <n v="205000"/>
    <n v="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9"/>
    <e v="#N/A"/>
  </r>
  <r>
    <n v="851"/>
    <s v="82225"/>
    <n v="1"/>
    <s v="182225.851"/>
    <s v="אמפיתאטרון וואהל - חב למוס' חינו"/>
    <m/>
    <m/>
    <n v="314000"/>
    <n v="314000"/>
    <n v="313561"/>
    <m/>
    <x v="7"/>
    <s v="שירותים ממלכתיים"/>
    <x v="34"/>
    <s v="תרבות"/>
    <x v="114"/>
    <s v="פעולות תרבות"/>
    <s v="8222"/>
    <e v="#N/A"/>
    <m/>
    <s v="8"/>
    <x v="16"/>
    <s v="85"/>
    <s v="מלגות לתלמידים וסטודנטים"/>
    <s v="851"/>
    <e v="#N/A"/>
  </r>
  <r>
    <n v="852"/>
    <s v="82225"/>
    <n v="1"/>
    <s v="182225.852"/>
    <s v="להקות ומקהלות - חב' למוס' חינוך "/>
    <m/>
    <m/>
    <n v="366000"/>
    <n v="356000"/>
    <n v="386000"/>
    <m/>
    <x v="7"/>
    <s v="שירותים ממלכתיים"/>
    <x v="34"/>
    <s v="תרבות"/>
    <x v="114"/>
    <s v="פעולות תרבות"/>
    <s v="8222"/>
    <e v="#N/A"/>
    <m/>
    <s v="8"/>
    <x v="16"/>
    <s v="85"/>
    <s v="מלגות לתלמידים וסטודנטים"/>
    <s v="852"/>
    <e v="#N/A"/>
  </r>
  <r>
    <n v="853"/>
    <s v="82225"/>
    <n v="1"/>
    <s v="182225.853"/>
    <s v="שבוע הגמלאי-חב' למוס' חינוך     "/>
    <m/>
    <m/>
    <n v="197000"/>
    <n v="197000"/>
    <n v="197000"/>
    <m/>
    <x v="7"/>
    <s v="שירותים ממלכתיים"/>
    <x v="34"/>
    <s v="תרבות"/>
    <x v="114"/>
    <s v="פעולות תרבות"/>
    <s v="8222"/>
    <e v="#N/A"/>
    <m/>
    <s v="8"/>
    <x v="16"/>
    <s v="85"/>
    <s v="מלגות לתלמידים וסטודנטים"/>
    <s v="853"/>
    <e v="#N/A"/>
  </r>
  <r>
    <n v="854"/>
    <s v="82225"/>
    <n v="1"/>
    <s v="182225.854"/>
    <s v="אירועי תרבות לגיל הזהב - חב' מוס"/>
    <m/>
    <m/>
    <n v="777000"/>
    <n v="555000"/>
    <n v="666994"/>
    <m/>
    <x v="7"/>
    <s v="שירותים ממלכתיים"/>
    <x v="34"/>
    <s v="תרבות"/>
    <x v="114"/>
    <s v="פעולות תרבות"/>
    <s v="8222"/>
    <e v="#N/A"/>
    <m/>
    <s v="8"/>
    <x v="16"/>
    <s v="85"/>
    <s v="מלגות לתלמידים וסטודנטים"/>
    <s v="854"/>
    <e v="#N/A"/>
  </r>
  <r>
    <n v="781"/>
    <s v="82226"/>
    <n v="1"/>
    <s v="182226.781"/>
    <s v="ארועים בשתוף פעולה              "/>
    <m/>
    <m/>
    <n v="1193000"/>
    <n v="1193000"/>
    <n v="1052515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1"/>
    <e v="#N/A"/>
  </r>
  <r>
    <n v="783"/>
    <s v="82226"/>
    <n v="1"/>
    <s v="182226.783"/>
    <s v="מופע בפארק                      "/>
    <m/>
    <m/>
    <n v="1500000"/>
    <n v="0"/>
    <n v="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3"/>
    <e v="#N/A"/>
  </r>
  <r>
    <n v="784"/>
    <s v="82226"/>
    <n v="1"/>
    <s v="182226.784"/>
    <s v="מצעד הגאווה                     "/>
    <m/>
    <m/>
    <n v="477000"/>
    <n v="477000"/>
    <n v="404661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4"/>
    <e v="#N/A"/>
  </r>
  <r>
    <n v="785"/>
    <s v="82226"/>
    <n v="1"/>
    <s v="182226.785"/>
    <s v="אופרה ברחבי העיר                "/>
    <m/>
    <m/>
    <n v="500000"/>
    <n v="0"/>
    <n v="0"/>
    <m/>
    <x v="7"/>
    <s v="שירותים ממלכתיים"/>
    <x v="34"/>
    <s v="תרבות"/>
    <x v="114"/>
    <s v="פעולות תרבות"/>
    <s v="8222"/>
    <e v="#N/A"/>
    <m/>
    <s v="7"/>
    <x v="13"/>
    <s v="78"/>
    <s v="הוצאות שונות"/>
    <s v="785"/>
    <e v="#N/A"/>
  </r>
  <r>
    <n v="170"/>
    <s v="82231"/>
    <n v="1"/>
    <s v="182231.170"/>
    <s v="סעיף שאינו חוזר                 "/>
    <m/>
    <m/>
    <n v="0"/>
    <n v="240000"/>
    <n v="709372"/>
    <m/>
    <x v="7"/>
    <s v="שירותים ממלכתיים"/>
    <x v="34"/>
    <s v="תרבות"/>
    <x v="114"/>
    <s v="פעולות תרבות"/>
    <s v="8223"/>
    <e v="#N/A"/>
    <m/>
    <s v="1"/>
    <x v="9"/>
    <s v="17"/>
    <e v="#N/A"/>
    <s v="170"/>
    <e v="#N/A"/>
  </r>
  <r>
    <n v="670"/>
    <s v="82231"/>
    <n v="1"/>
    <s v="182231.670"/>
    <s v="סעיף שאינו חוזר                 "/>
    <m/>
    <m/>
    <n v="0"/>
    <n v="10000"/>
    <n v="8632"/>
    <m/>
    <x v="7"/>
    <s v="שירותים ממלכתיים"/>
    <x v="34"/>
    <s v="תרבות"/>
    <x v="114"/>
    <s v="פעולות תרבות"/>
    <s v="8223"/>
    <e v="#N/A"/>
    <m/>
    <s v="6"/>
    <x v="12"/>
    <s v="67"/>
    <e v="#N/A"/>
    <s v="670"/>
    <e v="#N/A"/>
  </r>
  <r>
    <n v="970"/>
    <s v="82231"/>
    <n v="1"/>
    <s v="182231.970"/>
    <s v="סעיף שאינו חוזר                 "/>
    <m/>
    <m/>
    <n v="0"/>
    <n v="10000"/>
    <n v="9247"/>
    <m/>
    <x v="7"/>
    <s v="שירותים ממלכתיים"/>
    <x v="34"/>
    <s v="תרבות"/>
    <x v="114"/>
    <s v="פעולות תרבות"/>
    <s v="8223"/>
    <e v="#N/A"/>
    <m/>
    <s v="9"/>
    <x v="17"/>
    <s v="97"/>
    <s v="מקדמת על הוצאות עודפות"/>
    <s v="970"/>
    <e v="#N/A"/>
  </r>
  <r>
    <n v="110"/>
    <s v="82232"/>
    <n v="1"/>
    <s v="182232.110"/>
    <s v="משכורת כוללת                    "/>
    <m/>
    <m/>
    <n v="135000"/>
    <n v="129000"/>
    <n v="126338"/>
    <m/>
    <x v="7"/>
    <s v="שירותים ממלכתיים"/>
    <x v="34"/>
    <s v="תרבות"/>
    <x v="114"/>
    <s v="פעולות תרבות"/>
    <s v="8223"/>
    <e v="#N/A"/>
    <m/>
    <s v="1"/>
    <x v="9"/>
    <s v="11"/>
    <s v="השכר הקובע"/>
    <s v="110"/>
    <e v="#N/A"/>
  </r>
  <r>
    <n v="124"/>
    <s v="82232"/>
    <n v="1"/>
    <s v="182232.124"/>
    <s v="החזר הוצאות                     "/>
    <m/>
    <m/>
    <n v="6000"/>
    <n v="4000"/>
    <n v="5379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4"/>
    <e v="#N/A"/>
  </r>
  <r>
    <n v="126"/>
    <s v="82232"/>
    <n v="1"/>
    <s v="182232.126"/>
    <s v="הבראה                           "/>
    <m/>
    <m/>
    <n v="5000"/>
    <n v="4000"/>
    <n v="4270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6"/>
    <e v="#N/A"/>
  </r>
  <r>
    <n v="127"/>
    <s v="82232"/>
    <n v="1"/>
    <s v="182232.127"/>
    <s v="השתתפות באחזקת רכב-1            "/>
    <m/>
    <m/>
    <n v="25000"/>
    <n v="5000"/>
    <n v="4732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7"/>
    <e v="#N/A"/>
  </r>
  <r>
    <n v="130"/>
    <s v="82232"/>
    <n v="1"/>
    <s v="182232.130"/>
    <s v="תשלומים מיוחדים                 "/>
    <m/>
    <m/>
    <n v="27000"/>
    <n v="28000"/>
    <n v="26707"/>
    <m/>
    <x v="7"/>
    <s v="שירותים ממלכתיים"/>
    <x v="34"/>
    <s v="תרבות"/>
    <x v="114"/>
    <s v="פעולות תרבות"/>
    <s v="8223"/>
    <e v="#N/A"/>
    <m/>
    <s v="1"/>
    <x v="9"/>
    <s v="13"/>
    <s v="שעות נוספות"/>
    <s v="130"/>
    <e v="#N/A"/>
  </r>
  <r>
    <n v="181"/>
    <s v="82232"/>
    <n v="1"/>
    <s v="182232.181"/>
    <s v="מיסים וביטוח לאומי              "/>
    <m/>
    <m/>
    <n v="26000"/>
    <n v="22000"/>
    <n v="21674"/>
    <m/>
    <x v="7"/>
    <s v="שירותים ממלכתיים"/>
    <x v="34"/>
    <s v="תרבות"/>
    <x v="114"/>
    <s v="פעולות תרבות"/>
    <s v="8223"/>
    <e v="#N/A"/>
    <m/>
    <s v="1"/>
    <x v="9"/>
    <s v="18"/>
    <s v="נלוות לשכר"/>
    <s v="181"/>
    <s v="הפרשות סוציאליות"/>
  </r>
  <r>
    <n v="182"/>
    <s v="82232"/>
    <n v="1"/>
    <s v="182232.182"/>
    <s v="קופות גמל והשתלמות              "/>
    <m/>
    <m/>
    <n v="35000"/>
    <n v="34000"/>
    <n v="32826"/>
    <m/>
    <x v="7"/>
    <s v="שירותים ממלכתיים"/>
    <x v="34"/>
    <s v="תרבות"/>
    <x v="114"/>
    <s v="פעולות תרבות"/>
    <s v="8223"/>
    <e v="#N/A"/>
    <m/>
    <s v="1"/>
    <x v="9"/>
    <s v="18"/>
    <s v="נלוות לשכר"/>
    <s v="182"/>
    <s v="מיסיום ועלויות"/>
  </r>
  <r>
    <n v="821"/>
    <s v="82232"/>
    <n v="1"/>
    <s v="182232.821"/>
    <s v="הנחות לנזקקים                   "/>
    <m/>
    <m/>
    <n v="20000"/>
    <n v="20000"/>
    <n v="20000"/>
    <m/>
    <x v="7"/>
    <s v="שירותים ממלכתיים"/>
    <x v="34"/>
    <s v="תרבות"/>
    <x v="114"/>
    <s v="פעולות תרבות"/>
    <s v="8223"/>
    <e v="#N/A"/>
    <m/>
    <s v="8"/>
    <x v="16"/>
    <s v="82"/>
    <s v="הקצבות בהמלצת ועדת הקצבות"/>
    <s v="821"/>
    <e v="#N/A"/>
  </r>
  <r>
    <n v="851"/>
    <s v="82232"/>
    <n v="1"/>
    <s v="182232.851"/>
    <s v="חזני קמפוס נווה צדק - חב' מוס ח "/>
    <m/>
    <m/>
    <n v="426000"/>
    <n v="376000"/>
    <n v="498925"/>
    <m/>
    <x v="7"/>
    <s v="שירותים ממלכתיים"/>
    <x v="34"/>
    <s v="תרבות"/>
    <x v="114"/>
    <s v="פעולות תרבות"/>
    <s v="8223"/>
    <e v="#N/A"/>
    <m/>
    <s v="8"/>
    <x v="16"/>
    <s v="85"/>
    <s v="מלגות לתלמידים וסטודנטים"/>
    <s v="851"/>
    <e v="#N/A"/>
  </r>
  <r>
    <n v="852"/>
    <s v="82232"/>
    <n v="1"/>
    <s v="182232.852"/>
    <s v="תהילות ופרויקטים בשכונות        "/>
    <m/>
    <m/>
    <n v="225000"/>
    <n v="225000"/>
    <n v="225000"/>
    <m/>
    <x v="7"/>
    <s v="שירותים ממלכתיים"/>
    <x v="34"/>
    <s v="תרבות"/>
    <x v="114"/>
    <s v="פעולות תרבות"/>
    <s v="8223"/>
    <e v="#N/A"/>
    <m/>
    <s v="8"/>
    <x v="16"/>
    <s v="85"/>
    <s v="מלגות לתלמידים וסטודנטים"/>
    <s v="852"/>
    <e v="#N/A"/>
  </r>
  <r>
    <n v="110"/>
    <s v="82233"/>
    <n v="1"/>
    <s v="182233.110"/>
    <s v="משכורת כוללת                    "/>
    <m/>
    <m/>
    <n v="130000"/>
    <n v="198000"/>
    <n v="153485"/>
    <m/>
    <x v="7"/>
    <s v="שירותים ממלכתיים"/>
    <x v="34"/>
    <s v="תרבות"/>
    <x v="114"/>
    <s v="פעולות תרבות"/>
    <s v="8223"/>
    <e v="#N/A"/>
    <m/>
    <s v="1"/>
    <x v="9"/>
    <s v="11"/>
    <s v="השכר הקובע"/>
    <s v="110"/>
    <e v="#N/A"/>
  </r>
  <r>
    <n v="124"/>
    <s v="82233"/>
    <n v="1"/>
    <s v="182233.124"/>
    <s v="החזר הוצאות                     "/>
    <m/>
    <m/>
    <n v="11000"/>
    <n v="13000"/>
    <n v="8963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4"/>
    <e v="#N/A"/>
  </r>
  <r>
    <n v="126"/>
    <s v="82233"/>
    <n v="1"/>
    <s v="182233.126"/>
    <s v="הבראה                           "/>
    <m/>
    <m/>
    <n v="11000"/>
    <n v="10000"/>
    <n v="10251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6"/>
    <e v="#N/A"/>
  </r>
  <r>
    <n v="127"/>
    <s v="82233"/>
    <n v="1"/>
    <s v="182233.127"/>
    <s v="השתתפות באחזקת רכב-1            "/>
    <m/>
    <m/>
    <n v="5000"/>
    <n v="5000"/>
    <n v="0"/>
    <m/>
    <x v="7"/>
    <s v="שירותים ממלכתיים"/>
    <x v="34"/>
    <s v="תרבות"/>
    <x v="114"/>
    <s v="פעולות תרבות"/>
    <s v="8223"/>
    <e v="#N/A"/>
    <m/>
    <s v="1"/>
    <x v="9"/>
    <s v="12"/>
    <s v="תוספות שאינן נכללות בשכר הקובע"/>
    <s v="127"/>
    <e v="#N/A"/>
  </r>
  <r>
    <n v="130"/>
    <s v="82233"/>
    <n v="1"/>
    <s v="182233.130"/>
    <s v="תשלומים מיוחדים                 "/>
    <m/>
    <m/>
    <n v="22000"/>
    <n v="55000"/>
    <n v="40908"/>
    <m/>
    <x v="7"/>
    <s v="שירותים ממלכתיים"/>
    <x v="34"/>
    <s v="תרבות"/>
    <x v="114"/>
    <s v="פעולות תרבות"/>
    <s v="8223"/>
    <e v="#N/A"/>
    <m/>
    <s v="1"/>
    <x v="9"/>
    <s v="13"/>
    <s v="שעות נוספות"/>
    <s v="130"/>
    <e v="#N/A"/>
  </r>
  <r>
    <n v="181"/>
    <s v="82233"/>
    <n v="1"/>
    <s v="182233.181"/>
    <s v="מיסים וביטוח לאומי              "/>
    <m/>
    <m/>
    <n v="23000"/>
    <n v="37000"/>
    <n v="25781"/>
    <m/>
    <x v="7"/>
    <s v="שירותים ממלכתיים"/>
    <x v="34"/>
    <s v="תרבות"/>
    <x v="114"/>
    <s v="פעולות תרבות"/>
    <s v="8223"/>
    <e v="#N/A"/>
    <m/>
    <s v="1"/>
    <x v="9"/>
    <s v="18"/>
    <s v="נלוות לשכר"/>
    <s v="181"/>
    <s v="הפרשות סוציאליות"/>
  </r>
  <r>
    <n v="182"/>
    <s v="82233"/>
    <n v="1"/>
    <s v="182233.182"/>
    <s v="קופות גמל והשתלמות              "/>
    <m/>
    <m/>
    <n v="27000"/>
    <n v="55000"/>
    <n v="40448"/>
    <m/>
    <x v="7"/>
    <s v="שירותים ממלכתיים"/>
    <x v="34"/>
    <s v="תרבות"/>
    <x v="114"/>
    <s v="פעולות תרבות"/>
    <s v="8223"/>
    <e v="#N/A"/>
    <m/>
    <s v="1"/>
    <x v="9"/>
    <s v="18"/>
    <s v="נלוות לשכר"/>
    <s v="182"/>
    <s v="מיסיום ועלויות"/>
  </r>
  <r>
    <n v="851"/>
    <s v="82233"/>
    <n v="1"/>
    <s v="182233.851"/>
    <s v="מרכז גולדשטיין גורן-חב' מוסדות ח"/>
    <m/>
    <m/>
    <n v="638000"/>
    <n v="288000"/>
    <n v="932000"/>
    <m/>
    <x v="7"/>
    <s v="שירותים ממלכתיים"/>
    <x v="34"/>
    <s v="תרבות"/>
    <x v="114"/>
    <s v="פעולות תרבות"/>
    <s v="8223"/>
    <e v="#N/A"/>
    <m/>
    <s v="8"/>
    <x v="16"/>
    <s v="85"/>
    <s v="מלגות לתלמידים וסטודנטים"/>
    <s v="851"/>
    <e v="#N/A"/>
  </r>
  <r>
    <n v="110"/>
    <s v="82240"/>
    <n v="1"/>
    <s v="182240.110"/>
    <s v="משכורת כוללת                    "/>
    <m/>
    <m/>
    <n v="624000"/>
    <n v="580000"/>
    <n v="578261"/>
    <m/>
    <x v="7"/>
    <s v="שירותים ממלכתיים"/>
    <x v="34"/>
    <s v="תרבות"/>
    <x v="114"/>
    <s v="פעולות תרבות"/>
    <s v="8224"/>
    <e v="#N/A"/>
    <m/>
    <s v="1"/>
    <x v="9"/>
    <s v="11"/>
    <s v="השכר הקובע"/>
    <s v="110"/>
    <e v="#N/A"/>
  </r>
  <r>
    <n v="124"/>
    <s v="82240"/>
    <n v="1"/>
    <s v="182240.124"/>
    <s v="החזר הוצאות                     "/>
    <m/>
    <m/>
    <n v="57000"/>
    <n v="55000"/>
    <n v="55064"/>
    <m/>
    <x v="7"/>
    <s v="שירותים ממלכתיים"/>
    <x v="34"/>
    <s v="תרבות"/>
    <x v="114"/>
    <s v="פעולות תרבות"/>
    <s v="8224"/>
    <e v="#N/A"/>
    <m/>
    <s v="1"/>
    <x v="9"/>
    <s v="12"/>
    <s v="תוספות שאינן נכללות בשכר הקובע"/>
    <s v="124"/>
    <e v="#N/A"/>
  </r>
  <r>
    <n v="126"/>
    <s v="82240"/>
    <n v="1"/>
    <s v="182240.126"/>
    <s v="הבראה                           "/>
    <m/>
    <m/>
    <n v="33000"/>
    <n v="33000"/>
    <n v="32665"/>
    <m/>
    <x v="7"/>
    <s v="שירותים ממלכתיים"/>
    <x v="34"/>
    <s v="תרבות"/>
    <x v="114"/>
    <s v="פעולות תרבות"/>
    <s v="8224"/>
    <e v="#N/A"/>
    <m/>
    <s v="1"/>
    <x v="9"/>
    <s v="12"/>
    <s v="תוספות שאינן נכללות בשכר הקובע"/>
    <s v="126"/>
    <e v="#N/A"/>
  </r>
  <r>
    <n v="127"/>
    <s v="82240"/>
    <n v="1"/>
    <s v="182240.127"/>
    <s v="השתתפות באחזקת רכב -  5         "/>
    <m/>
    <m/>
    <n v="113000"/>
    <n v="101000"/>
    <n v="110206"/>
    <m/>
    <x v="7"/>
    <s v="שירותים ממלכתיים"/>
    <x v="34"/>
    <s v="תרבות"/>
    <x v="114"/>
    <s v="פעולות תרבות"/>
    <s v="8224"/>
    <e v="#N/A"/>
    <m/>
    <s v="1"/>
    <x v="9"/>
    <s v="12"/>
    <s v="תוספות שאינן נכללות בשכר הקובע"/>
    <s v="127"/>
    <e v="#N/A"/>
  </r>
  <r>
    <n v="130"/>
    <s v="82240"/>
    <n v="1"/>
    <s v="182240.130"/>
    <s v="תשלומים מיוחדים                 "/>
    <m/>
    <m/>
    <n v="66000"/>
    <n v="48000"/>
    <n v="53615"/>
    <m/>
    <x v="7"/>
    <s v="שירותים ממלכתיים"/>
    <x v="34"/>
    <s v="תרבות"/>
    <x v="114"/>
    <s v="פעולות תרבות"/>
    <s v="8224"/>
    <e v="#N/A"/>
    <m/>
    <s v="1"/>
    <x v="9"/>
    <s v="13"/>
    <s v="שעות נוספות"/>
    <s v="130"/>
    <e v="#N/A"/>
  </r>
  <r>
    <n v="181"/>
    <s v="82240"/>
    <n v="1"/>
    <s v="182240.181"/>
    <s v="מיסים וביטוח לאומי              "/>
    <m/>
    <m/>
    <n v="121000"/>
    <n v="111000"/>
    <n v="108551"/>
    <m/>
    <x v="7"/>
    <s v="שירותים ממלכתיים"/>
    <x v="34"/>
    <s v="תרבות"/>
    <x v="114"/>
    <s v="פעולות תרבות"/>
    <s v="8224"/>
    <e v="#N/A"/>
    <m/>
    <s v="1"/>
    <x v="9"/>
    <s v="18"/>
    <s v="נלוות לשכר"/>
    <s v="181"/>
    <s v="הפרשות סוציאליות"/>
  </r>
  <r>
    <n v="182"/>
    <s v="82240"/>
    <n v="1"/>
    <s v="182240.182"/>
    <s v="קופות גמל והשתלמות              "/>
    <m/>
    <m/>
    <n v="124000"/>
    <n v="131000"/>
    <n v="121165"/>
    <m/>
    <x v="7"/>
    <s v="שירותים ממלכתיים"/>
    <x v="34"/>
    <s v="תרבות"/>
    <x v="114"/>
    <s v="פעולות תרבות"/>
    <s v="8224"/>
    <e v="#N/A"/>
    <m/>
    <s v="1"/>
    <x v="9"/>
    <s v="18"/>
    <s v="נלוות לשכר"/>
    <s v="182"/>
    <s v="מיסיום ועלויות"/>
  </r>
  <r>
    <n v="310"/>
    <s v="82240"/>
    <n v="1"/>
    <s v="182240.310"/>
    <s v="שעות נוספות רשומות              "/>
    <m/>
    <m/>
    <n v="35000"/>
    <n v="34000"/>
    <n v="4772"/>
    <m/>
    <x v="7"/>
    <s v="שירותים ממלכתיים"/>
    <x v="34"/>
    <s v="תרבות"/>
    <x v="114"/>
    <s v="פעולות תרבות"/>
    <s v="8224"/>
    <e v="#N/A"/>
    <m/>
    <s v="3"/>
    <x v="14"/>
    <s v="31"/>
    <s v="פנסיה"/>
    <s v="310"/>
    <e v="#N/A"/>
  </r>
  <r>
    <n v="434"/>
    <s v="82240"/>
    <n v="1"/>
    <s v="182240.434"/>
    <s v="תקוני מבנים  מתקנים ואינונטר    "/>
    <m/>
    <m/>
    <n v="10000"/>
    <n v="10000"/>
    <n v="5866"/>
    <m/>
    <x v="7"/>
    <s v="שירותים ממלכתיים"/>
    <x v="34"/>
    <s v="תרבות"/>
    <x v="114"/>
    <s v="פעולות תרבות"/>
    <s v="8224"/>
    <e v="#N/A"/>
    <m/>
    <s v="4"/>
    <x v="15"/>
    <s v="43"/>
    <s v="חשמל, מים וחומרי ניקיון"/>
    <s v="434"/>
    <s v="שירותי ניקיון"/>
  </r>
  <r>
    <n v="610"/>
    <s v="82240"/>
    <n v="1"/>
    <s v="182240.610"/>
    <s v="כיבודים                         "/>
    <m/>
    <m/>
    <n v="4000"/>
    <n v="4000"/>
    <n v="3925"/>
    <m/>
    <x v="7"/>
    <s v="שירותים ממלכתיים"/>
    <x v="34"/>
    <s v="תרבות"/>
    <x v="114"/>
    <s v="פעולות תרבות"/>
    <s v="8224"/>
    <e v="#N/A"/>
    <m/>
    <s v="6"/>
    <x v="12"/>
    <s v="61"/>
    <s v="עמלות"/>
    <s v="610"/>
    <e v="#N/A"/>
  </r>
  <r>
    <n v="670"/>
    <s v="82240"/>
    <n v="1"/>
    <s v="182240.670"/>
    <s v="סעיף שאינו חוזר                 "/>
    <m/>
    <m/>
    <n v="0"/>
    <n v="33000"/>
    <n v="32015"/>
    <m/>
    <x v="7"/>
    <s v="שירותים ממלכתיים"/>
    <x v="34"/>
    <s v="תרבות"/>
    <x v="114"/>
    <s v="פעולות תרבות"/>
    <s v="8224"/>
    <e v="#N/A"/>
    <m/>
    <s v="6"/>
    <x v="12"/>
    <s v="67"/>
    <e v="#N/A"/>
    <s v="670"/>
    <e v="#N/A"/>
  </r>
  <r>
    <n v="752"/>
    <s v="82240"/>
    <n v="1"/>
    <s v="182240.752"/>
    <s v="פעולות תורניות לצופים           "/>
    <m/>
    <m/>
    <n v="5000"/>
    <n v="5000"/>
    <n v="4444"/>
    <m/>
    <x v="7"/>
    <s v="שירותים ממלכתיים"/>
    <x v="34"/>
    <s v="תרבות"/>
    <x v="114"/>
    <s v="פעולות תרבות"/>
    <s v="8224"/>
    <e v="#N/A"/>
    <m/>
    <s v="7"/>
    <x v="13"/>
    <s v="75"/>
    <s v="עבודות קבלניות"/>
    <s v="752"/>
    <e v="#N/A"/>
  </r>
  <r>
    <n v="753"/>
    <s v="82240"/>
    <n v="1"/>
    <s v="182240.753"/>
    <s v="קייטנות לציבור החרדי            "/>
    <m/>
    <m/>
    <n v="100000"/>
    <n v="70000"/>
    <n v="70075"/>
    <m/>
    <x v="7"/>
    <s v="שירותים ממלכתיים"/>
    <x v="34"/>
    <s v="תרבות"/>
    <x v="114"/>
    <s v="פעולות תרבות"/>
    <s v="8224"/>
    <e v="#N/A"/>
    <m/>
    <s v="7"/>
    <x v="13"/>
    <s v="75"/>
    <s v="עבודות קבלניות"/>
    <s v="753"/>
    <e v="#N/A"/>
  </r>
  <r>
    <n v="781"/>
    <s v="82240"/>
    <n v="1"/>
    <s v="182240.781"/>
    <s v="פעולות תרבות תורנית - כללי      "/>
    <m/>
    <m/>
    <n v="130000"/>
    <n v="130000"/>
    <n v="129999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1"/>
    <e v="#N/A"/>
  </r>
  <r>
    <n v="782"/>
    <s v="82240"/>
    <n v="1"/>
    <s v="182240.782"/>
    <s v="חוגי יהדות ושעורי תורה          "/>
    <m/>
    <m/>
    <n v="19000"/>
    <n v="19000"/>
    <n v="18775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2"/>
    <e v="#N/A"/>
  </r>
  <r>
    <n v="783"/>
    <s v="82240"/>
    <n v="1"/>
    <s v="182240.783"/>
    <s v="חוגים ופעולות בשכונות השקום     "/>
    <m/>
    <m/>
    <n v="25000"/>
    <n v="25000"/>
    <n v="22127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3"/>
    <e v="#N/A"/>
  </r>
  <r>
    <n v="785"/>
    <s v="82240"/>
    <n v="1"/>
    <s v="182240.785"/>
    <s v="מרכזים קהילתיים דתיים           "/>
    <m/>
    <m/>
    <n v="450000"/>
    <n v="350000"/>
    <n v="449998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5"/>
    <e v="#N/A"/>
  </r>
  <r>
    <n v="786"/>
    <s v="82240"/>
    <n v="1"/>
    <s v="182240.786"/>
    <s v="ארוע פרס הרב עובדיה יוסף ז ל    "/>
    <m/>
    <m/>
    <n v="120000"/>
    <n v="0"/>
    <n v="0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6"/>
    <e v="#N/A"/>
  </r>
  <r>
    <n v="787"/>
    <s v="82240"/>
    <n v="1"/>
    <s v="182240.787"/>
    <s v="מופעים וארועי תרבות תורניים     "/>
    <m/>
    <m/>
    <n v="344000"/>
    <n v="244000"/>
    <n v="963004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7"/>
    <e v="#N/A"/>
  </r>
  <r>
    <n v="788"/>
    <s v="82240"/>
    <n v="1"/>
    <s v="182240.788"/>
    <s v="פעולות וארועים לציבור החרדי     "/>
    <m/>
    <m/>
    <n v="512000"/>
    <n v="462000"/>
    <n v="462084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8"/>
    <e v="#N/A"/>
  </r>
  <r>
    <n v="789"/>
    <s v="82240"/>
    <n v="1"/>
    <s v="182240.789"/>
    <s v="פעולות תרבות תורנית לשכונות     "/>
    <m/>
    <m/>
    <n v="700000"/>
    <n v="580000"/>
    <n v="829999"/>
    <m/>
    <x v="7"/>
    <s v="שירותים ממלכתיים"/>
    <x v="34"/>
    <s v="תרבות"/>
    <x v="114"/>
    <s v="פעולות תרבות"/>
    <s v="8224"/>
    <e v="#N/A"/>
    <m/>
    <s v="7"/>
    <x v="13"/>
    <s v="78"/>
    <s v="הוצאות שונות"/>
    <s v="789"/>
    <e v="#N/A"/>
  </r>
  <r>
    <n v="851"/>
    <s v="82240"/>
    <n v="1"/>
    <s v="182240.851"/>
    <s v="מרכז ברודט לתרבות יהודית-מוס ח  "/>
    <m/>
    <m/>
    <n v="82000"/>
    <n v="82000"/>
    <n v="211966"/>
    <m/>
    <x v="7"/>
    <s v="שירותים ממלכתיים"/>
    <x v="34"/>
    <s v="תרבות"/>
    <x v="114"/>
    <s v="פעולות תרבות"/>
    <s v="8224"/>
    <e v="#N/A"/>
    <m/>
    <s v="8"/>
    <x v="16"/>
    <s v="85"/>
    <s v="מלגות לתלמידים וסטודנטים"/>
    <s v="851"/>
    <e v="#N/A"/>
  </r>
  <r>
    <n v="110"/>
    <s v="82251"/>
    <n v="1"/>
    <s v="182251.110"/>
    <s v="משכורת כוללת                    "/>
    <m/>
    <m/>
    <n v="174000"/>
    <n v="166000"/>
    <n v="164309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1"/>
    <n v="1"/>
    <s v="182251.124"/>
    <s v="החזר הוצאות                     "/>
    <m/>
    <m/>
    <n v="11000"/>
    <n v="11000"/>
    <n v="10848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1"/>
    <n v="1"/>
    <s v="182251.126"/>
    <s v="הבראה                           "/>
    <m/>
    <m/>
    <n v="12000"/>
    <n v="12000"/>
    <n v="11956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1"/>
    <n v="1"/>
    <s v="182251.127"/>
    <s v="השתתפות באחזקת רכב-1            "/>
    <m/>
    <m/>
    <n v="35000"/>
    <n v="33000"/>
    <n v="34891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1"/>
    <n v="1"/>
    <s v="182251.130"/>
    <s v="תשלומים מיוחדים                 "/>
    <m/>
    <m/>
    <n v="49000"/>
    <n v="47000"/>
    <n v="46766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1"/>
    <n v="1"/>
    <s v="182251.181"/>
    <s v="מיסים וביטוח לאומי              "/>
    <m/>
    <m/>
    <n v="37000"/>
    <n v="35000"/>
    <n v="40277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1"/>
    <n v="1"/>
    <s v="182251.182"/>
    <s v="קופות גמל והשתלמות              "/>
    <m/>
    <m/>
    <n v="43000"/>
    <n v="38000"/>
    <n v="37072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851"/>
    <s v="82251"/>
    <n v="1"/>
    <s v="182251.851"/>
    <s v="הפע' אודיטוריום דוהל-חב' מוס'   "/>
    <m/>
    <m/>
    <n v="717000"/>
    <n v="717000"/>
    <n v="817000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110"/>
    <s v="82252"/>
    <n v="1"/>
    <s v="182252.110"/>
    <s v="משכורת כוללת                    "/>
    <m/>
    <m/>
    <n v="167000"/>
    <n v="163000"/>
    <n v="94431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2"/>
    <n v="1"/>
    <s v="182252.124"/>
    <s v="החזר הוצאות                     "/>
    <m/>
    <m/>
    <n v="18000"/>
    <n v="11000"/>
    <n v="8370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2"/>
    <n v="1"/>
    <s v="182252.126"/>
    <s v="הבראה                           "/>
    <m/>
    <m/>
    <n v="8000"/>
    <n v="9000"/>
    <n v="5424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2"/>
    <n v="1"/>
    <s v="182252.127"/>
    <s v="השתתפות באחזקת רכב-2            "/>
    <m/>
    <m/>
    <n v="51000"/>
    <n v="51000"/>
    <n v="34766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2"/>
    <n v="1"/>
    <s v="182252.130"/>
    <s v="תשלומים מיוחדים                 "/>
    <m/>
    <m/>
    <n v="10000"/>
    <n v="3000"/>
    <n v="7827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2"/>
    <n v="1"/>
    <s v="182252.181"/>
    <s v="מיסים וביטוח לאומי              "/>
    <m/>
    <m/>
    <n v="33000"/>
    <n v="31000"/>
    <n v="25396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2"/>
    <n v="1"/>
    <s v="182252.182"/>
    <s v="קופות גמל והשתלמות              "/>
    <m/>
    <m/>
    <n v="35000"/>
    <n v="44000"/>
    <n v="29982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434"/>
    <s v="82252"/>
    <n v="1"/>
    <s v="182252.434"/>
    <s v="תקוני מבנים  מתקנים ואינונטר    "/>
    <m/>
    <m/>
    <n v="6000"/>
    <n v="6000"/>
    <n v="5977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4"/>
    <s v="שירותי ניקיון"/>
  </r>
  <r>
    <n v="435"/>
    <s v="82252"/>
    <n v="1"/>
    <s v="182252.435"/>
    <s v="חשמל ואנרגיה                    "/>
    <m/>
    <m/>
    <n v="5000"/>
    <n v="5000"/>
    <n v="4039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5"/>
    <e v="#N/A"/>
  </r>
  <r>
    <n v="461"/>
    <s v="82252"/>
    <n v="1"/>
    <s v="182252.461"/>
    <s v="צורכי משרד                      "/>
    <m/>
    <m/>
    <n v="2000"/>
    <n v="2000"/>
    <n v="1441"/>
    <m/>
    <x v="7"/>
    <s v="שירותים ממלכתיים"/>
    <x v="34"/>
    <s v="תרבות"/>
    <x v="114"/>
    <s v="פעולות תרבות"/>
    <s v="8225"/>
    <e v="#N/A"/>
    <m/>
    <s v="4"/>
    <x v="15"/>
    <s v="46"/>
    <e v="#N/A"/>
    <s v="461"/>
    <e v="#N/A"/>
  </r>
  <r>
    <n v="610"/>
    <s v="82252"/>
    <n v="1"/>
    <s v="182252.610"/>
    <s v="כיבודים                         "/>
    <m/>
    <m/>
    <n v="5000"/>
    <n v="5000"/>
    <n v="3752"/>
    <m/>
    <x v="7"/>
    <s v="שירותים ממלכתיים"/>
    <x v="34"/>
    <s v="תרבות"/>
    <x v="114"/>
    <s v="פעולות תרבות"/>
    <s v="8225"/>
    <e v="#N/A"/>
    <m/>
    <s v="6"/>
    <x v="12"/>
    <s v="61"/>
    <s v="עמלות"/>
    <s v="610"/>
    <e v="#N/A"/>
  </r>
  <r>
    <n v="710"/>
    <s v="82252"/>
    <n v="1"/>
    <s v="182252.710"/>
    <s v="הובלות וסבלות                   "/>
    <m/>
    <m/>
    <n v="3000"/>
    <n v="3000"/>
    <n v="3000"/>
    <m/>
    <x v="7"/>
    <s v="שירותים ממלכתיים"/>
    <x v="34"/>
    <s v="תרבות"/>
    <x v="114"/>
    <s v="פעולות תרבות"/>
    <s v="8225"/>
    <e v="#N/A"/>
    <m/>
    <s v="7"/>
    <x v="13"/>
    <s v="71"/>
    <s v="הובלות והסעות קבלניות"/>
    <s v="710"/>
    <e v="#N/A"/>
  </r>
  <r>
    <n v="752"/>
    <s v="82252"/>
    <n v="1"/>
    <s v="182252.752"/>
    <s v="קבלן ניקיון                     "/>
    <m/>
    <m/>
    <n v="12000"/>
    <n v="12000"/>
    <n v="9305"/>
    <m/>
    <x v="7"/>
    <s v="שירותים ממלכתיים"/>
    <x v="34"/>
    <s v="תרבות"/>
    <x v="114"/>
    <s v="פעולות תרבות"/>
    <s v="8225"/>
    <e v="#N/A"/>
    <m/>
    <s v="7"/>
    <x v="13"/>
    <s v="75"/>
    <s v="עבודות קבלניות"/>
    <s v="752"/>
    <e v="#N/A"/>
  </r>
  <r>
    <n v="782"/>
    <s v="82252"/>
    <n v="1"/>
    <s v="182252.782"/>
    <s v="שווקים במדרחוב                  "/>
    <m/>
    <m/>
    <n v="145000"/>
    <n v="145000"/>
    <n v="189970"/>
    <m/>
    <x v="7"/>
    <s v="שירותים ממלכתיים"/>
    <x v="34"/>
    <s v="תרבות"/>
    <x v="114"/>
    <s v="פעולות תרבות"/>
    <s v="8225"/>
    <e v="#N/A"/>
    <m/>
    <s v="7"/>
    <x v="13"/>
    <s v="78"/>
    <s v="הוצאות שונות"/>
    <s v="782"/>
    <e v="#N/A"/>
  </r>
  <r>
    <n v="783"/>
    <s v="82252"/>
    <n v="1"/>
    <s v="182252.783"/>
    <s v="שיווק                           "/>
    <m/>
    <m/>
    <n v="20000"/>
    <n v="20000"/>
    <n v="14286"/>
    <m/>
    <x v="7"/>
    <s v="שירותים ממלכתיים"/>
    <x v="34"/>
    <s v="תרבות"/>
    <x v="114"/>
    <s v="פעולות תרבות"/>
    <s v="8225"/>
    <e v="#N/A"/>
    <m/>
    <s v="7"/>
    <x v="13"/>
    <s v="78"/>
    <s v="הוצאות שונות"/>
    <s v="783"/>
    <e v="#N/A"/>
  </r>
  <r>
    <n v="787"/>
    <s v="82252"/>
    <n v="1"/>
    <s v="182252.787"/>
    <s v="מופעי רחוב                      "/>
    <m/>
    <m/>
    <n v="339000"/>
    <n v="339000"/>
    <n v="366999"/>
    <m/>
    <x v="7"/>
    <s v="שירותים ממלכתיים"/>
    <x v="34"/>
    <s v="תרבות"/>
    <x v="114"/>
    <s v="פעולות תרבות"/>
    <s v="8225"/>
    <e v="#N/A"/>
    <m/>
    <s v="7"/>
    <x v="13"/>
    <s v="78"/>
    <s v="הוצאות שונות"/>
    <s v="787"/>
    <e v="#N/A"/>
  </r>
  <r>
    <n v="788"/>
    <s v="82252"/>
    <n v="1"/>
    <s v="182252.788"/>
    <s v="הוצאות שונות                    "/>
    <m/>
    <m/>
    <n v="3000"/>
    <n v="3000"/>
    <n v="2831"/>
    <m/>
    <x v="7"/>
    <s v="שירותים ממלכתיים"/>
    <x v="34"/>
    <s v="תרבות"/>
    <x v="114"/>
    <s v="פעולות תרבות"/>
    <s v="8225"/>
    <e v="#N/A"/>
    <m/>
    <s v="7"/>
    <x v="13"/>
    <s v="78"/>
    <s v="הוצאות שונות"/>
    <s v="788"/>
    <e v="#N/A"/>
  </r>
  <r>
    <n v="851"/>
    <s v="82252"/>
    <n v="1"/>
    <s v="182252.851"/>
    <s v="ניהול מופעי רחוב - חב' למוס' חינ"/>
    <m/>
    <m/>
    <n v="90000"/>
    <n v="90000"/>
    <n v="90000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932"/>
    <s v="82252"/>
    <n v="1"/>
    <s v="182252.932"/>
    <s v="ציוד וריהוט משרדי               "/>
    <m/>
    <m/>
    <n v="10000"/>
    <n v="10000"/>
    <n v="1257"/>
    <m/>
    <x v="7"/>
    <s v="שירותים ממלכתיים"/>
    <x v="34"/>
    <s v="תרבות"/>
    <x v="114"/>
    <s v="פעולות תרבות"/>
    <s v="8225"/>
    <e v="#N/A"/>
    <m/>
    <s v="9"/>
    <x v="17"/>
    <s v="93"/>
    <s v="רכישת ציוד יסודי"/>
    <s v="932"/>
    <e v="#N/A"/>
  </r>
  <r>
    <n v="110"/>
    <s v="82253"/>
    <n v="1"/>
    <s v="182253.110"/>
    <s v="משכורת כוללת                    "/>
    <m/>
    <m/>
    <n v="422000"/>
    <n v="497000"/>
    <n v="485034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3"/>
    <n v="1"/>
    <s v="182253.124"/>
    <s v="החזר הוצאות                     "/>
    <m/>
    <m/>
    <n v="23000"/>
    <n v="26000"/>
    <n v="26854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3"/>
    <n v="1"/>
    <s v="182253.126"/>
    <s v="הבראה                           "/>
    <m/>
    <m/>
    <n v="14000"/>
    <n v="25000"/>
    <n v="23972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3"/>
    <n v="1"/>
    <s v="182253.127"/>
    <s v="השתתפות באחזקת רכב - 3          "/>
    <m/>
    <m/>
    <n v="62000"/>
    <n v="65000"/>
    <n v="74284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3"/>
    <n v="1"/>
    <s v="182253.130"/>
    <s v="תשלומים מיוחדים                 "/>
    <m/>
    <m/>
    <n v="48000"/>
    <n v="62000"/>
    <n v="66158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3"/>
    <n v="1"/>
    <s v="182253.181"/>
    <s v="מיסים וביטוח לאומי              "/>
    <m/>
    <m/>
    <n v="74000"/>
    <n v="88000"/>
    <n v="92464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3"/>
    <n v="1"/>
    <s v="182253.182"/>
    <s v="קופות גמל והשתלמות              "/>
    <m/>
    <m/>
    <n v="96000"/>
    <n v="111000"/>
    <n v="104649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670"/>
    <s v="82253"/>
    <n v="1"/>
    <s v="182253.670"/>
    <s v="סעיף שאינו חוזר                 "/>
    <m/>
    <m/>
    <n v="0"/>
    <n v="0"/>
    <n v="123260"/>
    <m/>
    <x v="7"/>
    <s v="שירותים ממלכתיים"/>
    <x v="34"/>
    <s v="תרבות"/>
    <x v="114"/>
    <s v="פעולות תרבות"/>
    <s v="8225"/>
    <e v="#N/A"/>
    <m/>
    <s v="6"/>
    <x v="12"/>
    <s v="67"/>
    <e v="#N/A"/>
    <s v="670"/>
    <e v="#N/A"/>
  </r>
  <r>
    <n v="851"/>
    <s v="82253"/>
    <n v="1"/>
    <s v="182253.851"/>
    <s v="בית יד לבנים-חב' מוסדות חינוך   "/>
    <m/>
    <m/>
    <n v="237000"/>
    <n v="212000"/>
    <n v="187000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110"/>
    <s v="82254"/>
    <n v="1"/>
    <s v="182254.110"/>
    <s v="משכורת כוללת                    "/>
    <m/>
    <m/>
    <n v="419000"/>
    <n v="379000"/>
    <n v="366935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4"/>
    <n v="1"/>
    <s v="182254.124"/>
    <s v="החזר הוצאות                     "/>
    <m/>
    <m/>
    <n v="26000"/>
    <n v="27000"/>
    <n v="26598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4"/>
    <n v="1"/>
    <s v="182254.126"/>
    <s v="הבראה                           "/>
    <m/>
    <m/>
    <n v="24000"/>
    <n v="25000"/>
    <n v="24553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4"/>
    <n v="1"/>
    <s v="182254.127"/>
    <s v="השתתפות באחזקת רכב - 3          "/>
    <m/>
    <m/>
    <n v="83000"/>
    <n v="79000"/>
    <n v="78091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4"/>
    <n v="1"/>
    <s v="182254.130"/>
    <s v="תשלומים מיוחדים                 "/>
    <m/>
    <m/>
    <n v="120000"/>
    <n v="91000"/>
    <n v="91048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4"/>
    <n v="1"/>
    <s v="182254.181"/>
    <s v="מיסים וביטוח לאומי              "/>
    <m/>
    <m/>
    <n v="88000"/>
    <n v="79000"/>
    <n v="84902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4"/>
    <n v="1"/>
    <s v="182254.182"/>
    <s v="קופות גמל והשתלמות              "/>
    <m/>
    <m/>
    <n v="80000"/>
    <n v="77000"/>
    <n v="74555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851"/>
    <s v="82254"/>
    <n v="1"/>
    <s v="182254.851"/>
    <s v="הפעלת תיאטרון הסימטה-חב' למוסדות"/>
    <m/>
    <m/>
    <n v="982000"/>
    <n v="912000"/>
    <n v="1126288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110"/>
    <s v="82255"/>
    <n v="1"/>
    <s v="182255.110"/>
    <s v="משכורת כוללת                    "/>
    <m/>
    <m/>
    <n v="244000"/>
    <n v="243000"/>
    <n v="234194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5"/>
    <n v="1"/>
    <s v="182255.124"/>
    <s v="החזר הוצאות                     "/>
    <m/>
    <m/>
    <n v="17000"/>
    <n v="17000"/>
    <n v="17245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5"/>
    <n v="1"/>
    <s v="182255.126"/>
    <s v="הבראה                           "/>
    <m/>
    <m/>
    <n v="17000"/>
    <n v="18000"/>
    <n v="17507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5"/>
    <n v="1"/>
    <s v="182255.127"/>
    <s v="השתתפות באחזקת רכב - 2          "/>
    <m/>
    <m/>
    <n v="48000"/>
    <n v="48000"/>
    <n v="46337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5"/>
    <n v="1"/>
    <s v="182255.130"/>
    <s v="תשלומים מיוחדים                 "/>
    <m/>
    <m/>
    <n v="55000"/>
    <n v="55000"/>
    <n v="53705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5"/>
    <n v="1"/>
    <s v="182255.181"/>
    <s v="מיסים וביטוח לאומי              "/>
    <m/>
    <m/>
    <n v="50000"/>
    <n v="50000"/>
    <n v="50182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5"/>
    <n v="1"/>
    <s v="182255.182"/>
    <s v="קופות גמל והשתלמות              "/>
    <m/>
    <m/>
    <n v="51000"/>
    <n v="48000"/>
    <n v="47526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437"/>
    <s v="82255"/>
    <n v="1"/>
    <s v="182255.437"/>
    <s v="שמירה                           "/>
    <m/>
    <m/>
    <n v="151000"/>
    <n v="140000"/>
    <n v="114061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7"/>
    <e v="#N/A"/>
  </r>
  <r>
    <n v="851"/>
    <s v="82255"/>
    <n v="1"/>
    <s v="182255.851"/>
    <s v="הפעלת מרכז תרבות מנדל-חב' למוסדו"/>
    <m/>
    <m/>
    <n v="203000"/>
    <n v="168000"/>
    <n v="190923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110"/>
    <s v="82256"/>
    <n v="1"/>
    <s v="182256.110"/>
    <s v="משכורת כוללת                    "/>
    <m/>
    <m/>
    <n v="362000"/>
    <n v="282000"/>
    <n v="270967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6"/>
    <n v="1"/>
    <s v="182256.124"/>
    <s v="החזר הוצאות                     "/>
    <m/>
    <m/>
    <n v="39000"/>
    <n v="33000"/>
    <n v="33227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6"/>
    <n v="1"/>
    <s v="182256.126"/>
    <s v="הבראה                           "/>
    <m/>
    <m/>
    <n v="24000"/>
    <n v="15000"/>
    <n v="14518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6"/>
    <n v="1"/>
    <s v="182256.127"/>
    <s v="השתתפות באחזקת רכב-2            "/>
    <m/>
    <m/>
    <n v="61000"/>
    <n v="44000"/>
    <n v="41955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6"/>
    <n v="1"/>
    <s v="182256.130"/>
    <s v="תשלומים מיוחדים                 "/>
    <m/>
    <m/>
    <n v="36000"/>
    <n v="12000"/>
    <n v="12273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6"/>
    <n v="1"/>
    <s v="182256.181"/>
    <s v="מיסים וביטוח לאומי              "/>
    <m/>
    <m/>
    <n v="68000"/>
    <n v="50000"/>
    <n v="53450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6"/>
    <n v="1"/>
    <s v="182256.182"/>
    <s v="קופות גמל והשתלמות              "/>
    <m/>
    <m/>
    <n v="80000"/>
    <n v="71000"/>
    <n v="66327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439"/>
    <s v="82256"/>
    <n v="1"/>
    <s v="182256.439"/>
    <s v="אחזקת בניני העירייה-השתתפות     "/>
    <m/>
    <m/>
    <n v="630000"/>
    <n v="637000"/>
    <n v="630000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9"/>
    <e v="#N/A"/>
  </r>
  <r>
    <n v="464"/>
    <s v="82256"/>
    <n v="1"/>
    <s v="182256.464"/>
    <s v="דאר ושיווק                      "/>
    <m/>
    <m/>
    <n v="146000"/>
    <n v="146000"/>
    <n v="139250"/>
    <m/>
    <x v="7"/>
    <s v="שירותים ממלכתיים"/>
    <x v="34"/>
    <s v="תרבות"/>
    <x v="114"/>
    <s v="פעולות תרבות"/>
    <s v="8225"/>
    <e v="#N/A"/>
    <m/>
    <s v="4"/>
    <x v="15"/>
    <s v="46"/>
    <e v="#N/A"/>
    <s v="464"/>
    <e v="#N/A"/>
  </r>
  <r>
    <n v="720"/>
    <s v="82256"/>
    <n v="1"/>
    <s v="182256.720"/>
    <s v="חמרים                           "/>
    <m/>
    <m/>
    <n v="12000"/>
    <n v="12000"/>
    <n v="11248"/>
    <m/>
    <x v="7"/>
    <s v="שירותים ממלכתיים"/>
    <x v="34"/>
    <s v="תרבות"/>
    <x v="114"/>
    <s v="פעולות תרבות"/>
    <s v="8225"/>
    <e v="#N/A"/>
    <m/>
    <s v="7"/>
    <x v="13"/>
    <s v="72"/>
    <s v="חומרים"/>
    <s v="720"/>
    <e v="#N/A"/>
  </r>
  <r>
    <n v="781"/>
    <s v="82256"/>
    <n v="1"/>
    <s v="182256.781"/>
    <s v="פעולות תרבות                    "/>
    <m/>
    <m/>
    <n v="655000"/>
    <n v="655000"/>
    <n v="578482"/>
    <m/>
    <x v="7"/>
    <s v="שירותים ממלכתיים"/>
    <x v="34"/>
    <s v="תרבות"/>
    <x v="114"/>
    <s v="פעולות תרבות"/>
    <s v="8225"/>
    <e v="#N/A"/>
    <m/>
    <s v="7"/>
    <x v="13"/>
    <s v="78"/>
    <s v="הוצאות שונות"/>
    <s v="781"/>
    <e v="#N/A"/>
  </r>
  <r>
    <n v="932"/>
    <s v="82256"/>
    <n v="1"/>
    <s v="182256.932"/>
    <s v="ציוד וריהוט משרדי               "/>
    <m/>
    <m/>
    <n v="2000"/>
    <n v="2000"/>
    <n v="1236"/>
    <m/>
    <x v="7"/>
    <s v="שירותים ממלכתיים"/>
    <x v="34"/>
    <s v="תרבות"/>
    <x v="114"/>
    <s v="פעולות תרבות"/>
    <s v="8225"/>
    <e v="#N/A"/>
    <m/>
    <s v="9"/>
    <x v="17"/>
    <s v="93"/>
    <s v="רכישת ציוד יסודי"/>
    <s v="932"/>
    <e v="#N/A"/>
  </r>
  <r>
    <n v="110"/>
    <s v="82257"/>
    <n v="1"/>
    <s v="182257.110"/>
    <s v="משכורת כוללת                    "/>
    <m/>
    <m/>
    <n v="591000"/>
    <n v="594000"/>
    <n v="531142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7"/>
    <n v="1"/>
    <s v="182257.124"/>
    <s v="החזר הוצאות                     "/>
    <m/>
    <m/>
    <n v="29000"/>
    <n v="28000"/>
    <n v="24993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7"/>
    <n v="1"/>
    <s v="182257.126"/>
    <s v="הבראה                           "/>
    <m/>
    <m/>
    <n v="26000"/>
    <n v="26000"/>
    <n v="22973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7"/>
    <n v="1"/>
    <s v="182257.127"/>
    <s v="השתתפות באחזקת רכב-4            "/>
    <m/>
    <m/>
    <n v="124000"/>
    <n v="130000"/>
    <n v="118134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7"/>
    <n v="1"/>
    <s v="182257.130"/>
    <s v="תשלומים מיוחדים                 "/>
    <m/>
    <m/>
    <n v="30000"/>
    <n v="35000"/>
    <n v="28261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7"/>
    <n v="1"/>
    <s v="182257.181"/>
    <s v="מיסים וביטוח לאומי              "/>
    <m/>
    <m/>
    <n v="105000"/>
    <n v="106000"/>
    <n v="98735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7"/>
    <n v="1"/>
    <s v="182257.182"/>
    <s v="קופות גמל והשתלמות              "/>
    <m/>
    <m/>
    <n v="150000"/>
    <n v="150000"/>
    <n v="132743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431"/>
    <s v="82257"/>
    <n v="1"/>
    <s v="182257.431"/>
    <s v="מים                             "/>
    <m/>
    <m/>
    <n v="12000"/>
    <n v="12000"/>
    <n v="7114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1"/>
    <s v="חשמל"/>
  </r>
  <r>
    <n v="670"/>
    <s v="82257"/>
    <n v="1"/>
    <s v="182257.670"/>
    <s v="סעיף שאינו חוזר                 "/>
    <m/>
    <m/>
    <n v="0"/>
    <n v="0"/>
    <n v="551603"/>
    <m/>
    <x v="7"/>
    <s v="שירותים ממלכתיים"/>
    <x v="34"/>
    <s v="תרבות"/>
    <x v="114"/>
    <s v="פעולות תרבות"/>
    <s v="8225"/>
    <e v="#N/A"/>
    <m/>
    <s v="6"/>
    <x v="12"/>
    <s v="67"/>
    <e v="#N/A"/>
    <s v="670"/>
    <e v="#N/A"/>
  </r>
  <r>
    <n v="851"/>
    <s v="82257"/>
    <n v="1"/>
    <s v="182257.851"/>
    <s v="בית ביאליק-החב' למוסדות חינוך   "/>
    <m/>
    <m/>
    <n v="1770000"/>
    <n v="1620000"/>
    <n v="760592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970"/>
    <s v="82257"/>
    <n v="1"/>
    <s v="182257.970"/>
    <s v="סעיף שאינו חוזר                 "/>
    <m/>
    <m/>
    <n v="0"/>
    <n v="0"/>
    <n v="794"/>
    <m/>
    <x v="7"/>
    <s v="שירותים ממלכתיים"/>
    <x v="34"/>
    <s v="תרבות"/>
    <x v="114"/>
    <s v="פעולות תרבות"/>
    <s v="8225"/>
    <e v="#N/A"/>
    <m/>
    <s v="9"/>
    <x v="17"/>
    <s v="97"/>
    <s v="מקדמת על הוצאות עודפות"/>
    <s v="970"/>
    <e v="#N/A"/>
  </r>
  <r>
    <n v="110"/>
    <s v="82258"/>
    <n v="1"/>
    <s v="182258.110"/>
    <s v="משכורת כוללת                    "/>
    <m/>
    <m/>
    <n v="155000"/>
    <n v="146000"/>
    <n v="144855"/>
    <m/>
    <x v="7"/>
    <s v="שירותים ממלכתיים"/>
    <x v="34"/>
    <s v="תרבות"/>
    <x v="114"/>
    <s v="פעולות תרבות"/>
    <s v="8225"/>
    <e v="#N/A"/>
    <m/>
    <s v="1"/>
    <x v="9"/>
    <s v="11"/>
    <s v="השכר הקובע"/>
    <s v="110"/>
    <e v="#N/A"/>
  </r>
  <r>
    <n v="124"/>
    <s v="82258"/>
    <n v="1"/>
    <s v="182258.124"/>
    <s v="החזר הוצאות                     "/>
    <m/>
    <m/>
    <n v="11000"/>
    <n v="11000"/>
    <n v="11448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4"/>
    <e v="#N/A"/>
  </r>
  <r>
    <n v="126"/>
    <s v="82258"/>
    <n v="1"/>
    <s v="182258.126"/>
    <s v="הבראה                           "/>
    <m/>
    <m/>
    <n v="9000"/>
    <n v="9000"/>
    <n v="8967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6"/>
    <e v="#N/A"/>
  </r>
  <r>
    <n v="127"/>
    <s v="82258"/>
    <n v="1"/>
    <s v="182258.127"/>
    <s v="השתתפות באחזקת רכב-2            "/>
    <m/>
    <m/>
    <n v="31000"/>
    <n v="28000"/>
    <n v="33141"/>
    <m/>
    <x v="7"/>
    <s v="שירותים ממלכתיים"/>
    <x v="34"/>
    <s v="תרבות"/>
    <x v="114"/>
    <s v="פעולות תרבות"/>
    <s v="8225"/>
    <e v="#N/A"/>
    <m/>
    <s v="1"/>
    <x v="9"/>
    <s v="12"/>
    <s v="תוספות שאינן נכללות בשכר הקובע"/>
    <s v="127"/>
    <e v="#N/A"/>
  </r>
  <r>
    <n v="130"/>
    <s v="82258"/>
    <n v="1"/>
    <s v="182258.130"/>
    <s v="תשלומים מיוחדים                 "/>
    <m/>
    <m/>
    <n v="21000"/>
    <n v="20000"/>
    <n v="20040"/>
    <m/>
    <x v="7"/>
    <s v="שירותים ממלכתיים"/>
    <x v="34"/>
    <s v="תרבות"/>
    <x v="114"/>
    <s v="פעולות תרבות"/>
    <s v="8225"/>
    <e v="#N/A"/>
    <m/>
    <s v="1"/>
    <x v="9"/>
    <s v="13"/>
    <s v="שעות נוספות"/>
    <s v="130"/>
    <e v="#N/A"/>
  </r>
  <r>
    <n v="181"/>
    <s v="82258"/>
    <n v="1"/>
    <s v="182258.181"/>
    <s v="מיסים וביטוח לאומי              "/>
    <m/>
    <m/>
    <n v="30000"/>
    <n v="28000"/>
    <n v="27123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1"/>
    <s v="הפרשות סוציאליות"/>
  </r>
  <r>
    <n v="182"/>
    <s v="82258"/>
    <n v="1"/>
    <s v="182258.182"/>
    <s v="קופות גמל והשתלמות              "/>
    <m/>
    <m/>
    <n v="29000"/>
    <n v="28000"/>
    <n v="27827"/>
    <m/>
    <x v="7"/>
    <s v="שירותים ממלכתיים"/>
    <x v="34"/>
    <s v="תרבות"/>
    <x v="114"/>
    <s v="פעולות תרבות"/>
    <s v="8225"/>
    <e v="#N/A"/>
    <m/>
    <s v="1"/>
    <x v="9"/>
    <s v="18"/>
    <s v="נלוות לשכר"/>
    <s v="182"/>
    <s v="מיסיום ועלויות"/>
  </r>
  <r>
    <n v="431"/>
    <s v="82258"/>
    <n v="1"/>
    <s v="182258.431"/>
    <s v="מים                             "/>
    <m/>
    <m/>
    <n v="18000"/>
    <n v="17000"/>
    <n v="7787"/>
    <m/>
    <x v="7"/>
    <s v="שירותים ממלכתיים"/>
    <x v="34"/>
    <s v="תרבות"/>
    <x v="114"/>
    <s v="פעולות תרבות"/>
    <s v="8225"/>
    <e v="#N/A"/>
    <m/>
    <s v="4"/>
    <x v="15"/>
    <s v="43"/>
    <s v="חשמל, מים וחומרי ניקיון"/>
    <s v="431"/>
    <s v="חשמל"/>
  </r>
  <r>
    <n v="670"/>
    <s v="82258"/>
    <n v="1"/>
    <s v="182258.670"/>
    <s v="סעיף שאינו חוזר                 "/>
    <m/>
    <m/>
    <n v="0"/>
    <n v="0"/>
    <n v="2051705"/>
    <m/>
    <x v="7"/>
    <s v="שירותים ממלכתיים"/>
    <x v="34"/>
    <s v="תרבות"/>
    <x v="114"/>
    <s v="פעולות תרבות"/>
    <s v="8225"/>
    <e v="#N/A"/>
    <m/>
    <s v="6"/>
    <x v="12"/>
    <s v="67"/>
    <e v="#N/A"/>
    <s v="670"/>
    <e v="#N/A"/>
  </r>
  <r>
    <n v="851"/>
    <s v="82258"/>
    <n v="1"/>
    <s v="182258.851"/>
    <s v="בית העיר-החב' למוסדות חינוך     "/>
    <m/>
    <m/>
    <n v="3244000"/>
    <n v="3244000"/>
    <n v="1523468"/>
    <m/>
    <x v="7"/>
    <s v="שירותים ממלכתיים"/>
    <x v="34"/>
    <s v="תרבות"/>
    <x v="114"/>
    <s v="פעולות תרבות"/>
    <s v="8225"/>
    <e v="#N/A"/>
    <m/>
    <s v="8"/>
    <x v="16"/>
    <s v="85"/>
    <s v="מלגות לתלמידים וסטודנטים"/>
    <s v="851"/>
    <e v="#N/A"/>
  </r>
  <r>
    <n v="970"/>
    <s v="82258"/>
    <n v="1"/>
    <s v="182258.970"/>
    <s v="סעיף שאינו חוזר                 "/>
    <m/>
    <m/>
    <n v="0"/>
    <n v="0"/>
    <n v="109484"/>
    <m/>
    <x v="7"/>
    <s v="שירותים ממלכתיים"/>
    <x v="34"/>
    <s v="תרבות"/>
    <x v="114"/>
    <s v="פעולות תרבות"/>
    <s v="8225"/>
    <e v="#N/A"/>
    <m/>
    <s v="9"/>
    <x v="17"/>
    <s v="97"/>
    <s v="מקדמת על הוצאות עודפות"/>
    <s v="970"/>
    <e v="#N/A"/>
  </r>
  <r>
    <n v="110"/>
    <s v="82311"/>
    <n v="1"/>
    <s v="182311.110"/>
    <s v="משכורת כוללת                    "/>
    <m/>
    <m/>
    <n v="369000"/>
    <n v="535000"/>
    <n v="491939"/>
    <m/>
    <x v="7"/>
    <s v="שירותים ממלכתיים"/>
    <x v="34"/>
    <s v="תרבות"/>
    <x v="115"/>
    <s v="ספריות עירוניות"/>
    <s v="8231"/>
    <e v="#N/A"/>
    <m/>
    <s v="1"/>
    <x v="9"/>
    <s v="11"/>
    <s v="השכר הקובע"/>
    <s v="110"/>
    <e v="#N/A"/>
  </r>
  <r>
    <n v="124"/>
    <s v="82311"/>
    <n v="1"/>
    <s v="182311.124"/>
    <s v="החזר הוצאות                     "/>
    <m/>
    <m/>
    <n v="51000"/>
    <n v="64000"/>
    <n v="64049"/>
    <m/>
    <x v="7"/>
    <s v="שירותים ממלכתיים"/>
    <x v="34"/>
    <s v="תרבות"/>
    <x v="115"/>
    <s v="ספריות עירוניות"/>
    <s v="8231"/>
    <e v="#N/A"/>
    <m/>
    <s v="1"/>
    <x v="9"/>
    <s v="12"/>
    <s v="תוספות שאינן נכללות בשכר הקובע"/>
    <s v="124"/>
    <e v="#N/A"/>
  </r>
  <r>
    <n v="126"/>
    <s v="82311"/>
    <n v="1"/>
    <s v="182311.126"/>
    <s v="הבראה                           "/>
    <m/>
    <m/>
    <n v="30000"/>
    <n v="41000"/>
    <n v="39327"/>
    <m/>
    <x v="7"/>
    <s v="שירותים ממלכתיים"/>
    <x v="34"/>
    <s v="תרבות"/>
    <x v="115"/>
    <s v="ספריות עירוניות"/>
    <s v="8231"/>
    <e v="#N/A"/>
    <m/>
    <s v="1"/>
    <x v="9"/>
    <s v="12"/>
    <s v="תוספות שאינן נכללות בשכר הקובע"/>
    <s v="126"/>
    <e v="#N/A"/>
  </r>
  <r>
    <n v="127"/>
    <s v="82311"/>
    <n v="1"/>
    <s v="182311.127"/>
    <s v="השתתפות באחזקת רכב-3            "/>
    <m/>
    <m/>
    <n v="27000"/>
    <n v="31000"/>
    <n v="31419"/>
    <m/>
    <x v="7"/>
    <s v="שירותים ממלכתיים"/>
    <x v="34"/>
    <s v="תרבות"/>
    <x v="115"/>
    <s v="ספריות עירוניות"/>
    <s v="8231"/>
    <e v="#N/A"/>
    <m/>
    <s v="1"/>
    <x v="9"/>
    <s v="12"/>
    <s v="תוספות שאינן נכללות בשכר הקובע"/>
    <s v="127"/>
    <e v="#N/A"/>
  </r>
  <r>
    <n v="130"/>
    <s v="82311"/>
    <n v="1"/>
    <s v="182311.130"/>
    <s v="תשלומים מיוחדים                 "/>
    <m/>
    <m/>
    <n v="104000"/>
    <n v="131000"/>
    <n v="125332"/>
    <m/>
    <x v="7"/>
    <s v="שירותים ממלכתיים"/>
    <x v="34"/>
    <s v="תרבות"/>
    <x v="115"/>
    <s v="ספריות עירוניות"/>
    <s v="8231"/>
    <e v="#N/A"/>
    <m/>
    <s v="1"/>
    <x v="9"/>
    <s v="13"/>
    <s v="שעות נוספות"/>
    <s v="130"/>
    <e v="#N/A"/>
  </r>
  <r>
    <n v="181"/>
    <s v="82311"/>
    <n v="1"/>
    <s v="182311.181"/>
    <s v="מיסים וביטוח לאומי              "/>
    <m/>
    <m/>
    <n v="76000"/>
    <n v="105000"/>
    <n v="87342"/>
    <m/>
    <x v="7"/>
    <s v="שירותים ממלכתיים"/>
    <x v="34"/>
    <s v="תרבות"/>
    <x v="115"/>
    <s v="ספריות עירוניות"/>
    <s v="8231"/>
    <e v="#N/A"/>
    <m/>
    <s v="1"/>
    <x v="9"/>
    <s v="18"/>
    <s v="נלוות לשכר"/>
    <s v="181"/>
    <s v="הפרשות סוציאליות"/>
  </r>
  <r>
    <n v="182"/>
    <s v="82311"/>
    <n v="1"/>
    <s v="182311.182"/>
    <s v="קופות גמל והשתלמות              "/>
    <m/>
    <m/>
    <n v="63000"/>
    <n v="99000"/>
    <n v="90288"/>
    <m/>
    <x v="7"/>
    <s v="שירותים ממלכתיים"/>
    <x v="34"/>
    <s v="תרבות"/>
    <x v="115"/>
    <s v="ספריות עירוניות"/>
    <s v="8231"/>
    <e v="#N/A"/>
    <m/>
    <s v="1"/>
    <x v="9"/>
    <s v="18"/>
    <s v="נלוות לשכר"/>
    <s v="182"/>
    <s v="מיסיום ועלויות"/>
  </r>
  <r>
    <n v="431"/>
    <s v="82311"/>
    <n v="1"/>
    <s v="182311.431"/>
    <s v="מים                             "/>
    <m/>
    <m/>
    <n v="16000"/>
    <n v="15000"/>
    <n v="16567"/>
    <m/>
    <x v="7"/>
    <s v="שירותים ממלכתיים"/>
    <x v="34"/>
    <s v="תרבות"/>
    <x v="115"/>
    <s v="ספריות עירוניות"/>
    <s v="8231"/>
    <e v="#N/A"/>
    <m/>
    <s v="4"/>
    <x v="15"/>
    <s v="43"/>
    <s v="חשמל, מים וחומרי ניקיון"/>
    <s v="431"/>
    <s v="חשמל"/>
  </r>
  <r>
    <n v="434"/>
    <s v="82311"/>
    <n v="1"/>
    <s v="182311.434"/>
    <s v="תקוני מבנים  מתקנים ואינונטר    "/>
    <m/>
    <m/>
    <n v="17000"/>
    <n v="17000"/>
    <n v="15642"/>
    <m/>
    <x v="7"/>
    <s v="שירותים ממלכתיים"/>
    <x v="34"/>
    <s v="תרבות"/>
    <x v="115"/>
    <s v="ספריות עירוניות"/>
    <s v="8231"/>
    <e v="#N/A"/>
    <m/>
    <s v="4"/>
    <x v="15"/>
    <s v="43"/>
    <s v="חשמל, מים וחומרי ניקיון"/>
    <s v="434"/>
    <s v="שירותי ניקיון"/>
  </r>
  <r>
    <n v="435"/>
    <s v="82311"/>
    <n v="1"/>
    <s v="182311.435"/>
    <s v="חשמל ואנרגיה                    "/>
    <m/>
    <m/>
    <n v="64000"/>
    <n v="64000"/>
    <n v="63487"/>
    <m/>
    <x v="7"/>
    <s v="שירותים ממלכתיים"/>
    <x v="34"/>
    <s v="תרבות"/>
    <x v="115"/>
    <s v="ספריות עירוניות"/>
    <s v="8231"/>
    <e v="#N/A"/>
    <m/>
    <s v="4"/>
    <x v="15"/>
    <s v="43"/>
    <s v="חשמל, מים וחומרי ניקיון"/>
    <s v="435"/>
    <e v="#N/A"/>
  </r>
  <r>
    <n v="670"/>
    <s v="82311"/>
    <n v="1"/>
    <s v="182311.670"/>
    <s v="סעיף שאינו חוזר                 "/>
    <m/>
    <m/>
    <n v="0"/>
    <n v="12000"/>
    <n v="113561"/>
    <m/>
    <x v="7"/>
    <s v="שירותים ממלכתיים"/>
    <x v="34"/>
    <s v="תרבות"/>
    <x v="115"/>
    <s v="ספריות עירוניות"/>
    <s v="8231"/>
    <e v="#N/A"/>
    <m/>
    <s v="6"/>
    <x v="12"/>
    <s v="67"/>
    <e v="#N/A"/>
    <s v="670"/>
    <e v="#N/A"/>
  </r>
  <r>
    <n v="751"/>
    <s v="82311"/>
    <n v="1"/>
    <s v="182311.751"/>
    <s v="עבודה בקבלנות- נקיון            "/>
    <m/>
    <m/>
    <n v="103000"/>
    <n v="143000"/>
    <n v="143000"/>
    <m/>
    <x v="7"/>
    <s v="שירותים ממלכתיים"/>
    <x v="34"/>
    <s v="תרבות"/>
    <x v="115"/>
    <s v="ספריות עירוניות"/>
    <s v="8231"/>
    <e v="#N/A"/>
    <m/>
    <s v="7"/>
    <x v="13"/>
    <s v="75"/>
    <s v="עבודות קבלניות"/>
    <s v="751"/>
    <e v="#N/A"/>
  </r>
  <r>
    <n v="110"/>
    <s v="82320"/>
    <n v="1"/>
    <s v="182320.110"/>
    <s v="משכורת כוללת                    "/>
    <m/>
    <m/>
    <n v="110000"/>
    <n v="246000"/>
    <n v="140554"/>
    <m/>
    <x v="7"/>
    <s v="שירותים ממלכתיים"/>
    <x v="34"/>
    <s v="תרבות"/>
    <x v="115"/>
    <s v="ספריות עירוניות"/>
    <s v="8232"/>
    <e v="#N/A"/>
    <m/>
    <s v="1"/>
    <x v="9"/>
    <s v="11"/>
    <s v="השכר הקובע"/>
    <s v="110"/>
    <e v="#N/A"/>
  </r>
  <r>
    <n v="124"/>
    <s v="82320"/>
    <n v="1"/>
    <s v="182320.124"/>
    <s v="החזר הוצאות                     "/>
    <m/>
    <m/>
    <n v="7000"/>
    <n v="15000"/>
    <n v="10968"/>
    <m/>
    <x v="7"/>
    <s v="שירותים ממלכתיים"/>
    <x v="34"/>
    <s v="תרבות"/>
    <x v="115"/>
    <s v="ספריות עירוניות"/>
    <s v="8232"/>
    <e v="#N/A"/>
    <m/>
    <s v="1"/>
    <x v="9"/>
    <s v="12"/>
    <s v="תוספות שאינן נכללות בשכר הקובע"/>
    <s v="124"/>
    <e v="#N/A"/>
  </r>
  <r>
    <n v="126"/>
    <s v="82320"/>
    <n v="1"/>
    <s v="182320.126"/>
    <s v="הבראה                           "/>
    <m/>
    <m/>
    <n v="9000"/>
    <n v="15000"/>
    <n v="10649"/>
    <m/>
    <x v="7"/>
    <s v="שירותים ממלכתיים"/>
    <x v="34"/>
    <s v="תרבות"/>
    <x v="115"/>
    <s v="ספריות עירוניות"/>
    <s v="8232"/>
    <e v="#N/A"/>
    <m/>
    <s v="1"/>
    <x v="9"/>
    <s v="12"/>
    <s v="תוספות שאינן נכללות בשכר הקובע"/>
    <s v="126"/>
    <e v="#N/A"/>
  </r>
  <r>
    <n v="127"/>
    <s v="82320"/>
    <n v="1"/>
    <s v="182320.127"/>
    <s v="השתתפות באחזקת רכב -1           "/>
    <m/>
    <m/>
    <n v="19000"/>
    <n v="34000"/>
    <n v="18870"/>
    <m/>
    <x v="7"/>
    <s v="שירותים ממלכתיים"/>
    <x v="34"/>
    <s v="תרבות"/>
    <x v="115"/>
    <s v="ספריות עירוניות"/>
    <s v="8232"/>
    <e v="#N/A"/>
    <m/>
    <s v="1"/>
    <x v="9"/>
    <s v="12"/>
    <s v="תוספות שאינן נכללות בשכר הקובע"/>
    <s v="127"/>
    <e v="#N/A"/>
  </r>
  <r>
    <n v="130"/>
    <s v="82320"/>
    <n v="1"/>
    <s v="182320.130"/>
    <s v="תשלומים מיוחדים                 "/>
    <m/>
    <m/>
    <n v="37000"/>
    <n v="53000"/>
    <n v="41721"/>
    <m/>
    <x v="7"/>
    <s v="שירותים ממלכתיים"/>
    <x v="34"/>
    <s v="תרבות"/>
    <x v="115"/>
    <s v="ספריות עירוניות"/>
    <s v="8232"/>
    <e v="#N/A"/>
    <m/>
    <s v="1"/>
    <x v="9"/>
    <s v="13"/>
    <s v="שעות נוספות"/>
    <s v="130"/>
    <e v="#N/A"/>
  </r>
  <r>
    <n v="181"/>
    <s v="82320"/>
    <n v="1"/>
    <s v="182320.181"/>
    <s v="מיסים וביטוח לאומי              "/>
    <m/>
    <m/>
    <n v="24000"/>
    <n v="47000"/>
    <n v="27840"/>
    <m/>
    <x v="7"/>
    <s v="שירותים ממלכתיים"/>
    <x v="34"/>
    <s v="תרבות"/>
    <x v="115"/>
    <s v="ספריות עירוניות"/>
    <s v="8232"/>
    <e v="#N/A"/>
    <m/>
    <s v="1"/>
    <x v="9"/>
    <s v="18"/>
    <s v="נלוות לשכר"/>
    <s v="181"/>
    <s v="הפרשות סוציאליות"/>
  </r>
  <r>
    <n v="182"/>
    <s v="82320"/>
    <n v="1"/>
    <s v="182320.182"/>
    <s v="קופות גמל והשתלמות              "/>
    <m/>
    <m/>
    <n v="11000"/>
    <n v="32000"/>
    <n v="20545"/>
    <m/>
    <x v="7"/>
    <s v="שירותים ממלכתיים"/>
    <x v="34"/>
    <s v="תרבות"/>
    <x v="115"/>
    <s v="ספריות עירוניות"/>
    <s v="8232"/>
    <e v="#N/A"/>
    <m/>
    <s v="1"/>
    <x v="9"/>
    <s v="18"/>
    <s v="נלוות לשכר"/>
    <s v="182"/>
    <s v="מיסיום ועלויות"/>
  </r>
  <r>
    <n v="784"/>
    <s v="82320"/>
    <n v="1"/>
    <s v="182320.784"/>
    <s v="פעולות חברה סדנאות וחוגים       "/>
    <m/>
    <m/>
    <n v="10000"/>
    <n v="10000"/>
    <n v="62528"/>
    <m/>
    <x v="7"/>
    <s v="שירותים ממלכתיים"/>
    <x v="34"/>
    <s v="תרבות"/>
    <x v="115"/>
    <s v="ספריות עירוניות"/>
    <s v="8232"/>
    <e v="#N/A"/>
    <m/>
    <s v="7"/>
    <x v="13"/>
    <s v="78"/>
    <s v="הוצאות שונות"/>
    <s v="784"/>
    <e v="#N/A"/>
  </r>
  <r>
    <n v="110"/>
    <s v="82350"/>
    <n v="1"/>
    <s v="182350.110"/>
    <s v="משכורת כוללת                    "/>
    <m/>
    <m/>
    <n v="355000"/>
    <n v="414000"/>
    <n v="398018"/>
    <m/>
    <x v="7"/>
    <s v="שירותים ממלכתיים"/>
    <x v="34"/>
    <s v="תרבות"/>
    <x v="115"/>
    <s v="ספריות עירוניות"/>
    <s v="8235"/>
    <e v="#N/A"/>
    <m/>
    <s v="1"/>
    <x v="9"/>
    <s v="11"/>
    <s v="השכר הקובע"/>
    <s v="110"/>
    <e v="#N/A"/>
  </r>
  <r>
    <n v="124"/>
    <s v="82350"/>
    <n v="1"/>
    <s v="182350.124"/>
    <s v="החזר הוצאות                     "/>
    <m/>
    <m/>
    <n v="29000"/>
    <n v="34000"/>
    <n v="33936"/>
    <m/>
    <x v="7"/>
    <s v="שירותים ממלכתיים"/>
    <x v="34"/>
    <s v="תרבות"/>
    <x v="115"/>
    <s v="ספריות עירוניות"/>
    <s v="8235"/>
    <e v="#N/A"/>
    <m/>
    <s v="1"/>
    <x v="9"/>
    <s v="12"/>
    <s v="תוספות שאינן נכללות בשכר הקובע"/>
    <s v="124"/>
    <e v="#N/A"/>
  </r>
  <r>
    <n v="126"/>
    <s v="82350"/>
    <n v="1"/>
    <s v="182350.126"/>
    <s v="הבראה                           "/>
    <m/>
    <m/>
    <n v="26000"/>
    <n v="32000"/>
    <n v="33306"/>
    <m/>
    <x v="7"/>
    <s v="שירותים ממלכתיים"/>
    <x v="34"/>
    <s v="תרבות"/>
    <x v="115"/>
    <s v="ספריות עירוניות"/>
    <s v="8235"/>
    <e v="#N/A"/>
    <m/>
    <s v="1"/>
    <x v="9"/>
    <s v="12"/>
    <s v="תוספות שאינן נכללות בשכר הקובע"/>
    <s v="126"/>
    <e v="#N/A"/>
  </r>
  <r>
    <n v="127"/>
    <s v="82350"/>
    <n v="1"/>
    <s v="182350.127"/>
    <s v="השתתפות באחזקת רכב - 3          "/>
    <m/>
    <m/>
    <n v="42000"/>
    <n v="21000"/>
    <n v="38140"/>
    <m/>
    <x v="7"/>
    <s v="שירותים ממלכתיים"/>
    <x v="34"/>
    <s v="תרבות"/>
    <x v="115"/>
    <s v="ספריות עירוניות"/>
    <s v="8235"/>
    <e v="#N/A"/>
    <m/>
    <s v="1"/>
    <x v="9"/>
    <s v="12"/>
    <s v="תוספות שאינן נכללות בשכר הקובע"/>
    <s v="127"/>
    <e v="#N/A"/>
  </r>
  <r>
    <n v="130"/>
    <s v="82350"/>
    <n v="1"/>
    <s v="182350.130"/>
    <s v="תשלומים מיוחדים                 "/>
    <m/>
    <m/>
    <n v="110000"/>
    <n v="143000"/>
    <n v="130948"/>
    <m/>
    <x v="7"/>
    <s v="שירותים ממלכתיים"/>
    <x v="34"/>
    <s v="תרבות"/>
    <x v="115"/>
    <s v="ספריות עירוניות"/>
    <s v="8235"/>
    <e v="#N/A"/>
    <m/>
    <s v="1"/>
    <x v="9"/>
    <s v="13"/>
    <s v="שעות נוספות"/>
    <s v="130"/>
    <e v="#N/A"/>
  </r>
  <r>
    <n v="181"/>
    <s v="82350"/>
    <n v="1"/>
    <s v="182350.181"/>
    <s v="מיסים וביטוח לאומי              "/>
    <m/>
    <m/>
    <n v="74000"/>
    <n v="84000"/>
    <n v="78499"/>
    <m/>
    <x v="7"/>
    <s v="שירותים ממלכתיים"/>
    <x v="34"/>
    <s v="תרבות"/>
    <x v="115"/>
    <s v="ספריות עירוניות"/>
    <s v="8235"/>
    <e v="#N/A"/>
    <m/>
    <s v="1"/>
    <x v="9"/>
    <s v="18"/>
    <s v="נלוות לשכר"/>
    <s v="181"/>
    <s v="הפרשות סוציאליות"/>
  </r>
  <r>
    <n v="182"/>
    <s v="82350"/>
    <n v="1"/>
    <s v="182350.182"/>
    <s v="קופות גמל והשתלמות              "/>
    <m/>
    <m/>
    <n v="60000"/>
    <n v="63000"/>
    <n v="63236"/>
    <m/>
    <x v="7"/>
    <s v="שירותים ממלכתיים"/>
    <x v="34"/>
    <s v="תרבות"/>
    <x v="115"/>
    <s v="ספריות עירוניות"/>
    <s v="8235"/>
    <e v="#N/A"/>
    <m/>
    <s v="1"/>
    <x v="9"/>
    <s v="18"/>
    <s v="נלוות לשכר"/>
    <s v="182"/>
    <s v="מיסיום ועלויות"/>
  </r>
  <r>
    <n v="431"/>
    <s v="82350"/>
    <n v="1"/>
    <s v="182350.431"/>
    <s v="מים                             "/>
    <m/>
    <m/>
    <n v="3000"/>
    <n v="5000"/>
    <n v="2469"/>
    <m/>
    <x v="7"/>
    <s v="שירותים ממלכתיים"/>
    <x v="34"/>
    <s v="תרבות"/>
    <x v="115"/>
    <s v="ספריות עירוניות"/>
    <s v="8235"/>
    <e v="#N/A"/>
    <m/>
    <s v="4"/>
    <x v="15"/>
    <s v="43"/>
    <s v="חשמל, מים וחומרי ניקיון"/>
    <s v="431"/>
    <s v="חשמל"/>
  </r>
  <r>
    <n v="434"/>
    <s v="82350"/>
    <n v="1"/>
    <s v="182350.434"/>
    <s v="תקוני מבנים  מתקנים ואינוונטר   "/>
    <m/>
    <m/>
    <n v="22000"/>
    <n v="22000"/>
    <n v="20970"/>
    <m/>
    <x v="7"/>
    <s v="שירותים ממלכתיים"/>
    <x v="34"/>
    <s v="תרבות"/>
    <x v="115"/>
    <s v="ספריות עירוניות"/>
    <s v="8235"/>
    <e v="#N/A"/>
    <m/>
    <s v="4"/>
    <x v="15"/>
    <s v="43"/>
    <s v="חשמל, מים וחומרי ניקיון"/>
    <s v="434"/>
    <s v="שירותי ניקיון"/>
  </r>
  <r>
    <n v="435"/>
    <s v="82350"/>
    <n v="1"/>
    <s v="182350.435"/>
    <s v="חשמל ואנרגיה                    "/>
    <m/>
    <m/>
    <n v="76000"/>
    <n v="76000"/>
    <n v="76847"/>
    <m/>
    <x v="7"/>
    <s v="שירותים ממלכתיים"/>
    <x v="34"/>
    <s v="תרבות"/>
    <x v="115"/>
    <s v="ספריות עירוניות"/>
    <s v="8235"/>
    <e v="#N/A"/>
    <m/>
    <s v="4"/>
    <x v="15"/>
    <s v="43"/>
    <s v="חשמל, מים וחומרי ניקיון"/>
    <s v="435"/>
    <e v="#N/A"/>
  </r>
  <r>
    <n v="510"/>
    <s v="82350"/>
    <n v="1"/>
    <s v="182350.510"/>
    <s v="נסיעות ואש ל                    "/>
    <m/>
    <m/>
    <n v="1000"/>
    <n v="1000"/>
    <n v="1000"/>
    <m/>
    <x v="7"/>
    <s v="שירותים ממלכתיים"/>
    <x v="34"/>
    <s v="תרבות"/>
    <x v="115"/>
    <s v="ספריות עירוניות"/>
    <s v="8235"/>
    <e v="#N/A"/>
    <m/>
    <s v="5"/>
    <x v="11"/>
    <s v="51"/>
    <s v="אש&quot;ל וכיבודים"/>
    <s v="510"/>
    <e v="#N/A"/>
  </r>
  <r>
    <n v="670"/>
    <s v="82350"/>
    <n v="1"/>
    <s v="182350.670"/>
    <s v="סעיף שאינו חוזר                 "/>
    <m/>
    <m/>
    <n v="0"/>
    <n v="7000"/>
    <n v="6132"/>
    <m/>
    <x v="7"/>
    <s v="שירותים ממלכתיים"/>
    <x v="34"/>
    <s v="תרבות"/>
    <x v="115"/>
    <s v="ספריות עירוניות"/>
    <s v="8235"/>
    <e v="#N/A"/>
    <m/>
    <s v="6"/>
    <x v="12"/>
    <s v="67"/>
    <e v="#N/A"/>
    <s v="670"/>
    <e v="#N/A"/>
  </r>
  <r>
    <n v="751"/>
    <s v="82350"/>
    <n v="1"/>
    <s v="182350.751"/>
    <s v="עבודה בקבלנות- נקיון ואחזקה     "/>
    <m/>
    <m/>
    <n v="156000"/>
    <n v="156000"/>
    <n v="167082"/>
    <m/>
    <x v="7"/>
    <s v="שירותים ממלכתיים"/>
    <x v="34"/>
    <s v="תרבות"/>
    <x v="115"/>
    <s v="ספריות עירוניות"/>
    <s v="8235"/>
    <e v="#N/A"/>
    <m/>
    <s v="7"/>
    <x v="13"/>
    <s v="75"/>
    <s v="עבודות קבלניות"/>
    <s v="751"/>
    <e v="#N/A"/>
  </r>
  <r>
    <n v="110"/>
    <s v="82370"/>
    <n v="1"/>
    <s v="182370.110"/>
    <s v="משכורת כוללת                    "/>
    <m/>
    <m/>
    <n v="69000"/>
    <n v="35000"/>
    <n v="61200"/>
    <m/>
    <x v="7"/>
    <s v="שירותים ממלכתיים"/>
    <x v="34"/>
    <s v="תרבות"/>
    <x v="115"/>
    <s v="ספריות עירוניות"/>
    <s v="8237"/>
    <e v="#N/A"/>
    <m/>
    <s v="1"/>
    <x v="9"/>
    <s v="11"/>
    <s v="השכר הקובע"/>
    <s v="110"/>
    <e v="#N/A"/>
  </r>
  <r>
    <n v="124"/>
    <s v="82370"/>
    <n v="1"/>
    <s v="182370.124"/>
    <s v="החזר הוצאות                     "/>
    <m/>
    <m/>
    <n v="12000"/>
    <n v="5000"/>
    <n v="7572"/>
    <m/>
    <x v="7"/>
    <s v="שירותים ממלכתיים"/>
    <x v="34"/>
    <s v="תרבות"/>
    <x v="115"/>
    <s v="ספריות עירוניות"/>
    <s v="8237"/>
    <e v="#N/A"/>
    <m/>
    <s v="1"/>
    <x v="9"/>
    <s v="12"/>
    <s v="תוספות שאינן נכללות בשכר הקובע"/>
    <s v="124"/>
    <e v="#N/A"/>
  </r>
  <r>
    <n v="126"/>
    <s v="82370"/>
    <n v="1"/>
    <s v="182370.126"/>
    <s v="הבראה                           "/>
    <m/>
    <m/>
    <n v="4000"/>
    <n v="2000"/>
    <n v="4084"/>
    <m/>
    <x v="7"/>
    <s v="שירותים ממלכתיים"/>
    <x v="34"/>
    <s v="תרבות"/>
    <x v="115"/>
    <s v="ספריות עירוניות"/>
    <s v="8237"/>
    <e v="#N/A"/>
    <m/>
    <s v="1"/>
    <x v="9"/>
    <s v="12"/>
    <s v="תוספות שאינן נכללות בשכר הקובע"/>
    <s v="126"/>
    <e v="#N/A"/>
  </r>
  <r>
    <n v="130"/>
    <s v="82370"/>
    <n v="1"/>
    <s v="182370.130"/>
    <s v="תשלומים מיוחדים                 "/>
    <m/>
    <m/>
    <n v="8000"/>
    <n v="4000"/>
    <n v="6781"/>
    <m/>
    <x v="7"/>
    <s v="שירותים ממלכתיים"/>
    <x v="34"/>
    <s v="תרבות"/>
    <x v="115"/>
    <s v="ספריות עירוניות"/>
    <s v="8237"/>
    <e v="#N/A"/>
    <m/>
    <s v="1"/>
    <x v="9"/>
    <s v="13"/>
    <s v="שעות נוספות"/>
    <s v="130"/>
    <e v="#N/A"/>
  </r>
  <r>
    <n v="181"/>
    <s v="82370"/>
    <n v="1"/>
    <s v="182370.181"/>
    <s v="מיסים וביטוח לאומי              "/>
    <m/>
    <m/>
    <n v="12000"/>
    <n v="6000"/>
    <n v="8802"/>
    <m/>
    <x v="7"/>
    <s v="שירותים ממלכתיים"/>
    <x v="34"/>
    <s v="תרבות"/>
    <x v="115"/>
    <s v="ספריות עירוניות"/>
    <s v="8237"/>
    <e v="#N/A"/>
    <m/>
    <s v="1"/>
    <x v="9"/>
    <s v="18"/>
    <s v="נלוות לשכר"/>
    <s v="181"/>
    <s v="הפרשות סוציאליות"/>
  </r>
  <r>
    <n v="182"/>
    <s v="82370"/>
    <n v="1"/>
    <s v="182370.182"/>
    <s v="קופות גמל והשתלמות              "/>
    <m/>
    <m/>
    <n v="14000"/>
    <n v="9000"/>
    <n v="13486"/>
    <m/>
    <x v="7"/>
    <s v="שירותים ממלכתיים"/>
    <x v="34"/>
    <s v="תרבות"/>
    <x v="115"/>
    <s v="ספריות עירוניות"/>
    <s v="8237"/>
    <e v="#N/A"/>
    <m/>
    <s v="1"/>
    <x v="9"/>
    <s v="18"/>
    <s v="נלוות לשכר"/>
    <s v="182"/>
    <s v="מיסיום ועלויות"/>
  </r>
  <r>
    <n v="434"/>
    <s v="82370"/>
    <n v="1"/>
    <s v="182370.434"/>
    <s v="תקוני מבנים  מתקנים ואינונטר    "/>
    <m/>
    <m/>
    <n v="47000"/>
    <n v="22000"/>
    <n v="20012"/>
    <m/>
    <x v="7"/>
    <s v="שירותים ממלכתיים"/>
    <x v="34"/>
    <s v="תרבות"/>
    <x v="115"/>
    <s v="ספריות עירוניות"/>
    <s v="8237"/>
    <e v="#N/A"/>
    <m/>
    <s v="4"/>
    <x v="15"/>
    <s v="43"/>
    <s v="חשמל, מים וחומרי ניקיון"/>
    <s v="434"/>
    <s v="שירותי ניקיון"/>
  </r>
  <r>
    <n v="435"/>
    <s v="82370"/>
    <n v="1"/>
    <s v="182370.435"/>
    <s v="חשמל ואנרגיה                    "/>
    <m/>
    <m/>
    <n v="17000"/>
    <n v="17000"/>
    <n v="28973"/>
    <m/>
    <x v="7"/>
    <s v="שירותים ממלכתיים"/>
    <x v="34"/>
    <s v="תרבות"/>
    <x v="115"/>
    <s v="ספריות עירוניות"/>
    <s v="8237"/>
    <e v="#N/A"/>
    <m/>
    <s v="4"/>
    <x v="15"/>
    <s v="43"/>
    <s v="חשמל, מים וחומרי ניקיון"/>
    <s v="435"/>
    <e v="#N/A"/>
  </r>
  <r>
    <n v="461"/>
    <s v="82370"/>
    <n v="1"/>
    <s v="182370.461"/>
    <s v="צורכי משרד                      "/>
    <m/>
    <m/>
    <n v="2000"/>
    <n v="2000"/>
    <n v="1938"/>
    <m/>
    <x v="7"/>
    <s v="שירותים ממלכתיים"/>
    <x v="34"/>
    <s v="תרבות"/>
    <x v="115"/>
    <s v="ספריות עירוניות"/>
    <s v="8237"/>
    <e v="#N/A"/>
    <m/>
    <s v="4"/>
    <x v="15"/>
    <s v="46"/>
    <e v="#N/A"/>
    <s v="461"/>
    <e v="#N/A"/>
  </r>
  <r>
    <n v="751"/>
    <s v="82370"/>
    <n v="1"/>
    <s v="182370.751"/>
    <s v="קבלן ניקיון                     "/>
    <m/>
    <m/>
    <n v="55000"/>
    <n v="53000"/>
    <n v="56998"/>
    <m/>
    <x v="7"/>
    <s v="שירותים ממלכתיים"/>
    <x v="34"/>
    <s v="תרבות"/>
    <x v="115"/>
    <s v="ספריות עירוניות"/>
    <s v="8237"/>
    <e v="#N/A"/>
    <m/>
    <s v="7"/>
    <x v="13"/>
    <s v="75"/>
    <s v="עבודות קבלניות"/>
    <s v="751"/>
    <e v="#N/A"/>
  </r>
  <r>
    <n v="783"/>
    <s v="82370"/>
    <n v="1"/>
    <s v="182370.783"/>
    <s v="תשלום למגדל שלום                "/>
    <m/>
    <m/>
    <n v="240000"/>
    <n v="240000"/>
    <n v="241784"/>
    <m/>
    <x v="7"/>
    <s v="שירותים ממלכתיים"/>
    <x v="34"/>
    <s v="תרבות"/>
    <x v="115"/>
    <s v="ספריות עירוניות"/>
    <s v="8237"/>
    <e v="#N/A"/>
    <m/>
    <s v="7"/>
    <x v="13"/>
    <s v="78"/>
    <s v="הוצאות שונות"/>
    <s v="783"/>
    <e v="#N/A"/>
  </r>
  <r>
    <n v="110"/>
    <s v="82381"/>
    <n v="1"/>
    <s v="182381.110"/>
    <s v="משכורת כוללת                    "/>
    <m/>
    <m/>
    <n v="723000"/>
    <n v="673000"/>
    <n v="554620"/>
    <m/>
    <x v="7"/>
    <s v="שירותים ממלכתיים"/>
    <x v="34"/>
    <s v="תרבות"/>
    <x v="115"/>
    <s v="ספריות עירוניות"/>
    <s v="8238"/>
    <e v="#N/A"/>
    <m/>
    <s v="1"/>
    <x v="9"/>
    <s v="11"/>
    <s v="השכר הקובע"/>
    <s v="110"/>
    <e v="#N/A"/>
  </r>
  <r>
    <n v="124"/>
    <s v="82381"/>
    <n v="1"/>
    <s v="182381.124"/>
    <s v="החזר הוצאות                     "/>
    <m/>
    <m/>
    <n v="40000"/>
    <n v="45000"/>
    <n v="37417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4"/>
    <e v="#N/A"/>
  </r>
  <r>
    <n v="126"/>
    <s v="82381"/>
    <n v="1"/>
    <s v="182381.126"/>
    <s v="הבראה                           "/>
    <m/>
    <m/>
    <n v="36000"/>
    <n v="30000"/>
    <n v="26482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6"/>
    <e v="#N/A"/>
  </r>
  <r>
    <n v="127"/>
    <s v="82381"/>
    <n v="1"/>
    <s v="182381.127"/>
    <s v="השתתפות באחזקת רכב - 3          "/>
    <m/>
    <m/>
    <n v="90000"/>
    <n v="95000"/>
    <n v="83365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7"/>
    <e v="#N/A"/>
  </r>
  <r>
    <n v="130"/>
    <s v="82381"/>
    <n v="1"/>
    <s v="182381.130"/>
    <s v="תשלומים מיוחדים                 "/>
    <m/>
    <m/>
    <n v="157000"/>
    <n v="91000"/>
    <n v="81385"/>
    <m/>
    <x v="7"/>
    <s v="שירותים ממלכתיים"/>
    <x v="34"/>
    <s v="תרבות"/>
    <x v="115"/>
    <s v="ספריות עירוניות"/>
    <s v="8238"/>
    <e v="#N/A"/>
    <m/>
    <s v="1"/>
    <x v="9"/>
    <s v="13"/>
    <s v="שעות נוספות"/>
    <s v="130"/>
    <e v="#N/A"/>
  </r>
  <r>
    <n v="181"/>
    <s v="82381"/>
    <n v="1"/>
    <s v="182381.181"/>
    <s v="מיסים וביטוח לאומי              "/>
    <m/>
    <m/>
    <n v="150000"/>
    <n v="135000"/>
    <n v="100719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1"/>
    <s v="הפרשות סוציאליות"/>
  </r>
  <r>
    <n v="182"/>
    <s v="82381"/>
    <n v="1"/>
    <s v="182381.182"/>
    <s v="קופות גמל והשתלמות              "/>
    <m/>
    <m/>
    <n v="118000"/>
    <n v="106000"/>
    <n v="86910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2"/>
    <s v="מיסיום ועלויות"/>
  </r>
  <r>
    <n v="310"/>
    <s v="82381"/>
    <n v="1"/>
    <s v="182381.310"/>
    <s v="שעות נוספות רשומות              "/>
    <m/>
    <m/>
    <n v="97000"/>
    <n v="95000"/>
    <n v="80680"/>
    <m/>
    <x v="7"/>
    <s v="שירותים ממלכתיים"/>
    <x v="34"/>
    <s v="תרבות"/>
    <x v="115"/>
    <s v="ספריות עירוניות"/>
    <s v="8238"/>
    <e v="#N/A"/>
    <m/>
    <s v="3"/>
    <x v="14"/>
    <s v="31"/>
    <s v="פנסיה"/>
    <s v="310"/>
    <e v="#N/A"/>
  </r>
  <r>
    <n v="461"/>
    <s v="82381"/>
    <n v="1"/>
    <s v="182381.461"/>
    <s v="צורכי משרד                      "/>
    <m/>
    <m/>
    <n v="41000"/>
    <n v="44000"/>
    <n v="43796"/>
    <m/>
    <x v="7"/>
    <s v="שירותים ממלכתיים"/>
    <x v="34"/>
    <s v="תרבות"/>
    <x v="115"/>
    <s v="ספריות עירוניות"/>
    <s v="8238"/>
    <e v="#N/A"/>
    <m/>
    <s v="4"/>
    <x v="15"/>
    <s v="46"/>
    <e v="#N/A"/>
    <s v="461"/>
    <e v="#N/A"/>
  </r>
  <r>
    <n v="464"/>
    <s v="82381"/>
    <n v="1"/>
    <s v="182381.464"/>
    <s v="דאר                             "/>
    <m/>
    <m/>
    <n v="100000"/>
    <n v="100000"/>
    <n v="106245"/>
    <m/>
    <x v="7"/>
    <s v="שירותים ממלכתיים"/>
    <x v="34"/>
    <s v="תרבות"/>
    <x v="115"/>
    <s v="ספריות עירוניות"/>
    <s v="8238"/>
    <e v="#N/A"/>
    <m/>
    <s v="4"/>
    <x v="15"/>
    <s v="46"/>
    <e v="#N/A"/>
    <s v="464"/>
    <e v="#N/A"/>
  </r>
  <r>
    <n v="510"/>
    <s v="82381"/>
    <n v="1"/>
    <s v="182381.510"/>
    <s v="נסיעות ואשל                     "/>
    <m/>
    <m/>
    <n v="4000"/>
    <n v="4000"/>
    <n v="3972"/>
    <m/>
    <x v="7"/>
    <s v="שירותים ממלכתיים"/>
    <x v="34"/>
    <s v="תרבות"/>
    <x v="115"/>
    <s v="ספריות עירוניות"/>
    <s v="8238"/>
    <e v="#N/A"/>
    <m/>
    <s v="5"/>
    <x v="11"/>
    <s v="51"/>
    <s v="אש&quot;ל וכיבודים"/>
    <s v="510"/>
    <e v="#N/A"/>
  </r>
  <r>
    <n v="610"/>
    <s v="82381"/>
    <n v="1"/>
    <s v="182381.610"/>
    <s v="כבודים                          "/>
    <m/>
    <m/>
    <n v="8000"/>
    <n v="8000"/>
    <n v="7990"/>
    <m/>
    <x v="7"/>
    <s v="שירותים ממלכתיים"/>
    <x v="34"/>
    <s v="תרבות"/>
    <x v="115"/>
    <s v="ספריות עירוניות"/>
    <s v="8238"/>
    <e v="#N/A"/>
    <m/>
    <s v="6"/>
    <x v="12"/>
    <s v="61"/>
    <s v="עמלות"/>
    <s v="610"/>
    <e v="#N/A"/>
  </r>
  <r>
    <n v="670"/>
    <s v="82381"/>
    <n v="1"/>
    <s v="182381.670"/>
    <s v="סעיף שאינו חוזר                 "/>
    <m/>
    <m/>
    <n v="0"/>
    <n v="11000"/>
    <n v="53131"/>
    <m/>
    <x v="7"/>
    <s v="שירותים ממלכתיים"/>
    <x v="34"/>
    <s v="תרבות"/>
    <x v="115"/>
    <s v="ספריות עירוניות"/>
    <s v="8238"/>
    <e v="#N/A"/>
    <m/>
    <s v="6"/>
    <x v="12"/>
    <s v="67"/>
    <e v="#N/A"/>
    <s v="670"/>
    <e v="#N/A"/>
  </r>
  <r>
    <n v="680"/>
    <s v="82381"/>
    <n v="1"/>
    <s v="182381.680"/>
    <s v="הוצאות מיוחדות                  "/>
    <m/>
    <m/>
    <n v="3000"/>
    <n v="3000"/>
    <n v="2935"/>
    <m/>
    <x v="7"/>
    <s v="שירותים ממלכתיים"/>
    <x v="34"/>
    <s v="תרבות"/>
    <x v="115"/>
    <s v="ספריות עירוניות"/>
    <s v="8238"/>
    <e v="#N/A"/>
    <m/>
    <s v="6"/>
    <x v="12"/>
    <s v="68"/>
    <s v="ריבית על הוצאות אחרות"/>
    <s v="680"/>
    <e v="#N/A"/>
  </r>
  <r>
    <n v="710"/>
    <s v="82381"/>
    <n v="1"/>
    <s v="182381.710"/>
    <s v="הובלות וסבלות                   "/>
    <m/>
    <m/>
    <n v="62000"/>
    <n v="62000"/>
    <n v="61927"/>
    <m/>
    <x v="7"/>
    <s v="שירותים ממלכתיים"/>
    <x v="34"/>
    <s v="תרבות"/>
    <x v="115"/>
    <s v="ספריות עירוניות"/>
    <s v="8238"/>
    <e v="#N/A"/>
    <m/>
    <s v="7"/>
    <x v="13"/>
    <s v="71"/>
    <s v="הובלות והסעות קבלניות"/>
    <s v="710"/>
    <e v="#N/A"/>
  </r>
  <r>
    <n v="932"/>
    <s v="82381"/>
    <n v="1"/>
    <s v="182381.932"/>
    <s v="ציוד ורהוט משרדי                "/>
    <m/>
    <m/>
    <n v="16000"/>
    <n v="16000"/>
    <n v="15482"/>
    <m/>
    <x v="7"/>
    <s v="שירותים ממלכתיים"/>
    <x v="34"/>
    <s v="תרבות"/>
    <x v="115"/>
    <s v="ספריות עירוניות"/>
    <s v="8238"/>
    <e v="#N/A"/>
    <m/>
    <s v="9"/>
    <x v="17"/>
    <s v="93"/>
    <s v="רכישת ציוד יסודי"/>
    <s v="932"/>
    <e v="#N/A"/>
  </r>
  <r>
    <n v="110"/>
    <s v="82382"/>
    <n v="1"/>
    <s v="182382.110"/>
    <s v="משכורת כוללת                    "/>
    <m/>
    <m/>
    <n v="283000"/>
    <n v="280000"/>
    <n v="272015"/>
    <m/>
    <x v="7"/>
    <s v="שירותים ממלכתיים"/>
    <x v="34"/>
    <s v="תרבות"/>
    <x v="115"/>
    <s v="ספריות עירוניות"/>
    <s v="8238"/>
    <e v="#N/A"/>
    <m/>
    <s v="1"/>
    <x v="9"/>
    <s v="11"/>
    <s v="השכר הקובע"/>
    <s v="110"/>
    <e v="#N/A"/>
  </r>
  <r>
    <n v="124"/>
    <s v="82382"/>
    <n v="1"/>
    <s v="182382.124"/>
    <s v="החזר הוצאות                     "/>
    <m/>
    <m/>
    <n v="17000"/>
    <n v="17000"/>
    <n v="16984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4"/>
    <e v="#N/A"/>
  </r>
  <r>
    <n v="126"/>
    <s v="82382"/>
    <n v="1"/>
    <s v="182382.126"/>
    <s v="הבראה                           "/>
    <m/>
    <m/>
    <n v="17000"/>
    <n v="17000"/>
    <n v="17080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6"/>
    <e v="#N/A"/>
  </r>
  <r>
    <n v="127"/>
    <s v="82382"/>
    <n v="1"/>
    <s v="182382.127"/>
    <s v="השתתפות באחזקת רכב - 3          "/>
    <m/>
    <m/>
    <n v="89000"/>
    <n v="90000"/>
    <n v="79810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7"/>
    <e v="#N/A"/>
  </r>
  <r>
    <n v="130"/>
    <s v="82382"/>
    <n v="1"/>
    <s v="182382.130"/>
    <s v="תשלומים מיוחדים                 "/>
    <m/>
    <m/>
    <n v="73000"/>
    <n v="70000"/>
    <n v="68948"/>
    <m/>
    <x v="7"/>
    <s v="שירותים ממלכתיים"/>
    <x v="34"/>
    <s v="תרבות"/>
    <x v="115"/>
    <s v="ספריות עירוניות"/>
    <s v="8238"/>
    <e v="#N/A"/>
    <m/>
    <s v="1"/>
    <x v="9"/>
    <s v="13"/>
    <s v="שעות נוספות"/>
    <s v="130"/>
    <e v="#N/A"/>
  </r>
  <r>
    <n v="181"/>
    <s v="82382"/>
    <n v="1"/>
    <s v="182382.181"/>
    <s v="מיסים וביטוח לאומי              "/>
    <m/>
    <m/>
    <n v="63000"/>
    <n v="62000"/>
    <n v="61423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1"/>
    <s v="הפרשות סוציאליות"/>
  </r>
  <r>
    <n v="182"/>
    <s v="82382"/>
    <n v="1"/>
    <s v="182382.182"/>
    <s v="קופות גמל והשתלמות              "/>
    <m/>
    <m/>
    <n v="58000"/>
    <n v="56000"/>
    <n v="52160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2"/>
    <s v="מיסיום ועלויות"/>
  </r>
  <r>
    <n v="431"/>
    <s v="82382"/>
    <n v="1"/>
    <s v="182382.431"/>
    <s v="מים                             "/>
    <m/>
    <m/>
    <n v="84000"/>
    <n v="93000"/>
    <n v="52005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1"/>
    <s v="חשמל"/>
  </r>
  <r>
    <n v="432"/>
    <s v="82382"/>
    <n v="1"/>
    <s v="182382.432"/>
    <s v="תחזוקת החצר הגן                 "/>
    <m/>
    <m/>
    <n v="15000"/>
    <n v="15000"/>
    <n v="13594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2"/>
    <s v="מים"/>
  </r>
  <r>
    <n v="433"/>
    <s v="82382"/>
    <n v="1"/>
    <s v="182382.433"/>
    <s v="ביטוח                           "/>
    <m/>
    <m/>
    <n v="135000"/>
    <n v="135000"/>
    <n v="122000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3"/>
    <s v="חומרי ניקיון"/>
  </r>
  <r>
    <n v="434"/>
    <s v="82382"/>
    <n v="1"/>
    <s v="182382.434"/>
    <s v="תקוני מבנים  מתקנים ואינונטר    "/>
    <m/>
    <m/>
    <n v="482000"/>
    <n v="482000"/>
    <n v="512577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4"/>
    <s v="שירותי ניקיון"/>
  </r>
  <r>
    <n v="435"/>
    <s v="82382"/>
    <n v="1"/>
    <s v="182382.435"/>
    <s v="חשמל ואנרגיה                    "/>
    <m/>
    <m/>
    <n v="832000"/>
    <n v="832000"/>
    <n v="1003665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5"/>
    <e v="#N/A"/>
  </r>
  <r>
    <n v="436"/>
    <s v="82382"/>
    <n v="1"/>
    <s v="182382.436"/>
    <s v="נקיון                           "/>
    <m/>
    <m/>
    <n v="7000"/>
    <n v="7000"/>
    <n v="6490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6"/>
    <e v="#N/A"/>
  </r>
  <r>
    <n v="437"/>
    <s v="82382"/>
    <n v="1"/>
    <s v="182382.437"/>
    <s v="שמירה                           "/>
    <m/>
    <m/>
    <n v="791000"/>
    <n v="725000"/>
    <n v="700000"/>
    <m/>
    <x v="7"/>
    <s v="שירותים ממלכתיים"/>
    <x v="34"/>
    <s v="תרבות"/>
    <x v="115"/>
    <s v="ספריות עירוניות"/>
    <s v="8238"/>
    <e v="#N/A"/>
    <m/>
    <s v="4"/>
    <x v="15"/>
    <s v="43"/>
    <s v="חשמל, מים וחומרי ניקיון"/>
    <s v="437"/>
    <e v="#N/A"/>
  </r>
  <r>
    <n v="720"/>
    <s v="82382"/>
    <n v="1"/>
    <s v="182382.720"/>
    <s v="חמרי עבודה                      "/>
    <m/>
    <m/>
    <n v="38000"/>
    <n v="38000"/>
    <n v="36323"/>
    <m/>
    <x v="7"/>
    <s v="שירותים ממלכתיים"/>
    <x v="34"/>
    <s v="תרבות"/>
    <x v="115"/>
    <s v="ספריות עירוניות"/>
    <s v="8238"/>
    <e v="#N/A"/>
    <m/>
    <s v="7"/>
    <x v="13"/>
    <s v="72"/>
    <s v="חומרים"/>
    <s v="720"/>
    <e v="#N/A"/>
  </r>
  <r>
    <n v="751"/>
    <s v="82382"/>
    <n v="1"/>
    <s v="182382.751"/>
    <s v="עבודה בקבלנות - נקיון           "/>
    <m/>
    <m/>
    <n v="700000"/>
    <n v="695000"/>
    <n v="719998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1"/>
    <e v="#N/A"/>
  </r>
  <r>
    <n v="753"/>
    <s v="82382"/>
    <n v="1"/>
    <s v="182382.753"/>
    <s v="עבודות כריכה וחיטוי             "/>
    <m/>
    <m/>
    <n v="32000"/>
    <n v="32000"/>
    <n v="28948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3"/>
    <e v="#N/A"/>
  </r>
  <r>
    <n v="110"/>
    <s v="82383"/>
    <n v="1"/>
    <s v="182383.110"/>
    <s v="משכורת כוללת                    "/>
    <m/>
    <m/>
    <n v="2437000"/>
    <n v="1955000"/>
    <n v="2114297"/>
    <m/>
    <x v="7"/>
    <s v="שירותים ממלכתיים"/>
    <x v="34"/>
    <s v="תרבות"/>
    <x v="115"/>
    <s v="ספריות עירוניות"/>
    <s v="8238"/>
    <e v="#N/A"/>
    <m/>
    <s v="1"/>
    <x v="9"/>
    <s v="11"/>
    <s v="השכר הקובע"/>
    <s v="110"/>
    <e v="#N/A"/>
  </r>
  <r>
    <n v="124"/>
    <s v="82383"/>
    <n v="1"/>
    <s v="182383.124"/>
    <s v="החזר הוצאות                     "/>
    <m/>
    <m/>
    <n v="222000"/>
    <n v="186000"/>
    <n v="191053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4"/>
    <e v="#N/A"/>
  </r>
  <r>
    <n v="126"/>
    <s v="82383"/>
    <n v="1"/>
    <s v="182383.126"/>
    <s v="הבראה                           "/>
    <m/>
    <m/>
    <n v="172000"/>
    <n v="145000"/>
    <n v="149753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6"/>
    <e v="#N/A"/>
  </r>
  <r>
    <n v="127"/>
    <s v="82383"/>
    <n v="1"/>
    <s v="182383.127"/>
    <s v="השתתפות באחזקת רכב - 9          "/>
    <m/>
    <m/>
    <n v="184000"/>
    <n v="131000"/>
    <n v="151495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7"/>
    <e v="#N/A"/>
  </r>
  <r>
    <n v="130"/>
    <s v="82383"/>
    <n v="1"/>
    <s v="182383.130"/>
    <s v="תשלומים מיוחדים                 "/>
    <m/>
    <m/>
    <n v="676000"/>
    <n v="580000"/>
    <n v="581227"/>
    <m/>
    <x v="7"/>
    <s v="שירותים ממלכתיים"/>
    <x v="34"/>
    <s v="תרבות"/>
    <x v="115"/>
    <s v="ספריות עירוניות"/>
    <s v="8238"/>
    <e v="#N/A"/>
    <m/>
    <s v="1"/>
    <x v="9"/>
    <s v="13"/>
    <s v="שעות נוספות"/>
    <s v="130"/>
    <e v="#N/A"/>
  </r>
  <r>
    <n v="181"/>
    <s v="82383"/>
    <n v="1"/>
    <s v="182383.181"/>
    <s v="מיסים וביטוח לאומי              "/>
    <m/>
    <m/>
    <n v="483000"/>
    <n v="392000"/>
    <n v="389955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1"/>
    <s v="הפרשות סוציאליות"/>
  </r>
  <r>
    <n v="182"/>
    <s v="82383"/>
    <n v="1"/>
    <s v="182383.182"/>
    <s v="קופות גמל והשתלמות              "/>
    <m/>
    <m/>
    <n v="468000"/>
    <n v="365000"/>
    <n v="392399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2"/>
    <s v="מיסיום ועלויות"/>
  </r>
  <r>
    <n v="412"/>
    <s v="82383"/>
    <n v="1"/>
    <s v="182383.412"/>
    <s v="מיסים ואגרות                    "/>
    <m/>
    <m/>
    <n v="26000"/>
    <n v="26000"/>
    <n v="0"/>
    <m/>
    <x v="7"/>
    <s v="שירותים ממלכתיים"/>
    <x v="34"/>
    <s v="תרבות"/>
    <x v="115"/>
    <s v="ספריות עירוניות"/>
    <s v="8238"/>
    <e v="#N/A"/>
    <m/>
    <s v="4"/>
    <x v="15"/>
    <s v="41"/>
    <s v="שכר דירה ודמי חכירה"/>
    <s v="412"/>
    <e v="#N/A"/>
  </r>
  <r>
    <n v="670"/>
    <s v="82383"/>
    <n v="1"/>
    <s v="182383.670"/>
    <s v="סעיף שאינו חוזר                 "/>
    <m/>
    <m/>
    <n v="0"/>
    <n v="0"/>
    <n v="29736"/>
    <m/>
    <x v="7"/>
    <s v="שירותים ממלכתיים"/>
    <x v="34"/>
    <s v="תרבות"/>
    <x v="115"/>
    <s v="ספריות עירוניות"/>
    <s v="8238"/>
    <e v="#N/A"/>
    <m/>
    <s v="6"/>
    <x v="12"/>
    <s v="67"/>
    <e v="#N/A"/>
    <s v="670"/>
    <e v="#N/A"/>
  </r>
  <r>
    <n v="751"/>
    <s v="82383"/>
    <n v="1"/>
    <s v="182383.751"/>
    <s v="שדרוג ואחזקת המחשוב בסיפריה     "/>
    <m/>
    <m/>
    <n v="300000"/>
    <n v="300000"/>
    <n v="282316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1"/>
    <e v="#N/A"/>
  </r>
  <r>
    <n v="753"/>
    <s v="82383"/>
    <n v="1"/>
    <s v="182383.753"/>
    <s v="ארועי תרבות                     "/>
    <m/>
    <m/>
    <n v="28000"/>
    <n v="28000"/>
    <n v="26121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3"/>
    <e v="#N/A"/>
  </r>
  <r>
    <n v="756"/>
    <s v="82383"/>
    <n v="1"/>
    <s v="182383.756"/>
    <s v="שיווק בבית אריאלה               "/>
    <m/>
    <m/>
    <n v="83000"/>
    <n v="83000"/>
    <n v="103979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6"/>
    <e v="#N/A"/>
  </r>
  <r>
    <n v="757"/>
    <s v="82383"/>
    <n v="1"/>
    <s v="182383.757"/>
    <s v="הדרכה ושימוש במאגרי מידע        "/>
    <m/>
    <m/>
    <n v="10000"/>
    <n v="10000"/>
    <n v="9999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7"/>
    <e v="#N/A"/>
  </r>
  <r>
    <n v="781"/>
    <s v="82383"/>
    <n v="1"/>
    <s v="182383.781"/>
    <s v="ארכיון התאטרון                  "/>
    <m/>
    <m/>
    <n v="35000"/>
    <n v="35000"/>
    <n v="20771"/>
    <m/>
    <x v="7"/>
    <s v="שירותים ממלכתיים"/>
    <x v="34"/>
    <s v="תרבות"/>
    <x v="115"/>
    <s v="ספריות עירוניות"/>
    <s v="8238"/>
    <e v="#N/A"/>
    <m/>
    <s v="7"/>
    <x v="13"/>
    <s v="78"/>
    <s v="הוצאות שונות"/>
    <s v="781"/>
    <e v="#N/A"/>
  </r>
  <r>
    <n v="782"/>
    <s v="82383"/>
    <n v="1"/>
    <s v="182383.782"/>
    <s v="ארכיון לתולדות המחול            "/>
    <m/>
    <m/>
    <n v="35000"/>
    <n v="110000"/>
    <n v="35000"/>
    <m/>
    <x v="7"/>
    <s v="שירותים ממלכתיים"/>
    <x v="34"/>
    <s v="תרבות"/>
    <x v="115"/>
    <s v="ספריות עירוניות"/>
    <s v="8238"/>
    <e v="#N/A"/>
    <m/>
    <s v="7"/>
    <x v="13"/>
    <s v="78"/>
    <s v="הוצאות שונות"/>
    <s v="782"/>
    <e v="#N/A"/>
  </r>
  <r>
    <n v="861"/>
    <s v="82383"/>
    <n v="1"/>
    <s v="182383.861"/>
    <s v="אסיסטנט מחשוב - יובל חינוך      "/>
    <m/>
    <m/>
    <n v="120000"/>
    <n v="0"/>
    <n v="0"/>
    <m/>
    <x v="7"/>
    <s v="שירותים ממלכתיים"/>
    <x v="34"/>
    <s v="תרבות"/>
    <x v="115"/>
    <s v="ספריות עירוניות"/>
    <s v="8238"/>
    <e v="#N/A"/>
    <m/>
    <s v="8"/>
    <x v="16"/>
    <s v="86"/>
    <s v="הנחות"/>
    <s v="861"/>
    <e v="#N/A"/>
  </r>
  <r>
    <n v="934"/>
    <s v="82383"/>
    <n v="1"/>
    <s v="182383.934"/>
    <s v="ציוד תפעולי ורכישות לספריה      "/>
    <m/>
    <m/>
    <n v="156000"/>
    <n v="156000"/>
    <n v="314850"/>
    <m/>
    <x v="7"/>
    <s v="שירותים ממלכתיים"/>
    <x v="34"/>
    <s v="תרבות"/>
    <x v="115"/>
    <s v="ספריות עירוניות"/>
    <s v="8238"/>
    <e v="#N/A"/>
    <m/>
    <s v="9"/>
    <x v="17"/>
    <s v="93"/>
    <s v="רכישת ציוד יסודי"/>
    <s v="934"/>
    <e v="#N/A"/>
  </r>
  <r>
    <n v="981"/>
    <s v="82383"/>
    <n v="1"/>
    <s v="182383.981"/>
    <s v="ספריות ניידות                   "/>
    <m/>
    <m/>
    <n v="350000"/>
    <n v="250000"/>
    <n v="8757"/>
    <m/>
    <x v="7"/>
    <s v="שירותים ממלכתיים"/>
    <x v="34"/>
    <s v="תרבות"/>
    <x v="115"/>
    <s v="ספריות עירוניות"/>
    <s v="8238"/>
    <e v="#N/A"/>
    <m/>
    <s v="9"/>
    <x v="17"/>
    <s v="98"/>
    <s v="הוצאות אחרות"/>
    <s v="981"/>
    <e v="#N/A"/>
  </r>
  <r>
    <n v="110"/>
    <s v="82384"/>
    <n v="1"/>
    <s v="182384.110"/>
    <s v="משכורת כוללת                    "/>
    <m/>
    <m/>
    <n v="479000"/>
    <n v="674000"/>
    <n v="584384"/>
    <m/>
    <x v="7"/>
    <s v="שירותים ממלכתיים"/>
    <x v="34"/>
    <s v="תרבות"/>
    <x v="115"/>
    <s v="ספריות עירוניות"/>
    <s v="8238"/>
    <e v="#N/A"/>
    <m/>
    <s v="1"/>
    <x v="9"/>
    <s v="11"/>
    <s v="השכר הקובע"/>
    <s v="110"/>
    <e v="#N/A"/>
  </r>
  <r>
    <n v="124"/>
    <s v="82384"/>
    <n v="1"/>
    <s v="182384.124"/>
    <s v="החזר הוצאות                     "/>
    <m/>
    <m/>
    <n v="37000"/>
    <n v="46000"/>
    <n v="43258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4"/>
    <e v="#N/A"/>
  </r>
  <r>
    <n v="126"/>
    <s v="82384"/>
    <n v="1"/>
    <s v="182384.126"/>
    <s v="הבראה                           "/>
    <m/>
    <m/>
    <n v="26000"/>
    <n v="49000"/>
    <n v="39569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6"/>
    <e v="#N/A"/>
  </r>
  <r>
    <n v="127"/>
    <s v="82384"/>
    <n v="1"/>
    <s v="182384.127"/>
    <s v="השתתפות באחזקת רכב-2            "/>
    <m/>
    <m/>
    <n v="31000"/>
    <n v="48000"/>
    <n v="42820"/>
    <m/>
    <x v="7"/>
    <s v="שירותים ממלכתיים"/>
    <x v="34"/>
    <s v="תרבות"/>
    <x v="115"/>
    <s v="ספריות עירוניות"/>
    <s v="8238"/>
    <e v="#N/A"/>
    <m/>
    <s v="1"/>
    <x v="9"/>
    <s v="12"/>
    <s v="תוספות שאינן נכללות בשכר הקובע"/>
    <s v="127"/>
    <e v="#N/A"/>
  </r>
  <r>
    <n v="130"/>
    <s v="82384"/>
    <n v="1"/>
    <s v="182384.130"/>
    <s v="תשלומים מיוחדים                 "/>
    <m/>
    <m/>
    <n v="56000"/>
    <n v="88000"/>
    <n v="93385"/>
    <m/>
    <x v="7"/>
    <s v="שירותים ממלכתיים"/>
    <x v="34"/>
    <s v="תרבות"/>
    <x v="115"/>
    <s v="ספריות עירוניות"/>
    <s v="8238"/>
    <e v="#N/A"/>
    <m/>
    <s v="1"/>
    <x v="9"/>
    <s v="13"/>
    <s v="שעות נוספות"/>
    <s v="130"/>
    <e v="#N/A"/>
  </r>
  <r>
    <n v="181"/>
    <s v="82384"/>
    <n v="1"/>
    <s v="182384.181"/>
    <s v="מיסים וביטוח לאומי              "/>
    <m/>
    <m/>
    <n v="82000"/>
    <n v="118000"/>
    <n v="96475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1"/>
    <s v="הפרשות סוציאליות"/>
  </r>
  <r>
    <n v="182"/>
    <s v="82384"/>
    <n v="1"/>
    <s v="182384.182"/>
    <s v="קופות גמל והשתלמות              "/>
    <m/>
    <m/>
    <n v="104000"/>
    <n v="131000"/>
    <n v="116314"/>
    <m/>
    <x v="7"/>
    <s v="שירותים ממלכתיים"/>
    <x v="34"/>
    <s v="תרבות"/>
    <x v="115"/>
    <s v="ספריות עירוניות"/>
    <s v="8238"/>
    <e v="#N/A"/>
    <m/>
    <s v="1"/>
    <x v="9"/>
    <s v="18"/>
    <s v="נלוות לשכר"/>
    <s v="182"/>
    <s v="מיסיום ועלויות"/>
  </r>
  <r>
    <n v="461"/>
    <s v="82384"/>
    <n v="1"/>
    <s v="182384.461"/>
    <s v="צורכי משרד                      "/>
    <m/>
    <m/>
    <n v="84000"/>
    <n v="84000"/>
    <n v="84089"/>
    <m/>
    <x v="7"/>
    <s v="שירותים ממלכתיים"/>
    <x v="34"/>
    <s v="תרבות"/>
    <x v="115"/>
    <s v="ספריות עירוניות"/>
    <s v="8238"/>
    <e v="#N/A"/>
    <m/>
    <s v="4"/>
    <x v="15"/>
    <s v="46"/>
    <e v="#N/A"/>
    <s v="461"/>
    <e v="#N/A"/>
  </r>
  <r>
    <n v="610"/>
    <s v="82384"/>
    <n v="1"/>
    <s v="182384.610"/>
    <s v="כיבודים                         "/>
    <m/>
    <m/>
    <n v="3000"/>
    <n v="3000"/>
    <n v="2916"/>
    <m/>
    <x v="7"/>
    <s v="שירותים ממלכתיים"/>
    <x v="34"/>
    <s v="תרבות"/>
    <x v="115"/>
    <s v="ספריות עירוניות"/>
    <s v="8238"/>
    <e v="#N/A"/>
    <m/>
    <s v="6"/>
    <x v="12"/>
    <s v="61"/>
    <s v="עמלות"/>
    <s v="610"/>
    <e v="#N/A"/>
  </r>
  <r>
    <n v="710"/>
    <s v="82384"/>
    <n v="1"/>
    <s v="182384.710"/>
    <s v="הובלות וסבלות                   "/>
    <m/>
    <m/>
    <n v="1000"/>
    <n v="1000"/>
    <n v="842"/>
    <m/>
    <x v="7"/>
    <s v="שירותים ממלכתיים"/>
    <x v="34"/>
    <s v="תרבות"/>
    <x v="115"/>
    <s v="ספריות עירוניות"/>
    <s v="8238"/>
    <e v="#N/A"/>
    <m/>
    <s v="7"/>
    <x v="13"/>
    <s v="71"/>
    <s v="הובלות והסעות קבלניות"/>
    <s v="710"/>
    <e v="#N/A"/>
  </r>
  <r>
    <n v="751"/>
    <s v="82384"/>
    <n v="1"/>
    <s v="182384.751"/>
    <s v="עבודה בקבלנות-שרותים טכניים וסדר"/>
    <m/>
    <m/>
    <n v="100000"/>
    <n v="100000"/>
    <n v="106000"/>
    <m/>
    <x v="7"/>
    <s v="שירותים ממלכתיים"/>
    <x v="34"/>
    <s v="תרבות"/>
    <x v="115"/>
    <s v="ספריות עירוניות"/>
    <s v="8238"/>
    <e v="#N/A"/>
    <m/>
    <s v="7"/>
    <x v="13"/>
    <s v="75"/>
    <s v="עבודות קבלניות"/>
    <s v="751"/>
    <e v="#N/A"/>
  </r>
  <r>
    <n v="781"/>
    <s v="82384"/>
    <n v="1"/>
    <s v="182384.781"/>
    <s v="הוצאות שונות                    "/>
    <m/>
    <m/>
    <n v="2000"/>
    <n v="2000"/>
    <n v="0"/>
    <m/>
    <x v="7"/>
    <s v="שירותים ממלכתיים"/>
    <x v="34"/>
    <s v="תרבות"/>
    <x v="115"/>
    <s v="ספריות עירוניות"/>
    <s v="8238"/>
    <e v="#N/A"/>
    <m/>
    <s v="7"/>
    <x v="13"/>
    <s v="78"/>
    <s v="הוצאות שונות"/>
    <s v="781"/>
    <e v="#N/A"/>
  </r>
  <r>
    <n v="782"/>
    <s v="82384"/>
    <n v="1"/>
    <s v="182384.782"/>
    <s v="פעולות תרבות                    "/>
    <m/>
    <m/>
    <n v="1200000"/>
    <n v="740000"/>
    <n v="753647"/>
    <m/>
    <x v="7"/>
    <s v="שירותים ממלכתיים"/>
    <x v="34"/>
    <s v="תרבות"/>
    <x v="115"/>
    <s v="ספריות עירוניות"/>
    <s v="8238"/>
    <e v="#N/A"/>
    <m/>
    <s v="7"/>
    <x v="13"/>
    <s v="78"/>
    <s v="הוצאות שונות"/>
    <s v="782"/>
    <e v="#N/A"/>
  </r>
  <r>
    <n v="783"/>
    <s v="82384"/>
    <n v="1"/>
    <s v="182384.783"/>
    <s v="פעולות שיווק                    "/>
    <m/>
    <m/>
    <n v="88000"/>
    <n v="88000"/>
    <n v="87950"/>
    <m/>
    <x v="7"/>
    <s v="שירותים ממלכתיים"/>
    <x v="34"/>
    <s v="תרבות"/>
    <x v="115"/>
    <s v="ספריות עירוניות"/>
    <s v="8238"/>
    <e v="#N/A"/>
    <m/>
    <s v="7"/>
    <x v="13"/>
    <s v="78"/>
    <s v="הוצאות שונות"/>
    <s v="783"/>
    <e v="#N/A"/>
  </r>
  <r>
    <n v="110"/>
    <s v="82410"/>
    <n v="1"/>
    <s v="182410.110"/>
    <s v="משכורת כוללת                    "/>
    <m/>
    <m/>
    <n v="554000"/>
    <n v="647000"/>
    <n v="610104"/>
    <m/>
    <x v="7"/>
    <s v="שירותים ממלכתיים"/>
    <x v="34"/>
    <s v="תרבות"/>
    <x v="116"/>
    <s v="מתנ״סים"/>
    <s v="8241"/>
    <e v="#N/A"/>
    <m/>
    <s v="1"/>
    <x v="9"/>
    <s v="11"/>
    <s v="השכר הקובע"/>
    <s v="110"/>
    <e v="#N/A"/>
  </r>
  <r>
    <n v="124"/>
    <s v="82410"/>
    <n v="1"/>
    <s v="182410.124"/>
    <s v="החזר הוצאות                     "/>
    <m/>
    <m/>
    <n v="20000"/>
    <n v="23000"/>
    <n v="23549"/>
    <m/>
    <x v="7"/>
    <s v="שירותים ממלכתיים"/>
    <x v="34"/>
    <s v="תרבות"/>
    <x v="116"/>
    <s v="מתנ״סים"/>
    <s v="8241"/>
    <e v="#N/A"/>
    <m/>
    <s v="1"/>
    <x v="9"/>
    <s v="12"/>
    <s v="תוספות שאינן נכללות בשכר הקובע"/>
    <s v="124"/>
    <e v="#N/A"/>
  </r>
  <r>
    <n v="126"/>
    <s v="82410"/>
    <n v="1"/>
    <s v="182410.126"/>
    <s v="הבראה                           "/>
    <m/>
    <m/>
    <n v="21000"/>
    <n v="23000"/>
    <n v="23378"/>
    <m/>
    <x v="7"/>
    <s v="שירותים ממלכתיים"/>
    <x v="34"/>
    <s v="תרבות"/>
    <x v="116"/>
    <s v="מתנ״סים"/>
    <s v="8241"/>
    <e v="#N/A"/>
    <m/>
    <s v="1"/>
    <x v="9"/>
    <s v="12"/>
    <s v="תוספות שאינן נכללות בשכר הקובע"/>
    <s v="126"/>
    <e v="#N/A"/>
  </r>
  <r>
    <n v="127"/>
    <s v="82410"/>
    <n v="1"/>
    <s v="182410.127"/>
    <s v="השתתפות באחזקת רכב - 3          "/>
    <m/>
    <m/>
    <n v="88000"/>
    <n v="102000"/>
    <n v="104605"/>
    <m/>
    <x v="7"/>
    <s v="שירותים ממלכתיים"/>
    <x v="34"/>
    <s v="תרבות"/>
    <x v="116"/>
    <s v="מתנ״סים"/>
    <s v="8241"/>
    <e v="#N/A"/>
    <m/>
    <s v="1"/>
    <x v="9"/>
    <s v="12"/>
    <s v="תוספות שאינן נכללות בשכר הקובע"/>
    <s v="127"/>
    <e v="#N/A"/>
  </r>
  <r>
    <n v="130"/>
    <s v="82410"/>
    <n v="1"/>
    <s v="182410.130"/>
    <s v="תשלומים מיוחדים                 "/>
    <m/>
    <m/>
    <n v="28000"/>
    <n v="26000"/>
    <n v="29285"/>
    <m/>
    <x v="7"/>
    <s v="שירותים ממלכתיים"/>
    <x v="34"/>
    <s v="תרבות"/>
    <x v="116"/>
    <s v="מתנ״סים"/>
    <s v="8241"/>
    <e v="#N/A"/>
    <m/>
    <s v="1"/>
    <x v="9"/>
    <s v="13"/>
    <s v="שעות נוספות"/>
    <s v="130"/>
    <e v="#N/A"/>
  </r>
  <r>
    <n v="181"/>
    <s v="82410"/>
    <n v="1"/>
    <s v="182410.181"/>
    <s v="מיסים וביטוח לאומי              "/>
    <m/>
    <m/>
    <n v="93000"/>
    <n v="108000"/>
    <n v="108503"/>
    <m/>
    <x v="7"/>
    <s v="שירותים ממלכתיים"/>
    <x v="34"/>
    <s v="תרבות"/>
    <x v="116"/>
    <s v="מתנ״סים"/>
    <s v="8241"/>
    <e v="#N/A"/>
    <m/>
    <s v="1"/>
    <x v="9"/>
    <s v="18"/>
    <s v="נלוות לשכר"/>
    <s v="181"/>
    <s v="הפרשות סוציאליות"/>
  </r>
  <r>
    <n v="182"/>
    <s v="82410"/>
    <n v="1"/>
    <s v="182410.182"/>
    <s v="קופות גמל והשתלמות              "/>
    <m/>
    <m/>
    <n v="65000"/>
    <n v="79000"/>
    <n v="78207"/>
    <m/>
    <x v="7"/>
    <s v="שירותים ממלכתיים"/>
    <x v="34"/>
    <s v="תרבות"/>
    <x v="116"/>
    <s v="מתנ״סים"/>
    <s v="8241"/>
    <e v="#N/A"/>
    <m/>
    <s v="1"/>
    <x v="9"/>
    <s v="18"/>
    <s v="נלוות לשכר"/>
    <s v="182"/>
    <s v="מיסיום ועלויות"/>
  </r>
  <r>
    <n v="433"/>
    <s v="82410"/>
    <n v="1"/>
    <s v="182410.433"/>
    <s v="ביטוח                           "/>
    <m/>
    <m/>
    <n v="456000"/>
    <n v="422000"/>
    <n v="356000"/>
    <m/>
    <x v="7"/>
    <s v="שירותים ממלכתיים"/>
    <x v="34"/>
    <s v="תרבות"/>
    <x v="116"/>
    <s v="מתנ״סים"/>
    <s v="8241"/>
    <e v="#N/A"/>
    <m/>
    <s v="4"/>
    <x v="15"/>
    <s v="43"/>
    <s v="חשמל, מים וחומרי ניקיון"/>
    <s v="433"/>
    <s v="חומרי ניקיון"/>
  </r>
  <r>
    <n v="461"/>
    <s v="82410"/>
    <n v="1"/>
    <s v="182410.461"/>
    <s v="צורכי משרד                      "/>
    <m/>
    <m/>
    <n v="11000"/>
    <n v="11000"/>
    <n v="3027"/>
    <m/>
    <x v="7"/>
    <s v="שירותים ממלכתיים"/>
    <x v="34"/>
    <s v="תרבות"/>
    <x v="116"/>
    <s v="מתנ״סים"/>
    <s v="8241"/>
    <e v="#N/A"/>
    <m/>
    <s v="4"/>
    <x v="15"/>
    <s v="46"/>
    <e v="#N/A"/>
    <s v="461"/>
    <e v="#N/A"/>
  </r>
  <r>
    <n v="541"/>
    <s v="82410"/>
    <n v="1"/>
    <s v="182410.541"/>
    <s v="החזקת מכשירי קשר וסלולרי        "/>
    <m/>
    <m/>
    <n v="40000"/>
    <n v="0"/>
    <n v="0"/>
    <m/>
    <x v="7"/>
    <s v="שירותים ממלכתיים"/>
    <x v="34"/>
    <s v="תרבות"/>
    <x v="116"/>
    <s v="מתנ״סים"/>
    <s v="8241"/>
    <e v="#N/A"/>
    <m/>
    <s v="5"/>
    <x v="11"/>
    <s v="54"/>
    <s v="הוצאות תקשורת"/>
    <s v="541"/>
    <e v="#N/A"/>
  </r>
  <r>
    <n v="610"/>
    <s v="82410"/>
    <n v="1"/>
    <s v="182410.610"/>
    <s v="כבודים                          "/>
    <m/>
    <m/>
    <n v="4000"/>
    <n v="4000"/>
    <n v="3696"/>
    <m/>
    <x v="7"/>
    <s v="שירותים ממלכתיים"/>
    <x v="34"/>
    <s v="תרבות"/>
    <x v="116"/>
    <s v="מתנ״סים"/>
    <s v="8241"/>
    <e v="#N/A"/>
    <m/>
    <s v="6"/>
    <x v="12"/>
    <s v="61"/>
    <s v="עמלות"/>
    <s v="610"/>
    <e v="#N/A"/>
  </r>
  <r>
    <n v="782"/>
    <s v="82410"/>
    <n v="1"/>
    <s v="182410.782"/>
    <s v="פעולות תרבות וחברה              "/>
    <m/>
    <m/>
    <n v="20000"/>
    <n v="20000"/>
    <n v="20000"/>
    <m/>
    <x v="7"/>
    <s v="שירותים ממלכתיים"/>
    <x v="34"/>
    <s v="תרבות"/>
    <x v="116"/>
    <s v="מתנ״סים"/>
    <s v="8241"/>
    <e v="#N/A"/>
    <m/>
    <s v="7"/>
    <x v="13"/>
    <s v="78"/>
    <s v="הוצאות שונות"/>
    <s v="782"/>
    <e v="#N/A"/>
  </r>
  <r>
    <n v="820"/>
    <s v="82410"/>
    <n v="1"/>
    <s v="182410.820"/>
    <s v="הנחות לנזקקים-חוגים במ' קהילתיים"/>
    <m/>
    <m/>
    <n v="700000"/>
    <n v="700000"/>
    <n v="700000"/>
    <m/>
    <x v="7"/>
    <s v="שירותים ממלכתיים"/>
    <x v="34"/>
    <s v="תרבות"/>
    <x v="116"/>
    <s v="מתנ״סים"/>
    <s v="8241"/>
    <e v="#N/A"/>
    <m/>
    <s v="8"/>
    <x v="16"/>
    <s v="82"/>
    <s v="הקצבות בהמלצת ועדת הקצבות"/>
    <s v="820"/>
    <e v="#N/A"/>
  </r>
  <r>
    <n v="851"/>
    <s v="82410"/>
    <n v="1"/>
    <s v="182410.851"/>
    <s v="השתתפות בארנונה לחב' מוס ח      "/>
    <m/>
    <m/>
    <n v="28640000"/>
    <n v="24640000"/>
    <n v="27314882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1"/>
    <e v="#N/A"/>
  </r>
  <r>
    <n v="852"/>
    <s v="82410"/>
    <n v="1"/>
    <s v="182410.852"/>
    <s v="שי לחגים - עובדי מוס ח          "/>
    <m/>
    <m/>
    <n v="373000"/>
    <n v="0"/>
    <n v="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2"/>
    <e v="#N/A"/>
  </r>
  <r>
    <n v="853"/>
    <s v="82410"/>
    <n v="1"/>
    <s v="182410.853"/>
    <s v="הצטיידות מועדוני קשישים-מוס ח   "/>
    <m/>
    <m/>
    <n v="40000"/>
    <n v="40000"/>
    <n v="4000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3"/>
    <e v="#N/A"/>
  </r>
  <r>
    <n v="854"/>
    <s v="82410"/>
    <n v="1"/>
    <s v="182410.854"/>
    <s v="פרוייקט הנהלות ציבוריות         "/>
    <m/>
    <m/>
    <n v="7000"/>
    <n v="22000"/>
    <n v="2200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4"/>
    <e v="#N/A"/>
  </r>
  <r>
    <n v="855"/>
    <s v="82410"/>
    <n v="1"/>
    <s v="182410.855"/>
    <s v="הקצבה לקייטנות-חב' מוס ח        "/>
    <m/>
    <m/>
    <n v="139000"/>
    <n v="139000"/>
    <n v="13900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5"/>
    <e v="#N/A"/>
  </r>
  <r>
    <n v="856"/>
    <s v="82410"/>
    <n v="1"/>
    <s v="182410.856"/>
    <s v="הקצבה לקייטנת ילדי עובדי עת א   "/>
    <m/>
    <m/>
    <n v="38000"/>
    <n v="38000"/>
    <n v="3700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6"/>
    <e v="#N/A"/>
  </r>
  <r>
    <n v="857"/>
    <s v="82410"/>
    <n v="1"/>
    <s v="182410.857"/>
    <s v="עתודה להתייקרויות - מוס ח       "/>
    <m/>
    <m/>
    <n v="1600000"/>
    <n v="1600000"/>
    <n v="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7"/>
    <e v="#N/A"/>
  </r>
  <r>
    <n v="858"/>
    <s v="82410"/>
    <n v="1"/>
    <s v="182410.858"/>
    <s v="אמהות חד הוריות - חב' למוס ח    "/>
    <m/>
    <m/>
    <n v="100000"/>
    <n v="100000"/>
    <n v="30000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8"/>
    <e v="#N/A"/>
  </r>
  <r>
    <n v="859"/>
    <s v="82410"/>
    <n v="1"/>
    <s v="182410.859"/>
    <s v="עתודה למוסדות קנו ס-מוס ח       "/>
    <m/>
    <m/>
    <n v="459000"/>
    <n v="750000"/>
    <n v="0"/>
    <m/>
    <x v="7"/>
    <s v="שירותים ממלכתיים"/>
    <x v="34"/>
    <s v="תרבות"/>
    <x v="116"/>
    <s v="מתנ״סים"/>
    <s v="8241"/>
    <e v="#N/A"/>
    <m/>
    <s v="8"/>
    <x v="16"/>
    <s v="85"/>
    <s v="מלגות לתלמידים וסטודנטים"/>
    <s v="859"/>
    <e v="#N/A"/>
  </r>
  <r>
    <n v="881"/>
    <s v="82410"/>
    <n v="1"/>
    <s v="182410.881"/>
    <s v="פעילות קהילתית בבית דניאל       "/>
    <m/>
    <m/>
    <n v="120000"/>
    <n v="120000"/>
    <n v="120000"/>
    <m/>
    <x v="7"/>
    <s v="שירותים ממלכתיים"/>
    <x v="34"/>
    <s v="תרבות"/>
    <x v="116"/>
    <s v="מתנ״סים"/>
    <s v="8241"/>
    <e v="#N/A"/>
    <m/>
    <s v="8"/>
    <x v="16"/>
    <s v="88"/>
    <e v="#N/A"/>
    <s v="881"/>
    <e v="#N/A"/>
  </r>
  <r>
    <n v="932"/>
    <s v="82410"/>
    <n v="1"/>
    <s v="182410.932"/>
    <s v="ציוד ורהוט משרדי                "/>
    <m/>
    <m/>
    <n v="8000"/>
    <n v="8000"/>
    <n v="-7"/>
    <m/>
    <x v="7"/>
    <s v="שירותים ממלכתיים"/>
    <x v="34"/>
    <s v="תרבות"/>
    <x v="116"/>
    <s v="מתנ״סים"/>
    <s v="8241"/>
    <e v="#N/A"/>
    <m/>
    <s v="9"/>
    <x v="17"/>
    <s v="93"/>
    <s v="רכישת ציוד יסודי"/>
    <s v="932"/>
    <e v="#N/A"/>
  </r>
  <r>
    <n v="110"/>
    <s v="82421"/>
    <n v="1"/>
    <s v="182421.110"/>
    <s v="משכורת כוללת                    "/>
    <m/>
    <m/>
    <n v="861000"/>
    <n v="921000"/>
    <n v="892570"/>
    <m/>
    <x v="7"/>
    <s v="שירותים ממלכתיים"/>
    <x v="34"/>
    <s v="תרבות"/>
    <x v="116"/>
    <s v="מתנ״סים"/>
    <s v="8242"/>
    <e v="#N/A"/>
    <m/>
    <s v="1"/>
    <x v="9"/>
    <s v="11"/>
    <s v="השכר הקובע"/>
    <s v="110"/>
    <e v="#N/A"/>
  </r>
  <r>
    <n v="124"/>
    <s v="82421"/>
    <n v="1"/>
    <s v="182421.124"/>
    <s v="החזר הוצאות                     "/>
    <m/>
    <m/>
    <n v="43000"/>
    <n v="53000"/>
    <n v="54665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4"/>
    <e v="#N/A"/>
  </r>
  <r>
    <n v="126"/>
    <s v="82421"/>
    <n v="1"/>
    <s v="182421.126"/>
    <s v="הבראה                           "/>
    <m/>
    <m/>
    <n v="45000"/>
    <n v="50000"/>
    <n v="49390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6"/>
    <e v="#N/A"/>
  </r>
  <r>
    <n v="127"/>
    <s v="82421"/>
    <n v="1"/>
    <s v="182421.127"/>
    <s v="השתתפות באחזקת רכב - 5          "/>
    <m/>
    <m/>
    <n v="97000"/>
    <n v="99000"/>
    <n v="93789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7"/>
    <e v="#N/A"/>
  </r>
  <r>
    <n v="130"/>
    <s v="82421"/>
    <n v="1"/>
    <s v="182421.130"/>
    <s v="תשלומים מיוחדים                 "/>
    <m/>
    <m/>
    <n v="105000"/>
    <n v="113000"/>
    <n v="109832"/>
    <m/>
    <x v="7"/>
    <s v="שירותים ממלכתיים"/>
    <x v="34"/>
    <s v="תרבות"/>
    <x v="116"/>
    <s v="מתנ״סים"/>
    <s v="8242"/>
    <e v="#N/A"/>
    <m/>
    <s v="1"/>
    <x v="9"/>
    <s v="13"/>
    <s v="שעות נוספות"/>
    <s v="130"/>
    <e v="#N/A"/>
  </r>
  <r>
    <n v="181"/>
    <s v="82421"/>
    <n v="1"/>
    <s v="182421.181"/>
    <s v="מיסים וביטוח לאומי              "/>
    <m/>
    <m/>
    <n v="151000"/>
    <n v="162000"/>
    <n v="147109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1"/>
    <s v="הפרשות סוציאליות"/>
  </r>
  <r>
    <n v="182"/>
    <s v="82421"/>
    <n v="1"/>
    <s v="182421.182"/>
    <s v="קופות גמל והשתלמות              "/>
    <m/>
    <m/>
    <n v="177000"/>
    <n v="195000"/>
    <n v="186737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2"/>
    <s v="מיסיום ועלויות"/>
  </r>
  <r>
    <n v="851"/>
    <s v="82421"/>
    <n v="1"/>
    <s v="182421.851"/>
    <s v="הפעלת המתנ ס - חב' למוסדות חינוך"/>
    <m/>
    <m/>
    <n v="-92000"/>
    <n v="-92000"/>
    <n v="40151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1"/>
    <e v="#N/A"/>
  </r>
  <r>
    <n v="852"/>
    <s v="82421"/>
    <n v="1"/>
    <s v="182421.852"/>
    <s v="הפעלת מרכז המוסיקה - חב' למוסדות"/>
    <m/>
    <m/>
    <n v="5000"/>
    <n v="10000"/>
    <n v="10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2"/>
    <e v="#N/A"/>
  </r>
  <r>
    <n v="853"/>
    <s v="82421"/>
    <n v="1"/>
    <s v="182421.853"/>
    <s v="הפעלת מרכז ספורט הדר-אפקה-מוס ח "/>
    <m/>
    <m/>
    <n v="89000"/>
    <n v="89000"/>
    <n v="104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3"/>
    <e v="#N/A"/>
  </r>
  <r>
    <n v="854"/>
    <s v="82421"/>
    <n v="1"/>
    <s v="182421.854"/>
    <s v="רכז ספורט - חב' למוסדות חינוך   "/>
    <m/>
    <m/>
    <n v="143000"/>
    <n v="143000"/>
    <n v="163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4"/>
    <e v="#N/A"/>
  </r>
  <r>
    <n v="856"/>
    <s v="82421"/>
    <n v="1"/>
    <s v="182421.856"/>
    <s v="סיפרייה-חב' מוסדות חינוך        "/>
    <m/>
    <m/>
    <n v="45000"/>
    <n v="45000"/>
    <n v="45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6"/>
    <e v="#N/A"/>
  </r>
  <r>
    <n v="857"/>
    <s v="82421"/>
    <n v="1"/>
    <s v="182421.857"/>
    <s v="מועדון קשישים-חב' מוס ח         "/>
    <m/>
    <m/>
    <n v="83000"/>
    <n v="53000"/>
    <n v="53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7"/>
    <e v="#N/A"/>
  </r>
  <r>
    <n v="110"/>
    <s v="82424"/>
    <n v="1"/>
    <s v="182424.110"/>
    <s v="משכורת כוללת                    "/>
    <m/>
    <m/>
    <n v="501000"/>
    <n v="539000"/>
    <n v="470210"/>
    <m/>
    <x v="7"/>
    <s v="שירותים ממלכתיים"/>
    <x v="34"/>
    <s v="תרבות"/>
    <x v="116"/>
    <s v="מתנ״סים"/>
    <s v="8242"/>
    <e v="#N/A"/>
    <m/>
    <s v="1"/>
    <x v="9"/>
    <s v="11"/>
    <s v="השכר הקובע"/>
    <s v="110"/>
    <e v="#N/A"/>
  </r>
  <r>
    <n v="124"/>
    <s v="82424"/>
    <n v="1"/>
    <s v="182424.124"/>
    <s v="החזר הוצאות                     "/>
    <m/>
    <m/>
    <n v="26000"/>
    <n v="26000"/>
    <n v="24914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4"/>
    <e v="#N/A"/>
  </r>
  <r>
    <n v="126"/>
    <s v="82424"/>
    <n v="1"/>
    <s v="182424.126"/>
    <s v="הבראה                           "/>
    <m/>
    <m/>
    <n v="25000"/>
    <n v="24000"/>
    <n v="22364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6"/>
    <e v="#N/A"/>
  </r>
  <r>
    <n v="127"/>
    <s v="82424"/>
    <n v="1"/>
    <s v="182424.127"/>
    <s v="השתתפות באחזקת רכב - 4          "/>
    <m/>
    <m/>
    <n v="74000"/>
    <n v="83000"/>
    <n v="73828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7"/>
    <e v="#N/A"/>
  </r>
  <r>
    <n v="130"/>
    <s v="82424"/>
    <n v="1"/>
    <s v="182424.130"/>
    <s v="תשלומים מיוחדים                 "/>
    <m/>
    <m/>
    <n v="67000"/>
    <n v="67000"/>
    <n v="59445"/>
    <m/>
    <x v="7"/>
    <s v="שירותים ממלכתיים"/>
    <x v="34"/>
    <s v="תרבות"/>
    <x v="116"/>
    <s v="מתנ״סים"/>
    <s v="8242"/>
    <e v="#N/A"/>
    <m/>
    <s v="1"/>
    <x v="9"/>
    <s v="13"/>
    <s v="שעות נוספות"/>
    <s v="130"/>
    <e v="#N/A"/>
  </r>
  <r>
    <n v="181"/>
    <s v="82424"/>
    <n v="1"/>
    <s v="182424.181"/>
    <s v="מיסים וביטוח לאומי              "/>
    <m/>
    <m/>
    <n v="91000"/>
    <n v="97000"/>
    <n v="81742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1"/>
    <s v="הפרשות סוציאליות"/>
  </r>
  <r>
    <n v="182"/>
    <s v="82424"/>
    <n v="1"/>
    <s v="182424.182"/>
    <s v="קופות גמל והשתלמות              "/>
    <m/>
    <m/>
    <n v="98000"/>
    <n v="88000"/>
    <n v="82569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2"/>
    <s v="מיסיום ועלויות"/>
  </r>
  <r>
    <n v="851"/>
    <s v="82424"/>
    <n v="1"/>
    <s v="182424.851"/>
    <s v="הפעלת המתנ ס - חב למוסדות חינוך "/>
    <m/>
    <m/>
    <n v="-89000"/>
    <n v="-89000"/>
    <n v="-10854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1"/>
    <e v="#N/A"/>
  </r>
  <r>
    <n v="852"/>
    <s v="82424"/>
    <n v="1"/>
    <s v="182424.852"/>
    <s v="הפעלת סניף רמת החייל-חב' מוסדות "/>
    <m/>
    <m/>
    <n v="156000"/>
    <n v="156000"/>
    <n v="156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2"/>
    <e v="#N/A"/>
  </r>
  <r>
    <n v="853"/>
    <s v="82424"/>
    <n v="1"/>
    <s v="182424.853"/>
    <s v="ספורט - חב למוסדות חינוך        "/>
    <m/>
    <m/>
    <n v="-61000"/>
    <n v="-111000"/>
    <n v="-111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3"/>
    <e v="#N/A"/>
  </r>
  <r>
    <n v="110"/>
    <s v="82426"/>
    <n v="1"/>
    <s v="182426.110"/>
    <s v="משכורת כוללת                    "/>
    <m/>
    <m/>
    <n v="467000"/>
    <n v="440000"/>
    <n v="443707"/>
    <m/>
    <x v="7"/>
    <s v="שירותים ממלכתיים"/>
    <x v="34"/>
    <s v="תרבות"/>
    <x v="116"/>
    <s v="מתנ״סים"/>
    <s v="8242"/>
    <e v="#N/A"/>
    <m/>
    <s v="1"/>
    <x v="9"/>
    <s v="11"/>
    <s v="השכר הקובע"/>
    <s v="110"/>
    <e v="#N/A"/>
  </r>
  <r>
    <n v="124"/>
    <s v="82426"/>
    <n v="1"/>
    <s v="182426.124"/>
    <s v="החזר הוצאות                     "/>
    <m/>
    <m/>
    <n v="31000"/>
    <n v="30000"/>
    <n v="30507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4"/>
    <e v="#N/A"/>
  </r>
  <r>
    <n v="126"/>
    <s v="82426"/>
    <n v="1"/>
    <s v="182426.126"/>
    <s v="הבראה                           "/>
    <m/>
    <m/>
    <n v="26000"/>
    <n v="25000"/>
    <n v="25161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6"/>
    <e v="#N/A"/>
  </r>
  <r>
    <n v="127"/>
    <s v="82426"/>
    <n v="1"/>
    <s v="182426.127"/>
    <s v="השתתפות באחזקת רכב - 4          "/>
    <m/>
    <m/>
    <n v="70000"/>
    <n v="69000"/>
    <n v="84118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7"/>
    <e v="#N/A"/>
  </r>
  <r>
    <n v="130"/>
    <s v="82426"/>
    <n v="1"/>
    <s v="182426.130"/>
    <s v="תשלומים מיוחדים                 "/>
    <m/>
    <m/>
    <n v="48000"/>
    <n v="42000"/>
    <n v="42595"/>
    <m/>
    <x v="7"/>
    <s v="שירותים ממלכתיים"/>
    <x v="34"/>
    <s v="תרבות"/>
    <x v="116"/>
    <s v="מתנ״סים"/>
    <s v="8242"/>
    <e v="#N/A"/>
    <m/>
    <s v="1"/>
    <x v="9"/>
    <s v="13"/>
    <s v="שעות נוספות"/>
    <s v="130"/>
    <e v="#N/A"/>
  </r>
  <r>
    <n v="181"/>
    <s v="82426"/>
    <n v="1"/>
    <s v="182426.181"/>
    <s v="מיסים וביטוח לאומי              "/>
    <m/>
    <m/>
    <n v="84000"/>
    <n v="79000"/>
    <n v="77045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1"/>
    <s v="הפרשות סוציאליות"/>
  </r>
  <r>
    <n v="182"/>
    <s v="82426"/>
    <n v="1"/>
    <s v="182426.182"/>
    <s v="קופות גמל והשתלמות              "/>
    <m/>
    <m/>
    <n v="107000"/>
    <n v="101000"/>
    <n v="102589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2"/>
    <s v="מיסיום ועלויות"/>
  </r>
  <r>
    <n v="851"/>
    <s v="82426"/>
    <n v="1"/>
    <s v="182426.851"/>
    <s v="הפעלת המתנ ס - חב' למוסדות חינוך"/>
    <m/>
    <m/>
    <n v="107000"/>
    <n v="-43000"/>
    <n v="270653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1"/>
    <e v="#N/A"/>
  </r>
  <r>
    <n v="856"/>
    <s v="82426"/>
    <n v="1"/>
    <s v="182426.856"/>
    <s v="רוזין-הפעלת הסיפרייה            "/>
    <m/>
    <m/>
    <n v="183000"/>
    <n v="183000"/>
    <n v="183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6"/>
    <e v="#N/A"/>
  </r>
  <r>
    <n v="110"/>
    <s v="82427"/>
    <n v="1"/>
    <s v="182427.110"/>
    <s v="משכורת כוללת                    "/>
    <m/>
    <m/>
    <n v="485000"/>
    <n v="481000"/>
    <n v="462284"/>
    <m/>
    <x v="7"/>
    <s v="שירותים ממלכתיים"/>
    <x v="34"/>
    <s v="תרבות"/>
    <x v="116"/>
    <s v="מתנ״סים"/>
    <s v="8242"/>
    <e v="#N/A"/>
    <m/>
    <s v="1"/>
    <x v="9"/>
    <s v="11"/>
    <s v="השכר הקובע"/>
    <s v="110"/>
    <e v="#N/A"/>
  </r>
  <r>
    <n v="124"/>
    <s v="82427"/>
    <n v="1"/>
    <s v="182427.124"/>
    <s v="החזר הוצאות                     "/>
    <m/>
    <m/>
    <n v="41000"/>
    <n v="28000"/>
    <n v="39024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4"/>
    <e v="#N/A"/>
  </r>
  <r>
    <n v="126"/>
    <s v="82427"/>
    <n v="1"/>
    <s v="182427.126"/>
    <s v="הבראה                           "/>
    <m/>
    <m/>
    <n v="21000"/>
    <n v="23000"/>
    <n v="23634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6"/>
    <e v="#N/A"/>
  </r>
  <r>
    <n v="127"/>
    <s v="82427"/>
    <n v="1"/>
    <s v="182427.127"/>
    <s v="השתתפות באחזקת רכב-3            "/>
    <m/>
    <m/>
    <n v="81000"/>
    <n v="58000"/>
    <n v="60565"/>
    <m/>
    <x v="7"/>
    <s v="שירותים ממלכתיים"/>
    <x v="34"/>
    <s v="תרבות"/>
    <x v="116"/>
    <s v="מתנ״סים"/>
    <s v="8242"/>
    <e v="#N/A"/>
    <m/>
    <s v="1"/>
    <x v="9"/>
    <s v="12"/>
    <s v="תוספות שאינן נכללות בשכר הקובע"/>
    <s v="127"/>
    <e v="#N/A"/>
  </r>
  <r>
    <n v="130"/>
    <s v="82427"/>
    <n v="1"/>
    <s v="182427.130"/>
    <s v="תשלומים מיוחדים                 "/>
    <m/>
    <m/>
    <n v="42000"/>
    <n v="45000"/>
    <n v="58642"/>
    <m/>
    <x v="7"/>
    <s v="שירותים ממלכתיים"/>
    <x v="34"/>
    <s v="תרבות"/>
    <x v="116"/>
    <s v="מתנ״סים"/>
    <s v="8242"/>
    <e v="#N/A"/>
    <m/>
    <s v="1"/>
    <x v="9"/>
    <s v="13"/>
    <s v="שעות נוספות"/>
    <s v="130"/>
    <e v="#N/A"/>
  </r>
  <r>
    <n v="181"/>
    <s v="82427"/>
    <n v="1"/>
    <s v="182427.181"/>
    <s v="מיסים וביטוח לאומי              "/>
    <m/>
    <m/>
    <n v="88000"/>
    <n v="83000"/>
    <n v="84668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1"/>
    <s v="הפרשות סוציאליות"/>
  </r>
  <r>
    <n v="182"/>
    <s v="82427"/>
    <n v="1"/>
    <s v="182427.182"/>
    <s v="קופות גמל והשתלמות              "/>
    <m/>
    <m/>
    <n v="84000"/>
    <n v="72000"/>
    <n v="76317"/>
    <m/>
    <x v="7"/>
    <s v="שירותים ממלכתיים"/>
    <x v="34"/>
    <s v="תרבות"/>
    <x v="116"/>
    <s v="מתנ״סים"/>
    <s v="8242"/>
    <e v="#N/A"/>
    <m/>
    <s v="1"/>
    <x v="9"/>
    <s v="18"/>
    <s v="נלוות לשכר"/>
    <s v="182"/>
    <s v="מיסיום ועלויות"/>
  </r>
  <r>
    <n v="851"/>
    <s v="82427"/>
    <n v="1"/>
    <s v="182427.851"/>
    <s v="הפעלת המתנ ס - חב' למוסדות חינוך"/>
    <m/>
    <m/>
    <n v="18000"/>
    <n v="-12000"/>
    <n v="35147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1"/>
    <e v="#N/A"/>
  </r>
  <r>
    <n v="853"/>
    <s v="82427"/>
    <n v="1"/>
    <s v="182427.853"/>
    <s v="ספורט - חב' למוסדות חינוך       "/>
    <m/>
    <m/>
    <n v="21000"/>
    <n v="21000"/>
    <n v="31000"/>
    <m/>
    <x v="7"/>
    <s v="שירותים ממלכתיים"/>
    <x v="34"/>
    <s v="תרבות"/>
    <x v="116"/>
    <s v="מתנ״סים"/>
    <s v="8242"/>
    <e v="#N/A"/>
    <m/>
    <s v="8"/>
    <x v="16"/>
    <s v="85"/>
    <s v="מלגות לתלמידים וסטודנטים"/>
    <s v="853"/>
    <e v="#N/A"/>
  </r>
  <r>
    <n v="110"/>
    <s v="82432"/>
    <n v="1"/>
    <s v="182432.110"/>
    <s v="משכורת כוללת                    "/>
    <m/>
    <m/>
    <n v="420000"/>
    <n v="520000"/>
    <n v="400380"/>
    <m/>
    <x v="7"/>
    <s v="שירותים ממלכתיים"/>
    <x v="34"/>
    <s v="תרבות"/>
    <x v="116"/>
    <s v="מתנ״סים"/>
    <s v="8243"/>
    <e v="#N/A"/>
    <m/>
    <s v="1"/>
    <x v="9"/>
    <s v="11"/>
    <s v="השכר הקובע"/>
    <s v="110"/>
    <e v="#N/A"/>
  </r>
  <r>
    <n v="124"/>
    <s v="82432"/>
    <n v="1"/>
    <s v="182432.124"/>
    <s v="החזר הוצאות                     "/>
    <m/>
    <m/>
    <n v="23000"/>
    <n v="30000"/>
    <n v="22419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4"/>
    <e v="#N/A"/>
  </r>
  <r>
    <n v="126"/>
    <s v="82432"/>
    <n v="1"/>
    <s v="182432.126"/>
    <s v="הבראה                           "/>
    <m/>
    <m/>
    <n v="22000"/>
    <n v="27000"/>
    <n v="20785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6"/>
    <e v="#N/A"/>
  </r>
  <r>
    <n v="127"/>
    <s v="82432"/>
    <n v="1"/>
    <s v="182432.127"/>
    <s v="השתתפות באחזקת רכב - 2          "/>
    <m/>
    <m/>
    <n v="47000"/>
    <n v="51000"/>
    <n v="4614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7"/>
    <e v="#N/A"/>
  </r>
  <r>
    <n v="130"/>
    <s v="82432"/>
    <n v="1"/>
    <s v="182432.130"/>
    <s v="תשלומים מיוחדים                 "/>
    <m/>
    <m/>
    <n v="43000"/>
    <n v="40000"/>
    <n v="39728"/>
    <m/>
    <x v="7"/>
    <s v="שירותים ממלכתיים"/>
    <x v="34"/>
    <s v="תרבות"/>
    <x v="116"/>
    <s v="מתנ״סים"/>
    <s v="8243"/>
    <e v="#N/A"/>
    <m/>
    <s v="1"/>
    <x v="9"/>
    <s v="13"/>
    <s v="שעות נוספות"/>
    <s v="130"/>
    <e v="#N/A"/>
  </r>
  <r>
    <n v="181"/>
    <s v="82432"/>
    <n v="1"/>
    <s v="182432.181"/>
    <s v="מיסים וביטוח לאומי              "/>
    <m/>
    <m/>
    <n v="73000"/>
    <n v="87000"/>
    <n v="67875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1"/>
    <s v="הפרשות סוציאליות"/>
  </r>
  <r>
    <n v="182"/>
    <s v="82432"/>
    <n v="1"/>
    <s v="182432.182"/>
    <s v="קופות גמל והשתלמות              "/>
    <m/>
    <m/>
    <n v="80000"/>
    <n v="86000"/>
    <n v="75503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2"/>
    <s v="מיסיום ועלויות"/>
  </r>
  <r>
    <n v="851"/>
    <s v="82432"/>
    <n v="1"/>
    <s v="182432.851"/>
    <s v="הפעלת המתנ ס - חב למוסדות חינוך "/>
    <m/>
    <m/>
    <n v="-479000"/>
    <n v="-429000"/>
    <n v="-292883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1"/>
    <e v="#N/A"/>
  </r>
  <r>
    <n v="853"/>
    <s v="82432"/>
    <n v="1"/>
    <s v="182432.853"/>
    <s v="ספורט - חב למוסדות חינוך        "/>
    <m/>
    <m/>
    <n v="-144000"/>
    <n v="-144000"/>
    <n v="-144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3"/>
    <e v="#N/A"/>
  </r>
  <r>
    <n v="999"/>
    <s v="82432"/>
    <n v="1"/>
    <s v="182432.999"/>
    <s v="החזרים מרווחה בפעילות קשישים    "/>
    <m/>
    <m/>
    <n v="-10000"/>
    <n v="-10000"/>
    <n v="-10000"/>
    <m/>
    <x v="7"/>
    <s v="שירותים ממלכתיים"/>
    <x v="34"/>
    <s v="תרבות"/>
    <x v="116"/>
    <s v="מתנ״סים"/>
    <s v="8243"/>
    <e v="#N/A"/>
    <m/>
    <s v="9"/>
    <x v="17"/>
    <s v="99"/>
    <e v="#N/A"/>
    <s v="999"/>
    <e v="#N/A"/>
  </r>
  <r>
    <n v="110"/>
    <s v="82435"/>
    <n v="1"/>
    <s v="182435.110"/>
    <s v="משכורת כוללת                    "/>
    <m/>
    <m/>
    <n v="375000"/>
    <n v="356000"/>
    <n v="308187"/>
    <m/>
    <x v="7"/>
    <s v="שירותים ממלכתיים"/>
    <x v="34"/>
    <s v="תרבות"/>
    <x v="116"/>
    <s v="מתנ״סים"/>
    <s v="8243"/>
    <e v="#N/A"/>
    <m/>
    <s v="1"/>
    <x v="9"/>
    <s v="11"/>
    <s v="השכר הקובע"/>
    <s v="110"/>
    <e v="#N/A"/>
  </r>
  <r>
    <n v="124"/>
    <s v="82435"/>
    <n v="1"/>
    <s v="182435.124"/>
    <s v="החזר הוצאות                     "/>
    <m/>
    <m/>
    <n v="23000"/>
    <n v="20000"/>
    <n v="19049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4"/>
    <e v="#N/A"/>
  </r>
  <r>
    <n v="126"/>
    <s v="82435"/>
    <n v="1"/>
    <s v="182435.126"/>
    <s v="הבראה                           "/>
    <m/>
    <m/>
    <n v="17000"/>
    <n v="18000"/>
    <n v="15150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6"/>
    <e v="#N/A"/>
  </r>
  <r>
    <n v="127"/>
    <s v="82435"/>
    <n v="1"/>
    <s v="182435.127"/>
    <s v="השתתפות באחזקת רכב-2            "/>
    <m/>
    <m/>
    <n v="52000"/>
    <n v="43000"/>
    <n v="5816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7"/>
    <e v="#N/A"/>
  </r>
  <r>
    <n v="130"/>
    <s v="82435"/>
    <n v="1"/>
    <s v="182435.130"/>
    <s v="תשלומים מיוחדים                 "/>
    <m/>
    <m/>
    <n v="14000"/>
    <n v="9000"/>
    <n v="18824"/>
    <m/>
    <x v="7"/>
    <s v="שירותים ממלכתיים"/>
    <x v="34"/>
    <s v="תרבות"/>
    <x v="116"/>
    <s v="מתנ״סים"/>
    <s v="8243"/>
    <e v="#N/A"/>
    <m/>
    <s v="1"/>
    <x v="9"/>
    <s v="13"/>
    <s v="שעות נוספות"/>
    <s v="130"/>
    <e v="#N/A"/>
  </r>
  <r>
    <n v="181"/>
    <s v="82435"/>
    <n v="1"/>
    <s v="182435.181"/>
    <s v="מיסים וביטוח לאומי              "/>
    <m/>
    <m/>
    <n v="63000"/>
    <n v="58000"/>
    <n v="56587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1"/>
    <s v="הפרשות סוציאליות"/>
  </r>
  <r>
    <n v="182"/>
    <s v="82435"/>
    <n v="1"/>
    <s v="182435.182"/>
    <s v="קופות גמל והשתלמות              "/>
    <m/>
    <m/>
    <n v="87000"/>
    <n v="98000"/>
    <n v="81759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2"/>
    <s v="מיסיום ועלויות"/>
  </r>
  <r>
    <n v="851"/>
    <s v="82435"/>
    <n v="1"/>
    <s v="182435.851"/>
    <s v="הפעלת המתנ ס - חב' למוסדות חינוך"/>
    <m/>
    <m/>
    <n v="189000"/>
    <n v="201000"/>
    <n v="272984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1"/>
    <e v="#N/A"/>
  </r>
  <r>
    <n v="853"/>
    <s v="82435"/>
    <n v="1"/>
    <s v="182435.853"/>
    <s v="ספורט - חב למוסדות חינוך        "/>
    <m/>
    <m/>
    <n v="151000"/>
    <n v="151000"/>
    <n v="166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3"/>
    <e v="#N/A"/>
  </r>
  <r>
    <n v="854"/>
    <s v="82435"/>
    <n v="1"/>
    <s v="182435.854"/>
    <s v="רכז ספורט - חב' למוסדות חינוך   "/>
    <m/>
    <m/>
    <n v="144000"/>
    <n v="144000"/>
    <n v="144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4"/>
    <e v="#N/A"/>
  </r>
  <r>
    <n v="110"/>
    <s v="82436"/>
    <n v="1"/>
    <s v="182436.110"/>
    <s v="משכורת כוללת                    "/>
    <m/>
    <m/>
    <n v="462000"/>
    <n v="466000"/>
    <n v="451883"/>
    <m/>
    <x v="7"/>
    <s v="שירותים ממלכתיים"/>
    <x v="34"/>
    <s v="תרבות"/>
    <x v="116"/>
    <s v="מתנ״סים"/>
    <s v="8243"/>
    <e v="#N/A"/>
    <m/>
    <s v="1"/>
    <x v="9"/>
    <s v="11"/>
    <s v="השכר הקובע"/>
    <s v="110"/>
    <e v="#N/A"/>
  </r>
  <r>
    <n v="124"/>
    <s v="82436"/>
    <n v="1"/>
    <s v="182436.124"/>
    <s v="החזר הוצאות                     "/>
    <m/>
    <m/>
    <n v="47000"/>
    <n v="47000"/>
    <n v="4552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4"/>
    <e v="#N/A"/>
  </r>
  <r>
    <n v="126"/>
    <s v="82436"/>
    <n v="1"/>
    <s v="182436.126"/>
    <s v="הבראה                           "/>
    <m/>
    <m/>
    <n v="22000"/>
    <n v="22000"/>
    <n v="2216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6"/>
    <e v="#N/A"/>
  </r>
  <r>
    <n v="127"/>
    <s v="82436"/>
    <n v="1"/>
    <s v="182436.127"/>
    <s v="השתתפות באחזקת רכב - 3          "/>
    <m/>
    <m/>
    <n v="72000"/>
    <n v="75000"/>
    <n v="72729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7"/>
    <e v="#N/A"/>
  </r>
  <r>
    <n v="130"/>
    <s v="82436"/>
    <n v="1"/>
    <s v="182436.130"/>
    <s v="תשלומים מיוחדים                 "/>
    <m/>
    <m/>
    <n v="100000"/>
    <n v="101000"/>
    <n v="97209"/>
    <m/>
    <x v="7"/>
    <s v="שירותים ממלכתיים"/>
    <x v="34"/>
    <s v="תרבות"/>
    <x v="116"/>
    <s v="מתנ״סים"/>
    <s v="8243"/>
    <e v="#N/A"/>
    <m/>
    <s v="1"/>
    <x v="9"/>
    <s v="13"/>
    <s v="שעות נוספות"/>
    <s v="130"/>
    <e v="#N/A"/>
  </r>
  <r>
    <n v="181"/>
    <s v="82436"/>
    <n v="1"/>
    <s v="182436.181"/>
    <s v="מיסים וביטוח לאומי              "/>
    <m/>
    <m/>
    <n v="92000"/>
    <n v="93000"/>
    <n v="91485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1"/>
    <s v="הפרשות סוציאליות"/>
  </r>
  <r>
    <n v="182"/>
    <s v="82436"/>
    <n v="1"/>
    <s v="182436.182"/>
    <s v="קופות גמל והשתלמות              "/>
    <m/>
    <m/>
    <n v="74000"/>
    <n v="72000"/>
    <n v="69980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2"/>
    <s v="מיסיום ועלויות"/>
  </r>
  <r>
    <n v="851"/>
    <s v="82436"/>
    <n v="1"/>
    <s v="182436.851"/>
    <s v="הפעלת המתנ ס - חב למוסדות חינוך "/>
    <m/>
    <m/>
    <n v="22000"/>
    <n v="34000"/>
    <n v="13148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1"/>
    <e v="#N/A"/>
  </r>
  <r>
    <n v="853"/>
    <s v="82436"/>
    <n v="1"/>
    <s v="182436.853"/>
    <s v="ספורט - חב למוסדות חינוך        "/>
    <m/>
    <m/>
    <n v="-83000"/>
    <n v="-83000"/>
    <n v="-83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3"/>
    <e v="#N/A"/>
  </r>
  <r>
    <n v="110"/>
    <s v="82437"/>
    <n v="1"/>
    <s v="182437.110"/>
    <s v="משכורת כוללת                    "/>
    <m/>
    <m/>
    <n v="337000"/>
    <n v="331000"/>
    <n v="325982"/>
    <m/>
    <x v="7"/>
    <s v="שירותים ממלכתיים"/>
    <x v="34"/>
    <s v="תרבות"/>
    <x v="116"/>
    <s v="מתנ״סים"/>
    <s v="8243"/>
    <e v="#N/A"/>
    <m/>
    <s v="1"/>
    <x v="9"/>
    <s v="11"/>
    <s v="השכר הקובע"/>
    <s v="110"/>
    <e v="#N/A"/>
  </r>
  <r>
    <n v="124"/>
    <s v="82437"/>
    <n v="1"/>
    <s v="182437.124"/>
    <s v="החזר הוצאות                     "/>
    <m/>
    <m/>
    <n v="19000"/>
    <n v="19000"/>
    <n v="1943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4"/>
    <e v="#N/A"/>
  </r>
  <r>
    <n v="126"/>
    <s v="82437"/>
    <n v="1"/>
    <s v="182437.126"/>
    <s v="הבראה                           "/>
    <m/>
    <m/>
    <n v="14000"/>
    <n v="14000"/>
    <n v="13664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6"/>
    <e v="#N/A"/>
  </r>
  <r>
    <n v="127"/>
    <s v="82437"/>
    <n v="1"/>
    <s v="182437.127"/>
    <s v="השתתפות באחזקת רכב-3            "/>
    <m/>
    <m/>
    <n v="49000"/>
    <n v="48000"/>
    <n v="68042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7"/>
    <e v="#N/A"/>
  </r>
  <r>
    <n v="130"/>
    <s v="82437"/>
    <n v="1"/>
    <s v="182437.130"/>
    <s v="תשלומים מיוחדים                 "/>
    <m/>
    <m/>
    <n v="35000"/>
    <n v="25000"/>
    <n v="29002"/>
    <m/>
    <x v="7"/>
    <s v="שירותים ממלכתיים"/>
    <x v="34"/>
    <s v="תרבות"/>
    <x v="116"/>
    <s v="מתנ״סים"/>
    <s v="8243"/>
    <e v="#N/A"/>
    <m/>
    <s v="1"/>
    <x v="9"/>
    <s v="13"/>
    <s v="שעות נוספות"/>
    <s v="130"/>
    <e v="#N/A"/>
  </r>
  <r>
    <n v="181"/>
    <s v="82437"/>
    <n v="1"/>
    <s v="182437.181"/>
    <s v="מיסים וביטוח לאומי              "/>
    <m/>
    <m/>
    <n v="59000"/>
    <n v="57000"/>
    <n v="59132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1"/>
    <s v="הפרשות סוציאליות"/>
  </r>
  <r>
    <n v="182"/>
    <s v="82437"/>
    <n v="1"/>
    <s v="182437.182"/>
    <s v="קופות גמל והשתלמות              "/>
    <m/>
    <m/>
    <n v="60000"/>
    <n v="58000"/>
    <n v="57250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2"/>
    <s v="מיסיום ועלויות"/>
  </r>
  <r>
    <n v="851"/>
    <s v="82437"/>
    <n v="1"/>
    <s v="182437.851"/>
    <s v="הפעלת המתנ ס - חב' למוסדות חינוך"/>
    <m/>
    <m/>
    <n v="164000"/>
    <n v="176000"/>
    <n v="213139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1"/>
    <e v="#N/A"/>
  </r>
  <r>
    <n v="852"/>
    <s v="82437"/>
    <n v="1"/>
    <s v="182437.852"/>
    <s v="פעילות קהילתית בשכ' פלורנטין-מוס"/>
    <m/>
    <m/>
    <n v="74000"/>
    <n v="74000"/>
    <n v="74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2"/>
    <e v="#N/A"/>
  </r>
  <r>
    <n v="857"/>
    <s v="82437"/>
    <n v="1"/>
    <s v="182437.857"/>
    <s v="פרוייקט כרם התימנים - חב' למוסדו"/>
    <m/>
    <m/>
    <n v="114000"/>
    <n v="114000"/>
    <n v="11400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7"/>
    <e v="#N/A"/>
  </r>
  <r>
    <n v="110"/>
    <s v="82438"/>
    <n v="1"/>
    <s v="182438.110"/>
    <s v="משכורת כוללת                    "/>
    <m/>
    <m/>
    <n v="396000"/>
    <n v="0"/>
    <n v="0"/>
    <m/>
    <x v="7"/>
    <s v="שירותים ממלכתיים"/>
    <x v="34"/>
    <s v="תרבות"/>
    <x v="116"/>
    <s v="מתנ״סים"/>
    <s v="8243"/>
    <e v="#N/A"/>
    <m/>
    <s v="1"/>
    <x v="9"/>
    <s v="11"/>
    <s v="השכר הקובע"/>
    <s v="110"/>
    <e v="#N/A"/>
  </r>
  <r>
    <n v="124"/>
    <s v="82438"/>
    <n v="1"/>
    <s v="182438.124"/>
    <s v="החזר הוצאות                     "/>
    <m/>
    <m/>
    <n v="20000"/>
    <n v="0"/>
    <n v="0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4"/>
    <e v="#N/A"/>
  </r>
  <r>
    <n v="126"/>
    <s v="82438"/>
    <n v="1"/>
    <s v="182438.126"/>
    <s v="הבראה                           "/>
    <m/>
    <m/>
    <n v="15000"/>
    <n v="0"/>
    <n v="0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6"/>
    <e v="#N/A"/>
  </r>
  <r>
    <n v="127"/>
    <s v="82438"/>
    <n v="1"/>
    <s v="182438.127"/>
    <s v="השתתפות באחזקת רכב - 3          "/>
    <m/>
    <m/>
    <n v="73000"/>
    <n v="0"/>
    <n v="0"/>
    <m/>
    <x v="7"/>
    <s v="שירותים ממלכתיים"/>
    <x v="34"/>
    <s v="תרבות"/>
    <x v="116"/>
    <s v="מתנ״סים"/>
    <s v="8243"/>
    <e v="#N/A"/>
    <m/>
    <s v="1"/>
    <x v="9"/>
    <s v="12"/>
    <s v="תוספות שאינן נכללות בשכר הקובע"/>
    <s v="127"/>
    <e v="#N/A"/>
  </r>
  <r>
    <n v="130"/>
    <s v="82438"/>
    <n v="1"/>
    <s v="182438.130"/>
    <s v="תשלומים מיוחדים                 "/>
    <m/>
    <m/>
    <n v="11000"/>
    <n v="0"/>
    <n v="0"/>
    <m/>
    <x v="7"/>
    <s v="שירותים ממלכתיים"/>
    <x v="34"/>
    <s v="תרבות"/>
    <x v="116"/>
    <s v="מתנ״סים"/>
    <s v="8243"/>
    <e v="#N/A"/>
    <m/>
    <s v="1"/>
    <x v="9"/>
    <s v="13"/>
    <s v="שעות נוספות"/>
    <s v="130"/>
    <e v="#N/A"/>
  </r>
  <r>
    <n v="181"/>
    <s v="82438"/>
    <n v="1"/>
    <s v="182438.181"/>
    <s v="מיסים וביטוח לאומי              "/>
    <m/>
    <m/>
    <n v="70000"/>
    <n v="0"/>
    <n v="0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1"/>
    <s v="הפרשות סוציאליות"/>
  </r>
  <r>
    <n v="182"/>
    <s v="82438"/>
    <n v="1"/>
    <s v="182438.182"/>
    <s v="קופות גמל והשתלמות              "/>
    <m/>
    <m/>
    <n v="92000"/>
    <n v="0"/>
    <n v="0"/>
    <m/>
    <x v="7"/>
    <s v="שירותים ממלכתיים"/>
    <x v="34"/>
    <s v="תרבות"/>
    <x v="116"/>
    <s v="מתנ״סים"/>
    <s v="8243"/>
    <e v="#N/A"/>
    <m/>
    <s v="1"/>
    <x v="9"/>
    <s v="18"/>
    <s v="נלוות לשכר"/>
    <s v="182"/>
    <s v="מיסיום ועלויות"/>
  </r>
  <r>
    <n v="310"/>
    <s v="82438"/>
    <n v="1"/>
    <s v="182438.310"/>
    <s v="שעות נוספות רשומות              "/>
    <m/>
    <m/>
    <n v="18000"/>
    <n v="0"/>
    <n v="0"/>
    <m/>
    <x v="7"/>
    <s v="שירותים ממלכתיים"/>
    <x v="34"/>
    <s v="תרבות"/>
    <x v="116"/>
    <s v="מתנ״סים"/>
    <s v="8243"/>
    <e v="#N/A"/>
    <m/>
    <s v="3"/>
    <x v="14"/>
    <s v="31"/>
    <s v="פנסיה"/>
    <s v="310"/>
    <e v="#N/A"/>
  </r>
  <r>
    <n v="851"/>
    <s v="82438"/>
    <n v="1"/>
    <s v="182438.851"/>
    <s v="הפעלת המרכז הקהילתי מוס ח       "/>
    <m/>
    <m/>
    <n v="240000"/>
    <n v="0"/>
    <n v="0"/>
    <m/>
    <x v="7"/>
    <s v="שירותים ממלכתיים"/>
    <x v="34"/>
    <s v="תרבות"/>
    <x v="116"/>
    <s v="מתנ״סים"/>
    <s v="8243"/>
    <e v="#N/A"/>
    <m/>
    <s v="8"/>
    <x v="16"/>
    <s v="85"/>
    <s v="מלגות לתלמידים וסטודנטים"/>
    <s v="851"/>
    <e v="#N/A"/>
  </r>
  <r>
    <n v="110"/>
    <s v="82441"/>
    <n v="1"/>
    <s v="182441.110"/>
    <s v="משכורת כוללת                    "/>
    <m/>
    <m/>
    <n v="386000"/>
    <n v="377000"/>
    <n v="445959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1"/>
    <n v="1"/>
    <s v="182441.124"/>
    <s v="החזר הוצאות                     "/>
    <m/>
    <m/>
    <n v="20000"/>
    <n v="19000"/>
    <n v="16358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1"/>
    <n v="1"/>
    <s v="182441.126"/>
    <s v="הבראה                           "/>
    <m/>
    <m/>
    <n v="16000"/>
    <n v="16000"/>
    <n v="1357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1"/>
    <n v="1"/>
    <s v="182441.127"/>
    <s v="השתתפות באחזקת רכב - 3          "/>
    <m/>
    <m/>
    <n v="84000"/>
    <n v="97000"/>
    <n v="7342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1"/>
    <n v="1"/>
    <s v="182441.130"/>
    <s v="תשלומים מיוחדים                 "/>
    <m/>
    <m/>
    <n v="8000"/>
    <n v="5000"/>
    <n v="4654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1"/>
    <n v="1"/>
    <s v="182441.181"/>
    <s v="מיסים וביטוח לאומי              "/>
    <m/>
    <m/>
    <n v="67000"/>
    <n v="67000"/>
    <n v="55055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1"/>
    <n v="1"/>
    <s v="182441.182"/>
    <s v="קופות גמל והשתלמות              "/>
    <m/>
    <m/>
    <n v="87000"/>
    <n v="86000"/>
    <n v="64494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851"/>
    <s v="82441"/>
    <n v="1"/>
    <s v="182441.851"/>
    <s v="הפעלת המתנ ס - חב' למוסדות חינוך"/>
    <m/>
    <m/>
    <n v="2336000"/>
    <n v="2238000"/>
    <n v="2415115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2"/>
    <s v="82441"/>
    <n v="1"/>
    <s v="182441.852"/>
    <s v="הפעלת מרכז המוסיקה - חב' למוסדות"/>
    <m/>
    <m/>
    <n v="243000"/>
    <n v="143000"/>
    <n v="243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2"/>
    <e v="#N/A"/>
  </r>
  <r>
    <n v="853"/>
    <s v="82441"/>
    <n v="1"/>
    <s v="182441.853"/>
    <s v="ספורט - חב' למוסדות חינוך       "/>
    <m/>
    <m/>
    <n v="1610000"/>
    <n v="1610000"/>
    <n v="162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4"/>
    <s v="82441"/>
    <n v="1"/>
    <s v="182441.854"/>
    <s v="מרכז למידה-בי ס לכדורגל-מוס ח   "/>
    <m/>
    <m/>
    <n v="748000"/>
    <n v="748000"/>
    <n v="758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4"/>
    <e v="#N/A"/>
  </r>
  <r>
    <n v="855"/>
    <s v="82441"/>
    <n v="1"/>
    <s v="182441.855"/>
    <s v="הפעלת הבריכה - חב' למוסדות חינוך"/>
    <m/>
    <m/>
    <n v="372000"/>
    <n v="372000"/>
    <n v="372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5"/>
    <e v="#N/A"/>
  </r>
  <r>
    <n v="856"/>
    <s v="82441"/>
    <n v="1"/>
    <s v="182441.856"/>
    <s v="הפעלת ספריות - חב' למוסדות חינוך"/>
    <m/>
    <m/>
    <n v="415000"/>
    <n v="415000"/>
    <n v="41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857"/>
    <s v="82441"/>
    <n v="1"/>
    <s v="182441.857"/>
    <s v="מועדון קשישים - חב' מוס ח       "/>
    <m/>
    <m/>
    <n v="339000"/>
    <n v="309000"/>
    <n v="309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7"/>
    <e v="#N/A"/>
  </r>
  <r>
    <n v="110"/>
    <s v="82442"/>
    <n v="1"/>
    <s v="182442.110"/>
    <s v="משכורת כוללת                    "/>
    <m/>
    <m/>
    <n v="643000"/>
    <n v="850000"/>
    <n v="849197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2"/>
    <n v="1"/>
    <s v="182442.124"/>
    <s v="החזר הוצאות                     "/>
    <m/>
    <m/>
    <n v="61000"/>
    <n v="71000"/>
    <n v="59146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2"/>
    <n v="1"/>
    <s v="182442.126"/>
    <s v="הבראה                           "/>
    <m/>
    <m/>
    <n v="42000"/>
    <n v="53000"/>
    <n v="4540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2"/>
    <n v="1"/>
    <s v="182442.127"/>
    <s v="השתתפות באחזקת רכב - 3          "/>
    <m/>
    <m/>
    <n v="67000"/>
    <n v="78000"/>
    <n v="5447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2"/>
    <n v="1"/>
    <s v="182442.130"/>
    <s v="תשלומים מיוחדים                 "/>
    <m/>
    <m/>
    <n v="111000"/>
    <n v="118000"/>
    <n v="93111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2"/>
    <n v="1"/>
    <s v="182442.181"/>
    <s v="מיסים וביטוח לאומי              "/>
    <m/>
    <m/>
    <n v="121000"/>
    <n v="153000"/>
    <n v="120319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2"/>
    <n v="1"/>
    <s v="182442.182"/>
    <s v="קופות גמל והשתלמות              "/>
    <m/>
    <m/>
    <n v="124000"/>
    <n v="185000"/>
    <n v="142255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851"/>
    <s v="82442"/>
    <n v="1"/>
    <s v="182442.851"/>
    <s v="הפעלת המתנ ס - חב' למוסדות חינוך"/>
    <m/>
    <m/>
    <n v="934000"/>
    <n v="846000"/>
    <n v="974141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2"/>
    <s v="82442"/>
    <n v="1"/>
    <s v="182442.852"/>
    <s v="הפעלת מרכז המוסיקה - חב' למוסדות"/>
    <m/>
    <m/>
    <n v="273000"/>
    <n v="273000"/>
    <n v="273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2"/>
    <e v="#N/A"/>
  </r>
  <r>
    <n v="853"/>
    <s v="82442"/>
    <n v="1"/>
    <s v="182442.853"/>
    <s v="ספורט - חב' למוסדות חינוך       "/>
    <m/>
    <m/>
    <n v="117000"/>
    <n v="17000"/>
    <n v="47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4"/>
    <s v="82442"/>
    <n v="1"/>
    <s v="182442.854"/>
    <s v="רכז ספורט - חב' למוסדות חינוך   "/>
    <m/>
    <m/>
    <n v="154000"/>
    <n v="154000"/>
    <n v="154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4"/>
    <e v="#N/A"/>
  </r>
  <r>
    <n v="855"/>
    <s v="82442"/>
    <n v="1"/>
    <s v="182442.855"/>
    <s v="הפעלת הבריכה - חב למוסדות חינוך "/>
    <m/>
    <m/>
    <n v="116000"/>
    <n v="117000"/>
    <n v="137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5"/>
    <e v="#N/A"/>
  </r>
  <r>
    <n v="856"/>
    <s v="82442"/>
    <n v="1"/>
    <s v="182442.856"/>
    <s v="הפעלת סיפרייה-חב' מוסדות חינוך  "/>
    <m/>
    <m/>
    <n v="30000"/>
    <n v="30000"/>
    <n v="30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110"/>
    <s v="82443"/>
    <n v="1"/>
    <s v="182443.110"/>
    <s v="משכורת כוללת                    "/>
    <m/>
    <m/>
    <n v="426000"/>
    <n v="390000"/>
    <n v="526561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3"/>
    <n v="1"/>
    <s v="182443.124"/>
    <s v="החזר הוצאות                     "/>
    <m/>
    <m/>
    <n v="18000"/>
    <n v="18000"/>
    <n v="16446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3"/>
    <n v="1"/>
    <s v="182443.126"/>
    <s v="הבראה                           "/>
    <m/>
    <m/>
    <n v="14000"/>
    <n v="13000"/>
    <n v="14376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3"/>
    <n v="1"/>
    <s v="182443.127"/>
    <s v="השתתפות באחזקת רכב-3            "/>
    <m/>
    <m/>
    <n v="87000"/>
    <n v="87000"/>
    <n v="74735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3"/>
    <n v="1"/>
    <s v="182443.130"/>
    <s v="תשלומים מיוחדים                 "/>
    <m/>
    <m/>
    <n v="16000"/>
    <n v="17000"/>
    <n v="15055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3"/>
    <n v="1"/>
    <s v="182443.181"/>
    <s v="מיסים וביטוח לאומי              "/>
    <m/>
    <m/>
    <n v="73000"/>
    <n v="69000"/>
    <n v="60851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3"/>
    <n v="1"/>
    <s v="182443.182"/>
    <s v="קופות גמל והשתלמות              "/>
    <m/>
    <m/>
    <n v="91000"/>
    <n v="89000"/>
    <n v="69753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851"/>
    <s v="82443"/>
    <n v="1"/>
    <s v="182443.851"/>
    <s v="הפעלת המתנ ס - חב' למוסדות חינוך"/>
    <m/>
    <m/>
    <n v="1435000"/>
    <n v="1416000"/>
    <n v="1491227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2"/>
    <s v="82443"/>
    <n v="1"/>
    <s v="182443.852"/>
    <s v="הפעלת מרכז המוסיקה - חב' למוסדות"/>
    <m/>
    <m/>
    <n v="293000"/>
    <n v="293000"/>
    <n v="293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2"/>
    <e v="#N/A"/>
  </r>
  <r>
    <n v="853"/>
    <s v="82443"/>
    <n v="1"/>
    <s v="182443.853"/>
    <s v="ספורט - חב' למוסדות חינוך       "/>
    <m/>
    <m/>
    <n v="149000"/>
    <n v="149000"/>
    <n v="149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6"/>
    <s v="82443"/>
    <n v="1"/>
    <s v="182443.856"/>
    <s v="הפעלת הספריות - חב' למוסדות חינו"/>
    <m/>
    <m/>
    <n v="327000"/>
    <n v="327000"/>
    <n v="327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861"/>
    <s v="82444"/>
    <n v="1"/>
    <s v="182444.861"/>
    <s v="פעילות קהילתית-יובל חינוך       "/>
    <m/>
    <m/>
    <n v="25000"/>
    <n v="25000"/>
    <n v="0"/>
    <m/>
    <x v="7"/>
    <s v="שירותים ממלכתיים"/>
    <x v="34"/>
    <s v="תרבות"/>
    <x v="116"/>
    <s v="מתנ״סים"/>
    <s v="8244"/>
    <e v="#N/A"/>
    <m/>
    <s v="8"/>
    <x v="16"/>
    <s v="86"/>
    <s v="הנחות"/>
    <s v="861"/>
    <e v="#N/A"/>
  </r>
  <r>
    <n v="999"/>
    <s v="82444"/>
    <n v="1"/>
    <s v="182444.999"/>
    <s v="החזרים מאגף רווחה בפעילות קשישים"/>
    <m/>
    <m/>
    <n v="-14000"/>
    <n v="-14000"/>
    <n v="0"/>
    <m/>
    <x v="7"/>
    <s v="שירותים ממלכתיים"/>
    <x v="34"/>
    <s v="תרבות"/>
    <x v="116"/>
    <s v="מתנ״סים"/>
    <s v="8244"/>
    <e v="#N/A"/>
    <m/>
    <s v="9"/>
    <x v="17"/>
    <s v="99"/>
    <e v="#N/A"/>
    <s v="999"/>
    <e v="#N/A"/>
  </r>
  <r>
    <n v="110"/>
    <s v="82446"/>
    <n v="1"/>
    <s v="182446.110"/>
    <s v="משכורת כוללת                    "/>
    <m/>
    <m/>
    <n v="434000"/>
    <n v="429000"/>
    <n v="434925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6"/>
    <n v="1"/>
    <s v="182446.124"/>
    <s v="החזר הוצאות                     "/>
    <m/>
    <m/>
    <n v="26000"/>
    <n v="26000"/>
    <n v="26963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6"/>
    <n v="1"/>
    <s v="182446.126"/>
    <s v="הבראה                           "/>
    <m/>
    <m/>
    <n v="22000"/>
    <n v="23000"/>
    <n v="2307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6"/>
    <n v="1"/>
    <s v="182446.127"/>
    <s v="השתתפות באחזקת רכב-3            "/>
    <m/>
    <m/>
    <n v="65000"/>
    <n v="59000"/>
    <n v="63568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6"/>
    <n v="1"/>
    <s v="182446.130"/>
    <s v="תשלומים מיוחדים                 "/>
    <m/>
    <m/>
    <n v="19000"/>
    <n v="22000"/>
    <n v="22152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6"/>
    <n v="1"/>
    <s v="182446.181"/>
    <s v="מיסים וביטוח לאומי              "/>
    <m/>
    <m/>
    <n v="74000"/>
    <n v="73000"/>
    <n v="74842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6"/>
    <n v="1"/>
    <s v="182446.182"/>
    <s v="קופות גמל והשתלמות              "/>
    <m/>
    <m/>
    <n v="105000"/>
    <n v="101000"/>
    <n v="9877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851"/>
    <s v="82446"/>
    <n v="1"/>
    <s v="182446.851"/>
    <s v="הפעלת המתנ ס - חב למוסדות חינוך "/>
    <m/>
    <m/>
    <n v="359000"/>
    <n v="301000"/>
    <n v="324112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3"/>
    <s v="82446"/>
    <n v="1"/>
    <s v="182446.853"/>
    <s v="ספורט - חב למוסדות חינוך        "/>
    <m/>
    <m/>
    <n v="93000"/>
    <n v="93000"/>
    <n v="93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6"/>
    <s v="82446"/>
    <n v="1"/>
    <s v="182446.856"/>
    <s v="הפעלת הספריות - חב' למוסדות חינו"/>
    <m/>
    <m/>
    <n v="15000"/>
    <n v="15000"/>
    <n v="1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857"/>
    <s v="82446"/>
    <n v="1"/>
    <s v="182446.857"/>
    <s v="מועדון קשישים-חב' מוס ח         "/>
    <m/>
    <m/>
    <n v="89000"/>
    <n v="89000"/>
    <n v="89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7"/>
    <e v="#N/A"/>
  </r>
  <r>
    <n v="110"/>
    <s v="82447"/>
    <n v="1"/>
    <s v="182447.110"/>
    <s v="משכורת כוללת                    "/>
    <m/>
    <m/>
    <n v="593000"/>
    <n v="567000"/>
    <n v="521815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7"/>
    <n v="1"/>
    <s v="182447.124"/>
    <s v="החזר הוצאות                     "/>
    <m/>
    <m/>
    <n v="43000"/>
    <n v="51000"/>
    <n v="3710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7"/>
    <n v="1"/>
    <s v="182447.126"/>
    <s v="הבראה                           "/>
    <m/>
    <m/>
    <n v="28000"/>
    <n v="34000"/>
    <n v="2927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7"/>
    <n v="1"/>
    <s v="182447.127"/>
    <s v="השתתפות באחזקת רכב - 4          "/>
    <m/>
    <m/>
    <n v="78000"/>
    <n v="90000"/>
    <n v="78951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7"/>
    <n v="1"/>
    <s v="182447.130"/>
    <s v="תשלומים מיוחדים                 "/>
    <m/>
    <m/>
    <n v="52000"/>
    <n v="56000"/>
    <n v="39548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7"/>
    <n v="1"/>
    <s v="182447.181"/>
    <s v="מיסים וביטוח לאומי              "/>
    <m/>
    <m/>
    <n v="104000"/>
    <n v="104000"/>
    <n v="85984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7"/>
    <n v="1"/>
    <s v="182447.182"/>
    <s v="קופות גמל והשתלמות              "/>
    <m/>
    <m/>
    <n v="108000"/>
    <n v="109000"/>
    <n v="8968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851"/>
    <s v="82447"/>
    <n v="1"/>
    <s v="182447.851"/>
    <s v="הפעלת המתנ ס - חב' מוסדות חינוך "/>
    <m/>
    <m/>
    <n v="545000"/>
    <n v="496000"/>
    <n v="523134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3"/>
    <s v="82447"/>
    <n v="1"/>
    <s v="182447.853"/>
    <s v="ספורט - חב' למוסדות חינוך       "/>
    <m/>
    <m/>
    <n v="55000"/>
    <n v="55000"/>
    <n v="5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6"/>
    <s v="82447"/>
    <n v="1"/>
    <s v="182447.856"/>
    <s v="הפעלת הספריות - חב' למוסדות חינו"/>
    <m/>
    <m/>
    <n v="65000"/>
    <n v="65000"/>
    <n v="6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857"/>
    <s v="82447"/>
    <n v="1"/>
    <s v="182447.857"/>
    <s v="טיפוח המדעים והספורט בשפירא-מוס "/>
    <m/>
    <m/>
    <n v="25000"/>
    <n v="25000"/>
    <n v="2500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7"/>
    <e v="#N/A"/>
  </r>
  <r>
    <n v="110"/>
    <s v="82448"/>
    <n v="1"/>
    <s v="182448.110"/>
    <s v="משכורת כוללת                    "/>
    <m/>
    <m/>
    <n v="396000"/>
    <n v="364000"/>
    <n v="0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8"/>
    <n v="1"/>
    <s v="182448.124"/>
    <s v="החזר הוצאות                     "/>
    <m/>
    <m/>
    <n v="20000"/>
    <n v="19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8"/>
    <n v="1"/>
    <s v="182448.126"/>
    <s v="הבראה                           "/>
    <m/>
    <m/>
    <n v="15000"/>
    <n v="13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8"/>
    <n v="1"/>
    <s v="182448.127"/>
    <s v="השתתפות באחזקת רכב-3            "/>
    <m/>
    <m/>
    <n v="73000"/>
    <n v="76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8"/>
    <n v="1"/>
    <s v="182448.130"/>
    <s v="תשלומים מיוחדים                 "/>
    <m/>
    <m/>
    <n v="11000"/>
    <n v="13000"/>
    <n v="0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8"/>
    <n v="1"/>
    <s v="182448.181"/>
    <s v="מיסים וביטוח לאומי              "/>
    <m/>
    <m/>
    <n v="70000"/>
    <n v="66000"/>
    <n v="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8"/>
    <n v="1"/>
    <s v="182448.182"/>
    <s v="קופות גמל והשתלמות              "/>
    <m/>
    <m/>
    <n v="92000"/>
    <n v="84000"/>
    <n v="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310"/>
    <s v="82448"/>
    <n v="1"/>
    <s v="182448.310"/>
    <s v="שעות נוספות רשומות              "/>
    <m/>
    <m/>
    <n v="18000"/>
    <n v="17000"/>
    <n v="0"/>
    <m/>
    <x v="7"/>
    <s v="שירותים ממלכתיים"/>
    <x v="34"/>
    <s v="תרבות"/>
    <x v="116"/>
    <s v="מתנ״סים"/>
    <s v="8244"/>
    <e v="#N/A"/>
    <m/>
    <s v="3"/>
    <x v="14"/>
    <s v="31"/>
    <s v="פנסיה"/>
    <s v="310"/>
    <e v="#N/A"/>
  </r>
  <r>
    <n v="851"/>
    <s v="82448"/>
    <n v="1"/>
    <s v="182448.851"/>
    <s v="הפעלת מרכז בת ציון - החב' למוסדו"/>
    <m/>
    <m/>
    <n v="1270000"/>
    <n v="962000"/>
    <n v="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853"/>
    <s v="82448"/>
    <n v="1"/>
    <s v="182448.853"/>
    <s v="ספורט - החב' למוסדות חינוך      "/>
    <m/>
    <m/>
    <n v="250000"/>
    <n v="183000"/>
    <n v="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3"/>
    <e v="#N/A"/>
  </r>
  <r>
    <n v="856"/>
    <s v="82448"/>
    <n v="1"/>
    <s v="182448.856"/>
    <s v="הפעלת הספרייה - החב' למוסדות חינ"/>
    <m/>
    <m/>
    <n v="260000"/>
    <n v="195000"/>
    <n v="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6"/>
    <e v="#N/A"/>
  </r>
  <r>
    <n v="110"/>
    <s v="82449"/>
    <n v="1"/>
    <s v="182449.110"/>
    <s v="משכורת כוללת                    "/>
    <m/>
    <m/>
    <n v="300000"/>
    <n v="224000"/>
    <n v="0"/>
    <m/>
    <x v="7"/>
    <s v="שירותים ממלכתיים"/>
    <x v="34"/>
    <s v="תרבות"/>
    <x v="116"/>
    <s v="מתנ״סים"/>
    <s v="8244"/>
    <e v="#N/A"/>
    <m/>
    <s v="1"/>
    <x v="9"/>
    <s v="11"/>
    <s v="השכר הקובע"/>
    <s v="110"/>
    <e v="#N/A"/>
  </r>
  <r>
    <n v="124"/>
    <s v="82449"/>
    <n v="1"/>
    <s v="182449.124"/>
    <s v="החזר הוצאות                     "/>
    <m/>
    <m/>
    <n v="14000"/>
    <n v="5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4"/>
    <e v="#N/A"/>
  </r>
  <r>
    <n v="126"/>
    <s v="82449"/>
    <n v="1"/>
    <s v="182449.126"/>
    <s v="הבראה                           "/>
    <m/>
    <m/>
    <n v="9000"/>
    <n v="5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6"/>
    <e v="#N/A"/>
  </r>
  <r>
    <n v="127"/>
    <s v="82449"/>
    <n v="1"/>
    <s v="182449.127"/>
    <s v="השתתפות באחזקת רכב - 1          "/>
    <m/>
    <m/>
    <n v="47000"/>
    <n v="34000"/>
    <n v="0"/>
    <m/>
    <x v="7"/>
    <s v="שירותים ממלכתיים"/>
    <x v="34"/>
    <s v="תרבות"/>
    <x v="116"/>
    <s v="מתנ״סים"/>
    <s v="8244"/>
    <e v="#N/A"/>
    <m/>
    <s v="1"/>
    <x v="9"/>
    <s v="12"/>
    <s v="תוספות שאינן נכללות בשכר הקובע"/>
    <s v="127"/>
    <e v="#N/A"/>
  </r>
  <r>
    <n v="130"/>
    <s v="82449"/>
    <n v="1"/>
    <s v="182449.130"/>
    <s v="תשלומים מיוחדים                 "/>
    <m/>
    <m/>
    <n v="4000"/>
    <n v="1000"/>
    <n v="0"/>
    <m/>
    <x v="7"/>
    <s v="שירותים ממלכתיים"/>
    <x v="34"/>
    <s v="תרבות"/>
    <x v="116"/>
    <s v="מתנ״סים"/>
    <s v="8244"/>
    <e v="#N/A"/>
    <m/>
    <s v="1"/>
    <x v="9"/>
    <s v="13"/>
    <s v="שעות נוספות"/>
    <s v="130"/>
    <e v="#N/A"/>
  </r>
  <r>
    <n v="181"/>
    <s v="82449"/>
    <n v="1"/>
    <s v="182449.181"/>
    <s v="מיסים וביטוח לאומי              "/>
    <m/>
    <m/>
    <n v="50000"/>
    <n v="35000"/>
    <n v="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1"/>
    <s v="הפרשות סוציאליות"/>
  </r>
  <r>
    <n v="182"/>
    <s v="82449"/>
    <n v="1"/>
    <s v="182449.182"/>
    <s v="קופות גמל והשתלמות              "/>
    <m/>
    <m/>
    <n v="67000"/>
    <n v="49000"/>
    <n v="0"/>
    <m/>
    <x v="7"/>
    <s v="שירותים ממלכתיים"/>
    <x v="34"/>
    <s v="תרבות"/>
    <x v="116"/>
    <s v="מתנ״סים"/>
    <s v="8244"/>
    <e v="#N/A"/>
    <m/>
    <s v="1"/>
    <x v="9"/>
    <s v="18"/>
    <s v="נלוות לשכר"/>
    <s v="182"/>
    <s v="מיסיום ועלויות"/>
  </r>
  <r>
    <n v="310"/>
    <s v="82449"/>
    <n v="1"/>
    <s v="182449.310"/>
    <s v="שעות נוספות רשומות              "/>
    <m/>
    <m/>
    <n v="6000"/>
    <n v="0"/>
    <n v="0"/>
    <m/>
    <x v="7"/>
    <s v="שירותים ממלכתיים"/>
    <x v="34"/>
    <s v="תרבות"/>
    <x v="116"/>
    <s v="מתנ״סים"/>
    <s v="8244"/>
    <e v="#N/A"/>
    <m/>
    <s v="3"/>
    <x v="14"/>
    <s v="31"/>
    <s v="פנסיה"/>
    <s v="310"/>
    <e v="#N/A"/>
  </r>
  <r>
    <n v="851"/>
    <s v="82449"/>
    <n v="1"/>
    <s v="182449.851"/>
    <s v="הפעלת מרכז הגר א - החב' למוסדות "/>
    <m/>
    <m/>
    <n v="607000"/>
    <n v="200000"/>
    <n v="0"/>
    <m/>
    <x v="7"/>
    <s v="שירותים ממלכתיים"/>
    <x v="34"/>
    <s v="תרבות"/>
    <x v="116"/>
    <s v="מתנ״סים"/>
    <s v="8244"/>
    <e v="#N/A"/>
    <m/>
    <s v="8"/>
    <x v="16"/>
    <s v="85"/>
    <s v="מלגות לתלמידים וסטודנטים"/>
    <s v="851"/>
    <e v="#N/A"/>
  </r>
  <r>
    <n v="110"/>
    <s v="82451"/>
    <n v="1"/>
    <s v="182451.110"/>
    <s v="משכורת כוללת                    "/>
    <m/>
    <m/>
    <n v="560000"/>
    <n v="528000"/>
    <n v="676415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1"/>
    <n v="1"/>
    <s v="182451.124"/>
    <s v="החזר הוצאות                     "/>
    <m/>
    <m/>
    <n v="38000"/>
    <n v="46000"/>
    <n v="39240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1"/>
    <n v="1"/>
    <s v="182451.126"/>
    <s v="הבראה                           "/>
    <m/>
    <m/>
    <n v="29000"/>
    <n v="33000"/>
    <n v="30977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1"/>
    <n v="1"/>
    <s v="182451.127"/>
    <s v="השתתפות באחזקת רכב- 5           "/>
    <m/>
    <m/>
    <n v="115000"/>
    <n v="138000"/>
    <n v="113575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1"/>
    <n v="1"/>
    <s v="182451.130"/>
    <s v="תשלומים מיוחדים                 "/>
    <m/>
    <m/>
    <n v="89000"/>
    <n v="104000"/>
    <n v="96821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1"/>
    <n v="1"/>
    <s v="182451.181"/>
    <s v="מיסים וביטוח לאומי              "/>
    <m/>
    <m/>
    <n v="109000"/>
    <n v="111000"/>
    <n v="103750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1"/>
    <n v="1"/>
    <s v="182451.182"/>
    <s v="קופות גמל והשתלמות              "/>
    <m/>
    <m/>
    <n v="93000"/>
    <n v="125000"/>
    <n v="105628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851"/>
    <s v="82451"/>
    <n v="1"/>
    <s v="182451.851"/>
    <s v="הפעלת המתנ ס - חב' למוסדות חינוך"/>
    <m/>
    <m/>
    <n v="639000"/>
    <n v="608000"/>
    <n v="699125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854"/>
    <s v="82451"/>
    <n v="1"/>
    <s v="182451.854"/>
    <s v="רכז ספורט - חב' למוסדות חינוך   "/>
    <m/>
    <m/>
    <n v="183000"/>
    <n v="158000"/>
    <n v="158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4"/>
    <e v="#N/A"/>
  </r>
  <r>
    <n v="856"/>
    <s v="82451"/>
    <n v="1"/>
    <s v="182451.856"/>
    <s v="הפעלת הספריות - חב' למוסדות חינו"/>
    <m/>
    <m/>
    <n v="30000"/>
    <n v="30000"/>
    <n v="30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6"/>
    <e v="#N/A"/>
  </r>
  <r>
    <n v="857"/>
    <s v="82451"/>
    <n v="1"/>
    <s v="182451.857"/>
    <s v="חוגי טבע ואמנות יפו ג' דרום-מוס "/>
    <m/>
    <m/>
    <n v="33000"/>
    <n v="33000"/>
    <n v="33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7"/>
    <e v="#N/A"/>
  </r>
  <r>
    <n v="851"/>
    <s v="82453"/>
    <n v="1"/>
    <s v="182453.851"/>
    <s v="הפעלת המתנ ס - חב' למוסדות חינוך"/>
    <m/>
    <m/>
    <n v="169000"/>
    <n v="69000"/>
    <n v="85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853"/>
    <s v="82453"/>
    <n v="1"/>
    <s v="182453.853"/>
    <s v="ספורט - חב' למוסדות חינוך       "/>
    <m/>
    <m/>
    <n v="382000"/>
    <n v="282000"/>
    <n v="282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3"/>
    <e v="#N/A"/>
  </r>
  <r>
    <n v="855"/>
    <s v="82453"/>
    <n v="1"/>
    <s v="182453.855"/>
    <s v="הפעלת הבריכה - חב' למוסדות חינוך"/>
    <m/>
    <m/>
    <n v="421000"/>
    <n v="371000"/>
    <n v="396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5"/>
    <e v="#N/A"/>
  </r>
  <r>
    <n v="110"/>
    <s v="82454"/>
    <n v="1"/>
    <s v="182454.110"/>
    <s v="משכורת כוללת                    "/>
    <m/>
    <m/>
    <n v="390000"/>
    <n v="390000"/>
    <n v="377236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4"/>
    <n v="1"/>
    <s v="182454.124"/>
    <s v="החזר הוצאות                     "/>
    <m/>
    <m/>
    <n v="19000"/>
    <n v="18000"/>
    <n v="18621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4"/>
    <n v="1"/>
    <s v="182454.126"/>
    <s v="הבראה                           "/>
    <m/>
    <m/>
    <n v="16000"/>
    <n v="16000"/>
    <n v="16226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4"/>
    <n v="1"/>
    <s v="182454.127"/>
    <s v="השתתפות באחזקת רכב-3            "/>
    <m/>
    <m/>
    <n v="93000"/>
    <n v="94000"/>
    <n v="89315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4"/>
    <n v="1"/>
    <s v="182454.130"/>
    <s v="תשלומים מיוחדים                 "/>
    <m/>
    <m/>
    <n v="13000"/>
    <n v="13000"/>
    <n v="12843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4"/>
    <n v="1"/>
    <s v="182454.181"/>
    <s v="מיסים וביטוח לאומי              "/>
    <m/>
    <m/>
    <n v="69000"/>
    <n v="69000"/>
    <n v="70403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4"/>
    <n v="1"/>
    <s v="182454.182"/>
    <s v="קופות גמל והשתלמות              "/>
    <m/>
    <m/>
    <n v="85000"/>
    <n v="88000"/>
    <n v="84555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851"/>
    <s v="82454"/>
    <n v="1"/>
    <s v="182454.851"/>
    <s v="הפעלת המתנ ס - חב' למוסדות חינוך"/>
    <m/>
    <m/>
    <n v="1064000"/>
    <n v="1066000"/>
    <n v="1111117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853"/>
    <s v="82454"/>
    <n v="1"/>
    <s v="182454.853"/>
    <s v="ספורט - חב' למוסדות חינוך       "/>
    <m/>
    <m/>
    <n v="219000"/>
    <n v="219000"/>
    <n v="219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3"/>
    <e v="#N/A"/>
  </r>
  <r>
    <n v="855"/>
    <s v="82454"/>
    <n v="1"/>
    <s v="182454.855"/>
    <s v="הפעלת הבריכה - חב' למוסדות חינוך"/>
    <m/>
    <m/>
    <n v="172000"/>
    <n v="172000"/>
    <n v="172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5"/>
    <e v="#N/A"/>
  </r>
  <r>
    <n v="856"/>
    <s v="82454"/>
    <n v="1"/>
    <s v="182454.856"/>
    <s v="הפעלת הספריה - חב' מוסדות חינוך "/>
    <m/>
    <m/>
    <n v="178000"/>
    <n v="178000"/>
    <n v="178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6"/>
    <e v="#N/A"/>
  </r>
  <r>
    <n v="857"/>
    <s v="82454"/>
    <n v="1"/>
    <s v="182454.857"/>
    <s v="מועדון קשישים-חב' מוס ח         "/>
    <m/>
    <m/>
    <n v="175000"/>
    <n v="145000"/>
    <n v="145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7"/>
    <e v="#N/A"/>
  </r>
  <r>
    <n v="110"/>
    <s v="82455"/>
    <n v="1"/>
    <s v="182455.110"/>
    <s v="משכורת כוללת                    "/>
    <m/>
    <m/>
    <n v="532000"/>
    <n v="381000"/>
    <n v="439435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5"/>
    <n v="1"/>
    <s v="182455.124"/>
    <s v="החזר הוצאות                     "/>
    <m/>
    <m/>
    <n v="30000"/>
    <n v="22000"/>
    <n v="21655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5"/>
    <n v="1"/>
    <s v="182455.126"/>
    <s v="הבראה                           "/>
    <m/>
    <m/>
    <n v="25000"/>
    <n v="18000"/>
    <n v="18147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5"/>
    <n v="1"/>
    <s v="182455.127"/>
    <s v="השתתפות באחזקת רכב - 3          "/>
    <m/>
    <m/>
    <n v="98000"/>
    <n v="93000"/>
    <n v="93025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5"/>
    <n v="1"/>
    <s v="182455.130"/>
    <s v="תשלומים מיוחדים                 "/>
    <m/>
    <m/>
    <n v="50000"/>
    <n v="32000"/>
    <n v="27893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5"/>
    <n v="1"/>
    <s v="182455.181"/>
    <s v="מיסים וביטוח לאומי              "/>
    <m/>
    <m/>
    <n v="96000"/>
    <n v="71000"/>
    <n v="79664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5"/>
    <n v="1"/>
    <s v="182455.182"/>
    <s v="קופות גמל והשתלמות              "/>
    <m/>
    <m/>
    <n v="69000"/>
    <n v="61000"/>
    <n v="48487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851"/>
    <s v="82455"/>
    <n v="1"/>
    <s v="182455.851"/>
    <s v="הפעלת המתנ ס - חב' למוסדות חינוך"/>
    <m/>
    <m/>
    <n v="1571000"/>
    <n v="1032000"/>
    <n v="1118523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852"/>
    <s v="82455"/>
    <n v="1"/>
    <s v="182455.852"/>
    <s v="הפעלת מרכז המוסיקה - חב' למוסדות"/>
    <m/>
    <m/>
    <n v="65000"/>
    <n v="65000"/>
    <n v="65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2"/>
    <e v="#N/A"/>
  </r>
  <r>
    <n v="853"/>
    <s v="82455"/>
    <n v="1"/>
    <s v="182455.853"/>
    <s v="ספורט אחווה - חב למוסדות חינוך  "/>
    <m/>
    <m/>
    <n v="306000"/>
    <n v="306000"/>
    <n v="331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3"/>
    <e v="#N/A"/>
  </r>
  <r>
    <n v="854"/>
    <s v="82455"/>
    <n v="1"/>
    <s v="182455.854"/>
    <s v="פרויקט דו קיום ערבי-יהודי-מוס ח "/>
    <m/>
    <m/>
    <n v="381000"/>
    <n v="381000"/>
    <n v="381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4"/>
    <e v="#N/A"/>
  </r>
  <r>
    <n v="110"/>
    <s v="82456"/>
    <n v="1"/>
    <s v="182456.110"/>
    <s v="משכורת כוללת                    "/>
    <m/>
    <m/>
    <n v="497000"/>
    <n v="547000"/>
    <n v="495810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6"/>
    <n v="1"/>
    <s v="182456.124"/>
    <s v="החזר הוצאות                     "/>
    <m/>
    <m/>
    <n v="27000"/>
    <n v="28000"/>
    <n v="26477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6"/>
    <n v="1"/>
    <s v="182456.126"/>
    <s v="הבראה                           "/>
    <m/>
    <m/>
    <n v="30000"/>
    <n v="27000"/>
    <n v="25620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6"/>
    <n v="1"/>
    <s v="182456.127"/>
    <s v="השתתפות באחזקת רכב - 4          "/>
    <m/>
    <m/>
    <n v="96000"/>
    <n v="98000"/>
    <n v="92518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6"/>
    <n v="1"/>
    <s v="182456.130"/>
    <s v="תשלומים מיוחדים                 "/>
    <m/>
    <m/>
    <n v="86000"/>
    <n v="78000"/>
    <n v="74877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6"/>
    <n v="1"/>
    <s v="182456.181"/>
    <s v="מיסים וביטוח לאומי              "/>
    <m/>
    <m/>
    <n v="96000"/>
    <n v="102000"/>
    <n v="95465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6"/>
    <n v="1"/>
    <s v="182456.182"/>
    <s v="קופות גמל והשתלמות              "/>
    <m/>
    <m/>
    <n v="86000"/>
    <n v="94000"/>
    <n v="83326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851"/>
    <s v="82456"/>
    <n v="1"/>
    <s v="182456.851"/>
    <s v="הפעלת בית צ'רנר - חב' למוסדות חי"/>
    <m/>
    <m/>
    <n v="522000"/>
    <n v="274000"/>
    <n v="343025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110"/>
    <s v="82457"/>
    <n v="1"/>
    <s v="182457.110"/>
    <s v="משכורת כוללת                    "/>
    <m/>
    <m/>
    <n v="452000"/>
    <n v="512000"/>
    <n v="494553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7"/>
    <n v="1"/>
    <s v="182457.124"/>
    <s v="החזר הוצאות                     "/>
    <m/>
    <m/>
    <n v="25000"/>
    <n v="30000"/>
    <n v="21862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7"/>
    <n v="1"/>
    <s v="182457.126"/>
    <s v="הבראה                           "/>
    <m/>
    <m/>
    <n v="20000"/>
    <n v="27000"/>
    <n v="16817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7"/>
    <n v="1"/>
    <s v="182457.127"/>
    <s v="השתתפות באחזקת רכב - 4          "/>
    <m/>
    <m/>
    <n v="74000"/>
    <n v="96000"/>
    <n v="76533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7"/>
    <n v="1"/>
    <s v="182457.130"/>
    <s v="תשלומים מיוחדים                 "/>
    <m/>
    <m/>
    <n v="18000"/>
    <n v="25000"/>
    <n v="15782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7"/>
    <n v="1"/>
    <s v="182457.181"/>
    <s v="מיסים וביטוח לאומי              "/>
    <m/>
    <m/>
    <n v="77000"/>
    <n v="90000"/>
    <n v="60434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7"/>
    <n v="1"/>
    <s v="182457.182"/>
    <s v="קופות גמל והשתלמות              "/>
    <m/>
    <m/>
    <n v="77000"/>
    <n v="85000"/>
    <n v="46864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851"/>
    <s v="82457"/>
    <n v="1"/>
    <s v="182457.851"/>
    <s v="הפעלת המתנ ס - חב' למוסדות חינוך"/>
    <m/>
    <m/>
    <n v="1234000"/>
    <n v="1136000"/>
    <n v="128114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852"/>
    <s v="82457"/>
    <n v="1"/>
    <s v="182457.852"/>
    <s v="הפעלת מרכז המוסיקה - חב' למוסדות"/>
    <m/>
    <m/>
    <n v="40000"/>
    <n v="40000"/>
    <n v="40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2"/>
    <e v="#N/A"/>
  </r>
  <r>
    <n v="853"/>
    <s v="82457"/>
    <n v="1"/>
    <s v="182457.853"/>
    <s v="ספורט - חב' למוסדות חינוך       "/>
    <m/>
    <m/>
    <n v="304000"/>
    <n v="304000"/>
    <n v="314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3"/>
    <e v="#N/A"/>
  </r>
  <r>
    <n v="856"/>
    <s v="82457"/>
    <n v="1"/>
    <s v="182457.856"/>
    <s v="הפעלת הספריות - חב' למוסדות חינו"/>
    <m/>
    <m/>
    <n v="69000"/>
    <n v="69000"/>
    <n v="6900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6"/>
    <e v="#N/A"/>
  </r>
  <r>
    <n v="110"/>
    <s v="82458"/>
    <n v="1"/>
    <s v="182458.110"/>
    <s v="משכורת כוללת                    "/>
    <m/>
    <m/>
    <n v="402000"/>
    <n v="394000"/>
    <n v="0"/>
    <m/>
    <x v="7"/>
    <s v="שירותים ממלכתיים"/>
    <x v="34"/>
    <s v="תרבות"/>
    <x v="116"/>
    <s v="מתנ״סים"/>
    <s v="8245"/>
    <e v="#N/A"/>
    <m/>
    <s v="1"/>
    <x v="9"/>
    <s v="11"/>
    <s v="השכר הקובע"/>
    <s v="110"/>
    <e v="#N/A"/>
  </r>
  <r>
    <n v="124"/>
    <s v="82458"/>
    <n v="1"/>
    <s v="182458.124"/>
    <s v="החזר הוצאות                     "/>
    <m/>
    <m/>
    <n v="20000"/>
    <n v="20000"/>
    <n v="0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4"/>
    <e v="#N/A"/>
  </r>
  <r>
    <n v="126"/>
    <s v="82458"/>
    <n v="1"/>
    <s v="182458.126"/>
    <s v="הבראה                           "/>
    <m/>
    <m/>
    <n v="14000"/>
    <n v="14000"/>
    <n v="0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6"/>
    <e v="#N/A"/>
  </r>
  <r>
    <n v="127"/>
    <s v="82458"/>
    <n v="1"/>
    <s v="182458.127"/>
    <s v="השתתפות באחזקת רכב - 3          "/>
    <m/>
    <m/>
    <n v="74000"/>
    <n v="73000"/>
    <n v="0"/>
    <m/>
    <x v="7"/>
    <s v="שירותים ממלכתיים"/>
    <x v="34"/>
    <s v="תרבות"/>
    <x v="116"/>
    <s v="מתנ״סים"/>
    <s v="8245"/>
    <e v="#N/A"/>
    <m/>
    <s v="1"/>
    <x v="9"/>
    <s v="12"/>
    <s v="תוספות שאינן נכללות בשכר הקובע"/>
    <s v="127"/>
    <e v="#N/A"/>
  </r>
  <r>
    <n v="130"/>
    <s v="82458"/>
    <n v="1"/>
    <s v="182458.130"/>
    <s v="תשלומים מיוחדים                 "/>
    <m/>
    <m/>
    <n v="11000"/>
    <n v="11000"/>
    <n v="0"/>
    <m/>
    <x v="7"/>
    <s v="שירותים ממלכתיים"/>
    <x v="34"/>
    <s v="תרבות"/>
    <x v="116"/>
    <s v="מתנ״סים"/>
    <s v="8245"/>
    <e v="#N/A"/>
    <m/>
    <s v="1"/>
    <x v="9"/>
    <s v="13"/>
    <s v="שעות נוספות"/>
    <s v="130"/>
    <e v="#N/A"/>
  </r>
  <r>
    <n v="181"/>
    <s v="82458"/>
    <n v="1"/>
    <s v="182458.181"/>
    <s v="מיסים וביטוח לאומי              "/>
    <m/>
    <m/>
    <n v="71000"/>
    <n v="69000"/>
    <n v="0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1"/>
    <s v="הפרשות סוציאליות"/>
  </r>
  <r>
    <n v="182"/>
    <s v="82458"/>
    <n v="1"/>
    <s v="182458.182"/>
    <s v="קופות גמל והשתלמות              "/>
    <m/>
    <m/>
    <n v="95000"/>
    <n v="92000"/>
    <n v="0"/>
    <m/>
    <x v="7"/>
    <s v="שירותים ממלכתיים"/>
    <x v="34"/>
    <s v="תרבות"/>
    <x v="116"/>
    <s v="מתנ״סים"/>
    <s v="8245"/>
    <e v="#N/A"/>
    <m/>
    <s v="1"/>
    <x v="9"/>
    <s v="18"/>
    <s v="נלוות לשכר"/>
    <s v="182"/>
    <s v="מיסיום ועלויות"/>
  </r>
  <r>
    <n v="310"/>
    <s v="82458"/>
    <n v="1"/>
    <s v="182458.310"/>
    <s v="שעות נוספות רשומות              "/>
    <m/>
    <m/>
    <n v="18000"/>
    <n v="18000"/>
    <n v="0"/>
    <m/>
    <x v="7"/>
    <s v="שירותים ממלכתיים"/>
    <x v="34"/>
    <s v="תרבות"/>
    <x v="116"/>
    <s v="מתנ״סים"/>
    <s v="8245"/>
    <e v="#N/A"/>
    <m/>
    <s v="3"/>
    <x v="14"/>
    <s v="31"/>
    <s v="פנסיה"/>
    <s v="310"/>
    <e v="#N/A"/>
  </r>
  <r>
    <n v="851"/>
    <s v="82458"/>
    <n v="1"/>
    <s v="182458.851"/>
    <s v="הפעלת המתנ ס - החב' למוסדות חינו"/>
    <m/>
    <m/>
    <n v="613000"/>
    <n v="400000"/>
    <n v="0"/>
    <m/>
    <x v="7"/>
    <s v="שירותים ממלכתיים"/>
    <x v="34"/>
    <s v="תרבות"/>
    <x v="116"/>
    <s v="מתנ״סים"/>
    <s v="8245"/>
    <e v="#N/A"/>
    <m/>
    <s v="8"/>
    <x v="16"/>
    <s v="85"/>
    <s v="מלגות לתלמידים וסטודנטים"/>
    <s v="851"/>
    <e v="#N/A"/>
  </r>
  <r>
    <n v="110"/>
    <s v="82510"/>
    <n v="1"/>
    <s v="182510.110"/>
    <s v="משכורת כוללת                    "/>
    <m/>
    <m/>
    <n v="480000"/>
    <n v="528000"/>
    <n v="509739"/>
    <m/>
    <x v="7"/>
    <s v="שירותים ממלכתיים"/>
    <x v="34"/>
    <s v="תרבות"/>
    <x v="117"/>
    <s v="מוסיקה ומחול"/>
    <s v="8251"/>
    <s v="קונסרבטוריון"/>
    <m/>
    <s v="1"/>
    <x v="9"/>
    <s v="11"/>
    <s v="השכר הקובע"/>
    <s v="110"/>
    <e v="#N/A"/>
  </r>
  <r>
    <n v="124"/>
    <s v="82510"/>
    <n v="1"/>
    <s v="182510.124"/>
    <s v="החזר הוצאות                     "/>
    <m/>
    <m/>
    <n v="20000"/>
    <n v="29000"/>
    <n v="28937"/>
    <m/>
    <x v="7"/>
    <s v="שירותים ממלכתיים"/>
    <x v="34"/>
    <s v="תרבות"/>
    <x v="117"/>
    <s v="מוסיקה ומחול"/>
    <s v="8251"/>
    <s v="קונסרבטוריון"/>
    <m/>
    <s v="1"/>
    <x v="9"/>
    <s v="12"/>
    <s v="תוספות שאינן נכללות בשכר הקובע"/>
    <s v="124"/>
    <e v="#N/A"/>
  </r>
  <r>
    <n v="126"/>
    <s v="82510"/>
    <n v="1"/>
    <s v="182510.126"/>
    <s v="הבראה                           "/>
    <m/>
    <m/>
    <n v="15000"/>
    <n v="19000"/>
    <n v="18788"/>
    <m/>
    <x v="7"/>
    <s v="שירותים ממלכתיים"/>
    <x v="34"/>
    <s v="תרבות"/>
    <x v="117"/>
    <s v="מוסיקה ומחול"/>
    <s v="8251"/>
    <s v="קונסרבטוריון"/>
    <m/>
    <s v="1"/>
    <x v="9"/>
    <s v="12"/>
    <s v="תוספות שאינן נכללות בשכר הקובע"/>
    <s v="126"/>
    <e v="#N/A"/>
  </r>
  <r>
    <n v="127"/>
    <s v="82510"/>
    <n v="1"/>
    <s v="182510.127"/>
    <s v="השתתפות באחזקת רכב - 3          "/>
    <m/>
    <m/>
    <n v="63000"/>
    <n v="83000"/>
    <n v="89755"/>
    <m/>
    <x v="7"/>
    <s v="שירותים ממלכתיים"/>
    <x v="34"/>
    <s v="תרבות"/>
    <x v="117"/>
    <s v="מוסיקה ומחול"/>
    <s v="8251"/>
    <s v="קונסרבטוריון"/>
    <m/>
    <s v="1"/>
    <x v="9"/>
    <s v="12"/>
    <s v="תוספות שאינן נכללות בשכר הקובע"/>
    <s v="127"/>
    <e v="#N/A"/>
  </r>
  <r>
    <n v="130"/>
    <s v="82510"/>
    <n v="1"/>
    <s v="182510.130"/>
    <s v="תשלומים מיוחדים                 "/>
    <m/>
    <m/>
    <n v="33000"/>
    <n v="46000"/>
    <n v="48056"/>
    <m/>
    <x v="7"/>
    <s v="שירותים ממלכתיים"/>
    <x v="34"/>
    <s v="תרבות"/>
    <x v="117"/>
    <s v="מוסיקה ומחול"/>
    <s v="8251"/>
    <s v="קונסרבטוריון"/>
    <m/>
    <s v="1"/>
    <x v="9"/>
    <s v="13"/>
    <s v="שעות נוספות"/>
    <s v="130"/>
    <e v="#N/A"/>
  </r>
  <r>
    <n v="181"/>
    <s v="82510"/>
    <n v="1"/>
    <s v="182510.181"/>
    <s v="מיסים וביטוח לאומי              "/>
    <m/>
    <m/>
    <n v="84000"/>
    <n v="95000"/>
    <n v="89140"/>
    <m/>
    <x v="7"/>
    <s v="שירותים ממלכתיים"/>
    <x v="34"/>
    <s v="תרבות"/>
    <x v="117"/>
    <s v="מוסיקה ומחול"/>
    <s v="8251"/>
    <s v="קונסרבטוריון"/>
    <m/>
    <s v="1"/>
    <x v="9"/>
    <s v="18"/>
    <s v="נלוות לשכר"/>
    <s v="181"/>
    <s v="הפרשות סוציאליות"/>
  </r>
  <r>
    <n v="182"/>
    <s v="82510"/>
    <n v="1"/>
    <s v="182510.182"/>
    <s v="קופות גמל והשתלמות              "/>
    <m/>
    <m/>
    <n v="81000"/>
    <n v="89000"/>
    <n v="86405"/>
    <m/>
    <x v="7"/>
    <s v="שירותים ממלכתיים"/>
    <x v="34"/>
    <s v="תרבות"/>
    <x v="117"/>
    <s v="מוסיקה ומחול"/>
    <s v="8251"/>
    <s v="קונסרבטוריון"/>
    <m/>
    <s v="1"/>
    <x v="9"/>
    <s v="18"/>
    <s v="נלוות לשכר"/>
    <s v="182"/>
    <s v="מיסיום ועלויות"/>
  </r>
  <r>
    <n v="310"/>
    <s v="82510"/>
    <n v="1"/>
    <s v="182510.310"/>
    <s v="שעות נוספות רשומות              "/>
    <m/>
    <m/>
    <n v="31000"/>
    <n v="30000"/>
    <n v="100576"/>
    <m/>
    <x v="7"/>
    <s v="שירותים ממלכתיים"/>
    <x v="34"/>
    <s v="תרבות"/>
    <x v="117"/>
    <s v="מוסיקה ומחול"/>
    <s v="8251"/>
    <s v="קונסרבטוריון"/>
    <m/>
    <s v="3"/>
    <x v="14"/>
    <s v="31"/>
    <s v="פנסיה"/>
    <s v="310"/>
    <e v="#N/A"/>
  </r>
  <r>
    <n v="433"/>
    <s v="82510"/>
    <n v="1"/>
    <s v="182510.433"/>
    <s v="ביטוח                           "/>
    <m/>
    <m/>
    <n v="9000"/>
    <n v="12000"/>
    <n v="13000"/>
    <m/>
    <x v="7"/>
    <s v="שירותים ממלכתיים"/>
    <x v="34"/>
    <s v="תרבות"/>
    <x v="117"/>
    <s v="מוסיקה ומחול"/>
    <s v="8251"/>
    <s v="קונסרבטוריון"/>
    <m/>
    <s v="4"/>
    <x v="15"/>
    <s v="43"/>
    <s v="חשמל, מים וחומרי ניקיון"/>
    <s v="433"/>
    <s v="חומרי ניקיון"/>
  </r>
  <r>
    <n v="461"/>
    <s v="82510"/>
    <n v="1"/>
    <s v="182510.461"/>
    <s v="צורכי משרד                      "/>
    <m/>
    <m/>
    <n v="5000"/>
    <n v="5000"/>
    <n v="3316"/>
    <m/>
    <x v="7"/>
    <s v="שירותים ממלכתיים"/>
    <x v="34"/>
    <s v="תרבות"/>
    <x v="117"/>
    <s v="מוסיקה ומחול"/>
    <s v="8251"/>
    <s v="קונסרבטוריון"/>
    <m/>
    <s v="4"/>
    <x v="15"/>
    <s v="46"/>
    <e v="#N/A"/>
    <s v="461"/>
    <e v="#N/A"/>
  </r>
  <r>
    <n v="610"/>
    <s v="82510"/>
    <n v="1"/>
    <s v="182510.610"/>
    <s v="כיבודים                         "/>
    <m/>
    <m/>
    <n v="4000"/>
    <n v="4000"/>
    <n v="3597"/>
    <m/>
    <x v="7"/>
    <s v="שירותים ממלכתיים"/>
    <x v="34"/>
    <s v="תרבות"/>
    <x v="117"/>
    <s v="מוסיקה ומחול"/>
    <s v="8251"/>
    <s v="קונסרבטוריון"/>
    <m/>
    <s v="6"/>
    <x v="12"/>
    <s v="61"/>
    <s v="עמלות"/>
    <s v="610"/>
    <e v="#N/A"/>
  </r>
  <r>
    <n v="670"/>
    <s v="82510"/>
    <n v="1"/>
    <s v="182510.670"/>
    <s v="סעיף שאינו חוזר                 "/>
    <m/>
    <m/>
    <n v="0"/>
    <n v="7000"/>
    <n v="249965"/>
    <m/>
    <x v="7"/>
    <s v="שירותים ממלכתיים"/>
    <x v="34"/>
    <s v="תרבות"/>
    <x v="117"/>
    <s v="מוסיקה ומחול"/>
    <s v="8251"/>
    <s v="קונסרבטוריון"/>
    <m/>
    <s v="6"/>
    <x v="12"/>
    <s v="67"/>
    <e v="#N/A"/>
    <s v="670"/>
    <e v="#N/A"/>
  </r>
  <r>
    <n v="751"/>
    <s v="82510"/>
    <n v="1"/>
    <s v="182510.751"/>
    <s v="יעוץ ופעילות אמנותית            "/>
    <m/>
    <m/>
    <n v="110000"/>
    <n v="110000"/>
    <n v="109932"/>
    <m/>
    <x v="7"/>
    <s v="שירותים ממלכתיים"/>
    <x v="34"/>
    <s v="תרבות"/>
    <x v="117"/>
    <s v="מוסיקה ומחול"/>
    <s v="8251"/>
    <s v="קונסרבטוריון"/>
    <m/>
    <s v="7"/>
    <x v="13"/>
    <s v="75"/>
    <s v="עבודות קבלניות"/>
    <s v="751"/>
    <e v="#N/A"/>
  </r>
  <r>
    <n v="781"/>
    <s v="82510"/>
    <n v="1"/>
    <s v="182510.781"/>
    <s v="הוצאות שונות                    "/>
    <m/>
    <m/>
    <n v="18000"/>
    <n v="16000"/>
    <n v="15963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1"/>
    <e v="#N/A"/>
  </r>
  <r>
    <n v="783"/>
    <s v="82510"/>
    <n v="1"/>
    <s v="182510.783"/>
    <s v="פרסי העיריה                     "/>
    <m/>
    <m/>
    <n v="290000"/>
    <n v="270000"/>
    <n v="295000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3"/>
    <e v="#N/A"/>
  </r>
  <r>
    <n v="784"/>
    <s v="82510"/>
    <n v="1"/>
    <s v="182510.784"/>
    <s v="טקסי חלוקת פרסים                "/>
    <m/>
    <m/>
    <n v="120000"/>
    <n v="120000"/>
    <n v="148215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4"/>
    <e v="#N/A"/>
  </r>
  <r>
    <n v="785"/>
    <s v="82510"/>
    <n v="1"/>
    <s v="182510.785"/>
    <s v="פרויקט להנצחת אמנים             "/>
    <m/>
    <m/>
    <n v="136000"/>
    <n v="136000"/>
    <n v="130063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5"/>
    <e v="#N/A"/>
  </r>
  <r>
    <n v="786"/>
    <s v="82510"/>
    <n v="1"/>
    <s v="182510.786"/>
    <s v="ספר לכיתה א'                    "/>
    <m/>
    <m/>
    <n v="100000"/>
    <n v="0"/>
    <n v="0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6"/>
    <e v="#N/A"/>
  </r>
  <r>
    <n v="788"/>
    <s v="82510"/>
    <n v="1"/>
    <s v="182510.788"/>
    <s v="פרס רה ע ליוצר-פסטיבל דוקאביב   "/>
    <m/>
    <m/>
    <n v="30000"/>
    <n v="30000"/>
    <n v="30000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8"/>
    <e v="#N/A"/>
  </r>
  <r>
    <n v="789"/>
    <s v="82510"/>
    <n v="1"/>
    <s v="182510.789"/>
    <s v="ספר לטף                         "/>
    <m/>
    <m/>
    <n v="100000"/>
    <n v="0"/>
    <n v="0"/>
    <m/>
    <x v="7"/>
    <s v="שירותים ממלכתיים"/>
    <x v="34"/>
    <s v="תרבות"/>
    <x v="117"/>
    <s v="מוסיקה ומחול"/>
    <s v="8251"/>
    <s v="קונסרבטוריון"/>
    <m/>
    <s v="7"/>
    <x v="13"/>
    <s v="78"/>
    <s v="הוצאות שונות"/>
    <s v="789"/>
    <e v="#N/A"/>
  </r>
  <r>
    <n v="811"/>
    <s v="82510"/>
    <n v="1"/>
    <s v="182510.811"/>
    <s v="תמיכה חד פעמית-מוסדות אמנות ותרב"/>
    <m/>
    <m/>
    <n v="1630000"/>
    <n v="1630000"/>
    <n v="3023097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1"/>
    <e v="#N/A"/>
  </r>
  <r>
    <n v="812"/>
    <s v="82510"/>
    <n v="1"/>
    <s v="182510.812"/>
    <s v="תמיכות - בתי ס לאמנות           "/>
    <m/>
    <m/>
    <n v="655000"/>
    <n v="735000"/>
    <n v="615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2"/>
    <e v="#N/A"/>
  </r>
  <r>
    <n v="813"/>
    <s v="82510"/>
    <n v="1"/>
    <s v="182510.813"/>
    <s v="תמיכות -תחרויות ופסטיבלים       "/>
    <m/>
    <m/>
    <n v="130000"/>
    <n v="130000"/>
    <n v="130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3"/>
    <e v="#N/A"/>
  </r>
  <r>
    <n v="814"/>
    <s v="82510"/>
    <n v="1"/>
    <s v="182510.814"/>
    <s v="תמיכות-מחול                     "/>
    <m/>
    <m/>
    <n v="1570000"/>
    <n v="1570000"/>
    <n v="1607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4"/>
    <e v="#N/A"/>
  </r>
  <r>
    <n v="815"/>
    <s v="82510"/>
    <n v="1"/>
    <s v="182510.815"/>
    <s v="תמיכות-ספרות ושירה              "/>
    <m/>
    <m/>
    <n v="150000"/>
    <n v="150000"/>
    <n v="150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5"/>
    <e v="#N/A"/>
  </r>
  <r>
    <n v="816"/>
    <s v="82510"/>
    <n v="1"/>
    <s v="182510.816"/>
    <s v="תמיכות-מתחמי תרבות עירוניים     "/>
    <m/>
    <m/>
    <n v="1540000"/>
    <n v="1540000"/>
    <n v="1782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6"/>
    <e v="#N/A"/>
  </r>
  <r>
    <n v="817"/>
    <s v="82510"/>
    <n v="1"/>
    <s v="182510.817"/>
    <s v="תמיכות-מרכזי תרבות              "/>
    <m/>
    <m/>
    <n v="1110000"/>
    <n v="1110000"/>
    <n v="1088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7"/>
    <e v="#N/A"/>
  </r>
  <r>
    <n v="818"/>
    <s v="82510"/>
    <n v="1"/>
    <s v="182510.818"/>
    <s v="תמיכות-איגודי אמנים             "/>
    <m/>
    <m/>
    <n v="75000"/>
    <n v="75000"/>
    <n v="75000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8"/>
    <e v="#N/A"/>
  </r>
  <r>
    <n v="819"/>
    <s v="82510"/>
    <n v="1"/>
    <s v="182510.819"/>
    <s v="תמיכות לכיסוי מיסים-מוסדות אמנות"/>
    <m/>
    <m/>
    <n v="5773000"/>
    <n v="5773000"/>
    <n v="4353596"/>
    <m/>
    <x v="7"/>
    <s v="שירותים ממלכתיים"/>
    <x v="34"/>
    <s v="תרבות"/>
    <x v="117"/>
    <s v="מוסיקה ומחול"/>
    <s v="8251"/>
    <s v="קונסרבטוריון"/>
    <m/>
    <s v="8"/>
    <x v="16"/>
    <s v="81"/>
    <s v="השתתפויות ותרומות למוסדות עפ&quot;י חוק והסכמים"/>
    <s v="819"/>
    <e v="#N/A"/>
  </r>
  <r>
    <n v="932"/>
    <s v="82510"/>
    <n v="1"/>
    <s v="182510.932"/>
    <s v="ציוד וריהוט משרדי               "/>
    <m/>
    <m/>
    <n v="3000"/>
    <n v="3000"/>
    <n v="505"/>
    <m/>
    <x v="7"/>
    <s v="שירותים ממלכתיים"/>
    <x v="34"/>
    <s v="תרבות"/>
    <x v="117"/>
    <s v="מוסיקה ומחול"/>
    <s v="8251"/>
    <s v="קונסרבטוריון"/>
    <m/>
    <s v="9"/>
    <x v="17"/>
    <s v="93"/>
    <s v="רכישת ציוד יסודי"/>
    <s v="932"/>
    <e v="#N/A"/>
  </r>
  <r>
    <n v="841"/>
    <s v="82520"/>
    <n v="1"/>
    <s v="182520.841"/>
    <s v="מוזיאון ארץ ישראל               "/>
    <m/>
    <m/>
    <n v="13260000"/>
    <n v="12860000"/>
    <n v="14610000"/>
    <m/>
    <x v="7"/>
    <s v="שירותים ממלכתיים"/>
    <x v="34"/>
    <s v="תרבות"/>
    <x v="117"/>
    <s v="מוסיקה ומחול"/>
    <s v="8252"/>
    <s v="תזמורת עירונית"/>
    <m/>
    <s v="8"/>
    <x v="16"/>
    <s v="84"/>
    <s v="תמיכות רווחה"/>
    <s v="841"/>
    <e v="#N/A"/>
  </r>
  <r>
    <n v="842"/>
    <s v="82520"/>
    <n v="1"/>
    <s v="182520.842"/>
    <s v="מוזיאון ארץ ישראל-שיפוץ והצטידות"/>
    <m/>
    <m/>
    <n v="1000000"/>
    <n v="1000000"/>
    <n v="1000000"/>
    <m/>
    <x v="7"/>
    <s v="שירותים ממלכתיים"/>
    <x v="34"/>
    <s v="תרבות"/>
    <x v="117"/>
    <s v="מוסיקה ומחול"/>
    <s v="8252"/>
    <s v="תזמורת עירונית"/>
    <m/>
    <s v="8"/>
    <x v="16"/>
    <s v="84"/>
    <s v="תמיכות רווחה"/>
    <s v="842"/>
    <e v="#N/A"/>
  </r>
  <r>
    <n v="843"/>
    <s v="82520"/>
    <n v="1"/>
    <s v="182520.843"/>
    <s v="מוזיאון ת א לאמנות              "/>
    <m/>
    <m/>
    <n v="34000000"/>
    <n v="35000000"/>
    <n v="34072000"/>
    <m/>
    <x v="7"/>
    <s v="שירותים ממלכתיים"/>
    <x v="34"/>
    <s v="תרבות"/>
    <x v="117"/>
    <s v="מוסיקה ומחול"/>
    <s v="8252"/>
    <s v="תזמורת עירונית"/>
    <m/>
    <s v="8"/>
    <x v="16"/>
    <s v="84"/>
    <s v="תמיכות רווחה"/>
    <s v="843"/>
    <e v="#N/A"/>
  </r>
  <r>
    <n v="844"/>
    <s v="82520"/>
    <n v="1"/>
    <s v="182520.844"/>
    <s v="מוזיאון ת א לאמנות-שיפוץ והצטידו"/>
    <m/>
    <m/>
    <n v="3000000"/>
    <n v="3000000"/>
    <n v="3000000"/>
    <m/>
    <x v="7"/>
    <s v="שירותים ממלכתיים"/>
    <x v="34"/>
    <s v="תרבות"/>
    <x v="117"/>
    <s v="מוסיקה ומחול"/>
    <s v="8252"/>
    <s v="תזמורת עירונית"/>
    <m/>
    <s v="8"/>
    <x v="16"/>
    <s v="84"/>
    <s v="תמיכות רווחה"/>
    <s v="844"/>
    <e v="#N/A"/>
  </r>
  <r>
    <n v="670"/>
    <s v="82530"/>
    <n v="1"/>
    <s v="182530.670"/>
    <s v="סעיף שאינו חוזר                 "/>
    <m/>
    <m/>
    <n v="0"/>
    <n v="0"/>
    <n v="30000"/>
    <m/>
    <x v="7"/>
    <s v="שירותים ממלכתיים"/>
    <x v="34"/>
    <s v="תרבות"/>
    <x v="117"/>
    <s v="מוסיקה ומחול"/>
    <s v="8253"/>
    <e v="#N/A"/>
    <m/>
    <s v="6"/>
    <x v="12"/>
    <s v="67"/>
    <e v="#N/A"/>
    <s v="670"/>
    <e v="#N/A"/>
  </r>
  <r>
    <n v="781"/>
    <s v="82530"/>
    <n v="1"/>
    <s v="182530.781"/>
    <s v="אמנות נסיונית )פרינג'(          "/>
    <m/>
    <m/>
    <n v="520000"/>
    <n v="520000"/>
    <n v="520000"/>
    <m/>
    <x v="7"/>
    <s v="שירותים ממלכתיים"/>
    <x v="34"/>
    <s v="תרבות"/>
    <x v="117"/>
    <s v="מוסיקה ומחול"/>
    <s v="8253"/>
    <e v="#N/A"/>
    <m/>
    <s v="7"/>
    <x v="13"/>
    <s v="78"/>
    <s v="הוצאות שונות"/>
    <s v="781"/>
    <e v="#N/A"/>
  </r>
  <r>
    <n v="811"/>
    <s v="82530"/>
    <n v="1"/>
    <s v="182530.811"/>
    <s v="תמיכות-תיאטרון                  "/>
    <m/>
    <m/>
    <n v="6826000"/>
    <n v="6826000"/>
    <n v="7672000"/>
    <m/>
    <x v="7"/>
    <s v="שירותים ממלכתיים"/>
    <x v="34"/>
    <s v="תרבות"/>
    <x v="117"/>
    <s v="מוסיקה ומחול"/>
    <s v="8253"/>
    <e v="#N/A"/>
    <m/>
    <s v="8"/>
    <x v="16"/>
    <s v="81"/>
    <s v="השתתפויות ותרומות למוסדות עפ&quot;י חוק והסכמים"/>
    <s v="811"/>
    <e v="#N/A"/>
  </r>
  <r>
    <n v="812"/>
    <s v="82530"/>
    <n v="1"/>
    <s v="182530.812"/>
    <s v="תמיכות- מרכזי תרבות יחודיים     "/>
    <m/>
    <m/>
    <n v="95000"/>
    <n v="95000"/>
    <n v="111000"/>
    <m/>
    <x v="7"/>
    <s v="שירותים ממלכתיים"/>
    <x v="34"/>
    <s v="תרבות"/>
    <x v="117"/>
    <s v="מוסיקה ומחול"/>
    <s v="8253"/>
    <e v="#N/A"/>
    <m/>
    <s v="8"/>
    <x v="16"/>
    <s v="81"/>
    <s v="השתתפויות ותרומות למוסדות עפ&quot;י חוק והסכמים"/>
    <s v="812"/>
    <e v="#N/A"/>
  </r>
  <r>
    <n v="840"/>
    <s v="82530"/>
    <n v="1"/>
    <s v="182530.840"/>
    <s v="תיאטרון הקאמרי                  "/>
    <m/>
    <m/>
    <n v="8960000"/>
    <n v="8960000"/>
    <n v="9860000"/>
    <m/>
    <x v="7"/>
    <s v="שירותים ממלכתיים"/>
    <x v="34"/>
    <s v="תרבות"/>
    <x v="117"/>
    <s v="מוסיקה ומחול"/>
    <s v="8253"/>
    <e v="#N/A"/>
    <m/>
    <s v="8"/>
    <x v="16"/>
    <s v="84"/>
    <s v="תמיכות רווחה"/>
    <s v="840"/>
    <e v="#N/A"/>
  </r>
  <r>
    <n v="870"/>
    <s v="82530"/>
    <n v="1"/>
    <s v="182530.870"/>
    <s v="סעיף שאינו חוזר                 "/>
    <m/>
    <m/>
    <n v="0"/>
    <n v="192000"/>
    <n v="770000"/>
    <m/>
    <x v="7"/>
    <s v="שירותים ממלכתיים"/>
    <x v="34"/>
    <s v="תרבות"/>
    <x v="117"/>
    <s v="מוסיקה ומחול"/>
    <s v="8253"/>
    <e v="#N/A"/>
    <m/>
    <s v="8"/>
    <x v="16"/>
    <s v="87"/>
    <s v="תמיכות ביחידות סמך ומוסדות הרשות"/>
    <s v="870"/>
    <e v="#N/A"/>
  </r>
  <r>
    <n v="811"/>
    <s v="82540"/>
    <n v="1"/>
    <s v="182540.811"/>
    <s v="אופרה ישראלית חדשה              "/>
    <m/>
    <m/>
    <n v="9100000"/>
    <n v="9100000"/>
    <n v="9100000"/>
    <m/>
    <x v="7"/>
    <s v="שירותים ממלכתיים"/>
    <x v="34"/>
    <s v="תרבות"/>
    <x v="117"/>
    <s v="מוסיקה ומחול"/>
    <s v="8254"/>
    <s v="מקהלה עירונית"/>
    <m/>
    <s v="8"/>
    <x v="16"/>
    <s v="81"/>
    <s v="השתתפויות ותרומות למוסדות עפ&quot;י חוק והסכמים"/>
    <s v="811"/>
    <e v="#N/A"/>
  </r>
  <r>
    <n v="813"/>
    <s v="82540"/>
    <n v="1"/>
    <s v="182540.813"/>
    <s v="תמיכות-מוסיקה                   "/>
    <m/>
    <m/>
    <n v="1495000"/>
    <n v="1465000"/>
    <n v="1685000"/>
    <m/>
    <x v="7"/>
    <s v="שירותים ממלכתיים"/>
    <x v="34"/>
    <s v="תרבות"/>
    <x v="117"/>
    <s v="מוסיקה ומחול"/>
    <s v="8254"/>
    <s v="מקהלה עירונית"/>
    <m/>
    <s v="8"/>
    <x v="16"/>
    <s v="81"/>
    <s v="השתתפויות ותרומות למוסדות עפ&quot;י חוק והסכמים"/>
    <s v="813"/>
    <e v="#N/A"/>
  </r>
  <r>
    <n v="841"/>
    <s v="82540"/>
    <n v="1"/>
    <s v="182540.841"/>
    <s v="פעילות אמנותית באמצעות האופרה   "/>
    <m/>
    <m/>
    <n v="2900000"/>
    <n v="2900000"/>
    <n v="2900000"/>
    <m/>
    <x v="7"/>
    <s v="שירותים ממלכתיים"/>
    <x v="34"/>
    <s v="תרבות"/>
    <x v="117"/>
    <s v="מוסיקה ומחול"/>
    <s v="8254"/>
    <s v="מקהלה עירונית"/>
    <m/>
    <s v="8"/>
    <x v="16"/>
    <s v="84"/>
    <s v="תמיכות רווחה"/>
    <s v="841"/>
    <e v="#N/A"/>
  </r>
  <r>
    <n v="842"/>
    <s v="82540"/>
    <n v="1"/>
    <s v="182540.842"/>
    <s v="האופרה הישראלית החדשה - סדנאות  "/>
    <m/>
    <m/>
    <n v="600000"/>
    <n v="600000"/>
    <n v="799438"/>
    <m/>
    <x v="7"/>
    <s v="שירותים ממלכתיים"/>
    <x v="34"/>
    <s v="תרבות"/>
    <x v="117"/>
    <s v="מוסיקה ומחול"/>
    <s v="8254"/>
    <s v="מקהלה עירונית"/>
    <m/>
    <s v="8"/>
    <x v="16"/>
    <s v="84"/>
    <s v="תמיכות רווחה"/>
    <s v="842"/>
    <e v="#N/A"/>
  </r>
  <r>
    <n v="870"/>
    <s v="82540"/>
    <n v="1"/>
    <s v="182540.870"/>
    <s v=" סעיף שאינו חוזר                "/>
    <m/>
    <m/>
    <n v="0"/>
    <n v="0"/>
    <n v="400000"/>
    <m/>
    <x v="7"/>
    <s v="שירותים ממלכתיים"/>
    <x v="34"/>
    <s v="תרבות"/>
    <x v="117"/>
    <s v="מוסיקה ומחול"/>
    <s v="8254"/>
    <s v="מקהלה עירונית"/>
    <m/>
    <s v="8"/>
    <x v="16"/>
    <s v="87"/>
    <s v="תמיכות ביחידות סמך ומוסדות הרשות"/>
    <s v="870"/>
    <e v="#N/A"/>
  </r>
  <r>
    <n v="110"/>
    <s v="82550"/>
    <n v="1"/>
    <s v="182550.110"/>
    <s v="משכורת כוללת                    "/>
    <m/>
    <m/>
    <n v="423000"/>
    <n v="789000"/>
    <n v="768265"/>
    <m/>
    <x v="7"/>
    <s v="שירותים ממלכתיים"/>
    <x v="34"/>
    <s v="תרבות"/>
    <x v="117"/>
    <s v="מוסיקה ומחול"/>
    <s v="8255"/>
    <e v="#N/A"/>
    <m/>
    <s v="1"/>
    <x v="9"/>
    <s v="11"/>
    <s v="השכר הקובע"/>
    <s v="110"/>
    <e v="#N/A"/>
  </r>
  <r>
    <n v="124"/>
    <s v="82550"/>
    <n v="1"/>
    <s v="182550.124"/>
    <s v="החזר הוצאות                     "/>
    <m/>
    <m/>
    <n v="7000"/>
    <n v="20000"/>
    <n v="19811"/>
    <m/>
    <x v="7"/>
    <s v="שירותים ממלכתיים"/>
    <x v="34"/>
    <s v="תרבות"/>
    <x v="117"/>
    <s v="מוסיקה ומחול"/>
    <s v="8255"/>
    <e v="#N/A"/>
    <m/>
    <s v="1"/>
    <x v="9"/>
    <s v="12"/>
    <s v="תוספות שאינן נכללות בשכר הקובע"/>
    <s v="124"/>
    <e v="#N/A"/>
  </r>
  <r>
    <n v="126"/>
    <s v="82550"/>
    <n v="1"/>
    <s v="182550.126"/>
    <s v="הבראה                           "/>
    <m/>
    <m/>
    <n v="6000"/>
    <n v="18000"/>
    <n v="17507"/>
    <m/>
    <x v="7"/>
    <s v="שירותים ממלכתיים"/>
    <x v="34"/>
    <s v="תרבות"/>
    <x v="117"/>
    <s v="מוסיקה ומחול"/>
    <s v="8255"/>
    <e v="#N/A"/>
    <m/>
    <s v="1"/>
    <x v="9"/>
    <s v="12"/>
    <s v="תוספות שאינן נכללות בשכר הקובע"/>
    <s v="126"/>
    <e v="#N/A"/>
  </r>
  <r>
    <n v="127"/>
    <s v="82550"/>
    <n v="1"/>
    <s v="182550.127"/>
    <s v="השתתפות באחזקת רכב-1            "/>
    <m/>
    <m/>
    <n v="40000"/>
    <n v="135000"/>
    <n v="125170"/>
    <m/>
    <x v="7"/>
    <s v="שירותים ממלכתיים"/>
    <x v="34"/>
    <s v="תרבות"/>
    <x v="117"/>
    <s v="מוסיקה ומחול"/>
    <s v="8255"/>
    <e v="#N/A"/>
    <m/>
    <s v="1"/>
    <x v="9"/>
    <s v="12"/>
    <s v="תוספות שאינן נכללות בשכר הקובע"/>
    <s v="127"/>
    <e v="#N/A"/>
  </r>
  <r>
    <n v="130"/>
    <s v="82550"/>
    <n v="1"/>
    <s v="182550.130"/>
    <s v="תשלומים מיוחדים                 "/>
    <m/>
    <m/>
    <n v="9000"/>
    <n v="92000"/>
    <n v="89980"/>
    <m/>
    <x v="7"/>
    <s v="שירותים ממלכתיים"/>
    <x v="34"/>
    <s v="תרבות"/>
    <x v="117"/>
    <s v="מוסיקה ומחול"/>
    <s v="8255"/>
    <e v="#N/A"/>
    <m/>
    <s v="1"/>
    <x v="9"/>
    <s v="13"/>
    <s v="שעות נוספות"/>
    <s v="130"/>
    <e v="#N/A"/>
  </r>
  <r>
    <n v="170"/>
    <s v="82550"/>
    <n v="1"/>
    <s v="182550.170"/>
    <s v="סעיף שאינו חוזר                 "/>
    <m/>
    <m/>
    <n v="0"/>
    <n v="-763000"/>
    <n v="-678395"/>
    <m/>
    <x v="7"/>
    <s v="שירותים ממלכתיים"/>
    <x v="34"/>
    <s v="תרבות"/>
    <x v="117"/>
    <s v="מוסיקה ומחול"/>
    <s v="8255"/>
    <e v="#N/A"/>
    <m/>
    <s v="1"/>
    <x v="9"/>
    <s v="17"/>
    <e v="#N/A"/>
    <s v="170"/>
    <e v="#N/A"/>
  </r>
  <r>
    <n v="181"/>
    <s v="82550"/>
    <n v="1"/>
    <s v="182550.181"/>
    <s v="מיסים וביטוח לאומי              "/>
    <m/>
    <m/>
    <n v="63000"/>
    <n v="138000"/>
    <n v="155831"/>
    <m/>
    <x v="7"/>
    <s v="שירותים ממלכתיים"/>
    <x v="34"/>
    <s v="תרבות"/>
    <x v="117"/>
    <s v="מוסיקה ומחול"/>
    <s v="8255"/>
    <e v="#N/A"/>
    <m/>
    <s v="1"/>
    <x v="9"/>
    <s v="18"/>
    <s v="נלוות לשכר"/>
    <s v="181"/>
    <s v="הפרשות סוציאליות"/>
  </r>
  <r>
    <n v="182"/>
    <s v="82550"/>
    <n v="1"/>
    <s v="182550.182"/>
    <s v="קופות גמל והשתלמות              "/>
    <m/>
    <m/>
    <n v="99000"/>
    <n v="164000"/>
    <n v="153248"/>
    <m/>
    <x v="7"/>
    <s v="שירותים ממלכתיים"/>
    <x v="34"/>
    <s v="תרבות"/>
    <x v="117"/>
    <s v="מוסיקה ומחול"/>
    <s v="8255"/>
    <e v="#N/A"/>
    <m/>
    <s v="1"/>
    <x v="9"/>
    <s v="18"/>
    <s v="נלוות לשכר"/>
    <s v="182"/>
    <s v="מיסיום ועלויות"/>
  </r>
  <r>
    <n v="399"/>
    <s v="82550"/>
    <n v="1"/>
    <s v="182550.399"/>
    <s v="החזר הוצאות מהמשכן לאומנויות    "/>
    <m/>
    <m/>
    <n v="-124000"/>
    <n v="-122000"/>
    <n v="-213198"/>
    <m/>
    <x v="7"/>
    <s v="שירותים ממלכתיים"/>
    <x v="34"/>
    <s v="תרבות"/>
    <x v="117"/>
    <s v="מוסיקה ומחול"/>
    <s v="8255"/>
    <e v="#N/A"/>
    <m/>
    <s v="3"/>
    <x v="14"/>
    <s v="39"/>
    <e v="#N/A"/>
    <s v="399"/>
    <e v="#N/A"/>
  </r>
  <r>
    <n v="541"/>
    <s v="82550"/>
    <n v="1"/>
    <s v="182550.541"/>
    <s v="החזקת מכשירי קשר וסלולר         "/>
    <m/>
    <m/>
    <n v="6000"/>
    <n v="6000"/>
    <n v="0"/>
    <m/>
    <x v="7"/>
    <s v="שירותים ממלכתיים"/>
    <x v="34"/>
    <s v="תרבות"/>
    <x v="117"/>
    <s v="מוסיקה ומחול"/>
    <s v="8255"/>
    <e v="#N/A"/>
    <m/>
    <s v="5"/>
    <x v="11"/>
    <s v="54"/>
    <s v="הוצאות תקשורת"/>
    <s v="541"/>
    <e v="#N/A"/>
  </r>
  <r>
    <n v="841"/>
    <s v="82550"/>
    <n v="1"/>
    <s v="182550.841"/>
    <s v="סינמטק תל-אביב                  "/>
    <m/>
    <m/>
    <n v="3650000"/>
    <n v="3100000"/>
    <n v="495000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1"/>
    <e v="#N/A"/>
  </r>
  <r>
    <n v="842"/>
    <s v="82550"/>
    <n v="1"/>
    <s v="182550.842"/>
    <s v="טלויזיה קהילתית-סנימטק          "/>
    <m/>
    <m/>
    <n v="80000"/>
    <n v="80000"/>
    <n v="8000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2"/>
    <e v="#N/A"/>
  </r>
  <r>
    <n v="843"/>
    <s v="82550"/>
    <n v="1"/>
    <s v="182550.843"/>
    <s v="פסטיבל סרטי ילדים               "/>
    <m/>
    <m/>
    <n v="225000"/>
    <n v="225000"/>
    <n v="22500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3"/>
    <e v="#N/A"/>
  </r>
  <r>
    <n v="844"/>
    <s v="82550"/>
    <n v="1"/>
    <s v="182550.844"/>
    <s v="היכל התרבות                     "/>
    <m/>
    <m/>
    <n v="880000"/>
    <n v="880000"/>
    <n v="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4"/>
    <e v="#N/A"/>
  </r>
  <r>
    <n v="845"/>
    <s v="82550"/>
    <n v="1"/>
    <s v="182550.845"/>
    <s v="סינמטק - פסטיבל קולנוע גאה      "/>
    <m/>
    <m/>
    <n v="50000"/>
    <n v="50000"/>
    <n v="7000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5"/>
    <e v="#N/A"/>
  </r>
  <r>
    <n v="846"/>
    <s v="82550"/>
    <n v="1"/>
    <s v="182550.846"/>
    <s v="החברה למשכן                     "/>
    <m/>
    <m/>
    <n v="240000"/>
    <n v="0"/>
    <n v="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6"/>
    <e v="#N/A"/>
  </r>
  <r>
    <n v="847"/>
    <s v="82550"/>
    <n v="1"/>
    <s v="182550.847"/>
    <s v="פסטיבל דוק אביב                 "/>
    <m/>
    <m/>
    <n v="150000"/>
    <n v="150000"/>
    <n v="210000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7"/>
    <e v="#N/A"/>
  </r>
  <r>
    <n v="849"/>
    <s v="82550"/>
    <n v="1"/>
    <s v="182550.849"/>
    <s v="סינמטק - פסטיבל סרטי סטודנטים   "/>
    <m/>
    <m/>
    <n v="225000"/>
    <n v="225000"/>
    <n v="653902"/>
    <m/>
    <x v="7"/>
    <s v="שירותים ממלכתיים"/>
    <x v="34"/>
    <s v="תרבות"/>
    <x v="117"/>
    <s v="מוסיקה ומחול"/>
    <s v="8255"/>
    <e v="#N/A"/>
    <m/>
    <s v="8"/>
    <x v="16"/>
    <s v="84"/>
    <s v="תמיכות רווחה"/>
    <s v="849"/>
    <e v="#N/A"/>
  </r>
  <r>
    <n v="784"/>
    <s v="82570"/>
    <n v="1"/>
    <s v="182570.784"/>
    <s v="תערוכות במוסדות עירוניים        "/>
    <m/>
    <m/>
    <n v="30000"/>
    <n v="30000"/>
    <n v="30000"/>
    <m/>
    <x v="7"/>
    <s v="שירותים ממלכתיים"/>
    <x v="34"/>
    <s v="תרבות"/>
    <x v="117"/>
    <s v="מוסיקה ומחול"/>
    <s v="8257"/>
    <e v="#N/A"/>
    <m/>
    <s v="7"/>
    <x v="13"/>
    <s v="78"/>
    <s v="הוצאות שונות"/>
    <s v="784"/>
    <e v="#N/A"/>
  </r>
  <r>
    <n v="811"/>
    <s v="82570"/>
    <n v="1"/>
    <s v="182570.811"/>
    <s v="תמיכות-אמנות פלסטית             "/>
    <m/>
    <m/>
    <n v="1900000"/>
    <n v="1850000"/>
    <n v="1560000"/>
    <m/>
    <x v="7"/>
    <s v="שירותים ממלכתיים"/>
    <x v="34"/>
    <s v="תרבות"/>
    <x v="117"/>
    <s v="מוסיקה ומחול"/>
    <s v="8257"/>
    <e v="#N/A"/>
    <m/>
    <s v="8"/>
    <x v="16"/>
    <s v="81"/>
    <s v="השתתפויות ותרומות למוסדות עפ&quot;י חוק והסכמים"/>
    <s v="811"/>
    <e v="#N/A"/>
  </r>
  <r>
    <n v="784"/>
    <s v="82580"/>
    <n v="1"/>
    <s v="182580.784"/>
    <s v="פרויקטים משותפים ובינתחומי      "/>
    <m/>
    <m/>
    <n v="406000"/>
    <n v="406000"/>
    <n v="398674"/>
    <m/>
    <x v="7"/>
    <s v="שירותים ממלכתיים"/>
    <x v="34"/>
    <s v="תרבות"/>
    <x v="117"/>
    <s v="מוסיקה ומחול"/>
    <s v="8258"/>
    <e v="#N/A"/>
    <m/>
    <s v="7"/>
    <x v="13"/>
    <s v="78"/>
    <s v="הוצאות שונות"/>
    <s v="784"/>
    <e v="#N/A"/>
  </r>
  <r>
    <n v="881"/>
    <s v="82580"/>
    <n v="1"/>
    <s v="182580.881"/>
    <s v="פרו' אמנותיים באמצעות קרן רבינוב"/>
    <m/>
    <m/>
    <n v="644000"/>
    <n v="644000"/>
    <n v="644000"/>
    <m/>
    <x v="7"/>
    <s v="שירותים ממלכתיים"/>
    <x v="34"/>
    <s v="תרבות"/>
    <x v="117"/>
    <s v="מוסיקה ומחול"/>
    <s v="8258"/>
    <e v="#N/A"/>
    <m/>
    <s v="8"/>
    <x v="16"/>
    <s v="88"/>
    <e v="#N/A"/>
    <s v="881"/>
    <e v="#N/A"/>
  </r>
  <r>
    <n v="110"/>
    <s v="82811"/>
    <n v="1"/>
    <s v="182811.110"/>
    <s v="משכורת כוללת                    "/>
    <m/>
    <m/>
    <n v="754000"/>
    <n v="809000"/>
    <n v="486614"/>
    <m/>
    <x v="7"/>
    <s v="שירותים ממלכתיים"/>
    <x v="34"/>
    <s v="תרבות"/>
    <x v="118"/>
    <s v="נוער"/>
    <s v="8281"/>
    <s v="מינהל הנוער"/>
    <m/>
    <s v="1"/>
    <x v="9"/>
    <s v="11"/>
    <s v="השכר הקובע"/>
    <s v="110"/>
    <e v="#N/A"/>
  </r>
  <r>
    <n v="124"/>
    <s v="82811"/>
    <n v="1"/>
    <s v="182811.124"/>
    <s v="החזר הוצאות                     "/>
    <m/>
    <m/>
    <n v="58000"/>
    <n v="51000"/>
    <n v="29696"/>
    <m/>
    <x v="7"/>
    <s v="שירותים ממלכתיים"/>
    <x v="34"/>
    <s v="תרבות"/>
    <x v="118"/>
    <s v="נוער"/>
    <s v="8281"/>
    <s v="מינהל הנוער"/>
    <m/>
    <s v="1"/>
    <x v="9"/>
    <s v="12"/>
    <s v="תוספות שאינן נכללות בשכר הקובע"/>
    <s v="124"/>
    <e v="#N/A"/>
  </r>
  <r>
    <n v="126"/>
    <s v="82811"/>
    <n v="1"/>
    <s v="182811.126"/>
    <s v="הבראה                           "/>
    <m/>
    <m/>
    <n v="41000"/>
    <n v="48000"/>
    <n v="29643"/>
    <m/>
    <x v="7"/>
    <s v="שירותים ממלכתיים"/>
    <x v="34"/>
    <s v="תרבות"/>
    <x v="118"/>
    <s v="נוער"/>
    <s v="8281"/>
    <s v="מינהל הנוער"/>
    <m/>
    <s v="1"/>
    <x v="9"/>
    <s v="12"/>
    <s v="תוספות שאינן נכללות בשכר הקובע"/>
    <s v="126"/>
    <e v="#N/A"/>
  </r>
  <r>
    <n v="127"/>
    <s v="82811"/>
    <n v="1"/>
    <s v="182811.127"/>
    <s v="השתתפות באחזקת רכב - 5          "/>
    <m/>
    <m/>
    <n v="149000"/>
    <n v="170000"/>
    <n v="95256"/>
    <m/>
    <x v="7"/>
    <s v="שירותים ממלכתיים"/>
    <x v="34"/>
    <s v="תרבות"/>
    <x v="118"/>
    <s v="נוער"/>
    <s v="8281"/>
    <s v="מינהל הנוער"/>
    <m/>
    <s v="1"/>
    <x v="9"/>
    <s v="12"/>
    <s v="תוספות שאינן נכללות בשכר הקובע"/>
    <s v="127"/>
    <e v="#N/A"/>
  </r>
  <r>
    <n v="130"/>
    <s v="82811"/>
    <n v="1"/>
    <s v="182811.130"/>
    <s v="תשלומים מיוחדים                 "/>
    <m/>
    <m/>
    <n v="135000"/>
    <n v="127000"/>
    <n v="124752"/>
    <m/>
    <x v="7"/>
    <s v="שירותים ממלכתיים"/>
    <x v="34"/>
    <s v="תרבות"/>
    <x v="118"/>
    <s v="נוער"/>
    <s v="8281"/>
    <s v="מינהל הנוער"/>
    <m/>
    <s v="1"/>
    <x v="9"/>
    <s v="13"/>
    <s v="שעות נוספות"/>
    <s v="130"/>
    <e v="#N/A"/>
  </r>
  <r>
    <n v="170"/>
    <s v="82811"/>
    <n v="1"/>
    <s v="182811.170"/>
    <s v="סעיף שאינו חוזר                 "/>
    <m/>
    <m/>
    <n v="0"/>
    <n v="0"/>
    <n v="42878"/>
    <m/>
    <x v="7"/>
    <s v="שירותים ממלכתיים"/>
    <x v="34"/>
    <s v="תרבות"/>
    <x v="118"/>
    <s v="נוער"/>
    <s v="8281"/>
    <s v="מינהל הנוער"/>
    <m/>
    <s v="1"/>
    <x v="9"/>
    <s v="17"/>
    <e v="#N/A"/>
    <s v="170"/>
    <e v="#N/A"/>
  </r>
  <r>
    <n v="181"/>
    <s v="82811"/>
    <n v="1"/>
    <s v="182811.181"/>
    <s v="מיסים וביטוח לאומי              "/>
    <m/>
    <m/>
    <n v="309000"/>
    <n v="314000"/>
    <n v="119347"/>
    <m/>
    <x v="7"/>
    <s v="שירותים ממלכתיים"/>
    <x v="34"/>
    <s v="תרבות"/>
    <x v="118"/>
    <s v="נוער"/>
    <s v="8281"/>
    <s v="מינהל הנוער"/>
    <m/>
    <s v="1"/>
    <x v="9"/>
    <s v="18"/>
    <s v="נלוות לשכר"/>
    <s v="181"/>
    <s v="הפרשות סוציאליות"/>
  </r>
  <r>
    <n v="182"/>
    <s v="82811"/>
    <n v="1"/>
    <s v="182811.182"/>
    <s v="קופות גמל והשתלמות              "/>
    <m/>
    <m/>
    <n v="125000"/>
    <n v="164000"/>
    <n v="92772"/>
    <m/>
    <x v="7"/>
    <s v="שירותים ממלכתיים"/>
    <x v="34"/>
    <s v="תרבות"/>
    <x v="118"/>
    <s v="נוער"/>
    <s v="8281"/>
    <s v="מינהל הנוער"/>
    <m/>
    <s v="1"/>
    <x v="9"/>
    <s v="18"/>
    <s v="נלוות לשכר"/>
    <s v="182"/>
    <s v="מיסיום ועלויות"/>
  </r>
  <r>
    <n v="310"/>
    <s v="82811"/>
    <n v="1"/>
    <s v="182811.310"/>
    <s v="שעות נוספות רשומות              "/>
    <m/>
    <m/>
    <n v="1127000"/>
    <n v="1105000"/>
    <n v="1229787"/>
    <m/>
    <x v="7"/>
    <s v="שירותים ממלכתיים"/>
    <x v="34"/>
    <s v="תרבות"/>
    <x v="118"/>
    <s v="נוער"/>
    <s v="8281"/>
    <s v="מינהל הנוער"/>
    <m/>
    <s v="3"/>
    <x v="14"/>
    <s v="31"/>
    <s v="פנסיה"/>
    <s v="310"/>
    <e v="#N/A"/>
  </r>
  <r>
    <n v="340"/>
    <s v="82811"/>
    <n v="1"/>
    <s v="182811.340"/>
    <s v="שעות נוספות מיוחדות             "/>
    <m/>
    <m/>
    <n v="98000"/>
    <n v="96000"/>
    <n v="58443"/>
    <m/>
    <x v="7"/>
    <s v="שירותים ממלכתיים"/>
    <x v="34"/>
    <s v="תרבות"/>
    <x v="118"/>
    <s v="נוער"/>
    <s v="8281"/>
    <s v="מינהל הנוער"/>
    <m/>
    <s v="3"/>
    <x v="14"/>
    <s v="34"/>
    <e v="#N/A"/>
    <s v="340"/>
    <e v="#N/A"/>
  </r>
  <r>
    <n v="431"/>
    <s v="82811"/>
    <n v="1"/>
    <s v="182811.431"/>
    <s v="מים                             "/>
    <m/>
    <m/>
    <n v="10000"/>
    <n v="43000"/>
    <n v="11175"/>
    <m/>
    <x v="7"/>
    <s v="שירותים ממלכתיים"/>
    <x v="34"/>
    <s v="תרבות"/>
    <x v="118"/>
    <s v="נוער"/>
    <s v="8281"/>
    <s v="מינהל הנוער"/>
    <m/>
    <s v="4"/>
    <x v="15"/>
    <s v="43"/>
    <s v="חשמל, מים וחומרי ניקיון"/>
    <s v="431"/>
    <s v="חשמל"/>
  </r>
  <r>
    <n v="433"/>
    <s v="82811"/>
    <n v="1"/>
    <s v="182811.433"/>
    <s v="ביטוח                           "/>
    <m/>
    <m/>
    <n v="65000"/>
    <n v="62000"/>
    <n v="57000"/>
    <m/>
    <x v="7"/>
    <s v="שירותים ממלכתיים"/>
    <x v="34"/>
    <s v="תרבות"/>
    <x v="118"/>
    <s v="נוער"/>
    <s v="8281"/>
    <s v="מינהל הנוער"/>
    <m/>
    <s v="4"/>
    <x v="15"/>
    <s v="43"/>
    <s v="חשמל, מים וחומרי ניקיון"/>
    <s v="433"/>
    <s v="חומרי ניקיון"/>
  </r>
  <r>
    <n v="439"/>
    <s v="82811"/>
    <n v="1"/>
    <s v="182811.439"/>
    <s v="אחזקת בניני העיריה-השתתפות      "/>
    <m/>
    <m/>
    <n v="227000"/>
    <n v="246000"/>
    <n v="230000"/>
    <m/>
    <x v="7"/>
    <s v="שירותים ממלכתיים"/>
    <x v="34"/>
    <s v="תרבות"/>
    <x v="118"/>
    <s v="נוער"/>
    <s v="8281"/>
    <s v="מינהל הנוער"/>
    <m/>
    <s v="4"/>
    <x v="15"/>
    <s v="43"/>
    <s v="חשמל, מים וחומרי ניקיון"/>
    <s v="439"/>
    <e v="#N/A"/>
  </r>
  <r>
    <n v="461"/>
    <s v="82811"/>
    <n v="1"/>
    <s v="182811.461"/>
    <s v="צורכי משרד                      "/>
    <m/>
    <m/>
    <n v="8000"/>
    <n v="10000"/>
    <n v="9829"/>
    <m/>
    <x v="7"/>
    <s v="שירותים ממלכתיים"/>
    <x v="34"/>
    <s v="תרבות"/>
    <x v="118"/>
    <s v="נוער"/>
    <s v="8281"/>
    <s v="מינהל הנוער"/>
    <m/>
    <s v="4"/>
    <x v="15"/>
    <s v="46"/>
    <e v="#N/A"/>
    <s v="461"/>
    <e v="#N/A"/>
  </r>
  <r>
    <n v="531"/>
    <s v="82811"/>
    <n v="1"/>
    <s v="182811.531"/>
    <s v="אחזקת רכב                       "/>
    <m/>
    <m/>
    <n v="8000"/>
    <n v="8000"/>
    <n v="6820"/>
    <m/>
    <x v="7"/>
    <s v="שירותים ממלכתיים"/>
    <x v="34"/>
    <s v="תרבות"/>
    <x v="118"/>
    <s v="נוער"/>
    <s v="8281"/>
    <s v="מינהל הנוער"/>
    <m/>
    <s v="5"/>
    <x v="11"/>
    <s v="53"/>
    <s v="הוצאות רכב מינהלי"/>
    <s v="531"/>
    <s v="דלק ושמנים"/>
  </r>
  <r>
    <n v="532"/>
    <s v="82811"/>
    <n v="1"/>
    <s v="182811.532"/>
    <s v="ביטוח רכב                       "/>
    <m/>
    <m/>
    <n v="4000"/>
    <n v="4000"/>
    <n v="3952"/>
    <m/>
    <x v="7"/>
    <s v="שירותים ממלכתיים"/>
    <x v="34"/>
    <s v="תרבות"/>
    <x v="118"/>
    <s v="נוער"/>
    <s v="8281"/>
    <s v="מינהל הנוער"/>
    <m/>
    <s v="5"/>
    <x v="11"/>
    <s v="53"/>
    <s v="הוצאות רכב מינהלי"/>
    <s v="532"/>
    <s v="תיקונים"/>
  </r>
  <r>
    <n v="533"/>
    <s v="82811"/>
    <n v="1"/>
    <s v="182811.533"/>
    <s v="שכירת רכב ורכב עירוני           "/>
    <m/>
    <m/>
    <n v="45000"/>
    <n v="45000"/>
    <n v="37148"/>
    <m/>
    <x v="7"/>
    <s v="שירותים ממלכתיים"/>
    <x v="34"/>
    <s v="תרבות"/>
    <x v="118"/>
    <s v="נוער"/>
    <s v="8281"/>
    <s v="מינהל הנוער"/>
    <m/>
    <s v="5"/>
    <x v="11"/>
    <s v="53"/>
    <s v="הוצאות רכב מינהלי"/>
    <s v="533"/>
    <s v="רישוי וביטוח"/>
  </r>
  <r>
    <n v="534"/>
    <s v="82811"/>
    <n v="1"/>
    <s v="182811.534"/>
    <s v="דלק ושמן                        "/>
    <m/>
    <m/>
    <n v="23000"/>
    <n v="23000"/>
    <n v="17065"/>
    <m/>
    <x v="7"/>
    <s v="שירותים ממלכתיים"/>
    <x v="34"/>
    <s v="תרבות"/>
    <x v="118"/>
    <s v="נוער"/>
    <s v="8281"/>
    <s v="מינהל הנוער"/>
    <m/>
    <s v="5"/>
    <x v="11"/>
    <s v="53"/>
    <s v="הוצאות רכב מינהלי"/>
    <s v="534"/>
    <e v="#N/A"/>
  </r>
  <r>
    <n v="541"/>
    <s v="82811"/>
    <n v="1"/>
    <s v="182811.541"/>
    <s v="החזקת מכשירי קשר וסלולר         "/>
    <m/>
    <m/>
    <n v="33000"/>
    <n v="27000"/>
    <n v="34119"/>
    <m/>
    <x v="7"/>
    <s v="שירותים ממלכתיים"/>
    <x v="34"/>
    <s v="תרבות"/>
    <x v="118"/>
    <s v="נוער"/>
    <s v="8281"/>
    <s v="מינהל הנוער"/>
    <m/>
    <s v="5"/>
    <x v="11"/>
    <s v="54"/>
    <s v="הוצאות תקשורת"/>
    <s v="541"/>
    <e v="#N/A"/>
  </r>
  <r>
    <n v="610"/>
    <s v="82811"/>
    <n v="1"/>
    <s v="182811.610"/>
    <s v="כיבודים                         "/>
    <m/>
    <m/>
    <n v="7000"/>
    <n v="7000"/>
    <n v="4115"/>
    <m/>
    <x v="7"/>
    <s v="שירותים ממלכתיים"/>
    <x v="34"/>
    <s v="תרבות"/>
    <x v="118"/>
    <s v="נוער"/>
    <s v="8281"/>
    <s v="מינהל הנוער"/>
    <m/>
    <s v="6"/>
    <x v="12"/>
    <s v="61"/>
    <s v="עמלות"/>
    <s v="610"/>
    <e v="#N/A"/>
  </r>
  <r>
    <n v="670"/>
    <s v="82811"/>
    <n v="1"/>
    <s v="182811.670"/>
    <s v="סעיף שאינו חוזר                 "/>
    <m/>
    <m/>
    <n v="0"/>
    <n v="172000"/>
    <n v="148038"/>
    <m/>
    <x v="7"/>
    <s v="שירותים ממלכתיים"/>
    <x v="34"/>
    <s v="תרבות"/>
    <x v="118"/>
    <s v="נוער"/>
    <s v="8281"/>
    <s v="מינהל הנוער"/>
    <m/>
    <s v="6"/>
    <x v="12"/>
    <s v="67"/>
    <e v="#N/A"/>
    <s v="670"/>
    <e v="#N/A"/>
  </r>
  <r>
    <n v="691"/>
    <s v="82811"/>
    <n v="1"/>
    <s v="182811.691"/>
    <s v="מערכות מידע ומחשוב              "/>
    <m/>
    <m/>
    <n v="1640000"/>
    <n v="1970000"/>
    <n v="1818550"/>
    <m/>
    <x v="7"/>
    <s v="שירותים ממלכתיים"/>
    <x v="34"/>
    <s v="תרבות"/>
    <x v="118"/>
    <s v="נוער"/>
    <s v="8281"/>
    <s v="מינהל הנוער"/>
    <m/>
    <s v="6"/>
    <x v="12"/>
    <s v="69"/>
    <s v="שונות"/>
    <s v="691"/>
    <s v="תשלום ע&quot;ח קרן"/>
  </r>
  <r>
    <n v="693"/>
    <s v="82811"/>
    <n v="1"/>
    <s v="182811.693"/>
    <s v="מיחשוב יחידתי                   "/>
    <m/>
    <m/>
    <n v="17000"/>
    <n v="17000"/>
    <n v="2430"/>
    <m/>
    <x v="7"/>
    <s v="שירותים ממלכתיים"/>
    <x v="34"/>
    <s v="תרבות"/>
    <x v="118"/>
    <s v="נוער"/>
    <s v="8281"/>
    <s v="מינהל הנוער"/>
    <m/>
    <s v="6"/>
    <x v="12"/>
    <s v="69"/>
    <s v="שונות"/>
    <s v="693"/>
    <s v="תשלום ע&quot;ח הצמדת ערך"/>
  </r>
  <r>
    <n v="781"/>
    <s v="82811"/>
    <n v="1"/>
    <s v="182811.781"/>
    <s v="השתלמויות וימי עיון             "/>
    <m/>
    <m/>
    <n v="60000"/>
    <n v="60000"/>
    <n v="47590"/>
    <m/>
    <x v="7"/>
    <s v="שירותים ממלכתיים"/>
    <x v="34"/>
    <s v="תרבות"/>
    <x v="118"/>
    <s v="נוער"/>
    <s v="8281"/>
    <s v="מינהל הנוער"/>
    <m/>
    <s v="7"/>
    <x v="13"/>
    <s v="78"/>
    <s v="הוצאות שונות"/>
    <s v="781"/>
    <e v="#N/A"/>
  </r>
  <r>
    <n v="782"/>
    <s v="82811"/>
    <n v="1"/>
    <s v="182811.782"/>
    <s v="הוצאות שונות                    "/>
    <m/>
    <m/>
    <n v="62000"/>
    <n v="75000"/>
    <n v="52186"/>
    <m/>
    <x v="7"/>
    <s v="שירותים ממלכתיים"/>
    <x v="34"/>
    <s v="תרבות"/>
    <x v="118"/>
    <s v="נוער"/>
    <s v="8281"/>
    <s v="מינהל הנוער"/>
    <m/>
    <s v="7"/>
    <x v="13"/>
    <s v="78"/>
    <s v="הוצאות שונות"/>
    <s v="782"/>
    <e v="#N/A"/>
  </r>
  <r>
    <n v="783"/>
    <s v="82811"/>
    <n v="1"/>
    <s v="182811.783"/>
    <s v="גיזום עצים                      "/>
    <m/>
    <m/>
    <n v="120000"/>
    <n v="120000"/>
    <n v="304771"/>
    <m/>
    <x v="7"/>
    <s v="שירותים ממלכתיים"/>
    <x v="34"/>
    <s v="תרבות"/>
    <x v="118"/>
    <s v="נוער"/>
    <s v="8281"/>
    <s v="מינהל הנוער"/>
    <m/>
    <s v="7"/>
    <x v="13"/>
    <s v="78"/>
    <s v="הוצאות שונות"/>
    <s v="783"/>
    <e v="#N/A"/>
  </r>
  <r>
    <n v="785"/>
    <s v="82811"/>
    <n v="1"/>
    <s v="182811.785"/>
    <s v="אחזקת מקלטים                    "/>
    <m/>
    <m/>
    <n v="46000"/>
    <n v="46000"/>
    <n v="38558"/>
    <m/>
    <x v="7"/>
    <s v="שירותים ממלכתיים"/>
    <x v="34"/>
    <s v="תרבות"/>
    <x v="118"/>
    <s v="נוער"/>
    <s v="8281"/>
    <s v="מינהל הנוער"/>
    <m/>
    <s v="7"/>
    <x v="13"/>
    <s v="78"/>
    <s v="הוצאות שונות"/>
    <s v="785"/>
    <e v="#N/A"/>
  </r>
  <r>
    <n v="851"/>
    <s v="82811"/>
    <n v="1"/>
    <s v="182811.851"/>
    <s v="מיזוג ושיקום מערכות במוסדות     "/>
    <m/>
    <m/>
    <n v="300000"/>
    <n v="300000"/>
    <n v="299999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1"/>
    <e v="#N/A"/>
  </r>
  <r>
    <n v="852"/>
    <s v="82811"/>
    <n v="1"/>
    <s v="182811.852"/>
    <s v="פורטל אינטרנט ומחשוב            "/>
    <m/>
    <m/>
    <n v="150000"/>
    <n v="150000"/>
    <n v="149998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2"/>
    <e v="#N/A"/>
  </r>
  <r>
    <n v="853"/>
    <s v="82811"/>
    <n v="1"/>
    <s v="182811.853"/>
    <s v="פעולות שיווק                    "/>
    <m/>
    <m/>
    <n v="227000"/>
    <n v="426000"/>
    <n v="426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3"/>
    <e v="#N/A"/>
  </r>
  <r>
    <n v="854"/>
    <s v="82811"/>
    <n v="1"/>
    <s v="182811.854"/>
    <s v="פרויקט עמיתים - חב' למוס ח      "/>
    <m/>
    <m/>
    <n v="10000"/>
    <n v="10000"/>
    <n v="10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4"/>
    <e v="#N/A"/>
  </r>
  <r>
    <n v="856"/>
    <s v="82811"/>
    <n v="1"/>
    <s v="182811.856"/>
    <s v="שירותי כבאות - החב' למוס ח      "/>
    <m/>
    <m/>
    <n v="177000"/>
    <n v="177000"/>
    <n v="177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6"/>
    <e v="#N/A"/>
  </r>
  <r>
    <n v="857"/>
    <s v="82811"/>
    <n v="1"/>
    <s v="182811.857"/>
    <s v="הצטידות מוסדות קנו ס            "/>
    <m/>
    <m/>
    <n v="500000"/>
    <n v="500000"/>
    <n v="500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7"/>
    <e v="#N/A"/>
  </r>
  <r>
    <n v="858"/>
    <s v="82811"/>
    <n v="1"/>
    <s v="182811.858"/>
    <s v="חגיגות ארועים וחוגים-חב' מוס ח  "/>
    <m/>
    <m/>
    <n v="207000"/>
    <n v="307000"/>
    <n v="307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8"/>
    <e v="#N/A"/>
  </r>
  <r>
    <n v="859"/>
    <s v="82811"/>
    <n v="1"/>
    <s v="182811.859"/>
    <s v="יוצרים מצוינות - חב' למוסדות    "/>
    <m/>
    <m/>
    <n v="20000"/>
    <n v="20000"/>
    <n v="20000"/>
    <m/>
    <x v="7"/>
    <s v="שירותים ממלכתיים"/>
    <x v="34"/>
    <s v="תרבות"/>
    <x v="118"/>
    <s v="נוער"/>
    <s v="8281"/>
    <s v="מינהל הנוער"/>
    <m/>
    <s v="8"/>
    <x v="16"/>
    <s v="85"/>
    <s v="מלגות לתלמידים וסטודנטים"/>
    <s v="859"/>
    <e v="#N/A"/>
  </r>
  <r>
    <n v="932"/>
    <s v="82811"/>
    <n v="1"/>
    <s v="182811.932"/>
    <s v="ציוד וריהוט משרדי               "/>
    <m/>
    <m/>
    <n v="19000"/>
    <n v="19000"/>
    <n v="14001"/>
    <m/>
    <x v="7"/>
    <s v="שירותים ממלכתיים"/>
    <x v="34"/>
    <s v="תרבות"/>
    <x v="118"/>
    <s v="נוער"/>
    <s v="8281"/>
    <s v="מינהל הנוער"/>
    <m/>
    <s v="9"/>
    <x v="17"/>
    <s v="93"/>
    <s v="רכישת ציוד יסודי"/>
    <s v="932"/>
    <e v="#N/A"/>
  </r>
  <r>
    <n v="110"/>
    <s v="82820"/>
    <n v="1"/>
    <s v="182820.110"/>
    <s v="משכורת כוללת                    "/>
    <m/>
    <m/>
    <n v="197000"/>
    <n v="195000"/>
    <n v="187850"/>
    <m/>
    <x v="7"/>
    <s v="שירותים ממלכתיים"/>
    <x v="34"/>
    <s v="תרבות"/>
    <x v="118"/>
    <s v="נוער"/>
    <s v="8282"/>
    <s v="מוקדי הפעלת נוער"/>
    <m/>
    <s v="1"/>
    <x v="9"/>
    <s v="11"/>
    <s v="השכר הקובע"/>
    <s v="110"/>
    <e v="#N/A"/>
  </r>
  <r>
    <n v="124"/>
    <s v="82820"/>
    <n v="1"/>
    <s v="182820.124"/>
    <s v="החזר הוצאות                     "/>
    <m/>
    <m/>
    <n v="14000"/>
    <n v="14000"/>
    <n v="13648"/>
    <m/>
    <x v="7"/>
    <s v="שירותים ממלכתיים"/>
    <x v="34"/>
    <s v="תרבות"/>
    <x v="118"/>
    <s v="נוער"/>
    <s v="8282"/>
    <s v="מוקדי הפעלת נוער"/>
    <m/>
    <s v="1"/>
    <x v="9"/>
    <s v="12"/>
    <s v="תוספות שאינן נכללות בשכר הקובע"/>
    <s v="124"/>
    <e v="#N/A"/>
  </r>
  <r>
    <n v="126"/>
    <s v="82820"/>
    <n v="1"/>
    <s v="182820.126"/>
    <s v="הבראה                           "/>
    <m/>
    <m/>
    <n v="13000"/>
    <n v="13000"/>
    <n v="13344"/>
    <m/>
    <x v="7"/>
    <s v="שירותים ממלכתיים"/>
    <x v="34"/>
    <s v="תרבות"/>
    <x v="118"/>
    <s v="נוער"/>
    <s v="8282"/>
    <s v="מוקדי הפעלת נוער"/>
    <m/>
    <s v="1"/>
    <x v="9"/>
    <s v="12"/>
    <s v="תוספות שאינן נכללות בשכר הקובע"/>
    <s v="126"/>
    <e v="#N/A"/>
  </r>
  <r>
    <n v="127"/>
    <s v="82820"/>
    <n v="1"/>
    <s v="182820.127"/>
    <s v="השתתפות באחזקת רכב - 1          "/>
    <m/>
    <m/>
    <n v="23000"/>
    <n v="14000"/>
    <n v="13188"/>
    <m/>
    <x v="7"/>
    <s v="שירותים ממלכתיים"/>
    <x v="34"/>
    <s v="תרבות"/>
    <x v="118"/>
    <s v="נוער"/>
    <s v="8282"/>
    <s v="מוקדי הפעלת נוער"/>
    <m/>
    <s v="1"/>
    <x v="9"/>
    <s v="12"/>
    <s v="תוספות שאינן נכללות בשכר הקובע"/>
    <s v="127"/>
    <e v="#N/A"/>
  </r>
  <r>
    <n v="130"/>
    <s v="82820"/>
    <n v="1"/>
    <s v="182820.130"/>
    <s v="תשלומים מיוחדים                 "/>
    <m/>
    <m/>
    <n v="78000"/>
    <n v="74000"/>
    <n v="70899"/>
    <m/>
    <x v="7"/>
    <s v="שירותים ממלכתיים"/>
    <x v="34"/>
    <s v="תרבות"/>
    <x v="118"/>
    <s v="נוער"/>
    <s v="8282"/>
    <s v="מוקדי הפעלת נוער"/>
    <m/>
    <s v="1"/>
    <x v="9"/>
    <s v="13"/>
    <s v="שעות נוספות"/>
    <s v="130"/>
    <e v="#N/A"/>
  </r>
  <r>
    <n v="181"/>
    <s v="82820"/>
    <n v="1"/>
    <s v="182820.181"/>
    <s v="מיסים וביטוח לאומי              "/>
    <m/>
    <m/>
    <n v="43000"/>
    <n v="41000"/>
    <n v="36611"/>
    <m/>
    <x v="7"/>
    <s v="שירותים ממלכתיים"/>
    <x v="34"/>
    <s v="תרבות"/>
    <x v="118"/>
    <s v="נוער"/>
    <s v="8282"/>
    <s v="מוקדי הפעלת נוער"/>
    <m/>
    <s v="1"/>
    <x v="9"/>
    <s v="18"/>
    <s v="נלוות לשכר"/>
    <s v="181"/>
    <s v="הפרשות סוציאליות"/>
  </r>
  <r>
    <n v="182"/>
    <s v="82820"/>
    <n v="1"/>
    <s v="182820.182"/>
    <s v="קופות גמל והשתלמות              "/>
    <m/>
    <m/>
    <n v="32000"/>
    <n v="32000"/>
    <n v="30463"/>
    <m/>
    <x v="7"/>
    <s v="שירותים ממלכתיים"/>
    <x v="34"/>
    <s v="תרבות"/>
    <x v="118"/>
    <s v="נוער"/>
    <s v="8282"/>
    <s v="מוקדי הפעלת נוער"/>
    <m/>
    <s v="1"/>
    <x v="9"/>
    <s v="18"/>
    <s v="נלוות לשכר"/>
    <s v="182"/>
    <s v="מיסיום ועלויות"/>
  </r>
  <r>
    <n v="851"/>
    <s v="82820"/>
    <n v="1"/>
    <s v="182820.851"/>
    <s v="הפעלת בית השחמט - חב' למוס' חינו"/>
    <m/>
    <m/>
    <n v="768000"/>
    <n v="698000"/>
    <n v="763000"/>
    <m/>
    <x v="7"/>
    <s v="שירותים ממלכתיים"/>
    <x v="34"/>
    <s v="תרבות"/>
    <x v="118"/>
    <s v="נוער"/>
    <s v="8282"/>
    <s v="מוקדי הפעלת נוער"/>
    <m/>
    <s v="8"/>
    <x v="16"/>
    <s v="85"/>
    <s v="מלגות לתלמידים וסטודנטים"/>
    <s v="851"/>
    <e v="#N/A"/>
  </r>
  <r>
    <n v="856"/>
    <s v="82820"/>
    <n v="1"/>
    <s v="182820.856"/>
    <s v="הפעלת  הספרייה - חב' למוס' חינו "/>
    <m/>
    <m/>
    <n v="148000"/>
    <n v="148000"/>
    <n v="148000"/>
    <m/>
    <x v="7"/>
    <s v="שירותים ממלכתיים"/>
    <x v="34"/>
    <s v="תרבות"/>
    <x v="118"/>
    <s v="נוער"/>
    <s v="8282"/>
    <s v="מוקדי הפעלת נוער"/>
    <m/>
    <s v="8"/>
    <x v="16"/>
    <s v="85"/>
    <s v="מלגות לתלמידים וסטודנטים"/>
    <s v="856"/>
    <e v="#N/A"/>
  </r>
  <r>
    <n v="110"/>
    <s v="82831"/>
    <n v="1"/>
    <s v="182831.110"/>
    <s v="משכורת כוללת                    "/>
    <m/>
    <m/>
    <n v="698000"/>
    <n v="745000"/>
    <n v="717612"/>
    <m/>
    <x v="7"/>
    <s v="שירותים ממלכתיים"/>
    <x v="34"/>
    <s v="תרבות"/>
    <x v="118"/>
    <s v="נוער"/>
    <s v="8283"/>
    <s v="חוגי נוער"/>
    <m/>
    <s v="1"/>
    <x v="9"/>
    <s v="11"/>
    <s v="השכר הקובע"/>
    <s v="110"/>
    <e v="#N/A"/>
  </r>
  <r>
    <n v="124"/>
    <s v="82831"/>
    <n v="1"/>
    <s v="182831.124"/>
    <s v="החזר הוצאות                     "/>
    <m/>
    <m/>
    <n v="38000"/>
    <n v="42000"/>
    <n v="41532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4"/>
    <e v="#N/A"/>
  </r>
  <r>
    <n v="126"/>
    <s v="82831"/>
    <n v="1"/>
    <s v="182831.126"/>
    <s v="הבראה                           "/>
    <m/>
    <m/>
    <n v="36000"/>
    <n v="42000"/>
    <n v="37455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6"/>
    <e v="#N/A"/>
  </r>
  <r>
    <n v="127"/>
    <s v="82831"/>
    <n v="1"/>
    <s v="182831.127"/>
    <s v="השתתפות באחזקת רכב - 8          "/>
    <m/>
    <m/>
    <n v="138000"/>
    <n v="140000"/>
    <n v="154505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7"/>
    <e v="#N/A"/>
  </r>
  <r>
    <n v="130"/>
    <s v="82831"/>
    <n v="1"/>
    <s v="182831.130"/>
    <s v="תשלומים מיוחדים                 "/>
    <m/>
    <m/>
    <n v="66000"/>
    <n v="69000"/>
    <n v="67135"/>
    <m/>
    <x v="7"/>
    <s v="שירותים ממלכתיים"/>
    <x v="34"/>
    <s v="תרבות"/>
    <x v="118"/>
    <s v="נוער"/>
    <s v="8283"/>
    <s v="חוגי נוער"/>
    <m/>
    <s v="1"/>
    <x v="9"/>
    <s v="13"/>
    <s v="שעות נוספות"/>
    <s v="130"/>
    <e v="#N/A"/>
  </r>
  <r>
    <n v="181"/>
    <s v="82831"/>
    <n v="1"/>
    <s v="182831.181"/>
    <s v="מיסים וביטוח לאומי              "/>
    <m/>
    <m/>
    <n v="128000"/>
    <n v="136000"/>
    <n v="131632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1"/>
    <s v="הפרשות סוציאליות"/>
  </r>
  <r>
    <n v="182"/>
    <s v="82831"/>
    <n v="1"/>
    <s v="182831.182"/>
    <s v="קופות גמל והשתלמות              "/>
    <m/>
    <m/>
    <n v="145000"/>
    <n v="149000"/>
    <n v="146328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2"/>
    <s v="מיסיום ועלויות"/>
  </r>
  <r>
    <n v="461"/>
    <s v="82831"/>
    <n v="1"/>
    <s v="182831.461"/>
    <s v="צורכי משרד                      "/>
    <m/>
    <m/>
    <n v="2000"/>
    <n v="2000"/>
    <n v="1932"/>
    <m/>
    <x v="7"/>
    <s v="שירותים ממלכתיים"/>
    <x v="34"/>
    <s v="תרבות"/>
    <x v="118"/>
    <s v="נוער"/>
    <s v="8283"/>
    <s v="חוגי נוער"/>
    <m/>
    <s v="4"/>
    <x v="15"/>
    <s v="46"/>
    <e v="#N/A"/>
    <s v="461"/>
    <e v="#N/A"/>
  </r>
  <r>
    <n v="610"/>
    <s v="82831"/>
    <n v="1"/>
    <s v="182831.610"/>
    <s v="כבודים                          "/>
    <m/>
    <m/>
    <n v="2000"/>
    <n v="2000"/>
    <n v="692"/>
    <m/>
    <x v="7"/>
    <s v="שירותים ממלכתיים"/>
    <x v="34"/>
    <s v="תרבות"/>
    <x v="118"/>
    <s v="נוער"/>
    <s v="8283"/>
    <s v="חוגי נוער"/>
    <m/>
    <s v="6"/>
    <x v="12"/>
    <s v="61"/>
    <s v="עמלות"/>
    <s v="610"/>
    <e v="#N/A"/>
  </r>
  <r>
    <n v="720"/>
    <s v="82831"/>
    <n v="1"/>
    <s v="182831.720"/>
    <s v="חמרים                           "/>
    <m/>
    <m/>
    <n v="2000"/>
    <n v="2000"/>
    <n v="344"/>
    <m/>
    <x v="7"/>
    <s v="שירותים ממלכתיים"/>
    <x v="34"/>
    <s v="תרבות"/>
    <x v="118"/>
    <s v="נוער"/>
    <s v="8283"/>
    <s v="חוגי נוער"/>
    <m/>
    <s v="7"/>
    <x v="13"/>
    <s v="72"/>
    <s v="חומרים"/>
    <s v="720"/>
    <e v="#N/A"/>
  </r>
  <r>
    <n v="752"/>
    <s v="82831"/>
    <n v="1"/>
    <s v="182831.752"/>
    <s v="כנסי אמנות עירוניים             "/>
    <m/>
    <m/>
    <n v="82000"/>
    <n v="82000"/>
    <n v="82000"/>
    <m/>
    <x v="7"/>
    <s v="שירותים ממלכתיים"/>
    <x v="34"/>
    <s v="תרבות"/>
    <x v="118"/>
    <s v="נוער"/>
    <s v="8283"/>
    <s v="חוגי נוער"/>
    <m/>
    <s v="7"/>
    <x v="13"/>
    <s v="75"/>
    <s v="עבודות קבלניות"/>
    <s v="752"/>
    <e v="#N/A"/>
  </r>
  <r>
    <n v="785"/>
    <s v="82831"/>
    <n v="1"/>
    <s v="182831.785"/>
    <s v="מפעלי קיץ                       "/>
    <m/>
    <m/>
    <n v="7000"/>
    <n v="12000"/>
    <n v="0"/>
    <m/>
    <x v="7"/>
    <s v="שירותים ממלכתיים"/>
    <x v="34"/>
    <s v="תרבות"/>
    <x v="118"/>
    <s v="נוער"/>
    <s v="8283"/>
    <s v="חוגי נוער"/>
    <m/>
    <s v="7"/>
    <x v="13"/>
    <s v="78"/>
    <s v="הוצאות שונות"/>
    <s v="785"/>
    <e v="#N/A"/>
  </r>
  <r>
    <n v="851"/>
    <s v="82831"/>
    <n v="1"/>
    <s v="182831.851"/>
    <s v="מ. אמנויות הבמה יפו - חב' למו' ח"/>
    <m/>
    <m/>
    <n v="40000"/>
    <n v="40000"/>
    <n v="40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1"/>
    <e v="#N/A"/>
  </r>
  <r>
    <n v="852"/>
    <s v="82831"/>
    <n v="1"/>
    <s v="182831.852"/>
    <s v="פעולות אירועי מוסיקה ואמנויות הב"/>
    <m/>
    <m/>
    <n v="413000"/>
    <n v="357000"/>
    <n v="212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2"/>
    <e v="#N/A"/>
  </r>
  <r>
    <n v="854"/>
    <s v="82831"/>
    <n v="1"/>
    <s v="182831.854"/>
    <s v="בי ס מנגן - חב' למוס ח          "/>
    <m/>
    <m/>
    <n v="292000"/>
    <n v="297000"/>
    <n v="297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4"/>
    <e v="#N/A"/>
  </r>
  <r>
    <n v="855"/>
    <s v="82831"/>
    <n v="1"/>
    <s v="182831.855"/>
    <s v="ציוד תפעולי ואמנותי - חב' למוס ח"/>
    <m/>
    <m/>
    <n v="8000"/>
    <n v="8000"/>
    <n v="8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5"/>
    <e v="#N/A"/>
  </r>
  <r>
    <n v="856"/>
    <s v="82831"/>
    <n v="1"/>
    <s v="182831.856"/>
    <s v="סתיו תיאטרוני - חב' למוס ח      "/>
    <m/>
    <m/>
    <n v="119000"/>
    <n v="119000"/>
    <n v="119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6"/>
    <e v="#N/A"/>
  </r>
  <r>
    <n v="857"/>
    <s v="82831"/>
    <n v="1"/>
    <s v="182831.857"/>
    <s v="פעולות תרבות וחברה-מוס ח        "/>
    <m/>
    <m/>
    <n v="151000"/>
    <n v="151000"/>
    <n v="151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7"/>
    <e v="#N/A"/>
  </r>
  <r>
    <n v="858"/>
    <s v="82831"/>
    <n v="1"/>
    <s v="182831.858"/>
    <s v="פרויקטים משותפים - חב' למוס ח   "/>
    <m/>
    <m/>
    <n v="228000"/>
    <n v="228000"/>
    <n v="245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8"/>
    <e v="#N/A"/>
  </r>
  <r>
    <n v="859"/>
    <s v="82831"/>
    <n v="1"/>
    <s v="182831.859"/>
    <s v="לימודי נגינה בבתי ספר - החב' למו"/>
    <m/>
    <m/>
    <n v="447000"/>
    <n v="350000"/>
    <n v="304991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9"/>
    <e v="#N/A"/>
  </r>
  <r>
    <n v="881"/>
    <s v="82831"/>
    <n v="1"/>
    <s v="182831.881"/>
    <s v="הקונסרבטוריון הישראלי למוסיקה   "/>
    <m/>
    <m/>
    <n v="2675000"/>
    <n v="2675000"/>
    <n v="2675000"/>
    <m/>
    <x v="7"/>
    <s v="שירותים ממלכתיים"/>
    <x v="34"/>
    <s v="תרבות"/>
    <x v="118"/>
    <s v="נוער"/>
    <s v="8283"/>
    <s v="חוגי נוער"/>
    <m/>
    <s v="8"/>
    <x v="16"/>
    <s v="88"/>
    <e v="#N/A"/>
    <s v="881"/>
    <e v="#N/A"/>
  </r>
  <r>
    <n v="110"/>
    <s v="82833"/>
    <n v="1"/>
    <s v="182833.110"/>
    <s v="משכורת כוללת                    "/>
    <m/>
    <m/>
    <n v="366000"/>
    <n v="352000"/>
    <n v="328042"/>
    <m/>
    <x v="7"/>
    <s v="שירותים ממלכתיים"/>
    <x v="34"/>
    <s v="תרבות"/>
    <x v="118"/>
    <s v="נוער"/>
    <s v="8283"/>
    <s v="חוגי נוער"/>
    <m/>
    <s v="1"/>
    <x v="9"/>
    <s v="11"/>
    <s v="השכר הקובע"/>
    <s v="110"/>
    <e v="#N/A"/>
  </r>
  <r>
    <n v="124"/>
    <s v="82833"/>
    <n v="1"/>
    <s v="182833.124"/>
    <s v="החזר הוצאות                     "/>
    <m/>
    <m/>
    <n v="26000"/>
    <n v="23000"/>
    <n v="22967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4"/>
    <e v="#N/A"/>
  </r>
  <r>
    <n v="126"/>
    <s v="82833"/>
    <n v="1"/>
    <s v="182833.126"/>
    <s v="הבראה                           "/>
    <m/>
    <m/>
    <n v="26000"/>
    <n v="24000"/>
    <n v="25989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6"/>
    <e v="#N/A"/>
  </r>
  <r>
    <n v="127"/>
    <s v="82833"/>
    <n v="1"/>
    <s v="182833.127"/>
    <s v="השתתפות באחזקת רכב - 2          "/>
    <m/>
    <m/>
    <n v="66000"/>
    <n v="34000"/>
    <n v="39244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7"/>
    <e v="#N/A"/>
  </r>
  <r>
    <n v="130"/>
    <s v="82833"/>
    <n v="1"/>
    <s v="182833.130"/>
    <s v="תשלומים מיוחדים                 "/>
    <m/>
    <m/>
    <n v="96000"/>
    <n v="109000"/>
    <n v="99444"/>
    <m/>
    <x v="7"/>
    <s v="שירותים ממלכתיים"/>
    <x v="34"/>
    <s v="תרבות"/>
    <x v="118"/>
    <s v="נוער"/>
    <s v="8283"/>
    <s v="חוגי נוער"/>
    <m/>
    <s v="1"/>
    <x v="9"/>
    <s v="13"/>
    <s v="שעות נוספות"/>
    <s v="130"/>
    <e v="#N/A"/>
  </r>
  <r>
    <n v="181"/>
    <s v="82833"/>
    <n v="1"/>
    <s v="182833.181"/>
    <s v="מיסים וביטוח לאומי              "/>
    <m/>
    <m/>
    <n v="76000"/>
    <n v="71000"/>
    <n v="70527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1"/>
    <s v="הפרשות סוציאליות"/>
  </r>
  <r>
    <n v="182"/>
    <s v="82833"/>
    <n v="1"/>
    <s v="182833.182"/>
    <s v="קופות גמל והשתלמות              "/>
    <m/>
    <m/>
    <n v="60000"/>
    <n v="61000"/>
    <n v="56493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2"/>
    <s v="מיסיום ועלויות"/>
  </r>
  <r>
    <n v="851"/>
    <s v="82833"/>
    <n v="1"/>
    <s v="182833.851"/>
    <s v="ביכורי העיתים - חב' למוס' חינוך "/>
    <m/>
    <m/>
    <n v="283000"/>
    <n v="298000"/>
    <n v="353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1"/>
    <e v="#N/A"/>
  </r>
  <r>
    <n v="852"/>
    <s v="82833"/>
    <n v="1"/>
    <s v="182833.852"/>
    <s v="להקת תיאטרון יצוגי לנוער- חב' למ"/>
    <m/>
    <m/>
    <n v="20000"/>
    <n v="20000"/>
    <n v="20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2"/>
    <e v="#N/A"/>
  </r>
  <r>
    <n v="853"/>
    <s v="82833"/>
    <n v="1"/>
    <s v="182833.853"/>
    <s v="הפעלת מרכז למחול - חב' למוס' חינ"/>
    <m/>
    <m/>
    <n v="29000"/>
    <n v="29000"/>
    <n v="59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3"/>
    <e v="#N/A"/>
  </r>
  <r>
    <n v="854"/>
    <s v="82833"/>
    <n v="1"/>
    <s v="182833.854"/>
    <s v="מסלול להכשרת רקדנים - חב' למוס' "/>
    <m/>
    <m/>
    <n v="61000"/>
    <n v="61000"/>
    <n v="271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4"/>
    <e v="#N/A"/>
  </r>
  <r>
    <n v="110"/>
    <s v="82834"/>
    <n v="1"/>
    <s v="182834.110"/>
    <s v="משכורת כוללת                    "/>
    <m/>
    <m/>
    <n v="632000"/>
    <n v="763000"/>
    <n v="764558"/>
    <m/>
    <x v="7"/>
    <s v="שירותים ממלכתיים"/>
    <x v="34"/>
    <s v="תרבות"/>
    <x v="118"/>
    <s v="נוער"/>
    <s v="8283"/>
    <s v="חוגי נוער"/>
    <m/>
    <s v="1"/>
    <x v="9"/>
    <s v="11"/>
    <s v="השכר הקובע"/>
    <s v="110"/>
    <e v="#N/A"/>
  </r>
  <r>
    <n v="124"/>
    <s v="82834"/>
    <n v="1"/>
    <s v="182834.124"/>
    <s v="החזר הוצאות                     "/>
    <m/>
    <m/>
    <n v="47000"/>
    <n v="35000"/>
    <n v="49719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4"/>
    <e v="#N/A"/>
  </r>
  <r>
    <n v="126"/>
    <s v="82834"/>
    <n v="1"/>
    <s v="182834.126"/>
    <s v="הבראה                           "/>
    <m/>
    <m/>
    <n v="40000"/>
    <n v="25000"/>
    <n v="44552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6"/>
    <e v="#N/A"/>
  </r>
  <r>
    <n v="127"/>
    <s v="82834"/>
    <n v="1"/>
    <s v="182834.127"/>
    <s v="השתתפות באחזקת רכב - 6          "/>
    <m/>
    <m/>
    <n v="102000"/>
    <n v="81000"/>
    <n v="120841"/>
    <m/>
    <x v="7"/>
    <s v="שירותים ממלכתיים"/>
    <x v="34"/>
    <s v="תרבות"/>
    <x v="118"/>
    <s v="נוער"/>
    <s v="8283"/>
    <s v="חוגי נוער"/>
    <m/>
    <s v="1"/>
    <x v="9"/>
    <s v="12"/>
    <s v="תוספות שאינן נכללות בשכר הקובע"/>
    <s v="127"/>
    <e v="#N/A"/>
  </r>
  <r>
    <n v="130"/>
    <s v="82834"/>
    <n v="1"/>
    <s v="182834.130"/>
    <s v="תשלומים מיוחדים                 "/>
    <m/>
    <m/>
    <n v="119000"/>
    <n v="109000"/>
    <n v="132269"/>
    <m/>
    <x v="7"/>
    <s v="שירותים ממלכתיים"/>
    <x v="34"/>
    <s v="תרבות"/>
    <x v="118"/>
    <s v="נוער"/>
    <s v="8283"/>
    <s v="חוגי נוער"/>
    <m/>
    <s v="1"/>
    <x v="9"/>
    <s v="13"/>
    <s v="שעות נוספות"/>
    <s v="130"/>
    <e v="#N/A"/>
  </r>
  <r>
    <n v="181"/>
    <s v="82834"/>
    <n v="1"/>
    <s v="182834.181"/>
    <s v="מיסים וביטוח לאומי              "/>
    <m/>
    <m/>
    <n v="123000"/>
    <n v="133000"/>
    <n v="148765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1"/>
    <s v="הפרשות סוציאליות"/>
  </r>
  <r>
    <n v="182"/>
    <s v="82834"/>
    <n v="1"/>
    <s v="182834.182"/>
    <s v="קופות גמל והשתלמות              "/>
    <m/>
    <m/>
    <n v="160000"/>
    <n v="143000"/>
    <n v="174768"/>
    <m/>
    <x v="7"/>
    <s v="שירותים ממלכתיים"/>
    <x v="34"/>
    <s v="תרבות"/>
    <x v="118"/>
    <s v="נוער"/>
    <s v="8283"/>
    <s v="חוגי נוער"/>
    <m/>
    <s v="1"/>
    <x v="9"/>
    <s v="18"/>
    <s v="נלוות לשכר"/>
    <s v="182"/>
    <s v="מיסיום ועלויות"/>
  </r>
  <r>
    <n v="437"/>
    <s v="82834"/>
    <n v="1"/>
    <s v="182834.437"/>
    <s v="שמירה                           "/>
    <m/>
    <m/>
    <n v="96000"/>
    <n v="90000"/>
    <n v="75535"/>
    <m/>
    <x v="7"/>
    <s v="שירותים ממלכתיים"/>
    <x v="34"/>
    <s v="תרבות"/>
    <x v="118"/>
    <s v="נוער"/>
    <s v="8283"/>
    <s v="חוגי נוער"/>
    <m/>
    <s v="4"/>
    <x v="15"/>
    <s v="43"/>
    <s v="חשמל, מים וחומרי ניקיון"/>
    <s v="437"/>
    <e v="#N/A"/>
  </r>
  <r>
    <n v="853"/>
    <s v="82834"/>
    <n v="1"/>
    <s v="182834.853"/>
    <s v="מרכז המוסיקה ביפו - חב' למוסדות "/>
    <m/>
    <m/>
    <n v="727000"/>
    <n v="728000"/>
    <n v="804000"/>
    <m/>
    <x v="7"/>
    <s v="שירותים ממלכתיים"/>
    <x v="34"/>
    <s v="תרבות"/>
    <x v="118"/>
    <s v="נוער"/>
    <s v="8283"/>
    <s v="חוגי נוער"/>
    <m/>
    <s v="8"/>
    <x v="16"/>
    <s v="85"/>
    <s v="מלגות לתלמידים וסטודנטים"/>
    <s v="853"/>
    <e v="#N/A"/>
  </r>
  <r>
    <n v="110"/>
    <s v="82891"/>
    <n v="1"/>
    <s v="182891.110"/>
    <s v="משכורת כוללת                    "/>
    <m/>
    <m/>
    <n v="543000"/>
    <n v="425000"/>
    <n v="361114"/>
    <m/>
    <x v="7"/>
    <s v="שירותים ממלכתיים"/>
    <x v="34"/>
    <s v="תרבות"/>
    <x v="118"/>
    <s v="נוער"/>
    <s v="8289"/>
    <s v="תנועות נוער"/>
    <m/>
    <s v="1"/>
    <x v="9"/>
    <s v="11"/>
    <s v="השכר הקובע"/>
    <s v="110"/>
    <e v="#N/A"/>
  </r>
  <r>
    <n v="124"/>
    <s v="82891"/>
    <n v="1"/>
    <s v="182891.124"/>
    <s v="החזר הוצאות                     "/>
    <m/>
    <m/>
    <n v="57000"/>
    <n v="50000"/>
    <n v="52812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4"/>
    <e v="#N/A"/>
  </r>
  <r>
    <n v="126"/>
    <s v="82891"/>
    <n v="1"/>
    <s v="182891.126"/>
    <s v="הבראה                           "/>
    <m/>
    <m/>
    <n v="32000"/>
    <n v="31000"/>
    <n v="30902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6"/>
    <e v="#N/A"/>
  </r>
  <r>
    <n v="127"/>
    <s v="82891"/>
    <n v="1"/>
    <s v="182891.127"/>
    <s v="השתתפות באחזקת רכב - 7          "/>
    <m/>
    <m/>
    <n v="159000"/>
    <n v="160000"/>
    <n v="162177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7"/>
    <e v="#N/A"/>
  </r>
  <r>
    <n v="130"/>
    <s v="82891"/>
    <n v="1"/>
    <s v="182891.130"/>
    <s v="תשלומים מיוחדים                 "/>
    <m/>
    <m/>
    <n v="46000"/>
    <n v="47000"/>
    <n v="46425"/>
    <m/>
    <x v="7"/>
    <s v="שירותים ממלכתיים"/>
    <x v="34"/>
    <s v="תרבות"/>
    <x v="118"/>
    <s v="נוער"/>
    <s v="8289"/>
    <s v="תנועות נוער"/>
    <m/>
    <s v="1"/>
    <x v="9"/>
    <s v="13"/>
    <s v="שעות נוספות"/>
    <s v="130"/>
    <e v="#N/A"/>
  </r>
  <r>
    <n v="181"/>
    <s v="82891"/>
    <n v="1"/>
    <s v="182891.181"/>
    <s v="מיסים וביטוח לאומי              "/>
    <m/>
    <m/>
    <n v="123000"/>
    <n v="128000"/>
    <n v="131654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1"/>
    <s v="הפרשות סוציאליות"/>
  </r>
  <r>
    <n v="182"/>
    <s v="82891"/>
    <n v="1"/>
    <s v="182891.182"/>
    <s v="קופות גמל והשתלמות              "/>
    <m/>
    <m/>
    <n v="149000"/>
    <n v="153000"/>
    <n v="146007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2"/>
    <s v="מיסיום ועלויות"/>
  </r>
  <r>
    <n v="230"/>
    <s v="82891"/>
    <n v="1"/>
    <s v="182891.230"/>
    <s v="משימות חולפות - 1               "/>
    <m/>
    <m/>
    <n v="106000"/>
    <n v="266000"/>
    <n v="307260"/>
    <m/>
    <x v="7"/>
    <s v="שירותים ממלכתיים"/>
    <x v="34"/>
    <s v="תרבות"/>
    <x v="118"/>
    <s v="נוער"/>
    <s v="8289"/>
    <s v="תנועות נוער"/>
    <m/>
    <s v="2"/>
    <x v="10"/>
    <s v="23"/>
    <s v="שעות נוספות"/>
    <s v="230"/>
    <e v="#N/A"/>
  </r>
  <r>
    <n v="461"/>
    <s v="82891"/>
    <n v="1"/>
    <s v="182891.461"/>
    <s v="צורכי משרד                      "/>
    <m/>
    <m/>
    <n v="6000"/>
    <n v="6000"/>
    <n v="0"/>
    <m/>
    <x v="7"/>
    <s v="שירותים ממלכתיים"/>
    <x v="34"/>
    <s v="תרבות"/>
    <x v="118"/>
    <s v="נוער"/>
    <s v="8289"/>
    <s v="תנועות נוער"/>
    <m/>
    <s v="4"/>
    <x v="15"/>
    <s v="46"/>
    <e v="#N/A"/>
    <s v="461"/>
    <e v="#N/A"/>
  </r>
  <r>
    <n v="670"/>
    <s v="82891"/>
    <n v="1"/>
    <s v="182891.670"/>
    <s v="סעיף שאינו חוזר                 "/>
    <m/>
    <m/>
    <n v="0"/>
    <n v="11000"/>
    <n v="10762"/>
    <m/>
    <x v="7"/>
    <s v="שירותים ממלכתיים"/>
    <x v="34"/>
    <s v="תרבות"/>
    <x v="118"/>
    <s v="נוער"/>
    <s v="8289"/>
    <s v="תנועות נוער"/>
    <m/>
    <s v="6"/>
    <x v="12"/>
    <s v="67"/>
    <e v="#N/A"/>
    <s v="670"/>
    <e v="#N/A"/>
  </r>
  <r>
    <n v="781"/>
    <s v="82891"/>
    <n v="1"/>
    <s v="182891.781"/>
    <s v="הוצאות בטחון ובטיחות            "/>
    <m/>
    <m/>
    <n v="5000"/>
    <n v="5000"/>
    <n v="0"/>
    <m/>
    <x v="7"/>
    <s v="שירותים ממלכתיים"/>
    <x v="34"/>
    <s v="תרבות"/>
    <x v="118"/>
    <s v="נוער"/>
    <s v="8289"/>
    <s v="תנועות נוער"/>
    <m/>
    <s v="7"/>
    <x v="13"/>
    <s v="78"/>
    <s v="הוצאות שונות"/>
    <s v="781"/>
    <e v="#N/A"/>
  </r>
  <r>
    <n v="851"/>
    <s v="82891"/>
    <n v="1"/>
    <s v="182891.851"/>
    <s v="נבחרת מנהיגות- מוסדות חינוך     "/>
    <m/>
    <m/>
    <n v="49000"/>
    <n v="49000"/>
    <n v="49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1"/>
    <e v="#N/A"/>
  </r>
  <r>
    <n v="852"/>
    <s v="82891"/>
    <n v="1"/>
    <s v="182891.852"/>
    <s v="פרוייקט מנהיגות צעירה-מוס ח     "/>
    <m/>
    <m/>
    <n v="410000"/>
    <n v="410000"/>
    <n v="624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2"/>
    <e v="#N/A"/>
  </r>
  <r>
    <n v="853"/>
    <s v="82891"/>
    <n v="1"/>
    <s v="182891.853"/>
    <s v="מרכזי נוער שכונתיים - חב' למוסדו"/>
    <m/>
    <m/>
    <n v="1392000"/>
    <n v="1092000"/>
    <n v="1012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3"/>
    <e v="#N/A"/>
  </r>
  <r>
    <n v="854"/>
    <s v="82891"/>
    <n v="1"/>
    <s v="182891.854"/>
    <s v="פעילויות קיץ/ציפורי לילה-מוס ח  "/>
    <m/>
    <m/>
    <n v="99000"/>
    <n v="99000"/>
    <n v="536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4"/>
    <e v="#N/A"/>
  </r>
  <r>
    <n v="855"/>
    <s v="82891"/>
    <n v="1"/>
    <s v="182891.855"/>
    <s v="מזא ה 9 - חב' למוסדות חינוך     "/>
    <m/>
    <m/>
    <n v="513000"/>
    <n v="484000"/>
    <n v="484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5"/>
    <e v="#N/A"/>
  </r>
  <r>
    <n v="857"/>
    <s v="82891"/>
    <n v="1"/>
    <s v="182891.857"/>
    <s v="סיירת הורים - חב' למוסדות חינוך "/>
    <m/>
    <m/>
    <n v="219000"/>
    <n v="99000"/>
    <n v="99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7"/>
    <e v="#N/A"/>
  </r>
  <r>
    <n v="858"/>
    <s v="82891"/>
    <n v="1"/>
    <s v="182891.858"/>
    <s v="אוסישקין 9 - חברה למוס ח        "/>
    <m/>
    <m/>
    <n v="114000"/>
    <n v="111000"/>
    <n v="112617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8"/>
    <e v="#N/A"/>
  </r>
  <r>
    <n v="859"/>
    <s v="82891"/>
    <n v="1"/>
    <s v="182891.859"/>
    <s v="דירות שנת שירות חב' למוסדות חינו"/>
    <m/>
    <m/>
    <n v="162000"/>
    <n v="132000"/>
    <n v="125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9"/>
    <e v="#N/A"/>
  </r>
  <r>
    <n v="411"/>
    <s v="82892"/>
    <n v="1"/>
    <s v="182892.411"/>
    <s v="שכר דירה                        "/>
    <m/>
    <m/>
    <n v="152000"/>
    <n v="148000"/>
    <n v="136445"/>
    <m/>
    <x v="7"/>
    <s v="שירותים ממלכתיים"/>
    <x v="34"/>
    <s v="תרבות"/>
    <x v="118"/>
    <s v="נוער"/>
    <s v="8289"/>
    <s v="תנועות נוער"/>
    <m/>
    <s v="4"/>
    <x v="15"/>
    <s v="41"/>
    <s v="שכר דירה ודמי חכירה"/>
    <s v="411"/>
    <e v="#N/A"/>
  </r>
  <r>
    <n v="852"/>
    <s v="82892"/>
    <n v="1"/>
    <s v="182892.852"/>
    <s v="השתת' בפרוייקט צמיד-מוס ח       "/>
    <m/>
    <m/>
    <n v="84000"/>
    <n v="84000"/>
    <n v="84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2"/>
    <e v="#N/A"/>
  </r>
  <r>
    <n v="853"/>
    <s v="82892"/>
    <n v="1"/>
    <s v="182892.853"/>
    <s v="הפעלת שבטי הצופים-החב' למוסדו ח "/>
    <m/>
    <m/>
    <n v="5475000"/>
    <n v="5055000"/>
    <n v="5085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3"/>
    <e v="#N/A"/>
  </r>
  <r>
    <n v="110"/>
    <s v="82893"/>
    <n v="1"/>
    <s v="182893.110"/>
    <s v="משכורת כוללת                    "/>
    <m/>
    <m/>
    <n v="83000"/>
    <n v="78000"/>
    <n v="79159"/>
    <m/>
    <x v="7"/>
    <s v="שירותים ממלכתיים"/>
    <x v="34"/>
    <s v="תרבות"/>
    <x v="118"/>
    <s v="נוער"/>
    <s v="8289"/>
    <s v="תנועות נוער"/>
    <m/>
    <s v="1"/>
    <x v="9"/>
    <s v="11"/>
    <s v="השכר הקובע"/>
    <s v="110"/>
    <e v="#N/A"/>
  </r>
  <r>
    <n v="124"/>
    <s v="82893"/>
    <n v="1"/>
    <s v="182893.124"/>
    <s v="החזר הוצאות                     "/>
    <m/>
    <m/>
    <n v="5000"/>
    <n v="5000"/>
    <n v="5360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4"/>
    <e v="#N/A"/>
  </r>
  <r>
    <n v="126"/>
    <s v="82893"/>
    <n v="1"/>
    <s v="182893.126"/>
    <s v="הבראה                           "/>
    <m/>
    <m/>
    <n v="4000"/>
    <n v="4000"/>
    <n v="3985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6"/>
    <e v="#N/A"/>
  </r>
  <r>
    <n v="127"/>
    <s v="82893"/>
    <n v="1"/>
    <s v="182893.127"/>
    <s v="השתתפות באחזקת רכב - 1          "/>
    <m/>
    <m/>
    <n v="30000"/>
    <n v="0"/>
    <n v="13150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7"/>
    <e v="#N/A"/>
  </r>
  <r>
    <n v="130"/>
    <s v="82893"/>
    <n v="1"/>
    <s v="182893.130"/>
    <s v="תשלומים מיוחדים                 "/>
    <m/>
    <m/>
    <n v="2000"/>
    <n v="2000"/>
    <n v="2087"/>
    <m/>
    <x v="7"/>
    <s v="שירותים ממלכתיים"/>
    <x v="34"/>
    <s v="תרבות"/>
    <x v="118"/>
    <s v="נוער"/>
    <s v="8289"/>
    <s v="תנועות נוער"/>
    <m/>
    <s v="1"/>
    <x v="9"/>
    <s v="13"/>
    <s v="שעות נוספות"/>
    <s v="130"/>
    <e v="#N/A"/>
  </r>
  <r>
    <n v="181"/>
    <s v="82893"/>
    <n v="1"/>
    <s v="182893.181"/>
    <s v="מיסים וביטוח לאומי              "/>
    <m/>
    <m/>
    <n v="12000"/>
    <n v="12000"/>
    <n v="15107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1"/>
    <s v="הפרשות סוציאליות"/>
  </r>
  <r>
    <n v="182"/>
    <s v="82893"/>
    <n v="1"/>
    <s v="182893.182"/>
    <s v="קופות גמל והשתלמות              "/>
    <m/>
    <m/>
    <n v="23000"/>
    <n v="21000"/>
    <n v="21357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2"/>
    <s v="מיסיום ועלויות"/>
  </r>
  <r>
    <n v="411"/>
    <s v="82893"/>
    <n v="1"/>
    <s v="182893.411"/>
    <s v="שכר דירה                        "/>
    <m/>
    <m/>
    <n v="137000"/>
    <n v="137000"/>
    <n v="133119"/>
    <m/>
    <x v="7"/>
    <s v="שירותים ממלכתיים"/>
    <x v="34"/>
    <s v="תרבות"/>
    <x v="118"/>
    <s v="נוער"/>
    <s v="8289"/>
    <s v="תנועות נוער"/>
    <m/>
    <s v="4"/>
    <x v="15"/>
    <s v="41"/>
    <s v="שכר דירה ודמי חכירה"/>
    <s v="411"/>
    <e v="#N/A"/>
  </r>
  <r>
    <n v="851"/>
    <s v="82893"/>
    <n v="1"/>
    <s v="182893.851"/>
    <s v="תנועות הנוער-חב' למוסדות חינוך  "/>
    <m/>
    <m/>
    <n v="822000"/>
    <n v="742000"/>
    <n v="742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1"/>
    <e v="#N/A"/>
  </r>
  <r>
    <n v="852"/>
    <s v="82893"/>
    <n v="1"/>
    <s v="182893.852"/>
    <s v="הצופים המוסלמים                 "/>
    <m/>
    <m/>
    <n v="377000"/>
    <n v="377000"/>
    <n v="377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2"/>
    <e v="#N/A"/>
  </r>
  <r>
    <n v="853"/>
    <s v="82893"/>
    <n v="1"/>
    <s v="182893.853"/>
    <s v="הצופים הנוצרים                  "/>
    <m/>
    <m/>
    <n v="407000"/>
    <n v="407000"/>
    <n v="407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3"/>
    <e v="#N/A"/>
  </r>
  <r>
    <n v="858"/>
    <s v="82893"/>
    <n v="1"/>
    <s v="182893.858"/>
    <s v="תחום הצעירים - חב' למוסדות חינוך"/>
    <m/>
    <m/>
    <n v="1690000"/>
    <n v="1626000"/>
    <n v="1426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8"/>
    <e v="#N/A"/>
  </r>
  <r>
    <n v="411"/>
    <s v="82894"/>
    <n v="1"/>
    <s v="182894.411"/>
    <s v="שכר דירה ודמי עגינה             "/>
    <m/>
    <m/>
    <n v="600000"/>
    <n v="600000"/>
    <n v="596933"/>
    <m/>
    <x v="7"/>
    <s v="שירותים ממלכתיים"/>
    <x v="34"/>
    <s v="תרבות"/>
    <x v="118"/>
    <s v="נוער"/>
    <s v="8289"/>
    <s v="תנועות נוער"/>
    <m/>
    <s v="4"/>
    <x v="15"/>
    <s v="41"/>
    <s v="שכר דירה ודמי חכירה"/>
    <s v="411"/>
    <e v="#N/A"/>
  </r>
  <r>
    <n v="433"/>
    <s v="82894"/>
    <n v="1"/>
    <s v="182894.433"/>
    <s v="ביטוח                           "/>
    <m/>
    <m/>
    <n v="341000"/>
    <n v="311000"/>
    <n v="249000"/>
    <m/>
    <x v="7"/>
    <s v="שירותים ממלכתיים"/>
    <x v="34"/>
    <s v="תרבות"/>
    <x v="118"/>
    <s v="נוער"/>
    <s v="8289"/>
    <s v="תנועות נוער"/>
    <m/>
    <s v="4"/>
    <x v="15"/>
    <s v="43"/>
    <s v="חשמל, מים וחומרי ניקיון"/>
    <s v="433"/>
    <s v="חומרי ניקיון"/>
  </r>
  <r>
    <n v="670"/>
    <s v="82894"/>
    <n v="1"/>
    <s v="182894.670"/>
    <s v="סעיף שאינו חוזר                 "/>
    <m/>
    <m/>
    <n v="0"/>
    <n v="12000"/>
    <n v="11201"/>
    <m/>
    <x v="7"/>
    <s v="שירותים ממלכתיים"/>
    <x v="34"/>
    <s v="תרבות"/>
    <x v="118"/>
    <s v="נוער"/>
    <s v="8289"/>
    <s v="תנועות נוער"/>
    <m/>
    <s v="6"/>
    <x v="12"/>
    <s v="67"/>
    <e v="#N/A"/>
    <s v="670"/>
    <e v="#N/A"/>
  </r>
  <r>
    <n v="852"/>
    <s v="82894"/>
    <n v="1"/>
    <s v="182894.852"/>
    <s v="הפעלת צופי ים-חב' למוסדות חינוך "/>
    <m/>
    <m/>
    <n v="1126000"/>
    <n v="1126000"/>
    <n v="926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2"/>
    <e v="#N/A"/>
  </r>
  <r>
    <n v="851"/>
    <s v="82895"/>
    <n v="1"/>
    <s v="182895.851"/>
    <s v="מרכז החתירה - חב' למוסדות חינוך "/>
    <m/>
    <m/>
    <n v="1899000"/>
    <n v="1899000"/>
    <n v="1969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1"/>
    <e v="#N/A"/>
  </r>
  <r>
    <n v="999"/>
    <s v="82895"/>
    <n v="1"/>
    <s v="182895.999"/>
    <s v="השתתפות למרכז לחינוך ימי        "/>
    <m/>
    <m/>
    <n v="1143000"/>
    <n v="1193000"/>
    <n v="1050000"/>
    <m/>
    <x v="7"/>
    <s v="שירותים ממלכתיים"/>
    <x v="34"/>
    <s v="תרבות"/>
    <x v="118"/>
    <s v="נוער"/>
    <s v="8289"/>
    <s v="תנועות נוער"/>
    <m/>
    <s v="9"/>
    <x v="17"/>
    <s v="99"/>
    <e v="#N/A"/>
    <s v="999"/>
    <e v="#N/A"/>
  </r>
  <r>
    <n v="851"/>
    <s v="82896"/>
    <n v="1"/>
    <s v="182896.851"/>
    <s v="מרכז מנהיגות נוער לב יפו-מוס ח  "/>
    <m/>
    <m/>
    <n v="621000"/>
    <n v="371000"/>
    <n v="406000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1"/>
    <e v="#N/A"/>
  </r>
  <r>
    <n v="110"/>
    <s v="82897"/>
    <n v="1"/>
    <s v="182897.110"/>
    <s v="משכורת כוללת                    "/>
    <m/>
    <m/>
    <n v="135000"/>
    <n v="136000"/>
    <n v="129184"/>
    <m/>
    <x v="7"/>
    <s v="שירותים ממלכתיים"/>
    <x v="34"/>
    <s v="תרבות"/>
    <x v="118"/>
    <s v="נוער"/>
    <s v="8289"/>
    <s v="תנועות נוער"/>
    <m/>
    <s v="1"/>
    <x v="9"/>
    <s v="11"/>
    <s v="השכר הקובע"/>
    <s v="110"/>
    <e v="#N/A"/>
  </r>
  <r>
    <n v="124"/>
    <s v="82897"/>
    <n v="1"/>
    <s v="182897.124"/>
    <s v="החזר הוצאות                     "/>
    <m/>
    <m/>
    <n v="5000"/>
    <n v="5000"/>
    <n v="5360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4"/>
    <e v="#N/A"/>
  </r>
  <r>
    <n v="126"/>
    <s v="82897"/>
    <n v="1"/>
    <s v="182897.126"/>
    <s v="הבראה                           "/>
    <m/>
    <m/>
    <n v="6000"/>
    <n v="6000"/>
    <n v="5551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6"/>
    <e v="#N/A"/>
  </r>
  <r>
    <n v="127"/>
    <s v="82897"/>
    <n v="1"/>
    <s v="182897.127"/>
    <s v="השתתפות באחזקת רכב-1            "/>
    <m/>
    <m/>
    <n v="32000"/>
    <n v="29000"/>
    <n v="32101"/>
    <m/>
    <x v="7"/>
    <s v="שירותים ממלכתיים"/>
    <x v="34"/>
    <s v="תרבות"/>
    <x v="118"/>
    <s v="נוער"/>
    <s v="8289"/>
    <s v="תנועות נוער"/>
    <m/>
    <s v="1"/>
    <x v="9"/>
    <s v="12"/>
    <s v="תוספות שאינן נכללות בשכר הקובע"/>
    <s v="127"/>
    <e v="#N/A"/>
  </r>
  <r>
    <n v="130"/>
    <s v="82897"/>
    <n v="1"/>
    <s v="182897.130"/>
    <s v="תשלומים מיוחדים                 "/>
    <m/>
    <m/>
    <n v="21000"/>
    <n v="17000"/>
    <n v="19971"/>
    <m/>
    <x v="7"/>
    <s v="שירותים ממלכתיים"/>
    <x v="34"/>
    <s v="תרבות"/>
    <x v="118"/>
    <s v="נוער"/>
    <s v="8289"/>
    <s v="תנועות נוער"/>
    <m/>
    <s v="1"/>
    <x v="9"/>
    <s v="13"/>
    <s v="שעות נוספות"/>
    <s v="130"/>
    <e v="#N/A"/>
  </r>
  <r>
    <n v="181"/>
    <s v="82897"/>
    <n v="1"/>
    <s v="182897.181"/>
    <s v="מיסים וביטוח לאומי              "/>
    <m/>
    <m/>
    <n v="26000"/>
    <n v="25000"/>
    <n v="25484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1"/>
    <s v="הפרשות סוציאליות"/>
  </r>
  <r>
    <n v="182"/>
    <s v="82897"/>
    <n v="1"/>
    <s v="182897.182"/>
    <s v="קופות גמל והשתלמות              "/>
    <m/>
    <m/>
    <n v="17000"/>
    <n v="17000"/>
    <n v="16570"/>
    <m/>
    <x v="7"/>
    <s v="שירותים ממלכתיים"/>
    <x v="34"/>
    <s v="תרבות"/>
    <x v="118"/>
    <s v="נוער"/>
    <s v="8289"/>
    <s v="תנועות נוער"/>
    <m/>
    <s v="1"/>
    <x v="9"/>
    <s v="18"/>
    <s v="נלוות לשכר"/>
    <s v="182"/>
    <s v="מיסיום ועלויות"/>
  </r>
  <r>
    <n v="851"/>
    <s v="82897"/>
    <n v="1"/>
    <s v="182897.851"/>
    <s v="מרכז לקהילה הגאה-מוס ח          "/>
    <m/>
    <m/>
    <n v="810000"/>
    <n v="386000"/>
    <n v="715211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1"/>
    <e v="#N/A"/>
  </r>
  <r>
    <n v="852"/>
    <s v="82897"/>
    <n v="1"/>
    <s v="182897.852"/>
    <s v="טרנס לעתיד בטוח                 "/>
    <m/>
    <m/>
    <n v="282000"/>
    <n v="67000"/>
    <n v="86781"/>
    <m/>
    <x v="7"/>
    <s v="שירותים ממלכתיים"/>
    <x v="34"/>
    <s v="תרבות"/>
    <x v="118"/>
    <s v="נוער"/>
    <s v="8289"/>
    <s v="תנועות נוער"/>
    <m/>
    <s v="8"/>
    <x v="16"/>
    <s v="85"/>
    <s v="מלגות לתלמידים וסטודנטים"/>
    <s v="852"/>
    <e v="#N/A"/>
  </r>
  <r>
    <n v="110"/>
    <s v="82911"/>
    <n v="1"/>
    <s v="182911.110"/>
    <s v="משכורת כוללת                    "/>
    <m/>
    <m/>
    <n v="947000"/>
    <n v="953000"/>
    <n v="915311"/>
    <m/>
    <x v="7"/>
    <s v="שירותים ממלכתיים"/>
    <x v="34"/>
    <s v="תרבות"/>
    <x v="119"/>
    <s v="ספורט"/>
    <s v="8291"/>
    <e v="#N/A"/>
    <m/>
    <s v="1"/>
    <x v="9"/>
    <s v="11"/>
    <s v="השכר הקובע"/>
    <s v="110"/>
    <e v="#N/A"/>
  </r>
  <r>
    <n v="124"/>
    <s v="82911"/>
    <n v="1"/>
    <s v="182911.124"/>
    <s v="החזר הוצאות                     "/>
    <m/>
    <m/>
    <n v="46000"/>
    <n v="45000"/>
    <n v="44659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4"/>
    <e v="#N/A"/>
  </r>
  <r>
    <n v="126"/>
    <s v="82911"/>
    <n v="1"/>
    <s v="182911.126"/>
    <s v="הבראה                           "/>
    <m/>
    <m/>
    <n v="45000"/>
    <n v="46000"/>
    <n v="45049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6"/>
    <e v="#N/A"/>
  </r>
  <r>
    <n v="127"/>
    <s v="82911"/>
    <n v="1"/>
    <s v="182911.127"/>
    <s v="השתתפות באחזקת רכב - 7          "/>
    <m/>
    <m/>
    <n v="188000"/>
    <n v="176000"/>
    <n v="190332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7"/>
    <e v="#N/A"/>
  </r>
  <r>
    <n v="130"/>
    <s v="82911"/>
    <n v="1"/>
    <s v="182911.130"/>
    <s v="תשלומים מיוחדים                 "/>
    <m/>
    <m/>
    <n v="144000"/>
    <n v="131000"/>
    <n v="134314"/>
    <m/>
    <x v="7"/>
    <s v="שירותים ממלכתיים"/>
    <x v="34"/>
    <s v="תרבות"/>
    <x v="119"/>
    <s v="ספורט"/>
    <s v="8291"/>
    <e v="#N/A"/>
    <m/>
    <s v="1"/>
    <x v="9"/>
    <s v="13"/>
    <s v="שעות נוספות"/>
    <s v="130"/>
    <e v="#N/A"/>
  </r>
  <r>
    <n v="181"/>
    <s v="82911"/>
    <n v="1"/>
    <s v="182911.181"/>
    <s v="מיסים וביטוח לאומי              "/>
    <m/>
    <m/>
    <n v="179000"/>
    <n v="177000"/>
    <n v="189334"/>
    <m/>
    <x v="7"/>
    <s v="שירותים ממלכתיים"/>
    <x v="34"/>
    <s v="תרבות"/>
    <x v="119"/>
    <s v="ספורט"/>
    <s v="8291"/>
    <e v="#N/A"/>
    <m/>
    <s v="1"/>
    <x v="9"/>
    <s v="18"/>
    <s v="נלוות לשכר"/>
    <s v="181"/>
    <s v="הפרשות סוציאליות"/>
  </r>
  <r>
    <n v="182"/>
    <s v="82911"/>
    <n v="1"/>
    <s v="182911.182"/>
    <s v="קופות גמל והשתלמות              "/>
    <m/>
    <m/>
    <n v="156000"/>
    <n v="166000"/>
    <n v="158136"/>
    <m/>
    <x v="7"/>
    <s v="שירותים ממלכתיים"/>
    <x v="34"/>
    <s v="תרבות"/>
    <x v="119"/>
    <s v="ספורט"/>
    <s v="8291"/>
    <e v="#N/A"/>
    <m/>
    <s v="1"/>
    <x v="9"/>
    <s v="18"/>
    <s v="נלוות לשכר"/>
    <s v="182"/>
    <s v="מיסיום ועלויות"/>
  </r>
  <r>
    <n v="412"/>
    <s v="82911"/>
    <n v="1"/>
    <s v="182911.412"/>
    <s v="מיסים ואגרות                    "/>
    <m/>
    <m/>
    <n v="9000"/>
    <n v="9000"/>
    <n v="0"/>
    <m/>
    <x v="7"/>
    <s v="שירותים ממלכתיים"/>
    <x v="34"/>
    <s v="תרבות"/>
    <x v="119"/>
    <s v="ספורט"/>
    <s v="8291"/>
    <e v="#N/A"/>
    <m/>
    <s v="4"/>
    <x v="15"/>
    <s v="41"/>
    <s v="שכר דירה ודמי חכירה"/>
    <s v="412"/>
    <e v="#N/A"/>
  </r>
  <r>
    <n v="433"/>
    <s v="82911"/>
    <n v="1"/>
    <s v="182911.433"/>
    <s v="ביטוח                           "/>
    <m/>
    <m/>
    <n v="71000"/>
    <n v="67000"/>
    <n v="58000"/>
    <m/>
    <x v="7"/>
    <s v="שירותים ממלכתיים"/>
    <x v="34"/>
    <s v="תרבות"/>
    <x v="119"/>
    <s v="ספורט"/>
    <s v="8291"/>
    <e v="#N/A"/>
    <m/>
    <s v="4"/>
    <x v="15"/>
    <s v="43"/>
    <s v="חשמל, מים וחומרי ניקיון"/>
    <s v="433"/>
    <s v="חומרי ניקיון"/>
  </r>
  <r>
    <n v="434"/>
    <s v="82911"/>
    <n v="1"/>
    <s v="182911.434"/>
    <s v="תקוני מבנים מתקנים ואינונטר     "/>
    <m/>
    <m/>
    <n v="21000"/>
    <n v="20000"/>
    <n v="18865"/>
    <m/>
    <x v="7"/>
    <s v="שירותים ממלכתיים"/>
    <x v="34"/>
    <s v="תרבות"/>
    <x v="119"/>
    <s v="ספורט"/>
    <s v="8291"/>
    <e v="#N/A"/>
    <m/>
    <s v="4"/>
    <x v="15"/>
    <s v="43"/>
    <s v="חשמל, מים וחומרי ניקיון"/>
    <s v="434"/>
    <s v="שירותי ניקיון"/>
  </r>
  <r>
    <n v="461"/>
    <s v="82911"/>
    <n v="1"/>
    <s v="182911.461"/>
    <s v="צורכי משרד                      "/>
    <m/>
    <m/>
    <n v="13000"/>
    <n v="12000"/>
    <n v="5067"/>
    <m/>
    <x v="7"/>
    <s v="שירותים ממלכתיים"/>
    <x v="34"/>
    <s v="תרבות"/>
    <x v="119"/>
    <s v="ספורט"/>
    <s v="8291"/>
    <e v="#N/A"/>
    <m/>
    <s v="4"/>
    <x v="15"/>
    <s v="46"/>
    <e v="#N/A"/>
    <s v="461"/>
    <e v="#N/A"/>
  </r>
  <r>
    <n v="521"/>
    <s v="82911"/>
    <n v="1"/>
    <s v="182911.521"/>
    <s v="הדרכה וכנסים                    "/>
    <m/>
    <m/>
    <n v="18000"/>
    <n v="18000"/>
    <n v="18029"/>
    <m/>
    <x v="7"/>
    <s v="שירותים ממלכתיים"/>
    <x v="34"/>
    <s v="תרבות"/>
    <x v="119"/>
    <s v="ספורט"/>
    <s v="8291"/>
    <e v="#N/A"/>
    <m/>
    <s v="5"/>
    <x v="11"/>
    <s v="52"/>
    <s v="השתלמויות וספרות מקצועית"/>
    <s v="521"/>
    <s v="השתלמויות וספרות מקצועית"/>
  </r>
  <r>
    <n v="541"/>
    <s v="82911"/>
    <n v="1"/>
    <s v="182911.541"/>
    <s v="החזקת מכשירי קשר וסלולרי        "/>
    <m/>
    <m/>
    <n v="9000"/>
    <n v="0"/>
    <n v="0"/>
    <m/>
    <x v="7"/>
    <s v="שירותים ממלכתיים"/>
    <x v="34"/>
    <s v="תרבות"/>
    <x v="119"/>
    <s v="ספורט"/>
    <s v="8291"/>
    <e v="#N/A"/>
    <m/>
    <s v="5"/>
    <x v="11"/>
    <s v="54"/>
    <s v="הוצאות תקשורת"/>
    <s v="541"/>
    <e v="#N/A"/>
  </r>
  <r>
    <n v="610"/>
    <s v="82911"/>
    <n v="1"/>
    <s v="182911.610"/>
    <s v="כיבודים                         "/>
    <m/>
    <m/>
    <n v="8000"/>
    <n v="7000"/>
    <n v="6895"/>
    <m/>
    <x v="7"/>
    <s v="שירותים ממלכתיים"/>
    <x v="34"/>
    <s v="תרבות"/>
    <x v="119"/>
    <s v="ספורט"/>
    <s v="8291"/>
    <e v="#N/A"/>
    <m/>
    <s v="6"/>
    <x v="12"/>
    <s v="61"/>
    <s v="עמלות"/>
    <s v="610"/>
    <e v="#N/A"/>
  </r>
  <r>
    <n v="670"/>
    <s v="82911"/>
    <n v="1"/>
    <s v="182911.670"/>
    <s v="סעיף שאינו חוזר                 "/>
    <m/>
    <m/>
    <n v="0"/>
    <n v="12000"/>
    <n v="13279"/>
    <m/>
    <x v="7"/>
    <s v="שירותים ממלכתיים"/>
    <x v="34"/>
    <s v="תרבות"/>
    <x v="119"/>
    <s v="ספורט"/>
    <s v="8291"/>
    <e v="#N/A"/>
    <m/>
    <s v="6"/>
    <x v="12"/>
    <s v="67"/>
    <e v="#N/A"/>
    <s v="670"/>
    <e v="#N/A"/>
  </r>
  <r>
    <n v="720"/>
    <s v="82911"/>
    <n v="1"/>
    <s v="182911.720"/>
    <s v="חמרי לימוד וציוד                "/>
    <m/>
    <m/>
    <n v="10000"/>
    <n v="10000"/>
    <n v="8129"/>
    <m/>
    <x v="7"/>
    <s v="שירותים ממלכתיים"/>
    <x v="34"/>
    <s v="תרבות"/>
    <x v="119"/>
    <s v="ספורט"/>
    <s v="8291"/>
    <e v="#N/A"/>
    <m/>
    <s v="7"/>
    <x v="13"/>
    <s v="72"/>
    <s v="חומרים"/>
    <s v="720"/>
    <e v="#N/A"/>
  </r>
  <r>
    <n v="821"/>
    <s v="82911"/>
    <n v="1"/>
    <s v="182911.821"/>
    <s v="פרס לספורטאים מצטיינים ע ש אדיר "/>
    <m/>
    <m/>
    <n v="43000"/>
    <n v="43000"/>
    <n v="42999"/>
    <m/>
    <x v="7"/>
    <s v="שירותים ממלכתיים"/>
    <x v="34"/>
    <s v="תרבות"/>
    <x v="119"/>
    <s v="ספורט"/>
    <s v="8291"/>
    <e v="#N/A"/>
    <m/>
    <s v="8"/>
    <x v="16"/>
    <s v="82"/>
    <s v="הקצבות בהמלצת ועדת הקצבות"/>
    <s v="821"/>
    <e v="#N/A"/>
  </r>
  <r>
    <n v="822"/>
    <s v="82911"/>
    <n v="1"/>
    <s v="182911.822"/>
    <s v="פרס לספורטאים ומאמנים צעירים ובו"/>
    <m/>
    <m/>
    <n v="250000"/>
    <n v="250000"/>
    <n v="100000"/>
    <m/>
    <x v="7"/>
    <s v="שירותים ממלכתיים"/>
    <x v="34"/>
    <s v="תרבות"/>
    <x v="119"/>
    <s v="ספורט"/>
    <s v="8291"/>
    <e v="#N/A"/>
    <m/>
    <s v="8"/>
    <x v="16"/>
    <s v="82"/>
    <s v="הקצבות בהמלצת ועדת הקצבות"/>
    <s v="822"/>
    <e v="#N/A"/>
  </r>
  <r>
    <n v="852"/>
    <s v="82911"/>
    <n v="1"/>
    <s v="182911.852"/>
    <s v="ספורט השגי במרכזים קהילתיים     "/>
    <m/>
    <m/>
    <n v="95000"/>
    <n v="95000"/>
    <n v="94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2"/>
    <e v="#N/A"/>
  </r>
  <r>
    <n v="853"/>
    <s v="82911"/>
    <n v="1"/>
    <s v="182911.853"/>
    <s v="גדנ ע ת א- חב' למוסדות חינוך    "/>
    <m/>
    <m/>
    <n v="595000"/>
    <n v="595000"/>
    <n v="625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3"/>
    <e v="#N/A"/>
  </r>
  <r>
    <n v="854"/>
    <s v="82911"/>
    <n v="1"/>
    <s v="182911.854"/>
    <s v="אליפויות וטורנירים- מוס ח       "/>
    <m/>
    <m/>
    <n v="50000"/>
    <n v="50000"/>
    <n v="49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4"/>
    <e v="#N/A"/>
  </r>
  <r>
    <n v="859"/>
    <s v="82911"/>
    <n v="1"/>
    <s v="182911.859"/>
    <s v="רכישות ותיקונים של מתקני ספורט  "/>
    <m/>
    <m/>
    <n v="151000"/>
    <n v="151000"/>
    <n v="151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9"/>
    <e v="#N/A"/>
  </r>
  <r>
    <n v="861"/>
    <s v="82911"/>
    <n v="1"/>
    <s v="182911.861"/>
    <s v="מועדוני ספורט בית ספריים-יובל חי"/>
    <m/>
    <m/>
    <n v="150000"/>
    <n v="150000"/>
    <n v="175999"/>
    <m/>
    <x v="7"/>
    <s v="שירותים ממלכתיים"/>
    <x v="34"/>
    <s v="תרבות"/>
    <x v="119"/>
    <s v="ספורט"/>
    <s v="8291"/>
    <e v="#N/A"/>
    <m/>
    <s v="8"/>
    <x v="16"/>
    <s v="86"/>
    <s v="הנחות"/>
    <s v="861"/>
    <e v="#N/A"/>
  </r>
  <r>
    <n v="881"/>
    <s v="82911"/>
    <n v="1"/>
    <s v="182911.881"/>
    <s v="יוזמות ואירועי ספורט במימון ממשל"/>
    <m/>
    <m/>
    <n v="600000"/>
    <n v="600000"/>
    <n v="828793"/>
    <m/>
    <x v="7"/>
    <s v="שירותים ממלכתיים"/>
    <x v="34"/>
    <s v="תרבות"/>
    <x v="119"/>
    <s v="ספורט"/>
    <s v="8291"/>
    <e v="#N/A"/>
    <m/>
    <s v="8"/>
    <x v="16"/>
    <s v="88"/>
    <e v="#N/A"/>
    <s v="881"/>
    <e v="#N/A"/>
  </r>
  <r>
    <n v="882"/>
    <s v="82911"/>
    <n v="1"/>
    <s v="182911.882"/>
    <s v="מועדוני ספורט בבתי ספר - בתי ספר"/>
    <m/>
    <m/>
    <n v="250000"/>
    <n v="250000"/>
    <n v="224000"/>
    <m/>
    <x v="7"/>
    <s v="שירותים ממלכתיים"/>
    <x v="34"/>
    <s v="תרבות"/>
    <x v="119"/>
    <s v="ספורט"/>
    <s v="8291"/>
    <e v="#N/A"/>
    <m/>
    <s v="8"/>
    <x v="16"/>
    <s v="88"/>
    <e v="#N/A"/>
    <s v="882"/>
    <e v="#N/A"/>
  </r>
  <r>
    <n v="883"/>
    <s v="82911"/>
    <n v="1"/>
    <s v="182911.883"/>
    <s v="פעולות ספורט משותפים עם ארגונים "/>
    <m/>
    <m/>
    <n v="505000"/>
    <n v="205000"/>
    <n v="239981"/>
    <m/>
    <x v="7"/>
    <s v="שירותים ממלכתיים"/>
    <x v="34"/>
    <s v="תרבות"/>
    <x v="119"/>
    <s v="ספורט"/>
    <s v="8291"/>
    <e v="#N/A"/>
    <m/>
    <s v="8"/>
    <x v="16"/>
    <s v="88"/>
    <e v="#N/A"/>
    <s v="883"/>
    <e v="#N/A"/>
  </r>
  <r>
    <n v="885"/>
    <s v="82911"/>
    <n v="1"/>
    <s v="182911.885"/>
    <s v="פעולות ספורט שונות              "/>
    <m/>
    <m/>
    <n v="100000"/>
    <n v="100000"/>
    <n v="100000"/>
    <m/>
    <x v="7"/>
    <s v="שירותים ממלכתיים"/>
    <x v="34"/>
    <s v="תרבות"/>
    <x v="119"/>
    <s v="ספורט"/>
    <s v="8291"/>
    <e v="#N/A"/>
    <m/>
    <s v="8"/>
    <x v="16"/>
    <s v="88"/>
    <e v="#N/A"/>
    <s v="885"/>
    <e v="#N/A"/>
  </r>
  <r>
    <n v="886"/>
    <s v="82911"/>
    <n v="1"/>
    <s v="182911.886"/>
    <s v="מרתון תל אביב                   "/>
    <m/>
    <m/>
    <n v="1290000"/>
    <n v="1290000"/>
    <n v="1289952"/>
    <m/>
    <x v="7"/>
    <s v="שירותים ממלכתיים"/>
    <x v="34"/>
    <s v="תרבות"/>
    <x v="119"/>
    <s v="ספורט"/>
    <s v="8291"/>
    <e v="#N/A"/>
    <m/>
    <s v="8"/>
    <x v="16"/>
    <s v="88"/>
    <e v="#N/A"/>
    <s v="886"/>
    <e v="#N/A"/>
  </r>
  <r>
    <n v="887"/>
    <s v="82911"/>
    <n v="1"/>
    <s v="182911.887"/>
    <s v="פעולות ספורט וחוגים בבתי ספר    "/>
    <m/>
    <m/>
    <n v="263000"/>
    <n v="263000"/>
    <n v="262503"/>
    <m/>
    <x v="7"/>
    <s v="שירותים ממלכתיים"/>
    <x v="34"/>
    <s v="תרבות"/>
    <x v="119"/>
    <s v="ספורט"/>
    <s v="8291"/>
    <e v="#N/A"/>
    <m/>
    <s v="8"/>
    <x v="16"/>
    <s v="88"/>
    <e v="#N/A"/>
    <s v="887"/>
    <e v="#N/A"/>
  </r>
  <r>
    <n v="934"/>
    <s v="82911"/>
    <n v="1"/>
    <s v="182911.934"/>
    <s v="ציוד תפעולי וספורט              "/>
    <m/>
    <m/>
    <n v="30000"/>
    <n v="30000"/>
    <n v="29245"/>
    <m/>
    <x v="7"/>
    <s v="שירותים ממלכתיים"/>
    <x v="34"/>
    <s v="תרבות"/>
    <x v="119"/>
    <s v="ספורט"/>
    <s v="8291"/>
    <e v="#N/A"/>
    <m/>
    <s v="9"/>
    <x v="17"/>
    <s v="93"/>
    <s v="רכישת ציוד יסודי"/>
    <s v="934"/>
    <e v="#N/A"/>
  </r>
  <r>
    <n v="110"/>
    <s v="82912"/>
    <n v="1"/>
    <s v="182912.110"/>
    <s v="משכורת כוללת                    "/>
    <m/>
    <m/>
    <n v="266000"/>
    <n v="276000"/>
    <n v="257804"/>
    <m/>
    <x v="7"/>
    <s v="שירותים ממלכתיים"/>
    <x v="34"/>
    <s v="תרבות"/>
    <x v="119"/>
    <s v="ספורט"/>
    <s v="8291"/>
    <e v="#N/A"/>
    <m/>
    <s v="1"/>
    <x v="9"/>
    <s v="11"/>
    <s v="השכר הקובע"/>
    <s v="110"/>
    <e v="#N/A"/>
  </r>
  <r>
    <n v="124"/>
    <s v="82912"/>
    <n v="1"/>
    <s v="182912.124"/>
    <s v="החזר הוצאות                     "/>
    <m/>
    <m/>
    <n v="11000"/>
    <n v="11000"/>
    <n v="10719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4"/>
    <e v="#N/A"/>
  </r>
  <r>
    <n v="126"/>
    <s v="82912"/>
    <n v="1"/>
    <s v="182912.126"/>
    <s v="הבראה                           "/>
    <m/>
    <m/>
    <n v="13000"/>
    <n v="13000"/>
    <n v="12810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6"/>
    <e v="#N/A"/>
  </r>
  <r>
    <n v="127"/>
    <s v="82912"/>
    <n v="1"/>
    <s v="182912.127"/>
    <s v="השתתפות באחזקת רכב-2            "/>
    <m/>
    <m/>
    <n v="54000"/>
    <n v="58000"/>
    <n v="58820"/>
    <m/>
    <x v="7"/>
    <s v="שירותים ממלכתיים"/>
    <x v="34"/>
    <s v="תרבות"/>
    <x v="119"/>
    <s v="ספורט"/>
    <s v="8291"/>
    <e v="#N/A"/>
    <m/>
    <s v="1"/>
    <x v="9"/>
    <s v="12"/>
    <s v="תוספות שאינן נכללות בשכר הקובע"/>
    <s v="127"/>
    <e v="#N/A"/>
  </r>
  <r>
    <n v="130"/>
    <s v="82912"/>
    <n v="1"/>
    <s v="182912.130"/>
    <s v="תשלומים מיוחדים                 "/>
    <m/>
    <m/>
    <n v="39000"/>
    <n v="39000"/>
    <n v="36856"/>
    <m/>
    <x v="7"/>
    <s v="שירותים ממלכתיים"/>
    <x v="34"/>
    <s v="תרבות"/>
    <x v="119"/>
    <s v="ספורט"/>
    <s v="8291"/>
    <e v="#N/A"/>
    <m/>
    <s v="1"/>
    <x v="9"/>
    <s v="13"/>
    <s v="שעות נוספות"/>
    <s v="130"/>
    <e v="#N/A"/>
  </r>
  <r>
    <n v="181"/>
    <s v="82912"/>
    <n v="1"/>
    <s v="182912.181"/>
    <s v="מיסים וביטוח לאומי              "/>
    <m/>
    <m/>
    <n v="50000"/>
    <n v="52000"/>
    <n v="69009"/>
    <m/>
    <x v="7"/>
    <s v="שירותים ממלכתיים"/>
    <x v="34"/>
    <s v="תרבות"/>
    <x v="119"/>
    <s v="ספורט"/>
    <s v="8291"/>
    <e v="#N/A"/>
    <m/>
    <s v="1"/>
    <x v="9"/>
    <s v="18"/>
    <s v="נלוות לשכר"/>
    <s v="181"/>
    <s v="הפרשות סוציאליות"/>
  </r>
  <r>
    <n v="182"/>
    <s v="82912"/>
    <n v="1"/>
    <s v="182912.182"/>
    <s v="קופות גמל והשתלמות              "/>
    <m/>
    <m/>
    <n v="50000"/>
    <n v="52000"/>
    <n v="51271"/>
    <m/>
    <x v="7"/>
    <s v="שירותים ממלכתיים"/>
    <x v="34"/>
    <s v="תרבות"/>
    <x v="119"/>
    <s v="ספורט"/>
    <s v="8291"/>
    <e v="#N/A"/>
    <m/>
    <s v="1"/>
    <x v="9"/>
    <s v="18"/>
    <s v="נלוות לשכר"/>
    <s v="182"/>
    <s v="מיסיום ועלויות"/>
  </r>
  <r>
    <n v="851"/>
    <s v="82912"/>
    <n v="1"/>
    <s v="182912.851"/>
    <s v="מרכז ספורט עמיאל רמב ם - חב' למו"/>
    <m/>
    <m/>
    <n v="311000"/>
    <n v="311000"/>
    <n v="311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1"/>
    <e v="#N/A"/>
  </r>
  <r>
    <n v="852"/>
    <s v="82912"/>
    <n v="1"/>
    <s v="182912.852"/>
    <s v="מרכז ספורט - אליאנס - חב' למוס' "/>
    <m/>
    <m/>
    <n v="36000"/>
    <n v="36000"/>
    <n v="61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2"/>
    <e v="#N/A"/>
  </r>
  <r>
    <n v="853"/>
    <s v="82912"/>
    <n v="1"/>
    <s v="182912.853"/>
    <s v="מרכז ספורט אביב-חב' למוס ח      "/>
    <m/>
    <m/>
    <n v="59000"/>
    <n v="59000"/>
    <n v="68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3"/>
    <e v="#N/A"/>
  </r>
  <r>
    <n v="855"/>
    <s v="82912"/>
    <n v="1"/>
    <s v="182912.855"/>
    <s v="מרכז ארנון - חב' למוסדות חינוך  "/>
    <m/>
    <m/>
    <n v="61000"/>
    <n v="61000"/>
    <n v="61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5"/>
    <e v="#N/A"/>
  </r>
  <r>
    <n v="856"/>
    <s v="82912"/>
    <n v="1"/>
    <s v="182912.856"/>
    <s v="מרכז ספורט - תיכון חדש - חב' למו"/>
    <m/>
    <m/>
    <n v="265000"/>
    <n v="265000"/>
    <n v="295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6"/>
    <e v="#N/A"/>
  </r>
  <r>
    <n v="857"/>
    <s v="82912"/>
    <n v="1"/>
    <s v="182912.857"/>
    <s v="מגרש דוויס לואיס-חב' למוסדות    "/>
    <m/>
    <m/>
    <n v="424000"/>
    <n v="424000"/>
    <n v="424000"/>
    <m/>
    <x v="7"/>
    <s v="שירותים ממלכתיים"/>
    <x v="34"/>
    <s v="תרבות"/>
    <x v="119"/>
    <s v="ספורט"/>
    <s v="8291"/>
    <e v="#N/A"/>
    <m/>
    <s v="8"/>
    <x v="16"/>
    <s v="85"/>
    <s v="מלגות לתלמידים וסטודנטים"/>
    <s v="857"/>
    <e v="#N/A"/>
  </r>
  <r>
    <n v="110"/>
    <s v="82921"/>
    <n v="1"/>
    <s v="182921.110"/>
    <s v="משכורת כוללת                    "/>
    <m/>
    <m/>
    <n v="502000"/>
    <n v="498000"/>
    <n v="483526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1"/>
    <n v="1"/>
    <s v="182921.124"/>
    <s v="החזר הוצאות                     "/>
    <m/>
    <m/>
    <n v="38000"/>
    <n v="28000"/>
    <n v="36753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1"/>
    <n v="1"/>
    <s v="182921.126"/>
    <s v="הבראה                           "/>
    <m/>
    <m/>
    <n v="23000"/>
    <n v="21000"/>
    <n v="21066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1"/>
    <n v="1"/>
    <s v="182921.127"/>
    <s v="השתתפות באחזקת רכב-4            "/>
    <m/>
    <m/>
    <n v="100000"/>
    <n v="103000"/>
    <n v="97451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1"/>
    <n v="1"/>
    <s v="182921.130"/>
    <s v="תשלומים מיוחדים                 "/>
    <m/>
    <m/>
    <n v="61000"/>
    <n v="53000"/>
    <n v="53359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1"/>
    <n v="1"/>
    <s v="182921.181"/>
    <s v="מיסים וביטוח לאומי              "/>
    <m/>
    <m/>
    <n v="95000"/>
    <n v="92000"/>
    <n v="88411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1"/>
    <n v="1"/>
    <s v="182921.182"/>
    <s v="קופות גמל והשתלמות              "/>
    <m/>
    <m/>
    <n v="99000"/>
    <n v="91000"/>
    <n v="88049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461"/>
    <s v="82921"/>
    <n v="1"/>
    <s v="182921.461"/>
    <s v="צורכי משרד                      "/>
    <m/>
    <m/>
    <n v="3000"/>
    <n v="3000"/>
    <n v="1637"/>
    <m/>
    <x v="7"/>
    <s v="שירותים ממלכתיים"/>
    <x v="34"/>
    <s v="תרבות"/>
    <x v="119"/>
    <s v="ספורט"/>
    <s v="8292"/>
    <e v="#N/A"/>
    <m/>
    <s v="4"/>
    <x v="15"/>
    <s v="46"/>
    <e v="#N/A"/>
    <s v="461"/>
    <e v="#N/A"/>
  </r>
  <r>
    <n v="610"/>
    <s v="82921"/>
    <n v="1"/>
    <s v="182921.610"/>
    <s v="כיבודים                         "/>
    <m/>
    <m/>
    <n v="2000"/>
    <n v="2000"/>
    <n v="1802"/>
    <m/>
    <x v="7"/>
    <s v="שירותים ממלכתיים"/>
    <x v="34"/>
    <s v="תרבות"/>
    <x v="119"/>
    <s v="ספורט"/>
    <s v="8292"/>
    <e v="#N/A"/>
    <m/>
    <s v="6"/>
    <x v="12"/>
    <s v="61"/>
    <s v="עמלות"/>
    <s v="610"/>
    <e v="#N/A"/>
  </r>
  <r>
    <n v="851"/>
    <s v="82921"/>
    <n v="1"/>
    <s v="182921.851"/>
    <s v="תחרות ע ש שלג-חב' למוסדות חינוך "/>
    <m/>
    <m/>
    <n v="36000"/>
    <n v="36000"/>
    <n v="36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852"/>
    <s v="82921"/>
    <n v="1"/>
    <s v="182921.852"/>
    <s v="בריכת רמת אביב - חב' למוסדות חינ"/>
    <m/>
    <m/>
    <n v="237000"/>
    <n v="237000"/>
    <n v="301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2"/>
    <e v="#N/A"/>
  </r>
  <r>
    <n v="852"/>
    <s v="82921"/>
    <n v="1"/>
    <s v="182921.852"/>
    <s v="בריכת רמת אביב-החזר ממשתמשים    "/>
    <m/>
    <m/>
    <n v="-350000"/>
    <n v="-350000"/>
    <n v="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2"/>
    <e v="#N/A"/>
  </r>
  <r>
    <n v="859"/>
    <s v="82921"/>
    <n v="1"/>
    <s v="182921.859"/>
    <s v="רכישות ותיקונים של מתקני ספורט-מ"/>
    <m/>
    <m/>
    <n v="44000"/>
    <n v="44000"/>
    <n v="44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9"/>
    <e v="#N/A"/>
  </r>
  <r>
    <n v="110"/>
    <s v="82922"/>
    <n v="1"/>
    <s v="182922.110"/>
    <s v="משכורת כוללת                    "/>
    <m/>
    <m/>
    <n v="464000"/>
    <n v="509000"/>
    <n v="548597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2"/>
    <n v="1"/>
    <s v="182922.124"/>
    <s v="החזר הוצאות                     "/>
    <m/>
    <m/>
    <n v="28000"/>
    <n v="44000"/>
    <n v="24113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2"/>
    <n v="1"/>
    <s v="182922.126"/>
    <s v="הבראה                           "/>
    <m/>
    <m/>
    <n v="20000"/>
    <n v="38000"/>
    <n v="18788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2"/>
    <n v="1"/>
    <s v="182922.127"/>
    <s v="השתתפות באחזקת רכב - 3          "/>
    <m/>
    <m/>
    <n v="73000"/>
    <n v="81000"/>
    <n v="77921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2"/>
    <n v="1"/>
    <s v="182922.130"/>
    <s v="תשלומים מיוחדים                 "/>
    <m/>
    <m/>
    <n v="9000"/>
    <n v="21000"/>
    <n v="9259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2"/>
    <n v="1"/>
    <s v="182922.181"/>
    <s v="מיסים וביטוח לאומי              "/>
    <m/>
    <m/>
    <n v="78000"/>
    <n v="91000"/>
    <n v="72709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2"/>
    <n v="1"/>
    <s v="182922.182"/>
    <s v="קופות גמל והשתלמות              "/>
    <m/>
    <m/>
    <n v="101000"/>
    <n v="115000"/>
    <n v="82801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851"/>
    <s v="82922"/>
    <n v="1"/>
    <s v="182922.851"/>
    <s v="הפעלת המתנ ס - חב' למוסדות חינוך"/>
    <m/>
    <m/>
    <n v="634000"/>
    <n v="536000"/>
    <n v="49912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852"/>
    <s v="82922"/>
    <n v="1"/>
    <s v="182922.852"/>
    <s v="הפעלת מרכז המוסיקה - חב' למוסדות"/>
    <m/>
    <m/>
    <n v="398000"/>
    <n v="398000"/>
    <n v="443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2"/>
    <e v="#N/A"/>
  </r>
  <r>
    <n v="853"/>
    <s v="82922"/>
    <n v="1"/>
    <s v="182922.853"/>
    <s v="ספורט - חב' למוסדות חינוך       "/>
    <m/>
    <m/>
    <n v="148000"/>
    <n v="148000"/>
    <n v="148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3"/>
    <e v="#N/A"/>
  </r>
  <r>
    <n v="854"/>
    <s v="82922"/>
    <n v="1"/>
    <s v="182922.854"/>
    <s v="רכז ספורט - חב' למוסדות חינוך   "/>
    <m/>
    <m/>
    <n v="109000"/>
    <n v="109000"/>
    <n v="109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4"/>
    <e v="#N/A"/>
  </r>
  <r>
    <n v="855"/>
    <s v="82922"/>
    <n v="1"/>
    <s v="182922.855"/>
    <s v="הפעלת הבריכה - חב' למוסדות חינוך"/>
    <m/>
    <m/>
    <n v="573000"/>
    <n v="433000"/>
    <n v="523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5"/>
    <e v="#N/A"/>
  </r>
  <r>
    <n v="856"/>
    <s v="82922"/>
    <n v="1"/>
    <s v="182922.856"/>
    <s v="הפעלת הספרייה - חב' למוסדות חינו"/>
    <m/>
    <m/>
    <n v="212000"/>
    <n v="212000"/>
    <n v="222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6"/>
    <e v="#N/A"/>
  </r>
  <r>
    <n v="110"/>
    <s v="82923"/>
    <n v="1"/>
    <s v="182923.110"/>
    <s v="משכורת כוללת                    "/>
    <m/>
    <m/>
    <n v="512000"/>
    <n v="498000"/>
    <n v="478760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3"/>
    <n v="1"/>
    <s v="182923.124"/>
    <s v="החזר הוצאות                     "/>
    <m/>
    <m/>
    <n v="35000"/>
    <n v="33000"/>
    <n v="33479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3"/>
    <n v="1"/>
    <s v="182923.126"/>
    <s v="הבראה                           "/>
    <m/>
    <m/>
    <n v="23000"/>
    <n v="23000"/>
    <n v="23085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3"/>
    <n v="1"/>
    <s v="182923.127"/>
    <s v="השתתפות באחזקת רכב-3            "/>
    <m/>
    <m/>
    <n v="87000"/>
    <n v="86000"/>
    <n v="82221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3"/>
    <n v="1"/>
    <s v="182923.130"/>
    <s v="תשלומים מיוחדים                 "/>
    <m/>
    <m/>
    <n v="56000"/>
    <n v="43000"/>
    <n v="48242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3"/>
    <n v="1"/>
    <s v="182923.181"/>
    <s v="מיסים וביטוח לאומי              "/>
    <m/>
    <m/>
    <n v="93000"/>
    <n v="89000"/>
    <n v="89797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3"/>
    <n v="1"/>
    <s v="182923.182"/>
    <s v="קופות גמל והשתלמות              "/>
    <m/>
    <m/>
    <n v="90000"/>
    <n v="88000"/>
    <n v="84683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851"/>
    <s v="82923"/>
    <n v="1"/>
    <s v="182923.851"/>
    <s v="קאנטרי ל' - מוסדות חינוך        "/>
    <m/>
    <m/>
    <n v="-262000"/>
    <n v="-512000"/>
    <n v="-203887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110"/>
    <s v="82924"/>
    <n v="1"/>
    <s v="182924.110"/>
    <s v="משכורת כוללת                    "/>
    <m/>
    <m/>
    <n v="372000"/>
    <n v="405000"/>
    <n v="384995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4"/>
    <n v="1"/>
    <s v="182924.124"/>
    <s v="החזר הוצאות                     "/>
    <m/>
    <m/>
    <n v="21000"/>
    <n v="21000"/>
    <n v="21015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4"/>
    <n v="1"/>
    <s v="182924.126"/>
    <s v="הבראה                           "/>
    <m/>
    <m/>
    <n v="19000"/>
    <n v="20000"/>
    <n v="20057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4"/>
    <n v="1"/>
    <s v="182924.127"/>
    <s v="השתתפות באחזקת רכב - 3          "/>
    <m/>
    <m/>
    <n v="79000"/>
    <n v="89000"/>
    <n v="90043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4"/>
    <n v="1"/>
    <s v="182924.130"/>
    <s v="תשלומים מיוחדים                 "/>
    <m/>
    <m/>
    <n v="30000"/>
    <n v="72000"/>
    <n v="69307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4"/>
    <n v="1"/>
    <s v="182924.181"/>
    <s v="מיסים וביטוח לאומי              "/>
    <m/>
    <m/>
    <n v="68000"/>
    <n v="79000"/>
    <n v="103365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4"/>
    <n v="1"/>
    <s v="182924.182"/>
    <s v="קופות גמל והשתלמות              "/>
    <m/>
    <m/>
    <n v="78000"/>
    <n v="100000"/>
    <n v="97869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851"/>
    <s v="82924"/>
    <n v="1"/>
    <s v="182924.851"/>
    <s v="הפעלת קאנטרי-חב' למוס ח         "/>
    <m/>
    <m/>
    <n v="-839000"/>
    <n v="-1139000"/>
    <n v="-50266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110"/>
    <s v="82925"/>
    <n v="1"/>
    <s v="182925.110"/>
    <s v="משכורת כוללת                    "/>
    <m/>
    <m/>
    <n v="511000"/>
    <n v="483000"/>
    <n v="479386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5"/>
    <n v="1"/>
    <s v="182925.124"/>
    <s v="החזר הוצאות                     "/>
    <m/>
    <m/>
    <n v="22000"/>
    <n v="20000"/>
    <n v="21502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5"/>
    <n v="1"/>
    <s v="182925.126"/>
    <s v="הבראה                           "/>
    <m/>
    <m/>
    <n v="20000"/>
    <n v="19000"/>
    <n v="19346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5"/>
    <n v="1"/>
    <s v="182925.127"/>
    <s v="השתתפות באחזקת רכב-4            "/>
    <m/>
    <m/>
    <n v="108000"/>
    <n v="105000"/>
    <n v="100357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5"/>
    <n v="1"/>
    <s v="182925.130"/>
    <s v="תשלומים מיוחדים                 "/>
    <m/>
    <m/>
    <n v="41000"/>
    <n v="36000"/>
    <n v="44659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5"/>
    <n v="1"/>
    <s v="182925.181"/>
    <s v="מיסים וביטוח לאומי              "/>
    <m/>
    <m/>
    <n v="92000"/>
    <n v="87000"/>
    <n v="89189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5"/>
    <n v="1"/>
    <s v="182925.182"/>
    <s v="קופות גמל והשתלמות              "/>
    <m/>
    <m/>
    <n v="89000"/>
    <n v="78000"/>
    <n v="82494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851"/>
    <s v="82925"/>
    <n v="1"/>
    <s v="182925.851"/>
    <s v="הפעלת המתנ ס - חב' למוסדות חינוך"/>
    <m/>
    <m/>
    <n v="242000"/>
    <n v="244000"/>
    <n v="252551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855"/>
    <s v="82925"/>
    <n v="1"/>
    <s v="182925.855"/>
    <s v="הפעלת הבריכה - חב' למוסדות חינוך"/>
    <m/>
    <m/>
    <n v="1105000"/>
    <n v="1105000"/>
    <n v="1324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5"/>
    <e v="#N/A"/>
  </r>
  <r>
    <n v="110"/>
    <s v="82926"/>
    <n v="1"/>
    <s v="182926.110"/>
    <s v="משכורת כוללת                    "/>
    <m/>
    <m/>
    <n v="149000"/>
    <n v="234000"/>
    <n v="0"/>
    <m/>
    <x v="7"/>
    <s v="שירותים ממלכתיים"/>
    <x v="34"/>
    <s v="תרבות"/>
    <x v="119"/>
    <s v="ספורט"/>
    <s v="8292"/>
    <e v="#N/A"/>
    <m/>
    <s v="1"/>
    <x v="9"/>
    <s v="11"/>
    <s v="השכר הקובע"/>
    <s v="110"/>
    <e v="#N/A"/>
  </r>
  <r>
    <n v="124"/>
    <s v="82926"/>
    <n v="1"/>
    <s v="182926.124"/>
    <s v="החזר הוצאות                     "/>
    <m/>
    <m/>
    <n v="4000"/>
    <n v="5000"/>
    <n v="0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4"/>
    <e v="#N/A"/>
  </r>
  <r>
    <n v="126"/>
    <s v="82926"/>
    <n v="1"/>
    <s v="182926.126"/>
    <s v="הבראה                           "/>
    <m/>
    <m/>
    <n v="6000"/>
    <n v="5000"/>
    <n v="0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6"/>
    <e v="#N/A"/>
  </r>
  <r>
    <n v="127"/>
    <s v="82926"/>
    <n v="1"/>
    <s v="182926.127"/>
    <s v="השתתפות באחזקת רכב - 1          "/>
    <m/>
    <m/>
    <n v="38000"/>
    <n v="34000"/>
    <n v="0"/>
    <m/>
    <x v="7"/>
    <s v="שירותים ממלכתיים"/>
    <x v="34"/>
    <s v="תרבות"/>
    <x v="119"/>
    <s v="ספורט"/>
    <s v="8292"/>
    <e v="#N/A"/>
    <m/>
    <s v="1"/>
    <x v="9"/>
    <s v="12"/>
    <s v="תוספות שאינן נכללות בשכר הקובע"/>
    <s v="127"/>
    <e v="#N/A"/>
  </r>
  <r>
    <n v="130"/>
    <s v="82926"/>
    <n v="1"/>
    <s v="182926.130"/>
    <s v="תשלומים מיוחדים                 "/>
    <m/>
    <m/>
    <n v="47000"/>
    <n v="1000"/>
    <n v="0"/>
    <m/>
    <x v="7"/>
    <s v="שירותים ממלכתיים"/>
    <x v="34"/>
    <s v="תרבות"/>
    <x v="119"/>
    <s v="ספורט"/>
    <s v="8292"/>
    <e v="#N/A"/>
    <m/>
    <s v="1"/>
    <x v="9"/>
    <s v="13"/>
    <s v="שעות נוספות"/>
    <s v="130"/>
    <e v="#N/A"/>
  </r>
  <r>
    <n v="181"/>
    <s v="82926"/>
    <n v="1"/>
    <s v="182926.181"/>
    <s v="מיסים וביטוח לאומי              "/>
    <m/>
    <m/>
    <n v="32000"/>
    <n v="36000"/>
    <n v="0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1"/>
    <s v="הפרשות סוציאליות"/>
  </r>
  <r>
    <n v="182"/>
    <s v="82926"/>
    <n v="1"/>
    <s v="182926.182"/>
    <s v="קופות גמל והשתלמות              "/>
    <m/>
    <m/>
    <n v="39000"/>
    <n v="51000"/>
    <n v="0"/>
    <m/>
    <x v="7"/>
    <s v="שירותים ממלכתיים"/>
    <x v="34"/>
    <s v="תרבות"/>
    <x v="119"/>
    <s v="ספורט"/>
    <s v="8292"/>
    <e v="#N/A"/>
    <m/>
    <s v="1"/>
    <x v="9"/>
    <s v="18"/>
    <s v="נלוות לשכר"/>
    <s v="182"/>
    <s v="מיסיום ועלויות"/>
  </r>
  <r>
    <n v="851"/>
    <s v="82926"/>
    <n v="1"/>
    <s v="182926.851"/>
    <s v="מתחם גורדון - חב' למוסדות חינוך "/>
    <m/>
    <m/>
    <n v="-5300000"/>
    <n v="-5000000"/>
    <n v="-4905000"/>
    <m/>
    <x v="7"/>
    <s v="שירותים ממלכתיים"/>
    <x v="34"/>
    <s v="תרבות"/>
    <x v="119"/>
    <s v="ספורט"/>
    <s v="8292"/>
    <e v="#N/A"/>
    <m/>
    <s v="8"/>
    <x v="16"/>
    <s v="85"/>
    <s v="מלגות לתלמידים וסטודנטים"/>
    <s v="851"/>
    <e v="#N/A"/>
  </r>
  <r>
    <n v="812"/>
    <s v="82990"/>
    <n v="1"/>
    <s v="182990.812"/>
    <s v="מרכזי מצוינות                   "/>
    <m/>
    <m/>
    <n v="376000"/>
    <n v="376000"/>
    <n v="400000"/>
    <m/>
    <x v="7"/>
    <s v="שירותים ממלכתיים"/>
    <x v="34"/>
    <s v="תרבות"/>
    <x v="119"/>
    <s v="ספורט"/>
    <s v="8299"/>
    <e v="#N/A"/>
    <m/>
    <s v="8"/>
    <x v="16"/>
    <s v="81"/>
    <s v="השתתפויות ותרומות למוסדות עפ&quot;י חוק והסכמים"/>
    <s v="812"/>
    <e v="#N/A"/>
  </r>
  <r>
    <n v="813"/>
    <s v="82990"/>
    <n v="1"/>
    <s v="182990.813"/>
    <s v="תמיכות מיסים-גופי ספורט         "/>
    <m/>
    <m/>
    <n v="1400000"/>
    <n v="1400000"/>
    <n v="1101868"/>
    <m/>
    <x v="7"/>
    <s v="שירותים ממלכתיים"/>
    <x v="34"/>
    <s v="תרבות"/>
    <x v="119"/>
    <s v="ספורט"/>
    <s v="8299"/>
    <e v="#N/A"/>
    <m/>
    <s v="8"/>
    <x v="16"/>
    <s v="81"/>
    <s v="השתתפויות ותרומות למוסדות עפ&quot;י חוק והסכמים"/>
    <s v="813"/>
    <e v="#N/A"/>
  </r>
  <r>
    <n v="814"/>
    <s v="82990"/>
    <n v="1"/>
    <s v="182990.814"/>
    <s v="תמיכות-ספורט                    "/>
    <m/>
    <m/>
    <n v="4900000"/>
    <n v="4900000"/>
    <n v="4894976"/>
    <m/>
    <x v="7"/>
    <s v="שירותים ממלכתיים"/>
    <x v="34"/>
    <s v="תרבות"/>
    <x v="119"/>
    <s v="ספורט"/>
    <s v="8299"/>
    <e v="#N/A"/>
    <m/>
    <s v="8"/>
    <x v="16"/>
    <s v="81"/>
    <s v="השתתפויות ותרומות למוסדות עפ&quot;י חוק והסכמים"/>
    <s v="814"/>
    <e v="#N/A"/>
  </r>
  <r>
    <n v="815"/>
    <s v="82990"/>
    <n v="1"/>
    <s v="182990.815"/>
    <s v="תמיכות חד פעמיות - ספורט        "/>
    <m/>
    <m/>
    <n v="655000"/>
    <n v="655000"/>
    <n v="765000"/>
    <m/>
    <x v="7"/>
    <s v="שירותים ממלכתיים"/>
    <x v="34"/>
    <s v="תרבות"/>
    <x v="119"/>
    <s v="ספורט"/>
    <s v="8299"/>
    <e v="#N/A"/>
    <m/>
    <s v="8"/>
    <x v="16"/>
    <s v="81"/>
    <s v="השתתפויות ותרומות למוסדות עפ&quot;י חוק והסכמים"/>
    <s v="815"/>
    <e v="#N/A"/>
  </r>
  <r>
    <n v="816"/>
    <s v="82990"/>
    <n v="1"/>
    <s v="182990.816"/>
    <s v="אגודות ספורט במימון ממשלתי      "/>
    <m/>
    <m/>
    <n v="190000"/>
    <n v="190000"/>
    <n v="17146"/>
    <m/>
    <x v="7"/>
    <s v="שירותים ממלכתיים"/>
    <x v="34"/>
    <s v="תרבות"/>
    <x v="119"/>
    <s v="ספורט"/>
    <s v="8299"/>
    <e v="#N/A"/>
    <m/>
    <s v="8"/>
    <x v="16"/>
    <s v="81"/>
    <s v="השתתפויות ותרומות למוסדות עפ&quot;י חוק והסכמים"/>
    <s v="816"/>
    <e v="#N/A"/>
  </r>
  <r>
    <n v="841"/>
    <s v="82990"/>
    <n v="1"/>
    <s v="182990.841"/>
    <s v="הקצבה למרכז הספורט הלאומי       "/>
    <m/>
    <m/>
    <n v="1200000"/>
    <n v="1200000"/>
    <n v="1200000"/>
    <m/>
    <x v="7"/>
    <s v="שירותים ממלכתיים"/>
    <x v="34"/>
    <s v="תרבות"/>
    <x v="119"/>
    <s v="ספורט"/>
    <s v="8299"/>
    <e v="#N/A"/>
    <m/>
    <s v="8"/>
    <x v="16"/>
    <s v="84"/>
    <s v="תמיכות רווחה"/>
    <s v="841"/>
    <e v="#N/A"/>
  </r>
  <r>
    <n v="842"/>
    <s v="82990"/>
    <n v="1"/>
    <s v="182990.842"/>
    <s v="הקצבה להיכל הספורט              "/>
    <m/>
    <m/>
    <n v="800000"/>
    <n v="0"/>
    <n v="0"/>
    <m/>
    <x v="7"/>
    <s v="שירותים ממלכתיים"/>
    <x v="34"/>
    <s v="תרבות"/>
    <x v="119"/>
    <s v="ספורט"/>
    <s v="8299"/>
    <e v="#N/A"/>
    <m/>
    <s v="8"/>
    <x v="16"/>
    <s v="84"/>
    <s v="תמיכות רווחה"/>
    <s v="842"/>
    <e v="#N/A"/>
  </r>
  <r>
    <n v="856"/>
    <s v="82990"/>
    <n v="1"/>
    <s v="182990.856"/>
    <s v="הקצבה למרכז טניס יד אליהו       "/>
    <m/>
    <m/>
    <n v="90000"/>
    <n v="90000"/>
    <n v="89000"/>
    <m/>
    <x v="7"/>
    <s v="שירותים ממלכתיים"/>
    <x v="34"/>
    <s v="תרבות"/>
    <x v="119"/>
    <s v="ספורט"/>
    <s v="8299"/>
    <e v="#N/A"/>
    <m/>
    <s v="8"/>
    <x v="16"/>
    <s v="85"/>
    <s v="מלגות לתלמידים וסטודנטים"/>
    <s v="856"/>
    <e v="#N/A"/>
  </r>
  <r>
    <n v="881"/>
    <s v="82990"/>
    <n v="1"/>
    <s v="182990.881"/>
    <s v="הקצבה למרכז הטניס ביפו          "/>
    <m/>
    <m/>
    <n v="90000"/>
    <n v="90000"/>
    <n v="89000"/>
    <m/>
    <x v="7"/>
    <s v="שירותים ממלכתיים"/>
    <x v="34"/>
    <s v="תרבות"/>
    <x v="119"/>
    <s v="ספורט"/>
    <s v="8299"/>
    <e v="#N/A"/>
    <m/>
    <s v="8"/>
    <x v="16"/>
    <s v="88"/>
    <e v="#N/A"/>
    <s v="881"/>
    <e v="#N/A"/>
  </r>
  <r>
    <n v="110"/>
    <s v="83110"/>
    <n v="1"/>
    <s v="183110.110"/>
    <s v="משכורת כוללת                    "/>
    <m/>
    <m/>
    <n v="519000"/>
    <n v="489000"/>
    <n v="497003"/>
    <m/>
    <x v="7"/>
    <s v="שירותים ממלכתיים"/>
    <x v="35"/>
    <s v="בריאות"/>
    <x v="120"/>
    <e v="#N/A"/>
    <s v="8311"/>
    <e v="#N/A"/>
    <m/>
    <s v="1"/>
    <x v="9"/>
    <s v="11"/>
    <s v="השכר הקובע"/>
    <s v="110"/>
    <e v="#N/A"/>
  </r>
  <r>
    <n v="124"/>
    <s v="83110"/>
    <n v="1"/>
    <s v="183110.124"/>
    <s v="החזר הוצאות                     "/>
    <m/>
    <m/>
    <n v="25000"/>
    <n v="27000"/>
    <n v="26101"/>
    <m/>
    <x v="7"/>
    <s v="שירותים ממלכתיים"/>
    <x v="35"/>
    <s v="בריאות"/>
    <x v="120"/>
    <e v="#N/A"/>
    <s v="8311"/>
    <e v="#N/A"/>
    <m/>
    <s v="1"/>
    <x v="9"/>
    <s v="12"/>
    <s v="תוספות שאינן נכללות בשכר הקובע"/>
    <s v="124"/>
    <e v="#N/A"/>
  </r>
  <r>
    <n v="126"/>
    <s v="83110"/>
    <n v="1"/>
    <s v="183110.126"/>
    <s v="הבראה                           "/>
    <m/>
    <m/>
    <n v="28000"/>
    <n v="27000"/>
    <n v="27238"/>
    <m/>
    <x v="7"/>
    <s v="שירותים ממלכתיים"/>
    <x v="35"/>
    <s v="בריאות"/>
    <x v="120"/>
    <e v="#N/A"/>
    <s v="8311"/>
    <e v="#N/A"/>
    <m/>
    <s v="1"/>
    <x v="9"/>
    <s v="12"/>
    <s v="תוספות שאינן נכללות בשכר הקובע"/>
    <s v="126"/>
    <e v="#N/A"/>
  </r>
  <r>
    <n v="127"/>
    <s v="83110"/>
    <n v="1"/>
    <s v="183110.127"/>
    <s v="השתתפות באחזקת רכב - 3          "/>
    <m/>
    <m/>
    <n v="80000"/>
    <n v="76000"/>
    <n v="75240"/>
    <m/>
    <x v="7"/>
    <s v="שירותים ממלכתיים"/>
    <x v="35"/>
    <s v="בריאות"/>
    <x v="120"/>
    <e v="#N/A"/>
    <s v="8311"/>
    <e v="#N/A"/>
    <m/>
    <s v="1"/>
    <x v="9"/>
    <s v="12"/>
    <s v="תוספות שאינן נכללות בשכר הקובע"/>
    <s v="127"/>
    <e v="#N/A"/>
  </r>
  <r>
    <n v="130"/>
    <s v="83110"/>
    <n v="1"/>
    <s v="183110.130"/>
    <s v="תשלומים מיוחדים                 "/>
    <m/>
    <m/>
    <n v="392000"/>
    <n v="396000"/>
    <n v="390224"/>
    <m/>
    <x v="7"/>
    <s v="שירותים ממלכתיים"/>
    <x v="35"/>
    <s v="בריאות"/>
    <x v="120"/>
    <e v="#N/A"/>
    <s v="8311"/>
    <e v="#N/A"/>
    <m/>
    <s v="1"/>
    <x v="9"/>
    <s v="13"/>
    <s v="שעות נוספות"/>
    <s v="130"/>
    <e v="#N/A"/>
  </r>
  <r>
    <n v="181"/>
    <s v="83110"/>
    <n v="1"/>
    <s v="183110.181"/>
    <s v="מיסים וביטוח לאומי              "/>
    <m/>
    <m/>
    <n v="138000"/>
    <n v="134000"/>
    <n v="132472"/>
    <m/>
    <x v="7"/>
    <s v="שירותים ממלכתיים"/>
    <x v="35"/>
    <s v="בריאות"/>
    <x v="120"/>
    <e v="#N/A"/>
    <s v="8311"/>
    <e v="#N/A"/>
    <m/>
    <s v="1"/>
    <x v="9"/>
    <s v="18"/>
    <s v="נלוות לשכר"/>
    <s v="181"/>
    <s v="הפרשות סוציאליות"/>
  </r>
  <r>
    <n v="182"/>
    <s v="83110"/>
    <n v="1"/>
    <s v="183110.182"/>
    <s v="קופות גמל והשתלמות              "/>
    <m/>
    <m/>
    <n v="142000"/>
    <n v="143000"/>
    <n v="135212"/>
    <m/>
    <x v="7"/>
    <s v="שירותים ממלכתיים"/>
    <x v="35"/>
    <s v="בריאות"/>
    <x v="120"/>
    <e v="#N/A"/>
    <s v="8311"/>
    <e v="#N/A"/>
    <m/>
    <s v="1"/>
    <x v="9"/>
    <s v="18"/>
    <s v="נלוות לשכר"/>
    <s v="182"/>
    <s v="מיסיום ועלויות"/>
  </r>
  <r>
    <n v="310"/>
    <s v="83110"/>
    <n v="1"/>
    <s v="183110.310"/>
    <s v="שעות נוספות רשומות              "/>
    <m/>
    <m/>
    <n v="5000"/>
    <n v="5000"/>
    <n v="31485"/>
    <m/>
    <x v="7"/>
    <s v="שירותים ממלכתיים"/>
    <x v="35"/>
    <s v="בריאות"/>
    <x v="120"/>
    <e v="#N/A"/>
    <s v="8311"/>
    <e v="#N/A"/>
    <m/>
    <s v="3"/>
    <x v="14"/>
    <s v="31"/>
    <s v="פנסיה"/>
    <s v="310"/>
    <e v="#N/A"/>
  </r>
  <r>
    <n v="411"/>
    <s v="83110"/>
    <n v="1"/>
    <s v="183110.411"/>
    <s v="שכר דירה                        "/>
    <m/>
    <m/>
    <n v="143000"/>
    <n v="135000"/>
    <n v="130838"/>
    <m/>
    <x v="7"/>
    <s v="שירותים ממלכתיים"/>
    <x v="35"/>
    <s v="בריאות"/>
    <x v="120"/>
    <e v="#N/A"/>
    <s v="8311"/>
    <e v="#N/A"/>
    <m/>
    <s v="4"/>
    <x v="15"/>
    <s v="41"/>
    <s v="שכר דירה ודמי חכירה"/>
    <s v="411"/>
    <e v="#N/A"/>
  </r>
  <r>
    <n v="412"/>
    <s v="83110"/>
    <n v="1"/>
    <s v="183110.412"/>
    <s v="מיסים ואגרות                    "/>
    <m/>
    <m/>
    <n v="12000"/>
    <n v="12000"/>
    <n v="9839"/>
    <m/>
    <x v="7"/>
    <s v="שירותים ממלכתיים"/>
    <x v="35"/>
    <s v="בריאות"/>
    <x v="120"/>
    <e v="#N/A"/>
    <s v="8311"/>
    <e v="#N/A"/>
    <m/>
    <s v="4"/>
    <x v="15"/>
    <s v="41"/>
    <s v="שכר דירה ודמי חכירה"/>
    <s v="412"/>
    <e v="#N/A"/>
  </r>
  <r>
    <n v="437"/>
    <s v="83110"/>
    <n v="1"/>
    <s v="183110.437"/>
    <s v="שמירה                           "/>
    <m/>
    <m/>
    <n v="250000"/>
    <n v="110000"/>
    <n v="100399"/>
    <m/>
    <x v="7"/>
    <s v="שירותים ממלכתיים"/>
    <x v="35"/>
    <s v="בריאות"/>
    <x v="120"/>
    <e v="#N/A"/>
    <s v="8311"/>
    <e v="#N/A"/>
    <m/>
    <s v="4"/>
    <x v="15"/>
    <s v="43"/>
    <s v="חשמל, מים וחומרי ניקיון"/>
    <s v="437"/>
    <e v="#N/A"/>
  </r>
  <r>
    <n v="461"/>
    <s v="83110"/>
    <n v="1"/>
    <s v="183110.461"/>
    <s v="צורכי משרד                      "/>
    <m/>
    <m/>
    <n v="17000"/>
    <n v="20000"/>
    <n v="10334"/>
    <m/>
    <x v="7"/>
    <s v="שירותים ממלכתיים"/>
    <x v="35"/>
    <s v="בריאות"/>
    <x v="120"/>
    <e v="#N/A"/>
    <s v="8311"/>
    <e v="#N/A"/>
    <m/>
    <s v="4"/>
    <x v="15"/>
    <s v="46"/>
    <e v="#N/A"/>
    <s v="461"/>
    <e v="#N/A"/>
  </r>
  <r>
    <n v="462"/>
    <s v="83110"/>
    <n v="1"/>
    <s v="183110.462"/>
    <s v="ספרים ועתונים                   "/>
    <m/>
    <m/>
    <n v="2000"/>
    <n v="3000"/>
    <n v="1732"/>
    <m/>
    <x v="7"/>
    <s v="שירותים ממלכתיים"/>
    <x v="35"/>
    <s v="בריאות"/>
    <x v="120"/>
    <e v="#N/A"/>
    <s v="8311"/>
    <e v="#N/A"/>
    <m/>
    <s v="4"/>
    <x v="15"/>
    <s v="46"/>
    <e v="#N/A"/>
    <s v="462"/>
    <e v="#N/A"/>
  </r>
  <r>
    <n v="464"/>
    <s v="83110"/>
    <n v="1"/>
    <s v="183110.464"/>
    <s v="דאר                             "/>
    <m/>
    <m/>
    <n v="1000"/>
    <n v="1000"/>
    <n v="963"/>
    <m/>
    <x v="7"/>
    <s v="שירותים ממלכתיים"/>
    <x v="35"/>
    <s v="בריאות"/>
    <x v="120"/>
    <e v="#N/A"/>
    <s v="8311"/>
    <e v="#N/A"/>
    <m/>
    <s v="4"/>
    <x v="15"/>
    <s v="46"/>
    <e v="#N/A"/>
    <s v="464"/>
    <e v="#N/A"/>
  </r>
  <r>
    <n v="510"/>
    <s v="83110"/>
    <n v="1"/>
    <s v="183110.510"/>
    <s v="נסיעות ואשל                     "/>
    <m/>
    <m/>
    <n v="2000"/>
    <n v="2000"/>
    <n v="352"/>
    <m/>
    <x v="7"/>
    <s v="שירותים ממלכתיים"/>
    <x v="35"/>
    <s v="בריאות"/>
    <x v="120"/>
    <e v="#N/A"/>
    <s v="8311"/>
    <e v="#N/A"/>
    <m/>
    <s v="5"/>
    <x v="11"/>
    <s v="51"/>
    <s v="אש&quot;ל וכיבודים"/>
    <s v="510"/>
    <e v="#N/A"/>
  </r>
  <r>
    <n v="521"/>
    <s v="83110"/>
    <n v="1"/>
    <s v="183110.521"/>
    <s v="הדרכה וכנסים                    "/>
    <m/>
    <m/>
    <n v="15000"/>
    <n v="27000"/>
    <n v="10815"/>
    <m/>
    <x v="7"/>
    <s v="שירותים ממלכתיים"/>
    <x v="35"/>
    <s v="בריאות"/>
    <x v="120"/>
    <e v="#N/A"/>
    <s v="8311"/>
    <e v="#N/A"/>
    <m/>
    <s v="5"/>
    <x v="11"/>
    <s v="52"/>
    <s v="השתלמויות וספרות מקצועית"/>
    <s v="521"/>
    <s v="השתלמויות וספרות מקצועית"/>
  </r>
  <r>
    <n v="522"/>
    <s v="83110"/>
    <n v="1"/>
    <s v="183110.522"/>
    <s v="גיבוש יחידתי                    "/>
    <m/>
    <m/>
    <n v="5000"/>
    <n v="5000"/>
    <n v="5000"/>
    <m/>
    <x v="7"/>
    <s v="שירותים ממלכתיים"/>
    <x v="35"/>
    <s v="בריאות"/>
    <x v="120"/>
    <e v="#N/A"/>
    <s v="8311"/>
    <e v="#N/A"/>
    <m/>
    <s v="5"/>
    <x v="11"/>
    <s v="52"/>
    <s v="השתלמויות וספרות מקצועית"/>
    <s v="522"/>
    <s v="ספרות מקצועית ועיתונות"/>
  </r>
  <r>
    <n v="541"/>
    <s v="83110"/>
    <n v="1"/>
    <s v="183110.541"/>
    <s v="החזקת מכשירי קשר וסלולר         "/>
    <m/>
    <m/>
    <n v="2000"/>
    <n v="2000"/>
    <n v="230"/>
    <m/>
    <x v="7"/>
    <s v="שירותים ממלכתיים"/>
    <x v="35"/>
    <s v="בריאות"/>
    <x v="120"/>
    <e v="#N/A"/>
    <s v="8311"/>
    <e v="#N/A"/>
    <m/>
    <s v="5"/>
    <x v="11"/>
    <s v="54"/>
    <s v="הוצאות תקשורת"/>
    <s v="541"/>
    <e v="#N/A"/>
  </r>
  <r>
    <n v="610"/>
    <s v="83110"/>
    <n v="1"/>
    <s v="183110.610"/>
    <s v="כיבודים                         "/>
    <m/>
    <m/>
    <n v="10000"/>
    <n v="10000"/>
    <n v="6315"/>
    <m/>
    <x v="7"/>
    <s v="שירותים ממלכתיים"/>
    <x v="35"/>
    <s v="בריאות"/>
    <x v="120"/>
    <e v="#N/A"/>
    <s v="8311"/>
    <e v="#N/A"/>
    <m/>
    <s v="6"/>
    <x v="12"/>
    <s v="61"/>
    <s v="עמלות"/>
    <s v="610"/>
    <e v="#N/A"/>
  </r>
  <r>
    <n v="670"/>
    <s v="83110"/>
    <n v="1"/>
    <s v="183110.670"/>
    <s v="סעיף שאינו חוזר                 "/>
    <m/>
    <m/>
    <n v="0"/>
    <n v="165000"/>
    <n v="173597"/>
    <m/>
    <x v="7"/>
    <s v="שירותים ממלכתיים"/>
    <x v="35"/>
    <s v="בריאות"/>
    <x v="120"/>
    <e v="#N/A"/>
    <s v="8311"/>
    <e v="#N/A"/>
    <m/>
    <s v="6"/>
    <x v="12"/>
    <s v="67"/>
    <e v="#N/A"/>
    <s v="670"/>
    <e v="#N/A"/>
  </r>
  <r>
    <n v="680"/>
    <s v="83110"/>
    <n v="1"/>
    <s v="183110.680"/>
    <s v="הוצאות מיוחדות                  "/>
    <m/>
    <m/>
    <n v="5000"/>
    <n v="5000"/>
    <n v="1763"/>
    <m/>
    <x v="7"/>
    <s v="שירותים ממלכתיים"/>
    <x v="35"/>
    <s v="בריאות"/>
    <x v="120"/>
    <e v="#N/A"/>
    <s v="8311"/>
    <e v="#N/A"/>
    <m/>
    <s v="6"/>
    <x v="12"/>
    <s v="68"/>
    <s v="ריבית על הוצאות אחרות"/>
    <s v="680"/>
    <e v="#N/A"/>
  </r>
  <r>
    <n v="691"/>
    <s v="83110"/>
    <n v="1"/>
    <s v="183110.691"/>
    <s v="מערכות מידע ומחשוב              "/>
    <m/>
    <m/>
    <n v="790000"/>
    <n v="680000"/>
    <n v="571720"/>
    <m/>
    <x v="7"/>
    <s v="שירותים ממלכתיים"/>
    <x v="35"/>
    <s v="בריאות"/>
    <x v="120"/>
    <e v="#N/A"/>
    <s v="8311"/>
    <e v="#N/A"/>
    <m/>
    <s v="6"/>
    <x v="12"/>
    <s v="69"/>
    <s v="שונות"/>
    <s v="691"/>
    <s v="תשלום ע&quot;ח קרן"/>
  </r>
  <r>
    <n v="693"/>
    <s v="83110"/>
    <n v="1"/>
    <s v="183110.693"/>
    <s v="מיחשוב יחידתי                   "/>
    <m/>
    <m/>
    <n v="30000"/>
    <n v="32000"/>
    <n v="22459"/>
    <m/>
    <x v="7"/>
    <s v="שירותים ממלכתיים"/>
    <x v="35"/>
    <s v="בריאות"/>
    <x v="120"/>
    <e v="#N/A"/>
    <s v="8311"/>
    <e v="#N/A"/>
    <m/>
    <s v="6"/>
    <x v="12"/>
    <s v="69"/>
    <s v="שונות"/>
    <s v="693"/>
    <s v="תשלום ע&quot;ח הצמדת ערך"/>
  </r>
  <r>
    <n v="721"/>
    <s v="83110"/>
    <n v="1"/>
    <s v="183110.721"/>
    <s v="חומרי רפואה וחבישה              "/>
    <m/>
    <m/>
    <n v="8000"/>
    <n v="8000"/>
    <n v="10106"/>
    <m/>
    <x v="7"/>
    <s v="שירותים ממלכתיים"/>
    <x v="35"/>
    <s v="בריאות"/>
    <x v="120"/>
    <e v="#N/A"/>
    <s v="8311"/>
    <e v="#N/A"/>
    <m/>
    <s v="7"/>
    <x v="13"/>
    <s v="72"/>
    <s v="חומרים"/>
    <s v="721"/>
    <e v="#N/A"/>
  </r>
  <r>
    <n v="782"/>
    <s v="83110"/>
    <n v="1"/>
    <s v="183110.782"/>
    <s v="גניזת תיקי מטופלים              "/>
    <m/>
    <m/>
    <n v="26000"/>
    <n v="26000"/>
    <n v="17150"/>
    <m/>
    <x v="7"/>
    <s v="שירותים ממלכתיים"/>
    <x v="35"/>
    <s v="בריאות"/>
    <x v="120"/>
    <e v="#N/A"/>
    <s v="8311"/>
    <e v="#N/A"/>
    <m/>
    <s v="7"/>
    <x v="13"/>
    <s v="78"/>
    <s v="הוצאות שונות"/>
    <s v="782"/>
    <e v="#N/A"/>
  </r>
  <r>
    <n v="932"/>
    <s v="83110"/>
    <n v="1"/>
    <s v="183110.932"/>
    <s v="ציוד ורהוט משרדי                "/>
    <m/>
    <m/>
    <n v="20000"/>
    <n v="20000"/>
    <n v="19456"/>
    <m/>
    <x v="7"/>
    <s v="שירותים ממלכתיים"/>
    <x v="35"/>
    <s v="בריאות"/>
    <x v="120"/>
    <e v="#N/A"/>
    <s v="8311"/>
    <e v="#N/A"/>
    <m/>
    <s v="9"/>
    <x v="17"/>
    <s v="93"/>
    <s v="רכישת ציוד יסודי"/>
    <s v="932"/>
    <e v="#N/A"/>
  </r>
  <r>
    <n v="934"/>
    <s v="83110"/>
    <n v="1"/>
    <s v="183110.934"/>
    <s v="ציוד תפעולי                     "/>
    <m/>
    <m/>
    <n v="22000"/>
    <n v="10000"/>
    <n v="19338"/>
    <m/>
    <x v="7"/>
    <s v="שירותים ממלכתיים"/>
    <x v="35"/>
    <s v="בריאות"/>
    <x v="120"/>
    <e v="#N/A"/>
    <s v="8311"/>
    <e v="#N/A"/>
    <m/>
    <s v="9"/>
    <x v="17"/>
    <s v="93"/>
    <s v="רכישת ציוד יסודי"/>
    <s v="934"/>
    <e v="#N/A"/>
  </r>
  <r>
    <n v="999"/>
    <s v="83110"/>
    <n v="1"/>
    <s v="183110.999"/>
    <s v="סעיף שאינו חוזר                 "/>
    <m/>
    <m/>
    <n v="0"/>
    <n v="-80000"/>
    <n v="0"/>
    <m/>
    <x v="7"/>
    <s v="שירותים ממלכתיים"/>
    <x v="35"/>
    <s v="בריאות"/>
    <x v="120"/>
    <e v="#N/A"/>
    <s v="8311"/>
    <e v="#N/A"/>
    <m/>
    <s v="9"/>
    <x v="17"/>
    <s v="99"/>
    <e v="#N/A"/>
    <s v="999"/>
    <e v="#N/A"/>
  </r>
  <r>
    <n v="999"/>
    <s v="83110"/>
    <n v="1"/>
    <s v="183110.999"/>
    <s v="סעיף שאינו חוזר                 "/>
    <m/>
    <m/>
    <n v="0"/>
    <n v="194000"/>
    <n v="214716"/>
    <m/>
    <x v="7"/>
    <s v="שירותים ממלכתיים"/>
    <x v="35"/>
    <s v="בריאות"/>
    <x v="120"/>
    <e v="#N/A"/>
    <s v="8311"/>
    <e v="#N/A"/>
    <m/>
    <s v="9"/>
    <x v="17"/>
    <s v="99"/>
    <e v="#N/A"/>
    <s v="999"/>
    <e v="#N/A"/>
  </r>
  <r>
    <n v="110"/>
    <s v="83120"/>
    <n v="1"/>
    <s v="183120.110"/>
    <s v="משכורת כוללת                    "/>
    <m/>
    <m/>
    <n v="362000"/>
    <n v="356000"/>
    <n v="304011"/>
    <m/>
    <x v="7"/>
    <s v="שירותים ממלכתיים"/>
    <x v="35"/>
    <s v="בריאות"/>
    <x v="120"/>
    <e v="#N/A"/>
    <s v="8312"/>
    <e v="#N/A"/>
    <m/>
    <s v="1"/>
    <x v="9"/>
    <s v="11"/>
    <s v="השכר הקובע"/>
    <s v="110"/>
    <e v="#N/A"/>
  </r>
  <r>
    <n v="124"/>
    <s v="83120"/>
    <n v="1"/>
    <s v="183120.124"/>
    <s v="החזר הוצאות                     "/>
    <m/>
    <m/>
    <n v="23000"/>
    <n v="22000"/>
    <n v="18945"/>
    <m/>
    <x v="7"/>
    <s v="שירותים ממלכתיים"/>
    <x v="35"/>
    <s v="בריאות"/>
    <x v="120"/>
    <e v="#N/A"/>
    <s v="8312"/>
    <e v="#N/A"/>
    <m/>
    <s v="1"/>
    <x v="9"/>
    <s v="12"/>
    <s v="תוספות שאינן נכללות בשכר הקובע"/>
    <s v="124"/>
    <e v="#N/A"/>
  </r>
  <r>
    <n v="126"/>
    <s v="83120"/>
    <n v="1"/>
    <s v="183120.126"/>
    <s v="הבראה                           "/>
    <m/>
    <m/>
    <n v="24000"/>
    <n v="28000"/>
    <n v="21415"/>
    <m/>
    <x v="7"/>
    <s v="שירותים ממלכתיים"/>
    <x v="35"/>
    <s v="בריאות"/>
    <x v="120"/>
    <e v="#N/A"/>
    <s v="8312"/>
    <e v="#N/A"/>
    <m/>
    <s v="1"/>
    <x v="9"/>
    <s v="12"/>
    <s v="תוספות שאינן נכללות בשכר הקובע"/>
    <s v="126"/>
    <e v="#N/A"/>
  </r>
  <r>
    <n v="127"/>
    <s v="83120"/>
    <n v="1"/>
    <s v="183120.127"/>
    <s v="השתתפות באחזקת רכב - 2          "/>
    <m/>
    <m/>
    <n v="62000"/>
    <n v="61000"/>
    <n v="38753"/>
    <m/>
    <x v="7"/>
    <s v="שירותים ממלכתיים"/>
    <x v="35"/>
    <s v="בריאות"/>
    <x v="120"/>
    <e v="#N/A"/>
    <s v="8312"/>
    <e v="#N/A"/>
    <m/>
    <s v="1"/>
    <x v="9"/>
    <s v="12"/>
    <s v="תוספות שאינן נכללות בשכר הקובע"/>
    <s v="127"/>
    <e v="#N/A"/>
  </r>
  <r>
    <n v="130"/>
    <s v="83120"/>
    <n v="1"/>
    <s v="183120.130"/>
    <s v="תשלומים מיוחדים                 "/>
    <m/>
    <m/>
    <n v="65000"/>
    <n v="61000"/>
    <n v="54025"/>
    <m/>
    <x v="7"/>
    <s v="שירותים ממלכתיים"/>
    <x v="35"/>
    <s v="בריאות"/>
    <x v="120"/>
    <e v="#N/A"/>
    <s v="8312"/>
    <e v="#N/A"/>
    <m/>
    <s v="1"/>
    <x v="9"/>
    <s v="13"/>
    <s v="שעות נוספות"/>
    <s v="130"/>
    <e v="#N/A"/>
  </r>
  <r>
    <n v="181"/>
    <s v="83120"/>
    <n v="1"/>
    <s v="183120.181"/>
    <s v="מיסים וביטוח לאומי              "/>
    <m/>
    <m/>
    <n v="71000"/>
    <n v="70000"/>
    <n v="54570"/>
    <m/>
    <x v="7"/>
    <s v="שירותים ממלכתיים"/>
    <x v="35"/>
    <s v="בריאות"/>
    <x v="120"/>
    <e v="#N/A"/>
    <s v="8312"/>
    <e v="#N/A"/>
    <m/>
    <s v="1"/>
    <x v="9"/>
    <s v="18"/>
    <s v="נלוות לשכר"/>
    <s v="181"/>
    <s v="הפרשות סוציאליות"/>
  </r>
  <r>
    <n v="182"/>
    <s v="83120"/>
    <n v="1"/>
    <s v="183120.182"/>
    <s v="קופות גמל והשתלמות              "/>
    <m/>
    <m/>
    <n v="57000"/>
    <n v="58000"/>
    <n v="44833"/>
    <m/>
    <x v="7"/>
    <s v="שירותים ממלכתיים"/>
    <x v="35"/>
    <s v="בריאות"/>
    <x v="120"/>
    <e v="#N/A"/>
    <s v="8312"/>
    <e v="#N/A"/>
    <m/>
    <s v="1"/>
    <x v="9"/>
    <s v="18"/>
    <s v="נלוות לשכר"/>
    <s v="182"/>
    <s v="מיסיום ועלויות"/>
  </r>
  <r>
    <n v="310"/>
    <s v="83120"/>
    <n v="1"/>
    <s v="183120.310"/>
    <s v="שעות נוספות רשומות              "/>
    <m/>
    <m/>
    <n v="4000"/>
    <n v="4000"/>
    <n v="2023"/>
    <m/>
    <x v="7"/>
    <s v="שירותים ממלכתיים"/>
    <x v="35"/>
    <s v="בריאות"/>
    <x v="120"/>
    <e v="#N/A"/>
    <s v="8312"/>
    <e v="#N/A"/>
    <m/>
    <s v="3"/>
    <x v="14"/>
    <s v="31"/>
    <s v="פנסיה"/>
    <s v="310"/>
    <e v="#N/A"/>
  </r>
  <r>
    <n v="340"/>
    <s v="83120"/>
    <n v="1"/>
    <s v="183120.340"/>
    <s v="שעות נוספות מיוחדות             "/>
    <m/>
    <m/>
    <n v="3000"/>
    <n v="3000"/>
    <n v="0"/>
    <m/>
    <x v="7"/>
    <s v="שירותים ממלכתיים"/>
    <x v="35"/>
    <s v="בריאות"/>
    <x v="120"/>
    <e v="#N/A"/>
    <s v="8312"/>
    <e v="#N/A"/>
    <m/>
    <s v="3"/>
    <x v="14"/>
    <s v="34"/>
    <e v="#N/A"/>
    <s v="340"/>
    <e v="#N/A"/>
  </r>
  <r>
    <n v="431"/>
    <s v="83120"/>
    <n v="1"/>
    <s v="183120.431"/>
    <s v="מים                             "/>
    <m/>
    <m/>
    <n v="21000"/>
    <n v="16000"/>
    <n v="26201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1"/>
    <s v="חשמל"/>
  </r>
  <r>
    <n v="432"/>
    <s v="83120"/>
    <n v="1"/>
    <s v="183120.432"/>
    <s v="תחזוקת החצר הגן                 "/>
    <m/>
    <m/>
    <n v="31000"/>
    <n v="31000"/>
    <n v="40737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2"/>
    <s v="מים"/>
  </r>
  <r>
    <n v="433"/>
    <s v="83120"/>
    <n v="1"/>
    <s v="183120.433"/>
    <s v="ביטוח                           "/>
    <m/>
    <m/>
    <n v="274000"/>
    <n v="253000"/>
    <n v="274000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3"/>
    <s v="חומרי ניקיון"/>
  </r>
  <r>
    <n v="434"/>
    <s v="83120"/>
    <n v="1"/>
    <s v="183120.434"/>
    <s v="תיקוני מבנים  מתקנים ואינונטר   "/>
    <m/>
    <m/>
    <n v="57000"/>
    <n v="57000"/>
    <n v="52999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4"/>
    <s v="שירותי ניקיון"/>
  </r>
  <r>
    <n v="435"/>
    <s v="83120"/>
    <n v="1"/>
    <s v="183120.435"/>
    <s v="חשמל ואנרגיה                    "/>
    <m/>
    <m/>
    <n v="203000"/>
    <n v="210000"/>
    <n v="196197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5"/>
    <e v="#N/A"/>
  </r>
  <r>
    <n v="436"/>
    <s v="83120"/>
    <n v="1"/>
    <s v="183120.436"/>
    <s v="חומרי ניקוי                     "/>
    <m/>
    <m/>
    <n v="6000"/>
    <n v="6000"/>
    <n v="5883"/>
    <m/>
    <x v="7"/>
    <s v="שירותים ממלכתיים"/>
    <x v="35"/>
    <s v="בריאות"/>
    <x v="120"/>
    <e v="#N/A"/>
    <s v="8312"/>
    <e v="#N/A"/>
    <m/>
    <s v="4"/>
    <x v="15"/>
    <s v="43"/>
    <s v="חשמל, מים וחומרי ניקיון"/>
    <s v="436"/>
    <e v="#N/A"/>
  </r>
  <r>
    <n v="752"/>
    <s v="83120"/>
    <n v="1"/>
    <s v="183120.752"/>
    <s v="נקיון קבלני                     "/>
    <m/>
    <m/>
    <n v="158000"/>
    <n v="158000"/>
    <n v="150068"/>
    <m/>
    <x v="7"/>
    <s v="שירותים ממלכתיים"/>
    <x v="35"/>
    <s v="בריאות"/>
    <x v="120"/>
    <e v="#N/A"/>
    <s v="8312"/>
    <e v="#N/A"/>
    <m/>
    <s v="7"/>
    <x v="13"/>
    <s v="75"/>
    <s v="עבודות קבלניות"/>
    <s v="752"/>
    <e v="#N/A"/>
  </r>
  <r>
    <n v="783"/>
    <s v="83120"/>
    <n v="1"/>
    <s v="183120.783"/>
    <s v="כיבוי אש                        "/>
    <m/>
    <m/>
    <n v="33000"/>
    <n v="33000"/>
    <n v="0"/>
    <m/>
    <x v="7"/>
    <s v="שירותים ממלכתיים"/>
    <x v="35"/>
    <s v="בריאות"/>
    <x v="120"/>
    <e v="#N/A"/>
    <s v="8312"/>
    <e v="#N/A"/>
    <m/>
    <s v="7"/>
    <x v="13"/>
    <s v="78"/>
    <s v="הוצאות שונות"/>
    <s v="783"/>
    <e v="#N/A"/>
  </r>
  <r>
    <n v="784"/>
    <s v="83120"/>
    <n v="1"/>
    <s v="183120.784"/>
    <s v="בקרת טמפ' למקררי חיסונים בטיפות "/>
    <m/>
    <m/>
    <n v="65000"/>
    <n v="0"/>
    <n v="0"/>
    <m/>
    <x v="7"/>
    <s v="שירותים ממלכתיים"/>
    <x v="35"/>
    <s v="בריאות"/>
    <x v="120"/>
    <e v="#N/A"/>
    <s v="8312"/>
    <e v="#N/A"/>
    <m/>
    <s v="7"/>
    <x v="13"/>
    <s v="78"/>
    <s v="הוצאות שונות"/>
    <s v="784"/>
    <e v="#N/A"/>
  </r>
  <r>
    <n v="799"/>
    <s v="83120"/>
    <n v="1"/>
    <s v="183120.799"/>
    <s v="השתת' תחנת השפ ח באחזקת בית שטרא"/>
    <m/>
    <m/>
    <n v="-88000"/>
    <n v="-88000"/>
    <n v="-88000"/>
    <m/>
    <x v="7"/>
    <s v="שירותים ממלכתיים"/>
    <x v="35"/>
    <s v="בריאות"/>
    <x v="120"/>
    <e v="#N/A"/>
    <s v="8312"/>
    <e v="#N/A"/>
    <m/>
    <s v="7"/>
    <x v="13"/>
    <s v="79"/>
    <s v="השתתפות בתקציבי עזר 092"/>
    <s v="799"/>
    <e v="#N/A"/>
  </r>
  <r>
    <n v="751"/>
    <s v="83210"/>
    <n v="1"/>
    <s v="183210.751"/>
    <s v="שרות אורטופטיקה                 "/>
    <m/>
    <m/>
    <n v="32000"/>
    <n v="32000"/>
    <n v="32000"/>
    <m/>
    <x v="7"/>
    <s v="שירותים ממלכתיים"/>
    <x v="35"/>
    <s v="בריאות"/>
    <x v="121"/>
    <s v="מרפאות"/>
    <s v="8321"/>
    <s v="מרפאות יעוץ"/>
    <m/>
    <s v="7"/>
    <x v="13"/>
    <s v="75"/>
    <s v="עבודות קבלניות"/>
    <s v="751"/>
    <e v="#N/A"/>
  </r>
  <r>
    <n v="840"/>
    <s v="83210"/>
    <n v="1"/>
    <s v="183210.840"/>
    <s v="קניית שרות רופאי ילדים מאיכילוב "/>
    <m/>
    <m/>
    <n v="837000"/>
    <n v="837000"/>
    <n v="837000"/>
    <m/>
    <x v="7"/>
    <s v="שירותים ממלכתיים"/>
    <x v="35"/>
    <s v="בריאות"/>
    <x v="121"/>
    <s v="מרפאות"/>
    <s v="8321"/>
    <s v="מרפאות יעוץ"/>
    <m/>
    <s v="8"/>
    <x v="16"/>
    <s v="84"/>
    <s v="תמיכות רווחה"/>
    <s v="840"/>
    <e v="#N/A"/>
  </r>
  <r>
    <n v="870"/>
    <s v="83210"/>
    <n v="1"/>
    <s v="183210.870"/>
    <s v="סעיף שאינו חוזר                 "/>
    <m/>
    <m/>
    <n v="0"/>
    <n v="80000"/>
    <n v="80000"/>
    <m/>
    <x v="7"/>
    <s v="שירותים ממלכתיים"/>
    <x v="35"/>
    <s v="בריאות"/>
    <x v="121"/>
    <s v="מרפאות"/>
    <s v="8321"/>
    <s v="מרפאות יעוץ"/>
    <m/>
    <s v="8"/>
    <x v="16"/>
    <s v="87"/>
    <s v="תמיכות ביחידות סמך ומוסדות הרשות"/>
    <s v="870"/>
    <e v="#N/A"/>
  </r>
  <r>
    <n v="110"/>
    <s v="83221"/>
    <n v="1"/>
    <s v="183221.110"/>
    <s v="משכורת כוללת                    "/>
    <m/>
    <m/>
    <n v="1314000"/>
    <n v="1212000"/>
    <n v="1228492"/>
    <m/>
    <x v="7"/>
    <s v="שירותים ממלכתיים"/>
    <x v="35"/>
    <s v="בריאות"/>
    <x v="121"/>
    <s v="מרפאות"/>
    <s v="8322"/>
    <s v="מרפאות כלליות"/>
    <m/>
    <s v="1"/>
    <x v="9"/>
    <s v="11"/>
    <s v="השכר הקובע"/>
    <s v="110"/>
    <e v="#N/A"/>
  </r>
  <r>
    <n v="124"/>
    <s v="83221"/>
    <n v="1"/>
    <s v="183221.124"/>
    <s v="החזר הוצאות                     "/>
    <m/>
    <m/>
    <n v="93000"/>
    <n v="68000"/>
    <n v="86533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4"/>
    <e v="#N/A"/>
  </r>
  <r>
    <n v="126"/>
    <s v="83221"/>
    <n v="1"/>
    <s v="183221.126"/>
    <s v="הבראה                           "/>
    <m/>
    <m/>
    <n v="66000"/>
    <n v="59000"/>
    <n v="60143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6"/>
    <e v="#N/A"/>
  </r>
  <r>
    <n v="127"/>
    <s v="83221"/>
    <n v="1"/>
    <s v="183221.127"/>
    <s v="השתתפות באחזקת רכב - 7          "/>
    <m/>
    <m/>
    <n v="172000"/>
    <n v="137000"/>
    <n v="142168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7"/>
    <e v="#N/A"/>
  </r>
  <r>
    <n v="130"/>
    <s v="83221"/>
    <n v="1"/>
    <s v="183221.130"/>
    <s v="תשלומים מיוחדים                 "/>
    <m/>
    <m/>
    <n v="218000"/>
    <n v="196000"/>
    <n v="197854"/>
    <m/>
    <x v="7"/>
    <s v="שירותים ממלכתיים"/>
    <x v="35"/>
    <s v="בריאות"/>
    <x v="121"/>
    <s v="מרפאות"/>
    <s v="8322"/>
    <s v="מרפאות כלליות"/>
    <m/>
    <s v="1"/>
    <x v="9"/>
    <s v="13"/>
    <s v="שעות נוספות"/>
    <s v="130"/>
    <e v="#N/A"/>
  </r>
  <r>
    <n v="181"/>
    <s v="83221"/>
    <n v="1"/>
    <s v="183221.181"/>
    <s v="מיסים וביטוח לאומי              "/>
    <m/>
    <m/>
    <n v="265000"/>
    <n v="232000"/>
    <n v="231851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1"/>
    <s v="הפרשות סוציאליות"/>
  </r>
  <r>
    <n v="182"/>
    <s v="83221"/>
    <n v="1"/>
    <s v="183221.182"/>
    <s v="קופות גמל והשתלמות              "/>
    <m/>
    <m/>
    <n v="212000"/>
    <n v="191000"/>
    <n v="187047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2"/>
    <s v="מיסיום ועלויות"/>
  </r>
  <r>
    <n v="230"/>
    <s v="83221"/>
    <n v="1"/>
    <s v="183221.230"/>
    <s v="משימה חולפת-1.3                 "/>
    <m/>
    <m/>
    <n v="165000"/>
    <n v="102000"/>
    <n v="98621"/>
    <m/>
    <x v="7"/>
    <s v="שירותים ממלכתיים"/>
    <x v="35"/>
    <s v="בריאות"/>
    <x v="121"/>
    <s v="מרפאות"/>
    <s v="8322"/>
    <s v="מרפאות כלליות"/>
    <m/>
    <s v="2"/>
    <x v="10"/>
    <s v="23"/>
    <s v="שעות נוספות"/>
    <s v="230"/>
    <e v="#N/A"/>
  </r>
  <r>
    <n v="310"/>
    <s v="83221"/>
    <n v="1"/>
    <s v="183221.310"/>
    <s v="שעות נוספות רשומות              "/>
    <m/>
    <m/>
    <n v="4000"/>
    <n v="4000"/>
    <n v="19"/>
    <m/>
    <x v="7"/>
    <s v="שירותים ממלכתיים"/>
    <x v="35"/>
    <s v="בריאות"/>
    <x v="121"/>
    <s v="מרפאות"/>
    <s v="8322"/>
    <s v="מרפאות כלליות"/>
    <m/>
    <s v="3"/>
    <x v="14"/>
    <s v="31"/>
    <s v="פנסיה"/>
    <s v="310"/>
    <e v="#N/A"/>
  </r>
  <r>
    <n v="434"/>
    <s v="83221"/>
    <n v="1"/>
    <s v="183221.434"/>
    <s v="תיקוני מבנים מתקנים ואינונטר    "/>
    <m/>
    <m/>
    <n v="78000"/>
    <n v="78000"/>
    <n v="69140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4"/>
    <s v="שירותי ניקיון"/>
  </r>
  <r>
    <n v="435"/>
    <s v="83221"/>
    <n v="1"/>
    <s v="183221.435"/>
    <s v="חשמל ואנרגיה                    "/>
    <m/>
    <m/>
    <n v="85000"/>
    <n v="90000"/>
    <n v="66945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5"/>
    <e v="#N/A"/>
  </r>
  <r>
    <n v="436"/>
    <s v="83221"/>
    <n v="1"/>
    <s v="183221.436"/>
    <s v="חומרי ניקוי                     "/>
    <m/>
    <m/>
    <n v="5000"/>
    <n v="5000"/>
    <n v="4691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6"/>
    <e v="#N/A"/>
  </r>
  <r>
    <n v="461"/>
    <s v="83221"/>
    <n v="1"/>
    <s v="183221.461"/>
    <s v="צורכי משרד                      "/>
    <m/>
    <m/>
    <n v="15000"/>
    <n v="15000"/>
    <n v="12727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1"/>
    <e v="#N/A"/>
  </r>
  <r>
    <n v="464"/>
    <s v="83221"/>
    <n v="1"/>
    <s v="183221.464"/>
    <s v="דאר                             "/>
    <m/>
    <m/>
    <n v="4000"/>
    <n v="4000"/>
    <n v="4079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4"/>
    <e v="#N/A"/>
  </r>
  <r>
    <n v="610"/>
    <s v="83221"/>
    <n v="1"/>
    <s v="183221.610"/>
    <s v="כיבודים                         "/>
    <m/>
    <m/>
    <n v="2000"/>
    <n v="2000"/>
    <n v="1953"/>
    <m/>
    <x v="7"/>
    <s v="שירותים ממלכתיים"/>
    <x v="35"/>
    <s v="בריאות"/>
    <x v="121"/>
    <s v="מרפאות"/>
    <s v="8322"/>
    <s v="מרפאות כלליות"/>
    <m/>
    <s v="6"/>
    <x v="12"/>
    <s v="61"/>
    <s v="עמלות"/>
    <s v="610"/>
    <e v="#N/A"/>
  </r>
  <r>
    <n v="670"/>
    <s v="83221"/>
    <n v="1"/>
    <s v="183221.670"/>
    <s v="סעיף שאינו חוזר                 "/>
    <m/>
    <m/>
    <n v="0"/>
    <n v="68000"/>
    <n v="54808"/>
    <m/>
    <x v="7"/>
    <s v="שירותים ממלכתיים"/>
    <x v="35"/>
    <s v="בריאות"/>
    <x v="121"/>
    <s v="מרפאות"/>
    <s v="8322"/>
    <s v="מרפאות כלליות"/>
    <m/>
    <s v="6"/>
    <x v="12"/>
    <s v="67"/>
    <e v="#N/A"/>
    <s v="670"/>
    <e v="#N/A"/>
  </r>
  <r>
    <n v="721"/>
    <s v="83221"/>
    <n v="1"/>
    <s v="183221.721"/>
    <s v="חמרי רפואה וחבישה               "/>
    <m/>
    <m/>
    <n v="24000"/>
    <n v="24000"/>
    <n v="19997"/>
    <m/>
    <x v="7"/>
    <s v="שירותים ממלכתיים"/>
    <x v="35"/>
    <s v="בריאות"/>
    <x v="121"/>
    <s v="מרפאות"/>
    <s v="8322"/>
    <s v="מרפאות כלליות"/>
    <m/>
    <s v="7"/>
    <x v="13"/>
    <s v="72"/>
    <s v="חומרים"/>
    <s v="721"/>
    <e v="#N/A"/>
  </r>
  <r>
    <n v="751"/>
    <s v="83221"/>
    <n v="1"/>
    <s v="183221.751"/>
    <s v="הפעלה בתחנות                    "/>
    <m/>
    <m/>
    <n v="2000"/>
    <n v="2000"/>
    <n v="0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1"/>
    <e v="#N/A"/>
  </r>
  <r>
    <n v="752"/>
    <s v="83221"/>
    <n v="1"/>
    <s v="183221.752"/>
    <s v="נקיון קבלני                     "/>
    <m/>
    <m/>
    <n v="161000"/>
    <n v="160000"/>
    <n v="137573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2"/>
    <e v="#N/A"/>
  </r>
  <r>
    <n v="932"/>
    <s v="83221"/>
    <n v="1"/>
    <s v="183221.932"/>
    <s v="ציוד ורהוט משרדי                "/>
    <m/>
    <m/>
    <n v="5000"/>
    <n v="5000"/>
    <n v="4643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2"/>
    <e v="#N/A"/>
  </r>
  <r>
    <n v="934"/>
    <s v="83221"/>
    <n v="1"/>
    <s v="183221.934"/>
    <s v="ציוד תפעולי                     "/>
    <m/>
    <m/>
    <n v="9000"/>
    <n v="9000"/>
    <n v="8070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4"/>
    <e v="#N/A"/>
  </r>
  <r>
    <n v="110"/>
    <s v="83222"/>
    <n v="1"/>
    <s v="183222.110"/>
    <s v="משכורת כוללת                    "/>
    <m/>
    <m/>
    <n v="2683000"/>
    <n v="2786000"/>
    <n v="2622520"/>
    <m/>
    <x v="7"/>
    <s v="שירותים ממלכתיים"/>
    <x v="35"/>
    <s v="בריאות"/>
    <x v="121"/>
    <s v="מרפאות"/>
    <s v="8322"/>
    <s v="מרפאות כלליות"/>
    <m/>
    <s v="1"/>
    <x v="9"/>
    <s v="11"/>
    <s v="השכר הקובע"/>
    <s v="110"/>
    <e v="#N/A"/>
  </r>
  <r>
    <n v="124"/>
    <s v="83222"/>
    <n v="1"/>
    <s v="183222.124"/>
    <s v="החזר הוצאות                     "/>
    <m/>
    <m/>
    <n v="256000"/>
    <n v="217000"/>
    <n v="238230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4"/>
    <e v="#N/A"/>
  </r>
  <r>
    <n v="126"/>
    <s v="83222"/>
    <n v="1"/>
    <s v="183222.126"/>
    <s v="הבראה                           "/>
    <m/>
    <m/>
    <n v="167000"/>
    <n v="176000"/>
    <n v="152655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6"/>
    <e v="#N/A"/>
  </r>
  <r>
    <n v="127"/>
    <s v="83222"/>
    <n v="1"/>
    <s v="183222.127"/>
    <s v="השתתפות באחזקת רכב - 29         "/>
    <m/>
    <m/>
    <n v="475000"/>
    <n v="525000"/>
    <n v="472688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7"/>
    <e v="#N/A"/>
  </r>
  <r>
    <n v="130"/>
    <s v="83222"/>
    <n v="1"/>
    <s v="183222.130"/>
    <s v="תשלומים מיוחדים                 "/>
    <m/>
    <m/>
    <n v="477000"/>
    <n v="485000"/>
    <n v="424209"/>
    <m/>
    <x v="7"/>
    <s v="שירותים ממלכתיים"/>
    <x v="35"/>
    <s v="בריאות"/>
    <x v="121"/>
    <s v="מרפאות"/>
    <s v="8322"/>
    <s v="מרפאות כלליות"/>
    <m/>
    <s v="1"/>
    <x v="9"/>
    <s v="13"/>
    <s v="שעות נוספות"/>
    <s v="130"/>
    <e v="#N/A"/>
  </r>
  <r>
    <n v="181"/>
    <s v="83222"/>
    <n v="1"/>
    <s v="183222.181"/>
    <s v="מיסים וביטוח לאומי              "/>
    <m/>
    <m/>
    <n v="636000"/>
    <n v="661000"/>
    <n v="554961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1"/>
    <s v="הפרשות סוציאליות"/>
  </r>
  <r>
    <n v="182"/>
    <s v="83222"/>
    <n v="1"/>
    <s v="183222.182"/>
    <s v="קופות גמל והשתלמות              "/>
    <m/>
    <m/>
    <n v="593000"/>
    <n v="628000"/>
    <n v="526770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2"/>
    <s v="מיסיום ועלויות"/>
  </r>
  <r>
    <n v="230"/>
    <s v="83222"/>
    <n v="1"/>
    <s v="183222.230"/>
    <s v="משימה חולפת-10.35               "/>
    <m/>
    <m/>
    <n v="796000"/>
    <n v="851000"/>
    <n v="601254"/>
    <m/>
    <x v="7"/>
    <s v="שירותים ממלכתיים"/>
    <x v="35"/>
    <s v="בריאות"/>
    <x v="121"/>
    <s v="מרפאות"/>
    <s v="8322"/>
    <s v="מרפאות כלליות"/>
    <m/>
    <s v="2"/>
    <x v="10"/>
    <s v="23"/>
    <s v="שעות נוספות"/>
    <s v="230"/>
    <e v="#N/A"/>
  </r>
  <r>
    <n v="310"/>
    <s v="83222"/>
    <n v="1"/>
    <s v="183222.310"/>
    <s v="שעות נוספות רשומות              "/>
    <m/>
    <m/>
    <n v="10000"/>
    <n v="10000"/>
    <n v="15616"/>
    <m/>
    <x v="7"/>
    <s v="שירותים ממלכתיים"/>
    <x v="35"/>
    <s v="בריאות"/>
    <x v="121"/>
    <s v="מרפאות"/>
    <s v="8322"/>
    <s v="מרפאות כלליות"/>
    <m/>
    <s v="3"/>
    <x v="14"/>
    <s v="31"/>
    <s v="פנסיה"/>
    <s v="310"/>
    <e v="#N/A"/>
  </r>
  <r>
    <n v="434"/>
    <s v="83222"/>
    <n v="1"/>
    <s v="183222.434"/>
    <s v="תיקוני מבנים מתקנים ואינונטר    "/>
    <m/>
    <m/>
    <n v="124000"/>
    <n v="126000"/>
    <n v="115634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4"/>
    <s v="שירותי ניקיון"/>
  </r>
  <r>
    <n v="435"/>
    <s v="83222"/>
    <n v="1"/>
    <s v="183222.435"/>
    <s v="חשמל ואנרגיה                    "/>
    <m/>
    <m/>
    <n v="40000"/>
    <n v="35000"/>
    <n v="39472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5"/>
    <e v="#N/A"/>
  </r>
  <r>
    <n v="436"/>
    <s v="83222"/>
    <n v="1"/>
    <s v="183222.436"/>
    <s v="חומרי ניקוי                     "/>
    <m/>
    <m/>
    <n v="10000"/>
    <n v="8000"/>
    <n v="7498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6"/>
    <e v="#N/A"/>
  </r>
  <r>
    <n v="461"/>
    <s v="83222"/>
    <n v="1"/>
    <s v="183222.461"/>
    <s v="צורכי משרד                      "/>
    <m/>
    <m/>
    <n v="33000"/>
    <n v="33000"/>
    <n v="22254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1"/>
    <e v="#N/A"/>
  </r>
  <r>
    <n v="464"/>
    <s v="83222"/>
    <n v="1"/>
    <s v="183222.464"/>
    <s v="דאר                             "/>
    <m/>
    <m/>
    <n v="6000"/>
    <n v="6000"/>
    <n v="6000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4"/>
    <e v="#N/A"/>
  </r>
  <r>
    <n v="610"/>
    <s v="83222"/>
    <n v="1"/>
    <s v="183222.610"/>
    <s v="כיבודים                         "/>
    <m/>
    <m/>
    <n v="3000"/>
    <n v="3000"/>
    <n v="3000"/>
    <m/>
    <x v="7"/>
    <s v="שירותים ממלכתיים"/>
    <x v="35"/>
    <s v="בריאות"/>
    <x v="121"/>
    <s v="מרפאות"/>
    <s v="8322"/>
    <s v="מרפאות כלליות"/>
    <m/>
    <s v="6"/>
    <x v="12"/>
    <s v="61"/>
    <s v="עמלות"/>
    <s v="610"/>
    <e v="#N/A"/>
  </r>
  <r>
    <n v="670"/>
    <s v="83222"/>
    <n v="1"/>
    <s v="183222.670"/>
    <s v="סעיף שאינו חוזר                 "/>
    <m/>
    <m/>
    <n v="0"/>
    <n v="32000"/>
    <n v="9297"/>
    <m/>
    <x v="7"/>
    <s v="שירותים ממלכתיים"/>
    <x v="35"/>
    <s v="בריאות"/>
    <x v="121"/>
    <s v="מרפאות"/>
    <s v="8322"/>
    <s v="מרפאות כלליות"/>
    <m/>
    <s v="6"/>
    <x v="12"/>
    <s v="67"/>
    <e v="#N/A"/>
    <s v="670"/>
    <e v="#N/A"/>
  </r>
  <r>
    <n v="721"/>
    <s v="83222"/>
    <n v="1"/>
    <s v="183222.721"/>
    <s v="חמרי רפואה וחבישה               "/>
    <m/>
    <m/>
    <n v="40000"/>
    <n v="40000"/>
    <n v="30000"/>
    <m/>
    <x v="7"/>
    <s v="שירותים ממלכתיים"/>
    <x v="35"/>
    <s v="בריאות"/>
    <x v="121"/>
    <s v="מרפאות"/>
    <s v="8322"/>
    <s v="מרפאות כלליות"/>
    <m/>
    <s v="7"/>
    <x v="13"/>
    <s v="72"/>
    <s v="חומרים"/>
    <s v="721"/>
    <e v="#N/A"/>
  </r>
  <r>
    <n v="751"/>
    <s v="83222"/>
    <n v="1"/>
    <s v="183222.751"/>
    <s v="הפעלה בתחנות                    "/>
    <m/>
    <m/>
    <n v="1000"/>
    <n v="1000"/>
    <n v="700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1"/>
    <e v="#N/A"/>
  </r>
  <r>
    <n v="752"/>
    <s v="83222"/>
    <n v="1"/>
    <s v="183222.752"/>
    <s v="נקיון קבלני                     "/>
    <m/>
    <m/>
    <n v="257000"/>
    <n v="256000"/>
    <n v="250272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2"/>
    <e v="#N/A"/>
  </r>
  <r>
    <n v="932"/>
    <s v="83222"/>
    <n v="1"/>
    <s v="183222.932"/>
    <s v="ציוד ורהוט משרדי                "/>
    <m/>
    <m/>
    <n v="33000"/>
    <n v="33000"/>
    <n v="37667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2"/>
    <e v="#N/A"/>
  </r>
  <r>
    <n v="934"/>
    <s v="83222"/>
    <n v="1"/>
    <s v="183222.934"/>
    <s v="ציוד תפעולי                     "/>
    <m/>
    <m/>
    <n v="9000"/>
    <n v="9000"/>
    <n v="5765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4"/>
    <e v="#N/A"/>
  </r>
  <r>
    <n v="110"/>
    <s v="83223"/>
    <n v="1"/>
    <s v="183223.110"/>
    <s v="משכורת כוללת                    "/>
    <m/>
    <m/>
    <n v="1357000"/>
    <n v="1387000"/>
    <n v="1277911"/>
    <m/>
    <x v="7"/>
    <s v="שירותים ממלכתיים"/>
    <x v="35"/>
    <s v="בריאות"/>
    <x v="121"/>
    <s v="מרפאות"/>
    <s v="8322"/>
    <s v="מרפאות כלליות"/>
    <m/>
    <s v="1"/>
    <x v="9"/>
    <s v="11"/>
    <s v="השכר הקובע"/>
    <s v="110"/>
    <e v="#N/A"/>
  </r>
  <r>
    <n v="124"/>
    <s v="83223"/>
    <n v="1"/>
    <s v="183223.124"/>
    <s v="החזר הוצאות                     "/>
    <m/>
    <m/>
    <n v="90000"/>
    <n v="69000"/>
    <n v="83619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4"/>
    <e v="#N/A"/>
  </r>
  <r>
    <n v="126"/>
    <s v="83223"/>
    <n v="1"/>
    <s v="183223.126"/>
    <s v="הבראה                           "/>
    <m/>
    <m/>
    <n v="65000"/>
    <n v="64000"/>
    <n v="58854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6"/>
    <e v="#N/A"/>
  </r>
  <r>
    <n v="127"/>
    <s v="83223"/>
    <n v="1"/>
    <s v="183223.127"/>
    <s v="השתתפות באחזקת רכב - 8          "/>
    <m/>
    <m/>
    <n v="217000"/>
    <n v="238000"/>
    <n v="210125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7"/>
    <e v="#N/A"/>
  </r>
  <r>
    <n v="130"/>
    <s v="83223"/>
    <n v="1"/>
    <s v="183223.130"/>
    <s v="תשלומים מיוחדים                 "/>
    <m/>
    <m/>
    <n v="248000"/>
    <n v="244000"/>
    <n v="225047"/>
    <m/>
    <x v="7"/>
    <s v="שירותים ממלכתיים"/>
    <x v="35"/>
    <s v="בריאות"/>
    <x v="121"/>
    <s v="מרפאות"/>
    <s v="8322"/>
    <s v="מרפאות כלליות"/>
    <m/>
    <s v="1"/>
    <x v="9"/>
    <s v="13"/>
    <s v="שעות נוספות"/>
    <s v="130"/>
    <e v="#N/A"/>
  </r>
  <r>
    <n v="181"/>
    <s v="83223"/>
    <n v="1"/>
    <s v="183223.181"/>
    <s v="מיסים וביטוח לאומי              "/>
    <m/>
    <m/>
    <n v="274000"/>
    <n v="275000"/>
    <n v="243562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1"/>
    <s v="הפרשות סוציאליות"/>
  </r>
  <r>
    <n v="182"/>
    <s v="83223"/>
    <n v="1"/>
    <s v="183223.182"/>
    <s v="קופות גמל והשתלמות              "/>
    <m/>
    <m/>
    <n v="227000"/>
    <n v="219000"/>
    <n v="190672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2"/>
    <s v="מיסיום ועלויות"/>
  </r>
  <r>
    <n v="230"/>
    <s v="83223"/>
    <n v="1"/>
    <s v="183223.230"/>
    <s v="משרה חולפת-15.5                 "/>
    <m/>
    <m/>
    <n v="110000"/>
    <n v="92000"/>
    <n v="6522"/>
    <m/>
    <x v="7"/>
    <s v="שירותים ממלכתיים"/>
    <x v="35"/>
    <s v="בריאות"/>
    <x v="121"/>
    <s v="מרפאות"/>
    <s v="8322"/>
    <s v="מרפאות כלליות"/>
    <m/>
    <s v="2"/>
    <x v="10"/>
    <s v="23"/>
    <s v="שעות נוספות"/>
    <s v="230"/>
    <e v="#N/A"/>
  </r>
  <r>
    <n v="310"/>
    <s v="83223"/>
    <n v="1"/>
    <s v="183223.310"/>
    <s v="שעות נוספות רשומות              "/>
    <m/>
    <m/>
    <n v="5000"/>
    <n v="5000"/>
    <n v="5592"/>
    <m/>
    <x v="7"/>
    <s v="שירותים ממלכתיים"/>
    <x v="35"/>
    <s v="בריאות"/>
    <x v="121"/>
    <s v="מרפאות"/>
    <s v="8322"/>
    <s v="מרפאות כלליות"/>
    <m/>
    <s v="3"/>
    <x v="14"/>
    <s v="31"/>
    <s v="פנסיה"/>
    <s v="310"/>
    <e v="#N/A"/>
  </r>
  <r>
    <n v="434"/>
    <s v="83223"/>
    <n v="1"/>
    <s v="183223.434"/>
    <s v="תיקוני מבנים מתקנים ואינונטר    "/>
    <m/>
    <m/>
    <n v="84000"/>
    <n v="84000"/>
    <n v="67964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4"/>
    <s v="שירותי ניקיון"/>
  </r>
  <r>
    <n v="435"/>
    <s v="83223"/>
    <n v="1"/>
    <s v="183223.435"/>
    <s v="חשמל ואנרגיה                    "/>
    <m/>
    <m/>
    <n v="60000"/>
    <n v="60000"/>
    <n v="48625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5"/>
    <e v="#N/A"/>
  </r>
  <r>
    <n v="436"/>
    <s v="83223"/>
    <n v="1"/>
    <s v="183223.436"/>
    <s v="חומרי ניקוי                     "/>
    <m/>
    <m/>
    <n v="2000"/>
    <n v="2000"/>
    <n v="3424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6"/>
    <e v="#N/A"/>
  </r>
  <r>
    <n v="461"/>
    <s v="83223"/>
    <n v="1"/>
    <s v="183223.461"/>
    <s v="צורכי משרד                      "/>
    <m/>
    <m/>
    <n v="13000"/>
    <n v="13000"/>
    <n v="9024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1"/>
    <e v="#N/A"/>
  </r>
  <r>
    <n v="464"/>
    <s v="83223"/>
    <n v="1"/>
    <s v="183223.464"/>
    <s v="דאר                             "/>
    <m/>
    <m/>
    <n v="2000"/>
    <n v="2000"/>
    <n v="1999"/>
    <m/>
    <x v="7"/>
    <s v="שירותים ממלכתיים"/>
    <x v="35"/>
    <s v="בריאות"/>
    <x v="121"/>
    <s v="מרפאות"/>
    <s v="8322"/>
    <s v="מרפאות כלליות"/>
    <m/>
    <s v="4"/>
    <x v="15"/>
    <s v="46"/>
    <e v="#N/A"/>
    <s v="464"/>
    <e v="#N/A"/>
  </r>
  <r>
    <n v="610"/>
    <s v="83223"/>
    <n v="1"/>
    <s v="183223.610"/>
    <s v="כיבודים                         "/>
    <m/>
    <m/>
    <n v="2000"/>
    <n v="2000"/>
    <n v="1994"/>
    <m/>
    <x v="7"/>
    <s v="שירותים ממלכתיים"/>
    <x v="35"/>
    <s v="בריאות"/>
    <x v="121"/>
    <s v="מרפאות"/>
    <s v="8322"/>
    <s v="מרפאות כלליות"/>
    <m/>
    <s v="6"/>
    <x v="12"/>
    <s v="61"/>
    <s v="עמלות"/>
    <s v="610"/>
    <e v="#N/A"/>
  </r>
  <r>
    <n v="670"/>
    <s v="83223"/>
    <n v="1"/>
    <s v="183223.670"/>
    <s v="סעיף שאינו חוזר                 "/>
    <m/>
    <m/>
    <n v="0"/>
    <n v="9000"/>
    <n v="7817"/>
    <m/>
    <x v="7"/>
    <s v="שירותים ממלכתיים"/>
    <x v="35"/>
    <s v="בריאות"/>
    <x v="121"/>
    <s v="מרפאות"/>
    <s v="8322"/>
    <s v="מרפאות כלליות"/>
    <m/>
    <s v="6"/>
    <x v="12"/>
    <s v="67"/>
    <e v="#N/A"/>
    <s v="670"/>
    <e v="#N/A"/>
  </r>
  <r>
    <n v="721"/>
    <s v="83223"/>
    <n v="1"/>
    <s v="183223.721"/>
    <s v="חמרי רפואה וחבישה               "/>
    <m/>
    <m/>
    <n v="25000"/>
    <n v="25000"/>
    <n v="21998"/>
    <m/>
    <x v="7"/>
    <s v="שירותים ממלכתיים"/>
    <x v="35"/>
    <s v="בריאות"/>
    <x v="121"/>
    <s v="מרפאות"/>
    <s v="8322"/>
    <s v="מרפאות כלליות"/>
    <m/>
    <s v="7"/>
    <x v="13"/>
    <s v="72"/>
    <s v="חומרים"/>
    <s v="721"/>
    <e v="#N/A"/>
  </r>
  <r>
    <n v="751"/>
    <s v="83223"/>
    <n v="1"/>
    <s v="183223.751"/>
    <s v="הפעלה בתחנות                    "/>
    <m/>
    <m/>
    <n v="5000"/>
    <n v="5000"/>
    <n v="3000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1"/>
    <e v="#N/A"/>
  </r>
  <r>
    <n v="752"/>
    <s v="83223"/>
    <n v="1"/>
    <s v="183223.752"/>
    <s v="נקיון קבלני                     "/>
    <m/>
    <m/>
    <n v="209000"/>
    <n v="208000"/>
    <n v="200510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2"/>
    <e v="#N/A"/>
  </r>
  <r>
    <n v="932"/>
    <s v="83223"/>
    <n v="1"/>
    <s v="183223.932"/>
    <s v="ציוד ורהוט משרדי                "/>
    <m/>
    <m/>
    <n v="12000"/>
    <n v="12000"/>
    <n v="11020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2"/>
    <e v="#N/A"/>
  </r>
  <r>
    <n v="934"/>
    <s v="83223"/>
    <n v="1"/>
    <s v="183223.934"/>
    <s v="ציוד תפעולי                     "/>
    <m/>
    <m/>
    <n v="5000"/>
    <n v="5000"/>
    <n v="1815"/>
    <m/>
    <x v="7"/>
    <s v="שירותים ממלכתיים"/>
    <x v="35"/>
    <s v="בריאות"/>
    <x v="121"/>
    <s v="מרפאות"/>
    <s v="8322"/>
    <s v="מרפאות כלליות"/>
    <m/>
    <s v="9"/>
    <x v="17"/>
    <s v="93"/>
    <s v="רכישת ציוד יסודי"/>
    <s v="934"/>
    <e v="#N/A"/>
  </r>
  <r>
    <n v="110"/>
    <s v="83224"/>
    <n v="1"/>
    <s v="183224.110"/>
    <s v="משכורת כוללת                    "/>
    <m/>
    <m/>
    <n v="504000"/>
    <n v="480000"/>
    <n v="464152"/>
    <m/>
    <x v="7"/>
    <s v="שירותים ממלכתיים"/>
    <x v="35"/>
    <s v="בריאות"/>
    <x v="121"/>
    <s v="מרפאות"/>
    <s v="8322"/>
    <s v="מרפאות כלליות"/>
    <m/>
    <s v="1"/>
    <x v="9"/>
    <s v="11"/>
    <s v="השכר הקובע"/>
    <s v="110"/>
    <e v="#N/A"/>
  </r>
  <r>
    <n v="124"/>
    <s v="83224"/>
    <n v="1"/>
    <s v="183224.124"/>
    <s v="החזר הוצאות                     "/>
    <m/>
    <m/>
    <n v="24000"/>
    <n v="18000"/>
    <n v="24131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4"/>
    <e v="#N/A"/>
  </r>
  <r>
    <n v="126"/>
    <s v="83224"/>
    <n v="1"/>
    <s v="183224.126"/>
    <s v="הבראה                           "/>
    <m/>
    <m/>
    <n v="17000"/>
    <n v="17000"/>
    <n v="16653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6"/>
    <e v="#N/A"/>
  </r>
  <r>
    <n v="127"/>
    <s v="83224"/>
    <n v="1"/>
    <s v="183224.127"/>
    <s v="השתתפות באחזקת רכב - 3          "/>
    <m/>
    <m/>
    <n v="100000"/>
    <n v="101000"/>
    <n v="98989"/>
    <m/>
    <x v="7"/>
    <s v="שירותים ממלכתיים"/>
    <x v="35"/>
    <s v="בריאות"/>
    <x v="121"/>
    <s v="מרפאות"/>
    <s v="8322"/>
    <s v="מרפאות כלליות"/>
    <m/>
    <s v="1"/>
    <x v="9"/>
    <s v="12"/>
    <s v="תוספות שאינן נכללות בשכר הקובע"/>
    <s v="127"/>
    <e v="#N/A"/>
  </r>
  <r>
    <n v="130"/>
    <s v="83224"/>
    <n v="1"/>
    <s v="183224.130"/>
    <s v="תשלומים מיוחדים                 "/>
    <m/>
    <m/>
    <n v="111000"/>
    <n v="109000"/>
    <n v="107815"/>
    <m/>
    <x v="7"/>
    <s v="שירותים ממלכתיים"/>
    <x v="35"/>
    <s v="בריאות"/>
    <x v="121"/>
    <s v="מרפאות"/>
    <s v="8322"/>
    <s v="מרפאות כלליות"/>
    <m/>
    <s v="1"/>
    <x v="9"/>
    <s v="13"/>
    <s v="שעות נוספות"/>
    <s v="130"/>
    <e v="#N/A"/>
  </r>
  <r>
    <n v="181"/>
    <s v="83224"/>
    <n v="1"/>
    <s v="183224.181"/>
    <s v="מיסים וביטוח לאומי              "/>
    <m/>
    <m/>
    <n v="100000"/>
    <n v="96000"/>
    <n v="98398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1"/>
    <s v="הפרשות סוציאליות"/>
  </r>
  <r>
    <n v="182"/>
    <s v="83224"/>
    <n v="1"/>
    <s v="183224.182"/>
    <s v="קופות גמל והשתלמות              "/>
    <m/>
    <m/>
    <n v="68000"/>
    <n v="65000"/>
    <n v="61058"/>
    <m/>
    <x v="7"/>
    <s v="שירותים ממלכתיים"/>
    <x v="35"/>
    <s v="בריאות"/>
    <x v="121"/>
    <s v="מרפאות"/>
    <s v="8322"/>
    <s v="מרפאות כלליות"/>
    <m/>
    <s v="1"/>
    <x v="9"/>
    <s v="18"/>
    <s v="נלוות לשכר"/>
    <s v="182"/>
    <s v="מיסיום ועלויות"/>
  </r>
  <r>
    <n v="310"/>
    <s v="83224"/>
    <n v="1"/>
    <s v="183224.310"/>
    <s v="שעות נוספות רשומות              "/>
    <m/>
    <m/>
    <n v="11000"/>
    <n v="11000"/>
    <n v="18126"/>
    <m/>
    <x v="7"/>
    <s v="שירותים ממלכתיים"/>
    <x v="35"/>
    <s v="בריאות"/>
    <x v="121"/>
    <s v="מרפאות"/>
    <s v="8322"/>
    <s v="מרפאות כלליות"/>
    <m/>
    <s v="3"/>
    <x v="14"/>
    <s v="31"/>
    <s v="פנסיה"/>
    <s v="310"/>
    <e v="#N/A"/>
  </r>
  <r>
    <n v="431"/>
    <s v="83224"/>
    <n v="1"/>
    <s v="183224.431"/>
    <s v="מים                             "/>
    <m/>
    <m/>
    <n v="15000"/>
    <n v="18000"/>
    <n v="14176"/>
    <m/>
    <x v="7"/>
    <s v="שירותים ממלכתיים"/>
    <x v="35"/>
    <s v="בריאות"/>
    <x v="121"/>
    <s v="מרפאות"/>
    <s v="8322"/>
    <s v="מרפאות כלליות"/>
    <m/>
    <s v="4"/>
    <x v="15"/>
    <s v="43"/>
    <s v="חשמל, מים וחומרי ניקיון"/>
    <s v="431"/>
    <s v="חשמל"/>
  </r>
  <r>
    <n v="720"/>
    <s v="83224"/>
    <n v="1"/>
    <s v="183224.720"/>
    <s v="חומרים וציוד בתחנות             "/>
    <m/>
    <m/>
    <n v="15000"/>
    <n v="23000"/>
    <n v="7953"/>
    <m/>
    <x v="7"/>
    <s v="שירותים ממלכתיים"/>
    <x v="35"/>
    <s v="בריאות"/>
    <x v="121"/>
    <s v="מרפאות"/>
    <s v="8322"/>
    <s v="מרפאות כלליות"/>
    <m/>
    <s v="7"/>
    <x v="13"/>
    <s v="72"/>
    <s v="חומרים"/>
    <s v="720"/>
    <e v="#N/A"/>
  </r>
  <r>
    <n v="751"/>
    <s v="83224"/>
    <n v="1"/>
    <s v="183224.751"/>
    <s v="הפעלה בתחנות                    "/>
    <m/>
    <m/>
    <n v="16000"/>
    <n v="16000"/>
    <n v="11008"/>
    <m/>
    <x v="7"/>
    <s v="שירותים ממלכתיים"/>
    <x v="35"/>
    <s v="בריאות"/>
    <x v="121"/>
    <s v="מרפאות"/>
    <s v="8322"/>
    <s v="מרפאות כלליות"/>
    <m/>
    <s v="7"/>
    <x v="13"/>
    <s v="75"/>
    <s v="עבודות קבלניות"/>
    <s v="751"/>
    <e v="#N/A"/>
  </r>
  <r>
    <n v="110"/>
    <s v="83510"/>
    <n v="1"/>
    <s v="183510.110"/>
    <s v="משכורת כוללת                    "/>
    <m/>
    <m/>
    <n v="349000"/>
    <n v="326000"/>
    <n v="327166"/>
    <m/>
    <x v="7"/>
    <s v="שירותים ממלכתיים"/>
    <x v="35"/>
    <s v="בריאות"/>
    <x v="122"/>
    <s v="מוסדות בריאות אחרים"/>
    <s v="8351"/>
    <e v="#N/A"/>
    <m/>
    <s v="1"/>
    <x v="9"/>
    <s v="11"/>
    <s v="השכר הקובע"/>
    <s v="110"/>
    <e v="#N/A"/>
  </r>
  <r>
    <n v="124"/>
    <s v="83510"/>
    <n v="1"/>
    <s v="183510.124"/>
    <s v="החזר הוצאות                     "/>
    <m/>
    <m/>
    <n v="21000"/>
    <n v="21000"/>
    <n v="20392"/>
    <m/>
    <x v="7"/>
    <s v="שירותים ממלכתיים"/>
    <x v="35"/>
    <s v="בריאות"/>
    <x v="122"/>
    <s v="מוסדות בריאות אחרים"/>
    <s v="8351"/>
    <e v="#N/A"/>
    <m/>
    <s v="1"/>
    <x v="9"/>
    <s v="12"/>
    <s v="תוספות שאינן נכללות בשכר הקובע"/>
    <s v="124"/>
    <e v="#N/A"/>
  </r>
  <r>
    <n v="126"/>
    <s v="83510"/>
    <n v="1"/>
    <s v="183510.126"/>
    <s v="הבראה                           "/>
    <m/>
    <m/>
    <n v="16000"/>
    <n v="16000"/>
    <n v="15504"/>
    <m/>
    <x v="7"/>
    <s v="שירותים ממלכתיים"/>
    <x v="35"/>
    <s v="בריאות"/>
    <x v="122"/>
    <s v="מוסדות בריאות אחרים"/>
    <s v="8351"/>
    <e v="#N/A"/>
    <m/>
    <s v="1"/>
    <x v="9"/>
    <s v="12"/>
    <s v="תוספות שאינן נכללות בשכר הקובע"/>
    <s v="126"/>
    <e v="#N/A"/>
  </r>
  <r>
    <n v="127"/>
    <s v="83510"/>
    <n v="1"/>
    <s v="183510.127"/>
    <s v="השתתפות באחזקת רכב - 4          "/>
    <m/>
    <m/>
    <n v="58000"/>
    <n v="53000"/>
    <n v="50936"/>
    <m/>
    <x v="7"/>
    <s v="שירותים ממלכתיים"/>
    <x v="35"/>
    <s v="בריאות"/>
    <x v="122"/>
    <s v="מוסדות בריאות אחרים"/>
    <s v="8351"/>
    <e v="#N/A"/>
    <m/>
    <s v="1"/>
    <x v="9"/>
    <s v="12"/>
    <s v="תוספות שאינן נכללות בשכר הקובע"/>
    <s v="127"/>
    <e v="#N/A"/>
  </r>
  <r>
    <n v="130"/>
    <s v="83510"/>
    <n v="1"/>
    <s v="183510.130"/>
    <s v="תשלומים מיוחדים                 "/>
    <m/>
    <m/>
    <n v="168000"/>
    <n v="162000"/>
    <n v="157053"/>
    <m/>
    <x v="7"/>
    <s v="שירותים ממלכתיים"/>
    <x v="35"/>
    <s v="בריאות"/>
    <x v="122"/>
    <s v="מוסדות בריאות אחרים"/>
    <s v="8351"/>
    <e v="#N/A"/>
    <m/>
    <s v="1"/>
    <x v="9"/>
    <s v="13"/>
    <s v="שעות נוספות"/>
    <s v="130"/>
    <e v="#N/A"/>
  </r>
  <r>
    <n v="181"/>
    <s v="83510"/>
    <n v="1"/>
    <s v="183510.181"/>
    <s v="מיסים וביטוח לאומי              "/>
    <m/>
    <m/>
    <n v="80000"/>
    <n v="76000"/>
    <n v="73268"/>
    <m/>
    <x v="7"/>
    <s v="שירותים ממלכתיים"/>
    <x v="35"/>
    <s v="בריאות"/>
    <x v="122"/>
    <s v="מוסדות בריאות אחרים"/>
    <s v="8351"/>
    <e v="#N/A"/>
    <m/>
    <s v="1"/>
    <x v="9"/>
    <s v="18"/>
    <s v="נלוות לשכר"/>
    <s v="181"/>
    <s v="הפרשות סוציאליות"/>
  </r>
  <r>
    <n v="182"/>
    <s v="83510"/>
    <n v="1"/>
    <s v="183510.182"/>
    <s v="קופות גמל והשתלמות              "/>
    <m/>
    <m/>
    <n v="48000"/>
    <n v="46000"/>
    <n v="46239"/>
    <m/>
    <x v="7"/>
    <s v="שירותים ממלכתיים"/>
    <x v="35"/>
    <s v="בריאות"/>
    <x v="122"/>
    <s v="מוסדות בריאות אחרים"/>
    <s v="8351"/>
    <e v="#N/A"/>
    <m/>
    <s v="1"/>
    <x v="9"/>
    <s v="18"/>
    <s v="נלוות לשכר"/>
    <s v="182"/>
    <s v="מיסיום ועלויות"/>
  </r>
  <r>
    <n v="782"/>
    <s v="83510"/>
    <n v="1"/>
    <s v="183510.782"/>
    <s v="פרויקט חיוך מחדש                "/>
    <m/>
    <m/>
    <n v="100000"/>
    <n v="100000"/>
    <n v="39880"/>
    <m/>
    <x v="7"/>
    <s v="שירותים ממלכתיים"/>
    <x v="35"/>
    <s v="בריאות"/>
    <x v="122"/>
    <s v="מוסדות בריאות אחרים"/>
    <s v="8351"/>
    <e v="#N/A"/>
    <m/>
    <s v="7"/>
    <x v="13"/>
    <s v="78"/>
    <s v="הוצאות שונות"/>
    <s v="782"/>
    <e v="#N/A"/>
  </r>
  <r>
    <n v="881"/>
    <s v="83510"/>
    <n v="1"/>
    <s v="183510.881"/>
    <s v="מרפאת שיניים לקשישים            "/>
    <m/>
    <m/>
    <n v="30000"/>
    <n v="30000"/>
    <n v="5422"/>
    <m/>
    <x v="7"/>
    <s v="שירותים ממלכתיים"/>
    <x v="35"/>
    <s v="בריאות"/>
    <x v="122"/>
    <s v="מוסדות בריאות אחרים"/>
    <s v="8351"/>
    <e v="#N/A"/>
    <m/>
    <s v="8"/>
    <x v="16"/>
    <s v="88"/>
    <e v="#N/A"/>
    <s v="881"/>
    <e v="#N/A"/>
  </r>
  <r>
    <n v="882"/>
    <s v="83510"/>
    <n v="1"/>
    <s v="183510.882"/>
    <s v="הפעלת בריאות השן לתלמידים       "/>
    <m/>
    <m/>
    <n v="526000"/>
    <n v="520000"/>
    <n v="350000"/>
    <m/>
    <x v="7"/>
    <s v="שירותים ממלכתיים"/>
    <x v="35"/>
    <s v="בריאות"/>
    <x v="122"/>
    <s v="מוסדות בריאות אחרים"/>
    <s v="8351"/>
    <e v="#N/A"/>
    <m/>
    <s v="8"/>
    <x v="16"/>
    <s v="88"/>
    <e v="#N/A"/>
    <s v="882"/>
    <e v="#N/A"/>
  </r>
  <r>
    <n v="883"/>
    <s v="83510"/>
    <n v="1"/>
    <s v="183510.883"/>
    <s v="מרפאה אורטודנטית                "/>
    <m/>
    <m/>
    <n v="94000"/>
    <n v="0"/>
    <n v="0"/>
    <m/>
    <x v="7"/>
    <s v="שירותים ממלכתיים"/>
    <x v="35"/>
    <s v="בריאות"/>
    <x v="122"/>
    <s v="מוסדות בריאות אחרים"/>
    <s v="8351"/>
    <e v="#N/A"/>
    <m/>
    <s v="8"/>
    <x v="16"/>
    <s v="88"/>
    <e v="#N/A"/>
    <s v="883"/>
    <e v="#N/A"/>
  </r>
  <r>
    <n v="781"/>
    <s v="83610"/>
    <n v="1"/>
    <s v="183610.781"/>
    <s v="ירידי בריאות                    "/>
    <m/>
    <m/>
    <n v="15000"/>
    <n v="15000"/>
    <n v="3000"/>
    <m/>
    <x v="7"/>
    <s v="שירותים ממלכתיים"/>
    <x v="35"/>
    <s v="בריאות"/>
    <x v="123"/>
    <s v="שירותי חירום ריפואים"/>
    <s v="8361"/>
    <s v="מד״א"/>
    <m/>
    <s v="7"/>
    <x v="13"/>
    <s v="78"/>
    <s v="הוצאות שונות"/>
    <s v="781"/>
    <e v="#N/A"/>
  </r>
  <r>
    <n v="782"/>
    <s v="83610"/>
    <n v="1"/>
    <s v="183610.782"/>
    <s v="קידום בריאות וחינוך בקהילה      "/>
    <m/>
    <m/>
    <n v="90000"/>
    <n v="90000"/>
    <n v="70893"/>
    <m/>
    <x v="7"/>
    <s v="שירותים ממלכתיים"/>
    <x v="35"/>
    <s v="בריאות"/>
    <x v="123"/>
    <s v="שירותי חירום ריפואים"/>
    <s v="8361"/>
    <s v="מד״א"/>
    <m/>
    <s v="7"/>
    <x v="13"/>
    <s v="78"/>
    <s v="הוצאות שונות"/>
    <s v="782"/>
    <e v="#N/A"/>
  </r>
  <r>
    <n v="783"/>
    <s v="83610"/>
    <n v="1"/>
    <s v="183610.783"/>
    <s v="מרכז מידע                       "/>
    <m/>
    <m/>
    <n v="5000"/>
    <n v="5000"/>
    <n v="3123"/>
    <m/>
    <x v="7"/>
    <s v="שירותים ממלכתיים"/>
    <x v="35"/>
    <s v="בריאות"/>
    <x v="123"/>
    <s v="שירותי חירום ריפואים"/>
    <s v="8361"/>
    <s v="מד״א"/>
    <m/>
    <s v="7"/>
    <x v="13"/>
    <s v="78"/>
    <s v="הוצאות שונות"/>
    <s v="783"/>
    <e v="#N/A"/>
  </r>
  <r>
    <n v="670"/>
    <s v="83630"/>
    <n v="1"/>
    <s v="183630.670"/>
    <s v="סעיף שאינו חוזר                 "/>
    <m/>
    <m/>
    <n v="0"/>
    <n v="0"/>
    <n v="110000"/>
    <m/>
    <x v="7"/>
    <s v="שירותים ממלכתיים"/>
    <x v="35"/>
    <s v="בריאות"/>
    <x v="123"/>
    <s v="שירותי חירום ריפואים"/>
    <s v="8363"/>
    <s v="מוקד לתורנויות של רופאים"/>
    <m/>
    <s v="6"/>
    <x v="12"/>
    <s v="67"/>
    <e v="#N/A"/>
    <s v="670"/>
    <e v="#N/A"/>
  </r>
  <r>
    <n v="670"/>
    <s v="83713"/>
    <n v="1"/>
    <s v="183713.670"/>
    <s v="סעיף שאינו חוזר                 "/>
    <m/>
    <m/>
    <n v="0"/>
    <n v="10000"/>
    <n v="0"/>
    <m/>
    <x v="7"/>
    <s v="שירותים ממלכתיים"/>
    <x v="35"/>
    <s v="בריאות"/>
    <x v="124"/>
    <s v="פעולות מחקר"/>
    <s v="8371"/>
    <e v="#N/A"/>
    <m/>
    <s v="6"/>
    <x v="12"/>
    <s v="67"/>
    <e v="#N/A"/>
    <s v="670"/>
    <e v="#N/A"/>
  </r>
  <r>
    <n v="670"/>
    <s v="83714"/>
    <n v="1"/>
    <s v="183714.670"/>
    <s v="סעיף שאינו חוזר                 "/>
    <m/>
    <m/>
    <n v="0"/>
    <n v="10000"/>
    <n v="0"/>
    <m/>
    <x v="7"/>
    <s v="שירותים ממלכתיים"/>
    <x v="35"/>
    <s v="בריאות"/>
    <x v="124"/>
    <s v="פעולות מחקר"/>
    <s v="8371"/>
    <e v="#N/A"/>
    <m/>
    <s v="6"/>
    <x v="12"/>
    <s v="67"/>
    <e v="#N/A"/>
    <s v="670"/>
    <e v="#N/A"/>
  </r>
  <r>
    <n v="881"/>
    <s v="83810"/>
    <n v="1"/>
    <s v="183810.881"/>
    <s v="השתתפות למד א להפעלת 2 נט נים   "/>
    <m/>
    <m/>
    <n v="1120000"/>
    <n v="1120000"/>
    <n v="1096682"/>
    <m/>
    <x v="7"/>
    <s v="שירותים ממלכתיים"/>
    <x v="35"/>
    <s v="בריאות"/>
    <x v="125"/>
    <e v="#N/A"/>
    <s v="8381"/>
    <e v="#N/A"/>
    <m/>
    <s v="8"/>
    <x v="16"/>
    <s v="88"/>
    <e v="#N/A"/>
    <s v="881"/>
    <e v="#N/A"/>
  </r>
  <r>
    <n v="110"/>
    <s v="84110"/>
    <n v="1"/>
    <s v="184110.110"/>
    <s v="משכורת כוללת                    "/>
    <m/>
    <m/>
    <n v="3317000"/>
    <n v="3390000"/>
    <n v="3181800"/>
    <m/>
    <x v="7"/>
    <s v="שירותים ממלכתיים"/>
    <x v="36"/>
    <s v="רווחה"/>
    <x v="126"/>
    <s v="מינהל הרווחה"/>
    <s v="8411"/>
    <e v="#N/A"/>
    <m/>
    <s v="1"/>
    <x v="9"/>
    <s v="11"/>
    <s v="השכר הקובע"/>
    <s v="110"/>
    <e v="#N/A"/>
  </r>
  <r>
    <n v="124"/>
    <s v="84110"/>
    <n v="1"/>
    <s v="184110.124"/>
    <s v="החזר הוצאות                     "/>
    <m/>
    <m/>
    <n v="183000"/>
    <n v="193000"/>
    <n v="180491"/>
    <m/>
    <x v="7"/>
    <s v="שירותים ממלכתיים"/>
    <x v="36"/>
    <s v="רווחה"/>
    <x v="126"/>
    <s v="מינהל הרווחה"/>
    <s v="8411"/>
    <e v="#N/A"/>
    <m/>
    <s v="1"/>
    <x v="9"/>
    <s v="12"/>
    <s v="תוספות שאינן נכללות בשכר הקובע"/>
    <s v="124"/>
    <e v="#N/A"/>
  </r>
  <r>
    <n v="126"/>
    <s v="84110"/>
    <n v="1"/>
    <s v="184110.126"/>
    <s v="הבראה                           "/>
    <m/>
    <m/>
    <n v="155000"/>
    <n v="154000"/>
    <n v="152803"/>
    <m/>
    <x v="7"/>
    <s v="שירותים ממלכתיים"/>
    <x v="36"/>
    <s v="רווחה"/>
    <x v="126"/>
    <s v="מינהל הרווחה"/>
    <s v="8411"/>
    <e v="#N/A"/>
    <m/>
    <s v="1"/>
    <x v="9"/>
    <s v="12"/>
    <s v="תוספות שאינן נכללות בשכר הקובע"/>
    <s v="126"/>
    <e v="#N/A"/>
  </r>
  <r>
    <n v="127"/>
    <s v="84110"/>
    <n v="1"/>
    <s v="184110.127"/>
    <s v="השתתפות באחזקת רכב - 26         "/>
    <m/>
    <m/>
    <n v="670000"/>
    <n v="721000"/>
    <n v="655834"/>
    <m/>
    <x v="7"/>
    <s v="שירותים ממלכתיים"/>
    <x v="36"/>
    <s v="רווחה"/>
    <x v="126"/>
    <s v="מינהל הרווחה"/>
    <s v="8411"/>
    <e v="#N/A"/>
    <m/>
    <s v="1"/>
    <x v="9"/>
    <s v="12"/>
    <s v="תוספות שאינן נכללות בשכר הקובע"/>
    <s v="127"/>
    <e v="#N/A"/>
  </r>
  <r>
    <n v="130"/>
    <s v="84110"/>
    <n v="1"/>
    <s v="184110.130"/>
    <s v="תשלומים מיוחדים                 "/>
    <m/>
    <m/>
    <n v="561000"/>
    <n v="613000"/>
    <n v="564905"/>
    <m/>
    <x v="7"/>
    <s v="שירותים ממלכתיים"/>
    <x v="36"/>
    <s v="רווחה"/>
    <x v="126"/>
    <s v="מינהל הרווחה"/>
    <s v="8411"/>
    <e v="#N/A"/>
    <m/>
    <s v="1"/>
    <x v="9"/>
    <s v="13"/>
    <s v="שעות נוספות"/>
    <s v="130"/>
    <e v="#N/A"/>
  </r>
  <r>
    <n v="181"/>
    <s v="84110"/>
    <n v="1"/>
    <s v="184110.181"/>
    <s v="מיסים וביטוח לאומי              "/>
    <m/>
    <m/>
    <n v="657000"/>
    <n v="680000"/>
    <n v="645748"/>
    <m/>
    <x v="7"/>
    <s v="שירותים ממלכתיים"/>
    <x v="36"/>
    <s v="רווחה"/>
    <x v="126"/>
    <s v="מינהל הרווחה"/>
    <s v="8411"/>
    <e v="#N/A"/>
    <m/>
    <s v="1"/>
    <x v="9"/>
    <s v="18"/>
    <s v="נלוות לשכר"/>
    <s v="181"/>
    <s v="הפרשות סוציאליות"/>
  </r>
  <r>
    <n v="182"/>
    <s v="84110"/>
    <n v="1"/>
    <s v="184110.182"/>
    <s v="קופות גמל והשתלמות              "/>
    <m/>
    <m/>
    <n v="501000"/>
    <n v="486000"/>
    <n v="448264"/>
    <m/>
    <x v="7"/>
    <s v="שירותים ממלכתיים"/>
    <x v="36"/>
    <s v="רווחה"/>
    <x v="126"/>
    <s v="מינהל הרווחה"/>
    <s v="8411"/>
    <e v="#N/A"/>
    <m/>
    <s v="1"/>
    <x v="9"/>
    <s v="18"/>
    <s v="נלוות לשכר"/>
    <s v="182"/>
    <s v="מיסיום ועלויות"/>
  </r>
  <r>
    <n v="310"/>
    <s v="84110"/>
    <n v="1"/>
    <s v="184110.310"/>
    <s v="שעות  נוספות  רשומות            "/>
    <m/>
    <m/>
    <n v="105000"/>
    <n v="103000"/>
    <n v="145906"/>
    <m/>
    <x v="7"/>
    <s v="שירותים ממלכתיים"/>
    <x v="36"/>
    <s v="רווחה"/>
    <x v="126"/>
    <s v="מינהל הרווחה"/>
    <s v="8411"/>
    <e v="#N/A"/>
    <m/>
    <s v="3"/>
    <x v="14"/>
    <s v="31"/>
    <s v="פנסיה"/>
    <s v="310"/>
    <e v="#N/A"/>
  </r>
  <r>
    <n v="340"/>
    <s v="84110"/>
    <n v="1"/>
    <s v="184110.340"/>
    <s v="שעות נוספות מיוחדות             "/>
    <m/>
    <m/>
    <n v="31000"/>
    <n v="30000"/>
    <n v="20173"/>
    <m/>
    <x v="7"/>
    <s v="שירותים ממלכתיים"/>
    <x v="36"/>
    <s v="רווחה"/>
    <x v="126"/>
    <s v="מינהל הרווחה"/>
    <s v="8411"/>
    <e v="#N/A"/>
    <m/>
    <s v="3"/>
    <x v="14"/>
    <s v="34"/>
    <e v="#N/A"/>
    <s v="340"/>
    <e v="#N/A"/>
  </r>
  <r>
    <n v="411"/>
    <s v="84110"/>
    <n v="1"/>
    <s v="184110.411"/>
    <s v="שכר דירה                        "/>
    <m/>
    <m/>
    <n v="195000"/>
    <n v="170000"/>
    <n v="164448"/>
    <m/>
    <x v="7"/>
    <s v="שירותים ממלכתיים"/>
    <x v="36"/>
    <s v="רווחה"/>
    <x v="126"/>
    <s v="מינהל הרווחה"/>
    <s v="8411"/>
    <e v="#N/A"/>
    <m/>
    <s v="4"/>
    <x v="15"/>
    <s v="41"/>
    <s v="שכר דירה ודמי חכירה"/>
    <s v="411"/>
    <e v="#N/A"/>
  </r>
  <r>
    <n v="412"/>
    <s v="84110"/>
    <n v="1"/>
    <s v="184110.412"/>
    <s v="מיסים ואגרות                    "/>
    <m/>
    <m/>
    <n v="40000"/>
    <n v="40000"/>
    <n v="39495"/>
    <m/>
    <x v="7"/>
    <s v="שירותים ממלכתיים"/>
    <x v="36"/>
    <s v="רווחה"/>
    <x v="126"/>
    <s v="מינהל הרווחה"/>
    <s v="8411"/>
    <e v="#N/A"/>
    <m/>
    <s v="4"/>
    <x v="15"/>
    <s v="41"/>
    <s v="שכר דירה ודמי חכירה"/>
    <s v="412"/>
    <e v="#N/A"/>
  </r>
  <r>
    <n v="431"/>
    <s v="84110"/>
    <n v="1"/>
    <s v="184110.431"/>
    <s v="מים                             "/>
    <m/>
    <m/>
    <n v="260000"/>
    <n v="130000"/>
    <n v="296365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1"/>
    <s v="חשמל"/>
  </r>
  <r>
    <n v="432"/>
    <s v="84110"/>
    <n v="1"/>
    <s v="184110.432"/>
    <s v="תחזוקת החצר הגן                 "/>
    <m/>
    <m/>
    <n v="75000"/>
    <n v="75000"/>
    <n v="59516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2"/>
    <s v="מים"/>
  </r>
  <r>
    <n v="433"/>
    <s v="84110"/>
    <n v="1"/>
    <s v="184110.433"/>
    <s v="ביטוח                           "/>
    <m/>
    <m/>
    <n v="1905000"/>
    <n v="1904000"/>
    <n v="1712000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3"/>
    <s v="חומרי ניקיון"/>
  </r>
  <r>
    <n v="434"/>
    <s v="84110"/>
    <n v="1"/>
    <s v="184110.434"/>
    <s v="תקוני מבנים  מתקנים ואינונטר    "/>
    <m/>
    <m/>
    <n v="109000"/>
    <n v="109000"/>
    <n v="186327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4"/>
    <s v="שירותי ניקיון"/>
  </r>
  <r>
    <n v="435"/>
    <s v="84110"/>
    <n v="1"/>
    <s v="184110.435"/>
    <s v="חשמל ואנרגיה                    "/>
    <m/>
    <m/>
    <n v="310000"/>
    <n v="320000"/>
    <n v="313862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5"/>
    <e v="#N/A"/>
  </r>
  <r>
    <n v="436"/>
    <s v="84110"/>
    <n v="1"/>
    <s v="184110.436"/>
    <s v="חומרי נקיון                     "/>
    <m/>
    <m/>
    <n v="5000"/>
    <n v="5000"/>
    <n v="3182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6"/>
    <e v="#N/A"/>
  </r>
  <r>
    <n v="437"/>
    <s v="84110"/>
    <n v="1"/>
    <s v="184110.437"/>
    <s v="שמירה                           "/>
    <m/>
    <m/>
    <n v="2282000"/>
    <n v="2100000"/>
    <n v="2050000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7"/>
    <e v="#N/A"/>
  </r>
  <r>
    <n v="439"/>
    <s v="84110"/>
    <n v="1"/>
    <s v="184110.439"/>
    <s v="אחזקת בניני העיריה-השתתפות      "/>
    <m/>
    <m/>
    <n v="649000"/>
    <n v="692000"/>
    <n v="690000"/>
    <m/>
    <x v="7"/>
    <s v="שירותים ממלכתיים"/>
    <x v="36"/>
    <s v="רווחה"/>
    <x v="126"/>
    <s v="מינהל הרווחה"/>
    <s v="8411"/>
    <e v="#N/A"/>
    <m/>
    <s v="4"/>
    <x v="15"/>
    <s v="43"/>
    <s v="חשמל, מים וחומרי ניקיון"/>
    <s v="439"/>
    <e v="#N/A"/>
  </r>
  <r>
    <n v="461"/>
    <s v="84110"/>
    <n v="1"/>
    <s v="184110.461"/>
    <s v="צורכי משרד                      "/>
    <m/>
    <m/>
    <n v="120000"/>
    <n v="130000"/>
    <n v="92333"/>
    <m/>
    <x v="7"/>
    <s v="שירותים ממלכתיים"/>
    <x v="36"/>
    <s v="רווחה"/>
    <x v="126"/>
    <s v="מינהל הרווחה"/>
    <s v="8411"/>
    <e v="#N/A"/>
    <m/>
    <s v="4"/>
    <x v="15"/>
    <s v="46"/>
    <e v="#N/A"/>
    <s v="461"/>
    <e v="#N/A"/>
  </r>
  <r>
    <n v="462"/>
    <s v="84110"/>
    <n v="1"/>
    <s v="184110.462"/>
    <s v="ספרים ועתונים                   "/>
    <m/>
    <m/>
    <n v="10000"/>
    <n v="12000"/>
    <n v="9936"/>
    <m/>
    <x v="7"/>
    <s v="שירותים ממלכתיים"/>
    <x v="36"/>
    <s v="רווחה"/>
    <x v="126"/>
    <s v="מינהל הרווחה"/>
    <s v="8411"/>
    <e v="#N/A"/>
    <m/>
    <s v="4"/>
    <x v="15"/>
    <s v="46"/>
    <e v="#N/A"/>
    <s v="462"/>
    <e v="#N/A"/>
  </r>
  <r>
    <n v="464"/>
    <s v="84110"/>
    <n v="1"/>
    <s v="184110.464"/>
    <s v="דאר                             "/>
    <m/>
    <m/>
    <n v="17000"/>
    <n v="14000"/>
    <n v="15812"/>
    <m/>
    <x v="7"/>
    <s v="שירותים ממלכתיים"/>
    <x v="36"/>
    <s v="רווחה"/>
    <x v="126"/>
    <s v="מינהל הרווחה"/>
    <s v="8411"/>
    <e v="#N/A"/>
    <m/>
    <s v="4"/>
    <x v="15"/>
    <s v="46"/>
    <e v="#N/A"/>
    <s v="464"/>
    <e v="#N/A"/>
  </r>
  <r>
    <n v="510"/>
    <s v="84110"/>
    <n v="1"/>
    <s v="184110.510"/>
    <s v="נסיעות  ואש ל                   "/>
    <m/>
    <m/>
    <n v="10000"/>
    <n v="25000"/>
    <n v="9001"/>
    <m/>
    <x v="7"/>
    <s v="שירותים ממלכתיים"/>
    <x v="36"/>
    <s v="רווחה"/>
    <x v="126"/>
    <s v="מינהל הרווחה"/>
    <s v="8411"/>
    <e v="#N/A"/>
    <m/>
    <s v="5"/>
    <x v="11"/>
    <s v="51"/>
    <s v="אש&quot;ל וכיבודים"/>
    <s v="510"/>
    <e v="#N/A"/>
  </r>
  <r>
    <n v="521"/>
    <s v="84110"/>
    <n v="1"/>
    <s v="184110.521"/>
    <s v="הדרכה וכנסים                    "/>
    <m/>
    <m/>
    <n v="90000"/>
    <n v="70000"/>
    <n v="96732"/>
    <m/>
    <x v="7"/>
    <s v="שירותים ממלכתיים"/>
    <x v="36"/>
    <s v="רווחה"/>
    <x v="126"/>
    <s v="מינהל הרווחה"/>
    <s v="8411"/>
    <e v="#N/A"/>
    <m/>
    <s v="5"/>
    <x v="11"/>
    <s v="52"/>
    <s v="השתלמויות וספרות מקצועית"/>
    <s v="521"/>
    <s v="השתלמויות וספרות מקצועית"/>
  </r>
  <r>
    <n v="522"/>
    <s v="84110"/>
    <n v="1"/>
    <s v="184110.522"/>
    <s v="גיבוש יחידתי                    "/>
    <m/>
    <m/>
    <n v="90000"/>
    <n v="90000"/>
    <n v="56413"/>
    <m/>
    <x v="7"/>
    <s v="שירותים ממלכתיים"/>
    <x v="36"/>
    <s v="רווחה"/>
    <x v="126"/>
    <s v="מינהל הרווחה"/>
    <s v="8411"/>
    <e v="#N/A"/>
    <m/>
    <s v="5"/>
    <x v="11"/>
    <s v="52"/>
    <s v="השתלמויות וספרות מקצועית"/>
    <s v="522"/>
    <s v="ספרות מקצועית ועיתונות"/>
  </r>
  <r>
    <n v="531"/>
    <s v="84110"/>
    <n v="1"/>
    <s v="184110.531"/>
    <s v="אחזקת רכב                       "/>
    <m/>
    <m/>
    <n v="45000"/>
    <n v="45000"/>
    <n v="44488"/>
    <m/>
    <x v="7"/>
    <s v="שירותים ממלכתיים"/>
    <x v="36"/>
    <s v="רווחה"/>
    <x v="126"/>
    <s v="מינהל הרווחה"/>
    <s v="8411"/>
    <e v="#N/A"/>
    <m/>
    <s v="5"/>
    <x v="11"/>
    <s v="53"/>
    <s v="הוצאות רכב מינהלי"/>
    <s v="531"/>
    <s v="דלק ושמנים"/>
  </r>
  <r>
    <n v="532"/>
    <s v="84110"/>
    <n v="1"/>
    <s v="184110.532"/>
    <s v="ביטוח רכב                       "/>
    <m/>
    <m/>
    <n v="43000"/>
    <n v="35000"/>
    <n v="23712"/>
    <m/>
    <x v="7"/>
    <s v="שירותים ממלכתיים"/>
    <x v="36"/>
    <s v="רווחה"/>
    <x v="126"/>
    <s v="מינהל הרווחה"/>
    <s v="8411"/>
    <e v="#N/A"/>
    <m/>
    <s v="5"/>
    <x v="11"/>
    <s v="53"/>
    <s v="הוצאות רכב מינהלי"/>
    <s v="532"/>
    <s v="תיקונים"/>
  </r>
  <r>
    <n v="533"/>
    <s v="84110"/>
    <n v="1"/>
    <s v="184110.533"/>
    <s v="שכירת רכב                       "/>
    <m/>
    <m/>
    <n v="165000"/>
    <n v="165000"/>
    <n v="143099"/>
    <m/>
    <x v="7"/>
    <s v="שירותים ממלכתיים"/>
    <x v="36"/>
    <s v="רווחה"/>
    <x v="126"/>
    <s v="מינהל הרווחה"/>
    <s v="8411"/>
    <e v="#N/A"/>
    <m/>
    <s v="5"/>
    <x v="11"/>
    <s v="53"/>
    <s v="הוצאות רכב מינהלי"/>
    <s v="533"/>
    <s v="רישוי וביטוח"/>
  </r>
  <r>
    <n v="534"/>
    <s v="84110"/>
    <n v="1"/>
    <s v="184110.534"/>
    <s v="דלק ושמן                        "/>
    <m/>
    <m/>
    <n v="105000"/>
    <n v="105000"/>
    <n v="103585"/>
    <m/>
    <x v="7"/>
    <s v="שירותים ממלכתיים"/>
    <x v="36"/>
    <s v="רווחה"/>
    <x v="126"/>
    <s v="מינהל הרווחה"/>
    <s v="8411"/>
    <e v="#N/A"/>
    <m/>
    <s v="5"/>
    <x v="11"/>
    <s v="53"/>
    <s v="הוצאות רכב מינהלי"/>
    <s v="534"/>
    <e v="#N/A"/>
  </r>
  <r>
    <n v="541"/>
    <s v="84110"/>
    <n v="1"/>
    <s v="184110.541"/>
    <s v="החזקת מכשירי קשר וסלולר         "/>
    <m/>
    <m/>
    <n v="145000"/>
    <n v="145000"/>
    <n v="142486"/>
    <m/>
    <x v="7"/>
    <s v="שירותים ממלכתיים"/>
    <x v="36"/>
    <s v="רווחה"/>
    <x v="126"/>
    <s v="מינהל הרווחה"/>
    <s v="8411"/>
    <e v="#N/A"/>
    <m/>
    <s v="5"/>
    <x v="11"/>
    <s v="54"/>
    <s v="הוצאות תקשורת"/>
    <s v="541"/>
    <e v="#N/A"/>
  </r>
  <r>
    <n v="610"/>
    <s v="84110"/>
    <n v="1"/>
    <s v="184110.610"/>
    <s v="כיבודים                         "/>
    <m/>
    <m/>
    <n v="50000"/>
    <n v="50000"/>
    <n v="47260"/>
    <m/>
    <x v="7"/>
    <s v="שירותים ממלכתיים"/>
    <x v="36"/>
    <s v="רווחה"/>
    <x v="126"/>
    <s v="מינהל הרווחה"/>
    <s v="8411"/>
    <e v="#N/A"/>
    <m/>
    <s v="6"/>
    <x v="12"/>
    <s v="61"/>
    <s v="עמלות"/>
    <s v="610"/>
    <e v="#N/A"/>
  </r>
  <r>
    <n v="670"/>
    <s v="84110"/>
    <n v="1"/>
    <s v="184110.670"/>
    <s v="סעיף שאינו חוזר                 "/>
    <m/>
    <m/>
    <n v="0"/>
    <n v="256000"/>
    <n v="227539"/>
    <m/>
    <x v="7"/>
    <s v="שירותים ממלכתיים"/>
    <x v="36"/>
    <s v="רווחה"/>
    <x v="126"/>
    <s v="מינהל הרווחה"/>
    <s v="8411"/>
    <e v="#N/A"/>
    <m/>
    <s v="6"/>
    <x v="12"/>
    <s v="67"/>
    <e v="#N/A"/>
    <s v="670"/>
    <e v="#N/A"/>
  </r>
  <r>
    <n v="681"/>
    <s v="84110"/>
    <n v="1"/>
    <s v="184110.681"/>
    <s v="הוצאות מיוחדות                  "/>
    <m/>
    <m/>
    <n v="25000"/>
    <n v="25000"/>
    <n v="13833"/>
    <m/>
    <x v="7"/>
    <s v="שירותים ממלכתיים"/>
    <x v="36"/>
    <s v="רווחה"/>
    <x v="126"/>
    <s v="מינהל הרווחה"/>
    <s v="8411"/>
    <e v="#N/A"/>
    <m/>
    <s v="6"/>
    <x v="12"/>
    <s v="68"/>
    <s v="ריבית על הוצאות אחרות"/>
    <s v="681"/>
    <e v="#N/A"/>
  </r>
  <r>
    <n v="691"/>
    <s v="84110"/>
    <n v="1"/>
    <s v="184110.691"/>
    <s v="מערכות מידע ומחשוב              "/>
    <m/>
    <m/>
    <n v="1260000"/>
    <n v="530000"/>
    <n v="456560"/>
    <m/>
    <x v="7"/>
    <s v="שירותים ממלכתיים"/>
    <x v="36"/>
    <s v="רווחה"/>
    <x v="126"/>
    <s v="מינהל הרווחה"/>
    <s v="8411"/>
    <e v="#N/A"/>
    <m/>
    <s v="6"/>
    <x v="12"/>
    <s v="69"/>
    <s v="שונות"/>
    <s v="691"/>
    <s v="תשלום ע&quot;ח קרן"/>
  </r>
  <r>
    <n v="693"/>
    <s v="84110"/>
    <n v="1"/>
    <s v="184110.693"/>
    <s v="מיחשוב יחידתי                   "/>
    <m/>
    <m/>
    <n v="120000"/>
    <n v="125000"/>
    <n v="163959"/>
    <m/>
    <x v="7"/>
    <s v="שירותים ממלכתיים"/>
    <x v="36"/>
    <s v="רווחה"/>
    <x v="126"/>
    <s v="מינהל הרווחה"/>
    <s v="8411"/>
    <e v="#N/A"/>
    <m/>
    <s v="6"/>
    <x v="12"/>
    <s v="69"/>
    <s v="שונות"/>
    <s v="693"/>
    <s v="תשלום ע&quot;ח הצמדת ערך"/>
  </r>
  <r>
    <n v="710"/>
    <s v="84110"/>
    <n v="1"/>
    <s v="184110.710"/>
    <s v="הובלות וסבלות                   "/>
    <m/>
    <m/>
    <n v="44000"/>
    <n v="44000"/>
    <n v="38711"/>
    <m/>
    <x v="7"/>
    <s v="שירותים ממלכתיים"/>
    <x v="36"/>
    <s v="רווחה"/>
    <x v="126"/>
    <s v="מינהל הרווחה"/>
    <s v="8411"/>
    <e v="#N/A"/>
    <m/>
    <s v="7"/>
    <x v="13"/>
    <s v="71"/>
    <s v="הובלות והסעות קבלניות"/>
    <s v="710"/>
    <e v="#N/A"/>
  </r>
  <r>
    <n v="751"/>
    <s v="84110"/>
    <n v="1"/>
    <s v="184110.751"/>
    <s v="נקיון במתקני האגף השונים        "/>
    <m/>
    <m/>
    <n v="165000"/>
    <n v="165000"/>
    <n v="151739"/>
    <m/>
    <x v="7"/>
    <s v="שירותים ממלכתיים"/>
    <x v="36"/>
    <s v="רווחה"/>
    <x v="126"/>
    <s v="מינהל הרווחה"/>
    <s v="8411"/>
    <e v="#N/A"/>
    <m/>
    <s v="7"/>
    <x v="13"/>
    <s v="75"/>
    <s v="עבודות קבלניות"/>
    <s v="751"/>
    <e v="#N/A"/>
  </r>
  <r>
    <n v="754"/>
    <s v="84110"/>
    <n v="1"/>
    <s v="184110.754"/>
    <s v="מחקר ותכנון                     "/>
    <m/>
    <m/>
    <n v="30000"/>
    <n v="30000"/>
    <n v="14702"/>
    <m/>
    <x v="7"/>
    <s v="שירותים ממלכתיים"/>
    <x v="36"/>
    <s v="רווחה"/>
    <x v="126"/>
    <s v="מינהל הרווחה"/>
    <s v="8411"/>
    <e v="#N/A"/>
    <m/>
    <s v="7"/>
    <x v="13"/>
    <s v="75"/>
    <s v="עבודות קבלניות"/>
    <s v="754"/>
    <e v="#N/A"/>
  </r>
  <r>
    <n v="755"/>
    <s v="84110"/>
    <n v="1"/>
    <s v="184110.755"/>
    <s v="יעוץ אירגוני ותכנון אסטרטגי     "/>
    <m/>
    <m/>
    <n v="170000"/>
    <n v="175000"/>
    <n v="244000"/>
    <m/>
    <x v="7"/>
    <s v="שירותים ממלכתיים"/>
    <x v="36"/>
    <s v="רווחה"/>
    <x v="126"/>
    <s v="מינהל הרווחה"/>
    <s v="8411"/>
    <e v="#N/A"/>
    <m/>
    <s v="7"/>
    <x v="13"/>
    <s v="75"/>
    <s v="עבודות קבלניות"/>
    <s v="755"/>
    <e v="#N/A"/>
  </r>
  <r>
    <n v="781"/>
    <s v="84110"/>
    <n v="1"/>
    <s v="184110.781"/>
    <s v="כנס תל אביב לרווחה              "/>
    <m/>
    <m/>
    <n v="150000"/>
    <n v="150000"/>
    <n v="0"/>
    <m/>
    <x v="7"/>
    <s v="שירותים ממלכתיים"/>
    <x v="36"/>
    <s v="רווחה"/>
    <x v="126"/>
    <s v="מינהל הרווחה"/>
    <s v="8411"/>
    <e v="#N/A"/>
    <m/>
    <s v="7"/>
    <x v="13"/>
    <s v="78"/>
    <s v="הוצאות שונות"/>
    <s v="781"/>
    <e v="#N/A"/>
  </r>
  <r>
    <n v="782"/>
    <s v="84110"/>
    <n v="1"/>
    <s v="184110.782"/>
    <s v="חברות באגודות מקצועיות          "/>
    <m/>
    <m/>
    <n v="1000"/>
    <n v="1000"/>
    <n v="800"/>
    <m/>
    <x v="7"/>
    <s v="שירותים ממלכתיים"/>
    <x v="36"/>
    <s v="רווחה"/>
    <x v="126"/>
    <s v="מינהל הרווחה"/>
    <s v="8411"/>
    <e v="#N/A"/>
    <m/>
    <s v="7"/>
    <x v="13"/>
    <s v="78"/>
    <s v="הוצאות שונות"/>
    <s v="782"/>
    <e v="#N/A"/>
  </r>
  <r>
    <n v="783"/>
    <s v="84110"/>
    <n v="1"/>
    <s v="184110.783"/>
    <s v="כיבוי אש                        "/>
    <m/>
    <m/>
    <n v="77000"/>
    <n v="77000"/>
    <n v="0"/>
    <m/>
    <x v="7"/>
    <s v="שירותים ממלכתיים"/>
    <x v="36"/>
    <s v="רווחה"/>
    <x v="126"/>
    <s v="מינהל הרווחה"/>
    <s v="8411"/>
    <e v="#N/A"/>
    <m/>
    <s v="7"/>
    <x v="13"/>
    <s v="78"/>
    <s v="הוצאות שונות"/>
    <s v="783"/>
    <e v="#N/A"/>
  </r>
  <r>
    <n v="785"/>
    <s v="84110"/>
    <n v="1"/>
    <s v="184110.785"/>
    <s v="תכנית איכות וניהול השירות       "/>
    <m/>
    <m/>
    <n v="15000"/>
    <n v="15000"/>
    <n v="1126"/>
    <m/>
    <x v="7"/>
    <s v="שירותים ממלכתיים"/>
    <x v="36"/>
    <s v="רווחה"/>
    <x v="126"/>
    <s v="מינהל הרווחה"/>
    <s v="8411"/>
    <e v="#N/A"/>
    <m/>
    <s v="7"/>
    <x v="13"/>
    <s v="78"/>
    <s v="הוצאות שונות"/>
    <s v="785"/>
    <e v="#N/A"/>
  </r>
  <r>
    <n v="794"/>
    <s v="84110"/>
    <n v="1"/>
    <s v="184110.794"/>
    <s v="עתודה להתייקרויות לסידורים מוסדי"/>
    <m/>
    <m/>
    <n v="763000"/>
    <n v="763000"/>
    <n v="0"/>
    <m/>
    <x v="7"/>
    <s v="שירותים ממלכתיים"/>
    <x v="36"/>
    <s v="רווחה"/>
    <x v="126"/>
    <s v="מינהל הרווחה"/>
    <s v="8411"/>
    <e v="#N/A"/>
    <m/>
    <s v="7"/>
    <x v="13"/>
    <s v="79"/>
    <s v="השתתפות בתקציבי עזר 092"/>
    <s v="794"/>
    <s v="אפסנאות תקציבי עזר 094"/>
  </r>
  <r>
    <n v="795"/>
    <s v="84110"/>
    <n v="1"/>
    <s v="184110.795"/>
    <s v="עתודת המינהל לשירותים חברתיים   "/>
    <m/>
    <m/>
    <n v="125000"/>
    <n v="125000"/>
    <n v="0"/>
    <m/>
    <x v="7"/>
    <s v="שירותים ממלכתיים"/>
    <x v="36"/>
    <s v="רווחה"/>
    <x v="126"/>
    <s v="מינהל הרווחה"/>
    <s v="8411"/>
    <e v="#N/A"/>
    <m/>
    <s v="7"/>
    <x v="13"/>
    <s v="79"/>
    <s v="השתתפות בתקציבי עזר 092"/>
    <s v="795"/>
    <s v="בתי מלאכה ת&quot;ע 095"/>
  </r>
  <r>
    <n v="851"/>
    <s v="84110"/>
    <n v="1"/>
    <s v="184110.851"/>
    <s v="תכנית המיז ם                    "/>
    <m/>
    <m/>
    <n v="59000"/>
    <n v="59000"/>
    <n v="59000"/>
    <m/>
    <x v="7"/>
    <s v="שירותים ממלכתיים"/>
    <x v="36"/>
    <s v="רווחה"/>
    <x v="126"/>
    <s v="מינהל הרווחה"/>
    <s v="8411"/>
    <e v="#N/A"/>
    <m/>
    <s v="8"/>
    <x v="16"/>
    <s v="85"/>
    <s v="מלגות לתלמידים וסטודנטים"/>
    <s v="851"/>
    <e v="#N/A"/>
  </r>
  <r>
    <n v="852"/>
    <s v="84110"/>
    <n v="1"/>
    <s v="184110.852"/>
    <s v="השתת' לשי לעובדי חברת מוסדות חינ"/>
    <m/>
    <m/>
    <n v="38000"/>
    <n v="0"/>
    <n v="0"/>
    <m/>
    <x v="7"/>
    <s v="שירותים ממלכתיים"/>
    <x v="36"/>
    <s v="רווחה"/>
    <x v="126"/>
    <s v="מינהל הרווחה"/>
    <s v="8411"/>
    <e v="#N/A"/>
    <m/>
    <s v="8"/>
    <x v="16"/>
    <s v="85"/>
    <s v="מלגות לתלמידים וסטודנטים"/>
    <s v="852"/>
    <e v="#N/A"/>
  </r>
  <r>
    <n v="932"/>
    <s v="84110"/>
    <n v="1"/>
    <s v="184110.932"/>
    <s v="ציוד ורהוט משרדי                "/>
    <m/>
    <m/>
    <n v="9000"/>
    <n v="9000"/>
    <n v="3305"/>
    <m/>
    <x v="7"/>
    <s v="שירותים ממלכתיים"/>
    <x v="36"/>
    <s v="רווחה"/>
    <x v="126"/>
    <s v="מינהל הרווחה"/>
    <s v="8411"/>
    <e v="#N/A"/>
    <m/>
    <s v="9"/>
    <x v="17"/>
    <s v="93"/>
    <s v="רכישת ציוד יסודי"/>
    <s v="932"/>
    <e v="#N/A"/>
  </r>
  <r>
    <n v="934"/>
    <s v="84110"/>
    <n v="1"/>
    <s v="184110.934"/>
    <s v="ציוד תפעולי                     "/>
    <m/>
    <m/>
    <n v="12000"/>
    <n v="12000"/>
    <n v="10187"/>
    <m/>
    <x v="7"/>
    <s v="שירותים ממלכתיים"/>
    <x v="36"/>
    <s v="רווחה"/>
    <x v="126"/>
    <s v="מינהל הרווחה"/>
    <s v="8411"/>
    <e v="#N/A"/>
    <m/>
    <s v="9"/>
    <x v="17"/>
    <s v="93"/>
    <s v="רכישת ציוד יסודי"/>
    <s v="934"/>
    <e v="#N/A"/>
  </r>
  <r>
    <n v="434"/>
    <s v="84120"/>
    <n v="1"/>
    <s v="184120.434"/>
    <s v="תקוני מבנים  מתקנים ואינונטר    "/>
    <m/>
    <m/>
    <n v="229000"/>
    <n v="229000"/>
    <n v="177604"/>
    <m/>
    <x v="7"/>
    <s v="שירותים ממלכתיים"/>
    <x v="36"/>
    <s v="רווחה"/>
    <x v="126"/>
    <s v="מינהל הרווחה"/>
    <s v="8412"/>
    <e v="#N/A"/>
    <m/>
    <s v="4"/>
    <x v="15"/>
    <s v="43"/>
    <s v="חשמל, מים וחומרי ניקיון"/>
    <s v="434"/>
    <s v="שירותי ניקיון"/>
  </r>
  <r>
    <n v="435"/>
    <s v="84120"/>
    <n v="1"/>
    <s v="184120.435"/>
    <s v="חשמל ואנרגיה                    "/>
    <m/>
    <m/>
    <n v="100000"/>
    <n v="80000"/>
    <n v="122474"/>
    <m/>
    <x v="7"/>
    <s v="שירותים ממלכתיים"/>
    <x v="36"/>
    <s v="רווחה"/>
    <x v="126"/>
    <s v="מינהל הרווחה"/>
    <s v="8412"/>
    <e v="#N/A"/>
    <m/>
    <s v="4"/>
    <x v="15"/>
    <s v="43"/>
    <s v="חשמל, מים וחומרי ניקיון"/>
    <s v="435"/>
    <e v="#N/A"/>
  </r>
  <r>
    <n v="436"/>
    <s v="84120"/>
    <n v="1"/>
    <s v="184120.436"/>
    <s v="חומרי נקיון                     "/>
    <m/>
    <m/>
    <n v="10000"/>
    <n v="10000"/>
    <n v="9884"/>
    <m/>
    <x v="7"/>
    <s v="שירותים ממלכתיים"/>
    <x v="36"/>
    <s v="רווחה"/>
    <x v="126"/>
    <s v="מינהל הרווחה"/>
    <s v="8412"/>
    <e v="#N/A"/>
    <m/>
    <s v="4"/>
    <x v="15"/>
    <s v="43"/>
    <s v="חשמל, מים וחומרי ניקיון"/>
    <s v="436"/>
    <e v="#N/A"/>
  </r>
  <r>
    <n v="461"/>
    <s v="84120"/>
    <n v="1"/>
    <s v="184120.461"/>
    <s v="צורכי משרד                      "/>
    <m/>
    <m/>
    <n v="80000"/>
    <n v="80000"/>
    <n v="62971"/>
    <m/>
    <x v="7"/>
    <s v="שירותים ממלכתיים"/>
    <x v="36"/>
    <s v="רווחה"/>
    <x v="126"/>
    <s v="מינהל הרווחה"/>
    <s v="8412"/>
    <e v="#N/A"/>
    <m/>
    <s v="4"/>
    <x v="15"/>
    <s v="46"/>
    <e v="#N/A"/>
    <s v="461"/>
    <e v="#N/A"/>
  </r>
  <r>
    <n v="464"/>
    <s v="84120"/>
    <n v="1"/>
    <s v="184120.464"/>
    <s v="דאר                             "/>
    <m/>
    <m/>
    <n v="11000"/>
    <n v="11000"/>
    <n v="8292"/>
    <m/>
    <x v="7"/>
    <s v="שירותים ממלכתיים"/>
    <x v="36"/>
    <s v="רווחה"/>
    <x v="126"/>
    <s v="מינהל הרווחה"/>
    <s v="8412"/>
    <e v="#N/A"/>
    <m/>
    <s v="4"/>
    <x v="15"/>
    <s v="46"/>
    <e v="#N/A"/>
    <s v="464"/>
    <e v="#N/A"/>
  </r>
  <r>
    <n v="510"/>
    <s v="84120"/>
    <n v="1"/>
    <s v="184120.510"/>
    <s v="נסיעות  ואש ל                   "/>
    <m/>
    <m/>
    <n v="41000"/>
    <n v="41000"/>
    <n v="23313"/>
    <m/>
    <x v="7"/>
    <s v="שירותים ממלכתיים"/>
    <x v="36"/>
    <s v="רווחה"/>
    <x v="126"/>
    <s v="מינהל הרווחה"/>
    <s v="8412"/>
    <e v="#N/A"/>
    <m/>
    <s v="5"/>
    <x v="11"/>
    <s v="51"/>
    <s v="אש&quot;ל וכיבודים"/>
    <s v="510"/>
    <e v="#N/A"/>
  </r>
  <r>
    <n v="521"/>
    <s v="84120"/>
    <n v="1"/>
    <s v="184120.521"/>
    <s v="הדרכה וכנסים                    "/>
    <m/>
    <m/>
    <n v="20000"/>
    <n v="20000"/>
    <n v="25893"/>
    <m/>
    <x v="7"/>
    <s v="שירותים ממלכתיים"/>
    <x v="36"/>
    <s v="רווחה"/>
    <x v="126"/>
    <s v="מינהל הרווחה"/>
    <s v="8412"/>
    <e v="#N/A"/>
    <m/>
    <s v="5"/>
    <x v="11"/>
    <s v="52"/>
    <s v="השתלמויות וספרות מקצועית"/>
    <s v="521"/>
    <s v="השתלמויות וספרות מקצועית"/>
  </r>
  <r>
    <n v="610"/>
    <s v="84120"/>
    <n v="1"/>
    <s v="184120.610"/>
    <s v="כיבודים                         "/>
    <m/>
    <m/>
    <n v="15000"/>
    <n v="15000"/>
    <n v="14996"/>
    <m/>
    <x v="7"/>
    <s v="שירותים ממלכתיים"/>
    <x v="36"/>
    <s v="רווחה"/>
    <x v="126"/>
    <s v="מינהל הרווחה"/>
    <s v="8412"/>
    <e v="#N/A"/>
    <m/>
    <s v="6"/>
    <x v="12"/>
    <s v="61"/>
    <s v="עמלות"/>
    <s v="610"/>
    <e v="#N/A"/>
  </r>
  <r>
    <n v="670"/>
    <s v="84120"/>
    <n v="1"/>
    <s v="184120.670"/>
    <s v="סעיף שאינו חוזר                 "/>
    <m/>
    <m/>
    <n v="0"/>
    <n v="205000"/>
    <n v="230866"/>
    <m/>
    <x v="7"/>
    <s v="שירותים ממלכתיים"/>
    <x v="36"/>
    <s v="רווחה"/>
    <x v="126"/>
    <s v="מינהל הרווחה"/>
    <s v="8412"/>
    <e v="#N/A"/>
    <m/>
    <s v="6"/>
    <x v="12"/>
    <s v="67"/>
    <e v="#N/A"/>
    <s v="670"/>
    <e v="#N/A"/>
  </r>
  <r>
    <n v="681"/>
    <s v="84120"/>
    <n v="1"/>
    <s v="184120.681"/>
    <s v="הוצאות מיוחדות                  "/>
    <m/>
    <m/>
    <n v="15000"/>
    <n v="15000"/>
    <n v="13924"/>
    <m/>
    <x v="7"/>
    <s v="שירותים ממלכתיים"/>
    <x v="36"/>
    <s v="רווחה"/>
    <x v="126"/>
    <s v="מינהל הרווחה"/>
    <s v="8412"/>
    <e v="#N/A"/>
    <m/>
    <s v="6"/>
    <x v="12"/>
    <s v="68"/>
    <s v="ריבית על הוצאות אחרות"/>
    <s v="681"/>
    <e v="#N/A"/>
  </r>
  <r>
    <n v="751"/>
    <s v="84120"/>
    <n v="1"/>
    <s v="184120.751"/>
    <s v="נקיון במתקני האגף השונים        "/>
    <m/>
    <m/>
    <n v="283000"/>
    <n v="283000"/>
    <n v="257116"/>
    <m/>
    <x v="7"/>
    <s v="שירותים ממלכתיים"/>
    <x v="36"/>
    <s v="רווחה"/>
    <x v="126"/>
    <s v="מינהל הרווחה"/>
    <s v="8412"/>
    <e v="#N/A"/>
    <m/>
    <s v="7"/>
    <x v="13"/>
    <s v="75"/>
    <s v="עבודות קבלניות"/>
    <s v="751"/>
    <e v="#N/A"/>
  </r>
  <r>
    <n v="752"/>
    <s v="84120"/>
    <n v="1"/>
    <s v="184120.752"/>
    <s v="עבודה בקבלנות-שמירה             "/>
    <m/>
    <m/>
    <n v="78000"/>
    <n v="68000"/>
    <n v="62341"/>
    <m/>
    <x v="7"/>
    <s v="שירותים ממלכתיים"/>
    <x v="36"/>
    <s v="רווחה"/>
    <x v="126"/>
    <s v="מינהל הרווחה"/>
    <s v="8412"/>
    <e v="#N/A"/>
    <m/>
    <s v="7"/>
    <x v="13"/>
    <s v="75"/>
    <s v="עבודות קבלניות"/>
    <s v="752"/>
    <e v="#N/A"/>
  </r>
  <r>
    <n v="781"/>
    <s v="84120"/>
    <n v="1"/>
    <s v="184120.781"/>
    <s v="מיגון לשכות                     "/>
    <m/>
    <m/>
    <n v="4000"/>
    <n v="4000"/>
    <n v="2692"/>
    <m/>
    <x v="7"/>
    <s v="שירותים ממלכתיים"/>
    <x v="36"/>
    <s v="רווחה"/>
    <x v="126"/>
    <s v="מינהל הרווחה"/>
    <s v="8412"/>
    <e v="#N/A"/>
    <m/>
    <s v="7"/>
    <x v="13"/>
    <s v="78"/>
    <s v="הוצאות שונות"/>
    <s v="781"/>
    <e v="#N/A"/>
  </r>
  <r>
    <n v="782"/>
    <s v="84120"/>
    <n v="1"/>
    <s v="184120.782"/>
    <s v="בדיקות זכאים                    "/>
    <m/>
    <m/>
    <n v="8000"/>
    <n v="8000"/>
    <n v="4014"/>
    <m/>
    <x v="7"/>
    <s v="שירותים ממלכתיים"/>
    <x v="36"/>
    <s v="רווחה"/>
    <x v="126"/>
    <s v="מינהל הרווחה"/>
    <s v="8412"/>
    <e v="#N/A"/>
    <m/>
    <s v="7"/>
    <x v="13"/>
    <s v="78"/>
    <s v="הוצאות שונות"/>
    <s v="782"/>
    <e v="#N/A"/>
  </r>
  <r>
    <n v="932"/>
    <s v="84120"/>
    <n v="1"/>
    <s v="184120.932"/>
    <s v="ציוד ורהוט משרדי                "/>
    <m/>
    <m/>
    <n v="15000"/>
    <n v="15000"/>
    <n v="12780"/>
    <m/>
    <x v="7"/>
    <s v="שירותים ממלכתיים"/>
    <x v="36"/>
    <s v="רווחה"/>
    <x v="126"/>
    <s v="מינהל הרווחה"/>
    <s v="8412"/>
    <e v="#N/A"/>
    <m/>
    <s v="9"/>
    <x v="17"/>
    <s v="93"/>
    <s v="רכישת ציוד יסודי"/>
    <s v="932"/>
    <e v="#N/A"/>
  </r>
  <r>
    <n v="434"/>
    <s v="84130"/>
    <n v="1"/>
    <s v="184130.434"/>
    <s v="תקוני מבנים  מתקנים ואינונטר    "/>
    <m/>
    <m/>
    <n v="261000"/>
    <n v="261000"/>
    <n v="251189"/>
    <m/>
    <x v="7"/>
    <s v="שירותים ממלכתיים"/>
    <x v="36"/>
    <s v="רווחה"/>
    <x v="126"/>
    <s v="מינהל הרווחה"/>
    <s v="8413"/>
    <e v="#N/A"/>
    <m/>
    <s v="4"/>
    <x v="15"/>
    <s v="43"/>
    <s v="חשמל, מים וחומרי ניקיון"/>
    <s v="434"/>
    <s v="שירותי ניקיון"/>
  </r>
  <r>
    <n v="435"/>
    <s v="84130"/>
    <n v="1"/>
    <s v="184130.435"/>
    <s v="חשמל ואנרגיה                    "/>
    <m/>
    <m/>
    <n v="260000"/>
    <n v="270000"/>
    <n v="257986"/>
    <m/>
    <x v="7"/>
    <s v="שירותים ממלכתיים"/>
    <x v="36"/>
    <s v="רווחה"/>
    <x v="126"/>
    <s v="מינהל הרווחה"/>
    <s v="8413"/>
    <e v="#N/A"/>
    <m/>
    <s v="4"/>
    <x v="15"/>
    <s v="43"/>
    <s v="חשמל, מים וחומרי ניקיון"/>
    <s v="435"/>
    <e v="#N/A"/>
  </r>
  <r>
    <n v="436"/>
    <s v="84130"/>
    <n v="1"/>
    <s v="184130.436"/>
    <s v="חומרי נקיון                     "/>
    <m/>
    <m/>
    <n v="15000"/>
    <n v="15000"/>
    <n v="9969"/>
    <m/>
    <x v="7"/>
    <s v="שירותים ממלכתיים"/>
    <x v="36"/>
    <s v="רווחה"/>
    <x v="126"/>
    <s v="מינהל הרווחה"/>
    <s v="8413"/>
    <e v="#N/A"/>
    <m/>
    <s v="4"/>
    <x v="15"/>
    <s v="43"/>
    <s v="חשמל, מים וחומרי ניקיון"/>
    <s v="436"/>
    <e v="#N/A"/>
  </r>
  <r>
    <n v="461"/>
    <s v="84130"/>
    <n v="1"/>
    <s v="184130.461"/>
    <s v="צורכי משרד                      "/>
    <m/>
    <m/>
    <n v="64000"/>
    <n v="64000"/>
    <n v="60557"/>
    <m/>
    <x v="7"/>
    <s v="שירותים ממלכתיים"/>
    <x v="36"/>
    <s v="רווחה"/>
    <x v="126"/>
    <s v="מינהל הרווחה"/>
    <s v="8413"/>
    <e v="#N/A"/>
    <m/>
    <s v="4"/>
    <x v="15"/>
    <s v="46"/>
    <e v="#N/A"/>
    <s v="461"/>
    <e v="#N/A"/>
  </r>
  <r>
    <n v="464"/>
    <s v="84130"/>
    <n v="1"/>
    <s v="184130.464"/>
    <s v="דאר                             "/>
    <m/>
    <m/>
    <n v="15000"/>
    <n v="15000"/>
    <n v="11320"/>
    <m/>
    <x v="7"/>
    <s v="שירותים ממלכתיים"/>
    <x v="36"/>
    <s v="רווחה"/>
    <x v="126"/>
    <s v="מינהל הרווחה"/>
    <s v="8413"/>
    <e v="#N/A"/>
    <m/>
    <s v="4"/>
    <x v="15"/>
    <s v="46"/>
    <e v="#N/A"/>
    <s v="464"/>
    <e v="#N/A"/>
  </r>
  <r>
    <n v="510"/>
    <s v="84130"/>
    <n v="1"/>
    <s v="184130.510"/>
    <s v="נסיעות  ואש ל                   "/>
    <m/>
    <m/>
    <n v="27000"/>
    <n v="27000"/>
    <n v="19215"/>
    <m/>
    <x v="7"/>
    <s v="שירותים ממלכתיים"/>
    <x v="36"/>
    <s v="רווחה"/>
    <x v="126"/>
    <s v="מינהל הרווחה"/>
    <s v="8413"/>
    <e v="#N/A"/>
    <m/>
    <s v="5"/>
    <x v="11"/>
    <s v="51"/>
    <s v="אש&quot;ל וכיבודים"/>
    <s v="510"/>
    <e v="#N/A"/>
  </r>
  <r>
    <n v="521"/>
    <s v="84130"/>
    <n v="1"/>
    <s v="184130.521"/>
    <s v="הדרכה וכנסים                    "/>
    <m/>
    <m/>
    <n v="20000"/>
    <n v="20000"/>
    <n v="20371"/>
    <m/>
    <x v="7"/>
    <s v="שירותים ממלכתיים"/>
    <x v="36"/>
    <s v="רווחה"/>
    <x v="126"/>
    <s v="מינהל הרווחה"/>
    <s v="8413"/>
    <e v="#N/A"/>
    <m/>
    <s v="5"/>
    <x v="11"/>
    <s v="52"/>
    <s v="השתלמויות וספרות מקצועית"/>
    <s v="521"/>
    <s v="השתלמויות וספרות מקצועית"/>
  </r>
  <r>
    <n v="610"/>
    <s v="84130"/>
    <n v="1"/>
    <s v="184130.610"/>
    <s v="כיבודים                         "/>
    <m/>
    <m/>
    <n v="22000"/>
    <n v="22000"/>
    <n v="20713"/>
    <m/>
    <x v="7"/>
    <s v="שירותים ממלכתיים"/>
    <x v="36"/>
    <s v="רווחה"/>
    <x v="126"/>
    <s v="מינהל הרווחה"/>
    <s v="8413"/>
    <e v="#N/A"/>
    <m/>
    <s v="6"/>
    <x v="12"/>
    <s v="61"/>
    <s v="עמלות"/>
    <s v="610"/>
    <e v="#N/A"/>
  </r>
  <r>
    <n v="670"/>
    <s v="84130"/>
    <n v="1"/>
    <s v="184130.670"/>
    <s v="סעיף שאינו חוזר                 "/>
    <m/>
    <m/>
    <n v="0"/>
    <n v="267000"/>
    <n v="254053"/>
    <m/>
    <x v="7"/>
    <s v="שירותים ממלכתיים"/>
    <x v="36"/>
    <s v="רווחה"/>
    <x v="126"/>
    <s v="מינהל הרווחה"/>
    <s v="8413"/>
    <e v="#N/A"/>
    <m/>
    <s v="6"/>
    <x v="12"/>
    <s v="67"/>
    <e v="#N/A"/>
    <s v="670"/>
    <e v="#N/A"/>
  </r>
  <r>
    <n v="681"/>
    <s v="84130"/>
    <n v="1"/>
    <s v="184130.681"/>
    <s v="הוצאות מיוחדות                  "/>
    <m/>
    <m/>
    <n v="15000"/>
    <n v="15000"/>
    <n v="13360"/>
    <m/>
    <x v="7"/>
    <s v="שירותים ממלכתיים"/>
    <x v="36"/>
    <s v="רווחה"/>
    <x v="126"/>
    <s v="מינהל הרווחה"/>
    <s v="8413"/>
    <e v="#N/A"/>
    <m/>
    <s v="6"/>
    <x v="12"/>
    <s v="68"/>
    <s v="ריבית על הוצאות אחרות"/>
    <s v="681"/>
    <e v="#N/A"/>
  </r>
  <r>
    <n v="751"/>
    <s v="84130"/>
    <n v="1"/>
    <s v="184130.751"/>
    <s v="נקיון במתקני האגף השונים        "/>
    <m/>
    <m/>
    <n v="377000"/>
    <n v="377000"/>
    <n v="349765"/>
    <m/>
    <x v="7"/>
    <s v="שירותים ממלכתיים"/>
    <x v="36"/>
    <s v="רווחה"/>
    <x v="126"/>
    <s v="מינהל הרווחה"/>
    <s v="8413"/>
    <e v="#N/A"/>
    <m/>
    <s v="7"/>
    <x v="13"/>
    <s v="75"/>
    <s v="עבודות קבלניות"/>
    <s v="751"/>
    <e v="#N/A"/>
  </r>
  <r>
    <n v="781"/>
    <s v="84130"/>
    <n v="1"/>
    <s v="184130.781"/>
    <s v="מיגון לשכות                     "/>
    <m/>
    <m/>
    <n v="1000"/>
    <n v="1000"/>
    <n v="0"/>
    <m/>
    <x v="7"/>
    <s v="שירותים ממלכתיים"/>
    <x v="36"/>
    <s v="רווחה"/>
    <x v="126"/>
    <s v="מינהל הרווחה"/>
    <s v="8413"/>
    <e v="#N/A"/>
    <m/>
    <s v="7"/>
    <x v="13"/>
    <s v="78"/>
    <s v="הוצאות שונות"/>
    <s v="781"/>
    <e v="#N/A"/>
  </r>
  <r>
    <n v="782"/>
    <s v="84130"/>
    <n v="1"/>
    <s v="184130.782"/>
    <s v="בדיקות זכאים                    "/>
    <m/>
    <m/>
    <n v="1000"/>
    <n v="1000"/>
    <n v="250"/>
    <m/>
    <x v="7"/>
    <s v="שירותים ממלכתיים"/>
    <x v="36"/>
    <s v="רווחה"/>
    <x v="126"/>
    <s v="מינהל הרווחה"/>
    <s v="8413"/>
    <e v="#N/A"/>
    <m/>
    <s v="7"/>
    <x v="13"/>
    <s v="78"/>
    <s v="הוצאות שונות"/>
    <s v="782"/>
    <e v="#N/A"/>
  </r>
  <r>
    <n v="932"/>
    <s v="84130"/>
    <n v="1"/>
    <s v="184130.932"/>
    <s v="ציוד ורהוט משרדי                "/>
    <m/>
    <m/>
    <n v="40000"/>
    <n v="40000"/>
    <n v="38081"/>
    <m/>
    <x v="7"/>
    <s v="שירותים ממלכתיים"/>
    <x v="36"/>
    <s v="רווחה"/>
    <x v="126"/>
    <s v="מינהל הרווחה"/>
    <s v="8413"/>
    <e v="#N/A"/>
    <m/>
    <s v="9"/>
    <x v="17"/>
    <s v="93"/>
    <s v="רכישת ציוד יסודי"/>
    <s v="932"/>
    <e v="#N/A"/>
  </r>
  <r>
    <n v="434"/>
    <s v="84140"/>
    <n v="1"/>
    <s v="184140.434"/>
    <s v="תקוני מבנים  מתקנים ואינונטר    "/>
    <m/>
    <m/>
    <n v="167000"/>
    <n v="167000"/>
    <n v="153928"/>
    <m/>
    <x v="7"/>
    <s v="שירותים ממלכתיים"/>
    <x v="36"/>
    <s v="רווחה"/>
    <x v="126"/>
    <s v="מינהל הרווחה"/>
    <s v="8414"/>
    <e v="#N/A"/>
    <m/>
    <s v="4"/>
    <x v="15"/>
    <s v="43"/>
    <s v="חשמל, מים וחומרי ניקיון"/>
    <s v="434"/>
    <s v="שירותי ניקיון"/>
  </r>
  <r>
    <n v="435"/>
    <s v="84140"/>
    <n v="1"/>
    <s v="184140.435"/>
    <s v="חשמל ואנרגיה                    "/>
    <m/>
    <m/>
    <n v="240000"/>
    <n v="270000"/>
    <n v="243785"/>
    <m/>
    <x v="7"/>
    <s v="שירותים ממלכתיים"/>
    <x v="36"/>
    <s v="רווחה"/>
    <x v="126"/>
    <s v="מינהל הרווחה"/>
    <s v="8414"/>
    <e v="#N/A"/>
    <m/>
    <s v="4"/>
    <x v="15"/>
    <s v="43"/>
    <s v="חשמל, מים וחומרי ניקיון"/>
    <s v="435"/>
    <e v="#N/A"/>
  </r>
  <r>
    <n v="436"/>
    <s v="84140"/>
    <n v="1"/>
    <s v="184140.436"/>
    <s v="חומרי נקיון                     "/>
    <m/>
    <m/>
    <n v="12000"/>
    <n v="12000"/>
    <n v="10062"/>
    <m/>
    <x v="7"/>
    <s v="שירותים ממלכתיים"/>
    <x v="36"/>
    <s v="רווחה"/>
    <x v="126"/>
    <s v="מינהל הרווחה"/>
    <s v="8414"/>
    <e v="#N/A"/>
    <m/>
    <s v="4"/>
    <x v="15"/>
    <s v="43"/>
    <s v="חשמל, מים וחומרי ניקיון"/>
    <s v="436"/>
    <e v="#N/A"/>
  </r>
  <r>
    <n v="461"/>
    <s v="84140"/>
    <n v="1"/>
    <s v="184140.461"/>
    <s v="צורכי משרד                      "/>
    <m/>
    <m/>
    <n v="60000"/>
    <n v="60000"/>
    <n v="51446"/>
    <m/>
    <x v="7"/>
    <s v="שירותים ממלכתיים"/>
    <x v="36"/>
    <s v="רווחה"/>
    <x v="126"/>
    <s v="מינהל הרווחה"/>
    <s v="8414"/>
    <e v="#N/A"/>
    <m/>
    <s v="4"/>
    <x v="15"/>
    <s v="46"/>
    <e v="#N/A"/>
    <s v="461"/>
    <e v="#N/A"/>
  </r>
  <r>
    <n v="464"/>
    <s v="84140"/>
    <n v="1"/>
    <s v="184140.464"/>
    <s v="דאר                             "/>
    <m/>
    <m/>
    <n v="10000"/>
    <n v="10000"/>
    <n v="10879"/>
    <m/>
    <x v="7"/>
    <s v="שירותים ממלכתיים"/>
    <x v="36"/>
    <s v="רווחה"/>
    <x v="126"/>
    <s v="מינהל הרווחה"/>
    <s v="8414"/>
    <e v="#N/A"/>
    <m/>
    <s v="4"/>
    <x v="15"/>
    <s v="46"/>
    <e v="#N/A"/>
    <s v="464"/>
    <e v="#N/A"/>
  </r>
  <r>
    <n v="510"/>
    <s v="84140"/>
    <n v="1"/>
    <s v="184140.510"/>
    <s v="נסיעות  ואש ל                   "/>
    <m/>
    <m/>
    <n v="29000"/>
    <n v="29000"/>
    <n v="30705"/>
    <m/>
    <x v="7"/>
    <s v="שירותים ממלכתיים"/>
    <x v="36"/>
    <s v="רווחה"/>
    <x v="126"/>
    <s v="מינהל הרווחה"/>
    <s v="8414"/>
    <e v="#N/A"/>
    <m/>
    <s v="5"/>
    <x v="11"/>
    <s v="51"/>
    <s v="אש&quot;ל וכיבודים"/>
    <s v="510"/>
    <e v="#N/A"/>
  </r>
  <r>
    <n v="521"/>
    <s v="84140"/>
    <n v="1"/>
    <s v="184140.521"/>
    <s v="הדרכה וכנסים                    "/>
    <m/>
    <m/>
    <n v="35000"/>
    <n v="35000"/>
    <n v="34626"/>
    <m/>
    <x v="7"/>
    <s v="שירותים ממלכתיים"/>
    <x v="36"/>
    <s v="רווחה"/>
    <x v="126"/>
    <s v="מינהל הרווחה"/>
    <s v="8414"/>
    <e v="#N/A"/>
    <m/>
    <s v="5"/>
    <x v="11"/>
    <s v="52"/>
    <s v="השתלמויות וספרות מקצועית"/>
    <s v="521"/>
    <s v="השתלמויות וספרות מקצועית"/>
  </r>
  <r>
    <n v="610"/>
    <s v="84140"/>
    <n v="1"/>
    <s v="184140.610"/>
    <s v="כיבודים                         "/>
    <m/>
    <m/>
    <n v="22000"/>
    <n v="22000"/>
    <n v="21765"/>
    <m/>
    <x v="7"/>
    <s v="שירותים ממלכתיים"/>
    <x v="36"/>
    <s v="רווחה"/>
    <x v="126"/>
    <s v="מינהל הרווחה"/>
    <s v="8414"/>
    <e v="#N/A"/>
    <m/>
    <s v="6"/>
    <x v="12"/>
    <s v="61"/>
    <s v="עמלות"/>
    <s v="610"/>
    <e v="#N/A"/>
  </r>
  <r>
    <n v="670"/>
    <s v="84140"/>
    <n v="1"/>
    <s v="184140.670"/>
    <s v="סעיף שאינו חוזר                 "/>
    <m/>
    <m/>
    <n v="0"/>
    <n v="229000"/>
    <n v="227807"/>
    <m/>
    <x v="7"/>
    <s v="שירותים ממלכתיים"/>
    <x v="36"/>
    <s v="רווחה"/>
    <x v="126"/>
    <s v="מינהל הרווחה"/>
    <s v="8414"/>
    <e v="#N/A"/>
    <m/>
    <s v="6"/>
    <x v="12"/>
    <s v="67"/>
    <e v="#N/A"/>
    <s v="670"/>
    <e v="#N/A"/>
  </r>
  <r>
    <n v="681"/>
    <s v="84140"/>
    <n v="1"/>
    <s v="184140.681"/>
    <s v="הוצאות מיוחדות                  "/>
    <m/>
    <m/>
    <n v="10000"/>
    <n v="10000"/>
    <n v="6624"/>
    <m/>
    <x v="7"/>
    <s v="שירותים ממלכתיים"/>
    <x v="36"/>
    <s v="רווחה"/>
    <x v="126"/>
    <s v="מינהל הרווחה"/>
    <s v="8414"/>
    <e v="#N/A"/>
    <m/>
    <s v="6"/>
    <x v="12"/>
    <s v="68"/>
    <s v="ריבית על הוצאות אחרות"/>
    <s v="681"/>
    <e v="#N/A"/>
  </r>
  <r>
    <n v="751"/>
    <s v="84140"/>
    <n v="1"/>
    <s v="184140.751"/>
    <s v="נקיון במתקני האגף השונים        "/>
    <m/>
    <m/>
    <n v="267000"/>
    <n v="267000"/>
    <n v="251215"/>
    <m/>
    <x v="7"/>
    <s v="שירותים ממלכתיים"/>
    <x v="36"/>
    <s v="רווחה"/>
    <x v="126"/>
    <s v="מינהל הרווחה"/>
    <s v="8414"/>
    <e v="#N/A"/>
    <m/>
    <s v="7"/>
    <x v="13"/>
    <s v="75"/>
    <s v="עבודות קבלניות"/>
    <s v="751"/>
    <e v="#N/A"/>
  </r>
  <r>
    <n v="781"/>
    <s v="84140"/>
    <n v="1"/>
    <s v="184140.781"/>
    <s v="מיגון לשכות                     "/>
    <m/>
    <m/>
    <n v="2000"/>
    <n v="2000"/>
    <n v="0"/>
    <m/>
    <x v="7"/>
    <s v="שירותים ממלכתיים"/>
    <x v="36"/>
    <s v="רווחה"/>
    <x v="126"/>
    <s v="מינהל הרווחה"/>
    <s v="8414"/>
    <e v="#N/A"/>
    <m/>
    <s v="7"/>
    <x v="13"/>
    <s v="78"/>
    <s v="הוצאות שונות"/>
    <s v="781"/>
    <e v="#N/A"/>
  </r>
  <r>
    <n v="782"/>
    <s v="84140"/>
    <n v="1"/>
    <s v="184140.782"/>
    <s v="בדיקות זכאים                    "/>
    <m/>
    <m/>
    <n v="6000"/>
    <n v="6000"/>
    <n v="4476"/>
    <m/>
    <x v="7"/>
    <s v="שירותים ממלכתיים"/>
    <x v="36"/>
    <s v="רווחה"/>
    <x v="126"/>
    <s v="מינהל הרווחה"/>
    <s v="8414"/>
    <e v="#N/A"/>
    <m/>
    <s v="7"/>
    <x v="13"/>
    <s v="78"/>
    <s v="הוצאות שונות"/>
    <s v="782"/>
    <e v="#N/A"/>
  </r>
  <r>
    <n v="932"/>
    <s v="84140"/>
    <n v="1"/>
    <s v="184140.932"/>
    <s v="ציוד ורהוט משרדי                "/>
    <m/>
    <m/>
    <n v="20000"/>
    <n v="20000"/>
    <n v="18016"/>
    <m/>
    <x v="7"/>
    <s v="שירותים ממלכתיים"/>
    <x v="36"/>
    <s v="רווחה"/>
    <x v="126"/>
    <s v="מינהל הרווחה"/>
    <s v="8414"/>
    <e v="#N/A"/>
    <m/>
    <s v="9"/>
    <x v="17"/>
    <s v="93"/>
    <s v="רכישת ציוד יסודי"/>
    <s v="932"/>
    <e v="#N/A"/>
  </r>
  <r>
    <n v="781"/>
    <s v="84221"/>
    <n v="1"/>
    <s v="184221.781"/>
    <s v="אגף דרום                        "/>
    <m/>
    <m/>
    <n v="912000"/>
    <n v="912000"/>
    <n v="852358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1"/>
    <e v="#N/A"/>
  </r>
  <r>
    <n v="782"/>
    <s v="84221"/>
    <n v="1"/>
    <s v="184221.782"/>
    <s v="אגף מרכז צפון                   "/>
    <m/>
    <m/>
    <n v="477000"/>
    <n v="477000"/>
    <n v="458501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2"/>
    <e v="#N/A"/>
  </r>
  <r>
    <n v="783"/>
    <s v="84221"/>
    <n v="1"/>
    <s v="184221.783"/>
    <s v="אגף מזרח                        "/>
    <m/>
    <m/>
    <n v="513000"/>
    <n v="513000"/>
    <n v="465345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3"/>
    <e v="#N/A"/>
  </r>
  <r>
    <n v="784"/>
    <s v="84221"/>
    <n v="1"/>
    <s v="184221.784"/>
    <s v="כלל עירוני                      "/>
    <m/>
    <m/>
    <n v="19000"/>
    <n v="19000"/>
    <n v="0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4"/>
    <e v="#N/A"/>
  </r>
  <r>
    <n v="786"/>
    <s v="84221"/>
    <n v="1"/>
    <s v="184221.786"/>
    <s v="סיוע למשפחות עם ילדים-דרום      "/>
    <m/>
    <m/>
    <n v="435000"/>
    <n v="435000"/>
    <n v="390847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6"/>
    <e v="#N/A"/>
  </r>
  <r>
    <n v="787"/>
    <s v="84221"/>
    <n v="1"/>
    <s v="184221.787"/>
    <s v="סיוע למשפחות עם ילדים-מרכז צפון "/>
    <m/>
    <m/>
    <n v="244000"/>
    <n v="244000"/>
    <n v="221316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7"/>
    <e v="#N/A"/>
  </r>
  <r>
    <n v="788"/>
    <s v="84221"/>
    <n v="1"/>
    <s v="184221.788"/>
    <s v="סיוע למשפחות עם ילדים-מזרח      "/>
    <m/>
    <m/>
    <n v="285000"/>
    <n v="285000"/>
    <n v="287314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8"/>
    <e v="#N/A"/>
  </r>
  <r>
    <n v="781"/>
    <s v="84222"/>
    <n v="1"/>
    <s v="184222.781"/>
    <s v="עזרה לנפגעי טבע ומצבי חירום     "/>
    <m/>
    <m/>
    <n v="10000"/>
    <n v="20000"/>
    <n v="0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1"/>
    <e v="#N/A"/>
  </r>
  <r>
    <n v="782"/>
    <s v="84222"/>
    <n v="1"/>
    <s v="184222.782"/>
    <s v="הנחות ממסים ואגרות לנתמכים      "/>
    <m/>
    <m/>
    <n v="65000000"/>
    <n v="58000000"/>
    <n v="61407882"/>
    <m/>
    <x v="7"/>
    <s v="שירותים ממלכתיים"/>
    <x v="36"/>
    <s v="רווחה"/>
    <x v="127"/>
    <s v="רווחת הפרט והמשפחה"/>
    <s v="8422"/>
    <s v="צרכים מיוחדים"/>
    <m/>
    <s v="7"/>
    <x v="13"/>
    <s v="78"/>
    <s v="הוצאות שונות"/>
    <s v="782"/>
    <e v="#N/A"/>
  </r>
  <r>
    <n v="821"/>
    <s v="84222"/>
    <n v="1"/>
    <s v="184222.821"/>
    <s v="השתת' לקרן לסיוע למשפחות במצוקה "/>
    <m/>
    <m/>
    <n v="75000"/>
    <n v="75000"/>
    <n v="75000"/>
    <m/>
    <x v="7"/>
    <s v="שירותים ממלכתיים"/>
    <x v="36"/>
    <s v="רווחה"/>
    <x v="127"/>
    <s v="רווחת הפרט והמשפחה"/>
    <s v="8422"/>
    <s v="צרכים מיוחדים"/>
    <m/>
    <s v="8"/>
    <x v="16"/>
    <s v="82"/>
    <s v="הקצבות בהמלצת ועדת הקצבות"/>
    <s v="821"/>
    <e v="#N/A"/>
  </r>
  <r>
    <n v="411"/>
    <s v="84231"/>
    <n v="1"/>
    <s v="184231.411"/>
    <s v="שכר דירה ודמי חכירה             "/>
    <m/>
    <m/>
    <n v="94000"/>
    <n v="112000"/>
    <n v="86913"/>
    <m/>
    <x v="7"/>
    <s v="שירותים ממלכתיים"/>
    <x v="36"/>
    <s v="רווחה"/>
    <x v="127"/>
    <s v="רווחת הפרט והמשפחה"/>
    <s v="8423"/>
    <e v="#N/A"/>
    <m/>
    <s v="4"/>
    <x v="15"/>
    <s v="41"/>
    <s v="שכר דירה ודמי חכירה"/>
    <s v="411"/>
    <e v="#N/A"/>
  </r>
  <r>
    <n v="782"/>
    <s v="84231"/>
    <n v="1"/>
    <s v="184231.782"/>
    <s v="תחנות יעוץ בחיי המשפחה - דרום   "/>
    <m/>
    <m/>
    <n v="93000"/>
    <n v="93000"/>
    <n v="85096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2"/>
    <e v="#N/A"/>
  </r>
  <r>
    <n v="783"/>
    <s v="84231"/>
    <n v="1"/>
    <s v="184231.783"/>
    <s v="תחנות יעוץ בחיי המשפחה - מרכז   "/>
    <m/>
    <m/>
    <n v="13000"/>
    <n v="13000"/>
    <n v="3000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3"/>
    <e v="#N/A"/>
  </r>
  <r>
    <n v="786"/>
    <s v="84231"/>
    <n v="1"/>
    <s v="184231.786"/>
    <s v="תוכנית יחדיו - מזרח             "/>
    <m/>
    <m/>
    <n v="30000"/>
    <n v="30000"/>
    <n v="29920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6"/>
    <e v="#N/A"/>
  </r>
  <r>
    <n v="787"/>
    <s v="84231"/>
    <n v="1"/>
    <s v="184231.787"/>
    <s v="סדנאות וקייטנות נופש            "/>
    <m/>
    <m/>
    <n v="45000"/>
    <n v="45000"/>
    <n v="5184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7"/>
    <e v="#N/A"/>
  </r>
  <r>
    <n v="851"/>
    <s v="84231"/>
    <n v="1"/>
    <s v="184231.851"/>
    <s v="משפחות שכולות תאונות דרכים      "/>
    <m/>
    <m/>
    <n v="254000"/>
    <n v="254000"/>
    <n v="196818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1"/>
    <e v="#N/A"/>
  </r>
  <r>
    <n v="852"/>
    <s v="84231"/>
    <n v="1"/>
    <s v="184231.852"/>
    <s v="תכנית שחקים                     "/>
    <m/>
    <m/>
    <n v="181000"/>
    <n v="66000"/>
    <n v="65299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2"/>
    <e v="#N/A"/>
  </r>
  <r>
    <n v="853"/>
    <s v="84231"/>
    <n v="1"/>
    <s v="184231.853"/>
    <s v="תכנית אשת חיל                   "/>
    <m/>
    <m/>
    <n v="18000"/>
    <n v="18000"/>
    <n v="17938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3"/>
    <e v="#N/A"/>
  </r>
  <r>
    <n v="881"/>
    <s v="84231"/>
    <n v="1"/>
    <s v="184231.881"/>
    <s v="פר' המחלקה האוניברסיטאית        "/>
    <m/>
    <m/>
    <n v="120000"/>
    <n v="40000"/>
    <n v="38275"/>
    <m/>
    <x v="7"/>
    <s v="שירותים ממלכתיים"/>
    <x v="36"/>
    <s v="רווחה"/>
    <x v="127"/>
    <s v="רווחת הפרט והמשפחה"/>
    <s v="8423"/>
    <e v="#N/A"/>
    <m/>
    <s v="8"/>
    <x v="16"/>
    <s v="88"/>
    <e v="#N/A"/>
    <s v="881"/>
    <e v="#N/A"/>
  </r>
  <r>
    <n v="110"/>
    <s v="84232"/>
    <n v="1"/>
    <s v="184232.110"/>
    <s v="משכורת כוללת                    "/>
    <m/>
    <m/>
    <n v="234000"/>
    <n v="122000"/>
    <n v="167554"/>
    <m/>
    <x v="7"/>
    <s v="שירותים ממלכתיים"/>
    <x v="36"/>
    <s v="רווחה"/>
    <x v="127"/>
    <s v="רווחת הפרט והמשפחה"/>
    <s v="8423"/>
    <e v="#N/A"/>
    <m/>
    <s v="1"/>
    <x v="9"/>
    <s v="11"/>
    <s v="השכר הקובע"/>
    <s v="110"/>
    <e v="#N/A"/>
  </r>
  <r>
    <n v="124"/>
    <s v="84232"/>
    <n v="1"/>
    <s v="184232.124"/>
    <s v="החזר הוצאות                     "/>
    <m/>
    <m/>
    <n v="11000"/>
    <n v="6000"/>
    <n v="8487"/>
    <m/>
    <x v="7"/>
    <s v="שירותים ממלכתיים"/>
    <x v="36"/>
    <s v="רווחה"/>
    <x v="127"/>
    <s v="רווחת הפרט והמשפחה"/>
    <s v="8423"/>
    <e v="#N/A"/>
    <m/>
    <s v="1"/>
    <x v="9"/>
    <s v="12"/>
    <s v="תוספות שאינן נכללות בשכר הקובע"/>
    <s v="124"/>
    <e v="#N/A"/>
  </r>
  <r>
    <n v="126"/>
    <s v="84232"/>
    <n v="1"/>
    <s v="184232.126"/>
    <s v="הבראה                           "/>
    <m/>
    <m/>
    <n v="12000"/>
    <n v="7000"/>
    <n v="6405"/>
    <m/>
    <x v="7"/>
    <s v="שירותים ממלכתיים"/>
    <x v="36"/>
    <s v="רווחה"/>
    <x v="127"/>
    <s v="רווחת הפרט והמשפחה"/>
    <s v="8423"/>
    <e v="#N/A"/>
    <m/>
    <s v="1"/>
    <x v="9"/>
    <s v="12"/>
    <s v="תוספות שאינן נכללות בשכר הקובע"/>
    <s v="126"/>
    <e v="#N/A"/>
  </r>
  <r>
    <n v="127"/>
    <s v="84232"/>
    <n v="1"/>
    <s v="184232.127"/>
    <s v="השתתפות באחזקת רכב-1            "/>
    <m/>
    <m/>
    <n v="47000"/>
    <n v="28000"/>
    <n v="30597"/>
    <m/>
    <x v="7"/>
    <s v="שירותים ממלכתיים"/>
    <x v="36"/>
    <s v="רווחה"/>
    <x v="127"/>
    <s v="רווחת הפרט והמשפחה"/>
    <s v="8423"/>
    <e v="#N/A"/>
    <m/>
    <s v="1"/>
    <x v="9"/>
    <s v="12"/>
    <s v="תוספות שאינן נכללות בשכר הקובע"/>
    <s v="127"/>
    <e v="#N/A"/>
  </r>
  <r>
    <n v="130"/>
    <s v="84232"/>
    <n v="1"/>
    <s v="184232.130"/>
    <s v="תשלומים מיוחדים                 "/>
    <m/>
    <m/>
    <n v="87000"/>
    <n v="57000"/>
    <n v="69910"/>
    <m/>
    <x v="7"/>
    <s v="שירותים ממלכתיים"/>
    <x v="36"/>
    <s v="רווחה"/>
    <x v="127"/>
    <s v="רווחת הפרט והמשפחה"/>
    <s v="8423"/>
    <e v="#N/A"/>
    <m/>
    <s v="1"/>
    <x v="9"/>
    <s v="13"/>
    <s v="שעות נוספות"/>
    <s v="130"/>
    <e v="#N/A"/>
  </r>
  <r>
    <n v="181"/>
    <s v="84232"/>
    <n v="1"/>
    <s v="184232.181"/>
    <s v="מיסים וביטוח לאומי              "/>
    <m/>
    <m/>
    <n v="51000"/>
    <n v="29000"/>
    <n v="37551"/>
    <m/>
    <x v="7"/>
    <s v="שירותים ממלכתיים"/>
    <x v="36"/>
    <s v="רווחה"/>
    <x v="127"/>
    <s v="רווחת הפרט והמשפחה"/>
    <s v="8423"/>
    <e v="#N/A"/>
    <m/>
    <s v="1"/>
    <x v="9"/>
    <s v="18"/>
    <s v="נלוות לשכר"/>
    <s v="181"/>
    <s v="הפרשות סוציאליות"/>
  </r>
  <r>
    <n v="182"/>
    <s v="84232"/>
    <n v="1"/>
    <s v="184232.182"/>
    <s v="קופות גמל והשתלמות              "/>
    <m/>
    <m/>
    <n v="52000"/>
    <n v="21000"/>
    <n v="33885"/>
    <m/>
    <x v="7"/>
    <s v="שירותים ממלכתיים"/>
    <x v="36"/>
    <s v="רווחה"/>
    <x v="127"/>
    <s v="רווחת הפרט והמשפחה"/>
    <s v="8423"/>
    <e v="#N/A"/>
    <m/>
    <s v="1"/>
    <x v="9"/>
    <s v="18"/>
    <s v="נלוות לשכר"/>
    <s v="182"/>
    <s v="מיסיום ועלויות"/>
  </r>
  <r>
    <n v="411"/>
    <s v="84232"/>
    <n v="1"/>
    <s v="184232.411"/>
    <s v="שכר דירה                        "/>
    <m/>
    <m/>
    <n v="6000"/>
    <n v="6000"/>
    <n v="0"/>
    <m/>
    <x v="7"/>
    <s v="שירותים ממלכתיים"/>
    <x v="36"/>
    <s v="רווחה"/>
    <x v="127"/>
    <s v="רווחת הפרט והמשפחה"/>
    <s v="8423"/>
    <e v="#N/A"/>
    <m/>
    <s v="4"/>
    <x v="15"/>
    <s v="41"/>
    <s v="שכר דירה ודמי חכירה"/>
    <s v="411"/>
    <e v="#N/A"/>
  </r>
  <r>
    <n v="783"/>
    <s v="84232"/>
    <n v="1"/>
    <s v="184232.783"/>
    <s v="מרכז קשר-בית לנ י               "/>
    <m/>
    <m/>
    <n v="484000"/>
    <n v="484000"/>
    <n v="402867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3"/>
    <e v="#N/A"/>
  </r>
  <r>
    <n v="784"/>
    <s v="84232"/>
    <n v="1"/>
    <s v="184232.784"/>
    <s v="מרכזים למניעת אלימות במשפחה     "/>
    <m/>
    <m/>
    <n v="2270000"/>
    <n v="2270000"/>
    <n v="2014968"/>
    <m/>
    <x v="7"/>
    <s v="שירותים ממלכתיים"/>
    <x v="36"/>
    <s v="רווחה"/>
    <x v="127"/>
    <s v="רווחת הפרט והמשפחה"/>
    <s v="8423"/>
    <e v="#N/A"/>
    <m/>
    <s v="7"/>
    <x v="13"/>
    <s v="78"/>
    <s v="הוצאות שונות"/>
    <s v="784"/>
    <e v="#N/A"/>
  </r>
  <r>
    <n v="851"/>
    <s v="84232"/>
    <n v="1"/>
    <s v="184232.851"/>
    <s v="מודל קליטה רווחתי יישובי        "/>
    <m/>
    <m/>
    <n v="324000"/>
    <n v="0"/>
    <n v="0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1"/>
    <e v="#N/A"/>
  </r>
  <r>
    <n v="851"/>
    <s v="84233"/>
    <n v="1"/>
    <s v="184233.851"/>
    <s v="פרויקט סלעית                    "/>
    <m/>
    <m/>
    <n v="3470000"/>
    <n v="3692000"/>
    <n v="3400000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1"/>
    <e v="#N/A"/>
  </r>
  <r>
    <n v="882"/>
    <s v="84233"/>
    <n v="1"/>
    <s v="184233.882"/>
    <s v="טיפול בקטינים וצעירים העוסקים בז"/>
    <m/>
    <m/>
    <n v="5000000"/>
    <n v="5000000"/>
    <n v="1954011"/>
    <m/>
    <x v="7"/>
    <s v="שירותים ממלכתיים"/>
    <x v="36"/>
    <s v="רווחה"/>
    <x v="127"/>
    <s v="רווחת הפרט והמשפחה"/>
    <s v="8423"/>
    <e v="#N/A"/>
    <m/>
    <s v="8"/>
    <x v="16"/>
    <s v="88"/>
    <e v="#N/A"/>
    <s v="882"/>
    <e v="#N/A"/>
  </r>
  <r>
    <n v="851"/>
    <s v="84234"/>
    <n v="1"/>
    <s v="184234.851"/>
    <s v="תכנית תעסוקה                    "/>
    <m/>
    <m/>
    <n v="4150000"/>
    <n v="3970000"/>
    <n v="0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1"/>
    <e v="#N/A"/>
  </r>
  <r>
    <n v="852"/>
    <s v="84234"/>
    <n v="1"/>
    <s v="184234.852"/>
    <s v="נושמים לרווחה - עוצמה           "/>
    <m/>
    <m/>
    <n v="408000"/>
    <n v="0"/>
    <n v="0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2"/>
    <e v="#N/A"/>
  </r>
  <r>
    <n v="853"/>
    <s v="84234"/>
    <n v="1"/>
    <s v="184234.853"/>
    <s v="תכנית אמצע הדרך                 "/>
    <m/>
    <m/>
    <n v="670000"/>
    <n v="0"/>
    <n v="0"/>
    <m/>
    <x v="7"/>
    <s v="שירותים ממלכתיים"/>
    <x v="36"/>
    <s v="רווחה"/>
    <x v="127"/>
    <s v="רווחת הפרט והמשפחה"/>
    <s v="8423"/>
    <e v="#N/A"/>
    <m/>
    <s v="8"/>
    <x v="16"/>
    <s v="85"/>
    <s v="מלגות לתלמידים וסטודנטים"/>
    <s v="853"/>
    <e v="#N/A"/>
  </r>
  <r>
    <n v="110"/>
    <s v="84240"/>
    <n v="1"/>
    <s v="184240.110"/>
    <s v="משכורת כוללת                    "/>
    <m/>
    <m/>
    <n v="690000"/>
    <n v="651000"/>
    <n v="646522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1"/>
    <s v="השכר הקובע"/>
    <s v="110"/>
    <e v="#N/A"/>
  </r>
  <r>
    <n v="124"/>
    <s v="84240"/>
    <n v="1"/>
    <s v="184240.124"/>
    <s v="החזר הוצאות                     "/>
    <m/>
    <m/>
    <n v="55000"/>
    <n v="53000"/>
    <n v="53090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2"/>
    <s v="תוספות שאינן נכללות בשכר הקובע"/>
    <s v="124"/>
    <e v="#N/A"/>
  </r>
  <r>
    <n v="126"/>
    <s v="84240"/>
    <n v="1"/>
    <s v="184240.126"/>
    <s v="הבראה                           "/>
    <m/>
    <m/>
    <n v="40000"/>
    <n v="41000"/>
    <n v="37217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2"/>
    <s v="תוספות שאינן נכללות בשכר הקובע"/>
    <s v="126"/>
    <e v="#N/A"/>
  </r>
  <r>
    <n v="127"/>
    <s v="84240"/>
    <n v="1"/>
    <s v="184240.127"/>
    <s v="השתתפות באחזקת רכב - 6          "/>
    <m/>
    <m/>
    <n v="120000"/>
    <n v="123000"/>
    <n v="118581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2"/>
    <s v="תוספות שאינן נכללות בשכר הקובע"/>
    <s v="127"/>
    <e v="#N/A"/>
  </r>
  <r>
    <n v="130"/>
    <s v="84240"/>
    <n v="1"/>
    <s v="184240.130"/>
    <s v="תשלומים מיוחדים                 "/>
    <m/>
    <m/>
    <n v="170000"/>
    <n v="166000"/>
    <n v="159611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3"/>
    <s v="שעות נוספות"/>
    <s v="130"/>
    <e v="#N/A"/>
  </r>
  <r>
    <n v="181"/>
    <s v="84240"/>
    <n v="1"/>
    <s v="184240.181"/>
    <s v="מיסים וביטוח לאומי              "/>
    <m/>
    <m/>
    <n v="141000"/>
    <n v="136000"/>
    <n v="130179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8"/>
    <s v="נלוות לשכר"/>
    <s v="181"/>
    <s v="הפרשות סוציאליות"/>
  </r>
  <r>
    <n v="182"/>
    <s v="84240"/>
    <n v="1"/>
    <s v="184240.182"/>
    <s v="קופות גמל והשתלמות              "/>
    <m/>
    <m/>
    <n v="179000"/>
    <n v="198000"/>
    <n v="179819"/>
    <m/>
    <x v="7"/>
    <s v="שירותים ממלכתיים"/>
    <x v="36"/>
    <s v="רווחה"/>
    <x v="127"/>
    <s v="רווחת הפרט והמשפחה"/>
    <s v="8424"/>
    <s v="הדרכת משפחות"/>
    <m/>
    <s v="1"/>
    <x v="9"/>
    <s v="18"/>
    <s v="נלוות לשכר"/>
    <s v="182"/>
    <s v="מיסיום ועלויות"/>
  </r>
  <r>
    <n v="310"/>
    <s v="84240"/>
    <n v="1"/>
    <s v="184240.310"/>
    <s v="שעות נוספות רשומות              "/>
    <m/>
    <m/>
    <n v="4000"/>
    <n v="4000"/>
    <n v="4543"/>
    <m/>
    <x v="7"/>
    <s v="שירותים ממלכתיים"/>
    <x v="36"/>
    <s v="רווחה"/>
    <x v="127"/>
    <s v="רווחת הפרט והמשפחה"/>
    <s v="8424"/>
    <s v="הדרכת משפחות"/>
    <m/>
    <s v="3"/>
    <x v="14"/>
    <s v="31"/>
    <s v="פנסיה"/>
    <s v="310"/>
    <e v="#N/A"/>
  </r>
  <r>
    <n v="340"/>
    <s v="84240"/>
    <n v="1"/>
    <s v="184240.340"/>
    <s v="שעות נוספות מיוחדות             "/>
    <m/>
    <m/>
    <n v="1000"/>
    <n v="1000"/>
    <n v="0"/>
    <m/>
    <x v="7"/>
    <s v="שירותים ממלכתיים"/>
    <x v="36"/>
    <s v="רווחה"/>
    <x v="127"/>
    <s v="רווחת הפרט והמשפחה"/>
    <s v="8424"/>
    <s v="הדרכת משפחות"/>
    <m/>
    <s v="3"/>
    <x v="14"/>
    <s v="34"/>
    <e v="#N/A"/>
    <s v="340"/>
    <e v="#N/A"/>
  </r>
  <r>
    <n v="411"/>
    <s v="84240"/>
    <n v="1"/>
    <s v="184240.411"/>
    <s v="שכר דירה ודמי חכירה             "/>
    <m/>
    <m/>
    <n v="77000"/>
    <n v="75000"/>
    <n v="72949"/>
    <m/>
    <x v="7"/>
    <s v="שירותים ממלכתיים"/>
    <x v="36"/>
    <s v="רווחה"/>
    <x v="127"/>
    <s v="רווחת הפרט והמשפחה"/>
    <s v="8424"/>
    <s v="הדרכת משפחות"/>
    <m/>
    <s v="4"/>
    <x v="15"/>
    <s v="41"/>
    <s v="שכר דירה ודמי חכירה"/>
    <s v="411"/>
    <e v="#N/A"/>
  </r>
  <r>
    <n v="781"/>
    <s v="84240"/>
    <n v="1"/>
    <s v="184240.781"/>
    <s v="הוצאות הפעלה                    "/>
    <m/>
    <m/>
    <n v="221000"/>
    <n v="221000"/>
    <n v="168417"/>
    <m/>
    <x v="7"/>
    <s v="שירותים ממלכתיים"/>
    <x v="36"/>
    <s v="רווחה"/>
    <x v="127"/>
    <s v="רווחת הפרט והמשפחה"/>
    <s v="8424"/>
    <s v="הדרכת משפחות"/>
    <m/>
    <s v="7"/>
    <x v="13"/>
    <s v="78"/>
    <s v="הוצאות שונות"/>
    <s v="781"/>
    <e v="#N/A"/>
  </r>
  <r>
    <n v="782"/>
    <s v="84240"/>
    <n v="1"/>
    <s v="184240.782"/>
    <s v="דרי רחוב קרית שלמה              "/>
    <m/>
    <m/>
    <n v="1800000"/>
    <n v="1800000"/>
    <n v="1685458"/>
    <m/>
    <x v="7"/>
    <s v="שירותים ממלכתיים"/>
    <x v="36"/>
    <s v="רווחה"/>
    <x v="127"/>
    <s v="רווחת הפרט והמשפחה"/>
    <s v="8424"/>
    <s v="הדרכת משפחות"/>
    <m/>
    <s v="7"/>
    <x v="13"/>
    <s v="78"/>
    <s v="הוצאות שונות"/>
    <s v="782"/>
    <e v="#N/A"/>
  </r>
  <r>
    <n v="783"/>
    <s v="84240"/>
    <n v="1"/>
    <s v="184240.783"/>
    <s v="דרי רחוב רב בעייתי              "/>
    <m/>
    <m/>
    <n v="50000"/>
    <n v="50000"/>
    <n v="0"/>
    <m/>
    <x v="7"/>
    <s v="שירותים ממלכתיים"/>
    <x v="36"/>
    <s v="רווחה"/>
    <x v="127"/>
    <s v="רווחת הפרט והמשפחה"/>
    <s v="8424"/>
    <s v="הדרכת משפחות"/>
    <m/>
    <s v="7"/>
    <x v="13"/>
    <s v="78"/>
    <s v="הוצאות שונות"/>
    <s v="783"/>
    <e v="#N/A"/>
  </r>
  <r>
    <n v="784"/>
    <s v="84240"/>
    <n v="1"/>
    <s v="184240.784"/>
    <s v="הלנת דרי רחוב-צ'לנוב            "/>
    <m/>
    <m/>
    <n v="640000"/>
    <n v="640000"/>
    <n v="483000"/>
    <m/>
    <x v="7"/>
    <s v="שירותים ממלכתיים"/>
    <x v="36"/>
    <s v="רווחה"/>
    <x v="127"/>
    <s v="רווחת הפרט והמשפחה"/>
    <s v="8424"/>
    <s v="הדרכת משפחות"/>
    <m/>
    <s v="7"/>
    <x v="13"/>
    <s v="78"/>
    <s v="הוצאות שונות"/>
    <s v="784"/>
    <e v="#N/A"/>
  </r>
  <r>
    <n v="785"/>
    <s v="84240"/>
    <n v="1"/>
    <s v="184240.785"/>
    <s v="כדורגל לדרי רחוב                "/>
    <m/>
    <m/>
    <n v="10000"/>
    <n v="10000"/>
    <n v="0"/>
    <m/>
    <x v="7"/>
    <s v="שירותים ממלכתיים"/>
    <x v="36"/>
    <s v="רווחה"/>
    <x v="127"/>
    <s v="רווחת הפרט והמשפחה"/>
    <s v="8424"/>
    <s v="הדרכת משפחות"/>
    <m/>
    <s v="7"/>
    <x v="13"/>
    <s v="78"/>
    <s v="הוצאות שונות"/>
    <s v="785"/>
    <e v="#N/A"/>
  </r>
  <r>
    <n v="870"/>
    <s v="84240"/>
    <n v="1"/>
    <s v="184240.870"/>
    <s v="סעיף שאינו חוזר                 "/>
    <m/>
    <m/>
    <n v="0"/>
    <n v="70000"/>
    <n v="59000"/>
    <m/>
    <x v="7"/>
    <s v="שירותים ממלכתיים"/>
    <x v="36"/>
    <s v="רווחה"/>
    <x v="127"/>
    <s v="רווחת הפרט והמשפחה"/>
    <s v="8424"/>
    <s v="הדרכת משפחות"/>
    <m/>
    <s v="8"/>
    <x v="16"/>
    <s v="87"/>
    <s v="תמיכות ביחידות סמך ומוסדות הרשות"/>
    <s v="870"/>
    <e v="#N/A"/>
  </r>
  <r>
    <n v="881"/>
    <s v="84240"/>
    <n v="1"/>
    <s v="184240.881"/>
    <s v="השתתפות להפעלת גגונים - עמותת לש"/>
    <m/>
    <m/>
    <n v="250000"/>
    <n v="0"/>
    <n v="0"/>
    <m/>
    <x v="7"/>
    <s v="שירותים ממלכתיים"/>
    <x v="36"/>
    <s v="רווחה"/>
    <x v="127"/>
    <s v="רווחת הפרט והמשפחה"/>
    <s v="8424"/>
    <s v="הדרכת משפחות"/>
    <m/>
    <s v="8"/>
    <x v="16"/>
    <s v="88"/>
    <e v="#N/A"/>
    <s v="881"/>
    <e v="#N/A"/>
  </r>
  <r>
    <n v="110"/>
    <s v="84281"/>
    <n v="1"/>
    <s v="184281.110"/>
    <s v="משכורת כוללת                    "/>
    <m/>
    <m/>
    <n v="10843000"/>
    <n v="10297000"/>
    <n v="10187717"/>
    <m/>
    <x v="7"/>
    <s v="שירותים ממלכתיים"/>
    <x v="36"/>
    <s v="רווחה"/>
    <x v="127"/>
    <s v="רווחת הפרט והמשפחה"/>
    <s v="8428"/>
    <e v="#N/A"/>
    <m/>
    <s v="1"/>
    <x v="9"/>
    <s v="11"/>
    <s v="השכר הקובע"/>
    <s v="110"/>
    <e v="#N/A"/>
  </r>
  <r>
    <n v="124"/>
    <s v="84281"/>
    <n v="1"/>
    <s v="184281.124"/>
    <s v="החזר הוצאות                     "/>
    <m/>
    <m/>
    <n v="740000"/>
    <n v="742000"/>
    <n v="730010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4"/>
    <e v="#N/A"/>
  </r>
  <r>
    <n v="126"/>
    <s v="84281"/>
    <n v="1"/>
    <s v="184281.126"/>
    <s v="הבראה                           "/>
    <m/>
    <m/>
    <n v="560000"/>
    <n v="560000"/>
    <n v="559835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6"/>
    <e v="#N/A"/>
  </r>
  <r>
    <n v="127"/>
    <s v="84281"/>
    <n v="1"/>
    <s v="184281.127"/>
    <s v="השתתפות באחזקת רכב - 93         "/>
    <m/>
    <m/>
    <n v="1808000"/>
    <n v="1703000"/>
    <n v="1694471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7"/>
    <e v="#N/A"/>
  </r>
  <r>
    <n v="130"/>
    <s v="84281"/>
    <n v="1"/>
    <s v="184281.130"/>
    <s v="תשלומים מיוחדים                 "/>
    <m/>
    <m/>
    <n v="2771000"/>
    <n v="2997000"/>
    <n v="2802117"/>
    <m/>
    <x v="7"/>
    <s v="שירותים ממלכתיים"/>
    <x v="36"/>
    <s v="רווחה"/>
    <x v="127"/>
    <s v="רווחת הפרט והמשפחה"/>
    <s v="8428"/>
    <e v="#N/A"/>
    <m/>
    <s v="1"/>
    <x v="9"/>
    <s v="13"/>
    <s v="שעות נוספות"/>
    <s v="130"/>
    <e v="#N/A"/>
  </r>
  <r>
    <n v="181"/>
    <s v="84281"/>
    <n v="1"/>
    <s v="184281.181"/>
    <s v="מיסים וביטוח לאומי              "/>
    <m/>
    <m/>
    <n v="2245000"/>
    <n v="2190000"/>
    <n v="2083815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1"/>
    <s v="הפרשות סוציאליות"/>
  </r>
  <r>
    <n v="182"/>
    <s v="84281"/>
    <n v="1"/>
    <s v="184281.182"/>
    <s v="קופות גמל והשתלמות              "/>
    <m/>
    <m/>
    <n v="2334000"/>
    <n v="2327000"/>
    <n v="2149269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2"/>
    <s v="מיסיום ועלויות"/>
  </r>
  <r>
    <n v="230"/>
    <s v="84281"/>
    <n v="1"/>
    <s v="184281.230"/>
    <s v="משימות חולפות-0.8               "/>
    <m/>
    <m/>
    <n v="98000"/>
    <n v="98000"/>
    <n v="81630"/>
    <m/>
    <x v="7"/>
    <s v="שירותים ממלכתיים"/>
    <x v="36"/>
    <s v="רווחה"/>
    <x v="127"/>
    <s v="רווחת הפרט והמשפחה"/>
    <s v="8428"/>
    <e v="#N/A"/>
    <m/>
    <s v="2"/>
    <x v="10"/>
    <s v="23"/>
    <s v="שעות נוספות"/>
    <s v="230"/>
    <e v="#N/A"/>
  </r>
  <r>
    <n v="310"/>
    <s v="84281"/>
    <n v="1"/>
    <s v="184281.310"/>
    <s v="שעות נוספות רשומות              "/>
    <m/>
    <m/>
    <n v="129000"/>
    <n v="126000"/>
    <n v="77033"/>
    <m/>
    <x v="7"/>
    <s v="שירותים ממלכתיים"/>
    <x v="36"/>
    <s v="רווחה"/>
    <x v="127"/>
    <s v="רווחת הפרט והמשפחה"/>
    <s v="8428"/>
    <e v="#N/A"/>
    <m/>
    <s v="3"/>
    <x v="14"/>
    <s v="31"/>
    <s v="פנסיה"/>
    <s v="310"/>
    <e v="#N/A"/>
  </r>
  <r>
    <n v="340"/>
    <s v="84281"/>
    <n v="1"/>
    <s v="184281.340"/>
    <s v="שעות נוספות מיוחדות             "/>
    <m/>
    <m/>
    <n v="217000"/>
    <n v="213000"/>
    <n v="209788"/>
    <m/>
    <x v="7"/>
    <s v="שירותים ממלכתיים"/>
    <x v="36"/>
    <s v="רווחה"/>
    <x v="127"/>
    <s v="רווחת הפרט והמשפחה"/>
    <s v="8428"/>
    <e v="#N/A"/>
    <m/>
    <s v="3"/>
    <x v="14"/>
    <s v="34"/>
    <e v="#N/A"/>
    <s v="340"/>
    <e v="#N/A"/>
  </r>
  <r>
    <n v="411"/>
    <s v="84281"/>
    <n v="1"/>
    <s v="184281.411"/>
    <s v="שכר דירה ודמי חכירה             "/>
    <m/>
    <m/>
    <n v="272000"/>
    <n v="240000"/>
    <n v="230994"/>
    <m/>
    <x v="7"/>
    <s v="שירותים ממלכתיים"/>
    <x v="36"/>
    <s v="רווחה"/>
    <x v="127"/>
    <s v="רווחת הפרט והמשפחה"/>
    <s v="8428"/>
    <e v="#N/A"/>
    <m/>
    <s v="4"/>
    <x v="15"/>
    <s v="41"/>
    <s v="שכר דירה ודמי חכירה"/>
    <s v="411"/>
    <e v="#N/A"/>
  </r>
  <r>
    <n v="691"/>
    <s v="84281"/>
    <n v="1"/>
    <s v="184281.691"/>
    <s v="מערכות מידע ומחשוב              "/>
    <m/>
    <m/>
    <n v="1400000"/>
    <n v="1270000"/>
    <n v="1087734"/>
    <m/>
    <x v="7"/>
    <s v="שירותים ממלכתיים"/>
    <x v="36"/>
    <s v="רווחה"/>
    <x v="127"/>
    <s v="רווחת הפרט והמשפחה"/>
    <s v="8428"/>
    <e v="#N/A"/>
    <m/>
    <s v="6"/>
    <x v="12"/>
    <s v="69"/>
    <s v="שונות"/>
    <s v="691"/>
    <s v="תשלום ע&quot;ח קרן"/>
  </r>
  <r>
    <n v="110"/>
    <s v="84282"/>
    <n v="1"/>
    <s v="184282.110"/>
    <s v="משכורת כוללת                    "/>
    <m/>
    <m/>
    <n v="8568000"/>
    <n v="8201000"/>
    <n v="8145300"/>
    <m/>
    <x v="7"/>
    <s v="שירותים ממלכתיים"/>
    <x v="36"/>
    <s v="רווחה"/>
    <x v="127"/>
    <s v="רווחת הפרט והמשפחה"/>
    <s v="8428"/>
    <e v="#N/A"/>
    <m/>
    <s v="1"/>
    <x v="9"/>
    <s v="11"/>
    <s v="השכר הקובע"/>
    <s v="110"/>
    <e v="#N/A"/>
  </r>
  <r>
    <n v="124"/>
    <s v="84282"/>
    <n v="1"/>
    <s v="184282.124"/>
    <s v="החזר הוצאות                     "/>
    <m/>
    <m/>
    <n v="572000"/>
    <n v="584000"/>
    <n v="576567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4"/>
    <e v="#N/A"/>
  </r>
  <r>
    <n v="126"/>
    <s v="84282"/>
    <n v="1"/>
    <s v="184282.126"/>
    <s v="הבראה                           "/>
    <m/>
    <m/>
    <n v="431000"/>
    <n v="459000"/>
    <n v="456942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6"/>
    <e v="#N/A"/>
  </r>
  <r>
    <n v="127"/>
    <s v="84282"/>
    <n v="1"/>
    <s v="184282.127"/>
    <s v="השתתפות באחזקת רכב - 86         "/>
    <m/>
    <m/>
    <n v="1588000"/>
    <n v="1472000"/>
    <n v="1469003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7"/>
    <e v="#N/A"/>
  </r>
  <r>
    <n v="130"/>
    <s v="84282"/>
    <n v="1"/>
    <s v="184282.130"/>
    <s v="תשלומים מיוחדים                 "/>
    <m/>
    <m/>
    <n v="2220000"/>
    <n v="2350000"/>
    <n v="2294498"/>
    <m/>
    <x v="7"/>
    <s v="שירותים ממלכתיים"/>
    <x v="36"/>
    <s v="רווחה"/>
    <x v="127"/>
    <s v="רווחת הפרט והמשפחה"/>
    <s v="8428"/>
    <e v="#N/A"/>
    <m/>
    <s v="1"/>
    <x v="9"/>
    <s v="13"/>
    <s v="שעות נוספות"/>
    <s v="130"/>
    <e v="#N/A"/>
  </r>
  <r>
    <n v="181"/>
    <s v="84282"/>
    <n v="1"/>
    <s v="184282.181"/>
    <s v="מיסים וביטוח לאומי              "/>
    <m/>
    <m/>
    <n v="1814000"/>
    <n v="1777000"/>
    <n v="1697953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1"/>
    <s v="הפרשות סוציאליות"/>
  </r>
  <r>
    <n v="182"/>
    <s v="84282"/>
    <n v="1"/>
    <s v="184282.182"/>
    <s v="קופות גמל והשתלמות              "/>
    <m/>
    <m/>
    <n v="1771000"/>
    <n v="1740000"/>
    <n v="1679041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2"/>
    <s v="מיסיום ועלויות"/>
  </r>
  <r>
    <n v="230"/>
    <s v="84282"/>
    <n v="1"/>
    <s v="184282.230"/>
    <s v="משימה חולפת-0.8                 "/>
    <m/>
    <m/>
    <n v="65000"/>
    <n v="97000"/>
    <n v="130903"/>
    <m/>
    <x v="7"/>
    <s v="שירותים ממלכתיים"/>
    <x v="36"/>
    <s v="רווחה"/>
    <x v="127"/>
    <s v="רווחת הפרט והמשפחה"/>
    <s v="8428"/>
    <e v="#N/A"/>
    <m/>
    <s v="2"/>
    <x v="10"/>
    <s v="23"/>
    <s v="שעות נוספות"/>
    <s v="230"/>
    <e v="#N/A"/>
  </r>
  <r>
    <n v="310"/>
    <s v="84282"/>
    <n v="1"/>
    <s v="184282.310"/>
    <s v="שעות נוספות רשומות              "/>
    <m/>
    <m/>
    <n v="257000"/>
    <n v="252000"/>
    <n v="139592"/>
    <m/>
    <x v="7"/>
    <s v="שירותים ממלכתיים"/>
    <x v="36"/>
    <s v="רווחה"/>
    <x v="127"/>
    <s v="רווחת הפרט והמשפחה"/>
    <s v="8428"/>
    <e v="#N/A"/>
    <m/>
    <s v="3"/>
    <x v="14"/>
    <s v="31"/>
    <s v="פנסיה"/>
    <s v="310"/>
    <e v="#N/A"/>
  </r>
  <r>
    <n v="340"/>
    <s v="84282"/>
    <n v="1"/>
    <s v="184282.340"/>
    <s v="שעות נוספות מיוחדות             "/>
    <m/>
    <m/>
    <n v="171000"/>
    <n v="168000"/>
    <n v="124278"/>
    <m/>
    <x v="7"/>
    <s v="שירותים ממלכתיים"/>
    <x v="36"/>
    <s v="רווחה"/>
    <x v="127"/>
    <s v="רווחת הפרט והמשפחה"/>
    <s v="8428"/>
    <e v="#N/A"/>
    <m/>
    <s v="3"/>
    <x v="14"/>
    <s v="34"/>
    <e v="#N/A"/>
    <s v="340"/>
    <e v="#N/A"/>
  </r>
  <r>
    <n v="411"/>
    <s v="84282"/>
    <n v="1"/>
    <s v="184282.411"/>
    <s v="שכר דירה ודמי חכירה             "/>
    <m/>
    <m/>
    <n v="300000"/>
    <n v="83000"/>
    <n v="13018"/>
    <m/>
    <x v="7"/>
    <s v="שירותים ממלכתיים"/>
    <x v="36"/>
    <s v="רווחה"/>
    <x v="127"/>
    <s v="רווחת הפרט והמשפחה"/>
    <s v="8428"/>
    <e v="#N/A"/>
    <m/>
    <s v="4"/>
    <x v="15"/>
    <s v="41"/>
    <s v="שכר דירה ודמי חכירה"/>
    <s v="411"/>
    <e v="#N/A"/>
  </r>
  <r>
    <n v="691"/>
    <s v="84282"/>
    <n v="1"/>
    <s v="184282.691"/>
    <s v="מערכות מידע ומחשוב              "/>
    <m/>
    <m/>
    <n v="1080000"/>
    <n v="980000"/>
    <n v="836764"/>
    <m/>
    <x v="7"/>
    <s v="שירותים ממלכתיים"/>
    <x v="36"/>
    <s v="רווחה"/>
    <x v="127"/>
    <s v="רווחת הפרט והמשפחה"/>
    <s v="8428"/>
    <e v="#N/A"/>
    <m/>
    <s v="6"/>
    <x v="12"/>
    <s v="69"/>
    <s v="שונות"/>
    <s v="691"/>
    <s v="תשלום ע&quot;ח קרן"/>
  </r>
  <r>
    <n v="110"/>
    <s v="84283"/>
    <n v="1"/>
    <s v="184283.110"/>
    <s v="משכורת כוללת                    "/>
    <m/>
    <m/>
    <n v="7732000"/>
    <n v="7526000"/>
    <n v="7352179"/>
    <m/>
    <x v="7"/>
    <s v="שירותים ממלכתיים"/>
    <x v="36"/>
    <s v="רווחה"/>
    <x v="127"/>
    <s v="רווחת הפרט והמשפחה"/>
    <s v="8428"/>
    <e v="#N/A"/>
    <m/>
    <s v="1"/>
    <x v="9"/>
    <s v="11"/>
    <s v="השכר הקובע"/>
    <s v="110"/>
    <e v="#N/A"/>
  </r>
  <r>
    <n v="124"/>
    <s v="84283"/>
    <n v="1"/>
    <s v="184283.124"/>
    <s v="החזר הוצאות                     "/>
    <m/>
    <m/>
    <n v="561000"/>
    <n v="565000"/>
    <n v="564357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4"/>
    <e v="#N/A"/>
  </r>
  <r>
    <n v="126"/>
    <s v="84283"/>
    <n v="1"/>
    <s v="184283.126"/>
    <s v="הבראה                           "/>
    <m/>
    <m/>
    <n v="411000"/>
    <n v="413000"/>
    <n v="409652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6"/>
    <e v="#N/A"/>
  </r>
  <r>
    <n v="127"/>
    <s v="84283"/>
    <n v="1"/>
    <s v="184283.127"/>
    <s v="השתתפות באחזקת רכב - 77         "/>
    <m/>
    <m/>
    <n v="1392000"/>
    <n v="1284000"/>
    <n v="1280954"/>
    <m/>
    <x v="7"/>
    <s v="שירותים ממלכתיים"/>
    <x v="36"/>
    <s v="רווחה"/>
    <x v="127"/>
    <s v="רווחת הפרט והמשפחה"/>
    <s v="8428"/>
    <e v="#N/A"/>
    <m/>
    <s v="1"/>
    <x v="9"/>
    <s v="12"/>
    <s v="תוספות שאינן נכללות בשכר הקובע"/>
    <s v="127"/>
    <e v="#N/A"/>
  </r>
  <r>
    <n v="130"/>
    <s v="84283"/>
    <n v="1"/>
    <s v="184283.130"/>
    <s v="תשלומים מיוחדים                 "/>
    <m/>
    <m/>
    <n v="2057000"/>
    <n v="2137000"/>
    <n v="2030623"/>
    <m/>
    <x v="7"/>
    <s v="שירותים ממלכתיים"/>
    <x v="36"/>
    <s v="רווחה"/>
    <x v="127"/>
    <s v="רווחת הפרט והמשפחה"/>
    <s v="8428"/>
    <e v="#N/A"/>
    <m/>
    <s v="1"/>
    <x v="9"/>
    <s v="13"/>
    <s v="שעות נוספות"/>
    <s v="130"/>
    <e v="#N/A"/>
  </r>
  <r>
    <n v="181"/>
    <s v="84283"/>
    <n v="1"/>
    <s v="184283.181"/>
    <s v="מיסים וביטוח לאומי              "/>
    <m/>
    <m/>
    <n v="1646000"/>
    <n v="1606000"/>
    <n v="1534327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1"/>
    <s v="הפרשות סוציאליות"/>
  </r>
  <r>
    <n v="182"/>
    <s v="84283"/>
    <n v="1"/>
    <s v="184283.182"/>
    <s v="קופות גמל והשתלמות              "/>
    <m/>
    <m/>
    <n v="1734000"/>
    <n v="1711000"/>
    <n v="1613433"/>
    <m/>
    <x v="7"/>
    <s v="שירותים ממלכתיים"/>
    <x v="36"/>
    <s v="רווחה"/>
    <x v="127"/>
    <s v="רווחת הפרט והמשפחה"/>
    <s v="8428"/>
    <e v="#N/A"/>
    <m/>
    <s v="1"/>
    <x v="9"/>
    <s v="18"/>
    <s v="נלוות לשכר"/>
    <s v="182"/>
    <s v="מיסיום ועלויות"/>
  </r>
  <r>
    <n v="230"/>
    <s v="84283"/>
    <n v="1"/>
    <s v="184283.230"/>
    <s v="משימות חולפות -4.0              "/>
    <m/>
    <m/>
    <n v="222000"/>
    <n v="147000"/>
    <n v="182104"/>
    <m/>
    <x v="7"/>
    <s v="שירותים ממלכתיים"/>
    <x v="36"/>
    <s v="רווחה"/>
    <x v="127"/>
    <s v="רווחת הפרט והמשפחה"/>
    <s v="8428"/>
    <e v="#N/A"/>
    <m/>
    <s v="2"/>
    <x v="10"/>
    <s v="23"/>
    <s v="שעות נוספות"/>
    <s v="230"/>
    <e v="#N/A"/>
  </r>
  <r>
    <n v="310"/>
    <s v="84283"/>
    <n v="1"/>
    <s v="184283.310"/>
    <s v="שעות נוספות רשומות              "/>
    <m/>
    <m/>
    <n v="106000"/>
    <n v="104000"/>
    <n v="104479"/>
    <m/>
    <x v="7"/>
    <s v="שירותים ממלכתיים"/>
    <x v="36"/>
    <s v="רווחה"/>
    <x v="127"/>
    <s v="רווחת הפרט והמשפחה"/>
    <s v="8428"/>
    <e v="#N/A"/>
    <m/>
    <s v="3"/>
    <x v="14"/>
    <s v="31"/>
    <s v="פנסיה"/>
    <s v="310"/>
    <e v="#N/A"/>
  </r>
  <r>
    <n v="340"/>
    <s v="84283"/>
    <n v="1"/>
    <s v="184283.340"/>
    <s v="שעות נוספות מיוחדות             "/>
    <m/>
    <m/>
    <n v="103000"/>
    <n v="101000"/>
    <n v="141466"/>
    <m/>
    <x v="7"/>
    <s v="שירותים ממלכתיים"/>
    <x v="36"/>
    <s v="רווחה"/>
    <x v="127"/>
    <s v="רווחת הפרט והמשפחה"/>
    <s v="8428"/>
    <e v="#N/A"/>
    <m/>
    <s v="3"/>
    <x v="14"/>
    <s v="34"/>
    <e v="#N/A"/>
    <s v="340"/>
    <e v="#N/A"/>
  </r>
  <r>
    <n v="411"/>
    <s v="84283"/>
    <n v="1"/>
    <s v="184283.411"/>
    <s v="שכר דירה ודמי חכירה             "/>
    <m/>
    <m/>
    <n v="70000"/>
    <n v="68000"/>
    <n v="63084"/>
    <m/>
    <x v="7"/>
    <s v="שירותים ממלכתיים"/>
    <x v="36"/>
    <s v="רווחה"/>
    <x v="127"/>
    <s v="רווחת הפרט והמשפחה"/>
    <s v="8428"/>
    <e v="#N/A"/>
    <m/>
    <s v="4"/>
    <x v="15"/>
    <s v="41"/>
    <s v="שכר דירה ודמי חכירה"/>
    <s v="411"/>
    <e v="#N/A"/>
  </r>
  <r>
    <n v="691"/>
    <s v="84283"/>
    <n v="1"/>
    <s v="184283.691"/>
    <s v="מערכות מידע ומחשוב              "/>
    <m/>
    <m/>
    <n v="990000"/>
    <n v="940000"/>
    <n v="777310"/>
    <m/>
    <x v="7"/>
    <s v="שירותים ממלכתיים"/>
    <x v="36"/>
    <s v="רווחה"/>
    <x v="127"/>
    <s v="רווחת הפרט והמשפחה"/>
    <s v="8428"/>
    <e v="#N/A"/>
    <m/>
    <s v="6"/>
    <x v="12"/>
    <s v="69"/>
    <s v="שונות"/>
    <s v="691"/>
    <s v="תשלום ע&quot;ח קרן"/>
  </r>
  <r>
    <n v="110"/>
    <s v="84311"/>
    <n v="1"/>
    <s v="184311.110"/>
    <s v="משכורת כוללת                    "/>
    <m/>
    <m/>
    <n v="863000"/>
    <n v="841000"/>
    <n v="829570"/>
    <m/>
    <x v="7"/>
    <s v="שירותים ממלכתיים"/>
    <x v="36"/>
    <s v="רווחה"/>
    <x v="128"/>
    <s v="שירותים לילד ולנוער"/>
    <s v="8431"/>
    <e v="#N/A"/>
    <m/>
    <s v="1"/>
    <x v="9"/>
    <s v="11"/>
    <s v="השכר הקובע"/>
    <s v="110"/>
    <e v="#N/A"/>
  </r>
  <r>
    <n v="124"/>
    <s v="84311"/>
    <n v="1"/>
    <s v="184311.124"/>
    <s v="החזר הוצאות                     "/>
    <m/>
    <m/>
    <n v="47000"/>
    <n v="50000"/>
    <n v="49025"/>
    <m/>
    <x v="7"/>
    <s v="שירותים ממלכתיים"/>
    <x v="36"/>
    <s v="רווחה"/>
    <x v="128"/>
    <s v="שירותים לילד ולנוער"/>
    <s v="8431"/>
    <e v="#N/A"/>
    <m/>
    <s v="1"/>
    <x v="9"/>
    <s v="12"/>
    <s v="תוספות שאינן נכללות בשכר הקובע"/>
    <s v="124"/>
    <e v="#N/A"/>
  </r>
  <r>
    <n v="126"/>
    <s v="84311"/>
    <n v="1"/>
    <s v="184311.126"/>
    <s v="הבראה                           "/>
    <m/>
    <m/>
    <n v="41000"/>
    <n v="44000"/>
    <n v="42380"/>
    <m/>
    <x v="7"/>
    <s v="שירותים ממלכתיים"/>
    <x v="36"/>
    <s v="רווחה"/>
    <x v="128"/>
    <s v="שירותים לילד ולנוער"/>
    <s v="8431"/>
    <e v="#N/A"/>
    <m/>
    <s v="1"/>
    <x v="9"/>
    <s v="12"/>
    <s v="תוספות שאינן נכללות בשכר הקובע"/>
    <s v="126"/>
    <e v="#N/A"/>
  </r>
  <r>
    <n v="127"/>
    <s v="84311"/>
    <n v="1"/>
    <s v="184311.127"/>
    <s v="השתתפות באחזקת רכב - 7          "/>
    <m/>
    <m/>
    <n v="184000"/>
    <n v="189000"/>
    <n v="178436"/>
    <m/>
    <x v="7"/>
    <s v="שירותים ממלכתיים"/>
    <x v="36"/>
    <s v="רווחה"/>
    <x v="128"/>
    <s v="שירותים לילד ולנוער"/>
    <s v="8431"/>
    <e v="#N/A"/>
    <m/>
    <s v="1"/>
    <x v="9"/>
    <s v="12"/>
    <s v="תוספות שאינן נכללות בשכר הקובע"/>
    <s v="127"/>
    <e v="#N/A"/>
  </r>
  <r>
    <n v="130"/>
    <s v="84311"/>
    <n v="1"/>
    <s v="184311.130"/>
    <s v="תשלומים מיוחדים                 "/>
    <m/>
    <m/>
    <n v="303000"/>
    <n v="338000"/>
    <n v="332964"/>
    <m/>
    <x v="7"/>
    <s v="שירותים ממלכתיים"/>
    <x v="36"/>
    <s v="רווחה"/>
    <x v="128"/>
    <s v="שירותים לילד ולנוער"/>
    <s v="8431"/>
    <e v="#N/A"/>
    <m/>
    <s v="1"/>
    <x v="9"/>
    <s v="13"/>
    <s v="שעות נוספות"/>
    <s v="130"/>
    <e v="#N/A"/>
  </r>
  <r>
    <n v="181"/>
    <s v="84311"/>
    <n v="1"/>
    <s v="184311.181"/>
    <s v="מיסים וביטוח לאומי              "/>
    <m/>
    <m/>
    <n v="198000"/>
    <n v="201000"/>
    <n v="206461"/>
    <m/>
    <x v="7"/>
    <s v="שירותים ממלכתיים"/>
    <x v="36"/>
    <s v="רווחה"/>
    <x v="128"/>
    <s v="שירותים לילד ולנוער"/>
    <s v="8431"/>
    <e v="#N/A"/>
    <m/>
    <s v="1"/>
    <x v="9"/>
    <s v="18"/>
    <s v="נלוות לשכר"/>
    <s v="181"/>
    <s v="הפרשות סוציאליות"/>
  </r>
  <r>
    <n v="182"/>
    <s v="84311"/>
    <n v="1"/>
    <s v="184311.182"/>
    <s v="קופות גמל והשתלמות              "/>
    <m/>
    <m/>
    <n v="181000"/>
    <n v="170000"/>
    <n v="162812"/>
    <m/>
    <x v="7"/>
    <s v="שירותים ממלכתיים"/>
    <x v="36"/>
    <s v="רווחה"/>
    <x v="128"/>
    <s v="שירותים לילד ולנוער"/>
    <s v="8431"/>
    <e v="#N/A"/>
    <m/>
    <s v="1"/>
    <x v="9"/>
    <s v="18"/>
    <s v="נלוות לשכר"/>
    <s v="182"/>
    <s v="מיסיום ועלויות"/>
  </r>
  <r>
    <n v="310"/>
    <s v="84311"/>
    <n v="1"/>
    <s v="184311.310"/>
    <s v="שעות נוספות רשומות              "/>
    <m/>
    <m/>
    <n v="32000"/>
    <n v="31000"/>
    <n v="32278"/>
    <m/>
    <x v="7"/>
    <s v="שירותים ממלכתיים"/>
    <x v="36"/>
    <s v="רווחה"/>
    <x v="128"/>
    <s v="שירותים לילד ולנוער"/>
    <s v="8431"/>
    <e v="#N/A"/>
    <m/>
    <s v="3"/>
    <x v="14"/>
    <s v="31"/>
    <s v="פנסיה"/>
    <s v="310"/>
    <e v="#N/A"/>
  </r>
  <r>
    <n v="340"/>
    <s v="84311"/>
    <n v="1"/>
    <s v="184311.340"/>
    <s v="שעות נוספות מיוחדות             "/>
    <m/>
    <m/>
    <n v="46000"/>
    <n v="45000"/>
    <n v="90659"/>
    <m/>
    <x v="7"/>
    <s v="שירותים ממלכתיים"/>
    <x v="36"/>
    <s v="רווחה"/>
    <x v="128"/>
    <s v="שירותים לילד ולנוער"/>
    <s v="8431"/>
    <e v="#N/A"/>
    <m/>
    <s v="3"/>
    <x v="14"/>
    <s v="34"/>
    <e v="#N/A"/>
    <s v="340"/>
    <e v="#N/A"/>
  </r>
  <r>
    <n v="691"/>
    <s v="84311"/>
    <n v="1"/>
    <s v="184311.691"/>
    <s v="מערכות מידע ומחשוב              "/>
    <m/>
    <m/>
    <n v="400000"/>
    <n v="420000"/>
    <n v="330450"/>
    <m/>
    <x v="7"/>
    <s v="שירותים ממלכתיים"/>
    <x v="36"/>
    <s v="רווחה"/>
    <x v="128"/>
    <s v="שירותים לילד ולנוער"/>
    <s v="8431"/>
    <e v="#N/A"/>
    <m/>
    <s v="6"/>
    <x v="12"/>
    <s v="69"/>
    <s v="שונות"/>
    <s v="691"/>
    <s v="תשלום ע&quot;ח קרן"/>
  </r>
  <r>
    <n v="411"/>
    <s v="84320"/>
    <n v="1"/>
    <s v="184320.411"/>
    <s v="שכר דירה ודמי חכירה             "/>
    <m/>
    <m/>
    <n v="48000"/>
    <n v="554000"/>
    <n v="543998"/>
    <m/>
    <x v="7"/>
    <s v="שירותים ממלכתיים"/>
    <x v="36"/>
    <s v="רווחה"/>
    <x v="128"/>
    <s v="שירותים לילד ולנוער"/>
    <s v="8432"/>
    <e v="#N/A"/>
    <m/>
    <s v="4"/>
    <x v="15"/>
    <s v="41"/>
    <s v="שכר דירה ודמי חכירה"/>
    <s v="411"/>
    <e v="#N/A"/>
  </r>
  <r>
    <n v="781"/>
    <s v="84320"/>
    <n v="1"/>
    <s v="184320.781"/>
    <s v="השמת ילדים במס' חוץ ביתיות      "/>
    <m/>
    <m/>
    <n v="46263000"/>
    <n v="45075000"/>
    <n v="46685248"/>
    <m/>
    <x v="7"/>
    <s v="שירותים ממלכתיים"/>
    <x v="36"/>
    <s v="רווחה"/>
    <x v="128"/>
    <s v="שירותים לילד ולנוער"/>
    <s v="8432"/>
    <e v="#N/A"/>
    <m/>
    <s v="7"/>
    <x v="13"/>
    <s v="78"/>
    <s v="הוצאות שונות"/>
    <s v="781"/>
    <e v="#N/A"/>
  </r>
  <r>
    <n v="782"/>
    <s v="84320"/>
    <n v="1"/>
    <s v="184320.782"/>
    <s v="פנימיית יום                     "/>
    <m/>
    <m/>
    <n v="682000"/>
    <n v="731000"/>
    <n v="628966"/>
    <m/>
    <x v="7"/>
    <s v="שירותים ממלכתיים"/>
    <x v="36"/>
    <s v="רווחה"/>
    <x v="128"/>
    <s v="שירותים לילד ולנוער"/>
    <s v="8432"/>
    <e v="#N/A"/>
    <m/>
    <s v="7"/>
    <x v="13"/>
    <s v="78"/>
    <s v="הוצאות שונות"/>
    <s v="782"/>
    <e v="#N/A"/>
  </r>
  <r>
    <n v="783"/>
    <s v="84320"/>
    <n v="1"/>
    <s v="184320.783"/>
    <s v="הסעות לפנימיית יום              "/>
    <m/>
    <m/>
    <n v="90000"/>
    <n v="90000"/>
    <n v="69880"/>
    <m/>
    <x v="7"/>
    <s v="שירותים ממלכתיים"/>
    <x v="36"/>
    <s v="רווחה"/>
    <x v="128"/>
    <s v="שירותים לילד ולנוער"/>
    <s v="8432"/>
    <e v="#N/A"/>
    <m/>
    <s v="7"/>
    <x v="13"/>
    <s v="78"/>
    <s v="הוצאות שונות"/>
    <s v="783"/>
    <e v="#N/A"/>
  </r>
  <r>
    <n v="788"/>
    <s v="84320"/>
    <n v="1"/>
    <s v="184320.788"/>
    <s v="טיפול במשפחות אומנה לילד        "/>
    <m/>
    <m/>
    <n v="1700000"/>
    <n v="1700000"/>
    <n v="1889127"/>
    <m/>
    <x v="7"/>
    <s v="שירותים ממלכתיים"/>
    <x v="36"/>
    <s v="רווחה"/>
    <x v="128"/>
    <s v="שירותים לילד ולנוער"/>
    <s v="8432"/>
    <e v="#N/A"/>
    <m/>
    <s v="7"/>
    <x v="13"/>
    <s v="78"/>
    <s v="הוצאות שונות"/>
    <s v="788"/>
    <e v="#N/A"/>
  </r>
  <r>
    <n v="781"/>
    <s v="84331"/>
    <n v="1"/>
    <s v="184331.781"/>
    <s v="ילדים במעונות יום               "/>
    <m/>
    <m/>
    <n v="14859000"/>
    <n v="14898000"/>
    <n v="13671073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1"/>
    <e v="#N/A"/>
  </r>
  <r>
    <n v="782"/>
    <s v="84331"/>
    <n v="1"/>
    <s v="184331.782"/>
    <s v="מעונות רב תכליתיים              "/>
    <m/>
    <m/>
    <n v="562000"/>
    <n v="562000"/>
    <n v="550000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2"/>
    <e v="#N/A"/>
  </r>
  <r>
    <n v="434"/>
    <s v="84332"/>
    <n v="1"/>
    <s v="184332.434"/>
    <s v="תקוני מבנים  מתקנים ואינונטר    "/>
    <m/>
    <m/>
    <n v="40000"/>
    <n v="0"/>
    <n v="0"/>
    <m/>
    <x v="7"/>
    <s v="שירותים ממלכתיים"/>
    <x v="36"/>
    <s v="רווחה"/>
    <x v="128"/>
    <s v="שירותים לילד ולנוער"/>
    <s v="8433"/>
    <e v="#N/A"/>
    <m/>
    <s v="4"/>
    <x v="15"/>
    <s v="43"/>
    <s v="חשמל, מים וחומרי ניקיון"/>
    <s v="434"/>
    <s v="שירותי ניקיון"/>
  </r>
  <r>
    <n v="781"/>
    <s v="84332"/>
    <n v="1"/>
    <s v="184332.781"/>
    <s v="משפחתונים - הוצאות מיוחדות      "/>
    <m/>
    <m/>
    <n v="87000"/>
    <n v="87000"/>
    <n v="59888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1"/>
    <e v="#N/A"/>
  </r>
  <r>
    <n v="782"/>
    <s v="84332"/>
    <n v="1"/>
    <s v="184332.782"/>
    <s v="משפחתונים - ילדי נשים עובדות    "/>
    <m/>
    <m/>
    <n v="2150000"/>
    <n v="2150000"/>
    <n v="1972327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2"/>
    <e v="#N/A"/>
  </r>
  <r>
    <n v="932"/>
    <s v="84332"/>
    <n v="1"/>
    <s v="184332.932"/>
    <s v="ציוד ורהוט משפחתונים            "/>
    <m/>
    <m/>
    <n v="46000"/>
    <n v="46000"/>
    <n v="45847"/>
    <m/>
    <x v="7"/>
    <s v="שירותים ממלכתיים"/>
    <x v="36"/>
    <s v="רווחה"/>
    <x v="128"/>
    <s v="שירותים לילד ולנוער"/>
    <s v="8433"/>
    <e v="#N/A"/>
    <m/>
    <s v="9"/>
    <x v="17"/>
    <s v="93"/>
    <s v="רכישת ציוד יסודי"/>
    <s v="932"/>
    <e v="#N/A"/>
  </r>
  <r>
    <n v="110"/>
    <s v="84333"/>
    <n v="1"/>
    <s v="184333.110"/>
    <s v="משכורת כוללת                    "/>
    <m/>
    <m/>
    <n v="183000"/>
    <n v="221000"/>
    <n v="203824"/>
    <m/>
    <x v="7"/>
    <s v="שירותים ממלכתיים"/>
    <x v="36"/>
    <s v="רווחה"/>
    <x v="128"/>
    <s v="שירותים לילד ולנוער"/>
    <s v="8433"/>
    <e v="#N/A"/>
    <m/>
    <s v="1"/>
    <x v="9"/>
    <s v="11"/>
    <s v="השכר הקובע"/>
    <s v="110"/>
    <e v="#N/A"/>
  </r>
  <r>
    <n v="124"/>
    <s v="84333"/>
    <n v="1"/>
    <s v="184333.124"/>
    <s v="החזר הוצאות                     "/>
    <m/>
    <m/>
    <n v="36000"/>
    <n v="30000"/>
    <n v="31182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4"/>
    <e v="#N/A"/>
  </r>
  <r>
    <n v="126"/>
    <s v="84333"/>
    <n v="1"/>
    <s v="184333.126"/>
    <s v="הבראה                           "/>
    <m/>
    <m/>
    <n v="10000"/>
    <n v="12000"/>
    <n v="10851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6"/>
    <e v="#N/A"/>
  </r>
  <r>
    <n v="127"/>
    <s v="84333"/>
    <n v="1"/>
    <s v="184333.127"/>
    <s v="השתתפות באחזקת רכב-2            "/>
    <m/>
    <m/>
    <n v="37000"/>
    <n v="30000"/>
    <n v="26343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7"/>
    <e v="#N/A"/>
  </r>
  <r>
    <n v="130"/>
    <s v="84333"/>
    <n v="1"/>
    <s v="184333.130"/>
    <s v="תשלומים מיוחדים                 "/>
    <m/>
    <m/>
    <n v="22000"/>
    <n v="18000"/>
    <n v="18804"/>
    <m/>
    <x v="7"/>
    <s v="שירותים ממלכתיים"/>
    <x v="36"/>
    <s v="רווחה"/>
    <x v="128"/>
    <s v="שירותים לילד ולנוער"/>
    <s v="8433"/>
    <e v="#N/A"/>
    <m/>
    <s v="1"/>
    <x v="9"/>
    <s v="13"/>
    <s v="שעות נוספות"/>
    <s v="130"/>
    <e v="#N/A"/>
  </r>
  <r>
    <n v="181"/>
    <s v="84333"/>
    <n v="1"/>
    <s v="184333.181"/>
    <s v="מיסים וביטוח לאומי              "/>
    <m/>
    <m/>
    <n v="38000"/>
    <n v="41000"/>
    <n v="34428"/>
    <m/>
    <x v="7"/>
    <s v="שירותים ממלכתיים"/>
    <x v="36"/>
    <s v="רווחה"/>
    <x v="128"/>
    <s v="שירותים לילד ולנוער"/>
    <s v="8433"/>
    <e v="#N/A"/>
    <m/>
    <s v="1"/>
    <x v="9"/>
    <s v="18"/>
    <s v="נלוות לשכר"/>
    <s v="181"/>
    <s v="הפרשות סוציאליות"/>
  </r>
  <r>
    <n v="182"/>
    <s v="84333"/>
    <n v="1"/>
    <s v="184333.182"/>
    <s v="קופות גמל והשתלמות              "/>
    <m/>
    <m/>
    <n v="48000"/>
    <n v="59000"/>
    <n v="50142"/>
    <m/>
    <x v="7"/>
    <s v="שירותים ממלכתיים"/>
    <x v="36"/>
    <s v="רווחה"/>
    <x v="128"/>
    <s v="שירותים לילד ולנוער"/>
    <s v="8433"/>
    <e v="#N/A"/>
    <m/>
    <s v="1"/>
    <x v="9"/>
    <s v="18"/>
    <s v="נלוות לשכר"/>
    <s v="182"/>
    <s v="מיסיום ועלויות"/>
  </r>
  <r>
    <n v="310"/>
    <s v="84333"/>
    <n v="1"/>
    <s v="184333.310"/>
    <s v="שעות נוספות רשומות              "/>
    <m/>
    <m/>
    <n v="1000"/>
    <n v="1000"/>
    <n v="1067"/>
    <m/>
    <x v="7"/>
    <s v="שירותים ממלכתיים"/>
    <x v="36"/>
    <s v="רווחה"/>
    <x v="128"/>
    <s v="שירותים לילד ולנוער"/>
    <s v="8433"/>
    <e v="#N/A"/>
    <m/>
    <s v="3"/>
    <x v="14"/>
    <s v="31"/>
    <s v="פנסיה"/>
    <s v="310"/>
    <e v="#N/A"/>
  </r>
  <r>
    <n v="784"/>
    <s v="84333"/>
    <n v="1"/>
    <s v="184333.784"/>
    <s v="הסעות למועדונית רובינשטיין      "/>
    <m/>
    <m/>
    <n v="80000"/>
    <n v="126000"/>
    <n v="73114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4"/>
    <e v="#N/A"/>
  </r>
  <r>
    <n v="785"/>
    <s v="84333"/>
    <n v="1"/>
    <s v="184333.785"/>
    <s v="מועדוניות משותפות               "/>
    <m/>
    <m/>
    <n v="1040000"/>
    <n v="1120000"/>
    <n v="935000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5"/>
    <e v="#N/A"/>
  </r>
  <r>
    <n v="110"/>
    <s v="84334"/>
    <n v="1"/>
    <s v="184334.110"/>
    <s v="משכורת כוללת                    "/>
    <m/>
    <m/>
    <n v="295000"/>
    <n v="268000"/>
    <n v="264493"/>
    <m/>
    <x v="7"/>
    <s v="שירותים ממלכתיים"/>
    <x v="36"/>
    <s v="רווחה"/>
    <x v="128"/>
    <s v="שירותים לילד ולנוער"/>
    <s v="8433"/>
    <e v="#N/A"/>
    <m/>
    <s v="1"/>
    <x v="9"/>
    <s v="11"/>
    <s v="השכר הקובע"/>
    <s v="110"/>
    <e v="#N/A"/>
  </r>
  <r>
    <n v="124"/>
    <s v="84334"/>
    <n v="1"/>
    <s v="184334.124"/>
    <s v="החזר הוצאות                     "/>
    <m/>
    <m/>
    <n v="37000"/>
    <n v="30000"/>
    <n v="34335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4"/>
    <e v="#N/A"/>
  </r>
  <r>
    <n v="126"/>
    <s v="84334"/>
    <n v="1"/>
    <s v="184334.126"/>
    <s v="הבראה                           "/>
    <m/>
    <m/>
    <n v="15000"/>
    <n v="17000"/>
    <n v="14493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6"/>
    <e v="#N/A"/>
  </r>
  <r>
    <n v="127"/>
    <s v="84334"/>
    <n v="1"/>
    <s v="184334.127"/>
    <s v="השתתפות באחזקת רכב-3            "/>
    <m/>
    <m/>
    <n v="38000"/>
    <n v="41000"/>
    <n v="38335"/>
    <m/>
    <x v="7"/>
    <s v="שירותים ממלכתיים"/>
    <x v="36"/>
    <s v="רווחה"/>
    <x v="128"/>
    <s v="שירותים לילד ולנוער"/>
    <s v="8433"/>
    <e v="#N/A"/>
    <m/>
    <s v="1"/>
    <x v="9"/>
    <s v="12"/>
    <s v="תוספות שאינן נכללות בשכר הקובע"/>
    <s v="127"/>
    <e v="#N/A"/>
  </r>
  <r>
    <n v="130"/>
    <s v="84334"/>
    <n v="1"/>
    <s v="184334.130"/>
    <s v="תשלומים מיוחדים                 "/>
    <m/>
    <m/>
    <n v="47000"/>
    <n v="37000"/>
    <n v="39459"/>
    <m/>
    <x v="7"/>
    <s v="שירותים ממלכתיים"/>
    <x v="36"/>
    <s v="רווחה"/>
    <x v="128"/>
    <s v="שירותים לילד ולנוער"/>
    <s v="8433"/>
    <e v="#N/A"/>
    <m/>
    <s v="1"/>
    <x v="9"/>
    <s v="13"/>
    <s v="שעות נוספות"/>
    <s v="130"/>
    <e v="#N/A"/>
  </r>
  <r>
    <n v="181"/>
    <s v="84334"/>
    <n v="1"/>
    <s v="184334.181"/>
    <s v="מיסים וביטוח לאומי              "/>
    <m/>
    <m/>
    <n v="57000"/>
    <n v="52000"/>
    <n v="46209"/>
    <m/>
    <x v="7"/>
    <s v="שירותים ממלכתיים"/>
    <x v="36"/>
    <s v="רווחה"/>
    <x v="128"/>
    <s v="שירותים לילד ולנוער"/>
    <s v="8433"/>
    <e v="#N/A"/>
    <m/>
    <s v="1"/>
    <x v="9"/>
    <s v="18"/>
    <s v="נלוות לשכר"/>
    <s v="181"/>
    <s v="הפרשות סוציאליות"/>
  </r>
  <r>
    <n v="182"/>
    <s v="84334"/>
    <n v="1"/>
    <s v="184334.182"/>
    <s v="קופות גמל והשתלמות              "/>
    <m/>
    <m/>
    <n v="55000"/>
    <n v="55000"/>
    <n v="52646"/>
    <m/>
    <x v="7"/>
    <s v="שירותים ממלכתיים"/>
    <x v="36"/>
    <s v="רווחה"/>
    <x v="128"/>
    <s v="שירותים לילד ולנוער"/>
    <s v="8433"/>
    <e v="#N/A"/>
    <m/>
    <s v="1"/>
    <x v="9"/>
    <s v="18"/>
    <s v="נלוות לשכר"/>
    <s v="182"/>
    <s v="מיסיום ועלויות"/>
  </r>
  <r>
    <n v="310"/>
    <s v="84334"/>
    <n v="1"/>
    <s v="184334.310"/>
    <s v="שעות נוספות רשומות              "/>
    <m/>
    <m/>
    <n v="1000"/>
    <n v="1000"/>
    <n v="1822"/>
    <m/>
    <x v="7"/>
    <s v="שירותים ממלכתיים"/>
    <x v="36"/>
    <s v="רווחה"/>
    <x v="128"/>
    <s v="שירותים לילד ולנוער"/>
    <s v="8433"/>
    <e v="#N/A"/>
    <m/>
    <s v="3"/>
    <x v="14"/>
    <s v="31"/>
    <s v="פנסיה"/>
    <s v="310"/>
    <e v="#N/A"/>
  </r>
  <r>
    <n v="670"/>
    <s v="84334"/>
    <n v="1"/>
    <s v="184334.670"/>
    <s v="סעיף שאינו חוזר                 "/>
    <m/>
    <m/>
    <n v="0"/>
    <n v="100000"/>
    <n v="1507"/>
    <m/>
    <x v="7"/>
    <s v="שירותים ממלכתיים"/>
    <x v="36"/>
    <s v="רווחה"/>
    <x v="128"/>
    <s v="שירותים לילד ולנוער"/>
    <s v="8433"/>
    <e v="#N/A"/>
    <m/>
    <s v="6"/>
    <x v="12"/>
    <s v="67"/>
    <e v="#N/A"/>
    <s v="670"/>
    <e v="#N/A"/>
  </r>
  <r>
    <n v="784"/>
    <s v="84334"/>
    <n v="1"/>
    <s v="184334.784"/>
    <s v="השתתפות בפעילות מרכז שקד        "/>
    <m/>
    <m/>
    <n v="360000"/>
    <n v="360000"/>
    <n v="360000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4"/>
    <e v="#N/A"/>
  </r>
  <r>
    <n v="786"/>
    <s v="84334"/>
    <n v="1"/>
    <s v="184334.786"/>
    <s v="הסעות ילדים למועדונית-תוכנית רקפ"/>
    <m/>
    <m/>
    <n v="17000"/>
    <n v="17000"/>
    <n v="13999"/>
    <m/>
    <x v="7"/>
    <s v="שירותים ממלכתיים"/>
    <x v="36"/>
    <s v="רווחה"/>
    <x v="128"/>
    <s v="שירותים לילד ולנוער"/>
    <s v="8433"/>
    <e v="#N/A"/>
    <m/>
    <s v="7"/>
    <x v="13"/>
    <s v="78"/>
    <s v="הוצאות שונות"/>
    <s v="786"/>
    <e v="#N/A"/>
  </r>
  <r>
    <n v="861"/>
    <s v="84334"/>
    <n v="1"/>
    <s v="184334.861"/>
    <s v="הפעלת תוכנית  רקפת -מרכז צפון   "/>
    <m/>
    <m/>
    <n v="209000"/>
    <n v="209000"/>
    <n v="204266"/>
    <m/>
    <x v="7"/>
    <s v="שירותים ממלכתיים"/>
    <x v="36"/>
    <s v="רווחה"/>
    <x v="128"/>
    <s v="שירותים לילד ולנוער"/>
    <s v="8433"/>
    <e v="#N/A"/>
    <m/>
    <s v="8"/>
    <x v="16"/>
    <s v="86"/>
    <s v="הנחות"/>
    <s v="861"/>
    <e v="#N/A"/>
  </r>
  <r>
    <n v="862"/>
    <s v="84334"/>
    <n v="1"/>
    <s v="184334.862"/>
    <s v="הפעלת תכנית  כלנית -מרכז צפון   "/>
    <m/>
    <m/>
    <n v="345000"/>
    <n v="344000"/>
    <n v="299908"/>
    <m/>
    <x v="7"/>
    <s v="שירותים ממלכתיים"/>
    <x v="36"/>
    <s v="רווחה"/>
    <x v="128"/>
    <s v="שירותים לילד ולנוער"/>
    <s v="8433"/>
    <e v="#N/A"/>
    <m/>
    <s v="8"/>
    <x v="16"/>
    <s v="86"/>
    <s v="הנחות"/>
    <s v="862"/>
    <e v="#N/A"/>
  </r>
  <r>
    <n v="881"/>
    <s v="84334"/>
    <n v="1"/>
    <s v="184334.881"/>
    <s v="מועדונית סומקין-אג' לקידום החינו"/>
    <m/>
    <m/>
    <n v="161000"/>
    <n v="160000"/>
    <n v="160011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1"/>
    <e v="#N/A"/>
  </r>
  <r>
    <n v="882"/>
    <s v="84334"/>
    <n v="1"/>
    <s v="184334.882"/>
    <s v="מועדונית אנטנסיבית-לילך         "/>
    <m/>
    <m/>
    <n v="78000"/>
    <n v="77000"/>
    <n v="170325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2"/>
    <e v="#N/A"/>
  </r>
  <r>
    <n v="883"/>
    <s v="84334"/>
    <n v="1"/>
    <s v="184334.883"/>
    <s v="תכנית קנגרו-אגף דרום            "/>
    <m/>
    <m/>
    <n v="120000"/>
    <n v="100000"/>
    <n v="100000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3"/>
    <e v="#N/A"/>
  </r>
  <r>
    <n v="884"/>
    <s v="84334"/>
    <n v="1"/>
    <s v="184334.884"/>
    <s v="מועדונית לילדי מהגרי עבודה      "/>
    <m/>
    <m/>
    <n v="128000"/>
    <n v="128000"/>
    <n v="125308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4"/>
    <e v="#N/A"/>
  </r>
  <r>
    <n v="885"/>
    <s v="84334"/>
    <n v="1"/>
    <s v="184334.885"/>
    <s v="מועדונית מצובה                  "/>
    <m/>
    <m/>
    <n v="395000"/>
    <n v="305000"/>
    <n v="305000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5"/>
    <e v="#N/A"/>
  </r>
  <r>
    <n v="886"/>
    <s v="84334"/>
    <n v="1"/>
    <s v="184334.886"/>
    <s v="מועדונית יד ביד                 "/>
    <m/>
    <m/>
    <n v="40000"/>
    <n v="40000"/>
    <n v="0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6"/>
    <e v="#N/A"/>
  </r>
  <r>
    <n v="887"/>
    <s v="84334"/>
    <n v="1"/>
    <s v="184334.887"/>
    <s v="מועדונית מקום בלב 1             "/>
    <m/>
    <m/>
    <n v="388000"/>
    <n v="386000"/>
    <n v="353364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7"/>
    <e v="#N/A"/>
  </r>
  <r>
    <n v="888"/>
    <s v="84334"/>
    <n v="1"/>
    <s v="184334.888"/>
    <s v="מועדונית מקום בלב 2             "/>
    <m/>
    <m/>
    <n v="90000"/>
    <n v="85000"/>
    <n v="80000"/>
    <m/>
    <x v="7"/>
    <s v="שירותים ממלכתיים"/>
    <x v="36"/>
    <s v="רווחה"/>
    <x v="128"/>
    <s v="שירותים לילד ולנוער"/>
    <s v="8433"/>
    <e v="#N/A"/>
    <m/>
    <s v="8"/>
    <x v="16"/>
    <s v="88"/>
    <e v="#N/A"/>
    <s v="888"/>
    <e v="#N/A"/>
  </r>
  <r>
    <n v="110"/>
    <s v="84340"/>
    <n v="1"/>
    <s v="184340.110"/>
    <s v="משכורת כוללת                    "/>
    <m/>
    <m/>
    <n v="1063000"/>
    <n v="1055000"/>
    <n v="956559"/>
    <m/>
    <x v="7"/>
    <s v="שירותים ממלכתיים"/>
    <x v="36"/>
    <s v="רווחה"/>
    <x v="128"/>
    <s v="שירותים לילד ולנוער"/>
    <s v="8434"/>
    <e v="#N/A"/>
    <m/>
    <s v="1"/>
    <x v="9"/>
    <s v="11"/>
    <s v="השכר הקובע"/>
    <s v="110"/>
    <e v="#N/A"/>
  </r>
  <r>
    <n v="124"/>
    <s v="84340"/>
    <n v="1"/>
    <s v="184340.124"/>
    <s v="החזר הוצאות                     "/>
    <m/>
    <m/>
    <n v="115000"/>
    <n v="101000"/>
    <n v="88180"/>
    <m/>
    <x v="7"/>
    <s v="שירותים ממלכתיים"/>
    <x v="36"/>
    <s v="רווחה"/>
    <x v="128"/>
    <s v="שירותים לילד ולנוער"/>
    <s v="8434"/>
    <e v="#N/A"/>
    <m/>
    <s v="1"/>
    <x v="9"/>
    <s v="12"/>
    <s v="תוספות שאינן נכללות בשכר הקובע"/>
    <s v="124"/>
    <e v="#N/A"/>
  </r>
  <r>
    <n v="126"/>
    <s v="84340"/>
    <n v="1"/>
    <s v="184340.126"/>
    <s v="הבראה                           "/>
    <m/>
    <m/>
    <n v="54000"/>
    <n v="54000"/>
    <n v="48813"/>
    <m/>
    <x v="7"/>
    <s v="שירותים ממלכתיים"/>
    <x v="36"/>
    <s v="רווחה"/>
    <x v="128"/>
    <s v="שירותים לילד ולנוער"/>
    <s v="8434"/>
    <e v="#N/A"/>
    <m/>
    <s v="1"/>
    <x v="9"/>
    <s v="12"/>
    <s v="תוספות שאינן נכללות בשכר הקובע"/>
    <s v="126"/>
    <e v="#N/A"/>
  </r>
  <r>
    <n v="127"/>
    <s v="84340"/>
    <n v="1"/>
    <s v="184340.127"/>
    <s v="השתתפות באחזקת רכב - 7          "/>
    <m/>
    <m/>
    <n v="82000"/>
    <n v="80000"/>
    <n v="73127"/>
    <m/>
    <x v="7"/>
    <s v="שירותים ממלכתיים"/>
    <x v="36"/>
    <s v="רווחה"/>
    <x v="128"/>
    <s v="שירותים לילד ולנוער"/>
    <s v="8434"/>
    <e v="#N/A"/>
    <m/>
    <s v="1"/>
    <x v="9"/>
    <s v="12"/>
    <s v="תוספות שאינן נכללות בשכר הקובע"/>
    <s v="127"/>
    <e v="#N/A"/>
  </r>
  <r>
    <n v="130"/>
    <s v="84340"/>
    <n v="1"/>
    <s v="184340.130"/>
    <s v="תשלומים מיוחדים                 "/>
    <m/>
    <m/>
    <n v="166000"/>
    <n v="151000"/>
    <n v="137148"/>
    <m/>
    <x v="7"/>
    <s v="שירותים ממלכתיים"/>
    <x v="36"/>
    <s v="רווחה"/>
    <x v="128"/>
    <s v="שירותים לילד ולנוער"/>
    <s v="8434"/>
    <e v="#N/A"/>
    <m/>
    <s v="1"/>
    <x v="9"/>
    <s v="13"/>
    <s v="שעות נוספות"/>
    <s v="130"/>
    <e v="#N/A"/>
  </r>
  <r>
    <n v="181"/>
    <s v="84340"/>
    <n v="1"/>
    <s v="184340.181"/>
    <s v="מיסים וביטוח לאומי              "/>
    <m/>
    <m/>
    <n v="194000"/>
    <n v="189000"/>
    <n v="160977"/>
    <m/>
    <x v="7"/>
    <s v="שירותים ממלכתיים"/>
    <x v="36"/>
    <s v="רווחה"/>
    <x v="128"/>
    <s v="שירותים לילד ולנוער"/>
    <s v="8434"/>
    <e v="#N/A"/>
    <m/>
    <s v="1"/>
    <x v="9"/>
    <s v="18"/>
    <s v="נלוות לשכר"/>
    <s v="181"/>
    <s v="הפרשות סוציאליות"/>
  </r>
  <r>
    <n v="182"/>
    <s v="84340"/>
    <n v="1"/>
    <s v="184340.182"/>
    <s v="קופות גמל והשתלמות              "/>
    <m/>
    <m/>
    <n v="239000"/>
    <n v="239000"/>
    <n v="209980"/>
    <m/>
    <x v="7"/>
    <s v="שירותים ממלכתיים"/>
    <x v="36"/>
    <s v="רווחה"/>
    <x v="128"/>
    <s v="שירותים לילד ולנוער"/>
    <s v="8434"/>
    <e v="#N/A"/>
    <m/>
    <s v="1"/>
    <x v="9"/>
    <s v="18"/>
    <s v="נלוות לשכר"/>
    <s v="182"/>
    <s v="מיסיום ועלויות"/>
  </r>
  <r>
    <n v="310"/>
    <s v="84340"/>
    <n v="1"/>
    <s v="184340.310"/>
    <s v="שעות נוספות רשומות              "/>
    <m/>
    <m/>
    <n v="1000"/>
    <n v="1000"/>
    <n v="2128"/>
    <m/>
    <x v="7"/>
    <s v="שירותים ממלכתיים"/>
    <x v="36"/>
    <s v="רווחה"/>
    <x v="128"/>
    <s v="שירותים לילד ולנוער"/>
    <s v="8434"/>
    <e v="#N/A"/>
    <m/>
    <s v="3"/>
    <x v="14"/>
    <s v="31"/>
    <s v="פנסיה"/>
    <s v="310"/>
    <e v="#N/A"/>
  </r>
  <r>
    <n v="781"/>
    <s v="84340"/>
    <n v="1"/>
    <s v="184340.781"/>
    <s v="השתתפות במפתנים ממשלתיים ואחרים "/>
    <m/>
    <m/>
    <n v="253000"/>
    <n v="253000"/>
    <n v="165204"/>
    <m/>
    <x v="7"/>
    <s v="שירותים ממלכתיים"/>
    <x v="36"/>
    <s v="רווחה"/>
    <x v="128"/>
    <s v="שירותים לילד ולנוער"/>
    <s v="8434"/>
    <e v="#N/A"/>
    <m/>
    <s v="7"/>
    <x v="13"/>
    <s v="78"/>
    <s v="הוצאות שונות"/>
    <s v="781"/>
    <e v="#N/A"/>
  </r>
  <r>
    <n v="782"/>
    <s v="84340"/>
    <n v="1"/>
    <s v="184340.782"/>
    <s v="ב ס מוזות                       "/>
    <m/>
    <m/>
    <n v="551000"/>
    <n v="486000"/>
    <n v="355284"/>
    <m/>
    <x v="7"/>
    <s v="שירותים ממלכתיים"/>
    <x v="36"/>
    <s v="רווחה"/>
    <x v="128"/>
    <s v="שירותים לילד ולנוער"/>
    <s v="8434"/>
    <e v="#N/A"/>
    <m/>
    <s v="7"/>
    <x v="13"/>
    <s v="78"/>
    <s v="הוצאות שונות"/>
    <s v="782"/>
    <e v="#N/A"/>
  </r>
  <r>
    <n v="851"/>
    <s v="84340"/>
    <n v="1"/>
    <s v="184340.851"/>
    <s v="הפעלת מפתן אלון-חב' מוסדות חינוך"/>
    <m/>
    <m/>
    <n v="461000"/>
    <n v="461000"/>
    <n v="441000"/>
    <m/>
    <x v="7"/>
    <s v="שירותים ממלכתיים"/>
    <x v="36"/>
    <s v="רווחה"/>
    <x v="128"/>
    <s v="שירותים לילד ולנוער"/>
    <s v="8434"/>
    <e v="#N/A"/>
    <m/>
    <s v="8"/>
    <x v="16"/>
    <s v="85"/>
    <s v="מלגות לתלמידים וסטודנטים"/>
    <s v="851"/>
    <e v="#N/A"/>
  </r>
  <r>
    <n v="852"/>
    <s v="84340"/>
    <n v="1"/>
    <s v="184340.852"/>
    <s v="תכניות נוספות למפתן             "/>
    <m/>
    <m/>
    <n v="439000"/>
    <n v="76000"/>
    <n v="67725"/>
    <m/>
    <x v="7"/>
    <s v="שירותים ממלכתיים"/>
    <x v="36"/>
    <s v="רווחה"/>
    <x v="128"/>
    <s v="שירותים לילד ולנוער"/>
    <s v="8434"/>
    <e v="#N/A"/>
    <m/>
    <s v="8"/>
    <x v="16"/>
    <s v="85"/>
    <s v="מלגות לתלמידים וסטודנטים"/>
    <s v="852"/>
    <e v="#N/A"/>
  </r>
  <r>
    <n v="781"/>
    <s v="84350"/>
    <n v="1"/>
    <s v="184350.781"/>
    <s v="טיפול בילד בקהילה - דרום        "/>
    <m/>
    <m/>
    <n v="542000"/>
    <n v="524000"/>
    <n v="532456"/>
    <m/>
    <x v="7"/>
    <s v="שירותים ממלכתיים"/>
    <x v="36"/>
    <s v="רווחה"/>
    <x v="128"/>
    <s v="שירותים לילד ולנוער"/>
    <s v="8435"/>
    <s v="פעולות קהילתיות"/>
    <m/>
    <s v="7"/>
    <x v="13"/>
    <s v="78"/>
    <s v="הוצאות שונות"/>
    <s v="781"/>
    <e v="#N/A"/>
  </r>
  <r>
    <n v="782"/>
    <s v="84350"/>
    <n v="1"/>
    <s v="184350.782"/>
    <s v="טיפול בילד בקהילה - מרכז צפון   "/>
    <m/>
    <m/>
    <n v="217000"/>
    <n v="317000"/>
    <n v="320263"/>
    <m/>
    <x v="7"/>
    <s v="שירותים ממלכתיים"/>
    <x v="36"/>
    <s v="רווחה"/>
    <x v="128"/>
    <s v="שירותים לילד ולנוער"/>
    <s v="8435"/>
    <s v="פעולות קהילתיות"/>
    <m/>
    <s v="7"/>
    <x v="13"/>
    <s v="78"/>
    <s v="הוצאות שונות"/>
    <s v="782"/>
    <e v="#N/A"/>
  </r>
  <r>
    <n v="783"/>
    <s v="84350"/>
    <n v="1"/>
    <s v="184350.783"/>
    <s v="טיפול בילד בקהילה - מזרח        "/>
    <m/>
    <m/>
    <n v="265000"/>
    <n v="320000"/>
    <n v="362848"/>
    <m/>
    <x v="7"/>
    <s v="שירותים ממלכתיים"/>
    <x v="36"/>
    <s v="רווחה"/>
    <x v="128"/>
    <s v="שירותים לילד ולנוער"/>
    <s v="8435"/>
    <s v="פעולות קהילתיות"/>
    <m/>
    <s v="7"/>
    <x v="13"/>
    <s v="78"/>
    <s v="הוצאות שונות"/>
    <s v="783"/>
    <e v="#N/A"/>
  </r>
  <r>
    <n v="784"/>
    <s v="84350"/>
    <n v="1"/>
    <s v="184350.784"/>
    <s v="בדיקות פסיכ' לילדים ומסוגלות הור"/>
    <m/>
    <m/>
    <n v="45000"/>
    <n v="45000"/>
    <n v="38910"/>
    <m/>
    <x v="7"/>
    <s v="שירותים ממלכתיים"/>
    <x v="36"/>
    <s v="רווחה"/>
    <x v="128"/>
    <s v="שירותים לילד ולנוער"/>
    <s v="8435"/>
    <s v="פעולות קהילתיות"/>
    <m/>
    <s v="7"/>
    <x v="13"/>
    <s v="78"/>
    <s v="הוצאות שונות"/>
    <s v="784"/>
    <e v="#N/A"/>
  </r>
  <r>
    <n v="785"/>
    <s v="84350"/>
    <n v="1"/>
    <s v="184350.785"/>
    <s v="טיפול בפגיעות מיניות בילדים     "/>
    <m/>
    <m/>
    <n v="90000"/>
    <n v="90000"/>
    <n v="60025"/>
    <m/>
    <x v="7"/>
    <s v="שירותים ממלכתיים"/>
    <x v="36"/>
    <s v="רווחה"/>
    <x v="128"/>
    <s v="שירותים לילד ולנוער"/>
    <s v="8435"/>
    <s v="פעולות קהילתיות"/>
    <m/>
    <s v="7"/>
    <x v="13"/>
    <s v="78"/>
    <s v="הוצאות שונות"/>
    <s v="785"/>
    <e v="#N/A"/>
  </r>
  <r>
    <n v="851"/>
    <s v="84350"/>
    <n v="1"/>
    <s v="184350.851"/>
    <s v="תכנית ביתית לקהילה האתיופית     "/>
    <m/>
    <m/>
    <n v="280000"/>
    <n v="280000"/>
    <n v="198667"/>
    <m/>
    <x v="7"/>
    <s v="שירותים ממלכתיים"/>
    <x v="36"/>
    <s v="רווחה"/>
    <x v="128"/>
    <s v="שירותים לילד ולנוער"/>
    <s v="8435"/>
    <s v="פעולות קהילתיות"/>
    <m/>
    <s v="8"/>
    <x v="16"/>
    <s v="85"/>
    <s v="מלגות לתלמידים וסטודנטים"/>
    <s v="851"/>
    <e v="#N/A"/>
  </r>
  <r>
    <n v="852"/>
    <s v="84350"/>
    <n v="1"/>
    <s v="184350.852"/>
    <s v="תכנית להורים אתיופים            "/>
    <m/>
    <m/>
    <n v="12000"/>
    <n v="12000"/>
    <n v="0"/>
    <m/>
    <x v="7"/>
    <s v="שירותים ממלכתיים"/>
    <x v="36"/>
    <s v="רווחה"/>
    <x v="128"/>
    <s v="שירותים לילד ולנוער"/>
    <s v="8435"/>
    <s v="פעולות קהילתיות"/>
    <m/>
    <s v="8"/>
    <x v="16"/>
    <s v="85"/>
    <s v="מלגות לתלמידים וסטודנטים"/>
    <s v="852"/>
    <e v="#N/A"/>
  </r>
  <r>
    <n v="870"/>
    <s v="84350"/>
    <n v="1"/>
    <s v="184350.870"/>
    <s v="סעיף שאינו חוזר                 "/>
    <m/>
    <m/>
    <n v="0"/>
    <n v="80000"/>
    <n v="0"/>
    <m/>
    <x v="7"/>
    <s v="שירותים ממלכתיים"/>
    <x v="36"/>
    <s v="רווחה"/>
    <x v="128"/>
    <s v="שירותים לילד ולנוער"/>
    <s v="8435"/>
    <s v="פעולות קהילתיות"/>
    <m/>
    <s v="8"/>
    <x v="16"/>
    <s v="87"/>
    <s v="תמיכות ביחידות סמך ומוסדות הרשות"/>
    <s v="870"/>
    <e v="#N/A"/>
  </r>
  <r>
    <n v="411"/>
    <s v="84360"/>
    <n v="1"/>
    <s v="184360.411"/>
    <s v="שכר דירה                        "/>
    <m/>
    <m/>
    <n v="42000"/>
    <n v="84000"/>
    <n v="82999"/>
    <m/>
    <x v="7"/>
    <s v="שירותים ממלכתיים"/>
    <x v="36"/>
    <s v="רווחה"/>
    <x v="128"/>
    <s v="שירותים לילד ולנוער"/>
    <s v="8436"/>
    <e v="#N/A"/>
    <m/>
    <s v="4"/>
    <x v="15"/>
    <s v="41"/>
    <s v="שכר דירה ודמי חכירה"/>
    <s v="411"/>
    <e v="#N/A"/>
  </r>
  <r>
    <n v="781"/>
    <s v="84360"/>
    <n v="1"/>
    <s v="184360.781"/>
    <s v="מקלטים לנערות                   "/>
    <m/>
    <m/>
    <n v="460000"/>
    <n v="460000"/>
    <n v="270160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1"/>
    <e v="#N/A"/>
  </r>
  <r>
    <n v="783"/>
    <s v="84360"/>
    <n v="1"/>
    <s v="184360.783"/>
    <s v="טיפול בפגיעות מיניות            "/>
    <m/>
    <m/>
    <n v="160000"/>
    <n v="160000"/>
    <n v="123816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3"/>
    <e v="#N/A"/>
  </r>
  <r>
    <n v="784"/>
    <s v="84360"/>
    <n v="1"/>
    <s v="184360.784"/>
    <s v="טיפול בנערות במצוקה - דרום      "/>
    <m/>
    <m/>
    <n v="16000"/>
    <n v="16000"/>
    <n v="17832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4"/>
    <e v="#N/A"/>
  </r>
  <r>
    <n v="785"/>
    <s v="84360"/>
    <n v="1"/>
    <s v="184360.785"/>
    <s v="טיפול בנערות במצוקה - מרכז צפון "/>
    <m/>
    <m/>
    <n v="13000"/>
    <n v="13000"/>
    <n v="12441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5"/>
    <e v="#N/A"/>
  </r>
  <r>
    <n v="786"/>
    <s v="84360"/>
    <n v="1"/>
    <s v="184360.786"/>
    <s v="טיפול בנערות במצוקה - מזרח      "/>
    <m/>
    <m/>
    <n v="20000"/>
    <n v="20000"/>
    <n v="24191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6"/>
    <e v="#N/A"/>
  </r>
  <r>
    <n v="787"/>
    <s v="84360"/>
    <n v="1"/>
    <s v="184360.787"/>
    <s v="ריכוז ת. לאומית לילדים בסיכון   "/>
    <m/>
    <m/>
    <n v="67000"/>
    <n v="67000"/>
    <n v="53023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7"/>
    <e v="#N/A"/>
  </r>
  <r>
    <n v="788"/>
    <s v="84360"/>
    <n v="1"/>
    <s v="184360.788"/>
    <s v="בית חם נגבה                     "/>
    <m/>
    <m/>
    <n v="151000"/>
    <n v="151000"/>
    <n v="85232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8"/>
    <e v="#N/A"/>
  </r>
  <r>
    <n v="789"/>
    <s v="84360"/>
    <n v="1"/>
    <s v="184360.789"/>
    <s v="בית חם לנערות ביפו              "/>
    <m/>
    <m/>
    <n v="210000"/>
    <n v="210000"/>
    <n v="143639"/>
    <m/>
    <x v="7"/>
    <s v="שירותים ממלכתיים"/>
    <x v="36"/>
    <s v="רווחה"/>
    <x v="128"/>
    <s v="שירותים לילד ולנוער"/>
    <s v="8436"/>
    <e v="#N/A"/>
    <m/>
    <s v="7"/>
    <x v="13"/>
    <s v="78"/>
    <s v="הוצאות שונות"/>
    <s v="789"/>
    <e v="#N/A"/>
  </r>
  <r>
    <n v="851"/>
    <s v="84360"/>
    <n v="1"/>
    <s v="184360.851"/>
    <s v="תכנית לאומית לילדים ונוער בסיכון"/>
    <m/>
    <m/>
    <n v="1398000"/>
    <n v="1398000"/>
    <n v="1053114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1"/>
    <e v="#N/A"/>
  </r>
  <r>
    <n v="852"/>
    <s v="84360"/>
    <n v="1"/>
    <s v="184360.852"/>
    <s v="בית חם עג'מי ביפו               "/>
    <m/>
    <m/>
    <n v="210000"/>
    <n v="210000"/>
    <n v="197000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2"/>
    <e v="#N/A"/>
  </r>
  <r>
    <n v="853"/>
    <s v="84360"/>
    <n v="1"/>
    <s v="184360.853"/>
    <s v="תכנית עד י                      "/>
    <m/>
    <m/>
    <n v="315000"/>
    <n v="315000"/>
    <n v="315000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3"/>
    <e v="#N/A"/>
  </r>
  <r>
    <n v="854"/>
    <s v="84360"/>
    <n v="1"/>
    <s v="184360.854"/>
    <s v="תכנית מעטפת לנוער בסיכון        "/>
    <m/>
    <m/>
    <n v="464000"/>
    <n v="464000"/>
    <n v="300000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4"/>
    <e v="#N/A"/>
  </r>
  <r>
    <n v="855"/>
    <s v="84360"/>
    <n v="1"/>
    <s v="184360.855"/>
    <s v="תכנית טיפול לנוער וצעירים       "/>
    <m/>
    <m/>
    <n v="168000"/>
    <n v="168000"/>
    <n v="0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5"/>
    <e v="#N/A"/>
  </r>
  <r>
    <n v="856"/>
    <s v="84360"/>
    <n v="1"/>
    <s v="184360.856"/>
    <s v="תכנית יש מצב                    "/>
    <m/>
    <m/>
    <n v="445000"/>
    <n v="456000"/>
    <n v="423056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6"/>
    <e v="#N/A"/>
  </r>
  <r>
    <n v="857"/>
    <s v="84360"/>
    <n v="1"/>
    <s v="184360.857"/>
    <s v="תכנית לאומית לילדי מהגרי עבודה  "/>
    <m/>
    <m/>
    <n v="217000"/>
    <n v="217000"/>
    <n v="178280"/>
    <m/>
    <x v="7"/>
    <s v="שירותים ממלכתיים"/>
    <x v="36"/>
    <s v="רווחה"/>
    <x v="128"/>
    <s v="שירותים לילד ולנוער"/>
    <s v="8436"/>
    <e v="#N/A"/>
    <m/>
    <s v="8"/>
    <x v="16"/>
    <s v="85"/>
    <s v="מלגות לתלמידים וסטודנטים"/>
    <s v="857"/>
    <e v="#N/A"/>
  </r>
  <r>
    <n v="870"/>
    <s v="84360"/>
    <n v="1"/>
    <s v="184360.870"/>
    <s v="סעיף שאינו חוזר                 "/>
    <m/>
    <m/>
    <n v="0"/>
    <n v="225000"/>
    <n v="220000"/>
    <m/>
    <x v="7"/>
    <s v="שירותים ממלכתיים"/>
    <x v="36"/>
    <s v="רווחה"/>
    <x v="128"/>
    <s v="שירותים לילד ולנוער"/>
    <s v="8436"/>
    <e v="#N/A"/>
    <m/>
    <s v="8"/>
    <x v="16"/>
    <s v="87"/>
    <s v="תמיכות ביחידות סמך ומוסדות הרשות"/>
    <s v="870"/>
    <e v="#N/A"/>
  </r>
  <r>
    <n v="881"/>
    <s v="84360"/>
    <n v="1"/>
    <s v="184360.881"/>
    <s v="החצר הנשית                      "/>
    <m/>
    <m/>
    <n v="40000"/>
    <n v="40000"/>
    <n v="40000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1"/>
    <e v="#N/A"/>
  </r>
  <r>
    <n v="882"/>
    <s v="84360"/>
    <n v="1"/>
    <s v="184360.882"/>
    <s v="תכנית לנוער-מתחברים למשפחה      "/>
    <m/>
    <m/>
    <n v="50000"/>
    <n v="0"/>
    <n v="0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2"/>
    <e v="#N/A"/>
  </r>
  <r>
    <n v="883"/>
    <s v="84360"/>
    <n v="1"/>
    <s v="184360.883"/>
    <s v="בית חם לנערות קרית שלום         "/>
    <m/>
    <m/>
    <n v="211000"/>
    <n v="211000"/>
    <n v="203343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3"/>
    <e v="#N/A"/>
  </r>
  <r>
    <n v="884"/>
    <s v="84360"/>
    <n v="1"/>
    <s v="184360.884"/>
    <s v="תוכנית ידידים-סלע               "/>
    <m/>
    <m/>
    <n v="70000"/>
    <n v="70000"/>
    <n v="70000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4"/>
    <e v="#N/A"/>
  </r>
  <r>
    <n v="885"/>
    <s v="84360"/>
    <n v="1"/>
    <s v="184360.885"/>
    <s v="תכנית טיפול בנוער להט ב         "/>
    <m/>
    <m/>
    <n v="52000"/>
    <n v="52000"/>
    <n v="31051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5"/>
    <e v="#N/A"/>
  </r>
  <r>
    <n v="886"/>
    <s v="84360"/>
    <n v="1"/>
    <s v="184360.886"/>
    <s v="דירת מעבר לטרנסג'נדרים          "/>
    <m/>
    <m/>
    <n v="242000"/>
    <n v="242000"/>
    <n v="0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6"/>
    <e v="#N/A"/>
  </r>
  <r>
    <n v="887"/>
    <s v="84360"/>
    <n v="1"/>
    <s v="184360.887"/>
    <s v="טיפול בנוער במצבי הזנחה         "/>
    <m/>
    <m/>
    <n v="630000"/>
    <n v="0"/>
    <n v="0"/>
    <m/>
    <x v="7"/>
    <s v="שירותים ממלכתיים"/>
    <x v="36"/>
    <s v="רווחה"/>
    <x v="128"/>
    <s v="שירותים לילד ולנוער"/>
    <s v="8436"/>
    <e v="#N/A"/>
    <m/>
    <s v="8"/>
    <x v="16"/>
    <s v="88"/>
    <e v="#N/A"/>
    <s v="887"/>
    <e v="#N/A"/>
  </r>
  <r>
    <n v="110"/>
    <s v="84370"/>
    <n v="1"/>
    <s v="184370.110"/>
    <s v="משכורת כוללת                    "/>
    <m/>
    <m/>
    <n v="110000"/>
    <n v="108000"/>
    <n v="105101"/>
    <m/>
    <x v="7"/>
    <s v="שירותים ממלכתיים"/>
    <x v="36"/>
    <s v="רווחה"/>
    <x v="128"/>
    <s v="שירותים לילד ולנוער"/>
    <s v="8437"/>
    <e v="#N/A"/>
    <m/>
    <s v="1"/>
    <x v="9"/>
    <s v="11"/>
    <s v="השכר הקובע"/>
    <s v="110"/>
    <e v="#N/A"/>
  </r>
  <r>
    <n v="124"/>
    <s v="84370"/>
    <n v="1"/>
    <s v="184370.124"/>
    <s v="החזר הוצאות                     "/>
    <m/>
    <m/>
    <n v="12000"/>
    <n v="13000"/>
    <n v="12233"/>
    <m/>
    <x v="7"/>
    <s v="שירותים ממלכתיים"/>
    <x v="36"/>
    <s v="רווחה"/>
    <x v="128"/>
    <s v="שירותים לילד ולנוער"/>
    <s v="8437"/>
    <e v="#N/A"/>
    <m/>
    <s v="1"/>
    <x v="9"/>
    <s v="12"/>
    <s v="תוספות שאינן נכללות בשכר הקובע"/>
    <s v="124"/>
    <e v="#N/A"/>
  </r>
  <r>
    <n v="126"/>
    <s v="84370"/>
    <n v="1"/>
    <s v="184370.126"/>
    <s v="הבראה                           "/>
    <m/>
    <m/>
    <n v="5000"/>
    <n v="8000"/>
    <n v="5201"/>
    <m/>
    <x v="7"/>
    <s v="שירותים ממלכתיים"/>
    <x v="36"/>
    <s v="רווחה"/>
    <x v="128"/>
    <s v="שירותים לילד ולנוער"/>
    <s v="8437"/>
    <e v="#N/A"/>
    <m/>
    <s v="1"/>
    <x v="9"/>
    <s v="12"/>
    <s v="תוספות שאינן נכללות בשכר הקובע"/>
    <s v="126"/>
    <e v="#N/A"/>
  </r>
  <r>
    <n v="127"/>
    <s v="84370"/>
    <n v="1"/>
    <s v="184370.127"/>
    <s v="השתתפות באחזקת רכב-1            "/>
    <m/>
    <m/>
    <n v="6000"/>
    <n v="7000"/>
    <n v="9393"/>
    <m/>
    <x v="7"/>
    <s v="שירותים ממלכתיים"/>
    <x v="36"/>
    <s v="רווחה"/>
    <x v="128"/>
    <s v="שירותים לילד ולנוער"/>
    <s v="8437"/>
    <e v="#N/A"/>
    <m/>
    <s v="1"/>
    <x v="9"/>
    <s v="12"/>
    <s v="תוספות שאינן נכללות בשכר הקובע"/>
    <s v="127"/>
    <e v="#N/A"/>
  </r>
  <r>
    <n v="130"/>
    <s v="84370"/>
    <n v="1"/>
    <s v="184370.130"/>
    <s v="תשלומים מיוחדים                 "/>
    <m/>
    <m/>
    <n v="18000"/>
    <n v="21000"/>
    <n v="18536"/>
    <m/>
    <x v="7"/>
    <s v="שירותים ממלכתיים"/>
    <x v="36"/>
    <s v="רווחה"/>
    <x v="128"/>
    <s v="שירותים לילד ולנוער"/>
    <s v="8437"/>
    <e v="#N/A"/>
    <m/>
    <s v="1"/>
    <x v="9"/>
    <s v="13"/>
    <s v="שעות נוספות"/>
    <s v="130"/>
    <e v="#N/A"/>
  </r>
  <r>
    <n v="181"/>
    <s v="84370"/>
    <n v="1"/>
    <s v="184370.181"/>
    <s v="מיסים וביטוח לאומי              "/>
    <m/>
    <m/>
    <n v="20000"/>
    <n v="21000"/>
    <n v="17590"/>
    <m/>
    <x v="7"/>
    <s v="שירותים ממלכתיים"/>
    <x v="36"/>
    <s v="רווחה"/>
    <x v="128"/>
    <s v="שירותים לילד ולנוער"/>
    <s v="8437"/>
    <e v="#N/A"/>
    <m/>
    <s v="1"/>
    <x v="9"/>
    <s v="18"/>
    <s v="נלוות לשכר"/>
    <s v="181"/>
    <s v="הפרשות סוציאליות"/>
  </r>
  <r>
    <n v="182"/>
    <s v="84370"/>
    <n v="1"/>
    <s v="184370.182"/>
    <s v="קופות גמל והשתלמות              "/>
    <m/>
    <m/>
    <n v="30000"/>
    <n v="30000"/>
    <n v="27720"/>
    <m/>
    <x v="7"/>
    <s v="שירותים ממלכתיים"/>
    <x v="36"/>
    <s v="רווחה"/>
    <x v="128"/>
    <s v="שירותים לילד ולנוער"/>
    <s v="8437"/>
    <e v="#N/A"/>
    <m/>
    <s v="1"/>
    <x v="9"/>
    <s v="18"/>
    <s v="נלוות לשכר"/>
    <s v="182"/>
    <s v="מיסיום ועלויות"/>
  </r>
  <r>
    <n v="851"/>
    <s v="84370"/>
    <n v="1"/>
    <s v="184370.851"/>
    <s v="הפעלת מרכז הירש-חב' מוס' חינוך  "/>
    <m/>
    <m/>
    <n v="820000"/>
    <n v="765000"/>
    <n v="765000"/>
    <m/>
    <x v="7"/>
    <s v="שירותים ממלכתיים"/>
    <x v="36"/>
    <s v="רווחה"/>
    <x v="128"/>
    <s v="שירותים לילד ולנוער"/>
    <s v="8437"/>
    <e v="#N/A"/>
    <m/>
    <s v="8"/>
    <x v="16"/>
    <s v="85"/>
    <s v="מלגות לתלמידים וסטודנטים"/>
    <s v="851"/>
    <e v="#N/A"/>
  </r>
  <r>
    <n v="861"/>
    <s v="84370"/>
    <n v="1"/>
    <s v="184370.861"/>
    <s v="תכנית מוגנות קהילתית            "/>
    <m/>
    <m/>
    <n v="404000"/>
    <n v="0"/>
    <n v="0"/>
    <m/>
    <x v="7"/>
    <s v="שירותים ממלכתיים"/>
    <x v="36"/>
    <s v="רווחה"/>
    <x v="128"/>
    <s v="שירותים לילד ולנוער"/>
    <s v="8437"/>
    <e v="#N/A"/>
    <m/>
    <s v="8"/>
    <x v="16"/>
    <s v="86"/>
    <s v="הנחות"/>
    <s v="861"/>
    <e v="#N/A"/>
  </r>
  <r>
    <n v="881"/>
    <s v="84370"/>
    <n v="1"/>
    <s v="184370.881"/>
    <s v="מרכז הורים וילדים - יפו ג'      "/>
    <m/>
    <m/>
    <n v="152000"/>
    <n v="152000"/>
    <n v="166000"/>
    <m/>
    <x v="7"/>
    <s v="שירותים ממלכתיים"/>
    <x v="36"/>
    <s v="רווחה"/>
    <x v="128"/>
    <s v="שירותים לילד ולנוער"/>
    <s v="8437"/>
    <e v="#N/A"/>
    <m/>
    <s v="8"/>
    <x v="16"/>
    <s v="88"/>
    <e v="#N/A"/>
    <s v="881"/>
    <e v="#N/A"/>
  </r>
  <r>
    <n v="882"/>
    <s v="84370"/>
    <n v="1"/>
    <s v="184370.882"/>
    <s v="מרכז הורים וילדים-נווה עופר     "/>
    <m/>
    <m/>
    <n v="50000"/>
    <n v="0"/>
    <n v="0"/>
    <m/>
    <x v="7"/>
    <s v="שירותים ממלכתיים"/>
    <x v="36"/>
    <s v="רווחה"/>
    <x v="128"/>
    <s v="שירותים לילד ולנוער"/>
    <s v="8437"/>
    <e v="#N/A"/>
    <m/>
    <s v="8"/>
    <x v="16"/>
    <s v="88"/>
    <e v="#N/A"/>
    <s v="882"/>
    <e v="#N/A"/>
  </r>
  <r>
    <n v="110"/>
    <s v="84421"/>
    <n v="1"/>
    <s v="184421.110"/>
    <s v="משכורת כוללת                    "/>
    <m/>
    <m/>
    <n v="389000"/>
    <n v="480000"/>
    <n v="481675"/>
    <m/>
    <x v="7"/>
    <s v="שירותים ממלכתיים"/>
    <x v="36"/>
    <s v="רווחה"/>
    <x v="129"/>
    <s v="שירותים לזקן"/>
    <s v="8442"/>
    <e v="#N/A"/>
    <m/>
    <s v="1"/>
    <x v="9"/>
    <s v="11"/>
    <s v="השכר הקובע"/>
    <s v="110"/>
    <e v="#N/A"/>
  </r>
  <r>
    <n v="124"/>
    <s v="84421"/>
    <n v="1"/>
    <s v="184421.124"/>
    <s v="החזר הוצאות                     "/>
    <m/>
    <m/>
    <n v="22000"/>
    <n v="22000"/>
    <n v="21401"/>
    <m/>
    <x v="7"/>
    <s v="שירותים ממלכתיים"/>
    <x v="36"/>
    <s v="רווחה"/>
    <x v="129"/>
    <s v="שירותים לזקן"/>
    <s v="8442"/>
    <e v="#N/A"/>
    <m/>
    <s v="1"/>
    <x v="9"/>
    <s v="12"/>
    <s v="תוספות שאינן נכללות בשכר הקובע"/>
    <s v="124"/>
    <e v="#N/A"/>
  </r>
  <r>
    <n v="126"/>
    <s v="84421"/>
    <n v="1"/>
    <s v="184421.126"/>
    <s v="הבראה                           "/>
    <m/>
    <m/>
    <n v="17000"/>
    <n v="21000"/>
    <n v="20923"/>
    <m/>
    <x v="7"/>
    <s v="שירותים ממלכתיים"/>
    <x v="36"/>
    <s v="רווחה"/>
    <x v="129"/>
    <s v="שירותים לזקן"/>
    <s v="8442"/>
    <e v="#N/A"/>
    <m/>
    <s v="1"/>
    <x v="9"/>
    <s v="12"/>
    <s v="תוספות שאינן נכללות בשכר הקובע"/>
    <s v="126"/>
    <e v="#N/A"/>
  </r>
  <r>
    <n v="127"/>
    <s v="84421"/>
    <n v="1"/>
    <s v="184421.127"/>
    <s v="השתתפות באחזקת רכב - 4          "/>
    <m/>
    <m/>
    <n v="81000"/>
    <n v="87000"/>
    <n v="88265"/>
    <m/>
    <x v="7"/>
    <s v="שירותים ממלכתיים"/>
    <x v="36"/>
    <s v="רווחה"/>
    <x v="129"/>
    <s v="שירותים לזקן"/>
    <s v="8442"/>
    <e v="#N/A"/>
    <m/>
    <s v="1"/>
    <x v="9"/>
    <s v="12"/>
    <s v="תוספות שאינן נכללות בשכר הקובע"/>
    <s v="127"/>
    <e v="#N/A"/>
  </r>
  <r>
    <n v="130"/>
    <s v="84421"/>
    <n v="1"/>
    <s v="184421.130"/>
    <s v="תשלומים מיוחדים                 "/>
    <m/>
    <m/>
    <n v="108000"/>
    <n v="130000"/>
    <n v="125160"/>
    <m/>
    <x v="7"/>
    <s v="שירותים ממלכתיים"/>
    <x v="36"/>
    <s v="רווחה"/>
    <x v="129"/>
    <s v="שירותים לזקן"/>
    <s v="8442"/>
    <e v="#N/A"/>
    <m/>
    <s v="1"/>
    <x v="9"/>
    <s v="13"/>
    <s v="שעות נוספות"/>
    <s v="130"/>
    <e v="#N/A"/>
  </r>
  <r>
    <n v="181"/>
    <s v="84421"/>
    <n v="1"/>
    <s v="184421.181"/>
    <s v="מיסים וביטוח לאומי              "/>
    <m/>
    <m/>
    <n v="86000"/>
    <n v="102000"/>
    <n v="103238"/>
    <m/>
    <x v="7"/>
    <s v="שירותים ממלכתיים"/>
    <x v="36"/>
    <s v="רווחה"/>
    <x v="129"/>
    <s v="שירותים לזקן"/>
    <s v="8442"/>
    <e v="#N/A"/>
    <m/>
    <s v="1"/>
    <x v="9"/>
    <s v="18"/>
    <s v="נלוות לשכר"/>
    <s v="181"/>
    <s v="הפרשות סוציאליות"/>
  </r>
  <r>
    <n v="182"/>
    <s v="84421"/>
    <n v="1"/>
    <s v="184421.182"/>
    <s v="קופות גמל והשתלמות              "/>
    <m/>
    <m/>
    <n v="74000"/>
    <n v="73000"/>
    <n v="71322"/>
    <m/>
    <x v="7"/>
    <s v="שירותים ממלכתיים"/>
    <x v="36"/>
    <s v="רווחה"/>
    <x v="129"/>
    <s v="שירותים לזקן"/>
    <s v="8442"/>
    <e v="#N/A"/>
    <m/>
    <s v="1"/>
    <x v="9"/>
    <s v="18"/>
    <s v="נלוות לשכר"/>
    <s v="182"/>
    <s v="מיסיום ועלויות"/>
  </r>
  <r>
    <n v="310"/>
    <s v="84421"/>
    <n v="1"/>
    <s v="184421.310"/>
    <s v="שעות נוספות רשומות              "/>
    <m/>
    <m/>
    <n v="40000"/>
    <n v="39000"/>
    <n v="43574"/>
    <m/>
    <x v="7"/>
    <s v="שירותים ממלכתיים"/>
    <x v="36"/>
    <s v="רווחה"/>
    <x v="129"/>
    <s v="שירותים לזקן"/>
    <s v="8442"/>
    <e v="#N/A"/>
    <m/>
    <s v="3"/>
    <x v="14"/>
    <s v="31"/>
    <s v="פנסיה"/>
    <s v="310"/>
    <e v="#N/A"/>
  </r>
  <r>
    <n v="670"/>
    <s v="84421"/>
    <n v="1"/>
    <s v="184421.670"/>
    <s v="סעיף שאינו חוזר                 "/>
    <m/>
    <m/>
    <n v="0"/>
    <n v="10000"/>
    <n v="10102"/>
    <m/>
    <x v="7"/>
    <s v="שירותים ממלכתיים"/>
    <x v="36"/>
    <s v="רווחה"/>
    <x v="129"/>
    <s v="שירותים לזקן"/>
    <s v="8442"/>
    <e v="#N/A"/>
    <m/>
    <s v="6"/>
    <x v="12"/>
    <s v="67"/>
    <e v="#N/A"/>
    <s v="670"/>
    <e v="#N/A"/>
  </r>
  <r>
    <n v="691"/>
    <s v="84421"/>
    <n v="1"/>
    <s v="184421.691"/>
    <s v="מערכות מידע ומחשוב              "/>
    <m/>
    <m/>
    <n v="190000"/>
    <n v="240000"/>
    <n v="169286"/>
    <m/>
    <x v="7"/>
    <s v="שירותים ממלכתיים"/>
    <x v="36"/>
    <s v="רווחה"/>
    <x v="129"/>
    <s v="שירותים לזקן"/>
    <s v="8442"/>
    <e v="#N/A"/>
    <m/>
    <s v="6"/>
    <x v="12"/>
    <s v="69"/>
    <s v="שונות"/>
    <s v="691"/>
    <s v="תשלום ע&quot;ח קרן"/>
  </r>
  <r>
    <n v="781"/>
    <s v="84421"/>
    <n v="1"/>
    <s v="184421.781"/>
    <s v="טיפול בזקן - כלל עירוני         "/>
    <m/>
    <m/>
    <n v="138000"/>
    <n v="138000"/>
    <n v="103649"/>
    <m/>
    <x v="7"/>
    <s v="שירותים ממלכתיים"/>
    <x v="36"/>
    <s v="רווחה"/>
    <x v="129"/>
    <s v="שירותים לזקן"/>
    <s v="8442"/>
    <e v="#N/A"/>
    <m/>
    <s v="7"/>
    <x v="13"/>
    <s v="78"/>
    <s v="הוצאות שונות"/>
    <s v="781"/>
    <e v="#N/A"/>
  </r>
  <r>
    <n v="970"/>
    <s v="84421"/>
    <n v="1"/>
    <s v="184421.970"/>
    <s v="סעיף שאינו חוזר                 "/>
    <m/>
    <m/>
    <n v="0"/>
    <n v="0"/>
    <n v="13069"/>
    <m/>
    <x v="7"/>
    <s v="שירותים ממלכתיים"/>
    <x v="36"/>
    <s v="רווחה"/>
    <x v="129"/>
    <s v="שירותים לזקן"/>
    <s v="8442"/>
    <e v="#N/A"/>
    <m/>
    <s v="9"/>
    <x v="17"/>
    <s v="97"/>
    <s v="מקדמת על הוצאות עודפות"/>
    <s v="970"/>
    <e v="#N/A"/>
  </r>
  <r>
    <n v="399"/>
    <s v="84430"/>
    <n v="1"/>
    <s v="184430.399"/>
    <s v="השתת' מנהל ש ח בשכר עובדי גבעת ה"/>
    <m/>
    <m/>
    <n v="201000"/>
    <n v="197000"/>
    <n v="272218"/>
    <m/>
    <x v="7"/>
    <s v="שירותים ממלכתיים"/>
    <x v="36"/>
    <s v="רווחה"/>
    <x v="129"/>
    <s v="שירותים לזקן"/>
    <s v="8443"/>
    <s v="שירותים לזקן - מוסדי"/>
    <m/>
    <s v="3"/>
    <x v="14"/>
    <s v="39"/>
    <e v="#N/A"/>
    <s v="399"/>
    <e v="#N/A"/>
  </r>
  <r>
    <n v="751"/>
    <s v="84430"/>
    <n v="1"/>
    <s v="184430.751"/>
    <s v="הוצאות בגין מימוש נכסי קשישים   "/>
    <m/>
    <m/>
    <n v="100000"/>
    <n v="100000"/>
    <n v="17069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5"/>
    <s v="עבודות קבלניות"/>
    <s v="751"/>
    <e v="#N/A"/>
  </r>
  <r>
    <n v="781"/>
    <s v="84430"/>
    <n v="1"/>
    <s v="184430.781"/>
    <s v="השמת קשישים בבתי אבות+ג ש       "/>
    <m/>
    <m/>
    <n v="17953000"/>
    <n v="17172000"/>
    <n v="17167337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8"/>
    <s v="הוצאות שונות"/>
    <s v="781"/>
    <e v="#N/A"/>
  </r>
  <r>
    <n v="782"/>
    <s v="84430"/>
    <n v="1"/>
    <s v="184430.782"/>
    <s v="נופשונים לקשישים                "/>
    <m/>
    <m/>
    <n v="122000"/>
    <n v="122000"/>
    <n v="85093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8"/>
    <s v="הוצאות שונות"/>
    <s v="782"/>
    <e v="#N/A"/>
  </r>
  <r>
    <n v="783"/>
    <s v="84430"/>
    <n v="1"/>
    <s v="184430.783"/>
    <s v="השמת קשישי ריינפלץ בגבעת השלושה "/>
    <m/>
    <m/>
    <n v="64000"/>
    <n v="64000"/>
    <n v="23895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8"/>
    <s v="הוצאות שונות"/>
    <s v="783"/>
    <e v="#N/A"/>
  </r>
  <r>
    <n v="788"/>
    <s v="84430"/>
    <n v="1"/>
    <s v="184430.788"/>
    <s v="סידורי חירום לקשישים            "/>
    <m/>
    <m/>
    <n v="20000"/>
    <n v="20000"/>
    <n v="5382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8"/>
    <s v="הוצאות שונות"/>
    <s v="788"/>
    <e v="#N/A"/>
  </r>
  <r>
    <n v="789"/>
    <s v="84430"/>
    <n v="1"/>
    <s v="184430.789"/>
    <s v="השמת קשישים במימון עצמי מלא     "/>
    <m/>
    <m/>
    <n v="672000"/>
    <n v="655000"/>
    <n v="299520"/>
    <m/>
    <x v="7"/>
    <s v="שירותים ממלכתיים"/>
    <x v="36"/>
    <s v="רווחה"/>
    <x v="129"/>
    <s v="שירותים לזקן"/>
    <s v="8443"/>
    <s v="שירותים לזקן - מוסדי"/>
    <m/>
    <s v="7"/>
    <x v="13"/>
    <s v="78"/>
    <s v="הוצאות שונות"/>
    <s v="789"/>
    <e v="#N/A"/>
  </r>
  <r>
    <n v="781"/>
    <s v="84441"/>
    <n v="1"/>
    <s v="184441.781"/>
    <s v="אגף דרום                        "/>
    <m/>
    <m/>
    <n v="990000"/>
    <n v="990000"/>
    <n v="958921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1"/>
    <e v="#N/A"/>
  </r>
  <r>
    <n v="782"/>
    <s v="84441"/>
    <n v="1"/>
    <s v="184441.782"/>
    <s v="אגף מרכז צפון                   "/>
    <m/>
    <m/>
    <n v="1396000"/>
    <n v="1396000"/>
    <n v="1335562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2"/>
    <e v="#N/A"/>
  </r>
  <r>
    <n v="783"/>
    <s v="84441"/>
    <n v="1"/>
    <s v="184441.783"/>
    <s v="אגף מזרח                        "/>
    <m/>
    <m/>
    <n v="910000"/>
    <n v="910000"/>
    <n v="83779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3"/>
    <e v="#N/A"/>
  </r>
  <r>
    <n v="784"/>
    <s v="84441"/>
    <n v="1"/>
    <s v="184441.784"/>
    <s v="פנינת המזרח                     "/>
    <m/>
    <m/>
    <n v="15000"/>
    <n v="15000"/>
    <n v="14665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4"/>
    <e v="#N/A"/>
  </r>
  <r>
    <n v="751"/>
    <s v="84442"/>
    <n v="1"/>
    <s v="184442.751"/>
    <s v="אספקת ארוחות קפואות ומצוננות    "/>
    <m/>
    <m/>
    <n v="687000"/>
    <n v="787000"/>
    <n v="423452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5"/>
    <s v="עבודות קבלניות"/>
    <s v="751"/>
    <e v="#N/A"/>
  </r>
  <r>
    <n v="781"/>
    <s v="84442"/>
    <n v="1"/>
    <s v="184442.781"/>
    <s v="סבסוד תכנית קהילות תומכות       "/>
    <m/>
    <m/>
    <n v="764000"/>
    <n v="700000"/>
    <n v="775317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1"/>
    <e v="#N/A"/>
  </r>
  <r>
    <n v="782"/>
    <s v="84442"/>
    <n v="1"/>
    <s v="184442.782"/>
    <s v="הפעלת שכונות תומכות             "/>
    <m/>
    <m/>
    <n v="130000"/>
    <n v="130000"/>
    <n v="13000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2"/>
    <e v="#N/A"/>
  </r>
  <r>
    <n v="784"/>
    <s v="84442"/>
    <n v="1"/>
    <s v="184442.784"/>
    <s v="חסידי אומות העולם               "/>
    <m/>
    <m/>
    <n v="85000"/>
    <n v="85000"/>
    <n v="5210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4"/>
    <e v="#N/A"/>
  </r>
  <r>
    <n v="785"/>
    <s v="84442"/>
    <n v="1"/>
    <s v="184442.785"/>
    <s v="סדר פסח                         "/>
    <m/>
    <m/>
    <n v="30000"/>
    <n v="30000"/>
    <n v="5025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5"/>
    <e v="#N/A"/>
  </r>
  <r>
    <n v="786"/>
    <s v="84442"/>
    <n v="1"/>
    <s v="184442.786"/>
    <s v="טיפולי שיניים לקשישים           "/>
    <m/>
    <m/>
    <n v="50000"/>
    <n v="50000"/>
    <n v="5000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6"/>
    <e v="#N/A"/>
  </r>
  <r>
    <n v="787"/>
    <s v="84442"/>
    <n v="1"/>
    <s v="184442.787"/>
    <s v="תוכנית חי ל-חיים לשנים          "/>
    <m/>
    <m/>
    <n v="30000"/>
    <n v="30000"/>
    <n v="3000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7"/>
    <e v="#N/A"/>
  </r>
  <r>
    <n v="788"/>
    <s v="84442"/>
    <n v="1"/>
    <s v="184442.788"/>
    <s v="פרויקט פינות ובתים חמים         "/>
    <m/>
    <m/>
    <n v="99000"/>
    <n v="99000"/>
    <n v="90170"/>
    <m/>
    <x v="7"/>
    <s v="שירותים ממלכתיים"/>
    <x v="36"/>
    <s v="רווחה"/>
    <x v="129"/>
    <s v="שירותים לזקן"/>
    <s v="8444"/>
    <s v="שירותים לזקן - קהילתי"/>
    <m/>
    <s v="7"/>
    <x v="13"/>
    <s v="78"/>
    <s v="הוצאות שונות"/>
    <s v="788"/>
    <e v="#N/A"/>
  </r>
  <r>
    <n v="851"/>
    <s v="84442"/>
    <n v="1"/>
    <s v="184442.851"/>
    <s v="הפעלת מט זיות במסגרות דיור מוגן "/>
    <m/>
    <m/>
    <n v="233000"/>
    <n v="233000"/>
    <n v="23300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5"/>
    <s v="מלגות לתלמידים וסטודנטים"/>
    <s v="851"/>
    <e v="#N/A"/>
  </r>
  <r>
    <n v="852"/>
    <s v="84442"/>
    <n v="1"/>
    <s v="184442.852"/>
    <s v="תוכנית העשרה לקשישים            "/>
    <m/>
    <m/>
    <n v="50000"/>
    <n v="50000"/>
    <n v="13335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5"/>
    <s v="מלגות לתלמידים וסטודנטים"/>
    <s v="852"/>
    <e v="#N/A"/>
  </r>
  <r>
    <n v="853"/>
    <s v="84442"/>
    <n v="1"/>
    <s v="184442.853"/>
    <s v="פרוייקט ניצולי שואה-חב' מוס'    "/>
    <m/>
    <m/>
    <n v="320000"/>
    <n v="320000"/>
    <n v="267807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5"/>
    <s v="מלגות לתלמידים וסטודנטים"/>
    <s v="853"/>
    <e v="#N/A"/>
  </r>
  <r>
    <n v="854"/>
    <s v="84442"/>
    <n v="1"/>
    <s v="184442.854"/>
    <s v="תכנית הפגת הבדידות בקרב קשישים  "/>
    <m/>
    <m/>
    <n v="300000"/>
    <n v="0"/>
    <n v="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5"/>
    <s v="מלגות לתלמידים וסטודנטים"/>
    <s v="854"/>
    <e v="#N/A"/>
  </r>
  <r>
    <n v="870"/>
    <s v="84442"/>
    <n v="1"/>
    <s v="184442.870"/>
    <s v="סעיף שאינו חוזר                 "/>
    <m/>
    <m/>
    <n v="0"/>
    <n v="50000"/>
    <n v="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7"/>
    <s v="תמיכות ביחידות סמך ומוסדות הרשות"/>
    <s v="870"/>
    <e v="#N/A"/>
  </r>
  <r>
    <n v="881"/>
    <s v="84442"/>
    <n v="1"/>
    <s v="184442.881"/>
    <s v="פרויקט סל ב-ניצולים מרותקי בית  "/>
    <m/>
    <m/>
    <n v="47000"/>
    <n v="34000"/>
    <n v="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8"/>
    <e v="#N/A"/>
    <s v="881"/>
    <e v="#N/A"/>
  </r>
  <r>
    <n v="882"/>
    <s v="84442"/>
    <n v="1"/>
    <s v="184442.882"/>
    <s v="השתת' עירונית למרכז מידע        "/>
    <m/>
    <m/>
    <n v="40000"/>
    <n v="40000"/>
    <n v="4000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8"/>
    <e v="#N/A"/>
    <s v="882"/>
    <e v="#N/A"/>
  </r>
  <r>
    <n v="884"/>
    <s v="84442"/>
    <n v="1"/>
    <s v="184442.884"/>
    <s v="תכנית ליטוף לחולי דימנצייה      "/>
    <m/>
    <m/>
    <n v="20000"/>
    <n v="20000"/>
    <n v="0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8"/>
    <e v="#N/A"/>
    <s v="884"/>
    <e v="#N/A"/>
  </r>
  <r>
    <n v="881"/>
    <s v="84443"/>
    <n v="1"/>
    <s v="184443.881"/>
    <s v="נדחי חב ס קשת רעות ומט ב        "/>
    <m/>
    <m/>
    <n v="1434000"/>
    <n v="1560000"/>
    <n v="1618052"/>
    <m/>
    <x v="7"/>
    <s v="שירותים ממלכתיים"/>
    <x v="36"/>
    <s v="רווחה"/>
    <x v="129"/>
    <s v="שירותים לזקן"/>
    <s v="8444"/>
    <s v="שירותים לזקן - קהילתי"/>
    <m/>
    <s v="8"/>
    <x v="16"/>
    <s v="88"/>
    <e v="#N/A"/>
    <s v="881"/>
    <e v="#N/A"/>
  </r>
  <r>
    <n v="110"/>
    <s v="84451"/>
    <n v="1"/>
    <s v="184451.110"/>
    <s v="משכורת כוללת )עובדים להעברה-0.5("/>
    <m/>
    <m/>
    <n v="639000"/>
    <n v="549000"/>
    <n v="549540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1"/>
    <s v="השכר הקובע"/>
    <s v="110"/>
    <e v="#N/A"/>
  </r>
  <r>
    <n v="124"/>
    <s v="84451"/>
    <n v="1"/>
    <s v="184451.124"/>
    <s v="החזר הוצאות                     "/>
    <m/>
    <m/>
    <n v="40000"/>
    <n v="41000"/>
    <n v="38871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4"/>
    <e v="#N/A"/>
  </r>
  <r>
    <n v="126"/>
    <s v="84451"/>
    <n v="1"/>
    <s v="184451.126"/>
    <s v="הבראה                           "/>
    <m/>
    <m/>
    <n v="41000"/>
    <n v="41000"/>
    <n v="38537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6"/>
    <e v="#N/A"/>
  </r>
  <r>
    <n v="127"/>
    <s v="84451"/>
    <n v="1"/>
    <s v="184451.127"/>
    <s v="השתתפות באחזקת רכב - 6          "/>
    <m/>
    <m/>
    <n v="103000"/>
    <n v="110000"/>
    <n v="109861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7"/>
    <e v="#N/A"/>
  </r>
  <r>
    <n v="130"/>
    <s v="84451"/>
    <n v="1"/>
    <s v="184451.130"/>
    <s v="תשלומים מיוחדים                 "/>
    <m/>
    <m/>
    <n v="149000"/>
    <n v="141000"/>
    <n v="142627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3"/>
    <s v="שעות נוספות"/>
    <s v="130"/>
    <e v="#N/A"/>
  </r>
  <r>
    <n v="181"/>
    <s v="84451"/>
    <n v="1"/>
    <s v="184451.181"/>
    <s v="מיסים וביטוח לאומי              "/>
    <m/>
    <m/>
    <n v="128000"/>
    <n v="116000"/>
    <n v="109755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8"/>
    <s v="נלוות לשכר"/>
    <s v="181"/>
    <s v="הפרשות סוציאליות"/>
  </r>
  <r>
    <n v="182"/>
    <s v="84451"/>
    <n v="1"/>
    <s v="184451.182"/>
    <s v="קופות גמל והשתלמות              "/>
    <m/>
    <m/>
    <n v="102000"/>
    <n v="91000"/>
    <n v="86940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8"/>
    <s v="נלוות לשכר"/>
    <s v="182"/>
    <s v="מיסיום ועלויות"/>
  </r>
  <r>
    <n v="310"/>
    <s v="84451"/>
    <n v="1"/>
    <s v="184451.310"/>
    <s v="שעות נוספות רשומות              "/>
    <m/>
    <m/>
    <n v="6000"/>
    <n v="6000"/>
    <n v="2854"/>
    <m/>
    <x v="7"/>
    <s v="שירותים ממלכתיים"/>
    <x v="36"/>
    <s v="רווחה"/>
    <x v="129"/>
    <s v="שירותים לזקן"/>
    <s v="8445"/>
    <s v="תעסוקה ומרכזי יום לקשיש"/>
    <m/>
    <s v="3"/>
    <x v="14"/>
    <s v="31"/>
    <s v="פנסיה"/>
    <s v="310"/>
    <e v="#N/A"/>
  </r>
  <r>
    <n v="411"/>
    <s v="84451"/>
    <n v="1"/>
    <s v="184451.411"/>
    <s v="שכר דירה                        "/>
    <m/>
    <m/>
    <n v="140000"/>
    <n v="144000"/>
    <n v="125762"/>
    <m/>
    <x v="7"/>
    <s v="שירותים ממלכתיים"/>
    <x v="36"/>
    <s v="רווחה"/>
    <x v="129"/>
    <s v="שירותים לזקן"/>
    <s v="8445"/>
    <s v="תעסוקה ומרכזי יום לקשיש"/>
    <m/>
    <s v="4"/>
    <x v="15"/>
    <s v="41"/>
    <s v="שכר דירה ודמי חכירה"/>
    <s v="411"/>
    <e v="#N/A"/>
  </r>
  <r>
    <n v="851"/>
    <s v="84451"/>
    <n v="1"/>
    <s v="184451.851"/>
    <s v="מרכז רב שרותים נוה שרת          "/>
    <m/>
    <m/>
    <n v="388000"/>
    <n v="358000"/>
    <n v="358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1"/>
    <e v="#N/A"/>
  </r>
  <r>
    <n v="852"/>
    <s v="84451"/>
    <n v="1"/>
    <s v="184451.852"/>
    <s v="מועדון טולוז                    "/>
    <m/>
    <m/>
    <n v="109000"/>
    <n v="89000"/>
    <n v="89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2"/>
    <e v="#N/A"/>
  </r>
  <r>
    <n v="853"/>
    <s v="84451"/>
    <n v="1"/>
    <s v="184451.853"/>
    <s v="מועדון פלורנטין                 "/>
    <m/>
    <m/>
    <n v="143000"/>
    <n v="103000"/>
    <n v="103168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3"/>
    <e v="#N/A"/>
  </r>
  <r>
    <n v="857"/>
    <s v="84451"/>
    <n v="1"/>
    <s v="184451.857"/>
    <s v="מרכז רב שרותים צוקר )רש י(      "/>
    <m/>
    <m/>
    <n v="352000"/>
    <n v="352000"/>
    <n v="347195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7"/>
    <e v="#N/A"/>
  </r>
  <r>
    <n v="858"/>
    <s v="84451"/>
    <n v="1"/>
    <s v="184451.858"/>
    <s v="מרכז רב שרותים קוסאר            "/>
    <m/>
    <m/>
    <n v="224000"/>
    <n v="224000"/>
    <n v="224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8"/>
    <e v="#N/A"/>
  </r>
  <r>
    <n v="859"/>
    <s v="84451"/>
    <n v="1"/>
    <s v="184451.859"/>
    <s v="מועדון בית עמיעז                "/>
    <m/>
    <m/>
    <n v="172000"/>
    <n v="112000"/>
    <n v="112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9"/>
    <e v="#N/A"/>
  </r>
  <r>
    <n v="110"/>
    <s v="84452"/>
    <n v="1"/>
    <s v="184452.110"/>
    <s v="משכורת כוללת                    "/>
    <m/>
    <m/>
    <n v="153000"/>
    <n v="148000"/>
    <n v="148596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1"/>
    <s v="השכר הקובע"/>
    <s v="110"/>
    <e v="#N/A"/>
  </r>
  <r>
    <n v="124"/>
    <s v="84452"/>
    <n v="1"/>
    <s v="184452.124"/>
    <s v="החזר הוצאות                     "/>
    <m/>
    <m/>
    <n v="12000"/>
    <n v="12000"/>
    <n v="13888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4"/>
    <e v="#N/A"/>
  </r>
  <r>
    <n v="126"/>
    <s v="84452"/>
    <n v="1"/>
    <s v="184452.126"/>
    <s v="הבראה                           "/>
    <m/>
    <m/>
    <n v="11000"/>
    <n v="12000"/>
    <n v="9394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6"/>
    <e v="#N/A"/>
  </r>
  <r>
    <n v="127"/>
    <s v="84452"/>
    <n v="1"/>
    <s v="184452.127"/>
    <s v="השתתפות באחזקת רכב-2            "/>
    <m/>
    <m/>
    <n v="33000"/>
    <n v="46000"/>
    <n v="32479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2"/>
    <s v="תוספות שאינן נכללות בשכר הקובע"/>
    <s v="127"/>
    <e v="#N/A"/>
  </r>
  <r>
    <n v="130"/>
    <s v="84452"/>
    <n v="1"/>
    <s v="184452.130"/>
    <s v="תשלומים מיוחדים                 "/>
    <m/>
    <m/>
    <n v="4000"/>
    <n v="6000"/>
    <n v="5527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3"/>
    <s v="שעות נוספות"/>
    <s v="130"/>
    <e v="#N/A"/>
  </r>
  <r>
    <n v="181"/>
    <s v="84452"/>
    <n v="1"/>
    <s v="184452.181"/>
    <s v="מיסים וביטוח לאומי              "/>
    <m/>
    <m/>
    <n v="28000"/>
    <n v="29000"/>
    <n v="24699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8"/>
    <s v="נלוות לשכר"/>
    <s v="181"/>
    <s v="הפרשות סוציאליות"/>
  </r>
  <r>
    <n v="182"/>
    <s v="84452"/>
    <n v="1"/>
    <s v="184452.182"/>
    <s v="קופות גמל והשתלמות              "/>
    <m/>
    <m/>
    <n v="33000"/>
    <n v="31000"/>
    <n v="29196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8"/>
    <s v="נלוות לשכר"/>
    <s v="182"/>
    <s v="מיסיום ועלויות"/>
  </r>
  <r>
    <n v="851"/>
    <s v="84452"/>
    <n v="1"/>
    <s v="184452.851"/>
    <s v="מרכז רב שרותים נוה תמר          "/>
    <m/>
    <m/>
    <n v="448000"/>
    <n v="398000"/>
    <n v="391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1"/>
    <e v="#N/A"/>
  </r>
  <r>
    <n v="852"/>
    <s v="84452"/>
    <n v="1"/>
    <s v="184452.852"/>
    <s v="מרכז רב שרותים התקוה            "/>
    <m/>
    <m/>
    <n v="613000"/>
    <n v="563000"/>
    <n v="563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2"/>
    <e v="#N/A"/>
  </r>
  <r>
    <n v="853"/>
    <s v="84452"/>
    <n v="1"/>
    <s v="184452.853"/>
    <s v="מרכז פורטר                      "/>
    <m/>
    <m/>
    <n v="413000"/>
    <n v="313000"/>
    <n v="313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3"/>
    <e v="#N/A"/>
  </r>
  <r>
    <n v="854"/>
    <s v="84452"/>
    <n v="1"/>
    <s v="184452.854"/>
    <s v="מועדון קשישים מתנס נוה גולן     "/>
    <m/>
    <m/>
    <n v="199000"/>
    <n v="169000"/>
    <n v="169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4"/>
    <e v="#N/A"/>
  </r>
  <r>
    <n v="856"/>
    <s v="84452"/>
    <n v="1"/>
    <s v="184452.856"/>
    <s v="פעילות לקשישים במרש ל           "/>
    <m/>
    <m/>
    <n v="15000"/>
    <n v="95000"/>
    <n v="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6"/>
    <e v="#N/A"/>
  </r>
  <r>
    <n v="859"/>
    <s v="84452"/>
    <n v="1"/>
    <s v="184452.859"/>
    <s v="מועדון מועשר מופת התקווה ונוה שר"/>
    <m/>
    <m/>
    <n v="1050000"/>
    <n v="0"/>
    <n v="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5"/>
    <s v="מלגות לתלמידים וסטודנטים"/>
    <s v="859"/>
    <e v="#N/A"/>
  </r>
  <r>
    <n v="870"/>
    <s v="84452"/>
    <n v="1"/>
    <s v="184452.870"/>
    <s v="סעיף שאינו חוזר                 "/>
    <m/>
    <m/>
    <n v="0"/>
    <n v="2065000"/>
    <n v="1547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7"/>
    <s v="תמיכות ביחידות סמך ומוסדות הרשות"/>
    <s v="870"/>
    <e v="#N/A"/>
  </r>
  <r>
    <n v="999"/>
    <s v="84452"/>
    <n v="1"/>
    <s v="184452.999"/>
    <s v="השתת' פע' לקשיש במתנ ס צבי שפירא"/>
    <m/>
    <m/>
    <n v="14000"/>
    <n v="14000"/>
    <n v="0"/>
    <m/>
    <x v="7"/>
    <s v="שירותים ממלכתיים"/>
    <x v="36"/>
    <s v="רווחה"/>
    <x v="129"/>
    <s v="שירותים לזקן"/>
    <s v="8445"/>
    <s v="תעסוקה ומרכזי יום לקשיש"/>
    <m/>
    <s v="9"/>
    <x v="17"/>
    <s v="99"/>
    <e v="#N/A"/>
    <s v="999"/>
    <e v="#N/A"/>
  </r>
  <r>
    <n v="999"/>
    <s v="84452"/>
    <n v="1"/>
    <s v="184452.999"/>
    <s v="השתת' פע' לקשיש במתנ ס בבלי     "/>
    <m/>
    <m/>
    <n v="10000"/>
    <n v="10000"/>
    <n v="10000"/>
    <m/>
    <x v="7"/>
    <s v="שירותים ממלכתיים"/>
    <x v="36"/>
    <s v="רווחה"/>
    <x v="129"/>
    <s v="שירותים לזקן"/>
    <s v="8445"/>
    <s v="תעסוקה ומרכזי יום לקשיש"/>
    <m/>
    <s v="9"/>
    <x v="17"/>
    <s v="99"/>
    <e v="#N/A"/>
    <s v="999"/>
    <e v="#N/A"/>
  </r>
  <r>
    <n v="170"/>
    <s v="84454"/>
    <n v="1"/>
    <s v="184454.170"/>
    <s v="סעיף שאינו חוזר                 "/>
    <m/>
    <m/>
    <n v="0"/>
    <n v="0"/>
    <n v="40232"/>
    <m/>
    <x v="7"/>
    <s v="שירותים ממלכתיים"/>
    <x v="36"/>
    <s v="רווחה"/>
    <x v="129"/>
    <s v="שירותים לזקן"/>
    <s v="8445"/>
    <s v="תעסוקה ומרכזי יום לקשיש"/>
    <m/>
    <s v="1"/>
    <x v="9"/>
    <s v="17"/>
    <e v="#N/A"/>
    <s v="170"/>
    <e v="#N/A"/>
  </r>
  <r>
    <n v="781"/>
    <s v="84454"/>
    <n v="1"/>
    <s v="184454.781"/>
    <s v="מרכז רב שרותים גונדה )יגור(     "/>
    <m/>
    <m/>
    <n v="392000"/>
    <n v="392000"/>
    <n v="392000"/>
    <m/>
    <x v="7"/>
    <s v="שירותים ממלכתיים"/>
    <x v="36"/>
    <s v="רווחה"/>
    <x v="129"/>
    <s v="שירותים לזקן"/>
    <s v="8445"/>
    <s v="תעסוקה ומרכזי יום לקשיש"/>
    <m/>
    <s v="7"/>
    <x v="13"/>
    <s v="78"/>
    <s v="הוצאות שונות"/>
    <s v="781"/>
    <e v="#N/A"/>
  </r>
  <r>
    <n v="788"/>
    <s v="84454"/>
    <n v="1"/>
    <s v="184454.788"/>
    <s v="מרכז יום משולב- אביבים          "/>
    <m/>
    <m/>
    <n v="292000"/>
    <n v="292000"/>
    <n v="292000"/>
    <m/>
    <x v="7"/>
    <s v="שירותים ממלכתיים"/>
    <x v="36"/>
    <s v="רווחה"/>
    <x v="129"/>
    <s v="שירותים לזקן"/>
    <s v="8445"/>
    <s v="תעסוקה ומרכזי יום לקשיש"/>
    <m/>
    <s v="7"/>
    <x v="13"/>
    <s v="78"/>
    <s v="הוצאות שונות"/>
    <s v="788"/>
    <e v="#N/A"/>
  </r>
  <r>
    <n v="881"/>
    <s v="84454"/>
    <n v="1"/>
    <s v="184454.881"/>
    <s v="מועדון לקהילת קשישים            "/>
    <m/>
    <m/>
    <n v="60000"/>
    <n v="40000"/>
    <n v="35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8"/>
    <e v="#N/A"/>
    <s v="881"/>
    <e v="#N/A"/>
  </r>
  <r>
    <n v="781"/>
    <s v="84456"/>
    <n v="1"/>
    <s v="184456.781"/>
    <s v="מרכז רב שירותים -ע ש לוטי רייך  "/>
    <m/>
    <m/>
    <n v="660000"/>
    <n v="660000"/>
    <n v="660000"/>
    <m/>
    <x v="7"/>
    <s v="שירותים ממלכתיים"/>
    <x v="36"/>
    <s v="רווחה"/>
    <x v="129"/>
    <s v="שירותים לזקן"/>
    <s v="8445"/>
    <s v="תעסוקה ומרכזי יום לקשיש"/>
    <m/>
    <s v="7"/>
    <x v="13"/>
    <s v="78"/>
    <s v="הוצאות שונות"/>
    <s v="781"/>
    <e v="#N/A"/>
  </r>
  <r>
    <n v="783"/>
    <s v="84456"/>
    <n v="1"/>
    <s v="184456.783"/>
    <s v="מועדון הכרם                     "/>
    <m/>
    <m/>
    <n v="152000"/>
    <n v="152000"/>
    <n v="152000"/>
    <m/>
    <x v="7"/>
    <s v="שירותים ממלכתיים"/>
    <x v="36"/>
    <s v="רווחה"/>
    <x v="129"/>
    <s v="שירותים לזקן"/>
    <s v="8445"/>
    <s v="תעסוקה ומרכזי יום לקשיש"/>
    <m/>
    <s v="7"/>
    <x v="13"/>
    <s v="78"/>
    <s v="הוצאות שונות"/>
    <s v="783"/>
    <e v="#N/A"/>
  </r>
  <r>
    <n v="785"/>
    <s v="84456"/>
    <n v="1"/>
    <s v="184456.785"/>
    <s v="מועדון מיטשל)מנדלשטאם(-חב' רעות "/>
    <m/>
    <m/>
    <n v="967000"/>
    <n v="727000"/>
    <n v="727000"/>
    <m/>
    <x v="7"/>
    <s v="שירותים ממלכתיים"/>
    <x v="36"/>
    <s v="רווחה"/>
    <x v="129"/>
    <s v="שירותים לזקן"/>
    <s v="8445"/>
    <s v="תעסוקה ומרכזי יום לקשיש"/>
    <m/>
    <s v="7"/>
    <x v="13"/>
    <s v="78"/>
    <s v="הוצאות שונות"/>
    <s v="785"/>
    <e v="#N/A"/>
  </r>
  <r>
    <n v="881"/>
    <s v="84456"/>
    <n v="1"/>
    <s v="184456.881"/>
    <s v="הפעלת מרכז מוצא-עמותת מטב       "/>
    <m/>
    <m/>
    <n v="256000"/>
    <n v="306000"/>
    <n v="152522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8"/>
    <e v="#N/A"/>
    <s v="881"/>
    <e v="#N/A"/>
  </r>
  <r>
    <n v="882"/>
    <s v="84456"/>
    <n v="1"/>
    <s v="184456.882"/>
    <s v="מועדונים מועשרים-אחא            "/>
    <m/>
    <m/>
    <n v="236000"/>
    <n v="236000"/>
    <n v="52815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8"/>
    <e v="#N/A"/>
    <s v="882"/>
    <e v="#N/A"/>
  </r>
  <r>
    <n v="883"/>
    <s v="84456"/>
    <n v="1"/>
    <s v="184456.883"/>
    <s v="הפעלת מרכז היימס - עמותת מטב    "/>
    <m/>
    <m/>
    <n v="176000"/>
    <n v="206000"/>
    <n v="237000"/>
    <m/>
    <x v="7"/>
    <s v="שירותים ממלכתיים"/>
    <x v="36"/>
    <s v="רווחה"/>
    <x v="129"/>
    <s v="שירותים לזקן"/>
    <s v="8445"/>
    <s v="תעסוקה ומרכזי יום לקשיש"/>
    <m/>
    <s v="8"/>
    <x v="16"/>
    <s v="88"/>
    <e v="#N/A"/>
    <s v="883"/>
    <e v="#N/A"/>
  </r>
  <r>
    <n v="110"/>
    <s v="84510"/>
    <n v="1"/>
    <s v="184510.110"/>
    <s v="משכורת כוללת                    "/>
    <m/>
    <m/>
    <n v="1613000"/>
    <n v="1531000"/>
    <n v="1433673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1"/>
    <s v="השכר הקובע"/>
    <s v="110"/>
    <e v="#N/A"/>
  </r>
  <r>
    <n v="124"/>
    <s v="84510"/>
    <n v="1"/>
    <s v="184510.124"/>
    <s v="החזר הוצאות                     "/>
    <m/>
    <m/>
    <n v="106000"/>
    <n v="107000"/>
    <n v="105364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2"/>
    <s v="תוספות שאינן נכללות בשכר הקובע"/>
    <s v="124"/>
    <e v="#N/A"/>
  </r>
  <r>
    <n v="126"/>
    <s v="84510"/>
    <n v="1"/>
    <s v="184510.126"/>
    <s v="הבראה                           "/>
    <m/>
    <m/>
    <n v="74000"/>
    <n v="81000"/>
    <n v="76506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2"/>
    <s v="תוספות שאינן נכללות בשכר הקובע"/>
    <s v="126"/>
    <e v="#N/A"/>
  </r>
  <r>
    <n v="127"/>
    <s v="84510"/>
    <n v="1"/>
    <s v="184510.127"/>
    <s v="השתתפות באחזקת רכב - 17         "/>
    <m/>
    <m/>
    <n v="260000"/>
    <n v="268000"/>
    <n v="263338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2"/>
    <s v="תוספות שאינן נכללות בשכר הקובע"/>
    <s v="127"/>
    <e v="#N/A"/>
  </r>
  <r>
    <n v="130"/>
    <s v="84510"/>
    <n v="1"/>
    <s v="184510.130"/>
    <s v="תשלומים מיוחדים                 "/>
    <m/>
    <m/>
    <n v="325000"/>
    <n v="397000"/>
    <n v="358521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3"/>
    <s v="שעות נוספות"/>
    <s v="130"/>
    <e v="#N/A"/>
  </r>
  <r>
    <n v="170"/>
    <s v="84510"/>
    <n v="1"/>
    <s v="184510.170"/>
    <s v="סעיף שאינו חוזר                 "/>
    <m/>
    <m/>
    <n v="0"/>
    <n v="51000"/>
    <n v="48417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7"/>
    <e v="#N/A"/>
    <s v="170"/>
    <e v="#N/A"/>
  </r>
  <r>
    <n v="181"/>
    <s v="84510"/>
    <n v="1"/>
    <s v="184510.181"/>
    <s v="מיסים וביטוח לאומי              "/>
    <m/>
    <m/>
    <n v="317000"/>
    <n v="323000"/>
    <n v="295129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8"/>
    <s v="נלוות לשכר"/>
    <s v="181"/>
    <s v="הפרשות סוציאליות"/>
  </r>
  <r>
    <n v="182"/>
    <s v="84510"/>
    <n v="1"/>
    <s v="184510.182"/>
    <s v="קופות גמל והשתלמות              "/>
    <m/>
    <m/>
    <n v="345000"/>
    <n v="333000"/>
    <n v="325897"/>
    <m/>
    <x v="7"/>
    <s v="שירותים ממלכתיים"/>
    <x v="36"/>
    <s v="רווחה"/>
    <x v="130"/>
    <s v="שירותים למפגר"/>
    <s v="8451"/>
    <s v="סידור מפגרים במוסדות"/>
    <m/>
    <s v="1"/>
    <x v="9"/>
    <s v="18"/>
    <s v="נלוות לשכר"/>
    <s v="182"/>
    <s v="מיסיום ועלויות"/>
  </r>
  <r>
    <n v="310"/>
    <s v="84510"/>
    <n v="1"/>
    <s v="184510.310"/>
    <s v="שעות נוספות רשומות              "/>
    <m/>
    <m/>
    <n v="38000"/>
    <n v="37000"/>
    <n v="41056"/>
    <m/>
    <x v="7"/>
    <s v="שירותים ממלכתיים"/>
    <x v="36"/>
    <s v="רווחה"/>
    <x v="130"/>
    <s v="שירותים למפגר"/>
    <s v="8451"/>
    <s v="סידור מפגרים במוסדות"/>
    <m/>
    <s v="3"/>
    <x v="14"/>
    <s v="31"/>
    <s v="פנסיה"/>
    <s v="310"/>
    <e v="#N/A"/>
  </r>
  <r>
    <n v="340"/>
    <s v="84510"/>
    <n v="1"/>
    <s v="184510.340"/>
    <s v="שעות נוספות מיוחדות             "/>
    <m/>
    <m/>
    <n v="2000"/>
    <n v="2000"/>
    <n v="0"/>
    <m/>
    <x v="7"/>
    <s v="שירותים ממלכתיים"/>
    <x v="36"/>
    <s v="רווחה"/>
    <x v="130"/>
    <s v="שירותים למפגר"/>
    <s v="8451"/>
    <s v="סידור מפגרים במוסדות"/>
    <m/>
    <s v="3"/>
    <x v="14"/>
    <s v="34"/>
    <e v="#N/A"/>
    <s v="340"/>
    <e v="#N/A"/>
  </r>
  <r>
    <n v="670"/>
    <s v="84510"/>
    <n v="1"/>
    <s v="184510.670"/>
    <s v="סעיף שאינו חוזר                 "/>
    <m/>
    <m/>
    <n v="0"/>
    <n v="1000"/>
    <n v="0"/>
    <m/>
    <x v="7"/>
    <s v="שירותים ממלכתיים"/>
    <x v="36"/>
    <s v="רווחה"/>
    <x v="130"/>
    <s v="שירותים למפגר"/>
    <s v="8451"/>
    <s v="סידור מפגרים במוסדות"/>
    <m/>
    <s v="6"/>
    <x v="12"/>
    <s v="67"/>
    <e v="#N/A"/>
    <s v="670"/>
    <e v="#N/A"/>
  </r>
  <r>
    <n v="691"/>
    <s v="84510"/>
    <n v="1"/>
    <s v="184510.691"/>
    <s v="מערכות מידע ומחשוב              "/>
    <m/>
    <m/>
    <n v="220000"/>
    <n v="190000"/>
    <n v="164288"/>
    <m/>
    <x v="7"/>
    <s v="שירותים ממלכתיים"/>
    <x v="36"/>
    <s v="רווחה"/>
    <x v="130"/>
    <s v="שירותים למפגר"/>
    <s v="8451"/>
    <s v="סידור מפגרים במוסדות"/>
    <m/>
    <s v="6"/>
    <x v="12"/>
    <s v="69"/>
    <s v="שונות"/>
    <s v="691"/>
    <s v="תשלום ע&quot;ח קרן"/>
  </r>
  <r>
    <n v="781"/>
    <s v="84510"/>
    <n v="1"/>
    <s v="184510.781"/>
    <s v="השת' לצ'ימס בעלות אחזקת היחידה  "/>
    <m/>
    <m/>
    <n v="77000"/>
    <n v="77000"/>
    <n v="76596"/>
    <m/>
    <x v="7"/>
    <s v="שירותים ממלכתיים"/>
    <x v="36"/>
    <s v="רווחה"/>
    <x v="130"/>
    <s v="שירותים למפגר"/>
    <s v="8451"/>
    <s v="סידור מפגרים במוסדות"/>
    <m/>
    <s v="7"/>
    <x v="13"/>
    <s v="78"/>
    <s v="הוצאות שונות"/>
    <s v="781"/>
    <e v="#N/A"/>
  </r>
  <r>
    <n v="782"/>
    <s v="84510"/>
    <n v="1"/>
    <s v="184510.782"/>
    <s v="קידום הנגשה רכה למוגבלים        "/>
    <m/>
    <m/>
    <n v="48000"/>
    <n v="48000"/>
    <n v="4762"/>
    <m/>
    <x v="7"/>
    <s v="שירותים ממלכתיים"/>
    <x v="36"/>
    <s v="רווחה"/>
    <x v="130"/>
    <s v="שירותים למפגר"/>
    <s v="8451"/>
    <s v="סידור מפגרים במוסדות"/>
    <m/>
    <s v="7"/>
    <x v="13"/>
    <s v="78"/>
    <s v="הוצאות שונות"/>
    <s v="782"/>
    <e v="#N/A"/>
  </r>
  <r>
    <n v="781"/>
    <s v="84520"/>
    <n v="1"/>
    <s v="184520.781"/>
    <s v="השמת אנשים עם מש ה במוסדות ממשלת"/>
    <m/>
    <m/>
    <n v="22840000"/>
    <n v="23490000"/>
    <n v="23357912"/>
    <m/>
    <x v="7"/>
    <s v="שירותים ממלכתיים"/>
    <x v="36"/>
    <s v="רווחה"/>
    <x v="130"/>
    <s v="שירותים למפגר"/>
    <s v="8452"/>
    <s v="סידור מפגרים במסגרות"/>
    <m/>
    <s v="7"/>
    <x v="13"/>
    <s v="78"/>
    <s v="הוצאות שונות"/>
    <s v="781"/>
    <e v="#N/A"/>
  </r>
  <r>
    <n v="782"/>
    <s v="84520"/>
    <n v="1"/>
    <s v="184520.782"/>
    <s v="השמת אנשים עם מש ה במוסדות אחרים"/>
    <m/>
    <m/>
    <n v="82654000"/>
    <n v="79403000"/>
    <n v="75193089"/>
    <m/>
    <x v="7"/>
    <s v="שירותים ממלכתיים"/>
    <x v="36"/>
    <s v="רווחה"/>
    <x v="130"/>
    <s v="שירותים למפגר"/>
    <s v="8452"/>
    <s v="סידור מפגרים במסגרות"/>
    <m/>
    <s v="7"/>
    <x v="13"/>
    <s v="78"/>
    <s v="הוצאות שונות"/>
    <s v="782"/>
    <e v="#N/A"/>
  </r>
  <r>
    <n v="784"/>
    <s v="84520"/>
    <n v="1"/>
    <s v="184520.784"/>
    <s v="משפחות אומנה לאדם עם מש ה       "/>
    <m/>
    <m/>
    <n v="368000"/>
    <n v="368000"/>
    <n v="334447"/>
    <m/>
    <x v="7"/>
    <s v="שירותים ממלכתיים"/>
    <x v="36"/>
    <s v="רווחה"/>
    <x v="130"/>
    <s v="שירותים למפגר"/>
    <s v="8452"/>
    <s v="סידור מפגרים במסגרות"/>
    <m/>
    <s v="7"/>
    <x v="13"/>
    <s v="78"/>
    <s v="הוצאות שונות"/>
    <s v="784"/>
    <e v="#N/A"/>
  </r>
  <r>
    <n v="782"/>
    <s v="84530"/>
    <n v="1"/>
    <s v="184530.782"/>
    <s v="מעונות יום טיפולי-זכאי חוק      "/>
    <m/>
    <m/>
    <n v="8030000"/>
    <n v="7342000"/>
    <n v="7760766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2"/>
    <e v="#N/A"/>
  </r>
  <r>
    <n v="783"/>
    <s v="84530"/>
    <n v="1"/>
    <s v="184530.783"/>
    <s v="מעונות יום אימוניות             "/>
    <m/>
    <m/>
    <n v="72000"/>
    <n v="31000"/>
    <n v="29597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3"/>
    <e v="#N/A"/>
  </r>
  <r>
    <n v="785"/>
    <s v="84530"/>
    <n v="1"/>
    <s v="184530.785"/>
    <s v="הסעות למעונות יום שיקומיים-ז.חוק"/>
    <m/>
    <m/>
    <n v="1947000"/>
    <n v="1947000"/>
    <n v="1837935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5"/>
    <e v="#N/A"/>
  </r>
  <r>
    <n v="786"/>
    <s v="84530"/>
    <n v="1"/>
    <s v="184530.786"/>
    <s v="מעונות יום שיקומיים למפגר - ז.חו"/>
    <m/>
    <m/>
    <n v="118000"/>
    <n v="173000"/>
    <n v="80176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6"/>
    <e v="#N/A"/>
  </r>
  <r>
    <n v="787"/>
    <s v="84530"/>
    <n v="1"/>
    <s v="184530.787"/>
    <s v="נופשונים                        "/>
    <m/>
    <m/>
    <n v="184000"/>
    <n v="218000"/>
    <n v="181364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7"/>
    <e v="#N/A"/>
  </r>
  <r>
    <n v="788"/>
    <s v="84530"/>
    <n v="1"/>
    <s v="184530.788"/>
    <s v="מועדון חברתי                    "/>
    <m/>
    <m/>
    <n v="209000"/>
    <n v="257000"/>
    <n v="182617"/>
    <m/>
    <x v="7"/>
    <s v="שירותים ממלכתיים"/>
    <x v="36"/>
    <s v="רווחה"/>
    <x v="130"/>
    <s v="שירותים למפגר"/>
    <s v="8453"/>
    <s v="יום שירותים למפגר - קהילתי"/>
    <m/>
    <s v="7"/>
    <x v="13"/>
    <s v="78"/>
    <s v="הוצאות שונות"/>
    <s v="788"/>
    <e v="#N/A"/>
  </r>
  <r>
    <n v="861"/>
    <s v="84530"/>
    <n v="1"/>
    <s v="184530.861"/>
    <s v="ליווי הסעות למעונות יום שיקומיים"/>
    <m/>
    <m/>
    <n v="1120000"/>
    <n v="1088000"/>
    <n v="986016"/>
    <m/>
    <x v="7"/>
    <s v="שירותים ממלכתיים"/>
    <x v="36"/>
    <s v="רווחה"/>
    <x v="130"/>
    <s v="שירותים למפגר"/>
    <s v="8453"/>
    <s v="יום שירותים למפגר - קהילתי"/>
    <m/>
    <s v="8"/>
    <x v="16"/>
    <s v="86"/>
    <s v="הנחות"/>
    <s v="861"/>
    <e v="#N/A"/>
  </r>
  <r>
    <n v="411"/>
    <s v="84540"/>
    <n v="1"/>
    <s v="184540.411"/>
    <s v="שכר דירה ודמי חכירה             "/>
    <m/>
    <m/>
    <n v="49000"/>
    <n v="31000"/>
    <n v="30240"/>
    <m/>
    <x v="7"/>
    <s v="שירותים ממלכתיים"/>
    <x v="36"/>
    <s v="רווחה"/>
    <x v="130"/>
    <s v="שירותים למפגר"/>
    <s v="8454"/>
    <s v="מפעלי תעסוקה למפגר ומע״ש"/>
    <m/>
    <s v="4"/>
    <x v="15"/>
    <s v="41"/>
    <s v="שכר דירה ודמי חכירה"/>
    <s v="411"/>
    <e v="#N/A"/>
  </r>
  <r>
    <n v="781"/>
    <s v="84540"/>
    <n v="1"/>
    <s v="184540.781"/>
    <s v="הסעות למרכז יום לאנשים בעלי מש ה"/>
    <m/>
    <m/>
    <n v="1385000"/>
    <n v="1385000"/>
    <n v="1210857"/>
    <m/>
    <x v="7"/>
    <s v="שירותים ממלכתיים"/>
    <x v="36"/>
    <s v="רווחה"/>
    <x v="130"/>
    <s v="שירותים למפגר"/>
    <s v="8454"/>
    <s v="מפעלי תעסוקה למפגר ומע״ש"/>
    <m/>
    <s v="7"/>
    <x v="13"/>
    <s v="78"/>
    <s v="הוצאות שונות"/>
    <s v="781"/>
    <e v="#N/A"/>
  </r>
  <r>
    <n v="782"/>
    <s v="84540"/>
    <n v="1"/>
    <s v="184540.782"/>
    <s v="שרותים תומכים לאנשים בעלי מש ה  "/>
    <m/>
    <m/>
    <n v="20000"/>
    <n v="20000"/>
    <n v="0"/>
    <m/>
    <x v="7"/>
    <s v="שירותים ממלכתיים"/>
    <x v="36"/>
    <s v="רווחה"/>
    <x v="130"/>
    <s v="שירותים למפגר"/>
    <s v="8454"/>
    <s v="מפעלי תעסוקה למפגר ומע״ש"/>
    <m/>
    <s v="7"/>
    <x v="13"/>
    <s v="78"/>
    <s v="הוצאות שונות"/>
    <s v="782"/>
    <e v="#N/A"/>
  </r>
  <r>
    <n v="783"/>
    <s v="84540"/>
    <n v="1"/>
    <s v="184540.783"/>
    <s v="מעשי ם                          "/>
    <m/>
    <m/>
    <n v="3128000"/>
    <n v="3304000"/>
    <n v="2982072"/>
    <m/>
    <x v="7"/>
    <s v="שירותים ממלכתיים"/>
    <x v="36"/>
    <s v="רווחה"/>
    <x v="130"/>
    <s v="שירותים למפגר"/>
    <s v="8454"/>
    <s v="מפעלי תעסוקה למפגר ומע״ש"/>
    <m/>
    <s v="7"/>
    <x v="13"/>
    <s v="78"/>
    <s v="הוצאות שונות"/>
    <s v="783"/>
    <e v="#N/A"/>
  </r>
  <r>
    <n v="784"/>
    <s v="84540"/>
    <n v="1"/>
    <s v="184540.784"/>
    <s v="צרכים מיוחדים לאנשים בעלי מש ה  "/>
    <m/>
    <m/>
    <n v="28000"/>
    <n v="28000"/>
    <n v="28996"/>
    <m/>
    <x v="7"/>
    <s v="שירותים ממלכתיים"/>
    <x v="36"/>
    <s v="רווחה"/>
    <x v="130"/>
    <s v="שירותים למפגר"/>
    <s v="8454"/>
    <s v="מפעלי תעסוקה למפגר ומע״ש"/>
    <m/>
    <s v="7"/>
    <x v="13"/>
    <s v="78"/>
    <s v="הוצאות שונות"/>
    <s v="784"/>
    <e v="#N/A"/>
  </r>
  <r>
    <n v="788"/>
    <s v="84540"/>
    <n v="1"/>
    <s v="184540.788"/>
    <s v="סביבה תומכת לאנשים בעלי מש ה    "/>
    <m/>
    <m/>
    <n v="528000"/>
    <n v="528000"/>
    <n v="418615"/>
    <m/>
    <x v="7"/>
    <s v="שירותים ממלכתיים"/>
    <x v="36"/>
    <s v="רווחה"/>
    <x v="130"/>
    <s v="שירותים למפגר"/>
    <s v="8454"/>
    <s v="מפעלי תעסוקה למפגר ומע״ש"/>
    <m/>
    <s v="7"/>
    <x v="13"/>
    <s v="78"/>
    <s v="הוצאות שונות"/>
    <s v="788"/>
    <e v="#N/A"/>
  </r>
  <r>
    <n v="781"/>
    <s v="84550"/>
    <n v="1"/>
    <s v="184550.781"/>
    <s v="השמת אוטיסטים במוסדות           "/>
    <m/>
    <m/>
    <n v="15984000"/>
    <n v="12245000"/>
    <n v="13706093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1"/>
    <e v="#N/A"/>
  </r>
  <r>
    <n v="783"/>
    <s v="84550"/>
    <n v="1"/>
    <s v="184550.783"/>
    <s v="מעונות יום שיקומיים לאוטיסטים-ז."/>
    <m/>
    <m/>
    <n v="1646000"/>
    <n v="1623000"/>
    <n v="1052464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3"/>
    <e v="#N/A"/>
  </r>
  <r>
    <n v="784"/>
    <s v="84550"/>
    <n v="1"/>
    <s v="184550.784"/>
    <s v="מרכז יום ותעסוקה לאוטיסטים      "/>
    <m/>
    <m/>
    <n v="1020000"/>
    <n v="800000"/>
    <n v="739285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4"/>
    <e v="#N/A"/>
  </r>
  <r>
    <n v="785"/>
    <s v="84550"/>
    <n v="1"/>
    <s v="184550.785"/>
    <s v="סמך מקצועי לאוטיסטים            "/>
    <m/>
    <m/>
    <n v="808000"/>
    <n v="856000"/>
    <n v="841019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5"/>
    <e v="#N/A"/>
  </r>
  <r>
    <n v="786"/>
    <s v="84550"/>
    <n v="1"/>
    <s v="184550.786"/>
    <s v="נופשונים וקיטנות לאוטיסטים      "/>
    <m/>
    <m/>
    <n v="103000"/>
    <n v="103000"/>
    <n v="91349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6"/>
    <e v="#N/A"/>
  </r>
  <r>
    <n v="787"/>
    <s v="84550"/>
    <n v="1"/>
    <s v="184550.787"/>
    <s v="הסעות לאוטיסטים לתעסוקה         "/>
    <m/>
    <m/>
    <n v="280000"/>
    <n v="280000"/>
    <n v="179244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7"/>
    <e v="#N/A"/>
  </r>
  <r>
    <n v="789"/>
    <s v="84550"/>
    <n v="1"/>
    <s v="184550.789"/>
    <s v="מועדונים לאוטיסטים              "/>
    <m/>
    <m/>
    <n v="192000"/>
    <n v="232000"/>
    <n v="26353"/>
    <m/>
    <x v="7"/>
    <s v="שירותים ממלכתיים"/>
    <x v="36"/>
    <s v="רווחה"/>
    <x v="130"/>
    <s v="שירותים למפגר"/>
    <s v="8455"/>
    <e v="#N/A"/>
    <m/>
    <s v="7"/>
    <x v="13"/>
    <s v="78"/>
    <s v="הוצאות שונות"/>
    <s v="789"/>
    <e v="#N/A"/>
  </r>
  <r>
    <n v="881"/>
    <s v="84550"/>
    <n v="1"/>
    <s v="184550.881"/>
    <s v="תכנית רעים                      "/>
    <m/>
    <m/>
    <n v="12000"/>
    <n v="12000"/>
    <n v="0"/>
    <m/>
    <x v="7"/>
    <s v="שירותים ממלכתיים"/>
    <x v="36"/>
    <s v="רווחה"/>
    <x v="130"/>
    <s v="שירותים למפגר"/>
    <s v="8455"/>
    <e v="#N/A"/>
    <m/>
    <s v="8"/>
    <x v="16"/>
    <s v="88"/>
    <e v="#N/A"/>
    <s v="881"/>
    <e v="#N/A"/>
  </r>
  <r>
    <n v="781"/>
    <s v="84610"/>
    <n v="1"/>
    <s v="184610.781"/>
    <s v="השמת ילדים עוורים במוסדות       "/>
    <m/>
    <m/>
    <n v="372000"/>
    <n v="461000"/>
    <n v="371908"/>
    <m/>
    <x v="7"/>
    <s v="שירותים ממלכתיים"/>
    <x v="36"/>
    <s v="רווחה"/>
    <x v="131"/>
    <s v="שירותי שיקום"/>
    <s v="8461"/>
    <s v="שיקום העיוור - אחזקה במוסדות"/>
    <m/>
    <s v="7"/>
    <x v="13"/>
    <s v="78"/>
    <s v="הוצאות שונות"/>
    <s v="781"/>
    <e v="#N/A"/>
  </r>
  <r>
    <n v="110"/>
    <s v="84622"/>
    <n v="1"/>
    <s v="184622.110"/>
    <s v="משכורת כוללת                    "/>
    <m/>
    <m/>
    <n v="509000"/>
    <n v="482000"/>
    <n v="467188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1"/>
    <s v="השכר הקובע"/>
    <s v="110"/>
    <e v="#N/A"/>
  </r>
  <r>
    <n v="124"/>
    <s v="84622"/>
    <n v="1"/>
    <s v="184622.124"/>
    <s v="החזר הוצאות                     "/>
    <m/>
    <m/>
    <n v="35000"/>
    <n v="37000"/>
    <n v="35727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2"/>
    <s v="תוספות שאינן נכללות בשכר הקובע"/>
    <s v="124"/>
    <e v="#N/A"/>
  </r>
  <r>
    <n v="126"/>
    <s v="84622"/>
    <n v="1"/>
    <s v="184622.126"/>
    <s v="הבראה                           "/>
    <m/>
    <m/>
    <n v="30000"/>
    <n v="25000"/>
    <n v="25086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2"/>
    <s v="תוספות שאינן נכללות בשכר הקובע"/>
    <s v="126"/>
    <e v="#N/A"/>
  </r>
  <r>
    <n v="127"/>
    <s v="84622"/>
    <n v="1"/>
    <s v="184622.127"/>
    <s v="השתתפות באחזקת רכב - 3          "/>
    <m/>
    <m/>
    <n v="80000"/>
    <n v="67000"/>
    <n v="67869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2"/>
    <s v="תוספות שאינן נכללות בשכר הקובע"/>
    <s v="127"/>
    <e v="#N/A"/>
  </r>
  <r>
    <n v="130"/>
    <s v="84622"/>
    <n v="1"/>
    <s v="184622.130"/>
    <s v="תשלומים מיוחדים                 "/>
    <m/>
    <m/>
    <n v="71000"/>
    <n v="86000"/>
    <n v="78285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3"/>
    <s v="שעות נוספות"/>
    <s v="130"/>
    <e v="#N/A"/>
  </r>
  <r>
    <n v="181"/>
    <s v="84622"/>
    <n v="1"/>
    <s v="184622.181"/>
    <s v="מיסים וביטוח לאומי              "/>
    <m/>
    <m/>
    <n v="96000"/>
    <n v="92000"/>
    <n v="85141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8"/>
    <s v="נלוות לשכר"/>
    <s v="181"/>
    <s v="הפרשות סוציאליות"/>
  </r>
  <r>
    <n v="182"/>
    <s v="84622"/>
    <n v="1"/>
    <s v="184622.182"/>
    <s v="קופות גמל והשתלמות              "/>
    <m/>
    <m/>
    <n v="133000"/>
    <n v="125000"/>
    <n v="122143"/>
    <m/>
    <x v="7"/>
    <s v="שירותים ממלכתיים"/>
    <x v="36"/>
    <s v="רווחה"/>
    <x v="131"/>
    <s v="שירותי שיקום"/>
    <s v="8462"/>
    <s v="שיקום העיוור - אחזקה"/>
    <m/>
    <s v="1"/>
    <x v="9"/>
    <s v="18"/>
    <s v="נלוות לשכר"/>
    <s v="182"/>
    <s v="מיסיום ועלויות"/>
  </r>
  <r>
    <n v="310"/>
    <s v="84622"/>
    <n v="1"/>
    <s v="184622.310"/>
    <s v="שעות נוספות רשומות              "/>
    <m/>
    <m/>
    <n v="6000"/>
    <n v="6000"/>
    <n v="8997"/>
    <m/>
    <x v="7"/>
    <s v="שירותים ממלכתיים"/>
    <x v="36"/>
    <s v="רווחה"/>
    <x v="131"/>
    <s v="שירותי שיקום"/>
    <s v="8462"/>
    <s v="שיקום העיוור - אחזקה"/>
    <m/>
    <s v="3"/>
    <x v="14"/>
    <s v="31"/>
    <s v="פנסיה"/>
    <s v="310"/>
    <e v="#N/A"/>
  </r>
  <r>
    <n v="411"/>
    <s v="84622"/>
    <n v="1"/>
    <s v="184622.411"/>
    <s v="שכר דירה                        "/>
    <m/>
    <m/>
    <n v="6000"/>
    <n v="10000"/>
    <n v="10000"/>
    <m/>
    <x v="7"/>
    <s v="שירותים ממלכתיים"/>
    <x v="36"/>
    <s v="רווחה"/>
    <x v="131"/>
    <s v="שירותי שיקום"/>
    <s v="8462"/>
    <s v="שיקום העיוור - אחזקה"/>
    <m/>
    <s v="4"/>
    <x v="15"/>
    <s v="41"/>
    <s v="שכר דירה ודמי חכירה"/>
    <s v="411"/>
    <e v="#N/A"/>
  </r>
  <r>
    <n v="431"/>
    <s v="84622"/>
    <n v="1"/>
    <s v="184622.431"/>
    <s v="מים                             "/>
    <m/>
    <m/>
    <n v="21000"/>
    <n v="6000"/>
    <n v="6000"/>
    <m/>
    <x v="7"/>
    <s v="שירותים ממלכתיים"/>
    <x v="36"/>
    <s v="רווחה"/>
    <x v="131"/>
    <s v="שירותי שיקום"/>
    <s v="8462"/>
    <s v="שיקום העיוור - אחזקה"/>
    <m/>
    <s v="4"/>
    <x v="15"/>
    <s v="43"/>
    <s v="חשמל, מים וחומרי ניקיון"/>
    <s v="431"/>
    <s v="חשמל"/>
  </r>
  <r>
    <n v="434"/>
    <s v="84622"/>
    <n v="1"/>
    <s v="184622.434"/>
    <s v="תקוני מבנים  מתקנים ואינונטר    "/>
    <m/>
    <m/>
    <n v="40000"/>
    <n v="40000"/>
    <n v="5655"/>
    <m/>
    <x v="7"/>
    <s v="שירותים ממלכתיים"/>
    <x v="36"/>
    <s v="רווחה"/>
    <x v="131"/>
    <s v="שירותי שיקום"/>
    <s v="8462"/>
    <s v="שיקום העיוור - אחזקה"/>
    <m/>
    <s v="4"/>
    <x v="15"/>
    <s v="43"/>
    <s v="חשמל, מים וחומרי ניקיון"/>
    <s v="434"/>
    <s v="שירותי ניקיון"/>
  </r>
  <r>
    <n v="435"/>
    <s v="84622"/>
    <n v="1"/>
    <s v="184622.435"/>
    <s v="חשמל ואנרגיה                    "/>
    <m/>
    <m/>
    <n v="47000"/>
    <n v="50000"/>
    <n v="42331"/>
    <m/>
    <x v="7"/>
    <s v="שירותים ממלכתיים"/>
    <x v="36"/>
    <s v="רווחה"/>
    <x v="131"/>
    <s v="שירותי שיקום"/>
    <s v="8462"/>
    <s v="שיקום העיוור - אחזקה"/>
    <m/>
    <s v="4"/>
    <x v="15"/>
    <s v="43"/>
    <s v="חשמל, מים וחומרי ניקיון"/>
    <s v="435"/>
    <e v="#N/A"/>
  </r>
  <r>
    <n v="461"/>
    <s v="84622"/>
    <n v="1"/>
    <s v="184622.461"/>
    <s v="צורכי משרד                      "/>
    <m/>
    <m/>
    <n v="13000"/>
    <n v="16000"/>
    <n v="5570"/>
    <m/>
    <x v="7"/>
    <s v="שירותים ממלכתיים"/>
    <x v="36"/>
    <s v="רווחה"/>
    <x v="131"/>
    <s v="שירותי שיקום"/>
    <s v="8462"/>
    <s v="שיקום העיוור - אחזקה"/>
    <m/>
    <s v="4"/>
    <x v="15"/>
    <s v="46"/>
    <e v="#N/A"/>
    <s v="461"/>
    <e v="#N/A"/>
  </r>
  <r>
    <n v="670"/>
    <s v="84622"/>
    <n v="1"/>
    <s v="184622.670"/>
    <s v="סעיף שאינו חוזר                 "/>
    <m/>
    <m/>
    <n v="0"/>
    <n v="11000"/>
    <n v="8129"/>
    <m/>
    <x v="7"/>
    <s v="שירותים ממלכתיים"/>
    <x v="36"/>
    <s v="רווחה"/>
    <x v="131"/>
    <s v="שירותי שיקום"/>
    <s v="8462"/>
    <s v="שיקום העיוור - אחזקה"/>
    <m/>
    <s v="6"/>
    <x v="12"/>
    <s v="67"/>
    <e v="#N/A"/>
    <s v="670"/>
    <e v="#N/A"/>
  </r>
  <r>
    <n v="720"/>
    <s v="84622"/>
    <n v="1"/>
    <s v="184622.720"/>
    <s v="חומרים                          "/>
    <m/>
    <m/>
    <n v="16000"/>
    <n v="16000"/>
    <n v="13822"/>
    <m/>
    <x v="7"/>
    <s v="שירותים ממלכתיים"/>
    <x v="36"/>
    <s v="רווחה"/>
    <x v="131"/>
    <s v="שירותי שיקום"/>
    <s v="8462"/>
    <s v="שיקום העיוור - אחזקה"/>
    <m/>
    <s v="7"/>
    <x v="13"/>
    <s v="72"/>
    <s v="חומרים"/>
    <s v="720"/>
    <e v="#N/A"/>
  </r>
  <r>
    <n v="751"/>
    <s v="84622"/>
    <n v="1"/>
    <s v="184622.751"/>
    <s v="נקיון קבלני                     "/>
    <m/>
    <m/>
    <n v="158000"/>
    <n v="153000"/>
    <n v="134700"/>
    <m/>
    <x v="7"/>
    <s v="שירותים ממלכתיים"/>
    <x v="36"/>
    <s v="רווחה"/>
    <x v="131"/>
    <s v="שירותי שיקום"/>
    <s v="8462"/>
    <s v="שיקום העיוור - אחזקה"/>
    <m/>
    <s v="7"/>
    <x v="13"/>
    <s v="75"/>
    <s v="עבודות קבלניות"/>
    <s v="751"/>
    <e v="#N/A"/>
  </r>
  <r>
    <n v="851"/>
    <s v="84622"/>
    <n v="1"/>
    <s v="184622.851"/>
    <s v="הפעלת מרש ל-חב' מוסדות חינוך    "/>
    <m/>
    <m/>
    <n v="564000"/>
    <n v="495000"/>
    <n v="455000"/>
    <m/>
    <x v="7"/>
    <s v="שירותים ממלכתיים"/>
    <x v="36"/>
    <s v="רווחה"/>
    <x v="131"/>
    <s v="שירותי שיקום"/>
    <s v="8462"/>
    <s v="שיקום העיוור - אחזקה"/>
    <m/>
    <s v="8"/>
    <x v="16"/>
    <s v="85"/>
    <s v="מלגות לתלמידים וסטודנטים"/>
    <s v="851"/>
    <e v="#N/A"/>
  </r>
  <r>
    <n v="852"/>
    <s v="84622"/>
    <n v="1"/>
    <s v="184622.852"/>
    <s v="מועדונית במרשל                  "/>
    <m/>
    <m/>
    <n v="85000"/>
    <n v="85000"/>
    <n v="0"/>
    <m/>
    <x v="7"/>
    <s v="שירותים ממלכתיים"/>
    <x v="36"/>
    <s v="רווחה"/>
    <x v="131"/>
    <s v="שירותי שיקום"/>
    <s v="8462"/>
    <s v="שיקום העיוור - אחזקה"/>
    <m/>
    <s v="8"/>
    <x v="16"/>
    <s v="85"/>
    <s v="מלגות לתלמידים וסטודנטים"/>
    <s v="852"/>
    <e v="#N/A"/>
  </r>
  <r>
    <n v="932"/>
    <s v="84622"/>
    <n v="1"/>
    <s v="184622.932"/>
    <s v="ציוד וריהוט משרדי               "/>
    <m/>
    <m/>
    <n v="15000"/>
    <n v="20000"/>
    <n v="0"/>
    <m/>
    <x v="7"/>
    <s v="שירותים ממלכתיים"/>
    <x v="36"/>
    <s v="רווחה"/>
    <x v="131"/>
    <s v="שירותי שיקום"/>
    <s v="8462"/>
    <s v="שיקום העיוור - אחזקה"/>
    <m/>
    <s v="9"/>
    <x v="17"/>
    <s v="93"/>
    <s v="רכישת ציוד יסודי"/>
    <s v="932"/>
    <e v="#N/A"/>
  </r>
  <r>
    <n v="781"/>
    <s v="84630"/>
    <n v="1"/>
    <s v="184630.781"/>
    <s v="מפעלי שיקום לעיוור              "/>
    <m/>
    <m/>
    <n v="83000"/>
    <n v="135000"/>
    <n v="127557"/>
    <m/>
    <x v="7"/>
    <s v="שירותים ממלכתיים"/>
    <x v="36"/>
    <s v="רווחה"/>
    <x v="131"/>
    <s v="שירותי שיקום"/>
    <s v="8463"/>
    <s v="טיפול בעיוור בקהילה"/>
    <m/>
    <s v="7"/>
    <x v="13"/>
    <s v="78"/>
    <s v="הוצאות שונות"/>
    <s v="781"/>
    <e v="#N/A"/>
  </r>
  <r>
    <n v="784"/>
    <s v="84630"/>
    <n v="1"/>
    <s v="184630.784"/>
    <s v="שיקום העיוור בקהילה             "/>
    <m/>
    <m/>
    <n v="56000"/>
    <n v="56000"/>
    <n v="35903"/>
    <m/>
    <x v="7"/>
    <s v="שירותים ממלכתיים"/>
    <x v="36"/>
    <s v="רווחה"/>
    <x v="131"/>
    <s v="שירותי שיקום"/>
    <s v="8463"/>
    <s v="טיפול בעיוור בקהילה"/>
    <m/>
    <s v="7"/>
    <x v="13"/>
    <s v="78"/>
    <s v="הוצאות שונות"/>
    <s v="784"/>
    <e v="#N/A"/>
  </r>
  <r>
    <n v="785"/>
    <s v="84630"/>
    <n v="1"/>
    <s v="184630.785"/>
    <s v="מפעלי תעסוקה לעיוור             "/>
    <m/>
    <m/>
    <n v="922000"/>
    <n v="922000"/>
    <n v="795975"/>
    <m/>
    <x v="7"/>
    <s v="שירותים ממלכתיים"/>
    <x v="36"/>
    <s v="רווחה"/>
    <x v="131"/>
    <s v="שירותי שיקום"/>
    <s v="8463"/>
    <s v="טיפול בעיוור בקהילה"/>
    <m/>
    <s v="7"/>
    <x v="13"/>
    <s v="78"/>
    <s v="הוצאות שונות"/>
    <s v="785"/>
    <e v="#N/A"/>
  </r>
  <r>
    <n v="786"/>
    <s v="84630"/>
    <n v="1"/>
    <s v="184630.786"/>
    <s v="הדרכת העוור ובני ביתו           "/>
    <m/>
    <m/>
    <n v="464000"/>
    <n v="464000"/>
    <n v="467745"/>
    <m/>
    <x v="7"/>
    <s v="שירותים ממלכתיים"/>
    <x v="36"/>
    <s v="רווחה"/>
    <x v="131"/>
    <s v="שירותי שיקום"/>
    <s v="8463"/>
    <s v="טיפול בעיוור בקהילה"/>
    <m/>
    <s v="7"/>
    <x v="13"/>
    <s v="78"/>
    <s v="הוצאות שונות"/>
    <s v="786"/>
    <e v="#N/A"/>
  </r>
  <r>
    <n v="787"/>
    <s v="84630"/>
    <n v="1"/>
    <s v="184630.787"/>
    <s v="מועדונים לעיוור                 "/>
    <m/>
    <m/>
    <n v="156000"/>
    <n v="156000"/>
    <n v="117783"/>
    <m/>
    <x v="7"/>
    <s v="שירותים ממלכתיים"/>
    <x v="36"/>
    <s v="רווחה"/>
    <x v="131"/>
    <s v="שירותי שיקום"/>
    <s v="8463"/>
    <s v="טיפול בעיוור בקהילה"/>
    <m/>
    <s v="7"/>
    <x v="13"/>
    <s v="78"/>
    <s v="הוצאות שונות"/>
    <s v="787"/>
    <e v="#N/A"/>
  </r>
  <r>
    <n v="781"/>
    <s v="84640"/>
    <n v="1"/>
    <s v="184640.781"/>
    <s v="השמת נכים במס' חוץ ביתיות       "/>
    <m/>
    <m/>
    <n v="27298000"/>
    <n v="26500000"/>
    <n v="25190991"/>
    <m/>
    <x v="7"/>
    <s v="שירותים ממלכתיים"/>
    <x v="36"/>
    <s v="רווחה"/>
    <x v="131"/>
    <s v="שירותי שיקום"/>
    <s v="8464"/>
    <s v="מפעלי תעסוקה לעיוורים"/>
    <m/>
    <s v="7"/>
    <x v="13"/>
    <s v="78"/>
    <s v="הוצאות שונות"/>
    <s v="781"/>
    <e v="#N/A"/>
  </r>
  <r>
    <n v="781"/>
    <s v="84650"/>
    <n v="1"/>
    <s v="184650.781"/>
    <s v="מסגרות יום לילד המוגבל-נדחי חוק "/>
    <m/>
    <m/>
    <n v="411000"/>
    <n v="514000"/>
    <n v="300945"/>
    <m/>
    <x v="7"/>
    <s v="שירותים ממלכתיים"/>
    <x v="36"/>
    <s v="רווחה"/>
    <x v="131"/>
    <s v="שירותי שיקום"/>
    <s v="8465"/>
    <s v="נכים - שיקום במוסדות"/>
    <m/>
    <s v="7"/>
    <x v="13"/>
    <s v="78"/>
    <s v="הוצאות שונות"/>
    <s v="781"/>
    <e v="#N/A"/>
  </r>
  <r>
    <n v="782"/>
    <s v="84650"/>
    <n v="1"/>
    <s v="184650.782"/>
    <s v="מעונות יום שיקומיים לנכים-זכאי ח"/>
    <m/>
    <m/>
    <n v="2808000"/>
    <n v="2970000"/>
    <n v="2529486"/>
    <m/>
    <x v="7"/>
    <s v="שירותים ממלכתיים"/>
    <x v="36"/>
    <s v="רווחה"/>
    <x v="131"/>
    <s v="שירותי שיקום"/>
    <s v="8465"/>
    <s v="נכים - שיקום במוסדות"/>
    <m/>
    <s v="7"/>
    <x v="13"/>
    <s v="78"/>
    <s v="הוצאות שונות"/>
    <s v="782"/>
    <e v="#N/A"/>
  </r>
  <r>
    <n v="783"/>
    <s v="84650"/>
    <n v="1"/>
    <s v="184650.783"/>
    <s v="מרכז יום לנכים קשים             "/>
    <m/>
    <m/>
    <n v="1142000"/>
    <n v="1181000"/>
    <n v="929435"/>
    <m/>
    <x v="7"/>
    <s v="שירותים ממלכתיים"/>
    <x v="36"/>
    <s v="רווחה"/>
    <x v="131"/>
    <s v="שירותי שיקום"/>
    <s v="8465"/>
    <s v="נכים - שיקום במוסדות"/>
    <m/>
    <s v="7"/>
    <x v="13"/>
    <s v="78"/>
    <s v="הוצאות שונות"/>
    <s v="783"/>
    <e v="#N/A"/>
  </r>
  <r>
    <n v="781"/>
    <s v="84660"/>
    <n v="1"/>
    <s v="184660.781"/>
    <s v="הסעות נכים                      "/>
    <m/>
    <m/>
    <n v="185000"/>
    <n v="185000"/>
    <n v="136949"/>
    <m/>
    <x v="7"/>
    <s v="שירותים ממלכתיים"/>
    <x v="36"/>
    <s v="רווחה"/>
    <x v="131"/>
    <s v="שירותי שיקום"/>
    <s v="8466"/>
    <s v="נכים - אחזקה במסגרות"/>
    <m/>
    <s v="7"/>
    <x v="13"/>
    <s v="78"/>
    <s v="הוצאות שונות"/>
    <s v="781"/>
    <e v="#N/A"/>
  </r>
  <r>
    <n v="784"/>
    <s v="84660"/>
    <n v="1"/>
    <s v="184660.784"/>
    <s v="מרכזי אבחון ושיקום              "/>
    <m/>
    <m/>
    <n v="394000"/>
    <n v="394000"/>
    <n v="280881"/>
    <m/>
    <x v="7"/>
    <s v="שירותים ממלכתיים"/>
    <x v="36"/>
    <s v="רווחה"/>
    <x v="131"/>
    <s v="שירותי שיקום"/>
    <s v="8466"/>
    <s v="נכים - אחזקה במסגרות"/>
    <m/>
    <s v="7"/>
    <x v="13"/>
    <s v="78"/>
    <s v="הוצאות שונות"/>
    <s v="784"/>
    <e v="#N/A"/>
  </r>
  <r>
    <n v="787"/>
    <s v="84660"/>
    <n v="1"/>
    <s v="184660.787"/>
    <s v="תעסוקה מוגנת למוגבל             "/>
    <m/>
    <m/>
    <n v="1758000"/>
    <n v="1806000"/>
    <n v="1387951"/>
    <m/>
    <x v="7"/>
    <s v="שירותים ממלכתיים"/>
    <x v="36"/>
    <s v="רווחה"/>
    <x v="131"/>
    <s v="שירותי שיקום"/>
    <s v="8466"/>
    <s v="נכים - אחזקה במסגרות"/>
    <m/>
    <s v="7"/>
    <x v="13"/>
    <s v="78"/>
    <s v="הוצאות שונות"/>
    <s v="787"/>
    <e v="#N/A"/>
  </r>
  <r>
    <n v="788"/>
    <s v="84660"/>
    <n v="1"/>
    <s v="184660.788"/>
    <s v="תעסוקה נתמכת לנכים              "/>
    <m/>
    <m/>
    <n v="477000"/>
    <n v="477000"/>
    <n v="357115"/>
    <m/>
    <x v="7"/>
    <s v="שירותים ממלכתיים"/>
    <x v="36"/>
    <s v="רווחה"/>
    <x v="131"/>
    <s v="שירותי שיקום"/>
    <s v="8466"/>
    <s v="נכים - אחזקה במסגרות"/>
    <m/>
    <s v="7"/>
    <x v="13"/>
    <s v="78"/>
    <s v="הוצאות שונות"/>
    <s v="788"/>
    <e v="#N/A"/>
  </r>
  <r>
    <n v="789"/>
    <s v="84660"/>
    <n v="1"/>
    <s v="184660.789"/>
    <s v="תכנית מעבר                      "/>
    <m/>
    <m/>
    <n v="228000"/>
    <n v="228000"/>
    <n v="139262"/>
    <m/>
    <x v="7"/>
    <s v="שירותים ממלכתיים"/>
    <x v="36"/>
    <s v="רווחה"/>
    <x v="131"/>
    <s v="שירותי שיקום"/>
    <s v="8466"/>
    <s v="נכים - אחזקה במסגרות"/>
    <m/>
    <s v="7"/>
    <x v="13"/>
    <s v="78"/>
    <s v="הוצאות שונות"/>
    <s v="789"/>
    <e v="#N/A"/>
  </r>
  <r>
    <n v="841"/>
    <s v="84660"/>
    <n v="1"/>
    <s v="184660.841"/>
    <s v="השתתפות לחב' מת ש               "/>
    <m/>
    <m/>
    <n v="264000"/>
    <n v="264000"/>
    <n v="264000"/>
    <m/>
    <x v="7"/>
    <s v="שירותים ממלכתיים"/>
    <x v="36"/>
    <s v="רווחה"/>
    <x v="131"/>
    <s v="שירותי שיקום"/>
    <s v="8466"/>
    <s v="נכים - אחזקה במסגרות"/>
    <m/>
    <s v="8"/>
    <x v="16"/>
    <s v="84"/>
    <s v="תמיכות רווחה"/>
    <s v="841"/>
    <e v="#N/A"/>
  </r>
  <r>
    <n v="781"/>
    <s v="84670"/>
    <n v="1"/>
    <s v="184670.781"/>
    <s v="נכים קשים בקהילה                "/>
    <m/>
    <m/>
    <n v="217000"/>
    <n v="217000"/>
    <n v="169400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1"/>
    <e v="#N/A"/>
  </r>
  <r>
    <n v="782"/>
    <s v="84670"/>
    <n v="1"/>
    <s v="184670.782"/>
    <s v="שיקום נכים בקהילה               "/>
    <m/>
    <m/>
    <n v="50000"/>
    <n v="50000"/>
    <n v="30514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2"/>
    <e v="#N/A"/>
  </r>
  <r>
    <n v="785"/>
    <s v="84670"/>
    <n v="1"/>
    <s v="184670.785"/>
    <s v="תוכניות לילד החריג              "/>
    <m/>
    <m/>
    <n v="450000"/>
    <n v="450000"/>
    <n v="405116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5"/>
    <e v="#N/A"/>
  </r>
  <r>
    <n v="786"/>
    <s v="84670"/>
    <n v="1"/>
    <s v="184670.786"/>
    <s v="נופשון הבראה למוגבלים           "/>
    <m/>
    <m/>
    <n v="67000"/>
    <n v="115000"/>
    <n v="69352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6"/>
    <e v="#N/A"/>
  </r>
  <r>
    <n v="787"/>
    <s v="84670"/>
    <n v="1"/>
    <s v="184670.787"/>
    <s v="חלופה למעון יום שיקומי          "/>
    <m/>
    <m/>
    <n v="207000"/>
    <n v="207000"/>
    <n v="34453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7"/>
    <e v="#N/A"/>
  </r>
  <r>
    <n v="788"/>
    <s v="84670"/>
    <n v="1"/>
    <s v="184670.788"/>
    <s v="קהילה תומכת                     "/>
    <m/>
    <m/>
    <n v="375000"/>
    <n v="375000"/>
    <n v="298166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8"/>
    <e v="#N/A"/>
  </r>
  <r>
    <n v="789"/>
    <s v="84670"/>
    <n v="1"/>
    <s v="184670.789"/>
    <s v="מועדונית סנאי                   "/>
    <m/>
    <m/>
    <n v="50000"/>
    <n v="50000"/>
    <n v="0"/>
    <m/>
    <x v="7"/>
    <s v="שירותים ממלכתיים"/>
    <x v="36"/>
    <s v="רווחה"/>
    <x v="131"/>
    <s v="שירותי שיקום"/>
    <s v="8467"/>
    <s v="יום נכים - טיפול בקהילה"/>
    <m/>
    <s v="7"/>
    <x v="13"/>
    <s v="78"/>
    <s v="הוצאות שונות"/>
    <s v="789"/>
    <e v="#N/A"/>
  </r>
  <r>
    <n v="851"/>
    <s v="84670"/>
    <n v="1"/>
    <s v="184670.851"/>
    <s v="מועדון חברתי לנכים - חב' מוס ח  "/>
    <m/>
    <m/>
    <n v="62000"/>
    <n v="62000"/>
    <n v="56304"/>
    <m/>
    <x v="7"/>
    <s v="שירותים ממלכתיים"/>
    <x v="36"/>
    <s v="רווחה"/>
    <x v="131"/>
    <s v="שירותי שיקום"/>
    <s v="8467"/>
    <s v="יום נכים - טיפול בקהילה"/>
    <m/>
    <s v="8"/>
    <x v="16"/>
    <s v="85"/>
    <s v="מלגות לתלמידים וסטודנטים"/>
    <s v="851"/>
    <e v="#N/A"/>
  </r>
  <r>
    <n v="852"/>
    <s v="84670"/>
    <n v="1"/>
    <s v="184670.852"/>
    <s v="תוכנית עמית למשפחה              "/>
    <m/>
    <m/>
    <n v="40000"/>
    <n v="40000"/>
    <n v="30588"/>
    <m/>
    <x v="7"/>
    <s v="שירותים ממלכתיים"/>
    <x v="36"/>
    <s v="רווחה"/>
    <x v="131"/>
    <s v="שירותי שיקום"/>
    <s v="8467"/>
    <s v="יום נכים - טיפול בקהילה"/>
    <m/>
    <s v="8"/>
    <x v="16"/>
    <s v="85"/>
    <s v="מלגות לתלמידים וסטודנטים"/>
    <s v="852"/>
    <e v="#N/A"/>
  </r>
  <r>
    <n v="881"/>
    <s v="84670"/>
    <n v="1"/>
    <s v="184670.881"/>
    <s v="מועדונים חברתיים לנכים          "/>
    <m/>
    <m/>
    <n v="51000"/>
    <n v="51000"/>
    <n v="34040"/>
    <m/>
    <x v="7"/>
    <s v="שירותים ממלכתיים"/>
    <x v="36"/>
    <s v="רווחה"/>
    <x v="131"/>
    <s v="שירותי שיקום"/>
    <s v="8467"/>
    <s v="יום נכים - טיפול בקהילה"/>
    <m/>
    <s v="8"/>
    <x v="16"/>
    <s v="88"/>
    <e v="#N/A"/>
    <s v="881"/>
    <e v="#N/A"/>
  </r>
  <r>
    <n v="788"/>
    <s v="84680"/>
    <n v="1"/>
    <s v="184680.788"/>
    <s v="מועדון לחירש ולעיוור            "/>
    <m/>
    <m/>
    <n v="133000"/>
    <n v="133000"/>
    <n v="95177"/>
    <m/>
    <x v="7"/>
    <s v="שירותים ממלכתיים"/>
    <x v="36"/>
    <s v="רווחה"/>
    <x v="131"/>
    <s v="שירותי שיקום"/>
    <s v="8468"/>
    <s v="נכים - שיקום במפעלי תעסוקה"/>
    <m/>
    <s v="7"/>
    <x v="13"/>
    <s v="78"/>
    <s v="הוצאות שונות"/>
    <s v="788"/>
    <e v="#N/A"/>
  </r>
  <r>
    <n v="881"/>
    <s v="84680"/>
    <n v="1"/>
    <s v="184680.881"/>
    <s v="השתתפות לאגודת חרשים-אח א       "/>
    <m/>
    <m/>
    <n v="175000"/>
    <n v="175000"/>
    <n v="55000"/>
    <m/>
    <x v="7"/>
    <s v="שירותים ממלכתיים"/>
    <x v="36"/>
    <s v="רווחה"/>
    <x v="131"/>
    <s v="שירותי שיקום"/>
    <s v="8468"/>
    <s v="נכים - שיקום במפעלי תעסוקה"/>
    <m/>
    <s v="8"/>
    <x v="16"/>
    <s v="88"/>
    <e v="#N/A"/>
    <s v="881"/>
    <e v="#N/A"/>
  </r>
  <r>
    <n v="110"/>
    <s v="84710"/>
    <n v="1"/>
    <s v="184710.110"/>
    <s v="משכורת כוללת                    "/>
    <m/>
    <m/>
    <n v="201000"/>
    <n v="219000"/>
    <n v="216995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1"/>
    <s v="השכר הקובע"/>
    <s v="110"/>
    <e v="#N/A"/>
  </r>
  <r>
    <n v="124"/>
    <s v="84710"/>
    <n v="1"/>
    <s v="184710.124"/>
    <s v="החזר הוצאות                     "/>
    <m/>
    <m/>
    <n v="14000"/>
    <n v="14000"/>
    <n v="13070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2"/>
    <s v="תוספות שאינן נכללות בשכר הקובע"/>
    <s v="124"/>
    <e v="#N/A"/>
  </r>
  <r>
    <n v="126"/>
    <s v="84710"/>
    <n v="1"/>
    <s v="184710.126"/>
    <s v="הבראה                           "/>
    <m/>
    <m/>
    <n v="10000"/>
    <n v="12000"/>
    <n v="10459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2"/>
    <s v="תוספות שאינן נכללות בשכר הקובע"/>
    <s v="126"/>
    <e v="#N/A"/>
  </r>
  <r>
    <n v="127"/>
    <s v="84710"/>
    <n v="1"/>
    <s v="184710.127"/>
    <s v="השתתפות באחזקת רכב - 2          "/>
    <m/>
    <m/>
    <n v="40000"/>
    <n v="42000"/>
    <n v="37222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2"/>
    <s v="תוספות שאינן נכללות בשכר הקובע"/>
    <s v="127"/>
    <e v="#N/A"/>
  </r>
  <r>
    <n v="130"/>
    <s v="84710"/>
    <n v="1"/>
    <s v="184710.130"/>
    <s v="תשלומים מיוחדים                 "/>
    <m/>
    <m/>
    <n v="59000"/>
    <n v="69000"/>
    <n v="63989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3"/>
    <s v="שעות נוספות"/>
    <s v="130"/>
    <e v="#N/A"/>
  </r>
  <r>
    <n v="181"/>
    <s v="84710"/>
    <n v="1"/>
    <s v="184710.181"/>
    <s v="מיסים וביטוח לאומי              "/>
    <m/>
    <m/>
    <n v="44000"/>
    <n v="48000"/>
    <n v="42505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8"/>
    <s v="נלוות לשכר"/>
    <s v="181"/>
    <s v="הפרשות סוציאליות"/>
  </r>
  <r>
    <n v="182"/>
    <s v="84710"/>
    <n v="1"/>
    <s v="184710.182"/>
    <s v="קופות גמל והשתלמות              "/>
    <m/>
    <m/>
    <n v="37000"/>
    <n v="34000"/>
    <n v="32700"/>
    <m/>
    <x v="7"/>
    <s v="שירותים ממלכתיים"/>
    <x v="36"/>
    <s v="רווחה"/>
    <x v="132"/>
    <s v="שירותי תיקון"/>
    <s v="8471"/>
    <s v="טיפול בחבורות רחוב ונוער במצוקה"/>
    <m/>
    <s v="1"/>
    <x v="9"/>
    <s v="18"/>
    <s v="נלוות לשכר"/>
    <s v="182"/>
    <s v="מיסיום ועלויות"/>
  </r>
  <r>
    <n v="310"/>
    <s v="84710"/>
    <n v="1"/>
    <s v="184710.310"/>
    <s v="שעות נוספות רשומות              "/>
    <m/>
    <m/>
    <n v="13000"/>
    <n v="13000"/>
    <n v="4171"/>
    <m/>
    <x v="7"/>
    <s v="שירותים ממלכתיים"/>
    <x v="36"/>
    <s v="רווחה"/>
    <x v="132"/>
    <s v="שירותי תיקון"/>
    <s v="8471"/>
    <s v="טיפול בחבורות רחוב ונוער במצוקה"/>
    <m/>
    <s v="3"/>
    <x v="14"/>
    <s v="31"/>
    <s v="פנסיה"/>
    <s v="310"/>
    <e v="#N/A"/>
  </r>
  <r>
    <n v="340"/>
    <s v="84710"/>
    <n v="1"/>
    <s v="184710.340"/>
    <s v="שעות נוספות מיוחדות             "/>
    <m/>
    <m/>
    <n v="1000"/>
    <n v="1000"/>
    <n v="2001"/>
    <m/>
    <x v="7"/>
    <s v="שירותים ממלכתיים"/>
    <x v="36"/>
    <s v="רווחה"/>
    <x v="132"/>
    <s v="שירותי תיקון"/>
    <s v="8471"/>
    <s v="טיפול בחבורות רחוב ונוער במצוקה"/>
    <m/>
    <s v="3"/>
    <x v="14"/>
    <s v="34"/>
    <e v="#N/A"/>
    <s v="340"/>
    <e v="#N/A"/>
  </r>
  <r>
    <n v="521"/>
    <s v="84710"/>
    <n v="1"/>
    <s v="184710.521"/>
    <s v="הדרכה וכנסים                    "/>
    <m/>
    <m/>
    <n v="4000"/>
    <n v="4000"/>
    <n v="3894"/>
    <m/>
    <x v="7"/>
    <s v="שירותים ממלכתיים"/>
    <x v="36"/>
    <s v="רווחה"/>
    <x v="132"/>
    <s v="שירותי תיקון"/>
    <s v="8471"/>
    <s v="טיפול בחבורות רחוב ונוער במצוקה"/>
    <m/>
    <s v="5"/>
    <x v="11"/>
    <s v="52"/>
    <s v="השתלמויות וספרות מקצועית"/>
    <s v="521"/>
    <s v="השתלמויות וספרות מקצועית"/>
  </r>
  <r>
    <n v="670"/>
    <s v="84710"/>
    <n v="1"/>
    <s v="184710.670"/>
    <s v="סעיף שאינו חוזר                 "/>
    <m/>
    <m/>
    <n v="0"/>
    <n v="1000"/>
    <n v="0"/>
    <m/>
    <x v="7"/>
    <s v="שירותים ממלכתיים"/>
    <x v="36"/>
    <s v="רווחה"/>
    <x v="132"/>
    <s v="שירותי תיקון"/>
    <s v="8471"/>
    <s v="טיפול בחבורות רחוב ונוער במצוקה"/>
    <m/>
    <s v="6"/>
    <x v="12"/>
    <s v="67"/>
    <e v="#N/A"/>
    <s v="670"/>
    <e v="#N/A"/>
  </r>
  <r>
    <n v="751"/>
    <s v="84710"/>
    <n v="1"/>
    <s v="184710.751"/>
    <s v="כנס מתנדבים                     "/>
    <m/>
    <m/>
    <n v="30000"/>
    <n v="30000"/>
    <n v="27500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5"/>
    <s v="עבודות קבלניות"/>
    <s v="751"/>
    <e v="#N/A"/>
  </r>
  <r>
    <n v="781"/>
    <s v="84710"/>
    <n v="1"/>
    <s v="184710.781"/>
    <s v="פעילות התנדבות בקהילה-כלל עירוני"/>
    <m/>
    <m/>
    <n v="30000"/>
    <n v="30000"/>
    <n v="30000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1"/>
    <e v="#N/A"/>
  </r>
  <r>
    <n v="782"/>
    <s v="84710"/>
    <n v="1"/>
    <s v="184710.782"/>
    <s v="פעילות התנדבות בקהילה - דרום    "/>
    <m/>
    <m/>
    <n v="16000"/>
    <n v="16000"/>
    <n v="14234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2"/>
    <e v="#N/A"/>
  </r>
  <r>
    <n v="783"/>
    <s v="84710"/>
    <n v="1"/>
    <s v="184710.783"/>
    <s v="פעילות התנדבות בקהילה - מרכז צ  "/>
    <m/>
    <m/>
    <n v="16000"/>
    <n v="16000"/>
    <n v="13720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3"/>
    <e v="#N/A"/>
  </r>
  <r>
    <n v="784"/>
    <s v="84710"/>
    <n v="1"/>
    <s v="184710.784"/>
    <s v="פעילות התנדבות בקהילה - מזרח    "/>
    <m/>
    <m/>
    <n v="16000"/>
    <n v="16000"/>
    <n v="19939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4"/>
    <e v="#N/A"/>
  </r>
  <r>
    <n v="786"/>
    <s v="84710"/>
    <n v="1"/>
    <s v="184710.786"/>
    <s v="בנות שרות לאומי                 "/>
    <m/>
    <m/>
    <n v="182000"/>
    <n v="182000"/>
    <n v="181621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6"/>
    <e v="#N/A"/>
  </r>
  <r>
    <n v="787"/>
    <s v="84710"/>
    <n v="1"/>
    <s v="184710.787"/>
    <s v="לשכות שרות לאזרח                "/>
    <m/>
    <m/>
    <n v="32000"/>
    <n v="32000"/>
    <n v="29473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7"/>
    <e v="#N/A"/>
  </r>
  <r>
    <n v="788"/>
    <s v="84710"/>
    <n v="1"/>
    <s v="184710.788"/>
    <s v="נסיעות למתנדבים                 "/>
    <m/>
    <m/>
    <n v="55000"/>
    <n v="55000"/>
    <n v="30000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8"/>
    <e v="#N/A"/>
  </r>
  <r>
    <n v="789"/>
    <s v="84710"/>
    <n v="1"/>
    <s v="184710.789"/>
    <s v="קרן בלה ואברהם לבנטל            "/>
    <m/>
    <m/>
    <n v="100000"/>
    <n v="100000"/>
    <n v="49073"/>
    <m/>
    <x v="7"/>
    <s v="שירותים ממלכתיים"/>
    <x v="36"/>
    <s v="רווחה"/>
    <x v="132"/>
    <s v="שירותי תיקון"/>
    <s v="8471"/>
    <s v="טיפול בחבורות רחוב ונוער במצוקה"/>
    <m/>
    <s v="7"/>
    <x v="13"/>
    <s v="78"/>
    <s v="הוצאות שונות"/>
    <s v="789"/>
    <e v="#N/A"/>
  </r>
  <r>
    <n v="870"/>
    <s v="84710"/>
    <n v="1"/>
    <s v="184710.870"/>
    <s v="סעיף שאינו חוזר                 "/>
    <m/>
    <m/>
    <n v="0"/>
    <n v="10000"/>
    <n v="0"/>
    <m/>
    <x v="7"/>
    <s v="שירותים ממלכתיים"/>
    <x v="36"/>
    <s v="רווחה"/>
    <x v="132"/>
    <s v="שירותי תיקון"/>
    <s v="8471"/>
    <s v="טיפול בחבורות רחוב ונוער במצוקה"/>
    <m/>
    <s v="8"/>
    <x v="16"/>
    <s v="87"/>
    <s v="תמיכות ביחידות סמך ומוסדות הרשות"/>
    <s v="870"/>
    <e v="#N/A"/>
  </r>
  <r>
    <n v="110"/>
    <s v="84720"/>
    <n v="1"/>
    <s v="184720.110"/>
    <s v="משכורת כוללת                    "/>
    <m/>
    <m/>
    <n v="848000"/>
    <n v="794000"/>
    <n v="792469"/>
    <m/>
    <x v="7"/>
    <s v="שירותים ממלכתיים"/>
    <x v="36"/>
    <s v="רווחה"/>
    <x v="132"/>
    <s v="שירותי תיקון"/>
    <s v="8472"/>
    <s v="חסות נוער"/>
    <m/>
    <s v="1"/>
    <x v="9"/>
    <s v="11"/>
    <s v="השכר הקובע"/>
    <s v="110"/>
    <e v="#N/A"/>
  </r>
  <r>
    <n v="124"/>
    <s v="84720"/>
    <n v="1"/>
    <s v="184720.124"/>
    <s v="החזר הוצאות                     "/>
    <m/>
    <m/>
    <n v="49000"/>
    <n v="48000"/>
    <n v="46037"/>
    <m/>
    <x v="7"/>
    <s v="שירותים ממלכתיים"/>
    <x v="36"/>
    <s v="רווחה"/>
    <x v="132"/>
    <s v="שירותי תיקון"/>
    <s v="8472"/>
    <s v="חסות נוער"/>
    <m/>
    <s v="1"/>
    <x v="9"/>
    <s v="12"/>
    <s v="תוספות שאינן נכללות בשכר הקובע"/>
    <s v="124"/>
    <e v="#N/A"/>
  </r>
  <r>
    <n v="126"/>
    <s v="84720"/>
    <n v="1"/>
    <s v="184720.126"/>
    <s v="הבראה                           "/>
    <m/>
    <m/>
    <n v="39000"/>
    <n v="39000"/>
    <n v="37364"/>
    <m/>
    <x v="7"/>
    <s v="שירותים ממלכתיים"/>
    <x v="36"/>
    <s v="רווחה"/>
    <x v="132"/>
    <s v="שירותי תיקון"/>
    <s v="8472"/>
    <s v="חסות נוער"/>
    <m/>
    <s v="1"/>
    <x v="9"/>
    <s v="12"/>
    <s v="תוספות שאינן נכללות בשכר הקובע"/>
    <s v="126"/>
    <e v="#N/A"/>
  </r>
  <r>
    <n v="127"/>
    <s v="84720"/>
    <n v="1"/>
    <s v="184720.127"/>
    <s v="השתתפות באחזקת רכב - 6          "/>
    <m/>
    <m/>
    <n v="173000"/>
    <n v="142000"/>
    <n v="152481"/>
    <m/>
    <x v="7"/>
    <s v="שירותים ממלכתיים"/>
    <x v="36"/>
    <s v="רווחה"/>
    <x v="132"/>
    <s v="שירותי תיקון"/>
    <s v="8472"/>
    <s v="חסות נוער"/>
    <m/>
    <s v="1"/>
    <x v="9"/>
    <s v="12"/>
    <s v="תוספות שאינן נכללות בשכר הקובע"/>
    <s v="127"/>
    <e v="#N/A"/>
  </r>
  <r>
    <n v="130"/>
    <s v="84720"/>
    <n v="1"/>
    <s v="184720.130"/>
    <s v="תשלומים מיוחדים                 "/>
    <m/>
    <m/>
    <n v="118000"/>
    <n v="116000"/>
    <n v="111926"/>
    <m/>
    <x v="7"/>
    <s v="שירותים ממלכתיים"/>
    <x v="36"/>
    <s v="רווחה"/>
    <x v="132"/>
    <s v="שירותי תיקון"/>
    <s v="8472"/>
    <s v="חסות נוער"/>
    <m/>
    <s v="1"/>
    <x v="9"/>
    <s v="13"/>
    <s v="שעות נוספות"/>
    <s v="130"/>
    <e v="#N/A"/>
  </r>
  <r>
    <n v="181"/>
    <s v="84720"/>
    <n v="1"/>
    <s v="184720.181"/>
    <s v="מיסים וביטוח לאומי              "/>
    <m/>
    <m/>
    <n v="166000"/>
    <n v="154000"/>
    <n v="149474"/>
    <m/>
    <x v="7"/>
    <s v="שירותים ממלכתיים"/>
    <x v="36"/>
    <s v="רווחה"/>
    <x v="132"/>
    <s v="שירותי תיקון"/>
    <s v="8472"/>
    <s v="חסות נוער"/>
    <m/>
    <s v="1"/>
    <x v="9"/>
    <s v="18"/>
    <s v="נלוות לשכר"/>
    <s v="181"/>
    <s v="הפרשות סוציאליות"/>
  </r>
  <r>
    <n v="182"/>
    <s v="84720"/>
    <n v="1"/>
    <s v="184720.182"/>
    <s v="קופות גמל והשתלמות              "/>
    <m/>
    <m/>
    <n v="172000"/>
    <n v="158000"/>
    <n v="157920"/>
    <m/>
    <x v="7"/>
    <s v="שירותים ממלכתיים"/>
    <x v="36"/>
    <s v="רווחה"/>
    <x v="132"/>
    <s v="שירותי תיקון"/>
    <s v="8472"/>
    <s v="חסות נוער"/>
    <m/>
    <s v="1"/>
    <x v="9"/>
    <s v="18"/>
    <s v="נלוות לשכר"/>
    <s v="182"/>
    <s v="מיסיום ועלויות"/>
  </r>
  <r>
    <n v="310"/>
    <s v="84720"/>
    <n v="1"/>
    <s v="184720.310"/>
    <s v="שעות נוספות רשומות              "/>
    <m/>
    <m/>
    <n v="40000"/>
    <n v="39000"/>
    <n v="32258"/>
    <m/>
    <x v="7"/>
    <s v="שירותים ממלכתיים"/>
    <x v="36"/>
    <s v="רווחה"/>
    <x v="132"/>
    <s v="שירותי תיקון"/>
    <s v="8472"/>
    <s v="חסות נוער"/>
    <m/>
    <s v="3"/>
    <x v="14"/>
    <s v="31"/>
    <s v="פנסיה"/>
    <s v="310"/>
    <e v="#N/A"/>
  </r>
  <r>
    <n v="411"/>
    <s v="84720"/>
    <n v="1"/>
    <s v="184720.411"/>
    <s v="שכר דירה ודמי חכירה             "/>
    <m/>
    <m/>
    <n v="50000"/>
    <n v="50000"/>
    <n v="42000"/>
    <m/>
    <x v="7"/>
    <s v="שירותים ממלכתיים"/>
    <x v="36"/>
    <s v="רווחה"/>
    <x v="132"/>
    <s v="שירותי תיקון"/>
    <s v="8472"/>
    <s v="חסות נוער"/>
    <m/>
    <s v="4"/>
    <x v="15"/>
    <s v="41"/>
    <s v="שכר דירה ודמי חכירה"/>
    <s v="411"/>
    <e v="#N/A"/>
  </r>
  <r>
    <n v="691"/>
    <s v="84720"/>
    <n v="1"/>
    <s v="184720.691"/>
    <s v="מערכות מידע ומחשוב              "/>
    <m/>
    <m/>
    <n v="160000"/>
    <n v="210000"/>
    <n v="147386"/>
    <m/>
    <x v="7"/>
    <s v="שירותים ממלכתיים"/>
    <x v="36"/>
    <s v="רווחה"/>
    <x v="132"/>
    <s v="שירותי תיקון"/>
    <s v="8472"/>
    <s v="חסות נוער"/>
    <m/>
    <s v="6"/>
    <x v="12"/>
    <s v="69"/>
    <s v="שונות"/>
    <s v="691"/>
    <s v="תשלום ע&quot;ח קרן"/>
  </r>
  <r>
    <n v="781"/>
    <s v="84720"/>
    <n v="1"/>
    <s v="184720.781"/>
    <s v="פעילות קהילתית -כלל עירוני      "/>
    <m/>
    <m/>
    <n v="60000"/>
    <n v="60000"/>
    <n v="55335"/>
    <m/>
    <x v="7"/>
    <s v="שירותים ממלכתיים"/>
    <x v="36"/>
    <s v="רווחה"/>
    <x v="132"/>
    <s v="שירותי תיקון"/>
    <s v="8472"/>
    <s v="חסות נוער"/>
    <m/>
    <s v="7"/>
    <x v="13"/>
    <s v="78"/>
    <s v="הוצאות שונות"/>
    <s v="781"/>
    <e v="#N/A"/>
  </r>
  <r>
    <n v="782"/>
    <s v="84720"/>
    <n v="1"/>
    <s v="184720.782"/>
    <s v="טיפול בחסרי מעמד                "/>
    <m/>
    <m/>
    <n v="3517000"/>
    <n v="3517000"/>
    <n v="1245911"/>
    <m/>
    <x v="7"/>
    <s v="שירותים ממלכתיים"/>
    <x v="36"/>
    <s v="רווחה"/>
    <x v="132"/>
    <s v="שירותי תיקון"/>
    <s v="8472"/>
    <s v="חסות נוער"/>
    <m/>
    <s v="7"/>
    <x v="13"/>
    <s v="78"/>
    <s v="הוצאות שונות"/>
    <s v="782"/>
    <e v="#N/A"/>
  </r>
  <r>
    <n v="811"/>
    <s v="84720"/>
    <n v="1"/>
    <s v="184720.811"/>
    <s v="תמיכות לטיפול בפעוטות של חסרי מע"/>
    <m/>
    <m/>
    <n v="14000000"/>
    <n v="0"/>
    <n v="0"/>
    <m/>
    <x v="7"/>
    <s v="שירותים ממלכתיים"/>
    <x v="36"/>
    <s v="רווחה"/>
    <x v="132"/>
    <s v="שירותי תיקון"/>
    <s v="8472"/>
    <s v="חסות נוער"/>
    <m/>
    <s v="8"/>
    <x v="16"/>
    <s v="81"/>
    <s v="השתתפויות ותרומות למוסדות עפ&quot;י חוק והסכמים"/>
    <s v="811"/>
    <e v="#N/A"/>
  </r>
  <r>
    <n v="812"/>
    <s v="84720"/>
    <n v="1"/>
    <s v="184720.812"/>
    <s v="תמיכות לשכירות מעון פעוטות חסרי "/>
    <m/>
    <m/>
    <n v="4700000"/>
    <n v="0"/>
    <n v="0"/>
    <m/>
    <x v="7"/>
    <s v="שירותים ממלכתיים"/>
    <x v="36"/>
    <s v="רווחה"/>
    <x v="132"/>
    <s v="שירותי תיקון"/>
    <s v="8472"/>
    <s v="חסות נוער"/>
    <m/>
    <s v="8"/>
    <x v="16"/>
    <s v="81"/>
    <s v="השתתפויות ותרומות למוסדות עפ&quot;י חוק והסכמים"/>
    <s v="812"/>
    <e v="#N/A"/>
  </r>
  <r>
    <n v="813"/>
    <s v="84720"/>
    <n v="1"/>
    <s v="184720.813"/>
    <s v="תמיכת ארנונה מעונות פעוטות חסרי "/>
    <m/>
    <m/>
    <n v="300000"/>
    <n v="0"/>
    <n v="0"/>
    <m/>
    <x v="7"/>
    <s v="שירותים ממלכתיים"/>
    <x v="36"/>
    <s v="רווחה"/>
    <x v="132"/>
    <s v="שירותי תיקון"/>
    <s v="8472"/>
    <s v="חסות נוער"/>
    <m/>
    <s v="8"/>
    <x v="16"/>
    <s v="81"/>
    <s v="השתתפויות ותרומות למוסדות עפ&quot;י חוק והסכמים"/>
    <s v="813"/>
    <e v="#N/A"/>
  </r>
  <r>
    <n v="851"/>
    <s v="84720"/>
    <n v="1"/>
    <s v="184720.851"/>
    <s v="מרכז זכויות - חב' מוס' חינוך    "/>
    <m/>
    <m/>
    <n v="100000"/>
    <n v="0"/>
    <n v="0"/>
    <m/>
    <x v="7"/>
    <s v="שירותים ממלכתיים"/>
    <x v="36"/>
    <s v="רווחה"/>
    <x v="132"/>
    <s v="שירותי תיקון"/>
    <s v="8472"/>
    <s v="חסות נוער"/>
    <m/>
    <s v="8"/>
    <x v="16"/>
    <s v="85"/>
    <s v="מלגות לתלמידים וסטודנטים"/>
    <s v="851"/>
    <e v="#N/A"/>
  </r>
  <r>
    <n v="852"/>
    <s v="84720"/>
    <n v="1"/>
    <s v="184720.852"/>
    <s v="מרכז לקורבנות סחר               "/>
    <m/>
    <m/>
    <n v="735000"/>
    <n v="735000"/>
    <n v="343035"/>
    <m/>
    <x v="7"/>
    <s v="שירותים ממלכתיים"/>
    <x v="36"/>
    <s v="רווחה"/>
    <x v="132"/>
    <s v="שירותי תיקון"/>
    <s v="8472"/>
    <s v="חסות נוער"/>
    <m/>
    <s v="8"/>
    <x v="16"/>
    <s v="85"/>
    <s v="מלגות לתלמידים וסטודנטים"/>
    <s v="852"/>
    <e v="#N/A"/>
  </r>
  <r>
    <n v="853"/>
    <s v="84720"/>
    <n v="1"/>
    <s v="184720.853"/>
    <s v="פעילות קהילתית - דרום           "/>
    <m/>
    <m/>
    <n v="39000"/>
    <n v="39000"/>
    <n v="39000"/>
    <m/>
    <x v="7"/>
    <s v="שירותים ממלכתיים"/>
    <x v="36"/>
    <s v="רווחה"/>
    <x v="132"/>
    <s v="שירותי תיקון"/>
    <s v="8472"/>
    <s v="חסות נוער"/>
    <m/>
    <s v="8"/>
    <x v="16"/>
    <s v="85"/>
    <s v="מלגות לתלמידים וסטודנטים"/>
    <s v="853"/>
    <e v="#N/A"/>
  </r>
  <r>
    <n v="854"/>
    <s v="84720"/>
    <n v="1"/>
    <s v="184720.854"/>
    <s v="פעילות קהילתית - מרכז צפון      "/>
    <m/>
    <m/>
    <n v="19000"/>
    <n v="19000"/>
    <n v="19000"/>
    <m/>
    <x v="7"/>
    <s v="שירותים ממלכתיים"/>
    <x v="36"/>
    <s v="רווחה"/>
    <x v="132"/>
    <s v="שירותי תיקון"/>
    <s v="8472"/>
    <s v="חסות נוער"/>
    <m/>
    <s v="8"/>
    <x v="16"/>
    <s v="85"/>
    <s v="מלגות לתלמידים וסטודנטים"/>
    <s v="854"/>
    <e v="#N/A"/>
  </r>
  <r>
    <n v="855"/>
    <s v="84720"/>
    <n v="1"/>
    <s v="184720.855"/>
    <s v="פעילות קהילתית - מזרח           "/>
    <m/>
    <m/>
    <n v="45000"/>
    <n v="45000"/>
    <n v="45000"/>
    <m/>
    <x v="7"/>
    <s v="שירותים ממלכתיים"/>
    <x v="36"/>
    <s v="רווחה"/>
    <x v="132"/>
    <s v="שירותי תיקון"/>
    <s v="8472"/>
    <s v="חסות נוער"/>
    <m/>
    <s v="8"/>
    <x v="16"/>
    <s v="85"/>
    <s v="מלגות לתלמידים וסטודנטים"/>
    <s v="855"/>
    <e v="#N/A"/>
  </r>
  <r>
    <n v="870"/>
    <s v="84720"/>
    <n v="1"/>
    <s v="184720.870"/>
    <s v="סעיף שאינו חוזר                 "/>
    <m/>
    <m/>
    <n v="0"/>
    <n v="100000"/>
    <n v="138705"/>
    <m/>
    <x v="7"/>
    <s v="שירותים ממלכתיים"/>
    <x v="36"/>
    <s v="רווחה"/>
    <x v="132"/>
    <s v="שירותי תיקון"/>
    <s v="8472"/>
    <s v="חסות נוער"/>
    <m/>
    <s v="8"/>
    <x v="16"/>
    <s v="87"/>
    <s v="תמיכות ביחידות סמך ומוסדות הרשות"/>
    <s v="870"/>
    <e v="#N/A"/>
  </r>
  <r>
    <n v="110"/>
    <s v="84730"/>
    <n v="1"/>
    <s v="184730.110"/>
    <s v="משכורת כוללת                    "/>
    <m/>
    <m/>
    <n v="2946000"/>
    <n v="2685000"/>
    <n v="2563941"/>
    <m/>
    <x v="7"/>
    <s v="שירותים ממלכתיים"/>
    <x v="36"/>
    <s v="רווחה"/>
    <x v="132"/>
    <s v="שירותי תיקון"/>
    <s v="8473"/>
    <s v="סמים"/>
    <m/>
    <s v="1"/>
    <x v="9"/>
    <s v="11"/>
    <s v="השכר הקובע"/>
    <s v="110"/>
    <e v="#N/A"/>
  </r>
  <r>
    <n v="124"/>
    <s v="84730"/>
    <n v="1"/>
    <s v="184730.124"/>
    <s v="החזר הוצאות                     "/>
    <m/>
    <m/>
    <n v="228000"/>
    <n v="218000"/>
    <n v="207690"/>
    <m/>
    <x v="7"/>
    <s v="שירותים ממלכתיים"/>
    <x v="36"/>
    <s v="רווחה"/>
    <x v="132"/>
    <s v="שירותי תיקון"/>
    <s v="8473"/>
    <s v="סמים"/>
    <m/>
    <s v="1"/>
    <x v="9"/>
    <s v="12"/>
    <s v="תוספות שאינן נכללות בשכר הקובע"/>
    <s v="124"/>
    <e v="#N/A"/>
  </r>
  <r>
    <n v="126"/>
    <s v="84730"/>
    <n v="1"/>
    <s v="184730.126"/>
    <s v="הבראה                           "/>
    <m/>
    <m/>
    <n v="157000"/>
    <n v="157000"/>
    <n v="148014"/>
    <m/>
    <x v="7"/>
    <s v="שירותים ממלכתיים"/>
    <x v="36"/>
    <s v="רווחה"/>
    <x v="132"/>
    <s v="שירותי תיקון"/>
    <s v="8473"/>
    <s v="סמים"/>
    <m/>
    <s v="1"/>
    <x v="9"/>
    <s v="12"/>
    <s v="תוספות שאינן נכללות בשכר הקובע"/>
    <s v="126"/>
    <e v="#N/A"/>
  </r>
  <r>
    <n v="127"/>
    <s v="84730"/>
    <n v="1"/>
    <s v="184730.127"/>
    <s v="השתתפות באחזקת רכב - 23         "/>
    <m/>
    <m/>
    <n v="434000"/>
    <n v="368000"/>
    <n v="377596"/>
    <m/>
    <x v="7"/>
    <s v="שירותים ממלכתיים"/>
    <x v="36"/>
    <s v="רווחה"/>
    <x v="132"/>
    <s v="שירותי תיקון"/>
    <s v="8473"/>
    <s v="סמים"/>
    <m/>
    <s v="1"/>
    <x v="9"/>
    <s v="12"/>
    <s v="תוספות שאינן נכללות בשכר הקובע"/>
    <s v="127"/>
    <e v="#N/A"/>
  </r>
  <r>
    <n v="130"/>
    <s v="84730"/>
    <n v="1"/>
    <s v="184730.130"/>
    <s v="תשלומים מיוחדים                 "/>
    <m/>
    <m/>
    <n v="806000"/>
    <n v="837000"/>
    <n v="765132"/>
    <m/>
    <x v="7"/>
    <s v="שירותים ממלכתיים"/>
    <x v="36"/>
    <s v="רווחה"/>
    <x v="132"/>
    <s v="שירותי תיקון"/>
    <s v="8473"/>
    <s v="סמים"/>
    <m/>
    <s v="1"/>
    <x v="9"/>
    <s v="13"/>
    <s v="שעות נוספות"/>
    <s v="130"/>
    <e v="#N/A"/>
  </r>
  <r>
    <n v="181"/>
    <s v="84730"/>
    <n v="1"/>
    <s v="184730.181"/>
    <s v="מיסים וביטוח לאומי              "/>
    <m/>
    <m/>
    <n v="629000"/>
    <n v="588000"/>
    <n v="546686"/>
    <m/>
    <x v="7"/>
    <s v="שירותים ממלכתיים"/>
    <x v="36"/>
    <s v="רווחה"/>
    <x v="132"/>
    <s v="שירותי תיקון"/>
    <s v="8473"/>
    <s v="סמים"/>
    <m/>
    <s v="1"/>
    <x v="9"/>
    <s v="18"/>
    <s v="נלוות לשכר"/>
    <s v="181"/>
    <s v="הפרשות סוציאליות"/>
  </r>
  <r>
    <n v="182"/>
    <s v="84730"/>
    <n v="1"/>
    <s v="184730.182"/>
    <s v="קופות גמל והשתלמות              "/>
    <m/>
    <m/>
    <n v="729000"/>
    <n v="695000"/>
    <n v="643418"/>
    <m/>
    <x v="7"/>
    <s v="שירותים ממלכתיים"/>
    <x v="36"/>
    <s v="רווחה"/>
    <x v="132"/>
    <s v="שירותי תיקון"/>
    <s v="8473"/>
    <s v="סמים"/>
    <m/>
    <s v="1"/>
    <x v="9"/>
    <s v="18"/>
    <s v="נלוות לשכר"/>
    <s v="182"/>
    <s v="מיסיום ועלויות"/>
  </r>
  <r>
    <n v="230"/>
    <s v="84730"/>
    <n v="1"/>
    <s v="184730.230"/>
    <s v="משימה חולפת-1                   "/>
    <m/>
    <m/>
    <n v="90000"/>
    <n v="86000"/>
    <n v="51763"/>
    <m/>
    <x v="7"/>
    <s v="שירותים ממלכתיים"/>
    <x v="36"/>
    <s v="רווחה"/>
    <x v="132"/>
    <s v="שירותי תיקון"/>
    <s v="8473"/>
    <s v="סמים"/>
    <m/>
    <s v="2"/>
    <x v="10"/>
    <s v="23"/>
    <s v="שעות נוספות"/>
    <s v="230"/>
    <e v="#N/A"/>
  </r>
  <r>
    <n v="310"/>
    <s v="84730"/>
    <n v="1"/>
    <s v="184730.310"/>
    <s v="שעות נוספות רשומות              "/>
    <m/>
    <m/>
    <n v="119000"/>
    <n v="117000"/>
    <n v="139062"/>
    <m/>
    <x v="7"/>
    <s v="שירותים ממלכתיים"/>
    <x v="36"/>
    <s v="רווחה"/>
    <x v="132"/>
    <s v="שירותי תיקון"/>
    <s v="8473"/>
    <s v="סמים"/>
    <m/>
    <s v="3"/>
    <x v="14"/>
    <s v="31"/>
    <s v="פנסיה"/>
    <s v="310"/>
    <e v="#N/A"/>
  </r>
  <r>
    <n v="340"/>
    <s v="84730"/>
    <n v="1"/>
    <s v="184730.340"/>
    <s v="שעות נוספות מיוחדות             "/>
    <m/>
    <m/>
    <n v="28000"/>
    <n v="27000"/>
    <n v="56006"/>
    <m/>
    <x v="7"/>
    <s v="שירותים ממלכתיים"/>
    <x v="36"/>
    <s v="רווחה"/>
    <x v="132"/>
    <s v="שירותי תיקון"/>
    <s v="8473"/>
    <s v="סמים"/>
    <m/>
    <s v="3"/>
    <x v="14"/>
    <s v="34"/>
    <e v="#N/A"/>
    <s v="340"/>
    <e v="#N/A"/>
  </r>
  <r>
    <n v="411"/>
    <s v="84730"/>
    <n v="1"/>
    <s v="184730.411"/>
    <s v="שכר דירה                        "/>
    <m/>
    <m/>
    <n v="65000"/>
    <n v="63000"/>
    <n v="59857"/>
    <m/>
    <x v="7"/>
    <s v="שירותים ממלכתיים"/>
    <x v="36"/>
    <s v="רווחה"/>
    <x v="132"/>
    <s v="שירותי תיקון"/>
    <s v="8473"/>
    <s v="סמים"/>
    <m/>
    <s v="4"/>
    <x v="15"/>
    <s v="41"/>
    <s v="שכר דירה ודמי חכירה"/>
    <s v="411"/>
    <e v="#N/A"/>
  </r>
  <r>
    <n v="691"/>
    <s v="84730"/>
    <n v="1"/>
    <s v="184730.691"/>
    <s v="מערכות מידע ומחשוב              "/>
    <m/>
    <m/>
    <n v="510000"/>
    <n v="520000"/>
    <n v="398356"/>
    <m/>
    <x v="7"/>
    <s v="שירותים ממלכתיים"/>
    <x v="36"/>
    <s v="רווחה"/>
    <x v="132"/>
    <s v="שירותי תיקון"/>
    <s v="8473"/>
    <s v="סמים"/>
    <m/>
    <s v="6"/>
    <x v="12"/>
    <s v="69"/>
    <s v="שונות"/>
    <s v="691"/>
    <s v="תשלום ע&quot;ח קרן"/>
  </r>
  <r>
    <n v="781"/>
    <s v="84730"/>
    <n v="1"/>
    <s v="184730.781"/>
    <s v="בדיקות שתן                      "/>
    <m/>
    <m/>
    <n v="130000"/>
    <n v="150000"/>
    <n v="74532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1"/>
    <e v="#N/A"/>
  </r>
  <r>
    <n v="783"/>
    <s v="84730"/>
    <n v="1"/>
    <s v="184730.783"/>
    <s v="מרכז יום לנוער בסמים            "/>
    <m/>
    <m/>
    <n v="448000"/>
    <n v="448000"/>
    <n v="361975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3"/>
    <e v="#N/A"/>
  </r>
  <r>
    <n v="784"/>
    <s v="84730"/>
    <n v="1"/>
    <s v="184730.784"/>
    <s v="פרויקט אוניברסיטה לעם           "/>
    <m/>
    <m/>
    <n v="16000"/>
    <n v="16000"/>
    <n v="14200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4"/>
    <e v="#N/A"/>
  </r>
  <r>
    <n v="785"/>
    <s v="84730"/>
    <n v="1"/>
    <s v="184730.785"/>
    <s v="טיפול בעולים נפגעי סמים         "/>
    <m/>
    <m/>
    <n v="32000"/>
    <n v="32000"/>
    <n v="16041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5"/>
    <e v="#N/A"/>
  </r>
  <r>
    <n v="786"/>
    <s v="84730"/>
    <n v="1"/>
    <s v="184730.786"/>
    <s v="טיפול באלכוהוליסטים             "/>
    <m/>
    <m/>
    <n v="600000"/>
    <n v="600000"/>
    <n v="516434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6"/>
    <e v="#N/A"/>
  </r>
  <r>
    <n v="787"/>
    <s v="84730"/>
    <n v="1"/>
    <s v="184730.787"/>
    <s v="טיפול בניגמלים - מסגרות יומיות  "/>
    <m/>
    <m/>
    <n v="600000"/>
    <n v="600000"/>
    <n v="747717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7"/>
    <e v="#N/A"/>
  </r>
  <r>
    <n v="788"/>
    <s v="84730"/>
    <n v="1"/>
    <s v="184730.788"/>
    <s v="פעילויות לנגמלים                "/>
    <m/>
    <m/>
    <n v="32000"/>
    <n v="32000"/>
    <n v="31734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8"/>
    <e v="#N/A"/>
  </r>
  <r>
    <n v="789"/>
    <s v="84730"/>
    <n v="1"/>
    <s v="184730.789"/>
    <s v="טיפול במכורי סמים בתמח ת        "/>
    <m/>
    <m/>
    <n v="60000"/>
    <n v="60000"/>
    <n v="36357"/>
    <m/>
    <x v="7"/>
    <s v="שירותים ממלכתיים"/>
    <x v="36"/>
    <s v="רווחה"/>
    <x v="132"/>
    <s v="שירותי תיקון"/>
    <s v="8473"/>
    <s v="סמים"/>
    <m/>
    <s v="7"/>
    <x v="13"/>
    <s v="78"/>
    <s v="הוצאות שונות"/>
    <s v="789"/>
    <e v="#N/A"/>
  </r>
  <r>
    <n v="851"/>
    <s v="84730"/>
    <n v="1"/>
    <s v="184730.851"/>
    <s v="הפעלת מ.יום לנגמלים ע י מוס ח   "/>
    <m/>
    <m/>
    <n v="400000"/>
    <n v="400000"/>
    <n v="117000"/>
    <m/>
    <x v="7"/>
    <s v="שירותים ממלכתיים"/>
    <x v="36"/>
    <s v="רווחה"/>
    <x v="132"/>
    <s v="שירותי תיקון"/>
    <s v="8473"/>
    <s v="סמים"/>
    <m/>
    <s v="8"/>
    <x v="16"/>
    <s v="85"/>
    <s v="מלגות לתלמידים וסטודנטים"/>
    <s v="851"/>
    <e v="#N/A"/>
  </r>
  <r>
    <n v="852"/>
    <s v="84730"/>
    <n v="1"/>
    <s v="184730.852"/>
    <s v="פעולות לשיקום האסיר             "/>
    <m/>
    <m/>
    <n v="78000"/>
    <n v="78000"/>
    <n v="70726"/>
    <m/>
    <x v="7"/>
    <s v="שירותים ממלכתיים"/>
    <x v="36"/>
    <s v="רווחה"/>
    <x v="132"/>
    <s v="שירותי תיקון"/>
    <s v="8473"/>
    <s v="סמים"/>
    <m/>
    <s v="8"/>
    <x v="16"/>
    <s v="85"/>
    <s v="מלגות לתלמידים וסטודנטים"/>
    <s v="852"/>
    <e v="#N/A"/>
  </r>
  <r>
    <n v="853"/>
    <s v="84730"/>
    <n v="1"/>
    <s v="184730.853"/>
    <s v="תעסוקה למכורים                  "/>
    <m/>
    <m/>
    <n v="266000"/>
    <n v="266000"/>
    <n v="199494"/>
    <m/>
    <x v="7"/>
    <s v="שירותים ממלכתיים"/>
    <x v="36"/>
    <s v="רווחה"/>
    <x v="132"/>
    <s v="שירותי תיקון"/>
    <s v="8473"/>
    <s v="סמים"/>
    <m/>
    <s v="8"/>
    <x v="16"/>
    <s v="85"/>
    <s v="מלגות לתלמידים וסטודנטים"/>
    <s v="853"/>
    <e v="#N/A"/>
  </r>
  <r>
    <n v="881"/>
    <s v="84730"/>
    <n v="1"/>
    <s v="184730.881"/>
    <s v="השתת' לעמותה לשיקום האסיר       "/>
    <m/>
    <m/>
    <n v="50000"/>
    <n v="50000"/>
    <n v="0"/>
    <m/>
    <x v="7"/>
    <s v="שירותים ממלכתיים"/>
    <x v="36"/>
    <s v="רווחה"/>
    <x v="132"/>
    <s v="שירותי תיקון"/>
    <s v="8473"/>
    <s v="סמים"/>
    <m/>
    <s v="8"/>
    <x v="16"/>
    <s v="88"/>
    <e v="#N/A"/>
    <s v="881"/>
    <e v="#N/A"/>
  </r>
  <r>
    <n v="882"/>
    <s v="84730"/>
    <n v="1"/>
    <s v="184730.882"/>
    <s v="השתת' לעמותת אל סם סניף ת א     "/>
    <m/>
    <m/>
    <n v="30000"/>
    <n v="30000"/>
    <n v="30000"/>
    <m/>
    <x v="7"/>
    <s v="שירותים ממלכתיים"/>
    <x v="36"/>
    <s v="רווחה"/>
    <x v="132"/>
    <s v="שירותי תיקון"/>
    <s v="8473"/>
    <s v="סמים"/>
    <m/>
    <s v="8"/>
    <x v="16"/>
    <s v="88"/>
    <e v="#N/A"/>
    <s v="882"/>
    <e v="#N/A"/>
  </r>
  <r>
    <n v="411"/>
    <s v="84742"/>
    <n v="1"/>
    <s v="184742.411"/>
    <s v="שכר דירה                        "/>
    <m/>
    <m/>
    <n v="100000"/>
    <n v="91000"/>
    <n v="88383"/>
    <m/>
    <x v="7"/>
    <s v="שירותים ממלכתיים"/>
    <x v="36"/>
    <s v="רווחה"/>
    <x v="132"/>
    <s v="שירותי תיקון"/>
    <s v="8474"/>
    <s v="מפתנים"/>
    <m/>
    <s v="4"/>
    <x v="15"/>
    <s v="41"/>
    <s v="שכר דירה ודמי חכירה"/>
    <s v="411"/>
    <e v="#N/A"/>
  </r>
  <r>
    <n v="881"/>
    <s v="84742"/>
    <n v="1"/>
    <s v="184742.881"/>
    <s v="הפעלת מועדון למכורי סמים        "/>
    <m/>
    <m/>
    <n v="357000"/>
    <n v="357000"/>
    <n v="334604"/>
    <m/>
    <x v="7"/>
    <s v="שירותים ממלכתיים"/>
    <x v="36"/>
    <s v="רווחה"/>
    <x v="132"/>
    <s v="שירותי תיקון"/>
    <s v="8474"/>
    <s v="מפתנים"/>
    <m/>
    <s v="8"/>
    <x v="16"/>
    <s v="88"/>
    <e v="#N/A"/>
    <s v="881"/>
    <e v="#N/A"/>
  </r>
  <r>
    <n v="110"/>
    <s v="84819"/>
    <n v="1"/>
    <s v="184819.110"/>
    <s v="משכורת כוללת                    "/>
    <m/>
    <m/>
    <n v="290000"/>
    <n v="312000"/>
    <n v="295982"/>
    <m/>
    <x v="7"/>
    <s v="שירותים ממלכתיים"/>
    <x v="36"/>
    <s v="רווחה"/>
    <x v="133"/>
    <s v="עבודה קהילתית"/>
    <s v="8481"/>
    <e v="#N/A"/>
    <m/>
    <s v="1"/>
    <x v="9"/>
    <s v="11"/>
    <s v="השכר הקובע"/>
    <s v="110"/>
    <e v="#N/A"/>
  </r>
  <r>
    <n v="124"/>
    <s v="84819"/>
    <n v="1"/>
    <s v="184819.124"/>
    <s v="החזר הוצאות                     "/>
    <m/>
    <m/>
    <n v="27000"/>
    <n v="27000"/>
    <n v="26299"/>
    <m/>
    <x v="7"/>
    <s v="שירותים ממלכתיים"/>
    <x v="36"/>
    <s v="רווחה"/>
    <x v="133"/>
    <s v="עבודה קהילתית"/>
    <s v="8481"/>
    <e v="#N/A"/>
    <m/>
    <s v="1"/>
    <x v="9"/>
    <s v="12"/>
    <s v="תוספות שאינן נכללות בשכר הקובע"/>
    <s v="124"/>
    <e v="#N/A"/>
  </r>
  <r>
    <n v="126"/>
    <s v="84819"/>
    <n v="1"/>
    <s v="184819.126"/>
    <s v="הבראה                           "/>
    <m/>
    <m/>
    <n v="18000"/>
    <n v="19000"/>
    <n v="18509"/>
    <m/>
    <x v="7"/>
    <s v="שירותים ממלכתיים"/>
    <x v="36"/>
    <s v="רווחה"/>
    <x v="133"/>
    <s v="עבודה קהילתית"/>
    <s v="8481"/>
    <e v="#N/A"/>
    <m/>
    <s v="1"/>
    <x v="9"/>
    <s v="12"/>
    <s v="תוספות שאינן נכללות בשכר הקובע"/>
    <s v="126"/>
    <e v="#N/A"/>
  </r>
  <r>
    <n v="127"/>
    <s v="84819"/>
    <n v="1"/>
    <s v="184819.127"/>
    <s v="השתתפות באחזקת רכב - 3          "/>
    <m/>
    <m/>
    <n v="41000"/>
    <n v="42000"/>
    <n v="44319"/>
    <m/>
    <x v="7"/>
    <s v="שירותים ממלכתיים"/>
    <x v="36"/>
    <s v="רווחה"/>
    <x v="133"/>
    <s v="עבודה קהילתית"/>
    <s v="8481"/>
    <e v="#N/A"/>
    <m/>
    <s v="1"/>
    <x v="9"/>
    <s v="12"/>
    <s v="תוספות שאינן נכללות בשכר הקובע"/>
    <s v="127"/>
    <e v="#N/A"/>
  </r>
  <r>
    <n v="130"/>
    <s v="84819"/>
    <n v="1"/>
    <s v="184819.130"/>
    <s v="תשלומים מיוחדים                 "/>
    <m/>
    <m/>
    <n v="50000"/>
    <n v="57000"/>
    <n v="51932"/>
    <m/>
    <x v="7"/>
    <s v="שירותים ממלכתיים"/>
    <x v="36"/>
    <s v="רווחה"/>
    <x v="133"/>
    <s v="עבודה קהילתית"/>
    <s v="8481"/>
    <e v="#N/A"/>
    <m/>
    <s v="1"/>
    <x v="9"/>
    <s v="13"/>
    <s v="שעות נוספות"/>
    <s v="130"/>
    <e v="#N/A"/>
  </r>
  <r>
    <n v="181"/>
    <s v="84819"/>
    <n v="1"/>
    <s v="184819.181"/>
    <s v="מיסים וביטוח לאומי              "/>
    <m/>
    <m/>
    <n v="65000"/>
    <n v="72000"/>
    <n v="64995"/>
    <m/>
    <x v="7"/>
    <s v="שירותים ממלכתיים"/>
    <x v="36"/>
    <s v="רווחה"/>
    <x v="133"/>
    <s v="עבודה קהילתית"/>
    <s v="8481"/>
    <e v="#N/A"/>
    <m/>
    <s v="1"/>
    <x v="9"/>
    <s v="18"/>
    <s v="נלוות לשכר"/>
    <s v="181"/>
    <s v="הפרשות סוציאליות"/>
  </r>
  <r>
    <n v="182"/>
    <s v="84819"/>
    <n v="1"/>
    <s v="184819.182"/>
    <s v="קופות גמל והשתלמות              "/>
    <m/>
    <m/>
    <n v="89000"/>
    <n v="102000"/>
    <n v="95340"/>
    <m/>
    <x v="7"/>
    <s v="שירותים ממלכתיים"/>
    <x v="36"/>
    <s v="רווחה"/>
    <x v="133"/>
    <s v="עבודה קהילתית"/>
    <s v="8481"/>
    <e v="#N/A"/>
    <m/>
    <s v="1"/>
    <x v="9"/>
    <s v="18"/>
    <s v="נלוות לשכר"/>
    <s v="182"/>
    <s v="מיסיום ועלויות"/>
  </r>
  <r>
    <n v="230"/>
    <s v="84819"/>
    <n v="1"/>
    <s v="184819.230"/>
    <s v="משימות חולפות-07.5              "/>
    <m/>
    <m/>
    <n v="63000"/>
    <n v="92000"/>
    <n v="84747"/>
    <m/>
    <x v="7"/>
    <s v="שירותים ממלכתיים"/>
    <x v="36"/>
    <s v="רווחה"/>
    <x v="133"/>
    <s v="עבודה קהילתית"/>
    <s v="8481"/>
    <e v="#N/A"/>
    <m/>
    <s v="2"/>
    <x v="10"/>
    <s v="23"/>
    <s v="שעות נוספות"/>
    <s v="230"/>
    <e v="#N/A"/>
  </r>
  <r>
    <n v="310"/>
    <s v="84819"/>
    <n v="1"/>
    <s v="184819.310"/>
    <s v="שעות נוספות רשומות              "/>
    <m/>
    <m/>
    <n v="7000"/>
    <n v="7000"/>
    <n v="1078"/>
    <m/>
    <x v="7"/>
    <s v="שירותים ממלכתיים"/>
    <x v="36"/>
    <s v="רווחה"/>
    <x v="133"/>
    <s v="עבודה קהילתית"/>
    <s v="8481"/>
    <e v="#N/A"/>
    <m/>
    <s v="3"/>
    <x v="14"/>
    <s v="31"/>
    <s v="פנסיה"/>
    <s v="310"/>
    <e v="#N/A"/>
  </r>
  <r>
    <n v="781"/>
    <s v="84819"/>
    <n v="1"/>
    <s v="184819.781"/>
    <s v="הפעלת שיקום שכונות              "/>
    <m/>
    <m/>
    <n v="30000"/>
    <n v="30000"/>
    <n v="6498"/>
    <m/>
    <x v="7"/>
    <s v="שירותים ממלכתיים"/>
    <x v="36"/>
    <s v="רווחה"/>
    <x v="133"/>
    <s v="עבודה קהילתית"/>
    <s v="8481"/>
    <e v="#N/A"/>
    <m/>
    <s v="7"/>
    <x v="13"/>
    <s v="78"/>
    <s v="הוצאות שונות"/>
    <s v="781"/>
    <e v="#N/A"/>
  </r>
  <r>
    <n v="831"/>
    <s v="85110"/>
    <n v="1"/>
    <s v="185110.831"/>
    <s v="הקצבה שוטפת למועצה הדתית        "/>
    <m/>
    <m/>
    <n v="18500000"/>
    <n v="18500000"/>
    <n v="18477000"/>
    <m/>
    <x v="7"/>
    <s v="שירותים ממלכתיים"/>
    <x v="37"/>
    <s v="דת"/>
    <x v="134"/>
    <s v="השתתפות בתקציב המועצה הדתית"/>
    <s v="8511"/>
    <e v="#N/A"/>
    <m/>
    <s v="8"/>
    <x v="16"/>
    <s v="83"/>
    <e v="#N/A"/>
    <s v="831"/>
    <e v="#N/A"/>
  </r>
  <r>
    <n v="110"/>
    <s v="86110"/>
    <n v="1"/>
    <s v="186110.110"/>
    <s v="משכורת כוללת                    "/>
    <m/>
    <m/>
    <n v="599000"/>
    <n v="476000"/>
    <n v="476268"/>
    <m/>
    <x v="7"/>
    <s v="שירותים ממלכתיים"/>
    <x v="38"/>
    <s v="קליטת עליה"/>
    <x v="135"/>
    <e v="#N/A"/>
    <s v="8611"/>
    <e v="#N/A"/>
    <m/>
    <s v="1"/>
    <x v="9"/>
    <s v="11"/>
    <s v="השכר הקובע"/>
    <s v="110"/>
    <e v="#N/A"/>
  </r>
  <r>
    <n v="124"/>
    <s v="86110"/>
    <n v="1"/>
    <s v="186110.124"/>
    <s v="החזר הוצאות                     "/>
    <m/>
    <m/>
    <n v="31000"/>
    <n v="30000"/>
    <n v="29202"/>
    <m/>
    <x v="7"/>
    <s v="שירותים ממלכתיים"/>
    <x v="38"/>
    <s v="קליטת עליה"/>
    <x v="135"/>
    <e v="#N/A"/>
    <s v="8611"/>
    <e v="#N/A"/>
    <m/>
    <s v="1"/>
    <x v="9"/>
    <s v="12"/>
    <s v="תוספות שאינן נכללות בשכר הקובע"/>
    <s v="124"/>
    <e v="#N/A"/>
  </r>
  <r>
    <n v="126"/>
    <s v="86110"/>
    <n v="1"/>
    <s v="186110.126"/>
    <s v="הבראה                           "/>
    <m/>
    <m/>
    <n v="28000"/>
    <n v="22000"/>
    <n v="21777"/>
    <m/>
    <x v="7"/>
    <s v="שירותים ממלכתיים"/>
    <x v="38"/>
    <s v="קליטת עליה"/>
    <x v="135"/>
    <e v="#N/A"/>
    <s v="8611"/>
    <e v="#N/A"/>
    <m/>
    <s v="1"/>
    <x v="9"/>
    <s v="12"/>
    <s v="תוספות שאינן נכללות בשכר הקובע"/>
    <s v="126"/>
    <e v="#N/A"/>
  </r>
  <r>
    <n v="127"/>
    <s v="86110"/>
    <n v="1"/>
    <s v="186110.127"/>
    <s v="השתתפות באחזקת רכב - 4          "/>
    <m/>
    <m/>
    <n v="107000"/>
    <n v="87000"/>
    <n v="81619"/>
    <m/>
    <x v="7"/>
    <s v="שירותים ממלכתיים"/>
    <x v="38"/>
    <s v="קליטת עליה"/>
    <x v="135"/>
    <e v="#N/A"/>
    <s v="8611"/>
    <e v="#N/A"/>
    <m/>
    <s v="1"/>
    <x v="9"/>
    <s v="12"/>
    <s v="תוספות שאינן נכללות בשכר הקובע"/>
    <s v="127"/>
    <e v="#N/A"/>
  </r>
  <r>
    <n v="130"/>
    <s v="86110"/>
    <n v="1"/>
    <s v="186110.130"/>
    <s v="תשלומים מיוחדים                 "/>
    <m/>
    <m/>
    <n v="125000"/>
    <n v="92000"/>
    <n v="87452"/>
    <m/>
    <x v="7"/>
    <s v="שירותים ממלכתיים"/>
    <x v="38"/>
    <s v="קליטת עליה"/>
    <x v="135"/>
    <e v="#N/A"/>
    <s v="8611"/>
    <e v="#N/A"/>
    <m/>
    <s v="1"/>
    <x v="9"/>
    <s v="13"/>
    <s v="שעות נוספות"/>
    <s v="130"/>
    <e v="#N/A"/>
  </r>
  <r>
    <n v="181"/>
    <s v="86110"/>
    <n v="1"/>
    <s v="186110.181"/>
    <s v="מיסים וביטוח לאומי              "/>
    <m/>
    <m/>
    <n v="117000"/>
    <n v="92000"/>
    <n v="88055"/>
    <m/>
    <x v="7"/>
    <s v="שירותים ממלכתיים"/>
    <x v="38"/>
    <s v="קליטת עליה"/>
    <x v="135"/>
    <e v="#N/A"/>
    <s v="8611"/>
    <e v="#N/A"/>
    <m/>
    <s v="1"/>
    <x v="9"/>
    <s v="18"/>
    <s v="נלוות לשכר"/>
    <s v="181"/>
    <s v="הפרשות סוציאליות"/>
  </r>
  <r>
    <n v="182"/>
    <s v="86110"/>
    <n v="1"/>
    <s v="186110.182"/>
    <s v="קופות גמל והשתלמות              "/>
    <m/>
    <m/>
    <n v="112000"/>
    <n v="80000"/>
    <n v="74547"/>
    <m/>
    <x v="7"/>
    <s v="שירותים ממלכתיים"/>
    <x v="38"/>
    <s v="קליטת עליה"/>
    <x v="135"/>
    <e v="#N/A"/>
    <s v="8611"/>
    <e v="#N/A"/>
    <m/>
    <s v="1"/>
    <x v="9"/>
    <s v="18"/>
    <s v="נלוות לשכר"/>
    <s v="182"/>
    <s v="מיסיום ועלויות"/>
  </r>
  <r>
    <n v="310"/>
    <s v="86110"/>
    <n v="1"/>
    <s v="186110.310"/>
    <s v="שעות נוספות רשומות              "/>
    <m/>
    <m/>
    <n v="1000"/>
    <n v="1000"/>
    <n v="9159"/>
    <m/>
    <x v="7"/>
    <s v="שירותים ממלכתיים"/>
    <x v="38"/>
    <s v="קליטת עליה"/>
    <x v="135"/>
    <e v="#N/A"/>
    <s v="8611"/>
    <e v="#N/A"/>
    <m/>
    <s v="3"/>
    <x v="14"/>
    <s v="31"/>
    <s v="פנסיה"/>
    <s v="310"/>
    <e v="#N/A"/>
  </r>
  <r>
    <n v="431"/>
    <s v="86110"/>
    <n v="1"/>
    <s v="186110.431"/>
    <s v="מים                             "/>
    <m/>
    <m/>
    <n v="1000"/>
    <n v="1000"/>
    <n v="310"/>
    <m/>
    <x v="7"/>
    <s v="שירותים ממלכתיים"/>
    <x v="38"/>
    <s v="קליטת עליה"/>
    <x v="135"/>
    <e v="#N/A"/>
    <s v="8611"/>
    <e v="#N/A"/>
    <m/>
    <s v="4"/>
    <x v="15"/>
    <s v="43"/>
    <s v="חשמל, מים וחומרי ניקיון"/>
    <s v="431"/>
    <s v="חשמל"/>
  </r>
  <r>
    <n v="433"/>
    <s v="86110"/>
    <n v="1"/>
    <s v="186110.433"/>
    <s v="ביטוח                           "/>
    <m/>
    <m/>
    <n v="12000"/>
    <n v="9000"/>
    <n v="8000"/>
    <m/>
    <x v="7"/>
    <s v="שירותים ממלכתיים"/>
    <x v="38"/>
    <s v="קליטת עליה"/>
    <x v="135"/>
    <e v="#N/A"/>
    <s v="8611"/>
    <e v="#N/A"/>
    <m/>
    <s v="4"/>
    <x v="15"/>
    <s v="43"/>
    <s v="חשמל, מים וחומרי ניקיון"/>
    <s v="433"/>
    <s v="חומרי ניקיון"/>
  </r>
  <r>
    <n v="434"/>
    <s v="86110"/>
    <n v="1"/>
    <s v="186110.434"/>
    <s v="תקוני מבנים  מתקנים ואינונטר    "/>
    <m/>
    <m/>
    <n v="6000"/>
    <n v="6000"/>
    <n v="5815"/>
    <m/>
    <x v="7"/>
    <s v="שירותים ממלכתיים"/>
    <x v="38"/>
    <s v="קליטת עליה"/>
    <x v="135"/>
    <e v="#N/A"/>
    <s v="8611"/>
    <e v="#N/A"/>
    <m/>
    <s v="4"/>
    <x v="15"/>
    <s v="43"/>
    <s v="חשמל, מים וחומרי ניקיון"/>
    <s v="434"/>
    <s v="שירותי ניקיון"/>
  </r>
  <r>
    <n v="435"/>
    <s v="86110"/>
    <n v="1"/>
    <s v="186110.435"/>
    <s v="חשמל ואנרגיה                    "/>
    <m/>
    <m/>
    <n v="10000"/>
    <n v="10000"/>
    <n v="1230"/>
    <m/>
    <x v="7"/>
    <s v="שירותים ממלכתיים"/>
    <x v="38"/>
    <s v="קליטת עליה"/>
    <x v="135"/>
    <e v="#N/A"/>
    <s v="8611"/>
    <e v="#N/A"/>
    <m/>
    <s v="4"/>
    <x v="15"/>
    <s v="43"/>
    <s v="חשמל, מים וחומרי ניקיון"/>
    <s v="435"/>
    <e v="#N/A"/>
  </r>
  <r>
    <n v="437"/>
    <s v="86110"/>
    <n v="1"/>
    <s v="186110.437"/>
    <s v="שמירה                           "/>
    <m/>
    <m/>
    <n v="174000"/>
    <n v="112000"/>
    <n v="151028"/>
    <m/>
    <x v="7"/>
    <s v="שירותים ממלכתיים"/>
    <x v="38"/>
    <s v="קליטת עליה"/>
    <x v="135"/>
    <e v="#N/A"/>
    <s v="8611"/>
    <e v="#N/A"/>
    <m/>
    <s v="4"/>
    <x v="15"/>
    <s v="43"/>
    <s v="חשמל, מים וחומרי ניקיון"/>
    <s v="437"/>
    <e v="#N/A"/>
  </r>
  <r>
    <n v="461"/>
    <s v="86110"/>
    <n v="1"/>
    <s v="186110.461"/>
    <s v="צורכי משרד                      "/>
    <m/>
    <m/>
    <n v="9000"/>
    <n v="6000"/>
    <n v="5197"/>
    <m/>
    <x v="7"/>
    <s v="שירותים ממלכתיים"/>
    <x v="38"/>
    <s v="קליטת עליה"/>
    <x v="135"/>
    <e v="#N/A"/>
    <s v="8611"/>
    <e v="#N/A"/>
    <m/>
    <s v="4"/>
    <x v="15"/>
    <s v="46"/>
    <e v="#N/A"/>
    <s v="461"/>
    <e v="#N/A"/>
  </r>
  <r>
    <n v="610"/>
    <s v="86110"/>
    <n v="1"/>
    <s v="186110.610"/>
    <s v="כיבודים                         "/>
    <m/>
    <m/>
    <n v="6000"/>
    <n v="5000"/>
    <n v="5094"/>
    <m/>
    <x v="7"/>
    <s v="שירותים ממלכתיים"/>
    <x v="38"/>
    <s v="קליטת עליה"/>
    <x v="135"/>
    <e v="#N/A"/>
    <s v="8611"/>
    <e v="#N/A"/>
    <m/>
    <s v="6"/>
    <x v="12"/>
    <s v="61"/>
    <s v="עמלות"/>
    <s v="610"/>
    <e v="#N/A"/>
  </r>
  <r>
    <n v="670"/>
    <s v="86110"/>
    <n v="1"/>
    <s v="186110.670"/>
    <s v="סעיף שאינו חוזר                 "/>
    <m/>
    <m/>
    <n v="0"/>
    <n v="182000"/>
    <n v="214894"/>
    <m/>
    <x v="7"/>
    <s v="שירותים ממלכתיים"/>
    <x v="38"/>
    <s v="קליטת עליה"/>
    <x v="135"/>
    <e v="#N/A"/>
    <s v="8611"/>
    <e v="#N/A"/>
    <m/>
    <s v="6"/>
    <x v="12"/>
    <s v="67"/>
    <e v="#N/A"/>
    <s v="670"/>
    <e v="#N/A"/>
  </r>
  <r>
    <n v="691"/>
    <s v="86110"/>
    <n v="1"/>
    <s v="186110.691"/>
    <s v="מערכות מידע ומחשוב              "/>
    <m/>
    <m/>
    <n v="90000"/>
    <n v="160000"/>
    <n v="97632"/>
    <m/>
    <x v="7"/>
    <s v="שירותים ממלכתיים"/>
    <x v="38"/>
    <s v="קליטת עליה"/>
    <x v="135"/>
    <e v="#N/A"/>
    <s v="8611"/>
    <e v="#N/A"/>
    <m/>
    <s v="6"/>
    <x v="12"/>
    <s v="69"/>
    <s v="שונות"/>
    <s v="691"/>
    <s v="תשלום ע&quot;ח קרן"/>
  </r>
  <r>
    <n v="693"/>
    <s v="86110"/>
    <n v="1"/>
    <s v="186110.693"/>
    <s v="מחשוב יחידתי                    "/>
    <m/>
    <m/>
    <n v="12000"/>
    <n v="0"/>
    <n v="0"/>
    <m/>
    <x v="7"/>
    <s v="שירותים ממלכתיים"/>
    <x v="38"/>
    <s v="קליטת עליה"/>
    <x v="135"/>
    <e v="#N/A"/>
    <s v="8611"/>
    <e v="#N/A"/>
    <m/>
    <s v="6"/>
    <x v="12"/>
    <s v="69"/>
    <s v="שונות"/>
    <s v="693"/>
    <s v="תשלום ע&quot;ח הצמדת ערך"/>
  </r>
  <r>
    <n v="751"/>
    <s v="86110"/>
    <n v="1"/>
    <s v="186110.751"/>
    <s v="נקיון משרדי הרשות               "/>
    <m/>
    <m/>
    <n v="22000"/>
    <n v="21000"/>
    <n v="17965"/>
    <m/>
    <x v="7"/>
    <s v="שירותים ממלכתיים"/>
    <x v="38"/>
    <s v="קליטת עליה"/>
    <x v="135"/>
    <e v="#N/A"/>
    <s v="8611"/>
    <e v="#N/A"/>
    <m/>
    <s v="7"/>
    <x v="13"/>
    <s v="75"/>
    <s v="עבודות קבלניות"/>
    <s v="751"/>
    <e v="#N/A"/>
  </r>
  <r>
    <n v="784"/>
    <s v="86110"/>
    <n v="1"/>
    <s v="186110.784"/>
    <s v="ארועים ופעילויות קליטה בקהילה   "/>
    <m/>
    <m/>
    <n v="160000"/>
    <n v="149000"/>
    <n v="131705"/>
    <m/>
    <x v="7"/>
    <s v="שירותים ממלכתיים"/>
    <x v="38"/>
    <s v="קליטת עליה"/>
    <x v="135"/>
    <e v="#N/A"/>
    <s v="8611"/>
    <e v="#N/A"/>
    <m/>
    <s v="7"/>
    <x v="13"/>
    <s v="78"/>
    <s v="הוצאות שונות"/>
    <s v="784"/>
    <e v="#N/A"/>
  </r>
  <r>
    <n v="932"/>
    <s v="86110"/>
    <n v="1"/>
    <s v="186110.932"/>
    <s v="ציוד ורהוט משרדי                "/>
    <m/>
    <m/>
    <n v="7000"/>
    <n v="6000"/>
    <n v="1215"/>
    <m/>
    <x v="7"/>
    <s v="שירותים ממלכתיים"/>
    <x v="38"/>
    <s v="קליטת עליה"/>
    <x v="135"/>
    <e v="#N/A"/>
    <s v="8611"/>
    <e v="#N/A"/>
    <m/>
    <s v="9"/>
    <x v="17"/>
    <s v="93"/>
    <s v="רכישת ציוד יסודי"/>
    <s v="932"/>
    <e v="#N/A"/>
  </r>
  <r>
    <n v="671"/>
    <s v="86120"/>
    <n v="1"/>
    <s v="186120.671"/>
    <s v="סעיף שאינו חוזר                 "/>
    <m/>
    <m/>
    <n v="0"/>
    <n v="0"/>
    <n v="10941"/>
    <m/>
    <x v="7"/>
    <s v="שירותים ממלכתיים"/>
    <x v="38"/>
    <s v="קליטת עליה"/>
    <x v="135"/>
    <e v="#N/A"/>
    <s v="8612"/>
    <e v="#N/A"/>
    <m/>
    <s v="6"/>
    <x v="12"/>
    <s v="67"/>
    <e v="#N/A"/>
    <s v="671"/>
    <e v="#N/A"/>
  </r>
  <r>
    <n v="751"/>
    <s v="86120"/>
    <n v="1"/>
    <s v="186120.751"/>
    <s v="פעילות למדענים עולים            "/>
    <m/>
    <m/>
    <n v="75000"/>
    <n v="88000"/>
    <n v="86123"/>
    <m/>
    <x v="7"/>
    <s v="שירותים ממלכתיים"/>
    <x v="38"/>
    <s v="קליטת עליה"/>
    <x v="135"/>
    <e v="#N/A"/>
    <s v="8612"/>
    <e v="#N/A"/>
    <m/>
    <s v="7"/>
    <x v="13"/>
    <s v="75"/>
    <s v="עבודות קבלניות"/>
    <s v="751"/>
    <e v="#N/A"/>
  </r>
  <r>
    <n v="781"/>
    <s v="86120"/>
    <n v="1"/>
    <s v="186120.781"/>
    <s v="תכנית לצעירים                   "/>
    <m/>
    <m/>
    <n v="158000"/>
    <n v="135000"/>
    <n v="93171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1"/>
    <e v="#N/A"/>
  </r>
  <r>
    <n v="782"/>
    <s v="86120"/>
    <n v="1"/>
    <s v="186120.782"/>
    <s v="פעולות לעידוד עליה              "/>
    <m/>
    <m/>
    <n v="50000"/>
    <n v="0"/>
    <n v="100000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2"/>
    <e v="#N/A"/>
  </r>
  <r>
    <n v="783"/>
    <s v="86120"/>
    <n v="1"/>
    <s v="186120.783"/>
    <s v="העצמה לקהילה האתיופית           "/>
    <m/>
    <m/>
    <n v="84000"/>
    <n v="0"/>
    <n v="0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3"/>
    <e v="#N/A"/>
  </r>
  <r>
    <n v="784"/>
    <s v="86120"/>
    <n v="1"/>
    <s v="186120.784"/>
    <s v="מרכז תרבות                      "/>
    <m/>
    <m/>
    <n v="110000"/>
    <n v="134000"/>
    <n v="138263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4"/>
    <e v="#N/A"/>
  </r>
  <r>
    <n v="785"/>
    <s v="86120"/>
    <n v="1"/>
    <s v="186120.785"/>
    <s v="מועדוני עולים                   "/>
    <m/>
    <m/>
    <n v="110000"/>
    <n v="124000"/>
    <n v="124343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5"/>
    <e v="#N/A"/>
  </r>
  <r>
    <n v="786"/>
    <s v="86120"/>
    <n v="1"/>
    <s v="186120.786"/>
    <s v="פעילות לעולי צרפת               "/>
    <m/>
    <m/>
    <n v="45000"/>
    <n v="0"/>
    <n v="0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6"/>
    <e v="#N/A"/>
  </r>
  <r>
    <n v="787"/>
    <s v="86120"/>
    <n v="1"/>
    <s v="186120.787"/>
    <s v="תאטרון קהילתי                   "/>
    <m/>
    <m/>
    <n v="75000"/>
    <n v="0"/>
    <n v="0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7"/>
    <e v="#N/A"/>
  </r>
  <r>
    <n v="789"/>
    <s v="86120"/>
    <n v="1"/>
    <s v="186120.789"/>
    <s v="מקהלת עולים וטרנים ופנסיונרים   "/>
    <m/>
    <m/>
    <n v="32000"/>
    <n v="41000"/>
    <n v="40346"/>
    <m/>
    <x v="7"/>
    <s v="שירותים ממלכתיים"/>
    <x v="38"/>
    <s v="קליטת עליה"/>
    <x v="135"/>
    <e v="#N/A"/>
    <s v="8612"/>
    <e v="#N/A"/>
    <m/>
    <s v="7"/>
    <x v="13"/>
    <s v="78"/>
    <s v="הוצאות שונות"/>
    <s v="789"/>
    <e v="#N/A"/>
  </r>
  <r>
    <n v="851"/>
    <s v="86120"/>
    <n v="1"/>
    <s v="186120.851"/>
    <s v="תכנית לעידוד עולי צרפת          "/>
    <m/>
    <m/>
    <n v="237000"/>
    <n v="0"/>
    <n v="0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1"/>
    <e v="#N/A"/>
  </r>
  <r>
    <n v="852"/>
    <s v="86120"/>
    <n v="1"/>
    <s v="186120.852"/>
    <s v="מנהיגות צעירה לקהילה אתיופית    "/>
    <m/>
    <m/>
    <n v="72000"/>
    <n v="81000"/>
    <n v="72000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2"/>
    <e v="#N/A"/>
  </r>
  <r>
    <n v="854"/>
    <s v="86120"/>
    <n v="1"/>
    <s v="186120.854"/>
    <s v="פרוייקט נוער עולה בסיכון        "/>
    <m/>
    <m/>
    <n v="149000"/>
    <n v="166000"/>
    <n v="135961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4"/>
    <e v="#N/A"/>
  </r>
  <r>
    <n v="856"/>
    <s v="86120"/>
    <n v="1"/>
    <s v="186120.856"/>
    <s v="תגבור לימודי לתלמידים           "/>
    <m/>
    <m/>
    <n v="69000"/>
    <n v="182000"/>
    <n v="118303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6"/>
    <e v="#N/A"/>
  </r>
  <r>
    <n v="857"/>
    <s v="86120"/>
    <n v="1"/>
    <s v="186120.857"/>
    <s v="פעילות ספורט לעולים             "/>
    <m/>
    <m/>
    <n v="129000"/>
    <n v="156000"/>
    <n v="94157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7"/>
    <e v="#N/A"/>
  </r>
  <r>
    <n v="858"/>
    <s v="86120"/>
    <n v="1"/>
    <s v="186120.858"/>
    <s v="פרויקטורים ליוי עולי צרפת       "/>
    <m/>
    <m/>
    <n v="315000"/>
    <n v="0"/>
    <n v="0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8"/>
    <e v="#N/A"/>
  </r>
  <r>
    <n v="859"/>
    <s v="86120"/>
    <n v="1"/>
    <s v="186120.859"/>
    <s v="עידוד עליה                      "/>
    <m/>
    <m/>
    <n v="475000"/>
    <n v="495000"/>
    <n v="181835"/>
    <m/>
    <x v="7"/>
    <s v="שירותים ממלכתיים"/>
    <x v="38"/>
    <s v="קליטת עליה"/>
    <x v="135"/>
    <e v="#N/A"/>
    <s v="8612"/>
    <e v="#N/A"/>
    <m/>
    <s v="8"/>
    <x v="16"/>
    <s v="85"/>
    <s v="מלגות לתלמידים וסטודנטים"/>
    <s v="859"/>
    <e v="#N/A"/>
  </r>
  <r>
    <n v="863"/>
    <s v="86120"/>
    <n v="1"/>
    <s v="186120.863"/>
    <s v="תגבור לימודי לקהילה הצרפתית     "/>
    <m/>
    <m/>
    <n v="80000"/>
    <n v="0"/>
    <n v="0"/>
    <m/>
    <x v="7"/>
    <s v="שירותים ממלכתיים"/>
    <x v="38"/>
    <s v="קליטת עליה"/>
    <x v="135"/>
    <e v="#N/A"/>
    <s v="8612"/>
    <e v="#N/A"/>
    <m/>
    <s v="8"/>
    <x v="16"/>
    <s v="86"/>
    <s v="הנחות"/>
    <s v="863"/>
    <e v="#N/A"/>
  </r>
  <r>
    <n v="870"/>
    <s v="86120"/>
    <n v="1"/>
    <s v="186120.870"/>
    <s v="סעיף שאינו חוזר                 "/>
    <m/>
    <m/>
    <n v="0"/>
    <n v="166000"/>
    <n v="322725"/>
    <m/>
    <x v="7"/>
    <s v="שירותים ממלכתיים"/>
    <x v="38"/>
    <s v="קליטת עליה"/>
    <x v="135"/>
    <e v="#N/A"/>
    <s v="8612"/>
    <e v="#N/A"/>
    <m/>
    <s v="8"/>
    <x v="16"/>
    <s v="87"/>
    <s v="תמיכות ביחידות סמך ומוסדות הרשות"/>
    <s v="870"/>
    <e v="#N/A"/>
  </r>
  <r>
    <n v="881"/>
    <s v="86120"/>
    <n v="1"/>
    <s v="186120.881"/>
    <s v="רכז צעירים עולים-מחשבה טובה     "/>
    <m/>
    <m/>
    <n v="36000"/>
    <n v="0"/>
    <n v="0"/>
    <m/>
    <x v="7"/>
    <s v="שירותים ממלכתיים"/>
    <x v="38"/>
    <s v="קליטת עליה"/>
    <x v="135"/>
    <e v="#N/A"/>
    <s v="8612"/>
    <e v="#N/A"/>
    <m/>
    <s v="8"/>
    <x v="16"/>
    <s v="88"/>
    <e v="#N/A"/>
    <s v="881"/>
    <e v="#N/A"/>
  </r>
  <r>
    <n v="981"/>
    <s v="86120"/>
    <n v="1"/>
    <s v="186120.981"/>
    <s v="ציוד וריהוט לחדרי מורשת         "/>
    <m/>
    <m/>
    <n v="20000"/>
    <n v="25000"/>
    <n v="25030"/>
    <m/>
    <x v="7"/>
    <s v="שירותים ממלכתיים"/>
    <x v="38"/>
    <s v="קליטת עליה"/>
    <x v="135"/>
    <e v="#N/A"/>
    <s v="8612"/>
    <e v="#N/A"/>
    <m/>
    <s v="9"/>
    <x v="17"/>
    <s v="98"/>
    <s v="הוצאות אחרות"/>
    <s v="981"/>
    <e v="#N/A"/>
  </r>
  <r>
    <n v="110"/>
    <s v="8710"/>
    <n v="1"/>
    <s v="18710.110"/>
    <s v="משכורת כוללת                    "/>
    <m/>
    <m/>
    <n v="3130000"/>
    <n v="2609000"/>
    <n v="2450669"/>
    <m/>
    <x v="7"/>
    <s v="שירותים ממלכתיים"/>
    <x v="39"/>
    <s v="איכות הסביבה"/>
    <x v="136"/>
    <e v="#N/A"/>
    <s v="8710"/>
    <e v="#N/A"/>
    <m/>
    <s v="1"/>
    <x v="9"/>
    <s v="11"/>
    <s v="השכר הקובע"/>
    <s v="110"/>
    <e v="#N/A"/>
  </r>
  <r>
    <n v="124"/>
    <s v="8710"/>
    <n v="1"/>
    <s v="18710.124"/>
    <s v="החזר הוצאות                     "/>
    <m/>
    <m/>
    <n v="139000"/>
    <n v="136000"/>
    <n v="133761"/>
    <m/>
    <x v="7"/>
    <s v="שירותים ממלכתיים"/>
    <x v="39"/>
    <s v="איכות הסביבה"/>
    <x v="136"/>
    <e v="#N/A"/>
    <s v="8710"/>
    <e v="#N/A"/>
    <m/>
    <s v="1"/>
    <x v="9"/>
    <s v="12"/>
    <s v="תוספות שאינן נכללות בשכר הקובע"/>
    <s v="124"/>
    <e v="#N/A"/>
  </r>
  <r>
    <n v="126"/>
    <s v="8710"/>
    <n v="1"/>
    <s v="18710.126"/>
    <s v="הבראה                           "/>
    <m/>
    <m/>
    <n v="114000"/>
    <n v="127000"/>
    <n v="123947"/>
    <m/>
    <x v="7"/>
    <s v="שירותים ממלכתיים"/>
    <x v="39"/>
    <s v="איכות הסביבה"/>
    <x v="136"/>
    <e v="#N/A"/>
    <s v="8710"/>
    <e v="#N/A"/>
    <m/>
    <s v="1"/>
    <x v="9"/>
    <s v="12"/>
    <s v="תוספות שאינן נכללות בשכר הקובע"/>
    <s v="126"/>
    <e v="#N/A"/>
  </r>
  <r>
    <n v="127"/>
    <s v="8710"/>
    <n v="1"/>
    <s v="18710.127"/>
    <s v="השתתפות באחזקת רכב - 20         "/>
    <m/>
    <m/>
    <n v="483000"/>
    <n v="519000"/>
    <n v="508552"/>
    <m/>
    <x v="7"/>
    <s v="שירותים ממלכתיים"/>
    <x v="39"/>
    <s v="איכות הסביבה"/>
    <x v="136"/>
    <e v="#N/A"/>
    <s v="8710"/>
    <e v="#N/A"/>
    <m/>
    <s v="1"/>
    <x v="9"/>
    <s v="12"/>
    <s v="תוספות שאינן נכללות בשכר הקובע"/>
    <s v="127"/>
    <e v="#N/A"/>
  </r>
  <r>
    <n v="130"/>
    <s v="8710"/>
    <n v="1"/>
    <s v="18710.130"/>
    <s v="תשלומים מיוחדים                 "/>
    <m/>
    <m/>
    <n v="444000"/>
    <n v="527000"/>
    <n v="492313"/>
    <m/>
    <x v="7"/>
    <s v="שירותים ממלכתיים"/>
    <x v="39"/>
    <s v="איכות הסביבה"/>
    <x v="136"/>
    <e v="#N/A"/>
    <s v="8710"/>
    <e v="#N/A"/>
    <m/>
    <s v="1"/>
    <x v="9"/>
    <s v="13"/>
    <s v="שעות נוספות"/>
    <s v="130"/>
    <e v="#N/A"/>
  </r>
  <r>
    <n v="170"/>
    <s v="8710"/>
    <n v="1"/>
    <s v="18710.170"/>
    <s v="סעיף שאינו חוזר                 "/>
    <m/>
    <m/>
    <n v="0"/>
    <n v="0"/>
    <n v="29388"/>
    <m/>
    <x v="7"/>
    <s v="שירותים ממלכתיים"/>
    <x v="39"/>
    <s v="איכות הסביבה"/>
    <x v="136"/>
    <e v="#N/A"/>
    <s v="8710"/>
    <e v="#N/A"/>
    <m/>
    <s v="1"/>
    <x v="9"/>
    <s v="17"/>
    <e v="#N/A"/>
    <s v="170"/>
    <e v="#N/A"/>
  </r>
  <r>
    <n v="181"/>
    <s v="8710"/>
    <n v="1"/>
    <s v="18710.181"/>
    <s v="מיסים וביטוח לאומי              "/>
    <m/>
    <m/>
    <n v="588000"/>
    <n v="535000"/>
    <n v="524815"/>
    <m/>
    <x v="7"/>
    <s v="שירותים ממלכתיים"/>
    <x v="39"/>
    <s v="איכות הסביבה"/>
    <x v="136"/>
    <e v="#N/A"/>
    <s v="8710"/>
    <e v="#N/A"/>
    <m/>
    <s v="1"/>
    <x v="9"/>
    <s v="18"/>
    <s v="נלוות לשכר"/>
    <s v="181"/>
    <s v="הפרשות סוציאליות"/>
  </r>
  <r>
    <n v="182"/>
    <s v="8710"/>
    <n v="1"/>
    <s v="18710.182"/>
    <s v="קופות גמל והשתלמות              "/>
    <m/>
    <m/>
    <n v="422000"/>
    <n v="470000"/>
    <n v="448530"/>
    <m/>
    <x v="7"/>
    <s v="שירותים ממלכתיים"/>
    <x v="39"/>
    <s v="איכות הסביבה"/>
    <x v="136"/>
    <e v="#N/A"/>
    <s v="8710"/>
    <e v="#N/A"/>
    <m/>
    <s v="1"/>
    <x v="9"/>
    <s v="18"/>
    <s v="נלוות לשכר"/>
    <s v="182"/>
    <s v="מיסיום ועלויות"/>
  </r>
  <r>
    <n v="310"/>
    <s v="8710"/>
    <n v="1"/>
    <s v="18710.310"/>
    <s v="שעות נוספות רשומות              "/>
    <m/>
    <m/>
    <n v="114000"/>
    <n v="112000"/>
    <n v="121105"/>
    <m/>
    <x v="7"/>
    <s v="שירותים ממלכתיים"/>
    <x v="39"/>
    <s v="איכות הסביבה"/>
    <x v="136"/>
    <e v="#N/A"/>
    <s v="8710"/>
    <e v="#N/A"/>
    <m/>
    <s v="3"/>
    <x v="14"/>
    <s v="31"/>
    <s v="פנסיה"/>
    <s v="310"/>
    <e v="#N/A"/>
  </r>
  <r>
    <n v="340"/>
    <s v="8710"/>
    <n v="1"/>
    <s v="18710.340"/>
    <s v="שעות נוספות מיוחדות             "/>
    <m/>
    <m/>
    <n v="66000"/>
    <n v="65000"/>
    <n v="92180"/>
    <m/>
    <x v="7"/>
    <s v="שירותים ממלכתיים"/>
    <x v="39"/>
    <s v="איכות הסביבה"/>
    <x v="136"/>
    <e v="#N/A"/>
    <s v="8710"/>
    <e v="#N/A"/>
    <m/>
    <s v="3"/>
    <x v="14"/>
    <s v="34"/>
    <e v="#N/A"/>
    <s v="340"/>
    <e v="#N/A"/>
  </r>
  <r>
    <n v="433"/>
    <s v="8710"/>
    <n v="1"/>
    <s v="18710.433"/>
    <s v="ביטוח                           "/>
    <m/>
    <m/>
    <n v="53000"/>
    <n v="53000"/>
    <n v="48000"/>
    <m/>
    <x v="7"/>
    <s v="שירותים ממלכתיים"/>
    <x v="39"/>
    <s v="איכות הסביבה"/>
    <x v="136"/>
    <e v="#N/A"/>
    <s v="8710"/>
    <e v="#N/A"/>
    <m/>
    <s v="4"/>
    <x v="15"/>
    <s v="43"/>
    <s v="חשמל, מים וחומרי ניקיון"/>
    <s v="433"/>
    <s v="חומרי ניקיון"/>
  </r>
  <r>
    <n v="434"/>
    <s v="8710"/>
    <n v="1"/>
    <s v="18710.434"/>
    <s v="תקוני מבנים  מתקנים ואינונטר    "/>
    <m/>
    <m/>
    <n v="13000"/>
    <n v="13000"/>
    <n v="3445"/>
    <m/>
    <x v="7"/>
    <s v="שירותים ממלכתיים"/>
    <x v="39"/>
    <s v="איכות הסביבה"/>
    <x v="136"/>
    <e v="#N/A"/>
    <s v="8710"/>
    <e v="#N/A"/>
    <m/>
    <s v="4"/>
    <x v="15"/>
    <s v="43"/>
    <s v="חשמל, מים וחומרי ניקיון"/>
    <s v="434"/>
    <s v="שירותי ניקיון"/>
  </r>
  <r>
    <n v="439"/>
    <s v="8710"/>
    <n v="1"/>
    <s v="18710.439"/>
    <s v="אחזקת בנייני העירייה-השתתפות    "/>
    <m/>
    <m/>
    <n v="310000"/>
    <n v="339000"/>
    <n v="320000"/>
    <m/>
    <x v="7"/>
    <s v="שירותים ממלכתיים"/>
    <x v="39"/>
    <s v="איכות הסביבה"/>
    <x v="136"/>
    <e v="#N/A"/>
    <s v="8710"/>
    <e v="#N/A"/>
    <m/>
    <s v="4"/>
    <x v="15"/>
    <s v="43"/>
    <s v="חשמל, מים וחומרי ניקיון"/>
    <s v="439"/>
    <e v="#N/A"/>
  </r>
  <r>
    <n v="461"/>
    <s v="8710"/>
    <n v="1"/>
    <s v="18710.461"/>
    <s v="צורכי משרד                      "/>
    <m/>
    <m/>
    <n v="41000"/>
    <n v="42000"/>
    <n v="31104"/>
    <m/>
    <x v="7"/>
    <s v="שירותים ממלכתיים"/>
    <x v="39"/>
    <s v="איכות הסביבה"/>
    <x v="136"/>
    <e v="#N/A"/>
    <s v="8710"/>
    <e v="#N/A"/>
    <m/>
    <s v="4"/>
    <x v="15"/>
    <s v="46"/>
    <e v="#N/A"/>
    <s v="461"/>
    <e v="#N/A"/>
  </r>
  <r>
    <n v="462"/>
    <s v="8710"/>
    <n v="1"/>
    <s v="18710.462"/>
    <s v="ספרים ועתונים                   "/>
    <m/>
    <m/>
    <n v="10000"/>
    <n v="10000"/>
    <n v="2846"/>
    <m/>
    <x v="7"/>
    <s v="שירותים ממלכתיים"/>
    <x v="39"/>
    <s v="איכות הסביבה"/>
    <x v="136"/>
    <e v="#N/A"/>
    <s v="8710"/>
    <e v="#N/A"/>
    <m/>
    <s v="4"/>
    <x v="15"/>
    <s v="46"/>
    <e v="#N/A"/>
    <s v="462"/>
    <e v="#N/A"/>
  </r>
  <r>
    <n v="464"/>
    <s v="8710"/>
    <n v="1"/>
    <s v="18710.464"/>
    <s v="דאר                             "/>
    <m/>
    <m/>
    <n v="4000"/>
    <n v="4000"/>
    <n v="1103"/>
    <m/>
    <x v="7"/>
    <s v="שירותים ממלכתיים"/>
    <x v="39"/>
    <s v="איכות הסביבה"/>
    <x v="136"/>
    <e v="#N/A"/>
    <s v="8710"/>
    <e v="#N/A"/>
    <m/>
    <s v="4"/>
    <x v="15"/>
    <s v="46"/>
    <e v="#N/A"/>
    <s v="464"/>
    <e v="#N/A"/>
  </r>
  <r>
    <n v="510"/>
    <s v="8710"/>
    <n v="1"/>
    <s v="18710.510"/>
    <s v="נסיעות  ואש ל                   "/>
    <m/>
    <m/>
    <n v="6000"/>
    <n v="6000"/>
    <n v="3923"/>
    <m/>
    <x v="7"/>
    <s v="שירותים ממלכתיים"/>
    <x v="39"/>
    <s v="איכות הסביבה"/>
    <x v="136"/>
    <e v="#N/A"/>
    <s v="8710"/>
    <e v="#N/A"/>
    <m/>
    <s v="5"/>
    <x v="11"/>
    <s v="51"/>
    <s v="אש&quot;ל וכיבודים"/>
    <s v="510"/>
    <e v="#N/A"/>
  </r>
  <r>
    <n v="521"/>
    <s v="8710"/>
    <n v="1"/>
    <s v="18710.521"/>
    <s v="הדרכה וכנסים                    "/>
    <m/>
    <m/>
    <n v="15000"/>
    <n v="15000"/>
    <n v="2423"/>
    <m/>
    <x v="7"/>
    <s v="שירותים ממלכתיים"/>
    <x v="39"/>
    <s v="איכות הסביבה"/>
    <x v="136"/>
    <e v="#N/A"/>
    <s v="8710"/>
    <e v="#N/A"/>
    <m/>
    <s v="5"/>
    <x v="11"/>
    <s v="52"/>
    <s v="השתלמויות וספרות מקצועית"/>
    <s v="521"/>
    <s v="השתלמויות וספרות מקצועית"/>
  </r>
  <r>
    <n v="522"/>
    <s v="8710"/>
    <n v="1"/>
    <s v="18710.522"/>
    <s v="גיבוש יחידתי                    "/>
    <m/>
    <m/>
    <n v="4000"/>
    <n v="4000"/>
    <n v="2221"/>
    <m/>
    <x v="7"/>
    <s v="שירותים ממלכתיים"/>
    <x v="39"/>
    <s v="איכות הסביבה"/>
    <x v="136"/>
    <e v="#N/A"/>
    <s v="8710"/>
    <e v="#N/A"/>
    <m/>
    <s v="5"/>
    <x v="11"/>
    <s v="52"/>
    <s v="השתלמויות וספרות מקצועית"/>
    <s v="522"/>
    <s v="ספרות מקצועית ועיתונות"/>
  </r>
  <r>
    <n v="531"/>
    <s v="8710"/>
    <n v="1"/>
    <s v="18710.531"/>
    <s v="אחזקת רכב                       "/>
    <m/>
    <m/>
    <n v="55000"/>
    <n v="55000"/>
    <n v="20973"/>
    <m/>
    <x v="7"/>
    <s v="שירותים ממלכתיים"/>
    <x v="39"/>
    <s v="איכות הסביבה"/>
    <x v="136"/>
    <e v="#N/A"/>
    <s v="8710"/>
    <e v="#N/A"/>
    <m/>
    <s v="5"/>
    <x v="11"/>
    <s v="53"/>
    <s v="הוצאות רכב מינהלי"/>
    <s v="531"/>
    <s v="דלק ושמנים"/>
  </r>
  <r>
    <n v="532"/>
    <s v="8710"/>
    <n v="1"/>
    <s v="18710.532"/>
    <s v="בטוח רכב                        "/>
    <m/>
    <m/>
    <n v="44000"/>
    <n v="41000"/>
    <n v="44460"/>
    <m/>
    <x v="7"/>
    <s v="שירותים ממלכתיים"/>
    <x v="39"/>
    <s v="איכות הסביבה"/>
    <x v="136"/>
    <e v="#N/A"/>
    <s v="8710"/>
    <e v="#N/A"/>
    <m/>
    <s v="5"/>
    <x v="11"/>
    <s v="53"/>
    <s v="הוצאות רכב מינהלי"/>
    <s v="532"/>
    <s v="תיקונים"/>
  </r>
  <r>
    <n v="533"/>
    <s v="8710"/>
    <n v="1"/>
    <s v="18710.533"/>
    <s v="שכירת רכב                       "/>
    <m/>
    <m/>
    <n v="40000"/>
    <n v="40000"/>
    <n v="34124"/>
    <m/>
    <x v="7"/>
    <s v="שירותים ממלכתיים"/>
    <x v="39"/>
    <s v="איכות הסביבה"/>
    <x v="136"/>
    <e v="#N/A"/>
    <s v="8710"/>
    <e v="#N/A"/>
    <m/>
    <s v="5"/>
    <x v="11"/>
    <s v="53"/>
    <s v="הוצאות רכב מינהלי"/>
    <s v="533"/>
    <s v="רישוי וביטוח"/>
  </r>
  <r>
    <n v="534"/>
    <s v="8710"/>
    <n v="1"/>
    <s v="18710.534"/>
    <s v="דלק ושמן                        "/>
    <m/>
    <m/>
    <n v="35000"/>
    <n v="40000"/>
    <n v="49266"/>
    <m/>
    <x v="7"/>
    <s v="שירותים ממלכתיים"/>
    <x v="39"/>
    <s v="איכות הסביבה"/>
    <x v="136"/>
    <e v="#N/A"/>
    <s v="8710"/>
    <e v="#N/A"/>
    <m/>
    <s v="5"/>
    <x v="11"/>
    <s v="53"/>
    <s v="הוצאות רכב מינהלי"/>
    <s v="534"/>
    <e v="#N/A"/>
  </r>
  <r>
    <n v="541"/>
    <s v="8710"/>
    <n v="1"/>
    <s v="18710.541"/>
    <s v="החזקת מכשירי קשר וסלולר         "/>
    <m/>
    <m/>
    <n v="25000"/>
    <n v="25000"/>
    <n v="29391"/>
    <m/>
    <x v="7"/>
    <s v="שירותים ממלכתיים"/>
    <x v="39"/>
    <s v="איכות הסביבה"/>
    <x v="136"/>
    <e v="#N/A"/>
    <s v="8710"/>
    <e v="#N/A"/>
    <m/>
    <s v="5"/>
    <x v="11"/>
    <s v="54"/>
    <s v="הוצאות תקשורת"/>
    <s v="541"/>
    <e v="#N/A"/>
  </r>
  <r>
    <n v="610"/>
    <s v="8710"/>
    <n v="1"/>
    <s v="18710.610"/>
    <s v="כיבודים                         "/>
    <m/>
    <m/>
    <n v="12000"/>
    <n v="12000"/>
    <n v="12967"/>
    <m/>
    <x v="7"/>
    <s v="שירותים ממלכתיים"/>
    <x v="39"/>
    <s v="איכות הסביבה"/>
    <x v="136"/>
    <e v="#N/A"/>
    <s v="8710"/>
    <e v="#N/A"/>
    <m/>
    <s v="6"/>
    <x v="12"/>
    <s v="61"/>
    <s v="עמלות"/>
    <s v="610"/>
    <e v="#N/A"/>
  </r>
  <r>
    <n v="670"/>
    <s v="8710"/>
    <n v="1"/>
    <s v="18710.670"/>
    <s v="סעיף שאינו חוזר                 "/>
    <m/>
    <m/>
    <n v="0"/>
    <n v="63000"/>
    <n v="198350"/>
    <m/>
    <x v="7"/>
    <s v="שירותים ממלכתיים"/>
    <x v="39"/>
    <s v="איכות הסביבה"/>
    <x v="136"/>
    <e v="#N/A"/>
    <s v="8710"/>
    <e v="#N/A"/>
    <m/>
    <s v="6"/>
    <x v="12"/>
    <s v="67"/>
    <e v="#N/A"/>
    <s v="670"/>
    <e v="#N/A"/>
  </r>
  <r>
    <n v="680"/>
    <s v="8710"/>
    <n v="1"/>
    <s v="18710.680"/>
    <s v="הוצאות מיוחדות                  "/>
    <m/>
    <m/>
    <n v="5000"/>
    <n v="5000"/>
    <n v="1506"/>
    <m/>
    <x v="7"/>
    <s v="שירותים ממלכתיים"/>
    <x v="39"/>
    <s v="איכות הסביבה"/>
    <x v="136"/>
    <e v="#N/A"/>
    <s v="8710"/>
    <e v="#N/A"/>
    <m/>
    <s v="6"/>
    <x v="12"/>
    <s v="68"/>
    <s v="ריבית על הוצאות אחרות"/>
    <s v="680"/>
    <e v="#N/A"/>
  </r>
  <r>
    <n v="691"/>
    <s v="8710"/>
    <n v="1"/>
    <s v="18710.691"/>
    <s v="מערכות מידע ומחשוב              "/>
    <m/>
    <m/>
    <n v="310000"/>
    <n v="330000"/>
    <n v="315127"/>
    <m/>
    <x v="7"/>
    <s v="שירותים ממלכתיים"/>
    <x v="39"/>
    <s v="איכות הסביבה"/>
    <x v="136"/>
    <e v="#N/A"/>
    <s v="8710"/>
    <e v="#N/A"/>
    <m/>
    <s v="6"/>
    <x v="12"/>
    <s v="69"/>
    <s v="שונות"/>
    <s v="691"/>
    <s v="תשלום ע&quot;ח קרן"/>
  </r>
  <r>
    <n v="693"/>
    <s v="8710"/>
    <n v="1"/>
    <s v="18710.693"/>
    <s v="מיחשוב יחידתי                   "/>
    <m/>
    <m/>
    <n v="20000"/>
    <n v="20000"/>
    <n v="24268"/>
    <m/>
    <x v="7"/>
    <s v="שירותים ממלכתיים"/>
    <x v="39"/>
    <s v="איכות הסביבה"/>
    <x v="136"/>
    <e v="#N/A"/>
    <s v="8710"/>
    <e v="#N/A"/>
    <m/>
    <s v="6"/>
    <x v="12"/>
    <s v="69"/>
    <s v="שונות"/>
    <s v="693"/>
    <s v="תשלום ע&quot;ח הצמדת ערך"/>
  </r>
  <r>
    <n v="753"/>
    <s v="8710"/>
    <n v="1"/>
    <s v="18710.753"/>
    <s v="פיתוח תוכניות לימודים           "/>
    <m/>
    <m/>
    <n v="470000"/>
    <n v="470000"/>
    <n v="418001"/>
    <m/>
    <x v="7"/>
    <s v="שירותים ממלכתיים"/>
    <x v="39"/>
    <s v="איכות הסביבה"/>
    <x v="136"/>
    <e v="#N/A"/>
    <s v="8710"/>
    <e v="#N/A"/>
    <m/>
    <s v="7"/>
    <x v="13"/>
    <s v="75"/>
    <s v="עבודות קבלניות"/>
    <s v="753"/>
    <e v="#N/A"/>
  </r>
  <r>
    <n v="754"/>
    <s v="8710"/>
    <n v="1"/>
    <s v="18710.754"/>
    <s v="פרויקטים מיוחדים                "/>
    <m/>
    <m/>
    <n v="200000"/>
    <n v="200000"/>
    <n v="146039"/>
    <m/>
    <x v="7"/>
    <s v="שירותים ממלכתיים"/>
    <x v="39"/>
    <s v="איכות הסביבה"/>
    <x v="136"/>
    <e v="#N/A"/>
    <s v="8710"/>
    <e v="#N/A"/>
    <m/>
    <s v="7"/>
    <x v="13"/>
    <s v="75"/>
    <s v="עבודות קבלניות"/>
    <s v="754"/>
    <e v="#N/A"/>
  </r>
  <r>
    <n v="756"/>
    <s v="8710"/>
    <n v="1"/>
    <s v="18710.756"/>
    <s v="ייעוץ מקצועי                    "/>
    <m/>
    <m/>
    <n v="150000"/>
    <n v="150000"/>
    <n v="135806"/>
    <m/>
    <x v="7"/>
    <s v="שירותים ממלכתיים"/>
    <x v="39"/>
    <s v="איכות הסביבה"/>
    <x v="136"/>
    <e v="#N/A"/>
    <s v="8710"/>
    <e v="#N/A"/>
    <m/>
    <s v="7"/>
    <x v="13"/>
    <s v="75"/>
    <s v="עבודות קבלניות"/>
    <s v="756"/>
    <e v="#N/A"/>
  </r>
  <r>
    <n v="781"/>
    <s v="8710"/>
    <n v="1"/>
    <s v="18710.781"/>
    <s v="אח' ותיקון כלים ומכשירים        "/>
    <m/>
    <m/>
    <n v="62000"/>
    <n v="62000"/>
    <n v="52781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1"/>
    <e v="#N/A"/>
  </r>
  <r>
    <n v="782"/>
    <s v="8710"/>
    <n v="1"/>
    <s v="18710.782"/>
    <s v="פעולות הסברה וארועים            "/>
    <m/>
    <m/>
    <n v="20000"/>
    <n v="18000"/>
    <n v="15487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2"/>
    <e v="#N/A"/>
  </r>
  <r>
    <n v="783"/>
    <s v="8710"/>
    <n v="1"/>
    <s v="18710.783"/>
    <s v="תכנית אסטרטגית                  "/>
    <m/>
    <m/>
    <n v="30000"/>
    <n v="30000"/>
    <n v="26728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3"/>
    <e v="#N/A"/>
  </r>
  <r>
    <n v="784"/>
    <s v="8710"/>
    <n v="1"/>
    <s v="18710.784"/>
    <s v="פינוי וטיפול בפסולת רעילה       "/>
    <m/>
    <m/>
    <n v="30000"/>
    <n v="30000"/>
    <n v="28658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4"/>
    <e v="#N/A"/>
  </r>
  <r>
    <n v="785"/>
    <s v="8710"/>
    <n v="1"/>
    <s v="18710.785"/>
    <s v="פעולות פיקוח ובקרה              "/>
    <m/>
    <m/>
    <n v="40000"/>
    <n v="40000"/>
    <n v="40696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5"/>
    <e v="#N/A"/>
  </r>
  <r>
    <n v="787"/>
    <s v="8710"/>
    <n v="1"/>
    <s v="18710.787"/>
    <s v="אחזקת תחנות ניטור אויר          "/>
    <m/>
    <m/>
    <n v="43000"/>
    <n v="48000"/>
    <n v="47285"/>
    <m/>
    <x v="7"/>
    <s v="שירותים ממלכתיים"/>
    <x v="39"/>
    <s v="איכות הסביבה"/>
    <x v="136"/>
    <e v="#N/A"/>
    <s v="8710"/>
    <e v="#N/A"/>
    <m/>
    <s v="7"/>
    <x v="13"/>
    <s v="78"/>
    <s v="הוצאות שונות"/>
    <s v="787"/>
    <e v="#N/A"/>
  </r>
  <r>
    <n v="831"/>
    <s v="8710"/>
    <n v="1"/>
    <s v="18710.831"/>
    <s v="השתתפות לרשות נחל הירקון        "/>
    <m/>
    <m/>
    <n v="1008000"/>
    <n v="960000"/>
    <n v="931994"/>
    <m/>
    <x v="7"/>
    <s v="שירותים ממלכתיים"/>
    <x v="39"/>
    <s v="איכות הסביבה"/>
    <x v="136"/>
    <e v="#N/A"/>
    <s v="8710"/>
    <e v="#N/A"/>
    <m/>
    <s v="8"/>
    <x v="16"/>
    <s v="83"/>
    <e v="#N/A"/>
    <s v="831"/>
    <e v="#N/A"/>
  </r>
  <r>
    <n v="870"/>
    <s v="8710"/>
    <n v="1"/>
    <s v="18710.870"/>
    <s v=" סעיף שאינו חוזר                "/>
    <m/>
    <m/>
    <n v="0"/>
    <n v="190000"/>
    <n v="0"/>
    <m/>
    <x v="7"/>
    <s v="שירותים ממלכתיים"/>
    <x v="39"/>
    <s v="איכות הסביבה"/>
    <x v="136"/>
    <e v="#N/A"/>
    <s v="8710"/>
    <e v="#N/A"/>
    <m/>
    <s v="8"/>
    <x v="16"/>
    <s v="87"/>
    <s v="תמיכות ביחידות סמך ומוסדות הרשות"/>
    <s v="870"/>
    <e v="#N/A"/>
  </r>
  <r>
    <n v="932"/>
    <s v="8710"/>
    <n v="1"/>
    <s v="18710.932"/>
    <s v="ציוד וריהוט משרדי               "/>
    <m/>
    <m/>
    <n v="5000"/>
    <n v="5000"/>
    <n v="13754"/>
    <m/>
    <x v="7"/>
    <s v="שירותים ממלכתיים"/>
    <x v="39"/>
    <s v="איכות הסביבה"/>
    <x v="136"/>
    <e v="#N/A"/>
    <s v="8710"/>
    <e v="#N/A"/>
    <m/>
    <s v="9"/>
    <x v="17"/>
    <s v="93"/>
    <s v="רכישת ציוד יסודי"/>
    <s v="932"/>
    <e v="#N/A"/>
  </r>
  <r>
    <n v="934"/>
    <s v="8710"/>
    <n v="1"/>
    <s v="18710.934"/>
    <s v="ציוד תפעולי                     "/>
    <m/>
    <m/>
    <n v="20000"/>
    <n v="20000"/>
    <n v="8848"/>
    <m/>
    <x v="7"/>
    <s v="שירותים ממלכתיים"/>
    <x v="39"/>
    <s v="איכות הסביבה"/>
    <x v="136"/>
    <e v="#N/A"/>
    <s v="8710"/>
    <e v="#N/A"/>
    <m/>
    <s v="9"/>
    <x v="17"/>
    <s v="93"/>
    <s v="רכישת ציוד יסודי"/>
    <s v="934"/>
    <e v="#N/A"/>
  </r>
  <r>
    <n v="110"/>
    <s v="91110"/>
    <n v="1"/>
    <s v="191110.110"/>
    <s v="משכורת כוללת                    "/>
    <m/>
    <m/>
    <n v="642000"/>
    <n v="899000"/>
    <n v="895788"/>
    <m/>
    <x v="8"/>
    <s v="מפעלים"/>
    <x v="40"/>
    <s v="מים"/>
    <x v="137"/>
    <s v="מינהל המים"/>
    <s v="9111"/>
    <e v="#N/A"/>
    <m/>
    <s v="1"/>
    <x v="9"/>
    <s v="11"/>
    <s v="השכר הקובע"/>
    <s v="110"/>
    <e v="#N/A"/>
  </r>
  <r>
    <n v="124"/>
    <s v="91110"/>
    <n v="1"/>
    <s v="191110.124"/>
    <s v="החזר הוצאות                     "/>
    <m/>
    <m/>
    <n v="26000"/>
    <n v="41000"/>
    <n v="40354"/>
    <m/>
    <x v="8"/>
    <s v="מפעלים"/>
    <x v="40"/>
    <s v="מים"/>
    <x v="137"/>
    <s v="מינהל המים"/>
    <s v="9111"/>
    <e v="#N/A"/>
    <m/>
    <s v="1"/>
    <x v="9"/>
    <s v="12"/>
    <s v="תוספות שאינן נכללות בשכר הקובע"/>
    <s v="124"/>
    <e v="#N/A"/>
  </r>
  <r>
    <n v="126"/>
    <s v="91110"/>
    <n v="1"/>
    <s v="191110.126"/>
    <s v="הבראה                           "/>
    <m/>
    <m/>
    <n v="23000"/>
    <n v="35000"/>
    <n v="35441"/>
    <m/>
    <x v="8"/>
    <s v="מפעלים"/>
    <x v="40"/>
    <s v="מים"/>
    <x v="137"/>
    <s v="מינהל המים"/>
    <s v="9111"/>
    <e v="#N/A"/>
    <m/>
    <s v="1"/>
    <x v="9"/>
    <s v="12"/>
    <s v="תוספות שאינן נכללות בשכר הקובע"/>
    <s v="126"/>
    <e v="#N/A"/>
  </r>
  <r>
    <n v="127"/>
    <s v="91110"/>
    <n v="1"/>
    <s v="191110.127"/>
    <s v="השתתפות באחזקת רכב-4            "/>
    <m/>
    <m/>
    <n v="124000"/>
    <n v="178000"/>
    <n v="175791"/>
    <m/>
    <x v="8"/>
    <s v="מפעלים"/>
    <x v="40"/>
    <s v="מים"/>
    <x v="137"/>
    <s v="מינהל המים"/>
    <s v="9111"/>
    <e v="#N/A"/>
    <m/>
    <s v="1"/>
    <x v="9"/>
    <s v="12"/>
    <s v="תוספות שאינן נכללות בשכר הקובע"/>
    <s v="127"/>
    <e v="#N/A"/>
  </r>
  <r>
    <n v="130"/>
    <s v="91110"/>
    <n v="1"/>
    <s v="191110.130"/>
    <s v="תשלומים מיוחדים                 "/>
    <m/>
    <m/>
    <n v="92000"/>
    <n v="139000"/>
    <n v="136376"/>
    <m/>
    <x v="8"/>
    <s v="מפעלים"/>
    <x v="40"/>
    <s v="מים"/>
    <x v="137"/>
    <s v="מינהל המים"/>
    <s v="9111"/>
    <e v="#N/A"/>
    <m/>
    <s v="1"/>
    <x v="9"/>
    <s v="13"/>
    <s v="שעות נוספות"/>
    <s v="130"/>
    <e v="#N/A"/>
  </r>
  <r>
    <n v="181"/>
    <s v="91110"/>
    <n v="1"/>
    <s v="191110.181"/>
    <s v="מיסים וביטוח לאומי              "/>
    <m/>
    <m/>
    <n v="62000"/>
    <n v="74000"/>
    <n v="170791"/>
    <m/>
    <x v="8"/>
    <s v="מפעלים"/>
    <x v="40"/>
    <s v="מים"/>
    <x v="137"/>
    <s v="מינהל המים"/>
    <s v="9111"/>
    <e v="#N/A"/>
    <m/>
    <s v="1"/>
    <x v="9"/>
    <s v="18"/>
    <s v="נלוות לשכר"/>
    <s v="181"/>
    <s v="הפרשות סוציאליות"/>
  </r>
  <r>
    <n v="182"/>
    <s v="91110"/>
    <n v="1"/>
    <s v="191110.182"/>
    <s v="קופות גמל והשתלמות              "/>
    <m/>
    <m/>
    <n v="143000"/>
    <n v="182000"/>
    <n v="177980"/>
    <m/>
    <x v="8"/>
    <s v="מפעלים"/>
    <x v="40"/>
    <s v="מים"/>
    <x v="137"/>
    <s v="מינהל המים"/>
    <s v="9111"/>
    <e v="#N/A"/>
    <m/>
    <s v="1"/>
    <x v="9"/>
    <s v="18"/>
    <s v="נלוות לשכר"/>
    <s v="182"/>
    <s v="מיסיום ועלויות"/>
  </r>
  <r>
    <n v="310"/>
    <s v="91110"/>
    <n v="1"/>
    <s v="191110.310"/>
    <s v="שעות נוספות רשומות              "/>
    <m/>
    <m/>
    <n v="27000"/>
    <n v="40000"/>
    <n v="39537"/>
    <m/>
    <x v="8"/>
    <s v="מפעלים"/>
    <x v="40"/>
    <s v="מים"/>
    <x v="137"/>
    <s v="מינהל המים"/>
    <s v="9111"/>
    <e v="#N/A"/>
    <m/>
    <s v="3"/>
    <x v="14"/>
    <s v="31"/>
    <s v="פנסיה"/>
    <s v="310"/>
    <e v="#N/A"/>
  </r>
  <r>
    <n v="340"/>
    <s v="91110"/>
    <n v="1"/>
    <s v="191110.340"/>
    <s v="שעות נוספות מיוחדות             "/>
    <m/>
    <m/>
    <n v="1000"/>
    <n v="2000"/>
    <n v="0"/>
    <m/>
    <x v="8"/>
    <s v="מפעלים"/>
    <x v="40"/>
    <s v="מים"/>
    <x v="137"/>
    <s v="מינהל המים"/>
    <s v="9111"/>
    <e v="#N/A"/>
    <m/>
    <s v="3"/>
    <x v="14"/>
    <s v="34"/>
    <e v="#N/A"/>
    <s v="340"/>
    <e v="#N/A"/>
  </r>
  <r>
    <n v="110"/>
    <s v="91120"/>
    <n v="1"/>
    <s v="191120.110"/>
    <s v="משכורת כוללת                    "/>
    <m/>
    <m/>
    <n v="570000"/>
    <n v="712000"/>
    <n v="700938"/>
    <m/>
    <x v="8"/>
    <s v="מפעלים"/>
    <x v="40"/>
    <s v="מים"/>
    <x v="137"/>
    <s v="מינהל המים"/>
    <s v="9112"/>
    <e v="#N/A"/>
    <m/>
    <s v="1"/>
    <x v="9"/>
    <s v="11"/>
    <s v="השכר הקובע"/>
    <s v="110"/>
    <e v="#N/A"/>
  </r>
  <r>
    <n v="124"/>
    <s v="91120"/>
    <n v="1"/>
    <s v="191120.124"/>
    <s v="החזר הוצאות                     "/>
    <m/>
    <m/>
    <n v="37000"/>
    <n v="47000"/>
    <n v="45629"/>
    <m/>
    <x v="8"/>
    <s v="מפעלים"/>
    <x v="40"/>
    <s v="מים"/>
    <x v="137"/>
    <s v="מינהל המים"/>
    <s v="9112"/>
    <e v="#N/A"/>
    <m/>
    <s v="1"/>
    <x v="9"/>
    <s v="12"/>
    <s v="תוספות שאינן נכללות בשכר הקובע"/>
    <s v="124"/>
    <e v="#N/A"/>
  </r>
  <r>
    <n v="126"/>
    <s v="91120"/>
    <n v="1"/>
    <s v="191120.126"/>
    <s v="הבראה                           "/>
    <m/>
    <m/>
    <n v="37000"/>
    <n v="48000"/>
    <n v="47321"/>
    <m/>
    <x v="8"/>
    <s v="מפעלים"/>
    <x v="40"/>
    <s v="מים"/>
    <x v="137"/>
    <s v="מינהל המים"/>
    <s v="9112"/>
    <e v="#N/A"/>
    <m/>
    <s v="1"/>
    <x v="9"/>
    <s v="12"/>
    <s v="תוספות שאינן נכללות בשכר הקובע"/>
    <s v="126"/>
    <e v="#N/A"/>
  </r>
  <r>
    <n v="127"/>
    <s v="91120"/>
    <n v="1"/>
    <s v="191120.127"/>
    <s v="השתתפות באחזקת רכב-7            "/>
    <m/>
    <m/>
    <n v="148000"/>
    <n v="203000"/>
    <n v="174417"/>
    <m/>
    <x v="8"/>
    <s v="מפעלים"/>
    <x v="40"/>
    <s v="מים"/>
    <x v="137"/>
    <s v="מינהל המים"/>
    <s v="9112"/>
    <e v="#N/A"/>
    <m/>
    <s v="1"/>
    <x v="9"/>
    <s v="12"/>
    <s v="תוספות שאינן נכללות בשכר הקובע"/>
    <s v="127"/>
    <e v="#N/A"/>
  </r>
  <r>
    <n v="130"/>
    <s v="91120"/>
    <n v="1"/>
    <s v="191120.130"/>
    <s v="תשלומים מיוחדים                 "/>
    <m/>
    <m/>
    <n v="262000"/>
    <n v="363000"/>
    <n v="351935"/>
    <m/>
    <x v="8"/>
    <s v="מפעלים"/>
    <x v="40"/>
    <s v="מים"/>
    <x v="137"/>
    <s v="מינהל המים"/>
    <s v="9112"/>
    <e v="#N/A"/>
    <m/>
    <s v="1"/>
    <x v="9"/>
    <s v="13"/>
    <s v="שעות נוספות"/>
    <s v="130"/>
    <e v="#N/A"/>
  </r>
  <r>
    <n v="181"/>
    <s v="91120"/>
    <n v="1"/>
    <s v="191120.181"/>
    <s v="מיסים וביטוח לאומי              "/>
    <m/>
    <m/>
    <n v="75000"/>
    <n v="94000"/>
    <n v="164845"/>
    <m/>
    <x v="8"/>
    <s v="מפעלים"/>
    <x v="40"/>
    <s v="מים"/>
    <x v="137"/>
    <s v="מינהל המים"/>
    <s v="9112"/>
    <e v="#N/A"/>
    <m/>
    <s v="1"/>
    <x v="9"/>
    <s v="18"/>
    <s v="נלוות לשכר"/>
    <s v="181"/>
    <s v="הפרשות סוציאליות"/>
  </r>
  <r>
    <n v="182"/>
    <s v="91120"/>
    <n v="1"/>
    <s v="191120.182"/>
    <s v="קופות גמל והשתלמות              "/>
    <m/>
    <m/>
    <n v="140000"/>
    <n v="157000"/>
    <n v="146753"/>
    <m/>
    <x v="8"/>
    <s v="מפעלים"/>
    <x v="40"/>
    <s v="מים"/>
    <x v="137"/>
    <s v="מינהל המים"/>
    <s v="9112"/>
    <e v="#N/A"/>
    <m/>
    <s v="1"/>
    <x v="9"/>
    <s v="18"/>
    <s v="נלוות לשכר"/>
    <s v="182"/>
    <s v="מיסיום ועלויות"/>
  </r>
  <r>
    <n v="310"/>
    <s v="91120"/>
    <n v="1"/>
    <s v="191120.310"/>
    <s v="שעות נוספות רשומות              "/>
    <m/>
    <m/>
    <n v="262000"/>
    <n v="296000"/>
    <n v="94092"/>
    <m/>
    <x v="8"/>
    <s v="מפעלים"/>
    <x v="40"/>
    <s v="מים"/>
    <x v="137"/>
    <s v="מינהל המים"/>
    <s v="9112"/>
    <e v="#N/A"/>
    <m/>
    <s v="3"/>
    <x v="14"/>
    <s v="31"/>
    <s v="פנסיה"/>
    <s v="310"/>
    <e v="#N/A"/>
  </r>
  <r>
    <n v="340"/>
    <s v="91120"/>
    <n v="1"/>
    <s v="191120.340"/>
    <s v="שעות נוספות מיוחדות             "/>
    <m/>
    <m/>
    <n v="9000"/>
    <n v="10000"/>
    <n v="0"/>
    <m/>
    <x v="8"/>
    <s v="מפעלים"/>
    <x v="40"/>
    <s v="מים"/>
    <x v="137"/>
    <s v="מינהל המים"/>
    <s v="9112"/>
    <e v="#N/A"/>
    <m/>
    <s v="3"/>
    <x v="14"/>
    <s v="34"/>
    <e v="#N/A"/>
    <s v="340"/>
    <e v="#N/A"/>
  </r>
  <r>
    <n v="110"/>
    <s v="91130"/>
    <n v="1"/>
    <s v="191130.110"/>
    <s v="משכורת כוללת                    "/>
    <m/>
    <m/>
    <n v="1206000"/>
    <n v="1266000"/>
    <n v="1192144"/>
    <m/>
    <x v="8"/>
    <s v="מפעלים"/>
    <x v="40"/>
    <s v="מים"/>
    <x v="137"/>
    <s v="מינהל המים"/>
    <s v="9113"/>
    <e v="#N/A"/>
    <m/>
    <s v="1"/>
    <x v="9"/>
    <s v="11"/>
    <s v="השכר הקובע"/>
    <s v="110"/>
    <e v="#N/A"/>
  </r>
  <r>
    <n v="124"/>
    <s v="91130"/>
    <n v="1"/>
    <s v="191130.124"/>
    <s v="החזר הוצאות                     "/>
    <m/>
    <m/>
    <n v="64000"/>
    <n v="71000"/>
    <n v="67132"/>
    <m/>
    <x v="8"/>
    <s v="מפעלים"/>
    <x v="40"/>
    <s v="מים"/>
    <x v="137"/>
    <s v="מינהל המים"/>
    <s v="9113"/>
    <e v="#N/A"/>
    <m/>
    <s v="1"/>
    <x v="9"/>
    <s v="12"/>
    <s v="תוספות שאינן נכללות בשכר הקובע"/>
    <s v="124"/>
    <e v="#N/A"/>
  </r>
  <r>
    <n v="126"/>
    <s v="91130"/>
    <n v="1"/>
    <s v="191130.126"/>
    <s v="הבראה                           "/>
    <m/>
    <m/>
    <n v="65000"/>
    <n v="67000"/>
    <n v="65758"/>
    <m/>
    <x v="8"/>
    <s v="מפעלים"/>
    <x v="40"/>
    <s v="מים"/>
    <x v="137"/>
    <s v="מינהל המים"/>
    <s v="9113"/>
    <e v="#N/A"/>
    <m/>
    <s v="1"/>
    <x v="9"/>
    <s v="12"/>
    <s v="תוספות שאינן נכללות בשכר הקובע"/>
    <s v="126"/>
    <e v="#N/A"/>
  </r>
  <r>
    <n v="127"/>
    <s v="91130"/>
    <n v="1"/>
    <s v="191130.127"/>
    <s v="השתתפות באחזקת רכב-10           "/>
    <m/>
    <m/>
    <n v="231000"/>
    <n v="269000"/>
    <n v="260019"/>
    <m/>
    <x v="8"/>
    <s v="מפעלים"/>
    <x v="40"/>
    <s v="מים"/>
    <x v="137"/>
    <s v="מינהל המים"/>
    <s v="9113"/>
    <e v="#N/A"/>
    <m/>
    <s v="1"/>
    <x v="9"/>
    <s v="12"/>
    <s v="תוספות שאינן נכללות בשכר הקובע"/>
    <s v="127"/>
    <e v="#N/A"/>
  </r>
  <r>
    <n v="130"/>
    <s v="91130"/>
    <n v="1"/>
    <s v="191130.130"/>
    <s v="תשלומים מיוחדים                 "/>
    <m/>
    <m/>
    <n v="531000"/>
    <n v="538000"/>
    <n v="524921"/>
    <m/>
    <x v="8"/>
    <s v="מפעלים"/>
    <x v="40"/>
    <s v="מים"/>
    <x v="137"/>
    <s v="מינהל המים"/>
    <s v="9113"/>
    <e v="#N/A"/>
    <m/>
    <s v="1"/>
    <x v="9"/>
    <s v="13"/>
    <s v="שעות נוספות"/>
    <s v="130"/>
    <e v="#N/A"/>
  </r>
  <r>
    <n v="181"/>
    <s v="91130"/>
    <n v="1"/>
    <s v="191130.181"/>
    <s v="מיסים וביטוח לאומי              "/>
    <m/>
    <m/>
    <n v="133000"/>
    <n v="130000"/>
    <n v="301531"/>
    <m/>
    <x v="8"/>
    <s v="מפעלים"/>
    <x v="40"/>
    <s v="מים"/>
    <x v="137"/>
    <s v="מינהל המים"/>
    <s v="9113"/>
    <e v="#N/A"/>
    <m/>
    <s v="1"/>
    <x v="9"/>
    <s v="18"/>
    <s v="נלוות לשכר"/>
    <s v="181"/>
    <s v="הפרשות סוציאליות"/>
  </r>
  <r>
    <n v="182"/>
    <s v="91130"/>
    <n v="1"/>
    <s v="191130.182"/>
    <s v="קופות גמל והשתלמות              "/>
    <m/>
    <m/>
    <n v="226000"/>
    <n v="272000"/>
    <n v="253751"/>
    <m/>
    <x v="8"/>
    <s v="מפעלים"/>
    <x v="40"/>
    <s v="מים"/>
    <x v="137"/>
    <s v="מינהל המים"/>
    <s v="9113"/>
    <e v="#N/A"/>
    <m/>
    <s v="1"/>
    <x v="9"/>
    <s v="18"/>
    <s v="נלוות לשכר"/>
    <s v="182"/>
    <s v="מיסיום ועלויות"/>
  </r>
  <r>
    <n v="310"/>
    <s v="91130"/>
    <n v="1"/>
    <s v="191130.310"/>
    <s v="שעות נוספות רשומות              "/>
    <m/>
    <m/>
    <n v="112000"/>
    <n v="111000"/>
    <n v="233128"/>
    <m/>
    <x v="8"/>
    <s v="מפעלים"/>
    <x v="40"/>
    <s v="מים"/>
    <x v="137"/>
    <s v="מינהל המים"/>
    <s v="9113"/>
    <e v="#N/A"/>
    <m/>
    <s v="3"/>
    <x v="14"/>
    <s v="31"/>
    <s v="פנסיה"/>
    <s v="310"/>
    <e v="#N/A"/>
  </r>
  <r>
    <n v="340"/>
    <s v="91130"/>
    <n v="1"/>
    <s v="191130.340"/>
    <s v="שעות נוספות מיוחדות             "/>
    <m/>
    <m/>
    <n v="2000"/>
    <n v="2000"/>
    <n v="80640"/>
    <m/>
    <x v="8"/>
    <s v="מפעלים"/>
    <x v="40"/>
    <s v="מים"/>
    <x v="137"/>
    <s v="מינהל המים"/>
    <s v="9113"/>
    <e v="#N/A"/>
    <m/>
    <s v="3"/>
    <x v="14"/>
    <s v="34"/>
    <e v="#N/A"/>
    <s v="340"/>
    <e v="#N/A"/>
  </r>
  <r>
    <n v="110"/>
    <s v="91140"/>
    <n v="1"/>
    <s v="191140.110"/>
    <s v="משכורת כוללת                    "/>
    <m/>
    <m/>
    <n v="1070000"/>
    <n v="1419000"/>
    <n v="1282433"/>
    <m/>
    <x v="8"/>
    <s v="מפעלים"/>
    <x v="40"/>
    <s v="מים"/>
    <x v="137"/>
    <s v="מינהל המים"/>
    <s v="9114"/>
    <e v="#N/A"/>
    <m/>
    <s v="1"/>
    <x v="9"/>
    <s v="11"/>
    <s v="השכר הקובע"/>
    <s v="110"/>
    <e v="#N/A"/>
  </r>
  <r>
    <n v="124"/>
    <s v="91140"/>
    <n v="1"/>
    <s v="191140.124"/>
    <s v="החזר הוצאות                     "/>
    <m/>
    <m/>
    <n v="78000"/>
    <n v="103000"/>
    <n v="93200"/>
    <m/>
    <x v="8"/>
    <s v="מפעלים"/>
    <x v="40"/>
    <s v="מים"/>
    <x v="137"/>
    <s v="מינהל המים"/>
    <s v="9114"/>
    <e v="#N/A"/>
    <m/>
    <s v="1"/>
    <x v="9"/>
    <s v="12"/>
    <s v="תוספות שאינן נכללות בשכר הקובע"/>
    <s v="124"/>
    <e v="#N/A"/>
  </r>
  <r>
    <n v="126"/>
    <s v="91140"/>
    <n v="1"/>
    <s v="191140.126"/>
    <s v="הבראה                           "/>
    <m/>
    <m/>
    <n v="51000"/>
    <n v="73000"/>
    <n v="72163"/>
    <m/>
    <x v="8"/>
    <s v="מפעלים"/>
    <x v="40"/>
    <s v="מים"/>
    <x v="137"/>
    <s v="מינהל המים"/>
    <s v="9114"/>
    <e v="#N/A"/>
    <m/>
    <s v="1"/>
    <x v="9"/>
    <s v="12"/>
    <s v="תוספות שאינן נכללות בשכר הקובע"/>
    <s v="126"/>
    <e v="#N/A"/>
  </r>
  <r>
    <n v="127"/>
    <s v="91140"/>
    <n v="1"/>
    <s v="191140.127"/>
    <s v="השתתפות באחזקת רכב-9            "/>
    <m/>
    <m/>
    <n v="214000"/>
    <n v="283000"/>
    <n v="247478"/>
    <m/>
    <x v="8"/>
    <s v="מפעלים"/>
    <x v="40"/>
    <s v="מים"/>
    <x v="137"/>
    <s v="מינהל המים"/>
    <s v="9114"/>
    <e v="#N/A"/>
    <m/>
    <s v="1"/>
    <x v="9"/>
    <s v="12"/>
    <s v="תוספות שאינן נכללות בשכר הקובע"/>
    <s v="127"/>
    <e v="#N/A"/>
  </r>
  <r>
    <n v="130"/>
    <s v="91140"/>
    <n v="1"/>
    <s v="191140.130"/>
    <s v="תשלומים מיוחדים                 "/>
    <m/>
    <m/>
    <n v="479000"/>
    <n v="608000"/>
    <n v="557516"/>
    <m/>
    <x v="8"/>
    <s v="מפעלים"/>
    <x v="40"/>
    <s v="מים"/>
    <x v="137"/>
    <s v="מינהל המים"/>
    <s v="9114"/>
    <e v="#N/A"/>
    <m/>
    <s v="1"/>
    <x v="9"/>
    <s v="13"/>
    <s v="שעות נוספות"/>
    <s v="130"/>
    <e v="#N/A"/>
  </r>
  <r>
    <n v="181"/>
    <s v="91140"/>
    <n v="1"/>
    <s v="191140.181"/>
    <s v="מיסים וביטוח לאומי              "/>
    <m/>
    <m/>
    <n v="141000"/>
    <n v="155000"/>
    <n v="304345"/>
    <m/>
    <x v="8"/>
    <s v="מפעלים"/>
    <x v="40"/>
    <s v="מים"/>
    <x v="137"/>
    <s v="מינהל המים"/>
    <s v="9114"/>
    <e v="#N/A"/>
    <m/>
    <s v="1"/>
    <x v="9"/>
    <s v="18"/>
    <s v="נלוות לשכר"/>
    <s v="181"/>
    <s v="הפרשות סוציאליות"/>
  </r>
  <r>
    <n v="182"/>
    <s v="91140"/>
    <n v="1"/>
    <s v="191140.182"/>
    <s v="קופות גמל והשתלמות              "/>
    <m/>
    <m/>
    <n v="241000"/>
    <n v="275000"/>
    <n v="254586"/>
    <m/>
    <x v="8"/>
    <s v="מפעלים"/>
    <x v="40"/>
    <s v="מים"/>
    <x v="137"/>
    <s v="מינהל המים"/>
    <s v="9114"/>
    <e v="#N/A"/>
    <m/>
    <s v="1"/>
    <x v="9"/>
    <s v="18"/>
    <s v="נלוות לשכר"/>
    <s v="182"/>
    <s v="מיסיום ועלויות"/>
  </r>
  <r>
    <n v="310"/>
    <s v="91140"/>
    <n v="1"/>
    <s v="191140.310"/>
    <s v="שעות נוספות רשומות              "/>
    <m/>
    <m/>
    <n v="277000"/>
    <n v="288000"/>
    <n v="191587"/>
    <m/>
    <x v="8"/>
    <s v="מפעלים"/>
    <x v="40"/>
    <s v="מים"/>
    <x v="137"/>
    <s v="מינהל המים"/>
    <s v="9114"/>
    <e v="#N/A"/>
    <m/>
    <s v="3"/>
    <x v="14"/>
    <s v="31"/>
    <s v="פנסיה"/>
    <s v="310"/>
    <e v="#N/A"/>
  </r>
  <r>
    <n v="340"/>
    <s v="91140"/>
    <n v="1"/>
    <s v="191140.340"/>
    <s v="שעות נוספות מיוחדות             "/>
    <m/>
    <m/>
    <n v="9000"/>
    <n v="10000"/>
    <n v="15838"/>
    <m/>
    <x v="8"/>
    <s v="מפעלים"/>
    <x v="40"/>
    <s v="מים"/>
    <x v="137"/>
    <s v="מינהל המים"/>
    <s v="9114"/>
    <e v="#N/A"/>
    <m/>
    <s v="3"/>
    <x v="14"/>
    <s v="34"/>
    <e v="#N/A"/>
    <s v="340"/>
    <e v="#N/A"/>
  </r>
  <r>
    <n v="110"/>
    <s v="91150"/>
    <n v="1"/>
    <s v="191150.110"/>
    <s v="משכורת כוללת                    "/>
    <m/>
    <m/>
    <n v="400000"/>
    <n v="706000"/>
    <n v="716279"/>
    <m/>
    <x v="8"/>
    <s v="מפעלים"/>
    <x v="40"/>
    <s v="מים"/>
    <x v="137"/>
    <s v="מינהל המים"/>
    <s v="9115"/>
    <e v="#N/A"/>
    <m/>
    <s v="1"/>
    <x v="9"/>
    <s v="11"/>
    <s v="השכר הקובע"/>
    <s v="110"/>
    <e v="#N/A"/>
  </r>
  <r>
    <n v="124"/>
    <s v="91150"/>
    <n v="1"/>
    <s v="191150.124"/>
    <s v="החזר הוצאות                     "/>
    <m/>
    <m/>
    <n v="17000"/>
    <n v="34000"/>
    <n v="33404"/>
    <m/>
    <x v="8"/>
    <s v="מפעלים"/>
    <x v="40"/>
    <s v="מים"/>
    <x v="137"/>
    <s v="מינהל המים"/>
    <s v="9115"/>
    <e v="#N/A"/>
    <m/>
    <s v="1"/>
    <x v="9"/>
    <s v="12"/>
    <s v="תוספות שאינן נכללות בשכר הקובע"/>
    <s v="124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24">
  <r>
    <n v="110"/>
    <s v="110000"/>
    <n v="1"/>
    <s v="1110000.110"/>
    <s v="ארנונה   - ארנונה  למגורים ועסקים"/>
    <m/>
    <m/>
    <n v="-1220000000"/>
    <n v="-1241302400"/>
    <n v="-1117800369"/>
    <m/>
    <x v="0"/>
    <x v="0"/>
    <s v="11"/>
    <x v="0"/>
    <x v="0"/>
    <x v="0"/>
    <s v="1100"/>
    <e v="#N/A"/>
    <m/>
    <s v="1"/>
    <x v="0"/>
    <s v="11"/>
    <e v="#N/A"/>
    <s v="110"/>
    <e v="#N/A"/>
  </r>
  <r>
    <n v="125"/>
    <s v="110000"/>
    <n v="1"/>
    <s v="1110000.125"/>
    <s v="ארנונה   - הנחות סוציאליות ופטורים בארנונה"/>
    <m/>
    <m/>
    <n v="-160000000"/>
    <n v="-160000000"/>
    <n v="-161826833"/>
    <m/>
    <x v="0"/>
    <x v="0"/>
    <s v="11"/>
    <x v="0"/>
    <x v="0"/>
    <x v="0"/>
    <s v="1100"/>
    <e v="#N/A"/>
    <m/>
    <s v="1"/>
    <x v="0"/>
    <s v="12"/>
    <e v="#N/A"/>
    <s v="125"/>
    <e v="#N/A"/>
  </r>
  <r>
    <n v="220"/>
    <s v="120000"/>
    <n v="1"/>
    <s v="1120000.220"/>
    <s v="אגרות - אגרת רשיונות לשלטים"/>
    <m/>
    <m/>
    <n v="-20250000"/>
    <n v="-20100000"/>
    <n v="-17769356"/>
    <m/>
    <x v="0"/>
    <x v="0"/>
    <s v="12"/>
    <x v="1"/>
    <x v="1"/>
    <x v="0"/>
    <s v="1200"/>
    <e v="#N/A"/>
    <m/>
    <s v="2"/>
    <x v="1"/>
    <s v="22"/>
    <s v="אגרות בגין שירותים וחומרים"/>
    <s v="220"/>
    <e v="#N/A"/>
  </r>
  <r>
    <n v="230"/>
    <s v="120000"/>
    <n v="1"/>
    <s v="1120000.230"/>
    <s v="אגרות - אגרת תעודות ואישורים"/>
    <m/>
    <m/>
    <n v="-700000"/>
    <n v="-700000"/>
    <n v="-682812"/>
    <m/>
    <x v="0"/>
    <x v="0"/>
    <s v="12"/>
    <x v="1"/>
    <x v="1"/>
    <x v="0"/>
    <s v="1200"/>
    <e v="#N/A"/>
    <m/>
    <s v="2"/>
    <x v="1"/>
    <s v="23"/>
    <e v="#N/A"/>
    <s v="230"/>
    <e v="#N/A"/>
  </r>
  <r>
    <n v="241"/>
    <s v="120000"/>
    <n v="1"/>
    <s v="1120000.241"/>
    <s v="אגרות - אגרת מודעות על לוחות"/>
    <m/>
    <m/>
    <n v="-500000"/>
    <n v="-500000"/>
    <n v="-230110"/>
    <m/>
    <x v="0"/>
    <x v="0"/>
    <s v="12"/>
    <x v="1"/>
    <x v="1"/>
    <x v="0"/>
    <s v="1200"/>
    <e v="#N/A"/>
    <m/>
    <s v="2"/>
    <x v="1"/>
    <s v="24"/>
    <e v="#N/A"/>
    <s v="241"/>
    <e v="#N/A"/>
  </r>
  <r>
    <n v="242"/>
    <s v="120000"/>
    <n v="1"/>
    <s v="1120000.242"/>
    <s v="אגרות - התקנת שלטים"/>
    <m/>
    <m/>
    <n v="-1500000"/>
    <n v="-1500000"/>
    <n v="-835431"/>
    <m/>
    <x v="0"/>
    <x v="0"/>
    <s v="12"/>
    <x v="1"/>
    <x v="1"/>
    <x v="0"/>
    <s v="1200"/>
    <e v="#N/A"/>
    <m/>
    <s v="2"/>
    <x v="1"/>
    <s v="24"/>
    <e v="#N/A"/>
    <s v="242"/>
    <e v="#N/A"/>
  </r>
  <r>
    <n v="243"/>
    <s v="120000"/>
    <n v="1"/>
    <s v="1120000.243"/>
    <s v="אגרות - הדבקת מודעות"/>
    <m/>
    <m/>
    <n v="-100000"/>
    <n v="-100000"/>
    <n v="-62679"/>
    <m/>
    <x v="0"/>
    <x v="0"/>
    <s v="12"/>
    <x v="1"/>
    <x v="1"/>
    <x v="0"/>
    <s v="1200"/>
    <e v="#N/A"/>
    <m/>
    <s v="2"/>
    <x v="1"/>
    <s v="24"/>
    <e v="#N/A"/>
    <s v="243"/>
    <e v="#N/A"/>
  </r>
  <r>
    <n v="910"/>
    <s v="192000"/>
    <n v="1"/>
    <s v="1192000.910"/>
    <s v="מענקי משרד הפנים - מענק פנסיה צוברת"/>
    <m/>
    <m/>
    <n v="-1600000"/>
    <n v="-2052000"/>
    <n v="-1681640"/>
    <m/>
    <x v="0"/>
    <x v="0"/>
    <s v="19"/>
    <x v="2"/>
    <x v="2"/>
    <x v="1"/>
    <s v="1920"/>
    <e v="#N/A"/>
    <m/>
    <s v="9"/>
    <x v="2"/>
    <s v="91"/>
    <s v="השתתפות משרד הפנים"/>
    <s v="910"/>
    <e v="#N/A"/>
  </r>
  <r>
    <n v="910"/>
    <s v="197000"/>
    <n v="1"/>
    <s v="1197000.910"/>
    <s v="מענקי משרד הפנים - שיפוי קופות גמל סעיף 19ג"/>
    <m/>
    <m/>
    <n v="-180000"/>
    <n v="-205000"/>
    <n v="-184998"/>
    <m/>
    <x v="0"/>
    <x v="0"/>
    <s v="19"/>
    <x v="2"/>
    <x v="3"/>
    <x v="2"/>
    <s v="1970"/>
    <e v="#N/A"/>
    <m/>
    <s v="9"/>
    <x v="2"/>
    <s v="91"/>
    <s v="השתתפות משרד הפנים"/>
    <s v="910"/>
    <e v="#N/A"/>
  </r>
  <r>
    <n v="610"/>
    <n v="212923"/>
    <n v="1"/>
    <s v="1212923.610"/>
    <s v="שירותי ניקיון - פינוי פסולת והובלה"/>
    <m/>
    <m/>
    <n v="-7945000"/>
    <n v="-7945000"/>
    <n v="-7943174"/>
    <m/>
    <x v="1"/>
    <x v="1"/>
    <s v="21"/>
    <x v="3"/>
    <x v="4"/>
    <x v="3"/>
    <s v="2129"/>
    <e v="#N/A"/>
    <m/>
    <s v="6"/>
    <x v="3"/>
    <s v="61"/>
    <s v="מכירת חומרים"/>
    <s v="610"/>
    <e v="#N/A"/>
  </r>
  <r>
    <n v="412"/>
    <n v="212305"/>
    <n v="1"/>
    <s v="1212305.412"/>
    <s v="שירותי ניקיון - מכירת מכרזים"/>
    <m/>
    <m/>
    <n v="-50000"/>
    <n v="-50000"/>
    <n v="-79792"/>
    <m/>
    <x v="1"/>
    <x v="1"/>
    <s v="21"/>
    <x v="3"/>
    <x v="4"/>
    <x v="3"/>
    <s v="2123"/>
    <s v="אסוף ובעור אשפה"/>
    <m/>
    <s v="4"/>
    <x v="4"/>
    <s v="41"/>
    <s v="שכל&quot;מ מתושבים"/>
    <s v="412"/>
    <e v="#N/A"/>
  </r>
  <r>
    <n v="410"/>
    <n v="212305"/>
    <n v="1"/>
    <s v="1212305.410"/>
    <s v="שירותי ניקיון - רכישה ותיקון מכולות"/>
    <m/>
    <m/>
    <n v="0"/>
    <n v="0"/>
    <n v="-301"/>
    <m/>
    <x v="1"/>
    <x v="1"/>
    <s v="21"/>
    <x v="3"/>
    <x v="4"/>
    <x v="3"/>
    <s v="2123"/>
    <s v="אסוף ובעור אשפה"/>
    <m/>
    <s v="4"/>
    <x v="4"/>
    <s v="41"/>
    <s v="שכל&quot;מ מתושבים"/>
    <s v="410"/>
    <e v="#N/A"/>
  </r>
  <r>
    <n v="210"/>
    <s v="213000"/>
    <n v="1"/>
    <s v="1213000.210"/>
    <s v="פיקוח תברואי - אגרת רישוי עסקים"/>
    <m/>
    <m/>
    <n v="-579000"/>
    <n v="-579000"/>
    <n v="-470126"/>
    <m/>
    <x v="1"/>
    <x v="1"/>
    <s v="21"/>
    <x v="3"/>
    <x v="5"/>
    <x v="4"/>
    <s v="2130"/>
    <e v="#N/A"/>
    <m/>
    <s v="2"/>
    <x v="1"/>
    <s v="21"/>
    <s v="אגרות מים וביוב"/>
    <s v="210"/>
    <e v="#N/A"/>
  </r>
  <r>
    <n v="270"/>
    <s v="213000"/>
    <n v="1"/>
    <s v="1213000.270"/>
    <s v="פיקוח תברואי - קנסות"/>
    <m/>
    <m/>
    <n v="-600000"/>
    <n v="-480000"/>
    <n v="-567051"/>
    <m/>
    <x v="1"/>
    <x v="1"/>
    <s v="21"/>
    <x v="3"/>
    <x v="5"/>
    <x v="4"/>
    <s v="2130"/>
    <e v="#N/A"/>
    <m/>
    <s v="2"/>
    <x v="1"/>
    <s v="27"/>
    <e v="#N/A"/>
    <s v="270"/>
    <e v="#N/A"/>
  </r>
  <r>
    <n v="290"/>
    <s v="213000"/>
    <n v="1"/>
    <s v="1213000.290"/>
    <s v="פיקוח תברואי - דוחות עישון"/>
    <m/>
    <m/>
    <n v="-100000"/>
    <n v="-36400"/>
    <n v="-110300"/>
    <m/>
    <x v="1"/>
    <x v="1"/>
    <s v="21"/>
    <x v="3"/>
    <x v="5"/>
    <x v="4"/>
    <s v="2130"/>
    <e v="#N/A"/>
    <m/>
    <s v="2"/>
    <x v="1"/>
    <s v="29"/>
    <s v="אגרות אחרות"/>
    <s v="290"/>
    <e v="#N/A"/>
  </r>
  <r>
    <n v="210"/>
    <s v="214100"/>
    <n v="1"/>
    <s v="1214100.210"/>
    <s v="שירות  וטרינרי - אגרת רשיונות לכלבים"/>
    <m/>
    <m/>
    <n v="-350000"/>
    <n v="-350000"/>
    <n v="-339454"/>
    <m/>
    <x v="1"/>
    <x v="1"/>
    <s v="21"/>
    <x v="3"/>
    <x v="6"/>
    <x v="5"/>
    <s v="2141"/>
    <s v="מינהל שרות וטרינרי"/>
    <m/>
    <s v="2"/>
    <x v="1"/>
    <s v="21"/>
    <s v="אגרות מים וביוב"/>
    <s v="210"/>
    <e v="#N/A"/>
  </r>
  <r>
    <n v="410"/>
    <s v="214100"/>
    <n v="1"/>
    <s v="1214100.410"/>
    <s v="שירות  וטרינרי - בדיקות בשר קפוא ודגים"/>
    <m/>
    <m/>
    <n v="-363000"/>
    <n v="-363000"/>
    <n v="-206896"/>
    <m/>
    <x v="1"/>
    <x v="1"/>
    <s v="21"/>
    <x v="3"/>
    <x v="6"/>
    <x v="5"/>
    <s v="2141"/>
    <s v="מינהל שרות וטרינרי"/>
    <m/>
    <s v="4"/>
    <x v="4"/>
    <s v="41"/>
    <s v="שכל&quot;מ מתושבים"/>
    <s v="410"/>
    <e v="#N/A"/>
  </r>
  <r>
    <n v="440"/>
    <s v="214100"/>
    <n v="1"/>
    <s v="1214100.440"/>
    <s v="שירות  וטרינרי - אגרת שחיטת עופות"/>
    <m/>
    <m/>
    <n v="-307000"/>
    <n v="-307000"/>
    <n v="-227836"/>
    <m/>
    <x v="1"/>
    <x v="1"/>
    <s v="21"/>
    <x v="3"/>
    <x v="6"/>
    <x v="5"/>
    <s v="2141"/>
    <s v="מינהל שרות וטרינרי"/>
    <m/>
    <s v="4"/>
    <x v="4"/>
    <s v="44"/>
    <s v="השתתפויות מוסדות ורשויות בשירותים משלימים"/>
    <s v="440"/>
    <e v="#N/A"/>
  </r>
  <r>
    <n v="410"/>
    <n v="214105"/>
    <n v="1"/>
    <s v="1214105.410"/>
    <s v="שירות  וטרינרי - מאורות כלבים"/>
    <m/>
    <m/>
    <n v="-532500"/>
    <n v="-532500"/>
    <n v="-716524"/>
    <m/>
    <x v="1"/>
    <x v="1"/>
    <s v="21"/>
    <x v="3"/>
    <x v="6"/>
    <x v="5"/>
    <s v="2141"/>
    <s v="מינהל שרות וטרינרי"/>
    <m/>
    <s v="4"/>
    <x v="4"/>
    <s v="41"/>
    <s v="שכל&quot;מ מתושבים"/>
    <s v="410"/>
    <e v="#N/A"/>
  </r>
  <r>
    <n v="210"/>
    <s v="214300"/>
    <n v="1"/>
    <s v="1214300.210"/>
    <s v="שירות  וטרינרי - אגרת בדיקה  וטרינרית"/>
    <m/>
    <m/>
    <n v="-1127500"/>
    <n v="-1127500"/>
    <n v="-1145924"/>
    <m/>
    <x v="1"/>
    <x v="1"/>
    <s v="21"/>
    <x v="3"/>
    <x v="6"/>
    <x v="5"/>
    <s v="2143"/>
    <s v="מלחמה בכלבת"/>
    <m/>
    <s v="2"/>
    <x v="1"/>
    <s v="21"/>
    <s v="אגרות מים וביוב"/>
    <s v="210"/>
    <e v="#N/A"/>
  </r>
  <r>
    <n v="410"/>
    <s v="214100"/>
    <n v="1"/>
    <s v="1214100.410"/>
    <s v="שירות  וטרינרי - דמי חיסון כלבים"/>
    <m/>
    <m/>
    <n v="-166000"/>
    <n v="-166000"/>
    <n v="-187595"/>
    <m/>
    <x v="1"/>
    <x v="1"/>
    <s v="21"/>
    <x v="3"/>
    <x v="6"/>
    <x v="5"/>
    <s v="2141"/>
    <s v="מינהל שרות וטרינרי"/>
    <m/>
    <s v="4"/>
    <x v="4"/>
    <s v="41"/>
    <s v="שכל&quot;מ מתושבים"/>
    <s v="410"/>
    <e v="#N/A"/>
  </r>
  <r>
    <n v="910"/>
    <s v="222100"/>
    <n v="1"/>
    <s v="1222100.910"/>
    <s v="שמירה וביטחון - משמר אזרחי -השתתפות ממשלה"/>
    <m/>
    <m/>
    <n v="-62000"/>
    <n v="-62000"/>
    <n v="-24906"/>
    <m/>
    <x v="1"/>
    <x v="1"/>
    <s v="22"/>
    <x v="4"/>
    <x v="7"/>
    <x v="6"/>
    <s v="2221"/>
    <s v="משמר אזרחי"/>
    <m/>
    <s v="9"/>
    <x v="2"/>
    <s v="91"/>
    <s v="השתתפות משרד הפנים"/>
    <s v="910"/>
    <e v="#N/A"/>
  </r>
  <r>
    <n v="920"/>
    <s v="227000"/>
    <n v="1"/>
    <s v="1227000.920"/>
    <s v="שמירה וביטחון - קב&quot;טים"/>
    <m/>
    <m/>
    <n v="-802000"/>
    <n v="-802000"/>
    <n v="-838120"/>
    <m/>
    <x v="1"/>
    <x v="1"/>
    <s v="22"/>
    <x v="4"/>
    <x v="8"/>
    <x v="7"/>
    <s v="2270"/>
    <e v="#N/A"/>
    <m/>
    <s v="9"/>
    <x v="2"/>
    <s v="92"/>
    <s v="השתתפות משרד החינוך והתרבות"/>
    <s v="920"/>
    <e v="#N/A"/>
  </r>
  <r>
    <n v="410"/>
    <s v="226200"/>
    <n v="1"/>
    <s v="1226200.410"/>
    <s v="שמירה וביטחון - השתתפות רשויות אחרות"/>
    <m/>
    <m/>
    <n v="-6200"/>
    <n v="-6200"/>
    <n v="0"/>
    <m/>
    <x v="1"/>
    <x v="1"/>
    <s v="22"/>
    <x v="4"/>
    <x v="9"/>
    <x v="8"/>
    <s v="2262"/>
    <s v="פס״ח"/>
    <m/>
    <s v="4"/>
    <x v="4"/>
    <s v="41"/>
    <s v="שכל&quot;מ מתושבים"/>
    <s v="410"/>
    <e v="#N/A"/>
  </r>
  <r>
    <n v="910"/>
    <s v="226200"/>
    <n v="1"/>
    <s v="1226200.910"/>
    <s v="שמירה וביטחון - פס&quot;ח"/>
    <m/>
    <m/>
    <n v="-2000"/>
    <n v="-2000"/>
    <n v="0"/>
    <m/>
    <x v="1"/>
    <x v="1"/>
    <s v="22"/>
    <x v="4"/>
    <x v="9"/>
    <x v="8"/>
    <s v="2262"/>
    <s v="פס״ח"/>
    <m/>
    <s v="9"/>
    <x v="2"/>
    <s v="91"/>
    <s v="השתתפות משרד הפנים"/>
    <s v="910"/>
    <e v="#N/A"/>
  </r>
  <r>
    <n v="940"/>
    <n v="227000"/>
    <n v="1"/>
    <s v="1227000.940"/>
    <s v="שמירה וביטחון - מציל&quot;ה"/>
    <m/>
    <m/>
    <n v="-123500"/>
    <n v="-123500"/>
    <n v="0"/>
    <m/>
    <x v="1"/>
    <x v="1"/>
    <s v="22"/>
    <x v="4"/>
    <x v="8"/>
    <x v="7"/>
    <s v="2270"/>
    <e v="#N/A"/>
    <m/>
    <s v="9"/>
    <x v="2"/>
    <s v="94"/>
    <s v="השתתפות משרד הבריאות"/>
    <s v="940"/>
    <e v="#N/A"/>
  </r>
  <r>
    <n v="410"/>
    <n v="231115"/>
    <n v="1"/>
    <s v="1231115.410"/>
    <s v="תכנון ובניה - העתקות אור"/>
    <m/>
    <m/>
    <n v="-307700"/>
    <n v="-307700"/>
    <n v="-693002"/>
    <m/>
    <x v="1"/>
    <x v="1"/>
    <s v="23"/>
    <x v="5"/>
    <x v="10"/>
    <x v="9"/>
    <s v="2311"/>
    <e v="#N/A"/>
    <m/>
    <s v="4"/>
    <x v="4"/>
    <s v="41"/>
    <s v="שכל&quot;מ מתושבים"/>
    <s v="410"/>
    <e v="#N/A"/>
  </r>
  <r>
    <n v="410"/>
    <n v="231116"/>
    <n v="1"/>
    <s v="1231116.410"/>
    <s v="תכנון ובניה - ועדה מקומית בז&quot;ן"/>
    <m/>
    <m/>
    <n v="-1450000"/>
    <n v="-1450000"/>
    <n v="-902800"/>
    <m/>
    <x v="1"/>
    <x v="1"/>
    <s v="23"/>
    <x v="5"/>
    <x v="10"/>
    <x v="9"/>
    <s v="2311"/>
    <e v="#N/A"/>
    <m/>
    <s v="4"/>
    <x v="4"/>
    <s v="41"/>
    <s v="שכל&quot;מ מתושבים"/>
    <s v="410"/>
    <e v="#N/A"/>
  </r>
  <r>
    <n v="910"/>
    <n v="231112"/>
    <n v="1"/>
    <s v="1231112.910"/>
    <s v="תכנון ובניה - מענק תמרוץ בניה"/>
    <m/>
    <m/>
    <n v="0"/>
    <n v="-8000000"/>
    <n v="0"/>
    <m/>
    <x v="1"/>
    <x v="1"/>
    <s v="23"/>
    <x v="5"/>
    <x v="10"/>
    <x v="9"/>
    <s v="2311"/>
    <e v="#N/A"/>
    <m/>
    <s v="9"/>
    <x v="2"/>
    <s v="91"/>
    <s v="השתתפות משרד הפנים"/>
    <s v="910"/>
    <e v="#N/A"/>
  </r>
  <r>
    <n v="911"/>
    <n v="231113"/>
    <n v="1"/>
    <s v="1231113.911"/>
    <s v="תכנון ובניה - ועדה מקומית "/>
    <m/>
    <m/>
    <n v="-50000"/>
    <n v="-10000"/>
    <n v="0"/>
    <m/>
    <x v="1"/>
    <x v="1"/>
    <s v="23"/>
    <x v="5"/>
    <x v="10"/>
    <x v="9"/>
    <s v="2311"/>
    <e v="#N/A"/>
    <m/>
    <s v="9"/>
    <x v="2"/>
    <s v="91"/>
    <s v="השתתפות משרד הפנים"/>
    <s v="911"/>
    <e v="#N/A"/>
  </r>
  <r>
    <n v="210"/>
    <n v="233100"/>
    <n v="1"/>
    <s v="1233100.210"/>
    <s v="תכנון ובניה - אגרת רשיונות בניה"/>
    <m/>
    <m/>
    <n v="-11500000"/>
    <n v="-12500000"/>
    <n v="-17382527"/>
    <m/>
    <x v="1"/>
    <x v="1"/>
    <s v="23"/>
    <x v="5"/>
    <x v="11"/>
    <x v="10"/>
    <s v="2331"/>
    <s v="אגרות, רישיונות בניה"/>
    <m/>
    <s v="2"/>
    <x v="1"/>
    <s v="21"/>
    <s v="אגרות מים וביוב"/>
    <s v="210"/>
    <e v="#N/A"/>
  </r>
  <r>
    <n v="410"/>
    <s v="242000"/>
    <n v="1"/>
    <s v="1242000.410"/>
    <s v="נכסים ציבוריים - אגרת שמוש במדרכות"/>
    <m/>
    <m/>
    <n v="-350000"/>
    <n v="-366000"/>
    <n v="-300548"/>
    <m/>
    <x v="1"/>
    <x v="1"/>
    <s v="24"/>
    <x v="6"/>
    <x v="12"/>
    <x v="11"/>
    <s v="2420"/>
    <e v="#N/A"/>
    <m/>
    <s v="4"/>
    <x v="4"/>
    <s v="41"/>
    <s v="שכל&quot;מ מתושבים"/>
    <s v="410"/>
    <e v="#N/A"/>
  </r>
  <r>
    <n v="210"/>
    <s v="244500"/>
    <n v="1"/>
    <s v="1244500.210"/>
    <s v="נכסים ציבוריים - אגרות חניה -כרטיסי  חניה   "/>
    <m/>
    <m/>
    <n v="-4300"/>
    <n v="-5000"/>
    <n v="-3943"/>
    <m/>
    <x v="1"/>
    <x v="1"/>
    <s v="24"/>
    <x v="6"/>
    <x v="13"/>
    <x v="12"/>
    <s v="2445"/>
    <s v="מטה בטיחות עירוני"/>
    <m/>
    <s v="2"/>
    <x v="1"/>
    <s v="21"/>
    <s v="אגרות מים וביוב"/>
    <s v="210"/>
    <e v="#N/A"/>
  </r>
  <r>
    <n v="211"/>
    <s v="244500"/>
    <n v="1"/>
    <s v="1244500.211"/>
    <s v="נכסים ציבוריים - אגרות חניה-מדחנים"/>
    <m/>
    <m/>
    <n v="-4500000"/>
    <n v="-4500000"/>
    <n v="-4338059"/>
    <m/>
    <x v="1"/>
    <x v="1"/>
    <s v="24"/>
    <x v="6"/>
    <x v="13"/>
    <x v="12"/>
    <s v="2445"/>
    <s v="מטה בטיחות עירוני"/>
    <m/>
    <s v="2"/>
    <x v="1"/>
    <s v="21"/>
    <s v="אגרות מים וביוב"/>
    <s v="211"/>
    <e v="#N/A"/>
  </r>
  <r>
    <n v="212"/>
    <s v="244500"/>
    <n v="1"/>
    <s v="1244500.212"/>
    <s v="נכסים ציבוריים - אגרות חניה -איזיפארק"/>
    <m/>
    <m/>
    <n v="-3000000"/>
    <n v="-3000000"/>
    <n v="-2937396"/>
    <m/>
    <x v="1"/>
    <x v="1"/>
    <s v="24"/>
    <x v="6"/>
    <x v="13"/>
    <x v="12"/>
    <s v="2445"/>
    <s v="מטה בטיחות עירוני"/>
    <m/>
    <s v="2"/>
    <x v="1"/>
    <s v="21"/>
    <s v="אגרות מים וביוב"/>
    <s v="212"/>
    <e v="#N/A"/>
  </r>
  <r>
    <n v="411"/>
    <s v="244500"/>
    <n v="1"/>
    <s v="1244500.411"/>
    <s v="נכסים ציבוריים - קנסות חנייה"/>
    <m/>
    <m/>
    <n v="-35000000"/>
    <n v="-35070000"/>
    <n v="-40465607"/>
    <m/>
    <x v="1"/>
    <x v="1"/>
    <s v="24"/>
    <x v="6"/>
    <x v="13"/>
    <x v="12"/>
    <s v="2445"/>
    <s v="מטה בטיחות עירוני"/>
    <m/>
    <s v="4"/>
    <x v="4"/>
    <s v="41"/>
    <s v="שכל&quot;מ מתושבים"/>
    <s v="411"/>
    <e v="#N/A"/>
  </r>
  <r>
    <n v="413"/>
    <s v="244500"/>
    <n v="1"/>
    <s v="1244500.413"/>
    <s v="נכסים ציבוריים - חניה סלולרית פאנגו"/>
    <m/>
    <m/>
    <n v="-13608000"/>
    <n v="-13130000"/>
    <n v="-13802308"/>
    <m/>
    <x v="1"/>
    <x v="1"/>
    <s v="24"/>
    <x v="6"/>
    <x v="13"/>
    <x v="12"/>
    <s v="2445"/>
    <s v="מטה בטיחות עירוני"/>
    <m/>
    <s v="4"/>
    <x v="4"/>
    <s v="41"/>
    <s v="שכל&quot;מ מתושבים"/>
    <s v="413"/>
    <e v="#N/A"/>
  </r>
  <r>
    <n v="414"/>
    <s v="244500"/>
    <n v="1"/>
    <s v="1244500.414"/>
    <s v="נכסים ציבוריים - סלופארק"/>
    <m/>
    <m/>
    <n v="-1000000"/>
    <n v="-1000000"/>
    <n v="0"/>
    <m/>
    <x v="1"/>
    <x v="1"/>
    <s v="24"/>
    <x v="6"/>
    <x v="13"/>
    <x v="12"/>
    <s v="2445"/>
    <s v="מטה בטיחות עירוני"/>
    <m/>
    <s v="4"/>
    <x v="4"/>
    <s v="41"/>
    <s v="שכל&quot;מ מתושבים"/>
    <s v="414"/>
    <e v="#N/A"/>
  </r>
  <r>
    <n v="210"/>
    <s v="244700"/>
    <n v="1"/>
    <s v="1244700.210"/>
    <s v="נכסים ציבוריים - מגרשי חנייה"/>
    <m/>
    <m/>
    <n v="-200000"/>
    <n v="-256000"/>
    <n v="-49872"/>
    <m/>
    <x v="1"/>
    <x v="1"/>
    <s v="24"/>
    <x v="6"/>
    <x v="13"/>
    <x v="12"/>
    <s v="2447"/>
    <e v="#N/A"/>
    <m/>
    <s v="2"/>
    <x v="1"/>
    <s v="21"/>
    <s v="אגרות מים וביוב"/>
    <s v="210"/>
    <e v="#N/A"/>
  </r>
  <r>
    <n v="830"/>
    <s v="245000"/>
    <n v="1"/>
    <s v="1245000.830"/>
    <s v="נכסים ציבוריים - השתתפות בעלים-תקציב פיתוח "/>
    <m/>
    <m/>
    <n v="-40000000"/>
    <n v="-40000000"/>
    <n v="-71000000"/>
    <m/>
    <x v="1"/>
    <x v="1"/>
    <s v="24"/>
    <x v="6"/>
    <x v="14"/>
    <x v="13"/>
    <s v="2450"/>
    <e v="#N/A"/>
    <m/>
    <s v="8"/>
    <x v="5"/>
    <s v="83"/>
    <e v="#N/A"/>
    <s v="830"/>
    <e v="#N/A"/>
  </r>
  <r>
    <n v="210"/>
    <s v="246000"/>
    <n v="1"/>
    <s v="1246000.210"/>
    <s v="נכסים ציבוריים - אגרת היתר עקירת עצים"/>
    <m/>
    <m/>
    <n v="-600000"/>
    <n v="-600000"/>
    <n v="-657688"/>
    <m/>
    <x v="1"/>
    <x v="1"/>
    <s v="24"/>
    <x v="6"/>
    <x v="15"/>
    <x v="14"/>
    <s v="2460"/>
    <e v="#N/A"/>
    <m/>
    <s v="2"/>
    <x v="1"/>
    <s v="21"/>
    <s v="אגרות מים וביוב"/>
    <s v="210"/>
    <e v="#N/A"/>
  </r>
  <r>
    <n v="210"/>
    <s v="247500"/>
    <n v="1"/>
    <s v="1247500.210"/>
    <s v="נכסים ציבוריים - אגרת חופש מידע"/>
    <m/>
    <m/>
    <n v="0"/>
    <n v="0"/>
    <n v="-4870"/>
    <m/>
    <x v="1"/>
    <x v="1"/>
    <s v="24"/>
    <x v="6"/>
    <x v="16"/>
    <x v="15"/>
    <s v="2475"/>
    <e v="#N/A"/>
    <m/>
    <s v="2"/>
    <x v="1"/>
    <s v="21"/>
    <s v="אגרות מים וביוב"/>
    <s v="210"/>
    <e v="#N/A"/>
  </r>
  <r>
    <n v="410"/>
    <s v="247400"/>
    <n v="1"/>
    <s v="1247400.410"/>
    <s v="נכסים ציבוריים - בית מרחץ"/>
    <m/>
    <m/>
    <n v="-680000"/>
    <n v="-680000"/>
    <n v="-746509"/>
    <m/>
    <x v="1"/>
    <x v="1"/>
    <s v="24"/>
    <x v="6"/>
    <x v="16"/>
    <x v="15"/>
    <s v="2474"/>
    <s v="מרחצאות"/>
    <m/>
    <s v="4"/>
    <x v="4"/>
    <s v="41"/>
    <s v="שכל&quot;מ מתושבים"/>
    <s v="410"/>
    <e v="#N/A"/>
  </r>
  <r>
    <n v="410"/>
    <s v="281000"/>
    <n v="1"/>
    <s v="1281000.410"/>
    <s v="פיקוח עירוני - קנסות בית משפט"/>
    <m/>
    <m/>
    <n v="-3285000"/>
    <n v="-3285000"/>
    <n v="-2636305"/>
    <m/>
    <x v="1"/>
    <x v="1"/>
    <s v="28"/>
    <x v="7"/>
    <x v="17"/>
    <x v="16"/>
    <s v="2810"/>
    <e v="#N/A"/>
    <m/>
    <s v="4"/>
    <x v="4"/>
    <s v="41"/>
    <s v="שכל&quot;מ מתושבים"/>
    <s v="410"/>
    <e v="#N/A"/>
  </r>
  <r>
    <n v="410"/>
    <n v="281005"/>
    <n v="1"/>
    <s v="1281005.410"/>
    <s v="פיקוח עירוני - פינוי גרוטאות"/>
    <m/>
    <m/>
    <n v="-20000"/>
    <n v="-20000"/>
    <n v="-11701"/>
    <m/>
    <x v="1"/>
    <x v="1"/>
    <s v="28"/>
    <x v="7"/>
    <x v="17"/>
    <x v="16"/>
    <s v="2810"/>
    <e v="#N/A"/>
    <m/>
    <s v="4"/>
    <x v="4"/>
    <s v="41"/>
    <s v="שכל&quot;מ מתושבים"/>
    <s v="410"/>
    <e v="#N/A"/>
  </r>
  <r>
    <n v="410"/>
    <n v="281006"/>
    <n v="1"/>
    <s v="1281006.410"/>
    <s v="פיקוח עירוני - פקח רמב&quot;ם"/>
    <m/>
    <m/>
    <n v="0"/>
    <n v="0"/>
    <n v="-94950"/>
    <m/>
    <x v="1"/>
    <x v="1"/>
    <s v="28"/>
    <x v="7"/>
    <x v="17"/>
    <x v="16"/>
    <s v="2810"/>
    <e v="#N/A"/>
    <m/>
    <s v="4"/>
    <x v="4"/>
    <s v="41"/>
    <s v="שכל&quot;מ מתושבים"/>
    <s v="410"/>
    <e v="#N/A"/>
  </r>
  <r>
    <n v="920"/>
    <s v="311400"/>
    <n v="1"/>
    <s v="1311400.920"/>
    <s v="חינוך - הכנסות משרד החינוך"/>
    <m/>
    <m/>
    <n v="0"/>
    <n v="0"/>
    <n v="-15667"/>
    <m/>
    <x v="2"/>
    <x v="2"/>
    <s v="31"/>
    <x v="8"/>
    <x v="18"/>
    <x v="17"/>
    <s v="3114"/>
    <e v="#N/A"/>
    <m/>
    <s v="9"/>
    <x v="2"/>
    <s v="92"/>
    <s v="השתתפות משרד החינוך והתרבות"/>
    <s v="920"/>
    <e v="#N/A"/>
  </r>
  <r>
    <n v="930"/>
    <n v="311006"/>
    <n v="1"/>
    <s v="1311006.930"/>
    <s v="חינוך - תקשוב לאומי"/>
    <m/>
    <m/>
    <n v="0"/>
    <n v="0"/>
    <n v="-56420"/>
    <m/>
    <x v="2"/>
    <x v="2"/>
    <s v="31"/>
    <x v="8"/>
    <x v="18"/>
    <x v="17"/>
    <s v="3110"/>
    <e v="#N/A"/>
    <m/>
    <s v="9"/>
    <x v="2"/>
    <s v="93"/>
    <s v="השתתפות משרד העבודה והרווחה"/>
    <s v="930"/>
    <e v="#N/A"/>
  </r>
  <r>
    <n v="770"/>
    <n v="312229"/>
    <n v="1"/>
    <s v="1312229.770"/>
    <s v="גני ילדים - משתלם גני ילדים"/>
    <m/>
    <m/>
    <n v="-300000"/>
    <n v="-300000"/>
    <n v="-222642"/>
    <m/>
    <x v="2"/>
    <x v="2"/>
    <s v="31"/>
    <x v="8"/>
    <x v="19"/>
    <x v="18"/>
    <s v="3122"/>
    <s v="גני ילדים גיל חובה"/>
    <m/>
    <s v="7"/>
    <x v="6"/>
    <s v="77"/>
    <s v="השתתפות קהילות מחו&quot;ל"/>
    <s v="770"/>
    <e v="#N/A"/>
  </r>
  <r>
    <n v="920"/>
    <n v="312220"/>
    <n v="1"/>
    <s v="1312220.920"/>
    <s v="גני ילדים - עוזרות לגננות -גני חובה -ממשלה"/>
    <m/>
    <m/>
    <n v="-16000000"/>
    <n v="-14500000"/>
    <n v="-14468016"/>
    <m/>
    <x v="2"/>
    <x v="2"/>
    <s v="31"/>
    <x v="8"/>
    <x v="19"/>
    <x v="18"/>
    <s v="3122"/>
    <s v="גני ילדים גיל חובה"/>
    <m/>
    <s v="9"/>
    <x v="2"/>
    <s v="92"/>
    <s v="השתתפות משרד החינוך והתרבות"/>
    <s v="920"/>
    <e v="#N/A"/>
  </r>
  <r>
    <n v="710"/>
    <n v="312220"/>
    <n v="1"/>
    <s v="1312220.710"/>
    <s v="גני ילדים - גני ילדים  השתתפות מועצות ילדי חוץ"/>
    <m/>
    <m/>
    <n v="-800000"/>
    <n v="-700000"/>
    <n v="-813349"/>
    <m/>
    <x v="2"/>
    <x v="2"/>
    <s v="31"/>
    <x v="8"/>
    <x v="19"/>
    <x v="18"/>
    <s v="3122"/>
    <s v="גני ילדים גיל חובה"/>
    <m/>
    <s v="7"/>
    <x v="6"/>
    <s v="71"/>
    <s v="השתתפות ועדים מקומיים"/>
    <s v="710"/>
    <e v="#N/A"/>
  </r>
  <r>
    <n v="928"/>
    <n v="312220"/>
    <n v="1"/>
    <s v="1312220.928"/>
    <s v="גני ילדים - גננות עובדות מדינה חובה"/>
    <m/>
    <m/>
    <n v="-24200000"/>
    <n v="-21200000"/>
    <n v="-16896126"/>
    <m/>
    <x v="2"/>
    <x v="2"/>
    <s v="31"/>
    <x v="8"/>
    <x v="19"/>
    <x v="18"/>
    <s v="3122"/>
    <s v="גני ילדים גיל חובה"/>
    <m/>
    <s v="9"/>
    <x v="2"/>
    <s v="92"/>
    <s v="השתתפות משרד החינוך והתרבות"/>
    <s v="928"/>
    <e v="#N/A"/>
  </r>
  <r>
    <n v="920"/>
    <n v="312230"/>
    <n v="1"/>
    <s v="1312230.920"/>
    <s v="גני ילדים - השתתפות מ. החינוך בהנחות שכ&quot;ל"/>
    <m/>
    <m/>
    <n v="-25000000"/>
    <n v="-24300000"/>
    <n v="-26893148"/>
    <m/>
    <x v="2"/>
    <x v="2"/>
    <s v="31"/>
    <x v="8"/>
    <x v="19"/>
    <x v="18"/>
    <s v="3122"/>
    <s v="גני ילדים גיל חובה"/>
    <m/>
    <s v="9"/>
    <x v="2"/>
    <s v="92"/>
    <s v="השתתפות משרד החינוך והתרבות"/>
    <s v="920"/>
    <e v="#N/A"/>
  </r>
  <r>
    <n v="922"/>
    <n v="312230"/>
    <n v="1"/>
    <s v="1312230.922"/>
    <s v="גני ילדים - ילדי השלמה ממשלה"/>
    <m/>
    <m/>
    <n v="-1000000"/>
    <n v="-900000"/>
    <n v="-882976"/>
    <m/>
    <x v="2"/>
    <x v="2"/>
    <s v="31"/>
    <x v="8"/>
    <x v="19"/>
    <x v="18"/>
    <s v="3122"/>
    <s v="גני ילדים גיל חובה"/>
    <m/>
    <s v="9"/>
    <x v="2"/>
    <s v="92"/>
    <s v="השתתפות משרד החינוך והתרבות"/>
    <s v="922"/>
    <e v="#N/A"/>
  </r>
  <r>
    <n v="921"/>
    <n v="312230"/>
    <n v="1"/>
    <s v="1312230.921"/>
    <s v="גני ילדים - ילדי שיקום שכונות ועולים-ממשלה"/>
    <m/>
    <m/>
    <n v="-2000000"/>
    <n v="-1000000"/>
    <n v="-1685398"/>
    <m/>
    <x v="2"/>
    <x v="2"/>
    <s v="31"/>
    <x v="8"/>
    <x v="19"/>
    <x v="18"/>
    <s v="3122"/>
    <s v="גני ילדים גיל חובה"/>
    <m/>
    <s v="9"/>
    <x v="2"/>
    <s v="92"/>
    <s v="השתתפות משרד החינוך והתרבות"/>
    <s v="921"/>
    <e v="#N/A"/>
  </r>
  <r>
    <n v="410"/>
    <n v="312250"/>
    <n v="1"/>
    <s v="1312250.410"/>
    <s v="גני ילדים - סל תרבות"/>
    <m/>
    <m/>
    <n v="-2000000"/>
    <n v="-2000000"/>
    <n v="-2340748"/>
    <m/>
    <x v="2"/>
    <x v="2"/>
    <s v="31"/>
    <x v="8"/>
    <x v="19"/>
    <x v="18"/>
    <s v="3122"/>
    <s v="גני ילדים גיל חובה"/>
    <m/>
    <s v="4"/>
    <x v="4"/>
    <s v="41"/>
    <s v="שכל&quot;מ מתושבים"/>
    <s v="410"/>
    <e v="#N/A"/>
  </r>
  <r>
    <n v="970"/>
    <n v="313190"/>
    <n v="1"/>
    <s v="1313190.970"/>
    <s v="בתי ספר יסודיים - רווחה חינוכית ממשלה"/>
    <m/>
    <m/>
    <n v="-1300000"/>
    <n v="-1300000"/>
    <n v="-1259929"/>
    <m/>
    <x v="2"/>
    <x v="2"/>
    <s v="31"/>
    <x v="8"/>
    <x v="20"/>
    <x v="19"/>
    <s v="3131"/>
    <s v="מינהל החינוך היסודי"/>
    <m/>
    <s v="9"/>
    <x v="2"/>
    <s v="97"/>
    <s v="השתתפות משרד הביטחון"/>
    <s v="970"/>
    <e v="#N/A"/>
  </r>
  <r>
    <n v="770"/>
    <n v="313190"/>
    <n v="1"/>
    <s v="1313190.770"/>
    <s v="בתי ספר יסודיים - רווחה חינוכית עצמיות"/>
    <m/>
    <m/>
    <n v="0"/>
    <n v="0"/>
    <n v="-270562"/>
    <m/>
    <x v="2"/>
    <x v="2"/>
    <s v="31"/>
    <x v="8"/>
    <x v="20"/>
    <x v="19"/>
    <s v="3131"/>
    <s v="מינהל החינוך היסודי"/>
    <m/>
    <s v="7"/>
    <x v="6"/>
    <s v="77"/>
    <s v="השתתפות קהילות מחו&quot;ל"/>
    <s v="770"/>
    <e v="#N/A"/>
  </r>
  <r>
    <n v="921"/>
    <s v="313220"/>
    <n v="1"/>
    <s v="1313220.921"/>
    <s v="בתי ספר יסודיים - בתי ספר יסודיים -שרתים ומזכירות"/>
    <m/>
    <m/>
    <n v="-1733000"/>
    <n v="-1733000"/>
    <n v="-1809513"/>
    <m/>
    <x v="2"/>
    <x v="2"/>
    <s v="31"/>
    <x v="8"/>
    <x v="20"/>
    <x v="19"/>
    <s v="3132"/>
    <s v="בתי״ס יסודיים"/>
    <m/>
    <s v="9"/>
    <x v="2"/>
    <s v="92"/>
    <s v="השתתפות משרד החינוך והתרבות"/>
    <s v="921"/>
    <e v="#N/A"/>
  </r>
  <r>
    <n v="460"/>
    <s v="313220"/>
    <n v="1"/>
    <s v="1313220.460"/>
    <s v="בתי ספר יסודיים - בתי כנסת -דמי שרותים"/>
    <m/>
    <m/>
    <n v="-6000"/>
    <n v="-6000"/>
    <n v="0"/>
    <m/>
    <x v="2"/>
    <x v="2"/>
    <s v="31"/>
    <x v="8"/>
    <x v="20"/>
    <x v="19"/>
    <s v="3132"/>
    <s v="בתי״ס יסודיים"/>
    <m/>
    <s v="4"/>
    <x v="4"/>
    <s v="46"/>
    <e v="#N/A"/>
    <s v="460"/>
    <e v="#N/A"/>
  </r>
  <r>
    <n v="710"/>
    <s v="313220"/>
    <n v="1"/>
    <s v="1313220.710"/>
    <s v="בתי ספר יסודיים - השתתפות מועצות ילדי חוץ"/>
    <m/>
    <m/>
    <n v="-1000000"/>
    <n v="-1000000"/>
    <n v="-663794"/>
    <m/>
    <x v="2"/>
    <x v="2"/>
    <s v="31"/>
    <x v="8"/>
    <x v="20"/>
    <x v="19"/>
    <s v="3132"/>
    <s v="בתי״ס יסודיים"/>
    <m/>
    <s v="7"/>
    <x v="6"/>
    <s v="71"/>
    <s v="השתתפות ועדים מקומיים"/>
    <s v="710"/>
    <e v="#N/A"/>
  </r>
  <r>
    <n v="920"/>
    <n v="313272"/>
    <n v="1"/>
    <s v="1313272.920"/>
    <s v="בתי ספר יסודיים - בריאות השן"/>
    <m/>
    <m/>
    <n v="0"/>
    <n v="-350000"/>
    <n v="0"/>
    <m/>
    <x v="2"/>
    <x v="2"/>
    <s v="31"/>
    <x v="8"/>
    <x v="20"/>
    <x v="19"/>
    <s v="3132"/>
    <s v="בתי״ס יסודיים"/>
    <m/>
    <s v="9"/>
    <x v="2"/>
    <s v="92"/>
    <s v="השתתפות משרד החינוך והתרבות"/>
    <s v="920"/>
    <e v="#N/A"/>
  </r>
  <r>
    <n v="211"/>
    <n v="313273"/>
    <n v="1"/>
    <s v="1313273.211"/>
    <s v="בתי ספר יסודיים - הכנסות הורים קייטנות"/>
    <m/>
    <m/>
    <n v="-1000000"/>
    <n v="-1000000"/>
    <n v="-962666"/>
    <m/>
    <x v="2"/>
    <x v="2"/>
    <s v="31"/>
    <x v="8"/>
    <x v="20"/>
    <x v="19"/>
    <s v="3132"/>
    <s v="בתי״ס יסודיים"/>
    <m/>
    <s v="2"/>
    <x v="1"/>
    <s v="21"/>
    <s v="אגרות מים וביוב"/>
    <s v="211"/>
    <e v="#N/A"/>
  </r>
  <r>
    <n v="930"/>
    <n v="313273"/>
    <n v="1"/>
    <s v="1313273.930"/>
    <s v="בתי ספר יסודיים - קייטנות -ממשלה"/>
    <m/>
    <m/>
    <n v="-5100000"/>
    <n v="-5100000"/>
    <n v="-2080970"/>
    <m/>
    <x v="2"/>
    <x v="2"/>
    <s v="31"/>
    <x v="8"/>
    <x v="20"/>
    <x v="19"/>
    <s v="3132"/>
    <s v="בתי״ס יסודיים"/>
    <m/>
    <s v="9"/>
    <x v="2"/>
    <s v="93"/>
    <s v="השתתפות משרד העבודה והרווחה"/>
    <s v="930"/>
    <e v="#N/A"/>
  </r>
  <r>
    <n v="921"/>
    <n v="313287"/>
    <n v="1"/>
    <s v="1313287.921"/>
    <s v="בתי ספר יסודיים - מכון ביולוגי"/>
    <m/>
    <m/>
    <n v="-112000"/>
    <n v="-100000"/>
    <n v="-106023"/>
    <m/>
    <x v="2"/>
    <x v="2"/>
    <s v="31"/>
    <x v="8"/>
    <x v="20"/>
    <x v="19"/>
    <s v="3132"/>
    <s v="בתי״ס יסודיים"/>
    <m/>
    <s v="9"/>
    <x v="2"/>
    <s v="92"/>
    <s v="השתתפות משרד החינוך והתרבות"/>
    <s v="921"/>
    <e v="#N/A"/>
  </r>
  <r>
    <n v="920"/>
    <n v="313288"/>
    <n v="1"/>
    <s v="1313288.920"/>
    <s v="בתי ספר יסודיים - העשרה-השתתפות משרד החינוך"/>
    <m/>
    <m/>
    <n v="-330000"/>
    <n v="-330000"/>
    <n v="-66500"/>
    <m/>
    <x v="2"/>
    <x v="2"/>
    <s v="31"/>
    <x v="8"/>
    <x v="20"/>
    <x v="19"/>
    <s v="3132"/>
    <s v="בתי״ס יסודיים"/>
    <m/>
    <s v="9"/>
    <x v="2"/>
    <s v="92"/>
    <s v="השתתפות משרד החינוך והתרבות"/>
    <s v="920"/>
    <e v="#N/A"/>
  </r>
  <r>
    <n v="950"/>
    <n v="313289"/>
    <n v="1"/>
    <s v="1313289.950"/>
    <s v="בתי ספר יסודיים - אלחיוור שרתים"/>
    <m/>
    <m/>
    <n v="-290000"/>
    <n v="-240000"/>
    <n v="-258132"/>
    <m/>
    <x v="2"/>
    <x v="2"/>
    <s v="31"/>
    <x v="8"/>
    <x v="20"/>
    <x v="19"/>
    <s v="3132"/>
    <s v="בתי״ס יסודיים"/>
    <m/>
    <s v="9"/>
    <x v="2"/>
    <s v="95"/>
    <s v="השתתפות משרד הקליטה"/>
    <s v="950"/>
    <e v="#N/A"/>
  </r>
  <r>
    <n v="770"/>
    <n v="313290"/>
    <n v="1"/>
    <s v="1313290.770"/>
    <s v="בתי ספר יסודיים - משתלם בתי ספר יסודיים"/>
    <m/>
    <m/>
    <n v="0"/>
    <n v="0"/>
    <n v="-168407"/>
    <m/>
    <x v="2"/>
    <x v="2"/>
    <s v="31"/>
    <x v="8"/>
    <x v="20"/>
    <x v="19"/>
    <s v="3132"/>
    <s v="בתי״ס יסודיים"/>
    <m/>
    <s v="7"/>
    <x v="6"/>
    <s v="77"/>
    <s v="השתתפות קהילות מחו&quot;ל"/>
    <s v="770"/>
    <e v="#N/A"/>
  </r>
  <r>
    <n v="772"/>
    <n v="313290"/>
    <n v="1"/>
    <s v="1313290.772"/>
    <s v="בתי ספר יסודיים - בית תלמיד תקורה-משתלם"/>
    <m/>
    <m/>
    <n v="-52000"/>
    <n v="-52000"/>
    <n v="-206988"/>
    <m/>
    <x v="2"/>
    <x v="2"/>
    <s v="31"/>
    <x v="8"/>
    <x v="20"/>
    <x v="19"/>
    <s v="3132"/>
    <s v="בתי״ס יסודיים"/>
    <m/>
    <s v="7"/>
    <x v="6"/>
    <s v="77"/>
    <s v="השתתפות קהילות מחו&quot;ל"/>
    <s v="772"/>
    <e v="#N/A"/>
  </r>
  <r>
    <n v="773"/>
    <n v="313290"/>
    <n v="1"/>
    <s v="1313290.773"/>
    <s v="בתי ספר יסודיים - דילר הכנסה"/>
    <m/>
    <m/>
    <n v="-78000"/>
    <n v="-78000"/>
    <n v="-189346"/>
    <m/>
    <x v="2"/>
    <x v="2"/>
    <s v="31"/>
    <x v="8"/>
    <x v="20"/>
    <x v="19"/>
    <s v="3132"/>
    <s v="בתי״ס יסודיים"/>
    <m/>
    <s v="7"/>
    <x v="6"/>
    <s v="77"/>
    <s v="השתתפות קהילות מחו&quot;ל"/>
    <s v="773"/>
    <e v="#N/A"/>
  </r>
  <r>
    <n v="774"/>
    <n v="313290"/>
    <n v="1"/>
    <s v="1313290.774"/>
    <s v="בתי ספר יסודיים - מדוזולוגיה-משתלם"/>
    <m/>
    <m/>
    <n v="-510000"/>
    <n v="-510000"/>
    <n v="-244100"/>
    <m/>
    <x v="2"/>
    <x v="2"/>
    <s v="31"/>
    <x v="8"/>
    <x v="20"/>
    <x v="19"/>
    <s v="3132"/>
    <s v="בתי״ס יסודיים"/>
    <m/>
    <s v="7"/>
    <x v="6"/>
    <s v="77"/>
    <s v="השתתפות קהילות מחו&quot;ל"/>
    <s v="774"/>
    <e v="#N/A"/>
  </r>
  <r>
    <n v="970"/>
    <n v="313290"/>
    <n v="1"/>
    <s v="1313290.970"/>
    <s v="בתי ספר יסודיים - בתי ספר יסודים-משתלם"/>
    <m/>
    <m/>
    <n v="-2581000"/>
    <n v="-2581000"/>
    <n v="-1579150"/>
    <m/>
    <x v="2"/>
    <x v="2"/>
    <s v="31"/>
    <x v="8"/>
    <x v="20"/>
    <x v="19"/>
    <s v="3132"/>
    <s v="בתי״ס יסודיים"/>
    <m/>
    <s v="9"/>
    <x v="2"/>
    <s v="97"/>
    <s v="השתתפות משרד הביטחון"/>
    <s v="970"/>
    <e v="#N/A"/>
  </r>
  <r>
    <n v="971"/>
    <n v="313290"/>
    <n v="1"/>
    <s v="1313290.971"/>
    <s v="בתי ספר יסודיים - טיפול בפרט"/>
    <m/>
    <m/>
    <n v="-260000"/>
    <n v="-260000"/>
    <n v="-546312"/>
    <m/>
    <x v="2"/>
    <x v="2"/>
    <s v="31"/>
    <x v="8"/>
    <x v="20"/>
    <x v="19"/>
    <s v="3132"/>
    <s v="בתי״ס יסודיים"/>
    <m/>
    <s v="9"/>
    <x v="2"/>
    <s v="97"/>
    <s v="השתתפות משרד הביטחון"/>
    <s v="971"/>
    <e v="#N/A"/>
  </r>
  <r>
    <n v="972"/>
    <n v="313290"/>
    <n v="1"/>
    <s v="1313290.972"/>
    <s v="בתי ספר יסודיים - מרחבי חינוך ממשלה"/>
    <m/>
    <m/>
    <n v="0"/>
    <n v="0"/>
    <n v="-91431"/>
    <m/>
    <x v="2"/>
    <x v="2"/>
    <s v="31"/>
    <x v="8"/>
    <x v="20"/>
    <x v="19"/>
    <s v="3132"/>
    <s v="בתי״ס יסודיים"/>
    <m/>
    <s v="9"/>
    <x v="2"/>
    <s v="97"/>
    <s v="השתתפות משרד הביטחון"/>
    <s v="972"/>
    <e v="#N/A"/>
  </r>
  <r>
    <n v="970"/>
    <n v="313291"/>
    <n v="1"/>
    <s v="1313291.970"/>
    <s v="בתי ספר יסודיים - זהירות בדרכים-ממשלה"/>
    <m/>
    <m/>
    <n v="0"/>
    <n v="0"/>
    <n v="-188540"/>
    <m/>
    <x v="2"/>
    <x v="2"/>
    <s v="31"/>
    <x v="8"/>
    <x v="20"/>
    <x v="19"/>
    <s v="3132"/>
    <s v="בתי״ס יסודיים"/>
    <m/>
    <s v="9"/>
    <x v="2"/>
    <s v="97"/>
    <s v="השתתפות משרד הביטחון"/>
    <s v="970"/>
    <e v="#N/A"/>
  </r>
  <r>
    <n v="210"/>
    <s v="313200"/>
    <n v="1"/>
    <s v="1313200.210"/>
    <s v="בתי ספר יסודיים - ניהול עצמי-אגרה"/>
    <m/>
    <m/>
    <n v="0"/>
    <n v="-102500"/>
    <n v="0"/>
    <m/>
    <x v="2"/>
    <x v="2"/>
    <s v="31"/>
    <x v="8"/>
    <x v="20"/>
    <x v="19"/>
    <s v="3132"/>
    <s v="בתי״ס יסודיים"/>
    <m/>
    <s v="2"/>
    <x v="1"/>
    <s v="21"/>
    <s v="אגרות מים וביוב"/>
    <s v="210"/>
    <e v="#N/A"/>
  </r>
  <r>
    <n v="940"/>
    <s v="313200"/>
    <n v="1"/>
    <s v="1313200.940"/>
    <s v="בתי ספר יסודיים - ניהול עצמי -שכפולים"/>
    <m/>
    <m/>
    <n v="0"/>
    <n v="-618500"/>
    <n v="0"/>
    <m/>
    <x v="2"/>
    <x v="2"/>
    <s v="31"/>
    <x v="8"/>
    <x v="20"/>
    <x v="19"/>
    <s v="3132"/>
    <s v="בתי״ס יסודיים"/>
    <m/>
    <s v="9"/>
    <x v="2"/>
    <s v="94"/>
    <s v="השתתפות משרד הבריאות"/>
    <s v="940"/>
    <e v="#N/A"/>
  </r>
  <r>
    <n v="950"/>
    <s v="313200"/>
    <n v="1"/>
    <s v="1313200.950"/>
    <s v="בתי ספר יסודיים - ניהול עצמי -כח אדם"/>
    <m/>
    <m/>
    <n v="-16350000"/>
    <n v="-15629000"/>
    <n v="-12942303"/>
    <m/>
    <x v="2"/>
    <x v="2"/>
    <s v="31"/>
    <x v="8"/>
    <x v="20"/>
    <x v="19"/>
    <s v="3132"/>
    <s v="בתי״ס יסודיים"/>
    <m/>
    <s v="9"/>
    <x v="2"/>
    <s v="95"/>
    <s v="השתתפות משרד הקליטה"/>
    <s v="950"/>
    <e v="#N/A"/>
  </r>
  <r>
    <n v="940"/>
    <n v="313266"/>
    <n v="1"/>
    <s v="1313266.940"/>
    <s v="בתי ספר יסודיים - אגרת שירותים"/>
    <m/>
    <m/>
    <n v="0"/>
    <n v="0"/>
    <n v="-1269034"/>
    <m/>
    <x v="2"/>
    <x v="2"/>
    <s v="31"/>
    <x v="8"/>
    <x v="20"/>
    <x v="19"/>
    <s v="3132"/>
    <s v="בתי״ס יסודיים"/>
    <m/>
    <s v="9"/>
    <x v="2"/>
    <s v="94"/>
    <s v="השתתפות משרד הבריאות"/>
    <s v="940"/>
    <e v="#N/A"/>
  </r>
  <r>
    <n v="941"/>
    <n v="313266"/>
    <n v="1"/>
    <s v="1313266.941"/>
    <s v="בתי ספר יסודיים - סיוע ניהול עצמי"/>
    <m/>
    <m/>
    <n v="0"/>
    <n v="0"/>
    <n v="-2807844"/>
    <m/>
    <x v="2"/>
    <x v="2"/>
    <s v="31"/>
    <x v="8"/>
    <x v="20"/>
    <x v="19"/>
    <s v="3132"/>
    <s v="בתי״ס יסודיים"/>
    <m/>
    <s v="9"/>
    <x v="2"/>
    <s v="94"/>
    <s v="השתתפות משרד הבריאות"/>
    <s v="941"/>
    <e v="#N/A"/>
  </r>
  <r>
    <n v="710"/>
    <n v="313312"/>
    <n v="1"/>
    <s v="1313312.710"/>
    <s v="בתי ספר יסודיים - מיוחדים-השתתפות מועצות "/>
    <m/>
    <m/>
    <n v="-1600000"/>
    <n v="-1600000"/>
    <n v="-1617746"/>
    <m/>
    <x v="2"/>
    <x v="2"/>
    <s v="31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12"/>
    <n v="1"/>
    <s v="1313312.921"/>
    <s v="בתי ספר יסודיים - מיוחדים -שרתים ומזכירות"/>
    <m/>
    <m/>
    <n v="-3700000"/>
    <n v="-1600000"/>
    <n v="-1695367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40"/>
    <n v="313312"/>
    <n v="1"/>
    <s v="1313312.940"/>
    <s v="בתי ספר יסודיים - מיוחדים-שכפולים"/>
    <m/>
    <m/>
    <n v="0"/>
    <n v="0"/>
    <n v="-107730"/>
    <m/>
    <x v="2"/>
    <x v="2"/>
    <s v="31"/>
    <x v="8"/>
    <x v="20"/>
    <x v="19"/>
    <s v="3133"/>
    <s v="חינוך מיוחד"/>
    <m/>
    <s v="9"/>
    <x v="2"/>
    <s v="94"/>
    <s v="השתתפות משרד הבריאות"/>
    <s v="940"/>
    <e v="#N/A"/>
  </r>
  <r>
    <n v="920"/>
    <n v="313314"/>
    <n v="1"/>
    <s v="1313314.920"/>
    <s v="בתי ספר יסודיים - מתי&quot;א"/>
    <m/>
    <m/>
    <n v="-325000"/>
    <n v="-322000"/>
    <n v="-295453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710"/>
    <n v="313320"/>
    <n v="1"/>
    <s v="1313320.710"/>
    <s v="בתי ספר יסודיים - אופקים-ילדי חוץ"/>
    <m/>
    <m/>
    <n v="0"/>
    <n v="-1100000"/>
    <n v="-789987"/>
    <m/>
    <x v="2"/>
    <x v="2"/>
    <s v="31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20"/>
    <n v="1"/>
    <s v="1313320.921"/>
    <s v="בתי ספר יסודיים - אופקים-שרתים ומזכירות"/>
    <m/>
    <m/>
    <n v="-300000"/>
    <n v="-250000"/>
    <n v="-269164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40"/>
    <n v="313320"/>
    <n v="1"/>
    <s v="1313320.940"/>
    <s v="בתי ספר יסודיים - אופקים-שכפולים חומרים"/>
    <m/>
    <m/>
    <n v="0"/>
    <n v="0"/>
    <n v="0"/>
    <m/>
    <x v="2"/>
    <x v="2"/>
    <s v="31"/>
    <x v="8"/>
    <x v="20"/>
    <x v="19"/>
    <s v="3133"/>
    <s v="חינוך מיוחד"/>
    <m/>
    <s v="9"/>
    <x v="2"/>
    <s v="94"/>
    <s v="השתתפות משרד הבריאות"/>
    <s v="940"/>
    <e v="#N/A"/>
  </r>
  <r>
    <n v="710"/>
    <n v="313330"/>
    <n v="1"/>
    <s v="1313330.710"/>
    <s v="בתי ספר יסודיים - עופר-ילדי חוץ"/>
    <m/>
    <m/>
    <n v="0"/>
    <n v="-1000000"/>
    <n v="-687854"/>
    <m/>
    <x v="2"/>
    <x v="2"/>
    <s v="31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30"/>
    <n v="1"/>
    <s v="1313330.921"/>
    <s v="בתי ספר יסודיים - עופר-שרתים ומזכירות"/>
    <m/>
    <m/>
    <n v="-360000"/>
    <n v="-340000"/>
    <n v="-331508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71"/>
    <n v="313390"/>
    <n v="1"/>
    <s v="1313390.971"/>
    <s v="בתי ספר יסודיים - מיוחדים-משתלם"/>
    <m/>
    <m/>
    <n v="-300000"/>
    <n v="-300000"/>
    <n v="-418906"/>
    <m/>
    <x v="2"/>
    <x v="2"/>
    <s v="31"/>
    <x v="8"/>
    <x v="20"/>
    <x v="19"/>
    <s v="3133"/>
    <s v="חינוך מיוחד"/>
    <m/>
    <s v="9"/>
    <x v="2"/>
    <s v="97"/>
    <s v="השתתפות משרד הביטחון"/>
    <s v="971"/>
    <e v="#N/A"/>
  </r>
  <r>
    <n v="920"/>
    <n v="313390"/>
    <n v="1"/>
    <s v="1313390.920"/>
    <s v="בתי ספר יסודיים - ארוחות תלמידים"/>
    <m/>
    <m/>
    <n v="0"/>
    <n v="0"/>
    <n v="0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970"/>
    <n v="313390"/>
    <n v="1"/>
    <s v="1313390.970"/>
    <s v="בתי ספר יסודיים - מתי&quot;א פעולות-משתלם"/>
    <m/>
    <m/>
    <n v="-190000"/>
    <n v="-190000"/>
    <n v="-79786"/>
    <m/>
    <x v="2"/>
    <x v="2"/>
    <s v="31"/>
    <x v="8"/>
    <x v="20"/>
    <x v="19"/>
    <s v="3133"/>
    <s v="חינוך מיוחד"/>
    <m/>
    <s v="9"/>
    <x v="2"/>
    <s v="97"/>
    <s v="השתתפות משרד הביטחון"/>
    <s v="970"/>
    <e v="#N/A"/>
  </r>
  <r>
    <n v="920"/>
    <n v="313316"/>
    <n v="1"/>
    <s v="1313316.920"/>
    <s v="בתי ספר יסודיים - הזנה חינוך מיוחד"/>
    <m/>
    <m/>
    <n v="-2600000"/>
    <n v="-2150000"/>
    <n v="-2816640"/>
    <m/>
    <x v="2"/>
    <x v="2"/>
    <s v="31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920"/>
    <n v="317800"/>
    <n v="1"/>
    <s v="1317800.920"/>
    <s v="בתי ספר יסודיים - הסעות"/>
    <m/>
    <m/>
    <n v="-9000000"/>
    <n v="-9000000"/>
    <n v="-12130695"/>
    <m/>
    <x v="2"/>
    <x v="2"/>
    <s v="31"/>
    <x v="8"/>
    <x v="21"/>
    <x v="20"/>
    <s v="3178"/>
    <s v="הסעות ילדים"/>
    <m/>
    <s v="9"/>
    <x v="2"/>
    <s v="92"/>
    <s v="השתתפות משרד החינוך והתרבות"/>
    <s v="920"/>
    <e v="#N/A"/>
  </r>
  <r>
    <n v="770"/>
    <n v="313719"/>
    <n v="1"/>
    <s v="1313719.770"/>
    <s v="בתי ספר יסודיים - חווה קרית ביאליק משתלם"/>
    <m/>
    <m/>
    <n v="-30000"/>
    <n v="-30000"/>
    <n v="-16692"/>
    <m/>
    <x v="2"/>
    <x v="2"/>
    <s v="31"/>
    <x v="8"/>
    <x v="20"/>
    <x v="19"/>
    <s v="3137"/>
    <s v="חוות חקלאיות"/>
    <m/>
    <s v="7"/>
    <x v="6"/>
    <s v="77"/>
    <s v="השתתפות קהילות מחו&quot;ל"/>
    <s v="770"/>
    <e v="#N/A"/>
  </r>
  <r>
    <n v="921"/>
    <n v="313710"/>
    <n v="1"/>
    <s v="1313710.921"/>
    <s v="בתי ספר יסודיים - חווה חקלאית -ביאליק -שרתים"/>
    <m/>
    <m/>
    <n v="-100000"/>
    <n v="-100000"/>
    <n v="-140807"/>
    <m/>
    <x v="2"/>
    <x v="2"/>
    <s v="31"/>
    <x v="8"/>
    <x v="20"/>
    <x v="19"/>
    <s v="3137"/>
    <s v="חוות חקלאיות"/>
    <m/>
    <s v="9"/>
    <x v="2"/>
    <s v="92"/>
    <s v="השתתפות משרד החינוך והתרבות"/>
    <s v="921"/>
    <e v="#N/A"/>
  </r>
  <r>
    <n v="770"/>
    <n v="313729"/>
    <n v="1"/>
    <s v="1313729.770"/>
    <s v="בתי ספר יסודיים - גן כרמית -משתלם"/>
    <m/>
    <m/>
    <n v="-155000"/>
    <n v="-155000"/>
    <n v="-19219"/>
    <m/>
    <x v="2"/>
    <x v="2"/>
    <s v="31"/>
    <x v="8"/>
    <x v="20"/>
    <x v="19"/>
    <s v="3137"/>
    <s v="חוות חקלאיות"/>
    <m/>
    <s v="7"/>
    <x v="6"/>
    <s v="77"/>
    <s v="השתתפות קהילות מחו&quot;ל"/>
    <s v="770"/>
    <e v="#N/A"/>
  </r>
  <r>
    <n v="921"/>
    <n v="313720"/>
    <n v="1"/>
    <s v="1313720.921"/>
    <s v="בתי ספר יסודיים - גן כרמית -שרתים"/>
    <m/>
    <m/>
    <n v="-130000"/>
    <n v="-130000"/>
    <n v="-220324"/>
    <m/>
    <x v="2"/>
    <x v="2"/>
    <s v="31"/>
    <x v="8"/>
    <x v="20"/>
    <x v="19"/>
    <s v="3137"/>
    <s v="חוות חקלאיות"/>
    <m/>
    <s v="9"/>
    <x v="2"/>
    <s v="92"/>
    <s v="השתתפות משרד החינוך והתרבות"/>
    <s v="921"/>
    <e v="#N/A"/>
  </r>
  <r>
    <n v="770"/>
    <n v="313839"/>
    <n v="1"/>
    <s v="1313839.770"/>
    <s v="בתי ספר יסודיים - מרכז ימי -משתלם"/>
    <m/>
    <m/>
    <n v="-20000"/>
    <n v="-20000"/>
    <n v="0"/>
    <m/>
    <x v="2"/>
    <x v="2"/>
    <s v="31"/>
    <x v="8"/>
    <x v="20"/>
    <x v="19"/>
    <s v="3138"/>
    <s v="קייטנות/לימודיות וחודש לימוד נוסף"/>
    <m/>
    <s v="7"/>
    <x v="6"/>
    <s v="77"/>
    <s v="השתתפות קהילות מחו&quot;ל"/>
    <s v="770"/>
    <e v="#N/A"/>
  </r>
  <r>
    <n v="920"/>
    <n v="313830"/>
    <n v="1"/>
    <s v="1313830.920"/>
    <s v="בתי ספר יסודיים - מרכז ימי -השת' משרד החינוך בתפעול"/>
    <m/>
    <m/>
    <n v="-10000"/>
    <n v="-10000"/>
    <n v="-22009"/>
    <m/>
    <x v="2"/>
    <x v="2"/>
    <s v="31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1"/>
    <n v="313830"/>
    <n v="1"/>
    <s v="1313830.921"/>
    <s v="בתי ספר יסודיים - מרכז ימי -שרתים ומזכירות"/>
    <m/>
    <m/>
    <n v="-187000"/>
    <n v="-110000"/>
    <n v="-185540"/>
    <m/>
    <x v="2"/>
    <x v="2"/>
    <s v="31"/>
    <x v="8"/>
    <x v="20"/>
    <x v="19"/>
    <s v="3138"/>
    <s v="קייטנות/לימודיות וחודש לימוד נוסף"/>
    <m/>
    <s v="9"/>
    <x v="2"/>
    <s v="92"/>
    <s v="השתתפות משרד החינוך והתרבות"/>
    <s v="921"/>
    <e v="#N/A"/>
  </r>
  <r>
    <n v="920"/>
    <n v="313841"/>
    <n v="1"/>
    <s v="1313841.920"/>
    <s v="בתי ספר יסודיים - סייעות ארעיות -ממשלה"/>
    <m/>
    <m/>
    <n v="-13000000"/>
    <n v="-12500000"/>
    <n v="0"/>
    <m/>
    <x v="2"/>
    <x v="2"/>
    <s v="31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0"/>
    <n v="317842"/>
    <n v="1"/>
    <s v="1317842.920"/>
    <s v="בתי ספר יסודיים - לווי והסעות החינוך"/>
    <m/>
    <m/>
    <n v="-6000000"/>
    <n v="-5500000"/>
    <n v="-5898799"/>
    <m/>
    <x v="2"/>
    <x v="2"/>
    <s v="31"/>
    <x v="8"/>
    <x v="21"/>
    <x v="20"/>
    <s v="3178"/>
    <s v="הסעות ילדים"/>
    <m/>
    <s v="9"/>
    <x v="2"/>
    <s v="92"/>
    <s v="השתתפות משרד החינוך והתרבות"/>
    <s v="920"/>
    <e v="#N/A"/>
  </r>
  <r>
    <n v="920"/>
    <n v="313843"/>
    <n v="1"/>
    <s v="1313843.920"/>
    <s v="בתי ספר יסודיים - סייעות ממשלה"/>
    <m/>
    <m/>
    <n v="-20500000"/>
    <n v="-20500000"/>
    <n v="-22411646"/>
    <m/>
    <x v="2"/>
    <x v="2"/>
    <s v="31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0"/>
    <n v="313844"/>
    <n v="1"/>
    <s v="1313844.920"/>
    <s v="בתי ספר יסודיים - קבסי&quot;ם ממשלה"/>
    <m/>
    <m/>
    <n v="-1350000"/>
    <n v="-1350000"/>
    <n v="-1356425"/>
    <m/>
    <x v="2"/>
    <x v="2"/>
    <s v="31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211"/>
    <n v="317100"/>
    <n v="1"/>
    <s v="1317100.211"/>
    <s v="שירותים לבתי ספר וגני ילדים - אגרת חינוך"/>
    <m/>
    <m/>
    <n v="-6000000"/>
    <n v="-6150000"/>
    <n v="-7161433"/>
    <m/>
    <x v="2"/>
    <x v="2"/>
    <s v="31"/>
    <x v="8"/>
    <x v="21"/>
    <x v="20"/>
    <s v="3171"/>
    <s v="קב״ט שמירה ובטחון מוסדות חינוך"/>
    <m/>
    <s v="2"/>
    <x v="1"/>
    <s v="21"/>
    <s v="אגרות מים וביוב"/>
    <s v="211"/>
    <e v="#N/A"/>
  </r>
  <r>
    <n v="212"/>
    <n v="317100"/>
    <n v="1"/>
    <s v="1317100.212"/>
    <s v="שירותים לבתי ספר וגני ילדים - אגרת חינוך-ביטוח תלמידים"/>
    <m/>
    <m/>
    <n v="-2000000"/>
    <n v="-1000000"/>
    <n v="-2025675"/>
    <m/>
    <x v="2"/>
    <x v="2"/>
    <s v="31"/>
    <x v="8"/>
    <x v="21"/>
    <x v="20"/>
    <s v="3171"/>
    <s v="קב״ט שמירה ובטחון מוסדות חינוך"/>
    <m/>
    <s v="2"/>
    <x v="1"/>
    <s v="21"/>
    <s v="אגרות מים וביוב"/>
    <s v="212"/>
    <e v="#N/A"/>
  </r>
  <r>
    <n v="940"/>
    <n v="317100"/>
    <n v="1"/>
    <s v="1317100.940"/>
    <s v="שירותים לבתי ספר וגני ילדים - שכפול וחומרים-ממשלה"/>
    <m/>
    <m/>
    <n v="-290000"/>
    <n v="-1290000"/>
    <n v="-260112"/>
    <m/>
    <x v="2"/>
    <x v="2"/>
    <s v="31"/>
    <x v="8"/>
    <x v="21"/>
    <x v="20"/>
    <s v="3171"/>
    <s v="קב״ט שמירה ובטחון מוסדות חינוך"/>
    <m/>
    <s v="9"/>
    <x v="2"/>
    <s v="94"/>
    <s v="השתתפות משרד הבריאות"/>
    <s v="940"/>
    <e v="#N/A"/>
  </r>
  <r>
    <n v="920"/>
    <n v="317300"/>
    <n v="1"/>
    <s v="1317300.920"/>
    <s v="שירותים לבתי ספר וגני ילדים - פסיכולוגים -השת' ממשלה"/>
    <m/>
    <m/>
    <n v="-6600000"/>
    <n v="-6300000"/>
    <n v="-6257366"/>
    <m/>
    <x v="2"/>
    <x v="2"/>
    <s v="31"/>
    <x v="8"/>
    <x v="21"/>
    <x v="20"/>
    <s v="3173"/>
    <s v="שרות פסיכולוגי חינוכי"/>
    <m/>
    <s v="9"/>
    <x v="2"/>
    <s v="92"/>
    <s v="השתתפות משרד החינוך והתרבות"/>
    <s v="920"/>
    <e v="#N/A"/>
  </r>
  <r>
    <n v="770"/>
    <n v="317390"/>
    <n v="1"/>
    <s v="1317390.770"/>
    <s v="שירותים לבתי ספר וגני ילדים - איבחונים"/>
    <m/>
    <m/>
    <n v="0"/>
    <n v="0"/>
    <n v="-258"/>
    <m/>
    <x v="2"/>
    <x v="2"/>
    <s v="31"/>
    <x v="8"/>
    <x v="21"/>
    <x v="20"/>
    <s v="3173"/>
    <s v="שרות פסיכולוגי חינוכי"/>
    <m/>
    <s v="7"/>
    <x v="6"/>
    <s v="77"/>
    <s v="השתתפות קהילות מחו&quot;ל"/>
    <s v="770"/>
    <e v="#N/A"/>
  </r>
  <r>
    <n v="970"/>
    <n v="317390"/>
    <n v="1"/>
    <s v="1317390.970"/>
    <s v="שירותים לבתי ספר וגני ילדים - מ.החינוך השתלמויות-משתלם"/>
    <m/>
    <m/>
    <n v="-99000"/>
    <n v="-99000"/>
    <n v="-211680"/>
    <m/>
    <x v="2"/>
    <x v="2"/>
    <s v="31"/>
    <x v="8"/>
    <x v="21"/>
    <x v="20"/>
    <s v="3173"/>
    <s v="שרות פסיכולוגי חינוכי"/>
    <m/>
    <s v="9"/>
    <x v="2"/>
    <s v="97"/>
    <s v="השתתפות משרד הביטחון"/>
    <s v="970"/>
    <e v="#N/A"/>
  </r>
  <r>
    <n v="770"/>
    <n v="317319"/>
    <n v="1"/>
    <s v="1317319.770"/>
    <s v="שירותים לבתי ספר וגני ילדים - מרכז קדום מחשבים -עצמיות -משתלם"/>
    <m/>
    <m/>
    <n v="-805000"/>
    <n v="-805000"/>
    <n v="-213525"/>
    <m/>
    <x v="2"/>
    <x v="2"/>
    <s v="31"/>
    <x v="8"/>
    <x v="21"/>
    <x v="20"/>
    <s v="3173"/>
    <s v="שרות פסיכולוגי חינוכי"/>
    <m/>
    <s v="7"/>
    <x v="6"/>
    <s v="77"/>
    <s v="השתתפות קהילות מחו&quot;ל"/>
    <s v="770"/>
    <e v="#N/A"/>
  </r>
  <r>
    <n v="930"/>
    <n v="317319"/>
    <n v="1"/>
    <s v="1317319.930"/>
    <s v="שירותים לבתי ספר וגני ילדים - תקשוב לאומי"/>
    <m/>
    <m/>
    <n v="0"/>
    <n v="0"/>
    <n v="-90720"/>
    <m/>
    <x v="2"/>
    <x v="2"/>
    <s v="31"/>
    <x v="8"/>
    <x v="21"/>
    <x v="20"/>
    <s v="3173"/>
    <s v="שרות פסיכולוגי חינוכי"/>
    <m/>
    <s v="9"/>
    <x v="2"/>
    <s v="93"/>
    <s v="השתתפות משרד העבודה והרווחה"/>
    <s v="930"/>
    <e v="#N/A"/>
  </r>
  <r>
    <n v="970"/>
    <n v="317319"/>
    <n v="1"/>
    <s v="1317319.970"/>
    <s v="שירותים לבתי ספר וגני ילדים - מרכז לוגיסטי ממשלה-משתלם"/>
    <m/>
    <m/>
    <n v="-400000"/>
    <n v="-400000"/>
    <n v="-441107"/>
    <m/>
    <x v="2"/>
    <x v="2"/>
    <s v="31"/>
    <x v="8"/>
    <x v="21"/>
    <x v="20"/>
    <s v="3173"/>
    <s v="שרות פסיכולוגי חינוכי"/>
    <m/>
    <s v="9"/>
    <x v="2"/>
    <s v="97"/>
    <s v="השתתפות משרד הביטחון"/>
    <s v="970"/>
    <e v="#N/A"/>
  </r>
  <r>
    <n v="920"/>
    <n v="315900"/>
    <n v="1"/>
    <s v="1315900.920"/>
    <s v="בתי ספר תיכוניים - פרויקט איכות הסביבה"/>
    <m/>
    <m/>
    <n v="-400000"/>
    <n v="-400000"/>
    <n v="-97163"/>
    <m/>
    <x v="2"/>
    <x v="2"/>
    <s v="31"/>
    <x v="8"/>
    <x v="22"/>
    <x v="21"/>
    <s v="3159"/>
    <e v="#N/A"/>
    <m/>
    <s v="9"/>
    <x v="2"/>
    <s v="92"/>
    <s v="השתתפות משרד החינוך והתרבות"/>
    <s v="920"/>
    <e v="#N/A"/>
  </r>
  <r>
    <n v="930"/>
    <n v="315920"/>
    <n v="1"/>
    <s v="1315920.930"/>
    <s v="בתי ספר תיכוניים - מוקד קליטת ילדי אתיופיה"/>
    <m/>
    <m/>
    <n v="-450000"/>
    <n v="-450000"/>
    <n v="-586857"/>
    <m/>
    <x v="2"/>
    <x v="2"/>
    <s v="31"/>
    <x v="8"/>
    <x v="22"/>
    <x v="21"/>
    <s v="3159"/>
    <e v="#N/A"/>
    <m/>
    <s v="9"/>
    <x v="2"/>
    <s v="93"/>
    <s v="השתתפות משרד העבודה והרווחה"/>
    <s v="930"/>
    <e v="#N/A"/>
  </r>
  <r>
    <n v="930"/>
    <n v="315930"/>
    <n v="1"/>
    <s v="1315930.930"/>
    <s v="בתי ספר תיכוניים - תוכנית שמידט"/>
    <m/>
    <m/>
    <n v="-1592000"/>
    <n v="-1592000"/>
    <n v="-1464574"/>
    <m/>
    <x v="2"/>
    <x v="2"/>
    <s v="31"/>
    <x v="8"/>
    <x v="22"/>
    <x v="21"/>
    <s v="3159"/>
    <e v="#N/A"/>
    <m/>
    <s v="9"/>
    <x v="2"/>
    <s v="93"/>
    <s v="השתתפות משרד העבודה והרווחה"/>
    <s v="930"/>
    <e v="#N/A"/>
  </r>
  <r>
    <n v="970"/>
    <n v="315190"/>
    <n v="1"/>
    <s v="1315190.970"/>
    <s v="בתי ספר תיכוניים - תרומת דה לבוש-משתלם"/>
    <m/>
    <m/>
    <n v="-700000"/>
    <n v="-700000"/>
    <n v="-554504"/>
    <m/>
    <x v="2"/>
    <x v="2"/>
    <s v="31"/>
    <x v="8"/>
    <x v="22"/>
    <x v="21"/>
    <s v="3151"/>
    <s v="מינהל החינוך העל יסודי"/>
    <m/>
    <s v="9"/>
    <x v="2"/>
    <s v="97"/>
    <s v="השתתפות משרד הביטחון"/>
    <s v="970"/>
    <e v="#N/A"/>
  </r>
  <r>
    <n v="971"/>
    <n v="315190"/>
    <n v="1"/>
    <s v="1315190.971"/>
    <s v="בתי ספר תיכוניים - על יסודי-משתלם"/>
    <m/>
    <m/>
    <n v="-1502000"/>
    <n v="-1502000"/>
    <n v="-851490"/>
    <m/>
    <x v="2"/>
    <x v="2"/>
    <s v="31"/>
    <x v="8"/>
    <x v="22"/>
    <x v="21"/>
    <s v="3151"/>
    <s v="מינהל החינוך העל יסודי"/>
    <m/>
    <s v="9"/>
    <x v="2"/>
    <s v="97"/>
    <s v="השתתפות משרד הביטחון"/>
    <s v="971"/>
    <e v="#N/A"/>
  </r>
  <r>
    <n v="770"/>
    <n v="315190"/>
    <n v="1"/>
    <s v="1315190.770"/>
    <s v="בתי ספר תיכוניים - משתלם על יסודי עצמיות"/>
    <m/>
    <m/>
    <n v="0"/>
    <n v="0"/>
    <n v="-61"/>
    <m/>
    <x v="2"/>
    <x v="2"/>
    <s v="31"/>
    <x v="8"/>
    <x v="22"/>
    <x v="21"/>
    <s v="3151"/>
    <s v="מינהל החינוך העל יסודי"/>
    <m/>
    <s v="7"/>
    <x v="6"/>
    <s v="77"/>
    <s v="השתתפות קהילות מחו&quot;ל"/>
    <s v="770"/>
    <e v="#N/A"/>
  </r>
  <r>
    <n v="411"/>
    <n v="315190"/>
    <n v="1"/>
    <s v="1315190.411"/>
    <s v="בתי ספר תיכוניים - פרויקט מניפה"/>
    <m/>
    <m/>
    <n v="0"/>
    <n v="0"/>
    <n v="-70"/>
    <m/>
    <x v="2"/>
    <x v="2"/>
    <s v="31"/>
    <x v="8"/>
    <x v="22"/>
    <x v="21"/>
    <s v="3151"/>
    <s v="מינהל החינוך העל יסודי"/>
    <m/>
    <s v="4"/>
    <x v="4"/>
    <s v="41"/>
    <s v="שכל&quot;מ מתושבים"/>
    <s v="411"/>
    <e v="#N/A"/>
  </r>
  <r>
    <n v="410"/>
    <n v="315190"/>
    <n v="1"/>
    <s v="1315190.410"/>
    <s v="בתי ספר תיכוניים - מחשב לכל ילד הורים"/>
    <m/>
    <m/>
    <n v="0"/>
    <n v="0"/>
    <n v="-14870"/>
    <m/>
    <x v="2"/>
    <x v="2"/>
    <s v="31"/>
    <x v="8"/>
    <x v="22"/>
    <x v="21"/>
    <s v="3151"/>
    <s v="מינהל החינוך העל יסודי"/>
    <m/>
    <s v="4"/>
    <x v="4"/>
    <s v="41"/>
    <s v="שכל&quot;מ מתושבים"/>
    <s v="410"/>
    <e v="#N/A"/>
  </r>
  <r>
    <n v="930"/>
    <n v="315210"/>
    <n v="1"/>
    <s v="1315210.930"/>
    <s v="בתי ספר תיכוניים - תיכון עירוני א -שכ&quot;ל"/>
    <m/>
    <m/>
    <n v="-11130000"/>
    <n v="-10000000"/>
    <n v="-11500772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10"/>
    <n v="1"/>
    <s v="1315210.940"/>
    <s v="בתי ספר תיכוניים - תיכון עירוני א -שכפולים  וחומרים"/>
    <m/>
    <m/>
    <n v="0"/>
    <n v="0"/>
    <n v="-92858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17"/>
    <n v="1"/>
    <s v="1315217.930"/>
    <s v="בתי ספר תיכוניים - תיכון אלמותנבי שיזף -שכ&quot;ל"/>
    <m/>
    <m/>
    <n v="-7415000"/>
    <n v="-7000000"/>
    <n v="-7473693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17"/>
    <n v="1"/>
    <s v="1315217.940"/>
    <s v="בתי ספר תיכוניים - תיכון אלמותנבי-שכפולים וחומרים"/>
    <m/>
    <m/>
    <n v="0"/>
    <n v="0"/>
    <n v="-30864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20"/>
    <n v="1"/>
    <s v="1315220.930"/>
    <s v="בתי ספר תיכוניים - תיכון יבנה-שכ&quot;ל"/>
    <m/>
    <m/>
    <n v="-3670000"/>
    <n v="-3240000"/>
    <n v="-4065424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20"/>
    <n v="1"/>
    <s v="1315220.940"/>
    <s v="בתי ספר תיכוניים - תיכון יבנה- שכפולים וחומרים"/>
    <m/>
    <m/>
    <n v="0"/>
    <n v="0"/>
    <n v="-29301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30"/>
    <n v="1"/>
    <s v="1315230.930"/>
    <s v="בתי ספר תיכוניים - תיכון עירוני ג-שכ&quot;ל"/>
    <m/>
    <m/>
    <n v="-7730000"/>
    <n v="-7300000"/>
    <n v="-7855565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30"/>
    <n v="1"/>
    <s v="1315230.940"/>
    <s v="בתי ספר תיכוניים - תיכון עירוני ג- שכפולים וחומרים"/>
    <m/>
    <m/>
    <n v="0"/>
    <n v="0"/>
    <n v="-96015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40"/>
    <n v="1"/>
    <s v="1315240.930"/>
    <s v="בתי ספר תיכוניים - תיכון חוגים -שכ&quot;ל"/>
    <m/>
    <m/>
    <n v="-10070000"/>
    <n v="-9640000"/>
    <n v="-11354143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40"/>
    <n v="1"/>
    <s v="1315240.940"/>
    <s v="בתי ספר תיכוניים - תיכון חוגים-שכפולים וחומרים"/>
    <m/>
    <m/>
    <n v="0"/>
    <n v="0"/>
    <n v="-101742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50"/>
    <n v="1"/>
    <s v="1315250.930"/>
    <s v="בתי ספר תיכוניים - תיכון עירוני ה-שכ&quot;ל"/>
    <m/>
    <m/>
    <n v="-14430000"/>
    <n v="-14000000"/>
    <n v="-14310374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50"/>
    <n v="1"/>
    <s v="1315250.940"/>
    <s v="בתי ספר תיכוניים - תיכון עירוני ה -שכפולים וחומרים"/>
    <m/>
    <m/>
    <n v="0"/>
    <n v="0"/>
    <n v="-139033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60"/>
    <n v="1"/>
    <s v="1315260.930"/>
    <s v="בתי ספר תיכוניים - תיכון &quot;אמית&quot;  ו לבנות"/>
    <m/>
    <m/>
    <n v="0"/>
    <n v="-400000"/>
    <n v="0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210"/>
    <n v="315280"/>
    <n v="1"/>
    <s v="1315280.210"/>
    <s v="בתי ספר תיכוניים - אומניות הורים"/>
    <m/>
    <m/>
    <n v="0"/>
    <n v="-1300000"/>
    <n v="-935000"/>
    <m/>
    <x v="2"/>
    <x v="2"/>
    <s v="31"/>
    <x v="8"/>
    <x v="22"/>
    <x v="21"/>
    <s v="3152"/>
    <s v="בתי״ס על יסודיים עיוניים"/>
    <m/>
    <s v="2"/>
    <x v="1"/>
    <s v="21"/>
    <s v="אגרות מים וביוב"/>
    <s v="210"/>
    <e v="#N/A"/>
  </r>
  <r>
    <n v="930"/>
    <n v="315290"/>
    <n v="1"/>
    <s v="1315290.930"/>
    <s v="בתי ספר תיכוניים - תיכון קריית חיים -שכ&quot;ל"/>
    <m/>
    <m/>
    <n v="-16430000"/>
    <n v="-15300000"/>
    <n v="-16826284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90"/>
    <n v="1"/>
    <s v="1315290.940"/>
    <s v="בתי ספר תיכוניים - תיכון קרית חיים-שכפולים וחומרים"/>
    <m/>
    <m/>
    <n v="0"/>
    <n v="0"/>
    <n v="-131880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590"/>
    <n v="1"/>
    <s v="1315590.930"/>
    <s v="בתי ספר תיכוניים - קרית חיים מקצועי"/>
    <m/>
    <m/>
    <n v="0"/>
    <n v="0"/>
    <n v="-1016"/>
    <m/>
    <x v="2"/>
    <x v="2"/>
    <s v="31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30"/>
    <n v="315540"/>
    <n v="1"/>
    <s v="1315540.930"/>
    <s v="בתי ספר תיכוניים - תיכון אלכרמה - שכ&quot;ל"/>
    <m/>
    <m/>
    <n v="0"/>
    <n v="0"/>
    <n v="-381327"/>
    <m/>
    <x v="2"/>
    <x v="2"/>
    <s v="31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30"/>
    <n v="315270"/>
    <n v="1"/>
    <s v="1315270.930"/>
    <s v="בתי ספר תיכוניים - ישיבה תיכונית ב - שכ&quot;ל"/>
    <m/>
    <m/>
    <n v="-3230000"/>
    <n v="-2800000"/>
    <n v="-3348201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70"/>
    <n v="1"/>
    <s v="1315270.940"/>
    <s v="בתי ספר תיכוניים - ישיבה תיכונית ב - שכפולים וחומרים"/>
    <m/>
    <m/>
    <n v="0"/>
    <n v="0"/>
    <n v="-32831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80"/>
    <n v="1"/>
    <s v="1315280.930"/>
    <s v="בתי ספר תיכוניים - בית ספר רעות"/>
    <m/>
    <m/>
    <n v="-9980000"/>
    <n v="-8150000"/>
    <n v="-6206205"/>
    <m/>
    <x v="2"/>
    <x v="2"/>
    <s v="31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80"/>
    <n v="1"/>
    <s v="1315280.940"/>
    <s v="בתי ספר תיכוניים - רעות - חומרים"/>
    <m/>
    <m/>
    <n v="0"/>
    <n v="0"/>
    <n v="-81125"/>
    <m/>
    <x v="2"/>
    <x v="2"/>
    <s v="31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410"/>
    <n v="315520"/>
    <n v="1"/>
    <s v="1315520.410"/>
    <s v="בתי ספר תיכוניים - החזר צ'קים"/>
    <m/>
    <m/>
    <n v="0"/>
    <n v="0"/>
    <n v="-36000"/>
    <m/>
    <x v="2"/>
    <x v="2"/>
    <s v="31"/>
    <x v="8"/>
    <x v="22"/>
    <x v="21"/>
    <s v="3155"/>
    <s v="בתי״ס על יסודיים מקצועיים"/>
    <m/>
    <s v="4"/>
    <x v="4"/>
    <s v="41"/>
    <s v="שכל&quot;מ מתושבים"/>
    <s v="410"/>
    <e v="#N/A"/>
  </r>
  <r>
    <n v="930"/>
    <n v="315520"/>
    <n v="1"/>
    <s v="1315520.930"/>
    <s v="בתי ספר תיכוניים - ביה&quot;ס בסמ&quot;ת"/>
    <m/>
    <m/>
    <n v="-4665000"/>
    <n v="-4600000"/>
    <n v="-4305433"/>
    <m/>
    <x v="2"/>
    <x v="2"/>
    <s v="31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40"/>
    <n v="315520"/>
    <n v="1"/>
    <s v="1315520.940"/>
    <s v="בתי ספר תיכוניים - ביה&quot;ס בוסמת - שכפול וחומרים"/>
    <m/>
    <m/>
    <n v="0"/>
    <n v="0"/>
    <n v="-31973"/>
    <m/>
    <x v="2"/>
    <x v="2"/>
    <s v="31"/>
    <x v="8"/>
    <x v="22"/>
    <x v="21"/>
    <s v="3155"/>
    <s v="בתי״ס על יסודיים מקצועיים"/>
    <m/>
    <s v="9"/>
    <x v="2"/>
    <s v="94"/>
    <s v="השתתפות משרד הבריאות"/>
    <s v="940"/>
    <e v="#N/A"/>
  </r>
  <r>
    <n v="770"/>
    <n v="315790"/>
    <n v="1"/>
    <s v="1315790.770"/>
    <s v="בתי ספר תיכוניים - רעות משתלם"/>
    <m/>
    <m/>
    <n v="-1150000"/>
    <n v="-1150000"/>
    <n v="-354735"/>
    <m/>
    <x v="2"/>
    <x v="2"/>
    <s v="31"/>
    <x v="8"/>
    <x v="22"/>
    <x v="21"/>
    <s v="3157"/>
    <s v="בתי״ס על יסודיים מקיפים"/>
    <m/>
    <s v="7"/>
    <x v="6"/>
    <s v="77"/>
    <s v="השתתפות קהילות מחו&quot;ל"/>
    <s v="770"/>
    <e v="#N/A"/>
  </r>
  <r>
    <n v="710"/>
    <n v="315700"/>
    <n v="1"/>
    <s v="1315700.710"/>
    <s v="בתי ספר תיכוניים - השתתפות מועצות - ילדי חוץ"/>
    <m/>
    <m/>
    <n v="-2500000"/>
    <n v="-2500000"/>
    <n v="-614800"/>
    <m/>
    <x v="2"/>
    <x v="2"/>
    <s v="31"/>
    <x v="8"/>
    <x v="22"/>
    <x v="21"/>
    <s v="3157"/>
    <s v="בתי״ס על יסודיים מקיפים"/>
    <m/>
    <s v="7"/>
    <x v="6"/>
    <s v="71"/>
    <s v="השתתפות ועדים מקומיים"/>
    <s v="710"/>
    <e v="#N/A"/>
  </r>
  <r>
    <n v="940"/>
    <n v="315700"/>
    <n v="1"/>
    <s v="1315700.940"/>
    <s v="בתי ספר תיכוניים - חט&quot;ב - שכפולים וחומרים"/>
    <m/>
    <m/>
    <n v="0"/>
    <n v="0"/>
    <n v="-45311"/>
    <m/>
    <x v="2"/>
    <x v="2"/>
    <s v="31"/>
    <x v="8"/>
    <x v="22"/>
    <x v="21"/>
    <s v="3157"/>
    <s v="בתי״ס על יסודיים מקיפים"/>
    <m/>
    <s v="9"/>
    <x v="2"/>
    <s v="94"/>
    <s v="השתתפות משרד הבריאות"/>
    <s v="940"/>
    <e v="#N/A"/>
  </r>
  <r>
    <n v="710"/>
    <n v="315710"/>
    <n v="1"/>
    <s v="1315710.710"/>
    <s v="בתי ספר תיכוניים - עמלניות - ילדי חוץ"/>
    <m/>
    <m/>
    <n v="-450000"/>
    <n v="-850000"/>
    <n v="-864187"/>
    <m/>
    <x v="2"/>
    <x v="2"/>
    <s v="31"/>
    <x v="8"/>
    <x v="22"/>
    <x v="21"/>
    <s v="3157"/>
    <s v="בתי״ס על יסודיים מקיפים"/>
    <m/>
    <s v="7"/>
    <x v="6"/>
    <s v="71"/>
    <s v="השתתפות ועדים מקומיים"/>
    <s v="710"/>
    <e v="#N/A"/>
  </r>
  <r>
    <n v="921"/>
    <n v="315710"/>
    <n v="1"/>
    <s v="1315710.921"/>
    <s v="בתי ספר תיכוניים - עמלניות - שרתים"/>
    <m/>
    <m/>
    <n v="-450000"/>
    <n v="-800000"/>
    <n v="-757529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1"/>
    <e v="#N/A"/>
  </r>
  <r>
    <n v="926"/>
    <n v="315710"/>
    <n v="1"/>
    <s v="1315710.926"/>
    <s v="בתי ספר תיכוניים - עמלניות - ספרנים"/>
    <m/>
    <m/>
    <n v="-200000"/>
    <n v="-300000"/>
    <n v="-210136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6"/>
    <e v="#N/A"/>
  </r>
  <r>
    <n v="928"/>
    <n v="315710"/>
    <n v="1"/>
    <s v="1315710.928"/>
    <s v="בתי ספר תיכוניים - עמלניות - לבורנטים"/>
    <m/>
    <m/>
    <n v="-200000"/>
    <n v="-200000"/>
    <n v="-232785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8"/>
    <e v="#N/A"/>
  </r>
  <r>
    <n v="940"/>
    <n v="315710"/>
    <n v="1"/>
    <s v="1315710.940"/>
    <s v="בתי ספר תיכוניים - עמלניות - שכפולים וחומרים"/>
    <m/>
    <m/>
    <n v="-1050000"/>
    <n v="-700000"/>
    <n v="-43466"/>
    <m/>
    <x v="2"/>
    <x v="2"/>
    <s v="31"/>
    <x v="8"/>
    <x v="22"/>
    <x v="21"/>
    <s v="3157"/>
    <s v="בתי״ס על יסודיים מקיפים"/>
    <m/>
    <s v="9"/>
    <x v="2"/>
    <s v="94"/>
    <s v="השתתפות משרד הבריאות"/>
    <s v="940"/>
    <e v="#N/A"/>
  </r>
  <r>
    <n v="921"/>
    <n v="315730"/>
    <n v="1"/>
    <s v="1315730.921"/>
    <s v="בתי ספר תיכוניים - עובדי מינהלה שרתים ורכז חינוך"/>
    <m/>
    <m/>
    <n v="-4110000"/>
    <n v="-4479000"/>
    <n v="-2990154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1"/>
    <e v="#N/A"/>
  </r>
  <r>
    <n v="926"/>
    <n v="315740"/>
    <n v="1"/>
    <s v="1315740.926"/>
    <s v="בתי ספר תיכוניים - ספרנים"/>
    <m/>
    <m/>
    <n v="-4844000"/>
    <n v="-4172000"/>
    <n v="-5891774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6"/>
    <e v="#N/A"/>
  </r>
  <r>
    <n v="927"/>
    <n v="315750"/>
    <n v="1"/>
    <s v="1315750.927"/>
    <s v="בתי ספר תיכוניים - חט&quot;ב -השאלת מורים"/>
    <m/>
    <m/>
    <n v="-1701000"/>
    <n v="-3700000"/>
    <n v="-572395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7"/>
    <e v="#N/A"/>
  </r>
  <r>
    <n v="928"/>
    <n v="315760"/>
    <n v="1"/>
    <s v="1315760.928"/>
    <s v="בתי ספר תיכוניים - עובדי סיוע טכני ולבורנטים"/>
    <m/>
    <m/>
    <n v="-550000"/>
    <n v="-2053000"/>
    <n v="-14925"/>
    <m/>
    <x v="2"/>
    <x v="2"/>
    <s v="31"/>
    <x v="8"/>
    <x v="22"/>
    <x v="21"/>
    <s v="3157"/>
    <s v="בתי״ס על יסודיים מקיפים"/>
    <m/>
    <s v="9"/>
    <x v="2"/>
    <s v="92"/>
    <s v="השתתפות משרד החינוך והתרבות"/>
    <s v="928"/>
    <e v="#N/A"/>
  </r>
  <r>
    <n v="970"/>
    <n v="315900"/>
    <n v="1"/>
    <s v="1315900.970"/>
    <s v="בתי ספר תיכוניים - שמירה במוסדות חינוך"/>
    <m/>
    <m/>
    <n v="-7500000"/>
    <n v="-7800000"/>
    <n v="-8441645"/>
    <m/>
    <x v="2"/>
    <x v="2"/>
    <s v="31"/>
    <x v="8"/>
    <x v="22"/>
    <x v="21"/>
    <s v="3159"/>
    <e v="#N/A"/>
    <m/>
    <s v="9"/>
    <x v="2"/>
    <s v="97"/>
    <s v="השתתפות משרד הביטחון"/>
    <s v="970"/>
    <e v="#N/A"/>
  </r>
  <r>
    <n v="930"/>
    <s v="315510"/>
    <n v="1"/>
    <s v="1315510.930"/>
    <s v="בתי ספר תיכוניים - מרכז טכנולוגי הכנסות"/>
    <m/>
    <m/>
    <n v="-1667000"/>
    <n v="-1250000"/>
    <n v="0"/>
    <m/>
    <x v="2"/>
    <x v="2"/>
    <s v="31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770"/>
    <n v="315329"/>
    <n v="1"/>
    <s v="1315329.770"/>
    <s v="בתי ספר תיכוניים - אשכול רעות משתלם"/>
    <m/>
    <m/>
    <n v="-150000"/>
    <n v="-150000"/>
    <n v="-30322"/>
    <m/>
    <x v="2"/>
    <x v="2"/>
    <s v="31"/>
    <x v="8"/>
    <x v="22"/>
    <x v="21"/>
    <s v="3153"/>
    <s v="בתי״ס ערב על יסודיים"/>
    <m/>
    <s v="7"/>
    <x v="6"/>
    <s v="77"/>
    <s v="השתתפות קהילות מחו&quot;ל"/>
    <s v="770"/>
    <e v="#N/A"/>
  </r>
  <r>
    <n v="920"/>
    <n v="315331"/>
    <n v="1"/>
    <s v="1315331.920"/>
    <s v="בתי ספר תיכוניים - אשכול פיס - קרית חיים"/>
    <m/>
    <m/>
    <n v="-400000"/>
    <n v="-400000"/>
    <n v="-579747"/>
    <m/>
    <x v="2"/>
    <x v="2"/>
    <s v="31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332"/>
    <n v="1"/>
    <s v="1315332.920"/>
    <s v="בתי ספר תיכוניים - אשכול פיס רעות"/>
    <m/>
    <m/>
    <n v="-380000"/>
    <n v="-380000"/>
    <n v="-269874"/>
    <m/>
    <x v="2"/>
    <x v="2"/>
    <s v="31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370"/>
    <n v="1"/>
    <s v="1315370.920"/>
    <s v="בתי ספר תיכוניים - פנימיות יום - תגבור"/>
    <m/>
    <m/>
    <n v="-300000"/>
    <n v="-300000"/>
    <n v="-290671"/>
    <m/>
    <x v="2"/>
    <x v="2"/>
    <s v="31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1"/>
    <n v="315370"/>
    <n v="1"/>
    <s v="1315370.921"/>
    <s v="בתי ספר תיכוניים - פנימיות יום - צד&quot;ל"/>
    <m/>
    <m/>
    <n v="0"/>
    <n v="0"/>
    <n v="-67060"/>
    <m/>
    <x v="2"/>
    <x v="2"/>
    <s v="31"/>
    <x v="8"/>
    <x v="22"/>
    <x v="21"/>
    <s v="3153"/>
    <s v="בתי״ס ערב על יסודיים"/>
    <m/>
    <s v="9"/>
    <x v="2"/>
    <s v="92"/>
    <s v="השתתפות משרד החינוך והתרבות"/>
    <s v="921"/>
    <e v="#N/A"/>
  </r>
  <r>
    <n v="920"/>
    <n v="315380"/>
    <n v="1"/>
    <s v="1315380.920"/>
    <s v="בתי ספר תיכוניים - פעולות חברה ממשלה"/>
    <m/>
    <m/>
    <n v="-20000"/>
    <n v="-20000"/>
    <n v="0"/>
    <m/>
    <x v="2"/>
    <x v="2"/>
    <s v="31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680"/>
    <n v="1"/>
    <s v="1315680.920"/>
    <s v="בתי ספר תיכוניים - מרכז ליאו בק"/>
    <m/>
    <m/>
    <n v="-1578000"/>
    <n v="-1578000"/>
    <n v="-1510700"/>
    <m/>
    <x v="2"/>
    <x v="2"/>
    <s v="31"/>
    <x v="8"/>
    <x v="22"/>
    <x v="21"/>
    <s v="3156"/>
    <s v="בתי״ס על יסודיים חקלאיים"/>
    <m/>
    <s v="9"/>
    <x v="2"/>
    <s v="92"/>
    <s v="השתתפות משרד החינוך והתרבות"/>
    <s v="920"/>
    <e v="#N/A"/>
  </r>
  <r>
    <n v="770"/>
    <n v="315490"/>
    <n v="1"/>
    <s v="1315490.770"/>
    <s v="בתי ספר תיכוניים - משולבים - משתלם"/>
    <m/>
    <m/>
    <n v="-490000"/>
    <n v="-490000"/>
    <n v="-494015"/>
    <m/>
    <x v="2"/>
    <x v="2"/>
    <s v="31"/>
    <x v="8"/>
    <x v="22"/>
    <x v="21"/>
    <s v="3154"/>
    <s v="ישיבות תיכוניות אולפנות ומתיבתאות"/>
    <m/>
    <s v="7"/>
    <x v="6"/>
    <s v="77"/>
    <s v="השתתפות קהילות מחו&quot;ל"/>
    <s v="770"/>
    <e v="#N/A"/>
  </r>
  <r>
    <n v="920"/>
    <n v="315600"/>
    <n v="1"/>
    <s v="1315600.920"/>
    <s v="בתי ספר תיכוניים - פסגות ממשלה"/>
    <m/>
    <m/>
    <n v="0"/>
    <n v="0"/>
    <n v="-88976"/>
    <m/>
    <x v="2"/>
    <x v="2"/>
    <s v="31"/>
    <x v="8"/>
    <x v="22"/>
    <x v="21"/>
    <s v="3156"/>
    <s v="בתי״ס על יסודיים חקלאיים"/>
    <m/>
    <s v="9"/>
    <x v="2"/>
    <s v="92"/>
    <s v="השתתפות משרד החינוך והתרבות"/>
    <s v="920"/>
    <e v="#N/A"/>
  </r>
  <r>
    <n v="770"/>
    <n v="315200"/>
    <n v="1"/>
    <s v="1315200.770"/>
    <s v="בתי ספר תיכוניים - בתי   תלמיד הכנסות - משתלם"/>
    <m/>
    <m/>
    <n v="-1363000"/>
    <n v="-1363000"/>
    <n v="-1552383"/>
    <m/>
    <x v="2"/>
    <x v="2"/>
    <s v="31"/>
    <x v="8"/>
    <x v="22"/>
    <x v="21"/>
    <s v="3152"/>
    <s v="בתי״ס על יסודיים עיוניים"/>
    <m/>
    <s v="7"/>
    <x v="6"/>
    <s v="77"/>
    <s v="השתתפות קהילות מחו&quot;ל"/>
    <s v="770"/>
    <e v="#N/A"/>
  </r>
  <r>
    <n v="920"/>
    <n v="327220"/>
    <n v="1"/>
    <s v="1327220.920"/>
    <s v="תרבות - תרבות תורנית - השת' ממשלה"/>
    <m/>
    <m/>
    <n v="-98000"/>
    <n v="-98000"/>
    <n v="-67598"/>
    <m/>
    <x v="2"/>
    <x v="2"/>
    <s v="32"/>
    <x v="9"/>
    <x v="23"/>
    <x v="22"/>
    <s v="3272"/>
    <e v="#N/A"/>
    <m/>
    <s v="9"/>
    <x v="2"/>
    <s v="92"/>
    <s v="השתתפות משרד החינוך והתרבות"/>
    <s v="920"/>
    <e v="#N/A"/>
  </r>
  <r>
    <n v="410"/>
    <s v="323000"/>
    <n v="1"/>
    <s v="1323000.410"/>
    <s v="תרבות - ספריות"/>
    <m/>
    <m/>
    <n v="-2250000"/>
    <n v="-2250000"/>
    <n v="-2201299"/>
    <m/>
    <x v="2"/>
    <x v="2"/>
    <s v="32"/>
    <x v="9"/>
    <x v="24"/>
    <x v="23"/>
    <s v="3230"/>
    <e v="#N/A"/>
    <m/>
    <s v="4"/>
    <x v="4"/>
    <s v="41"/>
    <s v="שכל&quot;מ מתושבים"/>
    <s v="410"/>
    <e v="#N/A"/>
  </r>
  <r>
    <n v="410"/>
    <n v="323001"/>
    <n v="1"/>
    <s v="1323001.410"/>
    <s v="סעיפים משתלמים - ספריות"/>
    <m/>
    <m/>
    <n v="-380000"/>
    <n v="-380000"/>
    <n v="-157979"/>
    <m/>
    <x v="2"/>
    <x v="2"/>
    <s v="32"/>
    <x v="9"/>
    <x v="24"/>
    <x v="23"/>
    <s v="3230"/>
    <e v="#N/A"/>
    <m/>
    <s v="4"/>
    <x v="4"/>
    <s v="41"/>
    <s v="שכל&quot;מ מתושבים"/>
    <s v="410"/>
    <e v="#N/A"/>
  </r>
  <r>
    <n v="410"/>
    <n v="321002"/>
    <n v="1"/>
    <s v="1321002.410"/>
    <s v="סעיפים משתלמים - קידום נשים"/>
    <m/>
    <m/>
    <n v="-65000"/>
    <n v="-65000"/>
    <n v="-36586"/>
    <m/>
    <x v="2"/>
    <x v="2"/>
    <s v="32"/>
    <x v="9"/>
    <x v="25"/>
    <x v="24"/>
    <s v="3210"/>
    <e v="#N/A"/>
    <m/>
    <s v="4"/>
    <x v="4"/>
    <s v="41"/>
    <s v="שכל&quot;מ מתושבים"/>
    <s v="410"/>
    <e v="#N/A"/>
  </r>
  <r>
    <n v="410"/>
    <n v="322003"/>
    <n v="1"/>
    <s v="1322003.410"/>
    <s v="סעיפים משתלמים - קברט ספרותי"/>
    <m/>
    <m/>
    <n v="-25000"/>
    <n v="-25000"/>
    <n v="0"/>
    <m/>
    <x v="2"/>
    <x v="2"/>
    <s v="32"/>
    <x v="9"/>
    <x v="26"/>
    <x v="25"/>
    <s v="3220"/>
    <e v="#N/A"/>
    <m/>
    <s v="4"/>
    <x v="4"/>
    <s v="41"/>
    <s v="שכל&quot;מ מתושבים"/>
    <s v="410"/>
    <e v="#N/A"/>
  </r>
  <r>
    <n v="411"/>
    <n v="327004"/>
    <n v="1"/>
    <s v="1327004.411"/>
    <s v="סעיפים משתלמים - תרבות תורנית"/>
    <m/>
    <m/>
    <n v="-135000"/>
    <n v="-135000"/>
    <n v="-175419"/>
    <m/>
    <x v="2"/>
    <x v="2"/>
    <s v="32"/>
    <x v="9"/>
    <x v="23"/>
    <x v="22"/>
    <s v="3270"/>
    <e v="#N/A"/>
    <m/>
    <s v="4"/>
    <x v="4"/>
    <s v="41"/>
    <s v="שכל&quot;מ מתושבים"/>
    <s v="411"/>
    <e v="#N/A"/>
  </r>
  <r>
    <n v="410"/>
    <n v="322005"/>
    <n v="1"/>
    <s v="1322005.410"/>
    <s v="סעיפים משתלמים - פולקלור"/>
    <m/>
    <m/>
    <n v="-50000"/>
    <n v="-50000"/>
    <n v="-34752"/>
    <m/>
    <x v="2"/>
    <x v="2"/>
    <s v="32"/>
    <x v="9"/>
    <x v="26"/>
    <x v="25"/>
    <s v="3220"/>
    <e v="#N/A"/>
    <m/>
    <s v="4"/>
    <x v="4"/>
    <s v="41"/>
    <s v="שכל&quot;מ מתושבים"/>
    <s v="410"/>
    <e v="#N/A"/>
  </r>
  <r>
    <n v="410"/>
    <n v="326006"/>
    <n v="1"/>
    <s v="1326006.410"/>
    <s v="סעיפים משתלמים - בית יד לבנים"/>
    <m/>
    <m/>
    <n v="-282000"/>
    <n v="-282000"/>
    <n v="-102627"/>
    <m/>
    <x v="2"/>
    <x v="2"/>
    <s v="32"/>
    <x v="9"/>
    <x v="27"/>
    <x v="26"/>
    <s v="3260"/>
    <e v="#N/A"/>
    <m/>
    <s v="4"/>
    <x v="4"/>
    <s v="41"/>
    <s v="שכל&quot;מ מתושבים"/>
    <s v="410"/>
    <e v="#N/A"/>
  </r>
  <r>
    <n v="410"/>
    <n v="325007"/>
    <n v="1"/>
    <s v="1325007.410"/>
    <s v="סעיפים משתלמים - מוזיקה ומקהלות"/>
    <m/>
    <m/>
    <n v="-185000"/>
    <n v="-185000"/>
    <n v="-98225"/>
    <m/>
    <x v="2"/>
    <x v="2"/>
    <s v="32"/>
    <x v="9"/>
    <x v="28"/>
    <x v="27"/>
    <s v="3250"/>
    <e v="#N/A"/>
    <m/>
    <s v="4"/>
    <x v="4"/>
    <s v="41"/>
    <s v="שכל&quot;מ מתושבים"/>
    <s v="410"/>
    <e v="#N/A"/>
  </r>
  <r>
    <n v="410"/>
    <n v="328008"/>
    <n v="1"/>
    <s v="1328008.410"/>
    <s v="סעיפים משתלמים - המחלקה לנוער"/>
    <m/>
    <m/>
    <n v="-1199000"/>
    <n v="-253000"/>
    <n v="-24916"/>
    <m/>
    <x v="2"/>
    <x v="2"/>
    <s v="32"/>
    <x v="9"/>
    <x v="29"/>
    <x v="28"/>
    <s v="3280"/>
    <e v="#N/A"/>
    <m/>
    <s v="4"/>
    <x v="4"/>
    <s v="41"/>
    <s v="שכל&quot;מ מתושבים"/>
    <s v="410"/>
    <e v="#N/A"/>
  </r>
  <r>
    <n v="410"/>
    <n v="326009"/>
    <n v="1"/>
    <s v="1326009.410"/>
    <s v="סעיפים משתלמים - בית קהילה"/>
    <m/>
    <m/>
    <n v="-100000"/>
    <n v="-100000"/>
    <n v="-5900"/>
    <m/>
    <x v="2"/>
    <x v="2"/>
    <s v="32"/>
    <x v="9"/>
    <x v="27"/>
    <x v="26"/>
    <s v="3260"/>
    <e v="#N/A"/>
    <m/>
    <s v="4"/>
    <x v="4"/>
    <s v="41"/>
    <s v="שכל&quot;מ מתושבים"/>
    <s v="410"/>
    <e v="#N/A"/>
  </r>
  <r>
    <n v="410"/>
    <n v="329010"/>
    <n v="1"/>
    <s v="1329010.410"/>
    <s v="סעיפים משתלמים - תחרויות ספורט"/>
    <m/>
    <m/>
    <n v="-400000"/>
    <n v="-400000"/>
    <n v="-247688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9011"/>
    <n v="1"/>
    <s v="1329011.410"/>
    <s v="סעיפים משתלמים - סייף"/>
    <m/>
    <m/>
    <n v="0"/>
    <n v="0"/>
    <n v="-58221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4012"/>
    <n v="1"/>
    <s v="1324012.410"/>
    <s v="סעיפים משתלמים - בית ספר דינור"/>
    <m/>
    <m/>
    <n v="-220000"/>
    <n v="-220000"/>
    <n v="-107734"/>
    <m/>
    <x v="2"/>
    <x v="2"/>
    <s v="32"/>
    <x v="9"/>
    <x v="31"/>
    <x v="30"/>
    <s v="3240"/>
    <e v="#N/A"/>
    <m/>
    <s v="4"/>
    <x v="4"/>
    <s v="41"/>
    <s v="שכל&quot;מ מתושבים"/>
    <s v="410"/>
    <e v="#N/A"/>
  </r>
  <r>
    <n v="410"/>
    <n v="329013"/>
    <n v="1"/>
    <s v="1329013.410"/>
    <s v="סעיפים משתלמים - אתלטיקה קלה"/>
    <m/>
    <m/>
    <n v="0"/>
    <n v="0"/>
    <n v="-57710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4014"/>
    <n v="1"/>
    <s v="1324014.410"/>
    <s v="סעיפים משתלמים - חט&quot;ב - קרית חיים"/>
    <m/>
    <m/>
    <n v="-330000"/>
    <n v="-330000"/>
    <n v="-160592"/>
    <m/>
    <x v="2"/>
    <x v="2"/>
    <s v="32"/>
    <x v="9"/>
    <x v="31"/>
    <x v="30"/>
    <s v="3240"/>
    <e v="#N/A"/>
    <m/>
    <s v="4"/>
    <x v="4"/>
    <s v="41"/>
    <s v="שכל&quot;מ מתושבים"/>
    <s v="410"/>
    <e v="#N/A"/>
  </r>
  <r>
    <n v="410"/>
    <n v="324015"/>
    <n v="1"/>
    <s v="1324015.410"/>
    <s v="סעיפים משתלמים - משתלם אולם רמת אלון"/>
    <m/>
    <m/>
    <n v="-40000"/>
    <n v="-40000"/>
    <n v="-51243"/>
    <m/>
    <x v="2"/>
    <x v="2"/>
    <s v="32"/>
    <x v="9"/>
    <x v="31"/>
    <x v="30"/>
    <s v="3240"/>
    <e v="#N/A"/>
    <m/>
    <s v="4"/>
    <x v="4"/>
    <s v="41"/>
    <s v="שכל&quot;מ מתושבים"/>
    <s v="410"/>
    <e v="#N/A"/>
  </r>
  <r>
    <n v="410"/>
    <n v="329016"/>
    <n v="1"/>
    <s v="1329016.410"/>
    <s v="סעיפים משתלמים - אולם ספורט כבביר"/>
    <m/>
    <m/>
    <n v="0"/>
    <n v="0"/>
    <n v="-49920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9017"/>
    <n v="1"/>
    <s v="1329017.410"/>
    <s v="סעיפים משתלמים - שיזף אולם ספורט"/>
    <m/>
    <m/>
    <n v="-100000"/>
    <n v="-100000"/>
    <n v="-140763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9018"/>
    <n v="1"/>
    <s v="1329018.410"/>
    <s v="סעיפים משתלמים - אולם דגניה"/>
    <m/>
    <m/>
    <n v="-211800"/>
    <n v="-211800"/>
    <n v="-107919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9019"/>
    <n v="1"/>
    <s v="1329019.410"/>
    <s v="סעיפים משתלמים - אולם ספורט עירוני"/>
    <m/>
    <m/>
    <n v="-60000"/>
    <n v="-60000"/>
    <n v="-188030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9020"/>
    <n v="1"/>
    <s v="1329020.410"/>
    <s v="סעיפים משתלמים - פרחי ספורט"/>
    <m/>
    <m/>
    <n v="-100000"/>
    <n v="-100000"/>
    <n v="-71406"/>
    <m/>
    <x v="2"/>
    <x v="2"/>
    <s v="32"/>
    <x v="9"/>
    <x v="30"/>
    <x v="29"/>
    <s v="3290"/>
    <e v="#N/A"/>
    <m/>
    <s v="4"/>
    <x v="4"/>
    <s v="41"/>
    <s v="שכל&quot;מ מתושבים"/>
    <s v="410"/>
    <e v="#N/A"/>
  </r>
  <r>
    <n v="410"/>
    <n v="326102"/>
    <n v="1"/>
    <s v="1326102.410"/>
    <s v="סעיפים משתלמים - בית אבא חושי"/>
    <m/>
    <m/>
    <n v="-2537000"/>
    <n v="-2537000"/>
    <n v="-1656025"/>
    <m/>
    <x v="2"/>
    <x v="2"/>
    <s v="32"/>
    <x v="9"/>
    <x v="27"/>
    <x v="26"/>
    <s v="3261"/>
    <s v="תיאטרונים"/>
    <m/>
    <s v="4"/>
    <x v="4"/>
    <s v="41"/>
    <s v="שכל&quot;מ מתושבים"/>
    <s v="410"/>
    <e v="#N/A"/>
  </r>
  <r>
    <n v="410"/>
    <n v="322106"/>
    <n v="1"/>
    <s v="1322106.410"/>
    <s v="סעיפים משתלמים - מפגשים ברכס"/>
    <m/>
    <m/>
    <n v="-54000"/>
    <n v="-54000"/>
    <n v="-13800"/>
    <m/>
    <x v="2"/>
    <x v="2"/>
    <s v="32"/>
    <x v="9"/>
    <x v="26"/>
    <x v="25"/>
    <s v="3221"/>
    <e v="#N/A"/>
    <m/>
    <s v="4"/>
    <x v="4"/>
    <s v="41"/>
    <s v="שכל&quot;מ מתושבים"/>
    <s v="410"/>
    <e v="#N/A"/>
  </r>
  <r>
    <n v="410"/>
    <n v="322202"/>
    <n v="1"/>
    <s v="1322202.410"/>
    <s v="סעיפים משתלמים - פאני קפלן"/>
    <m/>
    <m/>
    <n v="-176000"/>
    <n v="-176000"/>
    <n v="-124644"/>
    <m/>
    <x v="2"/>
    <x v="2"/>
    <s v="32"/>
    <x v="9"/>
    <x v="26"/>
    <x v="25"/>
    <s v="3222"/>
    <e v="#N/A"/>
    <m/>
    <s v="4"/>
    <x v="4"/>
    <s v="41"/>
    <s v="שכל&quot;מ מתושבים"/>
    <s v="410"/>
    <e v="#N/A"/>
  </r>
  <r>
    <n v="410"/>
    <n v="326305"/>
    <n v="1"/>
    <s v="1326305.410"/>
    <s v="סעיפים משתלמים - בית יד לבנים"/>
    <m/>
    <m/>
    <n v="-112000"/>
    <n v="-112000"/>
    <n v="-53991"/>
    <m/>
    <x v="2"/>
    <x v="2"/>
    <s v="32"/>
    <x v="9"/>
    <x v="27"/>
    <x v="26"/>
    <s v="3263"/>
    <s v="גן חיות"/>
    <m/>
    <s v="4"/>
    <x v="4"/>
    <s v="41"/>
    <s v="שכל&quot;מ מתושבים"/>
    <s v="410"/>
    <e v="#N/A"/>
  </r>
  <r>
    <n v="410"/>
    <n v="326306"/>
    <n v="1"/>
    <s v="1326306.410"/>
    <s v="סעיפים משתלמים - בית מילר"/>
    <m/>
    <m/>
    <n v="-80000"/>
    <n v="-80000"/>
    <n v="-34050"/>
    <m/>
    <x v="2"/>
    <x v="2"/>
    <s v="32"/>
    <x v="9"/>
    <x v="27"/>
    <x v="26"/>
    <s v="3263"/>
    <s v="גן חיות"/>
    <m/>
    <s v="4"/>
    <x v="4"/>
    <s v="41"/>
    <s v="שכל&quot;מ מתושבים"/>
    <s v="410"/>
    <e v="#N/A"/>
  </r>
  <r>
    <n v="410"/>
    <n v="322402"/>
    <n v="1"/>
    <s v="1322402.410"/>
    <s v="סעיפים משתלמים - תרבות כללי"/>
    <m/>
    <m/>
    <n v="-220000"/>
    <n v="-220000"/>
    <n v="-215085"/>
    <m/>
    <x v="2"/>
    <x v="2"/>
    <s v="32"/>
    <x v="9"/>
    <x v="26"/>
    <x v="25"/>
    <s v="3224"/>
    <e v="#N/A"/>
    <m/>
    <s v="4"/>
    <x v="4"/>
    <s v="41"/>
    <s v="שכל&quot;מ מתושבים"/>
    <s v="410"/>
    <e v="#N/A"/>
  </r>
  <r>
    <n v="410"/>
    <n v="326502"/>
    <n v="1"/>
    <s v="1326502.410"/>
    <s v="סעיפים משתלמים - בית נגלר"/>
    <m/>
    <m/>
    <n v="-1687000"/>
    <n v="-1687000"/>
    <n v="-1360367"/>
    <m/>
    <x v="2"/>
    <x v="2"/>
    <s v="32"/>
    <x v="9"/>
    <x v="27"/>
    <x v="26"/>
    <s v="3265"/>
    <e v="#N/A"/>
    <m/>
    <s v="4"/>
    <x v="4"/>
    <s v="41"/>
    <s v="שכל&quot;מ מתושבים"/>
    <s v="410"/>
    <e v="#N/A"/>
  </r>
  <r>
    <n v="410"/>
    <n v="326506"/>
    <n v="1"/>
    <s v="1326506.410"/>
    <s v="סעיפים משתלמים - בית היינה"/>
    <m/>
    <m/>
    <n v="-300000"/>
    <n v="-300000"/>
    <n v="-211827"/>
    <m/>
    <x v="2"/>
    <x v="2"/>
    <s v="32"/>
    <x v="9"/>
    <x v="27"/>
    <x v="26"/>
    <s v="3265"/>
    <e v="#N/A"/>
    <m/>
    <s v="4"/>
    <x v="4"/>
    <s v="41"/>
    <s v="שכל&quot;מ מתושבים"/>
    <s v="410"/>
    <e v="#N/A"/>
  </r>
  <r>
    <n v="410"/>
    <n v="326509"/>
    <n v="1"/>
    <s v="1326509.410"/>
    <s v="סעיפים משתלמים - קרית שמואל"/>
    <m/>
    <m/>
    <n v="-270000"/>
    <n v="-270000"/>
    <n v="-265740"/>
    <m/>
    <x v="2"/>
    <x v="2"/>
    <s v="32"/>
    <x v="9"/>
    <x v="27"/>
    <x v="26"/>
    <s v="3265"/>
    <e v="#N/A"/>
    <m/>
    <s v="4"/>
    <x v="4"/>
    <s v="41"/>
    <s v="שכל&quot;מ מתושבים"/>
    <s v="410"/>
    <e v="#N/A"/>
  </r>
  <r>
    <n v="410"/>
    <n v="326510"/>
    <n v="1"/>
    <s v="1326510.410"/>
    <s v="סעיפים משתלמים - קרית שמואל חדש"/>
    <m/>
    <m/>
    <n v="-60000"/>
    <n v="-60000"/>
    <n v="0"/>
    <m/>
    <x v="2"/>
    <x v="2"/>
    <s v="32"/>
    <x v="9"/>
    <x v="27"/>
    <x v="26"/>
    <s v="3265"/>
    <e v="#N/A"/>
    <m/>
    <s v="4"/>
    <x v="4"/>
    <s v="41"/>
    <s v="שכל&quot;מ מתושבים"/>
    <s v="410"/>
    <e v="#N/A"/>
  </r>
  <r>
    <n v="410"/>
    <n v="326601"/>
    <n v="1"/>
    <s v="1326601.410"/>
    <s v="סעיפים משתלמים - מרכז בת גלים"/>
    <m/>
    <m/>
    <n v="-200000"/>
    <n v="-200000"/>
    <n v="-99488"/>
    <m/>
    <x v="2"/>
    <x v="2"/>
    <s v="32"/>
    <x v="9"/>
    <x v="27"/>
    <x v="26"/>
    <s v="3266"/>
    <e v="#N/A"/>
    <m/>
    <s v="4"/>
    <x v="4"/>
    <s v="41"/>
    <s v="שכל&quot;מ מתושבים"/>
    <s v="410"/>
    <e v="#N/A"/>
  </r>
  <r>
    <n v="410"/>
    <n v="322603"/>
    <n v="1"/>
    <s v="1322603.410"/>
    <s v="סעיפים משתלמים - בית ספר להורים"/>
    <m/>
    <m/>
    <n v="-5000"/>
    <n v="-5000"/>
    <n v="0"/>
    <m/>
    <x v="2"/>
    <x v="2"/>
    <s v="32"/>
    <x v="9"/>
    <x v="26"/>
    <x v="25"/>
    <s v="3226"/>
    <e v="#N/A"/>
    <m/>
    <s v="4"/>
    <x v="4"/>
    <s v="41"/>
    <s v="שכל&quot;מ מתושבים"/>
    <s v="410"/>
    <e v="#N/A"/>
  </r>
  <r>
    <n v="410"/>
    <n v="328607"/>
    <n v="1"/>
    <s v="1328607.410"/>
    <s v="סעיפים משתלמים - מועדוני נוער"/>
    <m/>
    <m/>
    <n v="-115000"/>
    <n v="-115000"/>
    <n v="-23286"/>
    <m/>
    <x v="2"/>
    <x v="2"/>
    <s v="32"/>
    <x v="9"/>
    <x v="29"/>
    <x v="28"/>
    <s v="3286"/>
    <e v="#N/A"/>
    <m/>
    <s v="4"/>
    <x v="4"/>
    <s v="41"/>
    <s v="שכל&quot;מ מתושבים"/>
    <s v="410"/>
    <e v="#N/A"/>
  </r>
  <r>
    <n v="921"/>
    <s v="328205"/>
    <n v="1"/>
    <s v="1328205.921"/>
    <s v="סעיפים משתלמים - מ. החינוך מועדונים"/>
    <m/>
    <m/>
    <n v="-939000"/>
    <n v="-939000"/>
    <n v="-901904"/>
    <m/>
    <x v="2"/>
    <x v="2"/>
    <s v="32"/>
    <x v="9"/>
    <x v="29"/>
    <x v="28"/>
    <s v="3282"/>
    <s v="מוקדי הפעלת נוער"/>
    <m/>
    <s v="9"/>
    <x v="2"/>
    <s v="92"/>
    <s v="השתתפות משרד החינוך והתרבות"/>
    <s v="921"/>
    <e v="#N/A"/>
  </r>
  <r>
    <n v="410"/>
    <s v="324400"/>
    <n v="1"/>
    <s v="1324400.410"/>
    <s v="סעיפים משתלמים - קייטנות דמי השתתפות"/>
    <m/>
    <m/>
    <n v="0"/>
    <n v="0"/>
    <n v="-1629"/>
    <m/>
    <x v="2"/>
    <x v="2"/>
    <s v="32"/>
    <x v="9"/>
    <x v="31"/>
    <x v="30"/>
    <s v="3244"/>
    <e v="#N/A"/>
    <m/>
    <s v="4"/>
    <x v="4"/>
    <s v="41"/>
    <s v="שכל&quot;מ מתושבים"/>
    <s v="410"/>
    <e v="#N/A"/>
  </r>
  <r>
    <n v="920"/>
    <s v="322400"/>
    <n v="1"/>
    <s v="1322400.920"/>
    <s v="סעיפים משתלמים - משרד הקליטה"/>
    <m/>
    <m/>
    <n v="0"/>
    <n v="0"/>
    <n v="0"/>
    <m/>
    <x v="2"/>
    <x v="2"/>
    <s v="32"/>
    <x v="9"/>
    <x v="26"/>
    <x v="25"/>
    <s v="3224"/>
    <e v="#N/A"/>
    <m/>
    <s v="9"/>
    <x v="2"/>
    <s v="92"/>
    <s v="השתתפות משרד החינוך והתרבות"/>
    <s v="920"/>
    <e v="#N/A"/>
  </r>
  <r>
    <n v="930"/>
    <n v="341331"/>
    <n v="1"/>
    <s v="1341331.930"/>
    <s v="שירותי  רווחה - כח אדם וארגוניות"/>
    <m/>
    <m/>
    <n v="-21140000"/>
    <n v="-21140000"/>
    <n v="-21103652"/>
    <m/>
    <x v="2"/>
    <x v="2"/>
    <s v="34"/>
    <x v="10"/>
    <x v="32"/>
    <x v="31"/>
    <s v="3413"/>
    <e v="#N/A"/>
    <m/>
    <s v="9"/>
    <x v="2"/>
    <s v="93"/>
    <s v="השתתפות משרד העבודה והרווחה"/>
    <s v="930"/>
    <e v="#N/A"/>
  </r>
  <r>
    <n v="930"/>
    <s v="342000"/>
    <n v="1"/>
    <s v="1342000.930"/>
    <s v="שירותי  רווחה - טיפול במשפחה - השת' ממשלה"/>
    <m/>
    <m/>
    <n v="-10000000"/>
    <n v="-10500000"/>
    <n v="-9165682"/>
    <m/>
    <x v="2"/>
    <x v="2"/>
    <s v="34"/>
    <x v="10"/>
    <x v="33"/>
    <x v="32"/>
    <s v="3420"/>
    <e v="#N/A"/>
    <m/>
    <s v="9"/>
    <x v="2"/>
    <s v="93"/>
    <s v="השתתפות משרד העבודה והרווחה"/>
    <s v="930"/>
    <e v="#N/A"/>
  </r>
  <r>
    <n v="410"/>
    <s v="342000"/>
    <n v="1"/>
    <s v="1342000.410"/>
    <s v="שירותי  רווחה - טיפול במשפחה - השת' קרובים"/>
    <m/>
    <m/>
    <n v="-26000"/>
    <n v="-26000"/>
    <n v="-24584"/>
    <m/>
    <x v="2"/>
    <x v="2"/>
    <s v="34"/>
    <x v="10"/>
    <x v="33"/>
    <x v="32"/>
    <s v="3420"/>
    <e v="#N/A"/>
    <m/>
    <s v="4"/>
    <x v="4"/>
    <s v="41"/>
    <s v="שכל&quot;מ מתושבים"/>
    <s v="410"/>
    <e v="#N/A"/>
  </r>
  <r>
    <n v="930"/>
    <s v="343000"/>
    <n v="1"/>
    <s v="1343000.930"/>
    <s v="שירותי  רווחה - טיפול בילד ובנוער - השת' ממשלה"/>
    <m/>
    <m/>
    <n v="-42667500"/>
    <n v="-42000000"/>
    <n v="-41627877"/>
    <m/>
    <x v="2"/>
    <x v="2"/>
    <s v="34"/>
    <x v="10"/>
    <x v="34"/>
    <x v="33"/>
    <s v="3430"/>
    <e v="#N/A"/>
    <m/>
    <s v="9"/>
    <x v="2"/>
    <s v="93"/>
    <s v="השתתפות משרד העבודה והרווחה"/>
    <s v="930"/>
    <e v="#N/A"/>
  </r>
  <r>
    <n v="410"/>
    <s v="343000"/>
    <n v="1"/>
    <s v="1343000.410"/>
    <s v="שירותי  רווחה - טיפול  בילד ובנוער - השת' קרובים"/>
    <m/>
    <m/>
    <n v="-300000"/>
    <n v="-300000"/>
    <n v="-154891"/>
    <m/>
    <x v="2"/>
    <x v="2"/>
    <s v="34"/>
    <x v="10"/>
    <x v="34"/>
    <x v="33"/>
    <s v="3430"/>
    <e v="#N/A"/>
    <m/>
    <s v="4"/>
    <x v="4"/>
    <s v="41"/>
    <s v="שכל&quot;מ מתושבים"/>
    <s v="410"/>
    <e v="#N/A"/>
  </r>
  <r>
    <n v="930"/>
    <s v="344000"/>
    <n v="1"/>
    <s v="1344000.930"/>
    <s v="שירותי  רווחה - טיפול בזקן - השת' ממשלה"/>
    <m/>
    <m/>
    <n v="-16000000"/>
    <n v="-17000000"/>
    <n v="-14975344"/>
    <m/>
    <x v="2"/>
    <x v="2"/>
    <s v="34"/>
    <x v="10"/>
    <x v="35"/>
    <x v="34"/>
    <s v="3440"/>
    <e v="#N/A"/>
    <m/>
    <s v="9"/>
    <x v="2"/>
    <s v="93"/>
    <s v="השתתפות משרד העבודה והרווחה"/>
    <s v="930"/>
    <e v="#N/A"/>
  </r>
  <r>
    <n v="410"/>
    <s v="344000"/>
    <n v="1"/>
    <s v="1344000.410"/>
    <s v="שירותי  רווחה - טיפול בזקן - השת' קרובים"/>
    <m/>
    <m/>
    <n v="-3000000"/>
    <n v="-3000000"/>
    <n v="-2708875"/>
    <m/>
    <x v="2"/>
    <x v="2"/>
    <s v="34"/>
    <x v="10"/>
    <x v="35"/>
    <x v="34"/>
    <s v="3440"/>
    <e v="#N/A"/>
    <m/>
    <s v="4"/>
    <x v="4"/>
    <s v="41"/>
    <s v="שכל&quot;מ מתושבים"/>
    <s v="410"/>
    <e v="#N/A"/>
  </r>
  <r>
    <n v="930"/>
    <s v="345000"/>
    <n v="1"/>
    <s v="1345000.930"/>
    <s v="שירותי  רווחה - טיפול במפגר - השת'  ממשלה"/>
    <m/>
    <m/>
    <n v="-69000000"/>
    <n v="-67950000"/>
    <n v="-66683553"/>
    <m/>
    <x v="2"/>
    <x v="2"/>
    <s v="34"/>
    <x v="10"/>
    <x v="36"/>
    <x v="35"/>
    <s v="3450"/>
    <e v="#N/A"/>
    <m/>
    <s v="9"/>
    <x v="2"/>
    <s v="93"/>
    <s v="השתתפות משרד העבודה והרווחה"/>
    <s v="930"/>
    <e v="#N/A"/>
  </r>
  <r>
    <n v="410"/>
    <s v="345000"/>
    <n v="1"/>
    <s v="1345000.410"/>
    <s v="שירותי  רווחה - טיפול במפגר - השת' קרובים"/>
    <m/>
    <m/>
    <n v="-700000"/>
    <n v="-700000"/>
    <n v="-424680"/>
    <m/>
    <x v="2"/>
    <x v="2"/>
    <s v="34"/>
    <x v="10"/>
    <x v="36"/>
    <x v="35"/>
    <s v="3450"/>
    <e v="#N/A"/>
    <m/>
    <s v="4"/>
    <x v="4"/>
    <s v="41"/>
    <s v="שכל&quot;מ מתושבים"/>
    <s v="410"/>
    <e v="#N/A"/>
  </r>
  <r>
    <n v="930"/>
    <s v="346200"/>
    <n v="1"/>
    <s v="1346200.930"/>
    <s v="שירותי  רווחה - שיקום עוורים - השת' ממשלה"/>
    <m/>
    <m/>
    <n v="-3000000"/>
    <n v="-3136000"/>
    <n v="-2080815"/>
    <m/>
    <x v="2"/>
    <x v="2"/>
    <s v="34"/>
    <x v="10"/>
    <x v="37"/>
    <x v="36"/>
    <s v="3462"/>
    <s v="שיקום העיוור - מעונות יום"/>
    <m/>
    <s v="9"/>
    <x v="2"/>
    <s v="93"/>
    <s v="השתתפות משרד העבודה והרווחה"/>
    <s v="930"/>
    <e v="#N/A"/>
  </r>
  <r>
    <n v="930"/>
    <s v="346400"/>
    <n v="1"/>
    <s v="1346400.930"/>
    <s v="שירותי  רווחה - שיקום נכים - השת' ממשלה"/>
    <m/>
    <m/>
    <n v="-23000000"/>
    <n v="-23250000"/>
    <n v="-22660513"/>
    <m/>
    <x v="2"/>
    <x v="2"/>
    <s v="34"/>
    <x v="10"/>
    <x v="37"/>
    <x v="36"/>
    <s v="3464"/>
    <s v="מפעלי תעסוקה לעיוורים"/>
    <m/>
    <s v="9"/>
    <x v="2"/>
    <s v="93"/>
    <s v="השתתפות משרד העבודה והרווחה"/>
    <s v="930"/>
    <e v="#N/A"/>
  </r>
  <r>
    <n v="410"/>
    <s v="346400"/>
    <n v="1"/>
    <s v="1346400.410"/>
    <s v="שירותי  רווחה - שיקום נכים - השתת' קרובים"/>
    <m/>
    <m/>
    <n v="-1800000"/>
    <n v="-1800000"/>
    <n v="0"/>
    <m/>
    <x v="2"/>
    <x v="2"/>
    <s v="34"/>
    <x v="10"/>
    <x v="37"/>
    <x v="36"/>
    <s v="3464"/>
    <s v="מפעלי תעסוקה לעיוורים"/>
    <m/>
    <s v="4"/>
    <x v="4"/>
    <s v="41"/>
    <s v="שכל&quot;מ מתושבים"/>
    <s v="410"/>
    <e v="#N/A"/>
  </r>
  <r>
    <n v="930"/>
    <s v="346500"/>
    <n v="1"/>
    <s v="1346500.930"/>
    <s v="שירותי  רווחה - מניעת עבריינות - השת' ממשלה"/>
    <m/>
    <m/>
    <n v="-4000000"/>
    <n v="-3984500"/>
    <n v="-3792127"/>
    <m/>
    <x v="2"/>
    <x v="2"/>
    <s v="34"/>
    <x v="10"/>
    <x v="37"/>
    <x v="36"/>
    <s v="3465"/>
    <s v="נכים - שיקום במוסדות"/>
    <m/>
    <s v="9"/>
    <x v="2"/>
    <s v="93"/>
    <s v="השתתפות משרד העבודה והרווחה"/>
    <s v="930"/>
    <e v="#N/A"/>
  </r>
  <r>
    <n v="930"/>
    <n v="346524"/>
    <n v="1"/>
    <s v="1346524.930"/>
    <s v="שירותי  רווחה - הרשות למלחמה בסמים"/>
    <m/>
    <m/>
    <n v="-810000"/>
    <n v="-810000"/>
    <n v="-896860"/>
    <m/>
    <x v="2"/>
    <x v="2"/>
    <s v="34"/>
    <x v="10"/>
    <x v="37"/>
    <x v="36"/>
    <s v="3465"/>
    <s v="נכים - שיקום במוסדות"/>
    <m/>
    <s v="9"/>
    <x v="2"/>
    <s v="93"/>
    <s v="השתתפות משרד העבודה והרווחה"/>
    <s v="930"/>
    <e v="#N/A"/>
  </r>
  <r>
    <n v="410"/>
    <s v="346500"/>
    <n v="1"/>
    <s v="1346500.410"/>
    <s v="שירותי  רווחה - מניעת עברינות - השתתפות נגמלים"/>
    <m/>
    <m/>
    <n v="0"/>
    <n v="0"/>
    <n v="-71025"/>
    <m/>
    <x v="2"/>
    <x v="2"/>
    <s v="34"/>
    <x v="10"/>
    <x v="37"/>
    <x v="36"/>
    <s v="3465"/>
    <s v="נכים - שיקום במוסדות"/>
    <m/>
    <s v="4"/>
    <x v="4"/>
    <s v="41"/>
    <s v="שכל&quot;מ מתושבים"/>
    <s v="410"/>
    <e v="#N/A"/>
  </r>
  <r>
    <n v="930"/>
    <s v="347000"/>
    <n v="1"/>
    <s v="1347000.930"/>
    <s v="שירותי  רווחה - עבודה קהילתית - השת' ממשלה"/>
    <m/>
    <m/>
    <n v="-1500000"/>
    <n v="-2542000"/>
    <n v="-688458"/>
    <m/>
    <x v="2"/>
    <x v="2"/>
    <s v="34"/>
    <x v="10"/>
    <x v="38"/>
    <x v="37"/>
    <s v="3470"/>
    <e v="#N/A"/>
    <m/>
    <s v="9"/>
    <x v="2"/>
    <s v="93"/>
    <s v="השתתפות משרד העבודה והרווחה"/>
    <s v="930"/>
    <e v="#N/A"/>
  </r>
  <r>
    <n v="930"/>
    <s v="347310"/>
    <n v="1"/>
    <s v="1347310.930"/>
    <s v="שירותי  רווחה - פרויקט הילה"/>
    <m/>
    <m/>
    <n v="-158000"/>
    <n v="-158000"/>
    <n v="-498170"/>
    <m/>
    <x v="2"/>
    <x v="2"/>
    <s v="34"/>
    <x v="10"/>
    <x v="38"/>
    <x v="37"/>
    <s v="3473"/>
    <s v="סמים"/>
    <m/>
    <s v="9"/>
    <x v="2"/>
    <s v="93"/>
    <s v="השתתפות משרד העבודה והרווחה"/>
    <s v="930"/>
    <e v="#N/A"/>
  </r>
  <r>
    <n v="930"/>
    <s v="347320"/>
    <n v="1"/>
    <s v="1347320.930"/>
    <s v="שירותי  רווחה - מאבק באלימות נגד קשישים"/>
    <m/>
    <m/>
    <n v="0"/>
    <n v="-300000"/>
    <n v="0"/>
    <m/>
    <x v="2"/>
    <x v="2"/>
    <s v="34"/>
    <x v="10"/>
    <x v="38"/>
    <x v="37"/>
    <s v="3473"/>
    <s v="סמים"/>
    <m/>
    <s v="9"/>
    <x v="2"/>
    <s v="93"/>
    <s v="השתתפות משרד העבודה והרווחה"/>
    <s v="930"/>
    <e v="#N/A"/>
  </r>
  <r>
    <n v="930"/>
    <s v="347410"/>
    <n v="1"/>
    <s v="1347410.930"/>
    <s v="שירותי  רווחה - מרכזתעסוקה לאוכלוסיה לא מסתגלת"/>
    <m/>
    <m/>
    <n v="-1000000"/>
    <n v="-1000000"/>
    <n v="-2006815"/>
    <m/>
    <x v="2"/>
    <x v="2"/>
    <s v="34"/>
    <x v="10"/>
    <x v="38"/>
    <x v="37"/>
    <s v="3474"/>
    <s v="מפתנים"/>
    <m/>
    <s v="9"/>
    <x v="2"/>
    <s v="93"/>
    <s v="השתתפות משרד העבודה והרווחה"/>
    <s v="930"/>
    <e v="#N/A"/>
  </r>
  <r>
    <n v="920"/>
    <s v="348200"/>
    <n v="1"/>
    <s v="1348200.920"/>
    <s v="שירותי  רווחה - פרוייקט קד&quot;ש השת' ממשלה"/>
    <m/>
    <m/>
    <n v="-775000"/>
    <n v="-175000"/>
    <n v="-211803"/>
    <m/>
    <x v="2"/>
    <x v="2"/>
    <s v="34"/>
    <x v="10"/>
    <x v="39"/>
    <x v="38"/>
    <s v="3482"/>
    <s v="מרכזים קהילתיים"/>
    <m/>
    <s v="9"/>
    <x v="2"/>
    <s v="92"/>
    <s v="השתתפות משרד החינוך והתרבות"/>
    <s v="920"/>
    <e v="#N/A"/>
  </r>
  <r>
    <n v="920"/>
    <s v="348300"/>
    <n v="1"/>
    <s v="1348300.920"/>
    <s v="שירותי  רווחה - עיר ללא אלימות"/>
    <m/>
    <m/>
    <n v="-1150000"/>
    <n v="-1150000"/>
    <n v="-1380166"/>
    <m/>
    <x v="2"/>
    <x v="2"/>
    <s v="34"/>
    <x v="10"/>
    <x v="39"/>
    <x v="38"/>
    <s v="3483"/>
    <s v="התנדבות"/>
    <m/>
    <s v="9"/>
    <x v="2"/>
    <s v="92"/>
    <s v="השתתפות משרד החינוך והתרבות"/>
    <s v="920"/>
    <e v="#N/A"/>
  </r>
  <r>
    <n v="920"/>
    <s v="348500"/>
    <n v="1"/>
    <s v="1348500.920"/>
    <s v="שירותי  רווחה - עיר בריאה"/>
    <m/>
    <m/>
    <n v="-270000"/>
    <n v="-270000"/>
    <n v="-375000"/>
    <m/>
    <x v="2"/>
    <x v="2"/>
    <s v="34"/>
    <x v="10"/>
    <x v="39"/>
    <x v="38"/>
    <s v="3485"/>
    <s v="שיקום שכונות"/>
    <m/>
    <s v="9"/>
    <x v="2"/>
    <s v="92"/>
    <s v="השתתפות משרד החינוך והתרבות"/>
    <s v="920"/>
    <e v="#N/A"/>
  </r>
  <r>
    <n v="210"/>
    <s v="410000"/>
    <n v="1"/>
    <s v="1410000.210"/>
    <s v="מים - אגרת מים"/>
    <m/>
    <m/>
    <n v="0"/>
    <n v="0"/>
    <n v="-668550"/>
    <m/>
    <x v="3"/>
    <x v="3"/>
    <s v="41"/>
    <x v="11"/>
    <x v="40"/>
    <x v="0"/>
    <s v="4100"/>
    <e v="#N/A"/>
    <m/>
    <s v="2"/>
    <x v="1"/>
    <s v="21"/>
    <s v="אגרות מים וביוב"/>
    <s v="210"/>
    <e v="#N/A"/>
  </r>
  <r>
    <n v="410"/>
    <s v="432000"/>
    <n v="1"/>
    <s v="1432000.410"/>
    <s v="נכסים - דמי שרותים ואחזקה"/>
    <m/>
    <m/>
    <n v="-10000"/>
    <n v="-10000"/>
    <n v="-10082"/>
    <m/>
    <x v="3"/>
    <x v="3"/>
    <s v="43"/>
    <x v="12"/>
    <x v="41"/>
    <x v="39"/>
    <s v="4320"/>
    <e v="#N/A"/>
    <m/>
    <s v="4"/>
    <x v="4"/>
    <s v="41"/>
    <s v="שכל&quot;מ מתושבים"/>
    <s v="410"/>
    <e v="#N/A"/>
  </r>
  <r>
    <n v="570"/>
    <s v="430000"/>
    <n v="1"/>
    <s v="1430000.570"/>
    <s v="נכסים - החזרת  דמי  ביטוח"/>
    <m/>
    <m/>
    <n v="-5000"/>
    <n v="-5000"/>
    <n v="-970050"/>
    <m/>
    <x v="3"/>
    <x v="3"/>
    <s v="43"/>
    <x v="12"/>
    <x v="42"/>
    <x v="0"/>
    <s v="4300"/>
    <e v="#N/A"/>
    <m/>
    <s v="5"/>
    <x v="7"/>
    <s v="57"/>
    <e v="#N/A"/>
    <s v="570"/>
    <e v="#N/A"/>
  </r>
  <r>
    <n v="610"/>
    <s v="430000"/>
    <n v="1"/>
    <s v="1430000.610"/>
    <s v="נכסים - דמי שכירות וחכירה"/>
    <m/>
    <m/>
    <n v="-2774000"/>
    <n v="-2774000"/>
    <n v="-94840"/>
    <m/>
    <x v="3"/>
    <x v="3"/>
    <s v="43"/>
    <x v="12"/>
    <x v="42"/>
    <x v="0"/>
    <s v="4300"/>
    <e v="#N/A"/>
    <m/>
    <s v="6"/>
    <x v="3"/>
    <s v="61"/>
    <s v="מכירת חומרים"/>
    <s v="610"/>
    <e v="#N/A"/>
  </r>
  <r>
    <n v="611"/>
    <s v="430000"/>
    <n v="1"/>
    <s v="1430000.611"/>
    <s v="נכסים - שכירות מנהל הנדסה"/>
    <m/>
    <m/>
    <n v="-4300000"/>
    <n v="-4300000"/>
    <n v="-5441211"/>
    <m/>
    <x v="3"/>
    <x v="3"/>
    <s v="43"/>
    <x v="12"/>
    <x v="42"/>
    <x v="0"/>
    <s v="4300"/>
    <e v="#N/A"/>
    <m/>
    <s v="6"/>
    <x v="3"/>
    <s v="61"/>
    <s v="מכירת חומרים"/>
    <s v="611"/>
    <e v="#N/A"/>
  </r>
  <r>
    <n v="690"/>
    <s v="430000"/>
    <n v="1"/>
    <s v="1430000.690"/>
    <s v="נכסים - דמי העברה"/>
    <m/>
    <m/>
    <n v="-400000"/>
    <n v="-400000"/>
    <n v="0"/>
    <m/>
    <x v="3"/>
    <x v="3"/>
    <s v="43"/>
    <x v="12"/>
    <x v="42"/>
    <x v="0"/>
    <s v="4300"/>
    <e v="#N/A"/>
    <m/>
    <s v="6"/>
    <x v="3"/>
    <s v="69"/>
    <s v="הכנסות שונות"/>
    <s v="690"/>
    <e v="#N/A"/>
  </r>
  <r>
    <n v="700"/>
    <s v="430000"/>
    <n v="1"/>
    <s v="1430000.700"/>
    <s v="נכסים - יפה נוף * - שכ&quot;ד"/>
    <m/>
    <m/>
    <n v="-1000000"/>
    <n v="-1000000"/>
    <n v="-1333644"/>
    <m/>
    <x v="3"/>
    <x v="3"/>
    <s v="43"/>
    <x v="12"/>
    <x v="42"/>
    <x v="0"/>
    <s v="4300"/>
    <e v="#N/A"/>
    <m/>
    <s v="7"/>
    <x v="6"/>
    <s v="70"/>
    <e v="#N/A"/>
    <s v="700"/>
    <e v="#N/A"/>
  </r>
  <r>
    <n v="690"/>
    <s v="435000"/>
    <n v="1"/>
    <s v="1435000.690"/>
    <s v="נכסים - מכירה והחכרת נכסים"/>
    <m/>
    <m/>
    <n v="-3511000"/>
    <n v="-3511000"/>
    <n v="-2568635"/>
    <m/>
    <x v="3"/>
    <x v="3"/>
    <s v="43"/>
    <x v="12"/>
    <x v="43"/>
    <x v="40"/>
    <s v="4350"/>
    <e v="#N/A"/>
    <m/>
    <s v="6"/>
    <x v="3"/>
    <s v="69"/>
    <s v="הכנסות שונות"/>
    <s v="690"/>
    <e v="#N/A"/>
  </r>
  <r>
    <n v="610"/>
    <s v="442000"/>
    <n v="1"/>
    <s v="1442000.610"/>
    <s v="כרמלית - כרמלית דמי זכיון"/>
    <m/>
    <m/>
    <n v="-107000"/>
    <n v="-107000"/>
    <n v="-32014"/>
    <m/>
    <x v="3"/>
    <x v="3"/>
    <s v="44"/>
    <x v="13"/>
    <x v="44"/>
    <x v="41"/>
    <s v="4420"/>
    <e v="#N/A"/>
    <m/>
    <s v="6"/>
    <x v="3"/>
    <s v="61"/>
    <s v="מכירת חומרים"/>
    <s v="610"/>
    <e v="#N/A"/>
  </r>
  <r>
    <n v="210"/>
    <s v="471200"/>
    <n v="1"/>
    <s v="1471200.210"/>
    <s v="מפעל הביוב - אגרת ביוב"/>
    <m/>
    <m/>
    <n v="0"/>
    <n v="0"/>
    <n v="-346000"/>
    <m/>
    <x v="3"/>
    <x v="3"/>
    <s v="47"/>
    <x v="14"/>
    <x v="45"/>
    <x v="42"/>
    <s v="4712"/>
    <e v="#N/A"/>
    <m/>
    <s v="2"/>
    <x v="1"/>
    <s v="21"/>
    <s v="אגרות מים וביוב"/>
    <s v="210"/>
    <e v="#N/A"/>
  </r>
  <r>
    <n v="940"/>
    <s v="333000"/>
    <n v="1"/>
    <s v="1333000.940"/>
    <s v="בית חולים בני ציון - הכנסות ממשלה - השתתפות בשכר"/>
    <m/>
    <m/>
    <n v="-436000000"/>
    <n v="-402000000"/>
    <n v="-413155707"/>
    <m/>
    <x v="2"/>
    <x v="2"/>
    <s v="33"/>
    <x v="15"/>
    <x v="46"/>
    <x v="43"/>
    <s v="3330"/>
    <e v="#N/A"/>
    <m/>
    <s v="9"/>
    <x v="2"/>
    <s v="94"/>
    <s v="השתתפות משרד הבריאות"/>
    <s v="940"/>
    <e v="#N/A"/>
  </r>
  <r>
    <n v="945"/>
    <s v="333000"/>
    <n v="1"/>
    <s v="1333000.945"/>
    <s v="בית חולים בני ציון - הכנסות ממשלה - השתתפות בהוצאות"/>
    <m/>
    <m/>
    <n v="-10000000"/>
    <n v="-7000000"/>
    <n v="-8458870"/>
    <m/>
    <x v="2"/>
    <x v="2"/>
    <s v="33"/>
    <x v="15"/>
    <x v="46"/>
    <x v="43"/>
    <s v="3330"/>
    <e v="#N/A"/>
    <m/>
    <s v="9"/>
    <x v="2"/>
    <s v="94"/>
    <s v="השתתפות משרד הבריאות"/>
    <s v="945"/>
    <e v="#N/A"/>
  </r>
  <r>
    <n v="600"/>
    <s v="510000"/>
    <n v="1"/>
    <s v="1510000.600"/>
    <s v="הכנסות שונות - הכנסות מריבית ודיבדנד"/>
    <m/>
    <m/>
    <n v="-1500000"/>
    <n v="-1500000"/>
    <n v="-2464478"/>
    <m/>
    <x v="4"/>
    <x v="4"/>
    <s v="51"/>
    <x v="16"/>
    <x v="47"/>
    <x v="0"/>
    <s v="5100"/>
    <e v="#N/A"/>
    <m/>
    <s v="6"/>
    <x v="3"/>
    <s v="60"/>
    <e v="#N/A"/>
    <s v="600"/>
    <e v="#N/A"/>
  </r>
  <r>
    <n v="603"/>
    <s v="510000"/>
    <n v="1"/>
    <s v="1510000.603"/>
    <s v="הכנסות שונות - "/>
    <m/>
    <m/>
    <n v="-600000"/>
    <n v="-600000"/>
    <n v="0"/>
    <m/>
    <x v="4"/>
    <x v="4"/>
    <s v="51"/>
    <x v="16"/>
    <x v="47"/>
    <x v="0"/>
    <s v="5100"/>
    <e v="#N/A"/>
    <m/>
    <s v="6"/>
    <x v="3"/>
    <s v="60"/>
    <e v="#N/A"/>
    <s v="603"/>
    <e v="#N/A"/>
  </r>
  <r>
    <n v="611"/>
    <s v="510000"/>
    <n v="1"/>
    <s v="1510000.611"/>
    <s v="הכנסות שונות - מיחזור חסך"/>
    <m/>
    <m/>
    <n v="0"/>
    <n v="0"/>
    <n v="-42400000"/>
    <m/>
    <x v="4"/>
    <x v="4"/>
    <s v="51"/>
    <x v="16"/>
    <x v="47"/>
    <x v="0"/>
    <s v="5100"/>
    <e v="#N/A"/>
    <m/>
    <s v="6"/>
    <x v="3"/>
    <s v="61"/>
    <s v="מכירת חומרים"/>
    <s v="611"/>
    <e v="#N/A"/>
  </r>
  <r>
    <n v="614"/>
    <s v="510000"/>
    <n v="1"/>
    <s v="1510000.614"/>
    <s v="הכנסות שונות - הכנסות מי כרמל"/>
    <m/>
    <m/>
    <n v="-12000000"/>
    <n v="-12000000"/>
    <n v="-13245767"/>
    <m/>
    <x v="4"/>
    <x v="4"/>
    <s v="51"/>
    <x v="16"/>
    <x v="47"/>
    <x v="0"/>
    <s v="5100"/>
    <e v="#N/A"/>
    <m/>
    <s v="6"/>
    <x v="3"/>
    <s v="61"/>
    <s v="מכירת חומרים"/>
    <s v="614"/>
    <e v="#N/A"/>
  </r>
  <r>
    <n v="601"/>
    <s v="520000"/>
    <n v="1"/>
    <s v="1520000.601"/>
    <s v="הכנסות שונות - הכנסות שנים קודמות"/>
    <m/>
    <m/>
    <n v="-100000"/>
    <n v="-100000"/>
    <n v="-71582"/>
    <m/>
    <x v="4"/>
    <x v="4"/>
    <s v="52"/>
    <x v="17"/>
    <x v="48"/>
    <x v="0"/>
    <s v="5200"/>
    <e v="#N/A"/>
    <m/>
    <s v="6"/>
    <x v="3"/>
    <s v="60"/>
    <e v="#N/A"/>
    <s v="601"/>
    <e v="#N/A"/>
  </r>
  <r>
    <n v="604"/>
    <s v="520000"/>
    <n v="1"/>
    <s v="1520000.604"/>
    <s v="הכנסות שונות - דיבידנד אוצר השלטון"/>
    <m/>
    <m/>
    <n v="0"/>
    <n v="0"/>
    <n v="0"/>
    <m/>
    <x v="4"/>
    <x v="4"/>
    <s v="52"/>
    <x v="17"/>
    <x v="48"/>
    <x v="0"/>
    <s v="5200"/>
    <e v="#N/A"/>
    <m/>
    <s v="6"/>
    <x v="3"/>
    <s v="60"/>
    <e v="#N/A"/>
    <s v="604"/>
    <e v="#N/A"/>
  </r>
  <r>
    <n v="601"/>
    <s v="540000"/>
    <n v="1"/>
    <s v="1540000.601"/>
    <s v="הכנסות שונות - הכנסות ב.נ.מ"/>
    <m/>
    <m/>
    <n v="-2000000"/>
    <n v="-1800000"/>
    <n v="-3782083"/>
    <m/>
    <x v="4"/>
    <x v="4"/>
    <s v="54"/>
    <x v="17"/>
    <x v="49"/>
    <x v="0"/>
    <s v="5400"/>
    <e v="#N/A"/>
    <m/>
    <s v="6"/>
    <x v="3"/>
    <s v="60"/>
    <e v="#N/A"/>
    <s v="601"/>
    <e v="#N/A"/>
  </r>
  <r>
    <n v="602"/>
    <s v="540000"/>
    <n v="1"/>
    <s v="1540000.602"/>
    <s v="הכנסות שונות - מכירת גרוטאות"/>
    <m/>
    <m/>
    <n v="-300000"/>
    <n v="-400000"/>
    <n v="-250458"/>
    <m/>
    <x v="4"/>
    <x v="4"/>
    <s v="54"/>
    <x v="17"/>
    <x v="49"/>
    <x v="0"/>
    <s v="5400"/>
    <e v="#N/A"/>
    <m/>
    <s v="6"/>
    <x v="3"/>
    <s v="60"/>
    <e v="#N/A"/>
    <s v="602"/>
    <e v="#N/A"/>
  </r>
  <r>
    <n v="603"/>
    <s v="547000"/>
    <n v="1"/>
    <s v="1547000.603"/>
    <s v="הכנסות שונות - הכנסות שונות"/>
    <m/>
    <m/>
    <n v="-100000"/>
    <n v="-200000"/>
    <n v="-91882"/>
    <m/>
    <x v="4"/>
    <x v="4"/>
    <s v="54"/>
    <x v="17"/>
    <x v="50"/>
    <x v="0"/>
    <s v="5470"/>
    <e v="#N/A"/>
    <m/>
    <s v="6"/>
    <x v="3"/>
    <s v="60"/>
    <e v="#N/A"/>
    <s v="603"/>
    <e v="#N/A"/>
  </r>
  <r>
    <n v="100"/>
    <n v="821000"/>
    <n v="1"/>
    <s v="1821000.100"/>
    <s v="הנהלת תחום תרבות - שכר לעובדים קבועים"/>
    <m/>
    <m/>
    <n v="3256900"/>
    <n v="3227000"/>
    <n v="2874600"/>
    <m/>
    <x v="5"/>
    <x v="2"/>
    <s v="82"/>
    <x v="9"/>
    <x v="51"/>
    <x v="24"/>
    <s v="8210"/>
    <e v="#N/A"/>
    <m/>
    <s v="1"/>
    <x v="8"/>
    <s v="10"/>
    <e v="#N/A"/>
    <s v="100"/>
    <e v="#N/A"/>
  </r>
  <r>
    <n v="120"/>
    <n v="821000"/>
    <n v="1"/>
    <s v="1821000.120"/>
    <s v="הנהלת תחום תרבות - שעות נוספות"/>
    <m/>
    <m/>
    <n v="132100"/>
    <n v="132100"/>
    <n v="121700"/>
    <m/>
    <x v="5"/>
    <x v="2"/>
    <s v="82"/>
    <x v="9"/>
    <x v="51"/>
    <x v="24"/>
    <s v="8210"/>
    <e v="#N/A"/>
    <m/>
    <s v="1"/>
    <x v="8"/>
    <s v="12"/>
    <s v="תוספות שאינן נכללות בשכר הקובע"/>
    <s v="120"/>
    <e v="#N/A"/>
  </r>
  <r>
    <n v="700"/>
    <n v="821000"/>
    <n v="1"/>
    <s v="1821000.700"/>
    <s v="הנהלת תחום תרבות - הוצאות לפעולות"/>
    <m/>
    <m/>
    <n v="38900"/>
    <n v="40000"/>
    <n v="43300"/>
    <m/>
    <x v="5"/>
    <x v="2"/>
    <s v="82"/>
    <x v="9"/>
    <x v="51"/>
    <x v="24"/>
    <s v="8210"/>
    <e v="#N/A"/>
    <m/>
    <s v="7"/>
    <x v="9"/>
    <s v="70"/>
    <e v="#N/A"/>
    <s v="700"/>
    <e v="#N/A"/>
  </r>
  <r>
    <n v="100"/>
    <n v="821110"/>
    <n v="1"/>
    <s v="1821110.100"/>
    <s v="המחלקה לארועים ואומנויות - שכר לעובדים קבועים"/>
    <m/>
    <m/>
    <n v="769800"/>
    <n v="612800"/>
    <n v="575900"/>
    <m/>
    <x v="5"/>
    <x v="2"/>
    <s v="82"/>
    <x v="9"/>
    <x v="51"/>
    <x v="24"/>
    <s v="8211"/>
    <e v="#N/A"/>
    <m/>
    <s v="1"/>
    <x v="8"/>
    <s v="10"/>
    <e v="#N/A"/>
    <s v="100"/>
    <e v="#N/A"/>
  </r>
  <r>
    <n v="200"/>
    <n v="821110"/>
    <n v="1"/>
    <s v="1821110.200"/>
    <s v="המחלקה לארועים ואומנויות - שכר לעובדים ארעיים"/>
    <m/>
    <m/>
    <n v="601000"/>
    <n v="594000"/>
    <n v="552700"/>
    <m/>
    <x v="5"/>
    <x v="2"/>
    <s v="82"/>
    <x v="9"/>
    <x v="51"/>
    <x v="24"/>
    <s v="8211"/>
    <e v="#N/A"/>
    <m/>
    <s v="2"/>
    <x v="10"/>
    <s v="20"/>
    <e v="#N/A"/>
    <s v="200"/>
    <e v="#N/A"/>
  </r>
  <r>
    <n v="120"/>
    <n v="821110"/>
    <n v="1"/>
    <s v="1821110.120"/>
    <s v="המחלקה לארועים ואומנויות - שעות נוספות"/>
    <m/>
    <m/>
    <n v="37200"/>
    <n v="37200"/>
    <n v="68300"/>
    <m/>
    <x v="5"/>
    <x v="2"/>
    <s v="82"/>
    <x v="9"/>
    <x v="51"/>
    <x v="24"/>
    <s v="8211"/>
    <e v="#N/A"/>
    <m/>
    <s v="1"/>
    <x v="8"/>
    <s v="12"/>
    <s v="תוספות שאינן נכללות בשכר הקובע"/>
    <s v="120"/>
    <e v="#N/A"/>
  </r>
  <r>
    <n v="400"/>
    <n v="821110"/>
    <n v="1"/>
    <s v="1821110.400"/>
    <s v="המחלקה לארועים ואומנויות - אחזקה אספקה וציוד"/>
    <m/>
    <m/>
    <n v="5000"/>
    <n v="5000"/>
    <n v="5400"/>
    <m/>
    <x v="5"/>
    <x v="2"/>
    <s v="82"/>
    <x v="9"/>
    <x v="51"/>
    <x v="24"/>
    <s v="8211"/>
    <e v="#N/A"/>
    <m/>
    <s v="4"/>
    <x v="11"/>
    <s v="40"/>
    <e v="#N/A"/>
    <s v="400"/>
    <e v="#N/A"/>
  </r>
  <r>
    <n v="500"/>
    <n v="821110"/>
    <n v="1"/>
    <s v="1821110.500"/>
    <s v="המחלקה לארועים ואומנויות - תחבורה ודואר"/>
    <m/>
    <m/>
    <n v="141700"/>
    <n v="155000"/>
    <n v="139500"/>
    <m/>
    <x v="5"/>
    <x v="2"/>
    <s v="82"/>
    <x v="9"/>
    <x v="51"/>
    <x v="24"/>
    <s v="8211"/>
    <e v="#N/A"/>
    <m/>
    <s v="5"/>
    <x v="12"/>
    <s v="50"/>
    <e v="#N/A"/>
    <s v="500"/>
    <e v="#N/A"/>
  </r>
  <r>
    <n v="500"/>
    <n v="821110"/>
    <n v="1"/>
    <s v="1821110.500"/>
    <s v="המחלקה לארועים ואומנויות - הוצאות כלליות"/>
    <m/>
    <m/>
    <n v="1600"/>
    <n v="2100"/>
    <n v="300"/>
    <m/>
    <x v="5"/>
    <x v="2"/>
    <s v="82"/>
    <x v="9"/>
    <x v="51"/>
    <x v="24"/>
    <s v="8211"/>
    <e v="#N/A"/>
    <m/>
    <s v="5"/>
    <x v="12"/>
    <s v="50"/>
    <e v="#N/A"/>
    <s v="500"/>
    <e v="#N/A"/>
  </r>
  <r>
    <n v="700"/>
    <n v="821110"/>
    <n v="1"/>
    <s v="1821110.700"/>
    <s v="תחום תרבות המחלקה לארועים ואומנויות - הוצאות לפעולות"/>
    <m/>
    <m/>
    <n v="659500"/>
    <n v="669500"/>
    <n v="871200"/>
    <m/>
    <x v="5"/>
    <x v="2"/>
    <s v="82"/>
    <x v="9"/>
    <x v="51"/>
    <x v="24"/>
    <s v="8211"/>
    <e v="#N/A"/>
    <m/>
    <s v="7"/>
    <x v="9"/>
    <s v="70"/>
    <e v="#N/A"/>
    <s v="700"/>
    <e v="#N/A"/>
  </r>
  <r>
    <n v="100"/>
    <n v="822220"/>
    <n v="1"/>
    <s v="1822220.100"/>
    <s v="תרבות תורנית - שכר לעובדים קבועים"/>
    <m/>
    <m/>
    <n v="272000"/>
    <n v="269000"/>
    <n v="352200"/>
    <m/>
    <x v="5"/>
    <x v="2"/>
    <s v="82"/>
    <x v="9"/>
    <x v="52"/>
    <x v="25"/>
    <s v="8222"/>
    <e v="#N/A"/>
    <m/>
    <s v="1"/>
    <x v="8"/>
    <s v="10"/>
    <e v="#N/A"/>
    <s v="100"/>
    <e v="#N/A"/>
  </r>
  <r>
    <n v="200"/>
    <n v="822220"/>
    <n v="1"/>
    <s v="1822220.200"/>
    <s v="תרבות תורנית - שכר לעובדים ארעיים"/>
    <m/>
    <m/>
    <n v="99000"/>
    <n v="98000"/>
    <n v="131300"/>
    <m/>
    <x v="5"/>
    <x v="2"/>
    <s v="82"/>
    <x v="9"/>
    <x v="52"/>
    <x v="25"/>
    <s v="8222"/>
    <e v="#N/A"/>
    <m/>
    <s v="2"/>
    <x v="10"/>
    <s v="20"/>
    <e v="#N/A"/>
    <s v="200"/>
    <e v="#N/A"/>
  </r>
  <r>
    <n v="120"/>
    <n v="822220"/>
    <n v="1"/>
    <s v="1822220.120"/>
    <s v="תרבות תורנית - שעות נוספות"/>
    <m/>
    <m/>
    <n v="0"/>
    <n v="0"/>
    <n v="15600"/>
    <m/>
    <x v="5"/>
    <x v="2"/>
    <s v="82"/>
    <x v="9"/>
    <x v="52"/>
    <x v="25"/>
    <s v="8222"/>
    <e v="#N/A"/>
    <m/>
    <s v="1"/>
    <x v="8"/>
    <s v="12"/>
    <s v="תוספות שאינן נכללות בשכר הקובע"/>
    <s v="120"/>
    <e v="#N/A"/>
  </r>
  <r>
    <n v="400"/>
    <n v="822220"/>
    <n v="1"/>
    <s v="1822220.400"/>
    <s v="תרבות תורנית - אחזקה אספקה וציוד"/>
    <m/>
    <m/>
    <n v="7500"/>
    <n v="7500"/>
    <n v="9000"/>
    <m/>
    <x v="5"/>
    <x v="2"/>
    <s v="82"/>
    <x v="9"/>
    <x v="52"/>
    <x v="25"/>
    <s v="8222"/>
    <e v="#N/A"/>
    <m/>
    <s v="4"/>
    <x v="11"/>
    <s v="40"/>
    <e v="#N/A"/>
    <s v="400"/>
    <e v="#N/A"/>
  </r>
  <r>
    <n v="500"/>
    <n v="822220"/>
    <n v="1"/>
    <s v="1822220.500"/>
    <s v="תרבות תורנית - תחבורה ודואר"/>
    <m/>
    <m/>
    <n v="8000"/>
    <n v="8000"/>
    <n v="7500"/>
    <m/>
    <x v="5"/>
    <x v="2"/>
    <s v="82"/>
    <x v="9"/>
    <x v="52"/>
    <x v="25"/>
    <s v="8222"/>
    <e v="#N/A"/>
    <m/>
    <s v="5"/>
    <x v="12"/>
    <s v="50"/>
    <e v="#N/A"/>
    <s v="500"/>
    <e v="#N/A"/>
  </r>
  <r>
    <n v="500"/>
    <n v="822220"/>
    <n v="1"/>
    <s v="1822220.500"/>
    <s v="תרבות תורנית - הוצאות כלליות"/>
    <m/>
    <m/>
    <n v="1451600"/>
    <n v="1525000"/>
    <n v="1239800"/>
    <m/>
    <x v="5"/>
    <x v="2"/>
    <s v="82"/>
    <x v="9"/>
    <x v="52"/>
    <x v="25"/>
    <s v="8222"/>
    <e v="#N/A"/>
    <m/>
    <s v="5"/>
    <x v="12"/>
    <s v="50"/>
    <e v="#N/A"/>
    <s v="500"/>
    <e v="#N/A"/>
  </r>
  <r>
    <n v="700"/>
    <n v="822220"/>
    <n v="1"/>
    <s v="1822220.700"/>
    <s v="תרבות תורנית - הוצאות לפעולות"/>
    <m/>
    <m/>
    <n v="9500"/>
    <n v="9500"/>
    <n v="6400"/>
    <m/>
    <x v="5"/>
    <x v="2"/>
    <s v="82"/>
    <x v="9"/>
    <x v="52"/>
    <x v="25"/>
    <s v="8222"/>
    <e v="#N/A"/>
    <m/>
    <s v="7"/>
    <x v="9"/>
    <s v="70"/>
    <e v="#N/A"/>
    <s v="700"/>
    <e v="#N/A"/>
  </r>
  <r>
    <n v="700"/>
    <n v="822247"/>
    <n v="1"/>
    <s v="1822247.700"/>
    <s v="פרסום - הוצאות לפעולות"/>
    <m/>
    <m/>
    <n v="38900"/>
    <n v="40000"/>
    <n v="58700"/>
    <m/>
    <x v="5"/>
    <x v="2"/>
    <s v="82"/>
    <x v="9"/>
    <x v="52"/>
    <x v="25"/>
    <s v="8222"/>
    <e v="#N/A"/>
    <m/>
    <s v="7"/>
    <x v="9"/>
    <s v="70"/>
    <e v="#N/A"/>
    <s v="700"/>
    <e v="#N/A"/>
  </r>
  <r>
    <n v="400"/>
    <n v="825320"/>
    <n v="1"/>
    <s v="1825320.400"/>
    <s v="מוזאון מאנה כץ - אחזקה אספקה וציוד"/>
    <m/>
    <m/>
    <n v="0"/>
    <n v="0"/>
    <n v="32300"/>
    <m/>
    <x v="5"/>
    <x v="2"/>
    <s v="82"/>
    <x v="9"/>
    <x v="53"/>
    <x v="27"/>
    <s v="8253"/>
    <e v="#N/A"/>
    <m/>
    <s v="4"/>
    <x v="11"/>
    <s v="40"/>
    <e v="#N/A"/>
    <s v="400"/>
    <e v="#N/A"/>
  </r>
  <r>
    <n v="500"/>
    <n v="822169"/>
    <n v="1"/>
    <s v="1822169.500"/>
    <s v="פעולות תרבות כלליות ארועים - חד פעמי - אתו&quot;ס"/>
    <m/>
    <m/>
    <n v="0"/>
    <n v="250000"/>
    <n v="0"/>
    <m/>
    <x v="5"/>
    <x v="2"/>
    <s v="82"/>
    <x v="9"/>
    <x v="52"/>
    <x v="25"/>
    <s v="8221"/>
    <e v="#N/A"/>
    <m/>
    <s v="5"/>
    <x v="12"/>
    <s v="50"/>
    <e v="#N/A"/>
    <s v="500"/>
    <e v="#N/A"/>
  </r>
  <r>
    <n v="700"/>
    <n v="822169"/>
    <n v="1"/>
    <s v="1822169.700"/>
    <s v="פעולות תרבות כלליות ארועים - הוצאות לפעולות"/>
    <m/>
    <m/>
    <n v="12591300"/>
    <n v="13655600"/>
    <n v="12233300"/>
    <m/>
    <x v="5"/>
    <x v="2"/>
    <s v="82"/>
    <x v="9"/>
    <x v="52"/>
    <x v="25"/>
    <s v="8221"/>
    <e v="#N/A"/>
    <m/>
    <s v="7"/>
    <x v="9"/>
    <s v="70"/>
    <e v="#N/A"/>
    <s v="700"/>
    <e v="#N/A"/>
  </r>
  <r>
    <n v="700"/>
    <n v="822159"/>
    <n v="1"/>
    <s v="1822159.700"/>
    <s v="ארועים במרכז הקונגרסים לפי חוזה - הוצאות לפעולות"/>
    <m/>
    <m/>
    <n v="1500000"/>
    <n v="1500000"/>
    <n v="1481100"/>
    <m/>
    <x v="5"/>
    <x v="2"/>
    <s v="82"/>
    <x v="9"/>
    <x v="52"/>
    <x v="25"/>
    <s v="8221"/>
    <e v="#N/A"/>
    <m/>
    <s v="7"/>
    <x v="9"/>
    <s v="70"/>
    <e v="#N/A"/>
    <s v="700"/>
    <e v="#N/A"/>
  </r>
  <r>
    <n v="100"/>
    <n v="822252"/>
    <n v="1"/>
    <s v="1822252.100"/>
    <s v="טלויזיה קהילתית - שכר לעובדים קבועים"/>
    <m/>
    <m/>
    <n v="214000"/>
    <n v="212000"/>
    <n v="151200"/>
    <m/>
    <x v="5"/>
    <x v="2"/>
    <s v="82"/>
    <x v="9"/>
    <x v="52"/>
    <x v="25"/>
    <s v="8222"/>
    <e v="#N/A"/>
    <m/>
    <s v="1"/>
    <x v="8"/>
    <s v="10"/>
    <e v="#N/A"/>
    <s v="100"/>
    <e v="#N/A"/>
  </r>
  <r>
    <n v="120"/>
    <n v="822252"/>
    <n v="1"/>
    <s v="1822252.120"/>
    <s v="טלויזיה קהילתית - שעות נוספות"/>
    <m/>
    <m/>
    <n v="0"/>
    <n v="0"/>
    <n v="4100"/>
    <m/>
    <x v="5"/>
    <x v="2"/>
    <s v="82"/>
    <x v="9"/>
    <x v="52"/>
    <x v="25"/>
    <s v="8222"/>
    <e v="#N/A"/>
    <m/>
    <s v="1"/>
    <x v="8"/>
    <s v="12"/>
    <s v="תוספות שאינן נכללות בשכר הקובע"/>
    <s v="120"/>
    <e v="#N/A"/>
  </r>
  <r>
    <n v="700"/>
    <n v="822200"/>
    <n v="1"/>
    <s v="1822200.700"/>
    <s v="מכינות קדם צבאיות - הוצאות לפעולות"/>
    <m/>
    <m/>
    <n v="402200"/>
    <n v="414000"/>
    <n v="0"/>
    <m/>
    <x v="5"/>
    <x v="2"/>
    <s v="82"/>
    <x v="9"/>
    <x v="52"/>
    <x v="25"/>
    <s v="8222"/>
    <e v="#N/A"/>
    <m/>
    <s v="7"/>
    <x v="9"/>
    <s v="70"/>
    <e v="#N/A"/>
    <s v="700"/>
    <e v="#N/A"/>
  </r>
  <r>
    <n v="100"/>
    <n v="823000"/>
    <n v="1"/>
    <s v="1823000.100"/>
    <s v="ספריות - שכר לעובדים קבועים"/>
    <m/>
    <m/>
    <n v="7116900"/>
    <n v="7038900"/>
    <n v="7485400"/>
    <m/>
    <x v="5"/>
    <x v="2"/>
    <s v="82"/>
    <x v="9"/>
    <x v="54"/>
    <x v="23"/>
    <s v="8230"/>
    <e v="#N/A"/>
    <m/>
    <s v="1"/>
    <x v="8"/>
    <s v="10"/>
    <e v="#N/A"/>
    <s v="100"/>
    <e v="#N/A"/>
  </r>
  <r>
    <n v="120"/>
    <n v="823000"/>
    <n v="1"/>
    <s v="1823000.120"/>
    <s v="ספריות - שעות נוספות"/>
    <m/>
    <m/>
    <n v="26100"/>
    <n v="26100"/>
    <n v="37700"/>
    <m/>
    <x v="5"/>
    <x v="2"/>
    <s v="82"/>
    <x v="9"/>
    <x v="54"/>
    <x v="23"/>
    <s v="8230"/>
    <e v="#N/A"/>
    <m/>
    <s v="1"/>
    <x v="8"/>
    <s v="12"/>
    <s v="תוספות שאינן נכללות בשכר הקובע"/>
    <s v="120"/>
    <e v="#N/A"/>
  </r>
  <r>
    <n v="400"/>
    <n v="823000"/>
    <n v="1"/>
    <s v="1823000.400"/>
    <s v="ספריות - אחזקה אספקה וציוד"/>
    <m/>
    <m/>
    <n v="300000"/>
    <n v="319700"/>
    <n v="354200"/>
    <m/>
    <x v="5"/>
    <x v="2"/>
    <s v="82"/>
    <x v="9"/>
    <x v="54"/>
    <x v="23"/>
    <s v="8230"/>
    <e v="#N/A"/>
    <m/>
    <s v="4"/>
    <x v="11"/>
    <s v="40"/>
    <e v="#N/A"/>
    <s v="400"/>
    <e v="#N/A"/>
  </r>
  <r>
    <n v="500"/>
    <n v="823000"/>
    <n v="1"/>
    <s v="1823000.500"/>
    <s v="ספריות - תחבורה ודואר"/>
    <m/>
    <m/>
    <n v="161000"/>
    <n v="162000"/>
    <n v="165700"/>
    <m/>
    <x v="5"/>
    <x v="2"/>
    <s v="82"/>
    <x v="9"/>
    <x v="54"/>
    <x v="23"/>
    <s v="8230"/>
    <e v="#N/A"/>
    <m/>
    <s v="5"/>
    <x v="12"/>
    <s v="50"/>
    <e v="#N/A"/>
    <s v="500"/>
    <e v="#N/A"/>
  </r>
  <r>
    <n v="500"/>
    <n v="823000"/>
    <n v="1"/>
    <s v="1823000.500"/>
    <s v="ספריות - הוצאות כלליות"/>
    <m/>
    <m/>
    <n v="63000"/>
    <n v="63000"/>
    <n v="56200"/>
    <m/>
    <x v="5"/>
    <x v="2"/>
    <s v="82"/>
    <x v="9"/>
    <x v="54"/>
    <x v="23"/>
    <s v="8230"/>
    <e v="#N/A"/>
    <m/>
    <s v="5"/>
    <x v="12"/>
    <s v="50"/>
    <e v="#N/A"/>
    <s v="500"/>
    <e v="#N/A"/>
  </r>
  <r>
    <n v="700"/>
    <n v="823000"/>
    <n v="1"/>
    <s v="1823000.700"/>
    <s v="ספריות - הוצאות לפעולות"/>
    <m/>
    <m/>
    <n v="963100"/>
    <n v="986100"/>
    <n v="2636900"/>
    <m/>
    <x v="5"/>
    <x v="2"/>
    <s v="82"/>
    <x v="9"/>
    <x v="54"/>
    <x v="23"/>
    <s v="8230"/>
    <e v="#N/A"/>
    <m/>
    <s v="7"/>
    <x v="9"/>
    <s v="70"/>
    <e v="#N/A"/>
    <s v="700"/>
    <e v="#N/A"/>
  </r>
  <r>
    <n v="700"/>
    <n v="829500"/>
    <n v="1"/>
    <s v="1829500.700"/>
    <s v="קייטנות - הוצאות לפעולות"/>
    <m/>
    <m/>
    <n v="388600"/>
    <n v="400000"/>
    <n v="0"/>
    <m/>
    <x v="5"/>
    <x v="2"/>
    <s v="82"/>
    <x v="9"/>
    <x v="55"/>
    <x v="29"/>
    <s v="8295"/>
    <e v="#N/A"/>
    <m/>
    <s v="7"/>
    <x v="9"/>
    <s v="70"/>
    <e v="#N/A"/>
    <s v="700"/>
    <e v="#N/A"/>
  </r>
  <r>
    <n v="200"/>
    <n v="821140"/>
    <n v="1"/>
    <s v="1821140.200"/>
    <s v="תוכנית אב לנוער - שכר לעובדים ארעיים"/>
    <m/>
    <m/>
    <n v="1236500"/>
    <n v="1350000"/>
    <n v="1282700"/>
    <m/>
    <x v="5"/>
    <x v="2"/>
    <s v="82"/>
    <x v="9"/>
    <x v="51"/>
    <x v="24"/>
    <s v="8211"/>
    <e v="#N/A"/>
    <m/>
    <s v="2"/>
    <x v="10"/>
    <s v="20"/>
    <e v="#N/A"/>
    <s v="200"/>
    <e v="#N/A"/>
  </r>
  <r>
    <n v="120"/>
    <n v="821140"/>
    <n v="1"/>
    <s v="1821140.120"/>
    <s v="תוכנית אב לנוער - שעות נוספות"/>
    <m/>
    <m/>
    <n v="63500"/>
    <n v="63500"/>
    <n v="54600"/>
    <m/>
    <x v="5"/>
    <x v="2"/>
    <s v="82"/>
    <x v="9"/>
    <x v="51"/>
    <x v="24"/>
    <s v="8211"/>
    <e v="#N/A"/>
    <m/>
    <s v="1"/>
    <x v="8"/>
    <s v="12"/>
    <s v="תוספות שאינן נכללות בשכר הקובע"/>
    <s v="120"/>
    <e v="#N/A"/>
  </r>
  <r>
    <n v="700"/>
    <n v="821140"/>
    <n v="1"/>
    <s v="1821140.700"/>
    <s v="תוכנית אב לנוער - הוצאות לפעולות"/>
    <m/>
    <m/>
    <n v="194300"/>
    <n v="200000"/>
    <n v="194000"/>
    <m/>
    <x v="5"/>
    <x v="2"/>
    <s v="82"/>
    <x v="9"/>
    <x v="51"/>
    <x v="24"/>
    <s v="8211"/>
    <e v="#N/A"/>
    <m/>
    <s v="7"/>
    <x v="9"/>
    <s v="70"/>
    <e v="#N/A"/>
    <s v="700"/>
    <e v="#N/A"/>
  </r>
  <r>
    <n v="100"/>
    <n v="821303"/>
    <n v="1"/>
    <s v="1821303.100"/>
    <s v="בית מילר - שכר לעובדים קבועים"/>
    <m/>
    <m/>
    <n v="569600"/>
    <n v="563600"/>
    <n v="514900"/>
    <m/>
    <x v="5"/>
    <x v="2"/>
    <s v="82"/>
    <x v="9"/>
    <x v="51"/>
    <x v="24"/>
    <s v="8213"/>
    <e v="#N/A"/>
    <m/>
    <s v="1"/>
    <x v="8"/>
    <s v="10"/>
    <e v="#N/A"/>
    <s v="100"/>
    <e v="#N/A"/>
  </r>
  <r>
    <n v="120"/>
    <n v="821303"/>
    <n v="1"/>
    <s v="1821303.120"/>
    <s v="בית מילר - שעות נוספות"/>
    <m/>
    <m/>
    <n v="7400"/>
    <n v="7400"/>
    <n v="600"/>
    <m/>
    <x v="5"/>
    <x v="2"/>
    <s v="82"/>
    <x v="9"/>
    <x v="51"/>
    <x v="24"/>
    <s v="8213"/>
    <e v="#N/A"/>
    <m/>
    <s v="1"/>
    <x v="8"/>
    <s v="12"/>
    <s v="תוספות שאינן נכללות בשכר הקובע"/>
    <s v="120"/>
    <e v="#N/A"/>
  </r>
  <r>
    <n v="400"/>
    <n v="821303"/>
    <n v="1"/>
    <s v="1821303.400"/>
    <s v="בית מילר - אחזקה אספקה וציוד"/>
    <m/>
    <m/>
    <n v="15500"/>
    <n v="15500"/>
    <n v="12800"/>
    <m/>
    <x v="5"/>
    <x v="2"/>
    <s v="82"/>
    <x v="9"/>
    <x v="51"/>
    <x v="24"/>
    <s v="8213"/>
    <e v="#N/A"/>
    <m/>
    <s v="4"/>
    <x v="11"/>
    <s v="40"/>
    <e v="#N/A"/>
    <s v="400"/>
    <e v="#N/A"/>
  </r>
  <r>
    <n v="500"/>
    <n v="821303"/>
    <n v="1"/>
    <s v="1821303.500"/>
    <s v="בית מילר - תחבורה ודואר"/>
    <m/>
    <m/>
    <n v="14100"/>
    <n v="15000"/>
    <n v="19300"/>
    <m/>
    <x v="5"/>
    <x v="2"/>
    <s v="82"/>
    <x v="9"/>
    <x v="51"/>
    <x v="24"/>
    <s v="8213"/>
    <e v="#N/A"/>
    <m/>
    <s v="5"/>
    <x v="12"/>
    <s v="50"/>
    <e v="#N/A"/>
    <s v="500"/>
    <e v="#N/A"/>
  </r>
  <r>
    <n v="700"/>
    <n v="821303"/>
    <n v="1"/>
    <s v="1821303.700"/>
    <s v="בית מילר - הוצאות לפעולות"/>
    <m/>
    <m/>
    <n v="600"/>
    <n v="600"/>
    <n v="100"/>
    <m/>
    <x v="5"/>
    <x v="2"/>
    <s v="82"/>
    <x v="9"/>
    <x v="51"/>
    <x v="24"/>
    <s v="8213"/>
    <e v="#N/A"/>
    <m/>
    <s v="7"/>
    <x v="9"/>
    <s v="70"/>
    <e v="#N/A"/>
    <s v="700"/>
    <e v="#N/A"/>
  </r>
  <r>
    <n v="100"/>
    <n v="821607"/>
    <n v="1"/>
    <s v="1821607.100"/>
    <s v="מועדוני נוער - שכר לעובדים קבועים"/>
    <m/>
    <m/>
    <n v="2155000"/>
    <n v="2130000"/>
    <n v="2594200"/>
    <m/>
    <x v="5"/>
    <x v="2"/>
    <s v="82"/>
    <x v="9"/>
    <x v="51"/>
    <x v="24"/>
    <s v="8216"/>
    <e v="#N/A"/>
    <m/>
    <s v="1"/>
    <x v="8"/>
    <s v="10"/>
    <e v="#N/A"/>
    <s v="100"/>
    <e v="#N/A"/>
  </r>
  <r>
    <n v="120"/>
    <n v="821607"/>
    <n v="1"/>
    <s v="1821607.120"/>
    <s v="מועדוני נוער - שעות נוספות"/>
    <m/>
    <m/>
    <n v="118000"/>
    <n v="118000"/>
    <n v="120700"/>
    <m/>
    <x v="5"/>
    <x v="2"/>
    <s v="82"/>
    <x v="9"/>
    <x v="51"/>
    <x v="24"/>
    <s v="8216"/>
    <e v="#N/A"/>
    <m/>
    <s v="1"/>
    <x v="8"/>
    <s v="12"/>
    <s v="תוספות שאינן נכללות בשכר הקובע"/>
    <s v="120"/>
    <e v="#N/A"/>
  </r>
  <r>
    <n v="400"/>
    <n v="821607"/>
    <n v="1"/>
    <s v="1821607.400"/>
    <s v="מועדוני נוער - אחזקה אספקה וציוד"/>
    <m/>
    <m/>
    <n v="50000"/>
    <n v="50000"/>
    <n v="107000"/>
    <m/>
    <x v="5"/>
    <x v="2"/>
    <s v="82"/>
    <x v="9"/>
    <x v="51"/>
    <x v="24"/>
    <s v="8216"/>
    <e v="#N/A"/>
    <m/>
    <s v="4"/>
    <x v="11"/>
    <s v="40"/>
    <e v="#N/A"/>
    <s v="400"/>
    <e v="#N/A"/>
  </r>
  <r>
    <n v="500"/>
    <n v="821607"/>
    <n v="1"/>
    <s v="1821607.500"/>
    <s v="מועדוני נוער - תחבורה ודואר"/>
    <m/>
    <m/>
    <n v="20200"/>
    <n v="25000"/>
    <n v="19300"/>
    <m/>
    <x v="5"/>
    <x v="2"/>
    <s v="82"/>
    <x v="9"/>
    <x v="51"/>
    <x v="24"/>
    <s v="8216"/>
    <e v="#N/A"/>
    <m/>
    <s v="5"/>
    <x v="12"/>
    <s v="50"/>
    <e v="#N/A"/>
    <s v="500"/>
    <e v="#N/A"/>
  </r>
  <r>
    <n v="500"/>
    <n v="821607"/>
    <n v="1"/>
    <s v="1821607.500"/>
    <s v="מועדוני נוער - הוצאות כלליות"/>
    <m/>
    <m/>
    <n v="9800"/>
    <n v="13800"/>
    <n v="17200"/>
    <m/>
    <x v="5"/>
    <x v="2"/>
    <s v="82"/>
    <x v="9"/>
    <x v="51"/>
    <x v="24"/>
    <s v="8216"/>
    <e v="#N/A"/>
    <m/>
    <s v="5"/>
    <x v="12"/>
    <s v="50"/>
    <e v="#N/A"/>
    <s v="500"/>
    <e v="#N/A"/>
  </r>
  <r>
    <n v="700"/>
    <n v="821607"/>
    <n v="1"/>
    <s v="1821607.700"/>
    <s v="מועדוני נוער - הוצאות לפעולות"/>
    <m/>
    <m/>
    <n v="559600"/>
    <n v="569600"/>
    <n v="572800"/>
    <m/>
    <x v="5"/>
    <x v="2"/>
    <s v="82"/>
    <x v="9"/>
    <x v="51"/>
    <x v="24"/>
    <s v="8216"/>
    <e v="#N/A"/>
    <m/>
    <s v="7"/>
    <x v="9"/>
    <s v="70"/>
    <e v="#N/A"/>
    <s v="700"/>
    <e v="#N/A"/>
  </r>
  <r>
    <n v="700"/>
    <n v="824300"/>
    <n v="1"/>
    <s v="1824300.700"/>
    <s v="מועדון קהילתי עבאס - הוצאות לפעולות"/>
    <m/>
    <m/>
    <n v="242900"/>
    <n v="250000"/>
    <n v="160900"/>
    <m/>
    <x v="5"/>
    <x v="2"/>
    <s v="82"/>
    <x v="9"/>
    <x v="56"/>
    <x v="30"/>
    <s v="8243"/>
    <e v="#N/A"/>
    <m/>
    <s v="7"/>
    <x v="9"/>
    <s v="70"/>
    <e v="#N/A"/>
    <s v="700"/>
    <e v="#N/A"/>
  </r>
  <r>
    <n v="200"/>
    <n v="827000"/>
    <n v="1"/>
    <s v="1827000.200"/>
    <s v="תחום תרבות משתלמים - שכר לעובדים ארעיים"/>
    <m/>
    <m/>
    <n v="983100"/>
    <n v="983100"/>
    <n v="1168800"/>
    <m/>
    <x v="5"/>
    <x v="2"/>
    <s v="82"/>
    <x v="9"/>
    <x v="57"/>
    <x v="22"/>
    <s v="8270"/>
    <e v="#N/A"/>
    <m/>
    <s v="2"/>
    <x v="10"/>
    <s v="20"/>
    <e v="#N/A"/>
    <s v="200"/>
    <e v="#N/A"/>
  </r>
  <r>
    <n v="120"/>
    <n v="827000"/>
    <n v="1"/>
    <s v="1827000.120"/>
    <s v="תחום תרבות משתלמים - שעות נוספות"/>
    <m/>
    <m/>
    <n v="71900"/>
    <n v="71900"/>
    <n v="81800"/>
    <m/>
    <x v="5"/>
    <x v="2"/>
    <s v="82"/>
    <x v="9"/>
    <x v="57"/>
    <x v="22"/>
    <s v="8270"/>
    <e v="#N/A"/>
    <m/>
    <s v="1"/>
    <x v="8"/>
    <s v="12"/>
    <s v="תוספות שאינן נכללות בשכר הקובע"/>
    <s v="120"/>
    <e v="#N/A"/>
  </r>
  <r>
    <n v="400"/>
    <n v="827000"/>
    <n v="1"/>
    <s v="1827000.400"/>
    <s v="משתלמים - אחזקה אספקה וציוד"/>
    <m/>
    <m/>
    <n v="140000"/>
    <n v="140000"/>
    <n v="96000"/>
    <m/>
    <x v="5"/>
    <x v="2"/>
    <s v="82"/>
    <x v="9"/>
    <x v="57"/>
    <x v="22"/>
    <s v="8270"/>
    <e v="#N/A"/>
    <m/>
    <s v="4"/>
    <x v="11"/>
    <s v="40"/>
    <e v="#N/A"/>
    <s v="400"/>
    <e v="#N/A"/>
  </r>
  <r>
    <n v="500"/>
    <n v="827000"/>
    <n v="1"/>
    <s v="1827000.500"/>
    <s v="משתלמים - הוצאות כלליות"/>
    <m/>
    <m/>
    <n v="281000"/>
    <n v="281000"/>
    <n v="264800"/>
    <m/>
    <x v="5"/>
    <x v="2"/>
    <s v="82"/>
    <x v="9"/>
    <x v="57"/>
    <x v="22"/>
    <s v="8270"/>
    <e v="#N/A"/>
    <m/>
    <s v="5"/>
    <x v="12"/>
    <s v="50"/>
    <e v="#N/A"/>
    <s v="500"/>
    <e v="#N/A"/>
  </r>
  <r>
    <n v="700"/>
    <n v="827000"/>
    <n v="1"/>
    <s v="1827000.700"/>
    <s v="תחום תרבות משתלמים - הוצאות לפעולות"/>
    <m/>
    <m/>
    <n v="5552000"/>
    <n v="5606000"/>
    <n v="3126800"/>
    <m/>
    <x v="5"/>
    <x v="2"/>
    <s v="82"/>
    <x v="9"/>
    <x v="57"/>
    <x v="22"/>
    <s v="8270"/>
    <e v="#N/A"/>
    <m/>
    <s v="7"/>
    <x v="9"/>
    <s v="70"/>
    <e v="#N/A"/>
    <s v="700"/>
    <e v="#N/A"/>
  </r>
  <r>
    <n v="100"/>
    <n v="821100"/>
    <n v="1"/>
    <s v="1821100.100"/>
    <s v="המחלקה למרכזים קהילתיים - שכר לעובדים קבועים"/>
    <m/>
    <m/>
    <n v="84300"/>
    <n v="82300"/>
    <n v="247900"/>
    <m/>
    <x v="5"/>
    <x v="2"/>
    <s v="82"/>
    <x v="9"/>
    <x v="51"/>
    <x v="24"/>
    <s v="8211"/>
    <e v="#N/A"/>
    <m/>
    <s v="1"/>
    <x v="8"/>
    <s v="10"/>
    <e v="#N/A"/>
    <s v="100"/>
    <e v="#N/A"/>
  </r>
  <r>
    <n v="120"/>
    <n v="821100"/>
    <n v="1"/>
    <s v="1821100.120"/>
    <s v="המחלקה למרכזים קהילתיים - שעות נוספות"/>
    <m/>
    <m/>
    <n v="119700"/>
    <n v="119700"/>
    <n v="114200"/>
    <m/>
    <x v="5"/>
    <x v="2"/>
    <s v="82"/>
    <x v="9"/>
    <x v="51"/>
    <x v="24"/>
    <s v="8211"/>
    <e v="#N/A"/>
    <m/>
    <s v="1"/>
    <x v="8"/>
    <s v="12"/>
    <s v="תוספות שאינן נכללות בשכר הקובע"/>
    <s v="120"/>
    <e v="#N/A"/>
  </r>
  <r>
    <n v="400"/>
    <n v="821100"/>
    <n v="1"/>
    <s v="1821100.400"/>
    <s v="המחלקה למרכזים קהילתיים - אחזקה אספקה וציוד"/>
    <m/>
    <m/>
    <n v="2000"/>
    <n v="2000"/>
    <n v="800"/>
    <m/>
    <x v="5"/>
    <x v="2"/>
    <s v="82"/>
    <x v="9"/>
    <x v="51"/>
    <x v="24"/>
    <s v="8211"/>
    <e v="#N/A"/>
    <m/>
    <s v="4"/>
    <x v="11"/>
    <s v="40"/>
    <e v="#N/A"/>
    <s v="400"/>
    <e v="#N/A"/>
  </r>
  <r>
    <n v="700"/>
    <n v="821100"/>
    <n v="1"/>
    <s v="1821100.700"/>
    <s v="המחלקה למרכזים קהילתיים - הוצאות לפעולות"/>
    <m/>
    <m/>
    <n v="61400"/>
    <n v="63300"/>
    <n v="92800"/>
    <m/>
    <x v="5"/>
    <x v="2"/>
    <s v="82"/>
    <x v="9"/>
    <x v="51"/>
    <x v="24"/>
    <s v="8211"/>
    <e v="#N/A"/>
    <m/>
    <s v="7"/>
    <x v="9"/>
    <s v="70"/>
    <e v="#N/A"/>
    <s v="700"/>
    <e v="#N/A"/>
  </r>
  <r>
    <n v="100"/>
    <n v="821604"/>
    <n v="1"/>
    <s v="1821604.100"/>
    <s v="מרכז בת גלים - שכר לעובדים קבועים"/>
    <m/>
    <m/>
    <n v="810600"/>
    <n v="801600"/>
    <n v="852700"/>
    <m/>
    <x v="5"/>
    <x v="2"/>
    <s v="82"/>
    <x v="9"/>
    <x v="51"/>
    <x v="24"/>
    <s v="8216"/>
    <e v="#N/A"/>
    <m/>
    <s v="1"/>
    <x v="8"/>
    <s v="10"/>
    <e v="#N/A"/>
    <s v="100"/>
    <e v="#N/A"/>
  </r>
  <r>
    <n v="120"/>
    <n v="821604"/>
    <n v="1"/>
    <s v="1821604.120"/>
    <s v="מרכז בת גלים - שעות נוספות"/>
    <m/>
    <m/>
    <n v="51400"/>
    <n v="51400"/>
    <n v="77400"/>
    <m/>
    <x v="5"/>
    <x v="2"/>
    <s v="82"/>
    <x v="9"/>
    <x v="51"/>
    <x v="24"/>
    <s v="8216"/>
    <e v="#N/A"/>
    <m/>
    <s v="1"/>
    <x v="8"/>
    <s v="12"/>
    <s v="תוספות שאינן נכללות בשכר הקובע"/>
    <s v="120"/>
    <e v="#N/A"/>
  </r>
  <r>
    <n v="400"/>
    <n v="821604"/>
    <n v="1"/>
    <s v="1821604.400"/>
    <s v="מרכז בת גלים - אחזקה אספקה וציוד"/>
    <m/>
    <m/>
    <n v="38000"/>
    <n v="39900"/>
    <n v="53800"/>
    <m/>
    <x v="5"/>
    <x v="2"/>
    <s v="82"/>
    <x v="9"/>
    <x v="51"/>
    <x v="24"/>
    <s v="8216"/>
    <e v="#N/A"/>
    <m/>
    <s v="4"/>
    <x v="11"/>
    <s v="40"/>
    <e v="#N/A"/>
    <s v="400"/>
    <e v="#N/A"/>
  </r>
  <r>
    <n v="500"/>
    <n v="821604"/>
    <n v="1"/>
    <s v="1821604.500"/>
    <s v="מרכז בת גלים - תחבורה ודואר"/>
    <m/>
    <m/>
    <n v="11300"/>
    <n v="11300"/>
    <n v="13600"/>
    <m/>
    <x v="5"/>
    <x v="2"/>
    <s v="82"/>
    <x v="9"/>
    <x v="51"/>
    <x v="24"/>
    <s v="8216"/>
    <e v="#N/A"/>
    <m/>
    <s v="5"/>
    <x v="12"/>
    <s v="50"/>
    <e v="#N/A"/>
    <s v="500"/>
    <e v="#N/A"/>
  </r>
  <r>
    <n v="700"/>
    <n v="821604"/>
    <n v="1"/>
    <s v="1821604.700"/>
    <s v="מרכז בת גלים - הוצאות לפעולות"/>
    <m/>
    <m/>
    <n v="47800"/>
    <n v="48800"/>
    <n v="27400"/>
    <m/>
    <x v="5"/>
    <x v="2"/>
    <s v="82"/>
    <x v="9"/>
    <x v="51"/>
    <x v="24"/>
    <s v="8216"/>
    <e v="#N/A"/>
    <m/>
    <s v="7"/>
    <x v="9"/>
    <s v="70"/>
    <e v="#N/A"/>
    <s v="700"/>
    <e v="#N/A"/>
  </r>
  <r>
    <n v="100"/>
    <n v="824370"/>
    <n v="1"/>
    <s v="1824370.100"/>
    <s v="בית פאני קפלן - שכר לעובדים קבועים"/>
    <m/>
    <m/>
    <n v="748200"/>
    <n v="740200"/>
    <n v="10227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70"/>
    <n v="1"/>
    <s v="1824370.120"/>
    <s v="בית פאני קפלן - שעות נוספות"/>
    <m/>
    <m/>
    <n v="20800"/>
    <n v="20800"/>
    <n v="317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70"/>
    <n v="1"/>
    <s v="1824370.400"/>
    <s v="בית פאני קפלן - אחזקה אספקה וציוד"/>
    <m/>
    <m/>
    <n v="46700"/>
    <n v="46700"/>
    <n v="52500"/>
    <m/>
    <x v="5"/>
    <x v="2"/>
    <s v="82"/>
    <x v="9"/>
    <x v="56"/>
    <x v="30"/>
    <s v="8243"/>
    <e v="#N/A"/>
    <m/>
    <s v="4"/>
    <x v="11"/>
    <s v="40"/>
    <e v="#N/A"/>
    <s v="400"/>
    <e v="#N/A"/>
  </r>
  <r>
    <n v="500"/>
    <n v="824370"/>
    <n v="1"/>
    <s v="1824370.500"/>
    <s v="בית פאני קפלן - תחבורה ודואר"/>
    <m/>
    <m/>
    <n v="18000"/>
    <n v="18000"/>
    <n v="14300"/>
    <m/>
    <x v="5"/>
    <x v="2"/>
    <s v="82"/>
    <x v="9"/>
    <x v="56"/>
    <x v="30"/>
    <s v="8243"/>
    <e v="#N/A"/>
    <m/>
    <s v="5"/>
    <x v="12"/>
    <s v="50"/>
    <e v="#N/A"/>
    <s v="500"/>
    <e v="#N/A"/>
  </r>
  <r>
    <n v="500"/>
    <n v="824370"/>
    <n v="1"/>
    <s v="1824370.500"/>
    <s v="בית פאני קפלן - הוצאות כלליות"/>
    <m/>
    <m/>
    <n v="26200"/>
    <n v="26200"/>
    <n v="19500"/>
    <m/>
    <x v="5"/>
    <x v="2"/>
    <s v="82"/>
    <x v="9"/>
    <x v="56"/>
    <x v="30"/>
    <s v="8243"/>
    <e v="#N/A"/>
    <m/>
    <s v="5"/>
    <x v="12"/>
    <s v="50"/>
    <e v="#N/A"/>
    <s v="500"/>
    <e v="#N/A"/>
  </r>
  <r>
    <n v="700"/>
    <n v="824370"/>
    <n v="1"/>
    <s v="1824370.700"/>
    <s v="בית פאני קפלן - הוצאות לפעולות"/>
    <m/>
    <m/>
    <n v="77000"/>
    <n v="81900"/>
    <n v="78900"/>
    <m/>
    <x v="5"/>
    <x v="2"/>
    <s v="82"/>
    <x v="9"/>
    <x v="56"/>
    <x v="30"/>
    <s v="8243"/>
    <e v="#N/A"/>
    <m/>
    <s v="7"/>
    <x v="9"/>
    <s v="70"/>
    <e v="#N/A"/>
    <s v="700"/>
    <e v="#N/A"/>
  </r>
  <r>
    <n v="100"/>
    <n v="824392"/>
    <n v="1"/>
    <s v="1824392.100"/>
    <s v="מרכז נוה דוד - שכר לעובדים קבועים"/>
    <m/>
    <m/>
    <n v="244000"/>
    <n v="241000"/>
    <n v="1942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2"/>
    <n v="1"/>
    <s v="1824392.120"/>
    <s v="מרכז נוה דוד - שעות נוספות"/>
    <m/>
    <m/>
    <n v="2000"/>
    <n v="2000"/>
    <n v="63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2"/>
    <n v="1"/>
    <s v="1824392.800"/>
    <s v="מרכז נוה דוד - השתתפויות תמיכות ותרומות"/>
    <m/>
    <m/>
    <n v="947200"/>
    <n v="975000"/>
    <n v="975000"/>
    <m/>
    <x v="5"/>
    <x v="2"/>
    <s v="82"/>
    <x v="9"/>
    <x v="56"/>
    <x v="30"/>
    <s v="8243"/>
    <e v="#N/A"/>
    <m/>
    <s v="8"/>
    <x v="13"/>
    <s v="80"/>
    <e v="#N/A"/>
    <s v="800"/>
    <e v="#N/A"/>
  </r>
  <r>
    <n v="800"/>
    <n v="824396"/>
    <n v="1"/>
    <s v="1824396.800"/>
    <s v="מרכז עין הים - השתתפויות תמיכות ותרומות"/>
    <m/>
    <m/>
    <n v="291400"/>
    <n v="300000"/>
    <n v="300000"/>
    <m/>
    <x v="5"/>
    <x v="2"/>
    <s v="82"/>
    <x v="9"/>
    <x v="56"/>
    <x v="30"/>
    <s v="8243"/>
    <e v="#N/A"/>
    <m/>
    <s v="8"/>
    <x v="13"/>
    <s v="80"/>
    <e v="#N/A"/>
    <s v="800"/>
    <e v="#N/A"/>
  </r>
  <r>
    <n v="800"/>
    <n v="824400"/>
    <n v="1"/>
    <s v="1824400.800"/>
    <s v="מרכז קהילתי שפרינצק - השתתפויות תמיכות ותרומות"/>
    <m/>
    <m/>
    <n v="194300"/>
    <n v="200000"/>
    <n v="200000"/>
    <m/>
    <x v="5"/>
    <x v="2"/>
    <s v="82"/>
    <x v="9"/>
    <x v="56"/>
    <x v="30"/>
    <s v="8244"/>
    <e v="#N/A"/>
    <m/>
    <s v="8"/>
    <x v="13"/>
    <s v="80"/>
    <e v="#N/A"/>
    <s v="800"/>
    <e v="#N/A"/>
  </r>
  <r>
    <n v="700"/>
    <n v="824500"/>
    <n v="1"/>
    <s v="1824500.700"/>
    <s v="מרכז קהילתי ק. אליעזר - הוצאות לפעולות"/>
    <m/>
    <m/>
    <n v="90300"/>
    <n v="93000"/>
    <n v="77900"/>
    <m/>
    <x v="5"/>
    <x v="2"/>
    <s v="82"/>
    <x v="9"/>
    <x v="56"/>
    <x v="30"/>
    <s v="8245"/>
    <e v="#N/A"/>
    <m/>
    <s v="7"/>
    <x v="9"/>
    <s v="70"/>
    <e v="#N/A"/>
    <s v="700"/>
    <e v="#N/A"/>
  </r>
  <r>
    <n v="700"/>
    <n v="824100"/>
    <n v="1"/>
    <s v="1824100.700"/>
    <s v="מרכז קהילתי שער העליה - הוצאות לפעולות"/>
    <m/>
    <m/>
    <n v="48600"/>
    <n v="50000"/>
    <n v="33900"/>
    <m/>
    <x v="5"/>
    <x v="2"/>
    <s v="82"/>
    <x v="9"/>
    <x v="56"/>
    <x v="30"/>
    <s v="8241"/>
    <e v="#N/A"/>
    <m/>
    <s v="7"/>
    <x v="9"/>
    <s v="70"/>
    <e v="#N/A"/>
    <s v="700"/>
    <e v="#N/A"/>
  </r>
  <r>
    <n v="700"/>
    <n v="821705"/>
    <n v="1"/>
    <s v="1821705.700"/>
    <s v="מרכז רמות - הוצאות לפעולות"/>
    <m/>
    <m/>
    <n v="777200"/>
    <n v="900000"/>
    <n v="800000"/>
    <m/>
    <x v="5"/>
    <x v="2"/>
    <s v="82"/>
    <x v="9"/>
    <x v="51"/>
    <x v="24"/>
    <s v="8217"/>
    <e v="#N/A"/>
    <m/>
    <s v="7"/>
    <x v="9"/>
    <s v="70"/>
    <e v="#N/A"/>
    <s v="700"/>
    <e v="#N/A"/>
  </r>
  <r>
    <n v="100"/>
    <n v="824393"/>
    <n v="1"/>
    <s v="1824393.100"/>
    <s v="בית יד לבנים - שכר לעובדים קבועים"/>
    <m/>
    <m/>
    <n v="885600"/>
    <n v="874600"/>
    <n v="8613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3"/>
    <n v="1"/>
    <s v="1824393.120"/>
    <s v="בית יד לבנים - שעות נוספות"/>
    <m/>
    <m/>
    <n v="91400"/>
    <n v="91400"/>
    <n v="758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3"/>
    <n v="1"/>
    <s v="1824393.400"/>
    <s v="בית יד לבנים - אחזקה אספקה וציוד"/>
    <m/>
    <m/>
    <n v="47000"/>
    <n v="49000"/>
    <n v="82100"/>
    <m/>
    <x v="5"/>
    <x v="2"/>
    <s v="82"/>
    <x v="9"/>
    <x v="56"/>
    <x v="30"/>
    <s v="8243"/>
    <e v="#N/A"/>
    <m/>
    <s v="4"/>
    <x v="11"/>
    <s v="40"/>
    <e v="#N/A"/>
    <s v="400"/>
    <e v="#N/A"/>
  </r>
  <r>
    <n v="500"/>
    <n v="824393"/>
    <n v="1"/>
    <s v="1824393.500"/>
    <s v="בית יד לבנים - תחבורה ודואר"/>
    <m/>
    <m/>
    <n v="6000"/>
    <n v="6000"/>
    <n v="8800"/>
    <m/>
    <x v="5"/>
    <x v="2"/>
    <s v="82"/>
    <x v="9"/>
    <x v="56"/>
    <x v="30"/>
    <s v="8243"/>
    <e v="#N/A"/>
    <m/>
    <s v="5"/>
    <x v="12"/>
    <s v="50"/>
    <e v="#N/A"/>
    <s v="500"/>
    <e v="#N/A"/>
  </r>
  <r>
    <n v="500"/>
    <n v="824393"/>
    <n v="1"/>
    <s v="1824393.500"/>
    <s v="בית יד לבנים - הוצאות כלליות"/>
    <m/>
    <m/>
    <n v="92700"/>
    <n v="95000"/>
    <n v="9800"/>
    <m/>
    <x v="5"/>
    <x v="2"/>
    <s v="82"/>
    <x v="9"/>
    <x v="56"/>
    <x v="30"/>
    <s v="8243"/>
    <e v="#N/A"/>
    <m/>
    <s v="5"/>
    <x v="12"/>
    <s v="50"/>
    <e v="#N/A"/>
    <s v="500"/>
    <e v="#N/A"/>
  </r>
  <r>
    <n v="800"/>
    <n v="824510"/>
    <n v="1"/>
    <s v="1824510.800"/>
    <s v="מרכז קהילתי אחוזה - השתתפויות תמיכות ותרומות"/>
    <m/>
    <m/>
    <n v="194300"/>
    <n v="200000"/>
    <n v="200000"/>
    <m/>
    <x v="5"/>
    <x v="2"/>
    <s v="82"/>
    <x v="9"/>
    <x v="56"/>
    <x v="30"/>
    <s v="8245"/>
    <e v="#N/A"/>
    <m/>
    <s v="8"/>
    <x v="13"/>
    <s v="80"/>
    <e v="#N/A"/>
    <s v="800"/>
    <e v="#N/A"/>
  </r>
  <r>
    <n v="100"/>
    <n v="824540"/>
    <n v="1"/>
    <s v="1824540.100"/>
    <s v="מרכז רמת בגין - שכר לעובדים קבועים"/>
    <m/>
    <m/>
    <n v="136000"/>
    <n v="135000"/>
    <n v="117800"/>
    <m/>
    <x v="5"/>
    <x v="2"/>
    <s v="82"/>
    <x v="9"/>
    <x v="56"/>
    <x v="30"/>
    <s v="8245"/>
    <e v="#N/A"/>
    <m/>
    <s v="1"/>
    <x v="8"/>
    <s v="10"/>
    <e v="#N/A"/>
    <s v="100"/>
    <e v="#N/A"/>
  </r>
  <r>
    <n v="120"/>
    <n v="824540"/>
    <n v="1"/>
    <s v="1824540.120"/>
    <s v="מרכז רמת בגין - שעות נוספות"/>
    <m/>
    <m/>
    <n v="0"/>
    <n v="0"/>
    <n v="7400"/>
    <m/>
    <x v="5"/>
    <x v="2"/>
    <s v="82"/>
    <x v="9"/>
    <x v="56"/>
    <x v="30"/>
    <s v="8245"/>
    <e v="#N/A"/>
    <m/>
    <s v="1"/>
    <x v="8"/>
    <s v="12"/>
    <s v="תוספות שאינן נכללות בשכר הקובע"/>
    <s v="120"/>
    <e v="#N/A"/>
  </r>
  <r>
    <n v="700"/>
    <n v="824540"/>
    <n v="1"/>
    <s v="1824540.700"/>
    <s v="מרכז רמת בגין - הוצאות לפעולות"/>
    <m/>
    <m/>
    <n v="340000"/>
    <n v="350000"/>
    <n v="350000"/>
    <m/>
    <x v="5"/>
    <x v="2"/>
    <s v="82"/>
    <x v="9"/>
    <x v="56"/>
    <x v="30"/>
    <s v="8245"/>
    <e v="#N/A"/>
    <m/>
    <s v="7"/>
    <x v="9"/>
    <s v="70"/>
    <e v="#N/A"/>
    <s v="700"/>
    <e v="#N/A"/>
  </r>
  <r>
    <n v="100"/>
    <n v="824340"/>
    <n v="1"/>
    <s v="1824340.100"/>
    <s v="בית אבא חושי - שכר לעובדים קבועים"/>
    <m/>
    <m/>
    <n v="1163400"/>
    <n v="1149400"/>
    <n v="12461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40"/>
    <n v="1"/>
    <s v="1824340.120"/>
    <s v="בית אבא חושי - שעות נוספות"/>
    <m/>
    <m/>
    <n v="86600"/>
    <n v="86600"/>
    <n v="1046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700"/>
    <n v="824340"/>
    <n v="1"/>
    <s v="1824340.700"/>
    <s v="בית אבא חושי - הוצאות לפעולות"/>
    <m/>
    <m/>
    <n v="213700"/>
    <n v="220000"/>
    <n v="221100"/>
    <m/>
    <x v="5"/>
    <x v="2"/>
    <s v="82"/>
    <x v="9"/>
    <x v="56"/>
    <x v="30"/>
    <s v="8243"/>
    <e v="#N/A"/>
    <m/>
    <s v="7"/>
    <x v="9"/>
    <s v="70"/>
    <e v="#N/A"/>
    <s v="700"/>
    <e v="#N/A"/>
  </r>
  <r>
    <n v="100"/>
    <n v="824380"/>
    <n v="1"/>
    <s v="1824380.100"/>
    <s v="מרכז דתי נו&quot;ש - שכר לעובדים קבועים"/>
    <m/>
    <m/>
    <n v="131700"/>
    <n v="129700"/>
    <n v="3830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80"/>
    <n v="1"/>
    <s v="1824380.120"/>
    <s v="מרכז דתי נו&quot;ש - שעות נוספות"/>
    <m/>
    <m/>
    <n v="36300"/>
    <n v="36300"/>
    <n v="45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80"/>
    <n v="1"/>
    <s v="1824380.800"/>
    <s v="מרכז דתי נו&quot;ש - השתתפויות תמיכות ותרומות"/>
    <m/>
    <m/>
    <n v="384700"/>
    <n v="396000"/>
    <n v="646000"/>
    <m/>
    <x v="5"/>
    <x v="2"/>
    <s v="82"/>
    <x v="9"/>
    <x v="56"/>
    <x v="30"/>
    <s v="8243"/>
    <e v="#N/A"/>
    <m/>
    <s v="8"/>
    <x v="13"/>
    <s v="80"/>
    <e v="#N/A"/>
    <s v="800"/>
    <e v="#N/A"/>
  </r>
  <r>
    <n v="800"/>
    <n v="824381"/>
    <n v="1"/>
    <s v="1824381.800"/>
    <s v="‏‏‏מרכז ללימודי השואה - השתתפויות תמיכות ותרומות"/>
    <m/>
    <m/>
    <n v="247500"/>
    <n v="254800"/>
    <n v="254800"/>
    <m/>
    <x v="5"/>
    <x v="2"/>
    <s v="82"/>
    <x v="9"/>
    <x v="56"/>
    <x v="30"/>
    <s v="8243"/>
    <e v="#N/A"/>
    <m/>
    <s v="8"/>
    <x v="13"/>
    <s v="80"/>
    <e v="#N/A"/>
    <s v="800"/>
    <e v="#N/A"/>
  </r>
  <r>
    <n v="100"/>
    <n v="824391"/>
    <n v="1"/>
    <s v="1824391.100"/>
    <s v="‏מרכז נוה יוסף - שכר לעובדים קבועים"/>
    <m/>
    <m/>
    <n v="521800"/>
    <n v="456800"/>
    <n v="3528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1"/>
    <n v="1"/>
    <s v="1824391.120"/>
    <s v="‏מרכז נוה יוסף - שעות נוספות"/>
    <m/>
    <m/>
    <n v="10200"/>
    <n v="10200"/>
    <n v="10100"/>
    <m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1"/>
    <n v="1"/>
    <s v="1824391.800"/>
    <s v="‏מרכז נוה יוסף - השתתפויות תמיכות ותרומות"/>
    <m/>
    <m/>
    <n v="1466900"/>
    <n v="1510000"/>
    <n v="1960000"/>
    <m/>
    <x v="5"/>
    <x v="2"/>
    <s v="82"/>
    <x v="9"/>
    <x v="56"/>
    <x v="30"/>
    <s v="8243"/>
    <e v="#N/A"/>
    <m/>
    <s v="8"/>
    <x v="13"/>
    <s v="80"/>
    <e v="#N/A"/>
    <s v="800"/>
    <e v="#N/A"/>
  </r>
  <r>
    <n v="700"/>
    <e v="#N/A"/>
    <n v="1"/>
    <e v="#N/A"/>
    <s v="שלוחת מתנ&quot;ס נוה יוסף ‏(חליסה , מגנצה,הבית הירוק והגיבורים) - חד פעמי הוצאות שנים עברו"/>
    <m/>
    <m/>
    <n v="0"/>
    <n v="800000"/>
    <n v="0"/>
    <m/>
    <x v="6"/>
    <x v="5"/>
    <e v="#N/A"/>
    <x v="17"/>
    <x v="58"/>
    <x v="0"/>
    <e v="#N/A"/>
    <e v="#N/A"/>
    <m/>
    <s v="7"/>
    <x v="14"/>
    <s v="70"/>
    <e v="#N/A"/>
    <s v="700"/>
    <e v="#N/A"/>
  </r>
  <r>
    <n v="800"/>
    <e v="#N/A"/>
    <n v="1"/>
    <e v="#N/A"/>
    <s v="שלוחת מתנ&quot;ס נוה יוסף ‏(חליסה , מגנצה,הבית הירוק והגיבורים) - השתתפויות תמיכות ותרומות"/>
    <m/>
    <m/>
    <n v="1165700"/>
    <n v="1200000"/>
    <n v="0"/>
    <m/>
    <x v="6"/>
    <x v="5"/>
    <e v="#N/A"/>
    <x v="17"/>
    <x v="58"/>
    <x v="0"/>
    <e v="#N/A"/>
    <e v="#N/A"/>
    <m/>
    <s v="8"/>
    <x v="14"/>
    <s v="80"/>
    <e v="#N/A"/>
    <s v="800"/>
    <e v="#N/A"/>
  </r>
  <r>
    <n v="700"/>
    <n v="824200"/>
    <n v="1"/>
    <s v="1824200.700"/>
    <s v="מרכז קהילתי חטיבת כרמלי - הוצאות לפעולות"/>
    <m/>
    <m/>
    <n v="97100"/>
    <n v="100000"/>
    <n v="93800"/>
    <m/>
    <x v="5"/>
    <x v="2"/>
    <s v="82"/>
    <x v="9"/>
    <x v="56"/>
    <x v="30"/>
    <s v="8242"/>
    <e v="#N/A"/>
    <m/>
    <s v="7"/>
    <x v="9"/>
    <s v="70"/>
    <e v="#N/A"/>
    <s v="700"/>
    <e v="#N/A"/>
  </r>
  <r>
    <n v="700"/>
    <n v="824320"/>
    <n v="1"/>
    <s v="1824320.700"/>
    <s v="בית הגפן - תקציב חד פעמי"/>
    <m/>
    <m/>
    <n v="0"/>
    <n v="0"/>
    <n v="100000"/>
    <m/>
    <x v="5"/>
    <x v="2"/>
    <s v="82"/>
    <x v="9"/>
    <x v="56"/>
    <x v="30"/>
    <s v="8243"/>
    <e v="#N/A"/>
    <m/>
    <s v="7"/>
    <x v="9"/>
    <s v="70"/>
    <e v="#N/A"/>
    <s v="700"/>
    <e v="#N/A"/>
  </r>
  <r>
    <n v="800"/>
    <n v="824320"/>
    <n v="1"/>
    <s v="1824320.800"/>
    <s v="בית הגפן - השתתפויות תמיכות ותרומות"/>
    <m/>
    <m/>
    <n v="3536700"/>
    <n v="3640700"/>
    <n v="3639400"/>
    <m/>
    <x v="5"/>
    <x v="2"/>
    <s v="82"/>
    <x v="9"/>
    <x v="56"/>
    <x v="30"/>
    <s v="8243"/>
    <e v="#N/A"/>
    <m/>
    <s v="8"/>
    <x v="13"/>
    <s v="80"/>
    <e v="#N/A"/>
    <s v="800"/>
    <e v="#N/A"/>
  </r>
  <r>
    <n v="100"/>
    <n v="824395"/>
    <n v="1"/>
    <s v="1824395.100"/>
    <s v="מרכז הדר ביתנו ‏(כולל מרכז ברח' בית&quot;ר, מרכז ברח' טבריה, שכירות, פרויקט כפר הסטודנטים אתנחתא, גרעין תורני ופיתוח מסחר בהדר) - שכר לעובדים קבועים"/>
    <m/>
    <m/>
    <n v="176500"/>
    <n v="174500"/>
    <n v="1603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5"/>
    <n v="1"/>
    <s v="1824395.120"/>
    <s v="מרכז הדר ביתנו ‏(כולל מרכז ברח' בית&quot;ר, מרכז ברח' טבריה, שכירות, פרויקט כפר הסטודנטים אתנחתא, גרעין תורני ופיתוח מסחר בהדר) - שעות נוספות"/>
    <m/>
    <m/>
    <n v="11500"/>
    <n v="11500"/>
    <n v="16900"/>
    <e v="#N/A"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5"/>
    <n v="1"/>
    <s v="1824395.800"/>
    <s v="מרכז הדר ביתנו ‏(כולל מרכז ברח' בית&quot;ר, מרכז ברח' טבריה, שכירות, פרויקט כפר הסטודנטים אתנחתא, גרעין תורני ופיתוח מסחר בהדר) - השתתפויות תמיכות ותרומות"/>
    <m/>
    <m/>
    <n v="3988600"/>
    <n v="3900000"/>
    <n v="3228800"/>
    <e v="#N/A"/>
    <x v="5"/>
    <x v="2"/>
    <s v="82"/>
    <x v="9"/>
    <x v="56"/>
    <x v="30"/>
    <s v="8243"/>
    <e v="#N/A"/>
    <m/>
    <s v="8"/>
    <x v="13"/>
    <s v="80"/>
    <e v="#N/A"/>
    <s v="800"/>
    <e v="#N/A"/>
  </r>
  <r>
    <n v="100"/>
    <n v="824330"/>
    <n v="1"/>
    <s v="1824330.100"/>
    <s v="בית נגלר - שכר לעובדים קבועים"/>
    <m/>
    <m/>
    <n v="1157000"/>
    <n v="1143000"/>
    <n v="1055500"/>
    <e v="#N/A"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30"/>
    <n v="1"/>
    <s v="1824330.120"/>
    <s v="בית נגלר - שעות נוספות"/>
    <m/>
    <m/>
    <n v="133000"/>
    <n v="133000"/>
    <n v="169000"/>
    <e v="#N/A"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700"/>
    <n v="824330"/>
    <n v="1"/>
    <s v="1824330.700"/>
    <s v="בית נגלר - הוצאות לפעולות"/>
    <m/>
    <m/>
    <n v="213700"/>
    <n v="220000"/>
    <n v="217900"/>
    <e v="#N/A"/>
    <x v="5"/>
    <x v="2"/>
    <s v="82"/>
    <x v="9"/>
    <x v="56"/>
    <x v="30"/>
    <s v="8243"/>
    <e v="#N/A"/>
    <m/>
    <s v="7"/>
    <x v="9"/>
    <s v="70"/>
    <e v="#N/A"/>
    <s v="700"/>
    <e v="#N/A"/>
  </r>
  <r>
    <n v="100"/>
    <n v="824332"/>
    <n v="1"/>
    <s v="1824332.100"/>
    <s v="בית היינה - שכר לעובדים קבועים"/>
    <m/>
    <m/>
    <n v="1147100"/>
    <n v="1133100"/>
    <n v="1025600"/>
    <e v="#N/A"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32"/>
    <n v="1"/>
    <s v="1824332.120"/>
    <s v="בית היינה - שעות נוספות"/>
    <m/>
    <m/>
    <n v="89900"/>
    <n v="89900"/>
    <n v="114800"/>
    <e v="#N/A"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32"/>
    <n v="1"/>
    <s v="1824332.400"/>
    <s v="בית היינה - אחזקה אספקה וציוד"/>
    <m/>
    <m/>
    <n v="68200"/>
    <n v="68200"/>
    <n v="86000"/>
    <e v="#N/A"/>
    <x v="5"/>
    <x v="2"/>
    <s v="82"/>
    <x v="9"/>
    <x v="56"/>
    <x v="30"/>
    <s v="8243"/>
    <e v="#N/A"/>
    <m/>
    <s v="4"/>
    <x v="11"/>
    <s v="40"/>
    <e v="#N/A"/>
    <s v="400"/>
    <e v="#N/A"/>
  </r>
  <r>
    <n v="500"/>
    <n v="824332"/>
    <n v="1"/>
    <s v="1824332.500"/>
    <s v="בית היינה - תחבורה ודואר"/>
    <m/>
    <m/>
    <n v="13400"/>
    <n v="13400"/>
    <n v="13600"/>
    <e v="#N/A"/>
    <x v="5"/>
    <x v="2"/>
    <s v="82"/>
    <x v="9"/>
    <x v="56"/>
    <x v="30"/>
    <s v="8243"/>
    <e v="#N/A"/>
    <m/>
    <s v="5"/>
    <x v="12"/>
    <s v="50"/>
    <e v="#N/A"/>
    <s v="500"/>
    <e v="#N/A"/>
  </r>
  <r>
    <n v="700"/>
    <n v="824332"/>
    <n v="1"/>
    <s v="1824332.700"/>
    <s v="בית היינה - הוצאות לפעולות"/>
    <m/>
    <m/>
    <n v="35000"/>
    <n v="38400"/>
    <n v="38300"/>
    <e v="#N/A"/>
    <x v="5"/>
    <x v="2"/>
    <s v="82"/>
    <x v="9"/>
    <x v="56"/>
    <x v="30"/>
    <s v="8243"/>
    <e v="#N/A"/>
    <m/>
    <s v="7"/>
    <x v="9"/>
    <s v="70"/>
    <e v="#N/A"/>
    <s v="700"/>
    <e v="#N/A"/>
  </r>
  <r>
    <n v="100"/>
    <n v="824520"/>
    <n v="1"/>
    <s v="1824520.100"/>
    <s v="יד לבנים קרית חיים - שכר לעובדים קבועים"/>
    <m/>
    <m/>
    <n v="671000"/>
    <n v="664000"/>
    <n v="624800"/>
    <e v="#N/A"/>
    <x v="5"/>
    <x v="2"/>
    <s v="82"/>
    <x v="9"/>
    <x v="56"/>
    <x v="30"/>
    <s v="8245"/>
    <e v="#N/A"/>
    <m/>
    <s v="1"/>
    <x v="8"/>
    <s v="10"/>
    <e v="#N/A"/>
    <s v="100"/>
    <e v="#N/A"/>
  </r>
  <r>
    <n v="120"/>
    <n v="824520"/>
    <n v="1"/>
    <s v="1824520.120"/>
    <s v="יד לבנים קרית חיים - שעות נוספות"/>
    <m/>
    <m/>
    <n v="0"/>
    <n v="0"/>
    <n v="56600"/>
    <e v="#N/A"/>
    <x v="5"/>
    <x v="2"/>
    <s v="82"/>
    <x v="9"/>
    <x v="56"/>
    <x v="30"/>
    <s v="8245"/>
    <e v="#N/A"/>
    <m/>
    <s v="1"/>
    <x v="8"/>
    <s v="12"/>
    <s v="תוספות שאינן נכללות בשכר הקובע"/>
    <s v="120"/>
    <e v="#N/A"/>
  </r>
  <r>
    <n v="700"/>
    <n v="824520"/>
    <n v="1"/>
    <s v="1824520.700"/>
    <s v="יד לבנים קרית חיים - הוצאות לפעולות"/>
    <m/>
    <m/>
    <n v="97100"/>
    <n v="100000"/>
    <n v="96100"/>
    <e v="#N/A"/>
    <x v="5"/>
    <x v="2"/>
    <s v="82"/>
    <x v="9"/>
    <x v="56"/>
    <x v="30"/>
    <s v="8245"/>
    <e v="#N/A"/>
    <m/>
    <s v="7"/>
    <x v="9"/>
    <s v="70"/>
    <e v="#N/A"/>
    <s v="700"/>
    <e v="#N/A"/>
  </r>
  <r>
    <n v="100"/>
    <n v="824390"/>
    <n v="1"/>
    <s v="1824390.100"/>
    <s v="מרכז ק. שמואל - שכר לעובדים קבועים"/>
    <m/>
    <m/>
    <n v="597500"/>
    <n v="590500"/>
    <n v="510700"/>
    <m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0"/>
    <n v="1"/>
    <s v="1824390.120"/>
    <s v="מרכז ק. שמואל - שעות נוספות"/>
    <m/>
    <m/>
    <n v="46500"/>
    <n v="46500"/>
    <n v="82200"/>
    <e v="#N/A"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0"/>
    <n v="1"/>
    <s v="1824390.400"/>
    <s v="מרכז ק. שמואל - אחזקה אספקה וציוד"/>
    <m/>
    <m/>
    <n v="4000"/>
    <n v="4000"/>
    <n v="5200"/>
    <e v="#N/A"/>
    <x v="5"/>
    <x v="2"/>
    <s v="82"/>
    <x v="9"/>
    <x v="56"/>
    <x v="30"/>
    <s v="8243"/>
    <e v="#N/A"/>
    <m/>
    <s v="4"/>
    <x v="11"/>
    <s v="40"/>
    <e v="#N/A"/>
    <s v="400"/>
    <e v="#N/A"/>
  </r>
  <r>
    <n v="500"/>
    <n v="824390"/>
    <n v="1"/>
    <s v="1824390.500"/>
    <s v="מרכז ק. שמואל - תחבורה ודואר"/>
    <m/>
    <m/>
    <n v="10200"/>
    <n v="10200"/>
    <n v="2500"/>
    <e v="#N/A"/>
    <x v="5"/>
    <x v="2"/>
    <s v="82"/>
    <x v="9"/>
    <x v="56"/>
    <x v="30"/>
    <s v="8243"/>
    <e v="#N/A"/>
    <m/>
    <s v="5"/>
    <x v="12"/>
    <s v="50"/>
    <e v="#N/A"/>
    <s v="500"/>
    <e v="#N/A"/>
  </r>
  <r>
    <n v="500"/>
    <n v="824390"/>
    <n v="1"/>
    <s v="1824390.500"/>
    <s v="מרכז ק. שמואל - הוצאות כלליות"/>
    <m/>
    <m/>
    <n v="104300"/>
    <n v="108600"/>
    <n v="108000"/>
    <e v="#N/A"/>
    <x v="5"/>
    <x v="2"/>
    <s v="82"/>
    <x v="9"/>
    <x v="56"/>
    <x v="30"/>
    <s v="8243"/>
    <e v="#N/A"/>
    <m/>
    <s v="5"/>
    <x v="12"/>
    <s v="50"/>
    <e v="#N/A"/>
    <s v="500"/>
    <e v="#N/A"/>
  </r>
  <r>
    <n v="700"/>
    <n v="824390"/>
    <n v="1"/>
    <s v="1824390.700"/>
    <s v="מרכז ק. שמואל - הוצאות לפעולות"/>
    <m/>
    <m/>
    <n v="27200"/>
    <n v="27200"/>
    <n v="27100"/>
    <e v="#N/A"/>
    <x v="5"/>
    <x v="2"/>
    <s v="82"/>
    <x v="9"/>
    <x v="56"/>
    <x v="30"/>
    <s v="8243"/>
    <e v="#N/A"/>
    <m/>
    <s v="7"/>
    <x v="9"/>
    <s v="70"/>
    <e v="#N/A"/>
    <s v="700"/>
    <e v="#N/A"/>
  </r>
  <r>
    <n v="400"/>
    <n v="824397"/>
    <n v="1"/>
    <s v="1824397.400"/>
    <s v="‏‏מרכז קהילתי ק. שמואל - אחזקה אספקה וציוד"/>
    <m/>
    <m/>
    <n v="55000"/>
    <n v="55000"/>
    <n v="20900"/>
    <e v="#N/A"/>
    <x v="5"/>
    <x v="2"/>
    <s v="82"/>
    <x v="9"/>
    <x v="56"/>
    <x v="30"/>
    <s v="8243"/>
    <e v="#N/A"/>
    <m/>
    <s v="4"/>
    <x v="11"/>
    <s v="40"/>
    <e v="#N/A"/>
    <s v="400"/>
    <e v="#N/A"/>
  </r>
  <r>
    <n v="700"/>
    <n v="824397"/>
    <n v="1"/>
    <s v="1824397.700"/>
    <s v="‏‏מרכז קהילתי ק. שמואל - הוצאות לפעולות"/>
    <m/>
    <m/>
    <n v="187900"/>
    <n v="195000"/>
    <n v="143800"/>
    <e v="#N/A"/>
    <x v="5"/>
    <x v="2"/>
    <s v="82"/>
    <x v="9"/>
    <x v="56"/>
    <x v="30"/>
    <s v="8243"/>
    <e v="#N/A"/>
    <m/>
    <s v="7"/>
    <x v="9"/>
    <s v="70"/>
    <e v="#N/A"/>
    <s v="700"/>
    <e v="#N/A"/>
  </r>
  <r>
    <n v="100"/>
    <n v="824394"/>
    <n v="1"/>
    <s v="1824394.100"/>
    <s v="מרכז נוער ק. שמואל - שכר לעובדים קבועים"/>
    <m/>
    <m/>
    <n v="192700"/>
    <n v="190700"/>
    <n v="157600"/>
    <e v="#N/A"/>
    <x v="5"/>
    <x v="2"/>
    <s v="82"/>
    <x v="9"/>
    <x v="56"/>
    <x v="30"/>
    <s v="8243"/>
    <e v="#N/A"/>
    <m/>
    <s v="1"/>
    <x v="8"/>
    <s v="10"/>
    <e v="#N/A"/>
    <s v="100"/>
    <e v="#N/A"/>
  </r>
  <r>
    <n v="120"/>
    <n v="824394"/>
    <n v="1"/>
    <s v="1824394.120"/>
    <s v="מרכז נוער ק. שמואל - שעות נוספות"/>
    <m/>
    <m/>
    <n v="9300"/>
    <n v="9300"/>
    <n v="9700"/>
    <e v="#N/A"/>
    <x v="5"/>
    <x v="2"/>
    <s v="82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4"/>
    <n v="1"/>
    <s v="1824394.400"/>
    <s v="מרכז נוער ק. שמואל - אחזקה אספקה וציוד"/>
    <m/>
    <m/>
    <n v="11900"/>
    <n v="11900"/>
    <n v="11300"/>
    <e v="#N/A"/>
    <x v="5"/>
    <x v="2"/>
    <s v="82"/>
    <x v="9"/>
    <x v="56"/>
    <x v="30"/>
    <s v="8243"/>
    <e v="#N/A"/>
    <m/>
    <s v="4"/>
    <x v="11"/>
    <s v="40"/>
    <e v="#N/A"/>
    <s v="400"/>
    <e v="#N/A"/>
  </r>
  <r>
    <n v="500"/>
    <n v="824394"/>
    <n v="1"/>
    <s v="1824394.500"/>
    <s v="מרכז נוער ק. שמואל - הוצאות כלליות"/>
    <m/>
    <m/>
    <n v="47100"/>
    <n v="48100"/>
    <n v="46000"/>
    <e v="#N/A"/>
    <x v="5"/>
    <x v="2"/>
    <s v="82"/>
    <x v="9"/>
    <x v="56"/>
    <x v="30"/>
    <s v="8243"/>
    <e v="#N/A"/>
    <m/>
    <s v="5"/>
    <x v="12"/>
    <s v="50"/>
    <e v="#N/A"/>
    <s v="500"/>
    <e v="#N/A"/>
  </r>
  <r>
    <n v="700"/>
    <n v="824394"/>
    <n v="1"/>
    <s v="1824394.700"/>
    <s v="מרכז נוער ק. שמואל - הוצאות לפעולות"/>
    <m/>
    <m/>
    <n v="29500"/>
    <n v="31100"/>
    <n v="19300"/>
    <e v="#N/A"/>
    <x v="5"/>
    <x v="2"/>
    <s v="82"/>
    <x v="9"/>
    <x v="56"/>
    <x v="30"/>
    <s v="8243"/>
    <e v="#N/A"/>
    <m/>
    <s v="7"/>
    <x v="9"/>
    <s v="70"/>
    <e v="#N/A"/>
    <s v="700"/>
    <e v="#N/A"/>
  </r>
  <r>
    <n v="600"/>
    <n v="824394"/>
    <n v="1"/>
    <s v="1824394.600"/>
    <s v="מרכז נוער ק. שמואל - פרעון מלוות"/>
    <m/>
    <m/>
    <m/>
    <n v="0"/>
    <n v="0"/>
    <e v="#N/A"/>
    <x v="5"/>
    <x v="2"/>
    <s v="82"/>
    <x v="9"/>
    <x v="56"/>
    <x v="30"/>
    <s v="8243"/>
    <e v="#N/A"/>
    <m/>
    <s v="6"/>
    <x v="15"/>
    <s v="60"/>
    <e v="#N/A"/>
    <s v="600"/>
    <e v="#N/A"/>
  </r>
  <r>
    <n v="100"/>
    <n v="731110"/>
    <n v="1"/>
    <s v="1731110.100"/>
    <s v="לשכת מהנדס העיר - שכר לעובדים קבועים"/>
    <m/>
    <m/>
    <n v="2607200"/>
    <n v="2400200"/>
    <n v="3082600"/>
    <m/>
    <x v="7"/>
    <x v="1"/>
    <s v="73"/>
    <x v="5"/>
    <x v="59"/>
    <x v="9"/>
    <s v="7311"/>
    <e v="#N/A"/>
    <m/>
    <s v="1"/>
    <x v="8"/>
    <s v="10"/>
    <e v="#N/A"/>
    <s v="100"/>
    <e v="#N/A"/>
  </r>
  <r>
    <n v="120"/>
    <n v="731110"/>
    <n v="1"/>
    <s v="1731110.120"/>
    <s v="לשכת מהנדס העיר - שעות נוספות"/>
    <m/>
    <m/>
    <n v="48800"/>
    <n v="48800"/>
    <n v="37600"/>
    <e v="#N/A"/>
    <x v="7"/>
    <x v="1"/>
    <s v="73"/>
    <x v="5"/>
    <x v="59"/>
    <x v="9"/>
    <s v="7311"/>
    <e v="#N/A"/>
    <m/>
    <s v="1"/>
    <x v="8"/>
    <s v="12"/>
    <s v="תוספות שאינן נכללות בשכר הקובע"/>
    <s v="120"/>
    <e v="#N/A"/>
  </r>
  <r>
    <n v="400"/>
    <n v="731110"/>
    <n v="1"/>
    <s v="1731110.400"/>
    <s v="לשכת מהנדס העיר - אחזקה אספקה וציוד"/>
    <m/>
    <m/>
    <n v="194300"/>
    <n v="206300"/>
    <n v="166200"/>
    <e v="#N/A"/>
    <x v="7"/>
    <x v="1"/>
    <s v="73"/>
    <x v="5"/>
    <x v="59"/>
    <x v="9"/>
    <s v="7311"/>
    <e v="#N/A"/>
    <m/>
    <s v="4"/>
    <x v="11"/>
    <s v="40"/>
    <e v="#N/A"/>
    <s v="400"/>
    <e v="#N/A"/>
  </r>
  <r>
    <n v="500"/>
    <n v="731110"/>
    <n v="1"/>
    <s v="1731110.500"/>
    <s v="לשכת מהנדס העיר - תחבורה ודואר"/>
    <m/>
    <m/>
    <n v="160900"/>
    <n v="164200"/>
    <n v="141400"/>
    <e v="#N/A"/>
    <x v="7"/>
    <x v="1"/>
    <s v="73"/>
    <x v="5"/>
    <x v="59"/>
    <x v="9"/>
    <s v="7311"/>
    <e v="#N/A"/>
    <m/>
    <s v="5"/>
    <x v="12"/>
    <s v="50"/>
    <e v="#N/A"/>
    <s v="500"/>
    <e v="#N/A"/>
  </r>
  <r>
    <n v="500"/>
    <n v="731110"/>
    <n v="1"/>
    <s v="1731110.500"/>
    <s v="לשכת מהנדס העיר - הוצאות כלליות"/>
    <m/>
    <m/>
    <n v="26800"/>
    <n v="27300"/>
    <n v="15600"/>
    <e v="#N/A"/>
    <x v="7"/>
    <x v="1"/>
    <s v="73"/>
    <x v="5"/>
    <x v="59"/>
    <x v="9"/>
    <s v="7311"/>
    <e v="#N/A"/>
    <m/>
    <s v="5"/>
    <x v="12"/>
    <s v="50"/>
    <e v="#N/A"/>
    <s v="500"/>
    <e v="#N/A"/>
  </r>
  <r>
    <n v="700"/>
    <n v="731110"/>
    <n v="1"/>
    <s v="1731110.700"/>
    <s v="לשכת מהנדס העיר - הוצאות לפעולות"/>
    <m/>
    <m/>
    <n v="70800"/>
    <n v="68300"/>
    <n v="58700"/>
    <e v="#N/A"/>
    <x v="7"/>
    <x v="1"/>
    <s v="73"/>
    <x v="5"/>
    <x v="59"/>
    <x v="9"/>
    <s v="7311"/>
    <e v="#N/A"/>
    <m/>
    <s v="7"/>
    <x v="9"/>
    <s v="70"/>
    <e v="#N/A"/>
    <s v="700"/>
    <e v="#N/A"/>
  </r>
  <r>
    <n v="100"/>
    <n v="731112"/>
    <n v="1"/>
    <s v="1731112.100"/>
    <s v="ועדה מקומית - שכר לעובדים קבועים"/>
    <m/>
    <m/>
    <n v="1269600"/>
    <n v="1254600"/>
    <n v="1171100"/>
    <e v="#N/A"/>
    <x v="7"/>
    <x v="1"/>
    <s v="73"/>
    <x v="5"/>
    <x v="59"/>
    <x v="9"/>
    <s v="7311"/>
    <e v="#N/A"/>
    <m/>
    <s v="1"/>
    <x v="8"/>
    <s v="10"/>
    <e v="#N/A"/>
    <s v="100"/>
    <e v="#N/A"/>
  </r>
  <r>
    <n v="120"/>
    <n v="731112"/>
    <n v="1"/>
    <s v="1731112.120"/>
    <s v="ועדה מקומית - שעות נוספות"/>
    <m/>
    <m/>
    <n v="57400"/>
    <n v="57400"/>
    <n v="60600"/>
    <e v="#N/A"/>
    <x v="7"/>
    <x v="1"/>
    <s v="73"/>
    <x v="5"/>
    <x v="59"/>
    <x v="9"/>
    <s v="7311"/>
    <e v="#N/A"/>
    <m/>
    <s v="1"/>
    <x v="8"/>
    <s v="12"/>
    <s v="תוספות שאינן נכללות בשכר הקובע"/>
    <s v="120"/>
    <e v="#N/A"/>
  </r>
  <r>
    <n v="700"/>
    <n v="731112"/>
    <n v="1"/>
    <s v="1731112.700"/>
    <s v="ועדה מקומית - הוצאות לפעולות"/>
    <m/>
    <m/>
    <n v="50000"/>
    <n v="10000"/>
    <n v="0"/>
    <e v="#N/A"/>
    <x v="7"/>
    <x v="1"/>
    <s v="73"/>
    <x v="5"/>
    <x v="59"/>
    <x v="9"/>
    <s v="7311"/>
    <e v="#N/A"/>
    <m/>
    <s v="7"/>
    <x v="9"/>
    <s v="70"/>
    <e v="#N/A"/>
    <s v="700"/>
    <e v="#N/A"/>
  </r>
  <r>
    <n v="700"/>
    <n v="731116"/>
    <n v="1"/>
    <s v="1731116.700"/>
    <s v="ועדה מקומית בז&quot;ן - הוצאות לפעולות"/>
    <m/>
    <m/>
    <n v="582900"/>
    <n v="600000"/>
    <n v="60500"/>
    <e v="#N/A"/>
    <x v="7"/>
    <x v="1"/>
    <s v="73"/>
    <x v="5"/>
    <x v="59"/>
    <x v="9"/>
    <s v="7311"/>
    <e v="#N/A"/>
    <m/>
    <s v="7"/>
    <x v="9"/>
    <s v="70"/>
    <e v="#N/A"/>
    <s v="700"/>
    <e v="#N/A"/>
  </r>
  <r>
    <n v="100"/>
    <n v="731113"/>
    <n v="1"/>
    <s v="1731113.100"/>
    <s v="ארכיון הנדסי - שכר לעובדים קבועים"/>
    <m/>
    <m/>
    <n v="662600"/>
    <n v="654600"/>
    <n v="860100"/>
    <m/>
    <x v="7"/>
    <x v="1"/>
    <s v="73"/>
    <x v="5"/>
    <x v="59"/>
    <x v="9"/>
    <s v="7311"/>
    <e v="#N/A"/>
    <m/>
    <s v="1"/>
    <x v="8"/>
    <s v="10"/>
    <e v="#N/A"/>
    <s v="100"/>
    <e v="#N/A"/>
  </r>
  <r>
    <n v="120"/>
    <n v="731113"/>
    <n v="1"/>
    <s v="1731113.120"/>
    <s v="ארכיון הנדסי - שעות נוספות"/>
    <m/>
    <m/>
    <n v="32400"/>
    <n v="32400"/>
    <n v="32900"/>
    <e v="#N/A"/>
    <x v="7"/>
    <x v="1"/>
    <s v="73"/>
    <x v="5"/>
    <x v="59"/>
    <x v="9"/>
    <s v="7311"/>
    <e v="#N/A"/>
    <m/>
    <s v="1"/>
    <x v="8"/>
    <s v="12"/>
    <s v="תוספות שאינן נכללות בשכר הקובע"/>
    <s v="120"/>
    <e v="#N/A"/>
  </r>
  <r>
    <n v="100"/>
    <n v="732110"/>
    <n v="1"/>
    <s v="1732110.100"/>
    <s v="הנהלת האגף לתכנון עיר - שכר לעובדים קבועים"/>
    <m/>
    <m/>
    <n v="146400"/>
    <n v="36400"/>
    <n v="150100"/>
    <m/>
    <x v="7"/>
    <x v="1"/>
    <s v="73"/>
    <x v="5"/>
    <x v="60"/>
    <x v="44"/>
    <s v="7321"/>
    <s v="תכנון כללי"/>
    <m/>
    <s v="1"/>
    <x v="8"/>
    <s v="10"/>
    <e v="#N/A"/>
    <s v="100"/>
    <e v="#N/A"/>
  </r>
  <r>
    <n v="120"/>
    <n v="732110"/>
    <n v="1"/>
    <s v="1732110.120"/>
    <s v="הנהלת האגף לתכנון עיר - שעות נוספות"/>
    <m/>
    <m/>
    <n v="3600"/>
    <n v="3600"/>
    <n v="2200"/>
    <e v="#N/A"/>
    <x v="7"/>
    <x v="1"/>
    <s v="73"/>
    <x v="5"/>
    <x v="60"/>
    <x v="44"/>
    <s v="7321"/>
    <s v="תכנון כללי"/>
    <m/>
    <s v="1"/>
    <x v="8"/>
    <s v="12"/>
    <s v="תוספות שאינן נכללות בשכר הקובע"/>
    <s v="120"/>
    <e v="#N/A"/>
  </r>
  <r>
    <n v="100"/>
    <n v="732100"/>
    <n v="1"/>
    <s v="1732100.100"/>
    <s v="תיכנון עיר - שכר לעובדים קבועים"/>
    <m/>
    <m/>
    <n v="3346200"/>
    <n v="3309200"/>
    <n v="3241600"/>
    <e v="#N/A"/>
    <x v="7"/>
    <x v="1"/>
    <s v="73"/>
    <x v="5"/>
    <x v="60"/>
    <x v="44"/>
    <s v="7321"/>
    <s v="תכנון כללי"/>
    <m/>
    <s v="1"/>
    <x v="8"/>
    <s v="10"/>
    <e v="#N/A"/>
    <s v="100"/>
    <e v="#N/A"/>
  </r>
  <r>
    <n v="120"/>
    <n v="732100"/>
    <n v="1"/>
    <s v="1732100.120"/>
    <s v="תיכנון עיר - שעות נוספות"/>
    <m/>
    <m/>
    <n v="57800"/>
    <n v="57800"/>
    <n v="68000"/>
    <e v="#N/A"/>
    <x v="7"/>
    <x v="1"/>
    <s v="73"/>
    <x v="5"/>
    <x v="60"/>
    <x v="44"/>
    <s v="7321"/>
    <s v="תכנון כללי"/>
    <m/>
    <s v="1"/>
    <x v="8"/>
    <s v="12"/>
    <s v="תוספות שאינן נכללות בשכר הקובע"/>
    <s v="120"/>
    <e v="#N/A"/>
  </r>
  <r>
    <n v="400"/>
    <n v="732100"/>
    <n v="1"/>
    <s v="1732100.400"/>
    <s v="תיכנון עיר - אחזקה אספקה וציוד"/>
    <m/>
    <m/>
    <n v="20800"/>
    <n v="20800"/>
    <n v="13800"/>
    <m/>
    <x v="7"/>
    <x v="1"/>
    <s v="73"/>
    <x v="5"/>
    <x v="60"/>
    <x v="44"/>
    <s v="7321"/>
    <s v="תכנון כללי"/>
    <m/>
    <s v="4"/>
    <x v="11"/>
    <s v="40"/>
    <e v="#N/A"/>
    <s v="400"/>
    <e v="#N/A"/>
  </r>
  <r>
    <n v="500"/>
    <n v="732100"/>
    <n v="1"/>
    <s v="1732100.500"/>
    <s v="תיכנון עיר - תחבורה ודואר"/>
    <m/>
    <m/>
    <n v="37200"/>
    <n v="40700"/>
    <n v="45300"/>
    <m/>
    <x v="7"/>
    <x v="1"/>
    <s v="73"/>
    <x v="5"/>
    <x v="60"/>
    <x v="44"/>
    <s v="7321"/>
    <s v="תכנון כללי"/>
    <m/>
    <s v="5"/>
    <x v="12"/>
    <s v="50"/>
    <e v="#N/A"/>
    <s v="500"/>
    <e v="#N/A"/>
  </r>
  <r>
    <n v="500"/>
    <n v="732100"/>
    <n v="1"/>
    <s v="1732100.500"/>
    <s v="תיכנון עיר - הוצאות כלליות"/>
    <m/>
    <m/>
    <n v="90700"/>
    <n v="91700"/>
    <n v="68800"/>
    <e v="#N/A"/>
    <x v="7"/>
    <x v="1"/>
    <s v="73"/>
    <x v="5"/>
    <x v="60"/>
    <x v="44"/>
    <s v="7321"/>
    <s v="תכנון כללי"/>
    <m/>
    <s v="5"/>
    <x v="12"/>
    <s v="50"/>
    <e v="#N/A"/>
    <s v="500"/>
    <e v="#N/A"/>
  </r>
  <r>
    <n v="700"/>
    <n v="732100"/>
    <n v="1"/>
    <s v="1732100.700"/>
    <s v="תיכנון עיר - הוצאות לפעולות"/>
    <m/>
    <m/>
    <n v="11900"/>
    <n v="12100"/>
    <n v="21200"/>
    <e v="#N/A"/>
    <x v="7"/>
    <x v="1"/>
    <s v="73"/>
    <x v="5"/>
    <x v="60"/>
    <x v="44"/>
    <s v="7321"/>
    <s v="תכנון כללי"/>
    <m/>
    <s v="7"/>
    <x v="9"/>
    <s v="70"/>
    <e v="#N/A"/>
    <s v="700"/>
    <e v="#N/A"/>
  </r>
  <r>
    <n v="100"/>
    <n v="771500"/>
    <n v="1"/>
    <s v="1771500.100"/>
    <s v="תיכנון טווח ארוך - שכר לעובדים קבועים"/>
    <m/>
    <m/>
    <n v="1021400"/>
    <n v="713400"/>
    <n v="882200"/>
    <e v="#N/A"/>
    <x v="7"/>
    <x v="1"/>
    <s v="77"/>
    <x v="18"/>
    <x v="61"/>
    <x v="45"/>
    <s v="7715"/>
    <e v="#N/A"/>
    <m/>
    <s v="1"/>
    <x v="8"/>
    <s v="10"/>
    <e v="#N/A"/>
    <s v="100"/>
    <e v="#N/A"/>
  </r>
  <r>
    <n v="120"/>
    <n v="771500"/>
    <n v="1"/>
    <s v="1771500.120"/>
    <s v="תיכנון טווח ארוך - שעות נוספות"/>
    <m/>
    <m/>
    <n v="35600"/>
    <n v="35600"/>
    <n v="34400"/>
    <e v="#N/A"/>
    <x v="7"/>
    <x v="1"/>
    <s v="77"/>
    <x v="18"/>
    <x v="61"/>
    <x v="45"/>
    <s v="7715"/>
    <e v="#N/A"/>
    <m/>
    <s v="1"/>
    <x v="8"/>
    <s v="12"/>
    <s v="תוספות שאינן נכללות בשכר הקובע"/>
    <s v="120"/>
    <e v="#N/A"/>
  </r>
  <r>
    <n v="400"/>
    <n v="771500"/>
    <n v="1"/>
    <s v="1771500.400"/>
    <s v="תיכנון טווח ארוך - אחזקה אספקה וציוד"/>
    <m/>
    <m/>
    <n v="4000"/>
    <n v="4200"/>
    <n v="4400"/>
    <e v="#N/A"/>
    <x v="7"/>
    <x v="1"/>
    <s v="77"/>
    <x v="18"/>
    <x v="61"/>
    <x v="45"/>
    <s v="7715"/>
    <e v="#N/A"/>
    <m/>
    <s v="4"/>
    <x v="11"/>
    <s v="40"/>
    <e v="#N/A"/>
    <s v="400"/>
    <e v="#N/A"/>
  </r>
  <r>
    <n v="500"/>
    <n v="771500"/>
    <n v="1"/>
    <s v="1771500.500"/>
    <s v="תיכנון טווח ארוך - תחבורה ודואר"/>
    <m/>
    <m/>
    <n v="15700"/>
    <n v="15800"/>
    <n v="9300"/>
    <e v="#N/A"/>
    <x v="7"/>
    <x v="1"/>
    <s v="77"/>
    <x v="18"/>
    <x v="61"/>
    <x v="45"/>
    <s v="7715"/>
    <e v="#N/A"/>
    <m/>
    <s v="5"/>
    <x v="12"/>
    <s v="50"/>
    <e v="#N/A"/>
    <s v="500"/>
    <e v="#N/A"/>
  </r>
  <r>
    <n v="500"/>
    <n v="771500"/>
    <n v="1"/>
    <s v="1771500.500"/>
    <s v="תיכנון טווח ארוך - הוצאות כלליות"/>
    <m/>
    <m/>
    <n v="10000"/>
    <n v="10400"/>
    <n v="300"/>
    <e v="#N/A"/>
    <x v="7"/>
    <x v="1"/>
    <s v="77"/>
    <x v="18"/>
    <x v="61"/>
    <x v="45"/>
    <s v="7715"/>
    <e v="#N/A"/>
    <m/>
    <s v="5"/>
    <x v="12"/>
    <s v="50"/>
    <e v="#N/A"/>
    <s v="500"/>
    <e v="#N/A"/>
  </r>
  <r>
    <n v="700"/>
    <n v="771500"/>
    <n v="1"/>
    <s v="1771500.700"/>
    <s v="תיכנון טווח ארוך - הוצאות לפעולות"/>
    <m/>
    <m/>
    <n v="11000"/>
    <n v="11500"/>
    <n v="2000"/>
    <e v="#N/A"/>
    <x v="7"/>
    <x v="1"/>
    <s v="77"/>
    <x v="18"/>
    <x v="61"/>
    <x v="45"/>
    <s v="7715"/>
    <e v="#N/A"/>
    <m/>
    <s v="7"/>
    <x v="9"/>
    <s v="70"/>
    <e v="#N/A"/>
    <s v="700"/>
    <e v="#N/A"/>
  </r>
  <r>
    <n v="100"/>
    <n v="771510"/>
    <n v="1"/>
    <s v="1771510.100"/>
    <s v="המחלקה למידע ותכנון עיר - שכר לעובדים קבועים"/>
    <m/>
    <m/>
    <n v="2207600"/>
    <n v="1836600"/>
    <n v="2155100"/>
    <e v="#N/A"/>
    <x v="7"/>
    <x v="1"/>
    <s v="77"/>
    <x v="18"/>
    <x v="61"/>
    <x v="45"/>
    <s v="7715"/>
    <e v="#N/A"/>
    <m/>
    <s v="1"/>
    <x v="8"/>
    <s v="10"/>
    <e v="#N/A"/>
    <s v="100"/>
    <e v="#N/A"/>
  </r>
  <r>
    <n v="120"/>
    <n v="771510"/>
    <n v="1"/>
    <s v="1771510.120"/>
    <s v="המחלקה למידע ותכנון עיר - שעות נוספות"/>
    <m/>
    <m/>
    <n v="54400"/>
    <n v="54400"/>
    <n v="46100"/>
    <e v="#N/A"/>
    <x v="7"/>
    <x v="1"/>
    <s v="77"/>
    <x v="18"/>
    <x v="61"/>
    <x v="45"/>
    <s v="7715"/>
    <e v="#N/A"/>
    <m/>
    <s v="1"/>
    <x v="8"/>
    <s v="12"/>
    <s v="תוספות שאינן נכללות בשכר הקובע"/>
    <s v="120"/>
    <e v="#N/A"/>
  </r>
  <r>
    <n v="100"/>
    <n v="732040"/>
    <n v="1"/>
    <s v="1732040.100"/>
    <s v="המחלקה ליעודי קרקע - שכר לעובדים קבועים"/>
    <m/>
    <m/>
    <n v="1805700"/>
    <n v="1785700"/>
    <n v="16349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40"/>
    <n v="1"/>
    <s v="1732040.120"/>
    <s v="המחלקה ליעודי קרקע - שעות נוספות"/>
    <m/>
    <m/>
    <n v="28300"/>
    <n v="28300"/>
    <n v="309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40"/>
    <n v="1"/>
    <s v="1732040.400"/>
    <s v="המחלקה ליעודי קרקע - אחזקה אספקה וציוד"/>
    <m/>
    <m/>
    <n v="8500"/>
    <n v="8600"/>
    <n v="6100"/>
    <e v="#N/A"/>
    <x v="7"/>
    <x v="1"/>
    <s v="73"/>
    <x v="5"/>
    <x v="60"/>
    <x v="44"/>
    <s v="7320"/>
    <e v="#N/A"/>
    <m/>
    <s v="4"/>
    <x v="11"/>
    <s v="40"/>
    <e v="#N/A"/>
    <s v="400"/>
    <e v="#N/A"/>
  </r>
  <r>
    <n v="500"/>
    <n v="732040"/>
    <n v="1"/>
    <s v="1732040.500"/>
    <s v="המחלקה ליעודי קרקע - תחבורה ודואר"/>
    <m/>
    <m/>
    <n v="5000"/>
    <n v="5100"/>
    <n v="400"/>
    <e v="#N/A"/>
    <x v="7"/>
    <x v="1"/>
    <s v="73"/>
    <x v="5"/>
    <x v="60"/>
    <x v="44"/>
    <s v="7320"/>
    <e v="#N/A"/>
    <m/>
    <s v="5"/>
    <x v="12"/>
    <s v="50"/>
    <e v="#N/A"/>
    <s v="500"/>
    <e v="#N/A"/>
  </r>
  <r>
    <n v="500"/>
    <n v="732040"/>
    <n v="1"/>
    <s v="1732040.500"/>
    <s v="המחלקה ליעודי קרקע - הוצאות כלליות"/>
    <m/>
    <m/>
    <n v="2000"/>
    <n v="2400"/>
    <n v="1300"/>
    <e v="#N/A"/>
    <x v="7"/>
    <x v="1"/>
    <s v="73"/>
    <x v="5"/>
    <x v="60"/>
    <x v="44"/>
    <s v="7320"/>
    <e v="#N/A"/>
    <m/>
    <s v="5"/>
    <x v="12"/>
    <s v="50"/>
    <e v="#N/A"/>
    <s v="500"/>
    <e v="#N/A"/>
  </r>
  <r>
    <n v="700"/>
    <n v="732040"/>
    <n v="1"/>
    <s v="1732040.700"/>
    <s v="המחלקה ליעודי קרקע - הוצאות לפעולות"/>
    <m/>
    <m/>
    <n v="17600"/>
    <n v="18000"/>
    <n v="15200"/>
    <e v="#N/A"/>
    <x v="7"/>
    <x v="1"/>
    <s v="73"/>
    <x v="5"/>
    <x v="60"/>
    <x v="44"/>
    <s v="7320"/>
    <e v="#N/A"/>
    <m/>
    <s v="7"/>
    <x v="9"/>
    <s v="70"/>
    <e v="#N/A"/>
    <s v="700"/>
    <e v="#N/A"/>
  </r>
  <r>
    <n v="100"/>
    <n v="733000"/>
    <n v="1"/>
    <s v="1733000.100"/>
    <s v="אגף פיקוח ורישוי על הבניה - שכר לעובדים קבועים"/>
    <m/>
    <m/>
    <n v="10784700"/>
    <n v="9672700"/>
    <n v="9692800"/>
    <e v="#N/A"/>
    <x v="7"/>
    <x v="1"/>
    <s v="73"/>
    <x v="5"/>
    <x v="62"/>
    <x v="10"/>
    <s v="7330"/>
    <e v="#N/A"/>
    <m/>
    <s v="1"/>
    <x v="8"/>
    <s v="10"/>
    <e v="#N/A"/>
    <s v="100"/>
    <e v="#N/A"/>
  </r>
  <r>
    <n v="120"/>
    <n v="733000"/>
    <n v="1"/>
    <s v="1733000.120"/>
    <s v="אגף פיקוח ורישוי על הבניה - שעות נוספות"/>
    <m/>
    <m/>
    <n v="415300"/>
    <n v="415300"/>
    <n v="456900"/>
    <e v="#N/A"/>
    <x v="7"/>
    <x v="1"/>
    <s v="73"/>
    <x v="5"/>
    <x v="62"/>
    <x v="10"/>
    <s v="7330"/>
    <e v="#N/A"/>
    <m/>
    <s v="1"/>
    <x v="8"/>
    <s v="12"/>
    <s v="תוספות שאינן נכללות בשכר הקובע"/>
    <s v="120"/>
    <e v="#N/A"/>
  </r>
  <r>
    <n v="400"/>
    <n v="733000"/>
    <n v="1"/>
    <s v="1733000.400"/>
    <s v="אגף פיקוח ורישוי על הבניה - אחזקה אספקה וציוד"/>
    <m/>
    <m/>
    <n v="55000"/>
    <n v="59600"/>
    <n v="57000"/>
    <e v="#N/A"/>
    <x v="7"/>
    <x v="1"/>
    <s v="73"/>
    <x v="5"/>
    <x v="62"/>
    <x v="10"/>
    <s v="7330"/>
    <e v="#N/A"/>
    <m/>
    <s v="4"/>
    <x v="11"/>
    <s v="40"/>
    <e v="#N/A"/>
    <s v="400"/>
    <e v="#N/A"/>
  </r>
  <r>
    <n v="500"/>
    <n v="733000"/>
    <n v="1"/>
    <s v="1733000.500"/>
    <s v="אגף פיקוח ורישוי על הבניה - תחבורה ודואר"/>
    <m/>
    <m/>
    <n v="186300"/>
    <n v="186300"/>
    <n v="168800"/>
    <e v="#N/A"/>
    <x v="7"/>
    <x v="1"/>
    <s v="73"/>
    <x v="5"/>
    <x v="62"/>
    <x v="10"/>
    <s v="7330"/>
    <e v="#N/A"/>
    <m/>
    <s v="5"/>
    <x v="12"/>
    <s v="50"/>
    <e v="#N/A"/>
    <s v="500"/>
    <e v="#N/A"/>
  </r>
  <r>
    <n v="500"/>
    <n v="733000"/>
    <n v="1"/>
    <s v="1733000.500"/>
    <s v="אגף פיקוח ורישוי על הבניה - הוצאות כלליות"/>
    <m/>
    <m/>
    <n v="17900"/>
    <n v="22400"/>
    <n v="7300"/>
    <e v="#N/A"/>
    <x v="7"/>
    <x v="1"/>
    <s v="73"/>
    <x v="5"/>
    <x v="62"/>
    <x v="10"/>
    <s v="7330"/>
    <e v="#N/A"/>
    <m/>
    <s v="5"/>
    <x v="12"/>
    <s v="50"/>
    <e v="#N/A"/>
    <s v="500"/>
    <e v="#N/A"/>
  </r>
  <r>
    <n v="700"/>
    <n v="733000"/>
    <n v="1"/>
    <s v="1733000.700"/>
    <s v="אגף פיקוח ורישוי על הבניה - הוצאות לפעולות"/>
    <m/>
    <m/>
    <n v="90000"/>
    <n v="91200"/>
    <n v="101500"/>
    <e v="#N/A"/>
    <x v="7"/>
    <x v="1"/>
    <s v="73"/>
    <x v="5"/>
    <x v="62"/>
    <x v="10"/>
    <s v="7330"/>
    <e v="#N/A"/>
    <m/>
    <s v="7"/>
    <x v="9"/>
    <s v="70"/>
    <e v="#N/A"/>
    <s v="700"/>
    <e v="#N/A"/>
  </r>
  <r>
    <n v="100"/>
    <n v="732060"/>
    <n v="1"/>
    <s v="1732060.100"/>
    <s v="אגף לתכנון דרכים תנועה ונוף - שכר לעובדים קבועים"/>
    <m/>
    <m/>
    <n v="6279600"/>
    <n v="6208600"/>
    <n v="63886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60"/>
    <n v="1"/>
    <s v="1732060.120"/>
    <s v="אגף לתכנון דרכים תנועה ונוף - שעות נוספות"/>
    <m/>
    <m/>
    <n v="229400"/>
    <n v="229400"/>
    <n v="2460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60"/>
    <n v="1"/>
    <s v="1732060.400"/>
    <s v="אגף לתכנון דרכים תנועה ונוף - אחזקה אספקה וציוד"/>
    <m/>
    <m/>
    <n v="46500"/>
    <n v="48100"/>
    <n v="36800"/>
    <e v="#N/A"/>
    <x v="7"/>
    <x v="1"/>
    <s v="73"/>
    <x v="5"/>
    <x v="60"/>
    <x v="44"/>
    <s v="7320"/>
    <e v="#N/A"/>
    <m/>
    <s v="4"/>
    <x v="11"/>
    <s v="40"/>
    <e v="#N/A"/>
    <s v="400"/>
    <e v="#N/A"/>
  </r>
  <r>
    <n v="500"/>
    <n v="732060"/>
    <n v="1"/>
    <s v="1732060.500"/>
    <s v="אגף לתכנון דרכים תנועה ונוף - תחבורה ודואר"/>
    <m/>
    <m/>
    <n v="51000"/>
    <n v="51900"/>
    <n v="42600"/>
    <e v="#N/A"/>
    <x v="7"/>
    <x v="1"/>
    <s v="73"/>
    <x v="5"/>
    <x v="60"/>
    <x v="44"/>
    <s v="7320"/>
    <e v="#N/A"/>
    <m/>
    <s v="5"/>
    <x v="12"/>
    <s v="50"/>
    <e v="#N/A"/>
    <s v="500"/>
    <e v="#N/A"/>
  </r>
  <r>
    <n v="500"/>
    <n v="732060"/>
    <n v="1"/>
    <s v="1732060.500"/>
    <s v="אגף לתכנון דרכים תנועה ונוף - הוצאות כלליות"/>
    <m/>
    <m/>
    <n v="22000"/>
    <n v="22700"/>
    <n v="1100"/>
    <e v="#N/A"/>
    <x v="7"/>
    <x v="1"/>
    <s v="73"/>
    <x v="5"/>
    <x v="60"/>
    <x v="44"/>
    <s v="7320"/>
    <e v="#N/A"/>
    <m/>
    <s v="5"/>
    <x v="12"/>
    <s v="50"/>
    <e v="#N/A"/>
    <s v="500"/>
    <e v="#N/A"/>
  </r>
  <r>
    <n v="700"/>
    <n v="732060"/>
    <n v="1"/>
    <s v="1732060.700"/>
    <s v="אגף לתכנון דרכים תנועה ונוף - הוצאות לפעולות"/>
    <m/>
    <m/>
    <n v="27000"/>
    <n v="27800"/>
    <n v="15400"/>
    <e v="#N/A"/>
    <x v="7"/>
    <x v="1"/>
    <s v="73"/>
    <x v="5"/>
    <x v="60"/>
    <x v="44"/>
    <s v="7320"/>
    <e v="#N/A"/>
    <m/>
    <s v="7"/>
    <x v="9"/>
    <s v="70"/>
    <e v="#N/A"/>
    <s v="700"/>
    <e v="#N/A"/>
  </r>
  <r>
    <n v="100"/>
    <n v="732091"/>
    <n v="1"/>
    <s v="1732091.100"/>
    <s v="הנהלת אגף נכסים - שכר לעובדים קבועים"/>
    <m/>
    <m/>
    <n v="1580600"/>
    <n v="1562600"/>
    <n v="13153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91"/>
    <n v="1"/>
    <s v="1732091.120"/>
    <s v="הנהלת אגף נכסים - שעות נוספות"/>
    <m/>
    <m/>
    <n v="38400"/>
    <n v="38400"/>
    <n v="314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32092"/>
    <n v="1"/>
    <s v="1732092.100"/>
    <s v="שמאי העירייה - שכר לעובדים קבועים"/>
    <m/>
    <m/>
    <n v="588700"/>
    <n v="581700"/>
    <n v="5446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92"/>
    <n v="1"/>
    <s v="1732092.120"/>
    <s v="שמאי העירייה - שעות נוספות"/>
    <m/>
    <m/>
    <n v="27300"/>
    <n v="27300"/>
    <n v="345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32090"/>
    <n v="1"/>
    <s v="1732090.100"/>
    <s v="מחלקה לפיתוח מקרקעין - שכר לעובדים קבועים"/>
    <m/>
    <m/>
    <n v="1309500"/>
    <n v="1294500"/>
    <n v="12455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90"/>
    <n v="1"/>
    <s v="1732090.120"/>
    <s v="מחלקה לפיתוח מקרקעין - שעות נוספות"/>
    <m/>
    <m/>
    <n v="30500"/>
    <n v="30500"/>
    <n v="336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90"/>
    <n v="1"/>
    <s v="1732090.400"/>
    <s v="מחלקה לפיתוח מקרקעין - אחזקה אספקה וציוד"/>
    <m/>
    <m/>
    <n v="40000"/>
    <n v="42000"/>
    <n v="17000"/>
    <m/>
    <x v="7"/>
    <x v="1"/>
    <s v="73"/>
    <x v="5"/>
    <x v="60"/>
    <x v="44"/>
    <s v="7320"/>
    <e v="#N/A"/>
    <m/>
    <s v="4"/>
    <x v="11"/>
    <s v="40"/>
    <e v="#N/A"/>
    <s v="400"/>
    <e v="#N/A"/>
  </r>
  <r>
    <n v="500"/>
    <n v="732090"/>
    <n v="1"/>
    <s v="1732090.500"/>
    <s v="מחלקה לפיתוח מקרקעין - תחבורה ודואר"/>
    <m/>
    <m/>
    <n v="3000"/>
    <n v="3000"/>
    <n v="0"/>
    <e v="#N/A"/>
    <x v="7"/>
    <x v="1"/>
    <s v="73"/>
    <x v="5"/>
    <x v="60"/>
    <x v="44"/>
    <s v="7320"/>
    <e v="#N/A"/>
    <m/>
    <s v="5"/>
    <x v="12"/>
    <s v="50"/>
    <e v="#N/A"/>
    <s v="500"/>
    <e v="#N/A"/>
  </r>
  <r>
    <n v="500"/>
    <n v="732090"/>
    <n v="1"/>
    <s v="1732090.500"/>
    <s v="מחלקה לפיתוח מקרקעין - הוצאות כלליות"/>
    <m/>
    <m/>
    <n v="34600"/>
    <n v="36500"/>
    <n v="9000"/>
    <m/>
    <x v="7"/>
    <x v="1"/>
    <s v="73"/>
    <x v="5"/>
    <x v="60"/>
    <x v="44"/>
    <s v="7320"/>
    <e v="#N/A"/>
    <m/>
    <s v="5"/>
    <x v="12"/>
    <s v="50"/>
    <e v="#N/A"/>
    <s v="500"/>
    <e v="#N/A"/>
  </r>
  <r>
    <n v="700"/>
    <n v="732090"/>
    <n v="1"/>
    <s v="1732090.700"/>
    <s v="מחלקה לפיתוח מקרקעין - הוצאות לפעולות"/>
    <m/>
    <m/>
    <n v="55800"/>
    <n v="55800"/>
    <n v="25200"/>
    <e v="#N/A"/>
    <x v="7"/>
    <x v="1"/>
    <s v="73"/>
    <x v="5"/>
    <x v="60"/>
    <x v="44"/>
    <s v="7320"/>
    <e v="#N/A"/>
    <m/>
    <s v="7"/>
    <x v="9"/>
    <s v="70"/>
    <e v="#N/A"/>
    <s v="700"/>
    <e v="#N/A"/>
  </r>
  <r>
    <n v="100"/>
    <n v="931000"/>
    <n v="1"/>
    <s v="1931000.100"/>
    <s v="המחלקה לנכסים ציבוריים - שכר לעובדים קבועים"/>
    <m/>
    <m/>
    <n v="983300"/>
    <n v="1219300"/>
    <n v="821200"/>
    <e v="#N/A"/>
    <x v="8"/>
    <x v="3"/>
    <s v="93"/>
    <x v="12"/>
    <x v="63"/>
    <x v="46"/>
    <s v="9310"/>
    <e v="#N/A"/>
    <m/>
    <s v="1"/>
    <x v="8"/>
    <s v="10"/>
    <e v="#N/A"/>
    <s v="100"/>
    <e v="#N/A"/>
  </r>
  <r>
    <n v="120"/>
    <n v="931000"/>
    <n v="1"/>
    <s v="1931000.120"/>
    <s v="המחלקה לנכסים ציבוריים - שעות נוספות"/>
    <m/>
    <m/>
    <n v="39700"/>
    <n v="39700"/>
    <n v="27900"/>
    <n v="69147"/>
    <x v="8"/>
    <x v="3"/>
    <s v="93"/>
    <x v="12"/>
    <x v="63"/>
    <x v="46"/>
    <s v="9310"/>
    <e v="#N/A"/>
    <m/>
    <s v="1"/>
    <x v="8"/>
    <s v="12"/>
    <s v="תוספות שאינן נכללות בשכר הקובע"/>
    <s v="120"/>
    <e v="#N/A"/>
  </r>
  <r>
    <n v="400"/>
    <n v="931000"/>
    <n v="1"/>
    <s v="1931000.400"/>
    <s v="המחלקה לנכסים ציבוריים - אחזקה אספקה וציוד"/>
    <m/>
    <m/>
    <n v="2106900"/>
    <n v="2168400"/>
    <n v="2056800"/>
    <e v="#N/A"/>
    <x v="8"/>
    <x v="3"/>
    <s v="93"/>
    <x v="12"/>
    <x v="63"/>
    <x v="46"/>
    <s v="9310"/>
    <e v="#N/A"/>
    <m/>
    <s v="4"/>
    <x v="11"/>
    <s v="40"/>
    <e v="#N/A"/>
    <s v="400"/>
    <e v="#N/A"/>
  </r>
  <r>
    <n v="500"/>
    <n v="931000"/>
    <n v="1"/>
    <s v="1931000.500"/>
    <s v="המחלקה לנכסים ציבוריים - תחבורה ודואר"/>
    <m/>
    <m/>
    <n v="62100"/>
    <n v="64000"/>
    <n v="53900"/>
    <e v="#N/A"/>
    <x v="8"/>
    <x v="3"/>
    <s v="93"/>
    <x v="12"/>
    <x v="63"/>
    <x v="46"/>
    <s v="9310"/>
    <e v="#N/A"/>
    <m/>
    <s v="5"/>
    <x v="12"/>
    <s v="50"/>
    <e v="#N/A"/>
    <s v="500"/>
    <e v="#N/A"/>
  </r>
  <r>
    <n v="500"/>
    <n v="931000"/>
    <n v="1"/>
    <s v="1931000.500"/>
    <s v="המחלקה לנכסים ציבוריים - הוצאות כלליות"/>
    <m/>
    <m/>
    <n v="56200"/>
    <n v="57900"/>
    <n v="37700"/>
    <e v="#N/A"/>
    <x v="8"/>
    <x v="3"/>
    <s v="93"/>
    <x v="12"/>
    <x v="63"/>
    <x v="46"/>
    <s v="9310"/>
    <e v="#N/A"/>
    <m/>
    <s v="5"/>
    <x v="12"/>
    <s v="50"/>
    <e v="#N/A"/>
    <s v="500"/>
    <e v="#N/A"/>
  </r>
  <r>
    <n v="700"/>
    <n v="931000"/>
    <n v="1"/>
    <s v="1931000.700"/>
    <s v="המחלקה לנכסים ציבוריים - הוצאות לפעולות"/>
    <m/>
    <m/>
    <n v="217300"/>
    <n v="224000"/>
    <n v="176500"/>
    <e v="#N/A"/>
    <x v="8"/>
    <x v="3"/>
    <s v="93"/>
    <x v="12"/>
    <x v="63"/>
    <x v="46"/>
    <s v="9310"/>
    <e v="#N/A"/>
    <m/>
    <s v="7"/>
    <x v="9"/>
    <s v="70"/>
    <e v="#N/A"/>
    <s v="700"/>
    <e v="#N/A"/>
  </r>
  <r>
    <n v="100"/>
    <n v="732093"/>
    <n v="1"/>
    <s v="1732093.100"/>
    <s v="תחום רישום נכסים - שכר לעובדים קבועים"/>
    <m/>
    <m/>
    <n v="774400"/>
    <n v="765400"/>
    <n v="785100"/>
    <e v="#N/A"/>
    <x v="7"/>
    <x v="1"/>
    <s v="73"/>
    <x v="5"/>
    <x v="60"/>
    <x v="44"/>
    <s v="7320"/>
    <e v="#N/A"/>
    <m/>
    <s v="1"/>
    <x v="8"/>
    <s v="10"/>
    <e v="#N/A"/>
    <s v="100"/>
    <e v="#N/A"/>
  </r>
  <r>
    <n v="120"/>
    <n v="732093"/>
    <n v="1"/>
    <s v="1732093.120"/>
    <s v="תחום רישום נכסים - שעות נוספות"/>
    <m/>
    <m/>
    <n v="16600"/>
    <n v="16600"/>
    <n v="9000"/>
    <e v="#N/A"/>
    <x v="7"/>
    <x v="1"/>
    <s v="73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11200"/>
    <n v="1"/>
    <s v="1711200.100"/>
    <s v="רישוי עסקים - שכר לעובדים קבועים"/>
    <m/>
    <m/>
    <n v="1756800"/>
    <n v="1736800"/>
    <n v="1654200"/>
    <e v="#N/A"/>
    <x v="7"/>
    <x v="1"/>
    <s v="71"/>
    <x v="3"/>
    <x v="64"/>
    <x v="47"/>
    <s v="7112"/>
    <e v="#N/A"/>
    <m/>
    <s v="1"/>
    <x v="8"/>
    <s v="10"/>
    <e v="#N/A"/>
    <s v="100"/>
    <e v="#N/A"/>
  </r>
  <r>
    <n v="120"/>
    <n v="711200"/>
    <n v="1"/>
    <s v="1711200.120"/>
    <s v="רישוי עסקים - שעות נוספות"/>
    <m/>
    <m/>
    <n v="81200"/>
    <n v="81200"/>
    <n v="103200"/>
    <e v="#N/A"/>
    <x v="7"/>
    <x v="1"/>
    <s v="71"/>
    <x v="3"/>
    <x v="64"/>
    <x v="47"/>
    <s v="7112"/>
    <e v="#N/A"/>
    <m/>
    <s v="1"/>
    <x v="8"/>
    <s v="12"/>
    <s v="תוספות שאינן נכללות בשכר הקובע"/>
    <s v="120"/>
    <e v="#N/A"/>
  </r>
  <r>
    <n v="400"/>
    <n v="711200"/>
    <n v="1"/>
    <s v="1711200.400"/>
    <s v="רישוי עסקים - אחזקה אספקה וציוד"/>
    <m/>
    <m/>
    <n v="8000"/>
    <n v="8700"/>
    <n v="9800"/>
    <e v="#N/A"/>
    <x v="7"/>
    <x v="1"/>
    <s v="71"/>
    <x v="3"/>
    <x v="64"/>
    <x v="47"/>
    <s v="7112"/>
    <e v="#N/A"/>
    <m/>
    <s v="4"/>
    <x v="11"/>
    <s v="40"/>
    <e v="#N/A"/>
    <s v="400"/>
    <e v="#N/A"/>
  </r>
  <r>
    <n v="500"/>
    <n v="711200"/>
    <n v="1"/>
    <s v="1711200.500"/>
    <s v="רישוי עסקים - תחבורה ודואר"/>
    <m/>
    <m/>
    <n v="40800"/>
    <n v="41300"/>
    <n v="28300"/>
    <e v="#N/A"/>
    <x v="7"/>
    <x v="1"/>
    <s v="71"/>
    <x v="3"/>
    <x v="64"/>
    <x v="47"/>
    <s v="7112"/>
    <e v="#N/A"/>
    <m/>
    <s v="5"/>
    <x v="12"/>
    <s v="50"/>
    <e v="#N/A"/>
    <s v="500"/>
    <e v="#N/A"/>
  </r>
  <r>
    <n v="500"/>
    <n v="711200"/>
    <n v="1"/>
    <s v="1711200.500"/>
    <s v="רישוי עסקים - הוצאות כלליות"/>
    <m/>
    <m/>
    <n v="800"/>
    <n v="800"/>
    <n v="400"/>
    <e v="#N/A"/>
    <x v="7"/>
    <x v="1"/>
    <s v="71"/>
    <x v="3"/>
    <x v="64"/>
    <x v="47"/>
    <s v="7112"/>
    <e v="#N/A"/>
    <m/>
    <s v="5"/>
    <x v="12"/>
    <s v="50"/>
    <e v="#N/A"/>
    <s v="500"/>
    <e v="#N/A"/>
  </r>
  <r>
    <n v="700"/>
    <n v="711200"/>
    <n v="1"/>
    <s v="1711200.700"/>
    <s v="רישוי עסקים - הוצאות לפעולות"/>
    <m/>
    <m/>
    <n v="8000"/>
    <n v="8500"/>
    <n v="5600"/>
    <e v="#N/A"/>
    <x v="7"/>
    <x v="1"/>
    <s v="71"/>
    <x v="3"/>
    <x v="64"/>
    <x v="47"/>
    <s v="7112"/>
    <e v="#N/A"/>
    <m/>
    <s v="7"/>
    <x v="9"/>
    <s v="70"/>
    <e v="#N/A"/>
    <s v="700"/>
    <e v="#N/A"/>
  </r>
  <r>
    <n v="700"/>
    <n v="731115"/>
    <n v="1"/>
    <s v="1731115.700"/>
    <s v="משתלם העתקות אור - הוצאות לפעולות"/>
    <m/>
    <m/>
    <n v="307700"/>
    <n v="307700"/>
    <n v="227700"/>
    <e v="#N/A"/>
    <x v="7"/>
    <x v="1"/>
    <s v="73"/>
    <x v="5"/>
    <x v="59"/>
    <x v="9"/>
    <s v="7311"/>
    <e v="#N/A"/>
    <m/>
    <s v="7"/>
    <x v="9"/>
    <s v="70"/>
    <e v="#N/A"/>
    <s v="700"/>
    <e v="#N/A"/>
  </r>
  <r>
    <n v="100"/>
    <n v="611000"/>
    <n v="1"/>
    <s v="1611000.100"/>
    <s v="לשכת ראש העיר‏‏ - שכר לעובדים קבועים"/>
    <m/>
    <m/>
    <n v="2762000"/>
    <n v="2731000"/>
    <n v="2595800"/>
    <e v="#N/A"/>
    <x v="9"/>
    <x v="6"/>
    <s v="61"/>
    <x v="19"/>
    <x v="65"/>
    <x v="48"/>
    <s v="6110"/>
    <e v="#N/A"/>
    <m/>
    <s v="1"/>
    <x v="8"/>
    <s v="10"/>
    <e v="#N/A"/>
    <s v="100"/>
    <e v="#N/A"/>
  </r>
  <r>
    <n v="120"/>
    <n v="611000"/>
    <n v="1"/>
    <s v="1611000.120"/>
    <s v="לשכת ראש העיר‏‏ - שעות נוספות"/>
    <m/>
    <m/>
    <n v="70000"/>
    <n v="70000"/>
    <n v="65400"/>
    <e v="#N/A"/>
    <x v="9"/>
    <x v="6"/>
    <s v="61"/>
    <x v="19"/>
    <x v="65"/>
    <x v="48"/>
    <s v="6110"/>
    <e v="#N/A"/>
    <m/>
    <s v="1"/>
    <x v="8"/>
    <s v="12"/>
    <s v="תוספות שאינן נכללות בשכר הקובע"/>
    <s v="120"/>
    <e v="#N/A"/>
  </r>
  <r>
    <n v="400"/>
    <n v="611000"/>
    <n v="1"/>
    <s v="1611000.400"/>
    <s v="לשכת ראש העיר‏‏ - אחזקה אספקה וציוד"/>
    <m/>
    <m/>
    <n v="95200"/>
    <n v="103700"/>
    <n v="82600"/>
    <e v="#N/A"/>
    <x v="9"/>
    <x v="6"/>
    <s v="61"/>
    <x v="19"/>
    <x v="65"/>
    <x v="48"/>
    <s v="6110"/>
    <e v="#N/A"/>
    <m/>
    <s v="4"/>
    <x v="11"/>
    <s v="40"/>
    <e v="#N/A"/>
    <s v="400"/>
    <e v="#N/A"/>
  </r>
  <r>
    <n v="500"/>
    <n v="611000"/>
    <n v="1"/>
    <s v="1611000.500"/>
    <s v="לשכת ראש העיר‏‏ - תחבורה ודואר"/>
    <m/>
    <m/>
    <n v="166200"/>
    <n v="166200"/>
    <n v="111700"/>
    <m/>
    <x v="9"/>
    <x v="6"/>
    <s v="61"/>
    <x v="19"/>
    <x v="65"/>
    <x v="48"/>
    <s v="6110"/>
    <e v="#N/A"/>
    <m/>
    <s v="5"/>
    <x v="12"/>
    <s v="50"/>
    <e v="#N/A"/>
    <s v="500"/>
    <e v="#N/A"/>
  </r>
  <r>
    <n v="500"/>
    <n v="611000"/>
    <n v="1"/>
    <s v="1611000.500"/>
    <s v="לשכת ראש העיר‏‏ - הוצאות כלליות"/>
    <m/>
    <m/>
    <n v="14000"/>
    <n v="14000"/>
    <n v="5800"/>
    <e v="#N/A"/>
    <x v="9"/>
    <x v="6"/>
    <s v="61"/>
    <x v="19"/>
    <x v="65"/>
    <x v="48"/>
    <s v="6110"/>
    <e v="#N/A"/>
    <m/>
    <s v="5"/>
    <x v="12"/>
    <s v="50"/>
    <e v="#N/A"/>
    <s v="500"/>
    <e v="#N/A"/>
  </r>
  <r>
    <n v="700"/>
    <n v="611000"/>
    <n v="1"/>
    <s v="1611000.700"/>
    <s v="לשכת ראש העיר‏‏ - הוצאות לפעולות"/>
    <m/>
    <m/>
    <n v="12000"/>
    <n v="12000"/>
    <n v="1600"/>
    <m/>
    <x v="9"/>
    <x v="6"/>
    <s v="61"/>
    <x v="19"/>
    <x v="65"/>
    <x v="48"/>
    <s v="6110"/>
    <e v="#N/A"/>
    <m/>
    <s v="7"/>
    <x v="9"/>
    <s v="70"/>
    <e v="#N/A"/>
    <s v="700"/>
    <e v="#N/A"/>
  </r>
  <r>
    <n v="100"/>
    <n v="612200"/>
    <n v="1"/>
    <s v="1612200.100"/>
    <s v="האגף לפניות הציבור - שכר לעובדים קבועים"/>
    <m/>
    <m/>
    <n v="3538500"/>
    <n v="3498500"/>
    <n v="3473900"/>
    <e v="#N/A"/>
    <x v="9"/>
    <x v="6"/>
    <s v="61"/>
    <x v="19"/>
    <x v="66"/>
    <x v="49"/>
    <s v="6122"/>
    <e v="#N/A"/>
    <m/>
    <s v="1"/>
    <x v="8"/>
    <s v="10"/>
    <e v="#N/A"/>
    <s v="100"/>
    <e v="#N/A"/>
  </r>
  <r>
    <n v="120"/>
    <n v="612200"/>
    <n v="1"/>
    <s v="1612200.120"/>
    <s v="האגף לפניות הציבור - שעות נוספות"/>
    <m/>
    <m/>
    <n v="108500"/>
    <n v="108500"/>
    <n v="76600"/>
    <e v="#N/A"/>
    <x v="9"/>
    <x v="6"/>
    <s v="61"/>
    <x v="19"/>
    <x v="66"/>
    <x v="49"/>
    <s v="6122"/>
    <e v="#N/A"/>
    <m/>
    <s v="1"/>
    <x v="8"/>
    <s v="12"/>
    <s v="תוספות שאינן נכללות בשכר הקובע"/>
    <s v="120"/>
    <e v="#N/A"/>
  </r>
  <r>
    <n v="400"/>
    <n v="612200"/>
    <n v="1"/>
    <s v="1612200.400"/>
    <s v="האגף לפניות הציבור - אחזקה אספקה וציוד"/>
    <m/>
    <m/>
    <n v="29600"/>
    <n v="29600"/>
    <n v="29000"/>
    <m/>
    <x v="9"/>
    <x v="6"/>
    <s v="61"/>
    <x v="19"/>
    <x v="66"/>
    <x v="49"/>
    <s v="6122"/>
    <e v="#N/A"/>
    <m/>
    <s v="4"/>
    <x v="11"/>
    <s v="40"/>
    <e v="#N/A"/>
    <s v="400"/>
    <e v="#N/A"/>
  </r>
  <r>
    <n v="500"/>
    <n v="612200"/>
    <n v="1"/>
    <s v="1612200.500"/>
    <s v="האגף לפניות הציבור - תחבורה ודואר"/>
    <m/>
    <m/>
    <n v="79000"/>
    <n v="79000"/>
    <n v="67700"/>
    <e v="#N/A"/>
    <x v="9"/>
    <x v="6"/>
    <s v="61"/>
    <x v="19"/>
    <x v="66"/>
    <x v="49"/>
    <s v="6122"/>
    <e v="#N/A"/>
    <m/>
    <s v="5"/>
    <x v="12"/>
    <s v="50"/>
    <e v="#N/A"/>
    <s v="500"/>
    <e v="#N/A"/>
  </r>
  <r>
    <n v="500"/>
    <n v="612200"/>
    <n v="1"/>
    <s v="1612200.500"/>
    <s v="האגף לפניות הציבור - הוצאות כלליות"/>
    <m/>
    <m/>
    <n v="24400"/>
    <n v="24400"/>
    <n v="24700"/>
    <e v="#N/A"/>
    <x v="9"/>
    <x v="6"/>
    <s v="61"/>
    <x v="19"/>
    <x v="66"/>
    <x v="49"/>
    <s v="6122"/>
    <e v="#N/A"/>
    <m/>
    <s v="5"/>
    <x v="12"/>
    <s v="50"/>
    <e v="#N/A"/>
    <s v="500"/>
    <e v="#N/A"/>
  </r>
  <r>
    <n v="700"/>
    <n v="612200"/>
    <n v="1"/>
    <s v="1612200.700"/>
    <s v="האגף לפניות הציבור - הוצאות לפעולות"/>
    <m/>
    <m/>
    <n v="85000"/>
    <n v="89300"/>
    <n v="55800"/>
    <e v="#N/A"/>
    <x v="9"/>
    <x v="6"/>
    <s v="61"/>
    <x v="19"/>
    <x v="66"/>
    <x v="49"/>
    <s v="6122"/>
    <e v="#N/A"/>
    <m/>
    <s v="7"/>
    <x v="9"/>
    <s v="70"/>
    <e v="#N/A"/>
    <s v="700"/>
    <e v="#N/A"/>
  </r>
  <r>
    <n v="800"/>
    <n v="612200"/>
    <n v="1"/>
    <s v="1612200.800"/>
    <s v="האגף לפניות הציבור - השתתפויות תמיכות ותרומות"/>
    <m/>
    <m/>
    <n v="0"/>
    <n v="2100"/>
    <n v="900"/>
    <e v="#N/A"/>
    <x v="9"/>
    <x v="6"/>
    <s v="61"/>
    <x v="19"/>
    <x v="66"/>
    <x v="49"/>
    <s v="6122"/>
    <e v="#N/A"/>
    <m/>
    <s v="8"/>
    <x v="13"/>
    <s v="80"/>
    <e v="#N/A"/>
    <s v="800"/>
    <e v="#N/A"/>
  </r>
  <r>
    <n v="100"/>
    <n v="761000"/>
    <n v="1"/>
    <s v="1761000.100"/>
    <s v="מוקד עירוני - שכר לעובדים קבועים"/>
    <m/>
    <m/>
    <n v="2711200"/>
    <n v="2679200"/>
    <n v="2319100"/>
    <e v="#N/A"/>
    <x v="7"/>
    <x v="1"/>
    <s v="76"/>
    <x v="20"/>
    <x v="67"/>
    <x v="50"/>
    <s v="7610"/>
    <e v="#N/A"/>
    <m/>
    <s v="1"/>
    <x v="8"/>
    <s v="10"/>
    <e v="#N/A"/>
    <s v="100"/>
    <e v="#N/A"/>
  </r>
  <r>
    <n v="120"/>
    <n v="761000"/>
    <n v="1"/>
    <s v="1761000.120"/>
    <s v="מוקד עירוני - שעות נוספות"/>
    <m/>
    <m/>
    <n v="201800"/>
    <n v="201800"/>
    <n v="237500"/>
    <n v="545442"/>
    <x v="7"/>
    <x v="1"/>
    <s v="76"/>
    <x v="20"/>
    <x v="67"/>
    <x v="50"/>
    <s v="7610"/>
    <e v="#N/A"/>
    <m/>
    <s v="1"/>
    <x v="8"/>
    <s v="12"/>
    <s v="תוספות שאינן נכללות בשכר הקובע"/>
    <s v="120"/>
    <e v="#N/A"/>
  </r>
  <r>
    <n v="400"/>
    <n v="761000"/>
    <n v="1"/>
    <s v="1761000.400"/>
    <s v="מוקד עירוני - אחזקה אספקה וציוד"/>
    <m/>
    <m/>
    <n v="6900"/>
    <n v="6900"/>
    <n v="4700"/>
    <e v="#N/A"/>
    <x v="7"/>
    <x v="1"/>
    <s v="76"/>
    <x v="20"/>
    <x v="67"/>
    <x v="50"/>
    <s v="7610"/>
    <e v="#N/A"/>
    <m/>
    <s v="4"/>
    <x v="11"/>
    <s v="40"/>
    <e v="#N/A"/>
    <s v="400"/>
    <e v="#N/A"/>
  </r>
  <r>
    <n v="500"/>
    <n v="761000"/>
    <n v="1"/>
    <s v="1761000.500"/>
    <s v="מוקד עירוני - תחבורה ודואר"/>
    <m/>
    <m/>
    <n v="157800"/>
    <n v="160800"/>
    <n v="112900"/>
    <e v="#N/A"/>
    <x v="7"/>
    <x v="1"/>
    <s v="76"/>
    <x v="20"/>
    <x v="67"/>
    <x v="50"/>
    <s v="7610"/>
    <e v="#N/A"/>
    <m/>
    <s v="5"/>
    <x v="12"/>
    <s v="50"/>
    <e v="#N/A"/>
    <s v="500"/>
    <e v="#N/A"/>
  </r>
  <r>
    <n v="700"/>
    <n v="761000"/>
    <n v="1"/>
    <s v="1761000.700"/>
    <s v="מוקד עירוני - הוצאות לפעולות"/>
    <m/>
    <m/>
    <n v="5600"/>
    <n v="7600"/>
    <n v="7500"/>
    <e v="#N/A"/>
    <x v="7"/>
    <x v="1"/>
    <s v="76"/>
    <x v="20"/>
    <x v="67"/>
    <x v="50"/>
    <s v="7610"/>
    <e v="#N/A"/>
    <m/>
    <s v="7"/>
    <x v="9"/>
    <s v="70"/>
    <e v="#N/A"/>
    <s v="700"/>
    <e v="#N/A"/>
  </r>
  <r>
    <n v="100"/>
    <n v="612400"/>
    <n v="1"/>
    <s v="1612400.100"/>
    <s v="יועצת ראש העיר למעמד האישה - שכר לעובדים קבועים"/>
    <m/>
    <m/>
    <n v="264000"/>
    <n v="261000"/>
    <n v="248100"/>
    <e v="#N/A"/>
    <x v="9"/>
    <x v="6"/>
    <s v="61"/>
    <x v="19"/>
    <x v="66"/>
    <x v="49"/>
    <s v="6124"/>
    <e v="#N/A"/>
    <m/>
    <s v="1"/>
    <x v="8"/>
    <s v="10"/>
    <e v="#N/A"/>
    <s v="100"/>
    <e v="#N/A"/>
  </r>
  <r>
    <n v="120"/>
    <n v="612400"/>
    <n v="1"/>
    <s v="1612400.120"/>
    <s v="יועצת ראש העיר למעמד האישה - שעות נוספות"/>
    <m/>
    <m/>
    <n v="20000"/>
    <n v="20000"/>
    <n v="0"/>
    <e v="#N/A"/>
    <x v="9"/>
    <x v="6"/>
    <s v="61"/>
    <x v="19"/>
    <x v="66"/>
    <x v="49"/>
    <s v="6124"/>
    <e v="#N/A"/>
    <m/>
    <s v="1"/>
    <x v="8"/>
    <s v="12"/>
    <s v="תוספות שאינן נכללות בשכר הקובע"/>
    <s v="120"/>
    <e v="#N/A"/>
  </r>
  <r>
    <n v="400"/>
    <n v="612400"/>
    <n v="1"/>
    <s v="1612400.400"/>
    <s v="יועצת ראש העיר למעמד האישה - אחזקה אספקה וציוד"/>
    <m/>
    <m/>
    <n v="2000"/>
    <n v="2000"/>
    <n v="0"/>
    <e v="#N/A"/>
    <x v="9"/>
    <x v="6"/>
    <s v="61"/>
    <x v="19"/>
    <x v="66"/>
    <x v="49"/>
    <s v="6124"/>
    <e v="#N/A"/>
    <m/>
    <s v="4"/>
    <x v="11"/>
    <s v="40"/>
    <e v="#N/A"/>
    <s v="400"/>
    <e v="#N/A"/>
  </r>
  <r>
    <n v="500"/>
    <n v="612400"/>
    <n v="1"/>
    <s v="1612400.500"/>
    <s v="יועצת ראש העיר למעמד האישה - תחבורה ודואר"/>
    <m/>
    <m/>
    <n v="13600"/>
    <n v="13600"/>
    <n v="1400"/>
    <e v="#N/A"/>
    <x v="9"/>
    <x v="6"/>
    <s v="61"/>
    <x v="19"/>
    <x v="66"/>
    <x v="49"/>
    <s v="6124"/>
    <e v="#N/A"/>
    <m/>
    <s v="5"/>
    <x v="12"/>
    <s v="50"/>
    <e v="#N/A"/>
    <s v="500"/>
    <e v="#N/A"/>
  </r>
  <r>
    <n v="500"/>
    <n v="612400"/>
    <n v="1"/>
    <s v="1612400.500"/>
    <s v="יועצת ראש העיר למעמד האישה - הוצאות כלליות"/>
    <m/>
    <m/>
    <n v="1000"/>
    <n v="1000"/>
    <n v="0"/>
    <e v="#N/A"/>
    <x v="9"/>
    <x v="6"/>
    <s v="61"/>
    <x v="19"/>
    <x v="66"/>
    <x v="49"/>
    <s v="6124"/>
    <e v="#N/A"/>
    <m/>
    <s v="5"/>
    <x v="12"/>
    <s v="50"/>
    <e v="#N/A"/>
    <s v="500"/>
    <e v="#N/A"/>
  </r>
  <r>
    <n v="700"/>
    <n v="612400"/>
    <n v="1"/>
    <s v="1612400.700"/>
    <s v="יועצת ראש העיר למעמד האישה - הוצאות לפעולות"/>
    <m/>
    <m/>
    <n v="107200"/>
    <n v="110800"/>
    <n v="0"/>
    <e v="#N/A"/>
    <x v="9"/>
    <x v="6"/>
    <s v="61"/>
    <x v="19"/>
    <x v="66"/>
    <x v="49"/>
    <s v="6124"/>
    <e v="#N/A"/>
    <m/>
    <s v="7"/>
    <x v="9"/>
    <s v="70"/>
    <e v="#N/A"/>
    <s v="700"/>
    <e v="#N/A"/>
  </r>
  <r>
    <n v="100"/>
    <n v="611100"/>
    <n v="1"/>
    <s v="1611100.100"/>
    <s v="לשכת המנכ&quot;ל - שכר לעובדים קבועים"/>
    <m/>
    <m/>
    <n v="2438000"/>
    <n v="2417100"/>
    <n v="2365100"/>
    <e v="#N/A"/>
    <x v="9"/>
    <x v="6"/>
    <s v="61"/>
    <x v="19"/>
    <x v="65"/>
    <x v="48"/>
    <s v="6111"/>
    <s v="ראש הרשות המקומית וסגניו"/>
    <m/>
    <s v="1"/>
    <x v="8"/>
    <s v="10"/>
    <e v="#N/A"/>
    <s v="100"/>
    <e v="#N/A"/>
  </r>
  <r>
    <n v="120"/>
    <n v="611100"/>
    <n v="1"/>
    <s v="1611100.120"/>
    <s v="לשכת המנכ&quot;ל - שעות נוספות"/>
    <m/>
    <m/>
    <n v="44000"/>
    <n v="44000"/>
    <n v="47700"/>
    <n v="229250"/>
    <x v="9"/>
    <x v="6"/>
    <s v="61"/>
    <x v="19"/>
    <x v="65"/>
    <x v="48"/>
    <s v="6111"/>
    <s v="ראש הרשות המקומית וסגניו"/>
    <m/>
    <s v="1"/>
    <x v="8"/>
    <s v="12"/>
    <s v="תוספות שאינן נכללות בשכר הקובע"/>
    <s v="120"/>
    <e v="#N/A"/>
  </r>
  <r>
    <n v="400"/>
    <n v="611100"/>
    <n v="1"/>
    <s v="1611100.400"/>
    <s v="לשכת המנכ&quot;ל - אחזקה אספקה וציוד"/>
    <m/>
    <m/>
    <n v="26900"/>
    <n v="26900"/>
    <n v="22500"/>
    <e v="#N/A"/>
    <x v="9"/>
    <x v="6"/>
    <s v="61"/>
    <x v="19"/>
    <x v="65"/>
    <x v="48"/>
    <s v="6111"/>
    <s v="ראש הרשות המקומית וסגניו"/>
    <m/>
    <s v="4"/>
    <x v="11"/>
    <s v="40"/>
    <e v="#N/A"/>
    <s v="400"/>
    <e v="#N/A"/>
  </r>
  <r>
    <n v="500"/>
    <n v="611100"/>
    <n v="1"/>
    <s v="1611100.500"/>
    <s v="לשכת המנכ&quot;ל - תחבורה ודואר"/>
    <m/>
    <m/>
    <n v="76200"/>
    <n v="77500"/>
    <n v="60500"/>
    <e v="#N/A"/>
    <x v="9"/>
    <x v="6"/>
    <s v="61"/>
    <x v="19"/>
    <x v="65"/>
    <x v="48"/>
    <s v="6111"/>
    <s v="ראש הרשות המקומית וסגניו"/>
    <m/>
    <s v="5"/>
    <x v="12"/>
    <s v="50"/>
    <e v="#N/A"/>
    <s v="500"/>
    <e v="#N/A"/>
  </r>
  <r>
    <n v="500"/>
    <n v="611100"/>
    <n v="1"/>
    <s v="1611100.500"/>
    <s v="לשכת המנכ&quot;ל - הוצאות כלליות"/>
    <m/>
    <m/>
    <n v="11200"/>
    <n v="11200"/>
    <n v="7100"/>
    <e v="#N/A"/>
    <x v="9"/>
    <x v="6"/>
    <s v="61"/>
    <x v="19"/>
    <x v="65"/>
    <x v="48"/>
    <s v="6111"/>
    <s v="ראש הרשות המקומית וסגניו"/>
    <m/>
    <s v="5"/>
    <x v="12"/>
    <s v="50"/>
    <e v="#N/A"/>
    <s v="500"/>
    <e v="#N/A"/>
  </r>
  <r>
    <n v="700"/>
    <n v="611100"/>
    <n v="1"/>
    <s v="1611100.700"/>
    <s v="לשכת המנכ&quot;ל - הוצאות לפעולות"/>
    <m/>
    <m/>
    <n v="31000"/>
    <n v="34000"/>
    <n v="30500"/>
    <m/>
    <x v="9"/>
    <x v="6"/>
    <s v="61"/>
    <x v="19"/>
    <x v="65"/>
    <x v="48"/>
    <s v="6111"/>
    <s v="ראש הרשות המקומית וסגניו"/>
    <m/>
    <s v="7"/>
    <x v="9"/>
    <s v="70"/>
    <e v="#N/A"/>
    <s v="700"/>
    <e v="#N/A"/>
  </r>
  <r>
    <n v="100"/>
    <n v="611110"/>
    <n v="1"/>
    <s v="1611110.100"/>
    <s v="יחידה לפיתוח כלכלי - שכר לעובדים קבועים"/>
    <m/>
    <m/>
    <n v="0"/>
    <n v="0"/>
    <n v="38200"/>
    <e v="#N/A"/>
    <x v="9"/>
    <x v="6"/>
    <s v="61"/>
    <x v="19"/>
    <x v="65"/>
    <x v="48"/>
    <s v="6111"/>
    <s v="ראש הרשות המקומית וסגניו"/>
    <m/>
    <s v="1"/>
    <x v="8"/>
    <s v="10"/>
    <e v="#N/A"/>
    <s v="100"/>
    <e v="#N/A"/>
  </r>
  <r>
    <n v="120"/>
    <n v="611110"/>
    <n v="1"/>
    <s v="1611110.120"/>
    <s v="יחידה לפיתוח כלכלי - שעות נוספות"/>
    <m/>
    <m/>
    <n v="0"/>
    <n v="0"/>
    <n v="6800"/>
    <e v="#N/A"/>
    <x v="9"/>
    <x v="6"/>
    <s v="61"/>
    <x v="19"/>
    <x v="65"/>
    <x v="48"/>
    <s v="6111"/>
    <s v="ראש הרשות המקומית וסגניו"/>
    <m/>
    <s v="1"/>
    <x v="8"/>
    <s v="12"/>
    <s v="תוספות שאינן נכללות בשכר הקובע"/>
    <s v="120"/>
    <e v="#N/A"/>
  </r>
  <r>
    <n v="400"/>
    <n v="611110"/>
    <n v="1"/>
    <s v="1611110.400"/>
    <s v="יחידה לפיתוח כלכלי - אחזקה אספקה וציוד"/>
    <m/>
    <m/>
    <n v="6500"/>
    <n v="6500"/>
    <n v="3800"/>
    <e v="#N/A"/>
    <x v="9"/>
    <x v="6"/>
    <s v="61"/>
    <x v="19"/>
    <x v="65"/>
    <x v="48"/>
    <s v="6111"/>
    <s v="ראש הרשות המקומית וסגניו"/>
    <m/>
    <s v="4"/>
    <x v="11"/>
    <s v="40"/>
    <e v="#N/A"/>
    <s v="400"/>
    <e v="#N/A"/>
  </r>
  <r>
    <n v="500"/>
    <n v="611110"/>
    <n v="1"/>
    <s v="1611110.500"/>
    <s v="יחידה לפיתוח כלכלי - תחבורה ודואר"/>
    <m/>
    <m/>
    <n v="28000"/>
    <n v="28000"/>
    <n v="0"/>
    <e v="#N/A"/>
    <x v="9"/>
    <x v="6"/>
    <s v="61"/>
    <x v="19"/>
    <x v="65"/>
    <x v="48"/>
    <s v="6111"/>
    <s v="ראש הרשות המקומית וסגניו"/>
    <m/>
    <s v="5"/>
    <x v="12"/>
    <s v="50"/>
    <e v="#N/A"/>
    <s v="500"/>
    <e v="#N/A"/>
  </r>
  <r>
    <n v="500"/>
    <n v="611110"/>
    <n v="1"/>
    <s v="1611110.500"/>
    <s v="יחידה לפיתוח כלכלי - הוצאות כלליות"/>
    <m/>
    <m/>
    <n v="3000"/>
    <n v="3000"/>
    <n v="0"/>
    <e v="#N/A"/>
    <x v="9"/>
    <x v="6"/>
    <s v="61"/>
    <x v="19"/>
    <x v="65"/>
    <x v="48"/>
    <s v="6111"/>
    <s v="ראש הרשות המקומית וסגניו"/>
    <m/>
    <s v="5"/>
    <x v="12"/>
    <s v="50"/>
    <e v="#N/A"/>
    <s v="500"/>
    <e v="#N/A"/>
  </r>
  <r>
    <n v="700"/>
    <n v="611110"/>
    <n v="1"/>
    <s v="1611110.700"/>
    <s v="יחידה לפיתוח כלכלי - הוצאות לפעולות"/>
    <m/>
    <m/>
    <n v="179100"/>
    <n v="185500"/>
    <n v="102100"/>
    <e v="#N/A"/>
    <x v="9"/>
    <x v="6"/>
    <s v="61"/>
    <x v="19"/>
    <x v="65"/>
    <x v="48"/>
    <s v="6111"/>
    <s v="ראש הרשות המקומית וסגניו"/>
    <m/>
    <s v="7"/>
    <x v="9"/>
    <s v="70"/>
    <e v="#N/A"/>
    <s v="700"/>
    <e v="#N/A"/>
  </r>
  <r>
    <n v="100"/>
    <n v="612100"/>
    <n v="1"/>
    <s v="1612100.100"/>
    <s v="מבקר העירייה - שכר לעובדים קבועים"/>
    <m/>
    <m/>
    <n v="2592000"/>
    <n v="2564000"/>
    <n v="2458500"/>
    <e v="#N/A"/>
    <x v="9"/>
    <x v="6"/>
    <s v="61"/>
    <x v="19"/>
    <x v="66"/>
    <x v="49"/>
    <s v="6121"/>
    <e v="#N/A"/>
    <m/>
    <s v="1"/>
    <x v="8"/>
    <s v="10"/>
    <e v="#N/A"/>
    <s v="100"/>
    <e v="#N/A"/>
  </r>
  <r>
    <n v="120"/>
    <n v="612100"/>
    <n v="1"/>
    <s v="1612100.120"/>
    <s v="מבקר העירייה - שעות נוספות"/>
    <m/>
    <m/>
    <n v="8000"/>
    <n v="8000"/>
    <n v="2900"/>
    <e v="#N/A"/>
    <x v="9"/>
    <x v="6"/>
    <s v="61"/>
    <x v="19"/>
    <x v="66"/>
    <x v="49"/>
    <s v="6121"/>
    <e v="#N/A"/>
    <m/>
    <s v="1"/>
    <x v="8"/>
    <s v="12"/>
    <s v="תוספות שאינן נכללות בשכר הקובע"/>
    <s v="120"/>
    <e v="#N/A"/>
  </r>
  <r>
    <n v="400"/>
    <n v="612100"/>
    <n v="1"/>
    <s v="1612100.400"/>
    <s v="מבקר העירייה - אחזקה אספקה וציוד"/>
    <m/>
    <m/>
    <n v="16600"/>
    <n v="16600"/>
    <n v="13400"/>
    <m/>
    <x v="9"/>
    <x v="6"/>
    <s v="61"/>
    <x v="19"/>
    <x v="66"/>
    <x v="49"/>
    <s v="6121"/>
    <e v="#N/A"/>
    <m/>
    <s v="4"/>
    <x v="11"/>
    <s v="40"/>
    <e v="#N/A"/>
    <s v="400"/>
    <e v="#N/A"/>
  </r>
  <r>
    <n v="500"/>
    <n v="612100"/>
    <n v="1"/>
    <s v="1612100.500"/>
    <s v="מבקר העירייה - תחבורה ודואר"/>
    <m/>
    <m/>
    <n v="37800"/>
    <n v="37800"/>
    <n v="34600"/>
    <e v="#N/A"/>
    <x v="9"/>
    <x v="6"/>
    <s v="61"/>
    <x v="19"/>
    <x v="66"/>
    <x v="49"/>
    <s v="6121"/>
    <e v="#N/A"/>
    <m/>
    <s v="5"/>
    <x v="12"/>
    <s v="50"/>
    <e v="#N/A"/>
    <s v="500"/>
    <e v="#N/A"/>
  </r>
  <r>
    <n v="500"/>
    <n v="612100"/>
    <n v="1"/>
    <s v="1612100.500"/>
    <s v="מבקר העירייה - הוצאות כלליות"/>
    <m/>
    <m/>
    <n v="3200"/>
    <n v="3200"/>
    <n v="1200"/>
    <e v="#N/A"/>
    <x v="9"/>
    <x v="6"/>
    <s v="61"/>
    <x v="19"/>
    <x v="66"/>
    <x v="49"/>
    <s v="6121"/>
    <e v="#N/A"/>
    <m/>
    <s v="5"/>
    <x v="12"/>
    <s v="50"/>
    <e v="#N/A"/>
    <s v="500"/>
    <e v="#N/A"/>
  </r>
  <r>
    <n v="700"/>
    <n v="612100"/>
    <n v="1"/>
    <s v="1612100.700"/>
    <s v="מבקר העירייה - הוצאות לפעולות"/>
    <m/>
    <m/>
    <n v="15700"/>
    <n v="17900"/>
    <n v="6200"/>
    <e v="#N/A"/>
    <x v="9"/>
    <x v="6"/>
    <s v="61"/>
    <x v="19"/>
    <x v="66"/>
    <x v="49"/>
    <s v="6121"/>
    <e v="#N/A"/>
    <m/>
    <s v="7"/>
    <x v="9"/>
    <s v="70"/>
    <e v="#N/A"/>
    <s v="700"/>
    <e v="#N/A"/>
  </r>
  <r>
    <n v="100"/>
    <n v="614000"/>
    <n v="1"/>
    <s v="1614000.100"/>
    <s v="אגף דוברות והסברה - שכר לעובדים קבועים"/>
    <m/>
    <m/>
    <n v="2225200"/>
    <n v="2198200"/>
    <n v="2018600"/>
    <e v="#N/A"/>
    <x v="9"/>
    <x v="6"/>
    <s v="61"/>
    <x v="19"/>
    <x v="68"/>
    <x v="51"/>
    <s v="6140"/>
    <e v="#N/A"/>
    <m/>
    <s v="1"/>
    <x v="8"/>
    <s v="10"/>
    <e v="#N/A"/>
    <s v="100"/>
    <e v="#N/A"/>
  </r>
  <r>
    <n v="120"/>
    <n v="614000"/>
    <n v="1"/>
    <s v="1614000.120"/>
    <s v="אגף דוברות והסברה - שעות נוספות"/>
    <m/>
    <m/>
    <n v="203800"/>
    <n v="203800"/>
    <n v="237900"/>
    <n v="63404"/>
    <x v="9"/>
    <x v="6"/>
    <s v="61"/>
    <x v="19"/>
    <x v="68"/>
    <x v="51"/>
    <s v="6140"/>
    <e v="#N/A"/>
    <m/>
    <s v="1"/>
    <x v="8"/>
    <s v="12"/>
    <s v="תוספות שאינן נכללות בשכר הקובע"/>
    <s v="120"/>
    <e v="#N/A"/>
  </r>
  <r>
    <n v="400"/>
    <n v="614000"/>
    <n v="1"/>
    <s v="1614000.400"/>
    <s v="אגף דוברות והסברה - אחזקה אספקה וציוד"/>
    <m/>
    <m/>
    <n v="70900"/>
    <n v="70900"/>
    <n v="64900"/>
    <e v="#N/A"/>
    <x v="9"/>
    <x v="6"/>
    <s v="61"/>
    <x v="19"/>
    <x v="68"/>
    <x v="51"/>
    <s v="6140"/>
    <e v="#N/A"/>
    <m/>
    <s v="4"/>
    <x v="11"/>
    <s v="40"/>
    <e v="#N/A"/>
    <s v="400"/>
    <e v="#N/A"/>
  </r>
  <r>
    <n v="500"/>
    <n v="614000"/>
    <n v="1"/>
    <s v="1614000.500"/>
    <s v="אגף דוברות והסברה - תחבורה ודואר"/>
    <m/>
    <m/>
    <n v="181600"/>
    <n v="181600"/>
    <n v="92400"/>
    <e v="#N/A"/>
    <x v="9"/>
    <x v="6"/>
    <s v="61"/>
    <x v="19"/>
    <x v="68"/>
    <x v="51"/>
    <s v="6140"/>
    <e v="#N/A"/>
    <m/>
    <s v="5"/>
    <x v="12"/>
    <s v="50"/>
    <e v="#N/A"/>
    <s v="500"/>
    <e v="#N/A"/>
  </r>
  <r>
    <n v="500"/>
    <n v="614000"/>
    <n v="1"/>
    <s v="1614000.500"/>
    <s v="אגף דוברות והסברה - הוצאות כלליות"/>
    <m/>
    <m/>
    <n v="3553100"/>
    <n v="3667300"/>
    <n v="2700200"/>
    <e v="#N/A"/>
    <x v="9"/>
    <x v="6"/>
    <s v="61"/>
    <x v="19"/>
    <x v="68"/>
    <x v="51"/>
    <s v="6140"/>
    <e v="#N/A"/>
    <m/>
    <s v="5"/>
    <x v="12"/>
    <s v="50"/>
    <e v="#N/A"/>
    <s v="500"/>
    <e v="#N/A"/>
  </r>
  <r>
    <n v="700"/>
    <n v="614000"/>
    <n v="1"/>
    <s v="1614000.700"/>
    <s v="אגף דוברות והסברה - הוצאות לפעולות"/>
    <m/>
    <m/>
    <n v="80200"/>
    <n v="80200"/>
    <n v="78100"/>
    <e v="#N/A"/>
    <x v="9"/>
    <x v="6"/>
    <s v="61"/>
    <x v="19"/>
    <x v="68"/>
    <x v="51"/>
    <s v="6140"/>
    <e v="#N/A"/>
    <m/>
    <s v="7"/>
    <x v="9"/>
    <s v="70"/>
    <e v="#N/A"/>
    <s v="700"/>
    <e v="#N/A"/>
  </r>
  <r>
    <n v="100"/>
    <n v="617110"/>
    <n v="1"/>
    <s v="1617110.100"/>
    <s v="השירות המשפטי - שכר לעובדים קבועים"/>
    <m/>
    <m/>
    <n v="10359200"/>
    <n v="10237100"/>
    <n v="10294300"/>
    <e v="#N/A"/>
    <x v="9"/>
    <x v="6"/>
    <s v="61"/>
    <x v="19"/>
    <x v="69"/>
    <x v="52"/>
    <s v="6171"/>
    <e v="#N/A"/>
    <m/>
    <s v="1"/>
    <x v="8"/>
    <s v="10"/>
    <e v="#N/A"/>
    <s v="100"/>
    <e v="#N/A"/>
  </r>
  <r>
    <n v="120"/>
    <n v="617110"/>
    <n v="1"/>
    <s v="1617110.120"/>
    <s v="השירות המשפטי - שעות נוספות"/>
    <m/>
    <m/>
    <n v="273800"/>
    <n v="273800"/>
    <n v="246800"/>
    <e v="#N/A"/>
    <x v="9"/>
    <x v="6"/>
    <s v="61"/>
    <x v="19"/>
    <x v="69"/>
    <x v="52"/>
    <s v="6171"/>
    <e v="#N/A"/>
    <m/>
    <s v="1"/>
    <x v="8"/>
    <s v="12"/>
    <s v="תוספות שאינן נכללות בשכר הקובע"/>
    <s v="120"/>
    <e v="#N/A"/>
  </r>
  <r>
    <n v="400"/>
    <n v="617110"/>
    <n v="1"/>
    <s v="1617110.400"/>
    <s v="השירות המשפטי - אחזקה אספקה וציוד"/>
    <m/>
    <m/>
    <n v="100800"/>
    <n v="109000"/>
    <n v="77800"/>
    <e v="#N/A"/>
    <x v="9"/>
    <x v="6"/>
    <s v="61"/>
    <x v="19"/>
    <x v="69"/>
    <x v="52"/>
    <s v="6171"/>
    <e v="#N/A"/>
    <m/>
    <s v="4"/>
    <x v="11"/>
    <s v="40"/>
    <e v="#N/A"/>
    <s v="400"/>
    <e v="#N/A"/>
  </r>
  <r>
    <n v="500"/>
    <n v="617110"/>
    <n v="1"/>
    <s v="1617110.500"/>
    <s v="השירות המשפטי - תחבורה ודואר"/>
    <m/>
    <m/>
    <n v="139300"/>
    <n v="139300"/>
    <n v="111800"/>
    <e v="#N/A"/>
    <x v="9"/>
    <x v="6"/>
    <s v="61"/>
    <x v="19"/>
    <x v="69"/>
    <x v="52"/>
    <s v="6171"/>
    <e v="#N/A"/>
    <m/>
    <s v="5"/>
    <x v="12"/>
    <s v="50"/>
    <e v="#N/A"/>
    <s v="500"/>
    <e v="#N/A"/>
  </r>
  <r>
    <n v="500"/>
    <n v="617110"/>
    <n v="1"/>
    <s v="1617110.500"/>
    <s v="השירות המשפטי - הוצאות כלליות"/>
    <m/>
    <m/>
    <n v="7000"/>
    <n v="7000"/>
    <n v="4200"/>
    <e v="#N/A"/>
    <x v="9"/>
    <x v="6"/>
    <s v="61"/>
    <x v="19"/>
    <x v="69"/>
    <x v="52"/>
    <s v="6171"/>
    <e v="#N/A"/>
    <m/>
    <s v="5"/>
    <x v="12"/>
    <s v="50"/>
    <e v="#N/A"/>
    <s v="500"/>
    <e v="#N/A"/>
  </r>
  <r>
    <n v="700"/>
    <n v="617110"/>
    <n v="1"/>
    <s v="1617110.700"/>
    <s v="השירות המשפטי - הוצאות לפעולות"/>
    <m/>
    <m/>
    <n v="58600"/>
    <n v="59400"/>
    <n v="97700"/>
    <e v="#N/A"/>
    <x v="9"/>
    <x v="6"/>
    <s v="61"/>
    <x v="19"/>
    <x v="69"/>
    <x v="52"/>
    <s v="6171"/>
    <e v="#N/A"/>
    <m/>
    <s v="7"/>
    <x v="9"/>
    <s v="70"/>
    <e v="#N/A"/>
    <s v="700"/>
    <e v="#N/A"/>
  </r>
  <r>
    <n v="100"/>
    <n v="731120"/>
    <n v="1"/>
    <s v="1731120.100"/>
    <s v="עירונית קרית חיים - שכר לעובדים קבועים"/>
    <m/>
    <m/>
    <n v="2393200"/>
    <n v="2366200"/>
    <n v="2652300"/>
    <m/>
    <x v="7"/>
    <x v="1"/>
    <s v="73"/>
    <x v="5"/>
    <x v="59"/>
    <x v="9"/>
    <s v="7311"/>
    <e v="#N/A"/>
    <m/>
    <s v="1"/>
    <x v="8"/>
    <s v="10"/>
    <e v="#N/A"/>
    <s v="100"/>
    <e v="#N/A"/>
  </r>
  <r>
    <n v="120"/>
    <n v="731120"/>
    <n v="1"/>
    <s v="1731120.120"/>
    <s v="עירונית קרית חיים - שעות נוספות"/>
    <m/>
    <m/>
    <n v="105800"/>
    <n v="105800"/>
    <n v="96400"/>
    <m/>
    <x v="7"/>
    <x v="1"/>
    <s v="73"/>
    <x v="5"/>
    <x v="59"/>
    <x v="9"/>
    <s v="7311"/>
    <e v="#N/A"/>
    <m/>
    <s v="1"/>
    <x v="8"/>
    <s v="12"/>
    <s v="תוספות שאינן נכללות בשכר הקובע"/>
    <s v="120"/>
    <e v="#N/A"/>
  </r>
  <r>
    <n v="400"/>
    <n v="731120"/>
    <n v="1"/>
    <s v="1731120.400"/>
    <s v="עירונית קרית חיים - אחזקה אספקה וציוד"/>
    <m/>
    <m/>
    <n v="72000"/>
    <n v="72000"/>
    <n v="69900"/>
    <m/>
    <x v="7"/>
    <x v="1"/>
    <s v="73"/>
    <x v="5"/>
    <x v="59"/>
    <x v="9"/>
    <s v="7311"/>
    <e v="#N/A"/>
    <m/>
    <s v="4"/>
    <x v="11"/>
    <s v="40"/>
    <e v="#N/A"/>
    <s v="400"/>
    <e v="#N/A"/>
  </r>
  <r>
    <n v="500"/>
    <n v="731120"/>
    <n v="1"/>
    <s v="1731120.500"/>
    <s v="עירונית קרית חיים - תחבורה ודואר"/>
    <m/>
    <m/>
    <n v="78400"/>
    <n v="78400"/>
    <n v="60700"/>
    <e v="#N/A"/>
    <x v="7"/>
    <x v="1"/>
    <s v="73"/>
    <x v="5"/>
    <x v="59"/>
    <x v="9"/>
    <s v="7311"/>
    <e v="#N/A"/>
    <m/>
    <s v="5"/>
    <x v="12"/>
    <s v="50"/>
    <e v="#N/A"/>
    <s v="500"/>
    <e v="#N/A"/>
  </r>
  <r>
    <n v="500"/>
    <n v="731120"/>
    <n v="1"/>
    <s v="1731120.500"/>
    <s v="עירונית קרית חיים - הוצאות כלליות"/>
    <m/>
    <m/>
    <n v="14700"/>
    <n v="14700"/>
    <n v="6300"/>
    <e v="#N/A"/>
    <x v="7"/>
    <x v="1"/>
    <s v="73"/>
    <x v="5"/>
    <x v="59"/>
    <x v="9"/>
    <s v="7311"/>
    <e v="#N/A"/>
    <m/>
    <s v="5"/>
    <x v="12"/>
    <s v="50"/>
    <e v="#N/A"/>
    <s v="500"/>
    <e v="#N/A"/>
  </r>
  <r>
    <n v="700"/>
    <n v="731120"/>
    <n v="1"/>
    <s v="1731120.700"/>
    <s v="עירונית קרית חיים - הוצאות לפעולות"/>
    <m/>
    <m/>
    <n v="54300"/>
    <n v="60800"/>
    <n v="70100"/>
    <e v="#N/A"/>
    <x v="7"/>
    <x v="1"/>
    <s v="73"/>
    <x v="5"/>
    <x v="59"/>
    <x v="9"/>
    <s v="7311"/>
    <e v="#N/A"/>
    <m/>
    <s v="7"/>
    <x v="9"/>
    <s v="70"/>
    <e v="#N/A"/>
    <s v="700"/>
    <e v="#N/A"/>
  </r>
  <r>
    <n v="100"/>
    <n v="613100"/>
    <n v="1"/>
    <s v="1613100.100"/>
    <s v="יחידת מזכיר העיר - שכר לעובדים קבועים"/>
    <m/>
    <m/>
    <n v="1930800"/>
    <n v="1908800"/>
    <n v="1815900"/>
    <e v="#N/A"/>
    <x v="9"/>
    <x v="6"/>
    <s v="61"/>
    <x v="19"/>
    <x v="70"/>
    <x v="53"/>
    <s v="6131"/>
    <e v="#N/A"/>
    <m/>
    <s v="1"/>
    <x v="8"/>
    <s v="10"/>
    <e v="#N/A"/>
    <s v="100"/>
    <e v="#N/A"/>
  </r>
  <r>
    <n v="120"/>
    <n v="613100"/>
    <n v="1"/>
    <s v="1613100.120"/>
    <s v="יחידת מזכיר העיר - שעות נוספות"/>
    <m/>
    <m/>
    <n v="49200"/>
    <n v="49200"/>
    <n v="65700"/>
    <e v="#N/A"/>
    <x v="9"/>
    <x v="6"/>
    <s v="61"/>
    <x v="19"/>
    <x v="70"/>
    <x v="53"/>
    <s v="6131"/>
    <e v="#N/A"/>
    <m/>
    <s v="1"/>
    <x v="8"/>
    <s v="12"/>
    <s v="תוספות שאינן נכללות בשכר הקובע"/>
    <s v="120"/>
    <e v="#N/A"/>
  </r>
  <r>
    <n v="400"/>
    <n v="613100"/>
    <n v="1"/>
    <s v="1613100.400"/>
    <s v="יחידת מזכיר העיר - אחזקה אספקה וציוד"/>
    <m/>
    <m/>
    <n v="10100"/>
    <n v="12500"/>
    <n v="14900"/>
    <e v="#N/A"/>
    <x v="9"/>
    <x v="6"/>
    <s v="61"/>
    <x v="19"/>
    <x v="70"/>
    <x v="53"/>
    <s v="6131"/>
    <e v="#N/A"/>
    <m/>
    <s v="4"/>
    <x v="11"/>
    <s v="40"/>
    <e v="#N/A"/>
    <s v="400"/>
    <e v="#N/A"/>
  </r>
  <r>
    <n v="500"/>
    <n v="613100"/>
    <n v="1"/>
    <s v="1613100.500"/>
    <s v="יחידת מזכיר העיר - תחבורה ודואר"/>
    <m/>
    <m/>
    <n v="68700"/>
    <n v="68700"/>
    <n v="86700"/>
    <e v="#N/A"/>
    <x v="9"/>
    <x v="6"/>
    <s v="61"/>
    <x v="19"/>
    <x v="70"/>
    <x v="53"/>
    <s v="6131"/>
    <e v="#N/A"/>
    <m/>
    <s v="5"/>
    <x v="12"/>
    <s v="50"/>
    <e v="#N/A"/>
    <s v="500"/>
    <e v="#N/A"/>
  </r>
  <r>
    <n v="500"/>
    <n v="613100"/>
    <n v="1"/>
    <s v="1613100.500"/>
    <s v="יחידת מזכיר העיר - הוצאות כלליות"/>
    <m/>
    <m/>
    <n v="1000"/>
    <n v="1000"/>
    <n v="700"/>
    <e v="#N/A"/>
    <x v="9"/>
    <x v="6"/>
    <s v="61"/>
    <x v="19"/>
    <x v="70"/>
    <x v="53"/>
    <s v="6131"/>
    <e v="#N/A"/>
    <m/>
    <s v="5"/>
    <x v="12"/>
    <s v="50"/>
    <e v="#N/A"/>
    <s v="500"/>
    <e v="#N/A"/>
  </r>
  <r>
    <n v="700"/>
    <n v="613100"/>
    <n v="1"/>
    <s v="1613100.700"/>
    <s v="יחידת מזכיר העיר - הוצאות לפעולות"/>
    <m/>
    <m/>
    <n v="800"/>
    <n v="800"/>
    <n v="1100"/>
    <e v="#N/A"/>
    <x v="9"/>
    <x v="6"/>
    <s v="61"/>
    <x v="19"/>
    <x v="70"/>
    <x v="53"/>
    <s v="6131"/>
    <e v="#N/A"/>
    <m/>
    <s v="7"/>
    <x v="9"/>
    <s v="70"/>
    <e v="#N/A"/>
    <s v="700"/>
    <e v="#N/A"/>
  </r>
  <r>
    <n v="100"/>
    <n v="613000"/>
    <n v="1"/>
    <s v="1613000.100"/>
    <s v="מזכירות המועצה והוועדות - שכר לעובדים קבועים"/>
    <m/>
    <m/>
    <n v="801000"/>
    <n v="792000"/>
    <n v="714000"/>
    <e v="#N/A"/>
    <x v="9"/>
    <x v="6"/>
    <s v="61"/>
    <x v="19"/>
    <x v="70"/>
    <x v="53"/>
    <s v="6130"/>
    <e v="#N/A"/>
    <m/>
    <s v="1"/>
    <x v="8"/>
    <s v="10"/>
    <e v="#N/A"/>
    <s v="100"/>
    <e v="#N/A"/>
  </r>
  <r>
    <n v="120"/>
    <n v="613000"/>
    <n v="1"/>
    <s v="1613000.120"/>
    <s v="מזכירות המועצה והוועדות - שעות נוספות"/>
    <m/>
    <m/>
    <n v="17000"/>
    <n v="17000"/>
    <n v="21800"/>
    <n v="68011"/>
    <x v="9"/>
    <x v="6"/>
    <s v="61"/>
    <x v="19"/>
    <x v="70"/>
    <x v="53"/>
    <s v="6130"/>
    <e v="#N/A"/>
    <m/>
    <s v="1"/>
    <x v="8"/>
    <s v="12"/>
    <s v="תוספות שאינן נכללות בשכר הקובע"/>
    <s v="120"/>
    <e v="#N/A"/>
  </r>
  <r>
    <n v="400"/>
    <n v="613000"/>
    <n v="1"/>
    <s v="1613000.400"/>
    <s v="מזכירות המועצה והוועדות - אחזקה אספקה וציוד"/>
    <m/>
    <m/>
    <n v="69600"/>
    <n v="69600"/>
    <n v="73100"/>
    <e v="#N/A"/>
    <x v="9"/>
    <x v="6"/>
    <s v="61"/>
    <x v="19"/>
    <x v="70"/>
    <x v="53"/>
    <s v="6130"/>
    <e v="#N/A"/>
    <m/>
    <s v="4"/>
    <x v="11"/>
    <s v="40"/>
    <e v="#N/A"/>
    <s v="400"/>
    <e v="#N/A"/>
  </r>
  <r>
    <n v="500"/>
    <n v="613000"/>
    <n v="1"/>
    <s v="1613000.500"/>
    <s v="מזכירות המועצה והוועדות - תחבורה ודואר"/>
    <m/>
    <m/>
    <n v="51700"/>
    <n v="51700"/>
    <n v="25300"/>
    <m/>
    <x v="9"/>
    <x v="6"/>
    <s v="61"/>
    <x v="19"/>
    <x v="70"/>
    <x v="53"/>
    <s v="6130"/>
    <e v="#N/A"/>
    <m/>
    <s v="5"/>
    <x v="12"/>
    <s v="50"/>
    <e v="#N/A"/>
    <s v="500"/>
    <e v="#N/A"/>
  </r>
  <r>
    <n v="500"/>
    <n v="613000"/>
    <n v="1"/>
    <s v="1613000.500"/>
    <s v="מזכירות המועצה והוועדות - הוצאות כלליות"/>
    <m/>
    <m/>
    <n v="500"/>
    <n v="500"/>
    <n v="200"/>
    <e v="#N/A"/>
    <x v="9"/>
    <x v="6"/>
    <s v="61"/>
    <x v="19"/>
    <x v="70"/>
    <x v="53"/>
    <s v="6130"/>
    <e v="#N/A"/>
    <m/>
    <s v="5"/>
    <x v="12"/>
    <s v="50"/>
    <e v="#N/A"/>
    <s v="500"/>
    <e v="#N/A"/>
  </r>
  <r>
    <n v="700"/>
    <n v="613000"/>
    <n v="1"/>
    <s v="1613000.700"/>
    <s v="מזכירות המועצה והוועדות - הוצאות לפעולות"/>
    <m/>
    <m/>
    <n v="42300"/>
    <n v="47100"/>
    <n v="45700"/>
    <e v="#N/A"/>
    <x v="9"/>
    <x v="6"/>
    <s v="61"/>
    <x v="19"/>
    <x v="70"/>
    <x v="53"/>
    <s v="6130"/>
    <e v="#N/A"/>
    <m/>
    <s v="7"/>
    <x v="9"/>
    <s v="70"/>
    <e v="#N/A"/>
    <s v="700"/>
    <e v="#N/A"/>
  </r>
  <r>
    <n v="100"/>
    <n v="613400"/>
    <n v="1"/>
    <s v="1613400.100"/>
    <s v="לשכות סגני רה&quot;ע - שכר לעובדים קבועים"/>
    <m/>
    <m/>
    <n v="4223800"/>
    <n v="4043800"/>
    <n v="4301600"/>
    <e v="#N/A"/>
    <x v="9"/>
    <x v="6"/>
    <s v="61"/>
    <x v="19"/>
    <x v="70"/>
    <x v="53"/>
    <s v="6134"/>
    <e v="#N/A"/>
    <m/>
    <s v="1"/>
    <x v="8"/>
    <s v="10"/>
    <e v="#N/A"/>
    <s v="100"/>
    <e v="#N/A"/>
  </r>
  <r>
    <n v="120"/>
    <n v="613400"/>
    <n v="1"/>
    <s v="1613400.120"/>
    <s v="לשכות סגני רה&quot;ע - שעות נוספות"/>
    <m/>
    <m/>
    <n v="25200"/>
    <n v="25200"/>
    <n v="38300"/>
    <e v="#N/A"/>
    <x v="9"/>
    <x v="6"/>
    <s v="61"/>
    <x v="19"/>
    <x v="70"/>
    <x v="53"/>
    <s v="6134"/>
    <e v="#N/A"/>
    <m/>
    <s v="1"/>
    <x v="8"/>
    <s v="12"/>
    <s v="תוספות שאינן נכללות בשכר הקובע"/>
    <s v="120"/>
    <e v="#N/A"/>
  </r>
  <r>
    <n v="400"/>
    <n v="613400"/>
    <n v="1"/>
    <s v="1613400.400"/>
    <s v="לשכות סגני רה&quot;ע - אחזקה אספקה וציוד"/>
    <m/>
    <m/>
    <n v="27700"/>
    <n v="25700"/>
    <n v="25500"/>
    <e v="#N/A"/>
    <x v="9"/>
    <x v="6"/>
    <s v="61"/>
    <x v="19"/>
    <x v="70"/>
    <x v="53"/>
    <s v="6134"/>
    <e v="#N/A"/>
    <m/>
    <s v="4"/>
    <x v="11"/>
    <s v="40"/>
    <e v="#N/A"/>
    <s v="400"/>
    <e v="#N/A"/>
  </r>
  <r>
    <n v="500"/>
    <n v="613400"/>
    <n v="1"/>
    <s v="1613400.500"/>
    <s v="לשכות סגני רה&quot;ע - תחבורה ודואר"/>
    <m/>
    <m/>
    <n v="105000"/>
    <n v="109000"/>
    <n v="77800"/>
    <e v="#N/A"/>
    <x v="9"/>
    <x v="6"/>
    <s v="61"/>
    <x v="19"/>
    <x v="70"/>
    <x v="53"/>
    <s v="6134"/>
    <e v="#N/A"/>
    <m/>
    <s v="5"/>
    <x v="12"/>
    <s v="50"/>
    <e v="#N/A"/>
    <s v="500"/>
    <e v="#N/A"/>
  </r>
  <r>
    <n v="500"/>
    <n v="613400"/>
    <n v="1"/>
    <s v="1613400.500"/>
    <s v="לשכות סגני רה&quot;ע - הוצאות כלליות"/>
    <m/>
    <m/>
    <n v="18900"/>
    <n v="19100"/>
    <n v="15900"/>
    <e v="#N/A"/>
    <x v="9"/>
    <x v="6"/>
    <s v="61"/>
    <x v="19"/>
    <x v="70"/>
    <x v="53"/>
    <s v="6134"/>
    <e v="#N/A"/>
    <m/>
    <s v="5"/>
    <x v="12"/>
    <s v="50"/>
    <e v="#N/A"/>
    <s v="500"/>
    <e v="#N/A"/>
  </r>
  <r>
    <n v="700"/>
    <n v="613400"/>
    <n v="1"/>
    <s v="1613400.700"/>
    <s v="לשכות סגני רה&quot;ע - הוצאות לפעולות"/>
    <m/>
    <m/>
    <n v="10700"/>
    <n v="13300"/>
    <n v="12000"/>
    <m/>
    <x v="9"/>
    <x v="6"/>
    <s v="61"/>
    <x v="19"/>
    <x v="70"/>
    <x v="53"/>
    <s v="6134"/>
    <e v="#N/A"/>
    <m/>
    <s v="7"/>
    <x v="9"/>
    <s v="70"/>
    <e v="#N/A"/>
    <s v="700"/>
    <e v="#N/A"/>
  </r>
  <r>
    <n v="100"/>
    <n v="613300"/>
    <n v="1"/>
    <s v="1613300.100"/>
    <s v="היחידה לטקסים - שכר לעובדים קבועים"/>
    <m/>
    <m/>
    <n v="508200"/>
    <n v="502200"/>
    <n v="520700"/>
    <e v="#N/A"/>
    <x v="9"/>
    <x v="6"/>
    <s v="61"/>
    <x v="19"/>
    <x v="70"/>
    <x v="53"/>
    <s v="6133"/>
    <e v="#N/A"/>
    <m/>
    <s v="1"/>
    <x v="8"/>
    <s v="10"/>
    <e v="#N/A"/>
    <s v="100"/>
    <e v="#N/A"/>
  </r>
  <r>
    <n v="120"/>
    <n v="613300"/>
    <n v="1"/>
    <s v="1613300.120"/>
    <s v="היחידה לטקסים - שעות נוספות"/>
    <m/>
    <m/>
    <n v="23800"/>
    <n v="23800"/>
    <n v="18700"/>
    <e v="#N/A"/>
    <x v="9"/>
    <x v="6"/>
    <s v="61"/>
    <x v="19"/>
    <x v="70"/>
    <x v="53"/>
    <s v="6133"/>
    <e v="#N/A"/>
    <m/>
    <s v="1"/>
    <x v="8"/>
    <s v="12"/>
    <s v="תוספות שאינן נכללות בשכר הקובע"/>
    <s v="120"/>
    <e v="#N/A"/>
  </r>
  <r>
    <n v="400"/>
    <n v="613300"/>
    <n v="1"/>
    <s v="1613300.400"/>
    <s v="היחידה לטקסים - אחזקה אספקה וציוד"/>
    <m/>
    <m/>
    <n v="18900"/>
    <n v="19700"/>
    <n v="28000"/>
    <e v="#N/A"/>
    <x v="9"/>
    <x v="6"/>
    <s v="61"/>
    <x v="19"/>
    <x v="70"/>
    <x v="53"/>
    <s v="6133"/>
    <e v="#N/A"/>
    <m/>
    <s v="4"/>
    <x v="11"/>
    <s v="40"/>
    <e v="#N/A"/>
    <s v="400"/>
    <e v="#N/A"/>
  </r>
  <r>
    <n v="500"/>
    <n v="613300"/>
    <n v="1"/>
    <s v="1613300.500"/>
    <s v="היחידה לטקסים - תחבורה ודואר"/>
    <m/>
    <m/>
    <n v="2700"/>
    <n v="1700"/>
    <n v="900"/>
    <m/>
    <x v="9"/>
    <x v="6"/>
    <s v="61"/>
    <x v="19"/>
    <x v="70"/>
    <x v="53"/>
    <s v="6133"/>
    <e v="#N/A"/>
    <m/>
    <s v="5"/>
    <x v="12"/>
    <s v="50"/>
    <e v="#N/A"/>
    <s v="500"/>
    <e v="#N/A"/>
  </r>
  <r>
    <n v="500"/>
    <n v="613300"/>
    <n v="1"/>
    <s v="1613300.500"/>
    <s v="היחידה לטקסים - הוצאות כלליות"/>
    <m/>
    <m/>
    <n v="3000"/>
    <n v="4000"/>
    <n v="2800"/>
    <e v="#N/A"/>
    <x v="9"/>
    <x v="6"/>
    <s v="61"/>
    <x v="19"/>
    <x v="70"/>
    <x v="53"/>
    <s v="6133"/>
    <e v="#N/A"/>
    <m/>
    <s v="5"/>
    <x v="12"/>
    <s v="50"/>
    <e v="#N/A"/>
    <s v="500"/>
    <e v="#N/A"/>
  </r>
  <r>
    <n v="700"/>
    <n v="613300"/>
    <n v="1"/>
    <s v="1613300.700"/>
    <s v="היחידה לטקסים - הוצאות לפעולות"/>
    <m/>
    <m/>
    <n v="2800"/>
    <n v="2800"/>
    <n v="100"/>
    <e v="#N/A"/>
    <x v="9"/>
    <x v="6"/>
    <s v="61"/>
    <x v="19"/>
    <x v="70"/>
    <x v="53"/>
    <s v="6133"/>
    <e v="#N/A"/>
    <m/>
    <s v="7"/>
    <x v="9"/>
    <s v="70"/>
    <e v="#N/A"/>
    <s v="700"/>
    <e v="#N/A"/>
  </r>
  <r>
    <n v="400"/>
    <n v="752100"/>
    <n v="1"/>
    <s v="1752100.400"/>
    <s v="אירועי הנהלה - אחזקה אספקה וציוד"/>
    <m/>
    <m/>
    <m/>
    <n v="0"/>
    <n v="0"/>
    <e v="#N/A"/>
    <x v="7"/>
    <x v="1"/>
    <s v="75"/>
    <x v="21"/>
    <x v="71"/>
    <x v="54"/>
    <s v="7521"/>
    <e v="#N/A"/>
    <m/>
    <s v="4"/>
    <x v="11"/>
    <s v="40"/>
    <e v="#N/A"/>
    <s v="400"/>
    <e v="#N/A"/>
  </r>
  <r>
    <n v="700"/>
    <n v="752100"/>
    <n v="1"/>
    <s v="1752100.700"/>
    <s v="אירועי הנהלה - הוצאות לפעולות"/>
    <m/>
    <m/>
    <n v="873600"/>
    <n v="1099300"/>
    <n v="947500"/>
    <e v="#N/A"/>
    <x v="7"/>
    <x v="1"/>
    <s v="75"/>
    <x v="21"/>
    <x v="71"/>
    <x v="54"/>
    <s v="7521"/>
    <e v="#N/A"/>
    <m/>
    <s v="7"/>
    <x v="9"/>
    <s v="70"/>
    <e v="#N/A"/>
    <s v="700"/>
    <e v="#N/A"/>
  </r>
  <r>
    <n v="400"/>
    <n v="756100"/>
    <n v="1"/>
    <s v="1756100.400"/>
    <s v="פיתוח יחסי חוץ - אחזקה אספקה וציוד"/>
    <m/>
    <m/>
    <m/>
    <n v="0"/>
    <n v="0"/>
    <e v="#N/A"/>
    <x v="7"/>
    <x v="1"/>
    <s v="75"/>
    <x v="21"/>
    <x v="72"/>
    <x v="55"/>
    <s v="7561"/>
    <e v="#N/A"/>
    <m/>
    <s v="4"/>
    <x v="11"/>
    <s v="40"/>
    <e v="#N/A"/>
    <s v="400"/>
    <e v="#N/A"/>
  </r>
  <r>
    <n v="700"/>
    <n v="756100"/>
    <n v="1"/>
    <s v="1756100.700"/>
    <s v="פיתוח יחסי חוץ - הוצאות לפעולות"/>
    <m/>
    <m/>
    <n v="909300"/>
    <n v="936000"/>
    <n v="847500"/>
    <e v="#N/A"/>
    <x v="7"/>
    <x v="1"/>
    <s v="75"/>
    <x v="21"/>
    <x v="72"/>
    <x v="55"/>
    <s v="7561"/>
    <e v="#N/A"/>
    <m/>
    <s v="7"/>
    <x v="9"/>
    <s v="70"/>
    <e v="#N/A"/>
    <s v="700"/>
    <e v="#N/A"/>
  </r>
  <r>
    <n v="100"/>
    <n v="618100"/>
    <n v="1"/>
    <s v="1618100.100"/>
    <s v="תאו&quot;ם - שכר לעובדים קבועים"/>
    <m/>
    <m/>
    <n v="1221000"/>
    <n v="1207000"/>
    <n v="1609200"/>
    <e v="#N/A"/>
    <x v="9"/>
    <x v="6"/>
    <s v="61"/>
    <x v="19"/>
    <x v="73"/>
    <x v="56"/>
    <s v="6181"/>
    <e v="#N/A"/>
    <m/>
    <s v="1"/>
    <x v="8"/>
    <s v="10"/>
    <e v="#N/A"/>
    <s v="100"/>
    <e v="#N/A"/>
  </r>
  <r>
    <n v="120"/>
    <n v="618100"/>
    <n v="1"/>
    <s v="1618100.120"/>
    <s v="תאו&quot;ם - שעות נוספות"/>
    <m/>
    <m/>
    <n v="26000"/>
    <n v="26000"/>
    <n v="23000"/>
    <e v="#N/A"/>
    <x v="9"/>
    <x v="6"/>
    <s v="61"/>
    <x v="19"/>
    <x v="73"/>
    <x v="56"/>
    <s v="6181"/>
    <e v="#N/A"/>
    <m/>
    <s v="1"/>
    <x v="8"/>
    <s v="12"/>
    <s v="תוספות שאינן נכללות בשכר הקובע"/>
    <s v="120"/>
    <e v="#N/A"/>
  </r>
  <r>
    <n v="400"/>
    <n v="618100"/>
    <n v="1"/>
    <s v="1618100.400"/>
    <s v="תאו&quot;ם - אחזקה אספקה וציוד"/>
    <m/>
    <m/>
    <n v="24200"/>
    <n v="26300"/>
    <n v="0"/>
    <e v="#N/A"/>
    <x v="9"/>
    <x v="6"/>
    <s v="61"/>
    <x v="19"/>
    <x v="73"/>
    <x v="56"/>
    <s v="6181"/>
    <e v="#N/A"/>
    <m/>
    <s v="4"/>
    <x v="11"/>
    <s v="40"/>
    <e v="#N/A"/>
    <s v="400"/>
    <e v="#N/A"/>
  </r>
  <r>
    <n v="500"/>
    <n v="618100"/>
    <n v="1"/>
    <s v="1618100.500"/>
    <s v="תאו&quot;ם - תחבורה ודואר"/>
    <m/>
    <m/>
    <n v="19000"/>
    <n v="16700"/>
    <n v="0"/>
    <e v="#N/A"/>
    <x v="9"/>
    <x v="6"/>
    <s v="61"/>
    <x v="19"/>
    <x v="73"/>
    <x v="56"/>
    <s v="6181"/>
    <e v="#N/A"/>
    <m/>
    <s v="5"/>
    <x v="12"/>
    <s v="50"/>
    <e v="#N/A"/>
    <s v="500"/>
    <e v="#N/A"/>
  </r>
  <r>
    <n v="500"/>
    <n v="618100"/>
    <n v="1"/>
    <s v="1618100.500"/>
    <s v="תאו&quot;ם - הוצאות כלליות"/>
    <m/>
    <m/>
    <n v="1200"/>
    <n v="1200"/>
    <n v="0"/>
    <e v="#N/A"/>
    <x v="9"/>
    <x v="6"/>
    <s v="61"/>
    <x v="19"/>
    <x v="73"/>
    <x v="56"/>
    <s v="6181"/>
    <e v="#N/A"/>
    <m/>
    <s v="5"/>
    <x v="12"/>
    <s v="50"/>
    <e v="#N/A"/>
    <s v="500"/>
    <e v="#N/A"/>
  </r>
  <r>
    <n v="700"/>
    <n v="618100"/>
    <n v="1"/>
    <s v="1618100.700"/>
    <s v="תאו&quot;ם - הוצאות לפעולות"/>
    <m/>
    <m/>
    <n v="55400"/>
    <n v="57900"/>
    <n v="0"/>
    <e v="#N/A"/>
    <x v="9"/>
    <x v="6"/>
    <s v="61"/>
    <x v="19"/>
    <x v="73"/>
    <x v="56"/>
    <s v="6181"/>
    <e v="#N/A"/>
    <m/>
    <s v="7"/>
    <x v="9"/>
    <s v="70"/>
    <e v="#N/A"/>
    <s v="700"/>
    <e v="#N/A"/>
  </r>
  <r>
    <n v="800"/>
    <n v="618100"/>
    <n v="1"/>
    <s v="1618100.800"/>
    <s v="תאו&quot;ם - עיר בריאה"/>
    <m/>
    <m/>
    <n v="524000"/>
    <n v="540000"/>
    <n v="0"/>
    <e v="#N/A"/>
    <x v="9"/>
    <x v="6"/>
    <s v="61"/>
    <x v="19"/>
    <x v="73"/>
    <x v="56"/>
    <s v="6181"/>
    <e v="#N/A"/>
    <m/>
    <s v="8"/>
    <x v="13"/>
    <s v="80"/>
    <e v="#N/A"/>
    <s v="800"/>
    <e v="#N/A"/>
  </r>
  <r>
    <n v="100"/>
    <n v="618000"/>
    <n v="1"/>
    <s v="1618000.100"/>
    <s v="מחקר וסטטיסטיקה - שכר לעובדים קבועים"/>
    <m/>
    <m/>
    <n v="781100"/>
    <n v="772100"/>
    <n v="707100"/>
    <e v="#N/A"/>
    <x v="9"/>
    <x v="6"/>
    <s v="61"/>
    <x v="19"/>
    <x v="73"/>
    <x v="56"/>
    <s v="6180"/>
    <e v="#N/A"/>
    <m/>
    <s v="1"/>
    <x v="8"/>
    <s v="10"/>
    <e v="#N/A"/>
    <s v="100"/>
    <e v="#N/A"/>
  </r>
  <r>
    <n v="120"/>
    <n v="618000"/>
    <n v="1"/>
    <s v="1618000.120"/>
    <s v="מחקר וסטטיסטיקה - שעות נוספות"/>
    <m/>
    <m/>
    <n v="4900"/>
    <n v="4900"/>
    <n v="3300"/>
    <e v="#N/A"/>
    <x v="9"/>
    <x v="6"/>
    <s v="61"/>
    <x v="19"/>
    <x v="73"/>
    <x v="56"/>
    <s v="6180"/>
    <e v="#N/A"/>
    <m/>
    <s v="1"/>
    <x v="8"/>
    <s v="12"/>
    <s v="תוספות שאינן נכללות בשכר הקובע"/>
    <s v="120"/>
    <e v="#N/A"/>
  </r>
  <r>
    <n v="400"/>
    <n v="618000"/>
    <n v="1"/>
    <s v="1618000.400"/>
    <s v="מחקר וסטטיסטיקה - אחזקה אספקה וציוד"/>
    <m/>
    <m/>
    <n v="15000"/>
    <n v="16000"/>
    <n v="17500"/>
    <e v="#N/A"/>
    <x v="9"/>
    <x v="6"/>
    <s v="61"/>
    <x v="19"/>
    <x v="73"/>
    <x v="56"/>
    <s v="6180"/>
    <e v="#N/A"/>
    <m/>
    <s v="4"/>
    <x v="11"/>
    <s v="40"/>
    <e v="#N/A"/>
    <s v="400"/>
    <e v="#N/A"/>
  </r>
  <r>
    <n v="500"/>
    <n v="618000"/>
    <n v="1"/>
    <s v="1618000.500"/>
    <s v="מחקר וסטטיסטיקה - תחבורה ודואר"/>
    <m/>
    <m/>
    <n v="4300"/>
    <n v="4300"/>
    <n v="2400"/>
    <e v="#N/A"/>
    <x v="9"/>
    <x v="6"/>
    <s v="61"/>
    <x v="19"/>
    <x v="73"/>
    <x v="56"/>
    <s v="6180"/>
    <e v="#N/A"/>
    <m/>
    <s v="5"/>
    <x v="12"/>
    <s v="50"/>
    <e v="#N/A"/>
    <s v="500"/>
    <e v="#N/A"/>
  </r>
  <r>
    <n v="500"/>
    <n v="618000"/>
    <n v="1"/>
    <s v="1618000.500"/>
    <s v="מחקר וסטטיסטיקה - הוצאות כלליות"/>
    <m/>
    <m/>
    <n v="1500"/>
    <n v="1500"/>
    <n v="1000"/>
    <e v="#N/A"/>
    <x v="9"/>
    <x v="6"/>
    <s v="61"/>
    <x v="19"/>
    <x v="73"/>
    <x v="56"/>
    <s v="6180"/>
    <e v="#N/A"/>
    <m/>
    <s v="5"/>
    <x v="12"/>
    <s v="50"/>
    <e v="#N/A"/>
    <s v="500"/>
    <e v="#N/A"/>
  </r>
  <r>
    <n v="700"/>
    <n v="618000"/>
    <n v="1"/>
    <s v="1618000.700"/>
    <s v="מחקר וסטטיסטיקה - הוצאות לפעולות"/>
    <m/>
    <m/>
    <n v="126800"/>
    <n v="130100"/>
    <n v="98900"/>
    <e v="#N/A"/>
    <x v="9"/>
    <x v="6"/>
    <s v="61"/>
    <x v="19"/>
    <x v="73"/>
    <x v="56"/>
    <s v="6180"/>
    <e v="#N/A"/>
    <m/>
    <s v="7"/>
    <x v="9"/>
    <s v="70"/>
    <e v="#N/A"/>
    <s v="700"/>
    <e v="#N/A"/>
  </r>
  <r>
    <n v="400"/>
    <n v="752200"/>
    <n v="1"/>
    <s v="1752200.400"/>
    <s v="המועצה לאזרחים ותיקים - אחזקה אספקה וציוד"/>
    <m/>
    <m/>
    <m/>
    <n v="0"/>
    <n v="0"/>
    <e v="#N/A"/>
    <x v="7"/>
    <x v="1"/>
    <s v="75"/>
    <x v="21"/>
    <x v="71"/>
    <x v="54"/>
    <s v="7522"/>
    <e v="#N/A"/>
    <m/>
    <s v="4"/>
    <x v="11"/>
    <s v="40"/>
    <e v="#N/A"/>
    <s v="400"/>
    <e v="#N/A"/>
  </r>
  <r>
    <n v="700"/>
    <n v="752200"/>
    <n v="1"/>
    <s v="1752200.700"/>
    <s v="המועצה לאזרחים ותיקים - הוצאות לפעולות"/>
    <m/>
    <m/>
    <n v="14400"/>
    <n v="14800"/>
    <n v="14000"/>
    <e v="#N/A"/>
    <x v="7"/>
    <x v="1"/>
    <s v="75"/>
    <x v="21"/>
    <x v="71"/>
    <x v="54"/>
    <s v="7522"/>
    <e v="#N/A"/>
    <m/>
    <s v="7"/>
    <x v="9"/>
    <s v="70"/>
    <e v="#N/A"/>
    <s v="700"/>
    <e v="#N/A"/>
  </r>
  <r>
    <n v="100"/>
    <n v="938000"/>
    <n v="1"/>
    <s v="1938000.100"/>
    <s v="מחלקת משק - שכר לעובדים קבועים"/>
    <m/>
    <m/>
    <n v="2650600"/>
    <n v="2619600"/>
    <n v="2932900"/>
    <e v="#N/A"/>
    <x v="8"/>
    <x v="3"/>
    <s v="93"/>
    <x v="12"/>
    <x v="74"/>
    <x v="57"/>
    <s v="9380"/>
    <e v="#N/A"/>
    <m/>
    <s v="1"/>
    <x v="8"/>
    <s v="10"/>
    <e v="#N/A"/>
    <s v="100"/>
    <e v="#N/A"/>
  </r>
  <r>
    <n v="120"/>
    <n v="938000"/>
    <n v="1"/>
    <s v="1938000.120"/>
    <s v="מחלקת משק - שעות נוספות"/>
    <m/>
    <m/>
    <n v="175400"/>
    <n v="175400"/>
    <n v="185100"/>
    <m/>
    <x v="8"/>
    <x v="3"/>
    <s v="93"/>
    <x v="12"/>
    <x v="74"/>
    <x v="57"/>
    <s v="9380"/>
    <e v="#N/A"/>
    <m/>
    <s v="1"/>
    <x v="8"/>
    <s v="12"/>
    <s v="תוספות שאינן נכללות בשכר הקובע"/>
    <s v="120"/>
    <e v="#N/A"/>
  </r>
  <r>
    <n v="400"/>
    <n v="938000"/>
    <n v="1"/>
    <s v="1938000.400"/>
    <s v="מחלקת משק - אחזקה אספקה וציוד"/>
    <m/>
    <m/>
    <n v="1843400"/>
    <n v="1896900"/>
    <n v="3408100"/>
    <e v="#N/A"/>
    <x v="8"/>
    <x v="3"/>
    <s v="93"/>
    <x v="12"/>
    <x v="74"/>
    <x v="57"/>
    <s v="9380"/>
    <e v="#N/A"/>
    <m/>
    <s v="4"/>
    <x v="11"/>
    <s v="40"/>
    <e v="#N/A"/>
    <s v="400"/>
    <e v="#N/A"/>
  </r>
  <r>
    <n v="500"/>
    <n v="938000"/>
    <n v="1"/>
    <s v="1938000.500"/>
    <s v="מחלקת משק - תחבורה ודואר"/>
    <m/>
    <m/>
    <n v="46600"/>
    <n v="47600"/>
    <n v="40500"/>
    <e v="#N/A"/>
    <x v="8"/>
    <x v="3"/>
    <s v="93"/>
    <x v="12"/>
    <x v="74"/>
    <x v="57"/>
    <s v="9380"/>
    <e v="#N/A"/>
    <m/>
    <s v="5"/>
    <x v="12"/>
    <s v="50"/>
    <e v="#N/A"/>
    <s v="500"/>
    <e v="#N/A"/>
  </r>
  <r>
    <n v="500"/>
    <n v="938000"/>
    <n v="1"/>
    <s v="1938000.500"/>
    <s v="מחלקת משק - הוצאות כלליות"/>
    <m/>
    <m/>
    <n v="548500"/>
    <n v="564600"/>
    <n v="541700"/>
    <e v="#N/A"/>
    <x v="8"/>
    <x v="3"/>
    <s v="93"/>
    <x v="12"/>
    <x v="74"/>
    <x v="57"/>
    <s v="9380"/>
    <e v="#N/A"/>
    <m/>
    <s v="5"/>
    <x v="12"/>
    <s v="50"/>
    <e v="#N/A"/>
    <s v="500"/>
    <e v="#N/A"/>
  </r>
  <r>
    <n v="700"/>
    <n v="938000"/>
    <n v="1"/>
    <s v="1938000.700"/>
    <s v="מחלקת משק - הוצאות לפעולות"/>
    <m/>
    <m/>
    <n v="3168400"/>
    <n v="3262800"/>
    <n v="2613500"/>
    <e v="#N/A"/>
    <x v="8"/>
    <x v="3"/>
    <s v="93"/>
    <x v="12"/>
    <x v="74"/>
    <x v="57"/>
    <s v="9380"/>
    <e v="#N/A"/>
    <m/>
    <s v="7"/>
    <x v="9"/>
    <s v="70"/>
    <e v="#N/A"/>
    <s v="700"/>
    <e v="#N/A"/>
  </r>
  <r>
    <n v="100"/>
    <n v="615000"/>
    <n v="1"/>
    <s v="1615000.100"/>
    <s v="אגף משאבי אנוש - שכר לעובדים קבועים"/>
    <m/>
    <m/>
    <n v="7655000"/>
    <n v="7569000"/>
    <n v="7395100"/>
    <e v="#N/A"/>
    <x v="9"/>
    <x v="6"/>
    <s v="61"/>
    <x v="19"/>
    <x v="75"/>
    <x v="58"/>
    <s v="6150"/>
    <e v="#N/A"/>
    <m/>
    <s v="1"/>
    <x v="8"/>
    <s v="10"/>
    <e v="#N/A"/>
    <s v="100"/>
    <e v="#N/A"/>
  </r>
  <r>
    <n v="120"/>
    <n v="615000"/>
    <n v="1"/>
    <s v="1615000.120"/>
    <s v="אגף משאבי אנוש - שעות נוספות"/>
    <m/>
    <m/>
    <n v="180000"/>
    <n v="180000"/>
    <n v="179200"/>
    <n v="27034"/>
    <x v="9"/>
    <x v="6"/>
    <s v="61"/>
    <x v="19"/>
    <x v="75"/>
    <x v="58"/>
    <s v="6150"/>
    <e v="#N/A"/>
    <m/>
    <s v="1"/>
    <x v="8"/>
    <s v="12"/>
    <s v="תוספות שאינן נכללות בשכר הקובע"/>
    <s v="120"/>
    <e v="#N/A"/>
  </r>
  <r>
    <n v="400"/>
    <n v="615000"/>
    <n v="1"/>
    <s v="1615000.400"/>
    <s v="אגף משאבי אנוש - אחזקה אספקה וציוד"/>
    <m/>
    <m/>
    <n v="68000"/>
    <n v="71000"/>
    <n v="71700"/>
    <e v="#N/A"/>
    <x v="9"/>
    <x v="6"/>
    <s v="61"/>
    <x v="19"/>
    <x v="75"/>
    <x v="58"/>
    <s v="6150"/>
    <e v="#N/A"/>
    <m/>
    <s v="4"/>
    <x v="11"/>
    <s v="40"/>
    <e v="#N/A"/>
    <s v="400"/>
    <e v="#N/A"/>
  </r>
  <r>
    <n v="500"/>
    <n v="615000"/>
    <n v="1"/>
    <s v="1615000.500"/>
    <s v="אגף משאבי אנוש - תחבורה ודואר"/>
    <m/>
    <m/>
    <n v="110800"/>
    <n v="110800"/>
    <n v="102000"/>
    <e v="#N/A"/>
    <x v="9"/>
    <x v="6"/>
    <s v="61"/>
    <x v="19"/>
    <x v="75"/>
    <x v="58"/>
    <s v="6150"/>
    <e v="#N/A"/>
    <m/>
    <s v="5"/>
    <x v="12"/>
    <s v="50"/>
    <e v="#N/A"/>
    <s v="500"/>
    <e v="#N/A"/>
  </r>
  <r>
    <n v="500"/>
    <n v="615000"/>
    <n v="1"/>
    <s v="1615000.500"/>
    <s v="אגף משאבי אנוש - הוצאות כלליות"/>
    <m/>
    <m/>
    <n v="16800"/>
    <n v="16800"/>
    <n v="11100"/>
    <m/>
    <x v="9"/>
    <x v="6"/>
    <s v="61"/>
    <x v="19"/>
    <x v="75"/>
    <x v="58"/>
    <s v="6150"/>
    <e v="#N/A"/>
    <m/>
    <s v="5"/>
    <x v="12"/>
    <s v="50"/>
    <e v="#N/A"/>
    <s v="500"/>
    <e v="#N/A"/>
  </r>
  <r>
    <n v="700"/>
    <n v="615000"/>
    <n v="1"/>
    <s v="1615000.700"/>
    <s v="אגף משאבי אנוש - הוצאות לפעולות"/>
    <m/>
    <m/>
    <n v="3300"/>
    <n v="6100"/>
    <n v="4400"/>
    <e v="#N/A"/>
    <x v="9"/>
    <x v="6"/>
    <s v="61"/>
    <x v="19"/>
    <x v="75"/>
    <x v="58"/>
    <s v="6150"/>
    <e v="#N/A"/>
    <m/>
    <s v="7"/>
    <x v="9"/>
    <s v="70"/>
    <e v="#N/A"/>
    <s v="700"/>
    <e v="#N/A"/>
  </r>
  <r>
    <n v="800"/>
    <n v="615110"/>
    <n v="1"/>
    <s v="1615110.800"/>
    <s v="השתלמות עובדים - השתתפויות תמיכות ותרומות"/>
    <m/>
    <m/>
    <n v="1102600"/>
    <n v="1135000"/>
    <n v="913800"/>
    <e v="#N/A"/>
    <x v="9"/>
    <x v="6"/>
    <s v="61"/>
    <x v="19"/>
    <x v="75"/>
    <x v="58"/>
    <s v="6151"/>
    <e v="#N/A"/>
    <m/>
    <s v="8"/>
    <x v="13"/>
    <s v="80"/>
    <e v="#N/A"/>
    <s v="800"/>
    <e v="#N/A"/>
  </r>
  <r>
    <n v="800"/>
    <n v="615112"/>
    <n v="1"/>
    <s v="1615112.800"/>
    <s v="השתלמות מצילים - השתתפויות תמיכות ותרומות"/>
    <m/>
    <m/>
    <n v="72900"/>
    <n v="75000"/>
    <n v="67400"/>
    <e v="#N/A"/>
    <x v="9"/>
    <x v="6"/>
    <s v="61"/>
    <x v="19"/>
    <x v="75"/>
    <x v="58"/>
    <s v="6151"/>
    <e v="#N/A"/>
    <m/>
    <s v="8"/>
    <x v="13"/>
    <s v="80"/>
    <e v="#N/A"/>
    <s v="800"/>
    <e v="#N/A"/>
  </r>
  <r>
    <n v="700"/>
    <n v="615130"/>
    <n v="1"/>
    <s v="1615130.700"/>
    <s v="מכרזי כח אדם - הוצאות לפעולות"/>
    <m/>
    <m/>
    <n v="24800"/>
    <n v="25500"/>
    <n v="0"/>
    <e v="#N/A"/>
    <x v="9"/>
    <x v="6"/>
    <s v="61"/>
    <x v="19"/>
    <x v="75"/>
    <x v="58"/>
    <s v="6151"/>
    <e v="#N/A"/>
    <m/>
    <s v="7"/>
    <x v="9"/>
    <s v="70"/>
    <e v="#N/A"/>
    <s v="700"/>
    <e v="#N/A"/>
  </r>
  <r>
    <n v="800"/>
    <n v="615200"/>
    <n v="1"/>
    <s v="1615200.800"/>
    <s v="פרסי עבודה וייעול - השתתפויות תמיכות ותרומות"/>
    <m/>
    <m/>
    <n v="121400"/>
    <n v="125000"/>
    <n v="119200"/>
    <e v="#N/A"/>
    <x v="9"/>
    <x v="6"/>
    <s v="61"/>
    <x v="19"/>
    <x v="75"/>
    <x v="58"/>
    <s v="6152"/>
    <e v="#N/A"/>
    <m/>
    <s v="8"/>
    <x v="13"/>
    <s v="80"/>
    <e v="#N/A"/>
    <s v="800"/>
    <e v="#N/A"/>
  </r>
  <r>
    <n v="700"/>
    <n v="615700"/>
    <n v="1"/>
    <s v="1615700.700"/>
    <s v="טקסים לפנסיונרים - הוצאות לפעולות"/>
    <m/>
    <m/>
    <n v="68000"/>
    <n v="70000"/>
    <n v="70000"/>
    <e v="#N/A"/>
    <x v="9"/>
    <x v="6"/>
    <s v="61"/>
    <x v="19"/>
    <x v="75"/>
    <x v="58"/>
    <s v="6157"/>
    <e v="#N/A"/>
    <m/>
    <s v="7"/>
    <x v="9"/>
    <s v="70"/>
    <e v="#N/A"/>
    <s v="700"/>
    <e v="#N/A"/>
  </r>
  <r>
    <n v="500"/>
    <n v="615900"/>
    <n v="1"/>
    <s v="1615900.500"/>
    <s v="בדיקת עובדים - הוצאות כלליות"/>
    <m/>
    <m/>
    <n v="102000"/>
    <n v="105000"/>
    <n v="43400"/>
    <e v="#N/A"/>
    <x v="9"/>
    <x v="6"/>
    <s v="61"/>
    <x v="19"/>
    <x v="75"/>
    <x v="58"/>
    <s v="6159"/>
    <e v="#N/A"/>
    <m/>
    <s v="5"/>
    <x v="12"/>
    <s v="50"/>
    <e v="#N/A"/>
    <s v="500"/>
    <e v="#N/A"/>
  </r>
  <r>
    <n v="700"/>
    <n v="615400"/>
    <n v="1"/>
    <s v="1615400.700"/>
    <s v="מבדקי קבלת עובדים חדשים - הוצאות לפעולות"/>
    <m/>
    <m/>
    <n v="370100"/>
    <n v="381000"/>
    <n v="205400"/>
    <e v="#N/A"/>
    <x v="9"/>
    <x v="6"/>
    <s v="61"/>
    <x v="19"/>
    <x v="75"/>
    <x v="58"/>
    <s v="6154"/>
    <e v="#N/A"/>
    <m/>
    <s v="7"/>
    <x v="9"/>
    <s v="70"/>
    <e v="#N/A"/>
    <s v="700"/>
    <e v="#N/A"/>
  </r>
  <r>
    <n v="500"/>
    <n v="615440"/>
    <n v="1"/>
    <s v="1615440.500"/>
    <s v="קנית שעונים לותיקים - הוצאות כלליות"/>
    <m/>
    <m/>
    <n v="66100"/>
    <n v="68000"/>
    <n v="65100"/>
    <e v="#N/A"/>
    <x v="9"/>
    <x v="6"/>
    <s v="61"/>
    <x v="19"/>
    <x v="75"/>
    <x v="58"/>
    <s v="6154"/>
    <e v="#N/A"/>
    <m/>
    <s v="5"/>
    <x v="12"/>
    <s v="50"/>
    <e v="#N/A"/>
    <s v="500"/>
    <e v="#N/A"/>
  </r>
  <r>
    <n v="700"/>
    <n v="615910"/>
    <n v="1"/>
    <s v="1615910.700"/>
    <s v="פרסומים ומידע - הוצאות לפעולות"/>
    <m/>
    <m/>
    <n v="44700"/>
    <n v="46000"/>
    <n v="35000"/>
    <e v="#N/A"/>
    <x v="9"/>
    <x v="6"/>
    <s v="61"/>
    <x v="19"/>
    <x v="75"/>
    <x v="58"/>
    <s v="6159"/>
    <e v="#N/A"/>
    <m/>
    <s v="7"/>
    <x v="9"/>
    <s v="70"/>
    <e v="#N/A"/>
    <s v="700"/>
    <e v="#N/A"/>
  </r>
  <r>
    <n v="100"/>
    <n v="621400"/>
    <n v="1"/>
    <s v="1621400.100"/>
    <s v="מח' התשלומים - שכר לעובדים קבועים"/>
    <m/>
    <m/>
    <n v="3019000"/>
    <n v="3142000"/>
    <n v="2802000"/>
    <e v="#N/A"/>
    <x v="9"/>
    <x v="6"/>
    <s v="62"/>
    <x v="22"/>
    <x v="76"/>
    <x v="59"/>
    <s v="6214"/>
    <s v="תשלומים"/>
    <m/>
    <s v="1"/>
    <x v="8"/>
    <s v="10"/>
    <e v="#N/A"/>
    <s v="100"/>
    <e v="#N/A"/>
  </r>
  <r>
    <n v="120"/>
    <n v="621400"/>
    <n v="1"/>
    <s v="1621400.120"/>
    <s v="מח' התשלומים - שעות נוספות"/>
    <m/>
    <m/>
    <n v="226000"/>
    <n v="226000"/>
    <n v="187900"/>
    <n v="38725"/>
    <x v="9"/>
    <x v="6"/>
    <s v="62"/>
    <x v="22"/>
    <x v="76"/>
    <x v="59"/>
    <s v="6214"/>
    <s v="תשלומים"/>
    <m/>
    <s v="1"/>
    <x v="8"/>
    <s v="12"/>
    <s v="תוספות שאינן נכללות בשכר הקובע"/>
    <s v="120"/>
    <e v="#N/A"/>
  </r>
  <r>
    <n v="400"/>
    <n v="621400"/>
    <n v="1"/>
    <s v="1621400.400"/>
    <s v="מח' התשלומים - אחזקה אספקה וציוד"/>
    <m/>
    <m/>
    <n v="33600"/>
    <n v="35200"/>
    <n v="34600"/>
    <e v="#N/A"/>
    <x v="9"/>
    <x v="6"/>
    <s v="62"/>
    <x v="22"/>
    <x v="76"/>
    <x v="59"/>
    <s v="6214"/>
    <s v="תשלומים"/>
    <m/>
    <s v="4"/>
    <x v="11"/>
    <s v="40"/>
    <e v="#N/A"/>
    <s v="400"/>
    <e v="#N/A"/>
  </r>
  <r>
    <n v="500"/>
    <n v="621400"/>
    <n v="1"/>
    <s v="1621400.500"/>
    <s v="מח' התשלומים - תחבורה ודואר"/>
    <m/>
    <m/>
    <n v="49200"/>
    <n v="49400"/>
    <n v="20800"/>
    <e v="#N/A"/>
    <x v="9"/>
    <x v="6"/>
    <s v="62"/>
    <x v="22"/>
    <x v="76"/>
    <x v="59"/>
    <s v="6214"/>
    <s v="תשלומים"/>
    <m/>
    <s v="5"/>
    <x v="12"/>
    <s v="50"/>
    <e v="#N/A"/>
    <s v="500"/>
    <e v="#N/A"/>
  </r>
  <r>
    <n v="500"/>
    <n v="621400"/>
    <n v="1"/>
    <s v="1621400.500"/>
    <s v="מח' התשלומים - הוצאות כלליות"/>
    <m/>
    <m/>
    <n v="3800"/>
    <n v="3800"/>
    <n v="2200"/>
    <e v="#N/A"/>
    <x v="9"/>
    <x v="6"/>
    <s v="62"/>
    <x v="22"/>
    <x v="76"/>
    <x v="59"/>
    <s v="6214"/>
    <s v="תשלומים"/>
    <m/>
    <s v="5"/>
    <x v="12"/>
    <s v="50"/>
    <e v="#N/A"/>
    <s v="500"/>
    <e v="#N/A"/>
  </r>
  <r>
    <n v="700"/>
    <n v="621400"/>
    <n v="1"/>
    <s v="1621400.700"/>
    <s v="מח' התשלומים - הוצאות לפעולות"/>
    <m/>
    <m/>
    <n v="1400"/>
    <n v="2200"/>
    <n v="0"/>
    <e v="#N/A"/>
    <x v="9"/>
    <x v="6"/>
    <s v="62"/>
    <x v="22"/>
    <x v="76"/>
    <x v="59"/>
    <s v="6214"/>
    <s v="תשלומים"/>
    <m/>
    <s v="7"/>
    <x v="9"/>
    <s v="70"/>
    <e v="#N/A"/>
    <s v="700"/>
    <e v="#N/A"/>
  </r>
  <r>
    <n v="100"/>
    <n v="764000"/>
    <n v="1"/>
    <s v="1764000.100"/>
    <s v="או&quot;ש - שכר לעובדים קבועים"/>
    <m/>
    <m/>
    <n v="1674300"/>
    <n v="1655300"/>
    <n v="1645000"/>
    <e v="#N/A"/>
    <x v="7"/>
    <x v="1"/>
    <s v="76"/>
    <x v="20"/>
    <x v="77"/>
    <x v="60"/>
    <s v="7640"/>
    <e v="#N/A"/>
    <m/>
    <s v="1"/>
    <x v="8"/>
    <s v="10"/>
    <e v="#N/A"/>
    <s v="100"/>
    <e v="#N/A"/>
  </r>
  <r>
    <n v="120"/>
    <n v="764000"/>
    <n v="1"/>
    <s v="1764000.120"/>
    <s v="או&quot;ש - שעות נוספות"/>
    <m/>
    <m/>
    <n v="44700"/>
    <n v="44700"/>
    <n v="35600"/>
    <n v="8079"/>
    <x v="7"/>
    <x v="1"/>
    <s v="76"/>
    <x v="20"/>
    <x v="77"/>
    <x v="60"/>
    <s v="7640"/>
    <e v="#N/A"/>
    <m/>
    <s v="1"/>
    <x v="8"/>
    <s v="12"/>
    <s v="תוספות שאינן נכללות בשכר הקובע"/>
    <s v="120"/>
    <e v="#N/A"/>
  </r>
  <r>
    <n v="400"/>
    <n v="764000"/>
    <n v="1"/>
    <s v="1764000.400"/>
    <s v="או&quot;ש - אחזקה אספקה וציוד"/>
    <m/>
    <m/>
    <n v="13900"/>
    <n v="13900"/>
    <n v="12300"/>
    <e v="#N/A"/>
    <x v="7"/>
    <x v="1"/>
    <s v="76"/>
    <x v="20"/>
    <x v="77"/>
    <x v="60"/>
    <s v="7640"/>
    <e v="#N/A"/>
    <m/>
    <s v="4"/>
    <x v="11"/>
    <s v="40"/>
    <e v="#N/A"/>
    <s v="400"/>
    <e v="#N/A"/>
  </r>
  <r>
    <n v="500"/>
    <n v="764000"/>
    <n v="1"/>
    <s v="1764000.500"/>
    <s v="או&quot;ש - תחבורה ודואר"/>
    <m/>
    <m/>
    <n v="40600"/>
    <n v="40600"/>
    <n v="32400"/>
    <e v="#N/A"/>
    <x v="7"/>
    <x v="1"/>
    <s v="76"/>
    <x v="20"/>
    <x v="77"/>
    <x v="60"/>
    <s v="7640"/>
    <e v="#N/A"/>
    <m/>
    <s v="5"/>
    <x v="12"/>
    <s v="50"/>
    <e v="#N/A"/>
    <s v="500"/>
    <e v="#N/A"/>
  </r>
  <r>
    <n v="500"/>
    <n v="764000"/>
    <n v="1"/>
    <s v="1764000.500"/>
    <s v="או&quot;ש - הוצאות כלליות"/>
    <m/>
    <m/>
    <n v="200"/>
    <n v="200"/>
    <n v="0"/>
    <e v="#N/A"/>
    <x v="7"/>
    <x v="1"/>
    <s v="76"/>
    <x v="20"/>
    <x v="77"/>
    <x v="60"/>
    <s v="7640"/>
    <e v="#N/A"/>
    <m/>
    <s v="5"/>
    <x v="12"/>
    <s v="50"/>
    <e v="#N/A"/>
    <s v="500"/>
    <e v="#N/A"/>
  </r>
  <r>
    <n v="700"/>
    <n v="764000"/>
    <n v="1"/>
    <s v="1764000.700"/>
    <s v="או&quot;ש - הוצאות לפעולות"/>
    <m/>
    <m/>
    <n v="2600"/>
    <n v="4300"/>
    <n v="2900"/>
    <e v="#N/A"/>
    <x v="7"/>
    <x v="1"/>
    <s v="76"/>
    <x v="20"/>
    <x v="77"/>
    <x v="60"/>
    <s v="7640"/>
    <e v="#N/A"/>
    <m/>
    <s v="7"/>
    <x v="9"/>
    <s v="70"/>
    <e v="#N/A"/>
    <s v="700"/>
    <e v="#N/A"/>
  </r>
  <r>
    <n v="100"/>
    <n v="613200"/>
    <n v="1"/>
    <s v="1613200.100"/>
    <s v="מזכירות כללית - שכר לעובדים קבועים"/>
    <m/>
    <m/>
    <n v="448800"/>
    <n v="443800"/>
    <n v="425700"/>
    <e v="#N/A"/>
    <x v="9"/>
    <x v="6"/>
    <s v="61"/>
    <x v="19"/>
    <x v="70"/>
    <x v="53"/>
    <s v="6132"/>
    <e v="#N/A"/>
    <m/>
    <s v="1"/>
    <x v="8"/>
    <s v="10"/>
    <e v="#N/A"/>
    <s v="100"/>
    <e v="#N/A"/>
  </r>
  <r>
    <n v="120"/>
    <n v="613200"/>
    <n v="1"/>
    <s v="1613200.120"/>
    <s v="מזכירות כללית - שעות נוספות"/>
    <m/>
    <m/>
    <n v="3200"/>
    <n v="3200"/>
    <n v="3600"/>
    <e v="#N/A"/>
    <x v="9"/>
    <x v="6"/>
    <s v="61"/>
    <x v="19"/>
    <x v="70"/>
    <x v="53"/>
    <s v="6132"/>
    <e v="#N/A"/>
    <m/>
    <s v="1"/>
    <x v="8"/>
    <s v="12"/>
    <s v="תוספות שאינן נכללות בשכר הקובע"/>
    <s v="120"/>
    <e v="#N/A"/>
  </r>
  <r>
    <n v="400"/>
    <n v="613200"/>
    <n v="1"/>
    <s v="1613200.400"/>
    <s v="מזכירות כללית - אחזקה אספקה וציוד"/>
    <m/>
    <m/>
    <n v="3000"/>
    <n v="3000"/>
    <n v="2000"/>
    <e v="#N/A"/>
    <x v="9"/>
    <x v="6"/>
    <s v="61"/>
    <x v="19"/>
    <x v="70"/>
    <x v="53"/>
    <s v="6132"/>
    <e v="#N/A"/>
    <m/>
    <s v="4"/>
    <x v="11"/>
    <s v="40"/>
    <e v="#N/A"/>
    <s v="400"/>
    <e v="#N/A"/>
  </r>
  <r>
    <n v="500"/>
    <n v="613200"/>
    <n v="1"/>
    <s v="1613200.500"/>
    <s v="מזכירות כללית - תחבורה ודואר"/>
    <m/>
    <m/>
    <n v="161100"/>
    <n v="165000"/>
    <n v="132100"/>
    <e v="#N/A"/>
    <x v="9"/>
    <x v="6"/>
    <s v="61"/>
    <x v="19"/>
    <x v="70"/>
    <x v="53"/>
    <s v="6132"/>
    <e v="#N/A"/>
    <m/>
    <s v="5"/>
    <x v="12"/>
    <s v="50"/>
    <e v="#N/A"/>
    <s v="500"/>
    <e v="#N/A"/>
  </r>
  <r>
    <n v="500"/>
    <n v="613200"/>
    <n v="1"/>
    <s v="1613200.500"/>
    <s v="מזכירות כללית - הוצאות כלליות"/>
    <m/>
    <m/>
    <n v="100"/>
    <n v="1000"/>
    <n v="500"/>
    <e v="#N/A"/>
    <x v="9"/>
    <x v="6"/>
    <s v="61"/>
    <x v="19"/>
    <x v="70"/>
    <x v="53"/>
    <s v="6132"/>
    <e v="#N/A"/>
    <m/>
    <s v="5"/>
    <x v="12"/>
    <s v="50"/>
    <e v="#N/A"/>
    <s v="500"/>
    <e v="#N/A"/>
  </r>
  <r>
    <n v="100"/>
    <n v="619000"/>
    <n v="1"/>
    <s v="1619000.100"/>
    <s v="ארכיון - שכר לעובדים קבועים"/>
    <m/>
    <m/>
    <n v="1274700"/>
    <n v="1260700"/>
    <n v="1249800"/>
    <e v="#N/A"/>
    <x v="9"/>
    <x v="6"/>
    <s v="61"/>
    <x v="19"/>
    <x v="78"/>
    <x v="61"/>
    <s v="6190"/>
    <e v="#N/A"/>
    <m/>
    <s v="1"/>
    <x v="8"/>
    <s v="10"/>
    <e v="#N/A"/>
    <s v="100"/>
    <e v="#N/A"/>
  </r>
  <r>
    <n v="120"/>
    <n v="619000"/>
    <n v="1"/>
    <s v="1619000.120"/>
    <s v="ארכיון - שעות נוספות"/>
    <m/>
    <m/>
    <n v="34300"/>
    <n v="34300"/>
    <n v="33800"/>
    <n v="0"/>
    <x v="9"/>
    <x v="6"/>
    <s v="61"/>
    <x v="19"/>
    <x v="78"/>
    <x v="61"/>
    <s v="6190"/>
    <e v="#N/A"/>
    <m/>
    <s v="1"/>
    <x v="8"/>
    <s v="12"/>
    <s v="תוספות שאינן נכללות בשכר הקובע"/>
    <s v="120"/>
    <e v="#N/A"/>
  </r>
  <r>
    <n v="400"/>
    <n v="619000"/>
    <n v="1"/>
    <s v="1619000.400"/>
    <s v="ארכיון - אחזקה אספקה וציוד"/>
    <m/>
    <m/>
    <n v="41800"/>
    <n v="42800"/>
    <n v="28900"/>
    <e v="#N/A"/>
    <x v="9"/>
    <x v="6"/>
    <s v="61"/>
    <x v="19"/>
    <x v="78"/>
    <x v="61"/>
    <s v="6190"/>
    <e v="#N/A"/>
    <m/>
    <s v="4"/>
    <x v="11"/>
    <s v="40"/>
    <e v="#N/A"/>
    <s v="400"/>
    <e v="#N/A"/>
  </r>
  <r>
    <n v="500"/>
    <n v="619000"/>
    <n v="1"/>
    <s v="1619000.500"/>
    <s v="ארכיון - תחבורה ודואר"/>
    <m/>
    <m/>
    <n v="35000"/>
    <n v="35000"/>
    <n v="20300"/>
    <e v="#N/A"/>
    <x v="9"/>
    <x v="6"/>
    <s v="61"/>
    <x v="19"/>
    <x v="78"/>
    <x v="61"/>
    <s v="6190"/>
    <e v="#N/A"/>
    <m/>
    <s v="5"/>
    <x v="12"/>
    <s v="50"/>
    <e v="#N/A"/>
    <s v="500"/>
    <e v="#N/A"/>
  </r>
  <r>
    <n v="500"/>
    <n v="619000"/>
    <n v="1"/>
    <s v="1619000.500"/>
    <s v="ארכיון - הוצאות כלליות"/>
    <m/>
    <m/>
    <n v="3000"/>
    <n v="3000"/>
    <n v="1600"/>
    <e v="#N/A"/>
    <x v="9"/>
    <x v="6"/>
    <s v="61"/>
    <x v="19"/>
    <x v="78"/>
    <x v="61"/>
    <s v="6190"/>
    <e v="#N/A"/>
    <m/>
    <s v="5"/>
    <x v="12"/>
    <s v="50"/>
    <e v="#N/A"/>
    <s v="500"/>
    <e v="#N/A"/>
  </r>
  <r>
    <n v="700"/>
    <n v="619000"/>
    <n v="1"/>
    <s v="1619000.700"/>
    <s v="ארכיון - הוצאות לפעולות"/>
    <m/>
    <m/>
    <n v="7600"/>
    <n v="9200"/>
    <n v="8000"/>
    <e v="#N/A"/>
    <x v="9"/>
    <x v="6"/>
    <s v="61"/>
    <x v="19"/>
    <x v="78"/>
    <x v="61"/>
    <s v="6190"/>
    <e v="#N/A"/>
    <m/>
    <s v="7"/>
    <x v="9"/>
    <s v="70"/>
    <e v="#N/A"/>
    <s v="700"/>
    <e v="#N/A"/>
  </r>
  <r>
    <n v="100"/>
    <n v="782100"/>
    <n v="1"/>
    <s v="1782100.100"/>
    <s v="ביהמ&quot;ש לעניינים מקומיים - שכר לעובדים קבועים"/>
    <m/>
    <m/>
    <n v="2599800"/>
    <n v="2570800"/>
    <n v="2497900"/>
    <e v="#N/A"/>
    <x v="7"/>
    <x v="1"/>
    <s v="78"/>
    <x v="7"/>
    <x v="79"/>
    <x v="62"/>
    <s v="7821"/>
    <e v="#N/A"/>
    <m/>
    <s v="1"/>
    <x v="8"/>
    <s v="10"/>
    <e v="#N/A"/>
    <s v="100"/>
    <e v="#N/A"/>
  </r>
  <r>
    <n v="120"/>
    <n v="782100"/>
    <n v="1"/>
    <s v="1782100.120"/>
    <s v="ביהמ&quot;ש לעניינים מקומיים - שעות נוספות"/>
    <m/>
    <m/>
    <n v="13200"/>
    <n v="13200"/>
    <n v="12100"/>
    <e v="#N/A"/>
    <x v="7"/>
    <x v="1"/>
    <s v="78"/>
    <x v="7"/>
    <x v="79"/>
    <x v="62"/>
    <s v="7821"/>
    <e v="#N/A"/>
    <m/>
    <s v="1"/>
    <x v="8"/>
    <s v="12"/>
    <s v="תוספות שאינן נכללות בשכר הקובע"/>
    <s v="120"/>
    <e v="#N/A"/>
  </r>
  <r>
    <n v="400"/>
    <n v="782100"/>
    <n v="1"/>
    <s v="1782100.400"/>
    <s v="ביהמ&quot;ש לעניינים מקומיים - אחזקה אספקה וציוד"/>
    <m/>
    <m/>
    <n v="647300"/>
    <n v="660200"/>
    <n v="665800"/>
    <e v="#N/A"/>
    <x v="7"/>
    <x v="1"/>
    <s v="78"/>
    <x v="7"/>
    <x v="79"/>
    <x v="62"/>
    <s v="7821"/>
    <e v="#N/A"/>
    <m/>
    <s v="4"/>
    <x v="11"/>
    <s v="40"/>
    <e v="#N/A"/>
    <s v="400"/>
    <e v="#N/A"/>
  </r>
  <r>
    <n v="500"/>
    <n v="782100"/>
    <n v="1"/>
    <s v="1782100.500"/>
    <s v="ביהמ&quot;ש לעניינים מקומיים - תחבורה ודואר"/>
    <m/>
    <m/>
    <n v="58600"/>
    <n v="68100"/>
    <n v="47000"/>
    <e v="#N/A"/>
    <x v="7"/>
    <x v="1"/>
    <s v="78"/>
    <x v="7"/>
    <x v="79"/>
    <x v="62"/>
    <s v="7821"/>
    <e v="#N/A"/>
    <m/>
    <s v="5"/>
    <x v="12"/>
    <s v="50"/>
    <e v="#N/A"/>
    <s v="500"/>
    <e v="#N/A"/>
  </r>
  <r>
    <n v="500"/>
    <n v="782100"/>
    <n v="1"/>
    <s v="1782100.500"/>
    <s v="ביהמ&quot;ש לעניינים מקומיים - הוצאות כלליות"/>
    <m/>
    <m/>
    <n v="6000"/>
    <n v="7000"/>
    <n v="4000"/>
    <e v="#N/A"/>
    <x v="7"/>
    <x v="1"/>
    <s v="78"/>
    <x v="7"/>
    <x v="79"/>
    <x v="62"/>
    <s v="7821"/>
    <e v="#N/A"/>
    <m/>
    <s v="5"/>
    <x v="12"/>
    <s v="50"/>
    <e v="#N/A"/>
    <s v="500"/>
    <e v="#N/A"/>
  </r>
  <r>
    <n v="700"/>
    <n v="782100"/>
    <n v="1"/>
    <s v="1782100.700"/>
    <s v="ביהמ&quot;ש לעניינים מקומיים - הוצאות לפעולות"/>
    <m/>
    <m/>
    <n v="1440000"/>
    <n v="1479900"/>
    <n v="1327600"/>
    <e v="#N/A"/>
    <x v="7"/>
    <x v="1"/>
    <s v="78"/>
    <x v="7"/>
    <x v="79"/>
    <x v="62"/>
    <s v="7821"/>
    <e v="#N/A"/>
    <m/>
    <s v="7"/>
    <x v="9"/>
    <s v="70"/>
    <e v="#N/A"/>
    <s v="700"/>
    <e v="#N/A"/>
  </r>
  <r>
    <n v="100"/>
    <n v="841331"/>
    <n v="1"/>
    <s v="1841331.100"/>
    <s v="האגף לשרותי רווחה - שכר לעובדים קבועים"/>
    <m/>
    <m/>
    <n v="43721400"/>
    <n v="43236400"/>
    <n v="43187200"/>
    <e v="#N/A"/>
    <x v="5"/>
    <x v="2"/>
    <s v="84"/>
    <x v="10"/>
    <x v="80"/>
    <x v="31"/>
    <s v="8413"/>
    <e v="#N/A"/>
    <m/>
    <s v="1"/>
    <x v="8"/>
    <s v="10"/>
    <e v="#N/A"/>
    <s v="100"/>
    <e v="#N/A"/>
  </r>
  <r>
    <n v="120"/>
    <n v="841331"/>
    <n v="1"/>
    <s v="1841331.120"/>
    <s v="האגף לשרותי רווחה - שעות נוספות"/>
    <m/>
    <m/>
    <n v="584600"/>
    <n v="584600"/>
    <n v="672800"/>
    <e v="#N/A"/>
    <x v="5"/>
    <x v="2"/>
    <s v="84"/>
    <x v="10"/>
    <x v="80"/>
    <x v="31"/>
    <s v="8413"/>
    <e v="#N/A"/>
    <m/>
    <s v="1"/>
    <x v="8"/>
    <s v="12"/>
    <s v="תוספות שאינן נכללות בשכר הקובע"/>
    <s v="120"/>
    <e v="#N/A"/>
  </r>
  <r>
    <n v="400"/>
    <n v="841331"/>
    <n v="1"/>
    <s v="1841331.400"/>
    <s v="האגף לשרותי רווחה - אחזקה אספקה וציוד"/>
    <m/>
    <m/>
    <n v="2402500"/>
    <n v="2502500"/>
    <n v="2122500"/>
    <e v="#N/A"/>
    <x v="5"/>
    <x v="2"/>
    <s v="84"/>
    <x v="10"/>
    <x v="80"/>
    <x v="31"/>
    <s v="8413"/>
    <e v="#N/A"/>
    <m/>
    <s v="4"/>
    <x v="11"/>
    <s v="40"/>
    <e v="#N/A"/>
    <s v="400"/>
    <e v="#N/A"/>
  </r>
  <r>
    <n v="500"/>
    <n v="841331"/>
    <n v="1"/>
    <s v="1841331.500"/>
    <s v="האגף לשרותי רווחה - תחבורה ודואר"/>
    <m/>
    <m/>
    <n v="1190000"/>
    <n v="1190000"/>
    <n v="1121400"/>
    <m/>
    <x v="5"/>
    <x v="2"/>
    <s v="84"/>
    <x v="10"/>
    <x v="80"/>
    <x v="31"/>
    <s v="8413"/>
    <e v="#N/A"/>
    <m/>
    <s v="5"/>
    <x v="12"/>
    <s v="50"/>
    <e v="#N/A"/>
    <s v="500"/>
    <e v="#N/A"/>
  </r>
  <r>
    <n v="500"/>
    <n v="841331"/>
    <n v="1"/>
    <s v="1841331.500"/>
    <s v="האגף לשרותי רווחה - הוצאות כלליות"/>
    <m/>
    <m/>
    <n v="50000"/>
    <n v="50000"/>
    <n v="30800"/>
    <e v="#N/A"/>
    <x v="5"/>
    <x v="2"/>
    <s v="84"/>
    <x v="10"/>
    <x v="80"/>
    <x v="31"/>
    <s v="8413"/>
    <e v="#N/A"/>
    <m/>
    <s v="5"/>
    <x v="12"/>
    <s v="50"/>
    <e v="#N/A"/>
    <s v="500"/>
    <e v="#N/A"/>
  </r>
  <r>
    <n v="700"/>
    <n v="841331"/>
    <n v="1"/>
    <s v="1841331.700"/>
    <s v="האגף לשרותי רווחה - הוצאות לפעולות"/>
    <m/>
    <m/>
    <n v="2159400"/>
    <n v="2230000"/>
    <n v="2222100"/>
    <e v="#N/A"/>
    <x v="5"/>
    <x v="2"/>
    <s v="84"/>
    <x v="10"/>
    <x v="80"/>
    <x v="31"/>
    <s v="8413"/>
    <e v="#N/A"/>
    <m/>
    <s v="7"/>
    <x v="9"/>
    <s v="70"/>
    <e v="#N/A"/>
    <s v="700"/>
    <e v="#N/A"/>
  </r>
  <r>
    <n v="100"/>
    <n v="841331"/>
    <n v="1"/>
    <s v="1841331.100"/>
    <s v="שירותי  רווחה - כח אדם וארגוניות"/>
    <m/>
    <m/>
    <n v="21140000"/>
    <n v="21140000"/>
    <n v="21103652"/>
    <m/>
    <x v="5"/>
    <x v="2"/>
    <s v="84"/>
    <x v="10"/>
    <x v="80"/>
    <x v="31"/>
    <s v="8413"/>
    <e v="#N/A"/>
    <m/>
    <s v="1"/>
    <x v="8"/>
    <s v="10"/>
    <e v="#N/A"/>
    <s v="100"/>
    <e v="#N/A"/>
  </r>
  <r>
    <n v="800"/>
    <n v="842000"/>
    <n v="1"/>
    <s v="1842000.800"/>
    <s v="שירותי  רווחה - טיפול במשפחה - השת' ממשלה"/>
    <n v="-10000000"/>
    <m/>
    <n v="10000000"/>
    <n v="10500000"/>
    <n v="9165682"/>
    <m/>
    <x v="5"/>
    <x v="2"/>
    <s v="84"/>
    <x v="10"/>
    <x v="81"/>
    <x v="32"/>
    <s v="8420"/>
    <e v="#N/A"/>
    <m/>
    <s v="8"/>
    <x v="13"/>
    <s v="80"/>
    <e v="#N/A"/>
    <s v="800"/>
    <e v="#N/A"/>
  </r>
  <r>
    <n v="800"/>
    <n v="843000"/>
    <n v="1"/>
    <s v="1843000.800"/>
    <s v="שירותי  רווחה - טיפול בילד ובנוער - השת' ממשלה"/>
    <n v="-42667500"/>
    <m/>
    <n v="42667500"/>
    <n v="42000000"/>
    <n v="41627877"/>
    <m/>
    <x v="5"/>
    <x v="2"/>
    <s v="84"/>
    <x v="10"/>
    <x v="82"/>
    <x v="33"/>
    <s v="8430"/>
    <e v="#N/A"/>
    <m/>
    <s v="8"/>
    <x v="13"/>
    <s v="80"/>
    <e v="#N/A"/>
    <s v="800"/>
    <e v="#N/A"/>
  </r>
  <r>
    <n v="800"/>
    <n v="844000"/>
    <n v="1"/>
    <s v="1844000.800"/>
    <s v="שירותי  רווחה - טיפול בזקן - השת' ממשלה"/>
    <n v="-16000000"/>
    <m/>
    <n v="16000000"/>
    <n v="17000000"/>
    <n v="14975344"/>
    <m/>
    <x v="5"/>
    <x v="2"/>
    <s v="84"/>
    <x v="10"/>
    <x v="83"/>
    <x v="34"/>
    <s v="8440"/>
    <e v="#N/A"/>
    <m/>
    <s v="8"/>
    <x v="13"/>
    <s v="80"/>
    <e v="#N/A"/>
    <s v="800"/>
    <e v="#N/A"/>
  </r>
  <r>
    <n v="800"/>
    <n v="845000"/>
    <n v="1"/>
    <s v="1845000.800"/>
    <s v="שירותי  רווחה - טיפול במפגר - השת'  ממשלה"/>
    <n v="-69000000"/>
    <m/>
    <n v="69000000"/>
    <n v="67950000"/>
    <n v="66683553"/>
    <m/>
    <x v="5"/>
    <x v="2"/>
    <s v="84"/>
    <x v="10"/>
    <x v="84"/>
    <x v="35"/>
    <s v="8450"/>
    <e v="#N/A"/>
    <m/>
    <s v="8"/>
    <x v="13"/>
    <s v="80"/>
    <e v="#N/A"/>
    <s v="800"/>
    <e v="#N/A"/>
  </r>
  <r>
    <n v="800"/>
    <n v="846200"/>
    <n v="1"/>
    <s v="1846200.800"/>
    <s v="שירותי  רווחה - שיקום עוורים - השת' ממשלה"/>
    <n v="-3000000"/>
    <m/>
    <n v="3000000"/>
    <n v="3136000"/>
    <n v="2080815"/>
    <m/>
    <x v="5"/>
    <x v="2"/>
    <s v="84"/>
    <x v="10"/>
    <x v="85"/>
    <x v="36"/>
    <s v="8462"/>
    <s v="שיקום העיוור - אחזקה"/>
    <m/>
    <s v="8"/>
    <x v="13"/>
    <s v="80"/>
    <e v="#N/A"/>
    <s v="800"/>
    <e v="#N/A"/>
  </r>
  <r>
    <n v="800"/>
    <n v="846400"/>
    <n v="1"/>
    <s v="1846400.800"/>
    <s v="שירותי  רווחה - שיקום נכים - השת' ממשלה"/>
    <n v="-23000000"/>
    <m/>
    <n v="23000000"/>
    <n v="23250000"/>
    <n v="22660513"/>
    <m/>
    <x v="5"/>
    <x v="2"/>
    <s v="84"/>
    <x v="10"/>
    <x v="85"/>
    <x v="36"/>
    <s v="8464"/>
    <s v="מפעלי תעסוקה לעיוורים"/>
    <m/>
    <s v="8"/>
    <x v="13"/>
    <s v="80"/>
    <e v="#N/A"/>
    <s v="800"/>
    <e v="#N/A"/>
  </r>
  <r>
    <n v="800"/>
    <n v="846500"/>
    <n v="1"/>
    <s v="1846500.800"/>
    <s v="שירותי  רווחה - מניעת עבריינות - השת' ממשלה"/>
    <n v="-4000000"/>
    <m/>
    <n v="4000000"/>
    <n v="3984500"/>
    <n v="3792127"/>
    <m/>
    <x v="5"/>
    <x v="2"/>
    <s v="84"/>
    <x v="10"/>
    <x v="85"/>
    <x v="36"/>
    <s v="8465"/>
    <s v="נכים - שיקום במוסדות"/>
    <m/>
    <s v="8"/>
    <x v="13"/>
    <s v="80"/>
    <e v="#N/A"/>
    <s v="800"/>
    <e v="#N/A"/>
  </r>
  <r>
    <n v="800"/>
    <n v="846524"/>
    <n v="1"/>
    <s v="1846524.800"/>
    <s v="שירותי  רווחה - הרשות למלחמה בסמים"/>
    <n v="-810000"/>
    <m/>
    <n v="810000"/>
    <n v="810000"/>
    <n v="896860"/>
    <m/>
    <x v="5"/>
    <x v="2"/>
    <s v="84"/>
    <x v="10"/>
    <x v="85"/>
    <x v="36"/>
    <s v="8465"/>
    <s v="נכים - שיקום במוסדות"/>
    <m/>
    <s v="8"/>
    <x v="13"/>
    <s v="80"/>
    <e v="#N/A"/>
    <s v="800"/>
    <e v="#N/A"/>
  </r>
  <r>
    <n v="800"/>
    <n v="847000"/>
    <n v="1"/>
    <s v="1847000.800"/>
    <s v="שירותי  רווחה - עבודה קהילתית - השת' ממשלה"/>
    <n v="-1500000"/>
    <m/>
    <n v="1500000"/>
    <n v="2542000"/>
    <n v="688458"/>
    <m/>
    <x v="5"/>
    <x v="2"/>
    <s v="84"/>
    <x v="10"/>
    <x v="86"/>
    <x v="37"/>
    <s v="8470"/>
    <e v="#N/A"/>
    <m/>
    <s v="8"/>
    <x v="13"/>
    <s v="80"/>
    <e v="#N/A"/>
    <s v="800"/>
    <e v="#N/A"/>
  </r>
  <r>
    <n v="800"/>
    <n v="847310"/>
    <n v="1"/>
    <s v="1847310.800"/>
    <s v="שירותי  רווחה - פרויקט הילה"/>
    <n v="-158000"/>
    <m/>
    <n v="158000"/>
    <n v="158000"/>
    <n v="498170"/>
    <m/>
    <x v="5"/>
    <x v="2"/>
    <s v="84"/>
    <x v="10"/>
    <x v="86"/>
    <x v="37"/>
    <s v="8473"/>
    <s v="סמים"/>
    <m/>
    <s v="8"/>
    <x v="13"/>
    <s v="80"/>
    <e v="#N/A"/>
    <s v="800"/>
    <e v="#N/A"/>
  </r>
  <r>
    <n v="800"/>
    <n v="847320"/>
    <n v="1"/>
    <s v="1847320.800"/>
    <s v="שירותי  רווחה - מאבק באלימות נגד קשישים"/>
    <n v="0"/>
    <m/>
    <n v="0"/>
    <n v="300000"/>
    <n v="0"/>
    <m/>
    <x v="5"/>
    <x v="2"/>
    <s v="84"/>
    <x v="10"/>
    <x v="86"/>
    <x v="37"/>
    <s v="8473"/>
    <s v="סמים"/>
    <m/>
    <s v="8"/>
    <x v="13"/>
    <s v="80"/>
    <e v="#N/A"/>
    <s v="800"/>
    <e v="#N/A"/>
  </r>
  <r>
    <n v="800"/>
    <n v="847410"/>
    <n v="1"/>
    <s v="1847410.800"/>
    <s v="שירותי  רווחה - מרכזתעסוקה לאוכלוסיה לא מסתגלת"/>
    <n v="-1000000"/>
    <m/>
    <n v="1000000"/>
    <n v="1000000"/>
    <n v="2006815"/>
    <m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8200"/>
    <n v="1"/>
    <s v="1848200.800"/>
    <s v="שירותי  רווחה - פרוייקט קד&quot;ש השת' ממשלה"/>
    <n v="-775000"/>
    <m/>
    <n v="775000"/>
    <n v="175000"/>
    <n v="211803"/>
    <m/>
    <x v="5"/>
    <x v="2"/>
    <s v="84"/>
    <x v="10"/>
    <x v="87"/>
    <x v="38"/>
    <s v="8482"/>
    <s v="מרכזים קהילתיים"/>
    <m/>
    <s v="8"/>
    <x v="13"/>
    <s v="80"/>
    <e v="#N/A"/>
    <s v="800"/>
    <e v="#N/A"/>
  </r>
  <r>
    <n v="800"/>
    <n v="848300"/>
    <n v="1"/>
    <s v="1848300.800"/>
    <s v="שירותי  רווחה - עיר ללא אלימות"/>
    <n v="-1150000"/>
    <m/>
    <n v="1150000"/>
    <n v="1150000"/>
    <n v="1380166"/>
    <m/>
    <x v="5"/>
    <x v="2"/>
    <s v="84"/>
    <x v="10"/>
    <x v="87"/>
    <x v="38"/>
    <s v="8483"/>
    <s v="התנדבות"/>
    <m/>
    <s v="8"/>
    <x v="13"/>
    <s v="80"/>
    <e v="#N/A"/>
    <s v="800"/>
    <e v="#N/A"/>
  </r>
  <r>
    <n v="800"/>
    <n v="848500"/>
    <n v="1"/>
    <s v="1848500.800"/>
    <s v="שירותי  רווחה - עיר בריאה"/>
    <n v="-270000"/>
    <m/>
    <n v="270000"/>
    <n v="270000"/>
    <n v="375000"/>
    <e v="#N/A"/>
    <x v="5"/>
    <x v="2"/>
    <s v="84"/>
    <x v="10"/>
    <x v="87"/>
    <x v="38"/>
    <s v="8485"/>
    <s v="שיקום שכונות"/>
    <m/>
    <s v="8"/>
    <x v="13"/>
    <s v="80"/>
    <e v="#N/A"/>
    <s v="800"/>
    <e v="#N/A"/>
  </r>
  <r>
    <n v="800"/>
    <n v="847310"/>
    <n v="1"/>
    <s v="1847310.800"/>
    <s v="פרויקט הילה - השתתפויות תמיכות ותרומות"/>
    <m/>
    <m/>
    <n v="276900"/>
    <n v="285000"/>
    <n v="424900"/>
    <e v="#N/A"/>
    <x v="5"/>
    <x v="2"/>
    <s v="84"/>
    <x v="10"/>
    <x v="86"/>
    <x v="37"/>
    <s v="8473"/>
    <s v="סמים"/>
    <m/>
    <s v="8"/>
    <x v="13"/>
    <s v="80"/>
    <e v="#N/A"/>
    <s v="800"/>
    <e v="#N/A"/>
  </r>
  <r>
    <n v="700"/>
    <n v="846524"/>
    <n v="1"/>
    <s v="1846524.700"/>
    <s v="הרשות למלחמה בסמים - הוצאות לפעולות"/>
    <m/>
    <m/>
    <n v="291400"/>
    <n v="300000"/>
    <n v="0"/>
    <e v="#N/A"/>
    <x v="5"/>
    <x v="2"/>
    <s v="84"/>
    <x v="10"/>
    <x v="85"/>
    <x v="36"/>
    <s v="8465"/>
    <s v="נכים - שיקום במוסדות"/>
    <m/>
    <s v="7"/>
    <x v="9"/>
    <s v="70"/>
    <e v="#N/A"/>
    <s v="700"/>
    <e v="#N/A"/>
  </r>
  <r>
    <n v="800"/>
    <n v="846524"/>
    <n v="1"/>
    <s v="1846524.800"/>
    <s v="הרשות למלחמה בסמים - השתתפויות תמיכות ותרומות"/>
    <m/>
    <m/>
    <n v="1282300"/>
    <n v="1320000"/>
    <n v="1298900"/>
    <e v="#N/A"/>
    <x v="5"/>
    <x v="2"/>
    <s v="84"/>
    <x v="10"/>
    <x v="85"/>
    <x v="36"/>
    <s v="8465"/>
    <s v="נכים - שיקום במוסדות"/>
    <m/>
    <s v="8"/>
    <x v="13"/>
    <s v="80"/>
    <e v="#N/A"/>
    <s v="800"/>
    <e v="#N/A"/>
  </r>
  <r>
    <n v="100"/>
    <n v="727000"/>
    <n v="1"/>
    <s v="1727000.100"/>
    <s v="מציל&quot;ה - שכר לעובדים קבועים"/>
    <m/>
    <m/>
    <n v="8200"/>
    <n v="8200"/>
    <n v="9400"/>
    <e v="#N/A"/>
    <x v="7"/>
    <x v="1"/>
    <s v="72"/>
    <x v="4"/>
    <x v="88"/>
    <x v="7"/>
    <s v="7270"/>
    <e v="#N/A"/>
    <m/>
    <s v="1"/>
    <x v="8"/>
    <s v="10"/>
    <e v="#N/A"/>
    <s v="100"/>
    <e v="#N/A"/>
  </r>
  <r>
    <n v="120"/>
    <n v="727000"/>
    <n v="1"/>
    <s v="1727000.120"/>
    <s v="מציל&quot;ה - שעות נוספות"/>
    <m/>
    <m/>
    <n v="1800"/>
    <n v="1800"/>
    <n v="100"/>
    <e v="#N/A"/>
    <x v="7"/>
    <x v="1"/>
    <s v="72"/>
    <x v="4"/>
    <x v="88"/>
    <x v="7"/>
    <s v="7270"/>
    <e v="#N/A"/>
    <m/>
    <s v="1"/>
    <x v="8"/>
    <s v="12"/>
    <s v="תוספות שאינן נכללות בשכר הקובע"/>
    <s v="120"/>
    <e v="#N/A"/>
  </r>
  <r>
    <n v="800"/>
    <n v="727000"/>
    <n v="1"/>
    <s v="1727000.800"/>
    <s v="מציל&quot;ה - השתתפויות תמיכות ותרומות"/>
    <m/>
    <m/>
    <n v="90800"/>
    <n v="93500"/>
    <n v="32500"/>
    <e v="#N/A"/>
    <x v="7"/>
    <x v="1"/>
    <s v="72"/>
    <x v="4"/>
    <x v="88"/>
    <x v="7"/>
    <s v="7270"/>
    <e v="#N/A"/>
    <m/>
    <s v="8"/>
    <x v="13"/>
    <s v="80"/>
    <e v="#N/A"/>
    <s v="800"/>
    <e v="#N/A"/>
  </r>
  <r>
    <n v="800"/>
    <n v="847417"/>
    <n v="1"/>
    <s v="1847417.800"/>
    <s v="מרכז תעסוקה - השתתפויות תמיכות ותרומות"/>
    <m/>
    <m/>
    <n v="1882200"/>
    <n v="1937500"/>
    <n v="16303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100"/>
    <n v="861000"/>
    <n v="1"/>
    <s v="1861000.100"/>
    <s v="פרוייקט קד&quot;ש - שכר לעובדים קבועים"/>
    <m/>
    <m/>
    <n v="37000"/>
    <n v="37000"/>
    <n v="151200"/>
    <e v="#N/A"/>
    <x v="5"/>
    <x v="2"/>
    <s v="86"/>
    <x v="23"/>
    <x v="89"/>
    <x v="0"/>
    <s v="8610"/>
    <e v="#N/A"/>
    <m/>
    <s v="1"/>
    <x v="8"/>
    <s v="10"/>
    <e v="#N/A"/>
    <s v="100"/>
    <e v="#N/A"/>
  </r>
  <r>
    <n v="700"/>
    <n v="861000"/>
    <n v="1"/>
    <s v="1861000.700"/>
    <s v="פרוייקט קד&quot;ש - הוצאות לפעולות"/>
    <m/>
    <m/>
    <n v="721700"/>
    <n v="742900"/>
    <n v="543900"/>
    <e v="#N/A"/>
    <x v="5"/>
    <x v="2"/>
    <s v="86"/>
    <x v="23"/>
    <x v="89"/>
    <x v="0"/>
    <s v="8610"/>
    <e v="#N/A"/>
    <m/>
    <s v="7"/>
    <x v="9"/>
    <s v="70"/>
    <e v="#N/A"/>
    <s v="700"/>
    <e v="#N/A"/>
  </r>
  <r>
    <n v="800"/>
    <n v="847413"/>
    <n v="1"/>
    <s v="1847413.800"/>
    <s v="מיל&quot;ב-מועדוני פנסיונרים - השתתפויות תמיכות ותרומות"/>
    <m/>
    <m/>
    <n v="3330900"/>
    <n v="3428500"/>
    <n v="34285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6423"/>
    <n v="1"/>
    <s v="1846423.800"/>
    <s v="גימלאידה - השתתפויות תמיכות ותרומות"/>
    <m/>
    <m/>
    <n v="276900"/>
    <n v="285000"/>
    <n v="277500"/>
    <e v="#N/A"/>
    <x v="5"/>
    <x v="2"/>
    <s v="84"/>
    <x v="10"/>
    <x v="85"/>
    <x v="36"/>
    <s v="8464"/>
    <s v="מפעלי תעסוקה לעיוורים"/>
    <m/>
    <s v="8"/>
    <x v="13"/>
    <s v="80"/>
    <e v="#N/A"/>
    <s v="800"/>
    <e v="#N/A"/>
  </r>
  <r>
    <n v="800"/>
    <n v="847418"/>
    <n v="1"/>
    <s v="1847418.800"/>
    <s v="מרכז להורה עצמאי - השתתפויות תמיכות ותרומות"/>
    <m/>
    <m/>
    <n v="63700"/>
    <n v="65600"/>
    <n v="552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20"/>
    <n v="1"/>
    <s v="1847420.800"/>
    <s v="שיקום האסיר - השתתפויות תמיכות ותרומות"/>
    <m/>
    <m/>
    <n v="39800"/>
    <n v="41000"/>
    <n v="410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16"/>
    <n v="1"/>
    <s v="1847416.800"/>
    <s v="ארועים למען הקשיש - השתתפויות תמיכות ותרומות"/>
    <m/>
    <m/>
    <n v="52300"/>
    <n v="53800"/>
    <n v="225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11"/>
    <n v="1"/>
    <s v="1847411.800"/>
    <s v="מועדוניות לילד - השתתפויות תמיכות ותרומות"/>
    <m/>
    <m/>
    <n v="83100"/>
    <n v="85500"/>
    <n v="770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14"/>
    <n v="1"/>
    <s v="1847414.800"/>
    <s v="מרכז גיל רך ואדי - השתתפויות תמיכות ותרומות"/>
    <m/>
    <m/>
    <n v="41600"/>
    <n v="42800"/>
    <n v="428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15"/>
    <n v="1"/>
    <s v="1847415.800"/>
    <s v="ילדים בסיכון הדר - השתתפויות תמיכות ותרומות"/>
    <m/>
    <m/>
    <n v="20800"/>
    <n v="21400"/>
    <n v="20700"/>
    <m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22"/>
    <n v="1"/>
    <s v="1847422.800"/>
    <s v="פרויקט סטרייב - השתתפויות תמיכות ותרומות"/>
    <m/>
    <m/>
    <n v="68000"/>
    <n v="70000"/>
    <n v="440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761111"/>
    <n v="1"/>
    <s v="1761111.800"/>
    <s v="קרן ק.ס.ם.‏ - השתתפויות תמיכות ותרומות"/>
    <m/>
    <m/>
    <n v="280600"/>
    <n v="288800"/>
    <n v="274700"/>
    <e v="#N/A"/>
    <x v="7"/>
    <x v="1"/>
    <s v="76"/>
    <x v="20"/>
    <x v="67"/>
    <x v="50"/>
    <s v="7611"/>
    <e v="#N/A"/>
    <m/>
    <s v="8"/>
    <x v="13"/>
    <s v="80"/>
    <e v="#N/A"/>
    <s v="800"/>
    <e v="#N/A"/>
  </r>
  <r>
    <n v="800"/>
    <n v="847425"/>
    <n v="1"/>
    <s v="1847425.800"/>
    <s v="תוכנית חוסן‏ - השתתפויות תמיכות ותרומות"/>
    <m/>
    <m/>
    <n v="138400"/>
    <n v="142500"/>
    <n v="1326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800"/>
    <n v="847426"/>
    <n v="1"/>
    <s v="1847426.800"/>
    <s v="מרכז לילדים נפגעי‏ תקיפה מינית - השתתפויות תמיכות ותרומות"/>
    <m/>
    <m/>
    <n v="138400"/>
    <n v="142500"/>
    <n v="64800"/>
    <e v="#N/A"/>
    <x v="5"/>
    <x v="2"/>
    <s v="84"/>
    <x v="10"/>
    <x v="86"/>
    <x v="37"/>
    <s v="8474"/>
    <s v="מפתנים"/>
    <m/>
    <s v="8"/>
    <x v="13"/>
    <s v="80"/>
    <e v="#N/A"/>
    <s v="800"/>
    <e v="#N/A"/>
  </r>
  <r>
    <n v="100"/>
    <n v="829500"/>
    <n v="1"/>
    <s v="1829500.100"/>
    <s v="הנהלת רשות הספורט - שכר לעובדים קבועים"/>
    <m/>
    <m/>
    <n v="3542100"/>
    <n v="3501100"/>
    <n v="3072300"/>
    <e v="#N/A"/>
    <x v="5"/>
    <x v="2"/>
    <s v="82"/>
    <x v="9"/>
    <x v="55"/>
    <x v="29"/>
    <s v="8295"/>
    <e v="#N/A"/>
    <m/>
    <s v="1"/>
    <x v="8"/>
    <s v="10"/>
    <e v="#N/A"/>
    <s v="100"/>
    <e v="#N/A"/>
  </r>
  <r>
    <n v="120"/>
    <n v="829500"/>
    <n v="1"/>
    <s v="1829500.120"/>
    <s v="הנהלת רשות הספורט - שעות נוספות"/>
    <m/>
    <m/>
    <n v="184900"/>
    <n v="184900"/>
    <n v="200800"/>
    <e v="#N/A"/>
    <x v="5"/>
    <x v="2"/>
    <s v="82"/>
    <x v="9"/>
    <x v="55"/>
    <x v="29"/>
    <s v="8295"/>
    <e v="#N/A"/>
    <m/>
    <s v="1"/>
    <x v="8"/>
    <s v="12"/>
    <s v="תוספות שאינן נכללות בשכר הקובע"/>
    <s v="120"/>
    <e v="#N/A"/>
  </r>
  <r>
    <n v="400"/>
    <n v="829500"/>
    <n v="1"/>
    <s v="1829500.400"/>
    <s v="הנהלת רשות הספורט - אחזקה אספקה וציוד"/>
    <m/>
    <m/>
    <n v="8700"/>
    <n v="8700"/>
    <n v="5400"/>
    <e v="#N/A"/>
    <x v="5"/>
    <x v="2"/>
    <s v="82"/>
    <x v="9"/>
    <x v="55"/>
    <x v="29"/>
    <s v="8295"/>
    <e v="#N/A"/>
    <m/>
    <s v="4"/>
    <x v="11"/>
    <s v="40"/>
    <e v="#N/A"/>
    <s v="400"/>
    <e v="#N/A"/>
  </r>
  <r>
    <n v="500"/>
    <n v="829500"/>
    <n v="1"/>
    <s v="1829500.500"/>
    <s v="הנהלת רשות הספורט - תחבורה ודואר"/>
    <m/>
    <m/>
    <n v="50000"/>
    <n v="50000"/>
    <n v="46800"/>
    <e v="#N/A"/>
    <x v="5"/>
    <x v="2"/>
    <s v="82"/>
    <x v="9"/>
    <x v="55"/>
    <x v="29"/>
    <s v="8295"/>
    <e v="#N/A"/>
    <m/>
    <s v="5"/>
    <x v="12"/>
    <s v="50"/>
    <e v="#N/A"/>
    <s v="500"/>
    <e v="#N/A"/>
  </r>
  <r>
    <n v="500"/>
    <n v="829500"/>
    <n v="1"/>
    <s v="1829500.500"/>
    <s v="הנהלת רשות הספורט - הוצאות כלליות"/>
    <m/>
    <m/>
    <n v="72100"/>
    <n v="75100"/>
    <n v="82300"/>
    <e v="#N/A"/>
    <x v="5"/>
    <x v="2"/>
    <s v="82"/>
    <x v="9"/>
    <x v="55"/>
    <x v="29"/>
    <s v="8295"/>
    <e v="#N/A"/>
    <m/>
    <s v="5"/>
    <x v="12"/>
    <s v="50"/>
    <e v="#N/A"/>
    <s v="500"/>
    <e v="#N/A"/>
  </r>
  <r>
    <n v="700"/>
    <n v="829500"/>
    <n v="1"/>
    <s v="1829500.700"/>
    <s v="הנהלת רשות הספורט - הוצאות לפעולות"/>
    <m/>
    <m/>
    <n v="206000"/>
    <n v="212900"/>
    <n v="129500"/>
    <e v="#N/A"/>
    <x v="5"/>
    <x v="2"/>
    <s v="82"/>
    <x v="9"/>
    <x v="55"/>
    <x v="29"/>
    <s v="8295"/>
    <e v="#N/A"/>
    <m/>
    <s v="7"/>
    <x v="9"/>
    <s v="70"/>
    <e v="#N/A"/>
    <s v="700"/>
    <e v="#N/A"/>
  </r>
  <r>
    <n v="100"/>
    <n v="829231"/>
    <n v="1"/>
    <s v="1829231.100"/>
    <s v="מועדונים בית ספריים - שכר לעובדים קבועים"/>
    <m/>
    <m/>
    <n v="0"/>
    <n v="0"/>
    <n v="162400"/>
    <e v="#N/A"/>
    <x v="5"/>
    <x v="2"/>
    <s v="82"/>
    <x v="9"/>
    <x v="55"/>
    <x v="29"/>
    <s v="8292"/>
    <e v="#N/A"/>
    <m/>
    <s v="1"/>
    <x v="8"/>
    <s v="10"/>
    <e v="#N/A"/>
    <s v="100"/>
    <e v="#N/A"/>
  </r>
  <r>
    <n v="200"/>
    <n v="829231"/>
    <n v="1"/>
    <s v="1829231.200"/>
    <s v="מועדונים בית ספריים - שכר לעובדים ארעיים"/>
    <m/>
    <m/>
    <n v="3920800"/>
    <n v="4201800"/>
    <n v="3783400"/>
    <e v="#N/A"/>
    <x v="5"/>
    <x v="2"/>
    <s v="82"/>
    <x v="9"/>
    <x v="55"/>
    <x v="29"/>
    <s v="8292"/>
    <e v="#N/A"/>
    <m/>
    <s v="2"/>
    <x v="10"/>
    <s v="20"/>
    <e v="#N/A"/>
    <s v="200"/>
    <e v="#N/A"/>
  </r>
  <r>
    <n v="120"/>
    <n v="829231"/>
    <n v="1"/>
    <s v="1829231.120"/>
    <s v="מועדונים בית ספריים - שעות נוספות"/>
    <m/>
    <m/>
    <n v="43200"/>
    <n v="43200"/>
    <n v="39200"/>
    <e v="#N/A"/>
    <x v="5"/>
    <x v="2"/>
    <s v="82"/>
    <x v="9"/>
    <x v="55"/>
    <x v="29"/>
    <s v="8292"/>
    <e v="#N/A"/>
    <m/>
    <s v="1"/>
    <x v="8"/>
    <s v="12"/>
    <s v="תוספות שאינן נכללות בשכר הקובע"/>
    <s v="120"/>
    <e v="#N/A"/>
  </r>
  <r>
    <n v="700"/>
    <n v="829231"/>
    <n v="1"/>
    <s v="1829231.700"/>
    <s v="מועדונים בית ספריים - הוצאות לפעולות"/>
    <m/>
    <m/>
    <n v="167100"/>
    <n v="172000"/>
    <n v="15860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200"/>
    <n v="829232"/>
    <n v="1"/>
    <s v="1829232.200"/>
    <s v="מרכזי אימון‏‏ - שכר לעובדים ארעיים"/>
    <m/>
    <m/>
    <n v="28400"/>
    <n v="28400"/>
    <n v="125400"/>
    <e v="#N/A"/>
    <x v="5"/>
    <x v="2"/>
    <s v="82"/>
    <x v="9"/>
    <x v="55"/>
    <x v="29"/>
    <s v="8292"/>
    <e v="#N/A"/>
    <m/>
    <s v="2"/>
    <x v="10"/>
    <s v="20"/>
    <e v="#N/A"/>
    <s v="200"/>
    <e v="#N/A"/>
  </r>
  <r>
    <n v="120"/>
    <n v="829232"/>
    <n v="1"/>
    <s v="1829232.120"/>
    <s v="מרכזי אימון‏‏ - שעות נוספות"/>
    <m/>
    <m/>
    <n v="11600"/>
    <n v="11600"/>
    <n v="13600"/>
    <e v="#N/A"/>
    <x v="5"/>
    <x v="2"/>
    <s v="82"/>
    <x v="9"/>
    <x v="55"/>
    <x v="29"/>
    <s v="8292"/>
    <e v="#N/A"/>
    <m/>
    <s v="1"/>
    <x v="8"/>
    <s v="12"/>
    <s v="תוספות שאינן נכללות בשכר הקובע"/>
    <s v="120"/>
    <e v="#N/A"/>
  </r>
  <r>
    <n v="700"/>
    <n v="829901"/>
    <n v="1"/>
    <s v="1829901.700"/>
    <s v="ארועי ספורט - הוצאות לפעולות"/>
    <m/>
    <m/>
    <n v="2289400"/>
    <n v="2356700"/>
    <n v="1098300"/>
    <e v="#N/A"/>
    <x v="5"/>
    <x v="2"/>
    <s v="82"/>
    <x v="9"/>
    <x v="55"/>
    <x v="29"/>
    <s v="8299"/>
    <e v="#N/A"/>
    <m/>
    <s v="7"/>
    <x v="9"/>
    <s v="70"/>
    <e v="#N/A"/>
    <s v="700"/>
    <e v="#N/A"/>
  </r>
  <r>
    <n v="700"/>
    <n v="829902"/>
    <n v="1"/>
    <s v="1829902.700"/>
    <s v="אליפות העולם בשייט - הוצאות לפעולות"/>
    <m/>
    <m/>
    <n v="200000"/>
    <n v="1000000"/>
    <n v="0"/>
    <e v="#N/A"/>
    <x v="5"/>
    <x v="2"/>
    <s v="82"/>
    <x v="9"/>
    <x v="55"/>
    <x v="29"/>
    <s v="8299"/>
    <e v="#N/A"/>
    <m/>
    <s v="7"/>
    <x v="9"/>
    <s v="70"/>
    <e v="#N/A"/>
    <s v="700"/>
    <e v="#N/A"/>
  </r>
  <r>
    <n v="700"/>
    <n v="829235"/>
    <n v="1"/>
    <s v="1829235.700"/>
    <s v="פעילות טניס לילדים - הוצאות לפעולות"/>
    <m/>
    <m/>
    <n v="68000"/>
    <n v="70000"/>
    <n v="7000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120"/>
    <n v="829230"/>
    <n v="1"/>
    <s v="1829230.120"/>
    <s v="הפעלת מגרשי ספורט - שעות נוספות"/>
    <m/>
    <m/>
    <m/>
    <n v="0"/>
    <n v="0"/>
    <e v="#N/A"/>
    <x v="5"/>
    <x v="2"/>
    <s v="82"/>
    <x v="9"/>
    <x v="55"/>
    <x v="29"/>
    <s v="8292"/>
    <e v="#N/A"/>
    <m/>
    <s v="1"/>
    <x v="8"/>
    <s v="12"/>
    <s v="תוספות שאינן נכללות בשכר הקובע"/>
    <s v="120"/>
    <e v="#N/A"/>
  </r>
  <r>
    <n v="400"/>
    <n v="829230"/>
    <n v="1"/>
    <s v="1829230.400"/>
    <s v="הפעלת מגרשי ספורט - אחזקה אספקה וציוד"/>
    <m/>
    <m/>
    <n v="41000"/>
    <n v="41000"/>
    <n v="59800"/>
    <e v="#N/A"/>
    <x v="5"/>
    <x v="2"/>
    <s v="82"/>
    <x v="9"/>
    <x v="55"/>
    <x v="29"/>
    <s v="8292"/>
    <e v="#N/A"/>
    <m/>
    <s v="4"/>
    <x v="11"/>
    <s v="40"/>
    <e v="#N/A"/>
    <s v="400"/>
    <e v="#N/A"/>
  </r>
  <r>
    <n v="700"/>
    <n v="829230"/>
    <n v="1"/>
    <s v="1829230.700"/>
    <s v="הפעלת מגרשי ספורט - הוצאות לפעולות"/>
    <m/>
    <m/>
    <n v="272900"/>
    <n v="282100"/>
    <n v="27210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700"/>
    <n v="829234"/>
    <n v="1"/>
    <s v="1829234.700"/>
    <s v="אולמות ספורט עירוני א ושיזף - הוצאות לפעולות"/>
    <m/>
    <m/>
    <n v="94200"/>
    <n v="97000"/>
    <n v="9870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700"/>
    <n v="829236"/>
    <n v="1"/>
    <s v="1829236.700"/>
    <s v="כבביר, ק.חיים, רמת אלון ודינור - הוצאות לפעולות"/>
    <m/>
    <m/>
    <n v="194300"/>
    <n v="200000"/>
    <n v="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100"/>
    <n v="824700"/>
    <n v="1"/>
    <s v="1824700.100"/>
    <s v="מועדון נוער אחווה - שכר לעובדים קבועים"/>
    <m/>
    <m/>
    <n v="618800"/>
    <n v="611800"/>
    <n v="541500"/>
    <e v="#N/A"/>
    <x v="5"/>
    <x v="2"/>
    <s v="82"/>
    <x v="9"/>
    <x v="56"/>
    <x v="30"/>
    <s v="8247"/>
    <e v="#N/A"/>
    <m/>
    <s v="1"/>
    <x v="8"/>
    <s v="10"/>
    <e v="#N/A"/>
    <s v="100"/>
    <e v="#N/A"/>
  </r>
  <r>
    <n v="120"/>
    <n v="824700"/>
    <n v="1"/>
    <s v="1824700.120"/>
    <s v="מועדון נוער אחווה - שעות נוספות"/>
    <m/>
    <m/>
    <n v="1200"/>
    <n v="1200"/>
    <n v="900"/>
    <e v="#N/A"/>
    <x v="5"/>
    <x v="2"/>
    <s v="82"/>
    <x v="9"/>
    <x v="56"/>
    <x v="30"/>
    <s v="8247"/>
    <e v="#N/A"/>
    <m/>
    <s v="1"/>
    <x v="8"/>
    <s v="12"/>
    <s v="תוספות שאינן נכללות בשכר הקובע"/>
    <s v="120"/>
    <e v="#N/A"/>
  </r>
  <r>
    <n v="700"/>
    <n v="824700"/>
    <n v="1"/>
    <s v="1824700.700"/>
    <s v="מועדון נוער אחווה - הוצאות לפעולות"/>
    <m/>
    <m/>
    <n v="242900"/>
    <n v="250000"/>
    <n v="174600"/>
    <e v="#N/A"/>
    <x v="5"/>
    <x v="2"/>
    <s v="82"/>
    <x v="9"/>
    <x v="56"/>
    <x v="30"/>
    <s v="8247"/>
    <e v="#N/A"/>
    <m/>
    <s v="7"/>
    <x v="9"/>
    <s v="70"/>
    <e v="#N/A"/>
    <s v="700"/>
    <e v="#N/A"/>
  </r>
  <r>
    <n v="700"/>
    <n v="829237"/>
    <n v="1"/>
    <s v="1829237.700"/>
    <s v="ספורט ונוער המחלקה לארועים ואומנויות - הוצאות לפעולות"/>
    <m/>
    <m/>
    <n v="391900"/>
    <n v="403400"/>
    <n v="0"/>
    <e v="#N/A"/>
    <x v="5"/>
    <x v="2"/>
    <s v="82"/>
    <x v="9"/>
    <x v="55"/>
    <x v="29"/>
    <s v="8292"/>
    <e v="#N/A"/>
    <m/>
    <s v="7"/>
    <x v="9"/>
    <s v="70"/>
    <e v="#N/A"/>
    <s v="700"/>
    <e v="#N/A"/>
  </r>
  <r>
    <n v="100"/>
    <n v="828400"/>
    <n v="1"/>
    <s v="1828400.100"/>
    <s v="המחלקה לנוער - שכר לעובדים קבועים"/>
    <m/>
    <m/>
    <n v="1410500"/>
    <n v="1321800"/>
    <n v="1283300"/>
    <e v="#N/A"/>
    <x v="5"/>
    <x v="2"/>
    <s v="82"/>
    <x v="9"/>
    <x v="90"/>
    <x v="28"/>
    <s v="8284"/>
    <s v="קייטנות נוער"/>
    <m/>
    <s v="1"/>
    <x v="8"/>
    <s v="10"/>
    <e v="#N/A"/>
    <s v="100"/>
    <e v="#N/A"/>
  </r>
  <r>
    <n v="120"/>
    <n v="828400"/>
    <n v="1"/>
    <s v="1828400.120"/>
    <s v="המחלקה לנוער - שעות נוספות"/>
    <m/>
    <m/>
    <n v="75500"/>
    <n v="75500"/>
    <n v="96600"/>
    <e v="#N/A"/>
    <x v="5"/>
    <x v="2"/>
    <s v="82"/>
    <x v="9"/>
    <x v="90"/>
    <x v="28"/>
    <s v="8284"/>
    <s v="קייטנות נוער"/>
    <m/>
    <s v="1"/>
    <x v="8"/>
    <s v="12"/>
    <s v="תוספות שאינן נכללות בשכר הקובע"/>
    <s v="120"/>
    <e v="#N/A"/>
  </r>
  <r>
    <n v="500"/>
    <n v="828400"/>
    <n v="1"/>
    <s v="1828400.500"/>
    <s v="המחלקה לנוער - תחבורה ודואר"/>
    <m/>
    <m/>
    <n v="66500"/>
    <n v="66500"/>
    <n v="65300"/>
    <e v="#N/A"/>
    <x v="5"/>
    <x v="2"/>
    <s v="82"/>
    <x v="9"/>
    <x v="90"/>
    <x v="28"/>
    <s v="8284"/>
    <s v="קייטנות נוער"/>
    <m/>
    <s v="5"/>
    <x v="12"/>
    <s v="50"/>
    <e v="#N/A"/>
    <s v="500"/>
    <e v="#N/A"/>
  </r>
  <r>
    <n v="500"/>
    <n v="828400"/>
    <n v="1"/>
    <s v="1828400.500"/>
    <s v="המחלקה לנוער - הוצאות כלליות"/>
    <m/>
    <m/>
    <n v="5000"/>
    <n v="5000"/>
    <n v="2100"/>
    <e v="#N/A"/>
    <x v="5"/>
    <x v="2"/>
    <s v="82"/>
    <x v="9"/>
    <x v="90"/>
    <x v="28"/>
    <s v="8284"/>
    <s v="קייטנות נוער"/>
    <m/>
    <s v="5"/>
    <x v="12"/>
    <s v="50"/>
    <e v="#N/A"/>
    <s v="500"/>
    <e v="#N/A"/>
  </r>
  <r>
    <n v="700"/>
    <n v="828400"/>
    <n v="1"/>
    <s v="1828400.700"/>
    <s v="המחלקה לנוער - הוצאות לפעולות"/>
    <m/>
    <m/>
    <n v="20100"/>
    <n v="22800"/>
    <n v="24200"/>
    <e v="#N/A"/>
    <x v="5"/>
    <x v="2"/>
    <s v="82"/>
    <x v="9"/>
    <x v="90"/>
    <x v="28"/>
    <s v="8284"/>
    <s v="קייטנות נוער"/>
    <m/>
    <s v="7"/>
    <x v="9"/>
    <s v="70"/>
    <e v="#N/A"/>
    <s v="700"/>
    <e v="#N/A"/>
  </r>
  <r>
    <n v="800"/>
    <n v="828292"/>
    <n v="1"/>
    <s v="1828292.800"/>
    <s v="תנועות נוער - פעילות שוטפת - השתתפויות תמיכות ותרומות"/>
    <m/>
    <m/>
    <n v="509800"/>
    <n v="545800"/>
    <n v="1242300"/>
    <m/>
    <x v="5"/>
    <x v="2"/>
    <s v="82"/>
    <x v="9"/>
    <x v="90"/>
    <x v="28"/>
    <s v="8282"/>
    <s v="מוקדי הפעלת נוער"/>
    <m/>
    <s v="8"/>
    <x v="13"/>
    <s v="80"/>
    <e v="#N/A"/>
    <s v="800"/>
    <e v="#N/A"/>
  </r>
  <r>
    <n v="700"/>
    <n v="828294"/>
    <n v="1"/>
    <s v="1828294.700"/>
    <s v="פרוייקט מעוף - הוצאות לפעולות"/>
    <m/>
    <m/>
    <n v="129900"/>
    <n v="133700"/>
    <n v="99900"/>
    <e v="#N/A"/>
    <x v="5"/>
    <x v="2"/>
    <s v="82"/>
    <x v="9"/>
    <x v="90"/>
    <x v="28"/>
    <s v="8282"/>
    <s v="מוקדי הפעלת נוער"/>
    <m/>
    <s v="7"/>
    <x v="9"/>
    <s v="70"/>
    <e v="#N/A"/>
    <s v="700"/>
    <e v="#N/A"/>
  </r>
  <r>
    <n v="700"/>
    <n v="828295"/>
    <n v="1"/>
    <s v="1828295.700"/>
    <s v="פרוייקטים יחודיים לנוער - הוצאות לפעולות"/>
    <m/>
    <m/>
    <n v="832300"/>
    <n v="877800"/>
    <n v="779100"/>
    <e v="#N/A"/>
    <x v="5"/>
    <x v="2"/>
    <s v="82"/>
    <x v="9"/>
    <x v="90"/>
    <x v="28"/>
    <s v="8282"/>
    <s v="מוקדי הפעלת נוער"/>
    <m/>
    <s v="7"/>
    <x v="9"/>
    <s v="70"/>
    <e v="#N/A"/>
    <s v="700"/>
    <e v="#N/A"/>
  </r>
  <r>
    <n v="100"/>
    <n v="828296"/>
    <n v="1"/>
    <s v="1828296.100"/>
    <s v="מרכז לצעירים - שכר לעובדים קבועים"/>
    <m/>
    <m/>
    <n v="842400"/>
    <n v="651000"/>
    <n v="669500"/>
    <e v="#N/A"/>
    <x v="5"/>
    <x v="2"/>
    <s v="82"/>
    <x v="9"/>
    <x v="90"/>
    <x v="28"/>
    <s v="8282"/>
    <s v="מוקדי הפעלת נוער"/>
    <m/>
    <s v="1"/>
    <x v="8"/>
    <s v="10"/>
    <e v="#N/A"/>
    <s v="100"/>
    <e v="#N/A"/>
  </r>
  <r>
    <n v="120"/>
    <n v="828296"/>
    <n v="1"/>
    <s v="1828296.120"/>
    <s v="מרכז לצעירים - שעות נוספות"/>
    <m/>
    <m/>
    <n v="3600"/>
    <n v="3600"/>
    <n v="5400"/>
    <e v="#N/A"/>
    <x v="5"/>
    <x v="2"/>
    <s v="82"/>
    <x v="9"/>
    <x v="90"/>
    <x v="28"/>
    <s v="8282"/>
    <s v="מוקדי הפעלת נוער"/>
    <m/>
    <s v="1"/>
    <x v="8"/>
    <s v="12"/>
    <s v="תוספות שאינן נכללות בשכר הקובע"/>
    <s v="120"/>
    <e v="#N/A"/>
  </r>
  <r>
    <n v="400"/>
    <n v="828296"/>
    <n v="1"/>
    <s v="1828296.400"/>
    <s v="מרכז לצעירים - אחזקה אספקה וציוד"/>
    <m/>
    <m/>
    <n v="5000"/>
    <n v="5000"/>
    <n v="400"/>
    <e v="#N/A"/>
    <x v="5"/>
    <x v="2"/>
    <s v="82"/>
    <x v="9"/>
    <x v="90"/>
    <x v="28"/>
    <s v="8282"/>
    <s v="מוקדי הפעלת נוער"/>
    <m/>
    <s v="4"/>
    <x v="11"/>
    <s v="40"/>
    <e v="#N/A"/>
    <s v="400"/>
    <e v="#N/A"/>
  </r>
  <r>
    <n v="700"/>
    <n v="828296"/>
    <n v="1"/>
    <s v="1828296.700"/>
    <s v="מרכז לצעירים - הוצאות לפעולות"/>
    <m/>
    <m/>
    <n v="2272100"/>
    <n v="2303000"/>
    <n v="1913700"/>
    <e v="#N/A"/>
    <x v="5"/>
    <x v="2"/>
    <s v="82"/>
    <x v="9"/>
    <x v="90"/>
    <x v="28"/>
    <s v="8282"/>
    <s v="מוקדי הפעלת נוער"/>
    <m/>
    <s v="7"/>
    <x v="9"/>
    <s v="70"/>
    <e v="#N/A"/>
    <s v="700"/>
    <e v="#N/A"/>
  </r>
  <r>
    <n v="700"/>
    <e v="#N/A"/>
    <n v="1"/>
    <e v="#N/A"/>
    <s v="פעילות משתלמת מרכז לצעירים - הוצאות לפעולות"/>
    <m/>
    <m/>
    <n v="1000000"/>
    <n v="0"/>
    <n v="0"/>
    <e v="#N/A"/>
    <x v="6"/>
    <x v="5"/>
    <e v="#N/A"/>
    <x v="17"/>
    <x v="58"/>
    <x v="0"/>
    <e v="#N/A"/>
    <e v="#N/A"/>
    <m/>
    <s v="7"/>
    <x v="14"/>
    <s v="70"/>
    <e v="#N/A"/>
    <s v="700"/>
    <e v="#N/A"/>
  </r>
  <r>
    <n v="100"/>
    <n v="829400"/>
    <n v="1"/>
    <s v="1829400.100"/>
    <s v="קייטנות - שכר לעובדים קבועים"/>
    <m/>
    <m/>
    <n v="0"/>
    <n v="0"/>
    <n v="200"/>
    <m/>
    <x v="5"/>
    <x v="2"/>
    <s v="82"/>
    <x v="9"/>
    <x v="55"/>
    <x v="29"/>
    <s v="8294"/>
    <e v="#N/A"/>
    <m/>
    <s v="1"/>
    <x v="8"/>
    <s v="10"/>
    <e v="#N/A"/>
    <s v="100"/>
    <e v="#N/A"/>
  </r>
  <r>
    <n v="200"/>
    <n v="829400"/>
    <n v="1"/>
    <s v="1829400.200"/>
    <s v="קייטנות - שכר לעובדים ארעיים"/>
    <m/>
    <m/>
    <n v="0"/>
    <n v="0"/>
    <n v="473000"/>
    <e v="#N/A"/>
    <x v="5"/>
    <x v="2"/>
    <s v="82"/>
    <x v="9"/>
    <x v="55"/>
    <x v="29"/>
    <s v="8294"/>
    <e v="#N/A"/>
    <m/>
    <s v="2"/>
    <x v="10"/>
    <s v="20"/>
    <e v="#N/A"/>
    <s v="200"/>
    <e v="#N/A"/>
  </r>
  <r>
    <n v="120"/>
    <n v="829400"/>
    <n v="1"/>
    <s v="1829400.120"/>
    <s v="קייטנות - שעות נוספות"/>
    <m/>
    <m/>
    <n v="0"/>
    <n v="0"/>
    <n v="3500"/>
    <m/>
    <x v="5"/>
    <x v="2"/>
    <s v="82"/>
    <x v="9"/>
    <x v="55"/>
    <x v="29"/>
    <s v="8294"/>
    <e v="#N/A"/>
    <m/>
    <s v="1"/>
    <x v="8"/>
    <s v="12"/>
    <s v="תוספות שאינן נכללות בשכר הקובע"/>
    <s v="120"/>
    <e v="#N/A"/>
  </r>
  <r>
    <n v="500"/>
    <n v="829400"/>
    <n v="1"/>
    <s v="1829400.500"/>
    <s v="קייטנות - תחבורה ודואר"/>
    <m/>
    <m/>
    <n v="0"/>
    <n v="0"/>
    <n v="13600"/>
    <e v="#N/A"/>
    <x v="5"/>
    <x v="2"/>
    <s v="82"/>
    <x v="9"/>
    <x v="55"/>
    <x v="29"/>
    <s v="8294"/>
    <e v="#N/A"/>
    <m/>
    <s v="5"/>
    <x v="12"/>
    <s v="50"/>
    <e v="#N/A"/>
    <s v="500"/>
    <e v="#N/A"/>
  </r>
  <r>
    <n v="500"/>
    <n v="829400"/>
    <n v="1"/>
    <s v="1829400.500"/>
    <s v="קייטנות - הוצאות כלליות"/>
    <m/>
    <m/>
    <n v="194300"/>
    <n v="200000"/>
    <n v="465400"/>
    <e v="#N/A"/>
    <x v="5"/>
    <x v="2"/>
    <s v="82"/>
    <x v="9"/>
    <x v="55"/>
    <x v="29"/>
    <s v="8294"/>
    <e v="#N/A"/>
    <m/>
    <s v="5"/>
    <x v="12"/>
    <s v="50"/>
    <e v="#N/A"/>
    <s v="500"/>
    <e v="#N/A"/>
  </r>
  <r>
    <n v="200"/>
    <n v="827000"/>
    <n v="1"/>
    <s v="1827000.200"/>
    <s v="ספורט ונוער משתלמים - שכר לעובדים ארעיים"/>
    <m/>
    <m/>
    <n v="736100"/>
    <n v="736100"/>
    <n v="2398400"/>
    <e v="#N/A"/>
    <x v="5"/>
    <x v="2"/>
    <s v="82"/>
    <x v="9"/>
    <x v="57"/>
    <x v="22"/>
    <s v="8270"/>
    <e v="#N/A"/>
    <m/>
    <s v="2"/>
    <x v="10"/>
    <s v="20"/>
    <e v="#N/A"/>
    <s v="200"/>
    <e v="#N/A"/>
  </r>
  <r>
    <n v="120"/>
    <n v="827000"/>
    <n v="1"/>
    <s v="1827000.120"/>
    <s v="ספורט ונוער משתלמים - שעות נוספות"/>
    <m/>
    <m/>
    <n v="27900"/>
    <n v="27900"/>
    <n v="75100"/>
    <n v="30754"/>
    <x v="5"/>
    <x v="2"/>
    <s v="82"/>
    <x v="9"/>
    <x v="57"/>
    <x v="22"/>
    <s v="8270"/>
    <e v="#N/A"/>
    <m/>
    <s v="1"/>
    <x v="8"/>
    <s v="12"/>
    <s v="תוספות שאינן נכללות בשכר הקובע"/>
    <s v="120"/>
    <e v="#N/A"/>
  </r>
  <r>
    <n v="700"/>
    <n v="827000"/>
    <n v="1"/>
    <s v="1827000.700"/>
    <s v="ספורט ונוער משתלמים - הוצאות לפעולות"/>
    <m/>
    <m/>
    <n v="906800"/>
    <n v="906800"/>
    <n v="533000"/>
    <e v="#N/A"/>
    <x v="5"/>
    <x v="2"/>
    <s v="82"/>
    <x v="9"/>
    <x v="57"/>
    <x v="22"/>
    <s v="8270"/>
    <e v="#N/A"/>
    <m/>
    <s v="7"/>
    <x v="9"/>
    <s v="70"/>
    <e v="#N/A"/>
    <s v="700"/>
    <e v="#N/A"/>
  </r>
  <r>
    <n v="700"/>
    <n v="615120"/>
    <n v="1"/>
    <s v="1615120.700"/>
    <s v="סקרים ויועצים - הוצאות לפעולות"/>
    <m/>
    <m/>
    <n v="2278100"/>
    <n v="2345100"/>
    <n v="1290200"/>
    <e v="#N/A"/>
    <x v="9"/>
    <x v="6"/>
    <s v="61"/>
    <x v="19"/>
    <x v="75"/>
    <x v="58"/>
    <s v="6151"/>
    <e v="#N/A"/>
    <m/>
    <s v="7"/>
    <x v="9"/>
    <s v="70"/>
    <e v="#N/A"/>
    <s v="700"/>
    <e v="#N/A"/>
  </r>
  <r>
    <n v="100"/>
    <n v="615310"/>
    <n v="1"/>
    <s v="1615310.100"/>
    <s v="ועדי עובדים - שכר לעובדים קבועים"/>
    <m/>
    <m/>
    <n v="1596700"/>
    <n v="1578700"/>
    <n v="1454100"/>
    <e v="#N/A"/>
    <x v="9"/>
    <x v="6"/>
    <s v="61"/>
    <x v="19"/>
    <x v="75"/>
    <x v="58"/>
    <s v="6153"/>
    <e v="#N/A"/>
    <m/>
    <s v="1"/>
    <x v="8"/>
    <s v="10"/>
    <e v="#N/A"/>
    <s v="100"/>
    <e v="#N/A"/>
  </r>
  <r>
    <n v="120"/>
    <n v="615310"/>
    <n v="1"/>
    <s v="1615310.120"/>
    <s v="ועדי עובדים - שעות נוספות"/>
    <m/>
    <m/>
    <n v="75300"/>
    <n v="75300"/>
    <n v="96800"/>
    <e v="#N/A"/>
    <x v="9"/>
    <x v="6"/>
    <s v="61"/>
    <x v="19"/>
    <x v="75"/>
    <x v="58"/>
    <s v="6153"/>
    <e v="#N/A"/>
    <m/>
    <s v="1"/>
    <x v="8"/>
    <s v="12"/>
    <s v="תוספות שאינן נכללות בשכר הקובע"/>
    <s v="120"/>
    <e v="#N/A"/>
  </r>
  <r>
    <n v="400"/>
    <n v="615310"/>
    <n v="1"/>
    <s v="1615310.400"/>
    <s v="ועדי עובדים - אחזקה אספקה וציוד"/>
    <m/>
    <m/>
    <n v="110400"/>
    <n v="110400"/>
    <n v="91800"/>
    <e v="#N/A"/>
    <x v="9"/>
    <x v="6"/>
    <s v="61"/>
    <x v="19"/>
    <x v="75"/>
    <x v="58"/>
    <s v="6153"/>
    <e v="#N/A"/>
    <m/>
    <s v="4"/>
    <x v="11"/>
    <s v="40"/>
    <e v="#N/A"/>
    <s v="400"/>
    <e v="#N/A"/>
  </r>
  <r>
    <n v="500"/>
    <n v="615310"/>
    <n v="1"/>
    <s v="1615310.500"/>
    <s v="ועדי עובדים - תחבורה ודואר"/>
    <m/>
    <m/>
    <n v="70500"/>
    <n v="70500"/>
    <n v="89200"/>
    <m/>
    <x v="9"/>
    <x v="6"/>
    <s v="61"/>
    <x v="19"/>
    <x v="75"/>
    <x v="58"/>
    <s v="6153"/>
    <e v="#N/A"/>
    <m/>
    <s v="5"/>
    <x v="12"/>
    <s v="50"/>
    <e v="#N/A"/>
    <s v="500"/>
    <e v="#N/A"/>
  </r>
  <r>
    <n v="700"/>
    <n v="615310"/>
    <n v="1"/>
    <s v="1615310.700"/>
    <s v="ועדי עובדים - הוצאות לפעולות"/>
    <m/>
    <m/>
    <n v="139300"/>
    <n v="139300"/>
    <n v="146900"/>
    <e v="#N/A"/>
    <x v="9"/>
    <x v="6"/>
    <s v="61"/>
    <x v="19"/>
    <x v="75"/>
    <x v="58"/>
    <s v="6153"/>
    <e v="#N/A"/>
    <m/>
    <s v="7"/>
    <x v="9"/>
    <s v="70"/>
    <e v="#N/A"/>
    <s v="700"/>
    <e v="#N/A"/>
  </r>
  <r>
    <n v="800"/>
    <n v="615320"/>
    <n v="1"/>
    <s v="1615320.800"/>
    <s v="ועדי עובדים - פעילות שוטפת - השתתפויות תמיכות ותרומות"/>
    <m/>
    <m/>
    <n v="120000"/>
    <n v="120000"/>
    <n v="1200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20"/>
    <n v="1"/>
    <s v="1615320.800"/>
    <s v="ועדי עובדים - פעולות תרבות - השתתפויות תמיכות ותרומות"/>
    <m/>
    <m/>
    <n v="3035000"/>
    <n v="3035000"/>
    <n v="30715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99120"/>
    <n v="1"/>
    <s v="199120.800"/>
    <s v="ועד הפנסיונרים - תרבות - השתתפויות תמיכות ותרומות"/>
    <m/>
    <m/>
    <n v="252800"/>
    <n v="252800"/>
    <n v="242200"/>
    <e v="#N/A"/>
    <x v="8"/>
    <x v="3"/>
    <s v="99"/>
    <x v="24"/>
    <x v="91"/>
    <x v="63"/>
    <s v="9912"/>
    <s v="הפרשה לקרן למניות"/>
    <m/>
    <s v="8"/>
    <x v="13"/>
    <s v="80"/>
    <e v="#N/A"/>
    <s v="800"/>
    <e v="#N/A"/>
  </r>
  <r>
    <n v="800"/>
    <n v="615360"/>
    <n v="1"/>
    <s v="1615360.800"/>
    <s v="ועדי עובדים - מילגות ילדי עובדים - השתתפויות תמיכות ותרומות"/>
    <m/>
    <m/>
    <n v="230000"/>
    <n v="230000"/>
    <n v="2763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70"/>
    <n v="1"/>
    <s v="1615370.800"/>
    <s v="ועדי עובדים - מודעות אבל - השתתפויות תמיכות ותרומות"/>
    <m/>
    <m/>
    <n v="30400"/>
    <n v="30400"/>
    <n v="159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80"/>
    <n v="1"/>
    <s v="1615380.800"/>
    <s v="ועדי עובדים - שי לעובדים - השתתפויות תמיכות ותרומות"/>
    <m/>
    <m/>
    <n v="5371300"/>
    <n v="5371300"/>
    <n v="44166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90"/>
    <n v="1"/>
    <s v="1615390.800"/>
    <s v="ועדי עובדים ביטוח שיניים - השתתפויות תמיכות ותרומות"/>
    <m/>
    <m/>
    <n v="1256000"/>
    <n v="1256000"/>
    <n v="12408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92"/>
    <n v="1"/>
    <s v="1615392.800"/>
    <s v="ועדי עובדים ביטוח בריאות - השתתפויות תמיכות ותרומות"/>
    <m/>
    <m/>
    <n v="1300000"/>
    <n v="1300000"/>
    <n v="10728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800"/>
    <n v="615391"/>
    <n v="1"/>
    <s v="1615391.800"/>
    <s v="ועדי עובדים סבסוד קייטנות - השתתפויות תמיכות ותרומות"/>
    <m/>
    <m/>
    <n v="230000"/>
    <n v="230000"/>
    <n v="183200"/>
    <e v="#N/A"/>
    <x v="9"/>
    <x v="6"/>
    <s v="61"/>
    <x v="19"/>
    <x v="75"/>
    <x v="58"/>
    <s v="6153"/>
    <e v="#N/A"/>
    <m/>
    <s v="8"/>
    <x v="13"/>
    <s v="80"/>
    <e v="#N/A"/>
    <s v="800"/>
    <e v="#N/A"/>
  </r>
  <r>
    <n v="700"/>
    <n v="767000"/>
    <n v="1"/>
    <s v="1767000.700"/>
    <s v="קרן גמלאי הרשויות המקומיות - הוצאות לפעולות"/>
    <m/>
    <m/>
    <n v="2000000"/>
    <n v="2000000"/>
    <n v="4063100"/>
    <e v="#N/A"/>
    <x v="7"/>
    <x v="1"/>
    <s v="76"/>
    <x v="20"/>
    <x v="92"/>
    <x v="64"/>
    <s v="7670"/>
    <e v="#N/A"/>
    <m/>
    <s v="7"/>
    <x v="9"/>
    <s v="70"/>
    <e v="#N/A"/>
    <s v="700"/>
    <e v="#N/A"/>
  </r>
  <r>
    <n v="500"/>
    <n v="617500"/>
    <n v="1"/>
    <s v="1617500.500"/>
    <s v="הוצאות משפטיות וביטוחים - הוצאות כלליות"/>
    <m/>
    <m/>
    <n v="20908700"/>
    <n v="20908700"/>
    <n v="22596000"/>
    <e v="#N/A"/>
    <x v="9"/>
    <x v="6"/>
    <s v="61"/>
    <x v="19"/>
    <x v="69"/>
    <x v="52"/>
    <s v="6175"/>
    <e v="#N/A"/>
    <m/>
    <s v="5"/>
    <x v="12"/>
    <s v="50"/>
    <e v="#N/A"/>
    <s v="500"/>
    <e v="#N/A"/>
  </r>
  <r>
    <n v="100"/>
    <n v="615341"/>
    <n v="1"/>
    <s v="1615341.100"/>
    <s v="ברי שיקום - שכר לעובדים קבועים"/>
    <m/>
    <m/>
    <n v="1454000"/>
    <n v="1438000"/>
    <n v="1344100"/>
    <e v="#N/A"/>
    <x v="9"/>
    <x v="6"/>
    <s v="61"/>
    <x v="19"/>
    <x v="75"/>
    <x v="58"/>
    <s v="6153"/>
    <e v="#N/A"/>
    <m/>
    <s v="1"/>
    <x v="8"/>
    <s v="10"/>
    <e v="#N/A"/>
    <s v="100"/>
    <e v="#N/A"/>
  </r>
  <r>
    <n v="120"/>
    <n v="615341"/>
    <n v="1"/>
    <s v="1615341.120"/>
    <s v="ברי שיקום - שעות נוספות"/>
    <m/>
    <m/>
    <n v="0"/>
    <n v="0"/>
    <n v="200"/>
    <e v="#N/A"/>
    <x v="9"/>
    <x v="6"/>
    <s v="61"/>
    <x v="19"/>
    <x v="75"/>
    <x v="58"/>
    <s v="6153"/>
    <e v="#N/A"/>
    <m/>
    <s v="1"/>
    <x v="8"/>
    <s v="12"/>
    <s v="תוספות שאינן נכללות בשכר הקובע"/>
    <s v="120"/>
    <e v="#N/A"/>
  </r>
  <r>
    <n v="500"/>
    <n v="991200"/>
    <n v="1"/>
    <s v="1991200.500"/>
    <s v="הוצאות עודפות ותשלומים ע&quot;ח שנים עברו - הוצאות שנים עברו"/>
    <m/>
    <m/>
    <n v="4474600"/>
    <n v="576200"/>
    <n v="601300"/>
    <e v="#N/A"/>
    <x v="8"/>
    <x v="3"/>
    <s v="99"/>
    <x v="24"/>
    <x v="91"/>
    <x v="63"/>
    <s v="9912"/>
    <s v="הפרשה לקרן למניות"/>
    <m/>
    <s v="5"/>
    <x v="12"/>
    <s v="50"/>
    <e v="#N/A"/>
    <s v="500"/>
    <e v="#N/A"/>
  </r>
  <r>
    <n v="700"/>
    <n v="991200"/>
    <n v="1"/>
    <s v="1991200.700"/>
    <s v="הוצאות עודפות ותשלומים ע&quot;ח שנים עברו - הוצאות עודפות"/>
    <m/>
    <m/>
    <n v="1898300"/>
    <n v="1898300"/>
    <n v="2800000"/>
    <e v="#N/A"/>
    <x v="8"/>
    <x v="3"/>
    <s v="99"/>
    <x v="24"/>
    <x v="91"/>
    <x v="63"/>
    <s v="9912"/>
    <s v="הפרשה לקרן למניות"/>
    <m/>
    <s v="7"/>
    <x v="9"/>
    <s v="70"/>
    <e v="#N/A"/>
    <s v="700"/>
    <e v="#N/A"/>
  </r>
  <r>
    <n v="800"/>
    <n v="991200"/>
    <n v="1"/>
    <s v="1991200.800"/>
    <s v="הוצאות עודפות ותשלומים ע&quot;ח שנים עברו - הפרשי ספירת מלאי"/>
    <m/>
    <m/>
    <n v="0"/>
    <n v="0"/>
    <n v="342500"/>
    <e v="#N/A"/>
    <x v="8"/>
    <x v="3"/>
    <s v="99"/>
    <x v="24"/>
    <x v="91"/>
    <x v="63"/>
    <s v="9912"/>
    <s v="הפרשה לקרן למניות"/>
    <m/>
    <s v="8"/>
    <x v="13"/>
    <s v="80"/>
    <e v="#N/A"/>
    <s v="800"/>
    <e v="#N/A"/>
  </r>
  <r>
    <n v="800"/>
    <n v="761000"/>
    <n v="1"/>
    <s v="1761000.800"/>
    <s v="תמיכות לאירגוני בעלי חיים - השתתפויות תמיכות ותרומות"/>
    <m/>
    <m/>
    <n v="88400"/>
    <n v="91000"/>
    <n v="91000"/>
    <e v="#N/A"/>
    <x v="7"/>
    <x v="1"/>
    <s v="76"/>
    <x v="20"/>
    <x v="67"/>
    <x v="50"/>
    <s v="7610"/>
    <e v="#N/A"/>
    <m/>
    <s v="8"/>
    <x v="13"/>
    <s v="80"/>
    <e v="#N/A"/>
    <s v="800"/>
    <e v="#N/A"/>
  </r>
  <r>
    <n v="800"/>
    <n v="761110"/>
    <n v="1"/>
    <s v="1761110.800"/>
    <s v="תמיכות לכוללים וישיבות - השתתפויות תמיכות ותרומות"/>
    <m/>
    <m/>
    <n v="719300"/>
    <n v="740400"/>
    <n v="707900"/>
    <e v="#N/A"/>
    <x v="7"/>
    <x v="1"/>
    <s v="76"/>
    <x v="20"/>
    <x v="67"/>
    <x v="50"/>
    <s v="7611"/>
    <e v="#N/A"/>
    <m/>
    <s v="8"/>
    <x v="13"/>
    <s v="80"/>
    <e v="#N/A"/>
    <s v="800"/>
    <e v="#N/A"/>
  </r>
  <r>
    <n v="800"/>
    <n v="822900"/>
    <n v="1"/>
    <s v="1822900.800"/>
    <s v="תמיכות תרבות - קיטנות"/>
    <m/>
    <m/>
    <n v="121200"/>
    <n v="124700"/>
    <n v="1247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2900"/>
    <n v="1"/>
    <s v="1822900.800"/>
    <s v="תמיכות תרבות - מורשת העיר והנצחת בניה"/>
    <m/>
    <m/>
    <n v="141400"/>
    <n v="145600"/>
    <n v="1456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2900"/>
    <n v="1"/>
    <s v="1822900.800"/>
    <s v="תמיכות תרבות - תרבות ואומנות"/>
    <m/>
    <m/>
    <n v="141400"/>
    <n v="145600"/>
    <n v="1456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2901"/>
    <n v="1"/>
    <s v="1822901.800"/>
    <s v="תמיכות תרבות תורנית - השתתפויות תמיכות ותרומות"/>
    <m/>
    <m/>
    <n v="255100"/>
    <n v="262600"/>
    <n v="2361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9900"/>
    <n v="1"/>
    <s v="1829900.800"/>
    <s v="תמיכות ספורט - תמיכה חד פעמית מענק עליה"/>
    <m/>
    <m/>
    <n v="241400"/>
    <n v="250000"/>
    <n v="100000"/>
    <e v="#N/A"/>
    <x v="5"/>
    <x v="2"/>
    <s v="82"/>
    <x v="9"/>
    <x v="55"/>
    <x v="29"/>
    <s v="8299"/>
    <e v="#N/A"/>
    <m/>
    <s v="8"/>
    <x v="13"/>
    <s v="80"/>
    <e v="#N/A"/>
    <s v="800"/>
    <e v="#N/A"/>
  </r>
  <r>
    <n v="800"/>
    <n v="829900"/>
    <n v="1"/>
    <s v="1829900.800"/>
    <s v="תמיכות ספורט - השתתפויות תמיכות ותרומות"/>
    <m/>
    <m/>
    <n v="3931600"/>
    <n v="4097200"/>
    <n v="4047000"/>
    <e v="#N/A"/>
    <x v="5"/>
    <x v="2"/>
    <s v="82"/>
    <x v="9"/>
    <x v="55"/>
    <x v="29"/>
    <s v="8299"/>
    <e v="#N/A"/>
    <m/>
    <s v="8"/>
    <x v="13"/>
    <s v="80"/>
    <e v="#N/A"/>
    <s v="800"/>
    <e v="#N/A"/>
  </r>
  <r>
    <n v="800"/>
    <n v="828293"/>
    <n v="1"/>
    <s v="1828293.800"/>
    <s v="תמיכות לתנועות נוער - השתתפויות תמיכות ותרומות"/>
    <m/>
    <m/>
    <n v="1409500"/>
    <n v="1450900"/>
    <n v="732900"/>
    <e v="#N/A"/>
    <x v="5"/>
    <x v="2"/>
    <s v="82"/>
    <x v="9"/>
    <x v="90"/>
    <x v="28"/>
    <s v="8282"/>
    <s v="מוקדי הפעלת נוער"/>
    <m/>
    <s v="8"/>
    <x v="13"/>
    <s v="80"/>
    <e v="#N/A"/>
    <s v="800"/>
    <e v="#N/A"/>
  </r>
  <r>
    <n v="800"/>
    <n v="828297"/>
    <n v="1"/>
    <s v="1828297.800"/>
    <s v="תמיכות לארגוני נוער - השתתפויות תמיכות ותרומות"/>
    <m/>
    <m/>
    <n v="48600"/>
    <n v="50000"/>
    <n v="0"/>
    <e v="#N/A"/>
    <x v="5"/>
    <x v="2"/>
    <s v="82"/>
    <x v="9"/>
    <x v="90"/>
    <x v="28"/>
    <s v="8282"/>
    <s v="מוקדי הפעלת נוער"/>
    <m/>
    <s v="8"/>
    <x v="13"/>
    <s v="80"/>
    <e v="#N/A"/>
    <s v="800"/>
    <e v="#N/A"/>
  </r>
  <r>
    <n v="800"/>
    <n v="818900"/>
    <n v="1"/>
    <s v="1818900.800"/>
    <s v="תמיכות חינוך - השתתפויות תמיכות ותרומות"/>
    <m/>
    <m/>
    <n v="236100"/>
    <n v="243000"/>
    <n v="218900"/>
    <e v="#N/A"/>
    <x v="5"/>
    <x v="2"/>
    <s v="81"/>
    <x v="8"/>
    <x v="93"/>
    <x v="65"/>
    <s v="8189"/>
    <e v="#N/A"/>
    <m/>
    <s v="8"/>
    <x v="13"/>
    <s v="80"/>
    <e v="#N/A"/>
    <s v="800"/>
    <e v="#N/A"/>
  </r>
  <r>
    <n v="800"/>
    <n v="849000"/>
    <n v="1"/>
    <s v="1849000.800"/>
    <s v="תמיכות בריאות ורווחה - השתתפויות תמיכות ותרומות"/>
    <m/>
    <m/>
    <n v="862300"/>
    <n v="887700"/>
    <n v="883100"/>
    <e v="#N/A"/>
    <x v="5"/>
    <x v="2"/>
    <s v="84"/>
    <x v="10"/>
    <x v="94"/>
    <x v="66"/>
    <s v="8490"/>
    <e v="#N/A"/>
    <m/>
    <s v="8"/>
    <x v="13"/>
    <s v="80"/>
    <e v="#N/A"/>
    <s v="800"/>
    <e v="#N/A"/>
  </r>
  <r>
    <n v="800"/>
    <n v="839700"/>
    <n v="1"/>
    <s v="1839700.800"/>
    <s v="תמיכות לקידום שוויון בין המינים - השתתפויות תמיכות ותרומות"/>
    <m/>
    <m/>
    <n v="272000"/>
    <n v="280000"/>
    <n v="280000"/>
    <e v="#N/A"/>
    <x v="5"/>
    <x v="2"/>
    <s v="83"/>
    <x v="15"/>
    <x v="95"/>
    <x v="67"/>
    <s v="8397"/>
    <e v="#N/A"/>
    <m/>
    <s v="8"/>
    <x v="13"/>
    <s v="80"/>
    <e v="#N/A"/>
    <s v="800"/>
    <e v="#N/A"/>
  </r>
  <r>
    <n v="800"/>
    <n v="822901"/>
    <n v="1"/>
    <s v="1822901.800"/>
    <s v="תמיכה בתאטרון ערבי - השתתפויות תמיכות ותרומות"/>
    <m/>
    <m/>
    <n v="1238600"/>
    <n v="1275000"/>
    <n v="12750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2902"/>
    <n v="1"/>
    <s v="1822902.800"/>
    <s v="השתתפות בשכירת אולמות ובמשלחות - השתתפויות תמיכות ותרומות"/>
    <m/>
    <m/>
    <n v="381400"/>
    <n v="392600"/>
    <n v="284700"/>
    <e v="#N/A"/>
    <x v="5"/>
    <x v="2"/>
    <s v="82"/>
    <x v="9"/>
    <x v="52"/>
    <x v="25"/>
    <s v="8229"/>
    <e v="#N/A"/>
    <m/>
    <s v="8"/>
    <x v="13"/>
    <s v="80"/>
    <e v="#N/A"/>
    <s v="800"/>
    <e v="#N/A"/>
  </r>
  <r>
    <n v="800"/>
    <n v="829999"/>
    <n v="1"/>
    <s v="1829999.800"/>
    <s v="שימוש במגרשי ספורט - השתתפויות תמיכות ותרומות"/>
    <m/>
    <m/>
    <n v="120000"/>
    <n v="120000"/>
    <n v="120000"/>
    <e v="#N/A"/>
    <x v="5"/>
    <x v="2"/>
    <s v="82"/>
    <x v="9"/>
    <x v="55"/>
    <x v="29"/>
    <s v="8299"/>
    <e v="#N/A"/>
    <m/>
    <s v="8"/>
    <x v="13"/>
    <s v="80"/>
    <e v="#N/A"/>
    <s v="800"/>
    <e v="#N/A"/>
  </r>
  <r>
    <n v="800"/>
    <n v="848000"/>
    <n v="1"/>
    <s v="1848000.800"/>
    <s v="הנחות מאגרות - השתתפויות תמיכות ותרומות"/>
    <m/>
    <m/>
    <n v="27600"/>
    <n v="31900"/>
    <n v="0"/>
    <e v="#N/A"/>
    <x v="5"/>
    <x v="2"/>
    <s v="84"/>
    <x v="10"/>
    <x v="87"/>
    <x v="38"/>
    <s v="8480"/>
    <e v="#N/A"/>
    <m/>
    <s v="8"/>
    <x v="13"/>
    <s v="80"/>
    <e v="#N/A"/>
    <s v="800"/>
    <e v="#N/A"/>
  </r>
  <r>
    <n v="800"/>
    <n v="848003"/>
    <n v="1"/>
    <s v="1848003.800"/>
    <s v="תמיכות בהטלי פיתוח - השתתפויות תמיכות ותרומות"/>
    <m/>
    <m/>
    <n v="957100"/>
    <n v="1000000"/>
    <n v="0"/>
    <e v="#N/A"/>
    <x v="5"/>
    <x v="2"/>
    <s v="84"/>
    <x v="10"/>
    <x v="87"/>
    <x v="38"/>
    <s v="8480"/>
    <e v="#N/A"/>
    <m/>
    <s v="8"/>
    <x v="13"/>
    <s v="80"/>
    <e v="#N/A"/>
    <s v="800"/>
    <e v="#N/A"/>
  </r>
  <r>
    <n v="800"/>
    <n v="761100"/>
    <n v="1"/>
    <s v="1761100.800"/>
    <s v="מרכז לשילטון מקומי - השתתפויות תמיכות ותרומות"/>
    <m/>
    <m/>
    <n v="1000000"/>
    <n v="1000000"/>
    <n v="968700"/>
    <e v="#N/A"/>
    <x v="7"/>
    <x v="1"/>
    <s v="76"/>
    <x v="20"/>
    <x v="67"/>
    <x v="50"/>
    <s v="7611"/>
    <e v="#N/A"/>
    <m/>
    <s v="8"/>
    <x v="13"/>
    <s v="80"/>
    <e v="#N/A"/>
    <s v="800"/>
    <e v="#N/A"/>
  </r>
  <r>
    <n v="800"/>
    <n v="753100"/>
    <n v="1"/>
    <s v="1753100.800"/>
    <s v="אימוץ חיל הים ויחידות אחרות - השתתפויות תמיכות ותרומות"/>
    <m/>
    <m/>
    <n v="73100"/>
    <n v="75300"/>
    <n v="70900"/>
    <e v="#N/A"/>
    <x v="7"/>
    <x v="1"/>
    <s v="75"/>
    <x v="21"/>
    <x v="96"/>
    <x v="68"/>
    <s v="7531"/>
    <e v="#N/A"/>
    <m/>
    <s v="8"/>
    <x v="13"/>
    <s v="80"/>
    <e v="#N/A"/>
    <s v="800"/>
    <e v="#N/A"/>
  </r>
  <r>
    <n v="700"/>
    <n v="731070"/>
    <n v="1"/>
    <s v="1731070.700"/>
    <s v="‏שכירות מינהל ההנדסה וחניה לעובדים - הוצאות לפעולות"/>
    <m/>
    <m/>
    <n v="12451500"/>
    <n v="12451500"/>
    <n v="10177200"/>
    <e v="#N/A"/>
    <x v="7"/>
    <x v="1"/>
    <s v="73"/>
    <x v="5"/>
    <x v="59"/>
    <x v="9"/>
    <s v="7310"/>
    <e v="#N/A"/>
    <m/>
    <s v="7"/>
    <x v="9"/>
    <s v="70"/>
    <e v="#N/A"/>
    <s v="700"/>
    <e v="#N/A"/>
  </r>
  <r>
    <n v="300"/>
    <n v="99120"/>
    <n v="1"/>
    <s v="199120.300"/>
    <s v="פנסיונרים - שכר לעובדים קבועים "/>
    <m/>
    <m/>
    <n v="205409000"/>
    <n v="203703500"/>
    <n v="199736200"/>
    <e v="#N/A"/>
    <x v="8"/>
    <x v="3"/>
    <s v="99"/>
    <x v="24"/>
    <x v="91"/>
    <x v="63"/>
    <s v="9912"/>
    <s v="הפרשה לקרן למניות"/>
    <m/>
    <s v="3"/>
    <x v="16"/>
    <s v="30"/>
    <e v="#N/A"/>
    <s v="300"/>
    <e v="#N/A"/>
  </r>
  <r>
    <n v="100"/>
    <n v="833100"/>
    <n v="1"/>
    <s v="1833100.100"/>
    <s v="בי&quot;ח בני ציון - שכר לעובדים קבועים "/>
    <m/>
    <m/>
    <n v="415000000"/>
    <n v="381000000"/>
    <n v="382115200"/>
    <e v="#N/A"/>
    <x v="5"/>
    <x v="2"/>
    <s v="83"/>
    <x v="15"/>
    <x v="97"/>
    <x v="43"/>
    <s v="8331"/>
    <s v="בתי חולים כלליים"/>
    <m/>
    <s v="1"/>
    <x v="8"/>
    <s v="10"/>
    <e v="#N/A"/>
    <s v="100"/>
    <e v="#N/A"/>
  </r>
  <r>
    <n v="200"/>
    <n v="833100"/>
    <n v="1"/>
    <s v="1833100.200"/>
    <s v="בי&quot;ח בני ציון - שכר לעובדים ארעיים "/>
    <m/>
    <m/>
    <m/>
    <m/>
    <m/>
    <e v="#N/A"/>
    <x v="5"/>
    <x v="2"/>
    <s v="83"/>
    <x v="15"/>
    <x v="97"/>
    <x v="43"/>
    <s v="8331"/>
    <s v="בתי חולים כלליים"/>
    <m/>
    <s v="2"/>
    <x v="10"/>
    <s v="20"/>
    <e v="#N/A"/>
    <s v="200"/>
    <e v="#N/A"/>
  </r>
  <r>
    <n v="120"/>
    <n v="833100"/>
    <n v="1"/>
    <s v="1833100.120"/>
    <s v="בי&quot;ח בני ציון - שעות נוספות "/>
    <m/>
    <m/>
    <n v="25000000"/>
    <n v="22000000"/>
    <n v="35400200"/>
    <e v="#N/A"/>
    <x v="5"/>
    <x v="2"/>
    <s v="83"/>
    <x v="15"/>
    <x v="97"/>
    <x v="43"/>
    <s v="8331"/>
    <s v="בתי חולים כלליים"/>
    <m/>
    <s v="1"/>
    <x v="8"/>
    <s v="12"/>
    <s v="תוספות שאינן נכללות בשכר הקובע"/>
    <s v="120"/>
    <e v="#N/A"/>
  </r>
  <r>
    <n v="400"/>
    <n v="833100"/>
    <n v="1"/>
    <s v="1833100.400"/>
    <s v="בי&quot;ח בני ציון - אחזקה אספקה וציוד "/>
    <m/>
    <m/>
    <m/>
    <m/>
    <m/>
    <e v="#N/A"/>
    <x v="5"/>
    <x v="2"/>
    <s v="83"/>
    <x v="15"/>
    <x v="97"/>
    <x v="43"/>
    <s v="8331"/>
    <s v="בתי חולים כלליים"/>
    <m/>
    <s v="4"/>
    <x v="11"/>
    <s v="40"/>
    <e v="#N/A"/>
    <s v="400"/>
    <e v="#N/A"/>
  </r>
  <r>
    <n v="500"/>
    <n v="833100"/>
    <n v="1"/>
    <s v="1833100.500"/>
    <s v="בי&quot;ח בני ציון - תחבורה ודואר "/>
    <m/>
    <m/>
    <m/>
    <m/>
    <m/>
    <e v="#N/A"/>
    <x v="5"/>
    <x v="2"/>
    <s v="83"/>
    <x v="15"/>
    <x v="97"/>
    <x v="43"/>
    <s v="8331"/>
    <s v="בתי חולים כלליים"/>
    <m/>
    <s v="5"/>
    <x v="12"/>
    <s v="50"/>
    <e v="#N/A"/>
    <s v="500"/>
    <e v="#N/A"/>
  </r>
  <r>
    <n v="500"/>
    <n v="833100"/>
    <n v="1"/>
    <s v="1833100.500"/>
    <s v="בי&quot;ח בני ציון - הוצאות כלליות "/>
    <m/>
    <m/>
    <n v="6000000"/>
    <n v="6000000"/>
    <n v="4099200"/>
    <e v="#N/A"/>
    <x v="5"/>
    <x v="2"/>
    <s v="83"/>
    <x v="15"/>
    <x v="97"/>
    <x v="43"/>
    <s v="8331"/>
    <s v="בתי חולים כלליים"/>
    <m/>
    <s v="5"/>
    <x v="12"/>
    <s v="50"/>
    <e v="#N/A"/>
    <s v="500"/>
    <e v="#N/A"/>
  </r>
  <r>
    <n v="700"/>
    <n v="833100"/>
    <n v="1"/>
    <s v="1833100.700"/>
    <s v="בי&quot;ח בני ציון - הוצאות לפעולות "/>
    <m/>
    <m/>
    <m/>
    <m/>
    <m/>
    <e v="#N/A"/>
    <x v="5"/>
    <x v="2"/>
    <s v="83"/>
    <x v="15"/>
    <x v="97"/>
    <x v="43"/>
    <s v="8331"/>
    <s v="בתי חולים כלליים"/>
    <m/>
    <s v="7"/>
    <x v="9"/>
    <s v="70"/>
    <e v="#N/A"/>
    <s v="700"/>
    <e v="#N/A"/>
  </r>
  <r>
    <n v="800"/>
    <n v="833100"/>
    <n v="1"/>
    <s v="1833100.800"/>
    <s v="בי&quot;ח בני ציון - השתתפויות תמיכות ותרומות "/>
    <m/>
    <m/>
    <m/>
    <m/>
    <m/>
    <e v="#N/A"/>
    <x v="5"/>
    <x v="2"/>
    <s v="83"/>
    <x v="15"/>
    <x v="97"/>
    <x v="43"/>
    <s v="8331"/>
    <s v="בתי חולים כלליים"/>
    <m/>
    <s v="8"/>
    <x v="13"/>
    <s v="80"/>
    <e v="#N/A"/>
    <s v="800"/>
    <e v="#N/A"/>
  </r>
  <r>
    <n v="900"/>
    <n v="833100"/>
    <n v="1"/>
    <s v="1833100.900"/>
    <s v="בי&quot;ח בני ציון - הוצאות חד-פעמיות והשקעות "/>
    <m/>
    <m/>
    <m/>
    <m/>
    <m/>
    <e v="#N/A"/>
    <x v="5"/>
    <x v="2"/>
    <s v="83"/>
    <x v="15"/>
    <x v="97"/>
    <x v="43"/>
    <s v="8331"/>
    <s v="בתי חולים כלליים"/>
    <m/>
    <s v="9"/>
    <x v="17"/>
    <s v="90"/>
    <e v="#N/A"/>
    <s v="900"/>
    <e v="#N/A"/>
  </r>
  <r>
    <n v="600"/>
    <n v="833100"/>
    <n v="1"/>
    <s v="1833100.600"/>
    <s v="בי&quot;ח בני ציון - פרעון מלוות "/>
    <m/>
    <m/>
    <m/>
    <m/>
    <m/>
    <e v="#N/A"/>
    <x v="5"/>
    <x v="2"/>
    <s v="83"/>
    <x v="15"/>
    <x v="97"/>
    <x v="43"/>
    <s v="8331"/>
    <s v="בתי חולים כלליים"/>
    <m/>
    <s v="6"/>
    <x v="15"/>
    <s v="60"/>
    <e v="#N/A"/>
    <s v="600"/>
    <e v="#N/A"/>
  </r>
  <r>
    <n v="600"/>
    <n v="640000"/>
    <n v="1"/>
    <s v="1640000.600"/>
    <s v="פרעון מלוות - פרעון מלוות חסך"/>
    <m/>
    <m/>
    <n v="167000000"/>
    <n v="175000000"/>
    <n v="205289100"/>
    <e v="#N/A"/>
    <x v="9"/>
    <x v="6"/>
    <s v="64"/>
    <x v="25"/>
    <x v="98"/>
    <x v="0"/>
    <s v="6400"/>
    <e v="#N/A"/>
    <m/>
    <s v="6"/>
    <x v="15"/>
    <s v="60"/>
    <e v="#N/A"/>
    <s v="600"/>
    <e v="#N/A"/>
  </r>
  <r>
    <n v="600"/>
    <n v="640000"/>
    <n v="1"/>
    <s v="1640000.600"/>
    <s v="פרעון מלוות - פרעון מלוות "/>
    <m/>
    <m/>
    <m/>
    <m/>
    <m/>
    <e v="#N/A"/>
    <x v="9"/>
    <x v="6"/>
    <s v="64"/>
    <x v="25"/>
    <x v="98"/>
    <x v="0"/>
    <s v="6400"/>
    <e v="#N/A"/>
    <m/>
    <s v="6"/>
    <x v="15"/>
    <s v="60"/>
    <e v="#N/A"/>
    <s v="600"/>
    <e v="#N/A"/>
  </r>
  <r>
    <n v="700"/>
    <e v="#N/A"/>
    <n v="1"/>
    <e v="#N/A"/>
    <s v="לשיא כח-אדם - הוצאות לפעולות "/>
    <m/>
    <m/>
    <m/>
    <m/>
    <m/>
    <e v="#N/A"/>
    <x v="6"/>
    <x v="5"/>
    <e v="#N/A"/>
    <x v="17"/>
    <x v="58"/>
    <x v="0"/>
    <e v="#N/A"/>
    <e v="#N/A"/>
    <m/>
    <s v="7"/>
    <x v="14"/>
    <s v="70"/>
    <e v="#N/A"/>
    <s v="700"/>
    <e v="#N/A"/>
  </r>
  <r>
    <n v="600"/>
    <e v="#N/A"/>
    <n v="1"/>
    <e v="#N/A"/>
    <s v="לשיא כח-אדם - פרעון מלוות "/>
    <m/>
    <m/>
    <m/>
    <m/>
    <m/>
    <e v="#N/A"/>
    <x v="6"/>
    <x v="5"/>
    <e v="#N/A"/>
    <x v="17"/>
    <x v="58"/>
    <x v="0"/>
    <e v="#N/A"/>
    <e v="#N/A"/>
    <m/>
    <s v="6"/>
    <x v="14"/>
    <s v="60"/>
    <e v="#N/A"/>
    <s v="600"/>
    <e v="#N/A"/>
  </r>
  <r>
    <n v="100"/>
    <n v="621111"/>
    <n v="1"/>
    <s v="1621111.100"/>
    <s v="לשכת הגזבר - שכר לעובדים קבועים"/>
    <m/>
    <m/>
    <n v="2165200"/>
    <n v="2140200"/>
    <n v="2161200"/>
    <e v="#N/A"/>
    <x v="9"/>
    <x v="6"/>
    <s v="62"/>
    <x v="22"/>
    <x v="76"/>
    <x v="59"/>
    <s v="6211"/>
    <s v="הנהלת הגזברות"/>
    <m/>
    <s v="1"/>
    <x v="8"/>
    <s v="10"/>
    <e v="#N/A"/>
    <s v="100"/>
    <e v="#N/A"/>
  </r>
  <r>
    <n v="120"/>
    <n v="621111"/>
    <n v="1"/>
    <s v="1621111.120"/>
    <s v="לשכת הגזבר - שעות נוספות"/>
    <m/>
    <m/>
    <n v="113800"/>
    <n v="113800"/>
    <n v="109100"/>
    <e v="#N/A"/>
    <x v="9"/>
    <x v="6"/>
    <s v="62"/>
    <x v="22"/>
    <x v="76"/>
    <x v="59"/>
    <s v="6211"/>
    <s v="הנהלת הגזברות"/>
    <m/>
    <s v="1"/>
    <x v="8"/>
    <s v="12"/>
    <s v="תוספות שאינן נכללות בשכר הקובע"/>
    <s v="120"/>
    <e v="#N/A"/>
  </r>
  <r>
    <n v="400"/>
    <n v="621111"/>
    <n v="1"/>
    <s v="1621111.400"/>
    <s v="לשכת הגזבר - אחזקה אספקה וציוד"/>
    <m/>
    <m/>
    <n v="45800"/>
    <n v="48800"/>
    <n v="49900"/>
    <e v="#N/A"/>
    <x v="9"/>
    <x v="6"/>
    <s v="62"/>
    <x v="22"/>
    <x v="76"/>
    <x v="59"/>
    <s v="6211"/>
    <s v="הנהלת הגזברות"/>
    <m/>
    <s v="4"/>
    <x v="11"/>
    <s v="40"/>
    <e v="#N/A"/>
    <s v="400"/>
    <e v="#N/A"/>
  </r>
  <r>
    <n v="500"/>
    <n v="621111"/>
    <n v="1"/>
    <s v="1621111.500"/>
    <s v="לשכת הגזבר - תחבורה ודואר"/>
    <m/>
    <m/>
    <n v="61100"/>
    <n v="61100"/>
    <n v="63500"/>
    <e v="#N/A"/>
    <x v="9"/>
    <x v="6"/>
    <s v="62"/>
    <x v="22"/>
    <x v="76"/>
    <x v="59"/>
    <s v="6211"/>
    <s v="הנהלת הגזברות"/>
    <m/>
    <s v="5"/>
    <x v="12"/>
    <s v="50"/>
    <e v="#N/A"/>
    <s v="500"/>
    <e v="#N/A"/>
  </r>
  <r>
    <n v="500"/>
    <n v="621111"/>
    <n v="1"/>
    <s v="1621111.500"/>
    <s v="לשכת הגזבר - הוצאות כלליות"/>
    <m/>
    <m/>
    <n v="38800"/>
    <n v="38800"/>
    <n v="18300"/>
    <e v="#N/A"/>
    <x v="9"/>
    <x v="6"/>
    <s v="62"/>
    <x v="22"/>
    <x v="76"/>
    <x v="59"/>
    <s v="6211"/>
    <s v="הנהלת הגזברות"/>
    <m/>
    <s v="5"/>
    <x v="12"/>
    <s v="50"/>
    <e v="#N/A"/>
    <s v="500"/>
    <e v="#N/A"/>
  </r>
  <r>
    <n v="700"/>
    <n v="621111"/>
    <n v="1"/>
    <s v="1621111.700"/>
    <s v="לשכת הגזבר - הוצאות לפעולות"/>
    <m/>
    <m/>
    <n v="15600"/>
    <n v="17300"/>
    <n v="16300"/>
    <e v="#N/A"/>
    <x v="9"/>
    <x v="6"/>
    <s v="62"/>
    <x v="22"/>
    <x v="76"/>
    <x v="59"/>
    <s v="6211"/>
    <s v="הנהלת הגזברות"/>
    <m/>
    <s v="7"/>
    <x v="9"/>
    <s v="70"/>
    <e v="#N/A"/>
    <s v="700"/>
    <e v="#N/A"/>
  </r>
  <r>
    <n v="100"/>
    <n v="621310"/>
    <n v="1"/>
    <s v="1621310.100"/>
    <s v="אגף החשבות - שכר לעובדים קבועים"/>
    <m/>
    <m/>
    <n v="9811600"/>
    <n v="9700600"/>
    <n v="9507000"/>
    <e v="#N/A"/>
    <x v="9"/>
    <x v="6"/>
    <s v="62"/>
    <x v="22"/>
    <x v="76"/>
    <x v="59"/>
    <s v="6213"/>
    <s v="הנהלת חשבונות"/>
    <m/>
    <s v="1"/>
    <x v="8"/>
    <s v="10"/>
    <e v="#N/A"/>
    <s v="100"/>
    <e v="#N/A"/>
  </r>
  <r>
    <n v="120"/>
    <n v="621310"/>
    <n v="1"/>
    <s v="1621310.120"/>
    <s v="אגף החשבות - שעות נוספות"/>
    <m/>
    <m/>
    <n v="334400"/>
    <n v="334400"/>
    <n v="406700"/>
    <n v="50186"/>
    <x v="9"/>
    <x v="6"/>
    <s v="62"/>
    <x v="22"/>
    <x v="76"/>
    <x v="59"/>
    <s v="6213"/>
    <s v="הנהלת חשבונות"/>
    <m/>
    <s v="1"/>
    <x v="8"/>
    <s v="12"/>
    <s v="תוספות שאינן נכללות בשכר הקובע"/>
    <s v="120"/>
    <e v="#N/A"/>
  </r>
  <r>
    <n v="400"/>
    <n v="621310"/>
    <n v="1"/>
    <s v="1621310.400"/>
    <s v="אגף החשבות - אחזקה אספקה וציוד"/>
    <m/>
    <m/>
    <n v="191000"/>
    <n v="201000"/>
    <n v="205400"/>
    <e v="#N/A"/>
    <x v="9"/>
    <x v="6"/>
    <s v="62"/>
    <x v="22"/>
    <x v="76"/>
    <x v="59"/>
    <s v="6213"/>
    <s v="הנהלת חשבונות"/>
    <m/>
    <s v="4"/>
    <x v="11"/>
    <s v="40"/>
    <e v="#N/A"/>
    <s v="400"/>
    <e v="#N/A"/>
  </r>
  <r>
    <n v="500"/>
    <n v="621310"/>
    <n v="1"/>
    <s v="1621310.500"/>
    <s v="אגף החשבות - תחבורה ודואר"/>
    <m/>
    <m/>
    <n v="213800"/>
    <n v="213800"/>
    <n v="162200"/>
    <e v="#N/A"/>
    <x v="9"/>
    <x v="6"/>
    <s v="62"/>
    <x v="22"/>
    <x v="76"/>
    <x v="59"/>
    <s v="6213"/>
    <s v="הנהלת חשבונות"/>
    <m/>
    <s v="5"/>
    <x v="12"/>
    <s v="50"/>
    <e v="#N/A"/>
    <s v="500"/>
    <e v="#N/A"/>
  </r>
  <r>
    <n v="500"/>
    <n v="621310"/>
    <n v="1"/>
    <s v="1621310.500"/>
    <s v="אגף החשבות - הוצאות כלליות"/>
    <m/>
    <m/>
    <n v="30400"/>
    <n v="30400"/>
    <n v="22500"/>
    <e v="#N/A"/>
    <x v="9"/>
    <x v="6"/>
    <s v="62"/>
    <x v="22"/>
    <x v="76"/>
    <x v="59"/>
    <s v="6213"/>
    <s v="הנהלת חשבונות"/>
    <m/>
    <s v="5"/>
    <x v="12"/>
    <s v="50"/>
    <e v="#N/A"/>
    <s v="500"/>
    <e v="#N/A"/>
  </r>
  <r>
    <n v="700"/>
    <n v="621310"/>
    <n v="1"/>
    <s v="1621310.700"/>
    <s v="אגף החשבות - הוצאות לפעולות"/>
    <m/>
    <m/>
    <n v="31100"/>
    <n v="34800"/>
    <n v="34800"/>
    <e v="#N/A"/>
    <x v="9"/>
    <x v="6"/>
    <s v="62"/>
    <x v="22"/>
    <x v="76"/>
    <x v="59"/>
    <s v="6213"/>
    <s v="הנהלת חשבונות"/>
    <m/>
    <s v="7"/>
    <x v="9"/>
    <s v="70"/>
    <e v="#N/A"/>
    <s v="700"/>
    <e v="#N/A"/>
  </r>
  <r>
    <n v="100"/>
    <n v="621200"/>
    <n v="1"/>
    <s v="1621200.100"/>
    <s v="אגף התקציבים - שכר לעובדים קבועים"/>
    <m/>
    <m/>
    <n v="3050300"/>
    <n v="2926300"/>
    <n v="3143900"/>
    <e v="#N/A"/>
    <x v="9"/>
    <x v="6"/>
    <s v="62"/>
    <x v="22"/>
    <x v="76"/>
    <x v="59"/>
    <s v="6212"/>
    <s v="תקציבים וכלכלה"/>
    <m/>
    <s v="1"/>
    <x v="8"/>
    <s v="10"/>
    <e v="#N/A"/>
    <s v="100"/>
    <e v="#N/A"/>
  </r>
  <r>
    <n v="120"/>
    <n v="621200"/>
    <n v="1"/>
    <s v="1621200.120"/>
    <s v="אגף התקציבים - שעות נוספות"/>
    <m/>
    <m/>
    <n v="120700"/>
    <n v="120700"/>
    <n v="97900"/>
    <n v="267266"/>
    <x v="9"/>
    <x v="6"/>
    <s v="62"/>
    <x v="22"/>
    <x v="76"/>
    <x v="59"/>
    <s v="6212"/>
    <s v="תקציבים וכלכלה"/>
    <m/>
    <s v="1"/>
    <x v="8"/>
    <s v="12"/>
    <s v="תוספות שאינן נכללות בשכר הקובע"/>
    <s v="120"/>
    <e v="#N/A"/>
  </r>
  <r>
    <n v="400"/>
    <n v="621200"/>
    <n v="1"/>
    <s v="1621200.400"/>
    <s v="אגף התקציבים - אחזקה אספקה וציוד"/>
    <m/>
    <m/>
    <n v="52100"/>
    <n v="52100"/>
    <n v="52100"/>
    <e v="#N/A"/>
    <x v="9"/>
    <x v="6"/>
    <s v="62"/>
    <x v="22"/>
    <x v="76"/>
    <x v="59"/>
    <s v="6212"/>
    <s v="תקציבים וכלכלה"/>
    <m/>
    <s v="4"/>
    <x v="11"/>
    <s v="40"/>
    <e v="#N/A"/>
    <s v="400"/>
    <e v="#N/A"/>
  </r>
  <r>
    <n v="500"/>
    <n v="621200"/>
    <n v="1"/>
    <s v="1621200.500"/>
    <s v="אגף התקציבים - תחבורה ודואר"/>
    <m/>
    <m/>
    <n v="68300"/>
    <n v="68300"/>
    <n v="57600"/>
    <e v="#N/A"/>
    <x v="9"/>
    <x v="6"/>
    <s v="62"/>
    <x v="22"/>
    <x v="76"/>
    <x v="59"/>
    <s v="6212"/>
    <s v="תקציבים וכלכלה"/>
    <m/>
    <s v="5"/>
    <x v="12"/>
    <s v="50"/>
    <e v="#N/A"/>
    <s v="500"/>
    <e v="#N/A"/>
  </r>
  <r>
    <n v="500"/>
    <n v="621200"/>
    <n v="1"/>
    <s v="1621200.500"/>
    <s v="אגף התקציבים - הוצאות כלליות"/>
    <m/>
    <m/>
    <n v="7200"/>
    <n v="7200"/>
    <n v="3700"/>
    <e v="#N/A"/>
    <x v="9"/>
    <x v="6"/>
    <s v="62"/>
    <x v="22"/>
    <x v="76"/>
    <x v="59"/>
    <s v="6212"/>
    <s v="תקציבים וכלכלה"/>
    <m/>
    <s v="5"/>
    <x v="12"/>
    <s v="50"/>
    <e v="#N/A"/>
    <s v="500"/>
    <e v="#N/A"/>
  </r>
  <r>
    <n v="700"/>
    <n v="621200"/>
    <n v="1"/>
    <s v="1621200.700"/>
    <s v="אגף התקציבים - הוצאות לפעולות"/>
    <m/>
    <m/>
    <n v="15500"/>
    <n v="19700"/>
    <n v="18100"/>
    <e v="#N/A"/>
    <x v="9"/>
    <x v="6"/>
    <s v="62"/>
    <x v="22"/>
    <x v="76"/>
    <x v="59"/>
    <s v="6212"/>
    <s v="תקציבים וכלכלה"/>
    <m/>
    <s v="7"/>
    <x v="9"/>
    <s v="70"/>
    <e v="#N/A"/>
    <s v="700"/>
    <e v="#N/A"/>
  </r>
  <r>
    <n v="100"/>
    <n v="623000"/>
    <n v="1"/>
    <s v="1623000.100"/>
    <s v="אגף הגביה המאוחדת - שכר לעובדים קבועים"/>
    <m/>
    <m/>
    <n v="20599500"/>
    <n v="20369500"/>
    <n v="19316100"/>
    <e v="#N/A"/>
    <x v="9"/>
    <x v="6"/>
    <s v="62"/>
    <x v="22"/>
    <x v="99"/>
    <x v="69"/>
    <s v="6230"/>
    <e v="#N/A"/>
    <m/>
    <s v="1"/>
    <x v="8"/>
    <s v="10"/>
    <e v="#N/A"/>
    <s v="100"/>
    <e v="#N/A"/>
  </r>
  <r>
    <n v="120"/>
    <n v="623000"/>
    <n v="1"/>
    <s v="1623000.120"/>
    <s v="אגף הגביה המאוחדת - שעות נוספות"/>
    <m/>
    <m/>
    <n v="400500"/>
    <n v="400500"/>
    <n v="442300"/>
    <e v="#N/A"/>
    <x v="9"/>
    <x v="6"/>
    <s v="62"/>
    <x v="22"/>
    <x v="99"/>
    <x v="69"/>
    <s v="6230"/>
    <e v="#N/A"/>
    <m/>
    <s v="1"/>
    <x v="8"/>
    <s v="12"/>
    <s v="תוספות שאינן נכללות בשכר הקובע"/>
    <s v="120"/>
    <e v="#N/A"/>
  </r>
  <r>
    <n v="400"/>
    <n v="623000"/>
    <n v="1"/>
    <s v="1623000.400"/>
    <s v="אגף הגביה המאוחדת - אחזקה אספקה וציוד"/>
    <m/>
    <m/>
    <n v="1353000"/>
    <n v="1368400"/>
    <n v="1273800"/>
    <e v="#N/A"/>
    <x v="9"/>
    <x v="6"/>
    <s v="62"/>
    <x v="22"/>
    <x v="99"/>
    <x v="69"/>
    <s v="6230"/>
    <e v="#N/A"/>
    <m/>
    <s v="4"/>
    <x v="11"/>
    <s v="40"/>
    <e v="#N/A"/>
    <s v="400"/>
    <e v="#N/A"/>
  </r>
  <r>
    <n v="500"/>
    <n v="623000"/>
    <n v="1"/>
    <s v="1623000.500"/>
    <s v="אגף הגביה המאוחדת - תחבורה ודואר"/>
    <m/>
    <m/>
    <n v="2226800"/>
    <n v="2264600"/>
    <n v="1797500"/>
    <e v="#N/A"/>
    <x v="9"/>
    <x v="6"/>
    <s v="62"/>
    <x v="22"/>
    <x v="99"/>
    <x v="69"/>
    <s v="6230"/>
    <e v="#N/A"/>
    <m/>
    <s v="5"/>
    <x v="12"/>
    <s v="50"/>
    <e v="#N/A"/>
    <s v="500"/>
    <e v="#N/A"/>
  </r>
  <r>
    <n v="500"/>
    <n v="623000"/>
    <n v="1"/>
    <s v="1623000.500"/>
    <s v="אגף הגביה המאוחדת - הוצאות כלליות"/>
    <m/>
    <m/>
    <n v="230600"/>
    <n v="250600"/>
    <n v="182100"/>
    <e v="#N/A"/>
    <x v="9"/>
    <x v="6"/>
    <s v="62"/>
    <x v="22"/>
    <x v="99"/>
    <x v="69"/>
    <s v="6230"/>
    <e v="#N/A"/>
    <m/>
    <s v="5"/>
    <x v="12"/>
    <s v="50"/>
    <e v="#N/A"/>
    <s v="500"/>
    <e v="#N/A"/>
  </r>
  <r>
    <n v="700"/>
    <n v="623000"/>
    <n v="1"/>
    <s v="1623000.700"/>
    <s v="אגף הגביה המאוחדת - הוצאות לפעולות"/>
    <m/>
    <m/>
    <n v="896600"/>
    <n v="961800"/>
    <n v="877200"/>
    <e v="#N/A"/>
    <x v="9"/>
    <x v="6"/>
    <s v="62"/>
    <x v="22"/>
    <x v="99"/>
    <x v="69"/>
    <s v="6230"/>
    <e v="#N/A"/>
    <m/>
    <s v="7"/>
    <x v="9"/>
    <s v="70"/>
    <e v="#N/A"/>
    <s v="700"/>
    <e v="#N/A"/>
  </r>
  <r>
    <n v="100"/>
    <n v="623200"/>
    <n v="1"/>
    <s v="1623200.100"/>
    <s v="אגף אכיפת הגביה - שכר לעובדים קבועים"/>
    <m/>
    <m/>
    <n v="15709800"/>
    <n v="15534800"/>
    <n v="13988600"/>
    <e v="#N/A"/>
    <x v="9"/>
    <x v="6"/>
    <s v="62"/>
    <x v="22"/>
    <x v="99"/>
    <x v="69"/>
    <s v="6232"/>
    <s v="גביית ארנונה"/>
    <m/>
    <s v="1"/>
    <x v="8"/>
    <s v="10"/>
    <e v="#N/A"/>
    <s v="100"/>
    <e v="#N/A"/>
  </r>
  <r>
    <n v="120"/>
    <n v="623200"/>
    <n v="1"/>
    <s v="1623200.120"/>
    <s v="אגף אכיפת הגביה - שעות נוספות"/>
    <m/>
    <m/>
    <n v="287200"/>
    <n v="287200"/>
    <n v="383900"/>
    <e v="#N/A"/>
    <x v="9"/>
    <x v="6"/>
    <s v="62"/>
    <x v="22"/>
    <x v="99"/>
    <x v="69"/>
    <s v="6232"/>
    <s v="גביית ארנונה"/>
    <m/>
    <s v="1"/>
    <x v="8"/>
    <s v="12"/>
    <s v="תוספות שאינן נכללות בשכר הקובע"/>
    <s v="120"/>
    <e v="#N/A"/>
  </r>
  <r>
    <n v="400"/>
    <n v="623200"/>
    <n v="1"/>
    <s v="1623200.400"/>
    <s v="אגף אכיפת הגביה - אחזקה אספקה וציוד"/>
    <m/>
    <m/>
    <n v="670100"/>
    <n v="704500"/>
    <n v="580800"/>
    <m/>
    <x v="9"/>
    <x v="6"/>
    <s v="62"/>
    <x v="22"/>
    <x v="99"/>
    <x v="69"/>
    <s v="6232"/>
    <s v="גביית ארנונה"/>
    <m/>
    <s v="4"/>
    <x v="11"/>
    <s v="40"/>
    <e v="#N/A"/>
    <s v="400"/>
    <e v="#N/A"/>
  </r>
  <r>
    <n v="500"/>
    <n v="623200"/>
    <n v="1"/>
    <s v="1623200.500"/>
    <s v="אגף אכיפת הגביה - תחבורה ודואר"/>
    <m/>
    <m/>
    <n v="165000"/>
    <n v="155000"/>
    <n v="98800"/>
    <e v="#N/A"/>
    <x v="9"/>
    <x v="6"/>
    <s v="62"/>
    <x v="22"/>
    <x v="99"/>
    <x v="69"/>
    <s v="6232"/>
    <s v="גביית ארנונה"/>
    <m/>
    <s v="5"/>
    <x v="12"/>
    <s v="50"/>
    <e v="#N/A"/>
    <s v="500"/>
    <e v="#N/A"/>
  </r>
  <r>
    <n v="500"/>
    <n v="623200"/>
    <n v="1"/>
    <s v="1623200.500"/>
    <s v="אגף אכיפת הגביה - הוצאות כלליות"/>
    <m/>
    <m/>
    <n v="17800"/>
    <n v="17800"/>
    <n v="9800"/>
    <e v="#N/A"/>
    <x v="9"/>
    <x v="6"/>
    <s v="62"/>
    <x v="22"/>
    <x v="99"/>
    <x v="69"/>
    <s v="6232"/>
    <s v="גביית ארנונה"/>
    <m/>
    <s v="5"/>
    <x v="12"/>
    <s v="50"/>
    <e v="#N/A"/>
    <s v="500"/>
    <e v="#N/A"/>
  </r>
  <r>
    <n v="700"/>
    <n v="623200"/>
    <n v="1"/>
    <s v="1623200.700"/>
    <s v="אגף אכיפת הגביה - הוצאות לפעולות"/>
    <m/>
    <m/>
    <n v="22405800"/>
    <n v="35122700"/>
    <n v="17712800"/>
    <e v="#N/A"/>
    <x v="9"/>
    <x v="6"/>
    <s v="62"/>
    <x v="22"/>
    <x v="99"/>
    <x v="69"/>
    <s v="6232"/>
    <s v="גביית ארנונה"/>
    <m/>
    <s v="7"/>
    <x v="9"/>
    <s v="70"/>
    <e v="#N/A"/>
    <s v="700"/>
    <e v="#N/A"/>
  </r>
  <r>
    <n v="100"/>
    <n v="619600"/>
    <n v="1"/>
    <s v="1619600.100"/>
    <s v="הנהלת אגף לוגיסטיקה - שכר לעובדים קבועים"/>
    <m/>
    <m/>
    <n v="1214800"/>
    <n v="1200800"/>
    <n v="1195100"/>
    <e v="#N/A"/>
    <x v="9"/>
    <x v="6"/>
    <s v="61"/>
    <x v="19"/>
    <x v="78"/>
    <x v="61"/>
    <s v="6196"/>
    <e v="#N/A"/>
    <m/>
    <s v="1"/>
    <x v="8"/>
    <s v="10"/>
    <e v="#N/A"/>
    <s v="100"/>
    <e v="#N/A"/>
  </r>
  <r>
    <n v="120"/>
    <n v="619600"/>
    <n v="1"/>
    <s v="1619600.120"/>
    <s v="הנהלת אגף לוגיסטיקה - שעות נוספות"/>
    <m/>
    <m/>
    <n v="24200"/>
    <n v="24200"/>
    <n v="23200"/>
    <e v="#N/A"/>
    <x v="9"/>
    <x v="6"/>
    <s v="61"/>
    <x v="19"/>
    <x v="78"/>
    <x v="61"/>
    <s v="6196"/>
    <e v="#N/A"/>
    <m/>
    <s v="1"/>
    <x v="8"/>
    <s v="12"/>
    <s v="תוספות שאינן נכללות בשכר הקובע"/>
    <s v="120"/>
    <e v="#N/A"/>
  </r>
  <r>
    <n v="400"/>
    <n v="619600"/>
    <n v="1"/>
    <s v="1619600.400"/>
    <s v="הנהלת אגף לוגיסטיקה - אחזקה אספקה וציוד"/>
    <m/>
    <m/>
    <n v="29100"/>
    <n v="29100"/>
    <n v="19400"/>
    <e v="#N/A"/>
    <x v="9"/>
    <x v="6"/>
    <s v="61"/>
    <x v="19"/>
    <x v="78"/>
    <x v="61"/>
    <s v="6196"/>
    <e v="#N/A"/>
    <m/>
    <s v="4"/>
    <x v="11"/>
    <s v="40"/>
    <e v="#N/A"/>
    <s v="400"/>
    <e v="#N/A"/>
  </r>
  <r>
    <n v="500"/>
    <n v="619600"/>
    <n v="1"/>
    <s v="1619600.500"/>
    <s v="הנהלת אגף לוגיסטיקה - תחבורה ודואר"/>
    <m/>
    <m/>
    <n v="10000"/>
    <n v="10000"/>
    <n v="800"/>
    <e v="#N/A"/>
    <x v="9"/>
    <x v="6"/>
    <s v="61"/>
    <x v="19"/>
    <x v="78"/>
    <x v="61"/>
    <s v="6196"/>
    <e v="#N/A"/>
    <m/>
    <s v="5"/>
    <x v="12"/>
    <s v="50"/>
    <e v="#N/A"/>
    <s v="500"/>
    <e v="#N/A"/>
  </r>
  <r>
    <n v="500"/>
    <n v="619600"/>
    <n v="1"/>
    <s v="1619600.500"/>
    <s v="הנהלת אגף לוגיסטיקה - הוצאות כלליות"/>
    <m/>
    <m/>
    <n v="2400"/>
    <n v="2400"/>
    <n v="400"/>
    <m/>
    <x v="9"/>
    <x v="6"/>
    <s v="61"/>
    <x v="19"/>
    <x v="78"/>
    <x v="61"/>
    <s v="6196"/>
    <e v="#N/A"/>
    <m/>
    <s v="5"/>
    <x v="12"/>
    <s v="50"/>
    <e v="#N/A"/>
    <s v="500"/>
    <e v="#N/A"/>
  </r>
  <r>
    <n v="700"/>
    <n v="619600"/>
    <n v="1"/>
    <s v="1619600.700"/>
    <s v="הנהלת אגף לוגיסטיקה - הוצאות לפעולות"/>
    <m/>
    <m/>
    <n v="28400"/>
    <n v="30500"/>
    <n v="28900"/>
    <e v="#N/A"/>
    <x v="9"/>
    <x v="6"/>
    <s v="61"/>
    <x v="19"/>
    <x v="78"/>
    <x v="61"/>
    <s v="6196"/>
    <e v="#N/A"/>
    <m/>
    <s v="7"/>
    <x v="9"/>
    <s v="70"/>
    <e v="#N/A"/>
    <s v="700"/>
    <e v="#N/A"/>
  </r>
  <r>
    <n v="100"/>
    <n v="619500"/>
    <n v="1"/>
    <s v="1619500.100"/>
    <s v="המחלקה לאחזקת מבנים - שכר לעובדים קבועים"/>
    <m/>
    <m/>
    <n v="1516500"/>
    <n v="1142500"/>
    <n v="1677100"/>
    <e v="#N/A"/>
    <x v="9"/>
    <x v="6"/>
    <s v="61"/>
    <x v="19"/>
    <x v="78"/>
    <x v="61"/>
    <s v="6195"/>
    <e v="#N/A"/>
    <m/>
    <s v="1"/>
    <x v="8"/>
    <s v="10"/>
    <e v="#N/A"/>
    <s v="100"/>
    <e v="#N/A"/>
  </r>
  <r>
    <n v="120"/>
    <n v="619500"/>
    <n v="1"/>
    <s v="1619500.120"/>
    <s v="המחלקה לאחזקת מבנים - שעות נוספות"/>
    <m/>
    <m/>
    <n v="97500"/>
    <n v="97500"/>
    <n v="89400"/>
    <e v="#N/A"/>
    <x v="9"/>
    <x v="6"/>
    <s v="61"/>
    <x v="19"/>
    <x v="78"/>
    <x v="61"/>
    <s v="6195"/>
    <e v="#N/A"/>
    <m/>
    <s v="1"/>
    <x v="8"/>
    <s v="12"/>
    <s v="תוספות שאינן נכללות בשכר הקובע"/>
    <s v="120"/>
    <e v="#N/A"/>
  </r>
  <r>
    <n v="400"/>
    <n v="619500"/>
    <n v="1"/>
    <s v="1619500.400"/>
    <s v="המחלקה לאחזקת מבנים - אחזקה אספקה וציוד"/>
    <m/>
    <m/>
    <n v="12000"/>
    <n v="13200"/>
    <n v="9700"/>
    <e v="#N/A"/>
    <x v="9"/>
    <x v="6"/>
    <s v="61"/>
    <x v="19"/>
    <x v="78"/>
    <x v="61"/>
    <s v="6195"/>
    <e v="#N/A"/>
    <m/>
    <s v="4"/>
    <x v="11"/>
    <s v="40"/>
    <e v="#N/A"/>
    <s v="400"/>
    <e v="#N/A"/>
  </r>
  <r>
    <n v="500"/>
    <n v="619500"/>
    <n v="1"/>
    <s v="1619500.500"/>
    <s v="המחלקה לאחזקת מבנים - תחבורה ודואר"/>
    <m/>
    <m/>
    <n v="120500"/>
    <n v="120500"/>
    <n v="37700"/>
    <e v="#N/A"/>
    <x v="9"/>
    <x v="6"/>
    <s v="61"/>
    <x v="19"/>
    <x v="78"/>
    <x v="61"/>
    <s v="6195"/>
    <e v="#N/A"/>
    <m/>
    <s v="5"/>
    <x v="12"/>
    <s v="50"/>
    <e v="#N/A"/>
    <s v="500"/>
    <e v="#N/A"/>
  </r>
  <r>
    <n v="500"/>
    <n v="619500"/>
    <n v="1"/>
    <s v="1619500.500"/>
    <s v="המחלקה לאחזקת מבנים - הוצאות כלליות"/>
    <m/>
    <m/>
    <n v="2000"/>
    <n v="2000"/>
    <n v="600"/>
    <e v="#N/A"/>
    <x v="9"/>
    <x v="6"/>
    <s v="61"/>
    <x v="19"/>
    <x v="78"/>
    <x v="61"/>
    <s v="6195"/>
    <e v="#N/A"/>
    <m/>
    <s v="5"/>
    <x v="12"/>
    <s v="50"/>
    <e v="#N/A"/>
    <s v="500"/>
    <e v="#N/A"/>
  </r>
  <r>
    <n v="700"/>
    <n v="619500"/>
    <n v="1"/>
    <s v="1619500.700"/>
    <s v="המחלקה לאחזקת מבנים - הוצאות לפעולות"/>
    <m/>
    <m/>
    <n v="13200"/>
    <n v="16300"/>
    <n v="14800"/>
    <e v="#N/A"/>
    <x v="9"/>
    <x v="6"/>
    <s v="61"/>
    <x v="19"/>
    <x v="78"/>
    <x v="61"/>
    <s v="6195"/>
    <e v="#N/A"/>
    <m/>
    <s v="7"/>
    <x v="9"/>
    <s v="70"/>
    <e v="#N/A"/>
    <s v="700"/>
    <e v="#N/A"/>
  </r>
  <r>
    <n v="100"/>
    <n v="619400"/>
    <n v="1"/>
    <s v="1619400.100"/>
    <s v="רכש ואספקה - שכר לעובדים קבועים"/>
    <m/>
    <m/>
    <n v="1676500"/>
    <n v="1657500"/>
    <n v="1844100"/>
    <e v="#N/A"/>
    <x v="9"/>
    <x v="6"/>
    <s v="61"/>
    <x v="19"/>
    <x v="78"/>
    <x v="61"/>
    <s v="6194"/>
    <e v="#N/A"/>
    <m/>
    <s v="1"/>
    <x v="8"/>
    <s v="10"/>
    <e v="#N/A"/>
    <s v="100"/>
    <e v="#N/A"/>
  </r>
  <r>
    <n v="120"/>
    <n v="619400"/>
    <n v="1"/>
    <s v="1619400.120"/>
    <s v="רכש ואספקה - שעות נוספות"/>
    <m/>
    <m/>
    <n v="48500"/>
    <n v="48500"/>
    <n v="52600"/>
    <e v="#N/A"/>
    <x v="9"/>
    <x v="6"/>
    <s v="61"/>
    <x v="19"/>
    <x v="78"/>
    <x v="61"/>
    <s v="6194"/>
    <e v="#N/A"/>
    <m/>
    <s v="1"/>
    <x v="8"/>
    <s v="12"/>
    <s v="תוספות שאינן נכללות בשכר הקובע"/>
    <s v="120"/>
    <e v="#N/A"/>
  </r>
  <r>
    <n v="400"/>
    <n v="619400"/>
    <n v="1"/>
    <s v="1619400.400"/>
    <s v="רכש ואספקה - אחזקה אספקה וציוד"/>
    <m/>
    <m/>
    <n v="101600"/>
    <n v="82400"/>
    <n v="106200"/>
    <e v="#N/A"/>
    <x v="9"/>
    <x v="6"/>
    <s v="61"/>
    <x v="19"/>
    <x v="78"/>
    <x v="61"/>
    <s v="6194"/>
    <e v="#N/A"/>
    <m/>
    <s v="4"/>
    <x v="11"/>
    <s v="40"/>
    <e v="#N/A"/>
    <s v="400"/>
    <e v="#N/A"/>
  </r>
  <r>
    <n v="500"/>
    <n v="619400"/>
    <n v="1"/>
    <s v="1619400.500"/>
    <s v="רכש ואספקה - תחבורה ודואר"/>
    <m/>
    <m/>
    <n v="23100"/>
    <n v="22100"/>
    <n v="21500"/>
    <e v="#N/A"/>
    <x v="9"/>
    <x v="6"/>
    <s v="61"/>
    <x v="19"/>
    <x v="78"/>
    <x v="61"/>
    <s v="6194"/>
    <e v="#N/A"/>
    <m/>
    <s v="5"/>
    <x v="12"/>
    <s v="50"/>
    <e v="#N/A"/>
    <s v="500"/>
    <e v="#N/A"/>
  </r>
  <r>
    <n v="500"/>
    <n v="619400"/>
    <n v="1"/>
    <s v="1619400.500"/>
    <s v="רכש ואספקה - הוצאות כלליות"/>
    <m/>
    <m/>
    <n v="800"/>
    <n v="800"/>
    <n v="300"/>
    <e v="#N/A"/>
    <x v="9"/>
    <x v="6"/>
    <s v="61"/>
    <x v="19"/>
    <x v="78"/>
    <x v="61"/>
    <s v="6194"/>
    <e v="#N/A"/>
    <m/>
    <s v="5"/>
    <x v="12"/>
    <s v="50"/>
    <e v="#N/A"/>
    <s v="500"/>
    <e v="#N/A"/>
  </r>
  <r>
    <n v="700"/>
    <n v="619400"/>
    <n v="1"/>
    <s v="1619400.700"/>
    <s v="רכש ואספקה - הוצאות לפעולות"/>
    <m/>
    <m/>
    <n v="447600"/>
    <n v="484700"/>
    <n v="412400"/>
    <e v="#N/A"/>
    <x v="9"/>
    <x v="6"/>
    <s v="61"/>
    <x v="19"/>
    <x v="78"/>
    <x v="61"/>
    <s v="6194"/>
    <e v="#N/A"/>
    <m/>
    <s v="7"/>
    <x v="9"/>
    <s v="70"/>
    <e v="#N/A"/>
    <s v="700"/>
    <e v="#N/A"/>
  </r>
  <r>
    <n v="900"/>
    <n v="619400"/>
    <n v="1"/>
    <s v="1619400.900"/>
    <s v="רכש ואספקה - הוצאות חד-פעמיות והשקעות"/>
    <m/>
    <m/>
    <m/>
    <n v="0"/>
    <n v="0"/>
    <e v="#N/A"/>
    <x v="9"/>
    <x v="6"/>
    <s v="61"/>
    <x v="19"/>
    <x v="78"/>
    <x v="61"/>
    <s v="6194"/>
    <e v="#N/A"/>
    <m/>
    <s v="9"/>
    <x v="17"/>
    <s v="90"/>
    <e v="#N/A"/>
    <s v="900"/>
    <e v="#N/A"/>
  </r>
  <r>
    <n v="100"/>
    <n v="613210"/>
    <n v="1"/>
    <s v="1613210.100"/>
    <s v="בית דפוס עירוני - שכר לעובדים קבועים"/>
    <m/>
    <m/>
    <n v="1189600"/>
    <n v="1175600"/>
    <n v="1231500"/>
    <e v="#N/A"/>
    <x v="9"/>
    <x v="6"/>
    <s v="61"/>
    <x v="19"/>
    <x v="70"/>
    <x v="53"/>
    <s v="6132"/>
    <e v="#N/A"/>
    <m/>
    <s v="1"/>
    <x v="8"/>
    <s v="10"/>
    <e v="#N/A"/>
    <s v="100"/>
    <e v="#N/A"/>
  </r>
  <r>
    <n v="120"/>
    <n v="613210"/>
    <n v="1"/>
    <s v="1613210.120"/>
    <s v="בית דפוס עירוני - שעות נוספות"/>
    <m/>
    <m/>
    <n v="85400"/>
    <n v="85400"/>
    <n v="95900"/>
    <e v="#N/A"/>
    <x v="9"/>
    <x v="6"/>
    <s v="61"/>
    <x v="19"/>
    <x v="70"/>
    <x v="53"/>
    <s v="6132"/>
    <e v="#N/A"/>
    <m/>
    <s v="1"/>
    <x v="8"/>
    <s v="12"/>
    <s v="תוספות שאינן נכללות בשכר הקובע"/>
    <s v="120"/>
    <e v="#N/A"/>
  </r>
  <r>
    <n v="400"/>
    <n v="613210"/>
    <n v="1"/>
    <s v="1613210.400"/>
    <s v="בית דפוס עירוני - אחזקה אספקה וציוד"/>
    <m/>
    <m/>
    <n v="1800"/>
    <n v="1800"/>
    <n v="1200"/>
    <e v="#N/A"/>
    <x v="9"/>
    <x v="6"/>
    <s v="61"/>
    <x v="19"/>
    <x v="70"/>
    <x v="53"/>
    <s v="6132"/>
    <e v="#N/A"/>
    <m/>
    <s v="4"/>
    <x v="11"/>
    <s v="40"/>
    <e v="#N/A"/>
    <s v="400"/>
    <e v="#N/A"/>
  </r>
  <r>
    <n v="500"/>
    <n v="613210"/>
    <n v="1"/>
    <s v="1613210.500"/>
    <s v="בית דפוס עירוני - תחבורה ודואר"/>
    <m/>
    <m/>
    <n v="5400"/>
    <n v="8500"/>
    <n v="3600"/>
    <e v="#N/A"/>
    <x v="9"/>
    <x v="6"/>
    <s v="61"/>
    <x v="19"/>
    <x v="70"/>
    <x v="53"/>
    <s v="6132"/>
    <e v="#N/A"/>
    <m/>
    <s v="5"/>
    <x v="12"/>
    <s v="50"/>
    <e v="#N/A"/>
    <s v="500"/>
    <e v="#N/A"/>
  </r>
  <r>
    <n v="700"/>
    <n v="613210"/>
    <n v="1"/>
    <s v="1613210.700"/>
    <s v="בית דפוס עירוני - הוצאות לפעולות"/>
    <m/>
    <m/>
    <n v="9300"/>
    <n v="6700"/>
    <n v="9300"/>
    <e v="#N/A"/>
    <x v="9"/>
    <x v="6"/>
    <s v="61"/>
    <x v="19"/>
    <x v="70"/>
    <x v="53"/>
    <s v="6132"/>
    <e v="#N/A"/>
    <m/>
    <s v="7"/>
    <x v="9"/>
    <s v="70"/>
    <e v="#N/A"/>
    <s v="700"/>
    <e v="#N/A"/>
  </r>
  <r>
    <n v="100"/>
    <n v="764100"/>
    <n v="1"/>
    <s v="1764100.100"/>
    <s v="המרכז למיחשוב - שכר לעובדים קבועים"/>
    <m/>
    <m/>
    <n v="4161100"/>
    <n v="3916100"/>
    <n v="3576100"/>
    <e v="#N/A"/>
    <x v="7"/>
    <x v="1"/>
    <s v="76"/>
    <x v="20"/>
    <x v="77"/>
    <x v="60"/>
    <s v="7641"/>
    <e v="#N/A"/>
    <m/>
    <s v="1"/>
    <x v="8"/>
    <s v="10"/>
    <e v="#N/A"/>
    <s v="100"/>
    <e v="#N/A"/>
  </r>
  <r>
    <n v="120"/>
    <n v="764100"/>
    <n v="1"/>
    <s v="1764100.120"/>
    <s v="המרכז למיחשוב - שעות נוספות"/>
    <m/>
    <m/>
    <n v="122900"/>
    <n v="122900"/>
    <n v="153500"/>
    <e v="#N/A"/>
    <x v="7"/>
    <x v="1"/>
    <s v="76"/>
    <x v="20"/>
    <x v="77"/>
    <x v="60"/>
    <s v="7641"/>
    <e v="#N/A"/>
    <m/>
    <s v="1"/>
    <x v="8"/>
    <s v="12"/>
    <s v="תוספות שאינן נכללות בשכר הקובע"/>
    <s v="120"/>
    <e v="#N/A"/>
  </r>
  <r>
    <n v="400"/>
    <n v="764100"/>
    <n v="1"/>
    <s v="1764100.400"/>
    <s v="המרכז למיחשוב - אחזקה אספקה וציוד"/>
    <m/>
    <m/>
    <n v="16700"/>
    <n v="21100"/>
    <n v="16600"/>
    <e v="#N/A"/>
    <x v="7"/>
    <x v="1"/>
    <s v="76"/>
    <x v="20"/>
    <x v="77"/>
    <x v="60"/>
    <s v="7641"/>
    <e v="#N/A"/>
    <m/>
    <s v="4"/>
    <x v="11"/>
    <s v="40"/>
    <e v="#N/A"/>
    <s v="400"/>
    <e v="#N/A"/>
  </r>
  <r>
    <n v="500"/>
    <n v="764100"/>
    <n v="1"/>
    <s v="1764100.500"/>
    <s v="המרכז למיחשוב - תחבורה ודואר"/>
    <m/>
    <m/>
    <n v="39400"/>
    <n v="42100"/>
    <n v="28700"/>
    <e v="#N/A"/>
    <x v="7"/>
    <x v="1"/>
    <s v="76"/>
    <x v="20"/>
    <x v="77"/>
    <x v="60"/>
    <s v="7641"/>
    <e v="#N/A"/>
    <m/>
    <s v="5"/>
    <x v="12"/>
    <s v="50"/>
    <e v="#N/A"/>
    <s v="500"/>
    <e v="#N/A"/>
  </r>
  <r>
    <n v="700"/>
    <n v="764100"/>
    <n v="1"/>
    <s v="1764100.700"/>
    <s v="המרכז למיחשוב - הוצאות לפעולות"/>
    <m/>
    <m/>
    <n v="23800"/>
    <n v="19100"/>
    <n v="26200"/>
    <e v="#N/A"/>
    <x v="7"/>
    <x v="1"/>
    <s v="76"/>
    <x v="20"/>
    <x v="77"/>
    <x v="60"/>
    <s v="7641"/>
    <e v="#N/A"/>
    <m/>
    <s v="7"/>
    <x v="9"/>
    <s v="70"/>
    <e v="#N/A"/>
    <s v="700"/>
    <e v="#N/A"/>
  </r>
  <r>
    <n v="700"/>
    <n v="764200"/>
    <n v="1"/>
    <s v="1764200.700"/>
    <s v="מיכון - הוצאות לפעולות"/>
    <m/>
    <m/>
    <n v="17485900"/>
    <n v="18000000"/>
    <n v="16286600"/>
    <e v="#N/A"/>
    <x v="7"/>
    <x v="1"/>
    <s v="76"/>
    <x v="20"/>
    <x v="77"/>
    <x v="60"/>
    <s v="7642"/>
    <e v="#N/A"/>
    <m/>
    <s v="7"/>
    <x v="9"/>
    <s v="70"/>
    <e v="#N/A"/>
    <s v="700"/>
    <e v="#N/A"/>
  </r>
  <r>
    <n v="100"/>
    <n v="711400"/>
    <n v="1"/>
    <s v="1711400.100"/>
    <s v="היחידה לשלטים - שכר לעובדים קבועים"/>
    <m/>
    <m/>
    <n v="2094100"/>
    <n v="2070100"/>
    <n v="2040700"/>
    <e v="#N/A"/>
    <x v="7"/>
    <x v="1"/>
    <s v="71"/>
    <x v="3"/>
    <x v="64"/>
    <x v="47"/>
    <s v="7114"/>
    <e v="#N/A"/>
    <m/>
    <s v="1"/>
    <x v="8"/>
    <s v="10"/>
    <e v="#N/A"/>
    <s v="100"/>
    <e v="#N/A"/>
  </r>
  <r>
    <n v="120"/>
    <n v="711400"/>
    <n v="1"/>
    <s v="1711400.120"/>
    <s v="היחידה לשלטים - שעות נוספות"/>
    <m/>
    <m/>
    <n v="51900"/>
    <n v="51900"/>
    <n v="64700"/>
    <e v="#N/A"/>
    <x v="7"/>
    <x v="1"/>
    <s v="71"/>
    <x v="3"/>
    <x v="64"/>
    <x v="47"/>
    <s v="7114"/>
    <e v="#N/A"/>
    <m/>
    <s v="1"/>
    <x v="8"/>
    <s v="12"/>
    <s v="תוספות שאינן נכללות בשכר הקובע"/>
    <s v="120"/>
    <e v="#N/A"/>
  </r>
  <r>
    <n v="400"/>
    <n v="711400"/>
    <n v="1"/>
    <s v="1711400.400"/>
    <s v="היחידה לשלטים - אחזקה אספקה וציוד"/>
    <m/>
    <m/>
    <n v="79700"/>
    <n v="75700"/>
    <n v="46500"/>
    <e v="#N/A"/>
    <x v="7"/>
    <x v="1"/>
    <s v="71"/>
    <x v="3"/>
    <x v="64"/>
    <x v="47"/>
    <s v="7114"/>
    <e v="#N/A"/>
    <m/>
    <s v="4"/>
    <x v="11"/>
    <s v="40"/>
    <e v="#N/A"/>
    <s v="400"/>
    <e v="#N/A"/>
  </r>
  <r>
    <n v="500"/>
    <n v="711400"/>
    <n v="1"/>
    <s v="1711400.500"/>
    <s v="היחידה לשלטים - תחבורה ודואר"/>
    <m/>
    <m/>
    <n v="62500"/>
    <n v="68100"/>
    <n v="45900"/>
    <e v="#N/A"/>
    <x v="7"/>
    <x v="1"/>
    <s v="71"/>
    <x v="3"/>
    <x v="64"/>
    <x v="47"/>
    <s v="7114"/>
    <e v="#N/A"/>
    <m/>
    <s v="5"/>
    <x v="12"/>
    <s v="50"/>
    <e v="#N/A"/>
    <s v="500"/>
    <e v="#N/A"/>
  </r>
  <r>
    <n v="500"/>
    <n v="711400"/>
    <n v="1"/>
    <s v="1711400.500"/>
    <s v="היחידה לשלטים - הוצאות כלליות"/>
    <m/>
    <m/>
    <n v="5000"/>
    <n v="5000"/>
    <n v="2100"/>
    <e v="#N/A"/>
    <x v="7"/>
    <x v="1"/>
    <s v="71"/>
    <x v="3"/>
    <x v="64"/>
    <x v="47"/>
    <s v="7114"/>
    <e v="#N/A"/>
    <m/>
    <s v="5"/>
    <x v="12"/>
    <s v="50"/>
    <e v="#N/A"/>
    <s v="500"/>
    <e v="#N/A"/>
  </r>
  <r>
    <n v="700"/>
    <n v="711400"/>
    <n v="1"/>
    <s v="1711400.700"/>
    <s v="היחידה לשלטים - הוצאות לפעולות"/>
    <m/>
    <m/>
    <n v="2454600"/>
    <n v="2529500"/>
    <n v="794600"/>
    <e v="#N/A"/>
    <x v="7"/>
    <x v="1"/>
    <s v="71"/>
    <x v="3"/>
    <x v="64"/>
    <x v="47"/>
    <s v="7114"/>
    <e v="#N/A"/>
    <m/>
    <s v="7"/>
    <x v="9"/>
    <s v="70"/>
    <e v="#N/A"/>
    <s v="700"/>
    <e v="#N/A"/>
  </r>
  <r>
    <n v="700"/>
    <n v="630000"/>
    <n v="1"/>
    <s v="1630000.700"/>
    <s v="הוצאות מימון - הוצאות לפעולות"/>
    <m/>
    <m/>
    <n v="15100000"/>
    <n v="15100000"/>
    <n v="16115100"/>
    <e v="#N/A"/>
    <x v="9"/>
    <x v="6"/>
    <s v="63"/>
    <x v="26"/>
    <x v="100"/>
    <x v="0"/>
    <s v="6300"/>
    <e v="#N/A"/>
    <m/>
    <s v="7"/>
    <x v="9"/>
    <s v="70"/>
    <e v="#N/A"/>
    <s v="700"/>
    <e v="#N/A"/>
  </r>
  <r>
    <n v="100"/>
    <n v="711000"/>
    <n v="1"/>
    <s v="1711000.100"/>
    <s v="הנהלת מינהל התיפעול - שכר לעובדים קבועים"/>
    <m/>
    <m/>
    <n v="2431500"/>
    <n v="2404500"/>
    <n v="2168200"/>
    <e v="#N/A"/>
    <x v="7"/>
    <x v="1"/>
    <s v="71"/>
    <x v="3"/>
    <x v="64"/>
    <x v="47"/>
    <s v="7110"/>
    <e v="#N/A"/>
    <m/>
    <s v="1"/>
    <x v="8"/>
    <s v="10"/>
    <e v="#N/A"/>
    <s v="100"/>
    <e v="#N/A"/>
  </r>
  <r>
    <n v="120"/>
    <n v="711000"/>
    <n v="1"/>
    <s v="1711000.120"/>
    <s v="הנהלת מינהל התיפעול - שעות נוספות"/>
    <m/>
    <m/>
    <n v="41500"/>
    <n v="41500"/>
    <n v="46200"/>
    <n v="292468"/>
    <x v="7"/>
    <x v="1"/>
    <s v="71"/>
    <x v="3"/>
    <x v="64"/>
    <x v="47"/>
    <s v="7110"/>
    <e v="#N/A"/>
    <m/>
    <s v="1"/>
    <x v="8"/>
    <s v="12"/>
    <s v="תוספות שאינן נכללות בשכר הקובע"/>
    <s v="120"/>
    <e v="#N/A"/>
  </r>
  <r>
    <n v="400"/>
    <n v="711000"/>
    <n v="1"/>
    <s v="1711000.400"/>
    <s v="הנהלת מינהל התיפעול - אחזקה אספקה וציוד"/>
    <m/>
    <m/>
    <n v="9300"/>
    <n v="9600"/>
    <n v="7800"/>
    <e v="#N/A"/>
    <x v="7"/>
    <x v="1"/>
    <s v="71"/>
    <x v="3"/>
    <x v="64"/>
    <x v="47"/>
    <s v="7110"/>
    <e v="#N/A"/>
    <m/>
    <s v="4"/>
    <x v="11"/>
    <s v="40"/>
    <e v="#N/A"/>
    <s v="400"/>
    <e v="#N/A"/>
  </r>
  <r>
    <n v="500"/>
    <n v="711000"/>
    <n v="1"/>
    <s v="1711000.500"/>
    <s v="הנהלת מינהל התיפעול - תחבורה ודואר"/>
    <m/>
    <m/>
    <n v="95500"/>
    <n v="98500"/>
    <n v="86800"/>
    <e v="#N/A"/>
    <x v="7"/>
    <x v="1"/>
    <s v="71"/>
    <x v="3"/>
    <x v="64"/>
    <x v="47"/>
    <s v="7110"/>
    <e v="#N/A"/>
    <m/>
    <s v="5"/>
    <x v="12"/>
    <s v="50"/>
    <e v="#N/A"/>
    <s v="500"/>
    <e v="#N/A"/>
  </r>
  <r>
    <n v="500"/>
    <n v="711000"/>
    <n v="1"/>
    <s v="1711000.500"/>
    <s v="הנהלת מינהל התיפעול - הוצאות כלליות"/>
    <m/>
    <m/>
    <n v="182900"/>
    <n v="188600"/>
    <n v="136900"/>
    <e v="#N/A"/>
    <x v="7"/>
    <x v="1"/>
    <s v="71"/>
    <x v="3"/>
    <x v="64"/>
    <x v="47"/>
    <s v="7110"/>
    <e v="#N/A"/>
    <m/>
    <s v="5"/>
    <x v="12"/>
    <s v="50"/>
    <e v="#N/A"/>
    <s v="500"/>
    <e v="#N/A"/>
  </r>
  <r>
    <n v="700"/>
    <n v="711000"/>
    <n v="1"/>
    <s v="1711000.700"/>
    <s v="הנהלת מינהל התיפעול - הוצאות לפעולות"/>
    <m/>
    <m/>
    <n v="40600"/>
    <n v="41300"/>
    <n v="56200"/>
    <e v="#N/A"/>
    <x v="7"/>
    <x v="1"/>
    <s v="71"/>
    <x v="3"/>
    <x v="64"/>
    <x v="47"/>
    <s v="7110"/>
    <e v="#N/A"/>
    <m/>
    <s v="7"/>
    <x v="9"/>
    <s v="70"/>
    <e v="#N/A"/>
    <s v="700"/>
    <e v="#N/A"/>
  </r>
  <r>
    <n v="100"/>
    <n v="714100"/>
    <n v="1"/>
    <s v="1714100.100"/>
    <s v="פיקוח וטרינרי - שכר לעובדים קבועים"/>
    <m/>
    <m/>
    <n v="4480300"/>
    <n v="4430300"/>
    <n v="4160800"/>
    <e v="#N/A"/>
    <x v="7"/>
    <x v="1"/>
    <s v="71"/>
    <x v="3"/>
    <x v="101"/>
    <x v="5"/>
    <s v="7141"/>
    <s v="מינהל שרות וטרינרי"/>
    <m/>
    <s v="1"/>
    <x v="8"/>
    <s v="10"/>
    <e v="#N/A"/>
    <s v="100"/>
    <e v="#N/A"/>
  </r>
  <r>
    <n v="120"/>
    <n v="714100"/>
    <n v="1"/>
    <s v="1714100.120"/>
    <s v="פיקוח וטרינרי - שעות נוספות"/>
    <m/>
    <m/>
    <n v="106700"/>
    <n v="106700"/>
    <n v="112000"/>
    <e v="#N/A"/>
    <x v="7"/>
    <x v="1"/>
    <s v="71"/>
    <x v="3"/>
    <x v="101"/>
    <x v="5"/>
    <s v="7141"/>
    <s v="מינהל שרות וטרינרי"/>
    <m/>
    <s v="1"/>
    <x v="8"/>
    <s v="12"/>
    <s v="תוספות שאינן נכללות בשכר הקובע"/>
    <s v="120"/>
    <e v="#N/A"/>
  </r>
  <r>
    <n v="400"/>
    <n v="714100"/>
    <n v="1"/>
    <s v="1714100.400"/>
    <s v="פיקוח וטרינרי - אחזקה אספקה וציוד"/>
    <m/>
    <m/>
    <n v="5600"/>
    <n v="6100"/>
    <n v="5600"/>
    <e v="#N/A"/>
    <x v="7"/>
    <x v="1"/>
    <s v="71"/>
    <x v="3"/>
    <x v="101"/>
    <x v="5"/>
    <s v="7141"/>
    <s v="מינהל שרות וטרינרי"/>
    <m/>
    <s v="4"/>
    <x v="11"/>
    <s v="40"/>
    <e v="#N/A"/>
    <s v="400"/>
    <e v="#N/A"/>
  </r>
  <r>
    <n v="500"/>
    <n v="714100"/>
    <n v="1"/>
    <s v="1714100.500"/>
    <s v="פיקוח וטרינרי - תחבורה ודואר"/>
    <m/>
    <m/>
    <n v="72500"/>
    <n v="74400"/>
    <n v="76500"/>
    <m/>
    <x v="7"/>
    <x v="1"/>
    <s v="71"/>
    <x v="3"/>
    <x v="101"/>
    <x v="5"/>
    <s v="7141"/>
    <s v="מינהל שרות וטרינרי"/>
    <m/>
    <s v="5"/>
    <x v="12"/>
    <s v="50"/>
    <e v="#N/A"/>
    <s v="500"/>
    <e v="#N/A"/>
  </r>
  <r>
    <n v="500"/>
    <n v="714100"/>
    <n v="1"/>
    <s v="1714100.500"/>
    <s v="פיקוח וטרינרי - הוצאות כלליות"/>
    <m/>
    <m/>
    <n v="400"/>
    <n v="400"/>
    <n v="200"/>
    <e v="#N/A"/>
    <x v="7"/>
    <x v="1"/>
    <s v="71"/>
    <x v="3"/>
    <x v="101"/>
    <x v="5"/>
    <s v="7141"/>
    <s v="מינהל שרות וטרינרי"/>
    <m/>
    <s v="5"/>
    <x v="12"/>
    <s v="50"/>
    <e v="#N/A"/>
    <s v="500"/>
    <e v="#N/A"/>
  </r>
  <r>
    <n v="700"/>
    <n v="714100"/>
    <n v="1"/>
    <s v="1714100.700"/>
    <s v="פיקוח וטרינרי - הוצאות לפעולות"/>
    <m/>
    <m/>
    <n v="2000"/>
    <n v="2000"/>
    <n v="0"/>
    <e v="#N/A"/>
    <x v="7"/>
    <x v="1"/>
    <s v="71"/>
    <x v="3"/>
    <x v="101"/>
    <x v="5"/>
    <s v="7141"/>
    <s v="מינהל שרות וטרינרי"/>
    <m/>
    <s v="7"/>
    <x v="9"/>
    <s v="70"/>
    <e v="#N/A"/>
    <s v="700"/>
    <e v="#N/A"/>
  </r>
  <r>
    <n v="700"/>
    <n v="714105"/>
    <n v="1"/>
    <s v="1714105.700"/>
    <s v="משתלם שרות וטרינרי - הוצאות לפעולות"/>
    <m/>
    <m/>
    <n v="532500"/>
    <n v="532500"/>
    <n v="420000"/>
    <e v="#N/A"/>
    <x v="7"/>
    <x v="1"/>
    <s v="71"/>
    <x v="3"/>
    <x v="101"/>
    <x v="5"/>
    <s v="7141"/>
    <s v="מינהל שרות וטרינרי"/>
    <m/>
    <s v="7"/>
    <x v="9"/>
    <s v="70"/>
    <e v="#N/A"/>
    <s v="700"/>
    <e v="#N/A"/>
  </r>
  <r>
    <n v="100"/>
    <n v="715000"/>
    <n v="1"/>
    <s v="1715000.100"/>
    <s v="שרותים מונעים - שכר לעובדים קבועים"/>
    <m/>
    <m/>
    <n v="3415400"/>
    <n v="3375400"/>
    <n v="3240900"/>
    <m/>
    <x v="7"/>
    <x v="1"/>
    <s v="71"/>
    <x v="3"/>
    <x v="102"/>
    <x v="70"/>
    <s v="7150"/>
    <e v="#N/A"/>
    <m/>
    <s v="1"/>
    <x v="8"/>
    <s v="10"/>
    <e v="#N/A"/>
    <s v="100"/>
    <e v="#N/A"/>
  </r>
  <r>
    <n v="120"/>
    <n v="715000"/>
    <n v="1"/>
    <s v="1715000.120"/>
    <s v="שרותים מונעים - שעות נוספות"/>
    <m/>
    <m/>
    <n v="251600"/>
    <n v="251600"/>
    <n v="201500"/>
    <m/>
    <x v="7"/>
    <x v="1"/>
    <s v="71"/>
    <x v="3"/>
    <x v="102"/>
    <x v="70"/>
    <s v="7150"/>
    <e v="#N/A"/>
    <m/>
    <s v="1"/>
    <x v="8"/>
    <s v="12"/>
    <s v="תוספות שאינן נכללות בשכר הקובע"/>
    <s v="120"/>
    <e v="#N/A"/>
  </r>
  <r>
    <n v="400"/>
    <n v="715000"/>
    <n v="1"/>
    <s v="1715000.400"/>
    <s v="שרותים מונעים - אחזקה אספקה וציוד"/>
    <m/>
    <m/>
    <n v="116400"/>
    <n v="121400"/>
    <n v="110000"/>
    <m/>
    <x v="7"/>
    <x v="1"/>
    <s v="71"/>
    <x v="3"/>
    <x v="102"/>
    <x v="70"/>
    <s v="7150"/>
    <e v="#N/A"/>
    <m/>
    <s v="4"/>
    <x v="11"/>
    <s v="40"/>
    <e v="#N/A"/>
    <s v="400"/>
    <e v="#N/A"/>
  </r>
  <r>
    <n v="500"/>
    <n v="715000"/>
    <n v="1"/>
    <s v="1715000.500"/>
    <s v="שרותים מונעים - תחבורה ודואר"/>
    <m/>
    <m/>
    <n v="10000"/>
    <n v="12000"/>
    <n v="4700"/>
    <m/>
    <x v="7"/>
    <x v="1"/>
    <s v="71"/>
    <x v="3"/>
    <x v="102"/>
    <x v="70"/>
    <s v="7150"/>
    <e v="#N/A"/>
    <m/>
    <s v="5"/>
    <x v="12"/>
    <s v="50"/>
    <e v="#N/A"/>
    <s v="500"/>
    <e v="#N/A"/>
  </r>
  <r>
    <n v="500"/>
    <n v="715000"/>
    <n v="1"/>
    <s v="1715000.500"/>
    <s v="שרותים מונעים - הוצאות כלליות"/>
    <m/>
    <m/>
    <n v="6000"/>
    <n v="7000"/>
    <n v="3100"/>
    <m/>
    <x v="7"/>
    <x v="1"/>
    <s v="71"/>
    <x v="3"/>
    <x v="102"/>
    <x v="70"/>
    <s v="7150"/>
    <e v="#N/A"/>
    <m/>
    <s v="5"/>
    <x v="12"/>
    <s v="50"/>
    <e v="#N/A"/>
    <s v="500"/>
    <e v="#N/A"/>
  </r>
  <r>
    <n v="700"/>
    <n v="715000"/>
    <n v="1"/>
    <s v="1715000.700"/>
    <s v="שרותים מונעים - הוצאות לפעולות"/>
    <m/>
    <m/>
    <n v="705500"/>
    <n v="723800"/>
    <n v="800300"/>
    <e v="#N/A"/>
    <x v="7"/>
    <x v="1"/>
    <s v="71"/>
    <x v="3"/>
    <x v="102"/>
    <x v="70"/>
    <s v="7150"/>
    <e v="#N/A"/>
    <m/>
    <s v="7"/>
    <x v="9"/>
    <s v="70"/>
    <e v="#N/A"/>
    <s v="700"/>
    <e v="#N/A"/>
  </r>
  <r>
    <n v="800"/>
    <n v="715000"/>
    <n v="1"/>
    <s v="1715000.800"/>
    <s v="שרותים מונעים - השתתפויות תמיכות ותרומות"/>
    <m/>
    <m/>
    <n v="58000"/>
    <n v="58000"/>
    <n v="0"/>
    <e v="#N/A"/>
    <x v="7"/>
    <x v="1"/>
    <s v="71"/>
    <x v="3"/>
    <x v="102"/>
    <x v="70"/>
    <s v="7150"/>
    <e v="#N/A"/>
    <m/>
    <s v="8"/>
    <x v="13"/>
    <s v="80"/>
    <e v="#N/A"/>
    <s v="800"/>
    <e v="#N/A"/>
  </r>
  <r>
    <n v="100"/>
    <n v="712000"/>
    <n v="1"/>
    <s v="1712000.100"/>
    <s v="מחלקת הנקיון - שכר לעובדים קבועים"/>
    <m/>
    <m/>
    <n v="51675000"/>
    <n v="51073000"/>
    <n v="50901600"/>
    <e v="#N/A"/>
    <x v="7"/>
    <x v="1"/>
    <s v="71"/>
    <x v="3"/>
    <x v="103"/>
    <x v="3"/>
    <s v="7120"/>
    <e v="#N/A"/>
    <m/>
    <s v="1"/>
    <x v="8"/>
    <s v="10"/>
    <e v="#N/A"/>
    <s v="100"/>
    <e v="#N/A"/>
  </r>
  <r>
    <n v="120"/>
    <n v="712000"/>
    <n v="1"/>
    <s v="1712000.120"/>
    <s v="מחלקת הנקיון - שעות נוספות"/>
    <m/>
    <m/>
    <n v="3256000"/>
    <n v="3256000"/>
    <n v="3316200"/>
    <e v="#N/A"/>
    <x v="7"/>
    <x v="1"/>
    <s v="71"/>
    <x v="3"/>
    <x v="103"/>
    <x v="3"/>
    <s v="7120"/>
    <e v="#N/A"/>
    <m/>
    <s v="1"/>
    <x v="8"/>
    <s v="12"/>
    <s v="תוספות שאינן נכללות בשכר הקובע"/>
    <s v="120"/>
    <e v="#N/A"/>
  </r>
  <r>
    <n v="400"/>
    <n v="712000"/>
    <n v="1"/>
    <s v="1712000.400"/>
    <s v="מחלקת הנקיון - אחזקה אספקה וציוד"/>
    <m/>
    <m/>
    <n v="1511700"/>
    <n v="1558500"/>
    <n v="1409800"/>
    <e v="#N/A"/>
    <x v="7"/>
    <x v="1"/>
    <s v="71"/>
    <x v="3"/>
    <x v="103"/>
    <x v="3"/>
    <s v="7120"/>
    <e v="#N/A"/>
    <m/>
    <s v="4"/>
    <x v="11"/>
    <s v="40"/>
    <e v="#N/A"/>
    <s v="400"/>
    <e v="#N/A"/>
  </r>
  <r>
    <n v="500"/>
    <n v="712000"/>
    <n v="1"/>
    <s v="1712000.500"/>
    <s v="מחלקת הנקיון - תחבורה ודואר"/>
    <m/>
    <m/>
    <n v="457600"/>
    <n v="469700"/>
    <n v="391300"/>
    <e v="#N/A"/>
    <x v="7"/>
    <x v="1"/>
    <s v="71"/>
    <x v="3"/>
    <x v="103"/>
    <x v="3"/>
    <s v="7120"/>
    <e v="#N/A"/>
    <m/>
    <s v="5"/>
    <x v="12"/>
    <s v="50"/>
    <e v="#N/A"/>
    <s v="500"/>
    <e v="#N/A"/>
  </r>
  <r>
    <n v="500"/>
    <n v="712000"/>
    <n v="1"/>
    <s v="1712000.500"/>
    <s v="מחלקת הנקיון - הוצאות כלליות"/>
    <m/>
    <m/>
    <n v="7100"/>
    <n v="7400"/>
    <n v="4000"/>
    <e v="#N/A"/>
    <x v="7"/>
    <x v="1"/>
    <s v="71"/>
    <x v="3"/>
    <x v="103"/>
    <x v="3"/>
    <s v="7120"/>
    <e v="#N/A"/>
    <m/>
    <s v="5"/>
    <x v="12"/>
    <s v="50"/>
    <e v="#N/A"/>
    <s v="500"/>
    <e v="#N/A"/>
  </r>
  <r>
    <n v="700"/>
    <n v="712000"/>
    <n v="1"/>
    <s v="1712000.700"/>
    <s v="מחלקת הנקיון - הוצאות לפעולות"/>
    <m/>
    <m/>
    <n v="652100"/>
    <n v="670200"/>
    <n v="521800"/>
    <e v="#N/A"/>
    <x v="7"/>
    <x v="1"/>
    <s v="71"/>
    <x v="3"/>
    <x v="103"/>
    <x v="3"/>
    <s v="7120"/>
    <e v="#N/A"/>
    <m/>
    <s v="7"/>
    <x v="9"/>
    <s v="70"/>
    <e v="#N/A"/>
    <s v="700"/>
    <e v="#N/A"/>
  </r>
  <r>
    <n v="100"/>
    <n v="712740"/>
    <n v="1"/>
    <s v="1712740.100"/>
    <s v="המח' לניהול פסולת ומיחזור - שכר לעובדים קבועים"/>
    <m/>
    <m/>
    <n v="2756000"/>
    <n v="2327000"/>
    <n v="0"/>
    <e v="#N/A"/>
    <x v="7"/>
    <x v="1"/>
    <s v="71"/>
    <x v="3"/>
    <x v="103"/>
    <x v="3"/>
    <s v="7127"/>
    <e v="#N/A"/>
    <m/>
    <s v="1"/>
    <x v="8"/>
    <s v="10"/>
    <e v="#N/A"/>
    <s v="100"/>
    <e v="#N/A"/>
  </r>
  <r>
    <n v="120"/>
    <n v="712740"/>
    <n v="1"/>
    <s v="1712740.120"/>
    <s v="המח' לניהול פסולת ומיחזור - שעות נוספות"/>
    <m/>
    <m/>
    <n v="256000"/>
    <n v="256000"/>
    <n v="0"/>
    <e v="#N/A"/>
    <x v="7"/>
    <x v="1"/>
    <s v="71"/>
    <x v="3"/>
    <x v="103"/>
    <x v="3"/>
    <s v="7127"/>
    <e v="#N/A"/>
    <m/>
    <s v="1"/>
    <x v="8"/>
    <s v="12"/>
    <s v="תוספות שאינן נכללות בשכר הקובע"/>
    <s v="120"/>
    <e v="#N/A"/>
  </r>
  <r>
    <n v="700"/>
    <n v="712305"/>
    <n v="1"/>
    <s v="1712305.700"/>
    <s v="משתלם מכירת עגלות - הוצאות לפעולות"/>
    <m/>
    <m/>
    <n v="50000"/>
    <n v="50000"/>
    <n v="71800"/>
    <e v="#N/A"/>
    <x v="7"/>
    <x v="1"/>
    <s v="71"/>
    <x v="3"/>
    <x v="103"/>
    <x v="3"/>
    <s v="7123"/>
    <s v="אסוף ובעור אשפה"/>
    <m/>
    <s v="7"/>
    <x v="9"/>
    <s v="70"/>
    <e v="#N/A"/>
    <s v="700"/>
    <e v="#N/A"/>
  </r>
  <r>
    <n v="100"/>
    <n v="712710"/>
    <n v="1"/>
    <s v="1712710.100"/>
    <s v="הנהלת אגף התברואה - שכר לעובדים קבועים"/>
    <m/>
    <m/>
    <n v="3772100"/>
    <n v="3720100"/>
    <n v="3674800"/>
    <e v="#N/A"/>
    <x v="7"/>
    <x v="1"/>
    <s v="71"/>
    <x v="3"/>
    <x v="103"/>
    <x v="3"/>
    <s v="7127"/>
    <e v="#N/A"/>
    <m/>
    <s v="1"/>
    <x v="8"/>
    <s v="10"/>
    <e v="#N/A"/>
    <s v="100"/>
    <e v="#N/A"/>
  </r>
  <r>
    <n v="120"/>
    <n v="712710"/>
    <n v="1"/>
    <s v="1712710.120"/>
    <s v="הנהלת אגף התברואה - שעות נוספות"/>
    <m/>
    <m/>
    <n v="192900"/>
    <n v="192900"/>
    <n v="265000"/>
    <e v="#N/A"/>
    <x v="7"/>
    <x v="1"/>
    <s v="71"/>
    <x v="3"/>
    <x v="103"/>
    <x v="3"/>
    <s v="7127"/>
    <e v="#N/A"/>
    <m/>
    <s v="1"/>
    <x v="8"/>
    <s v="12"/>
    <s v="תוספות שאינן נכללות בשכר הקובע"/>
    <s v="120"/>
    <e v="#N/A"/>
  </r>
  <r>
    <n v="100"/>
    <n v="712720"/>
    <n v="1"/>
    <s v="1712720.100"/>
    <s v="תברואה תובלה - שכר לעובדים קבועים"/>
    <m/>
    <m/>
    <n v="19606500"/>
    <n v="19375500"/>
    <n v="18787200"/>
    <e v="#N/A"/>
    <x v="7"/>
    <x v="1"/>
    <s v="71"/>
    <x v="3"/>
    <x v="103"/>
    <x v="3"/>
    <s v="7127"/>
    <e v="#N/A"/>
    <m/>
    <s v="1"/>
    <x v="8"/>
    <s v="10"/>
    <e v="#N/A"/>
    <s v="100"/>
    <e v="#N/A"/>
  </r>
  <r>
    <n v="120"/>
    <n v="712720"/>
    <n v="1"/>
    <s v="1712720.120"/>
    <s v="תברואה תובלה - שעות נוספות"/>
    <m/>
    <m/>
    <n v="1479500"/>
    <n v="1479500"/>
    <n v="1539000"/>
    <e v="#N/A"/>
    <x v="7"/>
    <x v="1"/>
    <s v="71"/>
    <x v="3"/>
    <x v="103"/>
    <x v="3"/>
    <s v="7127"/>
    <e v="#N/A"/>
    <m/>
    <s v="1"/>
    <x v="8"/>
    <s v="12"/>
    <s v="תוספות שאינן נכללות בשכר הקובע"/>
    <s v="120"/>
    <e v="#N/A"/>
  </r>
  <r>
    <n v="400"/>
    <n v="712720"/>
    <n v="1"/>
    <s v="1712720.400"/>
    <s v="תברואה תובלה - אחזקה אספקה וציוד"/>
    <m/>
    <m/>
    <n v="168600"/>
    <n v="173800"/>
    <n v="164800"/>
    <e v="#N/A"/>
    <x v="7"/>
    <x v="1"/>
    <s v="71"/>
    <x v="3"/>
    <x v="103"/>
    <x v="3"/>
    <s v="7127"/>
    <e v="#N/A"/>
    <m/>
    <s v="4"/>
    <x v="11"/>
    <s v="40"/>
    <e v="#N/A"/>
    <s v="400"/>
    <e v="#N/A"/>
  </r>
  <r>
    <n v="500"/>
    <n v="712720"/>
    <n v="1"/>
    <s v="1712720.500"/>
    <s v="תברואה תובלה - תחבורה ודואר"/>
    <m/>
    <m/>
    <n v="15276600"/>
    <n v="15749100"/>
    <n v="15037100"/>
    <e v="#N/A"/>
    <x v="7"/>
    <x v="1"/>
    <s v="71"/>
    <x v="3"/>
    <x v="103"/>
    <x v="3"/>
    <s v="7127"/>
    <e v="#N/A"/>
    <m/>
    <s v="5"/>
    <x v="12"/>
    <s v="50"/>
    <e v="#N/A"/>
    <s v="500"/>
    <e v="#N/A"/>
  </r>
  <r>
    <n v="500"/>
    <n v="712720"/>
    <n v="1"/>
    <s v="1712720.500"/>
    <s v="תברואה תובלה - הוצאות כלליות"/>
    <m/>
    <m/>
    <n v="8300"/>
    <n v="8600"/>
    <n v="5200"/>
    <e v="#N/A"/>
    <x v="7"/>
    <x v="1"/>
    <s v="71"/>
    <x v="3"/>
    <x v="103"/>
    <x v="3"/>
    <s v="7127"/>
    <e v="#N/A"/>
    <m/>
    <s v="5"/>
    <x v="12"/>
    <s v="50"/>
    <e v="#N/A"/>
    <s v="500"/>
    <e v="#N/A"/>
  </r>
  <r>
    <n v="700"/>
    <n v="712720"/>
    <n v="1"/>
    <s v="1712720.700"/>
    <s v="תברואה תובלה - הוצאות לפעולות"/>
    <m/>
    <m/>
    <n v="12734900"/>
    <n v="13085600"/>
    <n v="12389000"/>
    <e v="#N/A"/>
    <x v="7"/>
    <x v="1"/>
    <s v="71"/>
    <x v="3"/>
    <x v="103"/>
    <x v="3"/>
    <s v="7127"/>
    <e v="#N/A"/>
    <m/>
    <s v="7"/>
    <x v="9"/>
    <s v="70"/>
    <e v="#N/A"/>
    <s v="700"/>
    <e v="#N/A"/>
  </r>
  <r>
    <n v="100"/>
    <n v="712730"/>
    <n v="1"/>
    <s v="1712730.100"/>
    <s v="מוסך - שכר לעובדים קבועים"/>
    <m/>
    <m/>
    <n v="4010600"/>
    <n v="3972600"/>
    <n v="3916500"/>
    <m/>
    <x v="7"/>
    <x v="1"/>
    <s v="71"/>
    <x v="3"/>
    <x v="103"/>
    <x v="3"/>
    <s v="7127"/>
    <e v="#N/A"/>
    <m/>
    <s v="1"/>
    <x v="8"/>
    <s v="10"/>
    <e v="#N/A"/>
    <s v="100"/>
    <e v="#N/A"/>
  </r>
  <r>
    <n v="120"/>
    <n v="712730"/>
    <n v="1"/>
    <s v="1712730.120"/>
    <s v="מוסך - שעות נוספות"/>
    <m/>
    <m/>
    <n v="314400"/>
    <n v="314400"/>
    <n v="286800"/>
    <e v="#N/A"/>
    <x v="7"/>
    <x v="1"/>
    <s v="71"/>
    <x v="3"/>
    <x v="103"/>
    <x v="3"/>
    <s v="7127"/>
    <e v="#N/A"/>
    <m/>
    <s v="1"/>
    <x v="8"/>
    <s v="12"/>
    <s v="תוספות שאינן נכללות בשכר הקובע"/>
    <s v="120"/>
    <e v="#N/A"/>
  </r>
  <r>
    <n v="400"/>
    <n v="712730"/>
    <n v="1"/>
    <s v="1712730.400"/>
    <s v="מוסך - אחזקה אספקה וציוד"/>
    <m/>
    <m/>
    <n v="121800"/>
    <n v="124300"/>
    <n v="153400"/>
    <e v="#N/A"/>
    <x v="7"/>
    <x v="1"/>
    <s v="71"/>
    <x v="3"/>
    <x v="103"/>
    <x v="3"/>
    <s v="7127"/>
    <e v="#N/A"/>
    <m/>
    <s v="4"/>
    <x v="11"/>
    <s v="40"/>
    <e v="#N/A"/>
    <s v="400"/>
    <e v="#N/A"/>
  </r>
  <r>
    <n v="700"/>
    <n v="712730"/>
    <n v="1"/>
    <s v="1712730.700"/>
    <s v="מוסך - הוצאות לפעולות"/>
    <m/>
    <m/>
    <n v="66400"/>
    <n v="69400"/>
    <n v="52200"/>
    <e v="#N/A"/>
    <x v="7"/>
    <x v="1"/>
    <s v="71"/>
    <x v="3"/>
    <x v="103"/>
    <x v="3"/>
    <s v="7127"/>
    <e v="#N/A"/>
    <m/>
    <s v="7"/>
    <x v="9"/>
    <s v="70"/>
    <e v="#N/A"/>
    <s v="700"/>
    <e v="#N/A"/>
  </r>
  <r>
    <n v="100"/>
    <n v="742100"/>
    <n v="1"/>
    <s v="1742100.100"/>
    <s v="הנהלת האגף - שכר לעובדים קבועים"/>
    <m/>
    <m/>
    <n v="3810000"/>
    <n v="3767000"/>
    <n v="3338800"/>
    <e v="#N/A"/>
    <x v="7"/>
    <x v="1"/>
    <s v="74"/>
    <x v="6"/>
    <x v="104"/>
    <x v="11"/>
    <s v="7421"/>
    <s v="אחזקת כבישים עורקים"/>
    <m/>
    <s v="1"/>
    <x v="8"/>
    <s v="10"/>
    <e v="#N/A"/>
    <s v="100"/>
    <e v="#N/A"/>
  </r>
  <r>
    <n v="120"/>
    <n v="742100"/>
    <n v="1"/>
    <s v="1742100.120"/>
    <s v="הנהלת האגף - שעות נוספות"/>
    <m/>
    <m/>
    <n v="127000"/>
    <n v="127000"/>
    <n v="100100"/>
    <e v="#N/A"/>
    <x v="7"/>
    <x v="1"/>
    <s v="74"/>
    <x v="6"/>
    <x v="104"/>
    <x v="11"/>
    <s v="7421"/>
    <s v="אחזקת כבישים עורקים"/>
    <m/>
    <s v="1"/>
    <x v="8"/>
    <s v="12"/>
    <s v="תוספות שאינן נכללות בשכר הקובע"/>
    <s v="120"/>
    <e v="#N/A"/>
  </r>
  <r>
    <n v="400"/>
    <n v="742100"/>
    <n v="1"/>
    <s v="1742100.400"/>
    <s v="הנהלת האגף - אחזקה אספקה וציוד"/>
    <m/>
    <m/>
    <n v="29000"/>
    <n v="31000"/>
    <n v="31200"/>
    <e v="#N/A"/>
    <x v="7"/>
    <x v="1"/>
    <s v="74"/>
    <x v="6"/>
    <x v="104"/>
    <x v="11"/>
    <s v="7421"/>
    <s v="אחזקת כבישים עורקים"/>
    <m/>
    <s v="4"/>
    <x v="11"/>
    <s v="40"/>
    <e v="#N/A"/>
    <s v="400"/>
    <e v="#N/A"/>
  </r>
  <r>
    <n v="500"/>
    <n v="742100"/>
    <n v="1"/>
    <s v="1742100.500"/>
    <s v="הנהלת האגף - תחבורה ודואר"/>
    <m/>
    <m/>
    <n v="71900"/>
    <n v="73600"/>
    <n v="70200"/>
    <e v="#N/A"/>
    <x v="7"/>
    <x v="1"/>
    <s v="74"/>
    <x v="6"/>
    <x v="104"/>
    <x v="11"/>
    <s v="7421"/>
    <s v="אחזקת כבישים עורקים"/>
    <m/>
    <s v="5"/>
    <x v="12"/>
    <s v="50"/>
    <e v="#N/A"/>
    <s v="500"/>
    <e v="#N/A"/>
  </r>
  <r>
    <n v="500"/>
    <n v="742100"/>
    <n v="1"/>
    <s v="1742100.500"/>
    <s v="הנהלת האגף - הוצאות כלליות"/>
    <m/>
    <m/>
    <n v="12000"/>
    <n v="12000"/>
    <n v="7500"/>
    <e v="#N/A"/>
    <x v="7"/>
    <x v="1"/>
    <s v="74"/>
    <x v="6"/>
    <x v="104"/>
    <x v="11"/>
    <s v="7421"/>
    <s v="אחזקת כבישים עורקים"/>
    <m/>
    <s v="5"/>
    <x v="12"/>
    <s v="50"/>
    <e v="#N/A"/>
    <s v="500"/>
    <e v="#N/A"/>
  </r>
  <r>
    <n v="700"/>
    <n v="742100"/>
    <n v="1"/>
    <s v="1742100.700"/>
    <s v="הנהלת האגף - הוצאות לפעולות"/>
    <m/>
    <m/>
    <n v="11500"/>
    <n v="11500"/>
    <n v="11100"/>
    <e v="#N/A"/>
    <x v="7"/>
    <x v="1"/>
    <s v="74"/>
    <x v="6"/>
    <x v="104"/>
    <x v="11"/>
    <s v="7421"/>
    <s v="אחזקת כבישים עורקים"/>
    <m/>
    <s v="7"/>
    <x v="9"/>
    <s v="70"/>
    <e v="#N/A"/>
    <s v="700"/>
    <e v="#N/A"/>
  </r>
  <r>
    <n v="100"/>
    <n v="742200"/>
    <n v="1"/>
    <s v="1742200.100"/>
    <s v="מחלקת דרכים - שכר לעובדים קבועים"/>
    <m/>
    <m/>
    <n v="9130600"/>
    <n v="9022600"/>
    <n v="8686500"/>
    <e v="#N/A"/>
    <x v="7"/>
    <x v="1"/>
    <s v="74"/>
    <x v="6"/>
    <x v="104"/>
    <x v="11"/>
    <s v="7422"/>
    <s v="אחזקת כבישים פנימיים ומדרכות"/>
    <m/>
    <s v="1"/>
    <x v="8"/>
    <s v="10"/>
    <e v="#N/A"/>
    <s v="100"/>
    <e v="#N/A"/>
  </r>
  <r>
    <n v="120"/>
    <n v="742200"/>
    <n v="1"/>
    <s v="1742200.120"/>
    <s v="מחלקת דרכים - שעות נוספות"/>
    <m/>
    <m/>
    <n v="680400"/>
    <n v="680400"/>
    <n v="425700"/>
    <e v="#N/A"/>
    <x v="7"/>
    <x v="1"/>
    <s v="74"/>
    <x v="6"/>
    <x v="104"/>
    <x v="11"/>
    <s v="7422"/>
    <s v="אחזקת כבישים פנימיים ומדרכות"/>
    <m/>
    <s v="1"/>
    <x v="8"/>
    <s v="12"/>
    <s v="תוספות שאינן נכללות בשכר הקובע"/>
    <s v="120"/>
    <e v="#N/A"/>
  </r>
  <r>
    <n v="400"/>
    <n v="742200"/>
    <n v="1"/>
    <s v="1742200.400"/>
    <s v="מחלקת דרכים - אחזקה אספקה וציוד"/>
    <m/>
    <m/>
    <n v="3000"/>
    <n v="3000"/>
    <n v="11900"/>
    <e v="#N/A"/>
    <x v="7"/>
    <x v="1"/>
    <s v="74"/>
    <x v="6"/>
    <x v="104"/>
    <x v="11"/>
    <s v="7422"/>
    <s v="אחזקת כבישים פנימיים ומדרכות"/>
    <m/>
    <s v="4"/>
    <x v="11"/>
    <s v="40"/>
    <e v="#N/A"/>
    <s v="400"/>
    <e v="#N/A"/>
  </r>
  <r>
    <n v="500"/>
    <n v="742200"/>
    <n v="1"/>
    <s v="1742200.500"/>
    <s v="מחלקת דרכים - תחבורה ודואר"/>
    <m/>
    <m/>
    <n v="83000"/>
    <n v="87000"/>
    <n v="78200"/>
    <e v="#N/A"/>
    <x v="7"/>
    <x v="1"/>
    <s v="74"/>
    <x v="6"/>
    <x v="104"/>
    <x v="11"/>
    <s v="7422"/>
    <s v="אחזקת כבישים פנימיים ומדרכות"/>
    <m/>
    <s v="5"/>
    <x v="12"/>
    <s v="50"/>
    <e v="#N/A"/>
    <s v="500"/>
    <e v="#N/A"/>
  </r>
  <r>
    <n v="700"/>
    <n v="742200"/>
    <n v="1"/>
    <s v="1742200.700"/>
    <s v="מחלקת דרכים - הוצאות לפעולות"/>
    <m/>
    <m/>
    <n v="212700"/>
    <n v="217500"/>
    <n v="243700"/>
    <e v="#N/A"/>
    <x v="7"/>
    <x v="1"/>
    <s v="74"/>
    <x v="6"/>
    <x v="104"/>
    <x v="11"/>
    <s v="7422"/>
    <s v="אחזקת כבישים פנימיים ומדרכות"/>
    <m/>
    <s v="7"/>
    <x v="9"/>
    <s v="70"/>
    <e v="#N/A"/>
    <s v="700"/>
    <e v="#N/A"/>
  </r>
  <r>
    <n v="100"/>
    <n v="743100"/>
    <n v="1"/>
    <s v="1743100.100"/>
    <s v="תאורה חשמל ואנרגיה - שכר לעובדים קבועים"/>
    <m/>
    <m/>
    <n v="3483400"/>
    <n v="3443400"/>
    <n v="3168600"/>
    <e v="#N/A"/>
    <x v="7"/>
    <x v="1"/>
    <s v="74"/>
    <x v="6"/>
    <x v="105"/>
    <x v="71"/>
    <s v="7431"/>
    <e v="#N/A"/>
    <m/>
    <s v="1"/>
    <x v="8"/>
    <s v="10"/>
    <e v="#N/A"/>
    <s v="100"/>
    <e v="#N/A"/>
  </r>
  <r>
    <n v="120"/>
    <n v="743100"/>
    <n v="1"/>
    <s v="1743100.120"/>
    <s v="תאורה חשמל ואנרגיה - שעות נוספות"/>
    <m/>
    <m/>
    <n v="167600"/>
    <n v="167600"/>
    <n v="157500"/>
    <n v="44168"/>
    <x v="7"/>
    <x v="1"/>
    <s v="74"/>
    <x v="6"/>
    <x v="105"/>
    <x v="71"/>
    <s v="7431"/>
    <e v="#N/A"/>
    <m/>
    <s v="1"/>
    <x v="8"/>
    <s v="12"/>
    <s v="תוספות שאינן נכללות בשכר הקובע"/>
    <s v="120"/>
    <e v="#N/A"/>
  </r>
  <r>
    <n v="400"/>
    <n v="743100"/>
    <n v="1"/>
    <s v="1743100.400"/>
    <s v="תאורה חשמל ואנרגיה - אחזקה אספקה וציוד"/>
    <m/>
    <m/>
    <n v="27000"/>
    <n v="27600"/>
    <n v="18700"/>
    <e v="#N/A"/>
    <x v="7"/>
    <x v="1"/>
    <s v="74"/>
    <x v="6"/>
    <x v="105"/>
    <x v="71"/>
    <s v="7431"/>
    <e v="#N/A"/>
    <m/>
    <s v="4"/>
    <x v="11"/>
    <s v="40"/>
    <e v="#N/A"/>
    <s v="400"/>
    <e v="#N/A"/>
  </r>
  <r>
    <n v="500"/>
    <n v="743100"/>
    <n v="1"/>
    <s v="1743100.500"/>
    <s v="תאורה חשמל ואנרגיה - תחבורה ודואר"/>
    <m/>
    <m/>
    <n v="75000"/>
    <n v="75900"/>
    <n v="70500"/>
    <e v="#N/A"/>
    <x v="7"/>
    <x v="1"/>
    <s v="74"/>
    <x v="6"/>
    <x v="105"/>
    <x v="71"/>
    <s v="7431"/>
    <e v="#N/A"/>
    <m/>
    <s v="5"/>
    <x v="12"/>
    <s v="50"/>
    <e v="#N/A"/>
    <s v="500"/>
    <e v="#N/A"/>
  </r>
  <r>
    <n v="500"/>
    <n v="743100"/>
    <n v="1"/>
    <s v="1743100.500"/>
    <s v="תאורה חשמל ואנרגיה - הוצאות כלליות"/>
    <m/>
    <m/>
    <n v="0"/>
    <n v="0"/>
    <n v="8100"/>
    <e v="#N/A"/>
    <x v="7"/>
    <x v="1"/>
    <s v="74"/>
    <x v="6"/>
    <x v="105"/>
    <x v="71"/>
    <s v="7431"/>
    <e v="#N/A"/>
    <m/>
    <s v="5"/>
    <x v="12"/>
    <s v="50"/>
    <e v="#N/A"/>
    <s v="500"/>
    <e v="#N/A"/>
  </r>
  <r>
    <n v="700"/>
    <n v="743100"/>
    <n v="1"/>
    <s v="1743100.700"/>
    <s v="תאורה חשמל ואנרגיה - הוצאות לפעולות"/>
    <m/>
    <m/>
    <n v="13849700"/>
    <n v="14258400"/>
    <n v="13675200"/>
    <e v="#N/A"/>
    <x v="7"/>
    <x v="1"/>
    <s v="74"/>
    <x v="6"/>
    <x v="105"/>
    <x v="71"/>
    <s v="7431"/>
    <e v="#N/A"/>
    <m/>
    <s v="7"/>
    <x v="9"/>
    <s v="70"/>
    <e v="#N/A"/>
    <s v="700"/>
    <e v="#N/A"/>
  </r>
  <r>
    <n v="100"/>
    <n v="743200"/>
    <n v="1"/>
    <s v="1743200.100"/>
    <s v="מרכז בקרה לרמזורים ותאורה - שכר לעובדים קבועים"/>
    <m/>
    <m/>
    <n v="2432900"/>
    <n v="2404900"/>
    <n v="2340800"/>
    <e v="#N/A"/>
    <x v="7"/>
    <x v="1"/>
    <s v="74"/>
    <x v="6"/>
    <x v="105"/>
    <x v="71"/>
    <s v="7432"/>
    <e v="#N/A"/>
    <m/>
    <s v="1"/>
    <x v="8"/>
    <s v="10"/>
    <e v="#N/A"/>
    <s v="100"/>
    <e v="#N/A"/>
  </r>
  <r>
    <n v="120"/>
    <n v="743200"/>
    <n v="1"/>
    <s v="1743200.120"/>
    <s v="מרכז בקרה לרמזורים ותאורה - שעות נוספות"/>
    <m/>
    <m/>
    <n v="145100"/>
    <n v="145100"/>
    <n v="172100"/>
    <e v="#N/A"/>
    <x v="7"/>
    <x v="1"/>
    <s v="74"/>
    <x v="6"/>
    <x v="105"/>
    <x v="71"/>
    <s v="7432"/>
    <e v="#N/A"/>
    <m/>
    <s v="1"/>
    <x v="8"/>
    <s v="12"/>
    <s v="תוספות שאינן נכללות בשכר הקובע"/>
    <s v="120"/>
    <e v="#N/A"/>
  </r>
  <r>
    <n v="400"/>
    <n v="743200"/>
    <n v="1"/>
    <s v="1743200.400"/>
    <s v="מרכז בקרה לרמזורים ותאורה - אחזקה אספקה וציוד"/>
    <m/>
    <m/>
    <n v="9000"/>
    <n v="9000"/>
    <n v="1700"/>
    <e v="#N/A"/>
    <x v="7"/>
    <x v="1"/>
    <s v="74"/>
    <x v="6"/>
    <x v="105"/>
    <x v="71"/>
    <s v="7432"/>
    <e v="#N/A"/>
    <m/>
    <s v="4"/>
    <x v="11"/>
    <s v="40"/>
    <e v="#N/A"/>
    <s v="400"/>
    <e v="#N/A"/>
  </r>
  <r>
    <n v="500"/>
    <n v="743200"/>
    <n v="1"/>
    <s v="1743200.500"/>
    <s v="מרכז בקרה לרמזורים ותאורה - תחבורה ודואר"/>
    <m/>
    <m/>
    <n v="70000"/>
    <n v="72000"/>
    <n v="43900"/>
    <e v="#N/A"/>
    <x v="7"/>
    <x v="1"/>
    <s v="74"/>
    <x v="6"/>
    <x v="105"/>
    <x v="71"/>
    <s v="7432"/>
    <e v="#N/A"/>
    <m/>
    <s v="5"/>
    <x v="12"/>
    <s v="50"/>
    <e v="#N/A"/>
    <s v="500"/>
    <e v="#N/A"/>
  </r>
  <r>
    <n v="700"/>
    <n v="743200"/>
    <n v="1"/>
    <s v="1743200.700"/>
    <s v="מרכז בקרה לרמזורים ותאורה - הוצאות לפעולות"/>
    <m/>
    <m/>
    <n v="3728900"/>
    <n v="3838900"/>
    <n v="2821600"/>
    <e v="#N/A"/>
    <x v="7"/>
    <x v="1"/>
    <s v="74"/>
    <x v="6"/>
    <x v="105"/>
    <x v="71"/>
    <s v="7432"/>
    <e v="#N/A"/>
    <m/>
    <s v="7"/>
    <x v="9"/>
    <s v="70"/>
    <e v="#N/A"/>
    <s v="700"/>
    <e v="#N/A"/>
  </r>
  <r>
    <n v="100"/>
    <n v="746200"/>
    <n v="1"/>
    <s v="1746200.100"/>
    <s v="גנים ונוף - שכר לעובדים קבועים"/>
    <m/>
    <m/>
    <n v="6952700"/>
    <n v="6873700"/>
    <n v="6514100"/>
    <e v="#N/A"/>
    <x v="7"/>
    <x v="1"/>
    <s v="74"/>
    <x v="6"/>
    <x v="106"/>
    <x v="14"/>
    <s v="7462"/>
    <s v="טיפוח פינות נוי"/>
    <m/>
    <s v="1"/>
    <x v="8"/>
    <s v="10"/>
    <e v="#N/A"/>
    <s v="100"/>
    <e v="#N/A"/>
  </r>
  <r>
    <n v="120"/>
    <n v="746200"/>
    <n v="1"/>
    <s v="1746200.120"/>
    <s v="גנים ונוף - שעות נוספות"/>
    <m/>
    <m/>
    <n v="274300"/>
    <n v="274300"/>
    <n v="240500"/>
    <e v="#N/A"/>
    <x v="7"/>
    <x v="1"/>
    <s v="74"/>
    <x v="6"/>
    <x v="106"/>
    <x v="14"/>
    <s v="7462"/>
    <s v="טיפוח פינות נוי"/>
    <m/>
    <s v="1"/>
    <x v="8"/>
    <s v="12"/>
    <s v="תוספות שאינן נכללות בשכר הקובע"/>
    <s v="120"/>
    <e v="#N/A"/>
  </r>
  <r>
    <n v="400"/>
    <n v="746200"/>
    <n v="1"/>
    <s v="1746200.400"/>
    <s v="גנים ונוף - אחזקה אספקה וציוד"/>
    <m/>
    <m/>
    <n v="55000"/>
    <n v="55000"/>
    <n v="82700"/>
    <e v="#N/A"/>
    <x v="7"/>
    <x v="1"/>
    <s v="74"/>
    <x v="6"/>
    <x v="106"/>
    <x v="14"/>
    <s v="7462"/>
    <s v="טיפוח פינות נוי"/>
    <m/>
    <s v="4"/>
    <x v="11"/>
    <s v="40"/>
    <e v="#N/A"/>
    <s v="400"/>
    <e v="#N/A"/>
  </r>
  <r>
    <n v="500"/>
    <n v="746200"/>
    <n v="1"/>
    <s v="1746200.500"/>
    <s v="גנים ונוף - תחבורה ודואר"/>
    <m/>
    <m/>
    <n v="46600"/>
    <n v="46600"/>
    <n v="47500"/>
    <e v="#N/A"/>
    <x v="7"/>
    <x v="1"/>
    <s v="74"/>
    <x v="6"/>
    <x v="106"/>
    <x v="14"/>
    <s v="7462"/>
    <s v="טיפוח פינות נוי"/>
    <m/>
    <s v="5"/>
    <x v="12"/>
    <s v="50"/>
    <e v="#N/A"/>
    <s v="500"/>
    <e v="#N/A"/>
  </r>
  <r>
    <n v="500"/>
    <n v="746200"/>
    <n v="1"/>
    <s v="1746200.500"/>
    <s v="גנים ונוף - הוצאות כלליות"/>
    <m/>
    <m/>
    <n v="10000"/>
    <n v="10000"/>
    <n v="6800"/>
    <e v="#N/A"/>
    <x v="7"/>
    <x v="1"/>
    <s v="74"/>
    <x v="6"/>
    <x v="106"/>
    <x v="14"/>
    <s v="7462"/>
    <s v="טיפוח פינות נוי"/>
    <m/>
    <s v="5"/>
    <x v="12"/>
    <s v="50"/>
    <e v="#N/A"/>
    <s v="500"/>
    <e v="#N/A"/>
  </r>
  <r>
    <n v="700"/>
    <n v="746200"/>
    <n v="1"/>
    <s v="1746200.700"/>
    <s v="גנים ונוף - הוצאות לפעולות"/>
    <m/>
    <m/>
    <n v="28602500"/>
    <n v="29446700"/>
    <n v="29894500"/>
    <e v="#N/A"/>
    <x v="7"/>
    <x v="1"/>
    <s v="74"/>
    <x v="6"/>
    <x v="106"/>
    <x v="14"/>
    <s v="7462"/>
    <s v="טיפוח פינות נוי"/>
    <m/>
    <s v="7"/>
    <x v="9"/>
    <s v="70"/>
    <e v="#N/A"/>
    <s v="700"/>
    <e v="#N/A"/>
  </r>
  <r>
    <n v="100"/>
    <n v="745000"/>
    <n v="1"/>
    <s v="1745000.100"/>
    <s v="ניקוז ומזרקות - שכר לעובדים קבועים"/>
    <m/>
    <m/>
    <n v="3838600"/>
    <n v="3793600"/>
    <n v="3828500"/>
    <e v="#N/A"/>
    <x v="7"/>
    <x v="1"/>
    <s v="74"/>
    <x v="6"/>
    <x v="107"/>
    <x v="13"/>
    <s v="7450"/>
    <e v="#N/A"/>
    <m/>
    <s v="1"/>
    <x v="8"/>
    <s v="10"/>
    <e v="#N/A"/>
    <s v="100"/>
    <e v="#N/A"/>
  </r>
  <r>
    <n v="120"/>
    <n v="745000"/>
    <n v="1"/>
    <s v="1745000.120"/>
    <s v="ניקוז ומזרקות - שעות נוספות"/>
    <m/>
    <m/>
    <n v="294400"/>
    <n v="294400"/>
    <n v="197700"/>
    <e v="#N/A"/>
    <x v="7"/>
    <x v="1"/>
    <s v="74"/>
    <x v="6"/>
    <x v="107"/>
    <x v="13"/>
    <s v="7450"/>
    <e v="#N/A"/>
    <m/>
    <s v="1"/>
    <x v="8"/>
    <s v="12"/>
    <s v="תוספות שאינן נכללות בשכר הקובע"/>
    <s v="120"/>
    <e v="#N/A"/>
  </r>
  <r>
    <n v="400"/>
    <n v="745000"/>
    <n v="1"/>
    <s v="1745000.400"/>
    <s v="ניקוז ומזרקות - אחזקה אספקה וציוד"/>
    <m/>
    <m/>
    <n v="129000"/>
    <n v="129000"/>
    <n v="144400"/>
    <e v="#N/A"/>
    <x v="7"/>
    <x v="1"/>
    <s v="74"/>
    <x v="6"/>
    <x v="107"/>
    <x v="13"/>
    <s v="7450"/>
    <e v="#N/A"/>
    <m/>
    <s v="4"/>
    <x v="11"/>
    <s v="40"/>
    <e v="#N/A"/>
    <s v="400"/>
    <e v="#N/A"/>
  </r>
  <r>
    <n v="500"/>
    <n v="745000"/>
    <n v="1"/>
    <s v="1745000.500"/>
    <s v="ניקוז ומזרקות - תחבורה ודואר"/>
    <m/>
    <m/>
    <n v="22400"/>
    <n v="22400"/>
    <n v="6100"/>
    <e v="#N/A"/>
    <x v="7"/>
    <x v="1"/>
    <s v="74"/>
    <x v="6"/>
    <x v="107"/>
    <x v="13"/>
    <s v="7450"/>
    <e v="#N/A"/>
    <m/>
    <s v="5"/>
    <x v="12"/>
    <s v="50"/>
    <e v="#N/A"/>
    <s v="500"/>
    <e v="#N/A"/>
  </r>
  <r>
    <n v="500"/>
    <n v="745000"/>
    <n v="1"/>
    <s v="1745000.500"/>
    <s v="ניקוז ומזרקות - הוצאות כלליות"/>
    <m/>
    <m/>
    <n v="2000"/>
    <n v="2000"/>
    <n v="1200"/>
    <e v="#N/A"/>
    <x v="7"/>
    <x v="1"/>
    <s v="74"/>
    <x v="6"/>
    <x v="107"/>
    <x v="13"/>
    <s v="7450"/>
    <e v="#N/A"/>
    <m/>
    <s v="5"/>
    <x v="12"/>
    <s v="50"/>
    <e v="#N/A"/>
    <s v="500"/>
    <e v="#N/A"/>
  </r>
  <r>
    <n v="700"/>
    <n v="745000"/>
    <n v="1"/>
    <s v="1745000.700"/>
    <s v="ניקוז ומזרקות - הוצאות לפעולות"/>
    <m/>
    <m/>
    <n v="53800"/>
    <n v="59900"/>
    <n v="68000"/>
    <e v="#N/A"/>
    <x v="7"/>
    <x v="1"/>
    <s v="74"/>
    <x v="6"/>
    <x v="107"/>
    <x v="13"/>
    <s v="7450"/>
    <e v="#N/A"/>
    <m/>
    <s v="7"/>
    <x v="9"/>
    <s v="70"/>
    <e v="#N/A"/>
    <s v="700"/>
    <e v="#N/A"/>
  </r>
  <r>
    <n v="100"/>
    <n v="747400"/>
    <n v="1"/>
    <s v="1747400.100"/>
    <s v="בית מרחץ עירוני - שכר לעובדים קבועים"/>
    <m/>
    <m/>
    <n v="1660300"/>
    <n v="1641300"/>
    <n v="1568000"/>
    <m/>
    <x v="7"/>
    <x v="1"/>
    <s v="74"/>
    <x v="6"/>
    <x v="108"/>
    <x v="15"/>
    <s v="7474"/>
    <s v="מרחצאות"/>
    <m/>
    <s v="1"/>
    <x v="8"/>
    <s v="10"/>
    <e v="#N/A"/>
    <s v="100"/>
    <e v="#N/A"/>
  </r>
  <r>
    <n v="120"/>
    <n v="747400"/>
    <n v="1"/>
    <s v="1747400.120"/>
    <s v="בית מרחץ עירוני - שעות נוספות"/>
    <m/>
    <m/>
    <n v="117700"/>
    <n v="117700"/>
    <n v="129100"/>
    <e v="#N/A"/>
    <x v="7"/>
    <x v="1"/>
    <s v="74"/>
    <x v="6"/>
    <x v="108"/>
    <x v="15"/>
    <s v="7474"/>
    <s v="מרחצאות"/>
    <m/>
    <s v="1"/>
    <x v="8"/>
    <s v="12"/>
    <s v="תוספות שאינן נכללות בשכר הקובע"/>
    <s v="120"/>
    <e v="#N/A"/>
  </r>
  <r>
    <n v="400"/>
    <n v="747400"/>
    <n v="1"/>
    <s v="1747400.400"/>
    <s v="בית מרחץ עירוני - אחזקה אספקה וציוד"/>
    <m/>
    <m/>
    <n v="198700"/>
    <n v="204700"/>
    <n v="228000"/>
    <e v="#N/A"/>
    <x v="7"/>
    <x v="1"/>
    <s v="74"/>
    <x v="6"/>
    <x v="108"/>
    <x v="15"/>
    <s v="7474"/>
    <s v="מרחצאות"/>
    <m/>
    <s v="4"/>
    <x v="11"/>
    <s v="40"/>
    <e v="#N/A"/>
    <s v="400"/>
    <e v="#N/A"/>
  </r>
  <r>
    <n v="500"/>
    <n v="747400"/>
    <n v="1"/>
    <s v="1747400.500"/>
    <s v="בית מרחץ עירוני - תחבורה ודואר"/>
    <m/>
    <m/>
    <n v="8800"/>
    <n v="9900"/>
    <n v="9000"/>
    <e v="#N/A"/>
    <x v="7"/>
    <x v="1"/>
    <s v="74"/>
    <x v="6"/>
    <x v="108"/>
    <x v="15"/>
    <s v="7474"/>
    <s v="מרחצאות"/>
    <m/>
    <s v="5"/>
    <x v="12"/>
    <s v="50"/>
    <e v="#N/A"/>
    <s v="500"/>
    <e v="#N/A"/>
  </r>
  <r>
    <n v="700"/>
    <n v="747400"/>
    <n v="1"/>
    <s v="1747400.700"/>
    <s v="בית מרחץ עירוני - הוצאות לפעולות"/>
    <m/>
    <m/>
    <n v="218400"/>
    <n v="223800"/>
    <n v="230900"/>
    <e v="#N/A"/>
    <x v="7"/>
    <x v="1"/>
    <s v="74"/>
    <x v="6"/>
    <x v="108"/>
    <x v="15"/>
    <s v="7474"/>
    <s v="מרחצאות"/>
    <m/>
    <s v="7"/>
    <x v="9"/>
    <s v="70"/>
    <e v="#N/A"/>
    <s v="700"/>
    <e v="#N/A"/>
  </r>
  <r>
    <n v="100"/>
    <n v="747200"/>
    <n v="1"/>
    <s v="1747200.100"/>
    <s v="חופים עירוניים - שכר לעובדים קבועים"/>
    <m/>
    <m/>
    <n v="16790100"/>
    <n v="16553100"/>
    <n v="15168400"/>
    <e v="#N/A"/>
    <x v="7"/>
    <x v="1"/>
    <s v="74"/>
    <x v="6"/>
    <x v="108"/>
    <x v="15"/>
    <s v="7472"/>
    <s v="חופי רחצה"/>
    <m/>
    <s v="1"/>
    <x v="8"/>
    <s v="10"/>
    <e v="#N/A"/>
    <s v="100"/>
    <e v="#N/A"/>
  </r>
  <r>
    <n v="120"/>
    <n v="747200"/>
    <n v="1"/>
    <s v="1747200.120"/>
    <s v="חופים עירוניים - שעות נוספות"/>
    <m/>
    <m/>
    <n v="4835900"/>
    <n v="4835900"/>
    <n v="4879900"/>
    <e v="#N/A"/>
    <x v="7"/>
    <x v="1"/>
    <s v="74"/>
    <x v="6"/>
    <x v="108"/>
    <x v="15"/>
    <s v="7472"/>
    <s v="חופי רחצה"/>
    <m/>
    <s v="1"/>
    <x v="8"/>
    <s v="12"/>
    <s v="תוספות שאינן נכללות בשכר הקובע"/>
    <s v="120"/>
    <e v="#N/A"/>
  </r>
  <r>
    <n v="400"/>
    <n v="747200"/>
    <n v="1"/>
    <s v="1747200.400"/>
    <s v="חופים עירוניים - אחזקה אספקה וציוד"/>
    <m/>
    <m/>
    <n v="4895900"/>
    <n v="5130000"/>
    <n v="5385900"/>
    <e v="#N/A"/>
    <x v="7"/>
    <x v="1"/>
    <s v="74"/>
    <x v="6"/>
    <x v="108"/>
    <x v="15"/>
    <s v="7472"/>
    <s v="חופי רחצה"/>
    <m/>
    <s v="4"/>
    <x v="11"/>
    <s v="40"/>
    <e v="#N/A"/>
    <s v="400"/>
    <e v="#N/A"/>
  </r>
  <r>
    <n v="500"/>
    <n v="747200"/>
    <n v="1"/>
    <s v="1747200.500"/>
    <s v="חופים עירוניים - תחבורה ודואר"/>
    <m/>
    <m/>
    <n v="152500"/>
    <n v="152500"/>
    <n v="146600"/>
    <e v="#N/A"/>
    <x v="7"/>
    <x v="1"/>
    <s v="74"/>
    <x v="6"/>
    <x v="108"/>
    <x v="15"/>
    <s v="7472"/>
    <s v="חופי רחצה"/>
    <m/>
    <s v="5"/>
    <x v="12"/>
    <s v="50"/>
    <e v="#N/A"/>
    <s v="500"/>
    <e v="#N/A"/>
  </r>
  <r>
    <n v="500"/>
    <n v="747200"/>
    <n v="1"/>
    <s v="1747200.500"/>
    <s v="חופים עירוניים - הוצאות כלליות"/>
    <m/>
    <m/>
    <n v="2800"/>
    <n v="2800"/>
    <n v="1500"/>
    <e v="#N/A"/>
    <x v="7"/>
    <x v="1"/>
    <s v="74"/>
    <x v="6"/>
    <x v="108"/>
    <x v="15"/>
    <s v="7472"/>
    <s v="חופי רחצה"/>
    <m/>
    <s v="5"/>
    <x v="12"/>
    <s v="50"/>
    <e v="#N/A"/>
    <s v="500"/>
    <e v="#N/A"/>
  </r>
  <r>
    <n v="700"/>
    <n v="747200"/>
    <n v="1"/>
    <s v="1747200.700"/>
    <s v="חופים עירוניים - הוצאות לפעולות"/>
    <m/>
    <m/>
    <n v="2912400"/>
    <n v="2912400"/>
    <n v="2789000"/>
    <e v="#N/A"/>
    <x v="7"/>
    <x v="1"/>
    <s v="74"/>
    <x v="6"/>
    <x v="108"/>
    <x v="15"/>
    <s v="7472"/>
    <s v="חופי רחצה"/>
    <m/>
    <s v="7"/>
    <x v="9"/>
    <s v="70"/>
    <e v="#N/A"/>
    <s v="700"/>
    <e v="#N/A"/>
  </r>
  <r>
    <n v="100"/>
    <n v="781000"/>
    <n v="1"/>
    <s v="1781000.100"/>
    <s v="אגף פיקוח כללי - שכר לעובדים קבועים"/>
    <m/>
    <m/>
    <n v="11638300"/>
    <n v="11202300"/>
    <n v="10613500"/>
    <e v="#N/A"/>
    <x v="7"/>
    <x v="1"/>
    <s v="78"/>
    <x v="7"/>
    <x v="109"/>
    <x v="16"/>
    <s v="7810"/>
    <e v="#N/A"/>
    <m/>
    <s v="1"/>
    <x v="8"/>
    <s v="10"/>
    <e v="#N/A"/>
    <s v="100"/>
    <e v="#N/A"/>
  </r>
  <r>
    <n v="120"/>
    <n v="781000"/>
    <n v="1"/>
    <s v="1781000.120"/>
    <s v="אגף פיקוח כללי - שעות נוספות"/>
    <m/>
    <m/>
    <n v="1033700"/>
    <n v="1033700"/>
    <n v="1055400"/>
    <n v="341981"/>
    <x v="7"/>
    <x v="1"/>
    <s v="78"/>
    <x v="7"/>
    <x v="109"/>
    <x v="16"/>
    <s v="7810"/>
    <e v="#N/A"/>
    <m/>
    <s v="1"/>
    <x v="8"/>
    <s v="12"/>
    <s v="תוספות שאינן נכללות בשכר הקובע"/>
    <s v="120"/>
    <e v="#N/A"/>
  </r>
  <r>
    <n v="400"/>
    <n v="781000"/>
    <n v="1"/>
    <s v="1781000.400"/>
    <s v="אגף פיקוח כללי - אחזקה אספקה וציוד"/>
    <m/>
    <m/>
    <n v="161300"/>
    <n v="161300"/>
    <n v="83900"/>
    <e v="#N/A"/>
    <x v="7"/>
    <x v="1"/>
    <s v="78"/>
    <x v="7"/>
    <x v="109"/>
    <x v="16"/>
    <s v="7810"/>
    <e v="#N/A"/>
    <m/>
    <s v="4"/>
    <x v="11"/>
    <s v="40"/>
    <e v="#N/A"/>
    <s v="400"/>
    <e v="#N/A"/>
  </r>
  <r>
    <n v="500"/>
    <n v="781000"/>
    <n v="1"/>
    <s v="1781000.500"/>
    <s v="אגף פיקוח כללי - תחבורה ודואר"/>
    <m/>
    <m/>
    <n v="427400"/>
    <n v="427400"/>
    <n v="368300"/>
    <e v="#N/A"/>
    <x v="7"/>
    <x v="1"/>
    <s v="78"/>
    <x v="7"/>
    <x v="109"/>
    <x v="16"/>
    <s v="7810"/>
    <e v="#N/A"/>
    <m/>
    <s v="5"/>
    <x v="12"/>
    <s v="50"/>
    <e v="#N/A"/>
    <s v="500"/>
    <e v="#N/A"/>
  </r>
  <r>
    <n v="500"/>
    <n v="781000"/>
    <n v="1"/>
    <s v="1781000.500"/>
    <s v="אגף פיקוח כללי - הוצאות כלליות"/>
    <m/>
    <m/>
    <n v="2000"/>
    <n v="2000"/>
    <n v="1200"/>
    <e v="#N/A"/>
    <x v="7"/>
    <x v="1"/>
    <s v="78"/>
    <x v="7"/>
    <x v="109"/>
    <x v="16"/>
    <s v="7810"/>
    <e v="#N/A"/>
    <m/>
    <s v="5"/>
    <x v="12"/>
    <s v="50"/>
    <e v="#N/A"/>
    <s v="500"/>
    <e v="#N/A"/>
  </r>
  <r>
    <n v="700"/>
    <n v="781000"/>
    <n v="1"/>
    <s v="1781000.700"/>
    <s v="אגף פיקוח כללי - הוצאות לפעולות"/>
    <m/>
    <m/>
    <n v="172500"/>
    <n v="194900"/>
    <n v="138300"/>
    <e v="#N/A"/>
    <x v="7"/>
    <x v="1"/>
    <s v="78"/>
    <x v="7"/>
    <x v="109"/>
    <x v="16"/>
    <s v="7810"/>
    <e v="#N/A"/>
    <m/>
    <s v="7"/>
    <x v="9"/>
    <s v="70"/>
    <e v="#N/A"/>
    <s v="700"/>
    <e v="#N/A"/>
  </r>
  <r>
    <n v="700"/>
    <n v="781005"/>
    <n v="1"/>
    <s v="1781005.700"/>
    <s v="משתלם מגרש גרוטאות - הוצאות לפעולות"/>
    <m/>
    <m/>
    <n v="20000"/>
    <n v="20000"/>
    <n v="9100"/>
    <e v="#N/A"/>
    <x v="7"/>
    <x v="1"/>
    <s v="78"/>
    <x v="7"/>
    <x v="109"/>
    <x v="16"/>
    <s v="7810"/>
    <e v="#N/A"/>
    <m/>
    <s v="7"/>
    <x v="9"/>
    <s v="70"/>
    <e v="#N/A"/>
    <s v="700"/>
    <e v="#N/A"/>
  </r>
  <r>
    <n v="100"/>
    <n v="781100"/>
    <n v="1"/>
    <s v="1781100.100"/>
    <s v="רשות חניה - שכר לעובדים קבועים"/>
    <m/>
    <m/>
    <n v="7999100"/>
    <n v="7903100"/>
    <n v="7425700"/>
    <e v="#N/A"/>
    <x v="7"/>
    <x v="1"/>
    <s v="78"/>
    <x v="7"/>
    <x v="109"/>
    <x v="16"/>
    <s v="7811"/>
    <e v="#N/A"/>
    <m/>
    <s v="1"/>
    <x v="8"/>
    <s v="10"/>
    <e v="#N/A"/>
    <s v="100"/>
    <e v="#N/A"/>
  </r>
  <r>
    <n v="120"/>
    <n v="781100"/>
    <n v="1"/>
    <s v="1781100.120"/>
    <s v="רשות חניה - שעות נוספות"/>
    <m/>
    <m/>
    <n v="749900"/>
    <n v="749900"/>
    <n v="782600"/>
    <e v="#N/A"/>
    <x v="7"/>
    <x v="1"/>
    <s v="78"/>
    <x v="7"/>
    <x v="109"/>
    <x v="16"/>
    <s v="7811"/>
    <e v="#N/A"/>
    <m/>
    <s v="1"/>
    <x v="8"/>
    <s v="12"/>
    <s v="תוספות שאינן נכללות בשכר הקובע"/>
    <s v="120"/>
    <e v="#N/A"/>
  </r>
  <r>
    <n v="400"/>
    <n v="781100"/>
    <n v="1"/>
    <s v="1781100.400"/>
    <s v="רשות חניה - אחזקה אספקה וציוד"/>
    <m/>
    <m/>
    <n v="262000"/>
    <n v="262000"/>
    <n v="162900"/>
    <e v="#N/A"/>
    <x v="7"/>
    <x v="1"/>
    <s v="78"/>
    <x v="7"/>
    <x v="109"/>
    <x v="16"/>
    <s v="7811"/>
    <e v="#N/A"/>
    <m/>
    <s v="4"/>
    <x v="11"/>
    <s v="40"/>
    <e v="#N/A"/>
    <s v="400"/>
    <e v="#N/A"/>
  </r>
  <r>
    <n v="500"/>
    <n v="781100"/>
    <n v="1"/>
    <s v="1781100.500"/>
    <s v="רשות חניה - תחבורה ודואר"/>
    <m/>
    <m/>
    <n v="982000"/>
    <n v="982000"/>
    <n v="1157700"/>
    <e v="#N/A"/>
    <x v="7"/>
    <x v="1"/>
    <s v="78"/>
    <x v="7"/>
    <x v="109"/>
    <x v="16"/>
    <s v="7811"/>
    <e v="#N/A"/>
    <m/>
    <s v="5"/>
    <x v="12"/>
    <s v="50"/>
    <e v="#N/A"/>
    <s v="500"/>
    <e v="#N/A"/>
  </r>
  <r>
    <n v="500"/>
    <n v="781100"/>
    <n v="1"/>
    <s v="1781100.500"/>
    <s v="רשות חניה - הוצאות כלליות"/>
    <m/>
    <m/>
    <n v="14000"/>
    <n v="14000"/>
    <n v="3700"/>
    <e v="#N/A"/>
    <x v="7"/>
    <x v="1"/>
    <s v="78"/>
    <x v="7"/>
    <x v="109"/>
    <x v="16"/>
    <s v="7811"/>
    <e v="#N/A"/>
    <m/>
    <s v="5"/>
    <x v="12"/>
    <s v="50"/>
    <e v="#N/A"/>
    <s v="500"/>
    <e v="#N/A"/>
  </r>
  <r>
    <n v="700"/>
    <n v="781100"/>
    <n v="1"/>
    <s v="1781100.700"/>
    <s v="רשות חניה - הוצאות לפעולות"/>
    <m/>
    <m/>
    <n v="1086100"/>
    <n v="1155000"/>
    <n v="1080400"/>
    <e v="#N/A"/>
    <x v="7"/>
    <x v="1"/>
    <s v="78"/>
    <x v="7"/>
    <x v="109"/>
    <x v="16"/>
    <s v="7811"/>
    <e v="#N/A"/>
    <m/>
    <s v="7"/>
    <x v="9"/>
    <s v="70"/>
    <e v="#N/A"/>
    <s v="700"/>
    <e v="#N/A"/>
  </r>
  <r>
    <n v="100"/>
    <n v="721000"/>
    <n v="1"/>
    <s v="1721000.100"/>
    <s v="מחלקת בטחון - שכר לעובדים קבועים"/>
    <m/>
    <m/>
    <n v="1104100"/>
    <n v="1092100"/>
    <n v="1109400"/>
    <e v="#N/A"/>
    <x v="7"/>
    <x v="1"/>
    <s v="72"/>
    <x v="4"/>
    <x v="110"/>
    <x v="72"/>
    <s v="7210"/>
    <e v="#N/A"/>
    <m/>
    <s v="1"/>
    <x v="8"/>
    <s v="10"/>
    <e v="#N/A"/>
    <s v="100"/>
    <e v="#N/A"/>
  </r>
  <r>
    <n v="120"/>
    <n v="721000"/>
    <n v="1"/>
    <s v="1721000.120"/>
    <s v="מחלקת בטחון - שעות נוספות"/>
    <m/>
    <m/>
    <n v="6900"/>
    <n v="6900"/>
    <n v="9400"/>
    <n v="112947"/>
    <x v="7"/>
    <x v="1"/>
    <s v="72"/>
    <x v="4"/>
    <x v="110"/>
    <x v="72"/>
    <s v="7210"/>
    <e v="#N/A"/>
    <m/>
    <s v="1"/>
    <x v="8"/>
    <s v="12"/>
    <s v="תוספות שאינן נכללות בשכר הקובע"/>
    <s v="120"/>
    <e v="#N/A"/>
  </r>
  <r>
    <n v="400"/>
    <n v="721000"/>
    <n v="1"/>
    <s v="1721000.400"/>
    <s v="מחלקת בטחון - אחזקה אספקה וציוד"/>
    <m/>
    <m/>
    <n v="154500"/>
    <n v="154500"/>
    <n v="173700"/>
    <e v="#N/A"/>
    <x v="7"/>
    <x v="1"/>
    <s v="72"/>
    <x v="4"/>
    <x v="110"/>
    <x v="72"/>
    <s v="7210"/>
    <e v="#N/A"/>
    <m/>
    <s v="4"/>
    <x v="11"/>
    <s v="40"/>
    <e v="#N/A"/>
    <s v="400"/>
    <e v="#N/A"/>
  </r>
  <r>
    <n v="500"/>
    <n v="721000"/>
    <n v="1"/>
    <s v="1721000.500"/>
    <s v="מחלקת בטחון - תחבורה ודואר"/>
    <m/>
    <m/>
    <n v="60500"/>
    <n v="64500"/>
    <n v="68100"/>
    <e v="#N/A"/>
    <x v="7"/>
    <x v="1"/>
    <s v="72"/>
    <x v="4"/>
    <x v="110"/>
    <x v="72"/>
    <s v="7210"/>
    <e v="#N/A"/>
    <m/>
    <s v="5"/>
    <x v="12"/>
    <s v="50"/>
    <e v="#N/A"/>
    <s v="500"/>
    <e v="#N/A"/>
  </r>
  <r>
    <n v="500"/>
    <n v="721000"/>
    <n v="1"/>
    <s v="1721000.500"/>
    <s v="מחלקת בטחון - הוצאות כלליות"/>
    <m/>
    <m/>
    <n v="3500"/>
    <n v="3500"/>
    <n v="2500"/>
    <e v="#N/A"/>
    <x v="7"/>
    <x v="1"/>
    <s v="72"/>
    <x v="4"/>
    <x v="110"/>
    <x v="72"/>
    <s v="7210"/>
    <e v="#N/A"/>
    <m/>
    <s v="5"/>
    <x v="12"/>
    <s v="50"/>
    <e v="#N/A"/>
    <s v="500"/>
    <e v="#N/A"/>
  </r>
  <r>
    <n v="700"/>
    <n v="721000"/>
    <n v="1"/>
    <s v="1721000.700"/>
    <s v="מחלקת בטחון - הוצאות לפעולות"/>
    <m/>
    <m/>
    <n v="35800"/>
    <n v="39300"/>
    <n v="33600"/>
    <e v="#N/A"/>
    <x v="7"/>
    <x v="1"/>
    <s v="72"/>
    <x v="4"/>
    <x v="110"/>
    <x v="72"/>
    <s v="7210"/>
    <e v="#N/A"/>
    <m/>
    <s v="7"/>
    <x v="9"/>
    <s v="70"/>
    <e v="#N/A"/>
    <s v="700"/>
    <e v="#N/A"/>
  </r>
  <r>
    <n v="100"/>
    <n v="722000"/>
    <n v="1"/>
    <s v="1722000.100"/>
    <s v="אבטחה בשכונות - שכר לעובדים קבועים"/>
    <m/>
    <m/>
    <n v="2790300"/>
    <n v="2755300"/>
    <n v="2473100"/>
    <e v="#N/A"/>
    <x v="7"/>
    <x v="1"/>
    <s v="72"/>
    <x v="4"/>
    <x v="111"/>
    <x v="6"/>
    <s v="7220"/>
    <e v="#N/A"/>
    <m/>
    <s v="1"/>
    <x v="8"/>
    <s v="10"/>
    <e v="#N/A"/>
    <s v="100"/>
    <e v="#N/A"/>
  </r>
  <r>
    <n v="120"/>
    <n v="722000"/>
    <n v="1"/>
    <s v="1722000.120"/>
    <s v="אבטחה בשכונות - שעות נוספות"/>
    <m/>
    <m/>
    <n v="445700"/>
    <n v="445700"/>
    <n v="567800"/>
    <e v="#N/A"/>
    <x v="7"/>
    <x v="1"/>
    <s v="72"/>
    <x v="4"/>
    <x v="111"/>
    <x v="6"/>
    <s v="7220"/>
    <e v="#N/A"/>
    <m/>
    <s v="1"/>
    <x v="8"/>
    <s v="12"/>
    <s v="תוספות שאינן נכללות בשכר הקובע"/>
    <s v="120"/>
    <e v="#N/A"/>
  </r>
  <r>
    <n v="700"/>
    <n v="722000"/>
    <n v="1"/>
    <s v="1722000.700"/>
    <s v="אבטחה בשכונות - הוצאות לפעולות"/>
    <m/>
    <m/>
    <n v="777200"/>
    <n v="800000"/>
    <n v="691400"/>
    <e v="#N/A"/>
    <x v="7"/>
    <x v="1"/>
    <s v="72"/>
    <x v="4"/>
    <x v="111"/>
    <x v="6"/>
    <s v="7220"/>
    <e v="#N/A"/>
    <m/>
    <s v="7"/>
    <x v="9"/>
    <s v="70"/>
    <e v="#N/A"/>
    <s v="700"/>
    <e v="#N/A"/>
  </r>
  <r>
    <n v="100"/>
    <n v="723000"/>
    <n v="1"/>
    <s v="1723000.100"/>
    <s v="הג&quot;א - שכר לעובדים קבועים"/>
    <m/>
    <m/>
    <n v="2362200"/>
    <n v="2335200"/>
    <n v="2810700"/>
    <m/>
    <x v="7"/>
    <x v="1"/>
    <s v="72"/>
    <x v="4"/>
    <x v="112"/>
    <x v="73"/>
    <s v="7230"/>
    <e v="#N/A"/>
    <m/>
    <s v="1"/>
    <x v="8"/>
    <s v="10"/>
    <e v="#N/A"/>
    <s v="100"/>
    <e v="#N/A"/>
  </r>
  <r>
    <n v="120"/>
    <n v="723000"/>
    <n v="1"/>
    <s v="1723000.120"/>
    <s v="הג&quot;א - שעות נוספות"/>
    <m/>
    <m/>
    <n v="120800"/>
    <n v="120800"/>
    <n v="124600"/>
    <e v="#N/A"/>
    <x v="7"/>
    <x v="1"/>
    <s v="72"/>
    <x v="4"/>
    <x v="112"/>
    <x v="73"/>
    <s v="7230"/>
    <e v="#N/A"/>
    <m/>
    <s v="1"/>
    <x v="8"/>
    <s v="12"/>
    <s v="תוספות שאינן נכללות בשכר הקובע"/>
    <s v="120"/>
    <e v="#N/A"/>
  </r>
  <r>
    <n v="400"/>
    <n v="723000"/>
    <n v="1"/>
    <s v="1723000.400"/>
    <s v="הג&quot;א - אחזקה אספקה וציוד"/>
    <m/>
    <m/>
    <n v="552300"/>
    <n v="562300"/>
    <n v="729500"/>
    <e v="#N/A"/>
    <x v="7"/>
    <x v="1"/>
    <s v="72"/>
    <x v="4"/>
    <x v="112"/>
    <x v="73"/>
    <s v="7230"/>
    <e v="#N/A"/>
    <m/>
    <s v="4"/>
    <x v="11"/>
    <s v="40"/>
    <e v="#N/A"/>
    <s v="400"/>
    <e v="#N/A"/>
  </r>
  <r>
    <n v="500"/>
    <n v="723000"/>
    <n v="1"/>
    <s v="1723000.500"/>
    <s v="הג&quot;א - תחבורה ודואר"/>
    <m/>
    <m/>
    <n v="20000"/>
    <n v="20000"/>
    <n v="15200"/>
    <e v="#N/A"/>
    <x v="7"/>
    <x v="1"/>
    <s v="72"/>
    <x v="4"/>
    <x v="112"/>
    <x v="73"/>
    <s v="7230"/>
    <e v="#N/A"/>
    <m/>
    <s v="5"/>
    <x v="12"/>
    <s v="50"/>
    <e v="#N/A"/>
    <s v="500"/>
    <e v="#N/A"/>
  </r>
  <r>
    <n v="500"/>
    <n v="723000"/>
    <n v="1"/>
    <s v="1723000.500"/>
    <s v="הג&quot;א - הוצאות כלליות"/>
    <m/>
    <m/>
    <n v="63300"/>
    <n v="68300"/>
    <n v="0"/>
    <e v="#N/A"/>
    <x v="7"/>
    <x v="1"/>
    <s v="72"/>
    <x v="4"/>
    <x v="112"/>
    <x v="73"/>
    <s v="7230"/>
    <e v="#N/A"/>
    <m/>
    <s v="5"/>
    <x v="12"/>
    <s v="50"/>
    <e v="#N/A"/>
    <s v="500"/>
    <e v="#N/A"/>
  </r>
  <r>
    <n v="700"/>
    <n v="723000"/>
    <n v="1"/>
    <s v="1723000.700"/>
    <s v="הג&quot;א - הוצאות לפעולות"/>
    <m/>
    <m/>
    <n v="27400"/>
    <n v="31900"/>
    <n v="12000"/>
    <e v="#N/A"/>
    <x v="7"/>
    <x v="1"/>
    <s v="72"/>
    <x v="4"/>
    <x v="112"/>
    <x v="73"/>
    <s v="7230"/>
    <e v="#N/A"/>
    <m/>
    <s v="7"/>
    <x v="9"/>
    <s v="70"/>
    <e v="#N/A"/>
    <s v="700"/>
    <e v="#N/A"/>
  </r>
  <r>
    <n v="800"/>
    <n v="723500"/>
    <n v="1"/>
    <s v="1723500.800"/>
    <s v="פעולות הג&quot;א ארציות - השתתפויות תמיכות ותרומות"/>
    <m/>
    <m/>
    <n v="1710700"/>
    <n v="1761000"/>
    <n v="1832800"/>
    <e v="#N/A"/>
    <x v="7"/>
    <x v="1"/>
    <s v="72"/>
    <x v="4"/>
    <x v="112"/>
    <x v="73"/>
    <s v="7235"/>
    <e v="#N/A"/>
    <m/>
    <s v="8"/>
    <x v="13"/>
    <s v="80"/>
    <e v="#N/A"/>
    <s v="800"/>
    <e v="#N/A"/>
  </r>
  <r>
    <n v="100"/>
    <n v="722100"/>
    <n v="1"/>
    <s v="1722100.100"/>
    <s v="משמר האזרחי - שכר לעובדים קבועים"/>
    <m/>
    <m/>
    <n v="345800"/>
    <n v="349600"/>
    <n v="340900"/>
    <e v="#N/A"/>
    <x v="7"/>
    <x v="1"/>
    <s v="72"/>
    <x v="4"/>
    <x v="111"/>
    <x v="6"/>
    <s v="7221"/>
    <s v="משמר אזרחי"/>
    <m/>
    <s v="1"/>
    <x v="8"/>
    <s v="10"/>
    <e v="#N/A"/>
    <s v="100"/>
    <e v="#N/A"/>
  </r>
  <r>
    <n v="120"/>
    <n v="722100"/>
    <n v="1"/>
    <s v="1722100.120"/>
    <s v="משמר האזרחי - שעות נוספות"/>
    <m/>
    <m/>
    <n v="19200"/>
    <n v="19200"/>
    <n v="18100"/>
    <e v="#N/A"/>
    <x v="7"/>
    <x v="1"/>
    <s v="72"/>
    <x v="4"/>
    <x v="111"/>
    <x v="6"/>
    <s v="7221"/>
    <s v="משמר אזרחי"/>
    <m/>
    <s v="1"/>
    <x v="8"/>
    <s v="12"/>
    <s v="תוספות שאינן נכללות בשכר הקובע"/>
    <s v="120"/>
    <e v="#N/A"/>
  </r>
  <r>
    <n v="700"/>
    <n v="722100"/>
    <n v="1"/>
    <s v="1722100.700"/>
    <s v="משמר האזרחי - הוצאות לפעולות"/>
    <m/>
    <m/>
    <n v="462400"/>
    <n v="476000"/>
    <n v="469100"/>
    <m/>
    <x v="7"/>
    <x v="1"/>
    <s v="72"/>
    <x v="4"/>
    <x v="111"/>
    <x v="6"/>
    <s v="7221"/>
    <s v="משמר אזרחי"/>
    <m/>
    <s v="7"/>
    <x v="9"/>
    <s v="70"/>
    <e v="#N/A"/>
    <s v="700"/>
    <e v="#N/A"/>
  </r>
  <r>
    <n v="100"/>
    <n v="725000"/>
    <n v="1"/>
    <s v="1725000.100"/>
    <s v="בטיחות - שכר לעובדים קבועים"/>
    <m/>
    <m/>
    <n v="676900"/>
    <n v="668900"/>
    <n v="789100"/>
    <m/>
    <x v="7"/>
    <x v="1"/>
    <s v="72"/>
    <x v="4"/>
    <x v="113"/>
    <x v="74"/>
    <s v="7250"/>
    <e v="#N/A"/>
    <m/>
    <s v="1"/>
    <x v="8"/>
    <s v="10"/>
    <e v="#N/A"/>
    <s v="100"/>
    <e v="#N/A"/>
  </r>
  <r>
    <n v="120"/>
    <n v="725000"/>
    <n v="1"/>
    <s v="1725000.120"/>
    <s v="בטיחות - שעות נוספות"/>
    <m/>
    <m/>
    <n v="75100"/>
    <n v="75100"/>
    <n v="59900"/>
    <e v="#N/A"/>
    <x v="7"/>
    <x v="1"/>
    <s v="72"/>
    <x v="4"/>
    <x v="113"/>
    <x v="74"/>
    <s v="7250"/>
    <e v="#N/A"/>
    <m/>
    <s v="1"/>
    <x v="8"/>
    <s v="12"/>
    <s v="תוספות שאינן נכללות בשכר הקובע"/>
    <s v="120"/>
    <e v="#N/A"/>
  </r>
  <r>
    <n v="400"/>
    <n v="725000"/>
    <n v="1"/>
    <s v="1725000.400"/>
    <s v="בטיחות - אחזקה אספקה וציוד"/>
    <m/>
    <m/>
    <n v="3300"/>
    <n v="3900"/>
    <n v="3600"/>
    <e v="#N/A"/>
    <x v="7"/>
    <x v="1"/>
    <s v="72"/>
    <x v="4"/>
    <x v="113"/>
    <x v="74"/>
    <s v="7250"/>
    <e v="#N/A"/>
    <m/>
    <s v="4"/>
    <x v="11"/>
    <s v="40"/>
    <e v="#N/A"/>
    <s v="400"/>
    <e v="#N/A"/>
  </r>
  <r>
    <n v="500"/>
    <n v="725000"/>
    <n v="1"/>
    <s v="1725000.500"/>
    <s v="בטיחות - תחבורה ודואר"/>
    <m/>
    <m/>
    <n v="3400"/>
    <n v="3400"/>
    <n v="2600"/>
    <e v="#N/A"/>
    <x v="7"/>
    <x v="1"/>
    <s v="72"/>
    <x v="4"/>
    <x v="113"/>
    <x v="74"/>
    <s v="7250"/>
    <e v="#N/A"/>
    <m/>
    <s v="5"/>
    <x v="12"/>
    <s v="50"/>
    <e v="#N/A"/>
    <s v="500"/>
    <e v="#N/A"/>
  </r>
  <r>
    <n v="700"/>
    <n v="725000"/>
    <n v="1"/>
    <s v="1725000.700"/>
    <s v="בטיחות - הוצאות לפעולות"/>
    <m/>
    <m/>
    <n v="12500"/>
    <n v="12500"/>
    <n v="9900"/>
    <e v="#N/A"/>
    <x v="7"/>
    <x v="1"/>
    <s v="72"/>
    <x v="4"/>
    <x v="113"/>
    <x v="74"/>
    <s v="7250"/>
    <e v="#N/A"/>
    <m/>
    <s v="7"/>
    <x v="9"/>
    <s v="70"/>
    <e v="#N/A"/>
    <s v="700"/>
    <e v="#N/A"/>
  </r>
  <r>
    <n v="100"/>
    <n v="727000"/>
    <n v="1"/>
    <s v="1727000.100"/>
    <s v="בטחון מוסדות חינוך - שכר לעובדים קבועים"/>
    <m/>
    <m/>
    <n v="1720800"/>
    <n v="1699800"/>
    <n v="1644600"/>
    <e v="#N/A"/>
    <x v="7"/>
    <x v="1"/>
    <s v="72"/>
    <x v="4"/>
    <x v="88"/>
    <x v="7"/>
    <s v="7270"/>
    <e v="#N/A"/>
    <m/>
    <s v="1"/>
    <x v="8"/>
    <s v="10"/>
    <e v="#N/A"/>
    <s v="100"/>
    <e v="#N/A"/>
  </r>
  <r>
    <n v="120"/>
    <n v="727000"/>
    <n v="1"/>
    <s v="1727000.120"/>
    <s v="בטחון מוסדות חינוך - שעות נוספות"/>
    <m/>
    <m/>
    <n v="155200"/>
    <n v="155200"/>
    <n v="146700"/>
    <e v="#N/A"/>
    <x v="7"/>
    <x v="1"/>
    <s v="72"/>
    <x v="4"/>
    <x v="88"/>
    <x v="7"/>
    <s v="7270"/>
    <e v="#N/A"/>
    <m/>
    <s v="1"/>
    <x v="8"/>
    <s v="12"/>
    <s v="תוספות שאינן נכללות בשכר הקובע"/>
    <s v="120"/>
    <e v="#N/A"/>
  </r>
  <r>
    <n v="500"/>
    <n v="727000"/>
    <n v="1"/>
    <s v="1727000.500"/>
    <s v="בטחון מוסדות חינוך - תחבורה ודואר"/>
    <m/>
    <m/>
    <n v="23500"/>
    <n v="24000"/>
    <n v="20400"/>
    <e v="#N/A"/>
    <x v="7"/>
    <x v="1"/>
    <s v="72"/>
    <x v="4"/>
    <x v="88"/>
    <x v="7"/>
    <s v="7270"/>
    <e v="#N/A"/>
    <m/>
    <s v="5"/>
    <x v="12"/>
    <s v="50"/>
    <e v="#N/A"/>
    <s v="500"/>
    <e v="#N/A"/>
  </r>
  <r>
    <n v="700"/>
    <n v="727000"/>
    <n v="1"/>
    <s v="1727000.700"/>
    <s v="בטחון מוסדות חינוך - הוצאות לפעולות"/>
    <m/>
    <m/>
    <n v="6300"/>
    <n v="6700"/>
    <n v="9300"/>
    <e v="#N/A"/>
    <x v="7"/>
    <x v="1"/>
    <s v="72"/>
    <x v="4"/>
    <x v="88"/>
    <x v="7"/>
    <s v="7270"/>
    <e v="#N/A"/>
    <m/>
    <s v="7"/>
    <x v="9"/>
    <s v="70"/>
    <e v="#N/A"/>
    <s v="700"/>
    <e v="#N/A"/>
  </r>
  <r>
    <n v="100"/>
    <n v="938100"/>
    <n v="1"/>
    <s v="1938100.100"/>
    <s v="יחידה לבטחון בתים וחניה - שכר לעובדים קבועים"/>
    <m/>
    <m/>
    <n v="1984900"/>
    <n v="1952100"/>
    <n v="1994800"/>
    <e v="#N/A"/>
    <x v="8"/>
    <x v="3"/>
    <s v="93"/>
    <x v="12"/>
    <x v="74"/>
    <x v="57"/>
    <s v="9381"/>
    <e v="#N/A"/>
    <m/>
    <s v="1"/>
    <x v="8"/>
    <s v="10"/>
    <e v="#N/A"/>
    <s v="100"/>
    <e v="#N/A"/>
  </r>
  <r>
    <n v="120"/>
    <n v="938100"/>
    <n v="1"/>
    <s v="1938100.120"/>
    <s v="יחידה לבטחון בתים וחניה - שעות נוספות"/>
    <m/>
    <m/>
    <n v="308100"/>
    <n v="308100"/>
    <n v="401400"/>
    <e v="#N/A"/>
    <x v="8"/>
    <x v="3"/>
    <s v="93"/>
    <x v="12"/>
    <x v="74"/>
    <x v="57"/>
    <s v="9381"/>
    <e v="#N/A"/>
    <m/>
    <s v="1"/>
    <x v="8"/>
    <s v="12"/>
    <s v="תוספות שאינן נכללות בשכר הקובע"/>
    <s v="120"/>
    <e v="#N/A"/>
  </r>
  <r>
    <n v="700"/>
    <n v="938100"/>
    <n v="1"/>
    <s v="1938100.700"/>
    <s v="יחידה לבטחון בתים וחניה - הוצאות לפעולות"/>
    <m/>
    <m/>
    <n v="24000"/>
    <n v="25000"/>
    <n v="11700"/>
    <e v="#N/A"/>
    <x v="8"/>
    <x v="3"/>
    <s v="93"/>
    <x v="12"/>
    <x v="74"/>
    <x v="57"/>
    <s v="9381"/>
    <e v="#N/A"/>
    <m/>
    <s v="7"/>
    <x v="9"/>
    <s v="70"/>
    <e v="#N/A"/>
    <s v="700"/>
    <e v="#N/A"/>
  </r>
  <r>
    <n v="100"/>
    <n v="811100"/>
    <n v="1"/>
    <s v="1811100.100"/>
    <s v="לשכת ראש מערכת חינוך ותרבות - שכר לעובדים קבועים"/>
    <m/>
    <m/>
    <n v="1930700"/>
    <n v="1779700"/>
    <n v="1416900"/>
    <e v="#N/A"/>
    <x v="5"/>
    <x v="2"/>
    <s v="81"/>
    <x v="8"/>
    <x v="114"/>
    <x v="17"/>
    <s v="8111"/>
    <e v="#N/A"/>
    <m/>
    <s v="1"/>
    <x v="8"/>
    <s v="10"/>
    <e v="#N/A"/>
    <s v="100"/>
    <e v="#N/A"/>
  </r>
  <r>
    <n v="120"/>
    <n v="811100"/>
    <n v="1"/>
    <s v="1811100.120"/>
    <s v="לשכת ראש מערכת חינוך ותרבות - שעות נוספות"/>
    <m/>
    <m/>
    <n v="71300"/>
    <n v="71300"/>
    <n v="78700"/>
    <e v="#N/A"/>
    <x v="5"/>
    <x v="2"/>
    <s v="81"/>
    <x v="8"/>
    <x v="114"/>
    <x v="17"/>
    <s v="8111"/>
    <e v="#N/A"/>
    <m/>
    <s v="1"/>
    <x v="8"/>
    <s v="12"/>
    <s v="תוספות שאינן נכללות בשכר הקובע"/>
    <s v="120"/>
    <e v="#N/A"/>
  </r>
  <r>
    <n v="400"/>
    <n v="811100"/>
    <n v="1"/>
    <s v="1811100.400"/>
    <s v="לשכת ראש מערכת חינוך ותרבות - אחזקה אספקה וציוד"/>
    <m/>
    <m/>
    <n v="32300"/>
    <n v="32300"/>
    <n v="32300"/>
    <e v="#N/A"/>
    <x v="5"/>
    <x v="2"/>
    <s v="81"/>
    <x v="8"/>
    <x v="114"/>
    <x v="17"/>
    <s v="8111"/>
    <e v="#N/A"/>
    <m/>
    <s v="4"/>
    <x v="11"/>
    <s v="40"/>
    <e v="#N/A"/>
    <s v="400"/>
    <e v="#N/A"/>
  </r>
  <r>
    <n v="500"/>
    <n v="811100"/>
    <n v="1"/>
    <s v="1811100.500"/>
    <s v="לשכת ראש מערכת חינוך ותרבות - תחבורה ודואר"/>
    <m/>
    <m/>
    <n v="65500"/>
    <n v="69000"/>
    <n v="37900"/>
    <e v="#N/A"/>
    <x v="5"/>
    <x v="2"/>
    <s v="81"/>
    <x v="8"/>
    <x v="114"/>
    <x v="17"/>
    <s v="8111"/>
    <e v="#N/A"/>
    <m/>
    <s v="5"/>
    <x v="12"/>
    <s v="50"/>
    <e v="#N/A"/>
    <s v="500"/>
    <e v="#N/A"/>
  </r>
  <r>
    <n v="500"/>
    <n v="811100"/>
    <n v="1"/>
    <s v="1811100.500"/>
    <s v="לשכת ראש מערכת חינוך ותרבות - הוצאות כלליות"/>
    <m/>
    <m/>
    <n v="49700"/>
    <n v="49700"/>
    <n v="39100"/>
    <e v="#N/A"/>
    <x v="5"/>
    <x v="2"/>
    <s v="81"/>
    <x v="8"/>
    <x v="114"/>
    <x v="17"/>
    <s v="8111"/>
    <e v="#N/A"/>
    <m/>
    <s v="5"/>
    <x v="12"/>
    <s v="50"/>
    <e v="#N/A"/>
    <s v="500"/>
    <e v="#N/A"/>
  </r>
  <r>
    <n v="700"/>
    <n v="811100"/>
    <n v="1"/>
    <s v="1811100.700"/>
    <s v="לשכת ראש מערכת חינוך ותרבות - הוצאות לפעולות"/>
    <m/>
    <m/>
    <n v="91600"/>
    <n v="95100"/>
    <n v="85700"/>
    <e v="#N/A"/>
    <x v="5"/>
    <x v="2"/>
    <s v="81"/>
    <x v="8"/>
    <x v="114"/>
    <x v="17"/>
    <s v="8111"/>
    <e v="#N/A"/>
    <m/>
    <s v="7"/>
    <x v="9"/>
    <s v="70"/>
    <e v="#N/A"/>
    <s v="700"/>
    <e v="#N/A"/>
  </r>
  <r>
    <n v="100"/>
    <n v="817311"/>
    <n v="1"/>
    <s v="1817311.100"/>
    <s v="היחידה למו&quot;פ הערכה ובקרה - שכר לעובדים קבועים"/>
    <m/>
    <m/>
    <n v="131000"/>
    <n v="130000"/>
    <n v="115100"/>
    <e v="#N/A"/>
    <x v="5"/>
    <x v="2"/>
    <s v="81"/>
    <x v="8"/>
    <x v="115"/>
    <x v="20"/>
    <s v="8173"/>
    <s v="שרות פסיכולוגי חינוכי"/>
    <m/>
    <s v="1"/>
    <x v="8"/>
    <s v="10"/>
    <e v="#N/A"/>
    <s v="100"/>
    <e v="#N/A"/>
  </r>
  <r>
    <n v="100"/>
    <n v="811130"/>
    <n v="1"/>
    <s v="1811130.100"/>
    <s v="מרכז רישום - שכר לעובדים קבועים"/>
    <m/>
    <m/>
    <n v="1617600"/>
    <n v="1599600"/>
    <n v="1558800"/>
    <e v="#N/A"/>
    <x v="5"/>
    <x v="2"/>
    <s v="81"/>
    <x v="8"/>
    <x v="114"/>
    <x v="17"/>
    <s v="8111"/>
    <e v="#N/A"/>
    <m/>
    <s v="1"/>
    <x v="8"/>
    <s v="10"/>
    <e v="#N/A"/>
    <s v="100"/>
    <e v="#N/A"/>
  </r>
  <r>
    <n v="120"/>
    <n v="811130"/>
    <n v="1"/>
    <s v="1811130.120"/>
    <s v="מרכז רישום - שעות נוספות"/>
    <m/>
    <m/>
    <n v="23400"/>
    <n v="23400"/>
    <n v="23100"/>
    <e v="#N/A"/>
    <x v="5"/>
    <x v="2"/>
    <s v="81"/>
    <x v="8"/>
    <x v="114"/>
    <x v="17"/>
    <s v="8111"/>
    <e v="#N/A"/>
    <m/>
    <s v="1"/>
    <x v="8"/>
    <s v="12"/>
    <s v="תוספות שאינן נכללות בשכר הקובע"/>
    <s v="120"/>
    <e v="#N/A"/>
  </r>
  <r>
    <n v="700"/>
    <n v="811130"/>
    <n v="1"/>
    <s v="1811130.700"/>
    <s v="מרכז רישום - הוצאות לפעולות"/>
    <m/>
    <m/>
    <n v="184600"/>
    <n v="190000"/>
    <n v="188400"/>
    <e v="#N/A"/>
    <x v="5"/>
    <x v="2"/>
    <s v="81"/>
    <x v="8"/>
    <x v="114"/>
    <x v="17"/>
    <s v="8111"/>
    <e v="#N/A"/>
    <m/>
    <s v="7"/>
    <x v="9"/>
    <s v="70"/>
    <e v="#N/A"/>
    <s v="700"/>
    <e v="#N/A"/>
  </r>
  <r>
    <n v="100"/>
    <n v="811006"/>
    <n v="1"/>
    <s v="1811006.100"/>
    <s v="המחלקה לתשתיות מיחשוב - שכר לעובדים קבועים"/>
    <m/>
    <m/>
    <n v="2948200"/>
    <n v="2915200"/>
    <n v="3302300"/>
    <e v="#N/A"/>
    <x v="5"/>
    <x v="2"/>
    <s v="81"/>
    <x v="8"/>
    <x v="114"/>
    <x v="17"/>
    <s v="8110"/>
    <e v="#N/A"/>
    <m/>
    <s v="1"/>
    <x v="8"/>
    <s v="10"/>
    <e v="#N/A"/>
    <s v="100"/>
    <e v="#N/A"/>
  </r>
  <r>
    <n v="120"/>
    <n v="811006"/>
    <n v="1"/>
    <s v="1811006.120"/>
    <s v="המחלקה לתשתיות מיחשוב - שעות נוספות"/>
    <m/>
    <m/>
    <n v="21800"/>
    <n v="21800"/>
    <n v="30000"/>
    <e v="#N/A"/>
    <x v="5"/>
    <x v="2"/>
    <s v="81"/>
    <x v="8"/>
    <x v="114"/>
    <x v="17"/>
    <s v="8110"/>
    <e v="#N/A"/>
    <m/>
    <s v="1"/>
    <x v="8"/>
    <s v="12"/>
    <s v="תוספות שאינן נכללות בשכר הקובע"/>
    <s v="120"/>
    <e v="#N/A"/>
  </r>
  <r>
    <n v="400"/>
    <n v="811006"/>
    <n v="1"/>
    <s v="1811006.400"/>
    <s v="המחלקה לתשתיות מיחשוב - אחזקה אספקה וציוד"/>
    <m/>
    <m/>
    <n v="7000"/>
    <n v="7000"/>
    <n v="100"/>
    <e v="#N/A"/>
    <x v="5"/>
    <x v="2"/>
    <s v="81"/>
    <x v="8"/>
    <x v="114"/>
    <x v="17"/>
    <s v="8110"/>
    <e v="#N/A"/>
    <m/>
    <s v="4"/>
    <x v="11"/>
    <s v="40"/>
    <e v="#N/A"/>
    <s v="400"/>
    <e v="#N/A"/>
  </r>
  <r>
    <n v="700"/>
    <n v="811006"/>
    <n v="1"/>
    <s v="1811006.700"/>
    <s v="המחלקה לתשתיות מיחשוב - הוצאות לפעולות"/>
    <m/>
    <m/>
    <n v="368900"/>
    <n v="380000"/>
    <n v="304900"/>
    <e v="#N/A"/>
    <x v="5"/>
    <x v="2"/>
    <s v="81"/>
    <x v="8"/>
    <x v="114"/>
    <x v="17"/>
    <s v="8110"/>
    <e v="#N/A"/>
    <m/>
    <s v="7"/>
    <x v="9"/>
    <s v="70"/>
    <e v="#N/A"/>
    <s v="700"/>
    <e v="#N/A"/>
  </r>
  <r>
    <n v="100"/>
    <n v="817310"/>
    <n v="1"/>
    <s v="1817310.100"/>
    <s v="מק&quot;מ ופורטל פדגוגי - שכר לעובדים קבועים"/>
    <m/>
    <m/>
    <n v="1092900"/>
    <n v="1080900"/>
    <n v="1056500"/>
    <e v="#N/A"/>
    <x v="5"/>
    <x v="2"/>
    <s v="81"/>
    <x v="8"/>
    <x v="115"/>
    <x v="20"/>
    <s v="8173"/>
    <s v="שרות פסיכולוגי חינוכי"/>
    <m/>
    <s v="1"/>
    <x v="8"/>
    <s v="10"/>
    <e v="#N/A"/>
    <s v="100"/>
    <e v="#N/A"/>
  </r>
  <r>
    <n v="120"/>
    <n v="817310"/>
    <n v="1"/>
    <s v="1817310.120"/>
    <s v="מק&quot;מ ופורטל פדגוגי - שעות נוספות"/>
    <m/>
    <m/>
    <n v="23100"/>
    <n v="23100"/>
    <n v="27800"/>
    <n v="36203"/>
    <x v="5"/>
    <x v="2"/>
    <s v="81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400"/>
    <n v="817310"/>
    <n v="1"/>
    <s v="1817310.400"/>
    <s v="מק&quot;מ ופורטל פדגוגי - אחזקה אספקה וציוד"/>
    <m/>
    <m/>
    <n v="26800"/>
    <n v="27400"/>
    <n v="31100"/>
    <e v="#N/A"/>
    <x v="5"/>
    <x v="2"/>
    <s v="81"/>
    <x v="8"/>
    <x v="115"/>
    <x v="20"/>
    <s v="8173"/>
    <s v="שרות פסיכולוגי חינוכי"/>
    <m/>
    <s v="4"/>
    <x v="11"/>
    <s v="40"/>
    <e v="#N/A"/>
    <s v="400"/>
    <e v="#N/A"/>
  </r>
  <r>
    <n v="500"/>
    <n v="817310"/>
    <n v="1"/>
    <s v="1817310.500"/>
    <s v="מק&quot;מ ופורטל פדגוגי - תחבורה ודואר"/>
    <m/>
    <m/>
    <n v="53100"/>
    <n v="53100"/>
    <n v="47100"/>
    <e v="#N/A"/>
    <x v="5"/>
    <x v="2"/>
    <s v="81"/>
    <x v="8"/>
    <x v="115"/>
    <x v="20"/>
    <s v="8173"/>
    <s v="שרות פסיכולוגי חינוכי"/>
    <m/>
    <s v="5"/>
    <x v="12"/>
    <s v="50"/>
    <e v="#N/A"/>
    <s v="500"/>
    <e v="#N/A"/>
  </r>
  <r>
    <n v="700"/>
    <n v="817310"/>
    <n v="1"/>
    <s v="1817310.700"/>
    <s v="מק&quot;מ ופורטל פדגוגי - הוצאות לפעולות"/>
    <m/>
    <m/>
    <n v="1129500"/>
    <n v="1164500"/>
    <n v="1117500"/>
    <e v="#N/A"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700"/>
    <n v="811007"/>
    <n v="1"/>
    <s v="1811007.700"/>
    <s v="תוכנית תקשוב לאומית - הוצאות לפעולות"/>
    <m/>
    <m/>
    <n v="670300"/>
    <n v="690000"/>
    <n v="0"/>
    <e v="#N/A"/>
    <x v="5"/>
    <x v="2"/>
    <s v="81"/>
    <x v="8"/>
    <x v="114"/>
    <x v="17"/>
    <s v="8110"/>
    <e v="#N/A"/>
    <m/>
    <s v="7"/>
    <x v="9"/>
    <s v="70"/>
    <e v="#N/A"/>
    <s v="700"/>
    <e v="#N/A"/>
  </r>
  <r>
    <n v="100"/>
    <n v="811001"/>
    <n v="1"/>
    <s v="1811001.100"/>
    <s v="אגף ארגון וכספים - שכר לעובדים קבועים"/>
    <m/>
    <m/>
    <n v="911000"/>
    <n v="901000"/>
    <n v="901500"/>
    <e v="#N/A"/>
    <x v="5"/>
    <x v="2"/>
    <s v="81"/>
    <x v="8"/>
    <x v="114"/>
    <x v="17"/>
    <s v="8110"/>
    <e v="#N/A"/>
    <m/>
    <s v="1"/>
    <x v="8"/>
    <s v="10"/>
    <e v="#N/A"/>
    <s v="100"/>
    <e v="#N/A"/>
  </r>
  <r>
    <n v="120"/>
    <n v="811001"/>
    <n v="1"/>
    <s v="1811001.120"/>
    <s v="אגף ארגון וכספים - שעות נוספות"/>
    <m/>
    <m/>
    <n v="12000"/>
    <n v="12000"/>
    <n v="10400"/>
    <e v="#N/A"/>
    <x v="5"/>
    <x v="2"/>
    <s v="81"/>
    <x v="8"/>
    <x v="114"/>
    <x v="17"/>
    <s v="8110"/>
    <e v="#N/A"/>
    <m/>
    <s v="1"/>
    <x v="8"/>
    <s v="12"/>
    <s v="תוספות שאינן נכללות בשכר הקובע"/>
    <s v="120"/>
    <e v="#N/A"/>
  </r>
  <r>
    <n v="400"/>
    <n v="811001"/>
    <n v="1"/>
    <s v="1811001.400"/>
    <s v="אגף ארגון וכספים - אחזקה אספקה וציוד"/>
    <m/>
    <m/>
    <n v="172000"/>
    <n v="172000"/>
    <n v="214000"/>
    <e v="#N/A"/>
    <x v="5"/>
    <x v="2"/>
    <s v="81"/>
    <x v="8"/>
    <x v="114"/>
    <x v="17"/>
    <s v="8110"/>
    <e v="#N/A"/>
    <m/>
    <s v="4"/>
    <x v="11"/>
    <s v="40"/>
    <e v="#N/A"/>
    <s v="400"/>
    <e v="#N/A"/>
  </r>
  <r>
    <n v="500"/>
    <n v="811001"/>
    <n v="1"/>
    <s v="1811001.500"/>
    <s v="אגף ארגון וכספים - תחבורה ודואר"/>
    <m/>
    <m/>
    <n v="355100"/>
    <n v="365000"/>
    <n v="352500"/>
    <e v="#N/A"/>
    <x v="5"/>
    <x v="2"/>
    <s v="81"/>
    <x v="8"/>
    <x v="114"/>
    <x v="17"/>
    <s v="8110"/>
    <e v="#N/A"/>
    <m/>
    <s v="5"/>
    <x v="12"/>
    <s v="50"/>
    <e v="#N/A"/>
    <s v="500"/>
    <e v="#N/A"/>
  </r>
  <r>
    <n v="500"/>
    <n v="811001"/>
    <n v="1"/>
    <s v="1811001.500"/>
    <s v="אגף ארגון וכספים - הוצאות כלליות"/>
    <m/>
    <m/>
    <n v="3000"/>
    <n v="3000"/>
    <n v="1600"/>
    <e v="#N/A"/>
    <x v="5"/>
    <x v="2"/>
    <s v="81"/>
    <x v="8"/>
    <x v="114"/>
    <x v="17"/>
    <s v="8110"/>
    <e v="#N/A"/>
    <m/>
    <s v="5"/>
    <x v="12"/>
    <s v="50"/>
    <e v="#N/A"/>
    <s v="500"/>
    <e v="#N/A"/>
  </r>
  <r>
    <n v="700"/>
    <n v="811001"/>
    <n v="1"/>
    <s v="1811001.700"/>
    <s v="אגף ארגון וכספים - הוצאות לפעולות"/>
    <m/>
    <m/>
    <n v="486000"/>
    <n v="506000"/>
    <n v="452200"/>
    <e v="#N/A"/>
    <x v="5"/>
    <x v="2"/>
    <s v="81"/>
    <x v="8"/>
    <x v="114"/>
    <x v="17"/>
    <s v="8110"/>
    <e v="#N/A"/>
    <m/>
    <s v="7"/>
    <x v="9"/>
    <s v="70"/>
    <e v="#N/A"/>
    <s v="700"/>
    <e v="#N/A"/>
  </r>
  <r>
    <n v="100"/>
    <n v="811002"/>
    <n v="1"/>
    <s v="1811002.100"/>
    <s v="המחלקה לכח אדם - שכר לעובדים קבועים"/>
    <m/>
    <m/>
    <n v="3423400"/>
    <n v="3384400"/>
    <n v="3028800"/>
    <e v="#N/A"/>
    <x v="5"/>
    <x v="2"/>
    <s v="81"/>
    <x v="8"/>
    <x v="114"/>
    <x v="17"/>
    <s v="8110"/>
    <e v="#N/A"/>
    <m/>
    <s v="1"/>
    <x v="8"/>
    <s v="10"/>
    <e v="#N/A"/>
    <s v="100"/>
    <e v="#N/A"/>
  </r>
  <r>
    <n v="120"/>
    <n v="811002"/>
    <n v="1"/>
    <s v="1811002.120"/>
    <s v="המחלקה לכח אדם - שעות נוספות"/>
    <m/>
    <m/>
    <n v="105600"/>
    <n v="105600"/>
    <n v="155600"/>
    <e v="#N/A"/>
    <x v="5"/>
    <x v="2"/>
    <s v="81"/>
    <x v="8"/>
    <x v="114"/>
    <x v="17"/>
    <s v="8110"/>
    <e v="#N/A"/>
    <m/>
    <s v="1"/>
    <x v="8"/>
    <s v="12"/>
    <s v="תוספות שאינן נכללות בשכר הקובע"/>
    <s v="120"/>
    <e v="#N/A"/>
  </r>
  <r>
    <n v="700"/>
    <n v="811002"/>
    <n v="1"/>
    <s v="1811002.700"/>
    <s v="המחלקה לכח אדם - הוצאות לפעולות"/>
    <m/>
    <m/>
    <n v="32100"/>
    <n v="33000"/>
    <n v="33100"/>
    <e v="#N/A"/>
    <x v="5"/>
    <x v="2"/>
    <s v="81"/>
    <x v="8"/>
    <x v="114"/>
    <x v="17"/>
    <s v="8110"/>
    <e v="#N/A"/>
    <m/>
    <s v="7"/>
    <x v="9"/>
    <s v="70"/>
    <e v="#N/A"/>
    <s v="700"/>
    <e v="#N/A"/>
  </r>
  <r>
    <n v="200"/>
    <n v="813841"/>
    <n v="1"/>
    <s v="1813841.200"/>
    <s v="סייעות ארעי - שכר לעובדים ארעיים"/>
    <m/>
    <m/>
    <n v="8559000"/>
    <n v="8465000"/>
    <n v="5070400"/>
    <m/>
    <x v="5"/>
    <x v="2"/>
    <s v="81"/>
    <x v="8"/>
    <x v="116"/>
    <x v="19"/>
    <s v="8138"/>
    <s v="קייטנות לימודיות וחודש לימוד נוסף"/>
    <m/>
    <s v="2"/>
    <x v="10"/>
    <s v="20"/>
    <e v="#N/A"/>
    <s v="200"/>
    <e v="#N/A"/>
  </r>
  <r>
    <n v="200"/>
    <n v="813842"/>
    <n v="1"/>
    <s v="1813842.200"/>
    <s v="מלווים ארעיים בבתי&quot;ס מיוחדים - שכר לעובדים ארעיים"/>
    <m/>
    <m/>
    <n v="3675000"/>
    <n v="3635000"/>
    <n v="3482100"/>
    <e v="#N/A"/>
    <x v="5"/>
    <x v="2"/>
    <s v="81"/>
    <x v="8"/>
    <x v="116"/>
    <x v="19"/>
    <s v="8138"/>
    <s v="קייטנות לימודיות וחודש לימוד נוסף"/>
    <m/>
    <s v="2"/>
    <x v="10"/>
    <s v="20"/>
    <e v="#N/A"/>
    <s v="200"/>
    <e v="#N/A"/>
  </r>
  <r>
    <n v="100"/>
    <n v="813843"/>
    <n v="1"/>
    <s v="1813843.100"/>
    <s v="סייעות תיקני - שכר לעובדים קבועים"/>
    <m/>
    <m/>
    <n v="32998000"/>
    <n v="32637000"/>
    <n v="29881900"/>
    <e v="#N/A"/>
    <x v="5"/>
    <x v="2"/>
    <s v="81"/>
    <x v="8"/>
    <x v="116"/>
    <x v="19"/>
    <s v="8138"/>
    <s v="קייטנות לימודיות וחודש לימוד נוסף"/>
    <m/>
    <s v="1"/>
    <x v="8"/>
    <s v="10"/>
    <e v="#N/A"/>
    <s v="100"/>
    <e v="#N/A"/>
  </r>
  <r>
    <n v="100"/>
    <n v="813315"/>
    <n v="1"/>
    <s v="1813315.100"/>
    <s v="ליווי תלמידים תיקני - שכר לעובדים קבועים"/>
    <m/>
    <m/>
    <n v="10620800"/>
    <n v="10306800"/>
    <n v="94819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120"/>
    <n v="813315"/>
    <n v="1"/>
    <s v="1813315.120"/>
    <s v="ליווי תלמידים תיקני - שעות נוספות"/>
    <m/>
    <m/>
    <n v="1200"/>
    <n v="1200"/>
    <n v="0"/>
    <e v="#N/A"/>
    <x v="5"/>
    <x v="2"/>
    <s v="81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100"/>
    <n v="813003"/>
    <n v="1"/>
    <s v="1813003.100"/>
    <s v="המחלקה לארגון ולוגיסטיקה - שכר לעובדים קבועים"/>
    <m/>
    <m/>
    <n v="2899200"/>
    <n v="2619200"/>
    <n v="2446200"/>
    <e v="#N/A"/>
    <x v="5"/>
    <x v="2"/>
    <s v="81"/>
    <x v="8"/>
    <x v="116"/>
    <x v="19"/>
    <s v="8130"/>
    <e v="#N/A"/>
    <m/>
    <s v="1"/>
    <x v="8"/>
    <s v="10"/>
    <e v="#N/A"/>
    <s v="100"/>
    <e v="#N/A"/>
  </r>
  <r>
    <n v="120"/>
    <n v="813003"/>
    <n v="1"/>
    <s v="1813003.120"/>
    <s v="המחלקה לארגון ולוגיסטיקה - שעות נוספות"/>
    <m/>
    <m/>
    <n v="93800"/>
    <n v="93800"/>
    <n v="117000"/>
    <e v="#N/A"/>
    <x v="5"/>
    <x v="2"/>
    <s v="81"/>
    <x v="8"/>
    <x v="116"/>
    <x v="19"/>
    <s v="8130"/>
    <e v="#N/A"/>
    <m/>
    <s v="1"/>
    <x v="8"/>
    <s v="12"/>
    <s v="תוספות שאינן נכללות בשכר הקובע"/>
    <s v="120"/>
    <e v="#N/A"/>
  </r>
  <r>
    <n v="400"/>
    <n v="813003"/>
    <n v="1"/>
    <s v="1813003.400"/>
    <s v="המחלקה לארגון ולוגיסטיקה - אחזקה אספקה וציוד"/>
    <m/>
    <m/>
    <n v="102700"/>
    <n v="107000"/>
    <n v="95300"/>
    <e v="#N/A"/>
    <x v="5"/>
    <x v="2"/>
    <s v="81"/>
    <x v="8"/>
    <x v="116"/>
    <x v="19"/>
    <s v="8130"/>
    <e v="#N/A"/>
    <m/>
    <s v="4"/>
    <x v="11"/>
    <s v="40"/>
    <e v="#N/A"/>
    <s v="400"/>
    <e v="#N/A"/>
  </r>
  <r>
    <n v="700"/>
    <n v="813003"/>
    <n v="1"/>
    <s v="1813003.700"/>
    <s v="המחלקה לארגון ולוגיסטיקה - הוצאות לפעולות"/>
    <m/>
    <m/>
    <n v="44000"/>
    <n v="44000"/>
    <n v="34900"/>
    <e v="#N/A"/>
    <x v="5"/>
    <x v="2"/>
    <s v="81"/>
    <x v="8"/>
    <x v="116"/>
    <x v="19"/>
    <s v="8130"/>
    <e v="#N/A"/>
    <m/>
    <s v="7"/>
    <x v="9"/>
    <s v="70"/>
    <e v="#N/A"/>
    <s v="700"/>
    <e v="#N/A"/>
  </r>
  <r>
    <n v="710"/>
    <n v="817800"/>
    <n v="1"/>
    <s v="1817800.710"/>
    <s v="הסעות למוסדות חינוך - תחבורה ודואר"/>
    <m/>
    <m/>
    <n v="22322700"/>
    <n v="22979000"/>
    <n v="21121200"/>
    <n v="3240000"/>
    <x v="5"/>
    <x v="2"/>
    <s v="81"/>
    <x v="8"/>
    <x v="115"/>
    <x v="20"/>
    <s v="8178"/>
    <s v="הסעות ילדים"/>
    <m/>
    <s v="7"/>
    <x v="9"/>
    <s v="71"/>
    <s v="הובלות והסעות קבלניות"/>
    <s v="710"/>
    <e v="#N/A"/>
  </r>
  <r>
    <n v="750"/>
    <n v="817100"/>
    <n v="1"/>
    <s v="1817100.750"/>
    <s v="שמירה במוסדות חינוך - שמירה"/>
    <m/>
    <m/>
    <n v="13580700"/>
    <n v="15480000"/>
    <n v="13078900"/>
    <e v="#N/A"/>
    <x v="5"/>
    <x v="2"/>
    <s v="81"/>
    <x v="8"/>
    <x v="115"/>
    <x v="20"/>
    <s v="8171"/>
    <s v="קב״ט שמירח ובטחון מוסדות חינוך"/>
    <m/>
    <s v="7"/>
    <x v="9"/>
    <s v="75"/>
    <s v="עבודות קבלניות"/>
    <s v="750"/>
    <e v="#N/A"/>
  </r>
  <r>
    <n v="200"/>
    <n v="816910"/>
    <n v="1"/>
    <s v="1816910.200"/>
    <s v="פרויקט שילובים - שכר לעובדים ארעיים"/>
    <m/>
    <m/>
    <n v="880500"/>
    <n v="880500"/>
    <n v="739700"/>
    <e v="#N/A"/>
    <x v="5"/>
    <x v="2"/>
    <s v="81"/>
    <x v="8"/>
    <x v="117"/>
    <x v="75"/>
    <s v="8169"/>
    <e v="#N/A"/>
    <m/>
    <s v="2"/>
    <x v="10"/>
    <s v="20"/>
    <e v="#N/A"/>
    <s v="200"/>
    <e v="#N/A"/>
  </r>
  <r>
    <n v="120"/>
    <n v="816910"/>
    <n v="1"/>
    <s v="1816910.120"/>
    <s v="פרויקט שילובים - שעות נוספות"/>
    <m/>
    <m/>
    <n v="19500"/>
    <n v="19500"/>
    <n v="4700"/>
    <e v="#N/A"/>
    <x v="5"/>
    <x v="2"/>
    <s v="81"/>
    <x v="8"/>
    <x v="117"/>
    <x v="75"/>
    <s v="8169"/>
    <e v="#N/A"/>
    <m/>
    <s v="1"/>
    <x v="8"/>
    <s v="12"/>
    <s v="תוספות שאינן נכללות בשכר הקובע"/>
    <s v="120"/>
    <e v="#N/A"/>
  </r>
  <r>
    <n v="700"/>
    <n v="816910"/>
    <n v="1"/>
    <s v="1816910.700"/>
    <s v="פרויקט שילובים - הוצאות לפעולות"/>
    <m/>
    <m/>
    <n v="1149700"/>
    <n v="1183500"/>
    <n v="743700"/>
    <e v="#N/A"/>
    <x v="5"/>
    <x v="2"/>
    <s v="81"/>
    <x v="8"/>
    <x v="117"/>
    <x v="75"/>
    <s v="8169"/>
    <e v="#N/A"/>
    <m/>
    <s v="7"/>
    <x v="9"/>
    <s v="70"/>
    <e v="#N/A"/>
    <s v="700"/>
    <e v="#N/A"/>
  </r>
  <r>
    <n v="200"/>
    <n v="816920"/>
    <n v="1"/>
    <s v="1816920.200"/>
    <s v="מוקד קליטת עולי אתיופיה - שכר לעובדים ארעיים"/>
    <m/>
    <m/>
    <n v="465000"/>
    <n v="460000"/>
    <n v="455200"/>
    <e v="#N/A"/>
    <x v="5"/>
    <x v="2"/>
    <s v="81"/>
    <x v="8"/>
    <x v="117"/>
    <x v="75"/>
    <s v="8169"/>
    <e v="#N/A"/>
    <m/>
    <s v="2"/>
    <x v="10"/>
    <s v="20"/>
    <e v="#N/A"/>
    <s v="200"/>
    <e v="#N/A"/>
  </r>
  <r>
    <n v="120"/>
    <n v="816920"/>
    <n v="1"/>
    <s v="1816920.120"/>
    <s v="מוקד קליטת עולי אתיופיה - שעות נוספות"/>
    <m/>
    <m/>
    <n v="6000"/>
    <n v="6000"/>
    <n v="30200"/>
    <e v="#N/A"/>
    <x v="5"/>
    <x v="2"/>
    <s v="81"/>
    <x v="8"/>
    <x v="117"/>
    <x v="75"/>
    <s v="8169"/>
    <e v="#N/A"/>
    <m/>
    <s v="1"/>
    <x v="8"/>
    <s v="12"/>
    <s v="תוספות שאינן נכללות בשכר הקובע"/>
    <s v="120"/>
    <e v="#N/A"/>
  </r>
  <r>
    <n v="700"/>
    <n v="816920"/>
    <n v="1"/>
    <s v="1816920.700"/>
    <s v="מוקד קליטת עולי אתיופיה - הוצאות לפעולות"/>
    <m/>
    <m/>
    <n v="240900"/>
    <n v="248000"/>
    <n v="32200"/>
    <e v="#N/A"/>
    <x v="5"/>
    <x v="2"/>
    <s v="81"/>
    <x v="8"/>
    <x v="117"/>
    <x v="75"/>
    <s v="8169"/>
    <e v="#N/A"/>
    <m/>
    <s v="7"/>
    <x v="9"/>
    <s v="70"/>
    <e v="#N/A"/>
    <s v="700"/>
    <e v="#N/A"/>
  </r>
  <r>
    <n v="700"/>
    <n v="816930"/>
    <n v="1"/>
    <s v="1816930.700"/>
    <s v="תוכנית שמידט לנוער בסיכון - הוצאות לפעולות"/>
    <m/>
    <m/>
    <n v="2043700"/>
    <n v="2103800"/>
    <n v="1722400"/>
    <e v="#N/A"/>
    <x v="5"/>
    <x v="2"/>
    <s v="81"/>
    <x v="8"/>
    <x v="117"/>
    <x v="75"/>
    <s v="8169"/>
    <e v="#N/A"/>
    <m/>
    <s v="7"/>
    <x v="9"/>
    <s v="70"/>
    <e v="#N/A"/>
    <s v="700"/>
    <e v="#N/A"/>
  </r>
  <r>
    <n v="700"/>
    <n v="816900"/>
    <n v="1"/>
    <s v="1816900.700"/>
    <s v="פרויקט איכות הסביבה - הוצאות לפעולות"/>
    <m/>
    <m/>
    <n v="388600"/>
    <n v="400000"/>
    <n v="123500"/>
    <e v="#N/A"/>
    <x v="5"/>
    <x v="2"/>
    <s v="81"/>
    <x v="8"/>
    <x v="117"/>
    <x v="75"/>
    <s v="8169"/>
    <e v="#N/A"/>
    <m/>
    <s v="7"/>
    <x v="9"/>
    <s v="70"/>
    <e v="#N/A"/>
    <s v="700"/>
    <e v="#N/A"/>
  </r>
  <r>
    <n v="700"/>
    <n v="811160"/>
    <n v="1"/>
    <s v="1811160.700"/>
    <s v="רצף חינוכי-מל&quot;ל - הוצאות לפעולות"/>
    <m/>
    <m/>
    <n v="1413400"/>
    <n v="1455000"/>
    <n v="1574400"/>
    <e v="#N/A"/>
    <x v="5"/>
    <x v="2"/>
    <s v="81"/>
    <x v="8"/>
    <x v="114"/>
    <x v="17"/>
    <s v="8111"/>
    <e v="#N/A"/>
    <m/>
    <s v="7"/>
    <x v="9"/>
    <s v="70"/>
    <e v="#N/A"/>
    <s v="700"/>
    <e v="#N/A"/>
  </r>
  <r>
    <n v="200"/>
    <n v="817319"/>
    <n v="1"/>
    <s v="1817319.200"/>
    <s v="משתלם מ. קידום מחשבים - שכר לעובדים ארעיים"/>
    <m/>
    <m/>
    <n v="400000"/>
    <n v="400000"/>
    <n v="105700"/>
    <e v="#N/A"/>
    <x v="5"/>
    <x v="2"/>
    <s v="81"/>
    <x v="8"/>
    <x v="115"/>
    <x v="20"/>
    <s v="8173"/>
    <s v="שרות פסיכולוגי חינוכי"/>
    <m/>
    <s v="2"/>
    <x v="10"/>
    <s v="20"/>
    <e v="#N/A"/>
    <s v="200"/>
    <e v="#N/A"/>
  </r>
  <r>
    <n v="500"/>
    <n v="817319"/>
    <n v="1"/>
    <s v="1817319.500"/>
    <s v="משתלם מ. קידום מחשבים - הוצאות כלליות"/>
    <m/>
    <m/>
    <n v="805000"/>
    <n v="805000"/>
    <n v="648600"/>
    <e v="#N/A"/>
    <x v="5"/>
    <x v="2"/>
    <s v="81"/>
    <x v="8"/>
    <x v="115"/>
    <x v="20"/>
    <s v="8173"/>
    <s v="שרות פסיכולוגי חינוכי"/>
    <m/>
    <s v="5"/>
    <x v="12"/>
    <s v="50"/>
    <e v="#N/A"/>
    <s v="500"/>
    <e v="#N/A"/>
  </r>
  <r>
    <n v="100"/>
    <n v="811004"/>
    <n v="1"/>
    <s v="1811004.100"/>
    <s v="המחלקה לחשבונות ותקציבים - שכר לעובדים קבועים"/>
    <m/>
    <m/>
    <n v="2766700"/>
    <n v="2735700"/>
    <n v="2727800"/>
    <e v="#N/A"/>
    <x v="5"/>
    <x v="2"/>
    <s v="81"/>
    <x v="8"/>
    <x v="114"/>
    <x v="17"/>
    <s v="8110"/>
    <e v="#N/A"/>
    <m/>
    <s v="1"/>
    <x v="8"/>
    <s v="10"/>
    <e v="#N/A"/>
    <s v="100"/>
    <e v="#N/A"/>
  </r>
  <r>
    <n v="120"/>
    <n v="811004"/>
    <n v="1"/>
    <s v="1811004.120"/>
    <s v="המחלקה לחשבונות ותקציבים - שעות נוספות"/>
    <m/>
    <m/>
    <n v="22300"/>
    <n v="22300"/>
    <n v="29200"/>
    <e v="#N/A"/>
    <x v="5"/>
    <x v="2"/>
    <s v="81"/>
    <x v="8"/>
    <x v="114"/>
    <x v="17"/>
    <s v="8110"/>
    <e v="#N/A"/>
    <m/>
    <s v="1"/>
    <x v="8"/>
    <s v="12"/>
    <s v="תוספות שאינן נכללות בשכר הקובע"/>
    <s v="120"/>
    <e v="#N/A"/>
  </r>
  <r>
    <n v="700"/>
    <n v="811004"/>
    <n v="1"/>
    <s v="1811004.700"/>
    <s v="המחלקה לחשבונות ותקציבים - הוצאות לפעולות"/>
    <m/>
    <m/>
    <n v="36900"/>
    <n v="38000"/>
    <n v="33700"/>
    <e v="#N/A"/>
    <x v="5"/>
    <x v="2"/>
    <s v="81"/>
    <x v="8"/>
    <x v="114"/>
    <x v="17"/>
    <s v="8110"/>
    <e v="#N/A"/>
    <m/>
    <s v="7"/>
    <x v="9"/>
    <s v="70"/>
    <e v="#N/A"/>
    <s v="700"/>
    <e v="#N/A"/>
  </r>
  <r>
    <n v="700"/>
    <n v="817110"/>
    <n v="1"/>
    <s v="1817110.700"/>
    <s v="שרותים נוספים למוסדות חינוך (אגרת שרותים)‏ - הוצאות לפעולות"/>
    <m/>
    <m/>
    <n v="8290000"/>
    <n v="8440000"/>
    <n v="8998300"/>
    <e v="#N/A"/>
    <x v="5"/>
    <x v="2"/>
    <s v="81"/>
    <x v="8"/>
    <x v="115"/>
    <x v="20"/>
    <s v="8171"/>
    <s v="קב״ט שמירח ובטחון מוסדות חינוך"/>
    <m/>
    <s v="7"/>
    <x v="9"/>
    <s v="70"/>
    <e v="#N/A"/>
    <s v="700"/>
    <e v="#N/A"/>
  </r>
  <r>
    <n v="500"/>
    <n v="815390"/>
    <n v="1"/>
    <s v="1815390.500"/>
    <s v="ילדי חוץ - הוצאות כלליות"/>
    <m/>
    <m/>
    <n v="3400000"/>
    <n v="3500000"/>
    <n v="3204800"/>
    <e v="#N/A"/>
    <x v="5"/>
    <x v="2"/>
    <s v="81"/>
    <x v="8"/>
    <x v="118"/>
    <x v="21"/>
    <s v="8153"/>
    <s v="בתי״ס ערב על יסודיים"/>
    <m/>
    <s v="5"/>
    <x v="12"/>
    <s v="50"/>
    <e v="#N/A"/>
    <s v="500"/>
    <e v="#N/A"/>
  </r>
  <r>
    <n v="700"/>
    <n v="818820"/>
    <n v="1"/>
    <s v="1818820.700"/>
    <s v="מרכז לקידום למידה - הוצאות לפעולות"/>
    <m/>
    <m/>
    <n v="971400"/>
    <n v="1000000"/>
    <n v="850200"/>
    <e v="#N/A"/>
    <x v="5"/>
    <x v="2"/>
    <s v="81"/>
    <x v="8"/>
    <x v="93"/>
    <x v="65"/>
    <s v="8188"/>
    <e v="#N/A"/>
    <m/>
    <s v="7"/>
    <x v="9"/>
    <s v="70"/>
    <e v="#N/A"/>
    <s v="700"/>
    <e v="#N/A"/>
  </r>
  <r>
    <n v="700"/>
    <n v="813288"/>
    <n v="1"/>
    <s v="1813288.700"/>
    <s v="יוזמות חינוכיות - הוצאות לפעולות"/>
    <m/>
    <m/>
    <n v="412900"/>
    <n v="425000"/>
    <n v="1290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700"/>
    <n v="818300"/>
    <n v="1"/>
    <s v="1818300.700"/>
    <s v="השתלמויות ופרוייקטים - הוצאות לפעולות"/>
    <m/>
    <m/>
    <n v="477900"/>
    <n v="492000"/>
    <n v="468400"/>
    <e v="#N/A"/>
    <x v="5"/>
    <x v="2"/>
    <s v="81"/>
    <x v="8"/>
    <x v="93"/>
    <x v="65"/>
    <s v="8183"/>
    <e v="#N/A"/>
    <m/>
    <s v="7"/>
    <x v="9"/>
    <s v="70"/>
    <e v="#N/A"/>
    <s v="700"/>
    <e v="#N/A"/>
  </r>
  <r>
    <n v="500"/>
    <n v="817390"/>
    <n v="1"/>
    <s v="1817390.500"/>
    <s v="משתלם שרות פסיכולוגי - הוצאות כלליות"/>
    <m/>
    <m/>
    <n v="99000"/>
    <n v="99000"/>
    <n v="211300"/>
    <e v="#N/A"/>
    <x v="5"/>
    <x v="2"/>
    <s v="81"/>
    <x v="8"/>
    <x v="115"/>
    <x v="20"/>
    <s v="8173"/>
    <s v="שרות פסיכולוגי חינוכי"/>
    <m/>
    <s v="5"/>
    <x v="12"/>
    <s v="50"/>
    <e v="#N/A"/>
    <s v="500"/>
    <e v="#N/A"/>
  </r>
  <r>
    <n v="100"/>
    <n v="817300"/>
    <n v="1"/>
    <s v="1817300.100"/>
    <s v="השרות הפסיכולוגי - שכר לעובדים קבועים"/>
    <m/>
    <m/>
    <n v="8537700"/>
    <n v="8443700"/>
    <n v="8405500"/>
    <e v="#N/A"/>
    <x v="5"/>
    <x v="2"/>
    <s v="81"/>
    <x v="8"/>
    <x v="115"/>
    <x v="20"/>
    <s v="8173"/>
    <s v="שרות פסיכולוגי חינוכי"/>
    <m/>
    <s v="1"/>
    <x v="8"/>
    <s v="10"/>
    <e v="#N/A"/>
    <s v="100"/>
    <e v="#N/A"/>
  </r>
  <r>
    <n v="120"/>
    <n v="817300"/>
    <n v="1"/>
    <s v="1817300.120"/>
    <s v="השרות הפסיכולוגי - שעות נוספות"/>
    <m/>
    <m/>
    <n v="86300"/>
    <n v="86300"/>
    <n v="97600"/>
    <e v="#N/A"/>
    <x v="5"/>
    <x v="2"/>
    <s v="81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400"/>
    <n v="817300"/>
    <n v="1"/>
    <s v="1817300.400"/>
    <s v="השרות הפסיכולוגי - אחזקה אספקה וציוד"/>
    <m/>
    <m/>
    <n v="100000"/>
    <n v="100000"/>
    <n v="101300"/>
    <e v="#N/A"/>
    <x v="5"/>
    <x v="2"/>
    <s v="81"/>
    <x v="8"/>
    <x v="115"/>
    <x v="20"/>
    <s v="8173"/>
    <s v="שרות פסיכולוגי חינוכי"/>
    <m/>
    <s v="4"/>
    <x v="11"/>
    <s v="40"/>
    <e v="#N/A"/>
    <s v="400"/>
    <e v="#N/A"/>
  </r>
  <r>
    <n v="500"/>
    <n v="817300"/>
    <n v="1"/>
    <s v="1817300.500"/>
    <s v="השרות הפסיכולוגי - תחבורה ודואר"/>
    <m/>
    <m/>
    <n v="41500"/>
    <n v="41500"/>
    <n v="40500"/>
    <e v="#N/A"/>
    <x v="5"/>
    <x v="2"/>
    <s v="81"/>
    <x v="8"/>
    <x v="115"/>
    <x v="20"/>
    <s v="8173"/>
    <s v="שרות פסיכולוגי חינוכי"/>
    <m/>
    <s v="5"/>
    <x v="12"/>
    <s v="50"/>
    <e v="#N/A"/>
    <s v="500"/>
    <e v="#N/A"/>
  </r>
  <r>
    <n v="500"/>
    <n v="817300"/>
    <n v="1"/>
    <s v="1817300.500"/>
    <s v="השרות הפסיכולוגי - הוצאות כלליות"/>
    <m/>
    <m/>
    <n v="1000"/>
    <n v="1000"/>
    <n v="800"/>
    <e v="#N/A"/>
    <x v="5"/>
    <x v="2"/>
    <s v="81"/>
    <x v="8"/>
    <x v="115"/>
    <x v="20"/>
    <s v="8173"/>
    <s v="שרות פסיכולוגי חינוכי"/>
    <m/>
    <s v="5"/>
    <x v="12"/>
    <s v="50"/>
    <e v="#N/A"/>
    <s v="500"/>
    <e v="#N/A"/>
  </r>
  <r>
    <n v="700"/>
    <n v="817300"/>
    <n v="1"/>
    <s v="1817300.700"/>
    <s v="השרות הפסיכולוגי - הוצאות לפעולות"/>
    <m/>
    <m/>
    <n v="597700"/>
    <n v="619500"/>
    <n v="305200"/>
    <e v="#N/A"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100"/>
    <n v="813311"/>
    <n v="1"/>
    <s v="1813311.100"/>
    <s v="מטה תנופה לחינוך במיגזר הערבי - הנהלה - שכר לעובדים קבועים"/>
    <m/>
    <m/>
    <n v="566200"/>
    <n v="557800"/>
    <n v="5801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120"/>
    <n v="813311"/>
    <n v="1"/>
    <s v="1813311.120"/>
    <s v="מטה תנופה לחינוך במיגזר הערבי - הנהלה - שעות נוספות"/>
    <m/>
    <m/>
    <n v="31800"/>
    <n v="31800"/>
    <n v="34100"/>
    <e v="#N/A"/>
    <x v="5"/>
    <x v="2"/>
    <s v="81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700"/>
    <n v="813311"/>
    <n v="1"/>
    <s v="1813311.700"/>
    <s v="מטה תנופה לחינוך במיגזר הערבי - הנהלה - הוצאות לפעולות"/>
    <m/>
    <m/>
    <n v="8700"/>
    <n v="9000"/>
    <n v="7200"/>
    <e v="#N/A"/>
    <x v="5"/>
    <x v="2"/>
    <s v="81"/>
    <x v="8"/>
    <x v="116"/>
    <x v="19"/>
    <s v="8133"/>
    <s v="חינוך מיוחד"/>
    <m/>
    <s v="7"/>
    <x v="9"/>
    <s v="70"/>
    <e v="#N/A"/>
    <s v="700"/>
    <e v="#N/A"/>
  </r>
  <r>
    <n v="200"/>
    <n v="817360"/>
    <n v="1"/>
    <s v="1817360.200"/>
    <s v="תוכנית תנופה מגזר ערבי - שכר לעובדים ארעיים"/>
    <m/>
    <m/>
    <n v="95000"/>
    <n v="95400"/>
    <n v="88500"/>
    <e v="#N/A"/>
    <x v="5"/>
    <x v="2"/>
    <s v="81"/>
    <x v="8"/>
    <x v="115"/>
    <x v="20"/>
    <s v="8173"/>
    <s v="שרות פסיכולוגי חינוכי"/>
    <m/>
    <s v="2"/>
    <x v="10"/>
    <s v="20"/>
    <e v="#N/A"/>
    <s v="200"/>
    <e v="#N/A"/>
  </r>
  <r>
    <n v="700"/>
    <n v="817360"/>
    <n v="1"/>
    <s v="1817360.700"/>
    <s v="תוכנית תנופה מגזר ערבי - הוצאות לפעולות"/>
    <m/>
    <m/>
    <n v="1223000"/>
    <n v="1259000"/>
    <n v="1151700"/>
    <e v="#N/A"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100"/>
    <n v="813289"/>
    <n v="1"/>
    <s v="1813289.100"/>
    <s v="בית הספר חיוואר - שכר לעובדים קבועים"/>
    <m/>
    <m/>
    <n v="398000"/>
    <n v="394000"/>
    <n v="321500"/>
    <e v="#N/A"/>
    <x v="5"/>
    <x v="2"/>
    <s v="81"/>
    <x v="8"/>
    <x v="116"/>
    <x v="19"/>
    <s v="8132"/>
    <s v="בתי״ס יסודיים"/>
    <m/>
    <s v="1"/>
    <x v="8"/>
    <s v="10"/>
    <e v="#N/A"/>
    <s v="100"/>
    <e v="#N/A"/>
  </r>
  <r>
    <n v="800"/>
    <n v="818710"/>
    <n v="1"/>
    <s v="1818710.800"/>
    <s v="מרכז אחווה - השתתפויות תמיכות ותרומות"/>
    <m/>
    <m/>
    <n v="126300"/>
    <n v="130000"/>
    <n v="129700"/>
    <m/>
    <x v="5"/>
    <x v="2"/>
    <s v="81"/>
    <x v="8"/>
    <x v="93"/>
    <x v="65"/>
    <s v="8187"/>
    <e v="#N/A"/>
    <m/>
    <s v="8"/>
    <x v="13"/>
    <s v="80"/>
    <e v="#N/A"/>
    <s v="800"/>
    <e v="#N/A"/>
  </r>
  <r>
    <n v="800"/>
    <n v="818720"/>
    <n v="1"/>
    <s v="1818720.800"/>
    <s v="מרכז קהילתי חיפה ה.‏‏ - השתתפויות תמיכות ותרומות"/>
    <m/>
    <m/>
    <n v="116400"/>
    <n v="119800"/>
    <n v="119800"/>
    <e v="#N/A"/>
    <x v="5"/>
    <x v="2"/>
    <s v="81"/>
    <x v="8"/>
    <x v="93"/>
    <x v="65"/>
    <s v="8187"/>
    <e v="#N/A"/>
    <m/>
    <s v="8"/>
    <x v="13"/>
    <s v="80"/>
    <e v="#N/A"/>
    <s v="800"/>
    <e v="#N/A"/>
  </r>
  <r>
    <n v="100"/>
    <n v="815217"/>
    <n v="1"/>
    <s v="1815217.100"/>
    <s v="תיכון אלמותנאבי- שיזף - שכר לעובדים קבועים"/>
    <m/>
    <m/>
    <n v="9245500"/>
    <n v="9144500"/>
    <n v="8754300"/>
    <e v="#N/A"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17"/>
    <n v="1"/>
    <s v="1815217.120"/>
    <s v="תיכון אלמותנאבי- שיזף - שעות נוספות"/>
    <m/>
    <m/>
    <n v="5500"/>
    <n v="5500"/>
    <n v="7600"/>
    <e v="#N/A"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17"/>
    <n v="1"/>
    <s v="1815217.400"/>
    <s v="תיכון אלמותנאבי- שיזף - אחזקה אספקה וציוד"/>
    <m/>
    <m/>
    <n v="312100"/>
    <n v="320000"/>
    <n v="320500"/>
    <e v="#N/A"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17"/>
    <n v="1"/>
    <s v="1815217.700"/>
    <s v="תיכון אלמותנאבי- שיזף - הוצאות לפעולות"/>
    <m/>
    <m/>
    <n v="144500"/>
    <n v="150000"/>
    <n v="181100"/>
    <e v="#N/A"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540"/>
    <n v="1"/>
    <s v="1815540.100"/>
    <s v="תיכון חיפה ה - שכר לעובדים קבועים"/>
    <m/>
    <m/>
    <n v="2396000"/>
    <n v="688000"/>
    <n v="0"/>
    <e v="#N/A"/>
    <x v="5"/>
    <x v="2"/>
    <s v="81"/>
    <x v="8"/>
    <x v="118"/>
    <x v="21"/>
    <s v="8155"/>
    <s v="בתי״ס על יסודיים מקצועיים"/>
    <m/>
    <s v="1"/>
    <x v="8"/>
    <s v="10"/>
    <e v="#N/A"/>
    <s v="100"/>
    <e v="#N/A"/>
  </r>
  <r>
    <n v="700"/>
    <n v="815540"/>
    <n v="1"/>
    <s v="1815540.700"/>
    <s v="תיכון חיפה ה - הוצאות לפעולות"/>
    <m/>
    <m/>
    <n v="77700"/>
    <n v="80000"/>
    <n v="69400"/>
    <e v="#N/A"/>
    <x v="5"/>
    <x v="2"/>
    <s v="81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3310"/>
    <n v="1"/>
    <s v="1813310.100"/>
    <s v="חינוך מיוחד - הנהלה - שכר לעובדים קבועים"/>
    <m/>
    <m/>
    <n v="209000"/>
    <n v="207000"/>
    <n v="1927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100"/>
    <n v="813312"/>
    <n v="1"/>
    <s v="1813312.100"/>
    <s v="בתי&quot;ס מיוחדים - שכר לעובדים קבועים"/>
    <m/>
    <m/>
    <n v="2426400"/>
    <n v="2399400"/>
    <n v="23835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120"/>
    <n v="813312"/>
    <n v="1"/>
    <s v="1813312.120"/>
    <s v="בתי&quot;ס מיוחדים - שעות נוספות"/>
    <m/>
    <m/>
    <n v="3600"/>
    <n v="3600"/>
    <n v="4200"/>
    <e v="#N/A"/>
    <x v="5"/>
    <x v="2"/>
    <s v="81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400"/>
    <n v="813312"/>
    <n v="1"/>
    <s v="1813312.400"/>
    <s v="בתי&quot;ס מיוחדים - אחזקה אספקה וציוד"/>
    <m/>
    <m/>
    <n v="247000"/>
    <n v="247000"/>
    <n v="255700"/>
    <e v="#N/A"/>
    <x v="5"/>
    <x v="2"/>
    <s v="81"/>
    <x v="8"/>
    <x v="116"/>
    <x v="19"/>
    <s v="8133"/>
    <s v="חינוך מיוחד"/>
    <m/>
    <s v="4"/>
    <x v="11"/>
    <s v="40"/>
    <e v="#N/A"/>
    <s v="400"/>
    <e v="#N/A"/>
  </r>
  <r>
    <n v="500"/>
    <n v="813312"/>
    <n v="1"/>
    <s v="1813312.500"/>
    <s v="בתי&quot;ס מיוחדים - הוצאות כלליות"/>
    <m/>
    <m/>
    <n v="40000"/>
    <n v="40000"/>
    <n v="30900"/>
    <e v="#N/A"/>
    <x v="5"/>
    <x v="2"/>
    <s v="81"/>
    <x v="8"/>
    <x v="116"/>
    <x v="19"/>
    <s v="8133"/>
    <s v="חינוך מיוחד"/>
    <m/>
    <s v="5"/>
    <x v="12"/>
    <s v="50"/>
    <e v="#N/A"/>
    <s v="500"/>
    <e v="#N/A"/>
  </r>
  <r>
    <n v="700"/>
    <n v="813312"/>
    <n v="1"/>
    <s v="1813312.700"/>
    <s v="בתי&quot;ס מיוחדים - הוצאות לפעולות"/>
    <m/>
    <m/>
    <n v="514400"/>
    <n v="538000"/>
    <n v="486500"/>
    <e v="#N/A"/>
    <x v="5"/>
    <x v="2"/>
    <s v="81"/>
    <x v="8"/>
    <x v="116"/>
    <x v="19"/>
    <s v="8133"/>
    <s v="חינוך מיוחד"/>
    <m/>
    <s v="7"/>
    <x v="9"/>
    <s v="70"/>
    <e v="#N/A"/>
    <s v="700"/>
    <e v="#N/A"/>
  </r>
  <r>
    <n v="500"/>
    <n v="813390"/>
    <n v="1"/>
    <s v="1813390.500"/>
    <s v="משתלם בתי&quot;ס מיוחדים - הוצאות כלליות"/>
    <m/>
    <m/>
    <n v="410000"/>
    <n v="410000"/>
    <n v="336500"/>
    <e v="#N/A"/>
    <x v="5"/>
    <x v="2"/>
    <s v="81"/>
    <x v="8"/>
    <x v="116"/>
    <x v="19"/>
    <s v="8133"/>
    <s v="חינוך מיוחד"/>
    <m/>
    <s v="5"/>
    <x v="12"/>
    <s v="50"/>
    <e v="#N/A"/>
    <s v="500"/>
    <e v="#N/A"/>
  </r>
  <r>
    <n v="800"/>
    <n v="813390"/>
    <n v="1"/>
    <s v="1813390.800"/>
    <s v="משתלם בתי&quot;ס מיוחדים - השתתפויות תמיכות ותרומות"/>
    <m/>
    <m/>
    <n v="80000"/>
    <n v="80000"/>
    <n v="82000"/>
    <e v="#N/A"/>
    <x v="5"/>
    <x v="2"/>
    <s v="81"/>
    <x v="8"/>
    <x v="116"/>
    <x v="19"/>
    <s v="8133"/>
    <s v="חינוך מיוחד"/>
    <m/>
    <s v="8"/>
    <x v="13"/>
    <s v="80"/>
    <e v="#N/A"/>
    <s v="800"/>
    <e v="#N/A"/>
  </r>
  <r>
    <n v="100"/>
    <n v="813320"/>
    <n v="1"/>
    <s v="1813320.100"/>
    <s v="ביה&quot;ס אופקים - שכר לעובדים קבועים"/>
    <m/>
    <m/>
    <n v="765000"/>
    <n v="757000"/>
    <n v="7377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400"/>
    <n v="813320"/>
    <n v="1"/>
    <s v="1813320.400"/>
    <s v="ביה&quot;ס אופקים - אחזקה אספקה וציוד"/>
    <m/>
    <m/>
    <n v="90300"/>
    <n v="95000"/>
    <n v="106800"/>
    <e v="#N/A"/>
    <x v="5"/>
    <x v="2"/>
    <s v="81"/>
    <x v="8"/>
    <x v="116"/>
    <x v="19"/>
    <s v="8133"/>
    <s v="חינוך מיוחד"/>
    <m/>
    <s v="4"/>
    <x v="11"/>
    <s v="40"/>
    <e v="#N/A"/>
    <s v="400"/>
    <e v="#N/A"/>
  </r>
  <r>
    <n v="700"/>
    <n v="813320"/>
    <n v="1"/>
    <s v="1813320.700"/>
    <s v="ביה&quot;ס אופקים - הוצאות לפעולות"/>
    <m/>
    <m/>
    <n v="70000"/>
    <n v="70000"/>
    <n v="70000"/>
    <e v="#N/A"/>
    <x v="5"/>
    <x v="2"/>
    <s v="81"/>
    <x v="8"/>
    <x v="116"/>
    <x v="19"/>
    <s v="8133"/>
    <s v="חינוך מיוחד"/>
    <m/>
    <s v="7"/>
    <x v="9"/>
    <s v="70"/>
    <e v="#N/A"/>
    <s v="700"/>
    <e v="#N/A"/>
  </r>
  <r>
    <n v="100"/>
    <n v="813314"/>
    <n v="1"/>
    <s v="1813314.100"/>
    <s v="מתי&quot;א - שכר לעובדים קבועים"/>
    <m/>
    <m/>
    <n v="347100"/>
    <n v="343100"/>
    <n v="415600"/>
    <e v="#N/A"/>
    <x v="5"/>
    <x v="2"/>
    <s v="81"/>
    <x v="8"/>
    <x v="116"/>
    <x v="19"/>
    <s v="8133"/>
    <s v="חינוך מיוחד"/>
    <m/>
    <s v="1"/>
    <x v="8"/>
    <s v="10"/>
    <e v="#N/A"/>
    <s v="100"/>
    <e v="#N/A"/>
  </r>
  <r>
    <n v="120"/>
    <n v="813314"/>
    <n v="1"/>
    <s v="1813314.120"/>
    <s v="מתי&quot;א - שעות נוספות"/>
    <m/>
    <m/>
    <n v="900"/>
    <n v="900"/>
    <n v="800"/>
    <e v="#N/A"/>
    <x v="5"/>
    <x v="2"/>
    <s v="81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400"/>
    <n v="813330"/>
    <n v="1"/>
    <s v="1813330.400"/>
    <s v="בי&quot;ס עופר - אחזקה אספקה וציוד"/>
    <m/>
    <m/>
    <n v="116700"/>
    <n v="119300"/>
    <n v="194200"/>
    <e v="#N/A"/>
    <x v="5"/>
    <x v="2"/>
    <s v="81"/>
    <x v="8"/>
    <x v="116"/>
    <x v="19"/>
    <s v="8133"/>
    <s v="חינוך מיוחד"/>
    <m/>
    <s v="4"/>
    <x v="11"/>
    <s v="40"/>
    <e v="#N/A"/>
    <s v="400"/>
    <e v="#N/A"/>
  </r>
  <r>
    <n v="700"/>
    <n v="813330"/>
    <n v="1"/>
    <s v="1813330.700"/>
    <s v="בי&quot;ס עופר - הוצאות לפעולות"/>
    <m/>
    <m/>
    <n v="93700"/>
    <n v="97300"/>
    <n v="93400"/>
    <e v="#N/A"/>
    <x v="5"/>
    <x v="2"/>
    <s v="81"/>
    <x v="8"/>
    <x v="116"/>
    <x v="19"/>
    <s v="8133"/>
    <s v="חינוך מיוחד"/>
    <m/>
    <s v="7"/>
    <x v="9"/>
    <s v="70"/>
    <e v="#N/A"/>
    <s v="700"/>
    <e v="#N/A"/>
  </r>
  <r>
    <n v="700"/>
    <n v="813316"/>
    <n v="1"/>
    <s v="1813316.700"/>
    <s v="הזנה חינוך מיוחד - הוצאות לפעולות"/>
    <m/>
    <m/>
    <n v="2331500"/>
    <n v="2650000"/>
    <n v="2300400"/>
    <e v="#N/A"/>
    <x v="5"/>
    <x v="2"/>
    <s v="81"/>
    <x v="8"/>
    <x v="116"/>
    <x v="19"/>
    <s v="8133"/>
    <s v="חינוך מיוחד"/>
    <m/>
    <s v="7"/>
    <x v="9"/>
    <s v="70"/>
    <e v="#N/A"/>
    <s v="700"/>
    <e v="#N/A"/>
  </r>
  <r>
    <n v="100"/>
    <n v="812210"/>
    <n v="1"/>
    <s v="1812210.100"/>
    <s v="המחלקה לחינוך קדם יסודי - שכר לעובדים קבועים"/>
    <m/>
    <m/>
    <n v="3473400"/>
    <n v="3177400"/>
    <n v="2876600"/>
    <e v="#N/A"/>
    <x v="5"/>
    <x v="2"/>
    <s v="81"/>
    <x v="8"/>
    <x v="119"/>
    <x v="18"/>
    <s v="8122"/>
    <s v="גני ילדים גיל חובה"/>
    <m/>
    <s v="1"/>
    <x v="8"/>
    <s v="10"/>
    <e v="#N/A"/>
    <s v="100"/>
    <e v="#N/A"/>
  </r>
  <r>
    <n v="120"/>
    <n v="812210"/>
    <n v="1"/>
    <s v="1812210.120"/>
    <s v="המחלקה לחינוך קדם יסודי - שעות נוספות"/>
    <m/>
    <m/>
    <n v="78600"/>
    <n v="78600"/>
    <n v="102500"/>
    <e v="#N/A"/>
    <x v="5"/>
    <x v="2"/>
    <s v="81"/>
    <x v="8"/>
    <x v="119"/>
    <x v="18"/>
    <s v="8122"/>
    <s v="גני ילדים גיל חובה"/>
    <m/>
    <s v="1"/>
    <x v="8"/>
    <s v="12"/>
    <s v="תוספות שאינן נכללות בשכר הקובע"/>
    <s v="120"/>
    <e v="#N/A"/>
  </r>
  <r>
    <n v="700"/>
    <n v="812210"/>
    <n v="1"/>
    <s v="1812210.700"/>
    <s v="המחלקה לחינוך קדם יסודי - הוצאות לפעולות"/>
    <m/>
    <m/>
    <n v="21900"/>
    <n v="22500"/>
    <n v="2260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500"/>
    <n v="812229"/>
    <n v="1"/>
    <s v="1812229.500"/>
    <s v="משתלם גני ילדים - הוצאות כלליות"/>
    <m/>
    <m/>
    <n v="300000"/>
    <n v="300000"/>
    <n v="128200"/>
    <e v="#N/A"/>
    <x v="5"/>
    <x v="2"/>
    <s v="81"/>
    <x v="8"/>
    <x v="119"/>
    <x v="18"/>
    <s v="8122"/>
    <s v="גני ילדים גיל חובה"/>
    <m/>
    <s v="5"/>
    <x v="12"/>
    <s v="50"/>
    <e v="#N/A"/>
    <s v="500"/>
    <e v="#N/A"/>
  </r>
  <r>
    <n v="100"/>
    <n v="812220"/>
    <n v="1"/>
    <s v="1812220.100"/>
    <s v="גני ילדים - שכר לעובדים קבועים"/>
    <m/>
    <m/>
    <n v="43783300"/>
    <n v="39159300"/>
    <n v="35879000"/>
    <e v="#N/A"/>
    <x v="5"/>
    <x v="2"/>
    <s v="81"/>
    <x v="8"/>
    <x v="119"/>
    <x v="18"/>
    <s v="8122"/>
    <s v="גני ילדים גיל חובה"/>
    <m/>
    <s v="1"/>
    <x v="8"/>
    <s v="10"/>
    <e v="#N/A"/>
    <s v="100"/>
    <e v="#N/A"/>
  </r>
  <r>
    <n v="120"/>
    <n v="812220"/>
    <n v="1"/>
    <s v="1812220.120"/>
    <s v="גני ילדים - שעות נוספות"/>
    <m/>
    <m/>
    <n v="22700"/>
    <n v="22700"/>
    <n v="13800"/>
    <e v="#N/A"/>
    <x v="5"/>
    <x v="2"/>
    <s v="81"/>
    <x v="8"/>
    <x v="119"/>
    <x v="18"/>
    <s v="8122"/>
    <s v="גני ילדים גיל חובה"/>
    <m/>
    <s v="1"/>
    <x v="8"/>
    <s v="12"/>
    <s v="תוספות שאינן נכללות בשכר הקובע"/>
    <s v="120"/>
    <e v="#N/A"/>
  </r>
  <r>
    <n v="400"/>
    <n v="812220"/>
    <n v="1"/>
    <s v="1812220.400"/>
    <s v="גני ילדים - אחזקה אספקה וציוד"/>
    <m/>
    <m/>
    <n v="2434000"/>
    <n v="2434000"/>
    <n v="2458500"/>
    <e v="#N/A"/>
    <x v="5"/>
    <x v="2"/>
    <s v="81"/>
    <x v="8"/>
    <x v="119"/>
    <x v="18"/>
    <s v="8122"/>
    <s v="גני ילדים גיל חובה"/>
    <m/>
    <s v="4"/>
    <x v="11"/>
    <s v="40"/>
    <e v="#N/A"/>
    <s v="400"/>
    <e v="#N/A"/>
  </r>
  <r>
    <n v="500"/>
    <n v="812220"/>
    <n v="1"/>
    <s v="1812220.500"/>
    <s v="גני ילדים - תחבורה ודואר"/>
    <m/>
    <m/>
    <n v="430000"/>
    <n v="430000"/>
    <n v="402100"/>
    <e v="#N/A"/>
    <x v="5"/>
    <x v="2"/>
    <s v="81"/>
    <x v="8"/>
    <x v="119"/>
    <x v="18"/>
    <s v="8122"/>
    <s v="גני ילדים גיל חובה"/>
    <m/>
    <s v="5"/>
    <x v="12"/>
    <s v="50"/>
    <e v="#N/A"/>
    <s v="500"/>
    <e v="#N/A"/>
  </r>
  <r>
    <n v="500"/>
    <n v="812220"/>
    <n v="1"/>
    <s v="1812220.500"/>
    <s v="גני ילדים - הוצאות כלליות"/>
    <m/>
    <m/>
    <n v="129000"/>
    <n v="129000"/>
    <n v="137700"/>
    <e v="#N/A"/>
    <x v="5"/>
    <x v="2"/>
    <s v="81"/>
    <x v="8"/>
    <x v="119"/>
    <x v="18"/>
    <s v="8122"/>
    <s v="גני ילדים גיל חובה"/>
    <m/>
    <s v="5"/>
    <x v="12"/>
    <s v="50"/>
    <e v="#N/A"/>
    <s v="500"/>
    <e v="#N/A"/>
  </r>
  <r>
    <n v="700"/>
    <n v="812220"/>
    <n v="1"/>
    <s v="1812220.700"/>
    <s v="גני ילדים - הוצאות לפעולות"/>
    <m/>
    <m/>
    <n v="33840000"/>
    <n v="34923000"/>
    <n v="3910800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400"/>
    <n v="812221"/>
    <n v="1"/>
    <s v="1812221.400"/>
    <s v="גן הילד - אחזקה אספקה וציוד"/>
    <m/>
    <m/>
    <n v="5000"/>
    <n v="5000"/>
    <n v="5000"/>
    <e v="#N/A"/>
    <x v="5"/>
    <x v="2"/>
    <s v="81"/>
    <x v="8"/>
    <x v="119"/>
    <x v="18"/>
    <s v="8122"/>
    <s v="גני ילדים גיל חובה"/>
    <m/>
    <s v="4"/>
    <x v="11"/>
    <s v="40"/>
    <e v="#N/A"/>
    <s v="400"/>
    <e v="#N/A"/>
  </r>
  <r>
    <n v="500"/>
    <n v="812221"/>
    <n v="1"/>
    <s v="1812221.500"/>
    <s v="גן הילד - תחבורה ודואר"/>
    <m/>
    <m/>
    <n v="5000"/>
    <n v="5000"/>
    <n v="5000"/>
    <e v="#N/A"/>
    <x v="5"/>
    <x v="2"/>
    <s v="81"/>
    <x v="8"/>
    <x v="119"/>
    <x v="18"/>
    <s v="8122"/>
    <s v="גני ילדים גיל חובה"/>
    <m/>
    <s v="5"/>
    <x v="12"/>
    <s v="50"/>
    <e v="#N/A"/>
    <s v="500"/>
    <e v="#N/A"/>
  </r>
  <r>
    <n v="700"/>
    <n v="812221"/>
    <n v="1"/>
    <s v="1812221.700"/>
    <s v="גן הילד - הוצאות לפעולות"/>
    <m/>
    <m/>
    <n v="28900"/>
    <n v="30000"/>
    <n v="3000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100"/>
    <n v="812222"/>
    <n v="1"/>
    <s v="1812222.100"/>
    <s v="הורים במרכז - שכר לעובדים קבועים"/>
    <m/>
    <m/>
    <n v="180000"/>
    <n v="0"/>
    <n v="0"/>
    <e v="#N/A"/>
    <x v="5"/>
    <x v="2"/>
    <s v="81"/>
    <x v="8"/>
    <x v="119"/>
    <x v="18"/>
    <s v="8122"/>
    <s v="גני ילדים גיל חובה"/>
    <m/>
    <s v="1"/>
    <x v="8"/>
    <s v="10"/>
    <e v="#N/A"/>
    <s v="100"/>
    <e v="#N/A"/>
  </r>
  <r>
    <n v="700"/>
    <n v="812222"/>
    <n v="1"/>
    <s v="1812222.700"/>
    <s v="הורים במרכז - הוצאות לפעולות"/>
    <m/>
    <m/>
    <n v="388600"/>
    <n v="400000"/>
    <n v="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700"/>
    <n v="812223"/>
    <n v="1"/>
    <s v="1812223.700"/>
    <s v="איתור וליווי בגיל הרך - הוצאות לפעולות"/>
    <m/>
    <m/>
    <n v="1389200"/>
    <n v="1430000"/>
    <n v="128000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100"/>
    <n v="813210"/>
    <n v="1"/>
    <s v="1813210.100"/>
    <s v="המחלקה לחינוך יסודי - שכר לעובדים קבועים"/>
    <m/>
    <m/>
    <n v="2691200"/>
    <n v="2660200"/>
    <n v="2386300"/>
    <e v="#N/A"/>
    <x v="5"/>
    <x v="2"/>
    <s v="81"/>
    <x v="8"/>
    <x v="116"/>
    <x v="19"/>
    <s v="8132"/>
    <s v="בתי״ס יסודיים"/>
    <m/>
    <s v="1"/>
    <x v="8"/>
    <s v="10"/>
    <e v="#N/A"/>
    <s v="100"/>
    <e v="#N/A"/>
  </r>
  <r>
    <n v="120"/>
    <n v="813210"/>
    <n v="1"/>
    <s v="1813210.120"/>
    <s v="המחלקה לחינוך יסודי - שעות נוספות"/>
    <m/>
    <m/>
    <n v="95800"/>
    <n v="95800"/>
    <n v="122900"/>
    <n v="10217"/>
    <x v="5"/>
    <x v="2"/>
    <s v="81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700"/>
    <n v="813210"/>
    <n v="1"/>
    <s v="1813210.700"/>
    <s v="המחלקה לחינוך יסודי - הוצאות לפעולות"/>
    <m/>
    <m/>
    <n v="29100"/>
    <n v="30000"/>
    <n v="328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200"/>
    <n v="813290"/>
    <n v="1"/>
    <s v="1813290.200"/>
    <s v="משתלם חינוך יסודי - שכר לעובדים ארעיים"/>
    <m/>
    <m/>
    <n v="84400"/>
    <n v="84400"/>
    <n v="449400"/>
    <e v="#N/A"/>
    <x v="5"/>
    <x v="2"/>
    <s v="81"/>
    <x v="8"/>
    <x v="116"/>
    <x v="19"/>
    <s v="8132"/>
    <s v="בתי״ס יסודיים"/>
    <m/>
    <s v="2"/>
    <x v="10"/>
    <s v="20"/>
    <e v="#N/A"/>
    <s v="200"/>
    <e v="#N/A"/>
  </r>
  <r>
    <n v="120"/>
    <n v="813290"/>
    <n v="1"/>
    <s v="1813290.120"/>
    <s v="משתלם חינוך יסודי - שעות נוספות"/>
    <m/>
    <m/>
    <n v="15600"/>
    <n v="15600"/>
    <n v="48900"/>
    <e v="#N/A"/>
    <x v="5"/>
    <x v="2"/>
    <s v="81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500"/>
    <n v="813290"/>
    <n v="1"/>
    <s v="1813290.500"/>
    <s v="משתלם חינוך יסודי - הוצאות כלליות"/>
    <m/>
    <m/>
    <n v="3381000"/>
    <n v="3381000"/>
    <n v="2796900"/>
    <e v="#N/A"/>
    <x v="5"/>
    <x v="2"/>
    <s v="81"/>
    <x v="8"/>
    <x v="116"/>
    <x v="19"/>
    <s v="8132"/>
    <s v="בתי״ס יסודיים"/>
    <m/>
    <s v="5"/>
    <x v="12"/>
    <s v="50"/>
    <e v="#N/A"/>
    <s v="500"/>
    <e v="#N/A"/>
  </r>
  <r>
    <n v="100"/>
    <n v="811120"/>
    <n v="1"/>
    <s v="1811120.100"/>
    <s v="היחידה לועדות השמה - שכר לעובדים קבועים"/>
    <m/>
    <m/>
    <n v="534000"/>
    <n v="593000"/>
    <n v="531200"/>
    <e v="#N/A"/>
    <x v="5"/>
    <x v="2"/>
    <s v="81"/>
    <x v="8"/>
    <x v="114"/>
    <x v="17"/>
    <s v="8111"/>
    <e v="#N/A"/>
    <m/>
    <s v="1"/>
    <x v="8"/>
    <s v="10"/>
    <e v="#N/A"/>
    <s v="100"/>
    <e v="#N/A"/>
  </r>
  <r>
    <n v="120"/>
    <n v="811120"/>
    <n v="1"/>
    <s v="1811120.120"/>
    <s v="היחידה לועדות השמה - שעות נוספות"/>
    <m/>
    <m/>
    <n v="10000"/>
    <n v="10000"/>
    <n v="8600"/>
    <e v="#N/A"/>
    <x v="5"/>
    <x v="2"/>
    <s v="81"/>
    <x v="8"/>
    <x v="114"/>
    <x v="17"/>
    <s v="8111"/>
    <e v="#N/A"/>
    <m/>
    <s v="1"/>
    <x v="8"/>
    <s v="12"/>
    <s v="תוספות שאינן נכללות בשכר הקובע"/>
    <s v="120"/>
    <e v="#N/A"/>
  </r>
  <r>
    <n v="500"/>
    <n v="811120"/>
    <n v="1"/>
    <s v="1811120.500"/>
    <s v="היחידה לועדות השמה - הוצאות כלליות"/>
    <m/>
    <m/>
    <n v="4000"/>
    <n v="4000"/>
    <n v="0"/>
    <m/>
    <x v="5"/>
    <x v="2"/>
    <s v="81"/>
    <x v="8"/>
    <x v="114"/>
    <x v="17"/>
    <s v="8111"/>
    <e v="#N/A"/>
    <m/>
    <s v="5"/>
    <x v="12"/>
    <s v="50"/>
    <e v="#N/A"/>
    <s v="500"/>
    <e v="#N/A"/>
  </r>
  <r>
    <n v="700"/>
    <n v="811120"/>
    <n v="1"/>
    <s v="1811120.700"/>
    <s v="היחידה לועדות השמה - הוצאות לפעולות"/>
    <m/>
    <m/>
    <n v="7900"/>
    <n v="8200"/>
    <n v="7600"/>
    <e v="#N/A"/>
    <x v="5"/>
    <x v="2"/>
    <s v="81"/>
    <x v="8"/>
    <x v="114"/>
    <x v="17"/>
    <s v="8111"/>
    <e v="#N/A"/>
    <m/>
    <s v="7"/>
    <x v="9"/>
    <s v="70"/>
    <e v="#N/A"/>
    <s v="700"/>
    <e v="#N/A"/>
  </r>
  <r>
    <n v="100"/>
    <n v="813220"/>
    <n v="1"/>
    <s v="1813220.100"/>
    <s v="בתי ספר יסודיים - שכר לעובדים קבועים"/>
    <m/>
    <m/>
    <n v="5813100"/>
    <n v="5749100"/>
    <n v="5273600"/>
    <e v="#N/A"/>
    <x v="5"/>
    <x v="2"/>
    <s v="81"/>
    <x v="8"/>
    <x v="116"/>
    <x v="19"/>
    <s v="8132"/>
    <s v="בתי״ס יסודיים"/>
    <m/>
    <s v="1"/>
    <x v="8"/>
    <s v="10"/>
    <e v="#N/A"/>
    <s v="100"/>
    <e v="#N/A"/>
  </r>
  <r>
    <n v="120"/>
    <n v="813220"/>
    <n v="1"/>
    <s v="1813220.120"/>
    <s v="בתי ספר יסודיים - שעות נוספות"/>
    <m/>
    <m/>
    <n v="14900"/>
    <n v="14900"/>
    <n v="11700"/>
    <e v="#N/A"/>
    <x v="5"/>
    <x v="2"/>
    <s v="81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400"/>
    <n v="813220"/>
    <n v="1"/>
    <s v="1813220.400"/>
    <s v="בתי ספר יסודיים - אחזקה אספקה וציוד"/>
    <m/>
    <m/>
    <n v="190000"/>
    <n v="190000"/>
    <n v="294000"/>
    <e v="#N/A"/>
    <x v="5"/>
    <x v="2"/>
    <s v="81"/>
    <x v="8"/>
    <x v="116"/>
    <x v="19"/>
    <s v="8132"/>
    <s v="בתי״ס יסודיים"/>
    <m/>
    <s v="4"/>
    <x v="11"/>
    <s v="40"/>
    <e v="#N/A"/>
    <s v="400"/>
    <e v="#N/A"/>
  </r>
  <r>
    <n v="700"/>
    <n v="813220"/>
    <n v="1"/>
    <s v="1813220.700"/>
    <s v="בתי ספר יסודיים - הוצאות לפעולות"/>
    <m/>
    <m/>
    <n v="729000"/>
    <n v="756000"/>
    <n v="6479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100"/>
    <n v="813221"/>
    <n v="1"/>
    <s v="1813221.100"/>
    <s v="בתי&quot;ס יסודיים‏ נ י ה ו ל ע צ מ י - שכר לעובדים קבועים"/>
    <m/>
    <m/>
    <n v="28369100"/>
    <n v="29739100"/>
    <n v="29427200"/>
    <e v="#N/A"/>
    <x v="5"/>
    <x v="2"/>
    <s v="81"/>
    <x v="8"/>
    <x v="116"/>
    <x v="19"/>
    <s v="8132"/>
    <s v="בתי״ס יסודיים"/>
    <m/>
    <s v="1"/>
    <x v="8"/>
    <s v="10"/>
    <e v="#N/A"/>
    <s v="100"/>
    <e v="#N/A"/>
  </r>
  <r>
    <n v="120"/>
    <n v="813221"/>
    <n v="1"/>
    <s v="1813221.120"/>
    <s v="בתי&quot;ס יסודיים‏ נ י ה ו ל ע צ מ י - שעות נוספות"/>
    <m/>
    <m/>
    <n v="22900"/>
    <n v="22900"/>
    <n v="39600"/>
    <n v="107925"/>
    <x v="5"/>
    <x v="2"/>
    <s v="81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400"/>
    <n v="813221"/>
    <n v="1"/>
    <s v="1813221.400"/>
    <s v="בתי&quot;ס יסודיים‏ נ י ה ו ל ע צ מ י - אחזקה אספקה וציוד"/>
    <m/>
    <m/>
    <n v="4560300"/>
    <n v="4686900"/>
    <n v="4900000"/>
    <e v="#N/A"/>
    <x v="5"/>
    <x v="2"/>
    <s v="81"/>
    <x v="8"/>
    <x v="116"/>
    <x v="19"/>
    <s v="8132"/>
    <s v="בתי״ס יסודיים"/>
    <m/>
    <s v="4"/>
    <x v="11"/>
    <s v="40"/>
    <e v="#N/A"/>
    <s v="400"/>
    <e v="#N/A"/>
  </r>
  <r>
    <n v="500"/>
    <n v="813221"/>
    <n v="1"/>
    <s v="1813221.500"/>
    <s v="בתי&quot;ס יסודיים‏ נ י ה ו ל ע צ מ י - תחבורה ודואר"/>
    <m/>
    <m/>
    <n v="2908400"/>
    <n v="2998400"/>
    <n v="2749000"/>
    <e v="#N/A"/>
    <x v="5"/>
    <x v="2"/>
    <s v="81"/>
    <x v="8"/>
    <x v="116"/>
    <x v="19"/>
    <s v="8132"/>
    <s v="בתי״ס יסודיים"/>
    <m/>
    <s v="5"/>
    <x v="12"/>
    <s v="50"/>
    <e v="#N/A"/>
    <s v="500"/>
    <e v="#N/A"/>
  </r>
  <r>
    <n v="500"/>
    <n v="813221"/>
    <n v="1"/>
    <s v="1813221.500"/>
    <s v="בתי&quot;ס יסודיים‏ נ י ה ו ל ע צ מ י - הוצאות כלליות"/>
    <m/>
    <m/>
    <n v="1325000"/>
    <n v="1366000"/>
    <n v="1316000"/>
    <e v="#N/A"/>
    <x v="5"/>
    <x v="2"/>
    <s v="81"/>
    <x v="8"/>
    <x v="116"/>
    <x v="19"/>
    <s v="8132"/>
    <s v="בתי״ס יסודיים"/>
    <m/>
    <s v="5"/>
    <x v="12"/>
    <s v="50"/>
    <e v="#N/A"/>
    <s v="500"/>
    <e v="#N/A"/>
  </r>
  <r>
    <n v="700"/>
    <n v="813221"/>
    <n v="1"/>
    <s v="1813221.700"/>
    <s v="בתי&quot;ס יסודיים‏ נ י ה ו ל ע צ מ י - הוצאות לפעולות"/>
    <m/>
    <m/>
    <n v="163100"/>
    <n v="167800"/>
    <n v="1795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800"/>
    <n v="813221"/>
    <n v="1"/>
    <s v="1813221.800"/>
    <s v="בתי&quot;ס יסודיים‏ נ י ה ו ל ע צ מ י - השתתפויות תמיכות ותרומות"/>
    <m/>
    <m/>
    <n v="705000"/>
    <n v="726800"/>
    <n v="680000"/>
    <e v="#N/A"/>
    <x v="5"/>
    <x v="2"/>
    <s v="81"/>
    <x v="8"/>
    <x v="116"/>
    <x v="19"/>
    <s v="8132"/>
    <s v="בתי״ס יסודיים"/>
    <m/>
    <s v="8"/>
    <x v="13"/>
    <s v="80"/>
    <e v="#N/A"/>
    <s v="800"/>
    <e v="#N/A"/>
  </r>
  <r>
    <n v="200"/>
    <n v="819000"/>
    <n v="1"/>
    <s v="1819000.200"/>
    <s v="משתלם בתי&quot;ס בניהול עצמי - שכר לעובדים ארעיים"/>
    <m/>
    <m/>
    <n v="1286000"/>
    <n v="1286000"/>
    <n v="1469100"/>
    <e v="#N/A"/>
    <x v="5"/>
    <x v="2"/>
    <s v="81"/>
    <x v="8"/>
    <x v="120"/>
    <x v="76"/>
    <s v="8190"/>
    <e v="#N/A"/>
    <m/>
    <s v="2"/>
    <x v="10"/>
    <s v="20"/>
    <e v="#N/A"/>
    <s v="200"/>
    <e v="#N/A"/>
  </r>
  <r>
    <n v="500"/>
    <n v="819000"/>
    <n v="1"/>
    <s v="1819000.500"/>
    <s v="משתלם בתי&quot;ס בניהול עצמי - הוצאות כלליות"/>
    <m/>
    <m/>
    <n v="77000"/>
    <n v="77000"/>
    <n v="84400"/>
    <e v="#N/A"/>
    <x v="5"/>
    <x v="2"/>
    <s v="81"/>
    <x v="8"/>
    <x v="120"/>
    <x v="76"/>
    <s v="8190"/>
    <e v="#N/A"/>
    <m/>
    <s v="5"/>
    <x v="12"/>
    <s v="50"/>
    <e v="#N/A"/>
    <s v="500"/>
    <e v="#N/A"/>
  </r>
  <r>
    <n v="200"/>
    <n v="818490"/>
    <n v="1"/>
    <s v="1818490.200"/>
    <s v="משתלם בתי&quot;ס משולבים - שכר לעובדים ארעיים"/>
    <m/>
    <m/>
    <n v="350000"/>
    <n v="350000"/>
    <n v="455900"/>
    <e v="#N/A"/>
    <x v="5"/>
    <x v="2"/>
    <s v="81"/>
    <x v="8"/>
    <x v="93"/>
    <x v="65"/>
    <s v="8184"/>
    <e v="#N/A"/>
    <m/>
    <s v="2"/>
    <x v="10"/>
    <s v="20"/>
    <e v="#N/A"/>
    <s v="200"/>
    <e v="#N/A"/>
  </r>
  <r>
    <n v="500"/>
    <n v="818490"/>
    <n v="1"/>
    <s v="1818490.500"/>
    <s v="משתלם בתי&quot;ס משולבים - הוצאות כלליות"/>
    <m/>
    <m/>
    <n v="140000"/>
    <n v="140000"/>
    <n v="7500"/>
    <e v="#N/A"/>
    <x v="5"/>
    <x v="2"/>
    <s v="81"/>
    <x v="8"/>
    <x v="93"/>
    <x v="65"/>
    <s v="8184"/>
    <e v="#N/A"/>
    <m/>
    <s v="5"/>
    <x v="12"/>
    <s v="50"/>
    <e v="#N/A"/>
    <s v="500"/>
    <e v="#N/A"/>
  </r>
  <r>
    <n v="700"/>
    <n v="812255"/>
    <n v="1"/>
    <s v="1812255.700"/>
    <s v="סל תרבות - הוצאות לפעולות"/>
    <m/>
    <m/>
    <n v="2136200"/>
    <n v="2199000"/>
    <n v="2606100"/>
    <e v="#N/A"/>
    <x v="5"/>
    <x v="2"/>
    <s v="81"/>
    <x v="8"/>
    <x v="119"/>
    <x v="18"/>
    <s v="8122"/>
    <s v="גני ילדים גיל חובה"/>
    <m/>
    <s v="7"/>
    <x v="9"/>
    <s v="70"/>
    <e v="#N/A"/>
    <s v="700"/>
    <e v="#N/A"/>
  </r>
  <r>
    <n v="700"/>
    <n v="817380"/>
    <n v="1"/>
    <s v="1817380.700"/>
    <s v="פעולות חברה - הוצאות לפעולות"/>
    <m/>
    <m/>
    <n v="1394000"/>
    <n v="1595000"/>
    <n v="1232700"/>
    <e v="#N/A"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700"/>
    <n v="813270"/>
    <n v="1"/>
    <s v="1813270.700"/>
    <s v="בתי&quot;ס יחודיים - הוצאות לפעולות"/>
    <m/>
    <m/>
    <n v="242900"/>
    <n v="250000"/>
    <n v="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700"/>
    <n v="811703"/>
    <n v="1"/>
    <s v="1811703.700"/>
    <s v="בי&quot;ס להורים - הוצאות לפעולות"/>
    <m/>
    <m/>
    <n v="1068600"/>
    <n v="1100000"/>
    <n v="863800"/>
    <e v="#N/A"/>
    <x v="5"/>
    <x v="2"/>
    <s v="81"/>
    <x v="8"/>
    <x v="114"/>
    <x v="17"/>
    <s v="8117"/>
    <e v="#N/A"/>
    <m/>
    <s v="7"/>
    <x v="9"/>
    <s v="70"/>
    <e v="#N/A"/>
    <s v="700"/>
    <e v="#N/A"/>
  </r>
  <r>
    <n v="700"/>
    <n v="818100"/>
    <n v="1"/>
    <s v="1818100.700"/>
    <s v="בתי תלמיד -חינוך משלים - הוצאות לפעולות"/>
    <m/>
    <m/>
    <n v="388600"/>
    <n v="400000"/>
    <n v="400000"/>
    <e v="#N/A"/>
    <x v="5"/>
    <x v="2"/>
    <s v="81"/>
    <x v="8"/>
    <x v="93"/>
    <x v="65"/>
    <s v="8181"/>
    <e v="#N/A"/>
    <m/>
    <s v="7"/>
    <x v="9"/>
    <s v="70"/>
    <e v="#N/A"/>
    <s v="700"/>
    <e v="#N/A"/>
  </r>
  <r>
    <n v="700"/>
    <n v="813271"/>
    <n v="1"/>
    <s v="1813271.700"/>
    <s v="מפעל הזנה יוח&quot;א - הוצאות לפעולות"/>
    <m/>
    <m/>
    <n v="2137200"/>
    <n v="2200000"/>
    <n v="19437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700"/>
    <n v="813272"/>
    <n v="1"/>
    <s v="1813272.700"/>
    <s v="בריאות השן - הוצאות לפעולות"/>
    <m/>
    <m/>
    <n v="0"/>
    <n v="350000"/>
    <n v="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700"/>
    <n v="813273"/>
    <n v="1"/>
    <s v="1813273.700"/>
    <s v="קייטנות בקיץ - הוצאות לפעולות"/>
    <m/>
    <m/>
    <n v="6411500"/>
    <n v="6600000"/>
    <n v="3207300"/>
    <e v="#N/A"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400"/>
    <n v="815700"/>
    <n v="1"/>
    <s v="1815700.400"/>
    <s v="חטיבות ביניים - פעולות - אחזקה אספקה וציוד"/>
    <m/>
    <m/>
    <n v="68000"/>
    <n v="68000"/>
    <n v="115300"/>
    <e v="#N/A"/>
    <x v="5"/>
    <x v="2"/>
    <s v="81"/>
    <x v="8"/>
    <x v="118"/>
    <x v="21"/>
    <s v="8157"/>
    <s v="בתי״ס על יסודיים מקיפים"/>
    <m/>
    <s v="4"/>
    <x v="11"/>
    <s v="40"/>
    <e v="#N/A"/>
    <s v="400"/>
    <e v="#N/A"/>
  </r>
  <r>
    <n v="500"/>
    <n v="815700"/>
    <n v="1"/>
    <s v="1815700.500"/>
    <s v="חטיבות ביניים - פעולות - תחבורה ודואר"/>
    <m/>
    <m/>
    <n v="1000"/>
    <n v="1000"/>
    <n v="400"/>
    <e v="#N/A"/>
    <x v="5"/>
    <x v="2"/>
    <s v="81"/>
    <x v="8"/>
    <x v="118"/>
    <x v="21"/>
    <s v="8157"/>
    <s v="בתי״ס על יסודיים מקיפים"/>
    <m/>
    <s v="5"/>
    <x v="12"/>
    <s v="50"/>
    <e v="#N/A"/>
    <s v="500"/>
    <e v="#N/A"/>
  </r>
  <r>
    <n v="700"/>
    <n v="815700"/>
    <n v="1"/>
    <s v="1815700.700"/>
    <s v="חטיבות ביניים - פעולות - הוצאות לפעולות"/>
    <m/>
    <m/>
    <n v="340500"/>
    <n v="352500"/>
    <n v="296600"/>
    <e v="#N/A"/>
    <x v="5"/>
    <x v="2"/>
    <s v="81"/>
    <x v="8"/>
    <x v="118"/>
    <x v="21"/>
    <s v="8157"/>
    <s v="בתי״ס על יסודיים מקיפים"/>
    <m/>
    <s v="7"/>
    <x v="9"/>
    <s v="70"/>
    <e v="#N/A"/>
    <s v="700"/>
    <e v="#N/A"/>
  </r>
  <r>
    <n v="100"/>
    <n v="815710"/>
    <n v="1"/>
    <s v="1815710.100"/>
    <s v="חטיבות ביניים - עמלניות - שכר לעובדים קבועים"/>
    <m/>
    <m/>
    <n v="2135000"/>
    <n v="2112000"/>
    <n v="2062500"/>
    <m/>
    <x v="5"/>
    <x v="2"/>
    <s v="81"/>
    <x v="8"/>
    <x v="118"/>
    <x v="21"/>
    <s v="8157"/>
    <s v="בתי״ס על יסודיים מקיפים"/>
    <m/>
    <s v="1"/>
    <x v="8"/>
    <s v="10"/>
    <e v="#N/A"/>
    <s v="100"/>
    <e v="#N/A"/>
  </r>
  <r>
    <n v="120"/>
    <n v="815710"/>
    <n v="1"/>
    <s v="1815710.120"/>
    <s v="חטיבות ביניים - עמלניות - שעות נוספות"/>
    <m/>
    <m/>
    <n v="1000"/>
    <n v="1000"/>
    <n v="700"/>
    <m/>
    <x v="5"/>
    <x v="2"/>
    <s v="81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400"/>
    <n v="815710"/>
    <n v="1"/>
    <s v="1815710.400"/>
    <s v="חטיבות ביניים - עמלניות - אחזקה אספקה וציוד"/>
    <m/>
    <m/>
    <n v="233000"/>
    <n v="233000"/>
    <n v="330800"/>
    <m/>
    <x v="5"/>
    <x v="2"/>
    <s v="81"/>
    <x v="8"/>
    <x v="118"/>
    <x v="21"/>
    <s v="8157"/>
    <s v="בתי״ס על יסודיים מקיפים"/>
    <m/>
    <s v="4"/>
    <x v="11"/>
    <s v="40"/>
    <e v="#N/A"/>
    <s v="400"/>
    <e v="#N/A"/>
  </r>
  <r>
    <n v="500"/>
    <n v="815710"/>
    <n v="1"/>
    <s v="1815710.500"/>
    <s v="חטיבות ביניים - עמלניות - הוצאות כלליות"/>
    <m/>
    <m/>
    <n v="48400"/>
    <n v="48500"/>
    <n v="16100"/>
    <m/>
    <x v="5"/>
    <x v="2"/>
    <s v="81"/>
    <x v="8"/>
    <x v="118"/>
    <x v="21"/>
    <s v="8157"/>
    <s v="בתי״ס על יסודיים מקיפים"/>
    <m/>
    <s v="5"/>
    <x v="12"/>
    <s v="50"/>
    <e v="#N/A"/>
    <s v="500"/>
    <e v="#N/A"/>
  </r>
  <r>
    <n v="700"/>
    <n v="815710"/>
    <n v="1"/>
    <s v="1815710.700"/>
    <s v="חטיבות ביניים - עמלניות - הוצאות לפעולות"/>
    <m/>
    <m/>
    <n v="336000"/>
    <n v="354000"/>
    <n v="329000"/>
    <m/>
    <x v="5"/>
    <x v="2"/>
    <s v="81"/>
    <x v="8"/>
    <x v="118"/>
    <x v="21"/>
    <s v="8157"/>
    <s v="בתי״ס על יסודיים מקיפים"/>
    <m/>
    <s v="7"/>
    <x v="9"/>
    <s v="70"/>
    <e v="#N/A"/>
    <s v="700"/>
    <e v="#N/A"/>
  </r>
  <r>
    <n v="400"/>
    <n v="815720"/>
    <n v="1"/>
    <s v="1815720.400"/>
    <s v="חט&quot;ב רעות - אחזקה אספקה וציוד"/>
    <m/>
    <m/>
    <n v="0"/>
    <n v="0"/>
    <n v="152000"/>
    <m/>
    <x v="5"/>
    <x v="2"/>
    <s v="81"/>
    <x v="8"/>
    <x v="118"/>
    <x v="21"/>
    <s v="8157"/>
    <s v="בתי״ס על יסודיים מקיפים"/>
    <m/>
    <s v="4"/>
    <x v="11"/>
    <s v="40"/>
    <e v="#N/A"/>
    <s v="400"/>
    <e v="#N/A"/>
  </r>
  <r>
    <n v="100"/>
    <n v="815730"/>
    <n v="1"/>
    <s v="1815730.100"/>
    <s v="חט&quot;ב עובדים מינהליים ‏(מזכירות, עובדי משק תחזוקה וניקיון)‏ - שכר לעובדים קבועים"/>
    <m/>
    <m/>
    <n v="9599200"/>
    <n v="9494200"/>
    <n v="9547200"/>
    <m/>
    <x v="5"/>
    <x v="2"/>
    <s v="81"/>
    <x v="8"/>
    <x v="118"/>
    <x v="21"/>
    <s v="8157"/>
    <s v="בתי״ס על יסודיים מקיפים"/>
    <m/>
    <s v="1"/>
    <x v="8"/>
    <s v="10"/>
    <e v="#N/A"/>
    <s v="100"/>
    <e v="#N/A"/>
  </r>
  <r>
    <n v="120"/>
    <n v="815730"/>
    <n v="1"/>
    <s v="1815730.120"/>
    <s v="חט&quot;ב עובדים מינהליים ‏(מזכירות, עובדי משק תחזוקה וניקיון)‏ - שעות נוספות"/>
    <m/>
    <m/>
    <n v="7800"/>
    <n v="7800"/>
    <n v="9300"/>
    <n v="197574"/>
    <x v="5"/>
    <x v="2"/>
    <s v="81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100"/>
    <n v="815740"/>
    <n v="1"/>
    <s v="1815740.100"/>
    <s v="חט&quot;ב - ספרנים - שכר לעובדים קבועים"/>
    <m/>
    <m/>
    <n v="2026100"/>
    <n v="1707100"/>
    <n v="1630100"/>
    <e v="#N/A"/>
    <x v="5"/>
    <x v="2"/>
    <s v="81"/>
    <x v="8"/>
    <x v="118"/>
    <x v="21"/>
    <s v="8157"/>
    <s v="בתי״ס על יסודיים מקיפים"/>
    <m/>
    <s v="1"/>
    <x v="8"/>
    <s v="10"/>
    <e v="#N/A"/>
    <s v="100"/>
    <e v="#N/A"/>
  </r>
  <r>
    <n v="120"/>
    <n v="815740"/>
    <n v="1"/>
    <s v="1815740.120"/>
    <s v="חט&quot;ב - ספרנים - שעות נוספות"/>
    <m/>
    <m/>
    <n v="2900"/>
    <n v="2900"/>
    <n v="1300"/>
    <e v="#N/A"/>
    <x v="5"/>
    <x v="2"/>
    <s v="81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100"/>
    <n v="815750"/>
    <n v="1"/>
    <s v="1815750.100"/>
    <s v="חט&quot;ב מורים - שכר לעובדים קבועים"/>
    <m/>
    <m/>
    <n v="3988000"/>
    <n v="3944000"/>
    <n v="3614100"/>
    <e v="#N/A"/>
    <x v="5"/>
    <x v="2"/>
    <s v="81"/>
    <x v="8"/>
    <x v="118"/>
    <x v="21"/>
    <s v="8157"/>
    <s v="בתי״ס על יסודיים מקיפים"/>
    <m/>
    <s v="1"/>
    <x v="8"/>
    <s v="10"/>
    <e v="#N/A"/>
    <s v="100"/>
    <e v="#N/A"/>
  </r>
  <r>
    <n v="100"/>
    <n v="815760"/>
    <n v="1"/>
    <s v="1815760.100"/>
    <s v="חט&quot;ב - סיוע טכני - שכר לעובדים קבועים"/>
    <m/>
    <m/>
    <n v="2116000"/>
    <n v="2093000"/>
    <n v="2395200"/>
    <e v="#N/A"/>
    <x v="5"/>
    <x v="2"/>
    <s v="81"/>
    <x v="8"/>
    <x v="118"/>
    <x v="21"/>
    <s v="8157"/>
    <s v="בתי״ס על יסודיים מקיפים"/>
    <m/>
    <s v="1"/>
    <x v="8"/>
    <s v="10"/>
    <e v="#N/A"/>
    <s v="100"/>
    <e v="#N/A"/>
  </r>
  <r>
    <n v="200"/>
    <n v="815790"/>
    <n v="1"/>
    <s v="1815790.200"/>
    <s v="משתלם חט&quot;ב רעות - שכר לעובדים ארעיים"/>
    <m/>
    <m/>
    <n v="300000"/>
    <n v="300000"/>
    <n v="0"/>
    <e v="#N/A"/>
    <x v="5"/>
    <x v="2"/>
    <s v="81"/>
    <x v="8"/>
    <x v="118"/>
    <x v="21"/>
    <s v="8157"/>
    <s v="בתי״ס על יסודיים מקיפים"/>
    <m/>
    <s v="2"/>
    <x v="10"/>
    <s v="20"/>
    <e v="#N/A"/>
    <s v="200"/>
    <e v="#N/A"/>
  </r>
  <r>
    <n v="500"/>
    <n v="815790"/>
    <n v="1"/>
    <s v="1815790.500"/>
    <s v="משתלם חט&quot;ב רעות - הוצאות כלליות"/>
    <m/>
    <m/>
    <n v="850000"/>
    <n v="850000"/>
    <n v="354700"/>
    <e v="#N/A"/>
    <x v="5"/>
    <x v="2"/>
    <s v="81"/>
    <x v="8"/>
    <x v="118"/>
    <x v="21"/>
    <s v="8157"/>
    <s v="בתי״ס על יסודיים מקיפים"/>
    <m/>
    <s v="5"/>
    <x v="12"/>
    <s v="50"/>
    <e v="#N/A"/>
    <s v="500"/>
    <e v="#N/A"/>
  </r>
  <r>
    <n v="100"/>
    <n v="813710"/>
    <n v="1"/>
    <s v="1813710.100"/>
    <s v="חוה חקלאית ק. ביאליק - שכר לעובדים קבועים"/>
    <m/>
    <m/>
    <n v="383000"/>
    <n v="379000"/>
    <n v="348900"/>
    <e v="#N/A"/>
    <x v="5"/>
    <x v="2"/>
    <s v="81"/>
    <x v="8"/>
    <x v="116"/>
    <x v="19"/>
    <s v="8137"/>
    <s v="חוות חקלאיות"/>
    <m/>
    <s v="1"/>
    <x v="8"/>
    <s v="10"/>
    <e v="#N/A"/>
    <s v="100"/>
    <e v="#N/A"/>
  </r>
  <r>
    <n v="400"/>
    <n v="813710"/>
    <n v="1"/>
    <s v="1813710.400"/>
    <s v="חוה חקלאית ק. ביאליק - אחזקה אספקה וציוד"/>
    <m/>
    <m/>
    <n v="64000"/>
    <n v="64000"/>
    <n v="26300"/>
    <e v="#N/A"/>
    <x v="5"/>
    <x v="2"/>
    <s v="81"/>
    <x v="8"/>
    <x v="116"/>
    <x v="19"/>
    <s v="8137"/>
    <s v="חוות חקלאיות"/>
    <m/>
    <s v="4"/>
    <x v="11"/>
    <s v="40"/>
    <e v="#N/A"/>
    <s v="400"/>
    <e v="#N/A"/>
  </r>
  <r>
    <n v="700"/>
    <n v="813710"/>
    <n v="1"/>
    <s v="1813710.700"/>
    <s v="חוה חקלאית ק. ביאליק - הוצאות לפעולות"/>
    <m/>
    <m/>
    <n v="44300"/>
    <n v="47500"/>
    <n v="32100"/>
    <e v="#N/A"/>
    <x v="5"/>
    <x v="2"/>
    <s v="81"/>
    <x v="8"/>
    <x v="116"/>
    <x v="19"/>
    <s v="8137"/>
    <s v="חוות חקלאיות"/>
    <m/>
    <s v="7"/>
    <x v="9"/>
    <s v="70"/>
    <e v="#N/A"/>
    <s v="700"/>
    <e v="#N/A"/>
  </r>
  <r>
    <n v="500"/>
    <n v="813719"/>
    <n v="1"/>
    <s v="1813719.500"/>
    <s v="משתלם חוה ק. ביאליק - הוצאות כלליות"/>
    <m/>
    <m/>
    <n v="30000"/>
    <n v="30000"/>
    <n v="16800"/>
    <e v="#N/A"/>
    <x v="5"/>
    <x v="2"/>
    <s v="81"/>
    <x v="8"/>
    <x v="116"/>
    <x v="19"/>
    <s v="8137"/>
    <s v="חוות חקלאיות"/>
    <m/>
    <s v="5"/>
    <x v="12"/>
    <s v="50"/>
    <e v="#N/A"/>
    <s v="500"/>
    <e v="#N/A"/>
  </r>
  <r>
    <n v="100"/>
    <n v="813720"/>
    <n v="1"/>
    <s v="1813720.100"/>
    <s v="חוה חקלאית גן כרמית - שכר לעובדים קבועים"/>
    <m/>
    <m/>
    <n v="519000"/>
    <n v="642000"/>
    <n v="481800"/>
    <m/>
    <x v="5"/>
    <x v="2"/>
    <s v="81"/>
    <x v="8"/>
    <x v="116"/>
    <x v="19"/>
    <s v="8137"/>
    <s v="חוות חקלאיות"/>
    <m/>
    <s v="1"/>
    <x v="8"/>
    <s v="10"/>
    <e v="#N/A"/>
    <s v="100"/>
    <e v="#N/A"/>
  </r>
  <r>
    <n v="400"/>
    <n v="813720"/>
    <n v="1"/>
    <s v="1813720.400"/>
    <s v="חוה חקלאית גן כרמית - אחזקה אספקה וציוד"/>
    <m/>
    <m/>
    <n v="28500"/>
    <n v="28500"/>
    <n v="35600"/>
    <m/>
    <x v="5"/>
    <x v="2"/>
    <s v="81"/>
    <x v="8"/>
    <x v="116"/>
    <x v="19"/>
    <s v="8137"/>
    <s v="חוות חקלאיות"/>
    <m/>
    <s v="4"/>
    <x v="11"/>
    <s v="40"/>
    <e v="#N/A"/>
    <s v="400"/>
    <e v="#N/A"/>
  </r>
  <r>
    <n v="700"/>
    <n v="813720"/>
    <n v="1"/>
    <s v="1813720.700"/>
    <s v="חוה חקלאית גן כרמית - הוצאות לפעולות"/>
    <m/>
    <m/>
    <n v="64600"/>
    <n v="67300"/>
    <n v="55800"/>
    <m/>
    <x v="5"/>
    <x v="2"/>
    <s v="81"/>
    <x v="8"/>
    <x v="116"/>
    <x v="19"/>
    <s v="8137"/>
    <s v="חוות חקלאיות"/>
    <m/>
    <s v="7"/>
    <x v="9"/>
    <s v="70"/>
    <e v="#N/A"/>
    <s v="700"/>
    <e v="#N/A"/>
  </r>
  <r>
    <n v="500"/>
    <n v="813729"/>
    <n v="1"/>
    <s v="1813729.500"/>
    <s v="משתלם חוה גן כרמית - הוצאות כלליות"/>
    <m/>
    <m/>
    <n v="155000"/>
    <n v="155000"/>
    <n v="19200"/>
    <m/>
    <x v="5"/>
    <x v="2"/>
    <s v="81"/>
    <x v="8"/>
    <x v="116"/>
    <x v="19"/>
    <s v="8137"/>
    <s v="חוות חקלאיות"/>
    <m/>
    <s v="5"/>
    <x v="12"/>
    <s v="50"/>
    <e v="#N/A"/>
    <s v="500"/>
    <e v="#N/A"/>
  </r>
  <r>
    <n v="700"/>
    <n v="815510"/>
    <n v="1"/>
    <s v="1815510.700"/>
    <s v="מרכז טכנולוגי - הוצאות לפעולות"/>
    <m/>
    <m/>
    <n v="1214300"/>
    <n v="1250000"/>
    <n v="0"/>
    <m/>
    <x v="5"/>
    <x v="2"/>
    <s v="81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3830"/>
    <n v="1"/>
    <s v="1813830.100"/>
    <s v="מרכז ימי - שכר לעובדים קבועים"/>
    <m/>
    <m/>
    <n v="456000"/>
    <n v="451000"/>
    <n v="405700"/>
    <m/>
    <x v="5"/>
    <x v="2"/>
    <s v="81"/>
    <x v="8"/>
    <x v="116"/>
    <x v="19"/>
    <s v="8138"/>
    <s v="קייטנות לימודיות וחודש לימוד נוסף"/>
    <m/>
    <s v="1"/>
    <x v="8"/>
    <s v="10"/>
    <e v="#N/A"/>
    <s v="100"/>
    <e v="#N/A"/>
  </r>
  <r>
    <n v="400"/>
    <n v="813830"/>
    <n v="1"/>
    <s v="1813830.400"/>
    <s v="מרכז ימי - אחזקה אספקה וציוד"/>
    <m/>
    <m/>
    <n v="24000"/>
    <n v="24000"/>
    <n v="31400"/>
    <m/>
    <x v="5"/>
    <x v="2"/>
    <s v="81"/>
    <x v="8"/>
    <x v="116"/>
    <x v="19"/>
    <s v="8138"/>
    <s v="קייטנות לימודיות וחודש לימוד נוסף"/>
    <m/>
    <s v="4"/>
    <x v="11"/>
    <s v="40"/>
    <e v="#N/A"/>
    <s v="400"/>
    <e v="#N/A"/>
  </r>
  <r>
    <n v="700"/>
    <n v="813830"/>
    <n v="1"/>
    <s v="1813830.700"/>
    <s v="מרכז ימי - הוצאות לפעולות"/>
    <m/>
    <m/>
    <n v="108100"/>
    <n v="112000"/>
    <n v="110900"/>
    <m/>
    <x v="5"/>
    <x v="2"/>
    <s v="81"/>
    <x v="8"/>
    <x v="116"/>
    <x v="19"/>
    <s v="8138"/>
    <s v="קייטנות לימודיות וחודש לימוד נוסף"/>
    <m/>
    <s v="7"/>
    <x v="9"/>
    <s v="70"/>
    <e v="#N/A"/>
    <s v="700"/>
    <e v="#N/A"/>
  </r>
  <r>
    <n v="500"/>
    <n v="813839"/>
    <n v="1"/>
    <s v="1813839.500"/>
    <s v="משתלם מרכז ימי - הוצאות כלליות"/>
    <m/>
    <m/>
    <n v="20000"/>
    <n v="20000"/>
    <n v="500"/>
    <m/>
    <x v="5"/>
    <x v="2"/>
    <s v="81"/>
    <x v="8"/>
    <x v="116"/>
    <x v="19"/>
    <s v="8138"/>
    <s v="קייטנות לימודיות וחודש לימוד נוסף"/>
    <m/>
    <s v="5"/>
    <x v="12"/>
    <s v="50"/>
    <e v="#N/A"/>
    <s v="500"/>
    <e v="#N/A"/>
  </r>
  <r>
    <n v="100"/>
    <n v="813287"/>
    <n v="1"/>
    <s v="1813287.100"/>
    <s v="המכון הביולוגי - שכר לעובדים קבועים"/>
    <m/>
    <m/>
    <n v="284000"/>
    <n v="281000"/>
    <n v="284600"/>
    <m/>
    <x v="5"/>
    <x v="2"/>
    <s v="81"/>
    <x v="8"/>
    <x v="116"/>
    <x v="19"/>
    <s v="8132"/>
    <s v="בתי״ס יסודיים"/>
    <m/>
    <s v="1"/>
    <x v="8"/>
    <s v="10"/>
    <e v="#N/A"/>
    <s v="100"/>
    <e v="#N/A"/>
  </r>
  <r>
    <n v="700"/>
    <n v="813287"/>
    <n v="1"/>
    <s v="1813287.700"/>
    <s v="המכון הביולוגי - הוצאות לפעולות"/>
    <m/>
    <m/>
    <n v="43700"/>
    <n v="45000"/>
    <n v="45000"/>
    <m/>
    <x v="5"/>
    <x v="2"/>
    <s v="81"/>
    <x v="8"/>
    <x v="116"/>
    <x v="19"/>
    <s v="8132"/>
    <s v="בתי״ס יסודיים"/>
    <m/>
    <s v="7"/>
    <x v="9"/>
    <s v="70"/>
    <e v="#N/A"/>
    <s v="700"/>
    <e v="#N/A"/>
  </r>
  <r>
    <n v="100"/>
    <n v="815100"/>
    <n v="1"/>
    <s v="1815100.100"/>
    <s v="הנהלת חינוך על יסודי - שכר לעובדים קבועים"/>
    <m/>
    <m/>
    <n v="1169100"/>
    <n v="1156100"/>
    <n v="1463500"/>
    <m/>
    <x v="5"/>
    <x v="2"/>
    <s v="81"/>
    <x v="8"/>
    <x v="118"/>
    <x v="21"/>
    <s v="8151"/>
    <s v="מינהל החינוך העל יסודי"/>
    <m/>
    <s v="1"/>
    <x v="8"/>
    <s v="10"/>
    <e v="#N/A"/>
    <s v="100"/>
    <e v="#N/A"/>
  </r>
  <r>
    <n v="120"/>
    <n v="815100"/>
    <n v="1"/>
    <s v="1815100.120"/>
    <s v="הנהלת חינוך על יסודי - שעות נוספות"/>
    <m/>
    <m/>
    <n v="31900"/>
    <n v="31900"/>
    <n v="34700"/>
    <m/>
    <x v="5"/>
    <x v="2"/>
    <s v="81"/>
    <x v="8"/>
    <x v="118"/>
    <x v="21"/>
    <s v="8151"/>
    <s v="מינהל החינוך העל יסודי"/>
    <m/>
    <s v="1"/>
    <x v="8"/>
    <s v="12"/>
    <s v="תוספות שאינן נכללות בשכר הקובע"/>
    <s v="120"/>
    <e v="#N/A"/>
  </r>
  <r>
    <n v="500"/>
    <n v="815100"/>
    <n v="1"/>
    <s v="1815100.500"/>
    <s v="הנהלת חינוך על יסודי - הוצאות כלליות"/>
    <m/>
    <m/>
    <n v="1000"/>
    <n v="1000"/>
    <n v="600"/>
    <m/>
    <x v="5"/>
    <x v="2"/>
    <s v="81"/>
    <x v="8"/>
    <x v="118"/>
    <x v="21"/>
    <s v="8151"/>
    <s v="מינהל החינוך העל יסודי"/>
    <m/>
    <s v="5"/>
    <x v="12"/>
    <s v="50"/>
    <e v="#N/A"/>
    <s v="500"/>
    <e v="#N/A"/>
  </r>
  <r>
    <n v="700"/>
    <n v="815100"/>
    <n v="1"/>
    <s v="1815100.700"/>
    <s v="הנהלת חינוך על יסודי - הוצאות לפעולות"/>
    <m/>
    <m/>
    <n v="23300"/>
    <n v="24000"/>
    <n v="21000"/>
    <m/>
    <x v="5"/>
    <x v="2"/>
    <s v="81"/>
    <x v="8"/>
    <x v="118"/>
    <x v="21"/>
    <s v="8151"/>
    <s v="מינהל החינוך העל יסודי"/>
    <m/>
    <s v="7"/>
    <x v="9"/>
    <s v="70"/>
    <e v="#N/A"/>
    <s v="700"/>
    <e v="#N/A"/>
  </r>
  <r>
    <n v="700"/>
    <n v="815120"/>
    <n v="1"/>
    <s v="1815120.700"/>
    <s v="שידרוג חינוך על יסודי - הוצאות לפעולות"/>
    <m/>
    <m/>
    <n v="534300"/>
    <n v="550000"/>
    <n v="447000"/>
    <m/>
    <x v="5"/>
    <x v="2"/>
    <s v="81"/>
    <x v="8"/>
    <x v="118"/>
    <x v="21"/>
    <s v="8151"/>
    <s v="מינהל החינוך העל יסודי"/>
    <m/>
    <s v="7"/>
    <x v="9"/>
    <s v="70"/>
    <e v="#N/A"/>
    <s v="700"/>
    <e v="#N/A"/>
  </r>
  <r>
    <n v="200"/>
    <n v="815190"/>
    <n v="1"/>
    <s v="1815190.200"/>
    <s v="משתלם על יסודי - שכר לעובדים ארעיים"/>
    <m/>
    <m/>
    <n v="100000"/>
    <n v="100000"/>
    <n v="0"/>
    <m/>
    <x v="5"/>
    <x v="2"/>
    <s v="81"/>
    <x v="8"/>
    <x v="118"/>
    <x v="21"/>
    <s v="8151"/>
    <s v="מינהל החינוך העל יסודי"/>
    <m/>
    <s v="2"/>
    <x v="10"/>
    <s v="20"/>
    <e v="#N/A"/>
    <s v="200"/>
    <e v="#N/A"/>
  </r>
  <r>
    <n v="500"/>
    <n v="815190"/>
    <n v="1"/>
    <s v="1815190.500"/>
    <s v="משתלם על יסודי - הוצאות כלליות"/>
    <m/>
    <m/>
    <n v="2090000"/>
    <n v="2090000"/>
    <n v="1398900"/>
    <m/>
    <x v="5"/>
    <x v="2"/>
    <s v="81"/>
    <x v="8"/>
    <x v="118"/>
    <x v="21"/>
    <s v="8151"/>
    <s v="מינהל החינוך העל יסודי"/>
    <m/>
    <s v="5"/>
    <x v="12"/>
    <s v="50"/>
    <e v="#N/A"/>
    <s v="500"/>
    <e v="#N/A"/>
  </r>
  <r>
    <n v="700"/>
    <n v="815190"/>
    <n v="1"/>
    <s v="1815190.700"/>
    <s v="משתלם על יסודי - הוצאות לפעולות"/>
    <m/>
    <m/>
    <n v="12000"/>
    <n v="12000"/>
    <n v="14800"/>
    <m/>
    <x v="5"/>
    <x v="2"/>
    <s v="81"/>
    <x v="8"/>
    <x v="118"/>
    <x v="21"/>
    <s v="8151"/>
    <s v="מינהל החינוך העל יסודי"/>
    <m/>
    <s v="7"/>
    <x v="9"/>
    <s v="70"/>
    <e v="#N/A"/>
    <s v="700"/>
    <e v="#N/A"/>
  </r>
  <r>
    <n v="100"/>
    <n v="815210"/>
    <n v="1"/>
    <s v="1815210.100"/>
    <s v="תיכון עירוני א'‏ - שכר לעובדים קבועים"/>
    <m/>
    <m/>
    <n v="11786400"/>
    <n v="11657400"/>
    <n v="108230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10"/>
    <n v="1"/>
    <s v="1815210.120"/>
    <s v="תיכון עירוני א'‏ - שעות נוספות"/>
    <m/>
    <m/>
    <n v="4600"/>
    <n v="4600"/>
    <n v="7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10"/>
    <n v="1"/>
    <s v="1815210.400"/>
    <s v="תיכון עירוני א'‏ - אחזקה אספקה וציוד"/>
    <m/>
    <m/>
    <n v="300000"/>
    <n v="330000"/>
    <n v="4060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10"/>
    <n v="1"/>
    <s v="1815210.500"/>
    <s v="תיכון עירוני א'‏ - תחבורה ודואר"/>
    <m/>
    <m/>
    <n v="10000"/>
    <n v="9000"/>
    <n v="270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10"/>
    <n v="1"/>
    <s v="1815210.700"/>
    <s v="תיכון עירוני א'‏ - הוצאות לפעולות"/>
    <m/>
    <m/>
    <n v="2558600"/>
    <n v="2613900"/>
    <n v="23574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20"/>
    <n v="1"/>
    <s v="1815220.100"/>
    <s v="תיכון יבנה - שכר לעובדים קבועים"/>
    <m/>
    <m/>
    <n v="5186000"/>
    <n v="5129000"/>
    <n v="45935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20"/>
    <n v="1"/>
    <s v="1815220.400"/>
    <s v="תיכון יבנה - אחזקה אספקה וציוד"/>
    <m/>
    <m/>
    <n v="215000"/>
    <n v="224000"/>
    <n v="3223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20"/>
    <n v="1"/>
    <s v="1815220.700"/>
    <s v="תיכון יבנה - הוצאות לפעולות"/>
    <m/>
    <m/>
    <n v="406700"/>
    <n v="416000"/>
    <n v="3863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30"/>
    <n v="1"/>
    <s v="1815230.100"/>
    <s v="תיכון ג'‏ - שכר לעובדים קבועים"/>
    <m/>
    <m/>
    <n v="7080400"/>
    <n v="7002400"/>
    <n v="70359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30"/>
    <n v="1"/>
    <s v="1815230.120"/>
    <s v="תיכון ג'‏ - שעות נוספות"/>
    <m/>
    <m/>
    <n v="3600"/>
    <n v="3600"/>
    <n v="82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30"/>
    <n v="1"/>
    <s v="1815230.400"/>
    <s v="תיכון ג'‏ - אחזקה אספקה וציוד"/>
    <m/>
    <m/>
    <n v="279300"/>
    <n v="310000"/>
    <n v="5389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30"/>
    <n v="1"/>
    <s v="1815230.700"/>
    <s v="תיכון ג'‏ - הוצאות לפעולות"/>
    <m/>
    <m/>
    <n v="2807000"/>
    <n v="2867000"/>
    <n v="37740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40"/>
    <n v="1"/>
    <s v="1815240.100"/>
    <s v="תיכון חוגים - שכר לעובדים קבועים"/>
    <m/>
    <m/>
    <n v="11297600"/>
    <n v="11173600"/>
    <n v="103890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40"/>
    <n v="1"/>
    <s v="1815240.120"/>
    <s v="תיכון חוגים - שעות נוספות"/>
    <m/>
    <m/>
    <n v="5400"/>
    <n v="5400"/>
    <n v="75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40"/>
    <n v="1"/>
    <s v="1815240.400"/>
    <s v="תיכון חוגים - אחזקה אספקה וציוד"/>
    <m/>
    <m/>
    <n v="213000"/>
    <n v="213000"/>
    <n v="2029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40"/>
    <n v="1"/>
    <s v="1815240.500"/>
    <s v="תיכון חוגים - תחבורה ודואר"/>
    <m/>
    <m/>
    <n v="10000"/>
    <n v="10000"/>
    <n v="350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40"/>
    <n v="1"/>
    <s v="1815240.700"/>
    <s v="תיכון חוגים - הוצאות לפעולות"/>
    <m/>
    <m/>
    <n v="2671900"/>
    <n v="2757000"/>
    <n v="28740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50"/>
    <n v="1"/>
    <s v="1815250.100"/>
    <s v="תיכון עירוני ה.‏ - שכר לעובדים קבועים"/>
    <m/>
    <m/>
    <n v="12115400"/>
    <n v="11982400"/>
    <n v="121132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50"/>
    <n v="1"/>
    <s v="1815250.120"/>
    <s v="תיכון עירוני ה.‏ - שעות נוספות"/>
    <m/>
    <m/>
    <n v="36600"/>
    <n v="36600"/>
    <n v="443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50"/>
    <n v="1"/>
    <s v="1815250.400"/>
    <s v="תיכון עירוני ה.‏ - אחזקה אספקה וציוד"/>
    <m/>
    <m/>
    <n v="366000"/>
    <n v="411500"/>
    <n v="4392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50"/>
    <n v="1"/>
    <s v="1815250.500"/>
    <s v="תיכון עירוני ה.‏ - תחבורה ודואר"/>
    <m/>
    <m/>
    <n v="8000"/>
    <n v="8000"/>
    <n v="150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50"/>
    <n v="1"/>
    <s v="1815250.700"/>
    <s v="תיכון עירוני ה.‏ - הוצאות לפעולות"/>
    <m/>
    <m/>
    <n v="3553000"/>
    <n v="3623000"/>
    <n v="42205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60"/>
    <n v="1"/>
    <s v="1815260.100"/>
    <s v="תיכון אמי&quot;ת ו' לבנות - שכר לעובדים קבועים"/>
    <m/>
    <m/>
    <n v="985000"/>
    <n v="974000"/>
    <n v="9391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60"/>
    <n v="1"/>
    <s v="1815260.400"/>
    <s v="תיכון אמי&quot;ת ו' לבנות - אחזקה אספקה וציוד"/>
    <m/>
    <m/>
    <n v="158600"/>
    <n v="163400"/>
    <n v="157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60"/>
    <n v="1"/>
    <s v="1815260.500"/>
    <s v="תיכון אמי&quot;ת ו' לבנות - הוצאות כלליות"/>
    <m/>
    <m/>
    <n v="3600"/>
    <n v="3600"/>
    <n v="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60"/>
    <n v="1"/>
    <s v="1815260.700"/>
    <s v="תיכון אמי&quot;ת ו' לבנות - הוצאות לפעולות"/>
    <m/>
    <m/>
    <n v="680000"/>
    <n v="700000"/>
    <n v="6639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70"/>
    <n v="1"/>
    <s v="1815270.100"/>
    <s v="תיכון ב' עיוני - שכר לעובדים קבועים"/>
    <m/>
    <m/>
    <n v="4820000"/>
    <n v="4767000"/>
    <n v="43305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70"/>
    <n v="1"/>
    <s v="1815270.400"/>
    <s v="תיכון ב' עיוני - אחזקה אספקה וציוד"/>
    <m/>
    <m/>
    <n v="176700"/>
    <n v="189000"/>
    <n v="2049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70"/>
    <n v="1"/>
    <s v="1815270.500"/>
    <s v="תיכון ב' עיוני - תחבורה ודואר"/>
    <m/>
    <m/>
    <n v="1000"/>
    <n v="1000"/>
    <n v="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70"/>
    <n v="1"/>
    <s v="1815270.700"/>
    <s v="תיכון ב' עיוני - הוצאות לפעולות"/>
    <m/>
    <m/>
    <n v="241000"/>
    <n v="241000"/>
    <n v="2102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80"/>
    <n v="1"/>
    <s v="1815280.100"/>
    <s v="תיכון רעות - שכר לעובדים קבועים"/>
    <m/>
    <m/>
    <n v="11441100"/>
    <n v="11316100"/>
    <n v="96201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80"/>
    <n v="1"/>
    <s v="1815280.120"/>
    <s v="תיכון רעות - שעות נוספות"/>
    <m/>
    <m/>
    <n v="11900"/>
    <n v="11900"/>
    <n v="113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80"/>
    <n v="1"/>
    <s v="1815280.400"/>
    <s v="תיכון רעות - אחזקה אספקה וציוד"/>
    <m/>
    <m/>
    <n v="150000"/>
    <n v="150000"/>
    <n v="2057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80"/>
    <n v="1"/>
    <s v="1815280.700"/>
    <s v="תיכון רעות - הוצאות לפעולות"/>
    <m/>
    <m/>
    <n v="1452900"/>
    <n v="1500000"/>
    <n v="11869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90"/>
    <n v="1"/>
    <s v="1815290.100"/>
    <s v="תיכון ק. חיים - שכר לעובדים קבועים"/>
    <m/>
    <m/>
    <n v="18296200"/>
    <n v="18095200"/>
    <n v="16621100"/>
    <m/>
    <x v="5"/>
    <x v="2"/>
    <s v="81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90"/>
    <n v="1"/>
    <s v="1815290.120"/>
    <s v="תיכון ק. חיים - שעות נוספות"/>
    <m/>
    <m/>
    <n v="20800"/>
    <n v="20800"/>
    <n v="23400"/>
    <m/>
    <x v="5"/>
    <x v="2"/>
    <s v="81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90"/>
    <n v="1"/>
    <s v="1815290.400"/>
    <s v="תיכון ק. חיים - אחזקה אספקה וציוד"/>
    <m/>
    <m/>
    <n v="520100"/>
    <n v="546000"/>
    <n v="613600"/>
    <m/>
    <x v="5"/>
    <x v="2"/>
    <s v="81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90"/>
    <n v="1"/>
    <s v="1815290.500"/>
    <s v="תיכון ק. חיים - תחבורה ודואר"/>
    <m/>
    <m/>
    <n v="8000"/>
    <n v="8000"/>
    <n v="8100"/>
    <m/>
    <x v="5"/>
    <x v="2"/>
    <s v="81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90"/>
    <n v="1"/>
    <s v="1815290.700"/>
    <s v="תיכון ק. חיים - הוצאות לפעולות"/>
    <m/>
    <m/>
    <n v="2393000"/>
    <n v="2453000"/>
    <n v="2524700"/>
    <m/>
    <x v="5"/>
    <x v="2"/>
    <s v="81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520"/>
    <n v="1"/>
    <s v="1815520.100"/>
    <s v="תיכון בסמ&quot;ת‏ - שכר לעובדים קבועים"/>
    <m/>
    <m/>
    <n v="5360000"/>
    <n v="5301000"/>
    <n v="4473300"/>
    <m/>
    <x v="5"/>
    <x v="2"/>
    <s v="81"/>
    <x v="8"/>
    <x v="118"/>
    <x v="21"/>
    <s v="8155"/>
    <s v="בתי״ס על יסודיים מקצועיים"/>
    <m/>
    <s v="1"/>
    <x v="8"/>
    <s v="10"/>
    <e v="#N/A"/>
    <s v="100"/>
    <e v="#N/A"/>
  </r>
  <r>
    <n v="400"/>
    <n v="815520"/>
    <n v="1"/>
    <s v="1815520.400"/>
    <s v="תיכון בסמ&quot;ת‏ - אחזקה אספקה וציוד"/>
    <m/>
    <m/>
    <n v="99000"/>
    <n v="99000"/>
    <n v="100800"/>
    <m/>
    <x v="5"/>
    <x v="2"/>
    <s v="81"/>
    <x v="8"/>
    <x v="118"/>
    <x v="21"/>
    <s v="8155"/>
    <s v="בתי״ס על יסודיים מקצועיים"/>
    <m/>
    <s v="4"/>
    <x v="11"/>
    <s v="40"/>
    <e v="#N/A"/>
    <s v="400"/>
    <e v="#N/A"/>
  </r>
  <r>
    <n v="500"/>
    <n v="815520"/>
    <n v="1"/>
    <s v="1815520.500"/>
    <s v="תיכון בסמ&quot;ת‏ - תחבורה ודואר"/>
    <m/>
    <m/>
    <n v="3000"/>
    <n v="3000"/>
    <n v="200"/>
    <m/>
    <x v="5"/>
    <x v="2"/>
    <s v="81"/>
    <x v="8"/>
    <x v="118"/>
    <x v="21"/>
    <s v="8155"/>
    <s v="בתי״ס על יסודיים מקצועיים"/>
    <m/>
    <s v="5"/>
    <x v="12"/>
    <s v="50"/>
    <e v="#N/A"/>
    <s v="500"/>
    <e v="#N/A"/>
  </r>
  <r>
    <n v="700"/>
    <n v="815520"/>
    <n v="1"/>
    <s v="1815520.700"/>
    <s v="תיכון בסמ&quot;ת‏ - הוצאות לפעולות"/>
    <m/>
    <m/>
    <n v="1121000"/>
    <n v="1157000"/>
    <n v="969800"/>
    <m/>
    <x v="5"/>
    <x v="2"/>
    <s v="81"/>
    <x v="8"/>
    <x v="118"/>
    <x v="21"/>
    <s v="8155"/>
    <s v="בתי״ס על יסודיים מקצועיים"/>
    <m/>
    <s v="7"/>
    <x v="9"/>
    <s v="70"/>
    <e v="#N/A"/>
    <s v="700"/>
    <e v="#N/A"/>
  </r>
  <r>
    <n v="700"/>
    <n v="815530"/>
    <n v="1"/>
    <s v="1815530.700"/>
    <s v="תיכון עירוני ד - הוצאות לפעולות"/>
    <m/>
    <m/>
    <n v="971400"/>
    <n v="1000000"/>
    <n v="184000"/>
    <m/>
    <x v="5"/>
    <x v="2"/>
    <s v="81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8110"/>
    <n v="1"/>
    <s v="1818110.100"/>
    <s v="המחלקה להעצמה חינוכית וקבסי&quot;ם - שכר לעובדים קבועים"/>
    <m/>
    <m/>
    <n v="3914100"/>
    <n v="3871100"/>
    <n v="3602000"/>
    <m/>
    <x v="5"/>
    <x v="2"/>
    <s v="81"/>
    <x v="8"/>
    <x v="93"/>
    <x v="65"/>
    <s v="8181"/>
    <e v="#N/A"/>
    <m/>
    <s v="1"/>
    <x v="8"/>
    <s v="10"/>
    <e v="#N/A"/>
    <s v="100"/>
    <e v="#N/A"/>
  </r>
  <r>
    <n v="120"/>
    <n v="818110"/>
    <n v="1"/>
    <s v="1818110.120"/>
    <s v="המחלקה להעצמה חינוכית וקבסי&quot;ם - שעות נוספות"/>
    <m/>
    <m/>
    <n v="18900"/>
    <n v="18900"/>
    <n v="17000"/>
    <m/>
    <x v="5"/>
    <x v="2"/>
    <s v="81"/>
    <x v="8"/>
    <x v="93"/>
    <x v="65"/>
    <s v="8181"/>
    <e v="#N/A"/>
    <m/>
    <s v="1"/>
    <x v="8"/>
    <s v="12"/>
    <s v="תוספות שאינן נכללות בשכר הקובע"/>
    <s v="120"/>
    <e v="#N/A"/>
  </r>
  <r>
    <n v="700"/>
    <n v="818110"/>
    <n v="1"/>
    <s v="1818110.700"/>
    <s v="המחלקה להעצמה חינוכית וקבסי&quot;ם - הוצאות לפעולות"/>
    <m/>
    <m/>
    <n v="32100"/>
    <n v="33000"/>
    <n v="32600"/>
    <m/>
    <x v="5"/>
    <x v="2"/>
    <s v="81"/>
    <x v="8"/>
    <x v="93"/>
    <x v="65"/>
    <s v="8181"/>
    <e v="#N/A"/>
    <m/>
    <s v="7"/>
    <x v="9"/>
    <s v="70"/>
    <e v="#N/A"/>
    <s v="700"/>
    <e v="#N/A"/>
  </r>
  <r>
    <n v="700"/>
    <n v="817372"/>
    <n v="1"/>
    <s v="1817372.700"/>
    <s v="תוכנית למצויינות במדעים - הוצאות לפעולות"/>
    <m/>
    <m/>
    <n v="1880700"/>
    <n v="1936000"/>
    <n v="1665600"/>
    <m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700"/>
    <n v="817370"/>
    <n v="1"/>
    <s v="1817370.700"/>
    <s v="תגבור חינוכי - הוצאות לפעולות"/>
    <m/>
    <m/>
    <n v="2059500"/>
    <n v="2120000"/>
    <n v="2106300"/>
    <m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200"/>
    <n v="817371"/>
    <n v="1"/>
    <s v="1817371.200"/>
    <s v="פנימיות יום - שכר לעובדים ארעיים"/>
    <m/>
    <m/>
    <n v="213700"/>
    <n v="211700"/>
    <n v="225200"/>
    <m/>
    <x v="5"/>
    <x v="2"/>
    <s v="81"/>
    <x v="8"/>
    <x v="115"/>
    <x v="20"/>
    <s v="8173"/>
    <s v="שרות פסיכולוגי חינוכי"/>
    <m/>
    <s v="2"/>
    <x v="10"/>
    <s v="20"/>
    <e v="#N/A"/>
    <s v="200"/>
    <e v="#N/A"/>
  </r>
  <r>
    <n v="120"/>
    <n v="817371"/>
    <n v="1"/>
    <s v="1817371.120"/>
    <s v="פנימיות יום - שעות נוספות"/>
    <m/>
    <m/>
    <n v="5300"/>
    <n v="5300"/>
    <n v="1200"/>
    <m/>
    <x v="5"/>
    <x v="2"/>
    <s v="81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700"/>
    <n v="817371"/>
    <n v="1"/>
    <s v="1817371.700"/>
    <s v="פנימיות יום - הוצאות לפעולות"/>
    <m/>
    <m/>
    <n v="453700"/>
    <n v="467000"/>
    <n v="931000"/>
    <m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200"/>
    <n v="813190"/>
    <n v="1"/>
    <s v="1813190.200"/>
    <s v="רווחה חינוכית - יסודי - שכר לעובדים ארעיים"/>
    <m/>
    <m/>
    <n v="850000"/>
    <n v="850000"/>
    <n v="1060600"/>
    <m/>
    <x v="5"/>
    <x v="2"/>
    <s v="81"/>
    <x v="8"/>
    <x v="116"/>
    <x v="19"/>
    <s v="8131"/>
    <s v="מינהל החינוך היסודי"/>
    <m/>
    <s v="2"/>
    <x v="10"/>
    <s v="20"/>
    <e v="#N/A"/>
    <s v="200"/>
    <e v="#N/A"/>
  </r>
  <r>
    <n v="500"/>
    <n v="813190"/>
    <n v="1"/>
    <s v="1813190.500"/>
    <s v="רווחה חינוכית - יסודי - הוצאות כלליות"/>
    <m/>
    <m/>
    <n v="446900"/>
    <n v="460000"/>
    <n v="459700"/>
    <m/>
    <x v="5"/>
    <x v="2"/>
    <s v="81"/>
    <x v="8"/>
    <x v="116"/>
    <x v="19"/>
    <s v="8131"/>
    <s v="מינהל החינוך היסודי"/>
    <m/>
    <s v="5"/>
    <x v="12"/>
    <s v="50"/>
    <e v="#N/A"/>
    <s v="500"/>
    <e v="#N/A"/>
  </r>
  <r>
    <n v="100"/>
    <n v="817331"/>
    <n v="1"/>
    <s v="1817331.100"/>
    <s v="אשכול פיס ק. חיים - שכר לעובדים קבועים"/>
    <m/>
    <m/>
    <n v="628000"/>
    <n v="621000"/>
    <n v="574900"/>
    <m/>
    <x v="5"/>
    <x v="2"/>
    <s v="81"/>
    <x v="8"/>
    <x v="115"/>
    <x v="20"/>
    <s v="8173"/>
    <s v="שרות פסיכולוגי חינוכי"/>
    <m/>
    <s v="1"/>
    <x v="8"/>
    <s v="10"/>
    <e v="#N/A"/>
    <s v="100"/>
    <e v="#N/A"/>
  </r>
  <r>
    <n v="120"/>
    <n v="817331"/>
    <n v="1"/>
    <s v="1817331.120"/>
    <s v="אשכול פיס ק. חיים - שעות נוספות"/>
    <m/>
    <m/>
    <n v="18000"/>
    <n v="18000"/>
    <n v="15900"/>
    <m/>
    <x v="5"/>
    <x v="2"/>
    <s v="81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700"/>
    <n v="817331"/>
    <n v="1"/>
    <s v="1817331.700"/>
    <s v="אשכול פיס ק. חיים - הוצאות לפעולות"/>
    <m/>
    <m/>
    <n v="130000"/>
    <n v="130000"/>
    <n v="0"/>
    <m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800"/>
    <n v="817331"/>
    <n v="1"/>
    <s v="1817331.800"/>
    <s v="אשכול פיס ק. חיים - השתתפויות תמיכות ותרומות"/>
    <m/>
    <m/>
    <n v="64300"/>
    <n v="70000"/>
    <n v="174600"/>
    <m/>
    <x v="5"/>
    <x v="2"/>
    <s v="81"/>
    <x v="8"/>
    <x v="115"/>
    <x v="20"/>
    <s v="8173"/>
    <s v="שרות פסיכולוגי חינוכי"/>
    <m/>
    <s v="8"/>
    <x v="13"/>
    <s v="80"/>
    <e v="#N/A"/>
    <s v="800"/>
    <e v="#N/A"/>
  </r>
  <r>
    <n v="100"/>
    <n v="817332"/>
    <n v="1"/>
    <s v="1817332.100"/>
    <s v="אשכול פיס רעות - שכר לעובדים קבועים"/>
    <m/>
    <m/>
    <n v="623000"/>
    <n v="616000"/>
    <n v="836600"/>
    <m/>
    <x v="5"/>
    <x v="2"/>
    <s v="81"/>
    <x v="8"/>
    <x v="115"/>
    <x v="20"/>
    <s v="8173"/>
    <s v="שרות פסיכולוגי חינוכי"/>
    <m/>
    <s v="1"/>
    <x v="8"/>
    <s v="10"/>
    <e v="#N/A"/>
    <s v="100"/>
    <e v="#N/A"/>
  </r>
  <r>
    <n v="700"/>
    <n v="817332"/>
    <n v="1"/>
    <s v="1817332.700"/>
    <s v="אשכול פיס רעות - הוצאות לפעולות"/>
    <m/>
    <m/>
    <n v="130000"/>
    <n v="130000"/>
    <n v="0"/>
    <m/>
    <x v="5"/>
    <x v="2"/>
    <s v="81"/>
    <x v="8"/>
    <x v="115"/>
    <x v="20"/>
    <s v="8173"/>
    <s v="שרות פסיכולוגי חינוכי"/>
    <m/>
    <s v="7"/>
    <x v="9"/>
    <s v="70"/>
    <e v="#N/A"/>
    <s v="700"/>
    <e v="#N/A"/>
  </r>
  <r>
    <n v="800"/>
    <n v="817332"/>
    <n v="1"/>
    <s v="1817332.800"/>
    <s v="אשכול פיס רעות - השתתפויות תמיכות ותרומות"/>
    <m/>
    <m/>
    <n v="64300"/>
    <n v="70000"/>
    <n v="297300"/>
    <m/>
    <x v="5"/>
    <x v="2"/>
    <s v="81"/>
    <x v="8"/>
    <x v="115"/>
    <x v="20"/>
    <s v="8173"/>
    <s v="שרות פסיכולוגי חינוכי"/>
    <m/>
    <s v="8"/>
    <x v="13"/>
    <s v="80"/>
    <e v="#N/A"/>
    <s v="800"/>
    <e v="#N/A"/>
  </r>
  <r>
    <n v="200"/>
    <n v="817329"/>
    <n v="1"/>
    <s v="1817329.200"/>
    <s v="משתלם אשכול פיס רעות - שכר לעובדים ארעיים"/>
    <m/>
    <m/>
    <n v="150000"/>
    <n v="150000"/>
    <n v="30400"/>
    <m/>
    <x v="5"/>
    <x v="2"/>
    <s v="81"/>
    <x v="8"/>
    <x v="115"/>
    <x v="20"/>
    <s v="8173"/>
    <s v="שרות פסיכולוגי חינוכי"/>
    <m/>
    <s v="2"/>
    <x v="10"/>
    <s v="20"/>
    <e v="#N/A"/>
    <s v="200"/>
    <e v="#N/A"/>
  </r>
  <r>
    <n v="100"/>
    <n v="818600"/>
    <n v="1"/>
    <s v="1818600.100"/>
    <s v="פסגה - מרכז הכשרת מורים - שכר לעובדים קבועים"/>
    <m/>
    <m/>
    <n v="459000"/>
    <n v="454000"/>
    <n v="502200"/>
    <m/>
    <x v="5"/>
    <x v="2"/>
    <s v="81"/>
    <x v="8"/>
    <x v="93"/>
    <x v="65"/>
    <s v="8186"/>
    <e v="#N/A"/>
    <m/>
    <s v="1"/>
    <x v="8"/>
    <s v="10"/>
    <e v="#N/A"/>
    <s v="100"/>
    <e v="#N/A"/>
  </r>
  <r>
    <n v="400"/>
    <n v="818600"/>
    <n v="1"/>
    <s v="1818600.400"/>
    <s v="פסגה - מרכז הכשרת מורים - אחזקה אספקה וציוד"/>
    <m/>
    <m/>
    <n v="71700"/>
    <n v="75000"/>
    <n v="89200"/>
    <m/>
    <x v="5"/>
    <x v="2"/>
    <s v="81"/>
    <x v="8"/>
    <x v="93"/>
    <x v="65"/>
    <s v="8186"/>
    <e v="#N/A"/>
    <m/>
    <s v="4"/>
    <x v="11"/>
    <s v="40"/>
    <e v="#N/A"/>
    <s v="400"/>
    <e v="#N/A"/>
  </r>
  <r>
    <n v="700"/>
    <n v="818600"/>
    <n v="1"/>
    <s v="1818600.700"/>
    <s v="פסגה - מרכז הכשרת מורים - הוצאות לפעולות"/>
    <m/>
    <m/>
    <n v="41000"/>
    <n v="41000"/>
    <n v="41000"/>
    <m/>
    <x v="5"/>
    <x v="2"/>
    <s v="81"/>
    <x v="8"/>
    <x v="93"/>
    <x v="65"/>
    <s v="8186"/>
    <e v="#N/A"/>
    <m/>
    <s v="7"/>
    <x v="9"/>
    <s v="70"/>
    <e v="#N/A"/>
    <s v="700"/>
    <e v="#N/A"/>
  </r>
  <r>
    <n v="700"/>
    <n v="815610"/>
    <n v="1"/>
    <s v="1815610.700"/>
    <s v="ביה&quot;ס כי&quot;ח כולל חטיבת ביניים - הוצאות לפעולות"/>
    <m/>
    <m/>
    <n v="1045000"/>
    <n v="1045000"/>
    <n v="1045000"/>
    <m/>
    <x v="5"/>
    <x v="2"/>
    <s v="81"/>
    <x v="8"/>
    <x v="118"/>
    <x v="21"/>
    <s v="8156"/>
    <s v="בתי״ס על יסודיים חקלאיים"/>
    <m/>
    <s v="7"/>
    <x v="9"/>
    <s v="70"/>
    <e v="#N/A"/>
    <s v="700"/>
    <e v="#N/A"/>
  </r>
  <r>
    <n v="800"/>
    <n v="815610"/>
    <n v="1"/>
    <s v="1815610.800"/>
    <s v="ביה&quot;ס כי&quot;ח כולל חטיבת ביניים - השתתפויות תמיכות ותרומות"/>
    <m/>
    <m/>
    <n v="713300"/>
    <n v="765000"/>
    <n v="762900"/>
    <m/>
    <x v="5"/>
    <x v="2"/>
    <s v="81"/>
    <x v="8"/>
    <x v="118"/>
    <x v="21"/>
    <s v="8156"/>
    <s v="בתי״ס על יסודיים חקלאיים"/>
    <m/>
    <s v="8"/>
    <x v="13"/>
    <s v="80"/>
    <e v="#N/A"/>
    <s v="800"/>
    <e v="#N/A"/>
  </r>
  <r>
    <n v="800"/>
    <n v="817650"/>
    <n v="1"/>
    <s v="1817650.800"/>
    <s v="חוק נהרי - השתתפויות תמיכות ותרומות"/>
    <m/>
    <m/>
    <n v="2914300"/>
    <n v="3000000"/>
    <n v="1303000"/>
    <m/>
    <x v="5"/>
    <x v="2"/>
    <s v="81"/>
    <x v="8"/>
    <x v="115"/>
    <x v="20"/>
    <s v="8176"/>
    <s v="רווחה חינוכית"/>
    <m/>
    <s v="8"/>
    <x v="13"/>
    <s v="80"/>
    <e v="#N/A"/>
    <s v="800"/>
    <e v="#N/A"/>
  </r>
  <r>
    <n v="700"/>
    <n v="815690"/>
    <n v="1"/>
    <s v="1815690.700"/>
    <s v="חט&quot;ב צביה - הוצאות לפעולות"/>
    <m/>
    <m/>
    <n v="145700"/>
    <n v="150000"/>
    <n v="134200"/>
    <m/>
    <x v="5"/>
    <x v="2"/>
    <s v="81"/>
    <x v="8"/>
    <x v="118"/>
    <x v="21"/>
    <s v="8156"/>
    <s v="בתי״ס על יסודיים חקלאיים"/>
    <m/>
    <s v="7"/>
    <x v="9"/>
    <s v="70"/>
    <e v="#N/A"/>
    <s v="700"/>
    <e v="#N/A"/>
  </r>
  <r>
    <n v="400"/>
    <n v="815680"/>
    <n v="1"/>
    <s v="1815680.400"/>
    <s v="מרכז לאו בק כולל חטיבת ביניים - אחזקה אספקה וציוד"/>
    <m/>
    <m/>
    <n v="0"/>
    <n v="0"/>
    <n v="169300"/>
    <m/>
    <x v="5"/>
    <x v="2"/>
    <s v="81"/>
    <x v="8"/>
    <x v="118"/>
    <x v="21"/>
    <s v="8156"/>
    <s v="בתי״ס על יסודיים חקלאיים"/>
    <m/>
    <s v="4"/>
    <x v="11"/>
    <s v="40"/>
    <e v="#N/A"/>
    <s v="400"/>
    <e v="#N/A"/>
  </r>
  <r>
    <n v="700"/>
    <n v="815680"/>
    <n v="1"/>
    <s v="1815680.700"/>
    <s v="מרכז לאו בק כולל חטיבת ביניים - הוצאות לפעולות"/>
    <m/>
    <m/>
    <n v="317600"/>
    <n v="337700"/>
    <n v="198800"/>
    <m/>
    <x v="5"/>
    <x v="2"/>
    <s v="81"/>
    <x v="8"/>
    <x v="118"/>
    <x v="21"/>
    <s v="8156"/>
    <s v="בתי״ס על יסודיים חקלאיים"/>
    <m/>
    <s v="7"/>
    <x v="9"/>
    <s v="70"/>
    <e v="#N/A"/>
    <s v="700"/>
    <e v="#N/A"/>
  </r>
  <r>
    <n v="800"/>
    <n v="815680"/>
    <n v="1"/>
    <s v="1815680.800"/>
    <s v="מרכז לאו בק כולל חטיבת ביניים - השתתפויות תמיכות ותרומות"/>
    <m/>
    <m/>
    <n v="1625300"/>
    <n v="1662300"/>
    <n v="1507300"/>
    <m/>
    <x v="5"/>
    <x v="2"/>
    <s v="81"/>
    <x v="8"/>
    <x v="118"/>
    <x v="21"/>
    <s v="8156"/>
    <s v="בתי״ס על יסודיים חקלאיים"/>
    <m/>
    <s v="8"/>
    <x v="13"/>
    <s v="80"/>
    <e v="#N/A"/>
    <s v="800"/>
    <e v="#N/A"/>
  </r>
  <r>
    <n v="800"/>
    <n v="826500"/>
    <n v="1"/>
    <s v="1826500.800"/>
    <s v="מוזיאון לאומי למדע - השתתפויות תמיכות ותרומות"/>
    <m/>
    <m/>
    <n v="1000100"/>
    <n v="1030000"/>
    <n v="1030000"/>
    <m/>
    <x v="5"/>
    <x v="2"/>
    <s v="82"/>
    <x v="9"/>
    <x v="121"/>
    <x v="26"/>
    <s v="8265"/>
    <e v="#N/A"/>
    <m/>
    <s v="8"/>
    <x v="13"/>
    <s v="80"/>
    <e v="#N/A"/>
    <s v="800"/>
    <e v="#N/A"/>
  </r>
  <r>
    <n v="800"/>
    <n v="826100"/>
    <n v="1"/>
    <s v="1826100.800"/>
    <s v="תיאטרון עירוני - השתתפויות תמיכות ותרומות"/>
    <m/>
    <m/>
    <n v="10248700"/>
    <n v="10550000"/>
    <n v="9763500"/>
    <m/>
    <x v="5"/>
    <x v="2"/>
    <s v="82"/>
    <x v="9"/>
    <x v="121"/>
    <x v="26"/>
    <s v="8261"/>
    <s v="תיאטרונים"/>
    <m/>
    <s v="8"/>
    <x v="13"/>
    <s v="80"/>
    <e v="#N/A"/>
    <s v="800"/>
    <e v="#N/A"/>
  </r>
  <r>
    <n v="700"/>
    <n v="826100"/>
    <n v="1"/>
    <s v="1826100.700"/>
    <s v="פסטיבל תיאטרון ילדים - הוצאות לפעולות"/>
    <m/>
    <m/>
    <n v="777200"/>
    <n v="800000"/>
    <n v="800000"/>
    <m/>
    <x v="5"/>
    <x v="2"/>
    <s v="82"/>
    <x v="9"/>
    <x v="121"/>
    <x v="26"/>
    <s v="8261"/>
    <s v="תיאטרונים"/>
    <m/>
    <s v="7"/>
    <x v="9"/>
    <s v="70"/>
    <e v="#N/A"/>
    <s v="700"/>
    <e v="#N/A"/>
  </r>
  <r>
    <n v="800"/>
    <n v="828300"/>
    <n v="1"/>
    <s v="1828300.800"/>
    <s v="תזמורת הנוער-‏ מרכז יובל - השתתפויות תמיכות ותרומות"/>
    <m/>
    <m/>
    <n v="418200"/>
    <n v="430500"/>
    <n v="389100"/>
    <m/>
    <x v="5"/>
    <x v="2"/>
    <s v="82"/>
    <x v="9"/>
    <x v="90"/>
    <x v="28"/>
    <s v="8283"/>
    <s v="חוגי נוער"/>
    <m/>
    <s v="8"/>
    <x v="13"/>
    <s v="80"/>
    <e v="#N/A"/>
    <s v="800"/>
    <e v="#N/A"/>
  </r>
  <r>
    <n v="800"/>
    <n v="824600"/>
    <n v="1"/>
    <s v="1824600.800"/>
    <s v="אתו&quot;ס - השתתפויות תמיכות ותרומות"/>
    <m/>
    <m/>
    <n v="12822100"/>
    <n v="13199000"/>
    <n v="12669000"/>
    <m/>
    <x v="5"/>
    <x v="2"/>
    <s v="82"/>
    <x v="9"/>
    <x v="56"/>
    <x v="30"/>
    <s v="8246"/>
    <e v="#N/A"/>
    <m/>
    <s v="8"/>
    <x v="13"/>
    <s v="80"/>
    <e v="#N/A"/>
    <s v="800"/>
    <e v="#N/A"/>
  </r>
  <r>
    <n v="900"/>
    <n v="824600"/>
    <n v="1"/>
    <s v="1824600.900"/>
    <s v="אתו&quot;ס - הוצאות חד-פעמיות והשקעות"/>
    <m/>
    <m/>
    <m/>
    <n v="0"/>
    <n v="0"/>
    <m/>
    <x v="5"/>
    <x v="2"/>
    <s v="82"/>
    <x v="9"/>
    <x v="56"/>
    <x v="30"/>
    <s v="8246"/>
    <e v="#N/A"/>
    <m/>
    <s v="9"/>
    <x v="17"/>
    <s v="90"/>
    <e v="#N/A"/>
    <s v="900"/>
    <e v="#N/A"/>
  </r>
  <r>
    <n v="800"/>
    <n v="824609"/>
    <n v="1"/>
    <s v="1824609.800"/>
    <s v="פסטיבל הסרטים - השתתפויות תמיכות ותרומות"/>
    <m/>
    <m/>
    <n v="1165700"/>
    <n v="1200000"/>
    <n v="1200000"/>
    <m/>
    <x v="5"/>
    <x v="2"/>
    <s v="82"/>
    <x v="9"/>
    <x v="56"/>
    <x v="30"/>
    <s v="8246"/>
    <e v="#N/A"/>
    <m/>
    <s v="8"/>
    <x v="13"/>
    <s v="80"/>
    <e v="#N/A"/>
    <s v="800"/>
    <e v="#N/A"/>
  </r>
  <r>
    <n v="800"/>
    <n v="826200"/>
    <n v="1"/>
    <s v="1826200.800"/>
    <s v="תזמורת סימפונית - השתתפויות תמיכות ותרומות"/>
    <m/>
    <m/>
    <n v="4285800"/>
    <n v="4000000"/>
    <n v="4000000"/>
    <m/>
    <x v="5"/>
    <x v="2"/>
    <s v="82"/>
    <x v="9"/>
    <x v="121"/>
    <x v="26"/>
    <s v="8262"/>
    <s v="מוזיאונים"/>
    <m/>
    <s v="8"/>
    <x v="13"/>
    <s v="80"/>
    <e v="#N/A"/>
    <s v="800"/>
    <e v="#N/A"/>
  </r>
  <r>
    <n v="800"/>
    <n v="825000"/>
    <n v="1"/>
    <s v="1825000.800"/>
    <s v="מוזאונים - השתתפויות תמיכות ותרומות"/>
    <m/>
    <m/>
    <n v="10703000"/>
    <n v="10503000"/>
    <n v="9505800"/>
    <m/>
    <x v="5"/>
    <x v="2"/>
    <s v="82"/>
    <x v="9"/>
    <x v="53"/>
    <x v="27"/>
    <s v="8250"/>
    <e v="#N/A"/>
    <m/>
    <s v="8"/>
    <x v="13"/>
    <s v="80"/>
    <e v="#N/A"/>
    <s v="800"/>
    <e v="#N/A"/>
  </r>
  <r>
    <n v="800"/>
    <n v="851000"/>
    <n v="1"/>
    <s v="1851000.800"/>
    <s v="המועצה הדתית - השתתפויות תמיכות ותרומות"/>
    <m/>
    <m/>
    <n v="9604300"/>
    <n v="9831700"/>
    <n v="9232000"/>
    <m/>
    <x v="5"/>
    <x v="2"/>
    <s v="85"/>
    <x v="27"/>
    <x v="122"/>
    <x v="77"/>
    <s v="8510"/>
    <e v="#N/A"/>
    <m/>
    <s v="8"/>
    <x v="13"/>
    <s v="80"/>
    <e v="#N/A"/>
    <s v="800"/>
    <e v="#N/A"/>
  </r>
  <r>
    <n v="800"/>
    <n v="836000"/>
    <n v="1"/>
    <s v="1836000.800"/>
    <s v="מגן דוד אדום - השתתפויות תמיכות ותרומות"/>
    <m/>
    <m/>
    <n v="499900"/>
    <n v="474900"/>
    <n v="473300"/>
    <m/>
    <x v="5"/>
    <x v="2"/>
    <s v="83"/>
    <x v="15"/>
    <x v="123"/>
    <x v="78"/>
    <s v="8360"/>
    <e v="#N/A"/>
    <m/>
    <s v="8"/>
    <x v="13"/>
    <s v="80"/>
    <e v="#N/A"/>
    <s v="800"/>
    <e v="#N/A"/>
  </r>
  <r>
    <n v="800"/>
    <n v="769610"/>
    <n v="1"/>
    <s v="1769610.800"/>
    <s v="מרכז לטיפוח יזמות - השתתפויות תמיכות ותרומות"/>
    <m/>
    <m/>
    <n v="417700"/>
    <n v="430000"/>
    <n v="430000"/>
    <m/>
    <x v="7"/>
    <x v="1"/>
    <s v="76"/>
    <x v="20"/>
    <x v="124"/>
    <x v="79"/>
    <s v="7696"/>
    <e v="#N/A"/>
    <m/>
    <s v="8"/>
    <x v="13"/>
    <s v="80"/>
    <e v="#N/A"/>
    <s v="800"/>
    <e v="#N/A"/>
  </r>
  <r>
    <n v="800"/>
    <n v="771600"/>
    <n v="1"/>
    <s v="1771600.800"/>
    <s v="עמותה לתיירות ונופש חיפה - השתתפויות תמיכות ותרומות"/>
    <m/>
    <m/>
    <n v="2273200"/>
    <n v="2340000"/>
    <n v="2340000"/>
    <m/>
    <x v="7"/>
    <x v="1"/>
    <s v="77"/>
    <x v="18"/>
    <x v="61"/>
    <x v="45"/>
    <s v="7716"/>
    <e v="#N/A"/>
    <m/>
    <s v="8"/>
    <x v="13"/>
    <s v="80"/>
    <e v="#N/A"/>
    <s v="800"/>
    <e v="#N/A"/>
  </r>
  <r>
    <n v="800"/>
    <n v="824620"/>
    <n v="1"/>
    <s v="1824620.800"/>
    <s v="חברת האיצטדיון - השתתפויות תמיכות ותרומות"/>
    <m/>
    <m/>
    <n v="7500000"/>
    <n v="7000000"/>
    <n v="0"/>
    <m/>
    <x v="5"/>
    <x v="2"/>
    <s v="82"/>
    <x v="9"/>
    <x v="56"/>
    <x v="30"/>
    <s v="8246"/>
    <e v="#N/A"/>
    <m/>
    <s v="8"/>
    <x v="13"/>
    <s v="80"/>
    <e v="#N/A"/>
    <s v="800"/>
    <e v="#N/A"/>
  </r>
  <r>
    <n v="800"/>
    <n v="813630"/>
    <n v="1"/>
    <s v="1813630.800"/>
    <s v="חברה כלכלית - השתתפויות תמיכות ותרומות"/>
    <m/>
    <m/>
    <n v="230000"/>
    <n v="230000"/>
    <n v="0"/>
    <m/>
    <x v="5"/>
    <x v="2"/>
    <s v="81"/>
    <x v="8"/>
    <x v="116"/>
    <x v="19"/>
    <s v="8136"/>
    <s v="חינוך משלים בבתי״ס"/>
    <m/>
    <s v="8"/>
    <x v="13"/>
    <s v="80"/>
    <e v="#N/A"/>
    <s v="800"/>
    <e v="#N/A"/>
  </r>
  <r>
    <n v="800"/>
    <n v="724000"/>
    <n v="1"/>
    <s v="1724000.800"/>
    <s v="רשות כיבוי - השתתפויות תמיכות ותרומות"/>
    <m/>
    <m/>
    <n v="13500000"/>
    <n v="13500000"/>
    <n v="14685600"/>
    <m/>
    <x v="7"/>
    <x v="1"/>
    <s v="72"/>
    <x v="4"/>
    <x v="125"/>
    <x v="80"/>
    <s v="7240"/>
    <e v="#N/A"/>
    <m/>
    <s v="8"/>
    <x v="13"/>
    <s v="80"/>
    <e v="#N/A"/>
    <s v="800"/>
    <e v="#N/A"/>
  </r>
  <r>
    <n v="800"/>
    <n v="879000"/>
    <n v="1"/>
    <s v="1879000.800"/>
    <s v="אגד ערים איכות סביבה - השתתפויות תמיכות ותרומות"/>
    <m/>
    <m/>
    <n v="710000"/>
    <n v="710000"/>
    <n v="486100"/>
    <m/>
    <x v="5"/>
    <x v="2"/>
    <s v="87"/>
    <x v="28"/>
    <x v="126"/>
    <x v="81"/>
    <s v="8790"/>
    <e v="#N/A"/>
    <m/>
    <s v="8"/>
    <x v="13"/>
    <s v="80"/>
    <e v="#N/A"/>
    <s v="800"/>
    <e v="#N/A"/>
  </r>
  <r>
    <n v="800"/>
    <n v="911000"/>
    <n v="1"/>
    <s v="1911000.800"/>
    <s v="רשות נחל קישון - השתתפויות תמיכות ותרומות"/>
    <m/>
    <m/>
    <n v="450000"/>
    <n v="450000"/>
    <n v="424800"/>
    <m/>
    <x v="8"/>
    <x v="3"/>
    <s v="91"/>
    <x v="11"/>
    <x v="127"/>
    <x v="82"/>
    <s v="9110"/>
    <e v="#N/A"/>
    <m/>
    <s v="8"/>
    <x v="13"/>
    <s v="80"/>
    <e v="#N/A"/>
    <s v="800"/>
    <e v="#N/A"/>
  </r>
  <r>
    <n v="800"/>
    <n v="745200"/>
    <n v="1"/>
    <s v="1745200.800"/>
    <s v="רשויות ניקוז קישון וכרמל - השתתפויות תמיכות ותרומות"/>
    <m/>
    <m/>
    <n v="1642100"/>
    <n v="1642100"/>
    <n v="2407600"/>
    <m/>
    <x v="7"/>
    <x v="1"/>
    <s v="74"/>
    <x v="6"/>
    <x v="107"/>
    <x v="13"/>
    <s v="7452"/>
    <e v="#N/A"/>
    <m/>
    <s v="8"/>
    <x v="13"/>
    <s v="80"/>
    <e v="#N/A"/>
    <s v="800"/>
    <e v="#N/A"/>
  </r>
  <r>
    <n v="800"/>
    <n v="942000"/>
    <n v="1"/>
    <s v="1942000.800"/>
    <s v="כרמלית - השתתפויות תמיכות ותרומות"/>
    <m/>
    <m/>
    <n v="2625000"/>
    <n v="2695000"/>
    <n v="2695000"/>
    <m/>
    <x v="8"/>
    <x v="3"/>
    <s v="94"/>
    <x v="13"/>
    <x v="128"/>
    <x v="41"/>
    <s v="9420"/>
    <e v="#N/A"/>
    <m/>
    <s v="8"/>
    <x v="13"/>
    <s v="80"/>
    <e v="#N/A"/>
    <s v="800"/>
    <e v="#N/A"/>
  </r>
  <r>
    <n v="800"/>
    <n v="816200"/>
    <n v="1"/>
    <s v="1816200.800"/>
    <s v="אוניברסיטת חיפה וטכניון - השתתפויות תמיכות ותרומות"/>
    <m/>
    <m/>
    <n v="5000000"/>
    <n v="5000000"/>
    <n v="610400"/>
    <m/>
    <x v="5"/>
    <x v="2"/>
    <s v="81"/>
    <x v="8"/>
    <x v="117"/>
    <x v="75"/>
    <s v="8162"/>
    <s v="אוניברסיטאות"/>
    <m/>
    <s v="8"/>
    <x v="13"/>
    <s v="80"/>
    <e v="#N/A"/>
    <s v="800"/>
    <e v="#N/A"/>
  </r>
  <r>
    <n v="700"/>
    <n v="862000"/>
    <n v="1"/>
    <s v="1862000.700"/>
    <s v="עמותה לקליטת עליה - עיר ללא אלימות"/>
    <m/>
    <m/>
    <n v="2040000"/>
    <n v="2100000"/>
    <n v="2100000"/>
    <m/>
    <x v="5"/>
    <x v="2"/>
    <s v="86"/>
    <x v="23"/>
    <x v="129"/>
    <x v="0"/>
    <s v="8620"/>
    <e v="#N/A"/>
    <m/>
    <s v="7"/>
    <x v="9"/>
    <s v="70"/>
    <e v="#N/A"/>
    <s v="700"/>
    <e v="#N/A"/>
  </r>
  <r>
    <n v="800"/>
    <n v="862000"/>
    <n v="1"/>
    <s v="1862000.800"/>
    <s v="עמותה לקליטת עליה - השתתפויות תמיכות ותרומות"/>
    <m/>
    <m/>
    <n v="5177800"/>
    <n v="5330000"/>
    <n v="5322400"/>
    <m/>
    <x v="5"/>
    <x v="2"/>
    <s v="86"/>
    <x v="23"/>
    <x v="129"/>
    <x v="0"/>
    <s v="8620"/>
    <e v="#N/A"/>
    <m/>
    <s v="8"/>
    <x v="13"/>
    <s v="80"/>
    <e v="#N/A"/>
    <s v="800"/>
    <e v="#N/A"/>
  </r>
  <r>
    <n v="861"/>
    <n v="995000"/>
    <n v="1"/>
    <s v="1995000.861"/>
    <s v="הנחות בארנונה"/>
    <m/>
    <m/>
    <n v="160000000"/>
    <n v="160000000"/>
    <n v="159636000"/>
    <m/>
    <x v="10"/>
    <x v="7"/>
    <m/>
    <x v="29"/>
    <x v="130"/>
    <x v="83"/>
    <m/>
    <m/>
    <m/>
    <s v="8"/>
    <x v="18"/>
    <s v="86"/>
    <m/>
    <s v="861"/>
    <m/>
  </r>
  <r>
    <m/>
    <m/>
    <m/>
    <m/>
    <m/>
    <m/>
    <m/>
    <n v="-184644600"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m/>
    <m/>
    <m/>
    <m/>
    <x v="10"/>
    <x v="7"/>
    <m/>
    <x v="29"/>
    <x v="130"/>
    <x v="83"/>
    <m/>
    <m/>
    <m/>
    <s v=""/>
    <x v="19"/>
    <s v=""/>
    <e v="#VALUE!"/>
    <s v=""/>
    <e v="#VALUE!"/>
  </r>
  <r>
    <m/>
    <m/>
    <m/>
    <m/>
    <m/>
    <m/>
    <m/>
    <n v="-24644600"/>
    <n v="-24644600"/>
    <n v="-24644600"/>
    <m/>
    <x v="10"/>
    <x v="7"/>
    <m/>
    <x v="29"/>
    <x v="130"/>
    <x v="83"/>
    <m/>
    <m/>
    <m/>
    <m/>
    <x v="18"/>
    <m/>
    <m/>
    <m/>
    <m/>
  </r>
  <r>
    <m/>
    <m/>
    <m/>
    <m/>
    <m/>
    <m/>
    <m/>
    <m/>
    <m/>
    <m/>
    <m/>
    <x v="10"/>
    <x v="7"/>
    <m/>
    <x v="29"/>
    <x v="130"/>
    <x v="83"/>
    <m/>
    <m/>
    <m/>
    <m/>
    <x v="18"/>
    <m/>
    <m/>
    <m/>
    <m/>
  </r>
  <r>
    <m/>
    <m/>
    <m/>
    <m/>
    <m/>
    <m/>
    <m/>
    <m/>
    <m/>
    <m/>
    <m/>
    <x v="10"/>
    <x v="7"/>
    <m/>
    <x v="29"/>
    <x v="130"/>
    <x v="83"/>
    <m/>
    <m/>
    <m/>
    <m/>
    <x v="18"/>
    <m/>
    <m/>
    <m/>
    <m/>
  </r>
  <r>
    <m/>
    <m/>
    <m/>
    <m/>
    <m/>
    <n v="-10000000"/>
    <m/>
    <m/>
    <m/>
    <m/>
    <m/>
    <x v="10"/>
    <x v="7"/>
    <m/>
    <x v="29"/>
    <x v="130"/>
    <x v="83"/>
    <m/>
    <m/>
    <m/>
    <m/>
    <x v="18"/>
    <m/>
    <m/>
    <m/>
    <m/>
  </r>
  <r>
    <m/>
    <m/>
    <m/>
    <m/>
    <m/>
    <n v="-42667500"/>
    <m/>
    <m/>
    <m/>
    <m/>
    <m/>
    <x v="10"/>
    <x v="7"/>
    <m/>
    <x v="29"/>
    <x v="130"/>
    <x v="83"/>
    <m/>
    <m/>
    <m/>
    <m/>
    <x v="18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324">
  <r>
    <n v="110"/>
    <s v="110000"/>
    <n v="1"/>
    <s v="1110000.110"/>
    <s v="ארנונה   - ארנונה  למגורים ועסקים"/>
    <m/>
    <m/>
    <n v="-1220000000"/>
    <n v="-1241302400"/>
    <n v="-1117800369"/>
    <m/>
    <x v="0"/>
    <x v="0"/>
    <x v="0"/>
    <x v="0"/>
    <x v="0"/>
    <x v="0"/>
    <s v="1100"/>
    <e v="#N/A"/>
    <m/>
    <s v="1"/>
    <x v="0"/>
    <s v="11"/>
    <e v="#N/A"/>
    <s v="110"/>
    <e v="#N/A"/>
  </r>
  <r>
    <n v="125"/>
    <s v="110000"/>
    <n v="1"/>
    <s v="1110000.125"/>
    <s v="ארנונה   - הנחות סוציאליות ופטורים בארנונה"/>
    <m/>
    <m/>
    <n v="-160000000"/>
    <n v="-160000000"/>
    <n v="-161826833"/>
    <m/>
    <x v="0"/>
    <x v="0"/>
    <x v="0"/>
    <x v="0"/>
    <x v="0"/>
    <x v="0"/>
    <s v="1100"/>
    <e v="#N/A"/>
    <m/>
    <s v="1"/>
    <x v="0"/>
    <s v="12"/>
    <e v="#N/A"/>
    <s v="125"/>
    <e v="#N/A"/>
  </r>
  <r>
    <n v="220"/>
    <s v="120000"/>
    <n v="1"/>
    <s v="1120000.220"/>
    <s v="אגרות - אגרת רשיונות לשלטים"/>
    <m/>
    <m/>
    <n v="-20250000"/>
    <n v="-20100000"/>
    <n v="-17769356"/>
    <m/>
    <x v="0"/>
    <x v="0"/>
    <x v="1"/>
    <x v="1"/>
    <x v="1"/>
    <x v="0"/>
    <s v="1200"/>
    <e v="#N/A"/>
    <m/>
    <s v="2"/>
    <x v="1"/>
    <s v="22"/>
    <s v="אגרות בגין שירותים וחומרים"/>
    <s v="220"/>
    <e v="#N/A"/>
  </r>
  <r>
    <n v="230"/>
    <s v="120000"/>
    <n v="1"/>
    <s v="1120000.230"/>
    <s v="אגרות - אגרת תעודות ואישורים"/>
    <m/>
    <m/>
    <n v="-700000"/>
    <n v="-700000"/>
    <n v="-682812"/>
    <m/>
    <x v="0"/>
    <x v="0"/>
    <x v="1"/>
    <x v="1"/>
    <x v="1"/>
    <x v="0"/>
    <s v="1200"/>
    <e v="#N/A"/>
    <m/>
    <s v="2"/>
    <x v="1"/>
    <s v="23"/>
    <e v="#N/A"/>
    <s v="230"/>
    <e v="#N/A"/>
  </r>
  <r>
    <n v="241"/>
    <s v="120000"/>
    <n v="1"/>
    <s v="1120000.241"/>
    <s v="אגרות - אגרת מודעות על לוחות"/>
    <m/>
    <m/>
    <n v="-500000"/>
    <n v="-500000"/>
    <n v="-230110"/>
    <m/>
    <x v="0"/>
    <x v="0"/>
    <x v="1"/>
    <x v="1"/>
    <x v="1"/>
    <x v="0"/>
    <s v="1200"/>
    <e v="#N/A"/>
    <m/>
    <s v="2"/>
    <x v="1"/>
    <s v="24"/>
    <e v="#N/A"/>
    <s v="241"/>
    <e v="#N/A"/>
  </r>
  <r>
    <n v="242"/>
    <s v="120000"/>
    <n v="1"/>
    <s v="1120000.242"/>
    <s v="אגרות - התקנת שלטים"/>
    <m/>
    <m/>
    <n v="-1500000"/>
    <n v="-1500000"/>
    <n v="-835431"/>
    <m/>
    <x v="0"/>
    <x v="0"/>
    <x v="1"/>
    <x v="1"/>
    <x v="1"/>
    <x v="0"/>
    <s v="1200"/>
    <e v="#N/A"/>
    <m/>
    <s v="2"/>
    <x v="1"/>
    <s v="24"/>
    <e v="#N/A"/>
    <s v="242"/>
    <e v="#N/A"/>
  </r>
  <r>
    <n v="243"/>
    <s v="120000"/>
    <n v="1"/>
    <s v="1120000.243"/>
    <s v="אגרות - הדבקת מודעות"/>
    <m/>
    <m/>
    <n v="-100000"/>
    <n v="-100000"/>
    <n v="-62679"/>
    <m/>
    <x v="0"/>
    <x v="0"/>
    <x v="1"/>
    <x v="1"/>
    <x v="1"/>
    <x v="0"/>
    <s v="1200"/>
    <e v="#N/A"/>
    <m/>
    <s v="2"/>
    <x v="1"/>
    <s v="24"/>
    <e v="#N/A"/>
    <s v="243"/>
    <e v="#N/A"/>
  </r>
  <r>
    <n v="910"/>
    <s v="192000"/>
    <n v="1"/>
    <s v="1192000.910"/>
    <s v="מענקי משרד הפנים - מענק פנסיה צוברת"/>
    <m/>
    <m/>
    <n v="-1600000"/>
    <n v="-2052000"/>
    <n v="-1681640"/>
    <m/>
    <x v="0"/>
    <x v="0"/>
    <x v="2"/>
    <x v="2"/>
    <x v="2"/>
    <x v="1"/>
    <s v="1920"/>
    <e v="#N/A"/>
    <m/>
    <s v="9"/>
    <x v="2"/>
    <s v="91"/>
    <s v="השתתפות משרד הפנים"/>
    <s v="910"/>
    <e v="#N/A"/>
  </r>
  <r>
    <n v="910"/>
    <s v="197000"/>
    <n v="1"/>
    <s v="1197000.910"/>
    <s v="מענקי משרד הפנים - שיפוי קופות גמל סעיף 19ג"/>
    <m/>
    <m/>
    <n v="-180000"/>
    <n v="-205000"/>
    <n v="-184998"/>
    <m/>
    <x v="0"/>
    <x v="0"/>
    <x v="2"/>
    <x v="2"/>
    <x v="3"/>
    <x v="2"/>
    <s v="1970"/>
    <e v="#N/A"/>
    <m/>
    <s v="9"/>
    <x v="2"/>
    <s v="91"/>
    <s v="השתתפות משרד הפנים"/>
    <s v="910"/>
    <e v="#N/A"/>
  </r>
  <r>
    <n v="610"/>
    <n v="212923"/>
    <n v="1"/>
    <s v="1212923.610"/>
    <s v="שירותי ניקיון - פינוי פסולת והובלה"/>
    <m/>
    <m/>
    <n v="-7945000"/>
    <n v="-7945000"/>
    <n v="-7943174"/>
    <m/>
    <x v="1"/>
    <x v="1"/>
    <x v="3"/>
    <x v="3"/>
    <x v="4"/>
    <x v="3"/>
    <s v="2129"/>
    <e v="#N/A"/>
    <m/>
    <s v="6"/>
    <x v="3"/>
    <s v="61"/>
    <s v="מכירת חומרים"/>
    <s v="610"/>
    <e v="#N/A"/>
  </r>
  <r>
    <n v="412"/>
    <n v="212305"/>
    <n v="1"/>
    <s v="1212305.412"/>
    <s v="שירותי ניקיון - מכירת מכרזים"/>
    <m/>
    <m/>
    <n v="-50000"/>
    <n v="-50000"/>
    <n v="-79792"/>
    <m/>
    <x v="1"/>
    <x v="1"/>
    <x v="3"/>
    <x v="3"/>
    <x v="4"/>
    <x v="3"/>
    <s v="2123"/>
    <s v="אסוף ובעור אשפה"/>
    <m/>
    <s v="4"/>
    <x v="4"/>
    <s v="41"/>
    <s v="שכל&quot;מ מתושבים"/>
    <s v="412"/>
    <e v="#N/A"/>
  </r>
  <r>
    <n v="410"/>
    <n v="212305"/>
    <n v="1"/>
    <s v="1212305.410"/>
    <s v="שירותי ניקיון - רכישה ותיקון מכולות"/>
    <m/>
    <m/>
    <n v="0"/>
    <n v="0"/>
    <n v="-301"/>
    <m/>
    <x v="1"/>
    <x v="1"/>
    <x v="3"/>
    <x v="3"/>
    <x v="4"/>
    <x v="3"/>
    <s v="2123"/>
    <s v="אסוף ובעור אשפה"/>
    <m/>
    <s v="4"/>
    <x v="4"/>
    <s v="41"/>
    <s v="שכל&quot;מ מתושבים"/>
    <s v="410"/>
    <e v="#N/A"/>
  </r>
  <r>
    <n v="210"/>
    <s v="213000"/>
    <n v="1"/>
    <s v="1213000.210"/>
    <s v="פיקוח תברואי - אגרת רישוי עסקים"/>
    <m/>
    <m/>
    <n v="-579000"/>
    <n v="-579000"/>
    <n v="-470126"/>
    <m/>
    <x v="1"/>
    <x v="1"/>
    <x v="3"/>
    <x v="3"/>
    <x v="5"/>
    <x v="4"/>
    <s v="2130"/>
    <e v="#N/A"/>
    <m/>
    <s v="2"/>
    <x v="1"/>
    <s v="21"/>
    <s v="אגרות מים וביוב"/>
    <s v="210"/>
    <e v="#N/A"/>
  </r>
  <r>
    <n v="270"/>
    <s v="213000"/>
    <n v="1"/>
    <s v="1213000.270"/>
    <s v="פיקוח תברואי - קנסות"/>
    <m/>
    <m/>
    <n v="-600000"/>
    <n v="-480000"/>
    <n v="-567051"/>
    <m/>
    <x v="1"/>
    <x v="1"/>
    <x v="3"/>
    <x v="3"/>
    <x v="5"/>
    <x v="4"/>
    <s v="2130"/>
    <e v="#N/A"/>
    <m/>
    <s v="2"/>
    <x v="1"/>
    <s v="27"/>
    <e v="#N/A"/>
    <s v="270"/>
    <e v="#N/A"/>
  </r>
  <r>
    <n v="290"/>
    <s v="213000"/>
    <n v="1"/>
    <s v="1213000.290"/>
    <s v="פיקוח תברואי - דוחות עישון"/>
    <m/>
    <m/>
    <n v="-100000"/>
    <n v="-36400"/>
    <n v="-110300"/>
    <m/>
    <x v="1"/>
    <x v="1"/>
    <x v="3"/>
    <x v="3"/>
    <x v="5"/>
    <x v="4"/>
    <s v="2130"/>
    <e v="#N/A"/>
    <m/>
    <s v="2"/>
    <x v="1"/>
    <s v="29"/>
    <s v="אגרות אחרות"/>
    <s v="290"/>
    <e v="#N/A"/>
  </r>
  <r>
    <n v="210"/>
    <s v="214100"/>
    <n v="1"/>
    <s v="1214100.210"/>
    <s v="שירות  וטרינרי - אגרת רשיונות לכלבים"/>
    <m/>
    <m/>
    <n v="-350000"/>
    <n v="-350000"/>
    <n v="-339454"/>
    <m/>
    <x v="1"/>
    <x v="1"/>
    <x v="3"/>
    <x v="3"/>
    <x v="6"/>
    <x v="5"/>
    <s v="2141"/>
    <s v="מינהל שרות וטרינרי"/>
    <m/>
    <s v="2"/>
    <x v="1"/>
    <s v="21"/>
    <s v="אגרות מים וביוב"/>
    <s v="210"/>
    <e v="#N/A"/>
  </r>
  <r>
    <n v="410"/>
    <s v="214100"/>
    <n v="1"/>
    <s v="1214100.410"/>
    <s v="שירות  וטרינרי - בדיקות בשר קפוא ודגים"/>
    <m/>
    <m/>
    <n v="-363000"/>
    <n v="-363000"/>
    <n v="-206896"/>
    <m/>
    <x v="1"/>
    <x v="1"/>
    <x v="3"/>
    <x v="3"/>
    <x v="6"/>
    <x v="5"/>
    <s v="2141"/>
    <s v="מינהל שרות וטרינרי"/>
    <m/>
    <s v="4"/>
    <x v="4"/>
    <s v="41"/>
    <s v="שכל&quot;מ מתושבים"/>
    <s v="410"/>
    <e v="#N/A"/>
  </r>
  <r>
    <n v="440"/>
    <s v="214100"/>
    <n v="1"/>
    <s v="1214100.440"/>
    <s v="שירות  וטרינרי - אגרת שחיטת עופות"/>
    <m/>
    <m/>
    <n v="-307000"/>
    <n v="-307000"/>
    <n v="-227836"/>
    <m/>
    <x v="1"/>
    <x v="1"/>
    <x v="3"/>
    <x v="3"/>
    <x v="6"/>
    <x v="5"/>
    <s v="2141"/>
    <s v="מינהל שרות וטרינרי"/>
    <m/>
    <s v="4"/>
    <x v="4"/>
    <s v="44"/>
    <s v="השתתפויות מוסדות ורשויות בשירותים משלימים"/>
    <s v="440"/>
    <e v="#N/A"/>
  </r>
  <r>
    <n v="410"/>
    <n v="214105"/>
    <n v="1"/>
    <s v="1214105.410"/>
    <s v="שירות  וטרינרי - מאורות כלבים"/>
    <m/>
    <m/>
    <n v="-532500"/>
    <n v="-532500"/>
    <n v="-716524"/>
    <m/>
    <x v="1"/>
    <x v="1"/>
    <x v="3"/>
    <x v="3"/>
    <x v="6"/>
    <x v="5"/>
    <s v="2141"/>
    <s v="מינהל שרות וטרינרי"/>
    <m/>
    <s v="4"/>
    <x v="4"/>
    <s v="41"/>
    <s v="שכל&quot;מ מתושבים"/>
    <s v="410"/>
    <e v="#N/A"/>
  </r>
  <r>
    <n v="210"/>
    <s v="214300"/>
    <n v="1"/>
    <s v="1214300.210"/>
    <s v="שירות  וטרינרי - אגרת בדיקה  וטרינרית"/>
    <m/>
    <m/>
    <n v="-1127500"/>
    <n v="-1127500"/>
    <n v="-1145924"/>
    <m/>
    <x v="1"/>
    <x v="1"/>
    <x v="3"/>
    <x v="3"/>
    <x v="6"/>
    <x v="5"/>
    <s v="2143"/>
    <s v="מלחמה בכלבת"/>
    <m/>
    <s v="2"/>
    <x v="1"/>
    <s v="21"/>
    <s v="אגרות מים וביוב"/>
    <s v="210"/>
    <e v="#N/A"/>
  </r>
  <r>
    <n v="410"/>
    <s v="214100"/>
    <n v="1"/>
    <s v="1214100.410"/>
    <s v="שירות  וטרינרי - דמי חיסון כלבים"/>
    <m/>
    <m/>
    <n v="-166000"/>
    <n v="-166000"/>
    <n v="-187595"/>
    <m/>
    <x v="1"/>
    <x v="1"/>
    <x v="3"/>
    <x v="3"/>
    <x v="6"/>
    <x v="5"/>
    <s v="2141"/>
    <s v="מינהל שרות וטרינרי"/>
    <m/>
    <s v="4"/>
    <x v="4"/>
    <s v="41"/>
    <s v="שכל&quot;מ מתושבים"/>
    <s v="410"/>
    <e v="#N/A"/>
  </r>
  <r>
    <n v="910"/>
    <s v="222100"/>
    <n v="1"/>
    <s v="1222100.910"/>
    <s v="שמירה וביטחון - משמר אזרחי -השתתפות ממשלה"/>
    <m/>
    <m/>
    <n v="-62000"/>
    <n v="-62000"/>
    <n v="-24906"/>
    <m/>
    <x v="1"/>
    <x v="1"/>
    <x v="4"/>
    <x v="4"/>
    <x v="7"/>
    <x v="6"/>
    <s v="2221"/>
    <s v="משמר אזרחי"/>
    <m/>
    <s v="9"/>
    <x v="2"/>
    <s v="91"/>
    <s v="השתתפות משרד הפנים"/>
    <s v="910"/>
    <e v="#N/A"/>
  </r>
  <r>
    <n v="920"/>
    <s v="227000"/>
    <n v="1"/>
    <s v="1227000.920"/>
    <s v="שמירה וביטחון - קב&quot;טים"/>
    <m/>
    <m/>
    <n v="-802000"/>
    <n v="-802000"/>
    <n v="-838120"/>
    <m/>
    <x v="1"/>
    <x v="1"/>
    <x v="4"/>
    <x v="4"/>
    <x v="8"/>
    <x v="7"/>
    <s v="2270"/>
    <e v="#N/A"/>
    <m/>
    <s v="9"/>
    <x v="2"/>
    <s v="92"/>
    <s v="השתתפות משרד החינוך והתרבות"/>
    <s v="920"/>
    <e v="#N/A"/>
  </r>
  <r>
    <n v="410"/>
    <s v="226200"/>
    <n v="1"/>
    <s v="1226200.410"/>
    <s v="שמירה וביטחון - השתתפות רשויות אחרות"/>
    <m/>
    <m/>
    <n v="-6200"/>
    <n v="-6200"/>
    <n v="0"/>
    <m/>
    <x v="1"/>
    <x v="1"/>
    <x v="4"/>
    <x v="4"/>
    <x v="9"/>
    <x v="8"/>
    <s v="2262"/>
    <s v="פס״ח"/>
    <m/>
    <s v="4"/>
    <x v="4"/>
    <s v="41"/>
    <s v="שכל&quot;מ מתושבים"/>
    <s v="410"/>
    <e v="#N/A"/>
  </r>
  <r>
    <n v="910"/>
    <s v="226200"/>
    <n v="1"/>
    <s v="1226200.910"/>
    <s v="שמירה וביטחון - פס&quot;ח"/>
    <m/>
    <m/>
    <n v="-2000"/>
    <n v="-2000"/>
    <n v="0"/>
    <m/>
    <x v="1"/>
    <x v="1"/>
    <x v="4"/>
    <x v="4"/>
    <x v="9"/>
    <x v="8"/>
    <s v="2262"/>
    <s v="פס״ח"/>
    <m/>
    <s v="9"/>
    <x v="2"/>
    <s v="91"/>
    <s v="השתתפות משרד הפנים"/>
    <s v="910"/>
    <e v="#N/A"/>
  </r>
  <r>
    <n v="940"/>
    <n v="227000"/>
    <n v="1"/>
    <s v="1227000.940"/>
    <s v="שמירה וביטחון - מציל&quot;ה"/>
    <m/>
    <m/>
    <n v="-123500"/>
    <n v="-123500"/>
    <n v="0"/>
    <m/>
    <x v="1"/>
    <x v="1"/>
    <x v="4"/>
    <x v="4"/>
    <x v="8"/>
    <x v="7"/>
    <s v="2270"/>
    <e v="#N/A"/>
    <m/>
    <s v="9"/>
    <x v="2"/>
    <s v="94"/>
    <s v="השתתפות משרד הבריאות"/>
    <s v="940"/>
    <e v="#N/A"/>
  </r>
  <r>
    <n v="410"/>
    <n v="231115"/>
    <n v="1"/>
    <s v="1231115.410"/>
    <s v="תכנון ובניה - העתקות אור"/>
    <m/>
    <m/>
    <n v="-307700"/>
    <n v="-307700"/>
    <n v="-693002"/>
    <m/>
    <x v="1"/>
    <x v="1"/>
    <x v="5"/>
    <x v="5"/>
    <x v="10"/>
    <x v="9"/>
    <s v="2311"/>
    <e v="#N/A"/>
    <m/>
    <s v="4"/>
    <x v="4"/>
    <s v="41"/>
    <s v="שכל&quot;מ מתושבים"/>
    <s v="410"/>
    <e v="#N/A"/>
  </r>
  <r>
    <n v="410"/>
    <n v="231116"/>
    <n v="1"/>
    <s v="1231116.410"/>
    <s v="תכנון ובניה - ועדה מקומית בז&quot;ן"/>
    <m/>
    <m/>
    <n v="-1450000"/>
    <n v="-1450000"/>
    <n v="-902800"/>
    <m/>
    <x v="1"/>
    <x v="1"/>
    <x v="5"/>
    <x v="5"/>
    <x v="10"/>
    <x v="9"/>
    <s v="2311"/>
    <e v="#N/A"/>
    <m/>
    <s v="4"/>
    <x v="4"/>
    <s v="41"/>
    <s v="שכל&quot;מ מתושבים"/>
    <s v="410"/>
    <e v="#N/A"/>
  </r>
  <r>
    <n v="910"/>
    <n v="231112"/>
    <n v="1"/>
    <s v="1231112.910"/>
    <s v="תכנון ובניה - מענק תמרוץ בניה"/>
    <m/>
    <m/>
    <n v="0"/>
    <n v="-8000000"/>
    <n v="0"/>
    <m/>
    <x v="1"/>
    <x v="1"/>
    <x v="5"/>
    <x v="5"/>
    <x v="10"/>
    <x v="9"/>
    <s v="2311"/>
    <e v="#N/A"/>
    <m/>
    <s v="9"/>
    <x v="2"/>
    <s v="91"/>
    <s v="השתתפות משרד הפנים"/>
    <s v="910"/>
    <e v="#N/A"/>
  </r>
  <r>
    <n v="911"/>
    <n v="231113"/>
    <n v="1"/>
    <s v="1231113.911"/>
    <s v="תכנון ובניה - ועדה מקומית "/>
    <m/>
    <m/>
    <n v="-50000"/>
    <n v="-10000"/>
    <n v="0"/>
    <m/>
    <x v="1"/>
    <x v="1"/>
    <x v="5"/>
    <x v="5"/>
    <x v="10"/>
    <x v="9"/>
    <s v="2311"/>
    <e v="#N/A"/>
    <m/>
    <s v="9"/>
    <x v="2"/>
    <s v="91"/>
    <s v="השתתפות משרד הפנים"/>
    <s v="911"/>
    <e v="#N/A"/>
  </r>
  <r>
    <n v="210"/>
    <n v="233100"/>
    <n v="1"/>
    <s v="1233100.210"/>
    <s v="תכנון ובניה - אגרת רשיונות בניה"/>
    <m/>
    <m/>
    <n v="-11500000"/>
    <n v="-12500000"/>
    <n v="-17382527"/>
    <m/>
    <x v="1"/>
    <x v="1"/>
    <x v="5"/>
    <x v="5"/>
    <x v="11"/>
    <x v="10"/>
    <s v="2331"/>
    <s v="אגרות, רישיונות בניה"/>
    <m/>
    <s v="2"/>
    <x v="1"/>
    <s v="21"/>
    <s v="אגרות מים וביוב"/>
    <s v="210"/>
    <e v="#N/A"/>
  </r>
  <r>
    <n v="410"/>
    <s v="242000"/>
    <n v="1"/>
    <s v="1242000.410"/>
    <s v="נכסים ציבוריים - אגרת שמוש במדרכות"/>
    <m/>
    <m/>
    <n v="-350000"/>
    <n v="-366000"/>
    <n v="-300548"/>
    <m/>
    <x v="1"/>
    <x v="1"/>
    <x v="6"/>
    <x v="6"/>
    <x v="12"/>
    <x v="11"/>
    <s v="2420"/>
    <e v="#N/A"/>
    <m/>
    <s v="4"/>
    <x v="4"/>
    <s v="41"/>
    <s v="שכל&quot;מ מתושבים"/>
    <s v="410"/>
    <e v="#N/A"/>
  </r>
  <r>
    <n v="210"/>
    <s v="244500"/>
    <n v="1"/>
    <s v="1244500.210"/>
    <s v="נכסים ציבוריים - אגרות חניה -כרטיסי  חניה   "/>
    <m/>
    <m/>
    <n v="-4300"/>
    <n v="-5000"/>
    <n v="-3943"/>
    <m/>
    <x v="1"/>
    <x v="1"/>
    <x v="6"/>
    <x v="6"/>
    <x v="13"/>
    <x v="12"/>
    <s v="2445"/>
    <s v="מטה בטיחות עירוני"/>
    <m/>
    <s v="2"/>
    <x v="1"/>
    <s v="21"/>
    <s v="אגרות מים וביוב"/>
    <s v="210"/>
    <e v="#N/A"/>
  </r>
  <r>
    <n v="211"/>
    <s v="244500"/>
    <n v="1"/>
    <s v="1244500.211"/>
    <s v="נכסים ציבוריים - אגרות חניה-מדחנים"/>
    <m/>
    <m/>
    <n v="-4500000"/>
    <n v="-4500000"/>
    <n v="-4338059"/>
    <m/>
    <x v="1"/>
    <x v="1"/>
    <x v="6"/>
    <x v="6"/>
    <x v="13"/>
    <x v="12"/>
    <s v="2445"/>
    <s v="מטה בטיחות עירוני"/>
    <m/>
    <s v="2"/>
    <x v="1"/>
    <s v="21"/>
    <s v="אגרות מים וביוב"/>
    <s v="211"/>
    <e v="#N/A"/>
  </r>
  <r>
    <n v="212"/>
    <s v="244500"/>
    <n v="1"/>
    <s v="1244500.212"/>
    <s v="נכסים ציבוריים - אגרות חניה -איזיפארק"/>
    <m/>
    <m/>
    <n v="-3000000"/>
    <n v="-3000000"/>
    <n v="-2937396"/>
    <m/>
    <x v="1"/>
    <x v="1"/>
    <x v="6"/>
    <x v="6"/>
    <x v="13"/>
    <x v="12"/>
    <s v="2445"/>
    <s v="מטה בטיחות עירוני"/>
    <m/>
    <s v="2"/>
    <x v="1"/>
    <s v="21"/>
    <s v="אגרות מים וביוב"/>
    <s v="212"/>
    <e v="#N/A"/>
  </r>
  <r>
    <n v="411"/>
    <s v="244500"/>
    <n v="1"/>
    <s v="1244500.411"/>
    <s v="נכסים ציבוריים - קנסות חנייה"/>
    <m/>
    <m/>
    <n v="-35000000"/>
    <n v="-35070000"/>
    <n v="-40465607"/>
    <m/>
    <x v="1"/>
    <x v="1"/>
    <x v="6"/>
    <x v="6"/>
    <x v="13"/>
    <x v="12"/>
    <s v="2445"/>
    <s v="מטה בטיחות עירוני"/>
    <m/>
    <s v="4"/>
    <x v="4"/>
    <s v="41"/>
    <s v="שכל&quot;מ מתושבים"/>
    <s v="411"/>
    <e v="#N/A"/>
  </r>
  <r>
    <n v="413"/>
    <s v="244500"/>
    <n v="1"/>
    <s v="1244500.413"/>
    <s v="נכסים ציבוריים - חניה סלולרית פאנגו"/>
    <m/>
    <m/>
    <n v="-13608000"/>
    <n v="-13130000"/>
    <n v="-13802308"/>
    <m/>
    <x v="1"/>
    <x v="1"/>
    <x v="6"/>
    <x v="6"/>
    <x v="13"/>
    <x v="12"/>
    <s v="2445"/>
    <s v="מטה בטיחות עירוני"/>
    <m/>
    <s v="4"/>
    <x v="4"/>
    <s v="41"/>
    <s v="שכל&quot;מ מתושבים"/>
    <s v="413"/>
    <e v="#N/A"/>
  </r>
  <r>
    <n v="414"/>
    <s v="244500"/>
    <n v="1"/>
    <s v="1244500.414"/>
    <s v="נכסים ציבוריים - סלופארק"/>
    <m/>
    <m/>
    <n v="-1000000"/>
    <n v="-1000000"/>
    <n v="0"/>
    <m/>
    <x v="1"/>
    <x v="1"/>
    <x v="6"/>
    <x v="6"/>
    <x v="13"/>
    <x v="12"/>
    <s v="2445"/>
    <s v="מטה בטיחות עירוני"/>
    <m/>
    <s v="4"/>
    <x v="4"/>
    <s v="41"/>
    <s v="שכל&quot;מ מתושבים"/>
    <s v="414"/>
    <e v="#N/A"/>
  </r>
  <r>
    <n v="210"/>
    <s v="244700"/>
    <n v="1"/>
    <s v="1244700.210"/>
    <s v="נכסים ציבוריים - מגרשי חנייה"/>
    <m/>
    <m/>
    <n v="-200000"/>
    <n v="-256000"/>
    <n v="-49872"/>
    <m/>
    <x v="1"/>
    <x v="1"/>
    <x v="6"/>
    <x v="6"/>
    <x v="13"/>
    <x v="12"/>
    <s v="2447"/>
    <e v="#N/A"/>
    <m/>
    <s v="2"/>
    <x v="1"/>
    <s v="21"/>
    <s v="אגרות מים וביוב"/>
    <s v="210"/>
    <e v="#N/A"/>
  </r>
  <r>
    <n v="830"/>
    <s v="245000"/>
    <n v="1"/>
    <s v="1245000.830"/>
    <s v="נכסים ציבוריים - השתתפות בעלים-תקציב פיתוח "/>
    <m/>
    <m/>
    <n v="-40000000"/>
    <n v="-40000000"/>
    <n v="-71000000"/>
    <m/>
    <x v="1"/>
    <x v="1"/>
    <x v="6"/>
    <x v="6"/>
    <x v="14"/>
    <x v="13"/>
    <s v="2450"/>
    <e v="#N/A"/>
    <m/>
    <s v="8"/>
    <x v="5"/>
    <s v="83"/>
    <e v="#N/A"/>
    <s v="830"/>
    <e v="#N/A"/>
  </r>
  <r>
    <n v="210"/>
    <s v="246000"/>
    <n v="1"/>
    <s v="1246000.210"/>
    <s v="נכסים ציבוריים - אגרת היתר עקירת עצים"/>
    <m/>
    <m/>
    <n v="-600000"/>
    <n v="-600000"/>
    <n v="-657688"/>
    <m/>
    <x v="1"/>
    <x v="1"/>
    <x v="6"/>
    <x v="6"/>
    <x v="15"/>
    <x v="14"/>
    <s v="2460"/>
    <e v="#N/A"/>
    <m/>
    <s v="2"/>
    <x v="1"/>
    <s v="21"/>
    <s v="אגרות מים וביוב"/>
    <s v="210"/>
    <e v="#N/A"/>
  </r>
  <r>
    <n v="210"/>
    <s v="247500"/>
    <n v="1"/>
    <s v="1247500.210"/>
    <s v="נכסים ציבוריים - אגרת חופש מידע"/>
    <m/>
    <m/>
    <n v="0"/>
    <n v="0"/>
    <n v="-4870"/>
    <m/>
    <x v="1"/>
    <x v="1"/>
    <x v="6"/>
    <x v="6"/>
    <x v="16"/>
    <x v="15"/>
    <s v="2475"/>
    <e v="#N/A"/>
    <m/>
    <s v="2"/>
    <x v="1"/>
    <s v="21"/>
    <s v="אגרות מים וביוב"/>
    <s v="210"/>
    <e v="#N/A"/>
  </r>
  <r>
    <n v="410"/>
    <s v="247400"/>
    <n v="1"/>
    <s v="1247400.410"/>
    <s v="נכסים ציבוריים - בית מרחץ"/>
    <m/>
    <m/>
    <n v="-680000"/>
    <n v="-680000"/>
    <n v="-746509"/>
    <m/>
    <x v="1"/>
    <x v="1"/>
    <x v="6"/>
    <x v="6"/>
    <x v="16"/>
    <x v="15"/>
    <s v="2474"/>
    <s v="מרחצאות"/>
    <m/>
    <s v="4"/>
    <x v="4"/>
    <s v="41"/>
    <s v="שכל&quot;מ מתושבים"/>
    <s v="410"/>
    <e v="#N/A"/>
  </r>
  <r>
    <n v="410"/>
    <s v="281000"/>
    <n v="1"/>
    <s v="1281000.410"/>
    <s v="פיקוח עירוני - קנסות בית משפט"/>
    <m/>
    <m/>
    <n v="-3285000"/>
    <n v="-3285000"/>
    <n v="-2636305"/>
    <m/>
    <x v="1"/>
    <x v="1"/>
    <x v="7"/>
    <x v="7"/>
    <x v="17"/>
    <x v="16"/>
    <s v="2810"/>
    <e v="#N/A"/>
    <m/>
    <s v="4"/>
    <x v="4"/>
    <s v="41"/>
    <s v="שכל&quot;מ מתושבים"/>
    <s v="410"/>
    <e v="#N/A"/>
  </r>
  <r>
    <n v="410"/>
    <n v="281005"/>
    <n v="1"/>
    <s v="1281005.410"/>
    <s v="פיקוח עירוני - פינוי גרוטאות"/>
    <m/>
    <m/>
    <n v="-20000"/>
    <n v="-20000"/>
    <n v="-11701"/>
    <m/>
    <x v="1"/>
    <x v="1"/>
    <x v="7"/>
    <x v="7"/>
    <x v="17"/>
    <x v="16"/>
    <s v="2810"/>
    <e v="#N/A"/>
    <m/>
    <s v="4"/>
    <x v="4"/>
    <s v="41"/>
    <s v="שכל&quot;מ מתושבים"/>
    <s v="410"/>
    <e v="#N/A"/>
  </r>
  <r>
    <n v="410"/>
    <n v="281006"/>
    <n v="1"/>
    <s v="1281006.410"/>
    <s v="פיקוח עירוני - פקח רמב&quot;ם"/>
    <m/>
    <m/>
    <n v="0"/>
    <n v="0"/>
    <n v="-94950"/>
    <m/>
    <x v="1"/>
    <x v="1"/>
    <x v="7"/>
    <x v="7"/>
    <x v="17"/>
    <x v="16"/>
    <s v="2810"/>
    <e v="#N/A"/>
    <m/>
    <s v="4"/>
    <x v="4"/>
    <s v="41"/>
    <s v="שכל&quot;מ מתושבים"/>
    <s v="410"/>
    <e v="#N/A"/>
  </r>
  <r>
    <n v="920"/>
    <s v="311400"/>
    <n v="1"/>
    <s v="1311400.920"/>
    <s v="חינוך - הכנסות משרד החינוך"/>
    <m/>
    <m/>
    <n v="0"/>
    <n v="0"/>
    <n v="-15667"/>
    <m/>
    <x v="2"/>
    <x v="2"/>
    <x v="8"/>
    <x v="8"/>
    <x v="18"/>
    <x v="17"/>
    <s v="3114"/>
    <e v="#N/A"/>
    <m/>
    <s v="9"/>
    <x v="2"/>
    <s v="92"/>
    <s v="השתתפות משרד החינוך והתרבות"/>
    <s v="920"/>
    <e v="#N/A"/>
  </r>
  <r>
    <n v="930"/>
    <n v="311006"/>
    <n v="1"/>
    <s v="1311006.930"/>
    <s v="חינוך - תקשוב לאומי"/>
    <m/>
    <m/>
    <n v="0"/>
    <n v="0"/>
    <n v="-56420"/>
    <m/>
    <x v="2"/>
    <x v="2"/>
    <x v="8"/>
    <x v="8"/>
    <x v="18"/>
    <x v="17"/>
    <s v="3110"/>
    <e v="#N/A"/>
    <m/>
    <s v="9"/>
    <x v="2"/>
    <s v="93"/>
    <s v="השתתפות משרד העבודה והרווחה"/>
    <s v="930"/>
    <e v="#N/A"/>
  </r>
  <r>
    <n v="770"/>
    <n v="312229"/>
    <n v="1"/>
    <s v="1312229.770"/>
    <s v="גני ילדים - משתלם גני ילדים"/>
    <m/>
    <m/>
    <n v="-300000"/>
    <n v="-300000"/>
    <n v="-222642"/>
    <m/>
    <x v="2"/>
    <x v="2"/>
    <x v="8"/>
    <x v="8"/>
    <x v="19"/>
    <x v="18"/>
    <s v="3122"/>
    <s v="גני ילדים גיל חובה"/>
    <m/>
    <s v="7"/>
    <x v="6"/>
    <s v="77"/>
    <s v="השתתפות קהילות מחו&quot;ל"/>
    <s v="770"/>
    <e v="#N/A"/>
  </r>
  <r>
    <n v="920"/>
    <n v="312220"/>
    <n v="1"/>
    <s v="1312220.920"/>
    <s v="גני ילדים - עוזרות לגננות -גני חובה -ממשלה"/>
    <m/>
    <m/>
    <n v="-16000000"/>
    <n v="-14500000"/>
    <n v="-14468016"/>
    <m/>
    <x v="2"/>
    <x v="2"/>
    <x v="8"/>
    <x v="8"/>
    <x v="19"/>
    <x v="18"/>
    <s v="3122"/>
    <s v="גני ילדים גיל חובה"/>
    <m/>
    <s v="9"/>
    <x v="2"/>
    <s v="92"/>
    <s v="השתתפות משרד החינוך והתרבות"/>
    <s v="920"/>
    <e v="#N/A"/>
  </r>
  <r>
    <n v="710"/>
    <n v="312220"/>
    <n v="1"/>
    <s v="1312220.710"/>
    <s v="גני ילדים - גני ילדים  השתתפות מועצות ילדי חוץ"/>
    <m/>
    <m/>
    <n v="-800000"/>
    <n v="-700000"/>
    <n v="-813349"/>
    <m/>
    <x v="2"/>
    <x v="2"/>
    <x v="8"/>
    <x v="8"/>
    <x v="19"/>
    <x v="18"/>
    <s v="3122"/>
    <s v="גני ילדים גיל חובה"/>
    <m/>
    <s v="7"/>
    <x v="6"/>
    <s v="71"/>
    <s v="השתתפות ועדים מקומיים"/>
    <s v="710"/>
    <e v="#N/A"/>
  </r>
  <r>
    <n v="928"/>
    <n v="312220"/>
    <n v="1"/>
    <s v="1312220.928"/>
    <s v="גני ילדים - גננות עובדות מדינה חובה"/>
    <m/>
    <m/>
    <n v="-24200000"/>
    <n v="-21200000"/>
    <n v="-16896126"/>
    <m/>
    <x v="2"/>
    <x v="2"/>
    <x v="8"/>
    <x v="8"/>
    <x v="19"/>
    <x v="18"/>
    <s v="3122"/>
    <s v="גני ילדים גיל חובה"/>
    <m/>
    <s v="9"/>
    <x v="2"/>
    <s v="92"/>
    <s v="השתתפות משרד החינוך והתרבות"/>
    <s v="928"/>
    <e v="#N/A"/>
  </r>
  <r>
    <n v="920"/>
    <n v="312230"/>
    <n v="1"/>
    <s v="1312230.920"/>
    <s v="גני ילדים - השתתפות מ. החינוך בהנחות שכ&quot;ל"/>
    <m/>
    <m/>
    <n v="-25000000"/>
    <n v="-24300000"/>
    <n v="-26893148"/>
    <m/>
    <x v="2"/>
    <x v="2"/>
    <x v="8"/>
    <x v="8"/>
    <x v="19"/>
    <x v="18"/>
    <s v="3122"/>
    <s v="גני ילדים גיל חובה"/>
    <m/>
    <s v="9"/>
    <x v="2"/>
    <s v="92"/>
    <s v="השתתפות משרד החינוך והתרבות"/>
    <s v="920"/>
    <e v="#N/A"/>
  </r>
  <r>
    <n v="922"/>
    <n v="312230"/>
    <n v="1"/>
    <s v="1312230.922"/>
    <s v="גני ילדים - ילדי השלמה ממשלה"/>
    <m/>
    <m/>
    <n v="-1000000"/>
    <n v="-900000"/>
    <n v="-882976"/>
    <m/>
    <x v="2"/>
    <x v="2"/>
    <x v="8"/>
    <x v="8"/>
    <x v="19"/>
    <x v="18"/>
    <s v="3122"/>
    <s v="גני ילדים גיל חובה"/>
    <m/>
    <s v="9"/>
    <x v="2"/>
    <s v="92"/>
    <s v="השתתפות משרד החינוך והתרבות"/>
    <s v="922"/>
    <e v="#N/A"/>
  </r>
  <r>
    <n v="921"/>
    <n v="312230"/>
    <n v="1"/>
    <s v="1312230.921"/>
    <s v="גני ילדים - ילדי שיקום שכונות ועולים-ממשלה"/>
    <m/>
    <m/>
    <n v="-2000000"/>
    <n v="-1000000"/>
    <n v="-1685398"/>
    <m/>
    <x v="2"/>
    <x v="2"/>
    <x v="8"/>
    <x v="8"/>
    <x v="19"/>
    <x v="18"/>
    <s v="3122"/>
    <s v="גני ילדים גיל חובה"/>
    <m/>
    <s v="9"/>
    <x v="2"/>
    <s v="92"/>
    <s v="השתתפות משרד החינוך והתרבות"/>
    <s v="921"/>
    <e v="#N/A"/>
  </r>
  <r>
    <n v="410"/>
    <n v="312250"/>
    <n v="1"/>
    <s v="1312250.410"/>
    <s v="גני ילדים - סל תרבות"/>
    <m/>
    <m/>
    <n v="-2000000"/>
    <n v="-2000000"/>
    <n v="-2340748"/>
    <m/>
    <x v="2"/>
    <x v="2"/>
    <x v="8"/>
    <x v="8"/>
    <x v="19"/>
    <x v="18"/>
    <s v="3122"/>
    <s v="גני ילדים גיל חובה"/>
    <m/>
    <s v="4"/>
    <x v="4"/>
    <s v="41"/>
    <s v="שכל&quot;מ מתושבים"/>
    <s v="410"/>
    <e v="#N/A"/>
  </r>
  <r>
    <n v="970"/>
    <n v="313190"/>
    <n v="1"/>
    <s v="1313190.970"/>
    <s v="בתי ספר יסודיים - רווחה חינוכית ממשלה"/>
    <m/>
    <m/>
    <n v="-1300000"/>
    <n v="-1300000"/>
    <n v="-1259929"/>
    <m/>
    <x v="2"/>
    <x v="2"/>
    <x v="8"/>
    <x v="8"/>
    <x v="20"/>
    <x v="19"/>
    <s v="3131"/>
    <s v="מינהל החינוך היסודי"/>
    <m/>
    <s v="9"/>
    <x v="2"/>
    <s v="97"/>
    <s v="השתתפות משרד הביטחון"/>
    <s v="970"/>
    <e v="#N/A"/>
  </r>
  <r>
    <n v="770"/>
    <n v="313190"/>
    <n v="1"/>
    <s v="1313190.770"/>
    <s v="בתי ספר יסודיים - רווחה חינוכית עצמיות"/>
    <m/>
    <m/>
    <n v="0"/>
    <n v="0"/>
    <n v="-270562"/>
    <m/>
    <x v="2"/>
    <x v="2"/>
    <x v="8"/>
    <x v="8"/>
    <x v="20"/>
    <x v="19"/>
    <s v="3131"/>
    <s v="מינהל החינוך היסודי"/>
    <m/>
    <s v="7"/>
    <x v="6"/>
    <s v="77"/>
    <s v="השתתפות קהילות מחו&quot;ל"/>
    <s v="770"/>
    <e v="#N/A"/>
  </r>
  <r>
    <n v="921"/>
    <s v="313220"/>
    <n v="1"/>
    <s v="1313220.921"/>
    <s v="בתי ספר יסודיים - בתי ספר יסודיים -שרתים ומזכירות"/>
    <m/>
    <m/>
    <n v="-1733000"/>
    <n v="-1733000"/>
    <n v="-1809513"/>
    <m/>
    <x v="2"/>
    <x v="2"/>
    <x v="8"/>
    <x v="8"/>
    <x v="20"/>
    <x v="19"/>
    <s v="3132"/>
    <s v="בתי״ס יסודיים"/>
    <m/>
    <s v="9"/>
    <x v="2"/>
    <s v="92"/>
    <s v="השתתפות משרד החינוך והתרבות"/>
    <s v="921"/>
    <e v="#N/A"/>
  </r>
  <r>
    <n v="460"/>
    <s v="313220"/>
    <n v="1"/>
    <s v="1313220.460"/>
    <s v="בתי ספר יסודיים - בתי כנסת -דמי שרותים"/>
    <m/>
    <m/>
    <n v="-6000"/>
    <n v="-6000"/>
    <n v="0"/>
    <m/>
    <x v="2"/>
    <x v="2"/>
    <x v="8"/>
    <x v="8"/>
    <x v="20"/>
    <x v="19"/>
    <s v="3132"/>
    <s v="בתי״ס יסודיים"/>
    <m/>
    <s v="4"/>
    <x v="4"/>
    <s v="46"/>
    <e v="#N/A"/>
    <s v="460"/>
    <e v="#N/A"/>
  </r>
  <r>
    <n v="710"/>
    <s v="313220"/>
    <n v="1"/>
    <s v="1313220.710"/>
    <s v="בתי ספר יסודיים - השתתפות מועצות ילדי חוץ"/>
    <m/>
    <m/>
    <n v="-1000000"/>
    <n v="-1000000"/>
    <n v="-663794"/>
    <m/>
    <x v="2"/>
    <x v="2"/>
    <x v="8"/>
    <x v="8"/>
    <x v="20"/>
    <x v="19"/>
    <s v="3132"/>
    <s v="בתי״ס יסודיים"/>
    <m/>
    <s v="7"/>
    <x v="6"/>
    <s v="71"/>
    <s v="השתתפות ועדים מקומיים"/>
    <s v="710"/>
    <e v="#N/A"/>
  </r>
  <r>
    <n v="920"/>
    <n v="313272"/>
    <n v="1"/>
    <s v="1313272.920"/>
    <s v="בתי ספר יסודיים - בריאות השן"/>
    <m/>
    <m/>
    <n v="0"/>
    <n v="-350000"/>
    <n v="0"/>
    <m/>
    <x v="2"/>
    <x v="2"/>
    <x v="8"/>
    <x v="8"/>
    <x v="20"/>
    <x v="19"/>
    <s v="3132"/>
    <s v="בתי״ס יסודיים"/>
    <m/>
    <s v="9"/>
    <x v="2"/>
    <s v="92"/>
    <s v="השתתפות משרד החינוך והתרבות"/>
    <s v="920"/>
    <e v="#N/A"/>
  </r>
  <r>
    <n v="211"/>
    <n v="313273"/>
    <n v="1"/>
    <s v="1313273.211"/>
    <s v="בתי ספר יסודיים - הכנסות הורים קייטנות"/>
    <m/>
    <m/>
    <n v="-1000000"/>
    <n v="-1000000"/>
    <n v="-962666"/>
    <m/>
    <x v="2"/>
    <x v="2"/>
    <x v="8"/>
    <x v="8"/>
    <x v="20"/>
    <x v="19"/>
    <s v="3132"/>
    <s v="בתי״ס יסודיים"/>
    <m/>
    <s v="2"/>
    <x v="1"/>
    <s v="21"/>
    <s v="אגרות מים וביוב"/>
    <s v="211"/>
    <e v="#N/A"/>
  </r>
  <r>
    <n v="930"/>
    <n v="313273"/>
    <n v="1"/>
    <s v="1313273.930"/>
    <s v="בתי ספר יסודיים - קייטנות -ממשלה"/>
    <m/>
    <m/>
    <n v="-5100000"/>
    <n v="-5100000"/>
    <n v="-2080970"/>
    <m/>
    <x v="2"/>
    <x v="2"/>
    <x v="8"/>
    <x v="8"/>
    <x v="20"/>
    <x v="19"/>
    <s v="3132"/>
    <s v="בתי״ס יסודיים"/>
    <m/>
    <s v="9"/>
    <x v="2"/>
    <s v="93"/>
    <s v="השתתפות משרד העבודה והרווחה"/>
    <s v="930"/>
    <e v="#N/A"/>
  </r>
  <r>
    <n v="921"/>
    <n v="313287"/>
    <n v="1"/>
    <s v="1313287.921"/>
    <s v="בתי ספר יסודיים - מכון ביולוגי"/>
    <m/>
    <m/>
    <n v="-112000"/>
    <n v="-100000"/>
    <n v="-106023"/>
    <m/>
    <x v="2"/>
    <x v="2"/>
    <x v="8"/>
    <x v="8"/>
    <x v="20"/>
    <x v="19"/>
    <s v="3132"/>
    <s v="בתי״ס יסודיים"/>
    <m/>
    <s v="9"/>
    <x v="2"/>
    <s v="92"/>
    <s v="השתתפות משרד החינוך והתרבות"/>
    <s v="921"/>
    <e v="#N/A"/>
  </r>
  <r>
    <n v="920"/>
    <n v="313288"/>
    <n v="1"/>
    <s v="1313288.920"/>
    <s v="בתי ספר יסודיים - העשרה-השתתפות משרד החינוך"/>
    <m/>
    <m/>
    <n v="-330000"/>
    <n v="-330000"/>
    <n v="-66500"/>
    <m/>
    <x v="2"/>
    <x v="2"/>
    <x v="8"/>
    <x v="8"/>
    <x v="20"/>
    <x v="19"/>
    <s v="3132"/>
    <s v="בתי״ס יסודיים"/>
    <m/>
    <s v="9"/>
    <x v="2"/>
    <s v="92"/>
    <s v="השתתפות משרד החינוך והתרבות"/>
    <s v="920"/>
    <e v="#N/A"/>
  </r>
  <r>
    <n v="950"/>
    <n v="313289"/>
    <n v="1"/>
    <s v="1313289.950"/>
    <s v="בתי ספר יסודיים - אלחיוור שרתים"/>
    <m/>
    <m/>
    <n v="-290000"/>
    <n v="-240000"/>
    <n v="-258132"/>
    <m/>
    <x v="2"/>
    <x v="2"/>
    <x v="8"/>
    <x v="8"/>
    <x v="20"/>
    <x v="19"/>
    <s v="3132"/>
    <s v="בתי״ס יסודיים"/>
    <m/>
    <s v="9"/>
    <x v="2"/>
    <s v="95"/>
    <s v="השתתפות משרד הקליטה"/>
    <s v="950"/>
    <e v="#N/A"/>
  </r>
  <r>
    <n v="770"/>
    <n v="313290"/>
    <n v="1"/>
    <s v="1313290.770"/>
    <s v="בתי ספר יסודיים - משתלם בתי ספר יסודיים"/>
    <m/>
    <m/>
    <n v="0"/>
    <n v="0"/>
    <n v="-168407"/>
    <m/>
    <x v="2"/>
    <x v="2"/>
    <x v="8"/>
    <x v="8"/>
    <x v="20"/>
    <x v="19"/>
    <s v="3132"/>
    <s v="בתי״ס יסודיים"/>
    <m/>
    <s v="7"/>
    <x v="6"/>
    <s v="77"/>
    <s v="השתתפות קהילות מחו&quot;ל"/>
    <s v="770"/>
    <e v="#N/A"/>
  </r>
  <r>
    <n v="772"/>
    <n v="313290"/>
    <n v="1"/>
    <s v="1313290.772"/>
    <s v="בתי ספר יסודיים - בית תלמיד תקורה-משתלם"/>
    <m/>
    <m/>
    <n v="-52000"/>
    <n v="-52000"/>
    <n v="-206988"/>
    <m/>
    <x v="2"/>
    <x v="2"/>
    <x v="8"/>
    <x v="8"/>
    <x v="20"/>
    <x v="19"/>
    <s v="3132"/>
    <s v="בתי״ס יסודיים"/>
    <m/>
    <s v="7"/>
    <x v="6"/>
    <s v="77"/>
    <s v="השתתפות קהילות מחו&quot;ל"/>
    <s v="772"/>
    <e v="#N/A"/>
  </r>
  <r>
    <n v="773"/>
    <n v="313290"/>
    <n v="1"/>
    <s v="1313290.773"/>
    <s v="בתי ספר יסודיים - דילר הכנסה"/>
    <m/>
    <m/>
    <n v="-78000"/>
    <n v="-78000"/>
    <n v="-189346"/>
    <m/>
    <x v="2"/>
    <x v="2"/>
    <x v="8"/>
    <x v="8"/>
    <x v="20"/>
    <x v="19"/>
    <s v="3132"/>
    <s v="בתי״ס יסודיים"/>
    <m/>
    <s v="7"/>
    <x v="6"/>
    <s v="77"/>
    <s v="השתתפות קהילות מחו&quot;ל"/>
    <s v="773"/>
    <e v="#N/A"/>
  </r>
  <r>
    <n v="774"/>
    <n v="313290"/>
    <n v="1"/>
    <s v="1313290.774"/>
    <s v="בתי ספר יסודיים - מדוזולוגיה-משתלם"/>
    <m/>
    <m/>
    <n v="-510000"/>
    <n v="-510000"/>
    <n v="-244100"/>
    <m/>
    <x v="2"/>
    <x v="2"/>
    <x v="8"/>
    <x v="8"/>
    <x v="20"/>
    <x v="19"/>
    <s v="3132"/>
    <s v="בתי״ס יסודיים"/>
    <m/>
    <s v="7"/>
    <x v="6"/>
    <s v="77"/>
    <s v="השתתפות קהילות מחו&quot;ל"/>
    <s v="774"/>
    <e v="#N/A"/>
  </r>
  <r>
    <n v="970"/>
    <n v="313290"/>
    <n v="1"/>
    <s v="1313290.970"/>
    <s v="בתי ספר יסודיים - בתי ספר יסודים-משתלם"/>
    <m/>
    <m/>
    <n v="-2581000"/>
    <n v="-2581000"/>
    <n v="-1579150"/>
    <m/>
    <x v="2"/>
    <x v="2"/>
    <x v="8"/>
    <x v="8"/>
    <x v="20"/>
    <x v="19"/>
    <s v="3132"/>
    <s v="בתי״ס יסודיים"/>
    <m/>
    <s v="9"/>
    <x v="2"/>
    <s v="97"/>
    <s v="השתתפות משרד הביטחון"/>
    <s v="970"/>
    <e v="#N/A"/>
  </r>
  <r>
    <n v="971"/>
    <n v="313290"/>
    <n v="1"/>
    <s v="1313290.971"/>
    <s v="בתי ספר יסודיים - טיפול בפרט"/>
    <m/>
    <m/>
    <n v="-260000"/>
    <n v="-260000"/>
    <n v="-546312"/>
    <m/>
    <x v="2"/>
    <x v="2"/>
    <x v="8"/>
    <x v="8"/>
    <x v="20"/>
    <x v="19"/>
    <s v="3132"/>
    <s v="בתי״ס יסודיים"/>
    <m/>
    <s v="9"/>
    <x v="2"/>
    <s v="97"/>
    <s v="השתתפות משרד הביטחון"/>
    <s v="971"/>
    <e v="#N/A"/>
  </r>
  <r>
    <n v="972"/>
    <n v="313290"/>
    <n v="1"/>
    <s v="1313290.972"/>
    <s v="בתי ספר יסודיים - מרחבי חינוך ממשלה"/>
    <m/>
    <m/>
    <n v="0"/>
    <n v="0"/>
    <n v="-91431"/>
    <m/>
    <x v="2"/>
    <x v="2"/>
    <x v="8"/>
    <x v="8"/>
    <x v="20"/>
    <x v="19"/>
    <s v="3132"/>
    <s v="בתי״ס יסודיים"/>
    <m/>
    <s v="9"/>
    <x v="2"/>
    <s v="97"/>
    <s v="השתתפות משרד הביטחון"/>
    <s v="972"/>
    <e v="#N/A"/>
  </r>
  <r>
    <n v="970"/>
    <n v="313291"/>
    <n v="1"/>
    <s v="1313291.970"/>
    <s v="בתי ספר יסודיים - זהירות בדרכים-ממשלה"/>
    <m/>
    <m/>
    <n v="0"/>
    <n v="0"/>
    <n v="-188540"/>
    <m/>
    <x v="2"/>
    <x v="2"/>
    <x v="8"/>
    <x v="8"/>
    <x v="20"/>
    <x v="19"/>
    <s v="3132"/>
    <s v="בתי״ס יסודיים"/>
    <m/>
    <s v="9"/>
    <x v="2"/>
    <s v="97"/>
    <s v="השתתפות משרד הביטחון"/>
    <s v="970"/>
    <e v="#N/A"/>
  </r>
  <r>
    <n v="210"/>
    <s v="313200"/>
    <n v="1"/>
    <s v="1313200.210"/>
    <s v="בתי ספר יסודיים - ניהול עצמי-אגרה"/>
    <m/>
    <m/>
    <n v="0"/>
    <n v="-102500"/>
    <n v="0"/>
    <m/>
    <x v="2"/>
    <x v="2"/>
    <x v="8"/>
    <x v="8"/>
    <x v="20"/>
    <x v="19"/>
    <s v="3132"/>
    <s v="בתי״ס יסודיים"/>
    <m/>
    <s v="2"/>
    <x v="1"/>
    <s v="21"/>
    <s v="אגרות מים וביוב"/>
    <s v="210"/>
    <e v="#N/A"/>
  </r>
  <r>
    <n v="940"/>
    <s v="313200"/>
    <n v="1"/>
    <s v="1313200.940"/>
    <s v="בתי ספר יסודיים - ניהול עצמי -שכפולים"/>
    <m/>
    <m/>
    <n v="0"/>
    <n v="-618500"/>
    <n v="0"/>
    <m/>
    <x v="2"/>
    <x v="2"/>
    <x v="8"/>
    <x v="8"/>
    <x v="20"/>
    <x v="19"/>
    <s v="3132"/>
    <s v="בתי״ס יסודיים"/>
    <m/>
    <s v="9"/>
    <x v="2"/>
    <s v="94"/>
    <s v="השתתפות משרד הבריאות"/>
    <s v="940"/>
    <e v="#N/A"/>
  </r>
  <r>
    <n v="950"/>
    <s v="313200"/>
    <n v="1"/>
    <s v="1313200.950"/>
    <s v="בתי ספר יסודיים - ניהול עצמי -כח אדם"/>
    <m/>
    <m/>
    <n v="-16350000"/>
    <n v="-15629000"/>
    <n v="-12942303"/>
    <m/>
    <x v="2"/>
    <x v="2"/>
    <x v="8"/>
    <x v="8"/>
    <x v="20"/>
    <x v="19"/>
    <s v="3132"/>
    <s v="בתי״ס יסודיים"/>
    <m/>
    <s v="9"/>
    <x v="2"/>
    <s v="95"/>
    <s v="השתתפות משרד הקליטה"/>
    <s v="950"/>
    <e v="#N/A"/>
  </r>
  <r>
    <n v="940"/>
    <n v="313266"/>
    <n v="1"/>
    <s v="1313266.940"/>
    <s v="בתי ספר יסודיים - אגרת שירותים"/>
    <m/>
    <m/>
    <n v="0"/>
    <n v="0"/>
    <n v="-1269034"/>
    <m/>
    <x v="2"/>
    <x v="2"/>
    <x v="8"/>
    <x v="8"/>
    <x v="20"/>
    <x v="19"/>
    <s v="3132"/>
    <s v="בתי״ס יסודיים"/>
    <m/>
    <s v="9"/>
    <x v="2"/>
    <s v="94"/>
    <s v="השתתפות משרד הבריאות"/>
    <s v="940"/>
    <e v="#N/A"/>
  </r>
  <r>
    <n v="941"/>
    <n v="313266"/>
    <n v="1"/>
    <s v="1313266.941"/>
    <s v="בתי ספר יסודיים - סיוע ניהול עצמי"/>
    <m/>
    <m/>
    <n v="0"/>
    <n v="0"/>
    <n v="-2807844"/>
    <m/>
    <x v="2"/>
    <x v="2"/>
    <x v="8"/>
    <x v="8"/>
    <x v="20"/>
    <x v="19"/>
    <s v="3132"/>
    <s v="בתי״ס יסודיים"/>
    <m/>
    <s v="9"/>
    <x v="2"/>
    <s v="94"/>
    <s v="השתתפות משרד הבריאות"/>
    <s v="941"/>
    <e v="#N/A"/>
  </r>
  <r>
    <n v="710"/>
    <n v="313312"/>
    <n v="1"/>
    <s v="1313312.710"/>
    <s v="בתי ספר יסודיים - מיוחדים-השתתפות מועצות "/>
    <m/>
    <m/>
    <n v="-1600000"/>
    <n v="-1600000"/>
    <n v="-1617746"/>
    <m/>
    <x v="2"/>
    <x v="2"/>
    <x v="8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12"/>
    <n v="1"/>
    <s v="1313312.921"/>
    <s v="בתי ספר יסודיים - מיוחדים -שרתים ומזכירות"/>
    <m/>
    <m/>
    <n v="-3700000"/>
    <n v="-1600000"/>
    <n v="-1695367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40"/>
    <n v="313312"/>
    <n v="1"/>
    <s v="1313312.940"/>
    <s v="בתי ספר יסודיים - מיוחדים-שכפולים"/>
    <m/>
    <m/>
    <n v="0"/>
    <n v="0"/>
    <n v="-107730"/>
    <m/>
    <x v="2"/>
    <x v="2"/>
    <x v="8"/>
    <x v="8"/>
    <x v="20"/>
    <x v="19"/>
    <s v="3133"/>
    <s v="חינוך מיוחד"/>
    <m/>
    <s v="9"/>
    <x v="2"/>
    <s v="94"/>
    <s v="השתתפות משרד הבריאות"/>
    <s v="940"/>
    <e v="#N/A"/>
  </r>
  <r>
    <n v="920"/>
    <n v="313314"/>
    <n v="1"/>
    <s v="1313314.920"/>
    <s v="בתי ספר יסודיים - מתי&quot;א"/>
    <m/>
    <m/>
    <n v="-325000"/>
    <n v="-322000"/>
    <n v="-295453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710"/>
    <n v="313320"/>
    <n v="1"/>
    <s v="1313320.710"/>
    <s v="בתי ספר יסודיים - אופקים-ילדי חוץ"/>
    <m/>
    <m/>
    <n v="0"/>
    <n v="-1100000"/>
    <n v="-789987"/>
    <m/>
    <x v="2"/>
    <x v="2"/>
    <x v="8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20"/>
    <n v="1"/>
    <s v="1313320.921"/>
    <s v="בתי ספר יסודיים - אופקים-שרתים ומזכירות"/>
    <m/>
    <m/>
    <n v="-300000"/>
    <n v="-250000"/>
    <n v="-269164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40"/>
    <n v="313320"/>
    <n v="1"/>
    <s v="1313320.940"/>
    <s v="בתי ספר יסודיים - אופקים-שכפולים חומרים"/>
    <m/>
    <m/>
    <n v="0"/>
    <n v="0"/>
    <n v="0"/>
    <m/>
    <x v="2"/>
    <x v="2"/>
    <x v="8"/>
    <x v="8"/>
    <x v="20"/>
    <x v="19"/>
    <s v="3133"/>
    <s v="חינוך מיוחד"/>
    <m/>
    <s v="9"/>
    <x v="2"/>
    <s v="94"/>
    <s v="השתתפות משרד הבריאות"/>
    <s v="940"/>
    <e v="#N/A"/>
  </r>
  <r>
    <n v="710"/>
    <n v="313330"/>
    <n v="1"/>
    <s v="1313330.710"/>
    <s v="בתי ספר יסודיים - עופר-ילדי חוץ"/>
    <m/>
    <m/>
    <n v="0"/>
    <n v="-1000000"/>
    <n v="-687854"/>
    <m/>
    <x v="2"/>
    <x v="2"/>
    <x v="8"/>
    <x v="8"/>
    <x v="20"/>
    <x v="19"/>
    <s v="3133"/>
    <s v="חינוך מיוחד"/>
    <m/>
    <s v="7"/>
    <x v="6"/>
    <s v="71"/>
    <s v="השתתפות ועדים מקומיים"/>
    <s v="710"/>
    <e v="#N/A"/>
  </r>
  <r>
    <n v="921"/>
    <n v="313330"/>
    <n v="1"/>
    <s v="1313330.921"/>
    <s v="בתי ספר יסודיים - עופר-שרתים ומזכירות"/>
    <m/>
    <m/>
    <n v="-360000"/>
    <n v="-340000"/>
    <n v="-331508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1"/>
    <e v="#N/A"/>
  </r>
  <r>
    <n v="971"/>
    <n v="313390"/>
    <n v="1"/>
    <s v="1313390.971"/>
    <s v="בתי ספר יסודיים - מיוחדים-משתלם"/>
    <m/>
    <m/>
    <n v="-300000"/>
    <n v="-300000"/>
    <n v="-418906"/>
    <m/>
    <x v="2"/>
    <x v="2"/>
    <x v="8"/>
    <x v="8"/>
    <x v="20"/>
    <x v="19"/>
    <s v="3133"/>
    <s v="חינוך מיוחד"/>
    <m/>
    <s v="9"/>
    <x v="2"/>
    <s v="97"/>
    <s v="השתתפות משרד הביטחון"/>
    <s v="971"/>
    <e v="#N/A"/>
  </r>
  <r>
    <n v="920"/>
    <n v="313390"/>
    <n v="1"/>
    <s v="1313390.920"/>
    <s v="בתי ספר יסודיים - ארוחות תלמידים"/>
    <m/>
    <m/>
    <n v="0"/>
    <n v="0"/>
    <n v="0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970"/>
    <n v="313390"/>
    <n v="1"/>
    <s v="1313390.970"/>
    <s v="בתי ספר יסודיים - מתי&quot;א פעולות-משתלם"/>
    <m/>
    <m/>
    <n v="-190000"/>
    <n v="-190000"/>
    <n v="-79786"/>
    <m/>
    <x v="2"/>
    <x v="2"/>
    <x v="8"/>
    <x v="8"/>
    <x v="20"/>
    <x v="19"/>
    <s v="3133"/>
    <s v="חינוך מיוחד"/>
    <m/>
    <s v="9"/>
    <x v="2"/>
    <s v="97"/>
    <s v="השתתפות משרד הביטחון"/>
    <s v="970"/>
    <e v="#N/A"/>
  </r>
  <r>
    <n v="920"/>
    <n v="313316"/>
    <n v="1"/>
    <s v="1313316.920"/>
    <s v="בתי ספר יסודיים - הזנה חינוך מיוחד"/>
    <m/>
    <m/>
    <n v="-2600000"/>
    <n v="-2150000"/>
    <n v="-2816640"/>
    <m/>
    <x v="2"/>
    <x v="2"/>
    <x v="8"/>
    <x v="8"/>
    <x v="20"/>
    <x v="19"/>
    <s v="3133"/>
    <s v="חינוך מיוחד"/>
    <m/>
    <s v="9"/>
    <x v="2"/>
    <s v="92"/>
    <s v="השתתפות משרד החינוך והתרבות"/>
    <s v="920"/>
    <e v="#N/A"/>
  </r>
  <r>
    <n v="920"/>
    <n v="317800"/>
    <n v="1"/>
    <s v="1317800.920"/>
    <s v="בתי ספר יסודיים - הסעות"/>
    <m/>
    <m/>
    <n v="-9000000"/>
    <n v="-9000000"/>
    <n v="-12130695"/>
    <m/>
    <x v="2"/>
    <x v="2"/>
    <x v="8"/>
    <x v="8"/>
    <x v="21"/>
    <x v="20"/>
    <s v="3178"/>
    <s v="הסעות ילדים"/>
    <m/>
    <s v="9"/>
    <x v="2"/>
    <s v="92"/>
    <s v="השתתפות משרד החינוך והתרבות"/>
    <s v="920"/>
    <e v="#N/A"/>
  </r>
  <r>
    <n v="770"/>
    <n v="313719"/>
    <n v="1"/>
    <s v="1313719.770"/>
    <s v="בתי ספר יסודיים - חווה קרית ביאליק משתלם"/>
    <m/>
    <m/>
    <n v="-30000"/>
    <n v="-30000"/>
    <n v="-16692"/>
    <m/>
    <x v="2"/>
    <x v="2"/>
    <x v="8"/>
    <x v="8"/>
    <x v="20"/>
    <x v="19"/>
    <s v="3137"/>
    <s v="חוות חקלאיות"/>
    <m/>
    <s v="7"/>
    <x v="6"/>
    <s v="77"/>
    <s v="השתתפות קהילות מחו&quot;ל"/>
    <s v="770"/>
    <e v="#N/A"/>
  </r>
  <r>
    <n v="921"/>
    <n v="313710"/>
    <n v="1"/>
    <s v="1313710.921"/>
    <s v="בתי ספר יסודיים - חווה חקלאית -ביאליק -שרתים"/>
    <m/>
    <m/>
    <n v="-100000"/>
    <n v="-100000"/>
    <n v="-140807"/>
    <m/>
    <x v="2"/>
    <x v="2"/>
    <x v="8"/>
    <x v="8"/>
    <x v="20"/>
    <x v="19"/>
    <s v="3137"/>
    <s v="חוות חקלאיות"/>
    <m/>
    <s v="9"/>
    <x v="2"/>
    <s v="92"/>
    <s v="השתתפות משרד החינוך והתרבות"/>
    <s v="921"/>
    <e v="#N/A"/>
  </r>
  <r>
    <n v="770"/>
    <n v="313729"/>
    <n v="1"/>
    <s v="1313729.770"/>
    <s v="בתי ספר יסודיים - גן כרמית -משתלם"/>
    <m/>
    <m/>
    <n v="-155000"/>
    <n v="-155000"/>
    <n v="-19219"/>
    <m/>
    <x v="2"/>
    <x v="2"/>
    <x v="8"/>
    <x v="8"/>
    <x v="20"/>
    <x v="19"/>
    <s v="3137"/>
    <s v="חוות חקלאיות"/>
    <m/>
    <s v="7"/>
    <x v="6"/>
    <s v="77"/>
    <s v="השתתפות קהילות מחו&quot;ל"/>
    <s v="770"/>
    <e v="#N/A"/>
  </r>
  <r>
    <n v="921"/>
    <n v="313720"/>
    <n v="1"/>
    <s v="1313720.921"/>
    <s v="בתי ספר יסודיים - גן כרמית -שרתים"/>
    <m/>
    <m/>
    <n v="-130000"/>
    <n v="-130000"/>
    <n v="-220324"/>
    <m/>
    <x v="2"/>
    <x v="2"/>
    <x v="8"/>
    <x v="8"/>
    <x v="20"/>
    <x v="19"/>
    <s v="3137"/>
    <s v="חוות חקלאיות"/>
    <m/>
    <s v="9"/>
    <x v="2"/>
    <s v="92"/>
    <s v="השתתפות משרד החינוך והתרבות"/>
    <s v="921"/>
    <e v="#N/A"/>
  </r>
  <r>
    <n v="770"/>
    <n v="313839"/>
    <n v="1"/>
    <s v="1313839.770"/>
    <s v="בתי ספר יסודיים - מרכז ימי -משתלם"/>
    <m/>
    <m/>
    <n v="-20000"/>
    <n v="-20000"/>
    <n v="0"/>
    <m/>
    <x v="2"/>
    <x v="2"/>
    <x v="8"/>
    <x v="8"/>
    <x v="20"/>
    <x v="19"/>
    <s v="3138"/>
    <s v="קייטנות/לימודיות וחודש לימוד נוסף"/>
    <m/>
    <s v="7"/>
    <x v="6"/>
    <s v="77"/>
    <s v="השתתפות קהילות מחו&quot;ל"/>
    <s v="770"/>
    <e v="#N/A"/>
  </r>
  <r>
    <n v="920"/>
    <n v="313830"/>
    <n v="1"/>
    <s v="1313830.920"/>
    <s v="בתי ספר יסודיים - מרכז ימי -השת' משרד החינוך בתפעול"/>
    <m/>
    <m/>
    <n v="-10000"/>
    <n v="-10000"/>
    <n v="-22009"/>
    <m/>
    <x v="2"/>
    <x v="2"/>
    <x v="8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1"/>
    <n v="313830"/>
    <n v="1"/>
    <s v="1313830.921"/>
    <s v="בתי ספר יסודיים - מרכז ימי -שרתים ומזכירות"/>
    <m/>
    <m/>
    <n v="-187000"/>
    <n v="-110000"/>
    <n v="-185540"/>
    <m/>
    <x v="2"/>
    <x v="2"/>
    <x v="8"/>
    <x v="8"/>
    <x v="20"/>
    <x v="19"/>
    <s v="3138"/>
    <s v="קייטנות/לימודיות וחודש לימוד נוסף"/>
    <m/>
    <s v="9"/>
    <x v="2"/>
    <s v="92"/>
    <s v="השתתפות משרד החינוך והתרבות"/>
    <s v="921"/>
    <e v="#N/A"/>
  </r>
  <r>
    <n v="920"/>
    <n v="313841"/>
    <n v="1"/>
    <s v="1313841.920"/>
    <s v="בתי ספר יסודיים - סייעות ארעיות -ממשלה"/>
    <m/>
    <m/>
    <n v="-13000000"/>
    <n v="-12500000"/>
    <n v="0"/>
    <m/>
    <x v="2"/>
    <x v="2"/>
    <x v="8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0"/>
    <n v="317842"/>
    <n v="1"/>
    <s v="1317842.920"/>
    <s v="בתי ספר יסודיים - לווי והסעות החינוך"/>
    <m/>
    <m/>
    <n v="-6000000"/>
    <n v="-5500000"/>
    <n v="-5898799"/>
    <m/>
    <x v="2"/>
    <x v="2"/>
    <x v="8"/>
    <x v="8"/>
    <x v="21"/>
    <x v="20"/>
    <s v="3178"/>
    <s v="הסעות ילדים"/>
    <m/>
    <s v="9"/>
    <x v="2"/>
    <s v="92"/>
    <s v="השתתפות משרד החינוך והתרבות"/>
    <s v="920"/>
    <e v="#N/A"/>
  </r>
  <r>
    <n v="920"/>
    <n v="313843"/>
    <n v="1"/>
    <s v="1313843.920"/>
    <s v="בתי ספר יסודיים - סייעות ממשלה"/>
    <m/>
    <m/>
    <n v="-20500000"/>
    <n v="-20500000"/>
    <n v="-22411646"/>
    <m/>
    <x v="2"/>
    <x v="2"/>
    <x v="8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920"/>
    <n v="313844"/>
    <n v="1"/>
    <s v="1313844.920"/>
    <s v="בתי ספר יסודיים - קבסי&quot;ם ממשלה"/>
    <m/>
    <m/>
    <n v="-1350000"/>
    <n v="-1350000"/>
    <n v="-1356425"/>
    <m/>
    <x v="2"/>
    <x v="2"/>
    <x v="8"/>
    <x v="8"/>
    <x v="20"/>
    <x v="19"/>
    <s v="3138"/>
    <s v="קייטנות/לימודיות וחודש לימוד נוסף"/>
    <m/>
    <s v="9"/>
    <x v="2"/>
    <s v="92"/>
    <s v="השתתפות משרד החינוך והתרבות"/>
    <s v="920"/>
    <e v="#N/A"/>
  </r>
  <r>
    <n v="211"/>
    <n v="317100"/>
    <n v="1"/>
    <s v="1317100.211"/>
    <s v="שירותים לבתי ספר וגני ילדים - אגרת חינוך"/>
    <m/>
    <m/>
    <n v="-6000000"/>
    <n v="-6150000"/>
    <n v="-7161433"/>
    <m/>
    <x v="2"/>
    <x v="2"/>
    <x v="8"/>
    <x v="8"/>
    <x v="21"/>
    <x v="20"/>
    <s v="3171"/>
    <s v="קב״ט שמירה ובטחון מוסדות חינוך"/>
    <m/>
    <s v="2"/>
    <x v="1"/>
    <s v="21"/>
    <s v="אגרות מים וביוב"/>
    <s v="211"/>
    <e v="#N/A"/>
  </r>
  <r>
    <n v="212"/>
    <n v="317100"/>
    <n v="1"/>
    <s v="1317100.212"/>
    <s v="שירותים לבתי ספר וגני ילדים - אגרת חינוך-ביטוח תלמידים"/>
    <m/>
    <m/>
    <n v="-2000000"/>
    <n v="-1000000"/>
    <n v="-2025675"/>
    <m/>
    <x v="2"/>
    <x v="2"/>
    <x v="8"/>
    <x v="8"/>
    <x v="21"/>
    <x v="20"/>
    <s v="3171"/>
    <s v="קב״ט שמירה ובטחון מוסדות חינוך"/>
    <m/>
    <s v="2"/>
    <x v="1"/>
    <s v="21"/>
    <s v="אגרות מים וביוב"/>
    <s v="212"/>
    <e v="#N/A"/>
  </r>
  <r>
    <n v="940"/>
    <n v="317100"/>
    <n v="1"/>
    <s v="1317100.940"/>
    <s v="שירותים לבתי ספר וגני ילדים - שכפול וחומרים-ממשלה"/>
    <m/>
    <m/>
    <n v="-290000"/>
    <n v="-1290000"/>
    <n v="-260112"/>
    <m/>
    <x v="2"/>
    <x v="2"/>
    <x v="8"/>
    <x v="8"/>
    <x v="21"/>
    <x v="20"/>
    <s v="3171"/>
    <s v="קב״ט שמירה ובטחון מוסדות חינוך"/>
    <m/>
    <s v="9"/>
    <x v="2"/>
    <s v="94"/>
    <s v="השתתפות משרד הבריאות"/>
    <s v="940"/>
    <e v="#N/A"/>
  </r>
  <r>
    <n v="920"/>
    <n v="317300"/>
    <n v="1"/>
    <s v="1317300.920"/>
    <s v="שירותים לבתי ספר וגני ילדים - פסיכולוגים -השת' ממשלה"/>
    <m/>
    <m/>
    <n v="-6600000"/>
    <n v="-6300000"/>
    <n v="-6257366"/>
    <m/>
    <x v="2"/>
    <x v="2"/>
    <x v="8"/>
    <x v="8"/>
    <x v="21"/>
    <x v="20"/>
    <s v="3173"/>
    <s v="שרות פסיכולוגי חינוכי"/>
    <m/>
    <s v="9"/>
    <x v="2"/>
    <s v="92"/>
    <s v="השתתפות משרד החינוך והתרבות"/>
    <s v="920"/>
    <e v="#N/A"/>
  </r>
  <r>
    <n v="770"/>
    <n v="317390"/>
    <n v="1"/>
    <s v="1317390.770"/>
    <s v="שירותים לבתי ספר וגני ילדים - איבחונים"/>
    <m/>
    <m/>
    <n v="0"/>
    <n v="0"/>
    <n v="-258"/>
    <m/>
    <x v="2"/>
    <x v="2"/>
    <x v="8"/>
    <x v="8"/>
    <x v="21"/>
    <x v="20"/>
    <s v="3173"/>
    <s v="שרות פסיכולוגי חינוכי"/>
    <m/>
    <s v="7"/>
    <x v="6"/>
    <s v="77"/>
    <s v="השתתפות קהילות מחו&quot;ל"/>
    <s v="770"/>
    <e v="#N/A"/>
  </r>
  <r>
    <n v="970"/>
    <n v="317390"/>
    <n v="1"/>
    <s v="1317390.970"/>
    <s v="שירותים לבתי ספר וגני ילדים - מ.החינוך השתלמויות-משתלם"/>
    <m/>
    <m/>
    <n v="-99000"/>
    <n v="-99000"/>
    <n v="-211680"/>
    <m/>
    <x v="2"/>
    <x v="2"/>
    <x v="8"/>
    <x v="8"/>
    <x v="21"/>
    <x v="20"/>
    <s v="3173"/>
    <s v="שרות פסיכולוגי חינוכי"/>
    <m/>
    <s v="9"/>
    <x v="2"/>
    <s v="97"/>
    <s v="השתתפות משרד הביטחון"/>
    <s v="970"/>
    <e v="#N/A"/>
  </r>
  <r>
    <n v="770"/>
    <n v="317319"/>
    <n v="1"/>
    <s v="1317319.770"/>
    <s v="שירותים לבתי ספר וגני ילדים - מרכז קדום מחשבים -עצמיות -משתלם"/>
    <m/>
    <m/>
    <n v="-805000"/>
    <n v="-805000"/>
    <n v="-213525"/>
    <m/>
    <x v="2"/>
    <x v="2"/>
    <x v="8"/>
    <x v="8"/>
    <x v="21"/>
    <x v="20"/>
    <s v="3173"/>
    <s v="שרות פסיכולוגי חינוכי"/>
    <m/>
    <s v="7"/>
    <x v="6"/>
    <s v="77"/>
    <s v="השתתפות קהילות מחו&quot;ל"/>
    <s v="770"/>
    <e v="#N/A"/>
  </r>
  <r>
    <n v="930"/>
    <n v="317319"/>
    <n v="1"/>
    <s v="1317319.930"/>
    <s v="שירותים לבתי ספר וגני ילדים - תקשוב לאומי"/>
    <m/>
    <m/>
    <n v="0"/>
    <n v="0"/>
    <n v="-90720"/>
    <m/>
    <x v="2"/>
    <x v="2"/>
    <x v="8"/>
    <x v="8"/>
    <x v="21"/>
    <x v="20"/>
    <s v="3173"/>
    <s v="שרות פסיכולוגי חינוכי"/>
    <m/>
    <s v="9"/>
    <x v="2"/>
    <s v="93"/>
    <s v="השתתפות משרד העבודה והרווחה"/>
    <s v="930"/>
    <e v="#N/A"/>
  </r>
  <r>
    <n v="970"/>
    <n v="317319"/>
    <n v="1"/>
    <s v="1317319.970"/>
    <s v="שירותים לבתי ספר וגני ילדים - מרכז לוגיסטי ממשלה-משתלם"/>
    <m/>
    <m/>
    <n v="-400000"/>
    <n v="-400000"/>
    <n v="-441107"/>
    <m/>
    <x v="2"/>
    <x v="2"/>
    <x v="8"/>
    <x v="8"/>
    <x v="21"/>
    <x v="20"/>
    <s v="3173"/>
    <s v="שרות פסיכולוגי חינוכי"/>
    <m/>
    <s v="9"/>
    <x v="2"/>
    <s v="97"/>
    <s v="השתתפות משרד הביטחון"/>
    <s v="970"/>
    <e v="#N/A"/>
  </r>
  <r>
    <n v="920"/>
    <n v="315900"/>
    <n v="1"/>
    <s v="1315900.920"/>
    <s v="בתי ספר תיכוניים - פרויקט איכות הסביבה"/>
    <m/>
    <m/>
    <n v="-400000"/>
    <n v="-400000"/>
    <n v="-97163"/>
    <m/>
    <x v="2"/>
    <x v="2"/>
    <x v="8"/>
    <x v="8"/>
    <x v="22"/>
    <x v="21"/>
    <s v="3159"/>
    <e v="#N/A"/>
    <m/>
    <s v="9"/>
    <x v="2"/>
    <s v="92"/>
    <s v="השתתפות משרד החינוך והתרבות"/>
    <s v="920"/>
    <e v="#N/A"/>
  </r>
  <r>
    <n v="930"/>
    <n v="315920"/>
    <n v="1"/>
    <s v="1315920.930"/>
    <s v="בתי ספר תיכוניים - מוקד קליטת ילדי אתיופיה"/>
    <m/>
    <m/>
    <n v="-450000"/>
    <n v="-450000"/>
    <n v="-586857"/>
    <m/>
    <x v="2"/>
    <x v="2"/>
    <x v="8"/>
    <x v="8"/>
    <x v="22"/>
    <x v="21"/>
    <s v="3159"/>
    <e v="#N/A"/>
    <m/>
    <s v="9"/>
    <x v="2"/>
    <s v="93"/>
    <s v="השתתפות משרד העבודה והרווחה"/>
    <s v="930"/>
    <e v="#N/A"/>
  </r>
  <r>
    <n v="930"/>
    <n v="315930"/>
    <n v="1"/>
    <s v="1315930.930"/>
    <s v="בתי ספר תיכוניים - תוכנית שמידט"/>
    <m/>
    <m/>
    <n v="-1592000"/>
    <n v="-1592000"/>
    <n v="-1464574"/>
    <m/>
    <x v="2"/>
    <x v="2"/>
    <x v="8"/>
    <x v="8"/>
    <x v="22"/>
    <x v="21"/>
    <s v="3159"/>
    <e v="#N/A"/>
    <m/>
    <s v="9"/>
    <x v="2"/>
    <s v="93"/>
    <s v="השתתפות משרד העבודה והרווחה"/>
    <s v="930"/>
    <e v="#N/A"/>
  </r>
  <r>
    <n v="970"/>
    <n v="315190"/>
    <n v="1"/>
    <s v="1315190.970"/>
    <s v="בתי ספר תיכוניים - תרומת דה לבוש-משתלם"/>
    <m/>
    <m/>
    <n v="-700000"/>
    <n v="-700000"/>
    <n v="-554504"/>
    <m/>
    <x v="2"/>
    <x v="2"/>
    <x v="8"/>
    <x v="8"/>
    <x v="22"/>
    <x v="21"/>
    <s v="3151"/>
    <s v="מינהל החינוך העל יסודי"/>
    <m/>
    <s v="9"/>
    <x v="2"/>
    <s v="97"/>
    <s v="השתתפות משרד הביטחון"/>
    <s v="970"/>
    <e v="#N/A"/>
  </r>
  <r>
    <n v="971"/>
    <n v="315190"/>
    <n v="1"/>
    <s v="1315190.971"/>
    <s v="בתי ספר תיכוניים - על יסודי-משתלם"/>
    <m/>
    <m/>
    <n v="-1502000"/>
    <n v="-1502000"/>
    <n v="-851490"/>
    <m/>
    <x v="2"/>
    <x v="2"/>
    <x v="8"/>
    <x v="8"/>
    <x v="22"/>
    <x v="21"/>
    <s v="3151"/>
    <s v="מינהל החינוך העל יסודי"/>
    <m/>
    <s v="9"/>
    <x v="2"/>
    <s v="97"/>
    <s v="השתתפות משרד הביטחון"/>
    <s v="971"/>
    <e v="#N/A"/>
  </r>
  <r>
    <n v="770"/>
    <n v="315190"/>
    <n v="1"/>
    <s v="1315190.770"/>
    <s v="בתי ספר תיכוניים - משתלם על יסודי עצמיות"/>
    <m/>
    <m/>
    <n v="0"/>
    <n v="0"/>
    <n v="-61"/>
    <m/>
    <x v="2"/>
    <x v="2"/>
    <x v="8"/>
    <x v="8"/>
    <x v="22"/>
    <x v="21"/>
    <s v="3151"/>
    <s v="מינהל החינוך העל יסודי"/>
    <m/>
    <s v="7"/>
    <x v="6"/>
    <s v="77"/>
    <s v="השתתפות קהילות מחו&quot;ל"/>
    <s v="770"/>
    <e v="#N/A"/>
  </r>
  <r>
    <n v="411"/>
    <n v="315190"/>
    <n v="1"/>
    <s v="1315190.411"/>
    <s v="בתי ספר תיכוניים - פרויקט מניפה"/>
    <m/>
    <m/>
    <n v="0"/>
    <n v="0"/>
    <n v="-70"/>
    <m/>
    <x v="2"/>
    <x v="2"/>
    <x v="8"/>
    <x v="8"/>
    <x v="22"/>
    <x v="21"/>
    <s v="3151"/>
    <s v="מינהל החינוך העל יסודי"/>
    <m/>
    <s v="4"/>
    <x v="4"/>
    <s v="41"/>
    <s v="שכל&quot;מ מתושבים"/>
    <s v="411"/>
    <e v="#N/A"/>
  </r>
  <r>
    <n v="410"/>
    <n v="315190"/>
    <n v="1"/>
    <s v="1315190.410"/>
    <s v="בתי ספר תיכוניים - מחשב לכל ילד הורים"/>
    <m/>
    <m/>
    <n v="0"/>
    <n v="0"/>
    <n v="-14870"/>
    <m/>
    <x v="2"/>
    <x v="2"/>
    <x v="8"/>
    <x v="8"/>
    <x v="22"/>
    <x v="21"/>
    <s v="3151"/>
    <s v="מינהל החינוך העל יסודי"/>
    <m/>
    <s v="4"/>
    <x v="4"/>
    <s v="41"/>
    <s v="שכל&quot;מ מתושבים"/>
    <s v="410"/>
    <e v="#N/A"/>
  </r>
  <r>
    <n v="930"/>
    <n v="315210"/>
    <n v="1"/>
    <s v="1315210.930"/>
    <s v="בתי ספר תיכוניים - תיכון עירוני א -שכ&quot;ל"/>
    <m/>
    <m/>
    <n v="-11130000"/>
    <n v="-10000000"/>
    <n v="-11500772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10"/>
    <n v="1"/>
    <s v="1315210.940"/>
    <s v="בתי ספר תיכוניים - תיכון עירוני א -שכפולים  וחומרים"/>
    <m/>
    <m/>
    <n v="0"/>
    <n v="0"/>
    <n v="-92858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17"/>
    <n v="1"/>
    <s v="1315217.930"/>
    <s v="בתי ספר תיכוניים - תיכון אלמותנבי שיזף -שכ&quot;ל"/>
    <m/>
    <m/>
    <n v="-7415000"/>
    <n v="-7000000"/>
    <n v="-7473693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17"/>
    <n v="1"/>
    <s v="1315217.940"/>
    <s v="בתי ספר תיכוניים - תיכון אלמותנבי-שכפולים וחומרים"/>
    <m/>
    <m/>
    <n v="0"/>
    <n v="0"/>
    <n v="-30864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20"/>
    <n v="1"/>
    <s v="1315220.930"/>
    <s v="בתי ספר תיכוניים - תיכון יבנה-שכ&quot;ל"/>
    <m/>
    <m/>
    <n v="-3670000"/>
    <n v="-3240000"/>
    <n v="-4065424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20"/>
    <n v="1"/>
    <s v="1315220.940"/>
    <s v="בתי ספר תיכוניים - תיכון יבנה- שכפולים וחומרים"/>
    <m/>
    <m/>
    <n v="0"/>
    <n v="0"/>
    <n v="-29301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30"/>
    <n v="1"/>
    <s v="1315230.930"/>
    <s v="בתי ספר תיכוניים - תיכון עירוני ג-שכ&quot;ל"/>
    <m/>
    <m/>
    <n v="-7730000"/>
    <n v="-7300000"/>
    <n v="-7855565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30"/>
    <n v="1"/>
    <s v="1315230.940"/>
    <s v="בתי ספר תיכוניים - תיכון עירוני ג- שכפולים וחומרים"/>
    <m/>
    <m/>
    <n v="0"/>
    <n v="0"/>
    <n v="-96015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40"/>
    <n v="1"/>
    <s v="1315240.930"/>
    <s v="בתי ספר תיכוניים - תיכון חוגים -שכ&quot;ל"/>
    <m/>
    <m/>
    <n v="-10070000"/>
    <n v="-9640000"/>
    <n v="-11354143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40"/>
    <n v="1"/>
    <s v="1315240.940"/>
    <s v="בתי ספר תיכוניים - תיכון חוגים-שכפולים וחומרים"/>
    <m/>
    <m/>
    <n v="0"/>
    <n v="0"/>
    <n v="-101742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50"/>
    <n v="1"/>
    <s v="1315250.930"/>
    <s v="בתי ספר תיכוניים - תיכון עירוני ה-שכ&quot;ל"/>
    <m/>
    <m/>
    <n v="-14430000"/>
    <n v="-14000000"/>
    <n v="-14310374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50"/>
    <n v="1"/>
    <s v="1315250.940"/>
    <s v="בתי ספר תיכוניים - תיכון עירוני ה -שכפולים וחומרים"/>
    <m/>
    <m/>
    <n v="0"/>
    <n v="0"/>
    <n v="-139033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60"/>
    <n v="1"/>
    <s v="1315260.930"/>
    <s v="בתי ספר תיכוניים - תיכון &quot;אמית&quot;  ו לבנות"/>
    <m/>
    <m/>
    <n v="0"/>
    <n v="-400000"/>
    <n v="0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210"/>
    <n v="315280"/>
    <n v="1"/>
    <s v="1315280.210"/>
    <s v="בתי ספר תיכוניים - אומניות הורים"/>
    <m/>
    <m/>
    <n v="0"/>
    <n v="-1300000"/>
    <n v="-935000"/>
    <m/>
    <x v="2"/>
    <x v="2"/>
    <x v="8"/>
    <x v="8"/>
    <x v="22"/>
    <x v="21"/>
    <s v="3152"/>
    <s v="בתי״ס על יסודיים עיוניים"/>
    <m/>
    <s v="2"/>
    <x v="1"/>
    <s v="21"/>
    <s v="אגרות מים וביוב"/>
    <s v="210"/>
    <e v="#N/A"/>
  </r>
  <r>
    <n v="930"/>
    <n v="315290"/>
    <n v="1"/>
    <s v="1315290.930"/>
    <s v="בתי ספר תיכוניים - תיכון קריית חיים -שכ&quot;ל"/>
    <m/>
    <m/>
    <n v="-16430000"/>
    <n v="-15300000"/>
    <n v="-16826284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90"/>
    <n v="1"/>
    <s v="1315290.940"/>
    <s v="בתי ספר תיכוניים - תיכון קרית חיים-שכפולים וחומרים"/>
    <m/>
    <m/>
    <n v="0"/>
    <n v="0"/>
    <n v="-131880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590"/>
    <n v="1"/>
    <s v="1315590.930"/>
    <s v="בתי ספר תיכוניים - קרית חיים מקצועי"/>
    <m/>
    <m/>
    <n v="0"/>
    <n v="0"/>
    <n v="-1016"/>
    <m/>
    <x v="2"/>
    <x v="2"/>
    <x v="8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30"/>
    <n v="315540"/>
    <n v="1"/>
    <s v="1315540.930"/>
    <s v="בתי ספר תיכוניים - תיכון אלכרמה - שכ&quot;ל"/>
    <m/>
    <m/>
    <n v="0"/>
    <n v="0"/>
    <n v="-381327"/>
    <m/>
    <x v="2"/>
    <x v="2"/>
    <x v="8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30"/>
    <n v="315270"/>
    <n v="1"/>
    <s v="1315270.930"/>
    <s v="בתי ספר תיכוניים - ישיבה תיכונית ב - שכ&quot;ל"/>
    <m/>
    <m/>
    <n v="-3230000"/>
    <n v="-2800000"/>
    <n v="-3348201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70"/>
    <n v="1"/>
    <s v="1315270.940"/>
    <s v="בתי ספר תיכוניים - ישיבה תיכונית ב - שכפולים וחומרים"/>
    <m/>
    <m/>
    <n v="0"/>
    <n v="0"/>
    <n v="-32831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930"/>
    <n v="315280"/>
    <n v="1"/>
    <s v="1315280.930"/>
    <s v="בתי ספר תיכוניים - בית ספר רעות"/>
    <m/>
    <m/>
    <n v="-9980000"/>
    <n v="-8150000"/>
    <n v="-6206205"/>
    <m/>
    <x v="2"/>
    <x v="2"/>
    <x v="8"/>
    <x v="8"/>
    <x v="22"/>
    <x v="21"/>
    <s v="3152"/>
    <s v="בתי״ס על יסודיים עיוניים"/>
    <m/>
    <s v="9"/>
    <x v="2"/>
    <s v="93"/>
    <s v="השתתפות משרד העבודה והרווחה"/>
    <s v="930"/>
    <e v="#N/A"/>
  </r>
  <r>
    <n v="940"/>
    <n v="315280"/>
    <n v="1"/>
    <s v="1315280.940"/>
    <s v="בתי ספר תיכוניים - רעות - חומרים"/>
    <m/>
    <m/>
    <n v="0"/>
    <n v="0"/>
    <n v="-81125"/>
    <m/>
    <x v="2"/>
    <x v="2"/>
    <x v="8"/>
    <x v="8"/>
    <x v="22"/>
    <x v="21"/>
    <s v="3152"/>
    <s v="בתי״ס על יסודיים עיוניים"/>
    <m/>
    <s v="9"/>
    <x v="2"/>
    <s v="94"/>
    <s v="השתתפות משרד הבריאות"/>
    <s v="940"/>
    <e v="#N/A"/>
  </r>
  <r>
    <n v="410"/>
    <n v="315520"/>
    <n v="1"/>
    <s v="1315520.410"/>
    <s v="בתי ספר תיכוניים - החזר צ'קים"/>
    <m/>
    <m/>
    <n v="0"/>
    <n v="0"/>
    <n v="-36000"/>
    <m/>
    <x v="2"/>
    <x v="2"/>
    <x v="8"/>
    <x v="8"/>
    <x v="22"/>
    <x v="21"/>
    <s v="3155"/>
    <s v="בתי״ס על יסודיים מקצועיים"/>
    <m/>
    <s v="4"/>
    <x v="4"/>
    <s v="41"/>
    <s v="שכל&quot;מ מתושבים"/>
    <s v="410"/>
    <e v="#N/A"/>
  </r>
  <r>
    <n v="930"/>
    <n v="315520"/>
    <n v="1"/>
    <s v="1315520.930"/>
    <s v="בתי ספר תיכוניים - ביה&quot;ס בסמ&quot;ת"/>
    <m/>
    <m/>
    <n v="-4665000"/>
    <n v="-4600000"/>
    <n v="-4305433"/>
    <m/>
    <x v="2"/>
    <x v="2"/>
    <x v="8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940"/>
    <n v="315520"/>
    <n v="1"/>
    <s v="1315520.940"/>
    <s v="בתי ספר תיכוניים - ביה&quot;ס בוסמת - שכפול וחומרים"/>
    <m/>
    <m/>
    <n v="0"/>
    <n v="0"/>
    <n v="-31973"/>
    <m/>
    <x v="2"/>
    <x v="2"/>
    <x v="8"/>
    <x v="8"/>
    <x v="22"/>
    <x v="21"/>
    <s v="3155"/>
    <s v="בתי״ס על יסודיים מקצועיים"/>
    <m/>
    <s v="9"/>
    <x v="2"/>
    <s v="94"/>
    <s v="השתתפות משרד הבריאות"/>
    <s v="940"/>
    <e v="#N/A"/>
  </r>
  <r>
    <n v="770"/>
    <n v="315790"/>
    <n v="1"/>
    <s v="1315790.770"/>
    <s v="בתי ספר תיכוניים - רעות משתלם"/>
    <m/>
    <m/>
    <n v="-1150000"/>
    <n v="-1150000"/>
    <n v="-354735"/>
    <m/>
    <x v="2"/>
    <x v="2"/>
    <x v="8"/>
    <x v="8"/>
    <x v="22"/>
    <x v="21"/>
    <s v="3157"/>
    <s v="בתי״ס על יסודיים מקיפים"/>
    <m/>
    <s v="7"/>
    <x v="6"/>
    <s v="77"/>
    <s v="השתתפות קהילות מחו&quot;ל"/>
    <s v="770"/>
    <e v="#N/A"/>
  </r>
  <r>
    <n v="710"/>
    <n v="315700"/>
    <n v="1"/>
    <s v="1315700.710"/>
    <s v="בתי ספר תיכוניים - השתתפות מועצות - ילדי חוץ"/>
    <m/>
    <m/>
    <n v="-2500000"/>
    <n v="-2500000"/>
    <n v="-614800"/>
    <m/>
    <x v="2"/>
    <x v="2"/>
    <x v="8"/>
    <x v="8"/>
    <x v="22"/>
    <x v="21"/>
    <s v="3157"/>
    <s v="בתי״ס על יסודיים מקיפים"/>
    <m/>
    <s v="7"/>
    <x v="6"/>
    <s v="71"/>
    <s v="השתתפות ועדים מקומיים"/>
    <s v="710"/>
    <e v="#N/A"/>
  </r>
  <r>
    <n v="940"/>
    <n v="315700"/>
    <n v="1"/>
    <s v="1315700.940"/>
    <s v="בתי ספר תיכוניים - חט&quot;ב - שכפולים וחומרים"/>
    <m/>
    <m/>
    <n v="0"/>
    <n v="0"/>
    <n v="-45311"/>
    <m/>
    <x v="2"/>
    <x v="2"/>
    <x v="8"/>
    <x v="8"/>
    <x v="22"/>
    <x v="21"/>
    <s v="3157"/>
    <s v="בתי״ס על יסודיים מקיפים"/>
    <m/>
    <s v="9"/>
    <x v="2"/>
    <s v="94"/>
    <s v="השתתפות משרד הבריאות"/>
    <s v="940"/>
    <e v="#N/A"/>
  </r>
  <r>
    <n v="710"/>
    <n v="315710"/>
    <n v="1"/>
    <s v="1315710.710"/>
    <s v="בתי ספר תיכוניים - עמלניות - ילדי חוץ"/>
    <m/>
    <m/>
    <n v="-450000"/>
    <n v="-850000"/>
    <n v="-864187"/>
    <m/>
    <x v="2"/>
    <x v="2"/>
    <x v="8"/>
    <x v="8"/>
    <x v="22"/>
    <x v="21"/>
    <s v="3157"/>
    <s v="בתי״ס על יסודיים מקיפים"/>
    <m/>
    <s v="7"/>
    <x v="6"/>
    <s v="71"/>
    <s v="השתתפות ועדים מקומיים"/>
    <s v="710"/>
    <e v="#N/A"/>
  </r>
  <r>
    <n v="921"/>
    <n v="315710"/>
    <n v="1"/>
    <s v="1315710.921"/>
    <s v="בתי ספר תיכוניים - עמלניות - שרתים"/>
    <m/>
    <m/>
    <n v="-450000"/>
    <n v="-800000"/>
    <n v="-757529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1"/>
    <e v="#N/A"/>
  </r>
  <r>
    <n v="926"/>
    <n v="315710"/>
    <n v="1"/>
    <s v="1315710.926"/>
    <s v="בתי ספר תיכוניים - עמלניות - ספרנים"/>
    <m/>
    <m/>
    <n v="-200000"/>
    <n v="-300000"/>
    <n v="-210136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6"/>
    <e v="#N/A"/>
  </r>
  <r>
    <n v="928"/>
    <n v="315710"/>
    <n v="1"/>
    <s v="1315710.928"/>
    <s v="בתי ספר תיכוניים - עמלניות - לבורנטים"/>
    <m/>
    <m/>
    <n v="-200000"/>
    <n v="-200000"/>
    <n v="-232785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8"/>
    <e v="#N/A"/>
  </r>
  <r>
    <n v="940"/>
    <n v="315710"/>
    <n v="1"/>
    <s v="1315710.940"/>
    <s v="בתי ספר תיכוניים - עמלניות - שכפולים וחומרים"/>
    <m/>
    <m/>
    <n v="-1050000"/>
    <n v="-700000"/>
    <n v="-43466"/>
    <m/>
    <x v="2"/>
    <x v="2"/>
    <x v="8"/>
    <x v="8"/>
    <x v="22"/>
    <x v="21"/>
    <s v="3157"/>
    <s v="בתי״ס על יסודיים מקיפים"/>
    <m/>
    <s v="9"/>
    <x v="2"/>
    <s v="94"/>
    <s v="השתתפות משרד הבריאות"/>
    <s v="940"/>
    <e v="#N/A"/>
  </r>
  <r>
    <n v="921"/>
    <n v="315730"/>
    <n v="1"/>
    <s v="1315730.921"/>
    <s v="בתי ספר תיכוניים - עובדי מינהלה שרתים ורכז חינוך"/>
    <m/>
    <m/>
    <n v="-4110000"/>
    <n v="-4479000"/>
    <n v="-2990154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1"/>
    <e v="#N/A"/>
  </r>
  <r>
    <n v="926"/>
    <n v="315740"/>
    <n v="1"/>
    <s v="1315740.926"/>
    <s v="בתי ספר תיכוניים - ספרנים"/>
    <m/>
    <m/>
    <n v="-4844000"/>
    <n v="-4172000"/>
    <n v="-5891774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6"/>
    <e v="#N/A"/>
  </r>
  <r>
    <n v="927"/>
    <n v="315750"/>
    <n v="1"/>
    <s v="1315750.927"/>
    <s v="בתי ספר תיכוניים - חט&quot;ב -השאלת מורים"/>
    <m/>
    <m/>
    <n v="-1701000"/>
    <n v="-3700000"/>
    <n v="-572395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7"/>
    <e v="#N/A"/>
  </r>
  <r>
    <n v="928"/>
    <n v="315760"/>
    <n v="1"/>
    <s v="1315760.928"/>
    <s v="בתי ספר תיכוניים - עובדי סיוע טכני ולבורנטים"/>
    <m/>
    <m/>
    <n v="-550000"/>
    <n v="-2053000"/>
    <n v="-14925"/>
    <m/>
    <x v="2"/>
    <x v="2"/>
    <x v="8"/>
    <x v="8"/>
    <x v="22"/>
    <x v="21"/>
    <s v="3157"/>
    <s v="בתי״ס על יסודיים מקיפים"/>
    <m/>
    <s v="9"/>
    <x v="2"/>
    <s v="92"/>
    <s v="השתתפות משרד החינוך והתרבות"/>
    <s v="928"/>
    <e v="#N/A"/>
  </r>
  <r>
    <n v="970"/>
    <n v="315900"/>
    <n v="1"/>
    <s v="1315900.970"/>
    <s v="בתי ספר תיכוניים - שמירה במוסדות חינוך"/>
    <m/>
    <m/>
    <n v="-7500000"/>
    <n v="-7800000"/>
    <n v="-8441645"/>
    <m/>
    <x v="2"/>
    <x v="2"/>
    <x v="8"/>
    <x v="8"/>
    <x v="22"/>
    <x v="21"/>
    <s v="3159"/>
    <e v="#N/A"/>
    <m/>
    <s v="9"/>
    <x v="2"/>
    <s v="97"/>
    <s v="השתתפות משרד הביטחון"/>
    <s v="970"/>
    <e v="#N/A"/>
  </r>
  <r>
    <n v="930"/>
    <s v="315510"/>
    <n v="1"/>
    <s v="1315510.930"/>
    <s v="בתי ספר תיכוניים - מרכז טכנולוגי הכנסות"/>
    <m/>
    <m/>
    <n v="-1667000"/>
    <n v="-1250000"/>
    <n v="0"/>
    <m/>
    <x v="2"/>
    <x v="2"/>
    <x v="8"/>
    <x v="8"/>
    <x v="22"/>
    <x v="21"/>
    <s v="3155"/>
    <s v="בתי״ס על יסודיים מקצועיים"/>
    <m/>
    <s v="9"/>
    <x v="2"/>
    <s v="93"/>
    <s v="השתתפות משרד העבודה והרווחה"/>
    <s v="930"/>
    <e v="#N/A"/>
  </r>
  <r>
    <n v="770"/>
    <n v="315329"/>
    <n v="1"/>
    <s v="1315329.770"/>
    <s v="בתי ספר תיכוניים - אשכול רעות משתלם"/>
    <m/>
    <m/>
    <n v="-150000"/>
    <n v="-150000"/>
    <n v="-30322"/>
    <m/>
    <x v="2"/>
    <x v="2"/>
    <x v="8"/>
    <x v="8"/>
    <x v="22"/>
    <x v="21"/>
    <s v="3153"/>
    <s v="בתי״ס ערב על יסודיים"/>
    <m/>
    <s v="7"/>
    <x v="6"/>
    <s v="77"/>
    <s v="השתתפות קהילות מחו&quot;ל"/>
    <s v="770"/>
    <e v="#N/A"/>
  </r>
  <r>
    <n v="920"/>
    <n v="315331"/>
    <n v="1"/>
    <s v="1315331.920"/>
    <s v="בתי ספר תיכוניים - אשכול פיס - קרית חיים"/>
    <m/>
    <m/>
    <n v="-400000"/>
    <n v="-400000"/>
    <n v="-579747"/>
    <m/>
    <x v="2"/>
    <x v="2"/>
    <x v="8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332"/>
    <n v="1"/>
    <s v="1315332.920"/>
    <s v="בתי ספר תיכוניים - אשכול פיס רעות"/>
    <m/>
    <m/>
    <n v="-380000"/>
    <n v="-380000"/>
    <n v="-269874"/>
    <m/>
    <x v="2"/>
    <x v="2"/>
    <x v="8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370"/>
    <n v="1"/>
    <s v="1315370.920"/>
    <s v="בתי ספר תיכוניים - פנימיות יום - תגבור"/>
    <m/>
    <m/>
    <n v="-300000"/>
    <n v="-300000"/>
    <n v="-290671"/>
    <m/>
    <x v="2"/>
    <x v="2"/>
    <x v="8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1"/>
    <n v="315370"/>
    <n v="1"/>
    <s v="1315370.921"/>
    <s v="בתי ספר תיכוניים - פנימיות יום - צד&quot;ל"/>
    <m/>
    <m/>
    <n v="0"/>
    <n v="0"/>
    <n v="-67060"/>
    <m/>
    <x v="2"/>
    <x v="2"/>
    <x v="8"/>
    <x v="8"/>
    <x v="22"/>
    <x v="21"/>
    <s v="3153"/>
    <s v="בתי״ס ערב על יסודיים"/>
    <m/>
    <s v="9"/>
    <x v="2"/>
    <s v="92"/>
    <s v="השתתפות משרד החינוך והתרבות"/>
    <s v="921"/>
    <e v="#N/A"/>
  </r>
  <r>
    <n v="920"/>
    <n v="315380"/>
    <n v="1"/>
    <s v="1315380.920"/>
    <s v="בתי ספר תיכוניים - פעולות חברה ממשלה"/>
    <m/>
    <m/>
    <n v="-20000"/>
    <n v="-20000"/>
    <n v="0"/>
    <m/>
    <x v="2"/>
    <x v="2"/>
    <x v="8"/>
    <x v="8"/>
    <x v="22"/>
    <x v="21"/>
    <s v="3153"/>
    <s v="בתי״ס ערב על יסודיים"/>
    <m/>
    <s v="9"/>
    <x v="2"/>
    <s v="92"/>
    <s v="השתתפות משרד החינוך והתרבות"/>
    <s v="920"/>
    <e v="#N/A"/>
  </r>
  <r>
    <n v="920"/>
    <n v="315680"/>
    <n v="1"/>
    <s v="1315680.920"/>
    <s v="בתי ספר תיכוניים - מרכז ליאו בק"/>
    <m/>
    <m/>
    <n v="-1578000"/>
    <n v="-1578000"/>
    <n v="-1510700"/>
    <m/>
    <x v="2"/>
    <x v="2"/>
    <x v="8"/>
    <x v="8"/>
    <x v="22"/>
    <x v="21"/>
    <s v="3156"/>
    <s v="בתי״ס על יסודיים חקלאיים"/>
    <m/>
    <s v="9"/>
    <x v="2"/>
    <s v="92"/>
    <s v="השתתפות משרד החינוך והתרבות"/>
    <s v="920"/>
    <e v="#N/A"/>
  </r>
  <r>
    <n v="770"/>
    <n v="315490"/>
    <n v="1"/>
    <s v="1315490.770"/>
    <s v="בתי ספר תיכוניים - משולבים - משתלם"/>
    <m/>
    <m/>
    <n v="-490000"/>
    <n v="-490000"/>
    <n v="-494015"/>
    <m/>
    <x v="2"/>
    <x v="2"/>
    <x v="8"/>
    <x v="8"/>
    <x v="22"/>
    <x v="21"/>
    <s v="3154"/>
    <s v="ישיבות תיכוניות אולפנות ומתיבתאות"/>
    <m/>
    <s v="7"/>
    <x v="6"/>
    <s v="77"/>
    <s v="השתתפות קהילות מחו&quot;ל"/>
    <s v="770"/>
    <e v="#N/A"/>
  </r>
  <r>
    <n v="920"/>
    <n v="315600"/>
    <n v="1"/>
    <s v="1315600.920"/>
    <s v="בתי ספר תיכוניים - פסגות ממשלה"/>
    <m/>
    <m/>
    <n v="0"/>
    <n v="0"/>
    <n v="-88976"/>
    <m/>
    <x v="2"/>
    <x v="2"/>
    <x v="8"/>
    <x v="8"/>
    <x v="22"/>
    <x v="21"/>
    <s v="3156"/>
    <s v="בתי״ס על יסודיים חקלאיים"/>
    <m/>
    <s v="9"/>
    <x v="2"/>
    <s v="92"/>
    <s v="השתתפות משרד החינוך והתרבות"/>
    <s v="920"/>
    <e v="#N/A"/>
  </r>
  <r>
    <n v="770"/>
    <n v="315200"/>
    <n v="1"/>
    <s v="1315200.770"/>
    <s v="בתי ספר תיכוניים - בתי   תלמיד הכנסות - משתלם"/>
    <m/>
    <m/>
    <n v="-1363000"/>
    <n v="-1363000"/>
    <n v="-1552383"/>
    <m/>
    <x v="2"/>
    <x v="2"/>
    <x v="8"/>
    <x v="8"/>
    <x v="22"/>
    <x v="21"/>
    <s v="3152"/>
    <s v="בתי״ס על יסודיים עיוניים"/>
    <m/>
    <s v="7"/>
    <x v="6"/>
    <s v="77"/>
    <s v="השתתפות קהילות מחו&quot;ל"/>
    <s v="770"/>
    <e v="#N/A"/>
  </r>
  <r>
    <n v="920"/>
    <n v="327220"/>
    <n v="1"/>
    <s v="1327220.920"/>
    <s v="תרבות - תרבות תורנית - השת' ממשלה"/>
    <m/>
    <m/>
    <n v="-98000"/>
    <n v="-98000"/>
    <n v="-67598"/>
    <m/>
    <x v="2"/>
    <x v="2"/>
    <x v="9"/>
    <x v="9"/>
    <x v="23"/>
    <x v="22"/>
    <s v="3272"/>
    <e v="#N/A"/>
    <m/>
    <s v="9"/>
    <x v="2"/>
    <s v="92"/>
    <s v="השתתפות משרד החינוך והתרבות"/>
    <s v="920"/>
    <e v="#N/A"/>
  </r>
  <r>
    <n v="410"/>
    <s v="323000"/>
    <n v="1"/>
    <s v="1323000.410"/>
    <s v="תרבות - ספריות"/>
    <m/>
    <m/>
    <n v="-2250000"/>
    <n v="-2250000"/>
    <n v="-2201299"/>
    <m/>
    <x v="2"/>
    <x v="2"/>
    <x v="9"/>
    <x v="9"/>
    <x v="24"/>
    <x v="23"/>
    <s v="3230"/>
    <e v="#N/A"/>
    <m/>
    <s v="4"/>
    <x v="4"/>
    <s v="41"/>
    <s v="שכל&quot;מ מתושבים"/>
    <s v="410"/>
    <e v="#N/A"/>
  </r>
  <r>
    <n v="410"/>
    <n v="323001"/>
    <n v="1"/>
    <s v="1323001.410"/>
    <s v="סעיפים משתלמים - ספריות"/>
    <m/>
    <m/>
    <n v="-380000"/>
    <n v="-380000"/>
    <n v="-157979"/>
    <m/>
    <x v="2"/>
    <x v="2"/>
    <x v="9"/>
    <x v="9"/>
    <x v="24"/>
    <x v="23"/>
    <s v="3230"/>
    <e v="#N/A"/>
    <m/>
    <s v="4"/>
    <x v="4"/>
    <s v="41"/>
    <s v="שכל&quot;מ מתושבים"/>
    <s v="410"/>
    <e v="#N/A"/>
  </r>
  <r>
    <n v="410"/>
    <n v="321002"/>
    <n v="1"/>
    <s v="1321002.410"/>
    <s v="סעיפים משתלמים - קידום נשים"/>
    <m/>
    <m/>
    <n v="-65000"/>
    <n v="-65000"/>
    <n v="-36586"/>
    <m/>
    <x v="2"/>
    <x v="2"/>
    <x v="9"/>
    <x v="9"/>
    <x v="25"/>
    <x v="24"/>
    <s v="3210"/>
    <e v="#N/A"/>
    <m/>
    <s v="4"/>
    <x v="4"/>
    <s v="41"/>
    <s v="שכל&quot;מ מתושבים"/>
    <s v="410"/>
    <e v="#N/A"/>
  </r>
  <r>
    <n v="410"/>
    <n v="322003"/>
    <n v="1"/>
    <s v="1322003.410"/>
    <s v="סעיפים משתלמים - קברט ספרותי"/>
    <m/>
    <m/>
    <n v="-25000"/>
    <n v="-25000"/>
    <n v="0"/>
    <m/>
    <x v="2"/>
    <x v="2"/>
    <x v="9"/>
    <x v="9"/>
    <x v="26"/>
    <x v="25"/>
    <s v="3220"/>
    <e v="#N/A"/>
    <m/>
    <s v="4"/>
    <x v="4"/>
    <s v="41"/>
    <s v="שכל&quot;מ מתושבים"/>
    <s v="410"/>
    <e v="#N/A"/>
  </r>
  <r>
    <n v="411"/>
    <n v="327004"/>
    <n v="1"/>
    <s v="1327004.411"/>
    <s v="סעיפים משתלמים - תרבות תורנית"/>
    <m/>
    <m/>
    <n v="-135000"/>
    <n v="-135000"/>
    <n v="-175419"/>
    <m/>
    <x v="2"/>
    <x v="2"/>
    <x v="9"/>
    <x v="9"/>
    <x v="23"/>
    <x v="22"/>
    <s v="3270"/>
    <e v="#N/A"/>
    <m/>
    <s v="4"/>
    <x v="4"/>
    <s v="41"/>
    <s v="שכל&quot;מ מתושבים"/>
    <s v="411"/>
    <e v="#N/A"/>
  </r>
  <r>
    <n v="410"/>
    <n v="322005"/>
    <n v="1"/>
    <s v="1322005.410"/>
    <s v="סעיפים משתלמים - פולקלור"/>
    <m/>
    <m/>
    <n v="-50000"/>
    <n v="-50000"/>
    <n v="-34752"/>
    <m/>
    <x v="2"/>
    <x v="2"/>
    <x v="9"/>
    <x v="9"/>
    <x v="26"/>
    <x v="25"/>
    <s v="3220"/>
    <e v="#N/A"/>
    <m/>
    <s v="4"/>
    <x v="4"/>
    <s v="41"/>
    <s v="שכל&quot;מ מתושבים"/>
    <s v="410"/>
    <e v="#N/A"/>
  </r>
  <r>
    <n v="410"/>
    <n v="326006"/>
    <n v="1"/>
    <s v="1326006.410"/>
    <s v="סעיפים משתלמים - בית יד לבנים"/>
    <m/>
    <m/>
    <n v="-282000"/>
    <n v="-282000"/>
    <n v="-102627"/>
    <m/>
    <x v="2"/>
    <x v="2"/>
    <x v="9"/>
    <x v="9"/>
    <x v="27"/>
    <x v="26"/>
    <s v="3260"/>
    <e v="#N/A"/>
    <m/>
    <s v="4"/>
    <x v="4"/>
    <s v="41"/>
    <s v="שכל&quot;מ מתושבים"/>
    <s v="410"/>
    <e v="#N/A"/>
  </r>
  <r>
    <n v="410"/>
    <n v="325007"/>
    <n v="1"/>
    <s v="1325007.410"/>
    <s v="סעיפים משתלמים - מוזיקה ומקהלות"/>
    <m/>
    <m/>
    <n v="-185000"/>
    <n v="-185000"/>
    <n v="-98225"/>
    <m/>
    <x v="2"/>
    <x v="2"/>
    <x v="9"/>
    <x v="9"/>
    <x v="28"/>
    <x v="27"/>
    <s v="3250"/>
    <e v="#N/A"/>
    <m/>
    <s v="4"/>
    <x v="4"/>
    <s v="41"/>
    <s v="שכל&quot;מ מתושבים"/>
    <s v="410"/>
    <e v="#N/A"/>
  </r>
  <r>
    <n v="410"/>
    <n v="328008"/>
    <n v="1"/>
    <s v="1328008.410"/>
    <s v="סעיפים משתלמים - המחלקה לנוער"/>
    <m/>
    <m/>
    <n v="-1199000"/>
    <n v="-253000"/>
    <n v="-24916"/>
    <m/>
    <x v="2"/>
    <x v="2"/>
    <x v="9"/>
    <x v="9"/>
    <x v="29"/>
    <x v="28"/>
    <s v="3280"/>
    <e v="#N/A"/>
    <m/>
    <s v="4"/>
    <x v="4"/>
    <s v="41"/>
    <s v="שכל&quot;מ מתושבים"/>
    <s v="410"/>
    <e v="#N/A"/>
  </r>
  <r>
    <n v="410"/>
    <n v="326009"/>
    <n v="1"/>
    <s v="1326009.410"/>
    <s v="סעיפים משתלמים - בית קהילה"/>
    <m/>
    <m/>
    <n v="-100000"/>
    <n v="-100000"/>
    <n v="-5900"/>
    <m/>
    <x v="2"/>
    <x v="2"/>
    <x v="9"/>
    <x v="9"/>
    <x v="27"/>
    <x v="26"/>
    <s v="3260"/>
    <e v="#N/A"/>
    <m/>
    <s v="4"/>
    <x v="4"/>
    <s v="41"/>
    <s v="שכל&quot;מ מתושבים"/>
    <s v="410"/>
    <e v="#N/A"/>
  </r>
  <r>
    <n v="410"/>
    <n v="329010"/>
    <n v="1"/>
    <s v="1329010.410"/>
    <s v="סעיפים משתלמים - תחרויות ספורט"/>
    <m/>
    <m/>
    <n v="-400000"/>
    <n v="-400000"/>
    <n v="-247688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9011"/>
    <n v="1"/>
    <s v="1329011.410"/>
    <s v="סעיפים משתלמים - סייף"/>
    <m/>
    <m/>
    <n v="0"/>
    <n v="0"/>
    <n v="-58221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4012"/>
    <n v="1"/>
    <s v="1324012.410"/>
    <s v="סעיפים משתלמים - בית ספר דינור"/>
    <m/>
    <m/>
    <n v="-220000"/>
    <n v="-220000"/>
    <n v="-107734"/>
    <m/>
    <x v="2"/>
    <x v="2"/>
    <x v="9"/>
    <x v="9"/>
    <x v="31"/>
    <x v="30"/>
    <s v="3240"/>
    <e v="#N/A"/>
    <m/>
    <s v="4"/>
    <x v="4"/>
    <s v="41"/>
    <s v="שכל&quot;מ מתושבים"/>
    <s v="410"/>
    <e v="#N/A"/>
  </r>
  <r>
    <n v="410"/>
    <n v="329013"/>
    <n v="1"/>
    <s v="1329013.410"/>
    <s v="סעיפים משתלמים - אתלטיקה קלה"/>
    <m/>
    <m/>
    <n v="0"/>
    <n v="0"/>
    <n v="-57710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4014"/>
    <n v="1"/>
    <s v="1324014.410"/>
    <s v="סעיפים משתלמים - חט&quot;ב - קרית חיים"/>
    <m/>
    <m/>
    <n v="-330000"/>
    <n v="-330000"/>
    <n v="-160592"/>
    <m/>
    <x v="2"/>
    <x v="2"/>
    <x v="9"/>
    <x v="9"/>
    <x v="31"/>
    <x v="30"/>
    <s v="3240"/>
    <e v="#N/A"/>
    <m/>
    <s v="4"/>
    <x v="4"/>
    <s v="41"/>
    <s v="שכל&quot;מ מתושבים"/>
    <s v="410"/>
    <e v="#N/A"/>
  </r>
  <r>
    <n v="410"/>
    <n v="324015"/>
    <n v="1"/>
    <s v="1324015.410"/>
    <s v="סעיפים משתלמים - משתלם אולם רמת אלון"/>
    <m/>
    <m/>
    <n v="-40000"/>
    <n v="-40000"/>
    <n v="-51243"/>
    <m/>
    <x v="2"/>
    <x v="2"/>
    <x v="9"/>
    <x v="9"/>
    <x v="31"/>
    <x v="30"/>
    <s v="3240"/>
    <e v="#N/A"/>
    <m/>
    <s v="4"/>
    <x v="4"/>
    <s v="41"/>
    <s v="שכל&quot;מ מתושבים"/>
    <s v="410"/>
    <e v="#N/A"/>
  </r>
  <r>
    <n v="410"/>
    <n v="329016"/>
    <n v="1"/>
    <s v="1329016.410"/>
    <s v="סעיפים משתלמים - אולם ספורט כבביר"/>
    <m/>
    <m/>
    <n v="0"/>
    <n v="0"/>
    <n v="-49920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9017"/>
    <n v="1"/>
    <s v="1329017.410"/>
    <s v="סעיפים משתלמים - שיזף אולם ספורט"/>
    <m/>
    <m/>
    <n v="-100000"/>
    <n v="-100000"/>
    <n v="-140763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9018"/>
    <n v="1"/>
    <s v="1329018.410"/>
    <s v="סעיפים משתלמים - אולם דגניה"/>
    <m/>
    <m/>
    <n v="-211800"/>
    <n v="-211800"/>
    <n v="-107919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9019"/>
    <n v="1"/>
    <s v="1329019.410"/>
    <s v="סעיפים משתלמים - אולם ספורט עירוני"/>
    <m/>
    <m/>
    <n v="-60000"/>
    <n v="-60000"/>
    <n v="-188030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9020"/>
    <n v="1"/>
    <s v="1329020.410"/>
    <s v="סעיפים משתלמים - פרחי ספורט"/>
    <m/>
    <m/>
    <n v="-100000"/>
    <n v="-100000"/>
    <n v="-71406"/>
    <m/>
    <x v="2"/>
    <x v="2"/>
    <x v="9"/>
    <x v="9"/>
    <x v="30"/>
    <x v="29"/>
    <s v="3290"/>
    <e v="#N/A"/>
    <m/>
    <s v="4"/>
    <x v="4"/>
    <s v="41"/>
    <s v="שכל&quot;מ מתושבים"/>
    <s v="410"/>
    <e v="#N/A"/>
  </r>
  <r>
    <n v="410"/>
    <n v="326102"/>
    <n v="1"/>
    <s v="1326102.410"/>
    <s v="סעיפים משתלמים - בית אבא חושי"/>
    <m/>
    <m/>
    <n v="-2537000"/>
    <n v="-2537000"/>
    <n v="-1656025"/>
    <m/>
    <x v="2"/>
    <x v="2"/>
    <x v="9"/>
    <x v="9"/>
    <x v="27"/>
    <x v="26"/>
    <s v="3261"/>
    <s v="תיאטרונים"/>
    <m/>
    <s v="4"/>
    <x v="4"/>
    <s v="41"/>
    <s v="שכל&quot;מ מתושבים"/>
    <s v="410"/>
    <e v="#N/A"/>
  </r>
  <r>
    <n v="410"/>
    <n v="322106"/>
    <n v="1"/>
    <s v="1322106.410"/>
    <s v="סעיפים משתלמים - מפגשים ברכס"/>
    <m/>
    <m/>
    <n v="-54000"/>
    <n v="-54000"/>
    <n v="-13800"/>
    <m/>
    <x v="2"/>
    <x v="2"/>
    <x v="9"/>
    <x v="9"/>
    <x v="26"/>
    <x v="25"/>
    <s v="3221"/>
    <e v="#N/A"/>
    <m/>
    <s v="4"/>
    <x v="4"/>
    <s v="41"/>
    <s v="שכל&quot;מ מתושבים"/>
    <s v="410"/>
    <e v="#N/A"/>
  </r>
  <r>
    <n v="410"/>
    <n v="322202"/>
    <n v="1"/>
    <s v="1322202.410"/>
    <s v="סעיפים משתלמים - פאני קפלן"/>
    <m/>
    <m/>
    <n v="-176000"/>
    <n v="-176000"/>
    <n v="-124644"/>
    <m/>
    <x v="2"/>
    <x v="2"/>
    <x v="9"/>
    <x v="9"/>
    <x v="26"/>
    <x v="25"/>
    <s v="3222"/>
    <e v="#N/A"/>
    <m/>
    <s v="4"/>
    <x v="4"/>
    <s v="41"/>
    <s v="שכל&quot;מ מתושבים"/>
    <s v="410"/>
    <e v="#N/A"/>
  </r>
  <r>
    <n v="410"/>
    <n v="326305"/>
    <n v="1"/>
    <s v="1326305.410"/>
    <s v="סעיפים משתלמים - בית יד לבנים"/>
    <m/>
    <m/>
    <n v="-112000"/>
    <n v="-112000"/>
    <n v="-53991"/>
    <m/>
    <x v="2"/>
    <x v="2"/>
    <x v="9"/>
    <x v="9"/>
    <x v="27"/>
    <x v="26"/>
    <s v="3263"/>
    <s v="גן חיות"/>
    <m/>
    <s v="4"/>
    <x v="4"/>
    <s v="41"/>
    <s v="שכל&quot;מ מתושבים"/>
    <s v="410"/>
    <e v="#N/A"/>
  </r>
  <r>
    <n v="410"/>
    <n v="326306"/>
    <n v="1"/>
    <s v="1326306.410"/>
    <s v="סעיפים משתלמים - בית מילר"/>
    <m/>
    <m/>
    <n v="-80000"/>
    <n v="-80000"/>
    <n v="-34050"/>
    <m/>
    <x v="2"/>
    <x v="2"/>
    <x v="9"/>
    <x v="9"/>
    <x v="27"/>
    <x v="26"/>
    <s v="3263"/>
    <s v="גן חיות"/>
    <m/>
    <s v="4"/>
    <x v="4"/>
    <s v="41"/>
    <s v="שכל&quot;מ מתושבים"/>
    <s v="410"/>
    <e v="#N/A"/>
  </r>
  <r>
    <n v="410"/>
    <n v="322402"/>
    <n v="1"/>
    <s v="1322402.410"/>
    <s v="סעיפים משתלמים - תרבות כללי"/>
    <m/>
    <m/>
    <n v="-220000"/>
    <n v="-220000"/>
    <n v="-215085"/>
    <m/>
    <x v="2"/>
    <x v="2"/>
    <x v="9"/>
    <x v="9"/>
    <x v="26"/>
    <x v="25"/>
    <s v="3224"/>
    <e v="#N/A"/>
    <m/>
    <s v="4"/>
    <x v="4"/>
    <s v="41"/>
    <s v="שכל&quot;מ מתושבים"/>
    <s v="410"/>
    <e v="#N/A"/>
  </r>
  <r>
    <n v="410"/>
    <n v="326502"/>
    <n v="1"/>
    <s v="1326502.410"/>
    <s v="סעיפים משתלמים - בית נגלר"/>
    <m/>
    <m/>
    <n v="-1687000"/>
    <n v="-1687000"/>
    <n v="-1360367"/>
    <m/>
    <x v="2"/>
    <x v="2"/>
    <x v="9"/>
    <x v="9"/>
    <x v="27"/>
    <x v="26"/>
    <s v="3265"/>
    <e v="#N/A"/>
    <m/>
    <s v="4"/>
    <x v="4"/>
    <s v="41"/>
    <s v="שכל&quot;מ מתושבים"/>
    <s v="410"/>
    <e v="#N/A"/>
  </r>
  <r>
    <n v="410"/>
    <n v="326506"/>
    <n v="1"/>
    <s v="1326506.410"/>
    <s v="סעיפים משתלמים - בית היינה"/>
    <m/>
    <m/>
    <n v="-300000"/>
    <n v="-300000"/>
    <n v="-211827"/>
    <m/>
    <x v="2"/>
    <x v="2"/>
    <x v="9"/>
    <x v="9"/>
    <x v="27"/>
    <x v="26"/>
    <s v="3265"/>
    <e v="#N/A"/>
    <m/>
    <s v="4"/>
    <x v="4"/>
    <s v="41"/>
    <s v="שכל&quot;מ מתושבים"/>
    <s v="410"/>
    <e v="#N/A"/>
  </r>
  <r>
    <n v="410"/>
    <n v="326509"/>
    <n v="1"/>
    <s v="1326509.410"/>
    <s v="סעיפים משתלמים - קרית שמואל"/>
    <m/>
    <m/>
    <n v="-270000"/>
    <n v="-270000"/>
    <n v="-265740"/>
    <m/>
    <x v="2"/>
    <x v="2"/>
    <x v="9"/>
    <x v="9"/>
    <x v="27"/>
    <x v="26"/>
    <s v="3265"/>
    <e v="#N/A"/>
    <m/>
    <s v="4"/>
    <x v="4"/>
    <s v="41"/>
    <s v="שכל&quot;מ מתושבים"/>
    <s v="410"/>
    <e v="#N/A"/>
  </r>
  <r>
    <n v="410"/>
    <n v="326510"/>
    <n v="1"/>
    <s v="1326510.410"/>
    <s v="סעיפים משתלמים - קרית שמואל חדש"/>
    <m/>
    <m/>
    <n v="-60000"/>
    <n v="-60000"/>
    <n v="0"/>
    <m/>
    <x v="2"/>
    <x v="2"/>
    <x v="9"/>
    <x v="9"/>
    <x v="27"/>
    <x v="26"/>
    <s v="3265"/>
    <e v="#N/A"/>
    <m/>
    <s v="4"/>
    <x v="4"/>
    <s v="41"/>
    <s v="שכל&quot;מ מתושבים"/>
    <s v="410"/>
    <e v="#N/A"/>
  </r>
  <r>
    <n v="410"/>
    <n v="326601"/>
    <n v="1"/>
    <s v="1326601.410"/>
    <s v="סעיפים משתלמים - מרכז בת גלים"/>
    <m/>
    <m/>
    <n v="-200000"/>
    <n v="-200000"/>
    <n v="-99488"/>
    <m/>
    <x v="2"/>
    <x v="2"/>
    <x v="9"/>
    <x v="9"/>
    <x v="27"/>
    <x v="26"/>
    <s v="3266"/>
    <e v="#N/A"/>
    <m/>
    <s v="4"/>
    <x v="4"/>
    <s v="41"/>
    <s v="שכל&quot;מ מתושבים"/>
    <s v="410"/>
    <e v="#N/A"/>
  </r>
  <r>
    <n v="410"/>
    <n v="322603"/>
    <n v="1"/>
    <s v="1322603.410"/>
    <s v="סעיפים משתלמים - בית ספר להורים"/>
    <m/>
    <m/>
    <n v="-5000"/>
    <n v="-5000"/>
    <n v="0"/>
    <m/>
    <x v="2"/>
    <x v="2"/>
    <x v="9"/>
    <x v="9"/>
    <x v="26"/>
    <x v="25"/>
    <s v="3226"/>
    <e v="#N/A"/>
    <m/>
    <s v="4"/>
    <x v="4"/>
    <s v="41"/>
    <s v="שכל&quot;מ מתושבים"/>
    <s v="410"/>
    <e v="#N/A"/>
  </r>
  <r>
    <n v="410"/>
    <n v="328607"/>
    <n v="1"/>
    <s v="1328607.410"/>
    <s v="סעיפים משתלמים - מועדוני נוער"/>
    <m/>
    <m/>
    <n v="-115000"/>
    <n v="-115000"/>
    <n v="-23286"/>
    <m/>
    <x v="2"/>
    <x v="2"/>
    <x v="9"/>
    <x v="9"/>
    <x v="29"/>
    <x v="28"/>
    <s v="3286"/>
    <e v="#N/A"/>
    <m/>
    <s v="4"/>
    <x v="4"/>
    <s v="41"/>
    <s v="שכל&quot;מ מתושבים"/>
    <s v="410"/>
    <e v="#N/A"/>
  </r>
  <r>
    <n v="921"/>
    <s v="328205"/>
    <n v="1"/>
    <s v="1328205.921"/>
    <s v="סעיפים משתלמים - מ. החינוך מועדונים"/>
    <m/>
    <m/>
    <n v="-939000"/>
    <n v="-939000"/>
    <n v="-901904"/>
    <m/>
    <x v="2"/>
    <x v="2"/>
    <x v="9"/>
    <x v="9"/>
    <x v="29"/>
    <x v="28"/>
    <s v="3282"/>
    <s v="מוקדי הפעלת נוער"/>
    <m/>
    <s v="9"/>
    <x v="2"/>
    <s v="92"/>
    <s v="השתתפות משרד החינוך והתרבות"/>
    <s v="921"/>
    <e v="#N/A"/>
  </r>
  <r>
    <n v="410"/>
    <s v="324400"/>
    <n v="1"/>
    <s v="1324400.410"/>
    <s v="סעיפים משתלמים - קייטנות דמי השתתפות"/>
    <m/>
    <m/>
    <n v="0"/>
    <n v="0"/>
    <n v="-1629"/>
    <m/>
    <x v="2"/>
    <x v="2"/>
    <x v="9"/>
    <x v="9"/>
    <x v="31"/>
    <x v="30"/>
    <s v="3244"/>
    <e v="#N/A"/>
    <m/>
    <s v="4"/>
    <x v="4"/>
    <s v="41"/>
    <s v="שכל&quot;מ מתושבים"/>
    <s v="410"/>
    <e v="#N/A"/>
  </r>
  <r>
    <n v="920"/>
    <s v="322400"/>
    <n v="1"/>
    <s v="1322400.920"/>
    <s v="סעיפים משתלמים - משרד הקליטה"/>
    <m/>
    <m/>
    <n v="0"/>
    <n v="0"/>
    <n v="0"/>
    <m/>
    <x v="2"/>
    <x v="2"/>
    <x v="9"/>
    <x v="9"/>
    <x v="26"/>
    <x v="25"/>
    <s v="3224"/>
    <e v="#N/A"/>
    <m/>
    <s v="9"/>
    <x v="2"/>
    <s v="92"/>
    <s v="השתתפות משרד החינוך והתרבות"/>
    <s v="920"/>
    <e v="#N/A"/>
  </r>
  <r>
    <n v="930"/>
    <n v="341331"/>
    <n v="1"/>
    <s v="1341331.930"/>
    <s v="שירותי  רווחה - כח אדם וארגוניות"/>
    <m/>
    <m/>
    <n v="-21140000"/>
    <n v="-21140000"/>
    <n v="-21103652"/>
    <m/>
    <x v="2"/>
    <x v="2"/>
    <x v="10"/>
    <x v="10"/>
    <x v="32"/>
    <x v="31"/>
    <s v="3413"/>
    <e v="#N/A"/>
    <m/>
    <s v="9"/>
    <x v="2"/>
    <s v="93"/>
    <s v="השתתפות משרד העבודה והרווחה"/>
    <s v="930"/>
    <e v="#N/A"/>
  </r>
  <r>
    <n v="930"/>
    <s v="342000"/>
    <n v="1"/>
    <s v="1342000.930"/>
    <s v="שירותי  רווחה - טיפול במשפחה - השת' ממשלה"/>
    <m/>
    <m/>
    <n v="-10000000"/>
    <n v="-10500000"/>
    <n v="-9165682"/>
    <m/>
    <x v="2"/>
    <x v="2"/>
    <x v="10"/>
    <x v="10"/>
    <x v="33"/>
    <x v="32"/>
    <s v="3420"/>
    <e v="#N/A"/>
    <m/>
    <s v="9"/>
    <x v="2"/>
    <s v="93"/>
    <s v="השתתפות משרד העבודה והרווחה"/>
    <s v="930"/>
    <e v="#N/A"/>
  </r>
  <r>
    <n v="410"/>
    <s v="342000"/>
    <n v="1"/>
    <s v="1342000.410"/>
    <s v="שירותי  רווחה - טיפול במשפחה - השת' קרובים"/>
    <m/>
    <m/>
    <n v="-26000"/>
    <n v="-26000"/>
    <n v="-24584"/>
    <m/>
    <x v="2"/>
    <x v="2"/>
    <x v="10"/>
    <x v="10"/>
    <x v="33"/>
    <x v="32"/>
    <s v="3420"/>
    <e v="#N/A"/>
    <m/>
    <s v="4"/>
    <x v="4"/>
    <s v="41"/>
    <s v="שכל&quot;מ מתושבים"/>
    <s v="410"/>
    <e v="#N/A"/>
  </r>
  <r>
    <n v="930"/>
    <s v="343000"/>
    <n v="1"/>
    <s v="1343000.930"/>
    <s v="שירותי  רווחה - טיפול בילד ובנוער - השת' ממשלה"/>
    <m/>
    <m/>
    <n v="-42667500"/>
    <n v="-42000000"/>
    <n v="-41627877"/>
    <m/>
    <x v="2"/>
    <x v="2"/>
    <x v="10"/>
    <x v="10"/>
    <x v="34"/>
    <x v="33"/>
    <s v="3430"/>
    <e v="#N/A"/>
    <m/>
    <s v="9"/>
    <x v="2"/>
    <s v="93"/>
    <s v="השתתפות משרד העבודה והרווחה"/>
    <s v="930"/>
    <e v="#N/A"/>
  </r>
  <r>
    <n v="410"/>
    <s v="343000"/>
    <n v="1"/>
    <s v="1343000.410"/>
    <s v="שירותי  רווחה - טיפול  בילד ובנוער - השת' קרובים"/>
    <m/>
    <m/>
    <n v="-300000"/>
    <n v="-300000"/>
    <n v="-154891"/>
    <m/>
    <x v="2"/>
    <x v="2"/>
    <x v="10"/>
    <x v="10"/>
    <x v="34"/>
    <x v="33"/>
    <s v="3430"/>
    <e v="#N/A"/>
    <m/>
    <s v="4"/>
    <x v="4"/>
    <s v="41"/>
    <s v="שכל&quot;מ מתושבים"/>
    <s v="410"/>
    <e v="#N/A"/>
  </r>
  <r>
    <n v="930"/>
    <s v="344000"/>
    <n v="1"/>
    <s v="1344000.930"/>
    <s v="שירותי  רווחה - טיפול בזקן - השת' ממשלה"/>
    <m/>
    <m/>
    <n v="-16000000"/>
    <n v="-17000000"/>
    <n v="-14975344"/>
    <m/>
    <x v="2"/>
    <x v="2"/>
    <x v="10"/>
    <x v="10"/>
    <x v="35"/>
    <x v="34"/>
    <s v="3440"/>
    <e v="#N/A"/>
    <m/>
    <s v="9"/>
    <x v="2"/>
    <s v="93"/>
    <s v="השתתפות משרד העבודה והרווחה"/>
    <s v="930"/>
    <e v="#N/A"/>
  </r>
  <r>
    <n v="410"/>
    <s v="344000"/>
    <n v="1"/>
    <s v="1344000.410"/>
    <s v="שירותי  רווחה - טיפול בזקן - השת' קרובים"/>
    <m/>
    <m/>
    <n v="-3000000"/>
    <n v="-3000000"/>
    <n v="-2708875"/>
    <m/>
    <x v="2"/>
    <x v="2"/>
    <x v="10"/>
    <x v="10"/>
    <x v="35"/>
    <x v="34"/>
    <s v="3440"/>
    <e v="#N/A"/>
    <m/>
    <s v="4"/>
    <x v="4"/>
    <s v="41"/>
    <s v="שכל&quot;מ מתושבים"/>
    <s v="410"/>
    <e v="#N/A"/>
  </r>
  <r>
    <n v="930"/>
    <s v="345000"/>
    <n v="1"/>
    <s v="1345000.930"/>
    <s v="שירותי  רווחה - טיפול במפגר - השת'  ממשלה"/>
    <m/>
    <m/>
    <n v="-69000000"/>
    <n v="-67950000"/>
    <n v="-66683553"/>
    <m/>
    <x v="2"/>
    <x v="2"/>
    <x v="10"/>
    <x v="10"/>
    <x v="36"/>
    <x v="35"/>
    <s v="3450"/>
    <e v="#N/A"/>
    <m/>
    <s v="9"/>
    <x v="2"/>
    <s v="93"/>
    <s v="השתתפות משרד העבודה והרווחה"/>
    <s v="930"/>
    <e v="#N/A"/>
  </r>
  <r>
    <n v="410"/>
    <s v="345000"/>
    <n v="1"/>
    <s v="1345000.410"/>
    <s v="שירותי  רווחה - טיפול במפגר - השת' קרובים"/>
    <m/>
    <m/>
    <n v="-700000"/>
    <n v="-700000"/>
    <n v="-424680"/>
    <m/>
    <x v="2"/>
    <x v="2"/>
    <x v="10"/>
    <x v="10"/>
    <x v="36"/>
    <x v="35"/>
    <s v="3450"/>
    <e v="#N/A"/>
    <m/>
    <s v="4"/>
    <x v="4"/>
    <s v="41"/>
    <s v="שכל&quot;מ מתושבים"/>
    <s v="410"/>
    <e v="#N/A"/>
  </r>
  <r>
    <n v="930"/>
    <s v="346200"/>
    <n v="1"/>
    <s v="1346200.930"/>
    <s v="שירותי  רווחה - שיקום עוורים - השת' ממשלה"/>
    <m/>
    <m/>
    <n v="-3000000"/>
    <n v="-3136000"/>
    <n v="-2080815"/>
    <m/>
    <x v="2"/>
    <x v="2"/>
    <x v="10"/>
    <x v="10"/>
    <x v="37"/>
    <x v="36"/>
    <s v="3462"/>
    <s v="שיקום העיוור - מעונות יום"/>
    <m/>
    <s v="9"/>
    <x v="2"/>
    <s v="93"/>
    <s v="השתתפות משרד העבודה והרווחה"/>
    <s v="930"/>
    <e v="#N/A"/>
  </r>
  <r>
    <n v="930"/>
    <s v="346400"/>
    <n v="1"/>
    <s v="1346400.930"/>
    <s v="שירותי  רווחה - שיקום נכים - השת' ממשלה"/>
    <m/>
    <m/>
    <n v="-23000000"/>
    <n v="-23250000"/>
    <n v="-22660513"/>
    <m/>
    <x v="2"/>
    <x v="2"/>
    <x v="10"/>
    <x v="10"/>
    <x v="37"/>
    <x v="36"/>
    <s v="3464"/>
    <s v="מפעלי תעסוקה לעיוורים"/>
    <m/>
    <s v="9"/>
    <x v="2"/>
    <s v="93"/>
    <s v="השתתפות משרד העבודה והרווחה"/>
    <s v="930"/>
    <e v="#N/A"/>
  </r>
  <r>
    <n v="410"/>
    <s v="346400"/>
    <n v="1"/>
    <s v="1346400.410"/>
    <s v="שירותי  רווחה - שיקום נכים - השתת' קרובים"/>
    <m/>
    <m/>
    <n v="-1800000"/>
    <n v="-1800000"/>
    <n v="0"/>
    <m/>
    <x v="2"/>
    <x v="2"/>
    <x v="10"/>
    <x v="10"/>
    <x v="37"/>
    <x v="36"/>
    <s v="3464"/>
    <s v="מפעלי תעסוקה לעיוורים"/>
    <m/>
    <s v="4"/>
    <x v="4"/>
    <s v="41"/>
    <s v="שכל&quot;מ מתושבים"/>
    <s v="410"/>
    <e v="#N/A"/>
  </r>
  <r>
    <n v="930"/>
    <s v="346500"/>
    <n v="1"/>
    <s v="1346500.930"/>
    <s v="שירותי  רווחה - מניעת עבריינות - השת' ממשלה"/>
    <m/>
    <m/>
    <n v="-4000000"/>
    <n v="-3984500"/>
    <n v="-3792127"/>
    <m/>
    <x v="2"/>
    <x v="2"/>
    <x v="10"/>
    <x v="10"/>
    <x v="37"/>
    <x v="36"/>
    <s v="3465"/>
    <s v="נכים - שיקום במוסדות"/>
    <m/>
    <s v="9"/>
    <x v="2"/>
    <s v="93"/>
    <s v="השתתפות משרד העבודה והרווחה"/>
    <s v="930"/>
    <e v="#N/A"/>
  </r>
  <r>
    <n v="930"/>
    <n v="346524"/>
    <n v="1"/>
    <s v="1346524.930"/>
    <s v="שירותי  רווחה - הרשות למלחמה בסמים"/>
    <m/>
    <m/>
    <n v="-810000"/>
    <n v="-810000"/>
    <n v="-896860"/>
    <m/>
    <x v="2"/>
    <x v="2"/>
    <x v="10"/>
    <x v="10"/>
    <x v="37"/>
    <x v="36"/>
    <s v="3465"/>
    <s v="נכים - שיקום במוסדות"/>
    <m/>
    <s v="9"/>
    <x v="2"/>
    <s v="93"/>
    <s v="השתתפות משרד העבודה והרווחה"/>
    <s v="930"/>
    <e v="#N/A"/>
  </r>
  <r>
    <n v="410"/>
    <s v="346500"/>
    <n v="1"/>
    <s v="1346500.410"/>
    <s v="שירותי  רווחה - מניעת עברינות - השתתפות נגמלים"/>
    <m/>
    <m/>
    <n v="0"/>
    <n v="0"/>
    <n v="-71025"/>
    <m/>
    <x v="2"/>
    <x v="2"/>
    <x v="10"/>
    <x v="10"/>
    <x v="37"/>
    <x v="36"/>
    <s v="3465"/>
    <s v="נכים - שיקום במוסדות"/>
    <m/>
    <s v="4"/>
    <x v="4"/>
    <s v="41"/>
    <s v="שכל&quot;מ מתושבים"/>
    <s v="410"/>
    <e v="#N/A"/>
  </r>
  <r>
    <n v="930"/>
    <s v="347000"/>
    <n v="1"/>
    <s v="1347000.930"/>
    <s v="שירותי  רווחה - עבודה קהילתית - השת' ממשלה"/>
    <m/>
    <m/>
    <n v="-1500000"/>
    <n v="-2542000"/>
    <n v="-688458"/>
    <m/>
    <x v="2"/>
    <x v="2"/>
    <x v="10"/>
    <x v="10"/>
    <x v="38"/>
    <x v="37"/>
    <s v="3470"/>
    <e v="#N/A"/>
    <m/>
    <s v="9"/>
    <x v="2"/>
    <s v="93"/>
    <s v="השתתפות משרד העבודה והרווחה"/>
    <s v="930"/>
    <e v="#N/A"/>
  </r>
  <r>
    <n v="930"/>
    <s v="347310"/>
    <n v="1"/>
    <s v="1347310.930"/>
    <s v="שירותי  רווחה - פרויקט הילה"/>
    <m/>
    <m/>
    <n v="-158000"/>
    <n v="-158000"/>
    <n v="-498170"/>
    <m/>
    <x v="2"/>
    <x v="2"/>
    <x v="10"/>
    <x v="10"/>
    <x v="38"/>
    <x v="37"/>
    <s v="3473"/>
    <s v="סמים"/>
    <m/>
    <s v="9"/>
    <x v="2"/>
    <s v="93"/>
    <s v="השתתפות משרד העבודה והרווחה"/>
    <s v="930"/>
    <e v="#N/A"/>
  </r>
  <r>
    <n v="930"/>
    <s v="347320"/>
    <n v="1"/>
    <s v="1347320.930"/>
    <s v="שירותי  רווחה - מאבק באלימות נגד קשישים"/>
    <m/>
    <m/>
    <n v="0"/>
    <n v="-300000"/>
    <n v="0"/>
    <m/>
    <x v="2"/>
    <x v="2"/>
    <x v="10"/>
    <x v="10"/>
    <x v="38"/>
    <x v="37"/>
    <s v="3473"/>
    <s v="סמים"/>
    <m/>
    <s v="9"/>
    <x v="2"/>
    <s v="93"/>
    <s v="השתתפות משרד העבודה והרווחה"/>
    <s v="930"/>
    <e v="#N/A"/>
  </r>
  <r>
    <n v="930"/>
    <s v="347410"/>
    <n v="1"/>
    <s v="1347410.930"/>
    <s v="שירותי  רווחה - מרכזתעסוקה לאוכלוסיה לא מסתגלת"/>
    <m/>
    <m/>
    <n v="-1000000"/>
    <n v="-1000000"/>
    <n v="-2006815"/>
    <m/>
    <x v="2"/>
    <x v="2"/>
    <x v="10"/>
    <x v="10"/>
    <x v="38"/>
    <x v="37"/>
    <s v="3474"/>
    <s v="מפתנים"/>
    <m/>
    <s v="9"/>
    <x v="2"/>
    <s v="93"/>
    <s v="השתתפות משרד העבודה והרווחה"/>
    <s v="930"/>
    <e v="#N/A"/>
  </r>
  <r>
    <n v="920"/>
    <s v="348200"/>
    <n v="1"/>
    <s v="1348200.920"/>
    <s v="שירותי  רווחה - פרוייקט קד&quot;ש השת' ממשלה"/>
    <m/>
    <m/>
    <n v="-775000"/>
    <n v="-175000"/>
    <n v="-211803"/>
    <m/>
    <x v="2"/>
    <x v="2"/>
    <x v="10"/>
    <x v="10"/>
    <x v="39"/>
    <x v="38"/>
    <s v="3482"/>
    <s v="מרכזים קהילתיים"/>
    <m/>
    <s v="9"/>
    <x v="2"/>
    <s v="92"/>
    <s v="השתתפות משרד החינוך והתרבות"/>
    <s v="920"/>
    <e v="#N/A"/>
  </r>
  <r>
    <n v="920"/>
    <s v="348300"/>
    <n v="1"/>
    <s v="1348300.920"/>
    <s v="שירותי  רווחה - עיר ללא אלימות"/>
    <m/>
    <m/>
    <n v="-1150000"/>
    <n v="-1150000"/>
    <n v="-1380166"/>
    <m/>
    <x v="2"/>
    <x v="2"/>
    <x v="10"/>
    <x v="10"/>
    <x v="39"/>
    <x v="38"/>
    <s v="3483"/>
    <s v="התנדבות"/>
    <m/>
    <s v="9"/>
    <x v="2"/>
    <s v="92"/>
    <s v="השתתפות משרד החינוך והתרבות"/>
    <s v="920"/>
    <e v="#N/A"/>
  </r>
  <r>
    <n v="920"/>
    <s v="348500"/>
    <n v="1"/>
    <s v="1348500.920"/>
    <s v="שירותי  רווחה - עיר בריאה"/>
    <m/>
    <m/>
    <n v="-270000"/>
    <n v="-270000"/>
    <n v="-375000"/>
    <m/>
    <x v="2"/>
    <x v="2"/>
    <x v="10"/>
    <x v="10"/>
    <x v="39"/>
    <x v="38"/>
    <s v="3485"/>
    <s v="שיקום שכונות"/>
    <m/>
    <s v="9"/>
    <x v="2"/>
    <s v="92"/>
    <s v="השתתפות משרד החינוך והתרבות"/>
    <s v="920"/>
    <e v="#N/A"/>
  </r>
  <r>
    <n v="210"/>
    <s v="410000"/>
    <n v="1"/>
    <s v="1410000.210"/>
    <s v="מים - אגרת מים"/>
    <m/>
    <m/>
    <n v="0"/>
    <n v="0"/>
    <n v="-668550"/>
    <m/>
    <x v="3"/>
    <x v="3"/>
    <x v="11"/>
    <x v="11"/>
    <x v="40"/>
    <x v="0"/>
    <s v="4100"/>
    <e v="#N/A"/>
    <m/>
    <s v="2"/>
    <x v="1"/>
    <s v="21"/>
    <s v="אגרות מים וביוב"/>
    <s v="210"/>
    <e v="#N/A"/>
  </r>
  <r>
    <n v="410"/>
    <s v="432000"/>
    <n v="1"/>
    <s v="1432000.410"/>
    <s v="נכסים - דמי שרותים ואחזקה"/>
    <m/>
    <m/>
    <n v="-10000"/>
    <n v="-10000"/>
    <n v="-10082"/>
    <m/>
    <x v="3"/>
    <x v="3"/>
    <x v="12"/>
    <x v="12"/>
    <x v="41"/>
    <x v="39"/>
    <s v="4320"/>
    <e v="#N/A"/>
    <m/>
    <s v="4"/>
    <x v="4"/>
    <s v="41"/>
    <s v="שכל&quot;מ מתושבים"/>
    <s v="410"/>
    <e v="#N/A"/>
  </r>
  <r>
    <n v="570"/>
    <s v="430000"/>
    <n v="1"/>
    <s v="1430000.570"/>
    <s v="נכסים - החזרת  דמי  ביטוח"/>
    <m/>
    <m/>
    <n v="-5000"/>
    <n v="-5000"/>
    <n v="-970050"/>
    <m/>
    <x v="3"/>
    <x v="3"/>
    <x v="12"/>
    <x v="12"/>
    <x v="42"/>
    <x v="0"/>
    <s v="4300"/>
    <e v="#N/A"/>
    <m/>
    <s v="5"/>
    <x v="7"/>
    <s v="57"/>
    <e v="#N/A"/>
    <s v="570"/>
    <e v="#N/A"/>
  </r>
  <r>
    <n v="610"/>
    <s v="430000"/>
    <n v="1"/>
    <s v="1430000.610"/>
    <s v="נכסים - דמי שכירות וחכירה"/>
    <m/>
    <m/>
    <n v="-2774000"/>
    <n v="-2774000"/>
    <n v="-94840"/>
    <m/>
    <x v="3"/>
    <x v="3"/>
    <x v="12"/>
    <x v="12"/>
    <x v="42"/>
    <x v="0"/>
    <s v="4300"/>
    <e v="#N/A"/>
    <m/>
    <s v="6"/>
    <x v="3"/>
    <s v="61"/>
    <s v="מכירת חומרים"/>
    <s v="610"/>
    <e v="#N/A"/>
  </r>
  <r>
    <n v="611"/>
    <s v="430000"/>
    <n v="1"/>
    <s v="1430000.611"/>
    <s v="נכסים - שכירות מנהל הנדסה"/>
    <m/>
    <m/>
    <n v="-4300000"/>
    <n v="-4300000"/>
    <n v="-5441211"/>
    <m/>
    <x v="3"/>
    <x v="3"/>
    <x v="12"/>
    <x v="12"/>
    <x v="42"/>
    <x v="0"/>
    <s v="4300"/>
    <e v="#N/A"/>
    <m/>
    <s v="6"/>
    <x v="3"/>
    <s v="61"/>
    <s v="מכירת חומרים"/>
    <s v="611"/>
    <e v="#N/A"/>
  </r>
  <r>
    <n v="690"/>
    <s v="430000"/>
    <n v="1"/>
    <s v="1430000.690"/>
    <s v="נכסים - דמי העברה"/>
    <m/>
    <m/>
    <n v="-400000"/>
    <n v="-400000"/>
    <n v="0"/>
    <m/>
    <x v="3"/>
    <x v="3"/>
    <x v="12"/>
    <x v="12"/>
    <x v="42"/>
    <x v="0"/>
    <s v="4300"/>
    <e v="#N/A"/>
    <m/>
    <s v="6"/>
    <x v="3"/>
    <s v="69"/>
    <s v="הכנסות שונות"/>
    <s v="690"/>
    <e v="#N/A"/>
  </r>
  <r>
    <n v="700"/>
    <s v="430000"/>
    <n v="1"/>
    <s v="1430000.700"/>
    <s v="נכסים - יפה נוף * - שכ&quot;ד"/>
    <m/>
    <m/>
    <n v="-1000000"/>
    <n v="-1000000"/>
    <n v="-1333644"/>
    <m/>
    <x v="3"/>
    <x v="3"/>
    <x v="12"/>
    <x v="12"/>
    <x v="42"/>
    <x v="0"/>
    <s v="4300"/>
    <e v="#N/A"/>
    <m/>
    <s v="7"/>
    <x v="6"/>
    <s v="70"/>
    <e v="#N/A"/>
    <s v="700"/>
    <e v="#N/A"/>
  </r>
  <r>
    <n v="690"/>
    <s v="435000"/>
    <n v="1"/>
    <s v="1435000.690"/>
    <s v="נכסים - מכירה והחכרת נכסים"/>
    <m/>
    <m/>
    <n v="-3511000"/>
    <n v="-3511000"/>
    <n v="-2568635"/>
    <m/>
    <x v="3"/>
    <x v="3"/>
    <x v="12"/>
    <x v="12"/>
    <x v="43"/>
    <x v="40"/>
    <s v="4350"/>
    <e v="#N/A"/>
    <m/>
    <s v="6"/>
    <x v="3"/>
    <s v="69"/>
    <s v="הכנסות שונות"/>
    <s v="690"/>
    <e v="#N/A"/>
  </r>
  <r>
    <n v="610"/>
    <s v="442000"/>
    <n v="1"/>
    <s v="1442000.610"/>
    <s v="כרמלית - כרמלית דמי זכיון"/>
    <m/>
    <m/>
    <n v="-107000"/>
    <n v="-107000"/>
    <n v="-32014"/>
    <m/>
    <x v="3"/>
    <x v="3"/>
    <x v="13"/>
    <x v="13"/>
    <x v="44"/>
    <x v="41"/>
    <s v="4420"/>
    <e v="#N/A"/>
    <m/>
    <s v="6"/>
    <x v="3"/>
    <s v="61"/>
    <s v="מכירת חומרים"/>
    <s v="610"/>
    <e v="#N/A"/>
  </r>
  <r>
    <n v="210"/>
    <s v="471200"/>
    <n v="1"/>
    <s v="1471200.210"/>
    <s v="מפעל הביוב - אגרת ביוב"/>
    <m/>
    <m/>
    <n v="0"/>
    <n v="0"/>
    <n v="-346000"/>
    <m/>
    <x v="3"/>
    <x v="3"/>
    <x v="14"/>
    <x v="14"/>
    <x v="45"/>
    <x v="42"/>
    <s v="4712"/>
    <e v="#N/A"/>
    <m/>
    <s v="2"/>
    <x v="1"/>
    <s v="21"/>
    <s v="אגרות מים וביוב"/>
    <s v="210"/>
    <e v="#N/A"/>
  </r>
  <r>
    <n v="940"/>
    <s v="333000"/>
    <n v="1"/>
    <s v="1333000.940"/>
    <s v="בית חולים בני ציון - הכנסות ממשלה - השתתפות בשכר"/>
    <m/>
    <m/>
    <n v="-436000000"/>
    <n v="-402000000"/>
    <n v="-413155707"/>
    <m/>
    <x v="2"/>
    <x v="2"/>
    <x v="15"/>
    <x v="15"/>
    <x v="46"/>
    <x v="43"/>
    <s v="3330"/>
    <e v="#N/A"/>
    <m/>
    <s v="9"/>
    <x v="2"/>
    <s v="94"/>
    <s v="השתתפות משרד הבריאות"/>
    <s v="940"/>
    <e v="#N/A"/>
  </r>
  <r>
    <n v="945"/>
    <s v="333000"/>
    <n v="1"/>
    <s v="1333000.945"/>
    <s v="בית חולים בני ציון - הכנסות ממשלה - השתתפות בהוצאות"/>
    <m/>
    <m/>
    <n v="-10000000"/>
    <n v="-7000000"/>
    <n v="-8458870"/>
    <m/>
    <x v="2"/>
    <x v="2"/>
    <x v="15"/>
    <x v="15"/>
    <x v="46"/>
    <x v="43"/>
    <s v="3330"/>
    <e v="#N/A"/>
    <m/>
    <s v="9"/>
    <x v="2"/>
    <s v="94"/>
    <s v="השתתפות משרד הבריאות"/>
    <s v="945"/>
    <e v="#N/A"/>
  </r>
  <r>
    <n v="600"/>
    <s v="510000"/>
    <n v="1"/>
    <s v="1510000.600"/>
    <s v="הכנסות שונות - הכנסות מריבית ודיבדנד"/>
    <m/>
    <m/>
    <n v="-1500000"/>
    <n v="-1500000"/>
    <n v="-2464478"/>
    <m/>
    <x v="4"/>
    <x v="4"/>
    <x v="16"/>
    <x v="16"/>
    <x v="47"/>
    <x v="0"/>
    <s v="5100"/>
    <e v="#N/A"/>
    <m/>
    <s v="6"/>
    <x v="3"/>
    <s v="60"/>
    <e v="#N/A"/>
    <s v="600"/>
    <e v="#N/A"/>
  </r>
  <r>
    <n v="603"/>
    <s v="510000"/>
    <n v="1"/>
    <s v="1510000.603"/>
    <s v="הכנסות שונות - "/>
    <m/>
    <m/>
    <n v="-600000"/>
    <n v="-600000"/>
    <n v="0"/>
    <m/>
    <x v="4"/>
    <x v="4"/>
    <x v="16"/>
    <x v="16"/>
    <x v="47"/>
    <x v="0"/>
    <s v="5100"/>
    <e v="#N/A"/>
    <m/>
    <s v="6"/>
    <x v="3"/>
    <s v="60"/>
    <e v="#N/A"/>
    <s v="603"/>
    <e v="#N/A"/>
  </r>
  <r>
    <n v="611"/>
    <s v="510000"/>
    <n v="1"/>
    <s v="1510000.611"/>
    <s v="הכנסות שונות - מיחזור חסך"/>
    <m/>
    <m/>
    <n v="0"/>
    <n v="0"/>
    <n v="-42400000"/>
    <m/>
    <x v="4"/>
    <x v="4"/>
    <x v="16"/>
    <x v="16"/>
    <x v="47"/>
    <x v="0"/>
    <s v="5100"/>
    <e v="#N/A"/>
    <m/>
    <s v="6"/>
    <x v="3"/>
    <s v="61"/>
    <s v="מכירת חומרים"/>
    <s v="611"/>
    <e v="#N/A"/>
  </r>
  <r>
    <n v="614"/>
    <s v="510000"/>
    <n v="1"/>
    <s v="1510000.614"/>
    <s v="הכנסות שונות - הכנסות מי כרמל"/>
    <m/>
    <m/>
    <n v="-12000000"/>
    <n v="-12000000"/>
    <n v="-13245767"/>
    <m/>
    <x v="4"/>
    <x v="4"/>
    <x v="16"/>
    <x v="16"/>
    <x v="47"/>
    <x v="0"/>
    <s v="5100"/>
    <e v="#N/A"/>
    <m/>
    <s v="6"/>
    <x v="3"/>
    <s v="61"/>
    <s v="מכירת חומרים"/>
    <s v="614"/>
    <e v="#N/A"/>
  </r>
  <r>
    <n v="601"/>
    <s v="520000"/>
    <n v="1"/>
    <s v="1520000.601"/>
    <s v="הכנסות שונות - הכנסות שנים קודמות"/>
    <m/>
    <m/>
    <n v="-100000"/>
    <n v="-100000"/>
    <n v="-71582"/>
    <m/>
    <x v="4"/>
    <x v="4"/>
    <x v="17"/>
    <x v="17"/>
    <x v="48"/>
    <x v="0"/>
    <s v="5200"/>
    <e v="#N/A"/>
    <m/>
    <s v="6"/>
    <x v="3"/>
    <s v="60"/>
    <e v="#N/A"/>
    <s v="601"/>
    <e v="#N/A"/>
  </r>
  <r>
    <n v="604"/>
    <s v="520000"/>
    <n v="1"/>
    <s v="1520000.604"/>
    <s v="הכנסות שונות - דיבידנד אוצר השלטון"/>
    <m/>
    <m/>
    <n v="0"/>
    <n v="0"/>
    <n v="0"/>
    <m/>
    <x v="4"/>
    <x v="4"/>
    <x v="17"/>
    <x v="17"/>
    <x v="48"/>
    <x v="0"/>
    <s v="5200"/>
    <e v="#N/A"/>
    <m/>
    <s v="6"/>
    <x v="3"/>
    <s v="60"/>
    <e v="#N/A"/>
    <s v="604"/>
    <e v="#N/A"/>
  </r>
  <r>
    <n v="601"/>
    <s v="540000"/>
    <n v="1"/>
    <s v="1540000.601"/>
    <s v="הכנסות שונות - הכנסות ב.נ.מ"/>
    <m/>
    <m/>
    <n v="-2000000"/>
    <n v="-1800000"/>
    <n v="-3782083"/>
    <m/>
    <x v="4"/>
    <x v="4"/>
    <x v="18"/>
    <x v="17"/>
    <x v="49"/>
    <x v="0"/>
    <s v="5400"/>
    <e v="#N/A"/>
    <m/>
    <s v="6"/>
    <x v="3"/>
    <s v="60"/>
    <e v="#N/A"/>
    <s v="601"/>
    <e v="#N/A"/>
  </r>
  <r>
    <n v="602"/>
    <s v="540000"/>
    <n v="1"/>
    <s v="1540000.602"/>
    <s v="הכנסות שונות - מכירת גרוטאות"/>
    <m/>
    <m/>
    <n v="-300000"/>
    <n v="-400000"/>
    <n v="-250458"/>
    <m/>
    <x v="4"/>
    <x v="4"/>
    <x v="18"/>
    <x v="17"/>
    <x v="49"/>
    <x v="0"/>
    <s v="5400"/>
    <e v="#N/A"/>
    <m/>
    <s v="6"/>
    <x v="3"/>
    <s v="60"/>
    <e v="#N/A"/>
    <s v="602"/>
    <e v="#N/A"/>
  </r>
  <r>
    <n v="603"/>
    <s v="547000"/>
    <n v="1"/>
    <s v="1547000.603"/>
    <s v="הכנסות שונות - הכנסות שונות"/>
    <m/>
    <m/>
    <n v="-100000"/>
    <n v="-200000"/>
    <n v="-91882"/>
    <m/>
    <x v="4"/>
    <x v="4"/>
    <x v="18"/>
    <x v="17"/>
    <x v="50"/>
    <x v="0"/>
    <s v="5470"/>
    <e v="#N/A"/>
    <m/>
    <s v="6"/>
    <x v="3"/>
    <s v="60"/>
    <e v="#N/A"/>
    <s v="603"/>
    <e v="#N/A"/>
  </r>
  <r>
    <n v="100"/>
    <n v="821000"/>
    <n v="1"/>
    <s v="1821000.100"/>
    <s v="הנהלת תחום תרבות - שכר לעובדים קבועים"/>
    <m/>
    <m/>
    <n v="3256900"/>
    <n v="3227000"/>
    <n v="2874600"/>
    <m/>
    <x v="5"/>
    <x v="2"/>
    <x v="19"/>
    <x v="9"/>
    <x v="51"/>
    <x v="24"/>
    <s v="8210"/>
    <e v="#N/A"/>
    <m/>
    <s v="1"/>
    <x v="8"/>
    <s v="10"/>
    <e v="#N/A"/>
    <s v="100"/>
    <e v="#N/A"/>
  </r>
  <r>
    <n v="120"/>
    <n v="821000"/>
    <n v="1"/>
    <s v="1821000.120"/>
    <s v="הנהלת תחום תרבות - שעות נוספות"/>
    <m/>
    <m/>
    <n v="132100"/>
    <n v="132100"/>
    <n v="121700"/>
    <m/>
    <x v="5"/>
    <x v="2"/>
    <x v="19"/>
    <x v="9"/>
    <x v="51"/>
    <x v="24"/>
    <s v="8210"/>
    <e v="#N/A"/>
    <m/>
    <s v="1"/>
    <x v="8"/>
    <s v="12"/>
    <s v="תוספות שאינן נכללות בשכר הקובע"/>
    <s v="120"/>
    <e v="#N/A"/>
  </r>
  <r>
    <n v="700"/>
    <n v="821000"/>
    <n v="1"/>
    <s v="1821000.700"/>
    <s v="הנהלת תחום תרבות - הוצאות לפעולות"/>
    <m/>
    <m/>
    <n v="38900"/>
    <n v="40000"/>
    <n v="43300"/>
    <m/>
    <x v="5"/>
    <x v="2"/>
    <x v="19"/>
    <x v="9"/>
    <x v="51"/>
    <x v="24"/>
    <s v="8210"/>
    <e v="#N/A"/>
    <m/>
    <s v="7"/>
    <x v="9"/>
    <s v="70"/>
    <e v="#N/A"/>
    <s v="700"/>
    <e v="#N/A"/>
  </r>
  <r>
    <n v="100"/>
    <n v="821110"/>
    <n v="1"/>
    <s v="1821110.100"/>
    <s v="המחלקה לארועים ואומנויות - שכר לעובדים קבועים"/>
    <m/>
    <m/>
    <n v="769800"/>
    <n v="612800"/>
    <n v="575900"/>
    <m/>
    <x v="5"/>
    <x v="2"/>
    <x v="19"/>
    <x v="9"/>
    <x v="51"/>
    <x v="24"/>
    <s v="8211"/>
    <e v="#N/A"/>
    <m/>
    <s v="1"/>
    <x v="8"/>
    <s v="10"/>
    <e v="#N/A"/>
    <s v="100"/>
    <e v="#N/A"/>
  </r>
  <r>
    <n v="200"/>
    <n v="821110"/>
    <n v="1"/>
    <s v="1821110.200"/>
    <s v="המחלקה לארועים ואומנויות - שכר לעובדים ארעיים"/>
    <m/>
    <m/>
    <n v="601000"/>
    <n v="594000"/>
    <n v="552700"/>
    <m/>
    <x v="5"/>
    <x v="2"/>
    <x v="19"/>
    <x v="9"/>
    <x v="51"/>
    <x v="24"/>
    <s v="8211"/>
    <e v="#N/A"/>
    <m/>
    <s v="2"/>
    <x v="10"/>
    <s v="20"/>
    <e v="#N/A"/>
    <s v="200"/>
    <e v="#N/A"/>
  </r>
  <r>
    <n v="120"/>
    <n v="821110"/>
    <n v="1"/>
    <s v="1821110.120"/>
    <s v="המחלקה לארועים ואומנויות - שעות נוספות"/>
    <m/>
    <m/>
    <n v="37200"/>
    <n v="37200"/>
    <n v="68300"/>
    <m/>
    <x v="5"/>
    <x v="2"/>
    <x v="19"/>
    <x v="9"/>
    <x v="51"/>
    <x v="24"/>
    <s v="8211"/>
    <e v="#N/A"/>
    <m/>
    <s v="1"/>
    <x v="8"/>
    <s v="12"/>
    <s v="תוספות שאינן נכללות בשכר הקובע"/>
    <s v="120"/>
    <e v="#N/A"/>
  </r>
  <r>
    <n v="400"/>
    <n v="821110"/>
    <n v="1"/>
    <s v="1821110.400"/>
    <s v="המחלקה לארועים ואומנויות - אחזקה אספקה וציוד"/>
    <m/>
    <m/>
    <n v="5000"/>
    <n v="5000"/>
    <n v="5400"/>
    <m/>
    <x v="5"/>
    <x v="2"/>
    <x v="19"/>
    <x v="9"/>
    <x v="51"/>
    <x v="24"/>
    <s v="8211"/>
    <e v="#N/A"/>
    <m/>
    <s v="4"/>
    <x v="11"/>
    <s v="40"/>
    <e v="#N/A"/>
    <s v="400"/>
    <e v="#N/A"/>
  </r>
  <r>
    <n v="500"/>
    <n v="821110"/>
    <n v="1"/>
    <s v="1821110.500"/>
    <s v="המחלקה לארועים ואומנויות - תחבורה ודואר"/>
    <m/>
    <m/>
    <n v="141700"/>
    <n v="155000"/>
    <n v="139500"/>
    <m/>
    <x v="5"/>
    <x v="2"/>
    <x v="19"/>
    <x v="9"/>
    <x v="51"/>
    <x v="24"/>
    <s v="8211"/>
    <e v="#N/A"/>
    <m/>
    <s v="5"/>
    <x v="12"/>
    <s v="50"/>
    <e v="#N/A"/>
    <s v="500"/>
    <e v="#N/A"/>
  </r>
  <r>
    <n v="500"/>
    <n v="821110"/>
    <n v="1"/>
    <s v="1821110.500"/>
    <s v="המחלקה לארועים ואומנויות - הוצאות כלליות"/>
    <m/>
    <m/>
    <n v="1600"/>
    <n v="2100"/>
    <n v="300"/>
    <m/>
    <x v="5"/>
    <x v="2"/>
    <x v="19"/>
    <x v="9"/>
    <x v="51"/>
    <x v="24"/>
    <s v="8211"/>
    <e v="#N/A"/>
    <m/>
    <s v="5"/>
    <x v="12"/>
    <s v="50"/>
    <e v="#N/A"/>
    <s v="500"/>
    <e v="#N/A"/>
  </r>
  <r>
    <n v="700"/>
    <n v="821110"/>
    <n v="1"/>
    <s v="1821110.700"/>
    <s v="תחום תרבות המחלקה לארועים ואומנויות - הוצאות לפעולות"/>
    <m/>
    <m/>
    <n v="659500"/>
    <n v="669500"/>
    <n v="871200"/>
    <m/>
    <x v="5"/>
    <x v="2"/>
    <x v="19"/>
    <x v="9"/>
    <x v="51"/>
    <x v="24"/>
    <s v="8211"/>
    <e v="#N/A"/>
    <m/>
    <s v="7"/>
    <x v="9"/>
    <s v="70"/>
    <e v="#N/A"/>
    <s v="700"/>
    <e v="#N/A"/>
  </r>
  <r>
    <n v="100"/>
    <n v="822220"/>
    <n v="1"/>
    <s v="1822220.100"/>
    <s v="תרבות תורנית - שכר לעובדים קבועים"/>
    <m/>
    <m/>
    <n v="272000"/>
    <n v="269000"/>
    <n v="352200"/>
    <m/>
    <x v="5"/>
    <x v="2"/>
    <x v="19"/>
    <x v="9"/>
    <x v="52"/>
    <x v="25"/>
    <s v="8222"/>
    <e v="#N/A"/>
    <m/>
    <s v="1"/>
    <x v="8"/>
    <s v="10"/>
    <e v="#N/A"/>
    <s v="100"/>
    <e v="#N/A"/>
  </r>
  <r>
    <n v="200"/>
    <n v="822220"/>
    <n v="1"/>
    <s v="1822220.200"/>
    <s v="תרבות תורנית - שכר לעובדים ארעיים"/>
    <m/>
    <m/>
    <n v="99000"/>
    <n v="98000"/>
    <n v="131300"/>
    <m/>
    <x v="5"/>
    <x v="2"/>
    <x v="19"/>
    <x v="9"/>
    <x v="52"/>
    <x v="25"/>
    <s v="8222"/>
    <e v="#N/A"/>
    <m/>
    <s v="2"/>
    <x v="10"/>
    <s v="20"/>
    <e v="#N/A"/>
    <s v="200"/>
    <e v="#N/A"/>
  </r>
  <r>
    <n v="120"/>
    <n v="822220"/>
    <n v="1"/>
    <s v="1822220.120"/>
    <s v="תרבות תורנית - שעות נוספות"/>
    <m/>
    <m/>
    <n v="0"/>
    <n v="0"/>
    <n v="15600"/>
    <m/>
    <x v="5"/>
    <x v="2"/>
    <x v="19"/>
    <x v="9"/>
    <x v="52"/>
    <x v="25"/>
    <s v="8222"/>
    <e v="#N/A"/>
    <m/>
    <s v="1"/>
    <x v="8"/>
    <s v="12"/>
    <s v="תוספות שאינן נכללות בשכר הקובע"/>
    <s v="120"/>
    <e v="#N/A"/>
  </r>
  <r>
    <n v="400"/>
    <n v="822220"/>
    <n v="1"/>
    <s v="1822220.400"/>
    <s v="תרבות תורנית - אחזקה אספקה וציוד"/>
    <m/>
    <m/>
    <n v="7500"/>
    <n v="7500"/>
    <n v="9000"/>
    <m/>
    <x v="5"/>
    <x v="2"/>
    <x v="19"/>
    <x v="9"/>
    <x v="52"/>
    <x v="25"/>
    <s v="8222"/>
    <e v="#N/A"/>
    <m/>
    <s v="4"/>
    <x v="11"/>
    <s v="40"/>
    <e v="#N/A"/>
    <s v="400"/>
    <e v="#N/A"/>
  </r>
  <r>
    <n v="500"/>
    <n v="822220"/>
    <n v="1"/>
    <s v="1822220.500"/>
    <s v="תרבות תורנית - תחבורה ודואר"/>
    <m/>
    <m/>
    <n v="8000"/>
    <n v="8000"/>
    <n v="7500"/>
    <m/>
    <x v="5"/>
    <x v="2"/>
    <x v="19"/>
    <x v="9"/>
    <x v="52"/>
    <x v="25"/>
    <s v="8222"/>
    <e v="#N/A"/>
    <m/>
    <s v="5"/>
    <x v="12"/>
    <s v="50"/>
    <e v="#N/A"/>
    <s v="500"/>
    <e v="#N/A"/>
  </r>
  <r>
    <n v="500"/>
    <n v="822220"/>
    <n v="1"/>
    <s v="1822220.500"/>
    <s v="תרבות תורנית - הוצאות כלליות"/>
    <m/>
    <m/>
    <n v="1451600"/>
    <n v="1525000"/>
    <n v="1239800"/>
    <m/>
    <x v="5"/>
    <x v="2"/>
    <x v="19"/>
    <x v="9"/>
    <x v="52"/>
    <x v="25"/>
    <s v="8222"/>
    <e v="#N/A"/>
    <m/>
    <s v="5"/>
    <x v="12"/>
    <s v="50"/>
    <e v="#N/A"/>
    <s v="500"/>
    <e v="#N/A"/>
  </r>
  <r>
    <n v="700"/>
    <n v="822220"/>
    <n v="1"/>
    <s v="1822220.700"/>
    <s v="תרבות תורנית - הוצאות לפעולות"/>
    <m/>
    <m/>
    <n v="9500"/>
    <n v="9500"/>
    <n v="6400"/>
    <m/>
    <x v="5"/>
    <x v="2"/>
    <x v="19"/>
    <x v="9"/>
    <x v="52"/>
    <x v="25"/>
    <s v="8222"/>
    <e v="#N/A"/>
    <m/>
    <s v="7"/>
    <x v="9"/>
    <s v="70"/>
    <e v="#N/A"/>
    <s v="700"/>
    <e v="#N/A"/>
  </r>
  <r>
    <n v="700"/>
    <n v="822247"/>
    <n v="1"/>
    <s v="1822247.700"/>
    <s v="פרסום - הוצאות לפעולות"/>
    <m/>
    <m/>
    <n v="38900"/>
    <n v="40000"/>
    <n v="58700"/>
    <m/>
    <x v="5"/>
    <x v="2"/>
    <x v="19"/>
    <x v="9"/>
    <x v="52"/>
    <x v="25"/>
    <s v="8222"/>
    <e v="#N/A"/>
    <m/>
    <s v="7"/>
    <x v="9"/>
    <s v="70"/>
    <e v="#N/A"/>
    <s v="700"/>
    <e v="#N/A"/>
  </r>
  <r>
    <n v="400"/>
    <n v="825320"/>
    <n v="1"/>
    <s v="1825320.400"/>
    <s v="מוזאון מאנה כץ - אחזקה אספקה וציוד"/>
    <m/>
    <m/>
    <n v="0"/>
    <n v="0"/>
    <n v="32300"/>
    <m/>
    <x v="5"/>
    <x v="2"/>
    <x v="19"/>
    <x v="9"/>
    <x v="53"/>
    <x v="27"/>
    <s v="8253"/>
    <e v="#N/A"/>
    <m/>
    <s v="4"/>
    <x v="11"/>
    <s v="40"/>
    <e v="#N/A"/>
    <s v="400"/>
    <e v="#N/A"/>
  </r>
  <r>
    <n v="500"/>
    <n v="822169"/>
    <n v="1"/>
    <s v="1822169.500"/>
    <s v="פעולות תרבות כלליות ארועים - חד פעמי - אתו&quot;ס"/>
    <m/>
    <m/>
    <n v="0"/>
    <n v="250000"/>
    <n v="0"/>
    <m/>
    <x v="5"/>
    <x v="2"/>
    <x v="19"/>
    <x v="9"/>
    <x v="52"/>
    <x v="25"/>
    <s v="8221"/>
    <e v="#N/A"/>
    <m/>
    <s v="5"/>
    <x v="12"/>
    <s v="50"/>
    <e v="#N/A"/>
    <s v="500"/>
    <e v="#N/A"/>
  </r>
  <r>
    <n v="700"/>
    <n v="822169"/>
    <n v="1"/>
    <s v="1822169.700"/>
    <s v="פעולות תרבות כלליות ארועים - הוצאות לפעולות"/>
    <m/>
    <m/>
    <n v="12591300"/>
    <n v="13655600"/>
    <n v="12233300"/>
    <m/>
    <x v="5"/>
    <x v="2"/>
    <x v="19"/>
    <x v="9"/>
    <x v="52"/>
    <x v="25"/>
    <s v="8221"/>
    <e v="#N/A"/>
    <m/>
    <s v="7"/>
    <x v="9"/>
    <s v="70"/>
    <e v="#N/A"/>
    <s v="700"/>
    <e v="#N/A"/>
  </r>
  <r>
    <n v="700"/>
    <n v="822159"/>
    <n v="1"/>
    <s v="1822159.700"/>
    <s v="ארועים במרכז הקונגרסים לפי חוזה - הוצאות לפעולות"/>
    <m/>
    <m/>
    <n v="1500000"/>
    <n v="1500000"/>
    <n v="1481100"/>
    <m/>
    <x v="5"/>
    <x v="2"/>
    <x v="19"/>
    <x v="9"/>
    <x v="52"/>
    <x v="25"/>
    <s v="8221"/>
    <e v="#N/A"/>
    <m/>
    <s v="7"/>
    <x v="9"/>
    <s v="70"/>
    <e v="#N/A"/>
    <s v="700"/>
    <e v="#N/A"/>
  </r>
  <r>
    <n v="100"/>
    <n v="822252"/>
    <n v="1"/>
    <s v="1822252.100"/>
    <s v="טלויזיה קהילתית - שכר לעובדים קבועים"/>
    <m/>
    <m/>
    <n v="214000"/>
    <n v="212000"/>
    <n v="151200"/>
    <m/>
    <x v="5"/>
    <x v="2"/>
    <x v="19"/>
    <x v="9"/>
    <x v="52"/>
    <x v="25"/>
    <s v="8222"/>
    <e v="#N/A"/>
    <m/>
    <s v="1"/>
    <x v="8"/>
    <s v="10"/>
    <e v="#N/A"/>
    <s v="100"/>
    <e v="#N/A"/>
  </r>
  <r>
    <n v="120"/>
    <n v="822252"/>
    <n v="1"/>
    <s v="1822252.120"/>
    <s v="טלויזיה קהילתית - שעות נוספות"/>
    <m/>
    <m/>
    <n v="0"/>
    <n v="0"/>
    <n v="4100"/>
    <m/>
    <x v="5"/>
    <x v="2"/>
    <x v="19"/>
    <x v="9"/>
    <x v="52"/>
    <x v="25"/>
    <s v="8222"/>
    <e v="#N/A"/>
    <m/>
    <s v="1"/>
    <x v="8"/>
    <s v="12"/>
    <s v="תוספות שאינן נכללות בשכר הקובע"/>
    <s v="120"/>
    <e v="#N/A"/>
  </r>
  <r>
    <n v="700"/>
    <n v="822200"/>
    <n v="1"/>
    <s v="1822200.700"/>
    <s v="מכינות קדם צבאיות - הוצאות לפעולות"/>
    <m/>
    <m/>
    <n v="402200"/>
    <n v="414000"/>
    <n v="0"/>
    <m/>
    <x v="5"/>
    <x v="2"/>
    <x v="19"/>
    <x v="9"/>
    <x v="52"/>
    <x v="25"/>
    <s v="8222"/>
    <e v="#N/A"/>
    <m/>
    <s v="7"/>
    <x v="9"/>
    <s v="70"/>
    <e v="#N/A"/>
    <s v="700"/>
    <e v="#N/A"/>
  </r>
  <r>
    <n v="100"/>
    <n v="823000"/>
    <n v="1"/>
    <s v="1823000.100"/>
    <s v="ספריות - שכר לעובדים קבועים"/>
    <m/>
    <m/>
    <n v="7116900"/>
    <n v="7038900"/>
    <n v="7485400"/>
    <m/>
    <x v="5"/>
    <x v="2"/>
    <x v="19"/>
    <x v="9"/>
    <x v="54"/>
    <x v="23"/>
    <s v="8230"/>
    <e v="#N/A"/>
    <m/>
    <s v="1"/>
    <x v="8"/>
    <s v="10"/>
    <e v="#N/A"/>
    <s v="100"/>
    <e v="#N/A"/>
  </r>
  <r>
    <n v="120"/>
    <n v="823000"/>
    <n v="1"/>
    <s v="1823000.120"/>
    <s v="ספריות - שעות נוספות"/>
    <m/>
    <m/>
    <n v="26100"/>
    <n v="26100"/>
    <n v="37700"/>
    <m/>
    <x v="5"/>
    <x v="2"/>
    <x v="19"/>
    <x v="9"/>
    <x v="54"/>
    <x v="23"/>
    <s v="8230"/>
    <e v="#N/A"/>
    <m/>
    <s v="1"/>
    <x v="8"/>
    <s v="12"/>
    <s v="תוספות שאינן נכללות בשכר הקובע"/>
    <s v="120"/>
    <e v="#N/A"/>
  </r>
  <r>
    <n v="400"/>
    <n v="823000"/>
    <n v="1"/>
    <s v="1823000.400"/>
    <s v="ספריות - אחזקה אספקה וציוד"/>
    <m/>
    <m/>
    <n v="300000"/>
    <n v="319700"/>
    <n v="354200"/>
    <m/>
    <x v="5"/>
    <x v="2"/>
    <x v="19"/>
    <x v="9"/>
    <x v="54"/>
    <x v="23"/>
    <s v="8230"/>
    <e v="#N/A"/>
    <m/>
    <s v="4"/>
    <x v="11"/>
    <s v="40"/>
    <e v="#N/A"/>
    <s v="400"/>
    <e v="#N/A"/>
  </r>
  <r>
    <n v="500"/>
    <n v="823000"/>
    <n v="1"/>
    <s v="1823000.500"/>
    <s v="ספריות - תחבורה ודואר"/>
    <m/>
    <m/>
    <n v="161000"/>
    <n v="162000"/>
    <n v="165700"/>
    <m/>
    <x v="5"/>
    <x v="2"/>
    <x v="19"/>
    <x v="9"/>
    <x v="54"/>
    <x v="23"/>
    <s v="8230"/>
    <e v="#N/A"/>
    <m/>
    <s v="5"/>
    <x v="12"/>
    <s v="50"/>
    <e v="#N/A"/>
    <s v="500"/>
    <e v="#N/A"/>
  </r>
  <r>
    <n v="500"/>
    <n v="823000"/>
    <n v="1"/>
    <s v="1823000.500"/>
    <s v="ספריות - הוצאות כלליות"/>
    <m/>
    <m/>
    <n v="63000"/>
    <n v="63000"/>
    <n v="56200"/>
    <m/>
    <x v="5"/>
    <x v="2"/>
    <x v="19"/>
    <x v="9"/>
    <x v="54"/>
    <x v="23"/>
    <s v="8230"/>
    <e v="#N/A"/>
    <m/>
    <s v="5"/>
    <x v="12"/>
    <s v="50"/>
    <e v="#N/A"/>
    <s v="500"/>
    <e v="#N/A"/>
  </r>
  <r>
    <n v="700"/>
    <n v="823000"/>
    <n v="1"/>
    <s v="1823000.700"/>
    <s v="ספריות - הוצאות לפעולות"/>
    <m/>
    <m/>
    <n v="963100"/>
    <n v="986100"/>
    <n v="2636900"/>
    <m/>
    <x v="5"/>
    <x v="2"/>
    <x v="19"/>
    <x v="9"/>
    <x v="54"/>
    <x v="23"/>
    <s v="8230"/>
    <e v="#N/A"/>
    <m/>
    <s v="7"/>
    <x v="9"/>
    <s v="70"/>
    <e v="#N/A"/>
    <s v="700"/>
    <e v="#N/A"/>
  </r>
  <r>
    <n v="700"/>
    <n v="829500"/>
    <n v="1"/>
    <s v="1829500.700"/>
    <s v="קייטנות - הוצאות לפעולות"/>
    <m/>
    <m/>
    <n v="388600"/>
    <n v="400000"/>
    <n v="0"/>
    <m/>
    <x v="5"/>
    <x v="2"/>
    <x v="19"/>
    <x v="9"/>
    <x v="55"/>
    <x v="29"/>
    <s v="8295"/>
    <e v="#N/A"/>
    <m/>
    <s v="7"/>
    <x v="9"/>
    <s v="70"/>
    <e v="#N/A"/>
    <s v="700"/>
    <e v="#N/A"/>
  </r>
  <r>
    <n v="200"/>
    <n v="821140"/>
    <n v="1"/>
    <s v="1821140.200"/>
    <s v="תוכנית אב לנוער - שכר לעובדים ארעיים"/>
    <m/>
    <m/>
    <n v="1236500"/>
    <n v="1350000"/>
    <n v="1282700"/>
    <m/>
    <x v="5"/>
    <x v="2"/>
    <x v="19"/>
    <x v="9"/>
    <x v="51"/>
    <x v="24"/>
    <s v="8211"/>
    <e v="#N/A"/>
    <m/>
    <s v="2"/>
    <x v="10"/>
    <s v="20"/>
    <e v="#N/A"/>
    <s v="200"/>
    <e v="#N/A"/>
  </r>
  <r>
    <n v="120"/>
    <n v="821140"/>
    <n v="1"/>
    <s v="1821140.120"/>
    <s v="תוכנית אב לנוער - שעות נוספות"/>
    <m/>
    <m/>
    <n v="63500"/>
    <n v="63500"/>
    <n v="54600"/>
    <m/>
    <x v="5"/>
    <x v="2"/>
    <x v="19"/>
    <x v="9"/>
    <x v="51"/>
    <x v="24"/>
    <s v="8211"/>
    <e v="#N/A"/>
    <m/>
    <s v="1"/>
    <x v="8"/>
    <s v="12"/>
    <s v="תוספות שאינן נכללות בשכר הקובע"/>
    <s v="120"/>
    <e v="#N/A"/>
  </r>
  <r>
    <n v="700"/>
    <n v="821140"/>
    <n v="1"/>
    <s v="1821140.700"/>
    <s v="תוכנית אב לנוער - הוצאות לפעולות"/>
    <m/>
    <m/>
    <n v="194300"/>
    <n v="200000"/>
    <n v="194000"/>
    <m/>
    <x v="5"/>
    <x v="2"/>
    <x v="19"/>
    <x v="9"/>
    <x v="51"/>
    <x v="24"/>
    <s v="8211"/>
    <e v="#N/A"/>
    <m/>
    <s v="7"/>
    <x v="9"/>
    <s v="70"/>
    <e v="#N/A"/>
    <s v="700"/>
    <e v="#N/A"/>
  </r>
  <r>
    <n v="100"/>
    <n v="821303"/>
    <n v="1"/>
    <s v="1821303.100"/>
    <s v="בית מילר - שכר לעובדים קבועים"/>
    <m/>
    <m/>
    <n v="569600"/>
    <n v="563600"/>
    <n v="514900"/>
    <m/>
    <x v="5"/>
    <x v="2"/>
    <x v="19"/>
    <x v="9"/>
    <x v="51"/>
    <x v="24"/>
    <s v="8213"/>
    <e v="#N/A"/>
    <m/>
    <s v="1"/>
    <x v="8"/>
    <s v="10"/>
    <e v="#N/A"/>
    <s v="100"/>
    <e v="#N/A"/>
  </r>
  <r>
    <n v="120"/>
    <n v="821303"/>
    <n v="1"/>
    <s v="1821303.120"/>
    <s v="בית מילר - שעות נוספות"/>
    <m/>
    <m/>
    <n v="7400"/>
    <n v="7400"/>
    <n v="600"/>
    <m/>
    <x v="5"/>
    <x v="2"/>
    <x v="19"/>
    <x v="9"/>
    <x v="51"/>
    <x v="24"/>
    <s v="8213"/>
    <e v="#N/A"/>
    <m/>
    <s v="1"/>
    <x v="8"/>
    <s v="12"/>
    <s v="תוספות שאינן נכללות בשכר הקובע"/>
    <s v="120"/>
    <e v="#N/A"/>
  </r>
  <r>
    <n v="400"/>
    <n v="821303"/>
    <n v="1"/>
    <s v="1821303.400"/>
    <s v="בית מילר - אחזקה אספקה וציוד"/>
    <m/>
    <m/>
    <n v="15500"/>
    <n v="15500"/>
    <n v="12800"/>
    <m/>
    <x v="5"/>
    <x v="2"/>
    <x v="19"/>
    <x v="9"/>
    <x v="51"/>
    <x v="24"/>
    <s v="8213"/>
    <e v="#N/A"/>
    <m/>
    <s v="4"/>
    <x v="11"/>
    <s v="40"/>
    <e v="#N/A"/>
    <s v="400"/>
    <e v="#N/A"/>
  </r>
  <r>
    <n v="500"/>
    <n v="821303"/>
    <n v="1"/>
    <s v="1821303.500"/>
    <s v="בית מילר - תחבורה ודואר"/>
    <m/>
    <m/>
    <n v="14100"/>
    <n v="15000"/>
    <n v="19300"/>
    <m/>
    <x v="5"/>
    <x v="2"/>
    <x v="19"/>
    <x v="9"/>
    <x v="51"/>
    <x v="24"/>
    <s v="8213"/>
    <e v="#N/A"/>
    <m/>
    <s v="5"/>
    <x v="12"/>
    <s v="50"/>
    <e v="#N/A"/>
    <s v="500"/>
    <e v="#N/A"/>
  </r>
  <r>
    <n v="700"/>
    <n v="821303"/>
    <n v="1"/>
    <s v="1821303.700"/>
    <s v="בית מילר - הוצאות לפעולות"/>
    <m/>
    <m/>
    <n v="600"/>
    <n v="600"/>
    <n v="100"/>
    <m/>
    <x v="5"/>
    <x v="2"/>
    <x v="19"/>
    <x v="9"/>
    <x v="51"/>
    <x v="24"/>
    <s v="8213"/>
    <e v="#N/A"/>
    <m/>
    <s v="7"/>
    <x v="9"/>
    <s v="70"/>
    <e v="#N/A"/>
    <s v="700"/>
    <e v="#N/A"/>
  </r>
  <r>
    <n v="100"/>
    <n v="821607"/>
    <n v="1"/>
    <s v="1821607.100"/>
    <s v="מועדוני נוער - שכר לעובדים קבועים"/>
    <m/>
    <m/>
    <n v="2155000"/>
    <n v="2130000"/>
    <n v="2594200"/>
    <m/>
    <x v="5"/>
    <x v="2"/>
    <x v="19"/>
    <x v="9"/>
    <x v="51"/>
    <x v="24"/>
    <s v="8216"/>
    <e v="#N/A"/>
    <m/>
    <s v="1"/>
    <x v="8"/>
    <s v="10"/>
    <e v="#N/A"/>
    <s v="100"/>
    <e v="#N/A"/>
  </r>
  <r>
    <n v="120"/>
    <n v="821607"/>
    <n v="1"/>
    <s v="1821607.120"/>
    <s v="מועדוני נוער - שעות נוספות"/>
    <m/>
    <m/>
    <n v="118000"/>
    <n v="118000"/>
    <n v="120700"/>
    <m/>
    <x v="5"/>
    <x v="2"/>
    <x v="19"/>
    <x v="9"/>
    <x v="51"/>
    <x v="24"/>
    <s v="8216"/>
    <e v="#N/A"/>
    <m/>
    <s v="1"/>
    <x v="8"/>
    <s v="12"/>
    <s v="תוספות שאינן נכללות בשכר הקובע"/>
    <s v="120"/>
    <e v="#N/A"/>
  </r>
  <r>
    <n v="400"/>
    <n v="821607"/>
    <n v="1"/>
    <s v="1821607.400"/>
    <s v="מועדוני נוער - אחזקה אספקה וציוד"/>
    <m/>
    <m/>
    <n v="50000"/>
    <n v="50000"/>
    <n v="107000"/>
    <m/>
    <x v="5"/>
    <x v="2"/>
    <x v="19"/>
    <x v="9"/>
    <x v="51"/>
    <x v="24"/>
    <s v="8216"/>
    <e v="#N/A"/>
    <m/>
    <s v="4"/>
    <x v="11"/>
    <s v="40"/>
    <e v="#N/A"/>
    <s v="400"/>
    <e v="#N/A"/>
  </r>
  <r>
    <n v="500"/>
    <n v="821607"/>
    <n v="1"/>
    <s v="1821607.500"/>
    <s v="מועדוני נוער - תחבורה ודואר"/>
    <m/>
    <m/>
    <n v="20200"/>
    <n v="25000"/>
    <n v="19300"/>
    <m/>
    <x v="5"/>
    <x v="2"/>
    <x v="19"/>
    <x v="9"/>
    <x v="51"/>
    <x v="24"/>
    <s v="8216"/>
    <e v="#N/A"/>
    <m/>
    <s v="5"/>
    <x v="12"/>
    <s v="50"/>
    <e v="#N/A"/>
    <s v="500"/>
    <e v="#N/A"/>
  </r>
  <r>
    <n v="500"/>
    <n v="821607"/>
    <n v="1"/>
    <s v="1821607.500"/>
    <s v="מועדוני נוער - הוצאות כלליות"/>
    <m/>
    <m/>
    <n v="9800"/>
    <n v="13800"/>
    <n v="17200"/>
    <m/>
    <x v="5"/>
    <x v="2"/>
    <x v="19"/>
    <x v="9"/>
    <x v="51"/>
    <x v="24"/>
    <s v="8216"/>
    <e v="#N/A"/>
    <m/>
    <s v="5"/>
    <x v="12"/>
    <s v="50"/>
    <e v="#N/A"/>
    <s v="500"/>
    <e v="#N/A"/>
  </r>
  <r>
    <n v="700"/>
    <n v="821607"/>
    <n v="1"/>
    <s v="1821607.700"/>
    <s v="מועדוני נוער - הוצאות לפעולות"/>
    <m/>
    <m/>
    <n v="559600"/>
    <n v="569600"/>
    <n v="572800"/>
    <m/>
    <x v="5"/>
    <x v="2"/>
    <x v="19"/>
    <x v="9"/>
    <x v="51"/>
    <x v="24"/>
    <s v="8216"/>
    <e v="#N/A"/>
    <m/>
    <s v="7"/>
    <x v="9"/>
    <s v="70"/>
    <e v="#N/A"/>
    <s v="700"/>
    <e v="#N/A"/>
  </r>
  <r>
    <n v="700"/>
    <n v="824300"/>
    <n v="1"/>
    <s v="1824300.700"/>
    <s v="מועדון קהילתי עבאס - הוצאות לפעולות"/>
    <m/>
    <m/>
    <n v="242900"/>
    <n v="250000"/>
    <n v="160900"/>
    <m/>
    <x v="5"/>
    <x v="2"/>
    <x v="19"/>
    <x v="9"/>
    <x v="56"/>
    <x v="30"/>
    <s v="8243"/>
    <e v="#N/A"/>
    <m/>
    <s v="7"/>
    <x v="9"/>
    <s v="70"/>
    <e v="#N/A"/>
    <s v="700"/>
    <e v="#N/A"/>
  </r>
  <r>
    <n v="200"/>
    <n v="827000"/>
    <n v="1"/>
    <s v="1827000.200"/>
    <s v="תחום תרבות משתלמים - שכר לעובדים ארעיים"/>
    <m/>
    <m/>
    <n v="983100"/>
    <n v="983100"/>
    <n v="1168800"/>
    <m/>
    <x v="5"/>
    <x v="2"/>
    <x v="19"/>
    <x v="9"/>
    <x v="57"/>
    <x v="22"/>
    <s v="8270"/>
    <e v="#N/A"/>
    <m/>
    <s v="2"/>
    <x v="10"/>
    <s v="20"/>
    <e v="#N/A"/>
    <s v="200"/>
    <e v="#N/A"/>
  </r>
  <r>
    <n v="120"/>
    <n v="827000"/>
    <n v="1"/>
    <s v="1827000.120"/>
    <s v="תחום תרבות משתלמים - שעות נוספות"/>
    <m/>
    <m/>
    <n v="71900"/>
    <n v="71900"/>
    <n v="81800"/>
    <m/>
    <x v="5"/>
    <x v="2"/>
    <x v="19"/>
    <x v="9"/>
    <x v="57"/>
    <x v="22"/>
    <s v="8270"/>
    <e v="#N/A"/>
    <m/>
    <s v="1"/>
    <x v="8"/>
    <s v="12"/>
    <s v="תוספות שאינן נכללות בשכר הקובע"/>
    <s v="120"/>
    <e v="#N/A"/>
  </r>
  <r>
    <n v="400"/>
    <n v="827000"/>
    <n v="1"/>
    <s v="1827000.400"/>
    <s v="משתלמים - אחזקה אספקה וציוד"/>
    <m/>
    <m/>
    <n v="140000"/>
    <n v="140000"/>
    <n v="96000"/>
    <m/>
    <x v="5"/>
    <x v="2"/>
    <x v="19"/>
    <x v="9"/>
    <x v="57"/>
    <x v="22"/>
    <s v="8270"/>
    <e v="#N/A"/>
    <m/>
    <s v="4"/>
    <x v="11"/>
    <s v="40"/>
    <e v="#N/A"/>
    <s v="400"/>
    <e v="#N/A"/>
  </r>
  <r>
    <n v="500"/>
    <n v="827000"/>
    <n v="1"/>
    <s v="1827000.500"/>
    <s v="משתלמים - הוצאות כלליות"/>
    <m/>
    <m/>
    <n v="281000"/>
    <n v="281000"/>
    <n v="264800"/>
    <m/>
    <x v="5"/>
    <x v="2"/>
    <x v="19"/>
    <x v="9"/>
    <x v="57"/>
    <x v="22"/>
    <s v="8270"/>
    <e v="#N/A"/>
    <m/>
    <s v="5"/>
    <x v="12"/>
    <s v="50"/>
    <e v="#N/A"/>
    <s v="500"/>
    <e v="#N/A"/>
  </r>
  <r>
    <n v="700"/>
    <n v="827000"/>
    <n v="1"/>
    <s v="1827000.700"/>
    <s v="תחום תרבות משתלמים - הוצאות לפעולות"/>
    <m/>
    <m/>
    <n v="5552000"/>
    <n v="5606000"/>
    <n v="3126800"/>
    <m/>
    <x v="5"/>
    <x v="2"/>
    <x v="19"/>
    <x v="9"/>
    <x v="57"/>
    <x v="22"/>
    <s v="8270"/>
    <e v="#N/A"/>
    <m/>
    <s v="7"/>
    <x v="9"/>
    <s v="70"/>
    <e v="#N/A"/>
    <s v="700"/>
    <e v="#N/A"/>
  </r>
  <r>
    <n v="100"/>
    <n v="821100"/>
    <n v="1"/>
    <s v="1821100.100"/>
    <s v="המחלקה למרכזים קהילתיים - שכר לעובדים קבועים"/>
    <m/>
    <m/>
    <n v="84300"/>
    <n v="82300"/>
    <n v="247900"/>
    <m/>
    <x v="5"/>
    <x v="2"/>
    <x v="19"/>
    <x v="9"/>
    <x v="51"/>
    <x v="24"/>
    <s v="8211"/>
    <e v="#N/A"/>
    <m/>
    <s v="1"/>
    <x v="8"/>
    <s v="10"/>
    <e v="#N/A"/>
    <s v="100"/>
    <e v="#N/A"/>
  </r>
  <r>
    <n v="120"/>
    <n v="821100"/>
    <n v="1"/>
    <s v="1821100.120"/>
    <s v="המחלקה למרכזים קהילתיים - שעות נוספות"/>
    <m/>
    <m/>
    <n v="119700"/>
    <n v="119700"/>
    <n v="114200"/>
    <m/>
    <x v="5"/>
    <x v="2"/>
    <x v="19"/>
    <x v="9"/>
    <x v="51"/>
    <x v="24"/>
    <s v="8211"/>
    <e v="#N/A"/>
    <m/>
    <s v="1"/>
    <x v="8"/>
    <s v="12"/>
    <s v="תוספות שאינן נכללות בשכר הקובע"/>
    <s v="120"/>
    <e v="#N/A"/>
  </r>
  <r>
    <n v="400"/>
    <n v="821100"/>
    <n v="1"/>
    <s v="1821100.400"/>
    <s v="המחלקה למרכזים קהילתיים - אחזקה אספקה וציוד"/>
    <m/>
    <m/>
    <n v="2000"/>
    <n v="2000"/>
    <n v="800"/>
    <m/>
    <x v="5"/>
    <x v="2"/>
    <x v="19"/>
    <x v="9"/>
    <x v="51"/>
    <x v="24"/>
    <s v="8211"/>
    <e v="#N/A"/>
    <m/>
    <s v="4"/>
    <x v="11"/>
    <s v="40"/>
    <e v="#N/A"/>
    <s v="400"/>
    <e v="#N/A"/>
  </r>
  <r>
    <n v="700"/>
    <n v="821100"/>
    <n v="1"/>
    <s v="1821100.700"/>
    <s v="המחלקה למרכזים קהילתיים - הוצאות לפעולות"/>
    <m/>
    <m/>
    <n v="61400"/>
    <n v="63300"/>
    <n v="92800"/>
    <m/>
    <x v="5"/>
    <x v="2"/>
    <x v="19"/>
    <x v="9"/>
    <x v="51"/>
    <x v="24"/>
    <s v="8211"/>
    <e v="#N/A"/>
    <m/>
    <s v="7"/>
    <x v="9"/>
    <s v="70"/>
    <e v="#N/A"/>
    <s v="700"/>
    <e v="#N/A"/>
  </r>
  <r>
    <n v="100"/>
    <n v="821604"/>
    <n v="1"/>
    <s v="1821604.100"/>
    <s v="מרכז בת גלים - שכר לעובדים קבועים"/>
    <m/>
    <m/>
    <n v="810600"/>
    <n v="801600"/>
    <n v="852700"/>
    <m/>
    <x v="5"/>
    <x v="2"/>
    <x v="19"/>
    <x v="9"/>
    <x v="51"/>
    <x v="24"/>
    <s v="8216"/>
    <e v="#N/A"/>
    <m/>
    <s v="1"/>
    <x v="8"/>
    <s v="10"/>
    <e v="#N/A"/>
    <s v="100"/>
    <e v="#N/A"/>
  </r>
  <r>
    <n v="120"/>
    <n v="821604"/>
    <n v="1"/>
    <s v="1821604.120"/>
    <s v="מרכז בת גלים - שעות נוספות"/>
    <m/>
    <m/>
    <n v="51400"/>
    <n v="51400"/>
    <n v="77400"/>
    <m/>
    <x v="5"/>
    <x v="2"/>
    <x v="19"/>
    <x v="9"/>
    <x v="51"/>
    <x v="24"/>
    <s v="8216"/>
    <e v="#N/A"/>
    <m/>
    <s v="1"/>
    <x v="8"/>
    <s v="12"/>
    <s v="תוספות שאינן נכללות בשכר הקובע"/>
    <s v="120"/>
    <e v="#N/A"/>
  </r>
  <r>
    <n v="400"/>
    <n v="821604"/>
    <n v="1"/>
    <s v="1821604.400"/>
    <s v="מרכז בת גלים - אחזקה אספקה וציוד"/>
    <m/>
    <m/>
    <n v="38000"/>
    <n v="39900"/>
    <n v="53800"/>
    <m/>
    <x v="5"/>
    <x v="2"/>
    <x v="19"/>
    <x v="9"/>
    <x v="51"/>
    <x v="24"/>
    <s v="8216"/>
    <e v="#N/A"/>
    <m/>
    <s v="4"/>
    <x v="11"/>
    <s v="40"/>
    <e v="#N/A"/>
    <s v="400"/>
    <e v="#N/A"/>
  </r>
  <r>
    <n v="500"/>
    <n v="821604"/>
    <n v="1"/>
    <s v="1821604.500"/>
    <s v="מרכז בת גלים - תחבורה ודואר"/>
    <m/>
    <m/>
    <n v="11300"/>
    <n v="11300"/>
    <n v="13600"/>
    <m/>
    <x v="5"/>
    <x v="2"/>
    <x v="19"/>
    <x v="9"/>
    <x v="51"/>
    <x v="24"/>
    <s v="8216"/>
    <e v="#N/A"/>
    <m/>
    <s v="5"/>
    <x v="12"/>
    <s v="50"/>
    <e v="#N/A"/>
    <s v="500"/>
    <e v="#N/A"/>
  </r>
  <r>
    <n v="700"/>
    <n v="821604"/>
    <n v="1"/>
    <s v="1821604.700"/>
    <s v="מרכז בת גלים - הוצאות לפעולות"/>
    <m/>
    <m/>
    <n v="47800"/>
    <n v="48800"/>
    <n v="27400"/>
    <m/>
    <x v="5"/>
    <x v="2"/>
    <x v="19"/>
    <x v="9"/>
    <x v="51"/>
    <x v="24"/>
    <s v="8216"/>
    <e v="#N/A"/>
    <m/>
    <s v="7"/>
    <x v="9"/>
    <s v="70"/>
    <e v="#N/A"/>
    <s v="700"/>
    <e v="#N/A"/>
  </r>
  <r>
    <n v="100"/>
    <n v="824370"/>
    <n v="1"/>
    <s v="1824370.100"/>
    <s v="בית פאני קפלן - שכר לעובדים קבועים"/>
    <m/>
    <m/>
    <n v="748200"/>
    <n v="740200"/>
    <n v="10227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70"/>
    <n v="1"/>
    <s v="1824370.120"/>
    <s v="בית פאני קפלן - שעות נוספות"/>
    <m/>
    <m/>
    <n v="20800"/>
    <n v="20800"/>
    <n v="317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70"/>
    <n v="1"/>
    <s v="1824370.400"/>
    <s v="בית פאני קפלן - אחזקה אספקה וציוד"/>
    <m/>
    <m/>
    <n v="46700"/>
    <n v="46700"/>
    <n v="52500"/>
    <m/>
    <x v="5"/>
    <x v="2"/>
    <x v="19"/>
    <x v="9"/>
    <x v="56"/>
    <x v="30"/>
    <s v="8243"/>
    <e v="#N/A"/>
    <m/>
    <s v="4"/>
    <x v="11"/>
    <s v="40"/>
    <e v="#N/A"/>
    <s v="400"/>
    <e v="#N/A"/>
  </r>
  <r>
    <n v="500"/>
    <n v="824370"/>
    <n v="1"/>
    <s v="1824370.500"/>
    <s v="בית פאני קפלן - תחבורה ודואר"/>
    <m/>
    <m/>
    <n v="18000"/>
    <n v="18000"/>
    <n v="14300"/>
    <m/>
    <x v="5"/>
    <x v="2"/>
    <x v="19"/>
    <x v="9"/>
    <x v="56"/>
    <x v="30"/>
    <s v="8243"/>
    <e v="#N/A"/>
    <m/>
    <s v="5"/>
    <x v="12"/>
    <s v="50"/>
    <e v="#N/A"/>
    <s v="500"/>
    <e v="#N/A"/>
  </r>
  <r>
    <n v="500"/>
    <n v="824370"/>
    <n v="1"/>
    <s v="1824370.500"/>
    <s v="בית פאני קפלן - הוצאות כלליות"/>
    <m/>
    <m/>
    <n v="26200"/>
    <n v="26200"/>
    <n v="19500"/>
    <m/>
    <x v="5"/>
    <x v="2"/>
    <x v="19"/>
    <x v="9"/>
    <x v="56"/>
    <x v="30"/>
    <s v="8243"/>
    <e v="#N/A"/>
    <m/>
    <s v="5"/>
    <x v="12"/>
    <s v="50"/>
    <e v="#N/A"/>
    <s v="500"/>
    <e v="#N/A"/>
  </r>
  <r>
    <n v="700"/>
    <n v="824370"/>
    <n v="1"/>
    <s v="1824370.700"/>
    <s v="בית פאני קפלן - הוצאות לפעולות"/>
    <m/>
    <m/>
    <n v="77000"/>
    <n v="81900"/>
    <n v="78900"/>
    <m/>
    <x v="5"/>
    <x v="2"/>
    <x v="19"/>
    <x v="9"/>
    <x v="56"/>
    <x v="30"/>
    <s v="8243"/>
    <e v="#N/A"/>
    <m/>
    <s v="7"/>
    <x v="9"/>
    <s v="70"/>
    <e v="#N/A"/>
    <s v="700"/>
    <e v="#N/A"/>
  </r>
  <r>
    <n v="100"/>
    <n v="824392"/>
    <n v="1"/>
    <s v="1824392.100"/>
    <s v="מרכז נוה דוד - שכר לעובדים קבועים"/>
    <m/>
    <m/>
    <n v="244000"/>
    <n v="241000"/>
    <n v="1942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2"/>
    <n v="1"/>
    <s v="1824392.120"/>
    <s v="מרכז נוה דוד - שעות נוספות"/>
    <m/>
    <m/>
    <n v="2000"/>
    <n v="2000"/>
    <n v="63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2"/>
    <n v="1"/>
    <s v="1824392.800"/>
    <s v="מרכז נוה דוד - השתתפויות תמיכות ותרומות"/>
    <m/>
    <m/>
    <n v="947200"/>
    <n v="975000"/>
    <n v="975000"/>
    <m/>
    <x v="5"/>
    <x v="2"/>
    <x v="19"/>
    <x v="9"/>
    <x v="56"/>
    <x v="30"/>
    <s v="8243"/>
    <e v="#N/A"/>
    <m/>
    <s v="8"/>
    <x v="13"/>
    <s v="80"/>
    <e v="#N/A"/>
    <s v="800"/>
    <e v="#N/A"/>
  </r>
  <r>
    <n v="800"/>
    <n v="824396"/>
    <n v="1"/>
    <s v="1824396.800"/>
    <s v="מרכז עין הים - השתתפויות תמיכות ותרומות"/>
    <m/>
    <m/>
    <n v="291400"/>
    <n v="300000"/>
    <n v="300000"/>
    <m/>
    <x v="5"/>
    <x v="2"/>
    <x v="19"/>
    <x v="9"/>
    <x v="56"/>
    <x v="30"/>
    <s v="8243"/>
    <e v="#N/A"/>
    <m/>
    <s v="8"/>
    <x v="13"/>
    <s v="80"/>
    <e v="#N/A"/>
    <s v="800"/>
    <e v="#N/A"/>
  </r>
  <r>
    <n v="800"/>
    <n v="824400"/>
    <n v="1"/>
    <s v="1824400.800"/>
    <s v="מרכז קהילתי שפרינצק - השתתפויות תמיכות ותרומות"/>
    <m/>
    <m/>
    <n v="194300"/>
    <n v="200000"/>
    <n v="200000"/>
    <m/>
    <x v="5"/>
    <x v="2"/>
    <x v="19"/>
    <x v="9"/>
    <x v="56"/>
    <x v="30"/>
    <s v="8244"/>
    <e v="#N/A"/>
    <m/>
    <s v="8"/>
    <x v="13"/>
    <s v="80"/>
    <e v="#N/A"/>
    <s v="800"/>
    <e v="#N/A"/>
  </r>
  <r>
    <n v="700"/>
    <n v="824500"/>
    <n v="1"/>
    <s v="1824500.700"/>
    <s v="מרכז קהילתי ק. אליעזר - הוצאות לפעולות"/>
    <m/>
    <m/>
    <n v="90300"/>
    <n v="93000"/>
    <n v="77900"/>
    <m/>
    <x v="5"/>
    <x v="2"/>
    <x v="19"/>
    <x v="9"/>
    <x v="56"/>
    <x v="30"/>
    <s v="8245"/>
    <e v="#N/A"/>
    <m/>
    <s v="7"/>
    <x v="9"/>
    <s v="70"/>
    <e v="#N/A"/>
    <s v="700"/>
    <e v="#N/A"/>
  </r>
  <r>
    <n v="700"/>
    <n v="824100"/>
    <n v="1"/>
    <s v="1824100.700"/>
    <s v="מרכז קהילתי שער העליה - הוצאות לפעולות"/>
    <m/>
    <m/>
    <n v="48600"/>
    <n v="50000"/>
    <n v="33900"/>
    <m/>
    <x v="5"/>
    <x v="2"/>
    <x v="19"/>
    <x v="9"/>
    <x v="56"/>
    <x v="30"/>
    <s v="8241"/>
    <e v="#N/A"/>
    <m/>
    <s v="7"/>
    <x v="9"/>
    <s v="70"/>
    <e v="#N/A"/>
    <s v="700"/>
    <e v="#N/A"/>
  </r>
  <r>
    <n v="700"/>
    <n v="821705"/>
    <n v="1"/>
    <s v="1821705.700"/>
    <s v="מרכז רמות - הוצאות לפעולות"/>
    <m/>
    <m/>
    <n v="777200"/>
    <n v="900000"/>
    <n v="800000"/>
    <m/>
    <x v="5"/>
    <x v="2"/>
    <x v="19"/>
    <x v="9"/>
    <x v="51"/>
    <x v="24"/>
    <s v="8217"/>
    <e v="#N/A"/>
    <m/>
    <s v="7"/>
    <x v="9"/>
    <s v="70"/>
    <e v="#N/A"/>
    <s v="700"/>
    <e v="#N/A"/>
  </r>
  <r>
    <n v="100"/>
    <n v="824393"/>
    <n v="1"/>
    <s v="1824393.100"/>
    <s v="בית יד לבנים - שכר לעובדים קבועים"/>
    <m/>
    <m/>
    <n v="885600"/>
    <n v="874600"/>
    <n v="8613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3"/>
    <n v="1"/>
    <s v="1824393.120"/>
    <s v="בית יד לבנים - שעות נוספות"/>
    <m/>
    <m/>
    <n v="91400"/>
    <n v="91400"/>
    <n v="758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3"/>
    <n v="1"/>
    <s v="1824393.400"/>
    <s v="בית יד לבנים - אחזקה אספקה וציוד"/>
    <m/>
    <m/>
    <n v="47000"/>
    <n v="49000"/>
    <n v="82100"/>
    <m/>
    <x v="5"/>
    <x v="2"/>
    <x v="19"/>
    <x v="9"/>
    <x v="56"/>
    <x v="30"/>
    <s v="8243"/>
    <e v="#N/A"/>
    <m/>
    <s v="4"/>
    <x v="11"/>
    <s v="40"/>
    <e v="#N/A"/>
    <s v="400"/>
    <e v="#N/A"/>
  </r>
  <r>
    <n v="500"/>
    <n v="824393"/>
    <n v="1"/>
    <s v="1824393.500"/>
    <s v="בית יד לבנים - תחבורה ודואר"/>
    <m/>
    <m/>
    <n v="6000"/>
    <n v="6000"/>
    <n v="8800"/>
    <m/>
    <x v="5"/>
    <x v="2"/>
    <x v="19"/>
    <x v="9"/>
    <x v="56"/>
    <x v="30"/>
    <s v="8243"/>
    <e v="#N/A"/>
    <m/>
    <s v="5"/>
    <x v="12"/>
    <s v="50"/>
    <e v="#N/A"/>
    <s v="500"/>
    <e v="#N/A"/>
  </r>
  <r>
    <n v="500"/>
    <n v="824393"/>
    <n v="1"/>
    <s v="1824393.500"/>
    <s v="בית יד לבנים - הוצאות כלליות"/>
    <m/>
    <m/>
    <n v="92700"/>
    <n v="95000"/>
    <n v="9800"/>
    <m/>
    <x v="5"/>
    <x v="2"/>
    <x v="19"/>
    <x v="9"/>
    <x v="56"/>
    <x v="30"/>
    <s v="8243"/>
    <e v="#N/A"/>
    <m/>
    <s v="5"/>
    <x v="12"/>
    <s v="50"/>
    <e v="#N/A"/>
    <s v="500"/>
    <e v="#N/A"/>
  </r>
  <r>
    <n v="800"/>
    <n v="824510"/>
    <n v="1"/>
    <s v="1824510.800"/>
    <s v="מרכז קהילתי אחוזה - השתתפויות תמיכות ותרומות"/>
    <m/>
    <m/>
    <n v="194300"/>
    <n v="200000"/>
    <n v="200000"/>
    <m/>
    <x v="5"/>
    <x v="2"/>
    <x v="19"/>
    <x v="9"/>
    <x v="56"/>
    <x v="30"/>
    <s v="8245"/>
    <e v="#N/A"/>
    <m/>
    <s v="8"/>
    <x v="13"/>
    <s v="80"/>
    <e v="#N/A"/>
    <s v="800"/>
    <e v="#N/A"/>
  </r>
  <r>
    <n v="100"/>
    <n v="824540"/>
    <n v="1"/>
    <s v="1824540.100"/>
    <s v="מרכז רמת בגין - שכר לעובדים קבועים"/>
    <m/>
    <m/>
    <n v="136000"/>
    <n v="135000"/>
    <n v="117800"/>
    <m/>
    <x v="5"/>
    <x v="2"/>
    <x v="19"/>
    <x v="9"/>
    <x v="56"/>
    <x v="30"/>
    <s v="8245"/>
    <e v="#N/A"/>
    <m/>
    <s v="1"/>
    <x v="8"/>
    <s v="10"/>
    <e v="#N/A"/>
    <s v="100"/>
    <e v="#N/A"/>
  </r>
  <r>
    <n v="120"/>
    <n v="824540"/>
    <n v="1"/>
    <s v="1824540.120"/>
    <s v="מרכז רמת בגין - שעות נוספות"/>
    <m/>
    <m/>
    <n v="0"/>
    <n v="0"/>
    <n v="7400"/>
    <m/>
    <x v="5"/>
    <x v="2"/>
    <x v="19"/>
    <x v="9"/>
    <x v="56"/>
    <x v="30"/>
    <s v="8245"/>
    <e v="#N/A"/>
    <m/>
    <s v="1"/>
    <x v="8"/>
    <s v="12"/>
    <s v="תוספות שאינן נכללות בשכר הקובע"/>
    <s v="120"/>
    <e v="#N/A"/>
  </r>
  <r>
    <n v="700"/>
    <n v="824540"/>
    <n v="1"/>
    <s v="1824540.700"/>
    <s v="מרכז רמת בגין - הוצאות לפעולות"/>
    <m/>
    <m/>
    <n v="340000"/>
    <n v="350000"/>
    <n v="350000"/>
    <m/>
    <x v="5"/>
    <x v="2"/>
    <x v="19"/>
    <x v="9"/>
    <x v="56"/>
    <x v="30"/>
    <s v="8245"/>
    <e v="#N/A"/>
    <m/>
    <s v="7"/>
    <x v="9"/>
    <s v="70"/>
    <e v="#N/A"/>
    <s v="700"/>
    <e v="#N/A"/>
  </r>
  <r>
    <n v="100"/>
    <n v="824340"/>
    <n v="1"/>
    <s v="1824340.100"/>
    <s v="בית אבא חושי - שכר לעובדים קבועים"/>
    <m/>
    <m/>
    <n v="1163400"/>
    <n v="1149400"/>
    <n v="12461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40"/>
    <n v="1"/>
    <s v="1824340.120"/>
    <s v="בית אבא חושי - שעות נוספות"/>
    <m/>
    <m/>
    <n v="86600"/>
    <n v="86600"/>
    <n v="1046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700"/>
    <n v="824340"/>
    <n v="1"/>
    <s v="1824340.700"/>
    <s v="בית אבא חושי - הוצאות לפעולות"/>
    <m/>
    <m/>
    <n v="213700"/>
    <n v="220000"/>
    <n v="221100"/>
    <m/>
    <x v="5"/>
    <x v="2"/>
    <x v="19"/>
    <x v="9"/>
    <x v="56"/>
    <x v="30"/>
    <s v="8243"/>
    <e v="#N/A"/>
    <m/>
    <s v="7"/>
    <x v="9"/>
    <s v="70"/>
    <e v="#N/A"/>
    <s v="700"/>
    <e v="#N/A"/>
  </r>
  <r>
    <n v="100"/>
    <n v="824380"/>
    <n v="1"/>
    <s v="1824380.100"/>
    <s v="מרכז דתי נו&quot;ש - שכר לעובדים קבועים"/>
    <m/>
    <m/>
    <n v="131700"/>
    <n v="129700"/>
    <n v="3830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80"/>
    <n v="1"/>
    <s v="1824380.120"/>
    <s v="מרכז דתי נו&quot;ש - שעות נוספות"/>
    <m/>
    <m/>
    <n v="36300"/>
    <n v="36300"/>
    <n v="45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80"/>
    <n v="1"/>
    <s v="1824380.800"/>
    <s v="מרכז דתי נו&quot;ש - השתתפויות תמיכות ותרומות"/>
    <m/>
    <m/>
    <n v="384700"/>
    <n v="396000"/>
    <n v="646000"/>
    <m/>
    <x v="5"/>
    <x v="2"/>
    <x v="19"/>
    <x v="9"/>
    <x v="56"/>
    <x v="30"/>
    <s v="8243"/>
    <e v="#N/A"/>
    <m/>
    <s v="8"/>
    <x v="13"/>
    <s v="80"/>
    <e v="#N/A"/>
    <s v="800"/>
    <e v="#N/A"/>
  </r>
  <r>
    <n v="800"/>
    <n v="824381"/>
    <n v="1"/>
    <s v="1824381.800"/>
    <s v="‏‏‏מרכז ללימודי השואה - השתתפויות תמיכות ותרומות"/>
    <m/>
    <m/>
    <n v="247500"/>
    <n v="254800"/>
    <n v="254800"/>
    <m/>
    <x v="5"/>
    <x v="2"/>
    <x v="19"/>
    <x v="9"/>
    <x v="56"/>
    <x v="30"/>
    <s v="8243"/>
    <e v="#N/A"/>
    <m/>
    <s v="8"/>
    <x v="13"/>
    <s v="80"/>
    <e v="#N/A"/>
    <s v="800"/>
    <e v="#N/A"/>
  </r>
  <r>
    <n v="100"/>
    <n v="824391"/>
    <n v="1"/>
    <s v="1824391.100"/>
    <s v="‏מרכז נוה יוסף - שכר לעובדים קבועים"/>
    <m/>
    <m/>
    <n v="521800"/>
    <n v="456800"/>
    <n v="3528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1"/>
    <n v="1"/>
    <s v="1824391.120"/>
    <s v="‏מרכז נוה יוסף - שעות נוספות"/>
    <m/>
    <m/>
    <n v="10200"/>
    <n v="10200"/>
    <n v="10100"/>
    <m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1"/>
    <n v="1"/>
    <s v="1824391.800"/>
    <s v="‏מרכז נוה יוסף - השתתפויות תמיכות ותרומות"/>
    <m/>
    <m/>
    <n v="1466900"/>
    <n v="1510000"/>
    <n v="1960000"/>
    <m/>
    <x v="5"/>
    <x v="2"/>
    <x v="19"/>
    <x v="9"/>
    <x v="56"/>
    <x v="30"/>
    <s v="8243"/>
    <e v="#N/A"/>
    <m/>
    <s v="8"/>
    <x v="13"/>
    <s v="80"/>
    <e v="#N/A"/>
    <s v="800"/>
    <e v="#N/A"/>
  </r>
  <r>
    <n v="700"/>
    <e v="#N/A"/>
    <n v="1"/>
    <e v="#N/A"/>
    <s v="שלוחת מתנ&quot;ס נוה יוסף ‏(חליסה , מגנצה,הבית הירוק והגיבורים) - חד פעמי הוצאות שנים עברו"/>
    <m/>
    <m/>
    <n v="0"/>
    <n v="800000"/>
    <n v="0"/>
    <m/>
    <x v="6"/>
    <x v="5"/>
    <x v="20"/>
    <x v="17"/>
    <x v="58"/>
    <x v="0"/>
    <e v="#N/A"/>
    <e v="#N/A"/>
    <m/>
    <s v="7"/>
    <x v="14"/>
    <s v="70"/>
    <e v="#N/A"/>
    <s v="700"/>
    <e v="#N/A"/>
  </r>
  <r>
    <n v="800"/>
    <e v="#N/A"/>
    <n v="1"/>
    <e v="#N/A"/>
    <s v="שלוחת מתנ&quot;ס נוה יוסף ‏(חליסה , מגנצה,הבית הירוק והגיבורים) - השתתפויות תמיכות ותרומות"/>
    <m/>
    <m/>
    <n v="1165700"/>
    <n v="1200000"/>
    <n v="0"/>
    <m/>
    <x v="6"/>
    <x v="5"/>
    <x v="20"/>
    <x v="17"/>
    <x v="58"/>
    <x v="0"/>
    <e v="#N/A"/>
    <e v="#N/A"/>
    <m/>
    <s v="8"/>
    <x v="14"/>
    <s v="80"/>
    <e v="#N/A"/>
    <s v="800"/>
    <e v="#N/A"/>
  </r>
  <r>
    <n v="700"/>
    <n v="824200"/>
    <n v="1"/>
    <s v="1824200.700"/>
    <s v="מרכז קהילתי חטיבת כרמלי - הוצאות לפעולות"/>
    <m/>
    <m/>
    <n v="97100"/>
    <n v="100000"/>
    <n v="93800"/>
    <m/>
    <x v="5"/>
    <x v="2"/>
    <x v="19"/>
    <x v="9"/>
    <x v="56"/>
    <x v="30"/>
    <s v="8242"/>
    <e v="#N/A"/>
    <m/>
    <s v="7"/>
    <x v="9"/>
    <s v="70"/>
    <e v="#N/A"/>
    <s v="700"/>
    <e v="#N/A"/>
  </r>
  <r>
    <n v="700"/>
    <n v="824320"/>
    <n v="1"/>
    <s v="1824320.700"/>
    <s v="בית הגפן - תקציב חד פעמי"/>
    <m/>
    <m/>
    <n v="0"/>
    <n v="0"/>
    <n v="100000"/>
    <m/>
    <x v="5"/>
    <x v="2"/>
    <x v="19"/>
    <x v="9"/>
    <x v="56"/>
    <x v="30"/>
    <s v="8243"/>
    <e v="#N/A"/>
    <m/>
    <s v="7"/>
    <x v="9"/>
    <s v="70"/>
    <e v="#N/A"/>
    <s v="700"/>
    <e v="#N/A"/>
  </r>
  <r>
    <n v="800"/>
    <n v="824320"/>
    <n v="1"/>
    <s v="1824320.800"/>
    <s v="בית הגפן - השתתפויות תמיכות ותרומות"/>
    <m/>
    <m/>
    <n v="3536700"/>
    <n v="3640700"/>
    <n v="3639400"/>
    <m/>
    <x v="5"/>
    <x v="2"/>
    <x v="19"/>
    <x v="9"/>
    <x v="56"/>
    <x v="30"/>
    <s v="8243"/>
    <e v="#N/A"/>
    <m/>
    <s v="8"/>
    <x v="13"/>
    <s v="80"/>
    <e v="#N/A"/>
    <s v="800"/>
    <e v="#N/A"/>
  </r>
  <r>
    <n v="100"/>
    <n v="824395"/>
    <n v="1"/>
    <s v="1824395.100"/>
    <s v="מרכז הדר ביתנו ‏(כולל מרכז ברח' בית&quot;ר, מרכז ברח' טבריה, שכירות, פרויקט כפר הסטודנטים אתנחתא, גרעין תורני ופיתוח מסחר בהדר) - שכר לעובדים קבועים"/>
    <m/>
    <m/>
    <n v="176500"/>
    <n v="174500"/>
    <n v="1603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5"/>
    <n v="1"/>
    <s v="1824395.120"/>
    <s v="מרכז הדר ביתנו ‏(כולל מרכז ברח' בית&quot;ר, מרכז ברח' טבריה, שכירות, פרויקט כפר הסטודנטים אתנחתא, גרעין תורני ופיתוח מסחר בהדר) - שעות נוספות"/>
    <m/>
    <m/>
    <n v="11500"/>
    <n v="11500"/>
    <n v="16900"/>
    <e v="#N/A"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800"/>
    <n v="824395"/>
    <n v="1"/>
    <s v="1824395.800"/>
    <s v="מרכז הדר ביתנו ‏(כולל מרכז ברח' בית&quot;ר, מרכז ברח' טבריה, שכירות, פרויקט כפר הסטודנטים אתנחתא, גרעין תורני ופיתוח מסחר בהדר) - השתתפויות תמיכות ותרומות"/>
    <m/>
    <m/>
    <n v="3988600"/>
    <n v="3900000"/>
    <n v="3228800"/>
    <e v="#N/A"/>
    <x v="5"/>
    <x v="2"/>
    <x v="19"/>
    <x v="9"/>
    <x v="56"/>
    <x v="30"/>
    <s v="8243"/>
    <e v="#N/A"/>
    <m/>
    <s v="8"/>
    <x v="13"/>
    <s v="80"/>
    <e v="#N/A"/>
    <s v="800"/>
    <e v="#N/A"/>
  </r>
  <r>
    <n v="100"/>
    <n v="824330"/>
    <n v="1"/>
    <s v="1824330.100"/>
    <s v="בית נגלר - שכר לעובדים קבועים"/>
    <m/>
    <m/>
    <n v="1157000"/>
    <n v="1143000"/>
    <n v="1055500"/>
    <e v="#N/A"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30"/>
    <n v="1"/>
    <s v="1824330.120"/>
    <s v="בית נגלר - שעות נוספות"/>
    <m/>
    <m/>
    <n v="133000"/>
    <n v="133000"/>
    <n v="169000"/>
    <e v="#N/A"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700"/>
    <n v="824330"/>
    <n v="1"/>
    <s v="1824330.700"/>
    <s v="בית נגלר - הוצאות לפעולות"/>
    <m/>
    <m/>
    <n v="213700"/>
    <n v="220000"/>
    <n v="217900"/>
    <e v="#N/A"/>
    <x v="5"/>
    <x v="2"/>
    <x v="19"/>
    <x v="9"/>
    <x v="56"/>
    <x v="30"/>
    <s v="8243"/>
    <e v="#N/A"/>
    <m/>
    <s v="7"/>
    <x v="9"/>
    <s v="70"/>
    <e v="#N/A"/>
    <s v="700"/>
    <e v="#N/A"/>
  </r>
  <r>
    <n v="100"/>
    <n v="824332"/>
    <n v="1"/>
    <s v="1824332.100"/>
    <s v="בית היינה - שכר לעובדים קבועים"/>
    <m/>
    <m/>
    <n v="1147100"/>
    <n v="1133100"/>
    <n v="1025600"/>
    <e v="#N/A"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32"/>
    <n v="1"/>
    <s v="1824332.120"/>
    <s v="בית היינה - שעות נוספות"/>
    <m/>
    <m/>
    <n v="89900"/>
    <n v="89900"/>
    <n v="114800"/>
    <e v="#N/A"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32"/>
    <n v="1"/>
    <s v="1824332.400"/>
    <s v="בית היינה - אחזקה אספקה וציוד"/>
    <m/>
    <m/>
    <n v="68200"/>
    <n v="68200"/>
    <n v="86000"/>
    <e v="#N/A"/>
    <x v="5"/>
    <x v="2"/>
    <x v="19"/>
    <x v="9"/>
    <x v="56"/>
    <x v="30"/>
    <s v="8243"/>
    <e v="#N/A"/>
    <m/>
    <s v="4"/>
    <x v="11"/>
    <s v="40"/>
    <e v="#N/A"/>
    <s v="400"/>
    <e v="#N/A"/>
  </r>
  <r>
    <n v="500"/>
    <n v="824332"/>
    <n v="1"/>
    <s v="1824332.500"/>
    <s v="בית היינה - תחבורה ודואר"/>
    <m/>
    <m/>
    <n v="13400"/>
    <n v="13400"/>
    <n v="13600"/>
    <e v="#N/A"/>
    <x v="5"/>
    <x v="2"/>
    <x v="19"/>
    <x v="9"/>
    <x v="56"/>
    <x v="30"/>
    <s v="8243"/>
    <e v="#N/A"/>
    <m/>
    <s v="5"/>
    <x v="12"/>
    <s v="50"/>
    <e v="#N/A"/>
    <s v="500"/>
    <e v="#N/A"/>
  </r>
  <r>
    <n v="700"/>
    <n v="824332"/>
    <n v="1"/>
    <s v="1824332.700"/>
    <s v="בית היינה - הוצאות לפעולות"/>
    <m/>
    <m/>
    <n v="35000"/>
    <n v="38400"/>
    <n v="38300"/>
    <e v="#N/A"/>
    <x v="5"/>
    <x v="2"/>
    <x v="19"/>
    <x v="9"/>
    <x v="56"/>
    <x v="30"/>
    <s v="8243"/>
    <e v="#N/A"/>
    <m/>
    <s v="7"/>
    <x v="9"/>
    <s v="70"/>
    <e v="#N/A"/>
    <s v="700"/>
    <e v="#N/A"/>
  </r>
  <r>
    <n v="100"/>
    <n v="824520"/>
    <n v="1"/>
    <s v="1824520.100"/>
    <s v="יד לבנים קרית חיים - שכר לעובדים קבועים"/>
    <m/>
    <m/>
    <n v="671000"/>
    <n v="664000"/>
    <n v="624800"/>
    <e v="#N/A"/>
    <x v="5"/>
    <x v="2"/>
    <x v="19"/>
    <x v="9"/>
    <x v="56"/>
    <x v="30"/>
    <s v="8245"/>
    <e v="#N/A"/>
    <m/>
    <s v="1"/>
    <x v="8"/>
    <s v="10"/>
    <e v="#N/A"/>
    <s v="100"/>
    <e v="#N/A"/>
  </r>
  <r>
    <n v="120"/>
    <n v="824520"/>
    <n v="1"/>
    <s v="1824520.120"/>
    <s v="יד לבנים קרית חיים - שעות נוספות"/>
    <m/>
    <m/>
    <n v="0"/>
    <n v="0"/>
    <n v="56600"/>
    <e v="#N/A"/>
    <x v="5"/>
    <x v="2"/>
    <x v="19"/>
    <x v="9"/>
    <x v="56"/>
    <x v="30"/>
    <s v="8245"/>
    <e v="#N/A"/>
    <m/>
    <s v="1"/>
    <x v="8"/>
    <s v="12"/>
    <s v="תוספות שאינן נכללות בשכר הקובע"/>
    <s v="120"/>
    <e v="#N/A"/>
  </r>
  <r>
    <n v="700"/>
    <n v="824520"/>
    <n v="1"/>
    <s v="1824520.700"/>
    <s v="יד לבנים קרית חיים - הוצאות לפעולות"/>
    <m/>
    <m/>
    <n v="97100"/>
    <n v="100000"/>
    <n v="96100"/>
    <e v="#N/A"/>
    <x v="5"/>
    <x v="2"/>
    <x v="19"/>
    <x v="9"/>
    <x v="56"/>
    <x v="30"/>
    <s v="8245"/>
    <e v="#N/A"/>
    <m/>
    <s v="7"/>
    <x v="9"/>
    <s v="70"/>
    <e v="#N/A"/>
    <s v="700"/>
    <e v="#N/A"/>
  </r>
  <r>
    <n v="100"/>
    <n v="824390"/>
    <n v="1"/>
    <s v="1824390.100"/>
    <s v="מרכז ק. שמואל - שכר לעובדים קבועים"/>
    <m/>
    <m/>
    <n v="597500"/>
    <n v="590500"/>
    <n v="510700"/>
    <m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0"/>
    <n v="1"/>
    <s v="1824390.120"/>
    <s v="מרכז ק. שמואל - שעות נוספות"/>
    <m/>
    <m/>
    <n v="46500"/>
    <n v="46500"/>
    <n v="82200"/>
    <e v="#N/A"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0"/>
    <n v="1"/>
    <s v="1824390.400"/>
    <s v="מרכז ק. שמואל - אחזקה אספקה וציוד"/>
    <m/>
    <m/>
    <n v="4000"/>
    <n v="4000"/>
    <n v="5200"/>
    <e v="#N/A"/>
    <x v="5"/>
    <x v="2"/>
    <x v="19"/>
    <x v="9"/>
    <x v="56"/>
    <x v="30"/>
    <s v="8243"/>
    <e v="#N/A"/>
    <m/>
    <s v="4"/>
    <x v="11"/>
    <s v="40"/>
    <e v="#N/A"/>
    <s v="400"/>
    <e v="#N/A"/>
  </r>
  <r>
    <n v="500"/>
    <n v="824390"/>
    <n v="1"/>
    <s v="1824390.500"/>
    <s v="מרכז ק. שמואל - תחבורה ודואר"/>
    <m/>
    <m/>
    <n v="10200"/>
    <n v="10200"/>
    <n v="2500"/>
    <e v="#N/A"/>
    <x v="5"/>
    <x v="2"/>
    <x v="19"/>
    <x v="9"/>
    <x v="56"/>
    <x v="30"/>
    <s v="8243"/>
    <e v="#N/A"/>
    <m/>
    <s v="5"/>
    <x v="12"/>
    <s v="50"/>
    <e v="#N/A"/>
    <s v="500"/>
    <e v="#N/A"/>
  </r>
  <r>
    <n v="500"/>
    <n v="824390"/>
    <n v="1"/>
    <s v="1824390.500"/>
    <s v="מרכז ק. שמואל - הוצאות כלליות"/>
    <m/>
    <m/>
    <n v="104300"/>
    <n v="108600"/>
    <n v="108000"/>
    <e v="#N/A"/>
    <x v="5"/>
    <x v="2"/>
    <x v="19"/>
    <x v="9"/>
    <x v="56"/>
    <x v="30"/>
    <s v="8243"/>
    <e v="#N/A"/>
    <m/>
    <s v="5"/>
    <x v="12"/>
    <s v="50"/>
    <e v="#N/A"/>
    <s v="500"/>
    <e v="#N/A"/>
  </r>
  <r>
    <n v="700"/>
    <n v="824390"/>
    <n v="1"/>
    <s v="1824390.700"/>
    <s v="מרכז ק. שמואל - הוצאות לפעולות"/>
    <m/>
    <m/>
    <n v="27200"/>
    <n v="27200"/>
    <n v="27100"/>
    <e v="#N/A"/>
    <x v="5"/>
    <x v="2"/>
    <x v="19"/>
    <x v="9"/>
    <x v="56"/>
    <x v="30"/>
    <s v="8243"/>
    <e v="#N/A"/>
    <m/>
    <s v="7"/>
    <x v="9"/>
    <s v="70"/>
    <e v="#N/A"/>
    <s v="700"/>
    <e v="#N/A"/>
  </r>
  <r>
    <n v="400"/>
    <n v="824397"/>
    <n v="1"/>
    <s v="1824397.400"/>
    <s v="‏‏מרכז קהילתי ק. שמואל - אחזקה אספקה וציוד"/>
    <m/>
    <m/>
    <n v="55000"/>
    <n v="55000"/>
    <n v="20900"/>
    <e v="#N/A"/>
    <x v="5"/>
    <x v="2"/>
    <x v="19"/>
    <x v="9"/>
    <x v="56"/>
    <x v="30"/>
    <s v="8243"/>
    <e v="#N/A"/>
    <m/>
    <s v="4"/>
    <x v="11"/>
    <s v="40"/>
    <e v="#N/A"/>
    <s v="400"/>
    <e v="#N/A"/>
  </r>
  <r>
    <n v="700"/>
    <n v="824397"/>
    <n v="1"/>
    <s v="1824397.700"/>
    <s v="‏‏מרכז קהילתי ק. שמואל - הוצאות לפעולות"/>
    <m/>
    <m/>
    <n v="187900"/>
    <n v="195000"/>
    <n v="143800"/>
    <e v="#N/A"/>
    <x v="5"/>
    <x v="2"/>
    <x v="19"/>
    <x v="9"/>
    <x v="56"/>
    <x v="30"/>
    <s v="8243"/>
    <e v="#N/A"/>
    <m/>
    <s v="7"/>
    <x v="9"/>
    <s v="70"/>
    <e v="#N/A"/>
    <s v="700"/>
    <e v="#N/A"/>
  </r>
  <r>
    <n v="100"/>
    <n v="824394"/>
    <n v="1"/>
    <s v="1824394.100"/>
    <s v="מרכז נוער ק. שמואל - שכר לעובדים קבועים"/>
    <m/>
    <m/>
    <n v="192700"/>
    <n v="190700"/>
    <n v="157600"/>
    <e v="#N/A"/>
    <x v="5"/>
    <x v="2"/>
    <x v="19"/>
    <x v="9"/>
    <x v="56"/>
    <x v="30"/>
    <s v="8243"/>
    <e v="#N/A"/>
    <m/>
    <s v="1"/>
    <x v="8"/>
    <s v="10"/>
    <e v="#N/A"/>
    <s v="100"/>
    <e v="#N/A"/>
  </r>
  <r>
    <n v="120"/>
    <n v="824394"/>
    <n v="1"/>
    <s v="1824394.120"/>
    <s v="מרכז נוער ק. שמואל - שעות נוספות"/>
    <m/>
    <m/>
    <n v="9300"/>
    <n v="9300"/>
    <n v="9700"/>
    <e v="#N/A"/>
    <x v="5"/>
    <x v="2"/>
    <x v="19"/>
    <x v="9"/>
    <x v="56"/>
    <x v="30"/>
    <s v="8243"/>
    <e v="#N/A"/>
    <m/>
    <s v="1"/>
    <x v="8"/>
    <s v="12"/>
    <s v="תוספות שאינן נכללות בשכר הקובע"/>
    <s v="120"/>
    <e v="#N/A"/>
  </r>
  <r>
    <n v="400"/>
    <n v="824394"/>
    <n v="1"/>
    <s v="1824394.400"/>
    <s v="מרכז נוער ק. שמואל - אחזקה אספקה וציוד"/>
    <m/>
    <m/>
    <n v="11900"/>
    <n v="11900"/>
    <n v="11300"/>
    <e v="#N/A"/>
    <x v="5"/>
    <x v="2"/>
    <x v="19"/>
    <x v="9"/>
    <x v="56"/>
    <x v="30"/>
    <s v="8243"/>
    <e v="#N/A"/>
    <m/>
    <s v="4"/>
    <x v="11"/>
    <s v="40"/>
    <e v="#N/A"/>
    <s v="400"/>
    <e v="#N/A"/>
  </r>
  <r>
    <n v="500"/>
    <n v="824394"/>
    <n v="1"/>
    <s v="1824394.500"/>
    <s v="מרכז נוער ק. שמואל - הוצאות כלליות"/>
    <m/>
    <m/>
    <n v="47100"/>
    <n v="48100"/>
    <n v="46000"/>
    <e v="#N/A"/>
    <x v="5"/>
    <x v="2"/>
    <x v="19"/>
    <x v="9"/>
    <x v="56"/>
    <x v="30"/>
    <s v="8243"/>
    <e v="#N/A"/>
    <m/>
    <s v="5"/>
    <x v="12"/>
    <s v="50"/>
    <e v="#N/A"/>
    <s v="500"/>
    <e v="#N/A"/>
  </r>
  <r>
    <n v="700"/>
    <n v="824394"/>
    <n v="1"/>
    <s v="1824394.700"/>
    <s v="מרכז נוער ק. שמואל - הוצאות לפעולות"/>
    <m/>
    <m/>
    <n v="29500"/>
    <n v="31100"/>
    <n v="19300"/>
    <e v="#N/A"/>
    <x v="5"/>
    <x v="2"/>
    <x v="19"/>
    <x v="9"/>
    <x v="56"/>
    <x v="30"/>
    <s v="8243"/>
    <e v="#N/A"/>
    <m/>
    <s v="7"/>
    <x v="9"/>
    <s v="70"/>
    <e v="#N/A"/>
    <s v="700"/>
    <e v="#N/A"/>
  </r>
  <r>
    <n v="600"/>
    <n v="824394"/>
    <n v="1"/>
    <s v="1824394.600"/>
    <s v="מרכז נוער ק. שמואל - פרעון מלוות"/>
    <m/>
    <m/>
    <m/>
    <n v="0"/>
    <n v="0"/>
    <e v="#N/A"/>
    <x v="5"/>
    <x v="2"/>
    <x v="19"/>
    <x v="9"/>
    <x v="56"/>
    <x v="30"/>
    <s v="8243"/>
    <e v="#N/A"/>
    <m/>
    <s v="6"/>
    <x v="15"/>
    <s v="60"/>
    <e v="#N/A"/>
    <s v="600"/>
    <e v="#N/A"/>
  </r>
  <r>
    <n v="100"/>
    <n v="731110"/>
    <n v="1"/>
    <s v="1731110.100"/>
    <s v="לשכת מהנדס העיר - שכר לעובדים קבועים"/>
    <m/>
    <m/>
    <n v="2607200"/>
    <n v="2400200"/>
    <n v="3082600"/>
    <m/>
    <x v="7"/>
    <x v="1"/>
    <x v="21"/>
    <x v="5"/>
    <x v="59"/>
    <x v="9"/>
    <s v="7311"/>
    <e v="#N/A"/>
    <m/>
    <s v="1"/>
    <x v="8"/>
    <s v="10"/>
    <e v="#N/A"/>
    <s v="100"/>
    <e v="#N/A"/>
  </r>
  <r>
    <n v="120"/>
    <n v="731110"/>
    <n v="1"/>
    <s v="1731110.120"/>
    <s v="לשכת מהנדס העיר - שעות נוספות"/>
    <m/>
    <m/>
    <n v="48800"/>
    <n v="48800"/>
    <n v="37600"/>
    <e v="#N/A"/>
    <x v="7"/>
    <x v="1"/>
    <x v="21"/>
    <x v="5"/>
    <x v="59"/>
    <x v="9"/>
    <s v="7311"/>
    <e v="#N/A"/>
    <m/>
    <s v="1"/>
    <x v="8"/>
    <s v="12"/>
    <s v="תוספות שאינן נכללות בשכר הקובע"/>
    <s v="120"/>
    <e v="#N/A"/>
  </r>
  <r>
    <n v="400"/>
    <n v="731110"/>
    <n v="1"/>
    <s v="1731110.400"/>
    <s v="לשכת מהנדס העיר - אחזקה אספקה וציוד"/>
    <m/>
    <m/>
    <n v="194300"/>
    <n v="206300"/>
    <n v="166200"/>
    <e v="#N/A"/>
    <x v="7"/>
    <x v="1"/>
    <x v="21"/>
    <x v="5"/>
    <x v="59"/>
    <x v="9"/>
    <s v="7311"/>
    <e v="#N/A"/>
    <m/>
    <s v="4"/>
    <x v="11"/>
    <s v="40"/>
    <e v="#N/A"/>
    <s v="400"/>
    <e v="#N/A"/>
  </r>
  <r>
    <n v="500"/>
    <n v="731110"/>
    <n v="1"/>
    <s v="1731110.500"/>
    <s v="לשכת מהנדס העיר - תחבורה ודואר"/>
    <m/>
    <m/>
    <n v="160900"/>
    <n v="164200"/>
    <n v="141400"/>
    <e v="#N/A"/>
    <x v="7"/>
    <x v="1"/>
    <x v="21"/>
    <x v="5"/>
    <x v="59"/>
    <x v="9"/>
    <s v="7311"/>
    <e v="#N/A"/>
    <m/>
    <s v="5"/>
    <x v="12"/>
    <s v="50"/>
    <e v="#N/A"/>
    <s v="500"/>
    <e v="#N/A"/>
  </r>
  <r>
    <n v="500"/>
    <n v="731110"/>
    <n v="1"/>
    <s v="1731110.500"/>
    <s v="לשכת מהנדס העיר - הוצאות כלליות"/>
    <m/>
    <m/>
    <n v="26800"/>
    <n v="27300"/>
    <n v="15600"/>
    <e v="#N/A"/>
    <x v="7"/>
    <x v="1"/>
    <x v="21"/>
    <x v="5"/>
    <x v="59"/>
    <x v="9"/>
    <s v="7311"/>
    <e v="#N/A"/>
    <m/>
    <s v="5"/>
    <x v="12"/>
    <s v="50"/>
    <e v="#N/A"/>
    <s v="500"/>
    <e v="#N/A"/>
  </r>
  <r>
    <n v="700"/>
    <n v="731110"/>
    <n v="1"/>
    <s v="1731110.700"/>
    <s v="לשכת מהנדס העיר - הוצאות לפעולות"/>
    <m/>
    <m/>
    <n v="70800"/>
    <n v="68300"/>
    <n v="58700"/>
    <e v="#N/A"/>
    <x v="7"/>
    <x v="1"/>
    <x v="21"/>
    <x v="5"/>
    <x v="59"/>
    <x v="9"/>
    <s v="7311"/>
    <e v="#N/A"/>
    <m/>
    <s v="7"/>
    <x v="9"/>
    <s v="70"/>
    <e v="#N/A"/>
    <s v="700"/>
    <e v="#N/A"/>
  </r>
  <r>
    <n v="100"/>
    <n v="731112"/>
    <n v="1"/>
    <s v="1731112.100"/>
    <s v="ועדה מקומית - שכר לעובדים קבועים"/>
    <m/>
    <m/>
    <n v="1269600"/>
    <n v="1254600"/>
    <n v="1171100"/>
    <e v="#N/A"/>
    <x v="7"/>
    <x v="1"/>
    <x v="21"/>
    <x v="5"/>
    <x v="59"/>
    <x v="9"/>
    <s v="7311"/>
    <e v="#N/A"/>
    <m/>
    <s v="1"/>
    <x v="8"/>
    <s v="10"/>
    <e v="#N/A"/>
    <s v="100"/>
    <e v="#N/A"/>
  </r>
  <r>
    <n v="120"/>
    <n v="731112"/>
    <n v="1"/>
    <s v="1731112.120"/>
    <s v="ועדה מקומית - שעות נוספות"/>
    <m/>
    <m/>
    <n v="57400"/>
    <n v="57400"/>
    <n v="60600"/>
    <e v="#N/A"/>
    <x v="7"/>
    <x v="1"/>
    <x v="21"/>
    <x v="5"/>
    <x v="59"/>
    <x v="9"/>
    <s v="7311"/>
    <e v="#N/A"/>
    <m/>
    <s v="1"/>
    <x v="8"/>
    <s v="12"/>
    <s v="תוספות שאינן נכללות בשכר הקובע"/>
    <s v="120"/>
    <e v="#N/A"/>
  </r>
  <r>
    <n v="700"/>
    <n v="731112"/>
    <n v="1"/>
    <s v="1731112.700"/>
    <s v="ועדה מקומית - הוצאות לפעולות"/>
    <m/>
    <m/>
    <n v="50000"/>
    <n v="10000"/>
    <n v="0"/>
    <e v="#N/A"/>
    <x v="7"/>
    <x v="1"/>
    <x v="21"/>
    <x v="5"/>
    <x v="59"/>
    <x v="9"/>
    <s v="7311"/>
    <e v="#N/A"/>
    <m/>
    <s v="7"/>
    <x v="9"/>
    <s v="70"/>
    <e v="#N/A"/>
    <s v="700"/>
    <e v="#N/A"/>
  </r>
  <r>
    <n v="700"/>
    <n v="731116"/>
    <n v="1"/>
    <s v="1731116.700"/>
    <s v="ועדה מקומית בז&quot;ן - הוצאות לפעולות"/>
    <m/>
    <m/>
    <n v="582900"/>
    <n v="600000"/>
    <n v="60500"/>
    <e v="#N/A"/>
    <x v="7"/>
    <x v="1"/>
    <x v="21"/>
    <x v="5"/>
    <x v="59"/>
    <x v="9"/>
    <s v="7311"/>
    <e v="#N/A"/>
    <m/>
    <s v="7"/>
    <x v="9"/>
    <s v="70"/>
    <e v="#N/A"/>
    <s v="700"/>
    <e v="#N/A"/>
  </r>
  <r>
    <n v="100"/>
    <n v="731113"/>
    <n v="1"/>
    <s v="1731113.100"/>
    <s v="ארכיון הנדסי - שכר לעובדים קבועים"/>
    <m/>
    <m/>
    <n v="662600"/>
    <n v="654600"/>
    <n v="860100"/>
    <m/>
    <x v="7"/>
    <x v="1"/>
    <x v="21"/>
    <x v="5"/>
    <x v="59"/>
    <x v="9"/>
    <s v="7311"/>
    <e v="#N/A"/>
    <m/>
    <s v="1"/>
    <x v="8"/>
    <s v="10"/>
    <e v="#N/A"/>
    <s v="100"/>
    <e v="#N/A"/>
  </r>
  <r>
    <n v="120"/>
    <n v="731113"/>
    <n v="1"/>
    <s v="1731113.120"/>
    <s v="ארכיון הנדסי - שעות נוספות"/>
    <m/>
    <m/>
    <n v="32400"/>
    <n v="32400"/>
    <n v="32900"/>
    <e v="#N/A"/>
    <x v="7"/>
    <x v="1"/>
    <x v="21"/>
    <x v="5"/>
    <x v="59"/>
    <x v="9"/>
    <s v="7311"/>
    <e v="#N/A"/>
    <m/>
    <s v="1"/>
    <x v="8"/>
    <s v="12"/>
    <s v="תוספות שאינן נכללות בשכר הקובע"/>
    <s v="120"/>
    <e v="#N/A"/>
  </r>
  <r>
    <n v="100"/>
    <n v="732110"/>
    <n v="1"/>
    <s v="1732110.100"/>
    <s v="הנהלת האגף לתכנון עיר - שכר לעובדים קבועים"/>
    <m/>
    <m/>
    <n v="146400"/>
    <n v="36400"/>
    <n v="150100"/>
    <m/>
    <x v="7"/>
    <x v="1"/>
    <x v="21"/>
    <x v="5"/>
    <x v="60"/>
    <x v="44"/>
    <s v="7321"/>
    <s v="תכנון כללי"/>
    <m/>
    <s v="1"/>
    <x v="8"/>
    <s v="10"/>
    <e v="#N/A"/>
    <s v="100"/>
    <e v="#N/A"/>
  </r>
  <r>
    <n v="120"/>
    <n v="732110"/>
    <n v="1"/>
    <s v="1732110.120"/>
    <s v="הנהלת האגף לתכנון עיר - שעות נוספות"/>
    <m/>
    <m/>
    <n v="3600"/>
    <n v="3600"/>
    <n v="2200"/>
    <e v="#N/A"/>
    <x v="7"/>
    <x v="1"/>
    <x v="21"/>
    <x v="5"/>
    <x v="60"/>
    <x v="44"/>
    <s v="7321"/>
    <s v="תכנון כללי"/>
    <m/>
    <s v="1"/>
    <x v="8"/>
    <s v="12"/>
    <s v="תוספות שאינן נכללות בשכר הקובע"/>
    <s v="120"/>
    <e v="#N/A"/>
  </r>
  <r>
    <n v="100"/>
    <n v="732100"/>
    <n v="1"/>
    <s v="1732100.100"/>
    <s v="תיכנון עיר - שכר לעובדים קבועים"/>
    <m/>
    <m/>
    <n v="3346200"/>
    <n v="3309200"/>
    <n v="3241600"/>
    <e v="#N/A"/>
    <x v="7"/>
    <x v="1"/>
    <x v="21"/>
    <x v="5"/>
    <x v="60"/>
    <x v="44"/>
    <s v="7321"/>
    <s v="תכנון כללי"/>
    <m/>
    <s v="1"/>
    <x v="8"/>
    <s v="10"/>
    <e v="#N/A"/>
    <s v="100"/>
    <e v="#N/A"/>
  </r>
  <r>
    <n v="120"/>
    <n v="732100"/>
    <n v="1"/>
    <s v="1732100.120"/>
    <s v="תיכנון עיר - שעות נוספות"/>
    <m/>
    <m/>
    <n v="57800"/>
    <n v="57800"/>
    <n v="68000"/>
    <e v="#N/A"/>
    <x v="7"/>
    <x v="1"/>
    <x v="21"/>
    <x v="5"/>
    <x v="60"/>
    <x v="44"/>
    <s v="7321"/>
    <s v="תכנון כללי"/>
    <m/>
    <s v="1"/>
    <x v="8"/>
    <s v="12"/>
    <s v="תוספות שאינן נכללות בשכר הקובע"/>
    <s v="120"/>
    <e v="#N/A"/>
  </r>
  <r>
    <n v="400"/>
    <n v="732100"/>
    <n v="1"/>
    <s v="1732100.400"/>
    <s v="תיכנון עיר - אחזקה אספקה וציוד"/>
    <m/>
    <m/>
    <n v="20800"/>
    <n v="20800"/>
    <n v="13800"/>
    <m/>
    <x v="7"/>
    <x v="1"/>
    <x v="21"/>
    <x v="5"/>
    <x v="60"/>
    <x v="44"/>
    <s v="7321"/>
    <s v="תכנון כללי"/>
    <m/>
    <s v="4"/>
    <x v="11"/>
    <s v="40"/>
    <e v="#N/A"/>
    <s v="400"/>
    <e v="#N/A"/>
  </r>
  <r>
    <n v="500"/>
    <n v="732100"/>
    <n v="1"/>
    <s v="1732100.500"/>
    <s v="תיכנון עיר - תחבורה ודואר"/>
    <m/>
    <m/>
    <n v="37200"/>
    <n v="40700"/>
    <n v="45300"/>
    <m/>
    <x v="7"/>
    <x v="1"/>
    <x v="21"/>
    <x v="5"/>
    <x v="60"/>
    <x v="44"/>
    <s v="7321"/>
    <s v="תכנון כללי"/>
    <m/>
    <s v="5"/>
    <x v="12"/>
    <s v="50"/>
    <e v="#N/A"/>
    <s v="500"/>
    <e v="#N/A"/>
  </r>
  <r>
    <n v="500"/>
    <n v="732100"/>
    <n v="1"/>
    <s v="1732100.500"/>
    <s v="תיכנון עיר - הוצאות כלליות"/>
    <m/>
    <m/>
    <n v="90700"/>
    <n v="91700"/>
    <n v="68800"/>
    <e v="#N/A"/>
    <x v="7"/>
    <x v="1"/>
    <x v="21"/>
    <x v="5"/>
    <x v="60"/>
    <x v="44"/>
    <s v="7321"/>
    <s v="תכנון כללי"/>
    <m/>
    <s v="5"/>
    <x v="12"/>
    <s v="50"/>
    <e v="#N/A"/>
    <s v="500"/>
    <e v="#N/A"/>
  </r>
  <r>
    <n v="700"/>
    <n v="732100"/>
    <n v="1"/>
    <s v="1732100.700"/>
    <s v="תיכנון עיר - הוצאות לפעולות"/>
    <m/>
    <m/>
    <n v="11900"/>
    <n v="12100"/>
    <n v="21200"/>
    <e v="#N/A"/>
    <x v="7"/>
    <x v="1"/>
    <x v="21"/>
    <x v="5"/>
    <x v="60"/>
    <x v="44"/>
    <s v="7321"/>
    <s v="תכנון כללי"/>
    <m/>
    <s v="7"/>
    <x v="9"/>
    <s v="70"/>
    <e v="#N/A"/>
    <s v="700"/>
    <e v="#N/A"/>
  </r>
  <r>
    <n v="100"/>
    <n v="771500"/>
    <n v="1"/>
    <s v="1771500.100"/>
    <s v="תיכנון טווח ארוך - שכר לעובדים קבועים"/>
    <m/>
    <m/>
    <n v="1021400"/>
    <n v="713400"/>
    <n v="882200"/>
    <e v="#N/A"/>
    <x v="7"/>
    <x v="1"/>
    <x v="22"/>
    <x v="18"/>
    <x v="61"/>
    <x v="45"/>
    <s v="7715"/>
    <e v="#N/A"/>
    <m/>
    <s v="1"/>
    <x v="8"/>
    <s v="10"/>
    <e v="#N/A"/>
    <s v="100"/>
    <e v="#N/A"/>
  </r>
  <r>
    <n v="120"/>
    <n v="771500"/>
    <n v="1"/>
    <s v="1771500.120"/>
    <s v="תיכנון טווח ארוך - שעות נוספות"/>
    <m/>
    <m/>
    <n v="35600"/>
    <n v="35600"/>
    <n v="34400"/>
    <e v="#N/A"/>
    <x v="7"/>
    <x v="1"/>
    <x v="22"/>
    <x v="18"/>
    <x v="61"/>
    <x v="45"/>
    <s v="7715"/>
    <e v="#N/A"/>
    <m/>
    <s v="1"/>
    <x v="8"/>
    <s v="12"/>
    <s v="תוספות שאינן נכללות בשכר הקובע"/>
    <s v="120"/>
    <e v="#N/A"/>
  </r>
  <r>
    <n v="400"/>
    <n v="771500"/>
    <n v="1"/>
    <s v="1771500.400"/>
    <s v="תיכנון טווח ארוך - אחזקה אספקה וציוד"/>
    <m/>
    <m/>
    <n v="4000"/>
    <n v="4200"/>
    <n v="4400"/>
    <e v="#N/A"/>
    <x v="7"/>
    <x v="1"/>
    <x v="22"/>
    <x v="18"/>
    <x v="61"/>
    <x v="45"/>
    <s v="7715"/>
    <e v="#N/A"/>
    <m/>
    <s v="4"/>
    <x v="11"/>
    <s v="40"/>
    <e v="#N/A"/>
    <s v="400"/>
    <e v="#N/A"/>
  </r>
  <r>
    <n v="500"/>
    <n v="771500"/>
    <n v="1"/>
    <s v="1771500.500"/>
    <s v="תיכנון טווח ארוך - תחבורה ודואר"/>
    <m/>
    <m/>
    <n v="15700"/>
    <n v="15800"/>
    <n v="9300"/>
    <e v="#N/A"/>
    <x v="7"/>
    <x v="1"/>
    <x v="22"/>
    <x v="18"/>
    <x v="61"/>
    <x v="45"/>
    <s v="7715"/>
    <e v="#N/A"/>
    <m/>
    <s v="5"/>
    <x v="12"/>
    <s v="50"/>
    <e v="#N/A"/>
    <s v="500"/>
    <e v="#N/A"/>
  </r>
  <r>
    <n v="500"/>
    <n v="771500"/>
    <n v="1"/>
    <s v="1771500.500"/>
    <s v="תיכנון טווח ארוך - הוצאות כלליות"/>
    <m/>
    <m/>
    <n v="10000"/>
    <n v="10400"/>
    <n v="300"/>
    <e v="#N/A"/>
    <x v="7"/>
    <x v="1"/>
    <x v="22"/>
    <x v="18"/>
    <x v="61"/>
    <x v="45"/>
    <s v="7715"/>
    <e v="#N/A"/>
    <m/>
    <s v="5"/>
    <x v="12"/>
    <s v="50"/>
    <e v="#N/A"/>
    <s v="500"/>
    <e v="#N/A"/>
  </r>
  <r>
    <n v="700"/>
    <n v="771500"/>
    <n v="1"/>
    <s v="1771500.700"/>
    <s v="תיכנון טווח ארוך - הוצאות לפעולות"/>
    <m/>
    <m/>
    <n v="11000"/>
    <n v="11500"/>
    <n v="2000"/>
    <e v="#N/A"/>
    <x v="7"/>
    <x v="1"/>
    <x v="22"/>
    <x v="18"/>
    <x v="61"/>
    <x v="45"/>
    <s v="7715"/>
    <e v="#N/A"/>
    <m/>
    <s v="7"/>
    <x v="9"/>
    <s v="70"/>
    <e v="#N/A"/>
    <s v="700"/>
    <e v="#N/A"/>
  </r>
  <r>
    <n v="100"/>
    <n v="771510"/>
    <n v="1"/>
    <s v="1771510.100"/>
    <s v="המחלקה למידע ותכנון עיר - שכר לעובדים קבועים"/>
    <m/>
    <m/>
    <n v="2207600"/>
    <n v="1836600"/>
    <n v="2155100"/>
    <e v="#N/A"/>
    <x v="7"/>
    <x v="1"/>
    <x v="22"/>
    <x v="18"/>
    <x v="61"/>
    <x v="45"/>
    <s v="7715"/>
    <e v="#N/A"/>
    <m/>
    <s v="1"/>
    <x v="8"/>
    <s v="10"/>
    <e v="#N/A"/>
    <s v="100"/>
    <e v="#N/A"/>
  </r>
  <r>
    <n v="120"/>
    <n v="771510"/>
    <n v="1"/>
    <s v="1771510.120"/>
    <s v="המחלקה למידע ותכנון עיר - שעות נוספות"/>
    <m/>
    <m/>
    <n v="54400"/>
    <n v="54400"/>
    <n v="46100"/>
    <e v="#N/A"/>
    <x v="7"/>
    <x v="1"/>
    <x v="22"/>
    <x v="18"/>
    <x v="61"/>
    <x v="45"/>
    <s v="7715"/>
    <e v="#N/A"/>
    <m/>
    <s v="1"/>
    <x v="8"/>
    <s v="12"/>
    <s v="תוספות שאינן נכללות בשכר הקובע"/>
    <s v="120"/>
    <e v="#N/A"/>
  </r>
  <r>
    <n v="100"/>
    <n v="732040"/>
    <n v="1"/>
    <s v="1732040.100"/>
    <s v="המחלקה ליעודי קרקע - שכר לעובדים קבועים"/>
    <m/>
    <m/>
    <n v="1805700"/>
    <n v="1785700"/>
    <n v="16349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40"/>
    <n v="1"/>
    <s v="1732040.120"/>
    <s v="המחלקה ליעודי קרקע - שעות נוספות"/>
    <m/>
    <m/>
    <n v="28300"/>
    <n v="28300"/>
    <n v="309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40"/>
    <n v="1"/>
    <s v="1732040.400"/>
    <s v="המחלקה ליעודי קרקע - אחזקה אספקה וציוד"/>
    <m/>
    <m/>
    <n v="8500"/>
    <n v="8600"/>
    <n v="6100"/>
    <e v="#N/A"/>
    <x v="7"/>
    <x v="1"/>
    <x v="21"/>
    <x v="5"/>
    <x v="60"/>
    <x v="44"/>
    <s v="7320"/>
    <e v="#N/A"/>
    <m/>
    <s v="4"/>
    <x v="11"/>
    <s v="40"/>
    <e v="#N/A"/>
    <s v="400"/>
    <e v="#N/A"/>
  </r>
  <r>
    <n v="500"/>
    <n v="732040"/>
    <n v="1"/>
    <s v="1732040.500"/>
    <s v="המחלקה ליעודי קרקע - תחבורה ודואר"/>
    <m/>
    <m/>
    <n v="5000"/>
    <n v="5100"/>
    <n v="400"/>
    <e v="#N/A"/>
    <x v="7"/>
    <x v="1"/>
    <x v="21"/>
    <x v="5"/>
    <x v="60"/>
    <x v="44"/>
    <s v="7320"/>
    <e v="#N/A"/>
    <m/>
    <s v="5"/>
    <x v="12"/>
    <s v="50"/>
    <e v="#N/A"/>
    <s v="500"/>
    <e v="#N/A"/>
  </r>
  <r>
    <n v="500"/>
    <n v="732040"/>
    <n v="1"/>
    <s v="1732040.500"/>
    <s v="המחלקה ליעודי קרקע - הוצאות כלליות"/>
    <m/>
    <m/>
    <n v="2000"/>
    <n v="2400"/>
    <n v="1300"/>
    <e v="#N/A"/>
    <x v="7"/>
    <x v="1"/>
    <x v="21"/>
    <x v="5"/>
    <x v="60"/>
    <x v="44"/>
    <s v="7320"/>
    <e v="#N/A"/>
    <m/>
    <s v="5"/>
    <x v="12"/>
    <s v="50"/>
    <e v="#N/A"/>
    <s v="500"/>
    <e v="#N/A"/>
  </r>
  <r>
    <n v="700"/>
    <n v="732040"/>
    <n v="1"/>
    <s v="1732040.700"/>
    <s v="המחלקה ליעודי קרקע - הוצאות לפעולות"/>
    <m/>
    <m/>
    <n v="17600"/>
    <n v="18000"/>
    <n v="15200"/>
    <e v="#N/A"/>
    <x v="7"/>
    <x v="1"/>
    <x v="21"/>
    <x v="5"/>
    <x v="60"/>
    <x v="44"/>
    <s v="7320"/>
    <e v="#N/A"/>
    <m/>
    <s v="7"/>
    <x v="9"/>
    <s v="70"/>
    <e v="#N/A"/>
    <s v="700"/>
    <e v="#N/A"/>
  </r>
  <r>
    <n v="100"/>
    <n v="733000"/>
    <n v="1"/>
    <s v="1733000.100"/>
    <s v="אגף פיקוח ורישוי על הבניה - שכר לעובדים קבועים"/>
    <m/>
    <m/>
    <n v="10784700"/>
    <n v="9672700"/>
    <n v="9692800"/>
    <e v="#N/A"/>
    <x v="7"/>
    <x v="1"/>
    <x v="21"/>
    <x v="5"/>
    <x v="62"/>
    <x v="10"/>
    <s v="7330"/>
    <e v="#N/A"/>
    <m/>
    <s v="1"/>
    <x v="8"/>
    <s v="10"/>
    <e v="#N/A"/>
    <s v="100"/>
    <e v="#N/A"/>
  </r>
  <r>
    <n v="120"/>
    <n v="733000"/>
    <n v="1"/>
    <s v="1733000.120"/>
    <s v="אגף פיקוח ורישוי על הבניה - שעות נוספות"/>
    <m/>
    <m/>
    <n v="415300"/>
    <n v="415300"/>
    <n v="456900"/>
    <e v="#N/A"/>
    <x v="7"/>
    <x v="1"/>
    <x v="21"/>
    <x v="5"/>
    <x v="62"/>
    <x v="10"/>
    <s v="7330"/>
    <e v="#N/A"/>
    <m/>
    <s v="1"/>
    <x v="8"/>
    <s v="12"/>
    <s v="תוספות שאינן נכללות בשכר הקובע"/>
    <s v="120"/>
    <e v="#N/A"/>
  </r>
  <r>
    <n v="400"/>
    <n v="733000"/>
    <n v="1"/>
    <s v="1733000.400"/>
    <s v="אגף פיקוח ורישוי על הבניה - אחזקה אספקה וציוד"/>
    <m/>
    <m/>
    <n v="55000"/>
    <n v="59600"/>
    <n v="57000"/>
    <e v="#N/A"/>
    <x v="7"/>
    <x v="1"/>
    <x v="21"/>
    <x v="5"/>
    <x v="62"/>
    <x v="10"/>
    <s v="7330"/>
    <e v="#N/A"/>
    <m/>
    <s v="4"/>
    <x v="11"/>
    <s v="40"/>
    <e v="#N/A"/>
    <s v="400"/>
    <e v="#N/A"/>
  </r>
  <r>
    <n v="500"/>
    <n v="733000"/>
    <n v="1"/>
    <s v="1733000.500"/>
    <s v="אגף פיקוח ורישוי על הבניה - תחבורה ודואר"/>
    <m/>
    <m/>
    <n v="186300"/>
    <n v="186300"/>
    <n v="168800"/>
    <e v="#N/A"/>
    <x v="7"/>
    <x v="1"/>
    <x v="21"/>
    <x v="5"/>
    <x v="62"/>
    <x v="10"/>
    <s v="7330"/>
    <e v="#N/A"/>
    <m/>
    <s v="5"/>
    <x v="12"/>
    <s v="50"/>
    <e v="#N/A"/>
    <s v="500"/>
    <e v="#N/A"/>
  </r>
  <r>
    <n v="500"/>
    <n v="733000"/>
    <n v="1"/>
    <s v="1733000.500"/>
    <s v="אגף פיקוח ורישוי על הבניה - הוצאות כלליות"/>
    <m/>
    <m/>
    <n v="17900"/>
    <n v="22400"/>
    <n v="7300"/>
    <e v="#N/A"/>
    <x v="7"/>
    <x v="1"/>
    <x v="21"/>
    <x v="5"/>
    <x v="62"/>
    <x v="10"/>
    <s v="7330"/>
    <e v="#N/A"/>
    <m/>
    <s v="5"/>
    <x v="12"/>
    <s v="50"/>
    <e v="#N/A"/>
    <s v="500"/>
    <e v="#N/A"/>
  </r>
  <r>
    <n v="700"/>
    <n v="733000"/>
    <n v="1"/>
    <s v="1733000.700"/>
    <s v="אגף פיקוח ורישוי על הבניה - הוצאות לפעולות"/>
    <m/>
    <m/>
    <n v="90000"/>
    <n v="91200"/>
    <n v="101500"/>
    <e v="#N/A"/>
    <x v="7"/>
    <x v="1"/>
    <x v="21"/>
    <x v="5"/>
    <x v="62"/>
    <x v="10"/>
    <s v="7330"/>
    <e v="#N/A"/>
    <m/>
    <s v="7"/>
    <x v="9"/>
    <s v="70"/>
    <e v="#N/A"/>
    <s v="700"/>
    <e v="#N/A"/>
  </r>
  <r>
    <n v="100"/>
    <n v="732060"/>
    <n v="1"/>
    <s v="1732060.100"/>
    <s v="אגף לתכנון דרכים תנועה ונוף - שכר לעובדים קבועים"/>
    <m/>
    <m/>
    <n v="6279600"/>
    <n v="6208600"/>
    <n v="63886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60"/>
    <n v="1"/>
    <s v="1732060.120"/>
    <s v="אגף לתכנון דרכים תנועה ונוף - שעות נוספות"/>
    <m/>
    <m/>
    <n v="229400"/>
    <n v="229400"/>
    <n v="2460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60"/>
    <n v="1"/>
    <s v="1732060.400"/>
    <s v="אגף לתכנון דרכים תנועה ונוף - אחזקה אספקה וציוד"/>
    <m/>
    <m/>
    <n v="46500"/>
    <n v="48100"/>
    <n v="36800"/>
    <e v="#N/A"/>
    <x v="7"/>
    <x v="1"/>
    <x v="21"/>
    <x v="5"/>
    <x v="60"/>
    <x v="44"/>
    <s v="7320"/>
    <e v="#N/A"/>
    <m/>
    <s v="4"/>
    <x v="11"/>
    <s v="40"/>
    <e v="#N/A"/>
    <s v="400"/>
    <e v="#N/A"/>
  </r>
  <r>
    <n v="500"/>
    <n v="732060"/>
    <n v="1"/>
    <s v="1732060.500"/>
    <s v="אגף לתכנון דרכים תנועה ונוף - תחבורה ודואר"/>
    <m/>
    <m/>
    <n v="51000"/>
    <n v="51900"/>
    <n v="42600"/>
    <e v="#N/A"/>
    <x v="7"/>
    <x v="1"/>
    <x v="21"/>
    <x v="5"/>
    <x v="60"/>
    <x v="44"/>
    <s v="7320"/>
    <e v="#N/A"/>
    <m/>
    <s v="5"/>
    <x v="12"/>
    <s v="50"/>
    <e v="#N/A"/>
    <s v="500"/>
    <e v="#N/A"/>
  </r>
  <r>
    <n v="500"/>
    <n v="732060"/>
    <n v="1"/>
    <s v="1732060.500"/>
    <s v="אגף לתכנון דרכים תנועה ונוף - הוצאות כלליות"/>
    <m/>
    <m/>
    <n v="22000"/>
    <n v="22700"/>
    <n v="1100"/>
    <e v="#N/A"/>
    <x v="7"/>
    <x v="1"/>
    <x v="21"/>
    <x v="5"/>
    <x v="60"/>
    <x v="44"/>
    <s v="7320"/>
    <e v="#N/A"/>
    <m/>
    <s v="5"/>
    <x v="12"/>
    <s v="50"/>
    <e v="#N/A"/>
    <s v="500"/>
    <e v="#N/A"/>
  </r>
  <r>
    <n v="700"/>
    <n v="732060"/>
    <n v="1"/>
    <s v="1732060.700"/>
    <s v="אגף לתכנון דרכים תנועה ונוף - הוצאות לפעולות"/>
    <m/>
    <m/>
    <n v="27000"/>
    <n v="27800"/>
    <n v="15400"/>
    <e v="#N/A"/>
    <x v="7"/>
    <x v="1"/>
    <x v="21"/>
    <x v="5"/>
    <x v="60"/>
    <x v="44"/>
    <s v="7320"/>
    <e v="#N/A"/>
    <m/>
    <s v="7"/>
    <x v="9"/>
    <s v="70"/>
    <e v="#N/A"/>
    <s v="700"/>
    <e v="#N/A"/>
  </r>
  <r>
    <n v="100"/>
    <n v="732091"/>
    <n v="1"/>
    <s v="1732091.100"/>
    <s v="הנהלת אגף נכסים - שכר לעובדים קבועים"/>
    <m/>
    <m/>
    <n v="1580600"/>
    <n v="1562600"/>
    <n v="13153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91"/>
    <n v="1"/>
    <s v="1732091.120"/>
    <s v="הנהלת אגף נכסים - שעות נוספות"/>
    <m/>
    <m/>
    <n v="38400"/>
    <n v="38400"/>
    <n v="314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32092"/>
    <n v="1"/>
    <s v="1732092.100"/>
    <s v="שמאי העירייה - שכר לעובדים קבועים"/>
    <m/>
    <m/>
    <n v="588700"/>
    <n v="581700"/>
    <n v="5446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92"/>
    <n v="1"/>
    <s v="1732092.120"/>
    <s v="שמאי העירייה - שעות נוספות"/>
    <m/>
    <m/>
    <n v="27300"/>
    <n v="27300"/>
    <n v="345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32090"/>
    <n v="1"/>
    <s v="1732090.100"/>
    <s v="מחלקה לפיתוח מקרקעין - שכר לעובדים קבועים"/>
    <m/>
    <m/>
    <n v="1309500"/>
    <n v="1294500"/>
    <n v="12455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90"/>
    <n v="1"/>
    <s v="1732090.120"/>
    <s v="מחלקה לפיתוח מקרקעין - שעות נוספות"/>
    <m/>
    <m/>
    <n v="30500"/>
    <n v="30500"/>
    <n v="336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400"/>
    <n v="732090"/>
    <n v="1"/>
    <s v="1732090.400"/>
    <s v="מחלקה לפיתוח מקרקעין - אחזקה אספקה וציוד"/>
    <m/>
    <m/>
    <n v="40000"/>
    <n v="42000"/>
    <n v="17000"/>
    <m/>
    <x v="7"/>
    <x v="1"/>
    <x v="21"/>
    <x v="5"/>
    <x v="60"/>
    <x v="44"/>
    <s v="7320"/>
    <e v="#N/A"/>
    <m/>
    <s v="4"/>
    <x v="11"/>
    <s v="40"/>
    <e v="#N/A"/>
    <s v="400"/>
    <e v="#N/A"/>
  </r>
  <r>
    <n v="500"/>
    <n v="732090"/>
    <n v="1"/>
    <s v="1732090.500"/>
    <s v="מחלקה לפיתוח מקרקעין - תחבורה ודואר"/>
    <m/>
    <m/>
    <n v="3000"/>
    <n v="3000"/>
    <n v="0"/>
    <e v="#N/A"/>
    <x v="7"/>
    <x v="1"/>
    <x v="21"/>
    <x v="5"/>
    <x v="60"/>
    <x v="44"/>
    <s v="7320"/>
    <e v="#N/A"/>
    <m/>
    <s v="5"/>
    <x v="12"/>
    <s v="50"/>
    <e v="#N/A"/>
    <s v="500"/>
    <e v="#N/A"/>
  </r>
  <r>
    <n v="500"/>
    <n v="732090"/>
    <n v="1"/>
    <s v="1732090.500"/>
    <s v="מחלקה לפיתוח מקרקעין - הוצאות כלליות"/>
    <m/>
    <m/>
    <n v="34600"/>
    <n v="36500"/>
    <n v="9000"/>
    <m/>
    <x v="7"/>
    <x v="1"/>
    <x v="21"/>
    <x v="5"/>
    <x v="60"/>
    <x v="44"/>
    <s v="7320"/>
    <e v="#N/A"/>
    <m/>
    <s v="5"/>
    <x v="12"/>
    <s v="50"/>
    <e v="#N/A"/>
    <s v="500"/>
    <e v="#N/A"/>
  </r>
  <r>
    <n v="700"/>
    <n v="732090"/>
    <n v="1"/>
    <s v="1732090.700"/>
    <s v="מחלקה לפיתוח מקרקעין - הוצאות לפעולות"/>
    <m/>
    <m/>
    <n v="55800"/>
    <n v="55800"/>
    <n v="25200"/>
    <e v="#N/A"/>
    <x v="7"/>
    <x v="1"/>
    <x v="21"/>
    <x v="5"/>
    <x v="60"/>
    <x v="44"/>
    <s v="7320"/>
    <e v="#N/A"/>
    <m/>
    <s v="7"/>
    <x v="9"/>
    <s v="70"/>
    <e v="#N/A"/>
    <s v="700"/>
    <e v="#N/A"/>
  </r>
  <r>
    <n v="100"/>
    <n v="931000"/>
    <n v="1"/>
    <s v="1931000.100"/>
    <s v="המחלקה לנכסים ציבוריים - שכר לעובדים קבועים"/>
    <m/>
    <m/>
    <n v="983300"/>
    <n v="1219300"/>
    <n v="821200"/>
    <e v="#N/A"/>
    <x v="8"/>
    <x v="3"/>
    <x v="23"/>
    <x v="12"/>
    <x v="63"/>
    <x v="46"/>
    <s v="9310"/>
    <e v="#N/A"/>
    <m/>
    <s v="1"/>
    <x v="8"/>
    <s v="10"/>
    <e v="#N/A"/>
    <s v="100"/>
    <e v="#N/A"/>
  </r>
  <r>
    <n v="120"/>
    <n v="931000"/>
    <n v="1"/>
    <s v="1931000.120"/>
    <s v="המחלקה לנכסים ציבוריים - שעות נוספות"/>
    <m/>
    <m/>
    <n v="39700"/>
    <n v="39700"/>
    <n v="27900"/>
    <n v="69147"/>
    <x v="8"/>
    <x v="3"/>
    <x v="23"/>
    <x v="12"/>
    <x v="63"/>
    <x v="46"/>
    <s v="9310"/>
    <e v="#N/A"/>
    <m/>
    <s v="1"/>
    <x v="8"/>
    <s v="12"/>
    <s v="תוספות שאינן נכללות בשכר הקובע"/>
    <s v="120"/>
    <e v="#N/A"/>
  </r>
  <r>
    <n v="400"/>
    <n v="931000"/>
    <n v="1"/>
    <s v="1931000.400"/>
    <s v="המחלקה לנכסים ציבוריים - אחזקה אספקה וציוד"/>
    <m/>
    <m/>
    <n v="2106900"/>
    <n v="2168400"/>
    <n v="2056800"/>
    <e v="#N/A"/>
    <x v="8"/>
    <x v="3"/>
    <x v="23"/>
    <x v="12"/>
    <x v="63"/>
    <x v="46"/>
    <s v="9310"/>
    <e v="#N/A"/>
    <m/>
    <s v="4"/>
    <x v="11"/>
    <s v="40"/>
    <e v="#N/A"/>
    <s v="400"/>
    <e v="#N/A"/>
  </r>
  <r>
    <n v="500"/>
    <n v="931000"/>
    <n v="1"/>
    <s v="1931000.500"/>
    <s v="המחלקה לנכסים ציבוריים - תחבורה ודואר"/>
    <m/>
    <m/>
    <n v="62100"/>
    <n v="64000"/>
    <n v="53900"/>
    <e v="#N/A"/>
    <x v="8"/>
    <x v="3"/>
    <x v="23"/>
    <x v="12"/>
    <x v="63"/>
    <x v="46"/>
    <s v="9310"/>
    <e v="#N/A"/>
    <m/>
    <s v="5"/>
    <x v="12"/>
    <s v="50"/>
    <e v="#N/A"/>
    <s v="500"/>
    <e v="#N/A"/>
  </r>
  <r>
    <n v="500"/>
    <n v="931000"/>
    <n v="1"/>
    <s v="1931000.500"/>
    <s v="המחלקה לנכסים ציבוריים - הוצאות כלליות"/>
    <m/>
    <m/>
    <n v="56200"/>
    <n v="57900"/>
    <n v="37700"/>
    <e v="#N/A"/>
    <x v="8"/>
    <x v="3"/>
    <x v="23"/>
    <x v="12"/>
    <x v="63"/>
    <x v="46"/>
    <s v="9310"/>
    <e v="#N/A"/>
    <m/>
    <s v="5"/>
    <x v="12"/>
    <s v="50"/>
    <e v="#N/A"/>
    <s v="500"/>
    <e v="#N/A"/>
  </r>
  <r>
    <n v="700"/>
    <n v="931000"/>
    <n v="1"/>
    <s v="1931000.700"/>
    <s v="המחלקה לנכסים ציבוריים - הוצאות לפעולות"/>
    <m/>
    <m/>
    <n v="217300"/>
    <n v="224000"/>
    <n v="176500"/>
    <e v="#N/A"/>
    <x v="8"/>
    <x v="3"/>
    <x v="23"/>
    <x v="12"/>
    <x v="63"/>
    <x v="46"/>
    <s v="9310"/>
    <e v="#N/A"/>
    <m/>
    <s v="7"/>
    <x v="9"/>
    <s v="70"/>
    <e v="#N/A"/>
    <s v="700"/>
    <e v="#N/A"/>
  </r>
  <r>
    <n v="100"/>
    <n v="732093"/>
    <n v="1"/>
    <s v="1732093.100"/>
    <s v="תחום רישום נכסים - שכר לעובדים קבועים"/>
    <m/>
    <m/>
    <n v="774400"/>
    <n v="765400"/>
    <n v="785100"/>
    <e v="#N/A"/>
    <x v="7"/>
    <x v="1"/>
    <x v="21"/>
    <x v="5"/>
    <x v="60"/>
    <x v="44"/>
    <s v="7320"/>
    <e v="#N/A"/>
    <m/>
    <s v="1"/>
    <x v="8"/>
    <s v="10"/>
    <e v="#N/A"/>
    <s v="100"/>
    <e v="#N/A"/>
  </r>
  <r>
    <n v="120"/>
    <n v="732093"/>
    <n v="1"/>
    <s v="1732093.120"/>
    <s v="תחום רישום נכסים - שעות נוספות"/>
    <m/>
    <m/>
    <n v="16600"/>
    <n v="16600"/>
    <n v="9000"/>
    <e v="#N/A"/>
    <x v="7"/>
    <x v="1"/>
    <x v="21"/>
    <x v="5"/>
    <x v="60"/>
    <x v="44"/>
    <s v="7320"/>
    <e v="#N/A"/>
    <m/>
    <s v="1"/>
    <x v="8"/>
    <s v="12"/>
    <s v="תוספות שאינן נכללות בשכר הקובע"/>
    <s v="120"/>
    <e v="#N/A"/>
  </r>
  <r>
    <n v="100"/>
    <n v="711200"/>
    <n v="1"/>
    <s v="1711200.100"/>
    <s v="רישוי עסקים - שכר לעובדים קבועים"/>
    <m/>
    <m/>
    <n v="1756800"/>
    <n v="1736800"/>
    <n v="1654200"/>
    <e v="#N/A"/>
    <x v="7"/>
    <x v="1"/>
    <x v="24"/>
    <x v="3"/>
    <x v="64"/>
    <x v="47"/>
    <s v="7112"/>
    <e v="#N/A"/>
    <m/>
    <s v="1"/>
    <x v="8"/>
    <s v="10"/>
    <e v="#N/A"/>
    <s v="100"/>
    <e v="#N/A"/>
  </r>
  <r>
    <n v="120"/>
    <n v="711200"/>
    <n v="1"/>
    <s v="1711200.120"/>
    <s v="רישוי עסקים - שעות נוספות"/>
    <m/>
    <m/>
    <n v="81200"/>
    <n v="81200"/>
    <n v="103200"/>
    <e v="#N/A"/>
    <x v="7"/>
    <x v="1"/>
    <x v="24"/>
    <x v="3"/>
    <x v="64"/>
    <x v="47"/>
    <s v="7112"/>
    <e v="#N/A"/>
    <m/>
    <s v="1"/>
    <x v="8"/>
    <s v="12"/>
    <s v="תוספות שאינן נכללות בשכר הקובע"/>
    <s v="120"/>
    <e v="#N/A"/>
  </r>
  <r>
    <n v="400"/>
    <n v="711200"/>
    <n v="1"/>
    <s v="1711200.400"/>
    <s v="רישוי עסקים - אחזקה אספקה וציוד"/>
    <m/>
    <m/>
    <n v="8000"/>
    <n v="8700"/>
    <n v="9800"/>
    <e v="#N/A"/>
    <x v="7"/>
    <x v="1"/>
    <x v="24"/>
    <x v="3"/>
    <x v="64"/>
    <x v="47"/>
    <s v="7112"/>
    <e v="#N/A"/>
    <m/>
    <s v="4"/>
    <x v="11"/>
    <s v="40"/>
    <e v="#N/A"/>
    <s v="400"/>
    <e v="#N/A"/>
  </r>
  <r>
    <n v="500"/>
    <n v="711200"/>
    <n v="1"/>
    <s v="1711200.500"/>
    <s v="רישוי עסקים - תחבורה ודואר"/>
    <m/>
    <m/>
    <n v="40800"/>
    <n v="41300"/>
    <n v="28300"/>
    <e v="#N/A"/>
    <x v="7"/>
    <x v="1"/>
    <x v="24"/>
    <x v="3"/>
    <x v="64"/>
    <x v="47"/>
    <s v="7112"/>
    <e v="#N/A"/>
    <m/>
    <s v="5"/>
    <x v="12"/>
    <s v="50"/>
    <e v="#N/A"/>
    <s v="500"/>
    <e v="#N/A"/>
  </r>
  <r>
    <n v="500"/>
    <n v="711200"/>
    <n v="1"/>
    <s v="1711200.500"/>
    <s v="רישוי עסקים - הוצאות כלליות"/>
    <m/>
    <m/>
    <n v="800"/>
    <n v="800"/>
    <n v="400"/>
    <e v="#N/A"/>
    <x v="7"/>
    <x v="1"/>
    <x v="24"/>
    <x v="3"/>
    <x v="64"/>
    <x v="47"/>
    <s v="7112"/>
    <e v="#N/A"/>
    <m/>
    <s v="5"/>
    <x v="12"/>
    <s v="50"/>
    <e v="#N/A"/>
    <s v="500"/>
    <e v="#N/A"/>
  </r>
  <r>
    <n v="700"/>
    <n v="711200"/>
    <n v="1"/>
    <s v="1711200.700"/>
    <s v="רישוי עסקים - הוצאות לפעולות"/>
    <m/>
    <m/>
    <n v="8000"/>
    <n v="8500"/>
    <n v="5600"/>
    <e v="#N/A"/>
    <x v="7"/>
    <x v="1"/>
    <x v="24"/>
    <x v="3"/>
    <x v="64"/>
    <x v="47"/>
    <s v="7112"/>
    <e v="#N/A"/>
    <m/>
    <s v="7"/>
    <x v="9"/>
    <s v="70"/>
    <e v="#N/A"/>
    <s v="700"/>
    <e v="#N/A"/>
  </r>
  <r>
    <n v="700"/>
    <n v="731115"/>
    <n v="1"/>
    <s v="1731115.700"/>
    <s v="משתלם העתקות אור - הוצאות לפעולות"/>
    <m/>
    <m/>
    <n v="307700"/>
    <n v="307700"/>
    <n v="227700"/>
    <e v="#N/A"/>
    <x v="7"/>
    <x v="1"/>
    <x v="21"/>
    <x v="5"/>
    <x v="59"/>
    <x v="9"/>
    <s v="7311"/>
    <e v="#N/A"/>
    <m/>
    <s v="7"/>
    <x v="9"/>
    <s v="70"/>
    <e v="#N/A"/>
    <s v="700"/>
    <e v="#N/A"/>
  </r>
  <r>
    <n v="100"/>
    <n v="611000"/>
    <n v="1"/>
    <s v="1611000.100"/>
    <s v="לשכת ראש העיר‏‏ - שכר לעובדים קבועים"/>
    <m/>
    <m/>
    <n v="2762000"/>
    <n v="2731000"/>
    <n v="2595800"/>
    <e v="#N/A"/>
    <x v="9"/>
    <x v="6"/>
    <x v="25"/>
    <x v="19"/>
    <x v="65"/>
    <x v="48"/>
    <s v="6110"/>
    <e v="#N/A"/>
    <m/>
    <s v="1"/>
    <x v="8"/>
    <s v="10"/>
    <e v="#N/A"/>
    <s v="100"/>
    <e v="#N/A"/>
  </r>
  <r>
    <n v="120"/>
    <n v="611000"/>
    <n v="1"/>
    <s v="1611000.120"/>
    <s v="לשכת ראש העיר‏‏ - שעות נוספות"/>
    <m/>
    <m/>
    <n v="70000"/>
    <n v="70000"/>
    <n v="65400"/>
    <e v="#N/A"/>
    <x v="9"/>
    <x v="6"/>
    <x v="25"/>
    <x v="19"/>
    <x v="65"/>
    <x v="48"/>
    <s v="6110"/>
    <e v="#N/A"/>
    <m/>
    <s v="1"/>
    <x v="8"/>
    <s v="12"/>
    <s v="תוספות שאינן נכללות בשכר הקובע"/>
    <s v="120"/>
    <e v="#N/A"/>
  </r>
  <r>
    <n v="400"/>
    <n v="611000"/>
    <n v="1"/>
    <s v="1611000.400"/>
    <s v="לשכת ראש העיר‏‏ - אחזקה אספקה וציוד"/>
    <m/>
    <m/>
    <n v="95200"/>
    <n v="103700"/>
    <n v="82600"/>
    <e v="#N/A"/>
    <x v="9"/>
    <x v="6"/>
    <x v="25"/>
    <x v="19"/>
    <x v="65"/>
    <x v="48"/>
    <s v="6110"/>
    <e v="#N/A"/>
    <m/>
    <s v="4"/>
    <x v="11"/>
    <s v="40"/>
    <e v="#N/A"/>
    <s v="400"/>
    <e v="#N/A"/>
  </r>
  <r>
    <n v="500"/>
    <n v="611000"/>
    <n v="1"/>
    <s v="1611000.500"/>
    <s v="לשכת ראש העיר‏‏ - תחבורה ודואר"/>
    <m/>
    <m/>
    <n v="166200"/>
    <n v="166200"/>
    <n v="111700"/>
    <m/>
    <x v="9"/>
    <x v="6"/>
    <x v="25"/>
    <x v="19"/>
    <x v="65"/>
    <x v="48"/>
    <s v="6110"/>
    <e v="#N/A"/>
    <m/>
    <s v="5"/>
    <x v="12"/>
    <s v="50"/>
    <e v="#N/A"/>
    <s v="500"/>
    <e v="#N/A"/>
  </r>
  <r>
    <n v="500"/>
    <n v="611000"/>
    <n v="1"/>
    <s v="1611000.500"/>
    <s v="לשכת ראש העיר‏‏ - הוצאות כלליות"/>
    <m/>
    <m/>
    <n v="14000"/>
    <n v="14000"/>
    <n v="5800"/>
    <e v="#N/A"/>
    <x v="9"/>
    <x v="6"/>
    <x v="25"/>
    <x v="19"/>
    <x v="65"/>
    <x v="48"/>
    <s v="6110"/>
    <e v="#N/A"/>
    <m/>
    <s v="5"/>
    <x v="12"/>
    <s v="50"/>
    <e v="#N/A"/>
    <s v="500"/>
    <e v="#N/A"/>
  </r>
  <r>
    <n v="700"/>
    <n v="611000"/>
    <n v="1"/>
    <s v="1611000.700"/>
    <s v="לשכת ראש העיר‏‏ - הוצאות לפעולות"/>
    <m/>
    <m/>
    <n v="12000"/>
    <n v="12000"/>
    <n v="1600"/>
    <m/>
    <x v="9"/>
    <x v="6"/>
    <x v="25"/>
    <x v="19"/>
    <x v="65"/>
    <x v="48"/>
    <s v="6110"/>
    <e v="#N/A"/>
    <m/>
    <s v="7"/>
    <x v="9"/>
    <s v="70"/>
    <e v="#N/A"/>
    <s v="700"/>
    <e v="#N/A"/>
  </r>
  <r>
    <n v="100"/>
    <n v="612200"/>
    <n v="1"/>
    <s v="1612200.100"/>
    <s v="האגף לפניות הציבור - שכר לעובדים קבועים"/>
    <m/>
    <m/>
    <n v="3538500"/>
    <n v="3498500"/>
    <n v="3473900"/>
    <e v="#N/A"/>
    <x v="9"/>
    <x v="6"/>
    <x v="25"/>
    <x v="19"/>
    <x v="66"/>
    <x v="49"/>
    <s v="6122"/>
    <e v="#N/A"/>
    <m/>
    <s v="1"/>
    <x v="8"/>
    <s v="10"/>
    <e v="#N/A"/>
    <s v="100"/>
    <e v="#N/A"/>
  </r>
  <r>
    <n v="120"/>
    <n v="612200"/>
    <n v="1"/>
    <s v="1612200.120"/>
    <s v="האגף לפניות הציבור - שעות נוספות"/>
    <m/>
    <m/>
    <n v="108500"/>
    <n v="108500"/>
    <n v="76600"/>
    <e v="#N/A"/>
    <x v="9"/>
    <x v="6"/>
    <x v="25"/>
    <x v="19"/>
    <x v="66"/>
    <x v="49"/>
    <s v="6122"/>
    <e v="#N/A"/>
    <m/>
    <s v="1"/>
    <x v="8"/>
    <s v="12"/>
    <s v="תוספות שאינן נכללות בשכר הקובע"/>
    <s v="120"/>
    <e v="#N/A"/>
  </r>
  <r>
    <n v="400"/>
    <n v="612200"/>
    <n v="1"/>
    <s v="1612200.400"/>
    <s v="האגף לפניות הציבור - אחזקה אספקה וציוד"/>
    <m/>
    <m/>
    <n v="29600"/>
    <n v="29600"/>
    <n v="29000"/>
    <m/>
    <x v="9"/>
    <x v="6"/>
    <x v="25"/>
    <x v="19"/>
    <x v="66"/>
    <x v="49"/>
    <s v="6122"/>
    <e v="#N/A"/>
    <m/>
    <s v="4"/>
    <x v="11"/>
    <s v="40"/>
    <e v="#N/A"/>
    <s v="400"/>
    <e v="#N/A"/>
  </r>
  <r>
    <n v="500"/>
    <n v="612200"/>
    <n v="1"/>
    <s v="1612200.500"/>
    <s v="האגף לפניות הציבור - תחבורה ודואר"/>
    <m/>
    <m/>
    <n v="79000"/>
    <n v="79000"/>
    <n v="67700"/>
    <e v="#N/A"/>
    <x v="9"/>
    <x v="6"/>
    <x v="25"/>
    <x v="19"/>
    <x v="66"/>
    <x v="49"/>
    <s v="6122"/>
    <e v="#N/A"/>
    <m/>
    <s v="5"/>
    <x v="12"/>
    <s v="50"/>
    <e v="#N/A"/>
    <s v="500"/>
    <e v="#N/A"/>
  </r>
  <r>
    <n v="500"/>
    <n v="612200"/>
    <n v="1"/>
    <s v="1612200.500"/>
    <s v="האגף לפניות הציבור - הוצאות כלליות"/>
    <m/>
    <m/>
    <n v="24400"/>
    <n v="24400"/>
    <n v="24700"/>
    <e v="#N/A"/>
    <x v="9"/>
    <x v="6"/>
    <x v="25"/>
    <x v="19"/>
    <x v="66"/>
    <x v="49"/>
    <s v="6122"/>
    <e v="#N/A"/>
    <m/>
    <s v="5"/>
    <x v="12"/>
    <s v="50"/>
    <e v="#N/A"/>
    <s v="500"/>
    <e v="#N/A"/>
  </r>
  <r>
    <n v="700"/>
    <n v="612200"/>
    <n v="1"/>
    <s v="1612200.700"/>
    <s v="האגף לפניות הציבור - הוצאות לפעולות"/>
    <m/>
    <m/>
    <n v="85000"/>
    <n v="89300"/>
    <n v="55800"/>
    <e v="#N/A"/>
    <x v="9"/>
    <x v="6"/>
    <x v="25"/>
    <x v="19"/>
    <x v="66"/>
    <x v="49"/>
    <s v="6122"/>
    <e v="#N/A"/>
    <m/>
    <s v="7"/>
    <x v="9"/>
    <s v="70"/>
    <e v="#N/A"/>
    <s v="700"/>
    <e v="#N/A"/>
  </r>
  <r>
    <n v="800"/>
    <n v="612200"/>
    <n v="1"/>
    <s v="1612200.800"/>
    <s v="האגף לפניות הציבור - השתתפויות תמיכות ותרומות"/>
    <m/>
    <m/>
    <n v="0"/>
    <n v="2100"/>
    <n v="900"/>
    <e v="#N/A"/>
    <x v="9"/>
    <x v="6"/>
    <x v="25"/>
    <x v="19"/>
    <x v="66"/>
    <x v="49"/>
    <s v="6122"/>
    <e v="#N/A"/>
    <m/>
    <s v="8"/>
    <x v="13"/>
    <s v="80"/>
    <e v="#N/A"/>
    <s v="800"/>
    <e v="#N/A"/>
  </r>
  <r>
    <n v="100"/>
    <n v="761000"/>
    <n v="1"/>
    <s v="1761000.100"/>
    <s v="מוקד עירוני - שכר לעובדים קבועים"/>
    <m/>
    <m/>
    <n v="2711200"/>
    <n v="2679200"/>
    <n v="2319100"/>
    <e v="#N/A"/>
    <x v="7"/>
    <x v="1"/>
    <x v="26"/>
    <x v="20"/>
    <x v="67"/>
    <x v="50"/>
    <s v="7610"/>
    <e v="#N/A"/>
    <m/>
    <s v="1"/>
    <x v="8"/>
    <s v="10"/>
    <e v="#N/A"/>
    <s v="100"/>
    <e v="#N/A"/>
  </r>
  <r>
    <n v="120"/>
    <n v="761000"/>
    <n v="1"/>
    <s v="1761000.120"/>
    <s v="מוקד עירוני - שעות נוספות"/>
    <m/>
    <m/>
    <n v="201800"/>
    <n v="201800"/>
    <n v="237500"/>
    <n v="545442"/>
    <x v="7"/>
    <x v="1"/>
    <x v="26"/>
    <x v="20"/>
    <x v="67"/>
    <x v="50"/>
    <s v="7610"/>
    <e v="#N/A"/>
    <m/>
    <s v="1"/>
    <x v="8"/>
    <s v="12"/>
    <s v="תוספות שאינן נכללות בשכר הקובע"/>
    <s v="120"/>
    <e v="#N/A"/>
  </r>
  <r>
    <n v="400"/>
    <n v="761000"/>
    <n v="1"/>
    <s v="1761000.400"/>
    <s v="מוקד עירוני - אחזקה אספקה וציוד"/>
    <m/>
    <m/>
    <n v="6900"/>
    <n v="6900"/>
    <n v="4700"/>
    <e v="#N/A"/>
    <x v="7"/>
    <x v="1"/>
    <x v="26"/>
    <x v="20"/>
    <x v="67"/>
    <x v="50"/>
    <s v="7610"/>
    <e v="#N/A"/>
    <m/>
    <s v="4"/>
    <x v="11"/>
    <s v="40"/>
    <e v="#N/A"/>
    <s v="400"/>
    <e v="#N/A"/>
  </r>
  <r>
    <n v="500"/>
    <n v="761000"/>
    <n v="1"/>
    <s v="1761000.500"/>
    <s v="מוקד עירוני - תחבורה ודואר"/>
    <m/>
    <m/>
    <n v="157800"/>
    <n v="160800"/>
    <n v="112900"/>
    <e v="#N/A"/>
    <x v="7"/>
    <x v="1"/>
    <x v="26"/>
    <x v="20"/>
    <x v="67"/>
    <x v="50"/>
    <s v="7610"/>
    <e v="#N/A"/>
    <m/>
    <s v="5"/>
    <x v="12"/>
    <s v="50"/>
    <e v="#N/A"/>
    <s v="500"/>
    <e v="#N/A"/>
  </r>
  <r>
    <n v="700"/>
    <n v="761000"/>
    <n v="1"/>
    <s v="1761000.700"/>
    <s v="מוקד עירוני - הוצאות לפעולות"/>
    <m/>
    <m/>
    <n v="5600"/>
    <n v="7600"/>
    <n v="7500"/>
    <e v="#N/A"/>
    <x v="7"/>
    <x v="1"/>
    <x v="26"/>
    <x v="20"/>
    <x v="67"/>
    <x v="50"/>
    <s v="7610"/>
    <e v="#N/A"/>
    <m/>
    <s v="7"/>
    <x v="9"/>
    <s v="70"/>
    <e v="#N/A"/>
    <s v="700"/>
    <e v="#N/A"/>
  </r>
  <r>
    <n v="100"/>
    <n v="612400"/>
    <n v="1"/>
    <s v="1612400.100"/>
    <s v="יועצת ראש העיר למעמד האישה - שכר לעובדים קבועים"/>
    <m/>
    <m/>
    <n v="264000"/>
    <n v="261000"/>
    <n v="248100"/>
    <e v="#N/A"/>
    <x v="9"/>
    <x v="6"/>
    <x v="25"/>
    <x v="19"/>
    <x v="66"/>
    <x v="49"/>
    <s v="6124"/>
    <e v="#N/A"/>
    <m/>
    <s v="1"/>
    <x v="8"/>
    <s v="10"/>
    <e v="#N/A"/>
    <s v="100"/>
    <e v="#N/A"/>
  </r>
  <r>
    <n v="120"/>
    <n v="612400"/>
    <n v="1"/>
    <s v="1612400.120"/>
    <s v="יועצת ראש העיר למעמד האישה - שעות נוספות"/>
    <m/>
    <m/>
    <n v="20000"/>
    <n v="20000"/>
    <n v="0"/>
    <e v="#N/A"/>
    <x v="9"/>
    <x v="6"/>
    <x v="25"/>
    <x v="19"/>
    <x v="66"/>
    <x v="49"/>
    <s v="6124"/>
    <e v="#N/A"/>
    <m/>
    <s v="1"/>
    <x v="8"/>
    <s v="12"/>
    <s v="תוספות שאינן נכללות בשכר הקובע"/>
    <s v="120"/>
    <e v="#N/A"/>
  </r>
  <r>
    <n v="400"/>
    <n v="612400"/>
    <n v="1"/>
    <s v="1612400.400"/>
    <s v="יועצת ראש העיר למעמד האישה - אחזקה אספקה וציוד"/>
    <m/>
    <m/>
    <n v="2000"/>
    <n v="2000"/>
    <n v="0"/>
    <e v="#N/A"/>
    <x v="9"/>
    <x v="6"/>
    <x v="25"/>
    <x v="19"/>
    <x v="66"/>
    <x v="49"/>
    <s v="6124"/>
    <e v="#N/A"/>
    <m/>
    <s v="4"/>
    <x v="11"/>
    <s v="40"/>
    <e v="#N/A"/>
    <s v="400"/>
    <e v="#N/A"/>
  </r>
  <r>
    <n v="500"/>
    <n v="612400"/>
    <n v="1"/>
    <s v="1612400.500"/>
    <s v="יועצת ראש העיר למעמד האישה - תחבורה ודואר"/>
    <m/>
    <m/>
    <n v="13600"/>
    <n v="13600"/>
    <n v="1400"/>
    <e v="#N/A"/>
    <x v="9"/>
    <x v="6"/>
    <x v="25"/>
    <x v="19"/>
    <x v="66"/>
    <x v="49"/>
    <s v="6124"/>
    <e v="#N/A"/>
    <m/>
    <s v="5"/>
    <x v="12"/>
    <s v="50"/>
    <e v="#N/A"/>
    <s v="500"/>
    <e v="#N/A"/>
  </r>
  <r>
    <n v="500"/>
    <n v="612400"/>
    <n v="1"/>
    <s v="1612400.500"/>
    <s v="יועצת ראש העיר למעמד האישה - הוצאות כלליות"/>
    <m/>
    <m/>
    <n v="1000"/>
    <n v="1000"/>
    <n v="0"/>
    <e v="#N/A"/>
    <x v="9"/>
    <x v="6"/>
    <x v="25"/>
    <x v="19"/>
    <x v="66"/>
    <x v="49"/>
    <s v="6124"/>
    <e v="#N/A"/>
    <m/>
    <s v="5"/>
    <x v="12"/>
    <s v="50"/>
    <e v="#N/A"/>
    <s v="500"/>
    <e v="#N/A"/>
  </r>
  <r>
    <n v="700"/>
    <n v="612400"/>
    <n v="1"/>
    <s v="1612400.700"/>
    <s v="יועצת ראש העיר למעמד האישה - הוצאות לפעולות"/>
    <m/>
    <m/>
    <n v="107200"/>
    <n v="110800"/>
    <n v="0"/>
    <e v="#N/A"/>
    <x v="9"/>
    <x v="6"/>
    <x v="25"/>
    <x v="19"/>
    <x v="66"/>
    <x v="49"/>
    <s v="6124"/>
    <e v="#N/A"/>
    <m/>
    <s v="7"/>
    <x v="9"/>
    <s v="70"/>
    <e v="#N/A"/>
    <s v="700"/>
    <e v="#N/A"/>
  </r>
  <r>
    <n v="100"/>
    <n v="611100"/>
    <n v="1"/>
    <s v="1611100.100"/>
    <s v="לשכת המנכ&quot;ל - שכר לעובדים קבועים"/>
    <m/>
    <m/>
    <n v="2438000"/>
    <n v="2417100"/>
    <n v="2365100"/>
    <e v="#N/A"/>
    <x v="9"/>
    <x v="6"/>
    <x v="25"/>
    <x v="19"/>
    <x v="65"/>
    <x v="48"/>
    <s v="6111"/>
    <s v="ראש הרשות המקומית וסגניו"/>
    <m/>
    <s v="1"/>
    <x v="8"/>
    <s v="10"/>
    <e v="#N/A"/>
    <s v="100"/>
    <e v="#N/A"/>
  </r>
  <r>
    <n v="120"/>
    <n v="611100"/>
    <n v="1"/>
    <s v="1611100.120"/>
    <s v="לשכת המנכ&quot;ל - שעות נוספות"/>
    <m/>
    <m/>
    <n v="44000"/>
    <n v="44000"/>
    <n v="47700"/>
    <n v="229250"/>
    <x v="9"/>
    <x v="6"/>
    <x v="25"/>
    <x v="19"/>
    <x v="65"/>
    <x v="48"/>
    <s v="6111"/>
    <s v="ראש הרשות המקומית וסגניו"/>
    <m/>
    <s v="1"/>
    <x v="8"/>
    <s v="12"/>
    <s v="תוספות שאינן נכללות בשכר הקובע"/>
    <s v="120"/>
    <e v="#N/A"/>
  </r>
  <r>
    <n v="400"/>
    <n v="611100"/>
    <n v="1"/>
    <s v="1611100.400"/>
    <s v="לשכת המנכ&quot;ל - אחזקה אספקה וציוד"/>
    <m/>
    <m/>
    <n v="26900"/>
    <n v="26900"/>
    <n v="22500"/>
    <e v="#N/A"/>
    <x v="9"/>
    <x v="6"/>
    <x v="25"/>
    <x v="19"/>
    <x v="65"/>
    <x v="48"/>
    <s v="6111"/>
    <s v="ראש הרשות המקומית וסגניו"/>
    <m/>
    <s v="4"/>
    <x v="11"/>
    <s v="40"/>
    <e v="#N/A"/>
    <s v="400"/>
    <e v="#N/A"/>
  </r>
  <r>
    <n v="500"/>
    <n v="611100"/>
    <n v="1"/>
    <s v="1611100.500"/>
    <s v="לשכת המנכ&quot;ל - תחבורה ודואר"/>
    <m/>
    <m/>
    <n v="76200"/>
    <n v="77500"/>
    <n v="60500"/>
    <e v="#N/A"/>
    <x v="9"/>
    <x v="6"/>
    <x v="25"/>
    <x v="19"/>
    <x v="65"/>
    <x v="48"/>
    <s v="6111"/>
    <s v="ראש הרשות המקומית וסגניו"/>
    <m/>
    <s v="5"/>
    <x v="12"/>
    <s v="50"/>
    <e v="#N/A"/>
    <s v="500"/>
    <e v="#N/A"/>
  </r>
  <r>
    <n v="500"/>
    <n v="611100"/>
    <n v="1"/>
    <s v="1611100.500"/>
    <s v="לשכת המנכ&quot;ל - הוצאות כלליות"/>
    <m/>
    <m/>
    <n v="11200"/>
    <n v="11200"/>
    <n v="7100"/>
    <e v="#N/A"/>
    <x v="9"/>
    <x v="6"/>
    <x v="25"/>
    <x v="19"/>
    <x v="65"/>
    <x v="48"/>
    <s v="6111"/>
    <s v="ראש הרשות המקומית וסגניו"/>
    <m/>
    <s v="5"/>
    <x v="12"/>
    <s v="50"/>
    <e v="#N/A"/>
    <s v="500"/>
    <e v="#N/A"/>
  </r>
  <r>
    <n v="700"/>
    <n v="611100"/>
    <n v="1"/>
    <s v="1611100.700"/>
    <s v="לשכת המנכ&quot;ל - הוצאות לפעולות"/>
    <m/>
    <m/>
    <n v="31000"/>
    <n v="34000"/>
    <n v="30500"/>
    <m/>
    <x v="9"/>
    <x v="6"/>
    <x v="25"/>
    <x v="19"/>
    <x v="65"/>
    <x v="48"/>
    <s v="6111"/>
    <s v="ראש הרשות המקומית וסגניו"/>
    <m/>
    <s v="7"/>
    <x v="9"/>
    <s v="70"/>
    <e v="#N/A"/>
    <s v="700"/>
    <e v="#N/A"/>
  </r>
  <r>
    <n v="100"/>
    <n v="611110"/>
    <n v="1"/>
    <s v="1611110.100"/>
    <s v="יחידה לפיתוח כלכלי - שכר לעובדים קבועים"/>
    <m/>
    <m/>
    <n v="0"/>
    <n v="0"/>
    <n v="38200"/>
    <e v="#N/A"/>
    <x v="9"/>
    <x v="6"/>
    <x v="25"/>
    <x v="19"/>
    <x v="65"/>
    <x v="48"/>
    <s v="6111"/>
    <s v="ראש הרשות המקומית וסגניו"/>
    <m/>
    <s v="1"/>
    <x v="8"/>
    <s v="10"/>
    <e v="#N/A"/>
    <s v="100"/>
    <e v="#N/A"/>
  </r>
  <r>
    <n v="120"/>
    <n v="611110"/>
    <n v="1"/>
    <s v="1611110.120"/>
    <s v="יחידה לפיתוח כלכלי - שעות נוספות"/>
    <m/>
    <m/>
    <n v="0"/>
    <n v="0"/>
    <n v="6800"/>
    <e v="#N/A"/>
    <x v="9"/>
    <x v="6"/>
    <x v="25"/>
    <x v="19"/>
    <x v="65"/>
    <x v="48"/>
    <s v="6111"/>
    <s v="ראש הרשות המקומית וסגניו"/>
    <m/>
    <s v="1"/>
    <x v="8"/>
    <s v="12"/>
    <s v="תוספות שאינן נכללות בשכר הקובע"/>
    <s v="120"/>
    <e v="#N/A"/>
  </r>
  <r>
    <n v="400"/>
    <n v="611110"/>
    <n v="1"/>
    <s v="1611110.400"/>
    <s v="יחידה לפיתוח כלכלי - אחזקה אספקה וציוד"/>
    <m/>
    <m/>
    <n v="6500"/>
    <n v="6500"/>
    <n v="3800"/>
    <e v="#N/A"/>
    <x v="9"/>
    <x v="6"/>
    <x v="25"/>
    <x v="19"/>
    <x v="65"/>
    <x v="48"/>
    <s v="6111"/>
    <s v="ראש הרשות המקומית וסגניו"/>
    <m/>
    <s v="4"/>
    <x v="11"/>
    <s v="40"/>
    <e v="#N/A"/>
    <s v="400"/>
    <e v="#N/A"/>
  </r>
  <r>
    <n v="500"/>
    <n v="611110"/>
    <n v="1"/>
    <s v="1611110.500"/>
    <s v="יחידה לפיתוח כלכלי - תחבורה ודואר"/>
    <m/>
    <m/>
    <n v="28000"/>
    <n v="28000"/>
    <n v="0"/>
    <e v="#N/A"/>
    <x v="9"/>
    <x v="6"/>
    <x v="25"/>
    <x v="19"/>
    <x v="65"/>
    <x v="48"/>
    <s v="6111"/>
    <s v="ראש הרשות המקומית וסגניו"/>
    <m/>
    <s v="5"/>
    <x v="12"/>
    <s v="50"/>
    <e v="#N/A"/>
    <s v="500"/>
    <e v="#N/A"/>
  </r>
  <r>
    <n v="500"/>
    <n v="611110"/>
    <n v="1"/>
    <s v="1611110.500"/>
    <s v="יחידה לפיתוח כלכלי - הוצאות כלליות"/>
    <m/>
    <m/>
    <n v="3000"/>
    <n v="3000"/>
    <n v="0"/>
    <e v="#N/A"/>
    <x v="9"/>
    <x v="6"/>
    <x v="25"/>
    <x v="19"/>
    <x v="65"/>
    <x v="48"/>
    <s v="6111"/>
    <s v="ראש הרשות המקומית וסגניו"/>
    <m/>
    <s v="5"/>
    <x v="12"/>
    <s v="50"/>
    <e v="#N/A"/>
    <s v="500"/>
    <e v="#N/A"/>
  </r>
  <r>
    <n v="700"/>
    <n v="611110"/>
    <n v="1"/>
    <s v="1611110.700"/>
    <s v="יחידה לפיתוח כלכלי - הוצאות לפעולות"/>
    <m/>
    <m/>
    <n v="179100"/>
    <n v="185500"/>
    <n v="102100"/>
    <e v="#N/A"/>
    <x v="9"/>
    <x v="6"/>
    <x v="25"/>
    <x v="19"/>
    <x v="65"/>
    <x v="48"/>
    <s v="6111"/>
    <s v="ראש הרשות המקומית וסגניו"/>
    <m/>
    <s v="7"/>
    <x v="9"/>
    <s v="70"/>
    <e v="#N/A"/>
    <s v="700"/>
    <e v="#N/A"/>
  </r>
  <r>
    <n v="100"/>
    <n v="612100"/>
    <n v="1"/>
    <s v="1612100.100"/>
    <s v="מבקר העירייה - שכר לעובדים קבועים"/>
    <m/>
    <m/>
    <n v="2592000"/>
    <n v="2564000"/>
    <n v="2458500"/>
    <e v="#N/A"/>
    <x v="9"/>
    <x v="6"/>
    <x v="25"/>
    <x v="19"/>
    <x v="66"/>
    <x v="49"/>
    <s v="6121"/>
    <e v="#N/A"/>
    <m/>
    <s v="1"/>
    <x v="8"/>
    <s v="10"/>
    <e v="#N/A"/>
    <s v="100"/>
    <e v="#N/A"/>
  </r>
  <r>
    <n v="120"/>
    <n v="612100"/>
    <n v="1"/>
    <s v="1612100.120"/>
    <s v="מבקר העירייה - שעות נוספות"/>
    <m/>
    <m/>
    <n v="8000"/>
    <n v="8000"/>
    <n v="2900"/>
    <e v="#N/A"/>
    <x v="9"/>
    <x v="6"/>
    <x v="25"/>
    <x v="19"/>
    <x v="66"/>
    <x v="49"/>
    <s v="6121"/>
    <e v="#N/A"/>
    <m/>
    <s v="1"/>
    <x v="8"/>
    <s v="12"/>
    <s v="תוספות שאינן נכללות בשכר הקובע"/>
    <s v="120"/>
    <e v="#N/A"/>
  </r>
  <r>
    <n v="400"/>
    <n v="612100"/>
    <n v="1"/>
    <s v="1612100.400"/>
    <s v="מבקר העירייה - אחזקה אספקה וציוד"/>
    <m/>
    <m/>
    <n v="16600"/>
    <n v="16600"/>
    <n v="13400"/>
    <m/>
    <x v="9"/>
    <x v="6"/>
    <x v="25"/>
    <x v="19"/>
    <x v="66"/>
    <x v="49"/>
    <s v="6121"/>
    <e v="#N/A"/>
    <m/>
    <s v="4"/>
    <x v="11"/>
    <s v="40"/>
    <e v="#N/A"/>
    <s v="400"/>
    <e v="#N/A"/>
  </r>
  <r>
    <n v="500"/>
    <n v="612100"/>
    <n v="1"/>
    <s v="1612100.500"/>
    <s v="מבקר העירייה - תחבורה ודואר"/>
    <m/>
    <m/>
    <n v="37800"/>
    <n v="37800"/>
    <n v="34600"/>
    <e v="#N/A"/>
    <x v="9"/>
    <x v="6"/>
    <x v="25"/>
    <x v="19"/>
    <x v="66"/>
    <x v="49"/>
    <s v="6121"/>
    <e v="#N/A"/>
    <m/>
    <s v="5"/>
    <x v="12"/>
    <s v="50"/>
    <e v="#N/A"/>
    <s v="500"/>
    <e v="#N/A"/>
  </r>
  <r>
    <n v="500"/>
    <n v="612100"/>
    <n v="1"/>
    <s v="1612100.500"/>
    <s v="מבקר העירייה - הוצאות כלליות"/>
    <m/>
    <m/>
    <n v="3200"/>
    <n v="3200"/>
    <n v="1200"/>
    <e v="#N/A"/>
    <x v="9"/>
    <x v="6"/>
    <x v="25"/>
    <x v="19"/>
    <x v="66"/>
    <x v="49"/>
    <s v="6121"/>
    <e v="#N/A"/>
    <m/>
    <s v="5"/>
    <x v="12"/>
    <s v="50"/>
    <e v="#N/A"/>
    <s v="500"/>
    <e v="#N/A"/>
  </r>
  <r>
    <n v="700"/>
    <n v="612100"/>
    <n v="1"/>
    <s v="1612100.700"/>
    <s v="מבקר העירייה - הוצאות לפעולות"/>
    <m/>
    <m/>
    <n v="15700"/>
    <n v="17900"/>
    <n v="6200"/>
    <e v="#N/A"/>
    <x v="9"/>
    <x v="6"/>
    <x v="25"/>
    <x v="19"/>
    <x v="66"/>
    <x v="49"/>
    <s v="6121"/>
    <e v="#N/A"/>
    <m/>
    <s v="7"/>
    <x v="9"/>
    <s v="70"/>
    <e v="#N/A"/>
    <s v="700"/>
    <e v="#N/A"/>
  </r>
  <r>
    <n v="100"/>
    <n v="614000"/>
    <n v="1"/>
    <s v="1614000.100"/>
    <s v="אגף דוברות והסברה - שכר לעובדים קבועים"/>
    <m/>
    <m/>
    <n v="2225200"/>
    <n v="2198200"/>
    <n v="2018600"/>
    <e v="#N/A"/>
    <x v="9"/>
    <x v="6"/>
    <x v="25"/>
    <x v="19"/>
    <x v="68"/>
    <x v="51"/>
    <s v="6140"/>
    <e v="#N/A"/>
    <m/>
    <s v="1"/>
    <x v="8"/>
    <s v="10"/>
    <e v="#N/A"/>
    <s v="100"/>
    <e v="#N/A"/>
  </r>
  <r>
    <n v="120"/>
    <n v="614000"/>
    <n v="1"/>
    <s v="1614000.120"/>
    <s v="אגף דוברות והסברה - שעות נוספות"/>
    <m/>
    <m/>
    <n v="203800"/>
    <n v="203800"/>
    <n v="237900"/>
    <n v="63404"/>
    <x v="9"/>
    <x v="6"/>
    <x v="25"/>
    <x v="19"/>
    <x v="68"/>
    <x v="51"/>
    <s v="6140"/>
    <e v="#N/A"/>
    <m/>
    <s v="1"/>
    <x v="8"/>
    <s v="12"/>
    <s v="תוספות שאינן נכללות בשכר הקובע"/>
    <s v="120"/>
    <e v="#N/A"/>
  </r>
  <r>
    <n v="400"/>
    <n v="614000"/>
    <n v="1"/>
    <s v="1614000.400"/>
    <s v="אגף דוברות והסברה - אחזקה אספקה וציוד"/>
    <m/>
    <m/>
    <n v="70900"/>
    <n v="70900"/>
    <n v="64900"/>
    <e v="#N/A"/>
    <x v="9"/>
    <x v="6"/>
    <x v="25"/>
    <x v="19"/>
    <x v="68"/>
    <x v="51"/>
    <s v="6140"/>
    <e v="#N/A"/>
    <m/>
    <s v="4"/>
    <x v="11"/>
    <s v="40"/>
    <e v="#N/A"/>
    <s v="400"/>
    <e v="#N/A"/>
  </r>
  <r>
    <n v="500"/>
    <n v="614000"/>
    <n v="1"/>
    <s v="1614000.500"/>
    <s v="אגף דוברות והסברה - תחבורה ודואר"/>
    <m/>
    <m/>
    <n v="181600"/>
    <n v="181600"/>
    <n v="92400"/>
    <e v="#N/A"/>
    <x v="9"/>
    <x v="6"/>
    <x v="25"/>
    <x v="19"/>
    <x v="68"/>
    <x v="51"/>
    <s v="6140"/>
    <e v="#N/A"/>
    <m/>
    <s v="5"/>
    <x v="12"/>
    <s v="50"/>
    <e v="#N/A"/>
    <s v="500"/>
    <e v="#N/A"/>
  </r>
  <r>
    <n v="500"/>
    <n v="614000"/>
    <n v="1"/>
    <s v="1614000.500"/>
    <s v="אגף דוברות והסברה - הוצאות כלליות"/>
    <m/>
    <m/>
    <n v="3553100"/>
    <n v="3667300"/>
    <n v="2700200"/>
    <e v="#N/A"/>
    <x v="9"/>
    <x v="6"/>
    <x v="25"/>
    <x v="19"/>
    <x v="68"/>
    <x v="51"/>
    <s v="6140"/>
    <e v="#N/A"/>
    <m/>
    <s v="5"/>
    <x v="12"/>
    <s v="50"/>
    <e v="#N/A"/>
    <s v="500"/>
    <e v="#N/A"/>
  </r>
  <r>
    <n v="700"/>
    <n v="614000"/>
    <n v="1"/>
    <s v="1614000.700"/>
    <s v="אגף דוברות והסברה - הוצאות לפעולות"/>
    <m/>
    <m/>
    <n v="80200"/>
    <n v="80200"/>
    <n v="78100"/>
    <e v="#N/A"/>
    <x v="9"/>
    <x v="6"/>
    <x v="25"/>
    <x v="19"/>
    <x v="68"/>
    <x v="51"/>
    <s v="6140"/>
    <e v="#N/A"/>
    <m/>
    <s v="7"/>
    <x v="9"/>
    <s v="70"/>
    <e v="#N/A"/>
    <s v="700"/>
    <e v="#N/A"/>
  </r>
  <r>
    <n v="100"/>
    <n v="617110"/>
    <n v="1"/>
    <s v="1617110.100"/>
    <s v="השירות המשפטי - שכר לעובדים קבועים"/>
    <m/>
    <m/>
    <n v="10359200"/>
    <n v="10237100"/>
    <n v="10294300"/>
    <e v="#N/A"/>
    <x v="9"/>
    <x v="6"/>
    <x v="25"/>
    <x v="19"/>
    <x v="69"/>
    <x v="52"/>
    <s v="6171"/>
    <e v="#N/A"/>
    <m/>
    <s v="1"/>
    <x v="8"/>
    <s v="10"/>
    <e v="#N/A"/>
    <s v="100"/>
    <e v="#N/A"/>
  </r>
  <r>
    <n v="120"/>
    <n v="617110"/>
    <n v="1"/>
    <s v="1617110.120"/>
    <s v="השירות המשפטי - שעות נוספות"/>
    <m/>
    <m/>
    <n v="273800"/>
    <n v="273800"/>
    <n v="246800"/>
    <e v="#N/A"/>
    <x v="9"/>
    <x v="6"/>
    <x v="25"/>
    <x v="19"/>
    <x v="69"/>
    <x v="52"/>
    <s v="6171"/>
    <e v="#N/A"/>
    <m/>
    <s v="1"/>
    <x v="8"/>
    <s v="12"/>
    <s v="תוספות שאינן נכללות בשכר הקובע"/>
    <s v="120"/>
    <e v="#N/A"/>
  </r>
  <r>
    <n v="400"/>
    <n v="617110"/>
    <n v="1"/>
    <s v="1617110.400"/>
    <s v="השירות המשפטי - אחזקה אספקה וציוד"/>
    <m/>
    <m/>
    <n v="100800"/>
    <n v="109000"/>
    <n v="77800"/>
    <e v="#N/A"/>
    <x v="9"/>
    <x v="6"/>
    <x v="25"/>
    <x v="19"/>
    <x v="69"/>
    <x v="52"/>
    <s v="6171"/>
    <e v="#N/A"/>
    <m/>
    <s v="4"/>
    <x v="11"/>
    <s v="40"/>
    <e v="#N/A"/>
    <s v="400"/>
    <e v="#N/A"/>
  </r>
  <r>
    <n v="500"/>
    <n v="617110"/>
    <n v="1"/>
    <s v="1617110.500"/>
    <s v="השירות המשפטי - תחבורה ודואר"/>
    <m/>
    <m/>
    <n v="139300"/>
    <n v="139300"/>
    <n v="111800"/>
    <e v="#N/A"/>
    <x v="9"/>
    <x v="6"/>
    <x v="25"/>
    <x v="19"/>
    <x v="69"/>
    <x v="52"/>
    <s v="6171"/>
    <e v="#N/A"/>
    <m/>
    <s v="5"/>
    <x v="12"/>
    <s v="50"/>
    <e v="#N/A"/>
    <s v="500"/>
    <e v="#N/A"/>
  </r>
  <r>
    <n v="500"/>
    <n v="617110"/>
    <n v="1"/>
    <s v="1617110.500"/>
    <s v="השירות המשפטי - הוצאות כלליות"/>
    <m/>
    <m/>
    <n v="7000"/>
    <n v="7000"/>
    <n v="4200"/>
    <e v="#N/A"/>
    <x v="9"/>
    <x v="6"/>
    <x v="25"/>
    <x v="19"/>
    <x v="69"/>
    <x v="52"/>
    <s v="6171"/>
    <e v="#N/A"/>
    <m/>
    <s v="5"/>
    <x v="12"/>
    <s v="50"/>
    <e v="#N/A"/>
    <s v="500"/>
    <e v="#N/A"/>
  </r>
  <r>
    <n v="700"/>
    <n v="617110"/>
    <n v="1"/>
    <s v="1617110.700"/>
    <s v="השירות המשפטי - הוצאות לפעולות"/>
    <m/>
    <m/>
    <n v="58600"/>
    <n v="59400"/>
    <n v="97700"/>
    <e v="#N/A"/>
    <x v="9"/>
    <x v="6"/>
    <x v="25"/>
    <x v="19"/>
    <x v="69"/>
    <x v="52"/>
    <s v="6171"/>
    <e v="#N/A"/>
    <m/>
    <s v="7"/>
    <x v="9"/>
    <s v="70"/>
    <e v="#N/A"/>
    <s v="700"/>
    <e v="#N/A"/>
  </r>
  <r>
    <n v="100"/>
    <n v="731120"/>
    <n v="1"/>
    <s v="1731120.100"/>
    <s v="עירונית קרית חיים - שכר לעובדים קבועים"/>
    <m/>
    <m/>
    <n v="2393200"/>
    <n v="2366200"/>
    <n v="2652300"/>
    <m/>
    <x v="7"/>
    <x v="1"/>
    <x v="21"/>
    <x v="5"/>
    <x v="59"/>
    <x v="9"/>
    <s v="7311"/>
    <e v="#N/A"/>
    <m/>
    <s v="1"/>
    <x v="8"/>
    <s v="10"/>
    <e v="#N/A"/>
    <s v="100"/>
    <e v="#N/A"/>
  </r>
  <r>
    <n v="120"/>
    <n v="731120"/>
    <n v="1"/>
    <s v="1731120.120"/>
    <s v="עירונית קרית חיים - שעות נוספות"/>
    <m/>
    <m/>
    <n v="105800"/>
    <n v="105800"/>
    <n v="96400"/>
    <m/>
    <x v="7"/>
    <x v="1"/>
    <x v="21"/>
    <x v="5"/>
    <x v="59"/>
    <x v="9"/>
    <s v="7311"/>
    <e v="#N/A"/>
    <m/>
    <s v="1"/>
    <x v="8"/>
    <s v="12"/>
    <s v="תוספות שאינן נכללות בשכר הקובע"/>
    <s v="120"/>
    <e v="#N/A"/>
  </r>
  <r>
    <n v="400"/>
    <n v="731120"/>
    <n v="1"/>
    <s v="1731120.400"/>
    <s v="עירונית קרית חיים - אחזקה אספקה וציוד"/>
    <m/>
    <m/>
    <n v="72000"/>
    <n v="72000"/>
    <n v="69900"/>
    <m/>
    <x v="7"/>
    <x v="1"/>
    <x v="21"/>
    <x v="5"/>
    <x v="59"/>
    <x v="9"/>
    <s v="7311"/>
    <e v="#N/A"/>
    <m/>
    <s v="4"/>
    <x v="11"/>
    <s v="40"/>
    <e v="#N/A"/>
    <s v="400"/>
    <e v="#N/A"/>
  </r>
  <r>
    <n v="500"/>
    <n v="731120"/>
    <n v="1"/>
    <s v="1731120.500"/>
    <s v="עירונית קרית חיים - תחבורה ודואר"/>
    <m/>
    <m/>
    <n v="78400"/>
    <n v="78400"/>
    <n v="60700"/>
    <e v="#N/A"/>
    <x v="7"/>
    <x v="1"/>
    <x v="21"/>
    <x v="5"/>
    <x v="59"/>
    <x v="9"/>
    <s v="7311"/>
    <e v="#N/A"/>
    <m/>
    <s v="5"/>
    <x v="12"/>
    <s v="50"/>
    <e v="#N/A"/>
    <s v="500"/>
    <e v="#N/A"/>
  </r>
  <r>
    <n v="500"/>
    <n v="731120"/>
    <n v="1"/>
    <s v="1731120.500"/>
    <s v="עירונית קרית חיים - הוצאות כלליות"/>
    <m/>
    <m/>
    <n v="14700"/>
    <n v="14700"/>
    <n v="6300"/>
    <e v="#N/A"/>
    <x v="7"/>
    <x v="1"/>
    <x v="21"/>
    <x v="5"/>
    <x v="59"/>
    <x v="9"/>
    <s v="7311"/>
    <e v="#N/A"/>
    <m/>
    <s v="5"/>
    <x v="12"/>
    <s v="50"/>
    <e v="#N/A"/>
    <s v="500"/>
    <e v="#N/A"/>
  </r>
  <r>
    <n v="700"/>
    <n v="731120"/>
    <n v="1"/>
    <s v="1731120.700"/>
    <s v="עירונית קרית חיים - הוצאות לפעולות"/>
    <m/>
    <m/>
    <n v="54300"/>
    <n v="60800"/>
    <n v="70100"/>
    <e v="#N/A"/>
    <x v="7"/>
    <x v="1"/>
    <x v="21"/>
    <x v="5"/>
    <x v="59"/>
    <x v="9"/>
    <s v="7311"/>
    <e v="#N/A"/>
    <m/>
    <s v="7"/>
    <x v="9"/>
    <s v="70"/>
    <e v="#N/A"/>
    <s v="700"/>
    <e v="#N/A"/>
  </r>
  <r>
    <n v="100"/>
    <n v="613100"/>
    <n v="1"/>
    <s v="1613100.100"/>
    <s v="יחידת מזכיר העיר - שכר לעובדים קבועים"/>
    <m/>
    <m/>
    <n v="1930800"/>
    <n v="1908800"/>
    <n v="1815900"/>
    <e v="#N/A"/>
    <x v="9"/>
    <x v="6"/>
    <x v="25"/>
    <x v="19"/>
    <x v="70"/>
    <x v="53"/>
    <s v="6131"/>
    <e v="#N/A"/>
    <m/>
    <s v="1"/>
    <x v="8"/>
    <s v="10"/>
    <e v="#N/A"/>
    <s v="100"/>
    <e v="#N/A"/>
  </r>
  <r>
    <n v="120"/>
    <n v="613100"/>
    <n v="1"/>
    <s v="1613100.120"/>
    <s v="יחידת מזכיר העיר - שעות נוספות"/>
    <m/>
    <m/>
    <n v="49200"/>
    <n v="49200"/>
    <n v="65700"/>
    <e v="#N/A"/>
    <x v="9"/>
    <x v="6"/>
    <x v="25"/>
    <x v="19"/>
    <x v="70"/>
    <x v="53"/>
    <s v="6131"/>
    <e v="#N/A"/>
    <m/>
    <s v="1"/>
    <x v="8"/>
    <s v="12"/>
    <s v="תוספות שאינן נכללות בשכר הקובע"/>
    <s v="120"/>
    <e v="#N/A"/>
  </r>
  <r>
    <n v="400"/>
    <n v="613100"/>
    <n v="1"/>
    <s v="1613100.400"/>
    <s v="יחידת מזכיר העיר - אחזקה אספקה וציוד"/>
    <m/>
    <m/>
    <n v="10100"/>
    <n v="12500"/>
    <n v="14900"/>
    <e v="#N/A"/>
    <x v="9"/>
    <x v="6"/>
    <x v="25"/>
    <x v="19"/>
    <x v="70"/>
    <x v="53"/>
    <s v="6131"/>
    <e v="#N/A"/>
    <m/>
    <s v="4"/>
    <x v="11"/>
    <s v="40"/>
    <e v="#N/A"/>
    <s v="400"/>
    <e v="#N/A"/>
  </r>
  <r>
    <n v="500"/>
    <n v="613100"/>
    <n v="1"/>
    <s v="1613100.500"/>
    <s v="יחידת מזכיר העיר - תחבורה ודואר"/>
    <m/>
    <m/>
    <n v="68700"/>
    <n v="68700"/>
    <n v="86700"/>
    <e v="#N/A"/>
    <x v="9"/>
    <x v="6"/>
    <x v="25"/>
    <x v="19"/>
    <x v="70"/>
    <x v="53"/>
    <s v="6131"/>
    <e v="#N/A"/>
    <m/>
    <s v="5"/>
    <x v="12"/>
    <s v="50"/>
    <e v="#N/A"/>
    <s v="500"/>
    <e v="#N/A"/>
  </r>
  <r>
    <n v="500"/>
    <n v="613100"/>
    <n v="1"/>
    <s v="1613100.500"/>
    <s v="יחידת מזכיר העיר - הוצאות כלליות"/>
    <m/>
    <m/>
    <n v="1000"/>
    <n v="1000"/>
    <n v="700"/>
    <e v="#N/A"/>
    <x v="9"/>
    <x v="6"/>
    <x v="25"/>
    <x v="19"/>
    <x v="70"/>
    <x v="53"/>
    <s v="6131"/>
    <e v="#N/A"/>
    <m/>
    <s v="5"/>
    <x v="12"/>
    <s v="50"/>
    <e v="#N/A"/>
    <s v="500"/>
    <e v="#N/A"/>
  </r>
  <r>
    <n v="700"/>
    <n v="613100"/>
    <n v="1"/>
    <s v="1613100.700"/>
    <s v="יחידת מזכיר העיר - הוצאות לפעולות"/>
    <m/>
    <m/>
    <n v="800"/>
    <n v="800"/>
    <n v="1100"/>
    <e v="#N/A"/>
    <x v="9"/>
    <x v="6"/>
    <x v="25"/>
    <x v="19"/>
    <x v="70"/>
    <x v="53"/>
    <s v="6131"/>
    <e v="#N/A"/>
    <m/>
    <s v="7"/>
    <x v="9"/>
    <s v="70"/>
    <e v="#N/A"/>
    <s v="700"/>
    <e v="#N/A"/>
  </r>
  <r>
    <n v="100"/>
    <n v="613000"/>
    <n v="1"/>
    <s v="1613000.100"/>
    <s v="מזכירות המועצה והוועדות - שכר לעובדים קבועים"/>
    <m/>
    <m/>
    <n v="801000"/>
    <n v="792000"/>
    <n v="714000"/>
    <e v="#N/A"/>
    <x v="9"/>
    <x v="6"/>
    <x v="25"/>
    <x v="19"/>
    <x v="70"/>
    <x v="53"/>
    <s v="6130"/>
    <e v="#N/A"/>
    <m/>
    <s v="1"/>
    <x v="8"/>
    <s v="10"/>
    <e v="#N/A"/>
    <s v="100"/>
    <e v="#N/A"/>
  </r>
  <r>
    <n v="120"/>
    <n v="613000"/>
    <n v="1"/>
    <s v="1613000.120"/>
    <s v="מזכירות המועצה והוועדות - שעות נוספות"/>
    <m/>
    <m/>
    <n v="17000"/>
    <n v="17000"/>
    <n v="21800"/>
    <n v="68011"/>
    <x v="9"/>
    <x v="6"/>
    <x v="25"/>
    <x v="19"/>
    <x v="70"/>
    <x v="53"/>
    <s v="6130"/>
    <e v="#N/A"/>
    <m/>
    <s v="1"/>
    <x v="8"/>
    <s v="12"/>
    <s v="תוספות שאינן נכללות בשכר הקובע"/>
    <s v="120"/>
    <e v="#N/A"/>
  </r>
  <r>
    <n v="400"/>
    <n v="613000"/>
    <n v="1"/>
    <s v="1613000.400"/>
    <s v="מזכירות המועצה והוועדות - אחזקה אספקה וציוד"/>
    <m/>
    <m/>
    <n v="69600"/>
    <n v="69600"/>
    <n v="73100"/>
    <e v="#N/A"/>
    <x v="9"/>
    <x v="6"/>
    <x v="25"/>
    <x v="19"/>
    <x v="70"/>
    <x v="53"/>
    <s v="6130"/>
    <e v="#N/A"/>
    <m/>
    <s v="4"/>
    <x v="11"/>
    <s v="40"/>
    <e v="#N/A"/>
    <s v="400"/>
    <e v="#N/A"/>
  </r>
  <r>
    <n v="500"/>
    <n v="613000"/>
    <n v="1"/>
    <s v="1613000.500"/>
    <s v="מזכירות המועצה והוועדות - תחבורה ודואר"/>
    <m/>
    <m/>
    <n v="51700"/>
    <n v="51700"/>
    <n v="25300"/>
    <m/>
    <x v="9"/>
    <x v="6"/>
    <x v="25"/>
    <x v="19"/>
    <x v="70"/>
    <x v="53"/>
    <s v="6130"/>
    <e v="#N/A"/>
    <m/>
    <s v="5"/>
    <x v="12"/>
    <s v="50"/>
    <e v="#N/A"/>
    <s v="500"/>
    <e v="#N/A"/>
  </r>
  <r>
    <n v="500"/>
    <n v="613000"/>
    <n v="1"/>
    <s v="1613000.500"/>
    <s v="מזכירות המועצה והוועדות - הוצאות כלליות"/>
    <m/>
    <m/>
    <n v="500"/>
    <n v="500"/>
    <n v="200"/>
    <e v="#N/A"/>
    <x v="9"/>
    <x v="6"/>
    <x v="25"/>
    <x v="19"/>
    <x v="70"/>
    <x v="53"/>
    <s v="6130"/>
    <e v="#N/A"/>
    <m/>
    <s v="5"/>
    <x v="12"/>
    <s v="50"/>
    <e v="#N/A"/>
    <s v="500"/>
    <e v="#N/A"/>
  </r>
  <r>
    <n v="700"/>
    <n v="613000"/>
    <n v="1"/>
    <s v="1613000.700"/>
    <s v="מזכירות המועצה והוועדות - הוצאות לפעולות"/>
    <m/>
    <m/>
    <n v="42300"/>
    <n v="47100"/>
    <n v="45700"/>
    <e v="#N/A"/>
    <x v="9"/>
    <x v="6"/>
    <x v="25"/>
    <x v="19"/>
    <x v="70"/>
    <x v="53"/>
    <s v="6130"/>
    <e v="#N/A"/>
    <m/>
    <s v="7"/>
    <x v="9"/>
    <s v="70"/>
    <e v="#N/A"/>
    <s v="700"/>
    <e v="#N/A"/>
  </r>
  <r>
    <n v="100"/>
    <n v="613400"/>
    <n v="1"/>
    <s v="1613400.100"/>
    <s v="לשכות סגני רה&quot;ע - שכר לעובדים קבועים"/>
    <m/>
    <m/>
    <n v="4223800"/>
    <n v="4043800"/>
    <n v="4301600"/>
    <e v="#N/A"/>
    <x v="9"/>
    <x v="6"/>
    <x v="25"/>
    <x v="19"/>
    <x v="70"/>
    <x v="53"/>
    <s v="6134"/>
    <e v="#N/A"/>
    <m/>
    <s v="1"/>
    <x v="8"/>
    <s v="10"/>
    <e v="#N/A"/>
    <s v="100"/>
    <e v="#N/A"/>
  </r>
  <r>
    <n v="120"/>
    <n v="613400"/>
    <n v="1"/>
    <s v="1613400.120"/>
    <s v="לשכות סגני רה&quot;ע - שעות נוספות"/>
    <m/>
    <m/>
    <n v="25200"/>
    <n v="25200"/>
    <n v="38300"/>
    <e v="#N/A"/>
    <x v="9"/>
    <x v="6"/>
    <x v="25"/>
    <x v="19"/>
    <x v="70"/>
    <x v="53"/>
    <s v="6134"/>
    <e v="#N/A"/>
    <m/>
    <s v="1"/>
    <x v="8"/>
    <s v="12"/>
    <s v="תוספות שאינן נכללות בשכר הקובע"/>
    <s v="120"/>
    <e v="#N/A"/>
  </r>
  <r>
    <n v="400"/>
    <n v="613400"/>
    <n v="1"/>
    <s v="1613400.400"/>
    <s v="לשכות סגני רה&quot;ע - אחזקה אספקה וציוד"/>
    <m/>
    <m/>
    <n v="27700"/>
    <n v="25700"/>
    <n v="25500"/>
    <e v="#N/A"/>
    <x v="9"/>
    <x v="6"/>
    <x v="25"/>
    <x v="19"/>
    <x v="70"/>
    <x v="53"/>
    <s v="6134"/>
    <e v="#N/A"/>
    <m/>
    <s v="4"/>
    <x v="11"/>
    <s v="40"/>
    <e v="#N/A"/>
    <s v="400"/>
    <e v="#N/A"/>
  </r>
  <r>
    <n v="500"/>
    <n v="613400"/>
    <n v="1"/>
    <s v="1613400.500"/>
    <s v="לשכות סגני רה&quot;ע - תחבורה ודואר"/>
    <m/>
    <m/>
    <n v="105000"/>
    <n v="109000"/>
    <n v="77800"/>
    <e v="#N/A"/>
    <x v="9"/>
    <x v="6"/>
    <x v="25"/>
    <x v="19"/>
    <x v="70"/>
    <x v="53"/>
    <s v="6134"/>
    <e v="#N/A"/>
    <m/>
    <s v="5"/>
    <x v="12"/>
    <s v="50"/>
    <e v="#N/A"/>
    <s v="500"/>
    <e v="#N/A"/>
  </r>
  <r>
    <n v="500"/>
    <n v="613400"/>
    <n v="1"/>
    <s v="1613400.500"/>
    <s v="לשכות סגני רה&quot;ע - הוצאות כלליות"/>
    <m/>
    <m/>
    <n v="18900"/>
    <n v="19100"/>
    <n v="15900"/>
    <e v="#N/A"/>
    <x v="9"/>
    <x v="6"/>
    <x v="25"/>
    <x v="19"/>
    <x v="70"/>
    <x v="53"/>
    <s v="6134"/>
    <e v="#N/A"/>
    <m/>
    <s v="5"/>
    <x v="12"/>
    <s v="50"/>
    <e v="#N/A"/>
    <s v="500"/>
    <e v="#N/A"/>
  </r>
  <r>
    <n v="700"/>
    <n v="613400"/>
    <n v="1"/>
    <s v="1613400.700"/>
    <s v="לשכות סגני רה&quot;ע - הוצאות לפעולות"/>
    <m/>
    <m/>
    <n v="10700"/>
    <n v="13300"/>
    <n v="12000"/>
    <m/>
    <x v="9"/>
    <x v="6"/>
    <x v="25"/>
    <x v="19"/>
    <x v="70"/>
    <x v="53"/>
    <s v="6134"/>
    <e v="#N/A"/>
    <m/>
    <s v="7"/>
    <x v="9"/>
    <s v="70"/>
    <e v="#N/A"/>
    <s v="700"/>
    <e v="#N/A"/>
  </r>
  <r>
    <n v="100"/>
    <n v="613300"/>
    <n v="1"/>
    <s v="1613300.100"/>
    <s v="היחידה לטקסים - שכר לעובדים קבועים"/>
    <m/>
    <m/>
    <n v="508200"/>
    <n v="502200"/>
    <n v="520700"/>
    <e v="#N/A"/>
    <x v="9"/>
    <x v="6"/>
    <x v="25"/>
    <x v="19"/>
    <x v="70"/>
    <x v="53"/>
    <s v="6133"/>
    <e v="#N/A"/>
    <m/>
    <s v="1"/>
    <x v="8"/>
    <s v="10"/>
    <e v="#N/A"/>
    <s v="100"/>
    <e v="#N/A"/>
  </r>
  <r>
    <n v="120"/>
    <n v="613300"/>
    <n v="1"/>
    <s v="1613300.120"/>
    <s v="היחידה לטקסים - שעות נוספות"/>
    <m/>
    <m/>
    <n v="23800"/>
    <n v="23800"/>
    <n v="18700"/>
    <e v="#N/A"/>
    <x v="9"/>
    <x v="6"/>
    <x v="25"/>
    <x v="19"/>
    <x v="70"/>
    <x v="53"/>
    <s v="6133"/>
    <e v="#N/A"/>
    <m/>
    <s v="1"/>
    <x v="8"/>
    <s v="12"/>
    <s v="תוספות שאינן נכללות בשכר הקובע"/>
    <s v="120"/>
    <e v="#N/A"/>
  </r>
  <r>
    <n v="400"/>
    <n v="613300"/>
    <n v="1"/>
    <s v="1613300.400"/>
    <s v="היחידה לטקסים - אחזקה אספקה וציוד"/>
    <m/>
    <m/>
    <n v="18900"/>
    <n v="19700"/>
    <n v="28000"/>
    <e v="#N/A"/>
    <x v="9"/>
    <x v="6"/>
    <x v="25"/>
    <x v="19"/>
    <x v="70"/>
    <x v="53"/>
    <s v="6133"/>
    <e v="#N/A"/>
    <m/>
    <s v="4"/>
    <x v="11"/>
    <s v="40"/>
    <e v="#N/A"/>
    <s v="400"/>
    <e v="#N/A"/>
  </r>
  <r>
    <n v="500"/>
    <n v="613300"/>
    <n v="1"/>
    <s v="1613300.500"/>
    <s v="היחידה לטקסים - תחבורה ודואר"/>
    <m/>
    <m/>
    <n v="2700"/>
    <n v="1700"/>
    <n v="900"/>
    <m/>
    <x v="9"/>
    <x v="6"/>
    <x v="25"/>
    <x v="19"/>
    <x v="70"/>
    <x v="53"/>
    <s v="6133"/>
    <e v="#N/A"/>
    <m/>
    <s v="5"/>
    <x v="12"/>
    <s v="50"/>
    <e v="#N/A"/>
    <s v="500"/>
    <e v="#N/A"/>
  </r>
  <r>
    <n v="500"/>
    <n v="613300"/>
    <n v="1"/>
    <s v="1613300.500"/>
    <s v="היחידה לטקסים - הוצאות כלליות"/>
    <m/>
    <m/>
    <n v="3000"/>
    <n v="4000"/>
    <n v="2800"/>
    <e v="#N/A"/>
    <x v="9"/>
    <x v="6"/>
    <x v="25"/>
    <x v="19"/>
    <x v="70"/>
    <x v="53"/>
    <s v="6133"/>
    <e v="#N/A"/>
    <m/>
    <s v="5"/>
    <x v="12"/>
    <s v="50"/>
    <e v="#N/A"/>
    <s v="500"/>
    <e v="#N/A"/>
  </r>
  <r>
    <n v="700"/>
    <n v="613300"/>
    <n v="1"/>
    <s v="1613300.700"/>
    <s v="היחידה לטקסים - הוצאות לפעולות"/>
    <m/>
    <m/>
    <n v="2800"/>
    <n v="2800"/>
    <n v="100"/>
    <e v="#N/A"/>
    <x v="9"/>
    <x v="6"/>
    <x v="25"/>
    <x v="19"/>
    <x v="70"/>
    <x v="53"/>
    <s v="6133"/>
    <e v="#N/A"/>
    <m/>
    <s v="7"/>
    <x v="9"/>
    <s v="70"/>
    <e v="#N/A"/>
    <s v="700"/>
    <e v="#N/A"/>
  </r>
  <r>
    <n v="400"/>
    <n v="752100"/>
    <n v="1"/>
    <s v="1752100.400"/>
    <s v="אירועי הנהלה - אחזקה אספקה וציוד"/>
    <m/>
    <m/>
    <m/>
    <n v="0"/>
    <n v="0"/>
    <e v="#N/A"/>
    <x v="7"/>
    <x v="1"/>
    <x v="27"/>
    <x v="21"/>
    <x v="71"/>
    <x v="54"/>
    <s v="7521"/>
    <e v="#N/A"/>
    <m/>
    <s v="4"/>
    <x v="11"/>
    <s v="40"/>
    <e v="#N/A"/>
    <s v="400"/>
    <e v="#N/A"/>
  </r>
  <r>
    <n v="700"/>
    <n v="752100"/>
    <n v="1"/>
    <s v="1752100.700"/>
    <s v="אירועי הנהלה - הוצאות לפעולות"/>
    <m/>
    <m/>
    <n v="873600"/>
    <n v="1099300"/>
    <n v="947500"/>
    <e v="#N/A"/>
    <x v="7"/>
    <x v="1"/>
    <x v="27"/>
    <x v="21"/>
    <x v="71"/>
    <x v="54"/>
    <s v="7521"/>
    <e v="#N/A"/>
    <m/>
    <s v="7"/>
    <x v="9"/>
    <s v="70"/>
    <e v="#N/A"/>
    <s v="700"/>
    <e v="#N/A"/>
  </r>
  <r>
    <n v="400"/>
    <n v="756100"/>
    <n v="1"/>
    <s v="1756100.400"/>
    <s v="פיתוח יחסי חוץ - אחזקה אספקה וציוד"/>
    <m/>
    <m/>
    <m/>
    <n v="0"/>
    <n v="0"/>
    <e v="#N/A"/>
    <x v="7"/>
    <x v="1"/>
    <x v="27"/>
    <x v="21"/>
    <x v="72"/>
    <x v="55"/>
    <s v="7561"/>
    <e v="#N/A"/>
    <m/>
    <s v="4"/>
    <x v="11"/>
    <s v="40"/>
    <e v="#N/A"/>
    <s v="400"/>
    <e v="#N/A"/>
  </r>
  <r>
    <n v="700"/>
    <n v="756100"/>
    <n v="1"/>
    <s v="1756100.700"/>
    <s v="פיתוח יחסי חוץ - הוצאות לפעולות"/>
    <m/>
    <m/>
    <n v="909300"/>
    <n v="936000"/>
    <n v="847500"/>
    <e v="#N/A"/>
    <x v="7"/>
    <x v="1"/>
    <x v="27"/>
    <x v="21"/>
    <x v="72"/>
    <x v="55"/>
    <s v="7561"/>
    <e v="#N/A"/>
    <m/>
    <s v="7"/>
    <x v="9"/>
    <s v="70"/>
    <e v="#N/A"/>
    <s v="700"/>
    <e v="#N/A"/>
  </r>
  <r>
    <n v="100"/>
    <n v="618100"/>
    <n v="1"/>
    <s v="1618100.100"/>
    <s v="תאו&quot;ם - שכר לעובדים קבועים"/>
    <m/>
    <m/>
    <n v="1221000"/>
    <n v="1207000"/>
    <n v="1609200"/>
    <e v="#N/A"/>
    <x v="9"/>
    <x v="6"/>
    <x v="25"/>
    <x v="19"/>
    <x v="73"/>
    <x v="56"/>
    <s v="6181"/>
    <e v="#N/A"/>
    <m/>
    <s v="1"/>
    <x v="8"/>
    <s v="10"/>
    <e v="#N/A"/>
    <s v="100"/>
    <e v="#N/A"/>
  </r>
  <r>
    <n v="120"/>
    <n v="618100"/>
    <n v="1"/>
    <s v="1618100.120"/>
    <s v="תאו&quot;ם - שעות נוספות"/>
    <m/>
    <m/>
    <n v="26000"/>
    <n v="26000"/>
    <n v="23000"/>
    <e v="#N/A"/>
    <x v="9"/>
    <x v="6"/>
    <x v="25"/>
    <x v="19"/>
    <x v="73"/>
    <x v="56"/>
    <s v="6181"/>
    <e v="#N/A"/>
    <m/>
    <s v="1"/>
    <x v="8"/>
    <s v="12"/>
    <s v="תוספות שאינן נכללות בשכר הקובע"/>
    <s v="120"/>
    <e v="#N/A"/>
  </r>
  <r>
    <n v="400"/>
    <n v="618100"/>
    <n v="1"/>
    <s v="1618100.400"/>
    <s v="תאו&quot;ם - אחזקה אספקה וציוד"/>
    <m/>
    <m/>
    <n v="24200"/>
    <n v="26300"/>
    <n v="0"/>
    <e v="#N/A"/>
    <x v="9"/>
    <x v="6"/>
    <x v="25"/>
    <x v="19"/>
    <x v="73"/>
    <x v="56"/>
    <s v="6181"/>
    <e v="#N/A"/>
    <m/>
    <s v="4"/>
    <x v="11"/>
    <s v="40"/>
    <e v="#N/A"/>
    <s v="400"/>
    <e v="#N/A"/>
  </r>
  <r>
    <n v="500"/>
    <n v="618100"/>
    <n v="1"/>
    <s v="1618100.500"/>
    <s v="תאו&quot;ם - תחבורה ודואר"/>
    <m/>
    <m/>
    <n v="19000"/>
    <n v="16700"/>
    <n v="0"/>
    <e v="#N/A"/>
    <x v="9"/>
    <x v="6"/>
    <x v="25"/>
    <x v="19"/>
    <x v="73"/>
    <x v="56"/>
    <s v="6181"/>
    <e v="#N/A"/>
    <m/>
    <s v="5"/>
    <x v="12"/>
    <s v="50"/>
    <e v="#N/A"/>
    <s v="500"/>
    <e v="#N/A"/>
  </r>
  <r>
    <n v="500"/>
    <n v="618100"/>
    <n v="1"/>
    <s v="1618100.500"/>
    <s v="תאו&quot;ם - הוצאות כלליות"/>
    <m/>
    <m/>
    <n v="1200"/>
    <n v="1200"/>
    <n v="0"/>
    <e v="#N/A"/>
    <x v="9"/>
    <x v="6"/>
    <x v="25"/>
    <x v="19"/>
    <x v="73"/>
    <x v="56"/>
    <s v="6181"/>
    <e v="#N/A"/>
    <m/>
    <s v="5"/>
    <x v="12"/>
    <s v="50"/>
    <e v="#N/A"/>
    <s v="500"/>
    <e v="#N/A"/>
  </r>
  <r>
    <n v="700"/>
    <n v="618100"/>
    <n v="1"/>
    <s v="1618100.700"/>
    <s v="תאו&quot;ם - הוצאות לפעולות"/>
    <m/>
    <m/>
    <n v="55400"/>
    <n v="57900"/>
    <n v="0"/>
    <e v="#N/A"/>
    <x v="9"/>
    <x v="6"/>
    <x v="25"/>
    <x v="19"/>
    <x v="73"/>
    <x v="56"/>
    <s v="6181"/>
    <e v="#N/A"/>
    <m/>
    <s v="7"/>
    <x v="9"/>
    <s v="70"/>
    <e v="#N/A"/>
    <s v="700"/>
    <e v="#N/A"/>
  </r>
  <r>
    <n v="800"/>
    <n v="618100"/>
    <n v="1"/>
    <s v="1618100.800"/>
    <s v="תאו&quot;ם - עיר בריאה"/>
    <m/>
    <m/>
    <n v="524000"/>
    <n v="540000"/>
    <n v="0"/>
    <e v="#N/A"/>
    <x v="9"/>
    <x v="6"/>
    <x v="25"/>
    <x v="19"/>
    <x v="73"/>
    <x v="56"/>
    <s v="6181"/>
    <e v="#N/A"/>
    <m/>
    <s v="8"/>
    <x v="13"/>
    <s v="80"/>
    <e v="#N/A"/>
    <s v="800"/>
    <e v="#N/A"/>
  </r>
  <r>
    <n v="100"/>
    <n v="618000"/>
    <n v="1"/>
    <s v="1618000.100"/>
    <s v="מחקר וסטטיסטיקה - שכר לעובדים קבועים"/>
    <m/>
    <m/>
    <n v="781100"/>
    <n v="772100"/>
    <n v="707100"/>
    <e v="#N/A"/>
    <x v="9"/>
    <x v="6"/>
    <x v="25"/>
    <x v="19"/>
    <x v="73"/>
    <x v="56"/>
    <s v="6180"/>
    <e v="#N/A"/>
    <m/>
    <s v="1"/>
    <x v="8"/>
    <s v="10"/>
    <e v="#N/A"/>
    <s v="100"/>
    <e v="#N/A"/>
  </r>
  <r>
    <n v="120"/>
    <n v="618000"/>
    <n v="1"/>
    <s v="1618000.120"/>
    <s v="מחקר וסטטיסטיקה - שעות נוספות"/>
    <m/>
    <m/>
    <n v="4900"/>
    <n v="4900"/>
    <n v="3300"/>
    <e v="#N/A"/>
    <x v="9"/>
    <x v="6"/>
    <x v="25"/>
    <x v="19"/>
    <x v="73"/>
    <x v="56"/>
    <s v="6180"/>
    <e v="#N/A"/>
    <m/>
    <s v="1"/>
    <x v="8"/>
    <s v="12"/>
    <s v="תוספות שאינן נכללות בשכר הקובע"/>
    <s v="120"/>
    <e v="#N/A"/>
  </r>
  <r>
    <n v="400"/>
    <n v="618000"/>
    <n v="1"/>
    <s v="1618000.400"/>
    <s v="מחקר וסטטיסטיקה - אחזקה אספקה וציוד"/>
    <m/>
    <m/>
    <n v="15000"/>
    <n v="16000"/>
    <n v="17500"/>
    <e v="#N/A"/>
    <x v="9"/>
    <x v="6"/>
    <x v="25"/>
    <x v="19"/>
    <x v="73"/>
    <x v="56"/>
    <s v="6180"/>
    <e v="#N/A"/>
    <m/>
    <s v="4"/>
    <x v="11"/>
    <s v="40"/>
    <e v="#N/A"/>
    <s v="400"/>
    <e v="#N/A"/>
  </r>
  <r>
    <n v="500"/>
    <n v="618000"/>
    <n v="1"/>
    <s v="1618000.500"/>
    <s v="מחקר וסטטיסטיקה - תחבורה ודואר"/>
    <m/>
    <m/>
    <n v="4300"/>
    <n v="4300"/>
    <n v="2400"/>
    <e v="#N/A"/>
    <x v="9"/>
    <x v="6"/>
    <x v="25"/>
    <x v="19"/>
    <x v="73"/>
    <x v="56"/>
    <s v="6180"/>
    <e v="#N/A"/>
    <m/>
    <s v="5"/>
    <x v="12"/>
    <s v="50"/>
    <e v="#N/A"/>
    <s v="500"/>
    <e v="#N/A"/>
  </r>
  <r>
    <n v="500"/>
    <n v="618000"/>
    <n v="1"/>
    <s v="1618000.500"/>
    <s v="מחקר וסטטיסטיקה - הוצאות כלליות"/>
    <m/>
    <m/>
    <n v="1500"/>
    <n v="1500"/>
    <n v="1000"/>
    <e v="#N/A"/>
    <x v="9"/>
    <x v="6"/>
    <x v="25"/>
    <x v="19"/>
    <x v="73"/>
    <x v="56"/>
    <s v="6180"/>
    <e v="#N/A"/>
    <m/>
    <s v="5"/>
    <x v="12"/>
    <s v="50"/>
    <e v="#N/A"/>
    <s v="500"/>
    <e v="#N/A"/>
  </r>
  <r>
    <n v="700"/>
    <n v="618000"/>
    <n v="1"/>
    <s v="1618000.700"/>
    <s v="מחקר וסטטיסטיקה - הוצאות לפעולות"/>
    <m/>
    <m/>
    <n v="126800"/>
    <n v="130100"/>
    <n v="98900"/>
    <e v="#N/A"/>
    <x v="9"/>
    <x v="6"/>
    <x v="25"/>
    <x v="19"/>
    <x v="73"/>
    <x v="56"/>
    <s v="6180"/>
    <e v="#N/A"/>
    <m/>
    <s v="7"/>
    <x v="9"/>
    <s v="70"/>
    <e v="#N/A"/>
    <s v="700"/>
    <e v="#N/A"/>
  </r>
  <r>
    <n v="400"/>
    <n v="752200"/>
    <n v="1"/>
    <s v="1752200.400"/>
    <s v="המועצה לאזרחים ותיקים - אחזקה אספקה וציוד"/>
    <m/>
    <m/>
    <m/>
    <n v="0"/>
    <n v="0"/>
    <e v="#N/A"/>
    <x v="7"/>
    <x v="1"/>
    <x v="27"/>
    <x v="21"/>
    <x v="71"/>
    <x v="54"/>
    <s v="7522"/>
    <e v="#N/A"/>
    <m/>
    <s v="4"/>
    <x v="11"/>
    <s v="40"/>
    <e v="#N/A"/>
    <s v="400"/>
    <e v="#N/A"/>
  </r>
  <r>
    <n v="700"/>
    <n v="752200"/>
    <n v="1"/>
    <s v="1752200.700"/>
    <s v="המועצה לאזרחים ותיקים - הוצאות לפעולות"/>
    <m/>
    <m/>
    <n v="14400"/>
    <n v="14800"/>
    <n v="14000"/>
    <e v="#N/A"/>
    <x v="7"/>
    <x v="1"/>
    <x v="27"/>
    <x v="21"/>
    <x v="71"/>
    <x v="54"/>
    <s v="7522"/>
    <e v="#N/A"/>
    <m/>
    <s v="7"/>
    <x v="9"/>
    <s v="70"/>
    <e v="#N/A"/>
    <s v="700"/>
    <e v="#N/A"/>
  </r>
  <r>
    <n v="100"/>
    <n v="938000"/>
    <n v="1"/>
    <s v="1938000.100"/>
    <s v="מחלקת משק - שכר לעובדים קבועים"/>
    <m/>
    <m/>
    <n v="2650600"/>
    <n v="2619600"/>
    <n v="2932900"/>
    <e v="#N/A"/>
    <x v="8"/>
    <x v="3"/>
    <x v="23"/>
    <x v="12"/>
    <x v="74"/>
    <x v="57"/>
    <s v="9380"/>
    <e v="#N/A"/>
    <m/>
    <s v="1"/>
    <x v="8"/>
    <s v="10"/>
    <e v="#N/A"/>
    <s v="100"/>
    <e v="#N/A"/>
  </r>
  <r>
    <n v="120"/>
    <n v="938000"/>
    <n v="1"/>
    <s v="1938000.120"/>
    <s v="מחלקת משק - שעות נוספות"/>
    <m/>
    <m/>
    <n v="175400"/>
    <n v="175400"/>
    <n v="185100"/>
    <m/>
    <x v="8"/>
    <x v="3"/>
    <x v="23"/>
    <x v="12"/>
    <x v="74"/>
    <x v="57"/>
    <s v="9380"/>
    <e v="#N/A"/>
    <m/>
    <s v="1"/>
    <x v="8"/>
    <s v="12"/>
    <s v="תוספות שאינן נכללות בשכר הקובע"/>
    <s v="120"/>
    <e v="#N/A"/>
  </r>
  <r>
    <n v="400"/>
    <n v="938000"/>
    <n v="1"/>
    <s v="1938000.400"/>
    <s v="מחלקת משק - אחזקה אספקה וציוד"/>
    <m/>
    <m/>
    <n v="1843400"/>
    <n v="1896900"/>
    <n v="3408100"/>
    <e v="#N/A"/>
    <x v="8"/>
    <x v="3"/>
    <x v="23"/>
    <x v="12"/>
    <x v="74"/>
    <x v="57"/>
    <s v="9380"/>
    <e v="#N/A"/>
    <m/>
    <s v="4"/>
    <x v="11"/>
    <s v="40"/>
    <e v="#N/A"/>
    <s v="400"/>
    <e v="#N/A"/>
  </r>
  <r>
    <n v="500"/>
    <n v="938000"/>
    <n v="1"/>
    <s v="1938000.500"/>
    <s v="מחלקת משק - תחבורה ודואר"/>
    <m/>
    <m/>
    <n v="46600"/>
    <n v="47600"/>
    <n v="40500"/>
    <e v="#N/A"/>
    <x v="8"/>
    <x v="3"/>
    <x v="23"/>
    <x v="12"/>
    <x v="74"/>
    <x v="57"/>
    <s v="9380"/>
    <e v="#N/A"/>
    <m/>
    <s v="5"/>
    <x v="12"/>
    <s v="50"/>
    <e v="#N/A"/>
    <s v="500"/>
    <e v="#N/A"/>
  </r>
  <r>
    <n v="500"/>
    <n v="938000"/>
    <n v="1"/>
    <s v="1938000.500"/>
    <s v="מחלקת משק - הוצאות כלליות"/>
    <m/>
    <m/>
    <n v="548500"/>
    <n v="564600"/>
    <n v="541700"/>
    <e v="#N/A"/>
    <x v="8"/>
    <x v="3"/>
    <x v="23"/>
    <x v="12"/>
    <x v="74"/>
    <x v="57"/>
    <s v="9380"/>
    <e v="#N/A"/>
    <m/>
    <s v="5"/>
    <x v="12"/>
    <s v="50"/>
    <e v="#N/A"/>
    <s v="500"/>
    <e v="#N/A"/>
  </r>
  <r>
    <n v="700"/>
    <n v="938000"/>
    <n v="1"/>
    <s v="1938000.700"/>
    <s v="מחלקת משק - הוצאות לפעולות"/>
    <m/>
    <m/>
    <n v="3168400"/>
    <n v="3262800"/>
    <n v="2613500"/>
    <e v="#N/A"/>
    <x v="8"/>
    <x v="3"/>
    <x v="23"/>
    <x v="12"/>
    <x v="74"/>
    <x v="57"/>
    <s v="9380"/>
    <e v="#N/A"/>
    <m/>
    <s v="7"/>
    <x v="9"/>
    <s v="70"/>
    <e v="#N/A"/>
    <s v="700"/>
    <e v="#N/A"/>
  </r>
  <r>
    <n v="100"/>
    <n v="615000"/>
    <n v="1"/>
    <s v="1615000.100"/>
    <s v="אגף משאבי אנוש - שכר לעובדים קבועים"/>
    <m/>
    <m/>
    <n v="7655000"/>
    <n v="7569000"/>
    <n v="7395100"/>
    <e v="#N/A"/>
    <x v="9"/>
    <x v="6"/>
    <x v="25"/>
    <x v="19"/>
    <x v="75"/>
    <x v="58"/>
    <s v="6150"/>
    <e v="#N/A"/>
    <m/>
    <s v="1"/>
    <x v="8"/>
    <s v="10"/>
    <e v="#N/A"/>
    <s v="100"/>
    <e v="#N/A"/>
  </r>
  <r>
    <n v="120"/>
    <n v="615000"/>
    <n v="1"/>
    <s v="1615000.120"/>
    <s v="אגף משאבי אנוש - שעות נוספות"/>
    <m/>
    <m/>
    <n v="180000"/>
    <n v="180000"/>
    <n v="179200"/>
    <n v="27034"/>
    <x v="9"/>
    <x v="6"/>
    <x v="25"/>
    <x v="19"/>
    <x v="75"/>
    <x v="58"/>
    <s v="6150"/>
    <e v="#N/A"/>
    <m/>
    <s v="1"/>
    <x v="8"/>
    <s v="12"/>
    <s v="תוספות שאינן נכללות בשכר הקובע"/>
    <s v="120"/>
    <e v="#N/A"/>
  </r>
  <r>
    <n v="400"/>
    <n v="615000"/>
    <n v="1"/>
    <s v="1615000.400"/>
    <s v="אגף משאבי אנוש - אחזקה אספקה וציוד"/>
    <m/>
    <m/>
    <n v="68000"/>
    <n v="71000"/>
    <n v="71700"/>
    <e v="#N/A"/>
    <x v="9"/>
    <x v="6"/>
    <x v="25"/>
    <x v="19"/>
    <x v="75"/>
    <x v="58"/>
    <s v="6150"/>
    <e v="#N/A"/>
    <m/>
    <s v="4"/>
    <x v="11"/>
    <s v="40"/>
    <e v="#N/A"/>
    <s v="400"/>
    <e v="#N/A"/>
  </r>
  <r>
    <n v="500"/>
    <n v="615000"/>
    <n v="1"/>
    <s v="1615000.500"/>
    <s v="אגף משאבי אנוש - תחבורה ודואר"/>
    <m/>
    <m/>
    <n v="110800"/>
    <n v="110800"/>
    <n v="102000"/>
    <e v="#N/A"/>
    <x v="9"/>
    <x v="6"/>
    <x v="25"/>
    <x v="19"/>
    <x v="75"/>
    <x v="58"/>
    <s v="6150"/>
    <e v="#N/A"/>
    <m/>
    <s v="5"/>
    <x v="12"/>
    <s v="50"/>
    <e v="#N/A"/>
    <s v="500"/>
    <e v="#N/A"/>
  </r>
  <r>
    <n v="500"/>
    <n v="615000"/>
    <n v="1"/>
    <s v="1615000.500"/>
    <s v="אגף משאבי אנוש - הוצאות כלליות"/>
    <m/>
    <m/>
    <n v="16800"/>
    <n v="16800"/>
    <n v="11100"/>
    <m/>
    <x v="9"/>
    <x v="6"/>
    <x v="25"/>
    <x v="19"/>
    <x v="75"/>
    <x v="58"/>
    <s v="6150"/>
    <e v="#N/A"/>
    <m/>
    <s v="5"/>
    <x v="12"/>
    <s v="50"/>
    <e v="#N/A"/>
    <s v="500"/>
    <e v="#N/A"/>
  </r>
  <r>
    <n v="700"/>
    <n v="615000"/>
    <n v="1"/>
    <s v="1615000.700"/>
    <s v="אגף משאבי אנוש - הוצאות לפעולות"/>
    <m/>
    <m/>
    <n v="3300"/>
    <n v="6100"/>
    <n v="4400"/>
    <e v="#N/A"/>
    <x v="9"/>
    <x v="6"/>
    <x v="25"/>
    <x v="19"/>
    <x v="75"/>
    <x v="58"/>
    <s v="6150"/>
    <e v="#N/A"/>
    <m/>
    <s v="7"/>
    <x v="9"/>
    <s v="70"/>
    <e v="#N/A"/>
    <s v="700"/>
    <e v="#N/A"/>
  </r>
  <r>
    <n v="800"/>
    <n v="615110"/>
    <n v="1"/>
    <s v="1615110.800"/>
    <s v="השתלמות עובדים - השתתפויות תמיכות ותרומות"/>
    <m/>
    <m/>
    <n v="1102600"/>
    <n v="1135000"/>
    <n v="913800"/>
    <e v="#N/A"/>
    <x v="9"/>
    <x v="6"/>
    <x v="25"/>
    <x v="19"/>
    <x v="75"/>
    <x v="58"/>
    <s v="6151"/>
    <e v="#N/A"/>
    <m/>
    <s v="8"/>
    <x v="13"/>
    <s v="80"/>
    <e v="#N/A"/>
    <s v="800"/>
    <e v="#N/A"/>
  </r>
  <r>
    <n v="800"/>
    <n v="615112"/>
    <n v="1"/>
    <s v="1615112.800"/>
    <s v="השתלמות מצילים - השתתפויות תמיכות ותרומות"/>
    <m/>
    <m/>
    <n v="72900"/>
    <n v="75000"/>
    <n v="67400"/>
    <e v="#N/A"/>
    <x v="9"/>
    <x v="6"/>
    <x v="25"/>
    <x v="19"/>
    <x v="75"/>
    <x v="58"/>
    <s v="6151"/>
    <e v="#N/A"/>
    <m/>
    <s v="8"/>
    <x v="13"/>
    <s v="80"/>
    <e v="#N/A"/>
    <s v="800"/>
    <e v="#N/A"/>
  </r>
  <r>
    <n v="700"/>
    <n v="615130"/>
    <n v="1"/>
    <s v="1615130.700"/>
    <s v="מכרזי כח אדם - הוצאות לפעולות"/>
    <m/>
    <m/>
    <n v="24800"/>
    <n v="25500"/>
    <n v="0"/>
    <e v="#N/A"/>
    <x v="9"/>
    <x v="6"/>
    <x v="25"/>
    <x v="19"/>
    <x v="75"/>
    <x v="58"/>
    <s v="6151"/>
    <e v="#N/A"/>
    <m/>
    <s v="7"/>
    <x v="9"/>
    <s v="70"/>
    <e v="#N/A"/>
    <s v="700"/>
    <e v="#N/A"/>
  </r>
  <r>
    <n v="800"/>
    <n v="615200"/>
    <n v="1"/>
    <s v="1615200.800"/>
    <s v="פרסי עבודה וייעול - השתתפויות תמיכות ותרומות"/>
    <m/>
    <m/>
    <n v="121400"/>
    <n v="125000"/>
    <n v="119200"/>
    <e v="#N/A"/>
    <x v="9"/>
    <x v="6"/>
    <x v="25"/>
    <x v="19"/>
    <x v="75"/>
    <x v="58"/>
    <s v="6152"/>
    <e v="#N/A"/>
    <m/>
    <s v="8"/>
    <x v="13"/>
    <s v="80"/>
    <e v="#N/A"/>
    <s v="800"/>
    <e v="#N/A"/>
  </r>
  <r>
    <n v="700"/>
    <n v="615700"/>
    <n v="1"/>
    <s v="1615700.700"/>
    <s v="טקסים לפנסיונרים - הוצאות לפעולות"/>
    <m/>
    <m/>
    <n v="68000"/>
    <n v="70000"/>
    <n v="70000"/>
    <e v="#N/A"/>
    <x v="9"/>
    <x v="6"/>
    <x v="25"/>
    <x v="19"/>
    <x v="75"/>
    <x v="58"/>
    <s v="6157"/>
    <e v="#N/A"/>
    <m/>
    <s v="7"/>
    <x v="9"/>
    <s v="70"/>
    <e v="#N/A"/>
    <s v="700"/>
    <e v="#N/A"/>
  </r>
  <r>
    <n v="500"/>
    <n v="615900"/>
    <n v="1"/>
    <s v="1615900.500"/>
    <s v="בדיקת עובדים - הוצאות כלליות"/>
    <m/>
    <m/>
    <n v="102000"/>
    <n v="105000"/>
    <n v="43400"/>
    <e v="#N/A"/>
    <x v="9"/>
    <x v="6"/>
    <x v="25"/>
    <x v="19"/>
    <x v="75"/>
    <x v="58"/>
    <s v="6159"/>
    <e v="#N/A"/>
    <m/>
    <s v="5"/>
    <x v="12"/>
    <s v="50"/>
    <e v="#N/A"/>
    <s v="500"/>
    <e v="#N/A"/>
  </r>
  <r>
    <n v="700"/>
    <n v="615400"/>
    <n v="1"/>
    <s v="1615400.700"/>
    <s v="מבדקי קבלת עובדים חדשים - הוצאות לפעולות"/>
    <m/>
    <m/>
    <n v="370100"/>
    <n v="381000"/>
    <n v="205400"/>
    <e v="#N/A"/>
    <x v="9"/>
    <x v="6"/>
    <x v="25"/>
    <x v="19"/>
    <x v="75"/>
    <x v="58"/>
    <s v="6154"/>
    <e v="#N/A"/>
    <m/>
    <s v="7"/>
    <x v="9"/>
    <s v="70"/>
    <e v="#N/A"/>
    <s v="700"/>
    <e v="#N/A"/>
  </r>
  <r>
    <n v="500"/>
    <n v="615440"/>
    <n v="1"/>
    <s v="1615440.500"/>
    <s v="קנית שעונים לותיקים - הוצאות כלליות"/>
    <m/>
    <m/>
    <n v="66100"/>
    <n v="68000"/>
    <n v="65100"/>
    <e v="#N/A"/>
    <x v="9"/>
    <x v="6"/>
    <x v="25"/>
    <x v="19"/>
    <x v="75"/>
    <x v="58"/>
    <s v="6154"/>
    <e v="#N/A"/>
    <m/>
    <s v="5"/>
    <x v="12"/>
    <s v="50"/>
    <e v="#N/A"/>
    <s v="500"/>
    <e v="#N/A"/>
  </r>
  <r>
    <n v="700"/>
    <n v="615910"/>
    <n v="1"/>
    <s v="1615910.700"/>
    <s v="פרסומים ומידע - הוצאות לפעולות"/>
    <m/>
    <m/>
    <n v="44700"/>
    <n v="46000"/>
    <n v="35000"/>
    <e v="#N/A"/>
    <x v="9"/>
    <x v="6"/>
    <x v="25"/>
    <x v="19"/>
    <x v="75"/>
    <x v="58"/>
    <s v="6159"/>
    <e v="#N/A"/>
    <m/>
    <s v="7"/>
    <x v="9"/>
    <s v="70"/>
    <e v="#N/A"/>
    <s v="700"/>
    <e v="#N/A"/>
  </r>
  <r>
    <n v="100"/>
    <n v="621400"/>
    <n v="1"/>
    <s v="1621400.100"/>
    <s v="מח' התשלומים - שכר לעובדים קבועים"/>
    <m/>
    <m/>
    <n v="3019000"/>
    <n v="3142000"/>
    <n v="2802000"/>
    <e v="#N/A"/>
    <x v="9"/>
    <x v="6"/>
    <x v="28"/>
    <x v="22"/>
    <x v="76"/>
    <x v="59"/>
    <s v="6214"/>
    <s v="תשלומים"/>
    <m/>
    <s v="1"/>
    <x v="8"/>
    <s v="10"/>
    <e v="#N/A"/>
    <s v="100"/>
    <e v="#N/A"/>
  </r>
  <r>
    <n v="120"/>
    <n v="621400"/>
    <n v="1"/>
    <s v="1621400.120"/>
    <s v="מח' התשלומים - שעות נוספות"/>
    <m/>
    <m/>
    <n v="226000"/>
    <n v="226000"/>
    <n v="187900"/>
    <n v="38725"/>
    <x v="9"/>
    <x v="6"/>
    <x v="28"/>
    <x v="22"/>
    <x v="76"/>
    <x v="59"/>
    <s v="6214"/>
    <s v="תשלומים"/>
    <m/>
    <s v="1"/>
    <x v="8"/>
    <s v="12"/>
    <s v="תוספות שאינן נכללות בשכר הקובע"/>
    <s v="120"/>
    <e v="#N/A"/>
  </r>
  <r>
    <n v="400"/>
    <n v="621400"/>
    <n v="1"/>
    <s v="1621400.400"/>
    <s v="מח' התשלומים - אחזקה אספקה וציוד"/>
    <m/>
    <m/>
    <n v="33600"/>
    <n v="35200"/>
    <n v="34600"/>
    <e v="#N/A"/>
    <x v="9"/>
    <x v="6"/>
    <x v="28"/>
    <x v="22"/>
    <x v="76"/>
    <x v="59"/>
    <s v="6214"/>
    <s v="תשלומים"/>
    <m/>
    <s v="4"/>
    <x v="11"/>
    <s v="40"/>
    <e v="#N/A"/>
    <s v="400"/>
    <e v="#N/A"/>
  </r>
  <r>
    <n v="500"/>
    <n v="621400"/>
    <n v="1"/>
    <s v="1621400.500"/>
    <s v="מח' התשלומים - תחבורה ודואר"/>
    <m/>
    <m/>
    <n v="49200"/>
    <n v="49400"/>
    <n v="20800"/>
    <e v="#N/A"/>
    <x v="9"/>
    <x v="6"/>
    <x v="28"/>
    <x v="22"/>
    <x v="76"/>
    <x v="59"/>
    <s v="6214"/>
    <s v="תשלומים"/>
    <m/>
    <s v="5"/>
    <x v="12"/>
    <s v="50"/>
    <e v="#N/A"/>
    <s v="500"/>
    <e v="#N/A"/>
  </r>
  <r>
    <n v="500"/>
    <n v="621400"/>
    <n v="1"/>
    <s v="1621400.500"/>
    <s v="מח' התשלומים - הוצאות כלליות"/>
    <m/>
    <m/>
    <n v="3800"/>
    <n v="3800"/>
    <n v="2200"/>
    <e v="#N/A"/>
    <x v="9"/>
    <x v="6"/>
    <x v="28"/>
    <x v="22"/>
    <x v="76"/>
    <x v="59"/>
    <s v="6214"/>
    <s v="תשלומים"/>
    <m/>
    <s v="5"/>
    <x v="12"/>
    <s v="50"/>
    <e v="#N/A"/>
    <s v="500"/>
    <e v="#N/A"/>
  </r>
  <r>
    <n v="700"/>
    <n v="621400"/>
    <n v="1"/>
    <s v="1621400.700"/>
    <s v="מח' התשלומים - הוצאות לפעולות"/>
    <m/>
    <m/>
    <n v="1400"/>
    <n v="2200"/>
    <n v="0"/>
    <e v="#N/A"/>
    <x v="9"/>
    <x v="6"/>
    <x v="28"/>
    <x v="22"/>
    <x v="76"/>
    <x v="59"/>
    <s v="6214"/>
    <s v="תשלומים"/>
    <m/>
    <s v="7"/>
    <x v="9"/>
    <s v="70"/>
    <e v="#N/A"/>
    <s v="700"/>
    <e v="#N/A"/>
  </r>
  <r>
    <n v="100"/>
    <n v="764000"/>
    <n v="1"/>
    <s v="1764000.100"/>
    <s v="או&quot;ש - שכר לעובדים קבועים"/>
    <m/>
    <m/>
    <n v="1674300"/>
    <n v="1655300"/>
    <n v="1645000"/>
    <e v="#N/A"/>
    <x v="7"/>
    <x v="1"/>
    <x v="26"/>
    <x v="20"/>
    <x v="77"/>
    <x v="60"/>
    <s v="7640"/>
    <e v="#N/A"/>
    <m/>
    <s v="1"/>
    <x v="8"/>
    <s v="10"/>
    <e v="#N/A"/>
    <s v="100"/>
    <e v="#N/A"/>
  </r>
  <r>
    <n v="120"/>
    <n v="764000"/>
    <n v="1"/>
    <s v="1764000.120"/>
    <s v="או&quot;ש - שעות נוספות"/>
    <m/>
    <m/>
    <n v="44700"/>
    <n v="44700"/>
    <n v="35600"/>
    <n v="8079"/>
    <x v="7"/>
    <x v="1"/>
    <x v="26"/>
    <x v="20"/>
    <x v="77"/>
    <x v="60"/>
    <s v="7640"/>
    <e v="#N/A"/>
    <m/>
    <s v="1"/>
    <x v="8"/>
    <s v="12"/>
    <s v="תוספות שאינן נכללות בשכר הקובע"/>
    <s v="120"/>
    <e v="#N/A"/>
  </r>
  <r>
    <n v="400"/>
    <n v="764000"/>
    <n v="1"/>
    <s v="1764000.400"/>
    <s v="או&quot;ש - אחזקה אספקה וציוד"/>
    <m/>
    <m/>
    <n v="13900"/>
    <n v="13900"/>
    <n v="12300"/>
    <e v="#N/A"/>
    <x v="7"/>
    <x v="1"/>
    <x v="26"/>
    <x v="20"/>
    <x v="77"/>
    <x v="60"/>
    <s v="7640"/>
    <e v="#N/A"/>
    <m/>
    <s v="4"/>
    <x v="11"/>
    <s v="40"/>
    <e v="#N/A"/>
    <s v="400"/>
    <e v="#N/A"/>
  </r>
  <r>
    <n v="500"/>
    <n v="764000"/>
    <n v="1"/>
    <s v="1764000.500"/>
    <s v="או&quot;ש - תחבורה ודואר"/>
    <m/>
    <m/>
    <n v="40600"/>
    <n v="40600"/>
    <n v="32400"/>
    <e v="#N/A"/>
    <x v="7"/>
    <x v="1"/>
    <x v="26"/>
    <x v="20"/>
    <x v="77"/>
    <x v="60"/>
    <s v="7640"/>
    <e v="#N/A"/>
    <m/>
    <s v="5"/>
    <x v="12"/>
    <s v="50"/>
    <e v="#N/A"/>
    <s v="500"/>
    <e v="#N/A"/>
  </r>
  <r>
    <n v="500"/>
    <n v="764000"/>
    <n v="1"/>
    <s v="1764000.500"/>
    <s v="או&quot;ש - הוצאות כלליות"/>
    <m/>
    <m/>
    <n v="200"/>
    <n v="200"/>
    <n v="0"/>
    <e v="#N/A"/>
    <x v="7"/>
    <x v="1"/>
    <x v="26"/>
    <x v="20"/>
    <x v="77"/>
    <x v="60"/>
    <s v="7640"/>
    <e v="#N/A"/>
    <m/>
    <s v="5"/>
    <x v="12"/>
    <s v="50"/>
    <e v="#N/A"/>
    <s v="500"/>
    <e v="#N/A"/>
  </r>
  <r>
    <n v="700"/>
    <n v="764000"/>
    <n v="1"/>
    <s v="1764000.700"/>
    <s v="או&quot;ש - הוצאות לפעולות"/>
    <m/>
    <m/>
    <n v="2600"/>
    <n v="4300"/>
    <n v="2900"/>
    <e v="#N/A"/>
    <x v="7"/>
    <x v="1"/>
    <x v="26"/>
    <x v="20"/>
    <x v="77"/>
    <x v="60"/>
    <s v="7640"/>
    <e v="#N/A"/>
    <m/>
    <s v="7"/>
    <x v="9"/>
    <s v="70"/>
    <e v="#N/A"/>
    <s v="700"/>
    <e v="#N/A"/>
  </r>
  <r>
    <n v="100"/>
    <n v="613200"/>
    <n v="1"/>
    <s v="1613200.100"/>
    <s v="מזכירות כללית - שכר לעובדים קבועים"/>
    <m/>
    <m/>
    <n v="448800"/>
    <n v="443800"/>
    <n v="425700"/>
    <e v="#N/A"/>
    <x v="9"/>
    <x v="6"/>
    <x v="25"/>
    <x v="19"/>
    <x v="70"/>
    <x v="53"/>
    <s v="6132"/>
    <e v="#N/A"/>
    <m/>
    <s v="1"/>
    <x v="8"/>
    <s v="10"/>
    <e v="#N/A"/>
    <s v="100"/>
    <e v="#N/A"/>
  </r>
  <r>
    <n v="120"/>
    <n v="613200"/>
    <n v="1"/>
    <s v="1613200.120"/>
    <s v="מזכירות כללית - שעות נוספות"/>
    <m/>
    <m/>
    <n v="3200"/>
    <n v="3200"/>
    <n v="3600"/>
    <e v="#N/A"/>
    <x v="9"/>
    <x v="6"/>
    <x v="25"/>
    <x v="19"/>
    <x v="70"/>
    <x v="53"/>
    <s v="6132"/>
    <e v="#N/A"/>
    <m/>
    <s v="1"/>
    <x v="8"/>
    <s v="12"/>
    <s v="תוספות שאינן נכללות בשכר הקובע"/>
    <s v="120"/>
    <e v="#N/A"/>
  </r>
  <r>
    <n v="400"/>
    <n v="613200"/>
    <n v="1"/>
    <s v="1613200.400"/>
    <s v="מזכירות כללית - אחזקה אספקה וציוד"/>
    <m/>
    <m/>
    <n v="3000"/>
    <n v="3000"/>
    <n v="2000"/>
    <e v="#N/A"/>
    <x v="9"/>
    <x v="6"/>
    <x v="25"/>
    <x v="19"/>
    <x v="70"/>
    <x v="53"/>
    <s v="6132"/>
    <e v="#N/A"/>
    <m/>
    <s v="4"/>
    <x v="11"/>
    <s v="40"/>
    <e v="#N/A"/>
    <s v="400"/>
    <e v="#N/A"/>
  </r>
  <r>
    <n v="500"/>
    <n v="613200"/>
    <n v="1"/>
    <s v="1613200.500"/>
    <s v="מזכירות כללית - תחבורה ודואר"/>
    <m/>
    <m/>
    <n v="161100"/>
    <n v="165000"/>
    <n v="132100"/>
    <e v="#N/A"/>
    <x v="9"/>
    <x v="6"/>
    <x v="25"/>
    <x v="19"/>
    <x v="70"/>
    <x v="53"/>
    <s v="6132"/>
    <e v="#N/A"/>
    <m/>
    <s v="5"/>
    <x v="12"/>
    <s v="50"/>
    <e v="#N/A"/>
    <s v="500"/>
    <e v="#N/A"/>
  </r>
  <r>
    <n v="500"/>
    <n v="613200"/>
    <n v="1"/>
    <s v="1613200.500"/>
    <s v="מזכירות כללית - הוצאות כלליות"/>
    <m/>
    <m/>
    <n v="100"/>
    <n v="1000"/>
    <n v="500"/>
    <e v="#N/A"/>
    <x v="9"/>
    <x v="6"/>
    <x v="25"/>
    <x v="19"/>
    <x v="70"/>
    <x v="53"/>
    <s v="6132"/>
    <e v="#N/A"/>
    <m/>
    <s v="5"/>
    <x v="12"/>
    <s v="50"/>
    <e v="#N/A"/>
    <s v="500"/>
    <e v="#N/A"/>
  </r>
  <r>
    <n v="100"/>
    <n v="619000"/>
    <n v="1"/>
    <s v="1619000.100"/>
    <s v="ארכיון - שכר לעובדים קבועים"/>
    <m/>
    <m/>
    <n v="1274700"/>
    <n v="1260700"/>
    <n v="1249800"/>
    <e v="#N/A"/>
    <x v="9"/>
    <x v="6"/>
    <x v="25"/>
    <x v="19"/>
    <x v="78"/>
    <x v="61"/>
    <s v="6190"/>
    <e v="#N/A"/>
    <m/>
    <s v="1"/>
    <x v="8"/>
    <s v="10"/>
    <e v="#N/A"/>
    <s v="100"/>
    <e v="#N/A"/>
  </r>
  <r>
    <n v="120"/>
    <n v="619000"/>
    <n v="1"/>
    <s v="1619000.120"/>
    <s v="ארכיון - שעות נוספות"/>
    <m/>
    <m/>
    <n v="34300"/>
    <n v="34300"/>
    <n v="33800"/>
    <n v="0"/>
    <x v="9"/>
    <x v="6"/>
    <x v="25"/>
    <x v="19"/>
    <x v="78"/>
    <x v="61"/>
    <s v="6190"/>
    <e v="#N/A"/>
    <m/>
    <s v="1"/>
    <x v="8"/>
    <s v="12"/>
    <s v="תוספות שאינן נכללות בשכר הקובע"/>
    <s v="120"/>
    <e v="#N/A"/>
  </r>
  <r>
    <n v="400"/>
    <n v="619000"/>
    <n v="1"/>
    <s v="1619000.400"/>
    <s v="ארכיון - אחזקה אספקה וציוד"/>
    <m/>
    <m/>
    <n v="41800"/>
    <n v="42800"/>
    <n v="28900"/>
    <e v="#N/A"/>
    <x v="9"/>
    <x v="6"/>
    <x v="25"/>
    <x v="19"/>
    <x v="78"/>
    <x v="61"/>
    <s v="6190"/>
    <e v="#N/A"/>
    <m/>
    <s v="4"/>
    <x v="11"/>
    <s v="40"/>
    <e v="#N/A"/>
    <s v="400"/>
    <e v="#N/A"/>
  </r>
  <r>
    <n v="500"/>
    <n v="619000"/>
    <n v="1"/>
    <s v="1619000.500"/>
    <s v="ארכיון - תחבורה ודואר"/>
    <m/>
    <m/>
    <n v="35000"/>
    <n v="35000"/>
    <n v="20300"/>
    <e v="#N/A"/>
    <x v="9"/>
    <x v="6"/>
    <x v="25"/>
    <x v="19"/>
    <x v="78"/>
    <x v="61"/>
    <s v="6190"/>
    <e v="#N/A"/>
    <m/>
    <s v="5"/>
    <x v="12"/>
    <s v="50"/>
    <e v="#N/A"/>
    <s v="500"/>
    <e v="#N/A"/>
  </r>
  <r>
    <n v="500"/>
    <n v="619000"/>
    <n v="1"/>
    <s v="1619000.500"/>
    <s v="ארכיון - הוצאות כלליות"/>
    <m/>
    <m/>
    <n v="3000"/>
    <n v="3000"/>
    <n v="1600"/>
    <e v="#N/A"/>
    <x v="9"/>
    <x v="6"/>
    <x v="25"/>
    <x v="19"/>
    <x v="78"/>
    <x v="61"/>
    <s v="6190"/>
    <e v="#N/A"/>
    <m/>
    <s v="5"/>
    <x v="12"/>
    <s v="50"/>
    <e v="#N/A"/>
    <s v="500"/>
    <e v="#N/A"/>
  </r>
  <r>
    <n v="700"/>
    <n v="619000"/>
    <n v="1"/>
    <s v="1619000.700"/>
    <s v="ארכיון - הוצאות לפעולות"/>
    <m/>
    <m/>
    <n v="7600"/>
    <n v="9200"/>
    <n v="8000"/>
    <e v="#N/A"/>
    <x v="9"/>
    <x v="6"/>
    <x v="25"/>
    <x v="19"/>
    <x v="78"/>
    <x v="61"/>
    <s v="6190"/>
    <e v="#N/A"/>
    <m/>
    <s v="7"/>
    <x v="9"/>
    <s v="70"/>
    <e v="#N/A"/>
    <s v="700"/>
    <e v="#N/A"/>
  </r>
  <r>
    <n v="100"/>
    <n v="782100"/>
    <n v="1"/>
    <s v="1782100.100"/>
    <s v="ביהמ&quot;ש לעניינים מקומיים - שכר לעובדים קבועים"/>
    <m/>
    <m/>
    <n v="2599800"/>
    <n v="2570800"/>
    <n v="2497900"/>
    <e v="#N/A"/>
    <x v="7"/>
    <x v="1"/>
    <x v="29"/>
    <x v="7"/>
    <x v="79"/>
    <x v="62"/>
    <s v="7821"/>
    <e v="#N/A"/>
    <m/>
    <s v="1"/>
    <x v="8"/>
    <s v="10"/>
    <e v="#N/A"/>
    <s v="100"/>
    <e v="#N/A"/>
  </r>
  <r>
    <n v="120"/>
    <n v="782100"/>
    <n v="1"/>
    <s v="1782100.120"/>
    <s v="ביהמ&quot;ש לעניינים מקומיים - שעות נוספות"/>
    <m/>
    <m/>
    <n v="13200"/>
    <n v="13200"/>
    <n v="12100"/>
    <e v="#N/A"/>
    <x v="7"/>
    <x v="1"/>
    <x v="29"/>
    <x v="7"/>
    <x v="79"/>
    <x v="62"/>
    <s v="7821"/>
    <e v="#N/A"/>
    <m/>
    <s v="1"/>
    <x v="8"/>
    <s v="12"/>
    <s v="תוספות שאינן נכללות בשכר הקובע"/>
    <s v="120"/>
    <e v="#N/A"/>
  </r>
  <r>
    <n v="400"/>
    <n v="782100"/>
    <n v="1"/>
    <s v="1782100.400"/>
    <s v="ביהמ&quot;ש לעניינים מקומיים - אחזקה אספקה וציוד"/>
    <m/>
    <m/>
    <n v="647300"/>
    <n v="660200"/>
    <n v="665800"/>
    <e v="#N/A"/>
    <x v="7"/>
    <x v="1"/>
    <x v="29"/>
    <x v="7"/>
    <x v="79"/>
    <x v="62"/>
    <s v="7821"/>
    <e v="#N/A"/>
    <m/>
    <s v="4"/>
    <x v="11"/>
    <s v="40"/>
    <e v="#N/A"/>
    <s v="400"/>
    <e v="#N/A"/>
  </r>
  <r>
    <n v="500"/>
    <n v="782100"/>
    <n v="1"/>
    <s v="1782100.500"/>
    <s v="ביהמ&quot;ש לעניינים מקומיים - תחבורה ודואר"/>
    <m/>
    <m/>
    <n v="58600"/>
    <n v="68100"/>
    <n v="47000"/>
    <e v="#N/A"/>
    <x v="7"/>
    <x v="1"/>
    <x v="29"/>
    <x v="7"/>
    <x v="79"/>
    <x v="62"/>
    <s v="7821"/>
    <e v="#N/A"/>
    <m/>
    <s v="5"/>
    <x v="12"/>
    <s v="50"/>
    <e v="#N/A"/>
    <s v="500"/>
    <e v="#N/A"/>
  </r>
  <r>
    <n v="500"/>
    <n v="782100"/>
    <n v="1"/>
    <s v="1782100.500"/>
    <s v="ביהמ&quot;ש לעניינים מקומיים - הוצאות כלליות"/>
    <m/>
    <m/>
    <n v="6000"/>
    <n v="7000"/>
    <n v="4000"/>
    <e v="#N/A"/>
    <x v="7"/>
    <x v="1"/>
    <x v="29"/>
    <x v="7"/>
    <x v="79"/>
    <x v="62"/>
    <s v="7821"/>
    <e v="#N/A"/>
    <m/>
    <s v="5"/>
    <x v="12"/>
    <s v="50"/>
    <e v="#N/A"/>
    <s v="500"/>
    <e v="#N/A"/>
  </r>
  <r>
    <n v="700"/>
    <n v="782100"/>
    <n v="1"/>
    <s v="1782100.700"/>
    <s v="ביהמ&quot;ש לעניינים מקומיים - הוצאות לפעולות"/>
    <m/>
    <m/>
    <n v="1440000"/>
    <n v="1479900"/>
    <n v="1327600"/>
    <e v="#N/A"/>
    <x v="7"/>
    <x v="1"/>
    <x v="29"/>
    <x v="7"/>
    <x v="79"/>
    <x v="62"/>
    <s v="7821"/>
    <e v="#N/A"/>
    <m/>
    <s v="7"/>
    <x v="9"/>
    <s v="70"/>
    <e v="#N/A"/>
    <s v="700"/>
    <e v="#N/A"/>
  </r>
  <r>
    <n v="100"/>
    <n v="841331"/>
    <n v="1"/>
    <s v="1841331.100"/>
    <s v="האגף לשרותי רווחה - שכר לעובדים קבועים"/>
    <m/>
    <m/>
    <n v="43721400"/>
    <n v="43236400"/>
    <n v="43187200"/>
    <e v="#N/A"/>
    <x v="5"/>
    <x v="2"/>
    <x v="30"/>
    <x v="10"/>
    <x v="80"/>
    <x v="31"/>
    <s v="8413"/>
    <e v="#N/A"/>
    <m/>
    <s v="1"/>
    <x v="8"/>
    <s v="10"/>
    <e v="#N/A"/>
    <s v="100"/>
    <e v="#N/A"/>
  </r>
  <r>
    <n v="120"/>
    <n v="841331"/>
    <n v="1"/>
    <s v="1841331.120"/>
    <s v="האגף לשרותי רווחה - שעות נוספות"/>
    <m/>
    <m/>
    <n v="584600"/>
    <n v="584600"/>
    <n v="672800"/>
    <e v="#N/A"/>
    <x v="5"/>
    <x v="2"/>
    <x v="30"/>
    <x v="10"/>
    <x v="80"/>
    <x v="31"/>
    <s v="8413"/>
    <e v="#N/A"/>
    <m/>
    <s v="1"/>
    <x v="8"/>
    <s v="12"/>
    <s v="תוספות שאינן נכללות בשכר הקובע"/>
    <s v="120"/>
    <e v="#N/A"/>
  </r>
  <r>
    <n v="400"/>
    <n v="841331"/>
    <n v="1"/>
    <s v="1841331.400"/>
    <s v="האגף לשרותי רווחה - אחזקה אספקה וציוד"/>
    <m/>
    <m/>
    <n v="2402500"/>
    <n v="2502500"/>
    <n v="2122500"/>
    <e v="#N/A"/>
    <x v="5"/>
    <x v="2"/>
    <x v="30"/>
    <x v="10"/>
    <x v="80"/>
    <x v="31"/>
    <s v="8413"/>
    <e v="#N/A"/>
    <m/>
    <s v="4"/>
    <x v="11"/>
    <s v="40"/>
    <e v="#N/A"/>
    <s v="400"/>
    <e v="#N/A"/>
  </r>
  <r>
    <n v="500"/>
    <n v="841331"/>
    <n v="1"/>
    <s v="1841331.500"/>
    <s v="האגף לשרותי רווחה - תחבורה ודואר"/>
    <m/>
    <m/>
    <n v="1190000"/>
    <n v="1190000"/>
    <n v="1121400"/>
    <m/>
    <x v="5"/>
    <x v="2"/>
    <x v="30"/>
    <x v="10"/>
    <x v="80"/>
    <x v="31"/>
    <s v="8413"/>
    <e v="#N/A"/>
    <m/>
    <s v="5"/>
    <x v="12"/>
    <s v="50"/>
    <e v="#N/A"/>
    <s v="500"/>
    <e v="#N/A"/>
  </r>
  <r>
    <n v="500"/>
    <n v="841331"/>
    <n v="1"/>
    <s v="1841331.500"/>
    <s v="האגף לשרותי רווחה - הוצאות כלליות"/>
    <m/>
    <m/>
    <n v="50000"/>
    <n v="50000"/>
    <n v="30800"/>
    <e v="#N/A"/>
    <x v="5"/>
    <x v="2"/>
    <x v="30"/>
    <x v="10"/>
    <x v="80"/>
    <x v="31"/>
    <s v="8413"/>
    <e v="#N/A"/>
    <m/>
    <s v="5"/>
    <x v="12"/>
    <s v="50"/>
    <e v="#N/A"/>
    <s v="500"/>
    <e v="#N/A"/>
  </r>
  <r>
    <n v="700"/>
    <n v="841331"/>
    <n v="1"/>
    <s v="1841331.700"/>
    <s v="האגף לשרותי רווחה - הוצאות לפעולות"/>
    <m/>
    <m/>
    <n v="2159400"/>
    <n v="2230000"/>
    <n v="2222100"/>
    <e v="#N/A"/>
    <x v="5"/>
    <x v="2"/>
    <x v="30"/>
    <x v="10"/>
    <x v="80"/>
    <x v="31"/>
    <s v="8413"/>
    <e v="#N/A"/>
    <m/>
    <s v="7"/>
    <x v="9"/>
    <s v="70"/>
    <e v="#N/A"/>
    <s v="700"/>
    <e v="#N/A"/>
  </r>
  <r>
    <n v="100"/>
    <n v="841331"/>
    <n v="1"/>
    <s v="1841331.100"/>
    <s v="שירותי  רווחה - כח אדם וארגוניות"/>
    <m/>
    <m/>
    <n v="21140000"/>
    <n v="21140000"/>
    <n v="21103652"/>
    <m/>
    <x v="5"/>
    <x v="2"/>
    <x v="30"/>
    <x v="10"/>
    <x v="80"/>
    <x v="31"/>
    <s v="8413"/>
    <e v="#N/A"/>
    <m/>
    <s v="1"/>
    <x v="8"/>
    <s v="10"/>
    <e v="#N/A"/>
    <s v="100"/>
    <e v="#N/A"/>
  </r>
  <r>
    <n v="800"/>
    <n v="842000"/>
    <n v="1"/>
    <s v="1842000.800"/>
    <s v="שירותי  רווחה - טיפול במשפחה - השת' ממשלה"/>
    <n v="-10000000"/>
    <m/>
    <n v="10000000"/>
    <n v="10500000"/>
    <n v="9165682"/>
    <m/>
    <x v="5"/>
    <x v="2"/>
    <x v="30"/>
    <x v="10"/>
    <x v="81"/>
    <x v="32"/>
    <s v="8420"/>
    <e v="#N/A"/>
    <m/>
    <s v="8"/>
    <x v="13"/>
    <s v="80"/>
    <e v="#N/A"/>
    <s v="800"/>
    <e v="#N/A"/>
  </r>
  <r>
    <n v="800"/>
    <n v="843000"/>
    <n v="1"/>
    <s v="1843000.800"/>
    <s v="שירותי  רווחה - טיפול בילד ובנוער - השת' ממשלה"/>
    <n v="-42667500"/>
    <m/>
    <n v="42667500"/>
    <n v="42000000"/>
    <n v="41627877"/>
    <m/>
    <x v="5"/>
    <x v="2"/>
    <x v="30"/>
    <x v="10"/>
    <x v="82"/>
    <x v="33"/>
    <s v="8430"/>
    <e v="#N/A"/>
    <m/>
    <s v="8"/>
    <x v="13"/>
    <s v="80"/>
    <e v="#N/A"/>
    <s v="800"/>
    <e v="#N/A"/>
  </r>
  <r>
    <n v="800"/>
    <n v="844000"/>
    <n v="1"/>
    <s v="1844000.800"/>
    <s v="שירותי  רווחה - טיפול בזקן - השת' ממשלה"/>
    <n v="-16000000"/>
    <m/>
    <n v="16000000"/>
    <n v="17000000"/>
    <n v="14975344"/>
    <m/>
    <x v="5"/>
    <x v="2"/>
    <x v="30"/>
    <x v="10"/>
    <x v="83"/>
    <x v="34"/>
    <s v="8440"/>
    <e v="#N/A"/>
    <m/>
    <s v="8"/>
    <x v="13"/>
    <s v="80"/>
    <e v="#N/A"/>
    <s v="800"/>
    <e v="#N/A"/>
  </r>
  <r>
    <n v="800"/>
    <n v="845000"/>
    <n v="1"/>
    <s v="1845000.800"/>
    <s v="שירותי  רווחה - טיפול במפגר - השת'  ממשלה"/>
    <n v="-69000000"/>
    <m/>
    <n v="69000000"/>
    <n v="67950000"/>
    <n v="66683553"/>
    <m/>
    <x v="5"/>
    <x v="2"/>
    <x v="30"/>
    <x v="10"/>
    <x v="84"/>
    <x v="35"/>
    <s v="8450"/>
    <e v="#N/A"/>
    <m/>
    <s v="8"/>
    <x v="13"/>
    <s v="80"/>
    <e v="#N/A"/>
    <s v="800"/>
    <e v="#N/A"/>
  </r>
  <r>
    <n v="800"/>
    <n v="846200"/>
    <n v="1"/>
    <s v="1846200.800"/>
    <s v="שירותי  רווחה - שיקום עוורים - השת' ממשלה"/>
    <n v="-3000000"/>
    <m/>
    <n v="3000000"/>
    <n v="3136000"/>
    <n v="2080815"/>
    <m/>
    <x v="5"/>
    <x v="2"/>
    <x v="30"/>
    <x v="10"/>
    <x v="85"/>
    <x v="36"/>
    <s v="8462"/>
    <s v="שיקום העיוור - אחזקה"/>
    <m/>
    <s v="8"/>
    <x v="13"/>
    <s v="80"/>
    <e v="#N/A"/>
    <s v="800"/>
    <e v="#N/A"/>
  </r>
  <r>
    <n v="800"/>
    <n v="846400"/>
    <n v="1"/>
    <s v="1846400.800"/>
    <s v="שירותי  רווחה - שיקום נכים - השת' ממשלה"/>
    <n v="-23000000"/>
    <m/>
    <n v="23000000"/>
    <n v="23250000"/>
    <n v="22660513"/>
    <m/>
    <x v="5"/>
    <x v="2"/>
    <x v="30"/>
    <x v="10"/>
    <x v="85"/>
    <x v="36"/>
    <s v="8464"/>
    <s v="מפעלי תעסוקה לעיוורים"/>
    <m/>
    <s v="8"/>
    <x v="13"/>
    <s v="80"/>
    <e v="#N/A"/>
    <s v="800"/>
    <e v="#N/A"/>
  </r>
  <r>
    <n v="800"/>
    <n v="846500"/>
    <n v="1"/>
    <s v="1846500.800"/>
    <s v="שירותי  רווחה - מניעת עבריינות - השת' ממשלה"/>
    <n v="-4000000"/>
    <m/>
    <n v="4000000"/>
    <n v="3984500"/>
    <n v="3792127"/>
    <m/>
    <x v="5"/>
    <x v="2"/>
    <x v="30"/>
    <x v="10"/>
    <x v="85"/>
    <x v="36"/>
    <s v="8465"/>
    <s v="נכים - שיקום במוסדות"/>
    <m/>
    <s v="8"/>
    <x v="13"/>
    <s v="80"/>
    <e v="#N/A"/>
    <s v="800"/>
    <e v="#N/A"/>
  </r>
  <r>
    <n v="800"/>
    <n v="846524"/>
    <n v="1"/>
    <s v="1846524.800"/>
    <s v="שירותי  רווחה - הרשות למלחמה בסמים"/>
    <n v="-810000"/>
    <m/>
    <n v="810000"/>
    <n v="810000"/>
    <n v="896860"/>
    <m/>
    <x v="5"/>
    <x v="2"/>
    <x v="30"/>
    <x v="10"/>
    <x v="85"/>
    <x v="36"/>
    <s v="8465"/>
    <s v="נכים - שיקום במוסדות"/>
    <m/>
    <s v="8"/>
    <x v="13"/>
    <s v="80"/>
    <e v="#N/A"/>
    <s v="800"/>
    <e v="#N/A"/>
  </r>
  <r>
    <n v="800"/>
    <n v="847000"/>
    <n v="1"/>
    <s v="1847000.800"/>
    <s v="שירותי  רווחה - עבודה קהילתית - השת' ממשלה"/>
    <n v="-1500000"/>
    <m/>
    <n v="1500000"/>
    <n v="2542000"/>
    <n v="688458"/>
    <m/>
    <x v="5"/>
    <x v="2"/>
    <x v="30"/>
    <x v="10"/>
    <x v="86"/>
    <x v="37"/>
    <s v="8470"/>
    <e v="#N/A"/>
    <m/>
    <s v="8"/>
    <x v="13"/>
    <s v="80"/>
    <e v="#N/A"/>
    <s v="800"/>
    <e v="#N/A"/>
  </r>
  <r>
    <n v="800"/>
    <n v="847310"/>
    <n v="1"/>
    <s v="1847310.800"/>
    <s v="שירותי  רווחה - פרויקט הילה"/>
    <n v="-158000"/>
    <m/>
    <n v="158000"/>
    <n v="158000"/>
    <n v="498170"/>
    <m/>
    <x v="5"/>
    <x v="2"/>
    <x v="30"/>
    <x v="10"/>
    <x v="86"/>
    <x v="37"/>
    <s v="8473"/>
    <s v="סמים"/>
    <m/>
    <s v="8"/>
    <x v="13"/>
    <s v="80"/>
    <e v="#N/A"/>
    <s v="800"/>
    <e v="#N/A"/>
  </r>
  <r>
    <n v="800"/>
    <n v="847320"/>
    <n v="1"/>
    <s v="1847320.800"/>
    <s v="שירותי  רווחה - מאבק באלימות נגד קשישים"/>
    <n v="0"/>
    <m/>
    <n v="0"/>
    <n v="300000"/>
    <n v="0"/>
    <m/>
    <x v="5"/>
    <x v="2"/>
    <x v="30"/>
    <x v="10"/>
    <x v="86"/>
    <x v="37"/>
    <s v="8473"/>
    <s v="סמים"/>
    <m/>
    <s v="8"/>
    <x v="13"/>
    <s v="80"/>
    <e v="#N/A"/>
    <s v="800"/>
    <e v="#N/A"/>
  </r>
  <r>
    <n v="800"/>
    <n v="847410"/>
    <n v="1"/>
    <s v="1847410.800"/>
    <s v="שירותי  רווחה - מרכזתעסוקה לאוכלוסיה לא מסתגלת"/>
    <n v="-1000000"/>
    <m/>
    <n v="1000000"/>
    <n v="1000000"/>
    <n v="2006815"/>
    <m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8200"/>
    <n v="1"/>
    <s v="1848200.800"/>
    <s v="שירותי  רווחה - פרוייקט קד&quot;ש השת' ממשלה"/>
    <n v="-775000"/>
    <m/>
    <n v="775000"/>
    <n v="175000"/>
    <n v="211803"/>
    <m/>
    <x v="5"/>
    <x v="2"/>
    <x v="30"/>
    <x v="10"/>
    <x v="87"/>
    <x v="38"/>
    <s v="8482"/>
    <s v="מרכזים קהילתיים"/>
    <m/>
    <s v="8"/>
    <x v="13"/>
    <s v="80"/>
    <e v="#N/A"/>
    <s v="800"/>
    <e v="#N/A"/>
  </r>
  <r>
    <n v="800"/>
    <n v="848300"/>
    <n v="1"/>
    <s v="1848300.800"/>
    <s v="שירותי  רווחה - עיר ללא אלימות"/>
    <n v="-1150000"/>
    <m/>
    <n v="1150000"/>
    <n v="1150000"/>
    <n v="1380166"/>
    <m/>
    <x v="5"/>
    <x v="2"/>
    <x v="30"/>
    <x v="10"/>
    <x v="87"/>
    <x v="38"/>
    <s v="8483"/>
    <s v="התנדבות"/>
    <m/>
    <s v="8"/>
    <x v="13"/>
    <s v="80"/>
    <e v="#N/A"/>
    <s v="800"/>
    <e v="#N/A"/>
  </r>
  <r>
    <n v="800"/>
    <n v="848500"/>
    <n v="1"/>
    <s v="1848500.800"/>
    <s v="שירותי  רווחה - עיר בריאה"/>
    <n v="-270000"/>
    <m/>
    <n v="270000"/>
    <n v="270000"/>
    <n v="375000"/>
    <e v="#N/A"/>
    <x v="5"/>
    <x v="2"/>
    <x v="30"/>
    <x v="10"/>
    <x v="87"/>
    <x v="38"/>
    <s v="8485"/>
    <s v="שיקום שכונות"/>
    <m/>
    <s v="8"/>
    <x v="13"/>
    <s v="80"/>
    <e v="#N/A"/>
    <s v="800"/>
    <e v="#N/A"/>
  </r>
  <r>
    <n v="100"/>
    <n v="842000"/>
    <n v="1"/>
    <s v="1842000.100"/>
    <s v="שירותי רווחה - שורת השלמה לאיזון התקציב לרווחת המשפחה"/>
    <m/>
    <m/>
    <n v="1372339.0551520479"/>
    <m/>
    <m/>
    <m/>
    <x v="5"/>
    <x v="2"/>
    <x v="30"/>
    <x v="10"/>
    <x v="81"/>
    <x v="32"/>
    <s v="8420"/>
    <e v="#N/A"/>
    <m/>
    <s v="1"/>
    <x v="8"/>
    <s v="10"/>
    <e v="#N/A"/>
    <s v="100"/>
    <e v="#N/A"/>
  </r>
  <r>
    <n v="100"/>
    <n v="846000"/>
    <n v="1"/>
    <s v="1846000.100"/>
    <s v="שירותי רווחה - שורת השלמה לאיזון התקציב לשירותי שיקום"/>
    <m/>
    <m/>
    <n v="3586251.312485537"/>
    <m/>
    <m/>
    <m/>
    <x v="5"/>
    <x v="2"/>
    <x v="30"/>
    <x v="10"/>
    <x v="85"/>
    <x v="36"/>
    <s v="8460"/>
    <e v="#N/A"/>
    <m/>
    <s v="1"/>
    <x v="8"/>
    <s v="10"/>
    <e v="#N/A"/>
    <s v="100"/>
    <e v="#N/A"/>
  </r>
  <r>
    <n v="100"/>
    <n v="844000"/>
    <n v="1"/>
    <s v="1844000.100"/>
    <s v="שירותי רווחה - שורת השלמה לאיזון התקציב לשירותים לזקן"/>
    <m/>
    <m/>
    <n v="2195742.4882432758"/>
    <m/>
    <m/>
    <m/>
    <x v="5"/>
    <x v="2"/>
    <x v="30"/>
    <x v="10"/>
    <x v="83"/>
    <x v="34"/>
    <s v="8440"/>
    <e v="#N/A"/>
    <m/>
    <s v="1"/>
    <x v="8"/>
    <s v="10"/>
    <e v="#N/A"/>
    <s v="100"/>
    <e v="#N/A"/>
  </r>
  <r>
    <n v="100"/>
    <n v="843000"/>
    <n v="1"/>
    <s v="1843000.100"/>
    <s v="שירותי רווחה - שורת השלמה לאיזון התקציב לשירותים לילד ולנוער"/>
    <m/>
    <m/>
    <n v="5855427.6635699989"/>
    <m/>
    <m/>
    <m/>
    <x v="5"/>
    <x v="2"/>
    <x v="30"/>
    <x v="10"/>
    <x v="82"/>
    <x v="33"/>
    <s v="8430"/>
    <e v="#N/A"/>
    <m/>
    <s v="1"/>
    <x v="8"/>
    <s v="10"/>
    <e v="#N/A"/>
    <s v="100"/>
    <e v="#N/A"/>
  </r>
  <r>
    <n v="100"/>
    <n v="845000"/>
    <n v="1"/>
    <s v="1845000.100"/>
    <s v="שירותי רווחה - שורת השלמה לאיזון התקציב לשירותים למפגר"/>
    <m/>
    <m/>
    <n v="9469139.4805491287"/>
    <m/>
    <m/>
    <m/>
    <x v="5"/>
    <x v="2"/>
    <x v="30"/>
    <x v="10"/>
    <x v="84"/>
    <x v="35"/>
    <s v="8450"/>
    <e v="#N/A"/>
    <m/>
    <s v="1"/>
    <x v="8"/>
    <s v="10"/>
    <e v="#N/A"/>
    <s v="100"/>
    <e v="#N/A"/>
  </r>
  <r>
    <n v="800"/>
    <n v="847310"/>
    <n v="1"/>
    <s v="1847310.800"/>
    <s v="פרויקט הילה - השתתפויות תמיכות ותרומות"/>
    <m/>
    <m/>
    <n v="276900"/>
    <n v="285000"/>
    <n v="424900"/>
    <e v="#N/A"/>
    <x v="5"/>
    <x v="2"/>
    <x v="30"/>
    <x v="10"/>
    <x v="86"/>
    <x v="37"/>
    <s v="8473"/>
    <s v="סמים"/>
    <m/>
    <s v="8"/>
    <x v="13"/>
    <s v="80"/>
    <e v="#N/A"/>
    <s v="800"/>
    <e v="#N/A"/>
  </r>
  <r>
    <n v="700"/>
    <n v="846524"/>
    <n v="1"/>
    <s v="1846524.700"/>
    <s v="הרשות למלחמה בסמים - הוצאות לפעולות"/>
    <m/>
    <m/>
    <n v="291400"/>
    <n v="300000"/>
    <n v="0"/>
    <e v="#N/A"/>
    <x v="5"/>
    <x v="2"/>
    <x v="30"/>
    <x v="10"/>
    <x v="85"/>
    <x v="36"/>
    <s v="8465"/>
    <s v="נכים - שיקום במוסדות"/>
    <m/>
    <s v="7"/>
    <x v="9"/>
    <s v="70"/>
    <e v="#N/A"/>
    <s v="700"/>
    <e v="#N/A"/>
  </r>
  <r>
    <n v="800"/>
    <n v="846524"/>
    <n v="1"/>
    <s v="1846524.800"/>
    <s v="הרשות למלחמה בסמים - השתתפויות תמיכות ותרומות"/>
    <m/>
    <m/>
    <n v="1282300"/>
    <n v="1320000"/>
    <n v="1298900"/>
    <e v="#N/A"/>
    <x v="5"/>
    <x v="2"/>
    <x v="30"/>
    <x v="10"/>
    <x v="85"/>
    <x v="36"/>
    <s v="8465"/>
    <s v="נכים - שיקום במוסדות"/>
    <m/>
    <s v="8"/>
    <x v="13"/>
    <s v="80"/>
    <e v="#N/A"/>
    <s v="800"/>
    <e v="#N/A"/>
  </r>
  <r>
    <n v="100"/>
    <n v="727000"/>
    <n v="1"/>
    <s v="1727000.100"/>
    <s v="מציל&quot;ה - שכר לעובדים קבועים"/>
    <m/>
    <m/>
    <n v="8200"/>
    <n v="8200"/>
    <n v="9400"/>
    <e v="#N/A"/>
    <x v="7"/>
    <x v="1"/>
    <x v="31"/>
    <x v="4"/>
    <x v="88"/>
    <x v="7"/>
    <s v="7270"/>
    <e v="#N/A"/>
    <m/>
    <s v="1"/>
    <x v="8"/>
    <s v="10"/>
    <e v="#N/A"/>
    <s v="100"/>
    <e v="#N/A"/>
  </r>
  <r>
    <n v="120"/>
    <n v="727000"/>
    <n v="1"/>
    <s v="1727000.120"/>
    <s v="מציל&quot;ה - שעות נוספות"/>
    <m/>
    <m/>
    <n v="1800"/>
    <n v="1800"/>
    <n v="100"/>
    <e v="#N/A"/>
    <x v="7"/>
    <x v="1"/>
    <x v="31"/>
    <x v="4"/>
    <x v="88"/>
    <x v="7"/>
    <s v="7270"/>
    <e v="#N/A"/>
    <m/>
    <s v="1"/>
    <x v="8"/>
    <s v="12"/>
    <s v="תוספות שאינן נכללות בשכר הקובע"/>
    <s v="120"/>
    <e v="#N/A"/>
  </r>
  <r>
    <n v="800"/>
    <n v="727000"/>
    <n v="1"/>
    <s v="1727000.800"/>
    <s v="מציל&quot;ה - השתתפויות תמיכות ותרומות"/>
    <m/>
    <m/>
    <n v="90800"/>
    <n v="93500"/>
    <n v="32500"/>
    <e v="#N/A"/>
    <x v="7"/>
    <x v="1"/>
    <x v="31"/>
    <x v="4"/>
    <x v="88"/>
    <x v="7"/>
    <s v="7270"/>
    <e v="#N/A"/>
    <m/>
    <s v="8"/>
    <x v="13"/>
    <s v="80"/>
    <e v="#N/A"/>
    <s v="800"/>
    <e v="#N/A"/>
  </r>
  <r>
    <n v="800"/>
    <n v="847417"/>
    <n v="1"/>
    <s v="1847417.800"/>
    <s v="מרכז תעסוקה - השתתפויות תמיכות ותרומות"/>
    <m/>
    <m/>
    <n v="1882200"/>
    <n v="1937500"/>
    <n v="16303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100"/>
    <n v="861000"/>
    <n v="1"/>
    <s v="1861000.100"/>
    <s v="פרוייקט קד&quot;ש - שכר לעובדים קבועים"/>
    <m/>
    <m/>
    <n v="37000"/>
    <n v="37000"/>
    <n v="151200"/>
    <e v="#N/A"/>
    <x v="5"/>
    <x v="2"/>
    <x v="32"/>
    <x v="23"/>
    <x v="89"/>
    <x v="0"/>
    <s v="8610"/>
    <e v="#N/A"/>
    <m/>
    <s v="1"/>
    <x v="8"/>
    <s v="10"/>
    <e v="#N/A"/>
    <s v="100"/>
    <e v="#N/A"/>
  </r>
  <r>
    <n v="700"/>
    <n v="861000"/>
    <n v="1"/>
    <s v="1861000.700"/>
    <s v="פרוייקט קד&quot;ש - הוצאות לפעולות"/>
    <m/>
    <m/>
    <n v="721700"/>
    <n v="742900"/>
    <n v="543900"/>
    <e v="#N/A"/>
    <x v="5"/>
    <x v="2"/>
    <x v="32"/>
    <x v="23"/>
    <x v="89"/>
    <x v="0"/>
    <s v="8610"/>
    <e v="#N/A"/>
    <m/>
    <s v="7"/>
    <x v="9"/>
    <s v="70"/>
    <e v="#N/A"/>
    <s v="700"/>
    <e v="#N/A"/>
  </r>
  <r>
    <n v="800"/>
    <n v="847413"/>
    <n v="1"/>
    <s v="1847413.800"/>
    <s v="מיל&quot;ב-מועדוני פנסיונרים - השתתפויות תמיכות ותרומות"/>
    <m/>
    <m/>
    <n v="3330900"/>
    <n v="3428500"/>
    <n v="34285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6423"/>
    <n v="1"/>
    <s v="1846423.800"/>
    <s v="גימלאידה - השתתפויות תמיכות ותרומות"/>
    <m/>
    <m/>
    <n v="276900"/>
    <n v="285000"/>
    <n v="277500"/>
    <e v="#N/A"/>
    <x v="5"/>
    <x v="2"/>
    <x v="30"/>
    <x v="10"/>
    <x v="85"/>
    <x v="36"/>
    <s v="8464"/>
    <s v="מפעלי תעסוקה לעיוורים"/>
    <m/>
    <s v="8"/>
    <x v="13"/>
    <s v="80"/>
    <e v="#N/A"/>
    <s v="800"/>
    <e v="#N/A"/>
  </r>
  <r>
    <n v="800"/>
    <n v="847418"/>
    <n v="1"/>
    <s v="1847418.800"/>
    <s v="מרכז להורה עצמאי - השתתפויות תמיכות ותרומות"/>
    <m/>
    <m/>
    <n v="63700"/>
    <n v="65600"/>
    <n v="552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20"/>
    <n v="1"/>
    <s v="1847420.800"/>
    <s v="שיקום האסיר - השתתפויות תמיכות ותרומות"/>
    <m/>
    <m/>
    <n v="39800"/>
    <n v="41000"/>
    <n v="410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16"/>
    <n v="1"/>
    <s v="1847416.800"/>
    <s v="ארועים למען הקשיש - השתתפויות תמיכות ותרומות"/>
    <m/>
    <m/>
    <n v="52300"/>
    <n v="53800"/>
    <n v="225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11"/>
    <n v="1"/>
    <s v="1847411.800"/>
    <s v="מועדוניות לילד - השתתפויות תמיכות ותרומות"/>
    <m/>
    <m/>
    <n v="83100"/>
    <n v="85500"/>
    <n v="770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14"/>
    <n v="1"/>
    <s v="1847414.800"/>
    <s v="מרכז גיל רך ואדי - השתתפויות תמיכות ותרומות"/>
    <m/>
    <m/>
    <n v="41600"/>
    <n v="42800"/>
    <n v="428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15"/>
    <n v="1"/>
    <s v="1847415.800"/>
    <s v="ילדים בסיכון הדר - השתתפויות תמיכות ותרומות"/>
    <m/>
    <m/>
    <n v="20800"/>
    <n v="21400"/>
    <n v="20700"/>
    <m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22"/>
    <n v="1"/>
    <s v="1847422.800"/>
    <s v="פרויקט סטרייב - השתתפויות תמיכות ותרומות"/>
    <m/>
    <m/>
    <n v="68000"/>
    <n v="70000"/>
    <n v="440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761111"/>
    <n v="1"/>
    <s v="1761111.800"/>
    <s v="קרן ק.ס.ם.‏ - השתתפויות תמיכות ותרומות"/>
    <m/>
    <m/>
    <n v="280600"/>
    <n v="288800"/>
    <n v="274700"/>
    <e v="#N/A"/>
    <x v="7"/>
    <x v="1"/>
    <x v="26"/>
    <x v="20"/>
    <x v="67"/>
    <x v="50"/>
    <s v="7611"/>
    <e v="#N/A"/>
    <m/>
    <s v="8"/>
    <x v="13"/>
    <s v="80"/>
    <e v="#N/A"/>
    <s v="800"/>
    <e v="#N/A"/>
  </r>
  <r>
    <n v="800"/>
    <n v="847425"/>
    <n v="1"/>
    <s v="1847425.800"/>
    <s v="תוכנית חוסן‏ - השתתפויות תמיכות ותרומות"/>
    <m/>
    <m/>
    <n v="138400"/>
    <n v="142500"/>
    <n v="1326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800"/>
    <n v="847426"/>
    <n v="1"/>
    <s v="1847426.800"/>
    <s v="מרכז לילדים נפגעי‏ תקיפה מינית - השתתפויות תמיכות ותרומות"/>
    <m/>
    <m/>
    <n v="138400"/>
    <n v="142500"/>
    <n v="64800"/>
    <e v="#N/A"/>
    <x v="5"/>
    <x v="2"/>
    <x v="30"/>
    <x v="10"/>
    <x v="86"/>
    <x v="37"/>
    <s v="8474"/>
    <s v="מפתנים"/>
    <m/>
    <s v="8"/>
    <x v="13"/>
    <s v="80"/>
    <e v="#N/A"/>
    <s v="800"/>
    <e v="#N/A"/>
  </r>
  <r>
    <n v="100"/>
    <n v="829500"/>
    <n v="1"/>
    <s v="1829500.100"/>
    <s v="הנהלת רשות הספורט - שכר לעובדים קבועים"/>
    <m/>
    <m/>
    <n v="3542100"/>
    <n v="3501100"/>
    <n v="3072300"/>
    <e v="#N/A"/>
    <x v="5"/>
    <x v="2"/>
    <x v="19"/>
    <x v="9"/>
    <x v="55"/>
    <x v="29"/>
    <s v="8295"/>
    <e v="#N/A"/>
    <m/>
    <s v="1"/>
    <x v="8"/>
    <s v="10"/>
    <e v="#N/A"/>
    <s v="100"/>
    <e v="#N/A"/>
  </r>
  <r>
    <n v="120"/>
    <n v="829500"/>
    <n v="1"/>
    <s v="1829500.120"/>
    <s v="הנהלת רשות הספורט - שעות נוספות"/>
    <m/>
    <m/>
    <n v="184900"/>
    <n v="184900"/>
    <n v="200800"/>
    <e v="#N/A"/>
    <x v="5"/>
    <x v="2"/>
    <x v="19"/>
    <x v="9"/>
    <x v="55"/>
    <x v="29"/>
    <s v="8295"/>
    <e v="#N/A"/>
    <m/>
    <s v="1"/>
    <x v="8"/>
    <s v="12"/>
    <s v="תוספות שאינן נכללות בשכר הקובע"/>
    <s v="120"/>
    <e v="#N/A"/>
  </r>
  <r>
    <n v="400"/>
    <n v="829500"/>
    <n v="1"/>
    <s v="1829500.400"/>
    <s v="הנהלת רשות הספורט - אחזקה אספקה וציוד"/>
    <m/>
    <m/>
    <n v="8700"/>
    <n v="8700"/>
    <n v="5400"/>
    <e v="#N/A"/>
    <x v="5"/>
    <x v="2"/>
    <x v="19"/>
    <x v="9"/>
    <x v="55"/>
    <x v="29"/>
    <s v="8295"/>
    <e v="#N/A"/>
    <m/>
    <s v="4"/>
    <x v="11"/>
    <s v="40"/>
    <e v="#N/A"/>
    <s v="400"/>
    <e v="#N/A"/>
  </r>
  <r>
    <n v="500"/>
    <n v="829500"/>
    <n v="1"/>
    <s v="1829500.500"/>
    <s v="הנהלת רשות הספורט - תחבורה ודואר"/>
    <m/>
    <m/>
    <n v="50000"/>
    <n v="50000"/>
    <n v="46800"/>
    <e v="#N/A"/>
    <x v="5"/>
    <x v="2"/>
    <x v="19"/>
    <x v="9"/>
    <x v="55"/>
    <x v="29"/>
    <s v="8295"/>
    <e v="#N/A"/>
    <m/>
    <s v="5"/>
    <x v="12"/>
    <s v="50"/>
    <e v="#N/A"/>
    <s v="500"/>
    <e v="#N/A"/>
  </r>
  <r>
    <n v="500"/>
    <n v="829500"/>
    <n v="1"/>
    <s v="1829500.500"/>
    <s v="הנהלת רשות הספורט - הוצאות כלליות"/>
    <m/>
    <m/>
    <n v="72100"/>
    <n v="75100"/>
    <n v="82300"/>
    <e v="#N/A"/>
    <x v="5"/>
    <x v="2"/>
    <x v="19"/>
    <x v="9"/>
    <x v="55"/>
    <x v="29"/>
    <s v="8295"/>
    <e v="#N/A"/>
    <m/>
    <s v="5"/>
    <x v="12"/>
    <s v="50"/>
    <e v="#N/A"/>
    <s v="500"/>
    <e v="#N/A"/>
  </r>
  <r>
    <n v="700"/>
    <n v="829500"/>
    <n v="1"/>
    <s v="1829500.700"/>
    <s v="הנהלת רשות הספורט - הוצאות לפעולות"/>
    <m/>
    <m/>
    <n v="206000"/>
    <n v="212900"/>
    <n v="129500"/>
    <e v="#N/A"/>
    <x v="5"/>
    <x v="2"/>
    <x v="19"/>
    <x v="9"/>
    <x v="55"/>
    <x v="29"/>
    <s v="8295"/>
    <e v="#N/A"/>
    <m/>
    <s v="7"/>
    <x v="9"/>
    <s v="70"/>
    <e v="#N/A"/>
    <s v="700"/>
    <e v="#N/A"/>
  </r>
  <r>
    <n v="100"/>
    <n v="829231"/>
    <n v="1"/>
    <s v="1829231.100"/>
    <s v="מועדונים בית ספריים - שכר לעובדים קבועים"/>
    <m/>
    <m/>
    <n v="0"/>
    <n v="0"/>
    <n v="162400"/>
    <e v="#N/A"/>
    <x v="5"/>
    <x v="2"/>
    <x v="19"/>
    <x v="9"/>
    <x v="55"/>
    <x v="29"/>
    <s v="8292"/>
    <e v="#N/A"/>
    <m/>
    <s v="1"/>
    <x v="8"/>
    <s v="10"/>
    <e v="#N/A"/>
    <s v="100"/>
    <e v="#N/A"/>
  </r>
  <r>
    <n v="200"/>
    <n v="829231"/>
    <n v="1"/>
    <s v="1829231.200"/>
    <s v="מועדונים בית ספריים - שכר לעובדים ארעיים"/>
    <m/>
    <m/>
    <n v="3920800"/>
    <n v="4201800"/>
    <n v="3783400"/>
    <e v="#N/A"/>
    <x v="5"/>
    <x v="2"/>
    <x v="19"/>
    <x v="9"/>
    <x v="55"/>
    <x v="29"/>
    <s v="8292"/>
    <e v="#N/A"/>
    <m/>
    <s v="2"/>
    <x v="10"/>
    <s v="20"/>
    <e v="#N/A"/>
    <s v="200"/>
    <e v="#N/A"/>
  </r>
  <r>
    <n v="120"/>
    <n v="829231"/>
    <n v="1"/>
    <s v="1829231.120"/>
    <s v="מועדונים בית ספריים - שעות נוספות"/>
    <m/>
    <m/>
    <n v="43200"/>
    <n v="43200"/>
    <n v="39200"/>
    <e v="#N/A"/>
    <x v="5"/>
    <x v="2"/>
    <x v="19"/>
    <x v="9"/>
    <x v="55"/>
    <x v="29"/>
    <s v="8292"/>
    <e v="#N/A"/>
    <m/>
    <s v="1"/>
    <x v="8"/>
    <s v="12"/>
    <s v="תוספות שאינן נכללות בשכר הקובע"/>
    <s v="120"/>
    <e v="#N/A"/>
  </r>
  <r>
    <n v="700"/>
    <n v="829231"/>
    <n v="1"/>
    <s v="1829231.700"/>
    <s v="מועדונים בית ספריים - הוצאות לפעולות"/>
    <m/>
    <m/>
    <n v="167100"/>
    <n v="172000"/>
    <n v="15860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200"/>
    <n v="829232"/>
    <n v="1"/>
    <s v="1829232.200"/>
    <s v="מרכזי אימון‏‏ - שכר לעובדים ארעיים"/>
    <m/>
    <m/>
    <n v="28400"/>
    <n v="28400"/>
    <n v="125400"/>
    <e v="#N/A"/>
    <x v="5"/>
    <x v="2"/>
    <x v="19"/>
    <x v="9"/>
    <x v="55"/>
    <x v="29"/>
    <s v="8292"/>
    <e v="#N/A"/>
    <m/>
    <s v="2"/>
    <x v="10"/>
    <s v="20"/>
    <e v="#N/A"/>
    <s v="200"/>
    <e v="#N/A"/>
  </r>
  <r>
    <n v="120"/>
    <n v="829232"/>
    <n v="1"/>
    <s v="1829232.120"/>
    <s v="מרכזי אימון‏‏ - שעות נוספות"/>
    <m/>
    <m/>
    <n v="11600"/>
    <n v="11600"/>
    <n v="13600"/>
    <e v="#N/A"/>
    <x v="5"/>
    <x v="2"/>
    <x v="19"/>
    <x v="9"/>
    <x v="55"/>
    <x v="29"/>
    <s v="8292"/>
    <e v="#N/A"/>
    <m/>
    <s v="1"/>
    <x v="8"/>
    <s v="12"/>
    <s v="תוספות שאינן נכללות בשכר הקובע"/>
    <s v="120"/>
    <e v="#N/A"/>
  </r>
  <r>
    <n v="700"/>
    <n v="829901"/>
    <n v="1"/>
    <s v="1829901.700"/>
    <s v="ארועי ספורט - הוצאות לפעולות"/>
    <m/>
    <m/>
    <n v="2289400"/>
    <n v="2356700"/>
    <n v="1098300"/>
    <e v="#N/A"/>
    <x v="5"/>
    <x v="2"/>
    <x v="19"/>
    <x v="9"/>
    <x v="55"/>
    <x v="29"/>
    <s v="8299"/>
    <e v="#N/A"/>
    <m/>
    <s v="7"/>
    <x v="9"/>
    <s v="70"/>
    <e v="#N/A"/>
    <s v="700"/>
    <e v="#N/A"/>
  </r>
  <r>
    <n v="700"/>
    <n v="829902"/>
    <n v="1"/>
    <s v="1829902.700"/>
    <s v="אליפות העולם בשייט - הוצאות לפעולות"/>
    <m/>
    <m/>
    <n v="200000"/>
    <n v="1000000"/>
    <n v="0"/>
    <e v="#N/A"/>
    <x v="5"/>
    <x v="2"/>
    <x v="19"/>
    <x v="9"/>
    <x v="55"/>
    <x v="29"/>
    <s v="8299"/>
    <e v="#N/A"/>
    <m/>
    <s v="7"/>
    <x v="9"/>
    <s v="70"/>
    <e v="#N/A"/>
    <s v="700"/>
    <e v="#N/A"/>
  </r>
  <r>
    <n v="700"/>
    <n v="829235"/>
    <n v="1"/>
    <s v="1829235.700"/>
    <s v="פעילות טניס לילדים - הוצאות לפעולות"/>
    <m/>
    <m/>
    <n v="68000"/>
    <n v="70000"/>
    <n v="7000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120"/>
    <n v="829230"/>
    <n v="1"/>
    <s v="1829230.120"/>
    <s v="הפעלת מגרשי ספורט - שעות נוספות"/>
    <m/>
    <m/>
    <m/>
    <n v="0"/>
    <n v="0"/>
    <e v="#N/A"/>
    <x v="5"/>
    <x v="2"/>
    <x v="19"/>
    <x v="9"/>
    <x v="55"/>
    <x v="29"/>
    <s v="8292"/>
    <e v="#N/A"/>
    <m/>
    <s v="1"/>
    <x v="8"/>
    <s v="12"/>
    <s v="תוספות שאינן נכללות בשכר הקובע"/>
    <s v="120"/>
    <e v="#N/A"/>
  </r>
  <r>
    <n v="400"/>
    <n v="829230"/>
    <n v="1"/>
    <s v="1829230.400"/>
    <s v="הפעלת מגרשי ספורט - אחזקה אספקה וציוד"/>
    <m/>
    <m/>
    <n v="41000"/>
    <n v="41000"/>
    <n v="59800"/>
    <e v="#N/A"/>
    <x v="5"/>
    <x v="2"/>
    <x v="19"/>
    <x v="9"/>
    <x v="55"/>
    <x v="29"/>
    <s v="8292"/>
    <e v="#N/A"/>
    <m/>
    <s v="4"/>
    <x v="11"/>
    <s v="40"/>
    <e v="#N/A"/>
    <s v="400"/>
    <e v="#N/A"/>
  </r>
  <r>
    <n v="700"/>
    <n v="829230"/>
    <n v="1"/>
    <s v="1829230.700"/>
    <s v="הפעלת מגרשי ספורט - הוצאות לפעולות"/>
    <m/>
    <m/>
    <n v="272900"/>
    <n v="282100"/>
    <n v="27210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700"/>
    <n v="829234"/>
    <n v="1"/>
    <s v="1829234.700"/>
    <s v="אולמות ספורט עירוני א ושיזף - הוצאות לפעולות"/>
    <m/>
    <m/>
    <n v="94200"/>
    <n v="97000"/>
    <n v="9870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700"/>
    <n v="829236"/>
    <n v="1"/>
    <s v="1829236.700"/>
    <s v="כבביר, ק.חיים, רמת אלון ודינור - הוצאות לפעולות"/>
    <m/>
    <m/>
    <n v="194300"/>
    <n v="200000"/>
    <n v="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100"/>
    <n v="824700"/>
    <n v="1"/>
    <s v="1824700.100"/>
    <s v="מועדון נוער אחווה - שכר לעובדים קבועים"/>
    <m/>
    <m/>
    <n v="618800"/>
    <n v="611800"/>
    <n v="541500"/>
    <e v="#N/A"/>
    <x v="5"/>
    <x v="2"/>
    <x v="19"/>
    <x v="9"/>
    <x v="56"/>
    <x v="30"/>
    <s v="8247"/>
    <e v="#N/A"/>
    <m/>
    <s v="1"/>
    <x v="8"/>
    <s v="10"/>
    <e v="#N/A"/>
    <s v="100"/>
    <e v="#N/A"/>
  </r>
  <r>
    <n v="120"/>
    <n v="824700"/>
    <n v="1"/>
    <s v="1824700.120"/>
    <s v="מועדון נוער אחווה - שעות נוספות"/>
    <m/>
    <m/>
    <n v="1200"/>
    <n v="1200"/>
    <n v="900"/>
    <e v="#N/A"/>
    <x v="5"/>
    <x v="2"/>
    <x v="19"/>
    <x v="9"/>
    <x v="56"/>
    <x v="30"/>
    <s v="8247"/>
    <e v="#N/A"/>
    <m/>
    <s v="1"/>
    <x v="8"/>
    <s v="12"/>
    <s v="תוספות שאינן נכללות בשכר הקובע"/>
    <s v="120"/>
    <e v="#N/A"/>
  </r>
  <r>
    <n v="700"/>
    <n v="824700"/>
    <n v="1"/>
    <s v="1824700.700"/>
    <s v="מועדון נוער אחווה - הוצאות לפעולות"/>
    <m/>
    <m/>
    <n v="242900"/>
    <n v="250000"/>
    <n v="174600"/>
    <e v="#N/A"/>
    <x v="5"/>
    <x v="2"/>
    <x v="19"/>
    <x v="9"/>
    <x v="56"/>
    <x v="30"/>
    <s v="8247"/>
    <e v="#N/A"/>
    <m/>
    <s v="7"/>
    <x v="9"/>
    <s v="70"/>
    <e v="#N/A"/>
    <s v="700"/>
    <e v="#N/A"/>
  </r>
  <r>
    <n v="700"/>
    <n v="829237"/>
    <n v="1"/>
    <s v="1829237.700"/>
    <s v="ספורט ונוער המחלקה לארועים ואומנויות - הוצאות לפעולות"/>
    <m/>
    <m/>
    <n v="391900"/>
    <n v="403400"/>
    <n v="0"/>
    <e v="#N/A"/>
    <x v="5"/>
    <x v="2"/>
    <x v="19"/>
    <x v="9"/>
    <x v="55"/>
    <x v="29"/>
    <s v="8292"/>
    <e v="#N/A"/>
    <m/>
    <s v="7"/>
    <x v="9"/>
    <s v="70"/>
    <e v="#N/A"/>
    <s v="700"/>
    <e v="#N/A"/>
  </r>
  <r>
    <n v="100"/>
    <n v="828400"/>
    <n v="1"/>
    <s v="1828400.100"/>
    <s v="המחלקה לנוער - שכר לעובדים קבועים"/>
    <m/>
    <m/>
    <n v="1410500"/>
    <n v="1321800"/>
    <n v="1283300"/>
    <e v="#N/A"/>
    <x v="5"/>
    <x v="2"/>
    <x v="19"/>
    <x v="9"/>
    <x v="90"/>
    <x v="28"/>
    <s v="8284"/>
    <s v="קייטנות נוער"/>
    <m/>
    <s v="1"/>
    <x v="8"/>
    <s v="10"/>
    <e v="#N/A"/>
    <s v="100"/>
    <e v="#N/A"/>
  </r>
  <r>
    <n v="120"/>
    <n v="828400"/>
    <n v="1"/>
    <s v="1828400.120"/>
    <s v="המחלקה לנוער - שעות נוספות"/>
    <m/>
    <m/>
    <n v="75500"/>
    <n v="75500"/>
    <n v="96600"/>
    <e v="#N/A"/>
    <x v="5"/>
    <x v="2"/>
    <x v="19"/>
    <x v="9"/>
    <x v="90"/>
    <x v="28"/>
    <s v="8284"/>
    <s v="קייטנות נוער"/>
    <m/>
    <s v="1"/>
    <x v="8"/>
    <s v="12"/>
    <s v="תוספות שאינן נכללות בשכר הקובע"/>
    <s v="120"/>
    <e v="#N/A"/>
  </r>
  <r>
    <n v="500"/>
    <n v="828400"/>
    <n v="1"/>
    <s v="1828400.500"/>
    <s v="המחלקה לנוער - תחבורה ודואר"/>
    <m/>
    <m/>
    <n v="66500"/>
    <n v="66500"/>
    <n v="65300"/>
    <e v="#N/A"/>
    <x v="5"/>
    <x v="2"/>
    <x v="19"/>
    <x v="9"/>
    <x v="90"/>
    <x v="28"/>
    <s v="8284"/>
    <s v="קייטנות נוער"/>
    <m/>
    <s v="5"/>
    <x v="12"/>
    <s v="50"/>
    <e v="#N/A"/>
    <s v="500"/>
    <e v="#N/A"/>
  </r>
  <r>
    <n v="500"/>
    <n v="828400"/>
    <n v="1"/>
    <s v="1828400.500"/>
    <s v="המחלקה לנוער - הוצאות כלליות"/>
    <m/>
    <m/>
    <n v="5000"/>
    <n v="5000"/>
    <n v="2100"/>
    <e v="#N/A"/>
    <x v="5"/>
    <x v="2"/>
    <x v="19"/>
    <x v="9"/>
    <x v="90"/>
    <x v="28"/>
    <s v="8284"/>
    <s v="קייטנות נוער"/>
    <m/>
    <s v="5"/>
    <x v="12"/>
    <s v="50"/>
    <e v="#N/A"/>
    <s v="500"/>
    <e v="#N/A"/>
  </r>
  <r>
    <n v="700"/>
    <n v="828400"/>
    <n v="1"/>
    <s v="1828400.700"/>
    <s v="המחלקה לנוער - הוצאות לפעולות"/>
    <m/>
    <m/>
    <n v="20100"/>
    <n v="22800"/>
    <n v="24200"/>
    <e v="#N/A"/>
    <x v="5"/>
    <x v="2"/>
    <x v="19"/>
    <x v="9"/>
    <x v="90"/>
    <x v="28"/>
    <s v="8284"/>
    <s v="קייטנות נוער"/>
    <m/>
    <s v="7"/>
    <x v="9"/>
    <s v="70"/>
    <e v="#N/A"/>
    <s v="700"/>
    <e v="#N/A"/>
  </r>
  <r>
    <n v="800"/>
    <n v="828292"/>
    <n v="1"/>
    <s v="1828292.800"/>
    <s v="תנועות נוער - פעילות שוטפת - השתתפויות תמיכות ותרומות"/>
    <m/>
    <m/>
    <n v="509800"/>
    <n v="545800"/>
    <n v="1242300"/>
    <m/>
    <x v="5"/>
    <x v="2"/>
    <x v="19"/>
    <x v="9"/>
    <x v="90"/>
    <x v="28"/>
    <s v="8282"/>
    <s v="מוקדי הפעלת נוער"/>
    <m/>
    <s v="8"/>
    <x v="13"/>
    <s v="80"/>
    <e v="#N/A"/>
    <s v="800"/>
    <e v="#N/A"/>
  </r>
  <r>
    <n v="700"/>
    <n v="828294"/>
    <n v="1"/>
    <s v="1828294.700"/>
    <s v="פרוייקט מעוף - הוצאות לפעולות"/>
    <m/>
    <m/>
    <n v="129900"/>
    <n v="133700"/>
    <n v="99900"/>
    <e v="#N/A"/>
    <x v="5"/>
    <x v="2"/>
    <x v="19"/>
    <x v="9"/>
    <x v="90"/>
    <x v="28"/>
    <s v="8282"/>
    <s v="מוקדי הפעלת נוער"/>
    <m/>
    <s v="7"/>
    <x v="9"/>
    <s v="70"/>
    <e v="#N/A"/>
    <s v="700"/>
    <e v="#N/A"/>
  </r>
  <r>
    <n v="700"/>
    <n v="828295"/>
    <n v="1"/>
    <s v="1828295.700"/>
    <s v="פרוייקטים יחודיים לנוער - הוצאות לפעולות"/>
    <m/>
    <m/>
    <n v="832300"/>
    <n v="877800"/>
    <n v="779100"/>
    <e v="#N/A"/>
    <x v="5"/>
    <x v="2"/>
    <x v="19"/>
    <x v="9"/>
    <x v="90"/>
    <x v="28"/>
    <s v="8282"/>
    <s v="מוקדי הפעלת נוער"/>
    <m/>
    <s v="7"/>
    <x v="9"/>
    <s v="70"/>
    <e v="#N/A"/>
    <s v="700"/>
    <e v="#N/A"/>
  </r>
  <r>
    <n v="100"/>
    <n v="828296"/>
    <n v="1"/>
    <s v="1828296.100"/>
    <s v="מרכז לצעירים - שכר לעובדים קבועים"/>
    <m/>
    <m/>
    <n v="842400"/>
    <n v="651000"/>
    <n v="669500"/>
    <e v="#N/A"/>
    <x v="5"/>
    <x v="2"/>
    <x v="19"/>
    <x v="9"/>
    <x v="90"/>
    <x v="28"/>
    <s v="8282"/>
    <s v="מוקדי הפעלת נוער"/>
    <m/>
    <s v="1"/>
    <x v="8"/>
    <s v="10"/>
    <e v="#N/A"/>
    <s v="100"/>
    <e v="#N/A"/>
  </r>
  <r>
    <n v="120"/>
    <n v="828296"/>
    <n v="1"/>
    <s v="1828296.120"/>
    <s v="מרכז לצעירים - שעות נוספות"/>
    <m/>
    <m/>
    <n v="3600"/>
    <n v="3600"/>
    <n v="5400"/>
    <e v="#N/A"/>
    <x v="5"/>
    <x v="2"/>
    <x v="19"/>
    <x v="9"/>
    <x v="90"/>
    <x v="28"/>
    <s v="8282"/>
    <s v="מוקדי הפעלת נוער"/>
    <m/>
    <s v="1"/>
    <x v="8"/>
    <s v="12"/>
    <s v="תוספות שאינן נכללות בשכר הקובע"/>
    <s v="120"/>
    <e v="#N/A"/>
  </r>
  <r>
    <n v="400"/>
    <n v="828296"/>
    <n v="1"/>
    <s v="1828296.400"/>
    <s v="מרכז לצעירים - אחזקה אספקה וציוד"/>
    <m/>
    <m/>
    <n v="5000"/>
    <n v="5000"/>
    <n v="400"/>
    <e v="#N/A"/>
    <x v="5"/>
    <x v="2"/>
    <x v="19"/>
    <x v="9"/>
    <x v="90"/>
    <x v="28"/>
    <s v="8282"/>
    <s v="מוקדי הפעלת נוער"/>
    <m/>
    <s v="4"/>
    <x v="11"/>
    <s v="40"/>
    <e v="#N/A"/>
    <s v="400"/>
    <e v="#N/A"/>
  </r>
  <r>
    <n v="700"/>
    <n v="828296"/>
    <n v="1"/>
    <s v="1828296.700"/>
    <s v="מרכז לצעירים - הוצאות לפעולות"/>
    <m/>
    <m/>
    <n v="2272100"/>
    <n v="2303000"/>
    <n v="1913700"/>
    <e v="#N/A"/>
    <x v="5"/>
    <x v="2"/>
    <x v="19"/>
    <x v="9"/>
    <x v="90"/>
    <x v="28"/>
    <s v="8282"/>
    <s v="מוקדי הפעלת נוער"/>
    <m/>
    <s v="7"/>
    <x v="9"/>
    <s v="70"/>
    <e v="#N/A"/>
    <s v="700"/>
    <e v="#N/A"/>
  </r>
  <r>
    <n v="700"/>
    <e v="#N/A"/>
    <n v="1"/>
    <e v="#N/A"/>
    <s v="פעילות משתלמת מרכז לצעירים - הוצאות לפעולות"/>
    <m/>
    <m/>
    <n v="1000000"/>
    <n v="0"/>
    <n v="0"/>
    <e v="#N/A"/>
    <x v="6"/>
    <x v="5"/>
    <x v="20"/>
    <x v="17"/>
    <x v="58"/>
    <x v="0"/>
    <e v="#N/A"/>
    <e v="#N/A"/>
    <m/>
    <s v="7"/>
    <x v="14"/>
    <s v="70"/>
    <e v="#N/A"/>
    <s v="700"/>
    <e v="#N/A"/>
  </r>
  <r>
    <n v="100"/>
    <n v="829400"/>
    <n v="1"/>
    <s v="1829400.100"/>
    <s v="קייטנות - שכר לעובדים קבועים"/>
    <m/>
    <m/>
    <n v="0"/>
    <n v="0"/>
    <n v="200"/>
    <m/>
    <x v="5"/>
    <x v="2"/>
    <x v="19"/>
    <x v="9"/>
    <x v="55"/>
    <x v="29"/>
    <s v="8294"/>
    <e v="#N/A"/>
    <m/>
    <s v="1"/>
    <x v="8"/>
    <s v="10"/>
    <e v="#N/A"/>
    <s v="100"/>
    <e v="#N/A"/>
  </r>
  <r>
    <n v="200"/>
    <n v="829400"/>
    <n v="1"/>
    <s v="1829400.200"/>
    <s v="קייטנות - שכר לעובדים ארעיים"/>
    <m/>
    <m/>
    <n v="0"/>
    <n v="0"/>
    <n v="473000"/>
    <e v="#N/A"/>
    <x v="5"/>
    <x v="2"/>
    <x v="19"/>
    <x v="9"/>
    <x v="55"/>
    <x v="29"/>
    <s v="8294"/>
    <e v="#N/A"/>
    <m/>
    <s v="2"/>
    <x v="10"/>
    <s v="20"/>
    <e v="#N/A"/>
    <s v="200"/>
    <e v="#N/A"/>
  </r>
  <r>
    <n v="120"/>
    <n v="829400"/>
    <n v="1"/>
    <s v="1829400.120"/>
    <s v="קייטנות - שעות נוספות"/>
    <m/>
    <m/>
    <n v="0"/>
    <n v="0"/>
    <n v="3500"/>
    <m/>
    <x v="5"/>
    <x v="2"/>
    <x v="19"/>
    <x v="9"/>
    <x v="55"/>
    <x v="29"/>
    <s v="8294"/>
    <e v="#N/A"/>
    <m/>
    <s v="1"/>
    <x v="8"/>
    <s v="12"/>
    <s v="תוספות שאינן נכללות בשכר הקובע"/>
    <s v="120"/>
    <e v="#N/A"/>
  </r>
  <r>
    <n v="500"/>
    <n v="829400"/>
    <n v="1"/>
    <s v="1829400.500"/>
    <s v="קייטנות - תחבורה ודואר"/>
    <m/>
    <m/>
    <n v="0"/>
    <n v="0"/>
    <n v="13600"/>
    <e v="#N/A"/>
    <x v="5"/>
    <x v="2"/>
    <x v="19"/>
    <x v="9"/>
    <x v="55"/>
    <x v="29"/>
    <s v="8294"/>
    <e v="#N/A"/>
    <m/>
    <s v="5"/>
    <x v="12"/>
    <s v="50"/>
    <e v="#N/A"/>
    <s v="500"/>
    <e v="#N/A"/>
  </r>
  <r>
    <n v="500"/>
    <n v="829400"/>
    <n v="1"/>
    <s v="1829400.500"/>
    <s v="קייטנות - הוצאות כלליות"/>
    <m/>
    <m/>
    <n v="194300"/>
    <n v="200000"/>
    <n v="465400"/>
    <e v="#N/A"/>
    <x v="5"/>
    <x v="2"/>
    <x v="19"/>
    <x v="9"/>
    <x v="55"/>
    <x v="29"/>
    <s v="8294"/>
    <e v="#N/A"/>
    <m/>
    <s v="5"/>
    <x v="12"/>
    <s v="50"/>
    <e v="#N/A"/>
    <s v="500"/>
    <e v="#N/A"/>
  </r>
  <r>
    <n v="200"/>
    <n v="827000"/>
    <n v="1"/>
    <s v="1827000.200"/>
    <s v="ספורט ונוער משתלמים - שכר לעובדים ארעיים"/>
    <m/>
    <m/>
    <n v="736100"/>
    <n v="736100"/>
    <n v="2398400"/>
    <e v="#N/A"/>
    <x v="5"/>
    <x v="2"/>
    <x v="19"/>
    <x v="9"/>
    <x v="57"/>
    <x v="22"/>
    <s v="8270"/>
    <e v="#N/A"/>
    <m/>
    <s v="2"/>
    <x v="10"/>
    <s v="20"/>
    <e v="#N/A"/>
    <s v="200"/>
    <e v="#N/A"/>
  </r>
  <r>
    <n v="120"/>
    <n v="827000"/>
    <n v="1"/>
    <s v="1827000.120"/>
    <s v="ספורט ונוער משתלמים - שעות נוספות"/>
    <m/>
    <m/>
    <n v="27900"/>
    <n v="27900"/>
    <n v="75100"/>
    <n v="30754"/>
    <x v="5"/>
    <x v="2"/>
    <x v="19"/>
    <x v="9"/>
    <x v="57"/>
    <x v="22"/>
    <s v="8270"/>
    <e v="#N/A"/>
    <m/>
    <s v="1"/>
    <x v="8"/>
    <s v="12"/>
    <s v="תוספות שאינן נכללות בשכר הקובע"/>
    <s v="120"/>
    <e v="#N/A"/>
  </r>
  <r>
    <n v="700"/>
    <n v="827000"/>
    <n v="1"/>
    <s v="1827000.700"/>
    <s v="ספורט ונוער משתלמים - הוצאות לפעולות"/>
    <m/>
    <m/>
    <n v="906800"/>
    <n v="906800"/>
    <n v="533000"/>
    <e v="#N/A"/>
    <x v="5"/>
    <x v="2"/>
    <x v="19"/>
    <x v="9"/>
    <x v="57"/>
    <x v="22"/>
    <s v="8270"/>
    <e v="#N/A"/>
    <m/>
    <s v="7"/>
    <x v="9"/>
    <s v="70"/>
    <e v="#N/A"/>
    <s v="700"/>
    <e v="#N/A"/>
  </r>
  <r>
    <n v="700"/>
    <n v="615120"/>
    <n v="1"/>
    <s v="1615120.700"/>
    <s v="סקרים ויועצים - הוצאות לפעולות"/>
    <m/>
    <m/>
    <n v="2278100"/>
    <n v="2345100"/>
    <n v="1290200"/>
    <e v="#N/A"/>
    <x v="9"/>
    <x v="6"/>
    <x v="25"/>
    <x v="19"/>
    <x v="75"/>
    <x v="58"/>
    <s v="6151"/>
    <e v="#N/A"/>
    <m/>
    <s v="7"/>
    <x v="9"/>
    <s v="70"/>
    <e v="#N/A"/>
    <s v="700"/>
    <e v="#N/A"/>
  </r>
  <r>
    <n v="100"/>
    <n v="615310"/>
    <n v="1"/>
    <s v="1615310.100"/>
    <s v="ועדי עובדים - שכר לעובדים קבועים"/>
    <m/>
    <m/>
    <n v="1596700"/>
    <n v="1578700"/>
    <n v="1454100"/>
    <e v="#N/A"/>
    <x v="9"/>
    <x v="6"/>
    <x v="25"/>
    <x v="19"/>
    <x v="75"/>
    <x v="58"/>
    <s v="6153"/>
    <e v="#N/A"/>
    <m/>
    <s v="1"/>
    <x v="8"/>
    <s v="10"/>
    <e v="#N/A"/>
    <s v="100"/>
    <e v="#N/A"/>
  </r>
  <r>
    <n v="120"/>
    <n v="615310"/>
    <n v="1"/>
    <s v="1615310.120"/>
    <s v="ועדי עובדים - שעות נוספות"/>
    <m/>
    <m/>
    <n v="75300"/>
    <n v="75300"/>
    <n v="96800"/>
    <e v="#N/A"/>
    <x v="9"/>
    <x v="6"/>
    <x v="25"/>
    <x v="19"/>
    <x v="75"/>
    <x v="58"/>
    <s v="6153"/>
    <e v="#N/A"/>
    <m/>
    <s v="1"/>
    <x v="8"/>
    <s v="12"/>
    <s v="תוספות שאינן נכללות בשכר הקובע"/>
    <s v="120"/>
    <e v="#N/A"/>
  </r>
  <r>
    <n v="400"/>
    <n v="615310"/>
    <n v="1"/>
    <s v="1615310.400"/>
    <s v="ועדי עובדים - אחזקה אספקה וציוד"/>
    <m/>
    <m/>
    <n v="110400"/>
    <n v="110400"/>
    <n v="91800"/>
    <e v="#N/A"/>
    <x v="9"/>
    <x v="6"/>
    <x v="25"/>
    <x v="19"/>
    <x v="75"/>
    <x v="58"/>
    <s v="6153"/>
    <e v="#N/A"/>
    <m/>
    <s v="4"/>
    <x v="11"/>
    <s v="40"/>
    <e v="#N/A"/>
    <s v="400"/>
    <e v="#N/A"/>
  </r>
  <r>
    <n v="500"/>
    <n v="615310"/>
    <n v="1"/>
    <s v="1615310.500"/>
    <s v="ועדי עובדים - תחבורה ודואר"/>
    <m/>
    <m/>
    <n v="70500"/>
    <n v="70500"/>
    <n v="89200"/>
    <m/>
    <x v="9"/>
    <x v="6"/>
    <x v="25"/>
    <x v="19"/>
    <x v="75"/>
    <x v="58"/>
    <s v="6153"/>
    <e v="#N/A"/>
    <m/>
    <s v="5"/>
    <x v="12"/>
    <s v="50"/>
    <e v="#N/A"/>
    <s v="500"/>
    <e v="#N/A"/>
  </r>
  <r>
    <n v="700"/>
    <n v="615310"/>
    <n v="1"/>
    <s v="1615310.700"/>
    <s v="ועדי עובדים - הוצאות לפעולות"/>
    <m/>
    <m/>
    <n v="139300"/>
    <n v="139300"/>
    <n v="146900"/>
    <e v="#N/A"/>
    <x v="9"/>
    <x v="6"/>
    <x v="25"/>
    <x v="19"/>
    <x v="75"/>
    <x v="58"/>
    <s v="6153"/>
    <e v="#N/A"/>
    <m/>
    <s v="7"/>
    <x v="9"/>
    <s v="70"/>
    <e v="#N/A"/>
    <s v="700"/>
    <e v="#N/A"/>
  </r>
  <r>
    <n v="800"/>
    <n v="615320"/>
    <n v="1"/>
    <s v="1615320.800"/>
    <s v="ועדי עובדים - פעילות שוטפת - השתתפויות תמיכות ותרומות"/>
    <m/>
    <m/>
    <n v="120000"/>
    <n v="120000"/>
    <n v="1200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20"/>
    <n v="1"/>
    <s v="1615320.800"/>
    <s v="ועדי עובדים - פעולות תרבות - השתתפויות תמיכות ותרומות"/>
    <m/>
    <m/>
    <n v="3035000"/>
    <n v="3035000"/>
    <n v="30715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99120"/>
    <n v="1"/>
    <s v="199120.800"/>
    <s v="ועד הפנסיונרים - תרבות - השתתפויות תמיכות ותרומות"/>
    <m/>
    <m/>
    <n v="252800"/>
    <n v="252800"/>
    <n v="242200"/>
    <e v="#N/A"/>
    <x v="8"/>
    <x v="3"/>
    <x v="33"/>
    <x v="24"/>
    <x v="91"/>
    <x v="63"/>
    <s v="9912"/>
    <s v="הפרשה לקרן למניות"/>
    <m/>
    <s v="8"/>
    <x v="13"/>
    <s v="80"/>
    <e v="#N/A"/>
    <s v="800"/>
    <e v="#N/A"/>
  </r>
  <r>
    <n v="800"/>
    <n v="615360"/>
    <n v="1"/>
    <s v="1615360.800"/>
    <s v="ועדי עובדים - מילגות ילדי עובדים - השתתפויות תמיכות ותרומות"/>
    <m/>
    <m/>
    <n v="230000"/>
    <n v="230000"/>
    <n v="2763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70"/>
    <n v="1"/>
    <s v="1615370.800"/>
    <s v="ועדי עובדים - מודעות אבל - השתתפויות תמיכות ותרומות"/>
    <m/>
    <m/>
    <n v="30400"/>
    <n v="30400"/>
    <n v="159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80"/>
    <n v="1"/>
    <s v="1615380.800"/>
    <s v="ועדי עובדים - שי לעובדים - השתתפויות תמיכות ותרומות"/>
    <m/>
    <m/>
    <n v="5371300"/>
    <n v="5371300"/>
    <n v="44166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90"/>
    <n v="1"/>
    <s v="1615390.800"/>
    <s v="ועדי עובדים ביטוח שיניים - השתתפויות תמיכות ותרומות"/>
    <m/>
    <m/>
    <n v="1256000"/>
    <n v="1256000"/>
    <n v="12408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92"/>
    <n v="1"/>
    <s v="1615392.800"/>
    <s v="ועדי עובדים ביטוח בריאות - השתתפויות תמיכות ותרומות"/>
    <m/>
    <m/>
    <n v="1300000"/>
    <n v="1300000"/>
    <n v="10728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800"/>
    <n v="615391"/>
    <n v="1"/>
    <s v="1615391.800"/>
    <s v="ועדי עובדים סבסוד קייטנות - השתתפויות תמיכות ותרומות"/>
    <m/>
    <m/>
    <n v="230000"/>
    <n v="230000"/>
    <n v="183200"/>
    <e v="#N/A"/>
    <x v="9"/>
    <x v="6"/>
    <x v="25"/>
    <x v="19"/>
    <x v="75"/>
    <x v="58"/>
    <s v="6153"/>
    <e v="#N/A"/>
    <m/>
    <s v="8"/>
    <x v="13"/>
    <s v="80"/>
    <e v="#N/A"/>
    <s v="800"/>
    <e v="#N/A"/>
  </r>
  <r>
    <n v="700"/>
    <n v="767000"/>
    <n v="1"/>
    <s v="1767000.700"/>
    <s v="קרן גמלאי הרשויות המקומיות - הוצאות לפעולות"/>
    <m/>
    <m/>
    <n v="2000000"/>
    <n v="2000000"/>
    <n v="4063100"/>
    <e v="#N/A"/>
    <x v="7"/>
    <x v="1"/>
    <x v="26"/>
    <x v="20"/>
    <x v="92"/>
    <x v="64"/>
    <s v="7670"/>
    <e v="#N/A"/>
    <m/>
    <s v="7"/>
    <x v="9"/>
    <s v="70"/>
    <e v="#N/A"/>
    <s v="700"/>
    <e v="#N/A"/>
  </r>
  <r>
    <n v="500"/>
    <n v="617500"/>
    <n v="1"/>
    <s v="1617500.500"/>
    <s v="הוצאות משפטיות וביטוחים - הוצאות כלליות"/>
    <m/>
    <m/>
    <n v="20908700"/>
    <n v="20908700"/>
    <n v="22596000"/>
    <e v="#N/A"/>
    <x v="9"/>
    <x v="6"/>
    <x v="25"/>
    <x v="19"/>
    <x v="69"/>
    <x v="52"/>
    <s v="6175"/>
    <e v="#N/A"/>
    <m/>
    <s v="5"/>
    <x v="12"/>
    <s v="50"/>
    <e v="#N/A"/>
    <s v="500"/>
    <e v="#N/A"/>
  </r>
  <r>
    <n v="100"/>
    <n v="615341"/>
    <n v="1"/>
    <s v="1615341.100"/>
    <s v="ברי שיקום - שכר לעובדים קבועים"/>
    <m/>
    <m/>
    <n v="1454000"/>
    <n v="1438000"/>
    <n v="1344100"/>
    <e v="#N/A"/>
    <x v="9"/>
    <x v="6"/>
    <x v="25"/>
    <x v="19"/>
    <x v="75"/>
    <x v="58"/>
    <s v="6153"/>
    <e v="#N/A"/>
    <m/>
    <s v="1"/>
    <x v="8"/>
    <s v="10"/>
    <e v="#N/A"/>
    <s v="100"/>
    <e v="#N/A"/>
  </r>
  <r>
    <n v="120"/>
    <n v="615341"/>
    <n v="1"/>
    <s v="1615341.120"/>
    <s v="ברי שיקום - שעות נוספות"/>
    <m/>
    <m/>
    <n v="0"/>
    <n v="0"/>
    <n v="200"/>
    <e v="#N/A"/>
    <x v="9"/>
    <x v="6"/>
    <x v="25"/>
    <x v="19"/>
    <x v="75"/>
    <x v="58"/>
    <s v="6153"/>
    <e v="#N/A"/>
    <m/>
    <s v="1"/>
    <x v="8"/>
    <s v="12"/>
    <s v="תוספות שאינן נכללות בשכר הקובע"/>
    <s v="120"/>
    <e v="#N/A"/>
  </r>
  <r>
    <n v="500"/>
    <n v="991200"/>
    <n v="1"/>
    <s v="1991200.500"/>
    <s v="הוצאות עודפות ותשלומים ע&quot;ח שנים עברו - הוצאות שנים עברו"/>
    <m/>
    <m/>
    <n v="4474600"/>
    <n v="576200"/>
    <n v="601300"/>
    <e v="#N/A"/>
    <x v="8"/>
    <x v="3"/>
    <x v="33"/>
    <x v="24"/>
    <x v="91"/>
    <x v="63"/>
    <s v="9912"/>
    <s v="הפרשה לקרן למניות"/>
    <m/>
    <s v="5"/>
    <x v="12"/>
    <s v="50"/>
    <e v="#N/A"/>
    <s v="500"/>
    <e v="#N/A"/>
  </r>
  <r>
    <n v="700"/>
    <n v="991200"/>
    <n v="1"/>
    <s v="1991200.700"/>
    <s v="הוצאות עודפות ותשלומים ע&quot;ח שנים עברו - הוצאות עודפות"/>
    <m/>
    <m/>
    <n v="1898300"/>
    <n v="1898300"/>
    <n v="2800000"/>
    <e v="#N/A"/>
    <x v="8"/>
    <x v="3"/>
    <x v="33"/>
    <x v="24"/>
    <x v="91"/>
    <x v="63"/>
    <s v="9912"/>
    <s v="הפרשה לקרן למניות"/>
    <m/>
    <s v="7"/>
    <x v="9"/>
    <s v="70"/>
    <e v="#N/A"/>
    <s v="700"/>
    <e v="#N/A"/>
  </r>
  <r>
    <n v="800"/>
    <n v="991200"/>
    <n v="1"/>
    <s v="1991200.800"/>
    <s v="הוצאות עודפות ותשלומים ע&quot;ח שנים עברו - הפרשי ספירת מלאי"/>
    <m/>
    <m/>
    <n v="0"/>
    <n v="0"/>
    <n v="342500"/>
    <e v="#N/A"/>
    <x v="8"/>
    <x v="3"/>
    <x v="33"/>
    <x v="24"/>
    <x v="91"/>
    <x v="63"/>
    <s v="9912"/>
    <s v="הפרשה לקרן למניות"/>
    <m/>
    <s v="8"/>
    <x v="13"/>
    <s v="80"/>
    <e v="#N/A"/>
    <s v="800"/>
    <e v="#N/A"/>
  </r>
  <r>
    <n v="800"/>
    <n v="761000"/>
    <n v="1"/>
    <s v="1761000.800"/>
    <s v="תמיכות לאירגוני בעלי חיים - השתתפויות תמיכות ותרומות"/>
    <m/>
    <m/>
    <n v="88400"/>
    <n v="91000"/>
    <n v="91000"/>
    <e v="#N/A"/>
    <x v="7"/>
    <x v="1"/>
    <x v="26"/>
    <x v="20"/>
    <x v="67"/>
    <x v="50"/>
    <s v="7610"/>
    <e v="#N/A"/>
    <m/>
    <s v="8"/>
    <x v="13"/>
    <s v="80"/>
    <e v="#N/A"/>
    <s v="800"/>
    <e v="#N/A"/>
  </r>
  <r>
    <n v="800"/>
    <n v="761110"/>
    <n v="1"/>
    <s v="1761110.800"/>
    <s v="תמיכות לכוללים וישיבות - השתתפויות תמיכות ותרומות"/>
    <m/>
    <m/>
    <n v="719300"/>
    <n v="740400"/>
    <n v="707900"/>
    <e v="#N/A"/>
    <x v="7"/>
    <x v="1"/>
    <x v="26"/>
    <x v="20"/>
    <x v="67"/>
    <x v="50"/>
    <s v="7611"/>
    <e v="#N/A"/>
    <m/>
    <s v="8"/>
    <x v="13"/>
    <s v="80"/>
    <e v="#N/A"/>
    <s v="800"/>
    <e v="#N/A"/>
  </r>
  <r>
    <n v="800"/>
    <n v="822900"/>
    <n v="1"/>
    <s v="1822900.800"/>
    <s v="תמיכות תרבות - קיטנות"/>
    <m/>
    <m/>
    <n v="121200"/>
    <n v="124700"/>
    <n v="1247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2900"/>
    <n v="1"/>
    <s v="1822900.800"/>
    <s v="תמיכות תרבות - מורשת העיר והנצחת בניה"/>
    <m/>
    <m/>
    <n v="141400"/>
    <n v="145600"/>
    <n v="1456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2900"/>
    <n v="1"/>
    <s v="1822900.800"/>
    <s v="תמיכות תרבות - תרבות ואומנות"/>
    <m/>
    <m/>
    <n v="141400"/>
    <n v="145600"/>
    <n v="1456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2901"/>
    <n v="1"/>
    <s v="1822901.800"/>
    <s v="תמיכות תרבות תורנית - השתתפויות תמיכות ותרומות"/>
    <m/>
    <m/>
    <n v="255100"/>
    <n v="262600"/>
    <n v="2361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9900"/>
    <n v="1"/>
    <s v="1829900.800"/>
    <s v="תמיכות ספורט - תמיכה חד פעמית מענק עליה"/>
    <m/>
    <m/>
    <n v="241400"/>
    <n v="250000"/>
    <n v="100000"/>
    <e v="#N/A"/>
    <x v="5"/>
    <x v="2"/>
    <x v="19"/>
    <x v="9"/>
    <x v="55"/>
    <x v="29"/>
    <s v="8299"/>
    <e v="#N/A"/>
    <m/>
    <s v="8"/>
    <x v="13"/>
    <s v="80"/>
    <e v="#N/A"/>
    <s v="800"/>
    <e v="#N/A"/>
  </r>
  <r>
    <n v="800"/>
    <n v="829900"/>
    <n v="1"/>
    <s v="1829900.800"/>
    <s v="תמיכות ספורט - השתתפויות תמיכות ותרומות"/>
    <m/>
    <m/>
    <n v="3931600"/>
    <n v="4097200"/>
    <n v="4047000"/>
    <e v="#N/A"/>
    <x v="5"/>
    <x v="2"/>
    <x v="19"/>
    <x v="9"/>
    <x v="55"/>
    <x v="29"/>
    <s v="8299"/>
    <e v="#N/A"/>
    <m/>
    <s v="8"/>
    <x v="13"/>
    <s v="80"/>
    <e v="#N/A"/>
    <s v="800"/>
    <e v="#N/A"/>
  </r>
  <r>
    <n v="800"/>
    <n v="828293"/>
    <n v="1"/>
    <s v="1828293.800"/>
    <s v="תמיכות לתנועות נוער - השתתפויות תמיכות ותרומות"/>
    <m/>
    <m/>
    <n v="1409500"/>
    <n v="1450900"/>
    <n v="732900"/>
    <e v="#N/A"/>
    <x v="5"/>
    <x v="2"/>
    <x v="19"/>
    <x v="9"/>
    <x v="90"/>
    <x v="28"/>
    <s v="8282"/>
    <s v="מוקדי הפעלת נוער"/>
    <m/>
    <s v="8"/>
    <x v="13"/>
    <s v="80"/>
    <e v="#N/A"/>
    <s v="800"/>
    <e v="#N/A"/>
  </r>
  <r>
    <n v="800"/>
    <n v="828297"/>
    <n v="1"/>
    <s v="1828297.800"/>
    <s v="תמיכות לארגוני נוער - השתתפויות תמיכות ותרומות"/>
    <m/>
    <m/>
    <n v="48600"/>
    <n v="50000"/>
    <n v="0"/>
    <e v="#N/A"/>
    <x v="5"/>
    <x v="2"/>
    <x v="19"/>
    <x v="9"/>
    <x v="90"/>
    <x v="28"/>
    <s v="8282"/>
    <s v="מוקדי הפעלת נוער"/>
    <m/>
    <s v="8"/>
    <x v="13"/>
    <s v="80"/>
    <e v="#N/A"/>
    <s v="800"/>
    <e v="#N/A"/>
  </r>
  <r>
    <n v="800"/>
    <n v="818900"/>
    <n v="1"/>
    <s v="1818900.800"/>
    <s v="תמיכות חינוך - השתתפויות תמיכות ותרומות"/>
    <m/>
    <m/>
    <n v="236100"/>
    <n v="243000"/>
    <n v="218900"/>
    <e v="#N/A"/>
    <x v="5"/>
    <x v="2"/>
    <x v="34"/>
    <x v="8"/>
    <x v="93"/>
    <x v="65"/>
    <s v="8189"/>
    <e v="#N/A"/>
    <m/>
    <s v="8"/>
    <x v="13"/>
    <s v="80"/>
    <e v="#N/A"/>
    <s v="800"/>
    <e v="#N/A"/>
  </r>
  <r>
    <n v="800"/>
    <n v="849000"/>
    <n v="1"/>
    <s v="1849000.800"/>
    <s v="תמיכות בריאות ורווחה - השתתפויות תמיכות ותרומות"/>
    <m/>
    <m/>
    <n v="862300"/>
    <n v="887700"/>
    <n v="883100"/>
    <e v="#N/A"/>
    <x v="5"/>
    <x v="2"/>
    <x v="30"/>
    <x v="10"/>
    <x v="94"/>
    <x v="66"/>
    <s v="8490"/>
    <e v="#N/A"/>
    <m/>
    <s v="8"/>
    <x v="13"/>
    <s v="80"/>
    <e v="#N/A"/>
    <s v="800"/>
    <e v="#N/A"/>
  </r>
  <r>
    <n v="800"/>
    <n v="839700"/>
    <n v="1"/>
    <s v="1839700.800"/>
    <s v="תמיכות לקידום שוויון בין המינים - השתתפויות תמיכות ותרומות"/>
    <m/>
    <m/>
    <n v="272000"/>
    <n v="280000"/>
    <n v="280000"/>
    <e v="#N/A"/>
    <x v="5"/>
    <x v="2"/>
    <x v="35"/>
    <x v="15"/>
    <x v="95"/>
    <x v="67"/>
    <s v="8397"/>
    <e v="#N/A"/>
    <m/>
    <s v="8"/>
    <x v="13"/>
    <s v="80"/>
    <e v="#N/A"/>
    <s v="800"/>
    <e v="#N/A"/>
  </r>
  <r>
    <n v="800"/>
    <n v="822901"/>
    <n v="1"/>
    <s v="1822901.800"/>
    <s v="תמיכה בתאטרון ערבי - השתתפויות תמיכות ותרומות"/>
    <m/>
    <m/>
    <n v="1238600"/>
    <n v="1275000"/>
    <n v="12750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2902"/>
    <n v="1"/>
    <s v="1822902.800"/>
    <s v="השתתפות בשכירת אולמות ובמשלחות - השתתפויות תמיכות ותרומות"/>
    <m/>
    <m/>
    <n v="381400"/>
    <n v="392600"/>
    <n v="284700"/>
    <e v="#N/A"/>
    <x v="5"/>
    <x v="2"/>
    <x v="19"/>
    <x v="9"/>
    <x v="52"/>
    <x v="25"/>
    <s v="8229"/>
    <e v="#N/A"/>
    <m/>
    <s v="8"/>
    <x v="13"/>
    <s v="80"/>
    <e v="#N/A"/>
    <s v="800"/>
    <e v="#N/A"/>
  </r>
  <r>
    <n v="800"/>
    <n v="829999"/>
    <n v="1"/>
    <s v="1829999.800"/>
    <s v="שימוש במגרשי ספורט - השתתפויות תמיכות ותרומות"/>
    <m/>
    <m/>
    <n v="120000"/>
    <n v="120000"/>
    <n v="120000"/>
    <e v="#N/A"/>
    <x v="5"/>
    <x v="2"/>
    <x v="19"/>
    <x v="9"/>
    <x v="55"/>
    <x v="29"/>
    <s v="8299"/>
    <e v="#N/A"/>
    <m/>
    <s v="8"/>
    <x v="13"/>
    <s v="80"/>
    <e v="#N/A"/>
    <s v="800"/>
    <e v="#N/A"/>
  </r>
  <r>
    <n v="800"/>
    <n v="848000"/>
    <n v="1"/>
    <s v="1848000.800"/>
    <s v="הנחות מאגרות - השתתפויות תמיכות ותרומות"/>
    <m/>
    <m/>
    <n v="27600"/>
    <n v="31900"/>
    <n v="0"/>
    <e v="#N/A"/>
    <x v="5"/>
    <x v="2"/>
    <x v="30"/>
    <x v="10"/>
    <x v="87"/>
    <x v="38"/>
    <s v="8480"/>
    <e v="#N/A"/>
    <m/>
    <s v="8"/>
    <x v="13"/>
    <s v="80"/>
    <e v="#N/A"/>
    <s v="800"/>
    <e v="#N/A"/>
  </r>
  <r>
    <n v="800"/>
    <n v="848003"/>
    <n v="1"/>
    <s v="1848003.800"/>
    <s v="תמיכות בהטלי פיתוח - השתתפויות תמיכות ותרומות"/>
    <m/>
    <m/>
    <n v="957100"/>
    <n v="1000000"/>
    <n v="0"/>
    <e v="#N/A"/>
    <x v="5"/>
    <x v="2"/>
    <x v="30"/>
    <x v="10"/>
    <x v="87"/>
    <x v="38"/>
    <s v="8480"/>
    <e v="#N/A"/>
    <m/>
    <s v="8"/>
    <x v="13"/>
    <s v="80"/>
    <e v="#N/A"/>
    <s v="800"/>
    <e v="#N/A"/>
  </r>
  <r>
    <n v="800"/>
    <n v="761100"/>
    <n v="1"/>
    <s v="1761100.800"/>
    <s v="מרכז לשילטון מקומי - השתתפויות תמיכות ותרומות"/>
    <m/>
    <m/>
    <n v="1000000"/>
    <n v="1000000"/>
    <n v="968700"/>
    <e v="#N/A"/>
    <x v="7"/>
    <x v="1"/>
    <x v="26"/>
    <x v="20"/>
    <x v="67"/>
    <x v="50"/>
    <s v="7611"/>
    <e v="#N/A"/>
    <m/>
    <s v="8"/>
    <x v="13"/>
    <s v="80"/>
    <e v="#N/A"/>
    <s v="800"/>
    <e v="#N/A"/>
  </r>
  <r>
    <n v="800"/>
    <n v="753100"/>
    <n v="1"/>
    <s v="1753100.800"/>
    <s v="אימוץ חיל הים ויחידות אחרות - השתתפויות תמיכות ותרומות"/>
    <m/>
    <m/>
    <n v="73100"/>
    <n v="75300"/>
    <n v="70900"/>
    <e v="#N/A"/>
    <x v="7"/>
    <x v="1"/>
    <x v="27"/>
    <x v="21"/>
    <x v="96"/>
    <x v="68"/>
    <s v="7531"/>
    <e v="#N/A"/>
    <m/>
    <s v="8"/>
    <x v="13"/>
    <s v="80"/>
    <e v="#N/A"/>
    <s v="800"/>
    <e v="#N/A"/>
  </r>
  <r>
    <n v="700"/>
    <n v="731070"/>
    <n v="1"/>
    <s v="1731070.700"/>
    <s v="‏שכירות מינהל ההנדסה וחניה לעובדים - הוצאות לפעולות"/>
    <m/>
    <m/>
    <n v="12451500"/>
    <n v="12451500"/>
    <n v="10177200"/>
    <e v="#N/A"/>
    <x v="7"/>
    <x v="1"/>
    <x v="21"/>
    <x v="5"/>
    <x v="59"/>
    <x v="9"/>
    <s v="7310"/>
    <e v="#N/A"/>
    <m/>
    <s v="7"/>
    <x v="9"/>
    <s v="70"/>
    <e v="#N/A"/>
    <s v="700"/>
    <e v="#N/A"/>
  </r>
  <r>
    <n v="300"/>
    <n v="99120"/>
    <n v="1"/>
    <s v="199120.300"/>
    <s v="פנסיונרים - שכר לעובדים קבועים "/>
    <m/>
    <m/>
    <n v="205409000"/>
    <n v="203703500"/>
    <n v="199736200"/>
    <e v="#N/A"/>
    <x v="8"/>
    <x v="3"/>
    <x v="33"/>
    <x v="24"/>
    <x v="91"/>
    <x v="63"/>
    <s v="9912"/>
    <s v="הפרשה לקרן למניות"/>
    <m/>
    <s v="3"/>
    <x v="16"/>
    <s v="30"/>
    <e v="#N/A"/>
    <s v="300"/>
    <e v="#N/A"/>
  </r>
  <r>
    <n v="100"/>
    <n v="833100"/>
    <n v="1"/>
    <s v="1833100.100"/>
    <s v="בי&quot;ח בני ציון - שכר לעובדים קבועים "/>
    <m/>
    <m/>
    <n v="415000000"/>
    <n v="381000000"/>
    <n v="382115200"/>
    <e v="#N/A"/>
    <x v="5"/>
    <x v="2"/>
    <x v="35"/>
    <x v="15"/>
    <x v="97"/>
    <x v="43"/>
    <s v="8331"/>
    <s v="בתי חולים כלליים"/>
    <m/>
    <s v="1"/>
    <x v="8"/>
    <s v="10"/>
    <e v="#N/A"/>
    <s v="100"/>
    <e v="#N/A"/>
  </r>
  <r>
    <n v="200"/>
    <n v="833100"/>
    <n v="1"/>
    <s v="1833100.200"/>
    <s v="בי&quot;ח בני ציון - שכר לעובדים ארעיים "/>
    <m/>
    <m/>
    <m/>
    <m/>
    <m/>
    <e v="#N/A"/>
    <x v="5"/>
    <x v="2"/>
    <x v="35"/>
    <x v="15"/>
    <x v="97"/>
    <x v="43"/>
    <s v="8331"/>
    <s v="בתי חולים כלליים"/>
    <m/>
    <s v="2"/>
    <x v="10"/>
    <s v="20"/>
    <e v="#N/A"/>
    <s v="200"/>
    <e v="#N/A"/>
  </r>
  <r>
    <n v="120"/>
    <n v="833100"/>
    <n v="1"/>
    <s v="1833100.120"/>
    <s v="בי&quot;ח בני ציון - שעות נוספות "/>
    <m/>
    <m/>
    <n v="25000000"/>
    <n v="22000000"/>
    <n v="35400200"/>
    <e v="#N/A"/>
    <x v="5"/>
    <x v="2"/>
    <x v="35"/>
    <x v="15"/>
    <x v="97"/>
    <x v="43"/>
    <s v="8331"/>
    <s v="בתי חולים כלליים"/>
    <m/>
    <s v="1"/>
    <x v="8"/>
    <s v="12"/>
    <s v="תוספות שאינן נכללות בשכר הקובע"/>
    <s v="120"/>
    <e v="#N/A"/>
  </r>
  <r>
    <n v="400"/>
    <n v="833100"/>
    <n v="1"/>
    <s v="1833100.400"/>
    <s v="בי&quot;ח בני ציון - אחזקה אספקה וציוד "/>
    <m/>
    <m/>
    <m/>
    <m/>
    <m/>
    <e v="#N/A"/>
    <x v="5"/>
    <x v="2"/>
    <x v="35"/>
    <x v="15"/>
    <x v="97"/>
    <x v="43"/>
    <s v="8331"/>
    <s v="בתי חולים כלליים"/>
    <m/>
    <s v="4"/>
    <x v="11"/>
    <s v="40"/>
    <e v="#N/A"/>
    <s v="400"/>
    <e v="#N/A"/>
  </r>
  <r>
    <n v="500"/>
    <n v="833100"/>
    <n v="1"/>
    <s v="1833100.500"/>
    <s v="בי&quot;ח בני ציון - תחבורה ודואר "/>
    <m/>
    <m/>
    <m/>
    <m/>
    <m/>
    <e v="#N/A"/>
    <x v="5"/>
    <x v="2"/>
    <x v="35"/>
    <x v="15"/>
    <x v="97"/>
    <x v="43"/>
    <s v="8331"/>
    <s v="בתי חולים כלליים"/>
    <m/>
    <s v="5"/>
    <x v="12"/>
    <s v="50"/>
    <e v="#N/A"/>
    <s v="500"/>
    <e v="#N/A"/>
  </r>
  <r>
    <n v="500"/>
    <n v="833100"/>
    <n v="1"/>
    <s v="1833100.500"/>
    <s v="בי&quot;ח בני ציון - הוצאות כלליות "/>
    <m/>
    <m/>
    <n v="6000000"/>
    <n v="6000000"/>
    <n v="4099200"/>
    <e v="#N/A"/>
    <x v="5"/>
    <x v="2"/>
    <x v="35"/>
    <x v="15"/>
    <x v="97"/>
    <x v="43"/>
    <s v="8331"/>
    <s v="בתי חולים כלליים"/>
    <m/>
    <s v="5"/>
    <x v="12"/>
    <s v="50"/>
    <e v="#N/A"/>
    <s v="500"/>
    <e v="#N/A"/>
  </r>
  <r>
    <n v="700"/>
    <n v="833100"/>
    <n v="1"/>
    <s v="1833100.700"/>
    <s v="בי&quot;ח בני ציון - הוצאות לפעולות "/>
    <m/>
    <m/>
    <m/>
    <m/>
    <m/>
    <e v="#N/A"/>
    <x v="5"/>
    <x v="2"/>
    <x v="35"/>
    <x v="15"/>
    <x v="97"/>
    <x v="43"/>
    <s v="8331"/>
    <s v="בתי חולים כלליים"/>
    <m/>
    <s v="7"/>
    <x v="9"/>
    <s v="70"/>
    <e v="#N/A"/>
    <s v="700"/>
    <e v="#N/A"/>
  </r>
  <r>
    <n v="800"/>
    <n v="833100"/>
    <n v="1"/>
    <s v="1833100.800"/>
    <s v="בי&quot;ח בני ציון - השתתפויות תמיכות ותרומות "/>
    <m/>
    <m/>
    <m/>
    <m/>
    <m/>
    <e v="#N/A"/>
    <x v="5"/>
    <x v="2"/>
    <x v="35"/>
    <x v="15"/>
    <x v="97"/>
    <x v="43"/>
    <s v="8331"/>
    <s v="בתי חולים כלליים"/>
    <m/>
    <s v="8"/>
    <x v="13"/>
    <s v="80"/>
    <e v="#N/A"/>
    <s v="800"/>
    <e v="#N/A"/>
  </r>
  <r>
    <n v="900"/>
    <n v="833100"/>
    <n v="1"/>
    <s v="1833100.900"/>
    <s v="בי&quot;ח בני ציון - הוצאות חד-פעמיות והשקעות "/>
    <m/>
    <m/>
    <m/>
    <m/>
    <m/>
    <e v="#N/A"/>
    <x v="5"/>
    <x v="2"/>
    <x v="35"/>
    <x v="15"/>
    <x v="97"/>
    <x v="43"/>
    <s v="8331"/>
    <s v="בתי חולים כלליים"/>
    <m/>
    <s v="9"/>
    <x v="17"/>
    <s v="90"/>
    <e v="#N/A"/>
    <s v="900"/>
    <e v="#N/A"/>
  </r>
  <r>
    <n v="600"/>
    <n v="833100"/>
    <n v="1"/>
    <s v="1833100.600"/>
    <s v="בי&quot;ח בני ציון - פרעון מלוות "/>
    <m/>
    <m/>
    <m/>
    <m/>
    <m/>
    <e v="#N/A"/>
    <x v="5"/>
    <x v="2"/>
    <x v="35"/>
    <x v="15"/>
    <x v="97"/>
    <x v="43"/>
    <s v="8331"/>
    <s v="בתי חולים כלליים"/>
    <m/>
    <s v="6"/>
    <x v="15"/>
    <s v="60"/>
    <e v="#N/A"/>
    <s v="600"/>
    <e v="#N/A"/>
  </r>
  <r>
    <n v="600"/>
    <n v="640000"/>
    <n v="1"/>
    <s v="1640000.600"/>
    <s v="פרעון מלוות - פרעון מלוות חסך"/>
    <m/>
    <m/>
    <n v="167000000"/>
    <n v="175000000"/>
    <n v="205289100"/>
    <e v="#N/A"/>
    <x v="9"/>
    <x v="6"/>
    <x v="36"/>
    <x v="25"/>
    <x v="98"/>
    <x v="0"/>
    <s v="6400"/>
    <e v="#N/A"/>
    <m/>
    <s v="6"/>
    <x v="15"/>
    <s v="60"/>
    <e v="#N/A"/>
    <s v="600"/>
    <e v="#N/A"/>
  </r>
  <r>
    <n v="600"/>
    <n v="640000"/>
    <n v="1"/>
    <s v="1640000.600"/>
    <s v="פרעון מלוות - פרעון מלוות "/>
    <m/>
    <m/>
    <m/>
    <m/>
    <m/>
    <e v="#N/A"/>
    <x v="9"/>
    <x v="6"/>
    <x v="36"/>
    <x v="25"/>
    <x v="98"/>
    <x v="0"/>
    <s v="6400"/>
    <e v="#N/A"/>
    <m/>
    <s v="6"/>
    <x v="15"/>
    <s v="60"/>
    <e v="#N/A"/>
    <s v="600"/>
    <e v="#N/A"/>
  </r>
  <r>
    <n v="700"/>
    <e v="#N/A"/>
    <n v="1"/>
    <e v="#N/A"/>
    <s v="לשיא כח-אדם - הוצאות לפעולות "/>
    <m/>
    <m/>
    <m/>
    <m/>
    <m/>
    <e v="#N/A"/>
    <x v="6"/>
    <x v="5"/>
    <x v="20"/>
    <x v="17"/>
    <x v="58"/>
    <x v="0"/>
    <e v="#N/A"/>
    <e v="#N/A"/>
    <m/>
    <s v="7"/>
    <x v="14"/>
    <s v="70"/>
    <e v="#N/A"/>
    <s v="700"/>
    <e v="#N/A"/>
  </r>
  <r>
    <n v="600"/>
    <e v="#N/A"/>
    <n v="1"/>
    <e v="#N/A"/>
    <s v="לשיא כח-אדם - פרעון מלוות "/>
    <m/>
    <m/>
    <m/>
    <m/>
    <m/>
    <e v="#N/A"/>
    <x v="6"/>
    <x v="5"/>
    <x v="20"/>
    <x v="17"/>
    <x v="58"/>
    <x v="0"/>
    <e v="#N/A"/>
    <e v="#N/A"/>
    <m/>
    <s v="6"/>
    <x v="14"/>
    <s v="60"/>
    <e v="#N/A"/>
    <s v="600"/>
    <e v="#N/A"/>
  </r>
  <r>
    <n v="100"/>
    <n v="621111"/>
    <n v="1"/>
    <s v="1621111.100"/>
    <s v="לשכת הגזבר - שכר לעובדים קבועים"/>
    <m/>
    <m/>
    <n v="2165200"/>
    <n v="2140200"/>
    <n v="2161200"/>
    <e v="#N/A"/>
    <x v="9"/>
    <x v="6"/>
    <x v="28"/>
    <x v="22"/>
    <x v="76"/>
    <x v="59"/>
    <s v="6211"/>
    <s v="הנהלת הגזברות"/>
    <m/>
    <s v="1"/>
    <x v="8"/>
    <s v="10"/>
    <e v="#N/A"/>
    <s v="100"/>
    <e v="#N/A"/>
  </r>
  <r>
    <n v="120"/>
    <n v="621111"/>
    <n v="1"/>
    <s v="1621111.120"/>
    <s v="לשכת הגזבר - שעות נוספות"/>
    <m/>
    <m/>
    <n v="113800"/>
    <n v="113800"/>
    <n v="109100"/>
    <e v="#N/A"/>
    <x v="9"/>
    <x v="6"/>
    <x v="28"/>
    <x v="22"/>
    <x v="76"/>
    <x v="59"/>
    <s v="6211"/>
    <s v="הנהלת הגזברות"/>
    <m/>
    <s v="1"/>
    <x v="8"/>
    <s v="12"/>
    <s v="תוספות שאינן נכללות בשכר הקובע"/>
    <s v="120"/>
    <e v="#N/A"/>
  </r>
  <r>
    <n v="400"/>
    <n v="621111"/>
    <n v="1"/>
    <s v="1621111.400"/>
    <s v="לשכת הגזבר - אחזקה אספקה וציוד"/>
    <m/>
    <m/>
    <n v="45800"/>
    <n v="48800"/>
    <n v="49900"/>
    <e v="#N/A"/>
    <x v="9"/>
    <x v="6"/>
    <x v="28"/>
    <x v="22"/>
    <x v="76"/>
    <x v="59"/>
    <s v="6211"/>
    <s v="הנהלת הגזברות"/>
    <m/>
    <s v="4"/>
    <x v="11"/>
    <s v="40"/>
    <e v="#N/A"/>
    <s v="400"/>
    <e v="#N/A"/>
  </r>
  <r>
    <n v="500"/>
    <n v="621111"/>
    <n v="1"/>
    <s v="1621111.500"/>
    <s v="לשכת הגזבר - תחבורה ודואר"/>
    <m/>
    <m/>
    <n v="61100"/>
    <n v="61100"/>
    <n v="63500"/>
    <e v="#N/A"/>
    <x v="9"/>
    <x v="6"/>
    <x v="28"/>
    <x v="22"/>
    <x v="76"/>
    <x v="59"/>
    <s v="6211"/>
    <s v="הנהלת הגזברות"/>
    <m/>
    <s v="5"/>
    <x v="12"/>
    <s v="50"/>
    <e v="#N/A"/>
    <s v="500"/>
    <e v="#N/A"/>
  </r>
  <r>
    <n v="500"/>
    <n v="621111"/>
    <n v="1"/>
    <s v="1621111.500"/>
    <s v="לשכת הגזבר - הוצאות כלליות"/>
    <m/>
    <m/>
    <n v="38800"/>
    <n v="38800"/>
    <n v="18300"/>
    <e v="#N/A"/>
    <x v="9"/>
    <x v="6"/>
    <x v="28"/>
    <x v="22"/>
    <x v="76"/>
    <x v="59"/>
    <s v="6211"/>
    <s v="הנהלת הגזברות"/>
    <m/>
    <s v="5"/>
    <x v="12"/>
    <s v="50"/>
    <e v="#N/A"/>
    <s v="500"/>
    <e v="#N/A"/>
  </r>
  <r>
    <n v="700"/>
    <n v="621111"/>
    <n v="1"/>
    <s v="1621111.700"/>
    <s v="לשכת הגזבר - הוצאות לפעולות"/>
    <m/>
    <m/>
    <n v="15600"/>
    <n v="17300"/>
    <n v="16300"/>
    <e v="#N/A"/>
    <x v="9"/>
    <x v="6"/>
    <x v="28"/>
    <x v="22"/>
    <x v="76"/>
    <x v="59"/>
    <s v="6211"/>
    <s v="הנהלת הגזברות"/>
    <m/>
    <s v="7"/>
    <x v="9"/>
    <s v="70"/>
    <e v="#N/A"/>
    <s v="700"/>
    <e v="#N/A"/>
  </r>
  <r>
    <n v="100"/>
    <n v="621310"/>
    <n v="1"/>
    <s v="1621310.100"/>
    <s v="אגף החשבות - שכר לעובדים קבועים"/>
    <m/>
    <m/>
    <n v="9811600"/>
    <n v="9700600"/>
    <n v="9507000"/>
    <e v="#N/A"/>
    <x v="9"/>
    <x v="6"/>
    <x v="28"/>
    <x v="22"/>
    <x v="76"/>
    <x v="59"/>
    <s v="6213"/>
    <s v="הנהלת חשבונות"/>
    <m/>
    <s v="1"/>
    <x v="8"/>
    <s v="10"/>
    <e v="#N/A"/>
    <s v="100"/>
    <e v="#N/A"/>
  </r>
  <r>
    <n v="120"/>
    <n v="621310"/>
    <n v="1"/>
    <s v="1621310.120"/>
    <s v="אגף החשבות - שעות נוספות"/>
    <m/>
    <m/>
    <n v="334400"/>
    <n v="334400"/>
    <n v="406700"/>
    <n v="50186"/>
    <x v="9"/>
    <x v="6"/>
    <x v="28"/>
    <x v="22"/>
    <x v="76"/>
    <x v="59"/>
    <s v="6213"/>
    <s v="הנהלת חשבונות"/>
    <m/>
    <s v="1"/>
    <x v="8"/>
    <s v="12"/>
    <s v="תוספות שאינן נכללות בשכר הקובע"/>
    <s v="120"/>
    <e v="#N/A"/>
  </r>
  <r>
    <n v="400"/>
    <n v="621310"/>
    <n v="1"/>
    <s v="1621310.400"/>
    <s v="אגף החשבות - אחזקה אספקה וציוד"/>
    <m/>
    <m/>
    <n v="191000"/>
    <n v="201000"/>
    <n v="205400"/>
    <e v="#N/A"/>
    <x v="9"/>
    <x v="6"/>
    <x v="28"/>
    <x v="22"/>
    <x v="76"/>
    <x v="59"/>
    <s v="6213"/>
    <s v="הנהלת חשבונות"/>
    <m/>
    <s v="4"/>
    <x v="11"/>
    <s v="40"/>
    <e v="#N/A"/>
    <s v="400"/>
    <e v="#N/A"/>
  </r>
  <r>
    <n v="500"/>
    <n v="621310"/>
    <n v="1"/>
    <s v="1621310.500"/>
    <s v="אגף החשבות - תחבורה ודואר"/>
    <m/>
    <m/>
    <n v="213800"/>
    <n v="213800"/>
    <n v="162200"/>
    <e v="#N/A"/>
    <x v="9"/>
    <x v="6"/>
    <x v="28"/>
    <x v="22"/>
    <x v="76"/>
    <x v="59"/>
    <s v="6213"/>
    <s v="הנהלת חשבונות"/>
    <m/>
    <s v="5"/>
    <x v="12"/>
    <s v="50"/>
    <e v="#N/A"/>
    <s v="500"/>
    <e v="#N/A"/>
  </r>
  <r>
    <n v="500"/>
    <n v="621310"/>
    <n v="1"/>
    <s v="1621310.500"/>
    <s v="אגף החשבות - הוצאות כלליות"/>
    <m/>
    <m/>
    <n v="30400"/>
    <n v="30400"/>
    <n v="22500"/>
    <e v="#N/A"/>
    <x v="9"/>
    <x v="6"/>
    <x v="28"/>
    <x v="22"/>
    <x v="76"/>
    <x v="59"/>
    <s v="6213"/>
    <s v="הנהלת חשבונות"/>
    <m/>
    <s v="5"/>
    <x v="12"/>
    <s v="50"/>
    <e v="#N/A"/>
    <s v="500"/>
    <e v="#N/A"/>
  </r>
  <r>
    <n v="700"/>
    <n v="621310"/>
    <n v="1"/>
    <s v="1621310.700"/>
    <s v="אגף החשבות - הוצאות לפעולות"/>
    <m/>
    <m/>
    <n v="31100"/>
    <n v="34800"/>
    <n v="34800"/>
    <e v="#N/A"/>
    <x v="9"/>
    <x v="6"/>
    <x v="28"/>
    <x v="22"/>
    <x v="76"/>
    <x v="59"/>
    <s v="6213"/>
    <s v="הנהלת חשבונות"/>
    <m/>
    <s v="7"/>
    <x v="9"/>
    <s v="70"/>
    <e v="#N/A"/>
    <s v="700"/>
    <e v="#N/A"/>
  </r>
  <r>
    <n v="100"/>
    <n v="621200"/>
    <n v="1"/>
    <s v="1621200.100"/>
    <s v="אגף התקציבים - שכר לעובדים קבועים"/>
    <m/>
    <m/>
    <n v="3050300"/>
    <n v="2926300"/>
    <n v="3143900"/>
    <e v="#N/A"/>
    <x v="9"/>
    <x v="6"/>
    <x v="28"/>
    <x v="22"/>
    <x v="76"/>
    <x v="59"/>
    <s v="6212"/>
    <s v="תקציבים וכלכלה"/>
    <m/>
    <s v="1"/>
    <x v="8"/>
    <s v="10"/>
    <e v="#N/A"/>
    <s v="100"/>
    <e v="#N/A"/>
  </r>
  <r>
    <n v="120"/>
    <n v="621200"/>
    <n v="1"/>
    <s v="1621200.120"/>
    <s v="אגף התקציבים - שעות נוספות"/>
    <m/>
    <m/>
    <n v="120700"/>
    <n v="120700"/>
    <n v="97900"/>
    <n v="267266"/>
    <x v="9"/>
    <x v="6"/>
    <x v="28"/>
    <x v="22"/>
    <x v="76"/>
    <x v="59"/>
    <s v="6212"/>
    <s v="תקציבים וכלכלה"/>
    <m/>
    <s v="1"/>
    <x v="8"/>
    <s v="12"/>
    <s v="תוספות שאינן נכללות בשכר הקובע"/>
    <s v="120"/>
    <e v="#N/A"/>
  </r>
  <r>
    <n v="400"/>
    <n v="621200"/>
    <n v="1"/>
    <s v="1621200.400"/>
    <s v="אגף התקציבים - אחזקה אספקה וציוד"/>
    <m/>
    <m/>
    <n v="52100"/>
    <n v="52100"/>
    <n v="52100"/>
    <e v="#N/A"/>
    <x v="9"/>
    <x v="6"/>
    <x v="28"/>
    <x v="22"/>
    <x v="76"/>
    <x v="59"/>
    <s v="6212"/>
    <s v="תקציבים וכלכלה"/>
    <m/>
    <s v="4"/>
    <x v="11"/>
    <s v="40"/>
    <e v="#N/A"/>
    <s v="400"/>
    <e v="#N/A"/>
  </r>
  <r>
    <n v="500"/>
    <n v="621200"/>
    <n v="1"/>
    <s v="1621200.500"/>
    <s v="אגף התקציבים - תחבורה ודואר"/>
    <m/>
    <m/>
    <n v="68300"/>
    <n v="68300"/>
    <n v="57600"/>
    <e v="#N/A"/>
    <x v="9"/>
    <x v="6"/>
    <x v="28"/>
    <x v="22"/>
    <x v="76"/>
    <x v="59"/>
    <s v="6212"/>
    <s v="תקציבים וכלכלה"/>
    <m/>
    <s v="5"/>
    <x v="12"/>
    <s v="50"/>
    <e v="#N/A"/>
    <s v="500"/>
    <e v="#N/A"/>
  </r>
  <r>
    <n v="500"/>
    <n v="621200"/>
    <n v="1"/>
    <s v="1621200.500"/>
    <s v="אגף התקציבים - הוצאות כלליות"/>
    <m/>
    <m/>
    <n v="7200"/>
    <n v="7200"/>
    <n v="3700"/>
    <e v="#N/A"/>
    <x v="9"/>
    <x v="6"/>
    <x v="28"/>
    <x v="22"/>
    <x v="76"/>
    <x v="59"/>
    <s v="6212"/>
    <s v="תקציבים וכלכלה"/>
    <m/>
    <s v="5"/>
    <x v="12"/>
    <s v="50"/>
    <e v="#N/A"/>
    <s v="500"/>
    <e v="#N/A"/>
  </r>
  <r>
    <n v="700"/>
    <n v="621200"/>
    <n v="1"/>
    <s v="1621200.700"/>
    <s v="אגף התקציבים - הוצאות לפעולות"/>
    <m/>
    <m/>
    <n v="15500"/>
    <n v="19700"/>
    <n v="18100"/>
    <e v="#N/A"/>
    <x v="9"/>
    <x v="6"/>
    <x v="28"/>
    <x v="22"/>
    <x v="76"/>
    <x v="59"/>
    <s v="6212"/>
    <s v="תקציבים וכלכלה"/>
    <m/>
    <s v="7"/>
    <x v="9"/>
    <s v="70"/>
    <e v="#N/A"/>
    <s v="700"/>
    <e v="#N/A"/>
  </r>
  <r>
    <n v="100"/>
    <n v="623000"/>
    <n v="1"/>
    <s v="1623000.100"/>
    <s v="אגף הגביה המאוחדת - שכר לעובדים קבועים"/>
    <m/>
    <m/>
    <n v="20599500"/>
    <n v="20369500"/>
    <n v="19316100"/>
    <e v="#N/A"/>
    <x v="9"/>
    <x v="6"/>
    <x v="28"/>
    <x v="22"/>
    <x v="99"/>
    <x v="69"/>
    <s v="6230"/>
    <e v="#N/A"/>
    <m/>
    <s v="1"/>
    <x v="8"/>
    <s v="10"/>
    <e v="#N/A"/>
    <s v="100"/>
    <e v="#N/A"/>
  </r>
  <r>
    <n v="120"/>
    <n v="623000"/>
    <n v="1"/>
    <s v="1623000.120"/>
    <s v="אגף הגביה המאוחדת - שעות נוספות"/>
    <m/>
    <m/>
    <n v="400500"/>
    <n v="400500"/>
    <n v="442300"/>
    <e v="#N/A"/>
    <x v="9"/>
    <x v="6"/>
    <x v="28"/>
    <x v="22"/>
    <x v="99"/>
    <x v="69"/>
    <s v="6230"/>
    <e v="#N/A"/>
    <m/>
    <s v="1"/>
    <x v="8"/>
    <s v="12"/>
    <s v="תוספות שאינן נכללות בשכר הקובע"/>
    <s v="120"/>
    <e v="#N/A"/>
  </r>
  <r>
    <n v="400"/>
    <n v="623000"/>
    <n v="1"/>
    <s v="1623000.400"/>
    <s v="אגף הגביה המאוחדת - אחזקה אספקה וציוד"/>
    <m/>
    <m/>
    <n v="1353000"/>
    <n v="1368400"/>
    <n v="1273800"/>
    <e v="#N/A"/>
    <x v="9"/>
    <x v="6"/>
    <x v="28"/>
    <x v="22"/>
    <x v="99"/>
    <x v="69"/>
    <s v="6230"/>
    <e v="#N/A"/>
    <m/>
    <s v="4"/>
    <x v="11"/>
    <s v="40"/>
    <e v="#N/A"/>
    <s v="400"/>
    <e v="#N/A"/>
  </r>
  <r>
    <n v="500"/>
    <n v="623000"/>
    <n v="1"/>
    <s v="1623000.500"/>
    <s v="אגף הגביה המאוחדת - תחבורה ודואר"/>
    <m/>
    <m/>
    <n v="2226800"/>
    <n v="2264600"/>
    <n v="1797500"/>
    <e v="#N/A"/>
    <x v="9"/>
    <x v="6"/>
    <x v="28"/>
    <x v="22"/>
    <x v="99"/>
    <x v="69"/>
    <s v="6230"/>
    <e v="#N/A"/>
    <m/>
    <s v="5"/>
    <x v="12"/>
    <s v="50"/>
    <e v="#N/A"/>
    <s v="500"/>
    <e v="#N/A"/>
  </r>
  <r>
    <n v="500"/>
    <n v="623000"/>
    <n v="1"/>
    <s v="1623000.500"/>
    <s v="אגף הגביה המאוחדת - הוצאות כלליות"/>
    <m/>
    <m/>
    <n v="230600"/>
    <n v="250600"/>
    <n v="182100"/>
    <e v="#N/A"/>
    <x v="9"/>
    <x v="6"/>
    <x v="28"/>
    <x v="22"/>
    <x v="99"/>
    <x v="69"/>
    <s v="6230"/>
    <e v="#N/A"/>
    <m/>
    <s v="5"/>
    <x v="12"/>
    <s v="50"/>
    <e v="#N/A"/>
    <s v="500"/>
    <e v="#N/A"/>
  </r>
  <r>
    <n v="700"/>
    <n v="623000"/>
    <n v="1"/>
    <s v="1623000.700"/>
    <s v="אגף הגביה המאוחדת - הוצאות לפעולות"/>
    <m/>
    <m/>
    <n v="896600"/>
    <n v="961800"/>
    <n v="877200"/>
    <e v="#N/A"/>
    <x v="9"/>
    <x v="6"/>
    <x v="28"/>
    <x v="22"/>
    <x v="99"/>
    <x v="69"/>
    <s v="6230"/>
    <e v="#N/A"/>
    <m/>
    <s v="7"/>
    <x v="9"/>
    <s v="70"/>
    <e v="#N/A"/>
    <s v="700"/>
    <e v="#N/A"/>
  </r>
  <r>
    <n v="100"/>
    <n v="623200"/>
    <n v="1"/>
    <s v="1623200.100"/>
    <s v="אגף אכיפת הגביה - שכר לעובדים קבועים"/>
    <m/>
    <m/>
    <n v="15709800"/>
    <n v="15534800"/>
    <n v="13988600"/>
    <e v="#N/A"/>
    <x v="9"/>
    <x v="6"/>
    <x v="28"/>
    <x v="22"/>
    <x v="99"/>
    <x v="69"/>
    <s v="6232"/>
    <s v="גביית ארנונה"/>
    <m/>
    <s v="1"/>
    <x v="8"/>
    <s v="10"/>
    <e v="#N/A"/>
    <s v="100"/>
    <e v="#N/A"/>
  </r>
  <r>
    <n v="120"/>
    <n v="623200"/>
    <n v="1"/>
    <s v="1623200.120"/>
    <s v="אגף אכיפת הגביה - שעות נוספות"/>
    <m/>
    <m/>
    <n v="287200"/>
    <n v="287200"/>
    <n v="383900"/>
    <e v="#N/A"/>
    <x v="9"/>
    <x v="6"/>
    <x v="28"/>
    <x v="22"/>
    <x v="99"/>
    <x v="69"/>
    <s v="6232"/>
    <s v="גביית ארנונה"/>
    <m/>
    <s v="1"/>
    <x v="8"/>
    <s v="12"/>
    <s v="תוספות שאינן נכללות בשכר הקובע"/>
    <s v="120"/>
    <e v="#N/A"/>
  </r>
  <r>
    <n v="400"/>
    <n v="623200"/>
    <n v="1"/>
    <s v="1623200.400"/>
    <s v="אגף אכיפת הגביה - אחזקה אספקה וציוד"/>
    <m/>
    <m/>
    <n v="670100"/>
    <n v="704500"/>
    <n v="580800"/>
    <m/>
    <x v="9"/>
    <x v="6"/>
    <x v="28"/>
    <x v="22"/>
    <x v="99"/>
    <x v="69"/>
    <s v="6232"/>
    <s v="גביית ארנונה"/>
    <m/>
    <s v="4"/>
    <x v="11"/>
    <s v="40"/>
    <e v="#N/A"/>
    <s v="400"/>
    <e v="#N/A"/>
  </r>
  <r>
    <n v="500"/>
    <n v="623200"/>
    <n v="1"/>
    <s v="1623200.500"/>
    <s v="אגף אכיפת הגביה - תחבורה ודואר"/>
    <m/>
    <m/>
    <n v="165000"/>
    <n v="155000"/>
    <n v="98800"/>
    <e v="#N/A"/>
    <x v="9"/>
    <x v="6"/>
    <x v="28"/>
    <x v="22"/>
    <x v="99"/>
    <x v="69"/>
    <s v="6232"/>
    <s v="גביית ארנונה"/>
    <m/>
    <s v="5"/>
    <x v="12"/>
    <s v="50"/>
    <e v="#N/A"/>
    <s v="500"/>
    <e v="#N/A"/>
  </r>
  <r>
    <n v="500"/>
    <n v="623200"/>
    <n v="1"/>
    <s v="1623200.500"/>
    <s v="אגף אכיפת הגביה - הוצאות כלליות"/>
    <m/>
    <m/>
    <n v="17800"/>
    <n v="17800"/>
    <n v="9800"/>
    <e v="#N/A"/>
    <x v="9"/>
    <x v="6"/>
    <x v="28"/>
    <x v="22"/>
    <x v="99"/>
    <x v="69"/>
    <s v="6232"/>
    <s v="גביית ארנונה"/>
    <m/>
    <s v="5"/>
    <x v="12"/>
    <s v="50"/>
    <e v="#N/A"/>
    <s v="500"/>
    <e v="#N/A"/>
  </r>
  <r>
    <n v="700"/>
    <n v="623200"/>
    <n v="1"/>
    <s v="1623200.700"/>
    <s v="אגף אכיפת הגביה - הוצאות לפעולות"/>
    <m/>
    <m/>
    <n v="22405800"/>
    <n v="35122700"/>
    <n v="17712800"/>
    <e v="#N/A"/>
    <x v="9"/>
    <x v="6"/>
    <x v="28"/>
    <x v="22"/>
    <x v="99"/>
    <x v="69"/>
    <s v="6232"/>
    <s v="גביית ארנונה"/>
    <m/>
    <s v="7"/>
    <x v="9"/>
    <s v="70"/>
    <e v="#N/A"/>
    <s v="700"/>
    <e v="#N/A"/>
  </r>
  <r>
    <n v="100"/>
    <n v="619600"/>
    <n v="1"/>
    <s v="1619600.100"/>
    <s v="הנהלת אגף לוגיסטיקה - שכר לעובדים קבועים"/>
    <m/>
    <m/>
    <n v="1214800"/>
    <n v="1200800"/>
    <n v="1195100"/>
    <e v="#N/A"/>
    <x v="9"/>
    <x v="6"/>
    <x v="25"/>
    <x v="19"/>
    <x v="78"/>
    <x v="61"/>
    <s v="6196"/>
    <e v="#N/A"/>
    <m/>
    <s v="1"/>
    <x v="8"/>
    <s v="10"/>
    <e v="#N/A"/>
    <s v="100"/>
    <e v="#N/A"/>
  </r>
  <r>
    <n v="120"/>
    <n v="619600"/>
    <n v="1"/>
    <s v="1619600.120"/>
    <s v="הנהלת אגף לוגיסטיקה - שעות נוספות"/>
    <m/>
    <m/>
    <n v="24200"/>
    <n v="24200"/>
    <n v="23200"/>
    <e v="#N/A"/>
    <x v="9"/>
    <x v="6"/>
    <x v="25"/>
    <x v="19"/>
    <x v="78"/>
    <x v="61"/>
    <s v="6196"/>
    <e v="#N/A"/>
    <m/>
    <s v="1"/>
    <x v="8"/>
    <s v="12"/>
    <s v="תוספות שאינן נכללות בשכר הקובע"/>
    <s v="120"/>
    <e v="#N/A"/>
  </r>
  <r>
    <n v="400"/>
    <n v="619600"/>
    <n v="1"/>
    <s v="1619600.400"/>
    <s v="הנהלת אגף לוגיסטיקה - אחזקה אספקה וציוד"/>
    <m/>
    <m/>
    <n v="29100"/>
    <n v="29100"/>
    <n v="19400"/>
    <e v="#N/A"/>
    <x v="9"/>
    <x v="6"/>
    <x v="25"/>
    <x v="19"/>
    <x v="78"/>
    <x v="61"/>
    <s v="6196"/>
    <e v="#N/A"/>
    <m/>
    <s v="4"/>
    <x v="11"/>
    <s v="40"/>
    <e v="#N/A"/>
    <s v="400"/>
    <e v="#N/A"/>
  </r>
  <r>
    <n v="500"/>
    <n v="619600"/>
    <n v="1"/>
    <s v="1619600.500"/>
    <s v="הנהלת אגף לוגיסטיקה - תחבורה ודואר"/>
    <m/>
    <m/>
    <n v="10000"/>
    <n v="10000"/>
    <n v="800"/>
    <e v="#N/A"/>
    <x v="9"/>
    <x v="6"/>
    <x v="25"/>
    <x v="19"/>
    <x v="78"/>
    <x v="61"/>
    <s v="6196"/>
    <e v="#N/A"/>
    <m/>
    <s v="5"/>
    <x v="12"/>
    <s v="50"/>
    <e v="#N/A"/>
    <s v="500"/>
    <e v="#N/A"/>
  </r>
  <r>
    <n v="500"/>
    <n v="619600"/>
    <n v="1"/>
    <s v="1619600.500"/>
    <s v="הנהלת אגף לוגיסטיקה - הוצאות כלליות"/>
    <m/>
    <m/>
    <n v="2400"/>
    <n v="2400"/>
    <n v="400"/>
    <m/>
    <x v="9"/>
    <x v="6"/>
    <x v="25"/>
    <x v="19"/>
    <x v="78"/>
    <x v="61"/>
    <s v="6196"/>
    <e v="#N/A"/>
    <m/>
    <s v="5"/>
    <x v="12"/>
    <s v="50"/>
    <e v="#N/A"/>
    <s v="500"/>
    <e v="#N/A"/>
  </r>
  <r>
    <n v="700"/>
    <n v="619600"/>
    <n v="1"/>
    <s v="1619600.700"/>
    <s v="הנהלת אגף לוגיסטיקה - הוצאות לפעולות"/>
    <m/>
    <m/>
    <n v="28400"/>
    <n v="30500"/>
    <n v="28900"/>
    <e v="#N/A"/>
    <x v="9"/>
    <x v="6"/>
    <x v="25"/>
    <x v="19"/>
    <x v="78"/>
    <x v="61"/>
    <s v="6196"/>
    <e v="#N/A"/>
    <m/>
    <s v="7"/>
    <x v="9"/>
    <s v="70"/>
    <e v="#N/A"/>
    <s v="700"/>
    <e v="#N/A"/>
  </r>
  <r>
    <n v="100"/>
    <n v="619500"/>
    <n v="1"/>
    <s v="1619500.100"/>
    <s v="המחלקה לאחזקת מבנים - שכר לעובדים קבועים"/>
    <m/>
    <m/>
    <n v="1516500"/>
    <n v="1142500"/>
    <n v="1677100"/>
    <e v="#N/A"/>
    <x v="9"/>
    <x v="6"/>
    <x v="25"/>
    <x v="19"/>
    <x v="78"/>
    <x v="61"/>
    <s v="6195"/>
    <e v="#N/A"/>
    <m/>
    <s v="1"/>
    <x v="8"/>
    <s v="10"/>
    <e v="#N/A"/>
    <s v="100"/>
    <e v="#N/A"/>
  </r>
  <r>
    <n v="120"/>
    <n v="619500"/>
    <n v="1"/>
    <s v="1619500.120"/>
    <s v="המחלקה לאחזקת מבנים - שעות נוספות"/>
    <m/>
    <m/>
    <n v="97500"/>
    <n v="97500"/>
    <n v="89400"/>
    <e v="#N/A"/>
    <x v="9"/>
    <x v="6"/>
    <x v="25"/>
    <x v="19"/>
    <x v="78"/>
    <x v="61"/>
    <s v="6195"/>
    <e v="#N/A"/>
    <m/>
    <s v="1"/>
    <x v="8"/>
    <s v="12"/>
    <s v="תוספות שאינן נכללות בשכר הקובע"/>
    <s v="120"/>
    <e v="#N/A"/>
  </r>
  <r>
    <n v="400"/>
    <n v="619500"/>
    <n v="1"/>
    <s v="1619500.400"/>
    <s v="המחלקה לאחזקת מבנים - אחזקה אספקה וציוד"/>
    <m/>
    <m/>
    <n v="12000"/>
    <n v="13200"/>
    <n v="9700"/>
    <e v="#N/A"/>
    <x v="9"/>
    <x v="6"/>
    <x v="25"/>
    <x v="19"/>
    <x v="78"/>
    <x v="61"/>
    <s v="6195"/>
    <e v="#N/A"/>
    <m/>
    <s v="4"/>
    <x v="11"/>
    <s v="40"/>
    <e v="#N/A"/>
    <s v="400"/>
    <e v="#N/A"/>
  </r>
  <r>
    <n v="500"/>
    <n v="619500"/>
    <n v="1"/>
    <s v="1619500.500"/>
    <s v="המחלקה לאחזקת מבנים - תחבורה ודואר"/>
    <m/>
    <m/>
    <n v="120500"/>
    <n v="120500"/>
    <n v="37700"/>
    <e v="#N/A"/>
    <x v="9"/>
    <x v="6"/>
    <x v="25"/>
    <x v="19"/>
    <x v="78"/>
    <x v="61"/>
    <s v="6195"/>
    <e v="#N/A"/>
    <m/>
    <s v="5"/>
    <x v="12"/>
    <s v="50"/>
    <e v="#N/A"/>
    <s v="500"/>
    <e v="#N/A"/>
  </r>
  <r>
    <n v="500"/>
    <n v="619500"/>
    <n v="1"/>
    <s v="1619500.500"/>
    <s v="המחלקה לאחזקת מבנים - הוצאות כלליות"/>
    <m/>
    <m/>
    <n v="2000"/>
    <n v="2000"/>
    <n v="600"/>
    <e v="#N/A"/>
    <x v="9"/>
    <x v="6"/>
    <x v="25"/>
    <x v="19"/>
    <x v="78"/>
    <x v="61"/>
    <s v="6195"/>
    <e v="#N/A"/>
    <m/>
    <s v="5"/>
    <x v="12"/>
    <s v="50"/>
    <e v="#N/A"/>
    <s v="500"/>
    <e v="#N/A"/>
  </r>
  <r>
    <n v="700"/>
    <n v="619500"/>
    <n v="1"/>
    <s v="1619500.700"/>
    <s v="המחלקה לאחזקת מבנים - הוצאות לפעולות"/>
    <m/>
    <m/>
    <n v="13200"/>
    <n v="16300"/>
    <n v="14800"/>
    <e v="#N/A"/>
    <x v="9"/>
    <x v="6"/>
    <x v="25"/>
    <x v="19"/>
    <x v="78"/>
    <x v="61"/>
    <s v="6195"/>
    <e v="#N/A"/>
    <m/>
    <s v="7"/>
    <x v="9"/>
    <s v="70"/>
    <e v="#N/A"/>
    <s v="700"/>
    <e v="#N/A"/>
  </r>
  <r>
    <n v="100"/>
    <n v="619400"/>
    <n v="1"/>
    <s v="1619400.100"/>
    <s v="רכש ואספקה - שכר לעובדים קבועים"/>
    <m/>
    <m/>
    <n v="1676500"/>
    <n v="1657500"/>
    <n v="1844100"/>
    <e v="#N/A"/>
    <x v="9"/>
    <x v="6"/>
    <x v="25"/>
    <x v="19"/>
    <x v="78"/>
    <x v="61"/>
    <s v="6194"/>
    <e v="#N/A"/>
    <m/>
    <s v="1"/>
    <x v="8"/>
    <s v="10"/>
    <e v="#N/A"/>
    <s v="100"/>
    <e v="#N/A"/>
  </r>
  <r>
    <n v="120"/>
    <n v="619400"/>
    <n v="1"/>
    <s v="1619400.120"/>
    <s v="רכש ואספקה - שעות נוספות"/>
    <m/>
    <m/>
    <n v="48500"/>
    <n v="48500"/>
    <n v="52600"/>
    <e v="#N/A"/>
    <x v="9"/>
    <x v="6"/>
    <x v="25"/>
    <x v="19"/>
    <x v="78"/>
    <x v="61"/>
    <s v="6194"/>
    <e v="#N/A"/>
    <m/>
    <s v="1"/>
    <x v="8"/>
    <s v="12"/>
    <s v="תוספות שאינן נכללות בשכר הקובע"/>
    <s v="120"/>
    <e v="#N/A"/>
  </r>
  <r>
    <n v="400"/>
    <n v="619400"/>
    <n v="1"/>
    <s v="1619400.400"/>
    <s v="רכש ואספקה - אחזקה אספקה וציוד"/>
    <m/>
    <m/>
    <n v="101600"/>
    <n v="82400"/>
    <n v="106200"/>
    <e v="#N/A"/>
    <x v="9"/>
    <x v="6"/>
    <x v="25"/>
    <x v="19"/>
    <x v="78"/>
    <x v="61"/>
    <s v="6194"/>
    <e v="#N/A"/>
    <m/>
    <s v="4"/>
    <x v="11"/>
    <s v="40"/>
    <e v="#N/A"/>
    <s v="400"/>
    <e v="#N/A"/>
  </r>
  <r>
    <n v="500"/>
    <n v="619400"/>
    <n v="1"/>
    <s v="1619400.500"/>
    <s v="רכש ואספקה - תחבורה ודואר"/>
    <m/>
    <m/>
    <n v="23100"/>
    <n v="22100"/>
    <n v="21500"/>
    <e v="#N/A"/>
    <x v="9"/>
    <x v="6"/>
    <x v="25"/>
    <x v="19"/>
    <x v="78"/>
    <x v="61"/>
    <s v="6194"/>
    <e v="#N/A"/>
    <m/>
    <s v="5"/>
    <x v="12"/>
    <s v="50"/>
    <e v="#N/A"/>
    <s v="500"/>
    <e v="#N/A"/>
  </r>
  <r>
    <n v="500"/>
    <n v="619400"/>
    <n v="1"/>
    <s v="1619400.500"/>
    <s v="רכש ואספקה - הוצאות כלליות"/>
    <m/>
    <m/>
    <n v="800"/>
    <n v="800"/>
    <n v="300"/>
    <e v="#N/A"/>
    <x v="9"/>
    <x v="6"/>
    <x v="25"/>
    <x v="19"/>
    <x v="78"/>
    <x v="61"/>
    <s v="6194"/>
    <e v="#N/A"/>
    <m/>
    <s v="5"/>
    <x v="12"/>
    <s v="50"/>
    <e v="#N/A"/>
    <s v="500"/>
    <e v="#N/A"/>
  </r>
  <r>
    <n v="700"/>
    <n v="619400"/>
    <n v="1"/>
    <s v="1619400.700"/>
    <s v="רכש ואספקה - הוצאות לפעולות"/>
    <m/>
    <m/>
    <n v="447600"/>
    <n v="484700"/>
    <n v="412400"/>
    <e v="#N/A"/>
    <x v="9"/>
    <x v="6"/>
    <x v="25"/>
    <x v="19"/>
    <x v="78"/>
    <x v="61"/>
    <s v="6194"/>
    <e v="#N/A"/>
    <m/>
    <s v="7"/>
    <x v="9"/>
    <s v="70"/>
    <e v="#N/A"/>
    <s v="700"/>
    <e v="#N/A"/>
  </r>
  <r>
    <n v="900"/>
    <n v="619400"/>
    <n v="1"/>
    <s v="1619400.900"/>
    <s v="רכש ואספקה - הוצאות חד-פעמיות והשקעות"/>
    <m/>
    <m/>
    <m/>
    <n v="0"/>
    <n v="0"/>
    <e v="#N/A"/>
    <x v="9"/>
    <x v="6"/>
    <x v="25"/>
    <x v="19"/>
    <x v="78"/>
    <x v="61"/>
    <s v="6194"/>
    <e v="#N/A"/>
    <m/>
    <s v="9"/>
    <x v="17"/>
    <s v="90"/>
    <e v="#N/A"/>
    <s v="900"/>
    <e v="#N/A"/>
  </r>
  <r>
    <n v="100"/>
    <n v="613210"/>
    <n v="1"/>
    <s v="1613210.100"/>
    <s v="בית דפוס עירוני - שכר לעובדים קבועים"/>
    <m/>
    <m/>
    <n v="1189600"/>
    <n v="1175600"/>
    <n v="1231500"/>
    <e v="#N/A"/>
    <x v="9"/>
    <x v="6"/>
    <x v="25"/>
    <x v="19"/>
    <x v="70"/>
    <x v="53"/>
    <s v="6132"/>
    <e v="#N/A"/>
    <m/>
    <s v="1"/>
    <x v="8"/>
    <s v="10"/>
    <e v="#N/A"/>
    <s v="100"/>
    <e v="#N/A"/>
  </r>
  <r>
    <n v="120"/>
    <n v="613210"/>
    <n v="1"/>
    <s v="1613210.120"/>
    <s v="בית דפוס עירוני - שעות נוספות"/>
    <m/>
    <m/>
    <n v="85400"/>
    <n v="85400"/>
    <n v="95900"/>
    <e v="#N/A"/>
    <x v="9"/>
    <x v="6"/>
    <x v="25"/>
    <x v="19"/>
    <x v="70"/>
    <x v="53"/>
    <s v="6132"/>
    <e v="#N/A"/>
    <m/>
    <s v="1"/>
    <x v="8"/>
    <s v="12"/>
    <s v="תוספות שאינן נכללות בשכר הקובע"/>
    <s v="120"/>
    <e v="#N/A"/>
  </r>
  <r>
    <n v="400"/>
    <n v="613210"/>
    <n v="1"/>
    <s v="1613210.400"/>
    <s v="בית דפוס עירוני - אחזקה אספקה וציוד"/>
    <m/>
    <m/>
    <n v="1800"/>
    <n v="1800"/>
    <n v="1200"/>
    <e v="#N/A"/>
    <x v="9"/>
    <x v="6"/>
    <x v="25"/>
    <x v="19"/>
    <x v="70"/>
    <x v="53"/>
    <s v="6132"/>
    <e v="#N/A"/>
    <m/>
    <s v="4"/>
    <x v="11"/>
    <s v="40"/>
    <e v="#N/A"/>
    <s v="400"/>
    <e v="#N/A"/>
  </r>
  <r>
    <n v="500"/>
    <n v="613210"/>
    <n v="1"/>
    <s v="1613210.500"/>
    <s v="בית דפוס עירוני - תחבורה ודואר"/>
    <m/>
    <m/>
    <n v="5400"/>
    <n v="8500"/>
    <n v="3600"/>
    <e v="#N/A"/>
    <x v="9"/>
    <x v="6"/>
    <x v="25"/>
    <x v="19"/>
    <x v="70"/>
    <x v="53"/>
    <s v="6132"/>
    <e v="#N/A"/>
    <m/>
    <s v="5"/>
    <x v="12"/>
    <s v="50"/>
    <e v="#N/A"/>
    <s v="500"/>
    <e v="#N/A"/>
  </r>
  <r>
    <n v="700"/>
    <n v="613210"/>
    <n v="1"/>
    <s v="1613210.700"/>
    <s v="בית דפוס עירוני - הוצאות לפעולות"/>
    <m/>
    <m/>
    <n v="9300"/>
    <n v="6700"/>
    <n v="9300"/>
    <e v="#N/A"/>
    <x v="9"/>
    <x v="6"/>
    <x v="25"/>
    <x v="19"/>
    <x v="70"/>
    <x v="53"/>
    <s v="6132"/>
    <e v="#N/A"/>
    <m/>
    <s v="7"/>
    <x v="9"/>
    <s v="70"/>
    <e v="#N/A"/>
    <s v="700"/>
    <e v="#N/A"/>
  </r>
  <r>
    <n v="100"/>
    <n v="764100"/>
    <n v="1"/>
    <s v="1764100.100"/>
    <s v="המרכז למיחשוב - שכר לעובדים קבועים"/>
    <m/>
    <m/>
    <n v="4161100"/>
    <n v="3916100"/>
    <n v="3576100"/>
    <e v="#N/A"/>
    <x v="7"/>
    <x v="1"/>
    <x v="26"/>
    <x v="20"/>
    <x v="77"/>
    <x v="60"/>
    <s v="7641"/>
    <e v="#N/A"/>
    <m/>
    <s v="1"/>
    <x v="8"/>
    <s v="10"/>
    <e v="#N/A"/>
    <s v="100"/>
    <e v="#N/A"/>
  </r>
  <r>
    <n v="120"/>
    <n v="764100"/>
    <n v="1"/>
    <s v="1764100.120"/>
    <s v="המרכז למיחשוב - שעות נוספות"/>
    <m/>
    <m/>
    <n v="122900"/>
    <n v="122900"/>
    <n v="153500"/>
    <e v="#N/A"/>
    <x v="7"/>
    <x v="1"/>
    <x v="26"/>
    <x v="20"/>
    <x v="77"/>
    <x v="60"/>
    <s v="7641"/>
    <e v="#N/A"/>
    <m/>
    <s v="1"/>
    <x v="8"/>
    <s v="12"/>
    <s v="תוספות שאינן נכללות בשכר הקובע"/>
    <s v="120"/>
    <e v="#N/A"/>
  </r>
  <r>
    <n v="400"/>
    <n v="764100"/>
    <n v="1"/>
    <s v="1764100.400"/>
    <s v="המרכז למיחשוב - אחזקה אספקה וציוד"/>
    <m/>
    <m/>
    <n v="16700"/>
    <n v="21100"/>
    <n v="16600"/>
    <e v="#N/A"/>
    <x v="7"/>
    <x v="1"/>
    <x v="26"/>
    <x v="20"/>
    <x v="77"/>
    <x v="60"/>
    <s v="7641"/>
    <e v="#N/A"/>
    <m/>
    <s v="4"/>
    <x v="11"/>
    <s v="40"/>
    <e v="#N/A"/>
    <s v="400"/>
    <e v="#N/A"/>
  </r>
  <r>
    <n v="500"/>
    <n v="764100"/>
    <n v="1"/>
    <s v="1764100.500"/>
    <s v="המרכז למיחשוב - תחבורה ודואר"/>
    <m/>
    <m/>
    <n v="39400"/>
    <n v="42100"/>
    <n v="28700"/>
    <e v="#N/A"/>
    <x v="7"/>
    <x v="1"/>
    <x v="26"/>
    <x v="20"/>
    <x v="77"/>
    <x v="60"/>
    <s v="7641"/>
    <e v="#N/A"/>
    <m/>
    <s v="5"/>
    <x v="12"/>
    <s v="50"/>
    <e v="#N/A"/>
    <s v="500"/>
    <e v="#N/A"/>
  </r>
  <r>
    <n v="700"/>
    <n v="764100"/>
    <n v="1"/>
    <s v="1764100.700"/>
    <s v="המרכז למיחשוב - הוצאות לפעולות"/>
    <m/>
    <m/>
    <n v="23800"/>
    <n v="19100"/>
    <n v="26200"/>
    <e v="#N/A"/>
    <x v="7"/>
    <x v="1"/>
    <x v="26"/>
    <x v="20"/>
    <x v="77"/>
    <x v="60"/>
    <s v="7641"/>
    <e v="#N/A"/>
    <m/>
    <s v="7"/>
    <x v="9"/>
    <s v="70"/>
    <e v="#N/A"/>
    <s v="700"/>
    <e v="#N/A"/>
  </r>
  <r>
    <n v="700"/>
    <n v="764200"/>
    <n v="1"/>
    <s v="1764200.700"/>
    <s v="מיכון - הוצאות לפעולות"/>
    <m/>
    <m/>
    <n v="17485900"/>
    <n v="18000000"/>
    <n v="16286600"/>
    <e v="#N/A"/>
    <x v="7"/>
    <x v="1"/>
    <x v="26"/>
    <x v="20"/>
    <x v="77"/>
    <x v="60"/>
    <s v="7642"/>
    <e v="#N/A"/>
    <m/>
    <s v="7"/>
    <x v="9"/>
    <s v="70"/>
    <e v="#N/A"/>
    <s v="700"/>
    <e v="#N/A"/>
  </r>
  <r>
    <n v="100"/>
    <n v="711400"/>
    <n v="1"/>
    <s v="1711400.100"/>
    <s v="היחידה לשלטים - שכר לעובדים קבועים"/>
    <m/>
    <m/>
    <n v="2094100"/>
    <n v="2070100"/>
    <n v="2040700"/>
    <e v="#N/A"/>
    <x v="7"/>
    <x v="1"/>
    <x v="24"/>
    <x v="3"/>
    <x v="64"/>
    <x v="47"/>
    <s v="7114"/>
    <e v="#N/A"/>
    <m/>
    <s v="1"/>
    <x v="8"/>
    <s v="10"/>
    <e v="#N/A"/>
    <s v="100"/>
    <e v="#N/A"/>
  </r>
  <r>
    <n v="120"/>
    <n v="711400"/>
    <n v="1"/>
    <s v="1711400.120"/>
    <s v="היחידה לשלטים - שעות נוספות"/>
    <m/>
    <m/>
    <n v="51900"/>
    <n v="51900"/>
    <n v="64700"/>
    <e v="#N/A"/>
    <x v="7"/>
    <x v="1"/>
    <x v="24"/>
    <x v="3"/>
    <x v="64"/>
    <x v="47"/>
    <s v="7114"/>
    <e v="#N/A"/>
    <m/>
    <s v="1"/>
    <x v="8"/>
    <s v="12"/>
    <s v="תוספות שאינן נכללות בשכר הקובע"/>
    <s v="120"/>
    <e v="#N/A"/>
  </r>
  <r>
    <n v="400"/>
    <n v="711400"/>
    <n v="1"/>
    <s v="1711400.400"/>
    <s v="היחידה לשלטים - אחזקה אספקה וציוד"/>
    <m/>
    <m/>
    <n v="79700"/>
    <n v="75700"/>
    <n v="46500"/>
    <e v="#N/A"/>
    <x v="7"/>
    <x v="1"/>
    <x v="24"/>
    <x v="3"/>
    <x v="64"/>
    <x v="47"/>
    <s v="7114"/>
    <e v="#N/A"/>
    <m/>
    <s v="4"/>
    <x v="11"/>
    <s v="40"/>
    <e v="#N/A"/>
    <s v="400"/>
    <e v="#N/A"/>
  </r>
  <r>
    <n v="500"/>
    <n v="711400"/>
    <n v="1"/>
    <s v="1711400.500"/>
    <s v="היחידה לשלטים - תחבורה ודואר"/>
    <m/>
    <m/>
    <n v="62500"/>
    <n v="68100"/>
    <n v="45900"/>
    <e v="#N/A"/>
    <x v="7"/>
    <x v="1"/>
    <x v="24"/>
    <x v="3"/>
    <x v="64"/>
    <x v="47"/>
    <s v="7114"/>
    <e v="#N/A"/>
    <m/>
    <s v="5"/>
    <x v="12"/>
    <s v="50"/>
    <e v="#N/A"/>
    <s v="500"/>
    <e v="#N/A"/>
  </r>
  <r>
    <n v="500"/>
    <n v="711400"/>
    <n v="1"/>
    <s v="1711400.500"/>
    <s v="היחידה לשלטים - הוצאות כלליות"/>
    <m/>
    <m/>
    <n v="5000"/>
    <n v="5000"/>
    <n v="2100"/>
    <e v="#N/A"/>
    <x v="7"/>
    <x v="1"/>
    <x v="24"/>
    <x v="3"/>
    <x v="64"/>
    <x v="47"/>
    <s v="7114"/>
    <e v="#N/A"/>
    <m/>
    <s v="5"/>
    <x v="12"/>
    <s v="50"/>
    <e v="#N/A"/>
    <s v="500"/>
    <e v="#N/A"/>
  </r>
  <r>
    <n v="700"/>
    <n v="711400"/>
    <n v="1"/>
    <s v="1711400.700"/>
    <s v="היחידה לשלטים - הוצאות לפעולות"/>
    <m/>
    <m/>
    <n v="2454600"/>
    <n v="2529500"/>
    <n v="794600"/>
    <e v="#N/A"/>
    <x v="7"/>
    <x v="1"/>
    <x v="24"/>
    <x v="3"/>
    <x v="64"/>
    <x v="47"/>
    <s v="7114"/>
    <e v="#N/A"/>
    <m/>
    <s v="7"/>
    <x v="9"/>
    <s v="70"/>
    <e v="#N/A"/>
    <s v="700"/>
    <e v="#N/A"/>
  </r>
  <r>
    <n v="700"/>
    <n v="630000"/>
    <n v="1"/>
    <s v="1630000.700"/>
    <s v="הוצאות מימון - הוצאות לפעולות"/>
    <m/>
    <m/>
    <n v="15100000"/>
    <n v="15100000"/>
    <n v="16115100"/>
    <e v="#N/A"/>
    <x v="9"/>
    <x v="6"/>
    <x v="37"/>
    <x v="26"/>
    <x v="100"/>
    <x v="0"/>
    <s v="6300"/>
    <e v="#N/A"/>
    <m/>
    <s v="7"/>
    <x v="9"/>
    <s v="70"/>
    <e v="#N/A"/>
    <s v="700"/>
    <e v="#N/A"/>
  </r>
  <r>
    <n v="100"/>
    <n v="711000"/>
    <n v="1"/>
    <s v="1711000.100"/>
    <s v="הנהלת מינהל התיפעול - שכר לעובדים קבועים"/>
    <m/>
    <m/>
    <n v="2431500"/>
    <n v="2404500"/>
    <n v="2168200"/>
    <e v="#N/A"/>
    <x v="7"/>
    <x v="1"/>
    <x v="24"/>
    <x v="3"/>
    <x v="64"/>
    <x v="47"/>
    <s v="7110"/>
    <e v="#N/A"/>
    <m/>
    <s v="1"/>
    <x v="8"/>
    <s v="10"/>
    <e v="#N/A"/>
    <s v="100"/>
    <e v="#N/A"/>
  </r>
  <r>
    <n v="120"/>
    <n v="711000"/>
    <n v="1"/>
    <s v="1711000.120"/>
    <s v="הנהלת מינהל התיפעול - שעות נוספות"/>
    <m/>
    <m/>
    <n v="41500"/>
    <n v="41500"/>
    <n v="46200"/>
    <n v="292468"/>
    <x v="7"/>
    <x v="1"/>
    <x v="24"/>
    <x v="3"/>
    <x v="64"/>
    <x v="47"/>
    <s v="7110"/>
    <e v="#N/A"/>
    <m/>
    <s v="1"/>
    <x v="8"/>
    <s v="12"/>
    <s v="תוספות שאינן נכללות בשכר הקובע"/>
    <s v="120"/>
    <e v="#N/A"/>
  </r>
  <r>
    <n v="400"/>
    <n v="711000"/>
    <n v="1"/>
    <s v="1711000.400"/>
    <s v="הנהלת מינהל התיפעול - אחזקה אספקה וציוד"/>
    <m/>
    <m/>
    <n v="9300"/>
    <n v="9600"/>
    <n v="7800"/>
    <e v="#N/A"/>
    <x v="7"/>
    <x v="1"/>
    <x v="24"/>
    <x v="3"/>
    <x v="64"/>
    <x v="47"/>
    <s v="7110"/>
    <e v="#N/A"/>
    <m/>
    <s v="4"/>
    <x v="11"/>
    <s v="40"/>
    <e v="#N/A"/>
    <s v="400"/>
    <e v="#N/A"/>
  </r>
  <r>
    <n v="500"/>
    <n v="711000"/>
    <n v="1"/>
    <s v="1711000.500"/>
    <s v="הנהלת מינהל התיפעול - תחבורה ודואר"/>
    <m/>
    <m/>
    <n v="95500"/>
    <n v="98500"/>
    <n v="86800"/>
    <e v="#N/A"/>
    <x v="7"/>
    <x v="1"/>
    <x v="24"/>
    <x v="3"/>
    <x v="64"/>
    <x v="47"/>
    <s v="7110"/>
    <e v="#N/A"/>
    <m/>
    <s v="5"/>
    <x v="12"/>
    <s v="50"/>
    <e v="#N/A"/>
    <s v="500"/>
    <e v="#N/A"/>
  </r>
  <r>
    <n v="500"/>
    <n v="711000"/>
    <n v="1"/>
    <s v="1711000.500"/>
    <s v="הנהלת מינהל התיפעול - הוצאות כלליות"/>
    <m/>
    <m/>
    <n v="182900"/>
    <n v="188600"/>
    <n v="136900"/>
    <e v="#N/A"/>
    <x v="7"/>
    <x v="1"/>
    <x v="24"/>
    <x v="3"/>
    <x v="64"/>
    <x v="47"/>
    <s v="7110"/>
    <e v="#N/A"/>
    <m/>
    <s v="5"/>
    <x v="12"/>
    <s v="50"/>
    <e v="#N/A"/>
    <s v="500"/>
    <e v="#N/A"/>
  </r>
  <r>
    <n v="700"/>
    <n v="711000"/>
    <n v="1"/>
    <s v="1711000.700"/>
    <s v="הנהלת מינהל התיפעול - הוצאות לפעולות"/>
    <m/>
    <m/>
    <n v="40600"/>
    <n v="41300"/>
    <n v="56200"/>
    <e v="#N/A"/>
    <x v="7"/>
    <x v="1"/>
    <x v="24"/>
    <x v="3"/>
    <x v="64"/>
    <x v="47"/>
    <s v="7110"/>
    <e v="#N/A"/>
    <m/>
    <s v="7"/>
    <x v="9"/>
    <s v="70"/>
    <e v="#N/A"/>
    <s v="700"/>
    <e v="#N/A"/>
  </r>
  <r>
    <n v="100"/>
    <n v="714100"/>
    <n v="1"/>
    <s v="1714100.100"/>
    <s v="פיקוח וטרינרי - שכר לעובדים קבועים"/>
    <m/>
    <m/>
    <n v="4480300"/>
    <n v="4430300"/>
    <n v="4160800"/>
    <e v="#N/A"/>
    <x v="7"/>
    <x v="1"/>
    <x v="24"/>
    <x v="3"/>
    <x v="101"/>
    <x v="5"/>
    <s v="7141"/>
    <s v="מינהל שרות וטרינרי"/>
    <m/>
    <s v="1"/>
    <x v="8"/>
    <s v="10"/>
    <e v="#N/A"/>
    <s v="100"/>
    <e v="#N/A"/>
  </r>
  <r>
    <n v="120"/>
    <n v="714100"/>
    <n v="1"/>
    <s v="1714100.120"/>
    <s v="פיקוח וטרינרי - שעות נוספות"/>
    <m/>
    <m/>
    <n v="106700"/>
    <n v="106700"/>
    <n v="112000"/>
    <e v="#N/A"/>
    <x v="7"/>
    <x v="1"/>
    <x v="24"/>
    <x v="3"/>
    <x v="101"/>
    <x v="5"/>
    <s v="7141"/>
    <s v="מינהל שרות וטרינרי"/>
    <m/>
    <s v="1"/>
    <x v="8"/>
    <s v="12"/>
    <s v="תוספות שאינן נכללות בשכר הקובע"/>
    <s v="120"/>
    <e v="#N/A"/>
  </r>
  <r>
    <n v="400"/>
    <n v="714100"/>
    <n v="1"/>
    <s v="1714100.400"/>
    <s v="פיקוח וטרינרי - אחזקה אספקה וציוד"/>
    <m/>
    <m/>
    <n v="5600"/>
    <n v="6100"/>
    <n v="5600"/>
    <e v="#N/A"/>
    <x v="7"/>
    <x v="1"/>
    <x v="24"/>
    <x v="3"/>
    <x v="101"/>
    <x v="5"/>
    <s v="7141"/>
    <s v="מינהל שרות וטרינרי"/>
    <m/>
    <s v="4"/>
    <x v="11"/>
    <s v="40"/>
    <e v="#N/A"/>
    <s v="400"/>
    <e v="#N/A"/>
  </r>
  <r>
    <n v="500"/>
    <n v="714100"/>
    <n v="1"/>
    <s v="1714100.500"/>
    <s v="פיקוח וטרינרי - תחבורה ודואר"/>
    <m/>
    <m/>
    <n v="72500"/>
    <n v="74400"/>
    <n v="76500"/>
    <m/>
    <x v="7"/>
    <x v="1"/>
    <x v="24"/>
    <x v="3"/>
    <x v="101"/>
    <x v="5"/>
    <s v="7141"/>
    <s v="מינהל שרות וטרינרי"/>
    <m/>
    <s v="5"/>
    <x v="12"/>
    <s v="50"/>
    <e v="#N/A"/>
    <s v="500"/>
    <e v="#N/A"/>
  </r>
  <r>
    <n v="500"/>
    <n v="714100"/>
    <n v="1"/>
    <s v="1714100.500"/>
    <s v="פיקוח וטרינרי - הוצאות כלליות"/>
    <m/>
    <m/>
    <n v="400"/>
    <n v="400"/>
    <n v="200"/>
    <e v="#N/A"/>
    <x v="7"/>
    <x v="1"/>
    <x v="24"/>
    <x v="3"/>
    <x v="101"/>
    <x v="5"/>
    <s v="7141"/>
    <s v="מינהל שרות וטרינרי"/>
    <m/>
    <s v="5"/>
    <x v="12"/>
    <s v="50"/>
    <e v="#N/A"/>
    <s v="500"/>
    <e v="#N/A"/>
  </r>
  <r>
    <n v="700"/>
    <n v="714100"/>
    <n v="1"/>
    <s v="1714100.700"/>
    <s v="פיקוח וטרינרי - הוצאות לפעולות"/>
    <m/>
    <m/>
    <n v="2000"/>
    <n v="2000"/>
    <n v="0"/>
    <e v="#N/A"/>
    <x v="7"/>
    <x v="1"/>
    <x v="24"/>
    <x v="3"/>
    <x v="101"/>
    <x v="5"/>
    <s v="7141"/>
    <s v="מינהל שרות וטרינרי"/>
    <m/>
    <s v="7"/>
    <x v="9"/>
    <s v="70"/>
    <e v="#N/A"/>
    <s v="700"/>
    <e v="#N/A"/>
  </r>
  <r>
    <n v="700"/>
    <n v="714105"/>
    <n v="1"/>
    <s v="1714105.700"/>
    <s v="משתלם שרות וטרינרי - הוצאות לפעולות"/>
    <m/>
    <m/>
    <n v="532500"/>
    <n v="532500"/>
    <n v="420000"/>
    <e v="#N/A"/>
    <x v="7"/>
    <x v="1"/>
    <x v="24"/>
    <x v="3"/>
    <x v="101"/>
    <x v="5"/>
    <s v="7141"/>
    <s v="מינהל שרות וטרינרי"/>
    <m/>
    <s v="7"/>
    <x v="9"/>
    <s v="70"/>
    <e v="#N/A"/>
    <s v="700"/>
    <e v="#N/A"/>
  </r>
  <r>
    <n v="100"/>
    <n v="715000"/>
    <n v="1"/>
    <s v="1715000.100"/>
    <s v="שרותים מונעים - שכר לעובדים קבועים"/>
    <m/>
    <m/>
    <n v="3415400"/>
    <n v="3375400"/>
    <n v="3240900"/>
    <m/>
    <x v="7"/>
    <x v="1"/>
    <x v="24"/>
    <x v="3"/>
    <x v="102"/>
    <x v="70"/>
    <s v="7150"/>
    <e v="#N/A"/>
    <m/>
    <s v="1"/>
    <x v="8"/>
    <s v="10"/>
    <e v="#N/A"/>
    <s v="100"/>
    <e v="#N/A"/>
  </r>
  <r>
    <n v="120"/>
    <n v="715000"/>
    <n v="1"/>
    <s v="1715000.120"/>
    <s v="שרותים מונעים - שעות נוספות"/>
    <m/>
    <m/>
    <n v="251600"/>
    <n v="251600"/>
    <n v="201500"/>
    <m/>
    <x v="7"/>
    <x v="1"/>
    <x v="24"/>
    <x v="3"/>
    <x v="102"/>
    <x v="70"/>
    <s v="7150"/>
    <e v="#N/A"/>
    <m/>
    <s v="1"/>
    <x v="8"/>
    <s v="12"/>
    <s v="תוספות שאינן נכללות בשכר הקובע"/>
    <s v="120"/>
    <e v="#N/A"/>
  </r>
  <r>
    <n v="400"/>
    <n v="715000"/>
    <n v="1"/>
    <s v="1715000.400"/>
    <s v="שרותים מונעים - אחזקה אספקה וציוד"/>
    <m/>
    <m/>
    <n v="116400"/>
    <n v="121400"/>
    <n v="110000"/>
    <m/>
    <x v="7"/>
    <x v="1"/>
    <x v="24"/>
    <x v="3"/>
    <x v="102"/>
    <x v="70"/>
    <s v="7150"/>
    <e v="#N/A"/>
    <m/>
    <s v="4"/>
    <x v="11"/>
    <s v="40"/>
    <e v="#N/A"/>
    <s v="400"/>
    <e v="#N/A"/>
  </r>
  <r>
    <n v="500"/>
    <n v="715000"/>
    <n v="1"/>
    <s v="1715000.500"/>
    <s v="שרותים מונעים - תחבורה ודואר"/>
    <m/>
    <m/>
    <n v="10000"/>
    <n v="12000"/>
    <n v="4700"/>
    <m/>
    <x v="7"/>
    <x v="1"/>
    <x v="24"/>
    <x v="3"/>
    <x v="102"/>
    <x v="70"/>
    <s v="7150"/>
    <e v="#N/A"/>
    <m/>
    <s v="5"/>
    <x v="12"/>
    <s v="50"/>
    <e v="#N/A"/>
    <s v="500"/>
    <e v="#N/A"/>
  </r>
  <r>
    <n v="500"/>
    <n v="715000"/>
    <n v="1"/>
    <s v="1715000.500"/>
    <s v="שרותים מונעים - הוצאות כלליות"/>
    <m/>
    <m/>
    <n v="6000"/>
    <n v="7000"/>
    <n v="3100"/>
    <m/>
    <x v="7"/>
    <x v="1"/>
    <x v="24"/>
    <x v="3"/>
    <x v="102"/>
    <x v="70"/>
    <s v="7150"/>
    <e v="#N/A"/>
    <m/>
    <s v="5"/>
    <x v="12"/>
    <s v="50"/>
    <e v="#N/A"/>
    <s v="500"/>
    <e v="#N/A"/>
  </r>
  <r>
    <n v="700"/>
    <n v="715000"/>
    <n v="1"/>
    <s v="1715000.700"/>
    <s v="שרותים מונעים - הוצאות לפעולות"/>
    <m/>
    <m/>
    <n v="705500"/>
    <n v="723800"/>
    <n v="800300"/>
    <e v="#N/A"/>
    <x v="7"/>
    <x v="1"/>
    <x v="24"/>
    <x v="3"/>
    <x v="102"/>
    <x v="70"/>
    <s v="7150"/>
    <e v="#N/A"/>
    <m/>
    <s v="7"/>
    <x v="9"/>
    <s v="70"/>
    <e v="#N/A"/>
    <s v="700"/>
    <e v="#N/A"/>
  </r>
  <r>
    <n v="800"/>
    <n v="715000"/>
    <n v="1"/>
    <s v="1715000.800"/>
    <s v="שרותים מונעים - השתתפויות תמיכות ותרומות"/>
    <m/>
    <m/>
    <n v="58000"/>
    <n v="58000"/>
    <n v="0"/>
    <e v="#N/A"/>
    <x v="7"/>
    <x v="1"/>
    <x v="24"/>
    <x v="3"/>
    <x v="102"/>
    <x v="70"/>
    <s v="7150"/>
    <e v="#N/A"/>
    <m/>
    <s v="8"/>
    <x v="13"/>
    <s v="80"/>
    <e v="#N/A"/>
    <s v="800"/>
    <e v="#N/A"/>
  </r>
  <r>
    <n v="100"/>
    <n v="712000"/>
    <n v="1"/>
    <s v="1712000.100"/>
    <s v="מחלקת הנקיון - שכר לעובדים קבועים"/>
    <m/>
    <m/>
    <n v="51675000"/>
    <n v="51073000"/>
    <n v="50901600"/>
    <e v="#N/A"/>
    <x v="7"/>
    <x v="1"/>
    <x v="24"/>
    <x v="3"/>
    <x v="103"/>
    <x v="3"/>
    <s v="7120"/>
    <e v="#N/A"/>
    <m/>
    <s v="1"/>
    <x v="8"/>
    <s v="10"/>
    <e v="#N/A"/>
    <s v="100"/>
    <e v="#N/A"/>
  </r>
  <r>
    <n v="120"/>
    <n v="712000"/>
    <n v="1"/>
    <s v="1712000.120"/>
    <s v="מחלקת הנקיון - שעות נוספות"/>
    <m/>
    <m/>
    <n v="3256000"/>
    <n v="3256000"/>
    <n v="3316200"/>
    <e v="#N/A"/>
    <x v="7"/>
    <x v="1"/>
    <x v="24"/>
    <x v="3"/>
    <x v="103"/>
    <x v="3"/>
    <s v="7120"/>
    <e v="#N/A"/>
    <m/>
    <s v="1"/>
    <x v="8"/>
    <s v="12"/>
    <s v="תוספות שאינן נכללות בשכר הקובע"/>
    <s v="120"/>
    <e v="#N/A"/>
  </r>
  <r>
    <n v="400"/>
    <n v="712000"/>
    <n v="1"/>
    <s v="1712000.400"/>
    <s v="מחלקת הנקיון - אחזקה אספקה וציוד"/>
    <m/>
    <m/>
    <n v="1511700"/>
    <n v="1558500"/>
    <n v="1409800"/>
    <e v="#N/A"/>
    <x v="7"/>
    <x v="1"/>
    <x v="24"/>
    <x v="3"/>
    <x v="103"/>
    <x v="3"/>
    <s v="7120"/>
    <e v="#N/A"/>
    <m/>
    <s v="4"/>
    <x v="11"/>
    <s v="40"/>
    <e v="#N/A"/>
    <s v="400"/>
    <e v="#N/A"/>
  </r>
  <r>
    <n v="500"/>
    <n v="712000"/>
    <n v="1"/>
    <s v="1712000.500"/>
    <s v="מחלקת הנקיון - תחבורה ודואר"/>
    <m/>
    <m/>
    <n v="457600"/>
    <n v="469700"/>
    <n v="391300"/>
    <e v="#N/A"/>
    <x v="7"/>
    <x v="1"/>
    <x v="24"/>
    <x v="3"/>
    <x v="103"/>
    <x v="3"/>
    <s v="7120"/>
    <e v="#N/A"/>
    <m/>
    <s v="5"/>
    <x v="12"/>
    <s v="50"/>
    <e v="#N/A"/>
    <s v="500"/>
    <e v="#N/A"/>
  </r>
  <r>
    <n v="500"/>
    <n v="712000"/>
    <n v="1"/>
    <s v="1712000.500"/>
    <s v="מחלקת הנקיון - הוצאות כלליות"/>
    <m/>
    <m/>
    <n v="7100"/>
    <n v="7400"/>
    <n v="4000"/>
    <e v="#N/A"/>
    <x v="7"/>
    <x v="1"/>
    <x v="24"/>
    <x v="3"/>
    <x v="103"/>
    <x v="3"/>
    <s v="7120"/>
    <e v="#N/A"/>
    <m/>
    <s v="5"/>
    <x v="12"/>
    <s v="50"/>
    <e v="#N/A"/>
    <s v="500"/>
    <e v="#N/A"/>
  </r>
  <r>
    <n v="700"/>
    <n v="712000"/>
    <n v="1"/>
    <s v="1712000.700"/>
    <s v="מחלקת הנקיון - הוצאות לפעולות"/>
    <m/>
    <m/>
    <n v="652100"/>
    <n v="670200"/>
    <n v="521800"/>
    <e v="#N/A"/>
    <x v="7"/>
    <x v="1"/>
    <x v="24"/>
    <x v="3"/>
    <x v="103"/>
    <x v="3"/>
    <s v="7120"/>
    <e v="#N/A"/>
    <m/>
    <s v="7"/>
    <x v="9"/>
    <s v="70"/>
    <e v="#N/A"/>
    <s v="700"/>
    <e v="#N/A"/>
  </r>
  <r>
    <n v="100"/>
    <n v="712740"/>
    <n v="1"/>
    <s v="1712740.100"/>
    <s v="המח' לניהול פסולת ומיחזור - שכר לעובדים קבועים"/>
    <m/>
    <m/>
    <n v="2756000"/>
    <n v="2327000"/>
    <n v="0"/>
    <e v="#N/A"/>
    <x v="7"/>
    <x v="1"/>
    <x v="24"/>
    <x v="3"/>
    <x v="103"/>
    <x v="3"/>
    <s v="7127"/>
    <e v="#N/A"/>
    <m/>
    <s v="1"/>
    <x v="8"/>
    <s v="10"/>
    <e v="#N/A"/>
    <s v="100"/>
    <e v="#N/A"/>
  </r>
  <r>
    <n v="120"/>
    <n v="712740"/>
    <n v="1"/>
    <s v="1712740.120"/>
    <s v="המח' לניהול פסולת ומיחזור - שעות נוספות"/>
    <m/>
    <m/>
    <n v="256000"/>
    <n v="256000"/>
    <n v="0"/>
    <e v="#N/A"/>
    <x v="7"/>
    <x v="1"/>
    <x v="24"/>
    <x v="3"/>
    <x v="103"/>
    <x v="3"/>
    <s v="7127"/>
    <e v="#N/A"/>
    <m/>
    <s v="1"/>
    <x v="8"/>
    <s v="12"/>
    <s v="תוספות שאינן נכללות בשכר הקובע"/>
    <s v="120"/>
    <e v="#N/A"/>
  </r>
  <r>
    <n v="700"/>
    <n v="712305"/>
    <n v="1"/>
    <s v="1712305.700"/>
    <s v="משתלם מכירת עגלות - הוצאות לפעולות"/>
    <m/>
    <m/>
    <n v="50000"/>
    <n v="50000"/>
    <n v="71800"/>
    <e v="#N/A"/>
    <x v="7"/>
    <x v="1"/>
    <x v="24"/>
    <x v="3"/>
    <x v="103"/>
    <x v="3"/>
    <s v="7123"/>
    <s v="אסוף ובעור אשפה"/>
    <m/>
    <s v="7"/>
    <x v="9"/>
    <s v="70"/>
    <e v="#N/A"/>
    <s v="700"/>
    <e v="#N/A"/>
  </r>
  <r>
    <n v="100"/>
    <n v="712710"/>
    <n v="1"/>
    <s v="1712710.100"/>
    <s v="הנהלת אגף התברואה - שכר לעובדים קבועים"/>
    <m/>
    <m/>
    <n v="3772100"/>
    <n v="3720100"/>
    <n v="3674800"/>
    <e v="#N/A"/>
    <x v="7"/>
    <x v="1"/>
    <x v="24"/>
    <x v="3"/>
    <x v="103"/>
    <x v="3"/>
    <s v="7127"/>
    <e v="#N/A"/>
    <m/>
    <s v="1"/>
    <x v="8"/>
    <s v="10"/>
    <e v="#N/A"/>
    <s v="100"/>
    <e v="#N/A"/>
  </r>
  <r>
    <n v="120"/>
    <n v="712710"/>
    <n v="1"/>
    <s v="1712710.120"/>
    <s v="הנהלת אגף התברואה - שעות נוספות"/>
    <m/>
    <m/>
    <n v="192900"/>
    <n v="192900"/>
    <n v="265000"/>
    <e v="#N/A"/>
    <x v="7"/>
    <x v="1"/>
    <x v="24"/>
    <x v="3"/>
    <x v="103"/>
    <x v="3"/>
    <s v="7127"/>
    <e v="#N/A"/>
    <m/>
    <s v="1"/>
    <x v="8"/>
    <s v="12"/>
    <s v="תוספות שאינן נכללות בשכר הקובע"/>
    <s v="120"/>
    <e v="#N/A"/>
  </r>
  <r>
    <n v="100"/>
    <n v="712720"/>
    <n v="1"/>
    <s v="1712720.100"/>
    <s v="תברואה תובלה - שכר לעובדים קבועים"/>
    <m/>
    <m/>
    <n v="19606500"/>
    <n v="19375500"/>
    <n v="18787200"/>
    <e v="#N/A"/>
    <x v="7"/>
    <x v="1"/>
    <x v="24"/>
    <x v="3"/>
    <x v="103"/>
    <x v="3"/>
    <s v="7127"/>
    <e v="#N/A"/>
    <m/>
    <s v="1"/>
    <x v="8"/>
    <s v="10"/>
    <e v="#N/A"/>
    <s v="100"/>
    <e v="#N/A"/>
  </r>
  <r>
    <n v="120"/>
    <n v="712720"/>
    <n v="1"/>
    <s v="1712720.120"/>
    <s v="תברואה תובלה - שעות נוספות"/>
    <m/>
    <m/>
    <n v="1479500"/>
    <n v="1479500"/>
    <n v="1539000"/>
    <e v="#N/A"/>
    <x v="7"/>
    <x v="1"/>
    <x v="24"/>
    <x v="3"/>
    <x v="103"/>
    <x v="3"/>
    <s v="7127"/>
    <e v="#N/A"/>
    <m/>
    <s v="1"/>
    <x v="8"/>
    <s v="12"/>
    <s v="תוספות שאינן נכללות בשכר הקובע"/>
    <s v="120"/>
    <e v="#N/A"/>
  </r>
  <r>
    <n v="400"/>
    <n v="712720"/>
    <n v="1"/>
    <s v="1712720.400"/>
    <s v="תברואה תובלה - אחזקה אספקה וציוד"/>
    <m/>
    <m/>
    <n v="168600"/>
    <n v="173800"/>
    <n v="164800"/>
    <e v="#N/A"/>
    <x v="7"/>
    <x v="1"/>
    <x v="24"/>
    <x v="3"/>
    <x v="103"/>
    <x v="3"/>
    <s v="7127"/>
    <e v="#N/A"/>
    <m/>
    <s v="4"/>
    <x v="11"/>
    <s v="40"/>
    <e v="#N/A"/>
    <s v="400"/>
    <e v="#N/A"/>
  </r>
  <r>
    <n v="500"/>
    <n v="712720"/>
    <n v="1"/>
    <s v="1712720.500"/>
    <s v="תברואה תובלה - תחבורה ודואר"/>
    <m/>
    <m/>
    <n v="15276600"/>
    <n v="15749100"/>
    <n v="15037100"/>
    <e v="#N/A"/>
    <x v="7"/>
    <x v="1"/>
    <x v="24"/>
    <x v="3"/>
    <x v="103"/>
    <x v="3"/>
    <s v="7127"/>
    <e v="#N/A"/>
    <m/>
    <s v="5"/>
    <x v="12"/>
    <s v="50"/>
    <e v="#N/A"/>
    <s v="500"/>
    <e v="#N/A"/>
  </r>
  <r>
    <n v="500"/>
    <n v="712720"/>
    <n v="1"/>
    <s v="1712720.500"/>
    <s v="תברואה תובלה - הוצאות כלליות"/>
    <m/>
    <m/>
    <n v="8300"/>
    <n v="8600"/>
    <n v="5200"/>
    <e v="#N/A"/>
    <x v="7"/>
    <x v="1"/>
    <x v="24"/>
    <x v="3"/>
    <x v="103"/>
    <x v="3"/>
    <s v="7127"/>
    <e v="#N/A"/>
    <m/>
    <s v="5"/>
    <x v="12"/>
    <s v="50"/>
    <e v="#N/A"/>
    <s v="500"/>
    <e v="#N/A"/>
  </r>
  <r>
    <n v="700"/>
    <n v="712720"/>
    <n v="1"/>
    <s v="1712720.700"/>
    <s v="תברואה תובלה - הוצאות לפעולות"/>
    <m/>
    <m/>
    <n v="12734900"/>
    <n v="13085600"/>
    <n v="12389000"/>
    <e v="#N/A"/>
    <x v="7"/>
    <x v="1"/>
    <x v="24"/>
    <x v="3"/>
    <x v="103"/>
    <x v="3"/>
    <s v="7127"/>
    <e v="#N/A"/>
    <m/>
    <s v="7"/>
    <x v="9"/>
    <s v="70"/>
    <e v="#N/A"/>
    <s v="700"/>
    <e v="#N/A"/>
  </r>
  <r>
    <n v="100"/>
    <n v="712730"/>
    <n v="1"/>
    <s v="1712730.100"/>
    <s v="מוסך - שכר לעובדים קבועים"/>
    <m/>
    <m/>
    <n v="4010600"/>
    <n v="3972600"/>
    <n v="3916500"/>
    <m/>
    <x v="7"/>
    <x v="1"/>
    <x v="24"/>
    <x v="3"/>
    <x v="103"/>
    <x v="3"/>
    <s v="7127"/>
    <e v="#N/A"/>
    <m/>
    <s v="1"/>
    <x v="8"/>
    <s v="10"/>
    <e v="#N/A"/>
    <s v="100"/>
    <e v="#N/A"/>
  </r>
  <r>
    <n v="120"/>
    <n v="712730"/>
    <n v="1"/>
    <s v="1712730.120"/>
    <s v="מוסך - שעות נוספות"/>
    <m/>
    <m/>
    <n v="314400"/>
    <n v="314400"/>
    <n v="286800"/>
    <e v="#N/A"/>
    <x v="7"/>
    <x v="1"/>
    <x v="24"/>
    <x v="3"/>
    <x v="103"/>
    <x v="3"/>
    <s v="7127"/>
    <e v="#N/A"/>
    <m/>
    <s v="1"/>
    <x v="8"/>
    <s v="12"/>
    <s v="תוספות שאינן נכללות בשכר הקובע"/>
    <s v="120"/>
    <e v="#N/A"/>
  </r>
  <r>
    <n v="400"/>
    <n v="712730"/>
    <n v="1"/>
    <s v="1712730.400"/>
    <s v="מוסך - אחזקה אספקה וציוד"/>
    <m/>
    <m/>
    <n v="121800"/>
    <n v="124300"/>
    <n v="153400"/>
    <e v="#N/A"/>
    <x v="7"/>
    <x v="1"/>
    <x v="24"/>
    <x v="3"/>
    <x v="103"/>
    <x v="3"/>
    <s v="7127"/>
    <e v="#N/A"/>
    <m/>
    <s v="4"/>
    <x v="11"/>
    <s v="40"/>
    <e v="#N/A"/>
    <s v="400"/>
    <e v="#N/A"/>
  </r>
  <r>
    <n v="700"/>
    <n v="712730"/>
    <n v="1"/>
    <s v="1712730.700"/>
    <s v="מוסך - הוצאות לפעולות"/>
    <m/>
    <m/>
    <n v="66400"/>
    <n v="69400"/>
    <n v="52200"/>
    <e v="#N/A"/>
    <x v="7"/>
    <x v="1"/>
    <x v="24"/>
    <x v="3"/>
    <x v="103"/>
    <x v="3"/>
    <s v="7127"/>
    <e v="#N/A"/>
    <m/>
    <s v="7"/>
    <x v="9"/>
    <s v="70"/>
    <e v="#N/A"/>
    <s v="700"/>
    <e v="#N/A"/>
  </r>
  <r>
    <n v="100"/>
    <n v="742100"/>
    <n v="1"/>
    <s v="1742100.100"/>
    <s v="הנהלת האגף - שכר לעובדים קבועים"/>
    <m/>
    <m/>
    <n v="3810000"/>
    <n v="3767000"/>
    <n v="3338800"/>
    <e v="#N/A"/>
    <x v="7"/>
    <x v="1"/>
    <x v="38"/>
    <x v="6"/>
    <x v="104"/>
    <x v="11"/>
    <s v="7421"/>
    <s v="אחזקת כבישים עורקים"/>
    <m/>
    <s v="1"/>
    <x v="8"/>
    <s v="10"/>
    <e v="#N/A"/>
    <s v="100"/>
    <e v="#N/A"/>
  </r>
  <r>
    <n v="120"/>
    <n v="742100"/>
    <n v="1"/>
    <s v="1742100.120"/>
    <s v="הנהלת האגף - שעות נוספות"/>
    <m/>
    <m/>
    <n v="127000"/>
    <n v="127000"/>
    <n v="100100"/>
    <e v="#N/A"/>
    <x v="7"/>
    <x v="1"/>
    <x v="38"/>
    <x v="6"/>
    <x v="104"/>
    <x v="11"/>
    <s v="7421"/>
    <s v="אחזקת כבישים עורקים"/>
    <m/>
    <s v="1"/>
    <x v="8"/>
    <s v="12"/>
    <s v="תוספות שאינן נכללות בשכר הקובע"/>
    <s v="120"/>
    <e v="#N/A"/>
  </r>
  <r>
    <n v="400"/>
    <n v="742100"/>
    <n v="1"/>
    <s v="1742100.400"/>
    <s v="הנהלת האגף - אחזקה אספקה וציוד"/>
    <m/>
    <m/>
    <n v="29000"/>
    <n v="31000"/>
    <n v="31200"/>
    <e v="#N/A"/>
    <x v="7"/>
    <x v="1"/>
    <x v="38"/>
    <x v="6"/>
    <x v="104"/>
    <x v="11"/>
    <s v="7421"/>
    <s v="אחזקת כבישים עורקים"/>
    <m/>
    <s v="4"/>
    <x v="11"/>
    <s v="40"/>
    <e v="#N/A"/>
    <s v="400"/>
    <e v="#N/A"/>
  </r>
  <r>
    <n v="500"/>
    <n v="742100"/>
    <n v="1"/>
    <s v="1742100.500"/>
    <s v="הנהלת האגף - תחבורה ודואר"/>
    <m/>
    <m/>
    <n v="71900"/>
    <n v="73600"/>
    <n v="70200"/>
    <e v="#N/A"/>
    <x v="7"/>
    <x v="1"/>
    <x v="38"/>
    <x v="6"/>
    <x v="104"/>
    <x v="11"/>
    <s v="7421"/>
    <s v="אחזקת כבישים עורקים"/>
    <m/>
    <s v="5"/>
    <x v="12"/>
    <s v="50"/>
    <e v="#N/A"/>
    <s v="500"/>
    <e v="#N/A"/>
  </r>
  <r>
    <n v="500"/>
    <n v="742100"/>
    <n v="1"/>
    <s v="1742100.500"/>
    <s v="הנהלת האגף - הוצאות כלליות"/>
    <m/>
    <m/>
    <n v="12000"/>
    <n v="12000"/>
    <n v="7500"/>
    <e v="#N/A"/>
    <x v="7"/>
    <x v="1"/>
    <x v="38"/>
    <x v="6"/>
    <x v="104"/>
    <x v="11"/>
    <s v="7421"/>
    <s v="אחזקת כבישים עורקים"/>
    <m/>
    <s v="5"/>
    <x v="12"/>
    <s v="50"/>
    <e v="#N/A"/>
    <s v="500"/>
    <e v="#N/A"/>
  </r>
  <r>
    <n v="700"/>
    <n v="742100"/>
    <n v="1"/>
    <s v="1742100.700"/>
    <s v="הנהלת האגף - הוצאות לפעולות"/>
    <m/>
    <m/>
    <n v="11500"/>
    <n v="11500"/>
    <n v="11100"/>
    <e v="#N/A"/>
    <x v="7"/>
    <x v="1"/>
    <x v="38"/>
    <x v="6"/>
    <x v="104"/>
    <x v="11"/>
    <s v="7421"/>
    <s v="אחזקת כבישים עורקים"/>
    <m/>
    <s v="7"/>
    <x v="9"/>
    <s v="70"/>
    <e v="#N/A"/>
    <s v="700"/>
    <e v="#N/A"/>
  </r>
  <r>
    <n v="100"/>
    <n v="742200"/>
    <n v="1"/>
    <s v="1742200.100"/>
    <s v="מחלקת דרכים - שכר לעובדים קבועים"/>
    <m/>
    <m/>
    <n v="9130600"/>
    <n v="9022600"/>
    <n v="8686500"/>
    <e v="#N/A"/>
    <x v="7"/>
    <x v="1"/>
    <x v="38"/>
    <x v="6"/>
    <x v="104"/>
    <x v="11"/>
    <s v="7422"/>
    <s v="אחזקת כבישים פנימיים ומדרכות"/>
    <m/>
    <s v="1"/>
    <x v="8"/>
    <s v="10"/>
    <e v="#N/A"/>
    <s v="100"/>
    <e v="#N/A"/>
  </r>
  <r>
    <n v="120"/>
    <n v="742200"/>
    <n v="1"/>
    <s v="1742200.120"/>
    <s v="מחלקת דרכים - שעות נוספות"/>
    <m/>
    <m/>
    <n v="680400"/>
    <n v="680400"/>
    <n v="425700"/>
    <e v="#N/A"/>
    <x v="7"/>
    <x v="1"/>
    <x v="38"/>
    <x v="6"/>
    <x v="104"/>
    <x v="11"/>
    <s v="7422"/>
    <s v="אחזקת כבישים פנימיים ומדרכות"/>
    <m/>
    <s v="1"/>
    <x v="8"/>
    <s v="12"/>
    <s v="תוספות שאינן נכללות בשכר הקובע"/>
    <s v="120"/>
    <e v="#N/A"/>
  </r>
  <r>
    <n v="400"/>
    <n v="742200"/>
    <n v="1"/>
    <s v="1742200.400"/>
    <s v="מחלקת דרכים - אחזקה אספקה וציוד"/>
    <m/>
    <m/>
    <n v="3000"/>
    <n v="3000"/>
    <n v="11900"/>
    <e v="#N/A"/>
    <x v="7"/>
    <x v="1"/>
    <x v="38"/>
    <x v="6"/>
    <x v="104"/>
    <x v="11"/>
    <s v="7422"/>
    <s v="אחזקת כבישים פנימיים ומדרכות"/>
    <m/>
    <s v="4"/>
    <x v="11"/>
    <s v="40"/>
    <e v="#N/A"/>
    <s v="400"/>
    <e v="#N/A"/>
  </r>
  <r>
    <n v="500"/>
    <n v="742200"/>
    <n v="1"/>
    <s v="1742200.500"/>
    <s v="מחלקת דרכים - תחבורה ודואר"/>
    <m/>
    <m/>
    <n v="83000"/>
    <n v="87000"/>
    <n v="78200"/>
    <e v="#N/A"/>
    <x v="7"/>
    <x v="1"/>
    <x v="38"/>
    <x v="6"/>
    <x v="104"/>
    <x v="11"/>
    <s v="7422"/>
    <s v="אחזקת כבישים פנימיים ומדרכות"/>
    <m/>
    <s v="5"/>
    <x v="12"/>
    <s v="50"/>
    <e v="#N/A"/>
    <s v="500"/>
    <e v="#N/A"/>
  </r>
  <r>
    <n v="700"/>
    <n v="742200"/>
    <n v="1"/>
    <s v="1742200.700"/>
    <s v="מחלקת דרכים - הוצאות לפעולות"/>
    <m/>
    <m/>
    <n v="212700"/>
    <n v="217500"/>
    <n v="243700"/>
    <e v="#N/A"/>
    <x v="7"/>
    <x v="1"/>
    <x v="38"/>
    <x v="6"/>
    <x v="104"/>
    <x v="11"/>
    <s v="7422"/>
    <s v="אחזקת כבישים פנימיים ומדרכות"/>
    <m/>
    <s v="7"/>
    <x v="9"/>
    <s v="70"/>
    <e v="#N/A"/>
    <s v="700"/>
    <e v="#N/A"/>
  </r>
  <r>
    <n v="100"/>
    <n v="743100"/>
    <n v="1"/>
    <s v="1743100.100"/>
    <s v="תאורה חשמל ואנרגיה - שכר לעובדים קבועים"/>
    <m/>
    <m/>
    <n v="3483400"/>
    <n v="3443400"/>
    <n v="3168600"/>
    <e v="#N/A"/>
    <x v="7"/>
    <x v="1"/>
    <x v="38"/>
    <x v="6"/>
    <x v="105"/>
    <x v="71"/>
    <s v="7431"/>
    <e v="#N/A"/>
    <m/>
    <s v="1"/>
    <x v="8"/>
    <s v="10"/>
    <e v="#N/A"/>
    <s v="100"/>
    <e v="#N/A"/>
  </r>
  <r>
    <n v="120"/>
    <n v="743100"/>
    <n v="1"/>
    <s v="1743100.120"/>
    <s v="תאורה חשמל ואנרגיה - שעות נוספות"/>
    <m/>
    <m/>
    <n v="167600"/>
    <n v="167600"/>
    <n v="157500"/>
    <n v="44168"/>
    <x v="7"/>
    <x v="1"/>
    <x v="38"/>
    <x v="6"/>
    <x v="105"/>
    <x v="71"/>
    <s v="7431"/>
    <e v="#N/A"/>
    <m/>
    <s v="1"/>
    <x v="8"/>
    <s v="12"/>
    <s v="תוספות שאינן נכללות בשכר הקובע"/>
    <s v="120"/>
    <e v="#N/A"/>
  </r>
  <r>
    <n v="400"/>
    <n v="743100"/>
    <n v="1"/>
    <s v="1743100.400"/>
    <s v="תאורה חשמל ואנרגיה - אחזקה אספקה וציוד"/>
    <m/>
    <m/>
    <n v="27000"/>
    <n v="27600"/>
    <n v="18700"/>
    <e v="#N/A"/>
    <x v="7"/>
    <x v="1"/>
    <x v="38"/>
    <x v="6"/>
    <x v="105"/>
    <x v="71"/>
    <s v="7431"/>
    <e v="#N/A"/>
    <m/>
    <s v="4"/>
    <x v="11"/>
    <s v="40"/>
    <e v="#N/A"/>
    <s v="400"/>
    <e v="#N/A"/>
  </r>
  <r>
    <n v="500"/>
    <n v="743100"/>
    <n v="1"/>
    <s v="1743100.500"/>
    <s v="תאורה חשמל ואנרגיה - תחבורה ודואר"/>
    <m/>
    <m/>
    <n v="75000"/>
    <n v="75900"/>
    <n v="70500"/>
    <e v="#N/A"/>
    <x v="7"/>
    <x v="1"/>
    <x v="38"/>
    <x v="6"/>
    <x v="105"/>
    <x v="71"/>
    <s v="7431"/>
    <e v="#N/A"/>
    <m/>
    <s v="5"/>
    <x v="12"/>
    <s v="50"/>
    <e v="#N/A"/>
    <s v="500"/>
    <e v="#N/A"/>
  </r>
  <r>
    <n v="500"/>
    <n v="743100"/>
    <n v="1"/>
    <s v="1743100.500"/>
    <s v="תאורה חשמל ואנרגיה - הוצאות כלליות"/>
    <m/>
    <m/>
    <n v="0"/>
    <n v="0"/>
    <n v="8100"/>
    <e v="#N/A"/>
    <x v="7"/>
    <x v="1"/>
    <x v="38"/>
    <x v="6"/>
    <x v="105"/>
    <x v="71"/>
    <s v="7431"/>
    <e v="#N/A"/>
    <m/>
    <s v="5"/>
    <x v="12"/>
    <s v="50"/>
    <e v="#N/A"/>
    <s v="500"/>
    <e v="#N/A"/>
  </r>
  <r>
    <n v="700"/>
    <n v="743100"/>
    <n v="1"/>
    <s v="1743100.700"/>
    <s v="תאורה חשמל ואנרגיה - הוצאות לפעולות"/>
    <m/>
    <m/>
    <n v="13849700"/>
    <n v="14258400"/>
    <n v="13675200"/>
    <e v="#N/A"/>
    <x v="7"/>
    <x v="1"/>
    <x v="38"/>
    <x v="6"/>
    <x v="105"/>
    <x v="71"/>
    <s v="7431"/>
    <e v="#N/A"/>
    <m/>
    <s v="7"/>
    <x v="9"/>
    <s v="70"/>
    <e v="#N/A"/>
    <s v="700"/>
    <e v="#N/A"/>
  </r>
  <r>
    <n v="100"/>
    <n v="743200"/>
    <n v="1"/>
    <s v="1743200.100"/>
    <s v="מרכז בקרה לרמזורים ותאורה - שכר לעובדים קבועים"/>
    <m/>
    <m/>
    <n v="2432900"/>
    <n v="2404900"/>
    <n v="2340800"/>
    <e v="#N/A"/>
    <x v="7"/>
    <x v="1"/>
    <x v="38"/>
    <x v="6"/>
    <x v="105"/>
    <x v="71"/>
    <s v="7432"/>
    <e v="#N/A"/>
    <m/>
    <s v="1"/>
    <x v="8"/>
    <s v="10"/>
    <e v="#N/A"/>
    <s v="100"/>
    <e v="#N/A"/>
  </r>
  <r>
    <n v="120"/>
    <n v="743200"/>
    <n v="1"/>
    <s v="1743200.120"/>
    <s v="מרכז בקרה לרמזורים ותאורה - שעות נוספות"/>
    <m/>
    <m/>
    <n v="145100"/>
    <n v="145100"/>
    <n v="172100"/>
    <e v="#N/A"/>
    <x v="7"/>
    <x v="1"/>
    <x v="38"/>
    <x v="6"/>
    <x v="105"/>
    <x v="71"/>
    <s v="7432"/>
    <e v="#N/A"/>
    <m/>
    <s v="1"/>
    <x v="8"/>
    <s v="12"/>
    <s v="תוספות שאינן נכללות בשכר הקובע"/>
    <s v="120"/>
    <e v="#N/A"/>
  </r>
  <r>
    <n v="400"/>
    <n v="743200"/>
    <n v="1"/>
    <s v="1743200.400"/>
    <s v="מרכז בקרה לרמזורים ותאורה - אחזקה אספקה וציוד"/>
    <m/>
    <m/>
    <n v="9000"/>
    <n v="9000"/>
    <n v="1700"/>
    <e v="#N/A"/>
    <x v="7"/>
    <x v="1"/>
    <x v="38"/>
    <x v="6"/>
    <x v="105"/>
    <x v="71"/>
    <s v="7432"/>
    <e v="#N/A"/>
    <m/>
    <s v="4"/>
    <x v="11"/>
    <s v="40"/>
    <e v="#N/A"/>
    <s v="400"/>
    <e v="#N/A"/>
  </r>
  <r>
    <n v="500"/>
    <n v="743200"/>
    <n v="1"/>
    <s v="1743200.500"/>
    <s v="מרכז בקרה לרמזורים ותאורה - תחבורה ודואר"/>
    <m/>
    <m/>
    <n v="70000"/>
    <n v="72000"/>
    <n v="43900"/>
    <e v="#N/A"/>
    <x v="7"/>
    <x v="1"/>
    <x v="38"/>
    <x v="6"/>
    <x v="105"/>
    <x v="71"/>
    <s v="7432"/>
    <e v="#N/A"/>
    <m/>
    <s v="5"/>
    <x v="12"/>
    <s v="50"/>
    <e v="#N/A"/>
    <s v="500"/>
    <e v="#N/A"/>
  </r>
  <r>
    <n v="700"/>
    <n v="743200"/>
    <n v="1"/>
    <s v="1743200.700"/>
    <s v="מרכז בקרה לרמזורים ותאורה - הוצאות לפעולות"/>
    <m/>
    <m/>
    <n v="3728900"/>
    <n v="3838900"/>
    <n v="2821600"/>
    <e v="#N/A"/>
    <x v="7"/>
    <x v="1"/>
    <x v="38"/>
    <x v="6"/>
    <x v="105"/>
    <x v="71"/>
    <s v="7432"/>
    <e v="#N/A"/>
    <m/>
    <s v="7"/>
    <x v="9"/>
    <s v="70"/>
    <e v="#N/A"/>
    <s v="700"/>
    <e v="#N/A"/>
  </r>
  <r>
    <n v="100"/>
    <n v="746200"/>
    <n v="1"/>
    <s v="1746200.100"/>
    <s v="גנים ונוף - שכר לעובדים קבועים"/>
    <m/>
    <m/>
    <n v="6952700"/>
    <n v="6873700"/>
    <n v="6514100"/>
    <e v="#N/A"/>
    <x v="7"/>
    <x v="1"/>
    <x v="38"/>
    <x v="6"/>
    <x v="106"/>
    <x v="14"/>
    <s v="7462"/>
    <s v="טיפוח פינות נוי"/>
    <m/>
    <s v="1"/>
    <x v="8"/>
    <s v="10"/>
    <e v="#N/A"/>
    <s v="100"/>
    <e v="#N/A"/>
  </r>
  <r>
    <n v="120"/>
    <n v="746200"/>
    <n v="1"/>
    <s v="1746200.120"/>
    <s v="גנים ונוף - שעות נוספות"/>
    <m/>
    <m/>
    <n v="274300"/>
    <n v="274300"/>
    <n v="240500"/>
    <e v="#N/A"/>
    <x v="7"/>
    <x v="1"/>
    <x v="38"/>
    <x v="6"/>
    <x v="106"/>
    <x v="14"/>
    <s v="7462"/>
    <s v="טיפוח פינות נוי"/>
    <m/>
    <s v="1"/>
    <x v="8"/>
    <s v="12"/>
    <s v="תוספות שאינן נכללות בשכר הקובע"/>
    <s v="120"/>
    <e v="#N/A"/>
  </r>
  <r>
    <n v="400"/>
    <n v="746200"/>
    <n v="1"/>
    <s v="1746200.400"/>
    <s v="גנים ונוף - אחזקה אספקה וציוד"/>
    <m/>
    <m/>
    <n v="55000"/>
    <n v="55000"/>
    <n v="82700"/>
    <e v="#N/A"/>
    <x v="7"/>
    <x v="1"/>
    <x v="38"/>
    <x v="6"/>
    <x v="106"/>
    <x v="14"/>
    <s v="7462"/>
    <s v="טיפוח פינות נוי"/>
    <m/>
    <s v="4"/>
    <x v="11"/>
    <s v="40"/>
    <e v="#N/A"/>
    <s v="400"/>
    <e v="#N/A"/>
  </r>
  <r>
    <n v="500"/>
    <n v="746200"/>
    <n v="1"/>
    <s v="1746200.500"/>
    <s v="גנים ונוף - תחבורה ודואר"/>
    <m/>
    <m/>
    <n v="46600"/>
    <n v="46600"/>
    <n v="47500"/>
    <e v="#N/A"/>
    <x v="7"/>
    <x v="1"/>
    <x v="38"/>
    <x v="6"/>
    <x v="106"/>
    <x v="14"/>
    <s v="7462"/>
    <s v="טיפוח פינות נוי"/>
    <m/>
    <s v="5"/>
    <x v="12"/>
    <s v="50"/>
    <e v="#N/A"/>
    <s v="500"/>
    <e v="#N/A"/>
  </r>
  <r>
    <n v="500"/>
    <n v="746200"/>
    <n v="1"/>
    <s v="1746200.500"/>
    <s v="גנים ונוף - הוצאות כלליות"/>
    <m/>
    <m/>
    <n v="10000"/>
    <n v="10000"/>
    <n v="6800"/>
    <e v="#N/A"/>
    <x v="7"/>
    <x v="1"/>
    <x v="38"/>
    <x v="6"/>
    <x v="106"/>
    <x v="14"/>
    <s v="7462"/>
    <s v="טיפוח פינות נוי"/>
    <m/>
    <s v="5"/>
    <x v="12"/>
    <s v="50"/>
    <e v="#N/A"/>
    <s v="500"/>
    <e v="#N/A"/>
  </r>
  <r>
    <n v="700"/>
    <n v="746200"/>
    <n v="1"/>
    <s v="1746200.700"/>
    <s v="גנים ונוף - הוצאות לפעולות"/>
    <m/>
    <m/>
    <n v="28602500"/>
    <n v="29446700"/>
    <n v="29894500"/>
    <e v="#N/A"/>
    <x v="7"/>
    <x v="1"/>
    <x v="38"/>
    <x v="6"/>
    <x v="106"/>
    <x v="14"/>
    <s v="7462"/>
    <s v="טיפוח פינות נוי"/>
    <m/>
    <s v="7"/>
    <x v="9"/>
    <s v="70"/>
    <e v="#N/A"/>
    <s v="700"/>
    <e v="#N/A"/>
  </r>
  <r>
    <n v="100"/>
    <n v="745000"/>
    <n v="1"/>
    <s v="1745000.100"/>
    <s v="ניקוז ומזרקות - שכר לעובדים קבועים"/>
    <m/>
    <m/>
    <n v="3838600"/>
    <n v="3793600"/>
    <n v="3828500"/>
    <e v="#N/A"/>
    <x v="7"/>
    <x v="1"/>
    <x v="38"/>
    <x v="6"/>
    <x v="107"/>
    <x v="13"/>
    <s v="7450"/>
    <e v="#N/A"/>
    <m/>
    <s v="1"/>
    <x v="8"/>
    <s v="10"/>
    <e v="#N/A"/>
    <s v="100"/>
    <e v="#N/A"/>
  </r>
  <r>
    <n v="120"/>
    <n v="745000"/>
    <n v="1"/>
    <s v="1745000.120"/>
    <s v="ניקוז ומזרקות - שעות נוספות"/>
    <m/>
    <m/>
    <n v="294400"/>
    <n v="294400"/>
    <n v="197700"/>
    <e v="#N/A"/>
    <x v="7"/>
    <x v="1"/>
    <x v="38"/>
    <x v="6"/>
    <x v="107"/>
    <x v="13"/>
    <s v="7450"/>
    <e v="#N/A"/>
    <m/>
    <s v="1"/>
    <x v="8"/>
    <s v="12"/>
    <s v="תוספות שאינן נכללות בשכר הקובע"/>
    <s v="120"/>
    <e v="#N/A"/>
  </r>
  <r>
    <n v="400"/>
    <n v="745000"/>
    <n v="1"/>
    <s v="1745000.400"/>
    <s v="ניקוז ומזרקות - אחזקה אספקה וציוד"/>
    <m/>
    <m/>
    <n v="129000"/>
    <n v="129000"/>
    <n v="144400"/>
    <e v="#N/A"/>
    <x v="7"/>
    <x v="1"/>
    <x v="38"/>
    <x v="6"/>
    <x v="107"/>
    <x v="13"/>
    <s v="7450"/>
    <e v="#N/A"/>
    <m/>
    <s v="4"/>
    <x v="11"/>
    <s v="40"/>
    <e v="#N/A"/>
    <s v="400"/>
    <e v="#N/A"/>
  </r>
  <r>
    <n v="500"/>
    <n v="745000"/>
    <n v="1"/>
    <s v="1745000.500"/>
    <s v="ניקוז ומזרקות - תחבורה ודואר"/>
    <m/>
    <m/>
    <n v="22400"/>
    <n v="22400"/>
    <n v="6100"/>
    <e v="#N/A"/>
    <x v="7"/>
    <x v="1"/>
    <x v="38"/>
    <x v="6"/>
    <x v="107"/>
    <x v="13"/>
    <s v="7450"/>
    <e v="#N/A"/>
    <m/>
    <s v="5"/>
    <x v="12"/>
    <s v="50"/>
    <e v="#N/A"/>
    <s v="500"/>
    <e v="#N/A"/>
  </r>
  <r>
    <n v="500"/>
    <n v="745000"/>
    <n v="1"/>
    <s v="1745000.500"/>
    <s v="ניקוז ומזרקות - הוצאות כלליות"/>
    <m/>
    <m/>
    <n v="2000"/>
    <n v="2000"/>
    <n v="1200"/>
    <e v="#N/A"/>
    <x v="7"/>
    <x v="1"/>
    <x v="38"/>
    <x v="6"/>
    <x v="107"/>
    <x v="13"/>
    <s v="7450"/>
    <e v="#N/A"/>
    <m/>
    <s v="5"/>
    <x v="12"/>
    <s v="50"/>
    <e v="#N/A"/>
    <s v="500"/>
    <e v="#N/A"/>
  </r>
  <r>
    <n v="700"/>
    <n v="745000"/>
    <n v="1"/>
    <s v="1745000.700"/>
    <s v="ניקוז ומזרקות - הוצאות לפעולות"/>
    <m/>
    <m/>
    <n v="53800"/>
    <n v="59900"/>
    <n v="68000"/>
    <e v="#N/A"/>
    <x v="7"/>
    <x v="1"/>
    <x v="38"/>
    <x v="6"/>
    <x v="107"/>
    <x v="13"/>
    <s v="7450"/>
    <e v="#N/A"/>
    <m/>
    <s v="7"/>
    <x v="9"/>
    <s v="70"/>
    <e v="#N/A"/>
    <s v="700"/>
    <e v="#N/A"/>
  </r>
  <r>
    <n v="100"/>
    <n v="747400"/>
    <n v="1"/>
    <s v="1747400.100"/>
    <s v="בית מרחץ עירוני - שכר לעובדים קבועים"/>
    <m/>
    <m/>
    <n v="1660300"/>
    <n v="1641300"/>
    <n v="1568000"/>
    <m/>
    <x v="7"/>
    <x v="1"/>
    <x v="38"/>
    <x v="6"/>
    <x v="108"/>
    <x v="15"/>
    <s v="7474"/>
    <s v="מרחצאות"/>
    <m/>
    <s v="1"/>
    <x v="8"/>
    <s v="10"/>
    <e v="#N/A"/>
    <s v="100"/>
    <e v="#N/A"/>
  </r>
  <r>
    <n v="120"/>
    <n v="747400"/>
    <n v="1"/>
    <s v="1747400.120"/>
    <s v="בית מרחץ עירוני - שעות נוספות"/>
    <m/>
    <m/>
    <n v="117700"/>
    <n v="117700"/>
    <n v="129100"/>
    <e v="#N/A"/>
    <x v="7"/>
    <x v="1"/>
    <x v="38"/>
    <x v="6"/>
    <x v="108"/>
    <x v="15"/>
    <s v="7474"/>
    <s v="מרחצאות"/>
    <m/>
    <s v="1"/>
    <x v="8"/>
    <s v="12"/>
    <s v="תוספות שאינן נכללות בשכר הקובע"/>
    <s v="120"/>
    <e v="#N/A"/>
  </r>
  <r>
    <n v="400"/>
    <n v="747400"/>
    <n v="1"/>
    <s v="1747400.400"/>
    <s v="בית מרחץ עירוני - אחזקה אספקה וציוד"/>
    <m/>
    <m/>
    <n v="198700"/>
    <n v="204700"/>
    <n v="228000"/>
    <e v="#N/A"/>
    <x v="7"/>
    <x v="1"/>
    <x v="38"/>
    <x v="6"/>
    <x v="108"/>
    <x v="15"/>
    <s v="7474"/>
    <s v="מרחצאות"/>
    <m/>
    <s v="4"/>
    <x v="11"/>
    <s v="40"/>
    <e v="#N/A"/>
    <s v="400"/>
    <e v="#N/A"/>
  </r>
  <r>
    <n v="500"/>
    <n v="747400"/>
    <n v="1"/>
    <s v="1747400.500"/>
    <s v="בית מרחץ עירוני - תחבורה ודואר"/>
    <m/>
    <m/>
    <n v="8800"/>
    <n v="9900"/>
    <n v="9000"/>
    <e v="#N/A"/>
    <x v="7"/>
    <x v="1"/>
    <x v="38"/>
    <x v="6"/>
    <x v="108"/>
    <x v="15"/>
    <s v="7474"/>
    <s v="מרחצאות"/>
    <m/>
    <s v="5"/>
    <x v="12"/>
    <s v="50"/>
    <e v="#N/A"/>
    <s v="500"/>
    <e v="#N/A"/>
  </r>
  <r>
    <n v="700"/>
    <n v="747400"/>
    <n v="1"/>
    <s v="1747400.700"/>
    <s v="בית מרחץ עירוני - הוצאות לפעולות"/>
    <m/>
    <m/>
    <n v="218400"/>
    <n v="223800"/>
    <n v="230900"/>
    <e v="#N/A"/>
    <x v="7"/>
    <x v="1"/>
    <x v="38"/>
    <x v="6"/>
    <x v="108"/>
    <x v="15"/>
    <s v="7474"/>
    <s v="מרחצאות"/>
    <m/>
    <s v="7"/>
    <x v="9"/>
    <s v="70"/>
    <e v="#N/A"/>
    <s v="700"/>
    <e v="#N/A"/>
  </r>
  <r>
    <n v="100"/>
    <n v="747200"/>
    <n v="1"/>
    <s v="1747200.100"/>
    <s v="חופים עירוניים - שכר לעובדים קבועים"/>
    <m/>
    <m/>
    <n v="16790100"/>
    <n v="16553100"/>
    <n v="15168400"/>
    <e v="#N/A"/>
    <x v="7"/>
    <x v="1"/>
    <x v="38"/>
    <x v="6"/>
    <x v="108"/>
    <x v="15"/>
    <s v="7472"/>
    <s v="חופי רחצה"/>
    <m/>
    <s v="1"/>
    <x v="8"/>
    <s v="10"/>
    <e v="#N/A"/>
    <s v="100"/>
    <e v="#N/A"/>
  </r>
  <r>
    <n v="120"/>
    <n v="747200"/>
    <n v="1"/>
    <s v="1747200.120"/>
    <s v="חופים עירוניים - שעות נוספות"/>
    <m/>
    <m/>
    <n v="4835900"/>
    <n v="4835900"/>
    <n v="4879900"/>
    <e v="#N/A"/>
    <x v="7"/>
    <x v="1"/>
    <x v="38"/>
    <x v="6"/>
    <x v="108"/>
    <x v="15"/>
    <s v="7472"/>
    <s v="חופי רחצה"/>
    <m/>
    <s v="1"/>
    <x v="8"/>
    <s v="12"/>
    <s v="תוספות שאינן נכללות בשכר הקובע"/>
    <s v="120"/>
    <e v="#N/A"/>
  </r>
  <r>
    <n v="400"/>
    <n v="747200"/>
    <n v="1"/>
    <s v="1747200.400"/>
    <s v="חופים עירוניים - אחזקה אספקה וציוד"/>
    <m/>
    <m/>
    <n v="4895900"/>
    <n v="5130000"/>
    <n v="5385900"/>
    <e v="#N/A"/>
    <x v="7"/>
    <x v="1"/>
    <x v="38"/>
    <x v="6"/>
    <x v="108"/>
    <x v="15"/>
    <s v="7472"/>
    <s v="חופי רחצה"/>
    <m/>
    <s v="4"/>
    <x v="11"/>
    <s v="40"/>
    <e v="#N/A"/>
    <s v="400"/>
    <e v="#N/A"/>
  </r>
  <r>
    <n v="500"/>
    <n v="747200"/>
    <n v="1"/>
    <s v="1747200.500"/>
    <s v="חופים עירוניים - תחבורה ודואר"/>
    <m/>
    <m/>
    <n v="152500"/>
    <n v="152500"/>
    <n v="146600"/>
    <e v="#N/A"/>
    <x v="7"/>
    <x v="1"/>
    <x v="38"/>
    <x v="6"/>
    <x v="108"/>
    <x v="15"/>
    <s v="7472"/>
    <s v="חופי רחצה"/>
    <m/>
    <s v="5"/>
    <x v="12"/>
    <s v="50"/>
    <e v="#N/A"/>
    <s v="500"/>
    <e v="#N/A"/>
  </r>
  <r>
    <n v="500"/>
    <n v="747200"/>
    <n v="1"/>
    <s v="1747200.500"/>
    <s v="חופים עירוניים - הוצאות כלליות"/>
    <m/>
    <m/>
    <n v="2800"/>
    <n v="2800"/>
    <n v="1500"/>
    <e v="#N/A"/>
    <x v="7"/>
    <x v="1"/>
    <x v="38"/>
    <x v="6"/>
    <x v="108"/>
    <x v="15"/>
    <s v="7472"/>
    <s v="חופי רחצה"/>
    <m/>
    <s v="5"/>
    <x v="12"/>
    <s v="50"/>
    <e v="#N/A"/>
    <s v="500"/>
    <e v="#N/A"/>
  </r>
  <r>
    <n v="700"/>
    <n v="747200"/>
    <n v="1"/>
    <s v="1747200.700"/>
    <s v="חופים עירוניים - הוצאות לפעולות"/>
    <m/>
    <m/>
    <n v="2912400"/>
    <n v="2912400"/>
    <n v="2789000"/>
    <e v="#N/A"/>
    <x v="7"/>
    <x v="1"/>
    <x v="38"/>
    <x v="6"/>
    <x v="108"/>
    <x v="15"/>
    <s v="7472"/>
    <s v="חופי רחצה"/>
    <m/>
    <s v="7"/>
    <x v="9"/>
    <s v="70"/>
    <e v="#N/A"/>
    <s v="700"/>
    <e v="#N/A"/>
  </r>
  <r>
    <n v="100"/>
    <n v="781000"/>
    <n v="1"/>
    <s v="1781000.100"/>
    <s v="אגף פיקוח כללי - שכר לעובדים קבועים"/>
    <m/>
    <m/>
    <n v="11638300"/>
    <n v="11202300"/>
    <n v="10613500"/>
    <e v="#N/A"/>
    <x v="7"/>
    <x v="1"/>
    <x v="29"/>
    <x v="7"/>
    <x v="109"/>
    <x v="16"/>
    <s v="7810"/>
    <e v="#N/A"/>
    <m/>
    <s v="1"/>
    <x v="8"/>
    <s v="10"/>
    <e v="#N/A"/>
    <s v="100"/>
    <e v="#N/A"/>
  </r>
  <r>
    <n v="120"/>
    <n v="781000"/>
    <n v="1"/>
    <s v="1781000.120"/>
    <s v="אגף פיקוח כללי - שעות נוספות"/>
    <m/>
    <m/>
    <n v="1033700"/>
    <n v="1033700"/>
    <n v="1055400"/>
    <n v="341981"/>
    <x v="7"/>
    <x v="1"/>
    <x v="29"/>
    <x v="7"/>
    <x v="109"/>
    <x v="16"/>
    <s v="7810"/>
    <e v="#N/A"/>
    <m/>
    <s v="1"/>
    <x v="8"/>
    <s v="12"/>
    <s v="תוספות שאינן נכללות בשכר הקובע"/>
    <s v="120"/>
    <e v="#N/A"/>
  </r>
  <r>
    <n v="400"/>
    <n v="781000"/>
    <n v="1"/>
    <s v="1781000.400"/>
    <s v="אגף פיקוח כללי - אחזקה אספקה וציוד"/>
    <m/>
    <m/>
    <n v="161300"/>
    <n v="161300"/>
    <n v="83900"/>
    <e v="#N/A"/>
    <x v="7"/>
    <x v="1"/>
    <x v="29"/>
    <x v="7"/>
    <x v="109"/>
    <x v="16"/>
    <s v="7810"/>
    <e v="#N/A"/>
    <m/>
    <s v="4"/>
    <x v="11"/>
    <s v="40"/>
    <e v="#N/A"/>
    <s v="400"/>
    <e v="#N/A"/>
  </r>
  <r>
    <n v="500"/>
    <n v="781000"/>
    <n v="1"/>
    <s v="1781000.500"/>
    <s v="אגף פיקוח כללי - תחבורה ודואר"/>
    <m/>
    <m/>
    <n v="427400"/>
    <n v="427400"/>
    <n v="368300"/>
    <e v="#N/A"/>
    <x v="7"/>
    <x v="1"/>
    <x v="29"/>
    <x v="7"/>
    <x v="109"/>
    <x v="16"/>
    <s v="7810"/>
    <e v="#N/A"/>
    <m/>
    <s v="5"/>
    <x v="12"/>
    <s v="50"/>
    <e v="#N/A"/>
    <s v="500"/>
    <e v="#N/A"/>
  </r>
  <r>
    <n v="500"/>
    <n v="781000"/>
    <n v="1"/>
    <s v="1781000.500"/>
    <s v="אגף פיקוח כללי - הוצאות כלליות"/>
    <m/>
    <m/>
    <n v="2000"/>
    <n v="2000"/>
    <n v="1200"/>
    <e v="#N/A"/>
    <x v="7"/>
    <x v="1"/>
    <x v="29"/>
    <x v="7"/>
    <x v="109"/>
    <x v="16"/>
    <s v="7810"/>
    <e v="#N/A"/>
    <m/>
    <s v="5"/>
    <x v="12"/>
    <s v="50"/>
    <e v="#N/A"/>
    <s v="500"/>
    <e v="#N/A"/>
  </r>
  <r>
    <n v="700"/>
    <n v="781000"/>
    <n v="1"/>
    <s v="1781000.700"/>
    <s v="אגף פיקוח כללי - הוצאות לפעולות"/>
    <m/>
    <m/>
    <n v="172500"/>
    <n v="194900"/>
    <n v="138300"/>
    <e v="#N/A"/>
    <x v="7"/>
    <x v="1"/>
    <x v="29"/>
    <x v="7"/>
    <x v="109"/>
    <x v="16"/>
    <s v="7810"/>
    <e v="#N/A"/>
    <m/>
    <s v="7"/>
    <x v="9"/>
    <s v="70"/>
    <e v="#N/A"/>
    <s v="700"/>
    <e v="#N/A"/>
  </r>
  <r>
    <n v="700"/>
    <n v="781005"/>
    <n v="1"/>
    <s v="1781005.700"/>
    <s v="משתלם מגרש גרוטאות - הוצאות לפעולות"/>
    <m/>
    <m/>
    <n v="20000"/>
    <n v="20000"/>
    <n v="9100"/>
    <e v="#N/A"/>
    <x v="7"/>
    <x v="1"/>
    <x v="29"/>
    <x v="7"/>
    <x v="109"/>
    <x v="16"/>
    <s v="7810"/>
    <e v="#N/A"/>
    <m/>
    <s v="7"/>
    <x v="9"/>
    <s v="70"/>
    <e v="#N/A"/>
    <s v="700"/>
    <e v="#N/A"/>
  </r>
  <r>
    <n v="100"/>
    <n v="781100"/>
    <n v="1"/>
    <s v="1781100.100"/>
    <s v="רשות חניה - שכר לעובדים קבועים"/>
    <m/>
    <m/>
    <n v="7999100"/>
    <n v="7903100"/>
    <n v="7425700"/>
    <e v="#N/A"/>
    <x v="7"/>
    <x v="1"/>
    <x v="29"/>
    <x v="7"/>
    <x v="109"/>
    <x v="16"/>
    <s v="7811"/>
    <e v="#N/A"/>
    <m/>
    <s v="1"/>
    <x v="8"/>
    <s v="10"/>
    <e v="#N/A"/>
    <s v="100"/>
    <e v="#N/A"/>
  </r>
  <r>
    <n v="120"/>
    <n v="781100"/>
    <n v="1"/>
    <s v="1781100.120"/>
    <s v="רשות חניה - שעות נוספות"/>
    <m/>
    <m/>
    <n v="749900"/>
    <n v="749900"/>
    <n v="782600"/>
    <e v="#N/A"/>
    <x v="7"/>
    <x v="1"/>
    <x v="29"/>
    <x v="7"/>
    <x v="109"/>
    <x v="16"/>
    <s v="7811"/>
    <e v="#N/A"/>
    <m/>
    <s v="1"/>
    <x v="8"/>
    <s v="12"/>
    <s v="תוספות שאינן נכללות בשכר הקובע"/>
    <s v="120"/>
    <e v="#N/A"/>
  </r>
  <r>
    <n v="400"/>
    <n v="781100"/>
    <n v="1"/>
    <s v="1781100.400"/>
    <s v="רשות חניה - אחזקה אספקה וציוד"/>
    <m/>
    <m/>
    <n v="262000"/>
    <n v="262000"/>
    <n v="162900"/>
    <e v="#N/A"/>
    <x v="7"/>
    <x v="1"/>
    <x v="29"/>
    <x v="7"/>
    <x v="109"/>
    <x v="16"/>
    <s v="7811"/>
    <e v="#N/A"/>
    <m/>
    <s v="4"/>
    <x v="11"/>
    <s v="40"/>
    <e v="#N/A"/>
    <s v="400"/>
    <e v="#N/A"/>
  </r>
  <r>
    <n v="500"/>
    <n v="781100"/>
    <n v="1"/>
    <s v="1781100.500"/>
    <s v="רשות חניה - תחבורה ודואר"/>
    <m/>
    <m/>
    <n v="982000"/>
    <n v="982000"/>
    <n v="1157700"/>
    <e v="#N/A"/>
    <x v="7"/>
    <x v="1"/>
    <x v="29"/>
    <x v="7"/>
    <x v="109"/>
    <x v="16"/>
    <s v="7811"/>
    <e v="#N/A"/>
    <m/>
    <s v="5"/>
    <x v="12"/>
    <s v="50"/>
    <e v="#N/A"/>
    <s v="500"/>
    <e v="#N/A"/>
  </r>
  <r>
    <n v="500"/>
    <n v="781100"/>
    <n v="1"/>
    <s v="1781100.500"/>
    <s v="רשות חניה - הוצאות כלליות"/>
    <m/>
    <m/>
    <n v="14000"/>
    <n v="14000"/>
    <n v="3700"/>
    <e v="#N/A"/>
    <x v="7"/>
    <x v="1"/>
    <x v="29"/>
    <x v="7"/>
    <x v="109"/>
    <x v="16"/>
    <s v="7811"/>
    <e v="#N/A"/>
    <m/>
    <s v="5"/>
    <x v="12"/>
    <s v="50"/>
    <e v="#N/A"/>
    <s v="500"/>
    <e v="#N/A"/>
  </r>
  <r>
    <n v="700"/>
    <n v="781100"/>
    <n v="1"/>
    <s v="1781100.700"/>
    <s v="רשות חניה - הוצאות לפעולות"/>
    <m/>
    <m/>
    <n v="1086100"/>
    <n v="1155000"/>
    <n v="1080400"/>
    <e v="#N/A"/>
    <x v="7"/>
    <x v="1"/>
    <x v="29"/>
    <x v="7"/>
    <x v="109"/>
    <x v="16"/>
    <s v="7811"/>
    <e v="#N/A"/>
    <m/>
    <s v="7"/>
    <x v="9"/>
    <s v="70"/>
    <e v="#N/A"/>
    <s v="700"/>
    <e v="#N/A"/>
  </r>
  <r>
    <n v="100"/>
    <n v="721000"/>
    <n v="1"/>
    <s v="1721000.100"/>
    <s v="מחלקת בטחון - שכר לעובדים קבועים"/>
    <m/>
    <m/>
    <n v="1104100"/>
    <n v="1092100"/>
    <n v="1109400"/>
    <e v="#N/A"/>
    <x v="7"/>
    <x v="1"/>
    <x v="31"/>
    <x v="4"/>
    <x v="110"/>
    <x v="72"/>
    <s v="7210"/>
    <e v="#N/A"/>
    <m/>
    <s v="1"/>
    <x v="8"/>
    <s v="10"/>
    <e v="#N/A"/>
    <s v="100"/>
    <e v="#N/A"/>
  </r>
  <r>
    <n v="120"/>
    <n v="721000"/>
    <n v="1"/>
    <s v="1721000.120"/>
    <s v="מחלקת בטחון - שעות נוספות"/>
    <m/>
    <m/>
    <n v="6900"/>
    <n v="6900"/>
    <n v="9400"/>
    <n v="112947"/>
    <x v="7"/>
    <x v="1"/>
    <x v="31"/>
    <x v="4"/>
    <x v="110"/>
    <x v="72"/>
    <s v="7210"/>
    <e v="#N/A"/>
    <m/>
    <s v="1"/>
    <x v="8"/>
    <s v="12"/>
    <s v="תוספות שאינן נכללות בשכר הקובע"/>
    <s v="120"/>
    <e v="#N/A"/>
  </r>
  <r>
    <n v="400"/>
    <n v="721000"/>
    <n v="1"/>
    <s v="1721000.400"/>
    <s v="מחלקת בטחון - אחזקה אספקה וציוד"/>
    <m/>
    <m/>
    <n v="154500"/>
    <n v="154500"/>
    <n v="173700"/>
    <e v="#N/A"/>
    <x v="7"/>
    <x v="1"/>
    <x v="31"/>
    <x v="4"/>
    <x v="110"/>
    <x v="72"/>
    <s v="7210"/>
    <e v="#N/A"/>
    <m/>
    <s v="4"/>
    <x v="11"/>
    <s v="40"/>
    <e v="#N/A"/>
    <s v="400"/>
    <e v="#N/A"/>
  </r>
  <r>
    <n v="500"/>
    <n v="721000"/>
    <n v="1"/>
    <s v="1721000.500"/>
    <s v="מחלקת בטחון - תחבורה ודואר"/>
    <m/>
    <m/>
    <n v="60500"/>
    <n v="64500"/>
    <n v="68100"/>
    <e v="#N/A"/>
    <x v="7"/>
    <x v="1"/>
    <x v="31"/>
    <x v="4"/>
    <x v="110"/>
    <x v="72"/>
    <s v="7210"/>
    <e v="#N/A"/>
    <m/>
    <s v="5"/>
    <x v="12"/>
    <s v="50"/>
    <e v="#N/A"/>
    <s v="500"/>
    <e v="#N/A"/>
  </r>
  <r>
    <n v="500"/>
    <n v="721000"/>
    <n v="1"/>
    <s v="1721000.500"/>
    <s v="מחלקת בטחון - הוצאות כלליות"/>
    <m/>
    <m/>
    <n v="3500"/>
    <n v="3500"/>
    <n v="2500"/>
    <e v="#N/A"/>
    <x v="7"/>
    <x v="1"/>
    <x v="31"/>
    <x v="4"/>
    <x v="110"/>
    <x v="72"/>
    <s v="7210"/>
    <e v="#N/A"/>
    <m/>
    <s v="5"/>
    <x v="12"/>
    <s v="50"/>
    <e v="#N/A"/>
    <s v="500"/>
    <e v="#N/A"/>
  </r>
  <r>
    <n v="700"/>
    <n v="721000"/>
    <n v="1"/>
    <s v="1721000.700"/>
    <s v="מחלקת בטחון - הוצאות לפעולות"/>
    <m/>
    <m/>
    <n v="35800"/>
    <n v="39300"/>
    <n v="33600"/>
    <e v="#N/A"/>
    <x v="7"/>
    <x v="1"/>
    <x v="31"/>
    <x v="4"/>
    <x v="110"/>
    <x v="72"/>
    <s v="7210"/>
    <e v="#N/A"/>
    <m/>
    <s v="7"/>
    <x v="9"/>
    <s v="70"/>
    <e v="#N/A"/>
    <s v="700"/>
    <e v="#N/A"/>
  </r>
  <r>
    <n v="100"/>
    <n v="722000"/>
    <n v="1"/>
    <s v="1722000.100"/>
    <s v="אבטחה בשכונות - שכר לעובדים קבועים"/>
    <m/>
    <m/>
    <n v="2790300"/>
    <n v="2755300"/>
    <n v="2473100"/>
    <e v="#N/A"/>
    <x v="7"/>
    <x v="1"/>
    <x v="31"/>
    <x v="4"/>
    <x v="111"/>
    <x v="6"/>
    <s v="7220"/>
    <e v="#N/A"/>
    <m/>
    <s v="1"/>
    <x v="8"/>
    <s v="10"/>
    <e v="#N/A"/>
    <s v="100"/>
    <e v="#N/A"/>
  </r>
  <r>
    <n v="120"/>
    <n v="722000"/>
    <n v="1"/>
    <s v="1722000.120"/>
    <s v="אבטחה בשכונות - שעות נוספות"/>
    <m/>
    <m/>
    <n v="445700"/>
    <n v="445700"/>
    <n v="567800"/>
    <e v="#N/A"/>
    <x v="7"/>
    <x v="1"/>
    <x v="31"/>
    <x v="4"/>
    <x v="111"/>
    <x v="6"/>
    <s v="7220"/>
    <e v="#N/A"/>
    <m/>
    <s v="1"/>
    <x v="8"/>
    <s v="12"/>
    <s v="תוספות שאינן נכללות בשכר הקובע"/>
    <s v="120"/>
    <e v="#N/A"/>
  </r>
  <r>
    <n v="700"/>
    <n v="722000"/>
    <n v="1"/>
    <s v="1722000.700"/>
    <s v="אבטחה בשכונות - הוצאות לפעולות"/>
    <m/>
    <m/>
    <n v="777200"/>
    <n v="800000"/>
    <n v="691400"/>
    <e v="#N/A"/>
    <x v="7"/>
    <x v="1"/>
    <x v="31"/>
    <x v="4"/>
    <x v="111"/>
    <x v="6"/>
    <s v="7220"/>
    <e v="#N/A"/>
    <m/>
    <s v="7"/>
    <x v="9"/>
    <s v="70"/>
    <e v="#N/A"/>
    <s v="700"/>
    <e v="#N/A"/>
  </r>
  <r>
    <n v="100"/>
    <n v="723000"/>
    <n v="1"/>
    <s v="1723000.100"/>
    <s v="הג&quot;א - שכר לעובדים קבועים"/>
    <m/>
    <m/>
    <n v="2362200"/>
    <n v="2335200"/>
    <n v="2810700"/>
    <m/>
    <x v="7"/>
    <x v="1"/>
    <x v="31"/>
    <x v="4"/>
    <x v="112"/>
    <x v="73"/>
    <s v="7230"/>
    <e v="#N/A"/>
    <m/>
    <s v="1"/>
    <x v="8"/>
    <s v="10"/>
    <e v="#N/A"/>
    <s v="100"/>
    <e v="#N/A"/>
  </r>
  <r>
    <n v="120"/>
    <n v="723000"/>
    <n v="1"/>
    <s v="1723000.120"/>
    <s v="הג&quot;א - שעות נוספות"/>
    <m/>
    <m/>
    <n v="120800"/>
    <n v="120800"/>
    <n v="124600"/>
    <e v="#N/A"/>
    <x v="7"/>
    <x v="1"/>
    <x v="31"/>
    <x v="4"/>
    <x v="112"/>
    <x v="73"/>
    <s v="7230"/>
    <e v="#N/A"/>
    <m/>
    <s v="1"/>
    <x v="8"/>
    <s v="12"/>
    <s v="תוספות שאינן נכללות בשכר הקובע"/>
    <s v="120"/>
    <e v="#N/A"/>
  </r>
  <r>
    <n v="400"/>
    <n v="723000"/>
    <n v="1"/>
    <s v="1723000.400"/>
    <s v="הג&quot;א - אחזקה אספקה וציוד"/>
    <m/>
    <m/>
    <n v="552300"/>
    <n v="562300"/>
    <n v="729500"/>
    <e v="#N/A"/>
    <x v="7"/>
    <x v="1"/>
    <x v="31"/>
    <x v="4"/>
    <x v="112"/>
    <x v="73"/>
    <s v="7230"/>
    <e v="#N/A"/>
    <m/>
    <s v="4"/>
    <x v="11"/>
    <s v="40"/>
    <e v="#N/A"/>
    <s v="400"/>
    <e v="#N/A"/>
  </r>
  <r>
    <n v="500"/>
    <n v="723000"/>
    <n v="1"/>
    <s v="1723000.500"/>
    <s v="הג&quot;א - תחבורה ודואר"/>
    <m/>
    <m/>
    <n v="20000"/>
    <n v="20000"/>
    <n v="15200"/>
    <e v="#N/A"/>
    <x v="7"/>
    <x v="1"/>
    <x v="31"/>
    <x v="4"/>
    <x v="112"/>
    <x v="73"/>
    <s v="7230"/>
    <e v="#N/A"/>
    <m/>
    <s v="5"/>
    <x v="12"/>
    <s v="50"/>
    <e v="#N/A"/>
    <s v="500"/>
    <e v="#N/A"/>
  </r>
  <r>
    <n v="500"/>
    <n v="723000"/>
    <n v="1"/>
    <s v="1723000.500"/>
    <s v="הג&quot;א - הוצאות כלליות"/>
    <m/>
    <m/>
    <n v="63300"/>
    <n v="68300"/>
    <n v="0"/>
    <e v="#N/A"/>
    <x v="7"/>
    <x v="1"/>
    <x v="31"/>
    <x v="4"/>
    <x v="112"/>
    <x v="73"/>
    <s v="7230"/>
    <e v="#N/A"/>
    <m/>
    <s v="5"/>
    <x v="12"/>
    <s v="50"/>
    <e v="#N/A"/>
    <s v="500"/>
    <e v="#N/A"/>
  </r>
  <r>
    <n v="700"/>
    <n v="723000"/>
    <n v="1"/>
    <s v="1723000.700"/>
    <s v="הג&quot;א - הוצאות לפעולות"/>
    <m/>
    <m/>
    <n v="27400"/>
    <n v="31900"/>
    <n v="12000"/>
    <e v="#N/A"/>
    <x v="7"/>
    <x v="1"/>
    <x v="31"/>
    <x v="4"/>
    <x v="112"/>
    <x v="73"/>
    <s v="7230"/>
    <e v="#N/A"/>
    <m/>
    <s v="7"/>
    <x v="9"/>
    <s v="70"/>
    <e v="#N/A"/>
    <s v="700"/>
    <e v="#N/A"/>
  </r>
  <r>
    <n v="800"/>
    <n v="723500"/>
    <n v="1"/>
    <s v="1723500.800"/>
    <s v="פעולות הג&quot;א ארציות - השתתפויות תמיכות ותרומות"/>
    <m/>
    <m/>
    <n v="1710700"/>
    <n v="1761000"/>
    <n v="1832800"/>
    <e v="#N/A"/>
    <x v="7"/>
    <x v="1"/>
    <x v="31"/>
    <x v="4"/>
    <x v="112"/>
    <x v="73"/>
    <s v="7235"/>
    <e v="#N/A"/>
    <m/>
    <s v="8"/>
    <x v="13"/>
    <s v="80"/>
    <e v="#N/A"/>
    <s v="800"/>
    <e v="#N/A"/>
  </r>
  <r>
    <n v="100"/>
    <n v="722100"/>
    <n v="1"/>
    <s v="1722100.100"/>
    <s v="משמר האזרחי - שכר לעובדים קבועים"/>
    <m/>
    <m/>
    <n v="345800"/>
    <n v="349600"/>
    <n v="340900"/>
    <e v="#N/A"/>
    <x v="7"/>
    <x v="1"/>
    <x v="31"/>
    <x v="4"/>
    <x v="111"/>
    <x v="6"/>
    <s v="7221"/>
    <s v="משמר אזרחי"/>
    <m/>
    <s v="1"/>
    <x v="8"/>
    <s v="10"/>
    <e v="#N/A"/>
    <s v="100"/>
    <e v="#N/A"/>
  </r>
  <r>
    <n v="120"/>
    <n v="722100"/>
    <n v="1"/>
    <s v="1722100.120"/>
    <s v="משמר האזרחי - שעות נוספות"/>
    <m/>
    <m/>
    <n v="19200"/>
    <n v="19200"/>
    <n v="18100"/>
    <e v="#N/A"/>
    <x v="7"/>
    <x v="1"/>
    <x v="31"/>
    <x v="4"/>
    <x v="111"/>
    <x v="6"/>
    <s v="7221"/>
    <s v="משמר אזרחי"/>
    <m/>
    <s v="1"/>
    <x v="8"/>
    <s v="12"/>
    <s v="תוספות שאינן נכללות בשכר הקובע"/>
    <s v="120"/>
    <e v="#N/A"/>
  </r>
  <r>
    <n v="700"/>
    <n v="722100"/>
    <n v="1"/>
    <s v="1722100.700"/>
    <s v="משמר האזרחי - הוצאות לפעולות"/>
    <m/>
    <m/>
    <n v="462400"/>
    <n v="476000"/>
    <n v="469100"/>
    <m/>
    <x v="7"/>
    <x v="1"/>
    <x v="31"/>
    <x v="4"/>
    <x v="111"/>
    <x v="6"/>
    <s v="7221"/>
    <s v="משמר אזרחי"/>
    <m/>
    <s v="7"/>
    <x v="9"/>
    <s v="70"/>
    <e v="#N/A"/>
    <s v="700"/>
    <e v="#N/A"/>
  </r>
  <r>
    <n v="100"/>
    <n v="725000"/>
    <n v="1"/>
    <s v="1725000.100"/>
    <s v="בטיחות - שכר לעובדים קבועים"/>
    <m/>
    <m/>
    <n v="676900"/>
    <n v="668900"/>
    <n v="789100"/>
    <m/>
    <x v="7"/>
    <x v="1"/>
    <x v="31"/>
    <x v="4"/>
    <x v="113"/>
    <x v="74"/>
    <s v="7250"/>
    <e v="#N/A"/>
    <m/>
    <s v="1"/>
    <x v="8"/>
    <s v="10"/>
    <e v="#N/A"/>
    <s v="100"/>
    <e v="#N/A"/>
  </r>
  <r>
    <n v="120"/>
    <n v="725000"/>
    <n v="1"/>
    <s v="1725000.120"/>
    <s v="בטיחות - שעות נוספות"/>
    <m/>
    <m/>
    <n v="75100"/>
    <n v="75100"/>
    <n v="59900"/>
    <e v="#N/A"/>
    <x v="7"/>
    <x v="1"/>
    <x v="31"/>
    <x v="4"/>
    <x v="113"/>
    <x v="74"/>
    <s v="7250"/>
    <e v="#N/A"/>
    <m/>
    <s v="1"/>
    <x v="8"/>
    <s v="12"/>
    <s v="תוספות שאינן נכללות בשכר הקובע"/>
    <s v="120"/>
    <e v="#N/A"/>
  </r>
  <r>
    <n v="400"/>
    <n v="725000"/>
    <n v="1"/>
    <s v="1725000.400"/>
    <s v="בטיחות - אחזקה אספקה וציוד"/>
    <m/>
    <m/>
    <n v="3300"/>
    <n v="3900"/>
    <n v="3600"/>
    <e v="#N/A"/>
    <x v="7"/>
    <x v="1"/>
    <x v="31"/>
    <x v="4"/>
    <x v="113"/>
    <x v="74"/>
    <s v="7250"/>
    <e v="#N/A"/>
    <m/>
    <s v="4"/>
    <x v="11"/>
    <s v="40"/>
    <e v="#N/A"/>
    <s v="400"/>
    <e v="#N/A"/>
  </r>
  <r>
    <n v="500"/>
    <n v="725000"/>
    <n v="1"/>
    <s v="1725000.500"/>
    <s v="בטיחות - תחבורה ודואר"/>
    <m/>
    <m/>
    <n v="3400"/>
    <n v="3400"/>
    <n v="2600"/>
    <e v="#N/A"/>
    <x v="7"/>
    <x v="1"/>
    <x v="31"/>
    <x v="4"/>
    <x v="113"/>
    <x v="74"/>
    <s v="7250"/>
    <e v="#N/A"/>
    <m/>
    <s v="5"/>
    <x v="12"/>
    <s v="50"/>
    <e v="#N/A"/>
    <s v="500"/>
    <e v="#N/A"/>
  </r>
  <r>
    <n v="700"/>
    <n v="725000"/>
    <n v="1"/>
    <s v="1725000.700"/>
    <s v="בטיחות - הוצאות לפעולות"/>
    <m/>
    <m/>
    <n v="12500"/>
    <n v="12500"/>
    <n v="9900"/>
    <e v="#N/A"/>
    <x v="7"/>
    <x v="1"/>
    <x v="31"/>
    <x v="4"/>
    <x v="113"/>
    <x v="74"/>
    <s v="7250"/>
    <e v="#N/A"/>
    <m/>
    <s v="7"/>
    <x v="9"/>
    <s v="70"/>
    <e v="#N/A"/>
    <s v="700"/>
    <e v="#N/A"/>
  </r>
  <r>
    <n v="100"/>
    <n v="727000"/>
    <n v="1"/>
    <s v="1727000.100"/>
    <s v="בטחון מוסדות חינוך - שכר לעובדים קבועים"/>
    <m/>
    <m/>
    <n v="1720800"/>
    <n v="1699800"/>
    <n v="1644600"/>
    <e v="#N/A"/>
    <x v="7"/>
    <x v="1"/>
    <x v="31"/>
    <x v="4"/>
    <x v="88"/>
    <x v="7"/>
    <s v="7270"/>
    <e v="#N/A"/>
    <m/>
    <s v="1"/>
    <x v="8"/>
    <s v="10"/>
    <e v="#N/A"/>
    <s v="100"/>
    <e v="#N/A"/>
  </r>
  <r>
    <n v="120"/>
    <n v="727000"/>
    <n v="1"/>
    <s v="1727000.120"/>
    <s v="בטחון מוסדות חינוך - שעות נוספות"/>
    <m/>
    <m/>
    <n v="155200"/>
    <n v="155200"/>
    <n v="146700"/>
    <e v="#N/A"/>
    <x v="7"/>
    <x v="1"/>
    <x v="31"/>
    <x v="4"/>
    <x v="88"/>
    <x v="7"/>
    <s v="7270"/>
    <e v="#N/A"/>
    <m/>
    <s v="1"/>
    <x v="8"/>
    <s v="12"/>
    <s v="תוספות שאינן נכללות בשכר הקובע"/>
    <s v="120"/>
    <e v="#N/A"/>
  </r>
  <r>
    <n v="500"/>
    <n v="727000"/>
    <n v="1"/>
    <s v="1727000.500"/>
    <s v="בטחון מוסדות חינוך - תחבורה ודואר"/>
    <m/>
    <m/>
    <n v="23500"/>
    <n v="24000"/>
    <n v="20400"/>
    <e v="#N/A"/>
    <x v="7"/>
    <x v="1"/>
    <x v="31"/>
    <x v="4"/>
    <x v="88"/>
    <x v="7"/>
    <s v="7270"/>
    <e v="#N/A"/>
    <m/>
    <s v="5"/>
    <x v="12"/>
    <s v="50"/>
    <e v="#N/A"/>
    <s v="500"/>
    <e v="#N/A"/>
  </r>
  <r>
    <n v="700"/>
    <n v="727000"/>
    <n v="1"/>
    <s v="1727000.700"/>
    <s v="בטחון מוסדות חינוך - הוצאות לפעולות"/>
    <m/>
    <m/>
    <n v="6300"/>
    <n v="6700"/>
    <n v="9300"/>
    <e v="#N/A"/>
    <x v="7"/>
    <x v="1"/>
    <x v="31"/>
    <x v="4"/>
    <x v="88"/>
    <x v="7"/>
    <s v="7270"/>
    <e v="#N/A"/>
    <m/>
    <s v="7"/>
    <x v="9"/>
    <s v="70"/>
    <e v="#N/A"/>
    <s v="700"/>
    <e v="#N/A"/>
  </r>
  <r>
    <n v="100"/>
    <n v="938100"/>
    <n v="1"/>
    <s v="1938100.100"/>
    <s v="יחידה לבטחון בתים וחניה - שכר לעובדים קבועים"/>
    <m/>
    <m/>
    <n v="1984900"/>
    <n v="1952100"/>
    <n v="1994800"/>
    <e v="#N/A"/>
    <x v="8"/>
    <x v="3"/>
    <x v="23"/>
    <x v="12"/>
    <x v="74"/>
    <x v="57"/>
    <s v="9381"/>
    <e v="#N/A"/>
    <m/>
    <s v="1"/>
    <x v="8"/>
    <s v="10"/>
    <e v="#N/A"/>
    <s v="100"/>
    <e v="#N/A"/>
  </r>
  <r>
    <n v="120"/>
    <n v="938100"/>
    <n v="1"/>
    <s v="1938100.120"/>
    <s v="יחידה לבטחון בתים וחניה - שעות נוספות"/>
    <m/>
    <m/>
    <n v="308100"/>
    <n v="308100"/>
    <n v="401400"/>
    <e v="#N/A"/>
    <x v="8"/>
    <x v="3"/>
    <x v="23"/>
    <x v="12"/>
    <x v="74"/>
    <x v="57"/>
    <s v="9381"/>
    <e v="#N/A"/>
    <m/>
    <s v="1"/>
    <x v="8"/>
    <s v="12"/>
    <s v="תוספות שאינן נכללות בשכר הקובע"/>
    <s v="120"/>
    <e v="#N/A"/>
  </r>
  <r>
    <n v="700"/>
    <n v="938100"/>
    <n v="1"/>
    <s v="1938100.700"/>
    <s v="יחידה לבטחון בתים וחניה - הוצאות לפעולות"/>
    <m/>
    <m/>
    <n v="24000"/>
    <n v="25000"/>
    <n v="11700"/>
    <e v="#N/A"/>
    <x v="8"/>
    <x v="3"/>
    <x v="23"/>
    <x v="12"/>
    <x v="74"/>
    <x v="57"/>
    <s v="9381"/>
    <e v="#N/A"/>
    <m/>
    <s v="7"/>
    <x v="9"/>
    <s v="70"/>
    <e v="#N/A"/>
    <s v="700"/>
    <e v="#N/A"/>
  </r>
  <r>
    <n v="100"/>
    <n v="811100"/>
    <n v="1"/>
    <s v="1811100.100"/>
    <s v="לשכת ראש מערכת חינוך ותרבות - שכר לעובדים קבועים"/>
    <m/>
    <m/>
    <n v="1930700"/>
    <n v="1779700"/>
    <n v="1416900"/>
    <e v="#N/A"/>
    <x v="5"/>
    <x v="2"/>
    <x v="34"/>
    <x v="8"/>
    <x v="114"/>
    <x v="17"/>
    <s v="8111"/>
    <e v="#N/A"/>
    <m/>
    <s v="1"/>
    <x v="8"/>
    <s v="10"/>
    <e v="#N/A"/>
    <s v="100"/>
    <e v="#N/A"/>
  </r>
  <r>
    <n v="120"/>
    <n v="811100"/>
    <n v="1"/>
    <s v="1811100.120"/>
    <s v="לשכת ראש מערכת חינוך ותרבות - שעות נוספות"/>
    <m/>
    <m/>
    <n v="71300"/>
    <n v="71300"/>
    <n v="78700"/>
    <e v="#N/A"/>
    <x v="5"/>
    <x v="2"/>
    <x v="34"/>
    <x v="8"/>
    <x v="114"/>
    <x v="17"/>
    <s v="8111"/>
    <e v="#N/A"/>
    <m/>
    <s v="1"/>
    <x v="8"/>
    <s v="12"/>
    <s v="תוספות שאינן נכללות בשכר הקובע"/>
    <s v="120"/>
    <e v="#N/A"/>
  </r>
  <r>
    <n v="400"/>
    <n v="811100"/>
    <n v="1"/>
    <s v="1811100.400"/>
    <s v="לשכת ראש מערכת חינוך ותרבות - אחזקה אספקה וציוד"/>
    <m/>
    <m/>
    <n v="32300"/>
    <n v="32300"/>
    <n v="32300"/>
    <e v="#N/A"/>
    <x v="5"/>
    <x v="2"/>
    <x v="34"/>
    <x v="8"/>
    <x v="114"/>
    <x v="17"/>
    <s v="8111"/>
    <e v="#N/A"/>
    <m/>
    <s v="4"/>
    <x v="11"/>
    <s v="40"/>
    <e v="#N/A"/>
    <s v="400"/>
    <e v="#N/A"/>
  </r>
  <r>
    <n v="500"/>
    <n v="811100"/>
    <n v="1"/>
    <s v="1811100.500"/>
    <s v="לשכת ראש מערכת חינוך ותרבות - תחבורה ודואר"/>
    <m/>
    <m/>
    <n v="65500"/>
    <n v="69000"/>
    <n v="37900"/>
    <e v="#N/A"/>
    <x v="5"/>
    <x v="2"/>
    <x v="34"/>
    <x v="8"/>
    <x v="114"/>
    <x v="17"/>
    <s v="8111"/>
    <e v="#N/A"/>
    <m/>
    <s v="5"/>
    <x v="12"/>
    <s v="50"/>
    <e v="#N/A"/>
    <s v="500"/>
    <e v="#N/A"/>
  </r>
  <r>
    <n v="500"/>
    <n v="811100"/>
    <n v="1"/>
    <s v="1811100.500"/>
    <s v="לשכת ראש מערכת חינוך ותרבות - הוצאות כלליות"/>
    <m/>
    <m/>
    <n v="49700"/>
    <n v="49700"/>
    <n v="39100"/>
    <e v="#N/A"/>
    <x v="5"/>
    <x v="2"/>
    <x v="34"/>
    <x v="8"/>
    <x v="114"/>
    <x v="17"/>
    <s v="8111"/>
    <e v="#N/A"/>
    <m/>
    <s v="5"/>
    <x v="12"/>
    <s v="50"/>
    <e v="#N/A"/>
    <s v="500"/>
    <e v="#N/A"/>
  </r>
  <r>
    <n v="700"/>
    <n v="811100"/>
    <n v="1"/>
    <s v="1811100.700"/>
    <s v="לשכת ראש מערכת חינוך ותרבות - הוצאות לפעולות"/>
    <m/>
    <m/>
    <n v="91600"/>
    <n v="95100"/>
    <n v="85700"/>
    <e v="#N/A"/>
    <x v="5"/>
    <x v="2"/>
    <x v="34"/>
    <x v="8"/>
    <x v="114"/>
    <x v="17"/>
    <s v="8111"/>
    <e v="#N/A"/>
    <m/>
    <s v="7"/>
    <x v="9"/>
    <s v="70"/>
    <e v="#N/A"/>
    <s v="700"/>
    <e v="#N/A"/>
  </r>
  <r>
    <n v="100"/>
    <n v="817311"/>
    <n v="1"/>
    <s v="1817311.100"/>
    <s v="היחידה למו&quot;פ הערכה ובקרה - שכר לעובדים קבועים"/>
    <m/>
    <m/>
    <n v="131000"/>
    <n v="130000"/>
    <n v="115100"/>
    <e v="#N/A"/>
    <x v="5"/>
    <x v="2"/>
    <x v="34"/>
    <x v="8"/>
    <x v="115"/>
    <x v="20"/>
    <s v="8173"/>
    <s v="שרות פסיכולוגי חינוכי"/>
    <m/>
    <s v="1"/>
    <x v="8"/>
    <s v="10"/>
    <e v="#N/A"/>
    <s v="100"/>
    <e v="#N/A"/>
  </r>
  <r>
    <n v="100"/>
    <n v="811130"/>
    <n v="1"/>
    <s v="1811130.100"/>
    <s v="מרכז רישום - שכר לעובדים קבועים"/>
    <m/>
    <m/>
    <n v="1617600"/>
    <n v="1599600"/>
    <n v="1558800"/>
    <e v="#N/A"/>
    <x v="5"/>
    <x v="2"/>
    <x v="34"/>
    <x v="8"/>
    <x v="114"/>
    <x v="17"/>
    <s v="8111"/>
    <e v="#N/A"/>
    <m/>
    <s v="1"/>
    <x v="8"/>
    <s v="10"/>
    <e v="#N/A"/>
    <s v="100"/>
    <e v="#N/A"/>
  </r>
  <r>
    <n v="120"/>
    <n v="811130"/>
    <n v="1"/>
    <s v="1811130.120"/>
    <s v="מרכז רישום - שעות נוספות"/>
    <m/>
    <m/>
    <n v="23400"/>
    <n v="23400"/>
    <n v="23100"/>
    <e v="#N/A"/>
    <x v="5"/>
    <x v="2"/>
    <x v="34"/>
    <x v="8"/>
    <x v="114"/>
    <x v="17"/>
    <s v="8111"/>
    <e v="#N/A"/>
    <m/>
    <s v="1"/>
    <x v="8"/>
    <s v="12"/>
    <s v="תוספות שאינן נכללות בשכר הקובע"/>
    <s v="120"/>
    <e v="#N/A"/>
  </r>
  <r>
    <n v="700"/>
    <n v="811130"/>
    <n v="1"/>
    <s v="1811130.700"/>
    <s v="מרכז רישום - הוצאות לפעולות"/>
    <m/>
    <m/>
    <n v="184600"/>
    <n v="190000"/>
    <n v="188400"/>
    <e v="#N/A"/>
    <x v="5"/>
    <x v="2"/>
    <x v="34"/>
    <x v="8"/>
    <x v="114"/>
    <x v="17"/>
    <s v="8111"/>
    <e v="#N/A"/>
    <m/>
    <s v="7"/>
    <x v="9"/>
    <s v="70"/>
    <e v="#N/A"/>
    <s v="700"/>
    <e v="#N/A"/>
  </r>
  <r>
    <n v="100"/>
    <n v="811006"/>
    <n v="1"/>
    <s v="1811006.100"/>
    <s v="המחלקה לתשתיות מיחשוב - שכר לעובדים קבועים"/>
    <m/>
    <m/>
    <n v="2948200"/>
    <n v="2915200"/>
    <n v="3302300"/>
    <e v="#N/A"/>
    <x v="5"/>
    <x v="2"/>
    <x v="34"/>
    <x v="8"/>
    <x v="114"/>
    <x v="17"/>
    <s v="8110"/>
    <e v="#N/A"/>
    <m/>
    <s v="1"/>
    <x v="8"/>
    <s v="10"/>
    <e v="#N/A"/>
    <s v="100"/>
    <e v="#N/A"/>
  </r>
  <r>
    <n v="120"/>
    <n v="811006"/>
    <n v="1"/>
    <s v="1811006.120"/>
    <s v="המחלקה לתשתיות מיחשוב - שעות נוספות"/>
    <m/>
    <m/>
    <n v="21800"/>
    <n v="21800"/>
    <n v="30000"/>
    <e v="#N/A"/>
    <x v="5"/>
    <x v="2"/>
    <x v="34"/>
    <x v="8"/>
    <x v="114"/>
    <x v="17"/>
    <s v="8110"/>
    <e v="#N/A"/>
    <m/>
    <s v="1"/>
    <x v="8"/>
    <s v="12"/>
    <s v="תוספות שאינן נכללות בשכר הקובע"/>
    <s v="120"/>
    <e v="#N/A"/>
  </r>
  <r>
    <n v="400"/>
    <n v="811006"/>
    <n v="1"/>
    <s v="1811006.400"/>
    <s v="המחלקה לתשתיות מיחשוב - אחזקה אספקה וציוד"/>
    <m/>
    <m/>
    <n v="7000"/>
    <n v="7000"/>
    <n v="100"/>
    <e v="#N/A"/>
    <x v="5"/>
    <x v="2"/>
    <x v="34"/>
    <x v="8"/>
    <x v="114"/>
    <x v="17"/>
    <s v="8110"/>
    <e v="#N/A"/>
    <m/>
    <s v="4"/>
    <x v="11"/>
    <s v="40"/>
    <e v="#N/A"/>
    <s v="400"/>
    <e v="#N/A"/>
  </r>
  <r>
    <n v="700"/>
    <n v="811006"/>
    <n v="1"/>
    <s v="1811006.700"/>
    <s v="המחלקה לתשתיות מיחשוב - הוצאות לפעולות"/>
    <m/>
    <m/>
    <n v="368900"/>
    <n v="380000"/>
    <n v="304900"/>
    <e v="#N/A"/>
    <x v="5"/>
    <x v="2"/>
    <x v="34"/>
    <x v="8"/>
    <x v="114"/>
    <x v="17"/>
    <s v="8110"/>
    <e v="#N/A"/>
    <m/>
    <s v="7"/>
    <x v="9"/>
    <s v="70"/>
    <e v="#N/A"/>
    <s v="700"/>
    <e v="#N/A"/>
  </r>
  <r>
    <n v="100"/>
    <n v="817310"/>
    <n v="1"/>
    <s v="1817310.100"/>
    <s v="מק&quot;מ ופורטל פדגוגי - שכר לעובדים קבועים"/>
    <m/>
    <m/>
    <n v="1092900"/>
    <n v="1080900"/>
    <n v="1056500"/>
    <e v="#N/A"/>
    <x v="5"/>
    <x v="2"/>
    <x v="34"/>
    <x v="8"/>
    <x v="115"/>
    <x v="20"/>
    <s v="8173"/>
    <s v="שרות פסיכולוגי חינוכי"/>
    <m/>
    <s v="1"/>
    <x v="8"/>
    <s v="10"/>
    <e v="#N/A"/>
    <s v="100"/>
    <e v="#N/A"/>
  </r>
  <r>
    <n v="120"/>
    <n v="817310"/>
    <n v="1"/>
    <s v="1817310.120"/>
    <s v="מק&quot;מ ופורטל פדגוגי - שעות נוספות"/>
    <m/>
    <m/>
    <n v="23100"/>
    <n v="23100"/>
    <n v="27800"/>
    <n v="36203"/>
    <x v="5"/>
    <x v="2"/>
    <x v="34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400"/>
    <n v="817310"/>
    <n v="1"/>
    <s v="1817310.400"/>
    <s v="מק&quot;מ ופורטל פדגוגי - אחזקה אספקה וציוד"/>
    <m/>
    <m/>
    <n v="26800"/>
    <n v="27400"/>
    <n v="31100"/>
    <e v="#N/A"/>
    <x v="5"/>
    <x v="2"/>
    <x v="34"/>
    <x v="8"/>
    <x v="115"/>
    <x v="20"/>
    <s v="8173"/>
    <s v="שרות פסיכולוגי חינוכי"/>
    <m/>
    <s v="4"/>
    <x v="11"/>
    <s v="40"/>
    <e v="#N/A"/>
    <s v="400"/>
    <e v="#N/A"/>
  </r>
  <r>
    <n v="500"/>
    <n v="817310"/>
    <n v="1"/>
    <s v="1817310.500"/>
    <s v="מק&quot;מ ופורטל פדגוגי - תחבורה ודואר"/>
    <m/>
    <m/>
    <n v="53100"/>
    <n v="53100"/>
    <n v="47100"/>
    <e v="#N/A"/>
    <x v="5"/>
    <x v="2"/>
    <x v="34"/>
    <x v="8"/>
    <x v="115"/>
    <x v="20"/>
    <s v="8173"/>
    <s v="שרות פסיכולוגי חינוכי"/>
    <m/>
    <s v="5"/>
    <x v="12"/>
    <s v="50"/>
    <e v="#N/A"/>
    <s v="500"/>
    <e v="#N/A"/>
  </r>
  <r>
    <n v="700"/>
    <n v="817310"/>
    <n v="1"/>
    <s v="1817310.700"/>
    <s v="מק&quot;מ ופורטל פדגוגי - הוצאות לפעולות"/>
    <m/>
    <m/>
    <n v="1129500"/>
    <n v="1164500"/>
    <n v="1117500"/>
    <e v="#N/A"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700"/>
    <n v="811007"/>
    <n v="1"/>
    <s v="1811007.700"/>
    <s v="תוכנית תקשוב לאומית - הוצאות לפעולות"/>
    <m/>
    <m/>
    <n v="670300"/>
    <n v="690000"/>
    <n v="0"/>
    <e v="#N/A"/>
    <x v="5"/>
    <x v="2"/>
    <x v="34"/>
    <x v="8"/>
    <x v="114"/>
    <x v="17"/>
    <s v="8110"/>
    <e v="#N/A"/>
    <m/>
    <s v="7"/>
    <x v="9"/>
    <s v="70"/>
    <e v="#N/A"/>
    <s v="700"/>
    <e v="#N/A"/>
  </r>
  <r>
    <n v="100"/>
    <n v="811001"/>
    <n v="1"/>
    <s v="1811001.100"/>
    <s v="אגף ארגון וכספים - שכר לעובדים קבועים"/>
    <m/>
    <m/>
    <n v="911000"/>
    <n v="901000"/>
    <n v="901500"/>
    <e v="#N/A"/>
    <x v="5"/>
    <x v="2"/>
    <x v="34"/>
    <x v="8"/>
    <x v="114"/>
    <x v="17"/>
    <s v="8110"/>
    <e v="#N/A"/>
    <m/>
    <s v="1"/>
    <x v="8"/>
    <s v="10"/>
    <e v="#N/A"/>
    <s v="100"/>
    <e v="#N/A"/>
  </r>
  <r>
    <n v="120"/>
    <n v="811001"/>
    <n v="1"/>
    <s v="1811001.120"/>
    <s v="אגף ארגון וכספים - שעות נוספות"/>
    <m/>
    <m/>
    <n v="12000"/>
    <n v="12000"/>
    <n v="10400"/>
    <e v="#N/A"/>
    <x v="5"/>
    <x v="2"/>
    <x v="34"/>
    <x v="8"/>
    <x v="114"/>
    <x v="17"/>
    <s v="8110"/>
    <e v="#N/A"/>
    <m/>
    <s v="1"/>
    <x v="8"/>
    <s v="12"/>
    <s v="תוספות שאינן נכללות בשכר הקובע"/>
    <s v="120"/>
    <e v="#N/A"/>
  </r>
  <r>
    <n v="400"/>
    <n v="811001"/>
    <n v="1"/>
    <s v="1811001.400"/>
    <s v="אגף ארגון וכספים - אחזקה אספקה וציוד"/>
    <m/>
    <m/>
    <n v="172000"/>
    <n v="172000"/>
    <n v="214000"/>
    <e v="#N/A"/>
    <x v="5"/>
    <x v="2"/>
    <x v="34"/>
    <x v="8"/>
    <x v="114"/>
    <x v="17"/>
    <s v="8110"/>
    <e v="#N/A"/>
    <m/>
    <s v="4"/>
    <x v="11"/>
    <s v="40"/>
    <e v="#N/A"/>
    <s v="400"/>
    <e v="#N/A"/>
  </r>
  <r>
    <n v="500"/>
    <n v="811001"/>
    <n v="1"/>
    <s v="1811001.500"/>
    <s v="אגף ארגון וכספים - תחבורה ודואר"/>
    <m/>
    <m/>
    <n v="355100"/>
    <n v="365000"/>
    <n v="352500"/>
    <e v="#N/A"/>
    <x v="5"/>
    <x v="2"/>
    <x v="34"/>
    <x v="8"/>
    <x v="114"/>
    <x v="17"/>
    <s v="8110"/>
    <e v="#N/A"/>
    <m/>
    <s v="5"/>
    <x v="12"/>
    <s v="50"/>
    <e v="#N/A"/>
    <s v="500"/>
    <e v="#N/A"/>
  </r>
  <r>
    <n v="500"/>
    <n v="811001"/>
    <n v="1"/>
    <s v="1811001.500"/>
    <s v="אגף ארגון וכספים - הוצאות כלליות"/>
    <m/>
    <m/>
    <n v="3000"/>
    <n v="3000"/>
    <n v="1600"/>
    <e v="#N/A"/>
    <x v="5"/>
    <x v="2"/>
    <x v="34"/>
    <x v="8"/>
    <x v="114"/>
    <x v="17"/>
    <s v="8110"/>
    <e v="#N/A"/>
    <m/>
    <s v="5"/>
    <x v="12"/>
    <s v="50"/>
    <e v="#N/A"/>
    <s v="500"/>
    <e v="#N/A"/>
  </r>
  <r>
    <n v="700"/>
    <n v="811001"/>
    <n v="1"/>
    <s v="1811001.700"/>
    <s v="אגף ארגון וכספים - הוצאות לפעולות"/>
    <m/>
    <m/>
    <n v="486000"/>
    <n v="506000"/>
    <n v="452200"/>
    <e v="#N/A"/>
    <x v="5"/>
    <x v="2"/>
    <x v="34"/>
    <x v="8"/>
    <x v="114"/>
    <x v="17"/>
    <s v="8110"/>
    <e v="#N/A"/>
    <m/>
    <s v="7"/>
    <x v="9"/>
    <s v="70"/>
    <e v="#N/A"/>
    <s v="700"/>
    <e v="#N/A"/>
  </r>
  <r>
    <n v="100"/>
    <n v="811002"/>
    <n v="1"/>
    <s v="1811002.100"/>
    <s v="המחלקה לכח אדם - שכר לעובדים קבועים"/>
    <m/>
    <m/>
    <n v="3423400"/>
    <n v="3384400"/>
    <n v="3028800"/>
    <e v="#N/A"/>
    <x v="5"/>
    <x v="2"/>
    <x v="34"/>
    <x v="8"/>
    <x v="114"/>
    <x v="17"/>
    <s v="8110"/>
    <e v="#N/A"/>
    <m/>
    <s v="1"/>
    <x v="8"/>
    <s v="10"/>
    <e v="#N/A"/>
    <s v="100"/>
    <e v="#N/A"/>
  </r>
  <r>
    <n v="120"/>
    <n v="811002"/>
    <n v="1"/>
    <s v="1811002.120"/>
    <s v="המחלקה לכח אדם - שעות נוספות"/>
    <m/>
    <m/>
    <n v="105600"/>
    <n v="105600"/>
    <n v="155600"/>
    <e v="#N/A"/>
    <x v="5"/>
    <x v="2"/>
    <x v="34"/>
    <x v="8"/>
    <x v="114"/>
    <x v="17"/>
    <s v="8110"/>
    <e v="#N/A"/>
    <m/>
    <s v="1"/>
    <x v="8"/>
    <s v="12"/>
    <s v="תוספות שאינן נכללות בשכר הקובע"/>
    <s v="120"/>
    <e v="#N/A"/>
  </r>
  <r>
    <n v="700"/>
    <n v="811002"/>
    <n v="1"/>
    <s v="1811002.700"/>
    <s v="המחלקה לכח אדם - הוצאות לפעולות"/>
    <m/>
    <m/>
    <n v="32100"/>
    <n v="33000"/>
    <n v="33100"/>
    <e v="#N/A"/>
    <x v="5"/>
    <x v="2"/>
    <x v="34"/>
    <x v="8"/>
    <x v="114"/>
    <x v="17"/>
    <s v="8110"/>
    <e v="#N/A"/>
    <m/>
    <s v="7"/>
    <x v="9"/>
    <s v="70"/>
    <e v="#N/A"/>
    <s v="700"/>
    <e v="#N/A"/>
  </r>
  <r>
    <n v="200"/>
    <n v="813841"/>
    <n v="1"/>
    <s v="1813841.200"/>
    <s v="סייעות ארעי - שכר לעובדים ארעיים"/>
    <m/>
    <m/>
    <n v="8559000"/>
    <n v="8465000"/>
    <n v="5070400"/>
    <m/>
    <x v="5"/>
    <x v="2"/>
    <x v="34"/>
    <x v="8"/>
    <x v="116"/>
    <x v="19"/>
    <s v="8138"/>
    <s v="קייטנות לימודיות וחודש לימוד נוסף"/>
    <m/>
    <s v="2"/>
    <x v="10"/>
    <s v="20"/>
    <e v="#N/A"/>
    <s v="200"/>
    <e v="#N/A"/>
  </r>
  <r>
    <n v="200"/>
    <n v="813842"/>
    <n v="1"/>
    <s v="1813842.200"/>
    <s v="מלווים ארעיים בבתי&quot;ס מיוחדים - שכר לעובדים ארעיים"/>
    <m/>
    <m/>
    <n v="3675000"/>
    <n v="3635000"/>
    <n v="3482100"/>
    <e v="#N/A"/>
    <x v="5"/>
    <x v="2"/>
    <x v="34"/>
    <x v="8"/>
    <x v="116"/>
    <x v="19"/>
    <s v="8138"/>
    <s v="קייטנות לימודיות וחודש לימוד נוסף"/>
    <m/>
    <s v="2"/>
    <x v="10"/>
    <s v="20"/>
    <e v="#N/A"/>
    <s v="200"/>
    <e v="#N/A"/>
  </r>
  <r>
    <n v="100"/>
    <n v="813843"/>
    <n v="1"/>
    <s v="1813843.100"/>
    <s v="סייעות תיקני - שכר לעובדים קבועים"/>
    <m/>
    <m/>
    <n v="32998000"/>
    <n v="32637000"/>
    <n v="29881900"/>
    <e v="#N/A"/>
    <x v="5"/>
    <x v="2"/>
    <x v="34"/>
    <x v="8"/>
    <x v="116"/>
    <x v="19"/>
    <s v="8138"/>
    <s v="קייטנות לימודיות וחודש לימוד נוסף"/>
    <m/>
    <s v="1"/>
    <x v="8"/>
    <s v="10"/>
    <e v="#N/A"/>
    <s v="100"/>
    <e v="#N/A"/>
  </r>
  <r>
    <n v="100"/>
    <n v="813315"/>
    <n v="1"/>
    <s v="1813315.100"/>
    <s v="ליווי תלמידים תיקני - שכר לעובדים קבועים"/>
    <m/>
    <m/>
    <n v="10620800"/>
    <n v="10306800"/>
    <n v="94819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120"/>
    <n v="813315"/>
    <n v="1"/>
    <s v="1813315.120"/>
    <s v="ליווי תלמידים תיקני - שעות נוספות"/>
    <m/>
    <m/>
    <n v="1200"/>
    <n v="1200"/>
    <n v="0"/>
    <e v="#N/A"/>
    <x v="5"/>
    <x v="2"/>
    <x v="34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100"/>
    <n v="813003"/>
    <n v="1"/>
    <s v="1813003.100"/>
    <s v="המחלקה לארגון ולוגיסטיקה - שכר לעובדים קבועים"/>
    <m/>
    <m/>
    <n v="2899200"/>
    <n v="2619200"/>
    <n v="2446200"/>
    <e v="#N/A"/>
    <x v="5"/>
    <x v="2"/>
    <x v="34"/>
    <x v="8"/>
    <x v="116"/>
    <x v="19"/>
    <s v="8130"/>
    <e v="#N/A"/>
    <m/>
    <s v="1"/>
    <x v="8"/>
    <s v="10"/>
    <e v="#N/A"/>
    <s v="100"/>
    <e v="#N/A"/>
  </r>
  <r>
    <n v="120"/>
    <n v="813003"/>
    <n v="1"/>
    <s v="1813003.120"/>
    <s v="המחלקה לארגון ולוגיסטיקה - שעות נוספות"/>
    <m/>
    <m/>
    <n v="93800"/>
    <n v="93800"/>
    <n v="117000"/>
    <e v="#N/A"/>
    <x v="5"/>
    <x v="2"/>
    <x v="34"/>
    <x v="8"/>
    <x v="116"/>
    <x v="19"/>
    <s v="8130"/>
    <e v="#N/A"/>
    <m/>
    <s v="1"/>
    <x v="8"/>
    <s v="12"/>
    <s v="תוספות שאינן נכללות בשכר הקובע"/>
    <s v="120"/>
    <e v="#N/A"/>
  </r>
  <r>
    <n v="400"/>
    <n v="813003"/>
    <n v="1"/>
    <s v="1813003.400"/>
    <s v="המחלקה לארגון ולוגיסטיקה - אחזקה אספקה וציוד"/>
    <m/>
    <m/>
    <n v="102700"/>
    <n v="107000"/>
    <n v="95300"/>
    <e v="#N/A"/>
    <x v="5"/>
    <x v="2"/>
    <x v="34"/>
    <x v="8"/>
    <x v="116"/>
    <x v="19"/>
    <s v="8130"/>
    <e v="#N/A"/>
    <m/>
    <s v="4"/>
    <x v="11"/>
    <s v="40"/>
    <e v="#N/A"/>
    <s v="400"/>
    <e v="#N/A"/>
  </r>
  <r>
    <n v="700"/>
    <n v="813003"/>
    <n v="1"/>
    <s v="1813003.700"/>
    <s v="המחלקה לארגון ולוגיסטיקה - הוצאות לפעולות"/>
    <m/>
    <m/>
    <n v="44000"/>
    <n v="44000"/>
    <n v="34900"/>
    <e v="#N/A"/>
    <x v="5"/>
    <x v="2"/>
    <x v="34"/>
    <x v="8"/>
    <x v="116"/>
    <x v="19"/>
    <s v="8130"/>
    <e v="#N/A"/>
    <m/>
    <s v="7"/>
    <x v="9"/>
    <s v="70"/>
    <e v="#N/A"/>
    <s v="700"/>
    <e v="#N/A"/>
  </r>
  <r>
    <n v="710"/>
    <n v="817800"/>
    <n v="1"/>
    <s v="1817800.710"/>
    <s v="הסעות למוסדות חינוך - תחבורה ודואר"/>
    <m/>
    <m/>
    <n v="22322700"/>
    <n v="22979000"/>
    <n v="21121200"/>
    <n v="3240000"/>
    <x v="5"/>
    <x v="2"/>
    <x v="34"/>
    <x v="8"/>
    <x v="115"/>
    <x v="20"/>
    <s v="8178"/>
    <s v="הסעות ילדים"/>
    <m/>
    <s v="7"/>
    <x v="9"/>
    <s v="71"/>
    <s v="הובלות והסעות קבלניות"/>
    <s v="710"/>
    <e v="#N/A"/>
  </r>
  <r>
    <n v="750"/>
    <n v="817100"/>
    <n v="1"/>
    <s v="1817100.750"/>
    <s v="שמירה במוסדות חינוך - שמירה"/>
    <m/>
    <m/>
    <n v="13580700"/>
    <n v="15480000"/>
    <n v="13078900"/>
    <e v="#N/A"/>
    <x v="5"/>
    <x v="2"/>
    <x v="34"/>
    <x v="8"/>
    <x v="115"/>
    <x v="20"/>
    <s v="8171"/>
    <s v="קב״ט שמירח ובטחון מוסדות חינוך"/>
    <m/>
    <s v="7"/>
    <x v="9"/>
    <s v="75"/>
    <s v="עבודות קבלניות"/>
    <s v="750"/>
    <e v="#N/A"/>
  </r>
  <r>
    <n v="200"/>
    <n v="816910"/>
    <n v="1"/>
    <s v="1816910.200"/>
    <s v="פרויקט שילובים - שכר לעובדים ארעיים"/>
    <m/>
    <m/>
    <n v="880500"/>
    <n v="880500"/>
    <n v="739700"/>
    <e v="#N/A"/>
    <x v="5"/>
    <x v="2"/>
    <x v="34"/>
    <x v="8"/>
    <x v="117"/>
    <x v="75"/>
    <s v="8169"/>
    <e v="#N/A"/>
    <m/>
    <s v="2"/>
    <x v="10"/>
    <s v="20"/>
    <e v="#N/A"/>
    <s v="200"/>
    <e v="#N/A"/>
  </r>
  <r>
    <n v="120"/>
    <n v="816910"/>
    <n v="1"/>
    <s v="1816910.120"/>
    <s v="פרויקט שילובים - שעות נוספות"/>
    <m/>
    <m/>
    <n v="19500"/>
    <n v="19500"/>
    <n v="4700"/>
    <e v="#N/A"/>
    <x v="5"/>
    <x v="2"/>
    <x v="34"/>
    <x v="8"/>
    <x v="117"/>
    <x v="75"/>
    <s v="8169"/>
    <e v="#N/A"/>
    <m/>
    <s v="1"/>
    <x v="8"/>
    <s v="12"/>
    <s v="תוספות שאינן נכללות בשכר הקובע"/>
    <s v="120"/>
    <e v="#N/A"/>
  </r>
  <r>
    <n v="700"/>
    <n v="816910"/>
    <n v="1"/>
    <s v="1816910.700"/>
    <s v="פרויקט שילובים - הוצאות לפעולות"/>
    <m/>
    <m/>
    <n v="1149700"/>
    <n v="1183500"/>
    <n v="743700"/>
    <e v="#N/A"/>
    <x v="5"/>
    <x v="2"/>
    <x v="34"/>
    <x v="8"/>
    <x v="117"/>
    <x v="75"/>
    <s v="8169"/>
    <e v="#N/A"/>
    <m/>
    <s v="7"/>
    <x v="9"/>
    <s v="70"/>
    <e v="#N/A"/>
    <s v="700"/>
    <e v="#N/A"/>
  </r>
  <r>
    <n v="200"/>
    <n v="816920"/>
    <n v="1"/>
    <s v="1816920.200"/>
    <s v="מוקד קליטת עולי אתיופיה - שכר לעובדים ארעיים"/>
    <m/>
    <m/>
    <n v="465000"/>
    <n v="460000"/>
    <n v="455200"/>
    <e v="#N/A"/>
    <x v="5"/>
    <x v="2"/>
    <x v="34"/>
    <x v="8"/>
    <x v="117"/>
    <x v="75"/>
    <s v="8169"/>
    <e v="#N/A"/>
    <m/>
    <s v="2"/>
    <x v="10"/>
    <s v="20"/>
    <e v="#N/A"/>
    <s v="200"/>
    <e v="#N/A"/>
  </r>
  <r>
    <n v="120"/>
    <n v="816920"/>
    <n v="1"/>
    <s v="1816920.120"/>
    <s v="מוקד קליטת עולי אתיופיה - שעות נוספות"/>
    <m/>
    <m/>
    <n v="6000"/>
    <n v="6000"/>
    <n v="30200"/>
    <e v="#N/A"/>
    <x v="5"/>
    <x v="2"/>
    <x v="34"/>
    <x v="8"/>
    <x v="117"/>
    <x v="75"/>
    <s v="8169"/>
    <e v="#N/A"/>
    <m/>
    <s v="1"/>
    <x v="8"/>
    <s v="12"/>
    <s v="תוספות שאינן נכללות בשכר הקובע"/>
    <s v="120"/>
    <e v="#N/A"/>
  </r>
  <r>
    <n v="700"/>
    <n v="816920"/>
    <n v="1"/>
    <s v="1816920.700"/>
    <s v="מוקד קליטת עולי אתיופיה - הוצאות לפעולות"/>
    <m/>
    <m/>
    <n v="240900"/>
    <n v="248000"/>
    <n v="32200"/>
    <e v="#N/A"/>
    <x v="5"/>
    <x v="2"/>
    <x v="34"/>
    <x v="8"/>
    <x v="117"/>
    <x v="75"/>
    <s v="8169"/>
    <e v="#N/A"/>
    <m/>
    <s v="7"/>
    <x v="9"/>
    <s v="70"/>
    <e v="#N/A"/>
    <s v="700"/>
    <e v="#N/A"/>
  </r>
  <r>
    <n v="700"/>
    <n v="816930"/>
    <n v="1"/>
    <s v="1816930.700"/>
    <s v="תוכנית שמידט לנוער בסיכון - הוצאות לפעולות"/>
    <m/>
    <m/>
    <n v="2043700"/>
    <n v="2103800"/>
    <n v="1722400"/>
    <e v="#N/A"/>
    <x v="5"/>
    <x v="2"/>
    <x v="34"/>
    <x v="8"/>
    <x v="117"/>
    <x v="75"/>
    <s v="8169"/>
    <e v="#N/A"/>
    <m/>
    <s v="7"/>
    <x v="9"/>
    <s v="70"/>
    <e v="#N/A"/>
    <s v="700"/>
    <e v="#N/A"/>
  </r>
  <r>
    <n v="700"/>
    <n v="816900"/>
    <n v="1"/>
    <s v="1816900.700"/>
    <s v="פרויקט איכות הסביבה - הוצאות לפעולות"/>
    <m/>
    <m/>
    <n v="388600"/>
    <n v="400000"/>
    <n v="123500"/>
    <e v="#N/A"/>
    <x v="5"/>
    <x v="2"/>
    <x v="34"/>
    <x v="8"/>
    <x v="117"/>
    <x v="75"/>
    <s v="8169"/>
    <e v="#N/A"/>
    <m/>
    <s v="7"/>
    <x v="9"/>
    <s v="70"/>
    <e v="#N/A"/>
    <s v="700"/>
    <e v="#N/A"/>
  </r>
  <r>
    <n v="700"/>
    <n v="811160"/>
    <n v="1"/>
    <s v="1811160.700"/>
    <s v="רצף חינוכי-מל&quot;ל - הוצאות לפעולות"/>
    <m/>
    <m/>
    <n v="1413400"/>
    <n v="1455000"/>
    <n v="1574400"/>
    <e v="#N/A"/>
    <x v="5"/>
    <x v="2"/>
    <x v="34"/>
    <x v="8"/>
    <x v="114"/>
    <x v="17"/>
    <s v="8111"/>
    <e v="#N/A"/>
    <m/>
    <s v="7"/>
    <x v="9"/>
    <s v="70"/>
    <e v="#N/A"/>
    <s v="700"/>
    <e v="#N/A"/>
  </r>
  <r>
    <n v="200"/>
    <n v="817319"/>
    <n v="1"/>
    <s v="1817319.200"/>
    <s v="משתלם מ. קידום מחשבים - שכר לעובדים ארעיים"/>
    <m/>
    <m/>
    <n v="400000"/>
    <n v="400000"/>
    <n v="105700"/>
    <e v="#N/A"/>
    <x v="5"/>
    <x v="2"/>
    <x v="34"/>
    <x v="8"/>
    <x v="115"/>
    <x v="20"/>
    <s v="8173"/>
    <s v="שרות פסיכולוגי חינוכי"/>
    <m/>
    <s v="2"/>
    <x v="10"/>
    <s v="20"/>
    <e v="#N/A"/>
    <s v="200"/>
    <e v="#N/A"/>
  </r>
  <r>
    <n v="500"/>
    <n v="817319"/>
    <n v="1"/>
    <s v="1817319.500"/>
    <s v="משתלם מ. קידום מחשבים - הוצאות כלליות"/>
    <m/>
    <m/>
    <n v="805000"/>
    <n v="805000"/>
    <n v="648600"/>
    <e v="#N/A"/>
    <x v="5"/>
    <x v="2"/>
    <x v="34"/>
    <x v="8"/>
    <x v="115"/>
    <x v="20"/>
    <s v="8173"/>
    <s v="שרות פסיכולוגי חינוכי"/>
    <m/>
    <s v="5"/>
    <x v="12"/>
    <s v="50"/>
    <e v="#N/A"/>
    <s v="500"/>
    <e v="#N/A"/>
  </r>
  <r>
    <n v="100"/>
    <n v="811004"/>
    <n v="1"/>
    <s v="1811004.100"/>
    <s v="המחלקה לחשבונות ותקציבים - שכר לעובדים קבועים"/>
    <m/>
    <m/>
    <n v="2766700"/>
    <n v="2735700"/>
    <n v="2727800"/>
    <e v="#N/A"/>
    <x v="5"/>
    <x v="2"/>
    <x v="34"/>
    <x v="8"/>
    <x v="114"/>
    <x v="17"/>
    <s v="8110"/>
    <e v="#N/A"/>
    <m/>
    <s v="1"/>
    <x v="8"/>
    <s v="10"/>
    <e v="#N/A"/>
    <s v="100"/>
    <e v="#N/A"/>
  </r>
  <r>
    <n v="120"/>
    <n v="811004"/>
    <n v="1"/>
    <s v="1811004.120"/>
    <s v="המחלקה לחשבונות ותקציבים - שעות נוספות"/>
    <m/>
    <m/>
    <n v="22300"/>
    <n v="22300"/>
    <n v="29200"/>
    <e v="#N/A"/>
    <x v="5"/>
    <x v="2"/>
    <x v="34"/>
    <x v="8"/>
    <x v="114"/>
    <x v="17"/>
    <s v="8110"/>
    <e v="#N/A"/>
    <m/>
    <s v="1"/>
    <x v="8"/>
    <s v="12"/>
    <s v="תוספות שאינן נכללות בשכר הקובע"/>
    <s v="120"/>
    <e v="#N/A"/>
  </r>
  <r>
    <n v="700"/>
    <n v="811004"/>
    <n v="1"/>
    <s v="1811004.700"/>
    <s v="המחלקה לחשבונות ותקציבים - הוצאות לפעולות"/>
    <m/>
    <m/>
    <n v="36900"/>
    <n v="38000"/>
    <n v="33700"/>
    <e v="#N/A"/>
    <x v="5"/>
    <x v="2"/>
    <x v="34"/>
    <x v="8"/>
    <x v="114"/>
    <x v="17"/>
    <s v="8110"/>
    <e v="#N/A"/>
    <m/>
    <s v="7"/>
    <x v="9"/>
    <s v="70"/>
    <e v="#N/A"/>
    <s v="700"/>
    <e v="#N/A"/>
  </r>
  <r>
    <n v="700"/>
    <n v="817110"/>
    <n v="1"/>
    <s v="1817110.700"/>
    <s v="שרותים נוספים למוסדות חינוך (אגרת שרותים)‏ - הוצאות לפעולות"/>
    <m/>
    <m/>
    <n v="8290000"/>
    <n v="8440000"/>
    <n v="8998300"/>
    <e v="#N/A"/>
    <x v="5"/>
    <x v="2"/>
    <x v="34"/>
    <x v="8"/>
    <x v="115"/>
    <x v="20"/>
    <s v="8171"/>
    <s v="קב״ט שמירח ובטחון מוסדות חינוך"/>
    <m/>
    <s v="7"/>
    <x v="9"/>
    <s v="70"/>
    <e v="#N/A"/>
    <s v="700"/>
    <e v="#N/A"/>
  </r>
  <r>
    <n v="500"/>
    <n v="815390"/>
    <n v="1"/>
    <s v="1815390.500"/>
    <s v="ילדי חוץ - הוצאות כלליות"/>
    <m/>
    <m/>
    <n v="3400000"/>
    <n v="3500000"/>
    <n v="3204800"/>
    <e v="#N/A"/>
    <x v="5"/>
    <x v="2"/>
    <x v="34"/>
    <x v="8"/>
    <x v="118"/>
    <x v="21"/>
    <s v="8153"/>
    <s v="בתי״ס ערב על יסודיים"/>
    <m/>
    <s v="5"/>
    <x v="12"/>
    <s v="50"/>
    <e v="#N/A"/>
    <s v="500"/>
    <e v="#N/A"/>
  </r>
  <r>
    <n v="700"/>
    <n v="818820"/>
    <n v="1"/>
    <s v="1818820.700"/>
    <s v="מרכז לקידום למידה - הוצאות לפעולות"/>
    <m/>
    <m/>
    <n v="971400"/>
    <n v="1000000"/>
    <n v="850200"/>
    <e v="#N/A"/>
    <x v="5"/>
    <x v="2"/>
    <x v="34"/>
    <x v="8"/>
    <x v="93"/>
    <x v="65"/>
    <s v="8188"/>
    <e v="#N/A"/>
    <m/>
    <s v="7"/>
    <x v="9"/>
    <s v="70"/>
    <e v="#N/A"/>
    <s v="700"/>
    <e v="#N/A"/>
  </r>
  <r>
    <n v="700"/>
    <n v="813288"/>
    <n v="1"/>
    <s v="1813288.700"/>
    <s v="יוזמות חינוכיות - הוצאות לפעולות"/>
    <m/>
    <m/>
    <n v="412900"/>
    <n v="425000"/>
    <n v="1290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700"/>
    <n v="818300"/>
    <n v="1"/>
    <s v="1818300.700"/>
    <s v="השתלמויות ופרוייקטים - הוצאות לפעולות"/>
    <m/>
    <m/>
    <n v="477900"/>
    <n v="492000"/>
    <n v="468400"/>
    <e v="#N/A"/>
    <x v="5"/>
    <x v="2"/>
    <x v="34"/>
    <x v="8"/>
    <x v="93"/>
    <x v="65"/>
    <s v="8183"/>
    <e v="#N/A"/>
    <m/>
    <s v="7"/>
    <x v="9"/>
    <s v="70"/>
    <e v="#N/A"/>
    <s v="700"/>
    <e v="#N/A"/>
  </r>
  <r>
    <n v="500"/>
    <n v="817390"/>
    <n v="1"/>
    <s v="1817390.500"/>
    <s v="משתלם שרות פסיכולוגי - הוצאות כלליות"/>
    <m/>
    <m/>
    <n v="99000"/>
    <n v="99000"/>
    <n v="211300"/>
    <e v="#N/A"/>
    <x v="5"/>
    <x v="2"/>
    <x v="34"/>
    <x v="8"/>
    <x v="115"/>
    <x v="20"/>
    <s v="8173"/>
    <s v="שרות פסיכולוגי חינוכי"/>
    <m/>
    <s v="5"/>
    <x v="12"/>
    <s v="50"/>
    <e v="#N/A"/>
    <s v="500"/>
    <e v="#N/A"/>
  </r>
  <r>
    <n v="100"/>
    <n v="817300"/>
    <n v="1"/>
    <s v="1817300.100"/>
    <s v="השרות הפסיכולוגי - שכר לעובדים קבועים"/>
    <m/>
    <m/>
    <n v="8537700"/>
    <n v="8443700"/>
    <n v="8405500"/>
    <e v="#N/A"/>
    <x v="5"/>
    <x v="2"/>
    <x v="34"/>
    <x v="8"/>
    <x v="115"/>
    <x v="20"/>
    <s v="8173"/>
    <s v="שרות פסיכולוגי חינוכי"/>
    <m/>
    <s v="1"/>
    <x v="8"/>
    <s v="10"/>
    <e v="#N/A"/>
    <s v="100"/>
    <e v="#N/A"/>
  </r>
  <r>
    <n v="120"/>
    <n v="817300"/>
    <n v="1"/>
    <s v="1817300.120"/>
    <s v="השרות הפסיכולוגי - שעות נוספות"/>
    <m/>
    <m/>
    <n v="86300"/>
    <n v="86300"/>
    <n v="97600"/>
    <e v="#N/A"/>
    <x v="5"/>
    <x v="2"/>
    <x v="34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400"/>
    <n v="817300"/>
    <n v="1"/>
    <s v="1817300.400"/>
    <s v="השרות הפסיכולוגי - אחזקה אספקה וציוד"/>
    <m/>
    <m/>
    <n v="100000"/>
    <n v="100000"/>
    <n v="101300"/>
    <e v="#N/A"/>
    <x v="5"/>
    <x v="2"/>
    <x v="34"/>
    <x v="8"/>
    <x v="115"/>
    <x v="20"/>
    <s v="8173"/>
    <s v="שרות פסיכולוגי חינוכי"/>
    <m/>
    <s v="4"/>
    <x v="11"/>
    <s v="40"/>
    <e v="#N/A"/>
    <s v="400"/>
    <e v="#N/A"/>
  </r>
  <r>
    <n v="500"/>
    <n v="817300"/>
    <n v="1"/>
    <s v="1817300.500"/>
    <s v="השרות הפסיכולוגי - תחבורה ודואר"/>
    <m/>
    <m/>
    <n v="41500"/>
    <n v="41500"/>
    <n v="40500"/>
    <e v="#N/A"/>
    <x v="5"/>
    <x v="2"/>
    <x v="34"/>
    <x v="8"/>
    <x v="115"/>
    <x v="20"/>
    <s v="8173"/>
    <s v="שרות פסיכולוגי חינוכי"/>
    <m/>
    <s v="5"/>
    <x v="12"/>
    <s v="50"/>
    <e v="#N/A"/>
    <s v="500"/>
    <e v="#N/A"/>
  </r>
  <r>
    <n v="500"/>
    <n v="817300"/>
    <n v="1"/>
    <s v="1817300.500"/>
    <s v="השרות הפסיכולוגי - הוצאות כלליות"/>
    <m/>
    <m/>
    <n v="1000"/>
    <n v="1000"/>
    <n v="800"/>
    <e v="#N/A"/>
    <x v="5"/>
    <x v="2"/>
    <x v="34"/>
    <x v="8"/>
    <x v="115"/>
    <x v="20"/>
    <s v="8173"/>
    <s v="שרות פסיכולוגי חינוכי"/>
    <m/>
    <s v="5"/>
    <x v="12"/>
    <s v="50"/>
    <e v="#N/A"/>
    <s v="500"/>
    <e v="#N/A"/>
  </r>
  <r>
    <n v="700"/>
    <n v="817300"/>
    <n v="1"/>
    <s v="1817300.700"/>
    <s v="השרות הפסיכולוגי - הוצאות לפעולות"/>
    <m/>
    <m/>
    <n v="597700"/>
    <n v="619500"/>
    <n v="305200"/>
    <e v="#N/A"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100"/>
    <n v="813311"/>
    <n v="1"/>
    <s v="1813311.100"/>
    <s v="מטה תנופה לחינוך במיגזר הערבי - הנהלה - שכר לעובדים קבועים"/>
    <m/>
    <m/>
    <n v="566200"/>
    <n v="557800"/>
    <n v="5801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120"/>
    <n v="813311"/>
    <n v="1"/>
    <s v="1813311.120"/>
    <s v="מטה תנופה לחינוך במיגזר הערבי - הנהלה - שעות נוספות"/>
    <m/>
    <m/>
    <n v="31800"/>
    <n v="31800"/>
    <n v="34100"/>
    <e v="#N/A"/>
    <x v="5"/>
    <x v="2"/>
    <x v="34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700"/>
    <n v="813311"/>
    <n v="1"/>
    <s v="1813311.700"/>
    <s v="מטה תנופה לחינוך במיגזר הערבי - הנהלה - הוצאות לפעולות"/>
    <m/>
    <m/>
    <n v="8700"/>
    <n v="9000"/>
    <n v="7200"/>
    <e v="#N/A"/>
    <x v="5"/>
    <x v="2"/>
    <x v="34"/>
    <x v="8"/>
    <x v="116"/>
    <x v="19"/>
    <s v="8133"/>
    <s v="חינוך מיוחד"/>
    <m/>
    <s v="7"/>
    <x v="9"/>
    <s v="70"/>
    <e v="#N/A"/>
    <s v="700"/>
    <e v="#N/A"/>
  </r>
  <r>
    <n v="200"/>
    <n v="817360"/>
    <n v="1"/>
    <s v="1817360.200"/>
    <s v="תוכנית תנופה מגזר ערבי - שכר לעובדים ארעיים"/>
    <m/>
    <m/>
    <n v="95000"/>
    <n v="95400"/>
    <n v="88500"/>
    <e v="#N/A"/>
    <x v="5"/>
    <x v="2"/>
    <x v="34"/>
    <x v="8"/>
    <x v="115"/>
    <x v="20"/>
    <s v="8173"/>
    <s v="שרות פסיכולוגי חינוכי"/>
    <m/>
    <s v="2"/>
    <x v="10"/>
    <s v="20"/>
    <e v="#N/A"/>
    <s v="200"/>
    <e v="#N/A"/>
  </r>
  <r>
    <n v="700"/>
    <n v="817360"/>
    <n v="1"/>
    <s v="1817360.700"/>
    <s v="תוכנית תנופה מגזר ערבי - הוצאות לפעולות"/>
    <m/>
    <m/>
    <n v="1223000"/>
    <n v="1259000"/>
    <n v="1151700"/>
    <e v="#N/A"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100"/>
    <n v="813289"/>
    <n v="1"/>
    <s v="1813289.100"/>
    <s v="בית הספר חיוואר - שכר לעובדים קבועים"/>
    <m/>
    <m/>
    <n v="398000"/>
    <n v="394000"/>
    <n v="321500"/>
    <e v="#N/A"/>
    <x v="5"/>
    <x v="2"/>
    <x v="34"/>
    <x v="8"/>
    <x v="116"/>
    <x v="19"/>
    <s v="8132"/>
    <s v="בתי״ס יסודיים"/>
    <m/>
    <s v="1"/>
    <x v="8"/>
    <s v="10"/>
    <e v="#N/A"/>
    <s v="100"/>
    <e v="#N/A"/>
  </r>
  <r>
    <n v="800"/>
    <n v="818710"/>
    <n v="1"/>
    <s v="1818710.800"/>
    <s v="מרכז אחווה - השתתפויות תמיכות ותרומות"/>
    <m/>
    <m/>
    <n v="126300"/>
    <n v="130000"/>
    <n v="129700"/>
    <m/>
    <x v="5"/>
    <x v="2"/>
    <x v="34"/>
    <x v="8"/>
    <x v="93"/>
    <x v="65"/>
    <s v="8187"/>
    <e v="#N/A"/>
    <m/>
    <s v="8"/>
    <x v="13"/>
    <s v="80"/>
    <e v="#N/A"/>
    <s v="800"/>
    <e v="#N/A"/>
  </r>
  <r>
    <n v="800"/>
    <n v="818720"/>
    <n v="1"/>
    <s v="1818720.800"/>
    <s v="מרכז קהילתי חיפה ה.‏‏ - השתתפויות תמיכות ותרומות"/>
    <m/>
    <m/>
    <n v="116400"/>
    <n v="119800"/>
    <n v="119800"/>
    <e v="#N/A"/>
    <x v="5"/>
    <x v="2"/>
    <x v="34"/>
    <x v="8"/>
    <x v="93"/>
    <x v="65"/>
    <s v="8187"/>
    <e v="#N/A"/>
    <m/>
    <s v="8"/>
    <x v="13"/>
    <s v="80"/>
    <e v="#N/A"/>
    <s v="800"/>
    <e v="#N/A"/>
  </r>
  <r>
    <n v="100"/>
    <n v="815217"/>
    <n v="1"/>
    <s v="1815217.100"/>
    <s v="תיכון אלמותנאבי- שיזף - שכר לעובדים קבועים"/>
    <m/>
    <m/>
    <n v="9245500"/>
    <n v="9144500"/>
    <n v="8754300"/>
    <e v="#N/A"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17"/>
    <n v="1"/>
    <s v="1815217.120"/>
    <s v="תיכון אלמותנאבי- שיזף - שעות נוספות"/>
    <m/>
    <m/>
    <n v="5500"/>
    <n v="5500"/>
    <n v="7600"/>
    <e v="#N/A"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17"/>
    <n v="1"/>
    <s v="1815217.400"/>
    <s v="תיכון אלמותנאבי- שיזף - אחזקה אספקה וציוד"/>
    <m/>
    <m/>
    <n v="312100"/>
    <n v="320000"/>
    <n v="320500"/>
    <e v="#N/A"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17"/>
    <n v="1"/>
    <s v="1815217.700"/>
    <s v="תיכון אלמותנאבי- שיזף - הוצאות לפעולות"/>
    <m/>
    <m/>
    <n v="144500"/>
    <n v="150000"/>
    <n v="181100"/>
    <e v="#N/A"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540"/>
    <n v="1"/>
    <s v="1815540.100"/>
    <s v="תיכון חיפה ה - שכר לעובדים קבועים"/>
    <m/>
    <m/>
    <n v="2396000"/>
    <n v="688000"/>
    <n v="0"/>
    <e v="#N/A"/>
    <x v="5"/>
    <x v="2"/>
    <x v="34"/>
    <x v="8"/>
    <x v="118"/>
    <x v="21"/>
    <s v="8155"/>
    <s v="בתי״ס על יסודיים מקצועיים"/>
    <m/>
    <s v="1"/>
    <x v="8"/>
    <s v="10"/>
    <e v="#N/A"/>
    <s v="100"/>
    <e v="#N/A"/>
  </r>
  <r>
    <n v="700"/>
    <n v="815540"/>
    <n v="1"/>
    <s v="1815540.700"/>
    <s v="תיכון חיפה ה - הוצאות לפעולות"/>
    <m/>
    <m/>
    <n v="77700"/>
    <n v="80000"/>
    <n v="69400"/>
    <e v="#N/A"/>
    <x v="5"/>
    <x v="2"/>
    <x v="34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3310"/>
    <n v="1"/>
    <s v="1813310.100"/>
    <s v="חינוך מיוחד - הנהלה - שכר לעובדים קבועים"/>
    <m/>
    <m/>
    <n v="209000"/>
    <n v="207000"/>
    <n v="1927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100"/>
    <n v="813312"/>
    <n v="1"/>
    <s v="1813312.100"/>
    <s v="בתי&quot;ס מיוחדים - שכר לעובדים קבועים"/>
    <m/>
    <m/>
    <n v="2426400"/>
    <n v="2399400"/>
    <n v="23835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120"/>
    <n v="813312"/>
    <n v="1"/>
    <s v="1813312.120"/>
    <s v="בתי&quot;ס מיוחדים - שעות נוספות"/>
    <m/>
    <m/>
    <n v="3600"/>
    <n v="3600"/>
    <n v="4200"/>
    <e v="#N/A"/>
    <x v="5"/>
    <x v="2"/>
    <x v="34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400"/>
    <n v="813312"/>
    <n v="1"/>
    <s v="1813312.400"/>
    <s v="בתי&quot;ס מיוחדים - אחזקה אספקה וציוד"/>
    <m/>
    <m/>
    <n v="247000"/>
    <n v="247000"/>
    <n v="255700"/>
    <e v="#N/A"/>
    <x v="5"/>
    <x v="2"/>
    <x v="34"/>
    <x v="8"/>
    <x v="116"/>
    <x v="19"/>
    <s v="8133"/>
    <s v="חינוך מיוחד"/>
    <m/>
    <s v="4"/>
    <x v="11"/>
    <s v="40"/>
    <e v="#N/A"/>
    <s v="400"/>
    <e v="#N/A"/>
  </r>
  <r>
    <n v="500"/>
    <n v="813312"/>
    <n v="1"/>
    <s v="1813312.500"/>
    <s v="בתי&quot;ס מיוחדים - הוצאות כלליות"/>
    <m/>
    <m/>
    <n v="40000"/>
    <n v="40000"/>
    <n v="30900"/>
    <e v="#N/A"/>
    <x v="5"/>
    <x v="2"/>
    <x v="34"/>
    <x v="8"/>
    <x v="116"/>
    <x v="19"/>
    <s v="8133"/>
    <s v="חינוך מיוחד"/>
    <m/>
    <s v="5"/>
    <x v="12"/>
    <s v="50"/>
    <e v="#N/A"/>
    <s v="500"/>
    <e v="#N/A"/>
  </r>
  <r>
    <n v="700"/>
    <n v="813312"/>
    <n v="1"/>
    <s v="1813312.700"/>
    <s v="בתי&quot;ס מיוחדים - הוצאות לפעולות"/>
    <m/>
    <m/>
    <n v="514400"/>
    <n v="538000"/>
    <n v="486500"/>
    <e v="#N/A"/>
    <x v="5"/>
    <x v="2"/>
    <x v="34"/>
    <x v="8"/>
    <x v="116"/>
    <x v="19"/>
    <s v="8133"/>
    <s v="חינוך מיוחד"/>
    <m/>
    <s v="7"/>
    <x v="9"/>
    <s v="70"/>
    <e v="#N/A"/>
    <s v="700"/>
    <e v="#N/A"/>
  </r>
  <r>
    <n v="500"/>
    <n v="813390"/>
    <n v="1"/>
    <s v="1813390.500"/>
    <s v="משתלם בתי&quot;ס מיוחדים - הוצאות כלליות"/>
    <m/>
    <m/>
    <n v="410000"/>
    <n v="410000"/>
    <n v="336500"/>
    <e v="#N/A"/>
    <x v="5"/>
    <x v="2"/>
    <x v="34"/>
    <x v="8"/>
    <x v="116"/>
    <x v="19"/>
    <s v="8133"/>
    <s v="חינוך מיוחד"/>
    <m/>
    <s v="5"/>
    <x v="12"/>
    <s v="50"/>
    <e v="#N/A"/>
    <s v="500"/>
    <e v="#N/A"/>
  </r>
  <r>
    <n v="800"/>
    <n v="813390"/>
    <n v="1"/>
    <s v="1813390.800"/>
    <s v="משתלם בתי&quot;ס מיוחדים - השתתפויות תמיכות ותרומות"/>
    <m/>
    <m/>
    <n v="80000"/>
    <n v="80000"/>
    <n v="82000"/>
    <e v="#N/A"/>
    <x v="5"/>
    <x v="2"/>
    <x v="34"/>
    <x v="8"/>
    <x v="116"/>
    <x v="19"/>
    <s v="8133"/>
    <s v="חינוך מיוחד"/>
    <m/>
    <s v="8"/>
    <x v="13"/>
    <s v="80"/>
    <e v="#N/A"/>
    <s v="800"/>
    <e v="#N/A"/>
  </r>
  <r>
    <n v="100"/>
    <n v="813320"/>
    <n v="1"/>
    <s v="1813320.100"/>
    <s v="ביה&quot;ס אופקים - שכר לעובדים קבועים"/>
    <m/>
    <m/>
    <n v="765000"/>
    <n v="757000"/>
    <n v="7377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400"/>
    <n v="813320"/>
    <n v="1"/>
    <s v="1813320.400"/>
    <s v="ביה&quot;ס אופקים - אחזקה אספקה וציוד"/>
    <m/>
    <m/>
    <n v="90300"/>
    <n v="95000"/>
    <n v="106800"/>
    <e v="#N/A"/>
    <x v="5"/>
    <x v="2"/>
    <x v="34"/>
    <x v="8"/>
    <x v="116"/>
    <x v="19"/>
    <s v="8133"/>
    <s v="חינוך מיוחד"/>
    <m/>
    <s v="4"/>
    <x v="11"/>
    <s v="40"/>
    <e v="#N/A"/>
    <s v="400"/>
    <e v="#N/A"/>
  </r>
  <r>
    <n v="700"/>
    <n v="813320"/>
    <n v="1"/>
    <s v="1813320.700"/>
    <s v="ביה&quot;ס אופקים - הוצאות לפעולות"/>
    <m/>
    <m/>
    <n v="70000"/>
    <n v="70000"/>
    <n v="70000"/>
    <e v="#N/A"/>
    <x v="5"/>
    <x v="2"/>
    <x v="34"/>
    <x v="8"/>
    <x v="116"/>
    <x v="19"/>
    <s v="8133"/>
    <s v="חינוך מיוחד"/>
    <m/>
    <s v="7"/>
    <x v="9"/>
    <s v="70"/>
    <e v="#N/A"/>
    <s v="700"/>
    <e v="#N/A"/>
  </r>
  <r>
    <n v="100"/>
    <n v="813314"/>
    <n v="1"/>
    <s v="1813314.100"/>
    <s v="מתי&quot;א - שכר לעובדים קבועים"/>
    <m/>
    <m/>
    <n v="347100"/>
    <n v="343100"/>
    <n v="415600"/>
    <e v="#N/A"/>
    <x v="5"/>
    <x v="2"/>
    <x v="34"/>
    <x v="8"/>
    <x v="116"/>
    <x v="19"/>
    <s v="8133"/>
    <s v="חינוך מיוחד"/>
    <m/>
    <s v="1"/>
    <x v="8"/>
    <s v="10"/>
    <e v="#N/A"/>
    <s v="100"/>
    <e v="#N/A"/>
  </r>
  <r>
    <n v="120"/>
    <n v="813314"/>
    <n v="1"/>
    <s v="1813314.120"/>
    <s v="מתי&quot;א - שעות נוספות"/>
    <m/>
    <m/>
    <n v="900"/>
    <n v="900"/>
    <n v="800"/>
    <e v="#N/A"/>
    <x v="5"/>
    <x v="2"/>
    <x v="34"/>
    <x v="8"/>
    <x v="116"/>
    <x v="19"/>
    <s v="8133"/>
    <s v="חינוך מיוחד"/>
    <m/>
    <s v="1"/>
    <x v="8"/>
    <s v="12"/>
    <s v="תוספות שאינן נכללות בשכר הקובע"/>
    <s v="120"/>
    <e v="#N/A"/>
  </r>
  <r>
    <n v="400"/>
    <n v="813330"/>
    <n v="1"/>
    <s v="1813330.400"/>
    <s v="בי&quot;ס עופר - אחזקה אספקה וציוד"/>
    <m/>
    <m/>
    <n v="116700"/>
    <n v="119300"/>
    <n v="194200"/>
    <e v="#N/A"/>
    <x v="5"/>
    <x v="2"/>
    <x v="34"/>
    <x v="8"/>
    <x v="116"/>
    <x v="19"/>
    <s v="8133"/>
    <s v="חינוך מיוחד"/>
    <m/>
    <s v="4"/>
    <x v="11"/>
    <s v="40"/>
    <e v="#N/A"/>
    <s v="400"/>
    <e v="#N/A"/>
  </r>
  <r>
    <n v="700"/>
    <n v="813330"/>
    <n v="1"/>
    <s v="1813330.700"/>
    <s v="בי&quot;ס עופר - הוצאות לפעולות"/>
    <m/>
    <m/>
    <n v="93700"/>
    <n v="97300"/>
    <n v="93400"/>
    <e v="#N/A"/>
    <x v="5"/>
    <x v="2"/>
    <x v="34"/>
    <x v="8"/>
    <x v="116"/>
    <x v="19"/>
    <s v="8133"/>
    <s v="חינוך מיוחד"/>
    <m/>
    <s v="7"/>
    <x v="9"/>
    <s v="70"/>
    <e v="#N/A"/>
    <s v="700"/>
    <e v="#N/A"/>
  </r>
  <r>
    <n v="700"/>
    <n v="813316"/>
    <n v="1"/>
    <s v="1813316.700"/>
    <s v="הזנה חינוך מיוחד - הוצאות לפעולות"/>
    <m/>
    <m/>
    <n v="2331500"/>
    <n v="2650000"/>
    <n v="2300400"/>
    <e v="#N/A"/>
    <x v="5"/>
    <x v="2"/>
    <x v="34"/>
    <x v="8"/>
    <x v="116"/>
    <x v="19"/>
    <s v="8133"/>
    <s v="חינוך מיוחד"/>
    <m/>
    <s v="7"/>
    <x v="9"/>
    <s v="70"/>
    <e v="#N/A"/>
    <s v="700"/>
    <e v="#N/A"/>
  </r>
  <r>
    <n v="100"/>
    <n v="812210"/>
    <n v="1"/>
    <s v="1812210.100"/>
    <s v="המחלקה לחינוך קדם יסודי - שכר לעובדים קבועים"/>
    <m/>
    <m/>
    <n v="3473400"/>
    <n v="3177400"/>
    <n v="2876600"/>
    <e v="#N/A"/>
    <x v="5"/>
    <x v="2"/>
    <x v="34"/>
    <x v="8"/>
    <x v="119"/>
    <x v="18"/>
    <s v="8122"/>
    <s v="גני ילדים גיל חובה"/>
    <m/>
    <s v="1"/>
    <x v="8"/>
    <s v="10"/>
    <e v="#N/A"/>
    <s v="100"/>
    <e v="#N/A"/>
  </r>
  <r>
    <n v="120"/>
    <n v="812210"/>
    <n v="1"/>
    <s v="1812210.120"/>
    <s v="המחלקה לחינוך קדם יסודי - שעות נוספות"/>
    <m/>
    <m/>
    <n v="78600"/>
    <n v="78600"/>
    <n v="102500"/>
    <e v="#N/A"/>
    <x v="5"/>
    <x v="2"/>
    <x v="34"/>
    <x v="8"/>
    <x v="119"/>
    <x v="18"/>
    <s v="8122"/>
    <s v="גני ילדים גיל חובה"/>
    <m/>
    <s v="1"/>
    <x v="8"/>
    <s v="12"/>
    <s v="תוספות שאינן נכללות בשכר הקובע"/>
    <s v="120"/>
    <e v="#N/A"/>
  </r>
  <r>
    <n v="700"/>
    <n v="812210"/>
    <n v="1"/>
    <s v="1812210.700"/>
    <s v="המחלקה לחינוך קדם יסודי - הוצאות לפעולות"/>
    <m/>
    <m/>
    <n v="21900"/>
    <n v="22500"/>
    <n v="2260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500"/>
    <n v="812229"/>
    <n v="1"/>
    <s v="1812229.500"/>
    <s v="משתלם גני ילדים - הוצאות כלליות"/>
    <m/>
    <m/>
    <n v="300000"/>
    <n v="300000"/>
    <n v="128200"/>
    <e v="#N/A"/>
    <x v="5"/>
    <x v="2"/>
    <x v="34"/>
    <x v="8"/>
    <x v="119"/>
    <x v="18"/>
    <s v="8122"/>
    <s v="גני ילדים גיל חובה"/>
    <m/>
    <s v="5"/>
    <x v="12"/>
    <s v="50"/>
    <e v="#N/A"/>
    <s v="500"/>
    <e v="#N/A"/>
  </r>
  <r>
    <n v="100"/>
    <n v="812220"/>
    <n v="1"/>
    <s v="1812220.100"/>
    <s v="גני ילדים - שכר לעובדים קבועים"/>
    <m/>
    <m/>
    <n v="43783300"/>
    <n v="39159300"/>
    <n v="35879000"/>
    <e v="#N/A"/>
    <x v="5"/>
    <x v="2"/>
    <x v="34"/>
    <x v="8"/>
    <x v="119"/>
    <x v="18"/>
    <s v="8122"/>
    <s v="גני ילדים גיל חובה"/>
    <m/>
    <s v="1"/>
    <x v="8"/>
    <s v="10"/>
    <e v="#N/A"/>
    <s v="100"/>
    <e v="#N/A"/>
  </r>
  <r>
    <n v="120"/>
    <n v="812220"/>
    <n v="1"/>
    <s v="1812220.120"/>
    <s v="גני ילדים - שעות נוספות"/>
    <m/>
    <m/>
    <n v="22700"/>
    <n v="22700"/>
    <n v="13800"/>
    <e v="#N/A"/>
    <x v="5"/>
    <x v="2"/>
    <x v="34"/>
    <x v="8"/>
    <x v="119"/>
    <x v="18"/>
    <s v="8122"/>
    <s v="גני ילדים גיל חובה"/>
    <m/>
    <s v="1"/>
    <x v="8"/>
    <s v="12"/>
    <s v="תוספות שאינן נכללות בשכר הקובע"/>
    <s v="120"/>
    <e v="#N/A"/>
  </r>
  <r>
    <n v="400"/>
    <n v="812220"/>
    <n v="1"/>
    <s v="1812220.400"/>
    <s v="גני ילדים - אחזקה אספקה וציוד"/>
    <m/>
    <m/>
    <n v="2434000"/>
    <n v="2434000"/>
    <n v="2458500"/>
    <e v="#N/A"/>
    <x v="5"/>
    <x v="2"/>
    <x v="34"/>
    <x v="8"/>
    <x v="119"/>
    <x v="18"/>
    <s v="8122"/>
    <s v="גני ילדים גיל חובה"/>
    <m/>
    <s v="4"/>
    <x v="11"/>
    <s v="40"/>
    <e v="#N/A"/>
    <s v="400"/>
    <e v="#N/A"/>
  </r>
  <r>
    <n v="500"/>
    <n v="812220"/>
    <n v="1"/>
    <s v="1812220.500"/>
    <s v="גני ילדים - תחבורה ודואר"/>
    <m/>
    <m/>
    <n v="430000"/>
    <n v="430000"/>
    <n v="402100"/>
    <e v="#N/A"/>
    <x v="5"/>
    <x v="2"/>
    <x v="34"/>
    <x v="8"/>
    <x v="119"/>
    <x v="18"/>
    <s v="8122"/>
    <s v="גני ילדים גיל חובה"/>
    <m/>
    <s v="5"/>
    <x v="12"/>
    <s v="50"/>
    <e v="#N/A"/>
    <s v="500"/>
    <e v="#N/A"/>
  </r>
  <r>
    <n v="500"/>
    <n v="812220"/>
    <n v="1"/>
    <s v="1812220.500"/>
    <s v="גני ילדים - הוצאות כלליות"/>
    <m/>
    <m/>
    <n v="129000"/>
    <n v="129000"/>
    <n v="137700"/>
    <e v="#N/A"/>
    <x v="5"/>
    <x v="2"/>
    <x v="34"/>
    <x v="8"/>
    <x v="119"/>
    <x v="18"/>
    <s v="8122"/>
    <s v="גני ילדים גיל חובה"/>
    <m/>
    <s v="5"/>
    <x v="12"/>
    <s v="50"/>
    <e v="#N/A"/>
    <s v="500"/>
    <e v="#N/A"/>
  </r>
  <r>
    <n v="700"/>
    <n v="812220"/>
    <n v="1"/>
    <s v="1812220.700"/>
    <s v="גני ילדים - הוצאות לפעולות"/>
    <m/>
    <m/>
    <n v="33840000"/>
    <n v="34923000"/>
    <n v="3910800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400"/>
    <n v="812221"/>
    <n v="1"/>
    <s v="1812221.400"/>
    <s v="גן הילד - אחזקה אספקה וציוד"/>
    <m/>
    <m/>
    <n v="5000"/>
    <n v="5000"/>
    <n v="5000"/>
    <e v="#N/A"/>
    <x v="5"/>
    <x v="2"/>
    <x v="34"/>
    <x v="8"/>
    <x v="119"/>
    <x v="18"/>
    <s v="8122"/>
    <s v="גני ילדים גיל חובה"/>
    <m/>
    <s v="4"/>
    <x v="11"/>
    <s v="40"/>
    <e v="#N/A"/>
    <s v="400"/>
    <e v="#N/A"/>
  </r>
  <r>
    <n v="500"/>
    <n v="812221"/>
    <n v="1"/>
    <s v="1812221.500"/>
    <s v="גן הילד - תחבורה ודואר"/>
    <m/>
    <m/>
    <n v="5000"/>
    <n v="5000"/>
    <n v="5000"/>
    <e v="#N/A"/>
    <x v="5"/>
    <x v="2"/>
    <x v="34"/>
    <x v="8"/>
    <x v="119"/>
    <x v="18"/>
    <s v="8122"/>
    <s v="גני ילדים גיל חובה"/>
    <m/>
    <s v="5"/>
    <x v="12"/>
    <s v="50"/>
    <e v="#N/A"/>
    <s v="500"/>
    <e v="#N/A"/>
  </r>
  <r>
    <n v="700"/>
    <n v="812221"/>
    <n v="1"/>
    <s v="1812221.700"/>
    <s v="גן הילד - הוצאות לפעולות"/>
    <m/>
    <m/>
    <n v="28900"/>
    <n v="30000"/>
    <n v="3000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100"/>
    <n v="812222"/>
    <n v="1"/>
    <s v="1812222.100"/>
    <s v="הורים במרכז - שכר לעובדים קבועים"/>
    <m/>
    <m/>
    <n v="180000"/>
    <n v="0"/>
    <n v="0"/>
    <e v="#N/A"/>
    <x v="5"/>
    <x v="2"/>
    <x v="34"/>
    <x v="8"/>
    <x v="119"/>
    <x v="18"/>
    <s v="8122"/>
    <s v="גני ילדים גיל חובה"/>
    <m/>
    <s v="1"/>
    <x v="8"/>
    <s v="10"/>
    <e v="#N/A"/>
    <s v="100"/>
    <e v="#N/A"/>
  </r>
  <r>
    <n v="700"/>
    <n v="812222"/>
    <n v="1"/>
    <s v="1812222.700"/>
    <s v="הורים במרכז - הוצאות לפעולות"/>
    <m/>
    <m/>
    <n v="388600"/>
    <n v="400000"/>
    <n v="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700"/>
    <n v="812223"/>
    <n v="1"/>
    <s v="1812223.700"/>
    <s v="איתור וליווי בגיל הרך - הוצאות לפעולות"/>
    <m/>
    <m/>
    <n v="1389200"/>
    <n v="1430000"/>
    <n v="128000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100"/>
    <n v="813210"/>
    <n v="1"/>
    <s v="1813210.100"/>
    <s v="המחלקה לחינוך יסודי - שכר לעובדים קבועים"/>
    <m/>
    <m/>
    <n v="2691200"/>
    <n v="2660200"/>
    <n v="2386300"/>
    <e v="#N/A"/>
    <x v="5"/>
    <x v="2"/>
    <x v="34"/>
    <x v="8"/>
    <x v="116"/>
    <x v="19"/>
    <s v="8132"/>
    <s v="בתי״ס יסודיים"/>
    <m/>
    <s v="1"/>
    <x v="8"/>
    <s v="10"/>
    <e v="#N/A"/>
    <s v="100"/>
    <e v="#N/A"/>
  </r>
  <r>
    <n v="120"/>
    <n v="813210"/>
    <n v="1"/>
    <s v="1813210.120"/>
    <s v="המחלקה לחינוך יסודי - שעות נוספות"/>
    <m/>
    <m/>
    <n v="95800"/>
    <n v="95800"/>
    <n v="122900"/>
    <n v="10217"/>
    <x v="5"/>
    <x v="2"/>
    <x v="34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700"/>
    <n v="813210"/>
    <n v="1"/>
    <s v="1813210.700"/>
    <s v="המחלקה לחינוך יסודי - הוצאות לפעולות"/>
    <m/>
    <m/>
    <n v="29100"/>
    <n v="30000"/>
    <n v="328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200"/>
    <n v="813290"/>
    <n v="1"/>
    <s v="1813290.200"/>
    <s v="משתלם חינוך יסודי - שכר לעובדים ארעיים"/>
    <m/>
    <m/>
    <n v="84400"/>
    <n v="84400"/>
    <n v="449400"/>
    <e v="#N/A"/>
    <x v="5"/>
    <x v="2"/>
    <x v="34"/>
    <x v="8"/>
    <x v="116"/>
    <x v="19"/>
    <s v="8132"/>
    <s v="בתי״ס יסודיים"/>
    <m/>
    <s v="2"/>
    <x v="10"/>
    <s v="20"/>
    <e v="#N/A"/>
    <s v="200"/>
    <e v="#N/A"/>
  </r>
  <r>
    <n v="120"/>
    <n v="813290"/>
    <n v="1"/>
    <s v="1813290.120"/>
    <s v="משתלם חינוך יסודי - שעות נוספות"/>
    <m/>
    <m/>
    <n v="15600"/>
    <n v="15600"/>
    <n v="48900"/>
    <e v="#N/A"/>
    <x v="5"/>
    <x v="2"/>
    <x v="34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500"/>
    <n v="813290"/>
    <n v="1"/>
    <s v="1813290.500"/>
    <s v="משתלם חינוך יסודי - הוצאות כלליות"/>
    <m/>
    <m/>
    <n v="3381000"/>
    <n v="3381000"/>
    <n v="2796900"/>
    <e v="#N/A"/>
    <x v="5"/>
    <x v="2"/>
    <x v="34"/>
    <x v="8"/>
    <x v="116"/>
    <x v="19"/>
    <s v="8132"/>
    <s v="בתי״ס יסודיים"/>
    <m/>
    <s v="5"/>
    <x v="12"/>
    <s v="50"/>
    <e v="#N/A"/>
    <s v="500"/>
    <e v="#N/A"/>
  </r>
  <r>
    <n v="100"/>
    <n v="811120"/>
    <n v="1"/>
    <s v="1811120.100"/>
    <s v="היחידה לועדות השמה - שכר לעובדים קבועים"/>
    <m/>
    <m/>
    <n v="534000"/>
    <n v="593000"/>
    <n v="531200"/>
    <e v="#N/A"/>
    <x v="5"/>
    <x v="2"/>
    <x v="34"/>
    <x v="8"/>
    <x v="114"/>
    <x v="17"/>
    <s v="8111"/>
    <e v="#N/A"/>
    <m/>
    <s v="1"/>
    <x v="8"/>
    <s v="10"/>
    <e v="#N/A"/>
    <s v="100"/>
    <e v="#N/A"/>
  </r>
  <r>
    <n v="120"/>
    <n v="811120"/>
    <n v="1"/>
    <s v="1811120.120"/>
    <s v="היחידה לועדות השמה - שעות נוספות"/>
    <m/>
    <m/>
    <n v="10000"/>
    <n v="10000"/>
    <n v="8600"/>
    <e v="#N/A"/>
    <x v="5"/>
    <x v="2"/>
    <x v="34"/>
    <x v="8"/>
    <x v="114"/>
    <x v="17"/>
    <s v="8111"/>
    <e v="#N/A"/>
    <m/>
    <s v="1"/>
    <x v="8"/>
    <s v="12"/>
    <s v="תוספות שאינן נכללות בשכר הקובע"/>
    <s v="120"/>
    <e v="#N/A"/>
  </r>
  <r>
    <n v="500"/>
    <n v="811120"/>
    <n v="1"/>
    <s v="1811120.500"/>
    <s v="היחידה לועדות השמה - הוצאות כלליות"/>
    <m/>
    <m/>
    <n v="4000"/>
    <n v="4000"/>
    <n v="0"/>
    <m/>
    <x v="5"/>
    <x v="2"/>
    <x v="34"/>
    <x v="8"/>
    <x v="114"/>
    <x v="17"/>
    <s v="8111"/>
    <e v="#N/A"/>
    <m/>
    <s v="5"/>
    <x v="12"/>
    <s v="50"/>
    <e v="#N/A"/>
    <s v="500"/>
    <e v="#N/A"/>
  </r>
  <r>
    <n v="700"/>
    <n v="811120"/>
    <n v="1"/>
    <s v="1811120.700"/>
    <s v="היחידה לועדות השמה - הוצאות לפעולות"/>
    <m/>
    <m/>
    <n v="7900"/>
    <n v="8200"/>
    <n v="7600"/>
    <e v="#N/A"/>
    <x v="5"/>
    <x v="2"/>
    <x v="34"/>
    <x v="8"/>
    <x v="114"/>
    <x v="17"/>
    <s v="8111"/>
    <e v="#N/A"/>
    <m/>
    <s v="7"/>
    <x v="9"/>
    <s v="70"/>
    <e v="#N/A"/>
    <s v="700"/>
    <e v="#N/A"/>
  </r>
  <r>
    <n v="100"/>
    <n v="813220"/>
    <n v="1"/>
    <s v="1813220.100"/>
    <s v="בתי ספר יסודיים - שכר לעובדים קבועים"/>
    <m/>
    <m/>
    <n v="5813100"/>
    <n v="5749100"/>
    <n v="5273600"/>
    <e v="#N/A"/>
    <x v="5"/>
    <x v="2"/>
    <x v="34"/>
    <x v="8"/>
    <x v="116"/>
    <x v="19"/>
    <s v="8132"/>
    <s v="בתי״ס יסודיים"/>
    <m/>
    <s v="1"/>
    <x v="8"/>
    <s v="10"/>
    <e v="#N/A"/>
    <s v="100"/>
    <e v="#N/A"/>
  </r>
  <r>
    <n v="120"/>
    <n v="813220"/>
    <n v="1"/>
    <s v="1813220.120"/>
    <s v="בתי ספר יסודיים - שעות נוספות"/>
    <m/>
    <m/>
    <n v="14900"/>
    <n v="14900"/>
    <n v="11700"/>
    <e v="#N/A"/>
    <x v="5"/>
    <x v="2"/>
    <x v="34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400"/>
    <n v="813220"/>
    <n v="1"/>
    <s v="1813220.400"/>
    <s v="בתי ספר יסודיים - אחזקה אספקה וציוד"/>
    <m/>
    <m/>
    <n v="190000"/>
    <n v="190000"/>
    <n v="294000"/>
    <e v="#N/A"/>
    <x v="5"/>
    <x v="2"/>
    <x v="34"/>
    <x v="8"/>
    <x v="116"/>
    <x v="19"/>
    <s v="8132"/>
    <s v="בתי״ס יסודיים"/>
    <m/>
    <s v="4"/>
    <x v="11"/>
    <s v="40"/>
    <e v="#N/A"/>
    <s v="400"/>
    <e v="#N/A"/>
  </r>
  <r>
    <n v="700"/>
    <n v="813220"/>
    <n v="1"/>
    <s v="1813220.700"/>
    <s v="בתי ספר יסודיים - הוצאות לפעולות"/>
    <m/>
    <m/>
    <n v="729000"/>
    <n v="756000"/>
    <n v="6479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100"/>
    <n v="813221"/>
    <n v="1"/>
    <s v="1813221.100"/>
    <s v="בתי&quot;ס יסודיים‏ נ י ה ו ל ע צ מ י - שכר לעובדים קבועים"/>
    <m/>
    <m/>
    <n v="28369100"/>
    <n v="29739100"/>
    <n v="29427200"/>
    <e v="#N/A"/>
    <x v="5"/>
    <x v="2"/>
    <x v="34"/>
    <x v="8"/>
    <x v="116"/>
    <x v="19"/>
    <s v="8132"/>
    <s v="בתי״ס יסודיים"/>
    <m/>
    <s v="1"/>
    <x v="8"/>
    <s v="10"/>
    <e v="#N/A"/>
    <s v="100"/>
    <e v="#N/A"/>
  </r>
  <r>
    <n v="120"/>
    <n v="813221"/>
    <n v="1"/>
    <s v="1813221.120"/>
    <s v="בתי&quot;ס יסודיים‏ נ י ה ו ל ע צ מ י - שעות נוספות"/>
    <m/>
    <m/>
    <n v="22900"/>
    <n v="22900"/>
    <n v="39600"/>
    <n v="107925"/>
    <x v="5"/>
    <x v="2"/>
    <x v="34"/>
    <x v="8"/>
    <x v="116"/>
    <x v="19"/>
    <s v="8132"/>
    <s v="בתי״ס יסודיים"/>
    <m/>
    <s v="1"/>
    <x v="8"/>
    <s v="12"/>
    <s v="תוספות שאינן נכללות בשכר הקובע"/>
    <s v="120"/>
    <e v="#N/A"/>
  </r>
  <r>
    <n v="400"/>
    <n v="813221"/>
    <n v="1"/>
    <s v="1813221.400"/>
    <s v="בתי&quot;ס יסודיים‏ נ י ה ו ל ע צ מ י - אחזקה אספקה וציוד"/>
    <m/>
    <m/>
    <n v="4560300"/>
    <n v="4686900"/>
    <n v="4900000"/>
    <e v="#N/A"/>
    <x v="5"/>
    <x v="2"/>
    <x v="34"/>
    <x v="8"/>
    <x v="116"/>
    <x v="19"/>
    <s v="8132"/>
    <s v="בתי״ס יסודיים"/>
    <m/>
    <s v="4"/>
    <x v="11"/>
    <s v="40"/>
    <e v="#N/A"/>
    <s v="400"/>
    <e v="#N/A"/>
  </r>
  <r>
    <n v="500"/>
    <n v="813221"/>
    <n v="1"/>
    <s v="1813221.500"/>
    <s v="בתי&quot;ס יסודיים‏ נ י ה ו ל ע צ מ י - תחבורה ודואר"/>
    <m/>
    <m/>
    <n v="2908400"/>
    <n v="2998400"/>
    <n v="2749000"/>
    <e v="#N/A"/>
    <x v="5"/>
    <x v="2"/>
    <x v="34"/>
    <x v="8"/>
    <x v="116"/>
    <x v="19"/>
    <s v="8132"/>
    <s v="בתי״ס יסודיים"/>
    <m/>
    <s v="5"/>
    <x v="12"/>
    <s v="50"/>
    <e v="#N/A"/>
    <s v="500"/>
    <e v="#N/A"/>
  </r>
  <r>
    <n v="500"/>
    <n v="813221"/>
    <n v="1"/>
    <s v="1813221.500"/>
    <s v="בתי&quot;ס יסודיים‏ נ י ה ו ל ע צ מ י - הוצאות כלליות"/>
    <m/>
    <m/>
    <n v="1325000"/>
    <n v="1366000"/>
    <n v="1316000"/>
    <e v="#N/A"/>
    <x v="5"/>
    <x v="2"/>
    <x v="34"/>
    <x v="8"/>
    <x v="116"/>
    <x v="19"/>
    <s v="8132"/>
    <s v="בתי״ס יסודיים"/>
    <m/>
    <s v="5"/>
    <x v="12"/>
    <s v="50"/>
    <e v="#N/A"/>
    <s v="500"/>
    <e v="#N/A"/>
  </r>
  <r>
    <n v="700"/>
    <n v="813221"/>
    <n v="1"/>
    <s v="1813221.700"/>
    <s v="בתי&quot;ס יסודיים‏ נ י ה ו ל ע צ מ י - הוצאות לפעולות"/>
    <m/>
    <m/>
    <n v="163100"/>
    <n v="167800"/>
    <n v="1795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800"/>
    <n v="813221"/>
    <n v="1"/>
    <s v="1813221.800"/>
    <s v="בתי&quot;ס יסודיים‏ נ י ה ו ל ע צ מ י - השתתפויות תמיכות ותרומות"/>
    <m/>
    <m/>
    <n v="705000"/>
    <n v="726800"/>
    <n v="680000"/>
    <e v="#N/A"/>
    <x v="5"/>
    <x v="2"/>
    <x v="34"/>
    <x v="8"/>
    <x v="116"/>
    <x v="19"/>
    <s v="8132"/>
    <s v="בתי״ס יסודיים"/>
    <m/>
    <s v="8"/>
    <x v="13"/>
    <s v="80"/>
    <e v="#N/A"/>
    <s v="800"/>
    <e v="#N/A"/>
  </r>
  <r>
    <n v="200"/>
    <n v="819000"/>
    <n v="1"/>
    <s v="1819000.200"/>
    <s v="משתלם בתי&quot;ס בניהול עצמי - שכר לעובדים ארעיים"/>
    <m/>
    <m/>
    <n v="1286000"/>
    <n v="1286000"/>
    <n v="1469100"/>
    <e v="#N/A"/>
    <x v="5"/>
    <x v="2"/>
    <x v="34"/>
    <x v="8"/>
    <x v="120"/>
    <x v="76"/>
    <s v="8190"/>
    <e v="#N/A"/>
    <m/>
    <s v="2"/>
    <x v="10"/>
    <s v="20"/>
    <e v="#N/A"/>
    <s v="200"/>
    <e v="#N/A"/>
  </r>
  <r>
    <n v="500"/>
    <n v="819000"/>
    <n v="1"/>
    <s v="1819000.500"/>
    <s v="משתלם בתי&quot;ס בניהול עצמי - הוצאות כלליות"/>
    <m/>
    <m/>
    <n v="77000"/>
    <n v="77000"/>
    <n v="84400"/>
    <e v="#N/A"/>
    <x v="5"/>
    <x v="2"/>
    <x v="34"/>
    <x v="8"/>
    <x v="120"/>
    <x v="76"/>
    <s v="8190"/>
    <e v="#N/A"/>
    <m/>
    <s v="5"/>
    <x v="12"/>
    <s v="50"/>
    <e v="#N/A"/>
    <s v="500"/>
    <e v="#N/A"/>
  </r>
  <r>
    <n v="200"/>
    <n v="818490"/>
    <n v="1"/>
    <s v="1818490.200"/>
    <s v="משתלם בתי&quot;ס משולבים - שכר לעובדים ארעיים"/>
    <m/>
    <m/>
    <n v="350000"/>
    <n v="350000"/>
    <n v="455900"/>
    <e v="#N/A"/>
    <x v="5"/>
    <x v="2"/>
    <x v="34"/>
    <x v="8"/>
    <x v="93"/>
    <x v="65"/>
    <s v="8184"/>
    <e v="#N/A"/>
    <m/>
    <s v="2"/>
    <x v="10"/>
    <s v="20"/>
    <e v="#N/A"/>
    <s v="200"/>
    <e v="#N/A"/>
  </r>
  <r>
    <n v="500"/>
    <n v="818490"/>
    <n v="1"/>
    <s v="1818490.500"/>
    <s v="משתלם בתי&quot;ס משולבים - הוצאות כלליות"/>
    <m/>
    <m/>
    <n v="140000"/>
    <n v="140000"/>
    <n v="7500"/>
    <e v="#N/A"/>
    <x v="5"/>
    <x v="2"/>
    <x v="34"/>
    <x v="8"/>
    <x v="93"/>
    <x v="65"/>
    <s v="8184"/>
    <e v="#N/A"/>
    <m/>
    <s v="5"/>
    <x v="12"/>
    <s v="50"/>
    <e v="#N/A"/>
    <s v="500"/>
    <e v="#N/A"/>
  </r>
  <r>
    <n v="700"/>
    <n v="812255"/>
    <n v="1"/>
    <s v="1812255.700"/>
    <s v="סל תרבות - הוצאות לפעולות"/>
    <m/>
    <m/>
    <n v="2136200"/>
    <n v="2199000"/>
    <n v="2606100"/>
    <e v="#N/A"/>
    <x v="5"/>
    <x v="2"/>
    <x v="34"/>
    <x v="8"/>
    <x v="119"/>
    <x v="18"/>
    <s v="8122"/>
    <s v="גני ילדים גיל חובה"/>
    <m/>
    <s v="7"/>
    <x v="9"/>
    <s v="70"/>
    <e v="#N/A"/>
    <s v="700"/>
    <e v="#N/A"/>
  </r>
  <r>
    <n v="700"/>
    <n v="817380"/>
    <n v="1"/>
    <s v="1817380.700"/>
    <s v="פעולות חברה - הוצאות לפעולות"/>
    <m/>
    <m/>
    <n v="1394000"/>
    <n v="1595000"/>
    <n v="1232700"/>
    <e v="#N/A"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700"/>
    <n v="813270"/>
    <n v="1"/>
    <s v="1813270.700"/>
    <s v="בתי&quot;ס יחודיים - הוצאות לפעולות"/>
    <m/>
    <m/>
    <n v="242900"/>
    <n v="250000"/>
    <n v="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700"/>
    <n v="811703"/>
    <n v="1"/>
    <s v="1811703.700"/>
    <s v="בי&quot;ס להורים - הוצאות לפעולות"/>
    <m/>
    <m/>
    <n v="1068600"/>
    <n v="1100000"/>
    <n v="863800"/>
    <e v="#N/A"/>
    <x v="5"/>
    <x v="2"/>
    <x v="34"/>
    <x v="8"/>
    <x v="114"/>
    <x v="17"/>
    <s v="8117"/>
    <e v="#N/A"/>
    <m/>
    <s v="7"/>
    <x v="9"/>
    <s v="70"/>
    <e v="#N/A"/>
    <s v="700"/>
    <e v="#N/A"/>
  </r>
  <r>
    <n v="700"/>
    <n v="818100"/>
    <n v="1"/>
    <s v="1818100.700"/>
    <s v="בתי תלמיד -חינוך משלים - הוצאות לפעולות"/>
    <m/>
    <m/>
    <n v="388600"/>
    <n v="400000"/>
    <n v="400000"/>
    <e v="#N/A"/>
    <x v="5"/>
    <x v="2"/>
    <x v="34"/>
    <x v="8"/>
    <x v="93"/>
    <x v="65"/>
    <s v="8181"/>
    <e v="#N/A"/>
    <m/>
    <s v="7"/>
    <x v="9"/>
    <s v="70"/>
    <e v="#N/A"/>
    <s v="700"/>
    <e v="#N/A"/>
  </r>
  <r>
    <n v="700"/>
    <n v="813271"/>
    <n v="1"/>
    <s v="1813271.700"/>
    <s v="מפעל הזנה יוח&quot;א - הוצאות לפעולות"/>
    <m/>
    <m/>
    <n v="2137200"/>
    <n v="2200000"/>
    <n v="19437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700"/>
    <n v="813272"/>
    <n v="1"/>
    <s v="1813272.700"/>
    <s v="בריאות השן - הוצאות לפעולות"/>
    <m/>
    <m/>
    <n v="0"/>
    <n v="350000"/>
    <n v="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700"/>
    <n v="813273"/>
    <n v="1"/>
    <s v="1813273.700"/>
    <s v="קייטנות בקיץ - הוצאות לפעולות"/>
    <m/>
    <m/>
    <n v="6411500"/>
    <n v="6600000"/>
    <n v="3207300"/>
    <e v="#N/A"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400"/>
    <n v="815700"/>
    <n v="1"/>
    <s v="1815700.400"/>
    <s v="חטיבות ביניים - פעולות - אחזקה אספקה וציוד"/>
    <m/>
    <m/>
    <n v="68000"/>
    <n v="68000"/>
    <n v="115300"/>
    <e v="#N/A"/>
    <x v="5"/>
    <x v="2"/>
    <x v="34"/>
    <x v="8"/>
    <x v="118"/>
    <x v="21"/>
    <s v="8157"/>
    <s v="בתי״ס על יסודיים מקיפים"/>
    <m/>
    <s v="4"/>
    <x v="11"/>
    <s v="40"/>
    <e v="#N/A"/>
    <s v="400"/>
    <e v="#N/A"/>
  </r>
  <r>
    <n v="500"/>
    <n v="815700"/>
    <n v="1"/>
    <s v="1815700.500"/>
    <s v="חטיבות ביניים - פעולות - תחבורה ודואר"/>
    <m/>
    <m/>
    <n v="1000"/>
    <n v="1000"/>
    <n v="400"/>
    <e v="#N/A"/>
    <x v="5"/>
    <x v="2"/>
    <x v="34"/>
    <x v="8"/>
    <x v="118"/>
    <x v="21"/>
    <s v="8157"/>
    <s v="בתי״ס על יסודיים מקיפים"/>
    <m/>
    <s v="5"/>
    <x v="12"/>
    <s v="50"/>
    <e v="#N/A"/>
    <s v="500"/>
    <e v="#N/A"/>
  </r>
  <r>
    <n v="700"/>
    <n v="815700"/>
    <n v="1"/>
    <s v="1815700.700"/>
    <s v="חטיבות ביניים - פעולות - הוצאות לפעולות"/>
    <m/>
    <m/>
    <n v="340500"/>
    <n v="352500"/>
    <n v="296600"/>
    <e v="#N/A"/>
    <x v="5"/>
    <x v="2"/>
    <x v="34"/>
    <x v="8"/>
    <x v="118"/>
    <x v="21"/>
    <s v="8157"/>
    <s v="בתי״ס על יסודיים מקיפים"/>
    <m/>
    <s v="7"/>
    <x v="9"/>
    <s v="70"/>
    <e v="#N/A"/>
    <s v="700"/>
    <e v="#N/A"/>
  </r>
  <r>
    <n v="100"/>
    <n v="815710"/>
    <n v="1"/>
    <s v="1815710.100"/>
    <s v="חטיבות ביניים - עמלניות - שכר לעובדים קבועים"/>
    <m/>
    <m/>
    <n v="2135000"/>
    <n v="2112000"/>
    <n v="2062500"/>
    <m/>
    <x v="5"/>
    <x v="2"/>
    <x v="34"/>
    <x v="8"/>
    <x v="118"/>
    <x v="21"/>
    <s v="8157"/>
    <s v="בתי״ס על יסודיים מקיפים"/>
    <m/>
    <s v="1"/>
    <x v="8"/>
    <s v="10"/>
    <e v="#N/A"/>
    <s v="100"/>
    <e v="#N/A"/>
  </r>
  <r>
    <n v="120"/>
    <n v="815710"/>
    <n v="1"/>
    <s v="1815710.120"/>
    <s v="חטיבות ביניים - עמלניות - שעות נוספות"/>
    <m/>
    <m/>
    <n v="1000"/>
    <n v="1000"/>
    <n v="700"/>
    <m/>
    <x v="5"/>
    <x v="2"/>
    <x v="34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400"/>
    <n v="815710"/>
    <n v="1"/>
    <s v="1815710.400"/>
    <s v="חטיבות ביניים - עמלניות - אחזקה אספקה וציוד"/>
    <m/>
    <m/>
    <n v="233000"/>
    <n v="233000"/>
    <n v="330800"/>
    <m/>
    <x v="5"/>
    <x v="2"/>
    <x v="34"/>
    <x v="8"/>
    <x v="118"/>
    <x v="21"/>
    <s v="8157"/>
    <s v="בתי״ס על יסודיים מקיפים"/>
    <m/>
    <s v="4"/>
    <x v="11"/>
    <s v="40"/>
    <e v="#N/A"/>
    <s v="400"/>
    <e v="#N/A"/>
  </r>
  <r>
    <n v="500"/>
    <n v="815710"/>
    <n v="1"/>
    <s v="1815710.500"/>
    <s v="חטיבות ביניים - עמלניות - הוצאות כלליות"/>
    <m/>
    <m/>
    <n v="48400"/>
    <n v="48500"/>
    <n v="16100"/>
    <m/>
    <x v="5"/>
    <x v="2"/>
    <x v="34"/>
    <x v="8"/>
    <x v="118"/>
    <x v="21"/>
    <s v="8157"/>
    <s v="בתי״ס על יסודיים מקיפים"/>
    <m/>
    <s v="5"/>
    <x v="12"/>
    <s v="50"/>
    <e v="#N/A"/>
    <s v="500"/>
    <e v="#N/A"/>
  </r>
  <r>
    <n v="700"/>
    <n v="815710"/>
    <n v="1"/>
    <s v="1815710.700"/>
    <s v="חטיבות ביניים - עמלניות - הוצאות לפעולות"/>
    <m/>
    <m/>
    <n v="336000"/>
    <n v="354000"/>
    <n v="329000"/>
    <m/>
    <x v="5"/>
    <x v="2"/>
    <x v="34"/>
    <x v="8"/>
    <x v="118"/>
    <x v="21"/>
    <s v="8157"/>
    <s v="בתי״ס על יסודיים מקיפים"/>
    <m/>
    <s v="7"/>
    <x v="9"/>
    <s v="70"/>
    <e v="#N/A"/>
    <s v="700"/>
    <e v="#N/A"/>
  </r>
  <r>
    <n v="400"/>
    <n v="815720"/>
    <n v="1"/>
    <s v="1815720.400"/>
    <s v="חט&quot;ב רעות - אחזקה אספקה וציוד"/>
    <m/>
    <m/>
    <n v="0"/>
    <n v="0"/>
    <n v="152000"/>
    <m/>
    <x v="5"/>
    <x v="2"/>
    <x v="34"/>
    <x v="8"/>
    <x v="118"/>
    <x v="21"/>
    <s v="8157"/>
    <s v="בתי״ס על יסודיים מקיפים"/>
    <m/>
    <s v="4"/>
    <x v="11"/>
    <s v="40"/>
    <e v="#N/A"/>
    <s v="400"/>
    <e v="#N/A"/>
  </r>
  <r>
    <n v="100"/>
    <n v="815730"/>
    <n v="1"/>
    <s v="1815730.100"/>
    <s v="חט&quot;ב עובדים מינהליים ‏(מזכירות, עובדי משק תחזוקה וניקיון)‏ - שכר לעובדים קבועים"/>
    <m/>
    <m/>
    <n v="9599200"/>
    <n v="9494200"/>
    <n v="9547200"/>
    <m/>
    <x v="5"/>
    <x v="2"/>
    <x v="34"/>
    <x v="8"/>
    <x v="118"/>
    <x v="21"/>
    <s v="8157"/>
    <s v="בתי״ס על יסודיים מקיפים"/>
    <m/>
    <s v="1"/>
    <x v="8"/>
    <s v="10"/>
    <e v="#N/A"/>
    <s v="100"/>
    <e v="#N/A"/>
  </r>
  <r>
    <n v="120"/>
    <n v="815730"/>
    <n v="1"/>
    <s v="1815730.120"/>
    <s v="חט&quot;ב עובדים מינהליים ‏(מזכירות, עובדי משק תחזוקה וניקיון)‏ - שעות נוספות"/>
    <m/>
    <m/>
    <n v="7800"/>
    <n v="7800"/>
    <n v="9300"/>
    <n v="197574"/>
    <x v="5"/>
    <x v="2"/>
    <x v="34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100"/>
    <n v="815740"/>
    <n v="1"/>
    <s v="1815740.100"/>
    <s v="חט&quot;ב - ספרנים - שכר לעובדים קבועים"/>
    <m/>
    <m/>
    <n v="2026100"/>
    <n v="1707100"/>
    <n v="1630100"/>
    <e v="#N/A"/>
    <x v="5"/>
    <x v="2"/>
    <x v="34"/>
    <x v="8"/>
    <x v="118"/>
    <x v="21"/>
    <s v="8157"/>
    <s v="בתי״ס על יסודיים מקיפים"/>
    <m/>
    <s v="1"/>
    <x v="8"/>
    <s v="10"/>
    <e v="#N/A"/>
    <s v="100"/>
    <e v="#N/A"/>
  </r>
  <r>
    <n v="120"/>
    <n v="815740"/>
    <n v="1"/>
    <s v="1815740.120"/>
    <s v="חט&quot;ב - ספרנים - שעות נוספות"/>
    <m/>
    <m/>
    <n v="2900"/>
    <n v="2900"/>
    <n v="1300"/>
    <e v="#N/A"/>
    <x v="5"/>
    <x v="2"/>
    <x v="34"/>
    <x v="8"/>
    <x v="118"/>
    <x v="21"/>
    <s v="8157"/>
    <s v="בתי״ס על יסודיים מקיפים"/>
    <m/>
    <s v="1"/>
    <x v="8"/>
    <s v="12"/>
    <s v="תוספות שאינן נכללות בשכר הקובע"/>
    <s v="120"/>
    <e v="#N/A"/>
  </r>
  <r>
    <n v="100"/>
    <n v="815750"/>
    <n v="1"/>
    <s v="1815750.100"/>
    <s v="חט&quot;ב מורים - שכר לעובדים קבועים"/>
    <m/>
    <m/>
    <n v="3988000"/>
    <n v="3944000"/>
    <n v="3614100"/>
    <e v="#N/A"/>
    <x v="5"/>
    <x v="2"/>
    <x v="34"/>
    <x v="8"/>
    <x v="118"/>
    <x v="21"/>
    <s v="8157"/>
    <s v="בתי״ס על יסודיים מקיפים"/>
    <m/>
    <s v="1"/>
    <x v="8"/>
    <s v="10"/>
    <e v="#N/A"/>
    <s v="100"/>
    <e v="#N/A"/>
  </r>
  <r>
    <n v="100"/>
    <n v="815760"/>
    <n v="1"/>
    <s v="1815760.100"/>
    <s v="חט&quot;ב - סיוע טכני - שכר לעובדים קבועים"/>
    <m/>
    <m/>
    <n v="2116000"/>
    <n v="2093000"/>
    <n v="2395200"/>
    <e v="#N/A"/>
    <x v="5"/>
    <x v="2"/>
    <x v="34"/>
    <x v="8"/>
    <x v="118"/>
    <x v="21"/>
    <s v="8157"/>
    <s v="בתי״ס על יסודיים מקיפים"/>
    <m/>
    <s v="1"/>
    <x v="8"/>
    <s v="10"/>
    <e v="#N/A"/>
    <s v="100"/>
    <e v="#N/A"/>
  </r>
  <r>
    <n v="200"/>
    <n v="815790"/>
    <n v="1"/>
    <s v="1815790.200"/>
    <s v="משתלם חט&quot;ב רעות - שכר לעובדים ארעיים"/>
    <m/>
    <m/>
    <n v="300000"/>
    <n v="300000"/>
    <n v="0"/>
    <e v="#N/A"/>
    <x v="5"/>
    <x v="2"/>
    <x v="34"/>
    <x v="8"/>
    <x v="118"/>
    <x v="21"/>
    <s v="8157"/>
    <s v="בתי״ס על יסודיים מקיפים"/>
    <m/>
    <s v="2"/>
    <x v="10"/>
    <s v="20"/>
    <e v="#N/A"/>
    <s v="200"/>
    <e v="#N/A"/>
  </r>
  <r>
    <n v="500"/>
    <n v="815790"/>
    <n v="1"/>
    <s v="1815790.500"/>
    <s v="משתלם חט&quot;ב רעות - הוצאות כלליות"/>
    <m/>
    <m/>
    <n v="850000"/>
    <n v="850000"/>
    <n v="354700"/>
    <e v="#N/A"/>
    <x v="5"/>
    <x v="2"/>
    <x v="34"/>
    <x v="8"/>
    <x v="118"/>
    <x v="21"/>
    <s v="8157"/>
    <s v="בתי״ס על יסודיים מקיפים"/>
    <m/>
    <s v="5"/>
    <x v="12"/>
    <s v="50"/>
    <e v="#N/A"/>
    <s v="500"/>
    <e v="#N/A"/>
  </r>
  <r>
    <n v="100"/>
    <n v="813710"/>
    <n v="1"/>
    <s v="1813710.100"/>
    <s v="חוה חקלאית ק. ביאליק - שכר לעובדים קבועים"/>
    <m/>
    <m/>
    <n v="383000"/>
    <n v="379000"/>
    <n v="348900"/>
    <e v="#N/A"/>
    <x v="5"/>
    <x v="2"/>
    <x v="34"/>
    <x v="8"/>
    <x v="116"/>
    <x v="19"/>
    <s v="8137"/>
    <s v="חוות חקלאיות"/>
    <m/>
    <s v="1"/>
    <x v="8"/>
    <s v="10"/>
    <e v="#N/A"/>
    <s v="100"/>
    <e v="#N/A"/>
  </r>
  <r>
    <n v="400"/>
    <n v="813710"/>
    <n v="1"/>
    <s v="1813710.400"/>
    <s v="חוה חקלאית ק. ביאליק - אחזקה אספקה וציוד"/>
    <m/>
    <m/>
    <n v="64000"/>
    <n v="64000"/>
    <n v="26300"/>
    <e v="#N/A"/>
    <x v="5"/>
    <x v="2"/>
    <x v="34"/>
    <x v="8"/>
    <x v="116"/>
    <x v="19"/>
    <s v="8137"/>
    <s v="חוות חקלאיות"/>
    <m/>
    <s v="4"/>
    <x v="11"/>
    <s v="40"/>
    <e v="#N/A"/>
    <s v="400"/>
    <e v="#N/A"/>
  </r>
  <r>
    <n v="700"/>
    <n v="813710"/>
    <n v="1"/>
    <s v="1813710.700"/>
    <s v="חוה חקלאית ק. ביאליק - הוצאות לפעולות"/>
    <m/>
    <m/>
    <n v="44300"/>
    <n v="47500"/>
    <n v="32100"/>
    <e v="#N/A"/>
    <x v="5"/>
    <x v="2"/>
    <x v="34"/>
    <x v="8"/>
    <x v="116"/>
    <x v="19"/>
    <s v="8137"/>
    <s v="חוות חקלאיות"/>
    <m/>
    <s v="7"/>
    <x v="9"/>
    <s v="70"/>
    <e v="#N/A"/>
    <s v="700"/>
    <e v="#N/A"/>
  </r>
  <r>
    <n v="500"/>
    <n v="813719"/>
    <n v="1"/>
    <s v="1813719.500"/>
    <s v="משתלם חוה ק. ביאליק - הוצאות כלליות"/>
    <m/>
    <m/>
    <n v="30000"/>
    <n v="30000"/>
    <n v="16800"/>
    <e v="#N/A"/>
    <x v="5"/>
    <x v="2"/>
    <x v="34"/>
    <x v="8"/>
    <x v="116"/>
    <x v="19"/>
    <s v="8137"/>
    <s v="חוות חקלאיות"/>
    <m/>
    <s v="5"/>
    <x v="12"/>
    <s v="50"/>
    <e v="#N/A"/>
    <s v="500"/>
    <e v="#N/A"/>
  </r>
  <r>
    <n v="100"/>
    <n v="813720"/>
    <n v="1"/>
    <s v="1813720.100"/>
    <s v="חוה חקלאית גן כרמית - שכר לעובדים קבועים"/>
    <m/>
    <m/>
    <n v="519000"/>
    <n v="642000"/>
    <n v="481800"/>
    <m/>
    <x v="5"/>
    <x v="2"/>
    <x v="34"/>
    <x v="8"/>
    <x v="116"/>
    <x v="19"/>
    <s v="8137"/>
    <s v="חוות חקלאיות"/>
    <m/>
    <s v="1"/>
    <x v="8"/>
    <s v="10"/>
    <e v="#N/A"/>
    <s v="100"/>
    <e v="#N/A"/>
  </r>
  <r>
    <n v="400"/>
    <n v="813720"/>
    <n v="1"/>
    <s v="1813720.400"/>
    <s v="חוה חקלאית גן כרמית - אחזקה אספקה וציוד"/>
    <m/>
    <m/>
    <n v="28500"/>
    <n v="28500"/>
    <n v="35600"/>
    <m/>
    <x v="5"/>
    <x v="2"/>
    <x v="34"/>
    <x v="8"/>
    <x v="116"/>
    <x v="19"/>
    <s v="8137"/>
    <s v="חוות חקלאיות"/>
    <m/>
    <s v="4"/>
    <x v="11"/>
    <s v="40"/>
    <e v="#N/A"/>
    <s v="400"/>
    <e v="#N/A"/>
  </r>
  <r>
    <n v="700"/>
    <n v="813720"/>
    <n v="1"/>
    <s v="1813720.700"/>
    <s v="חוה חקלאית גן כרמית - הוצאות לפעולות"/>
    <m/>
    <m/>
    <n v="64600"/>
    <n v="67300"/>
    <n v="55800"/>
    <m/>
    <x v="5"/>
    <x v="2"/>
    <x v="34"/>
    <x v="8"/>
    <x v="116"/>
    <x v="19"/>
    <s v="8137"/>
    <s v="חוות חקלאיות"/>
    <m/>
    <s v="7"/>
    <x v="9"/>
    <s v="70"/>
    <e v="#N/A"/>
    <s v="700"/>
    <e v="#N/A"/>
  </r>
  <r>
    <n v="500"/>
    <n v="813729"/>
    <n v="1"/>
    <s v="1813729.500"/>
    <s v="משתלם חוה גן כרמית - הוצאות כלליות"/>
    <m/>
    <m/>
    <n v="155000"/>
    <n v="155000"/>
    <n v="19200"/>
    <m/>
    <x v="5"/>
    <x v="2"/>
    <x v="34"/>
    <x v="8"/>
    <x v="116"/>
    <x v="19"/>
    <s v="8137"/>
    <s v="חוות חקלאיות"/>
    <m/>
    <s v="5"/>
    <x v="12"/>
    <s v="50"/>
    <e v="#N/A"/>
    <s v="500"/>
    <e v="#N/A"/>
  </r>
  <r>
    <n v="700"/>
    <n v="815510"/>
    <n v="1"/>
    <s v="1815510.700"/>
    <s v="מרכז טכנולוגי - הוצאות לפעולות"/>
    <m/>
    <m/>
    <n v="1214300"/>
    <n v="1250000"/>
    <n v="0"/>
    <m/>
    <x v="5"/>
    <x v="2"/>
    <x v="34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3830"/>
    <n v="1"/>
    <s v="1813830.100"/>
    <s v="מרכז ימי - שכר לעובדים קבועים"/>
    <m/>
    <m/>
    <n v="456000"/>
    <n v="451000"/>
    <n v="405700"/>
    <m/>
    <x v="5"/>
    <x v="2"/>
    <x v="34"/>
    <x v="8"/>
    <x v="116"/>
    <x v="19"/>
    <s v="8138"/>
    <s v="קייטנות לימודיות וחודש לימוד נוסף"/>
    <m/>
    <s v="1"/>
    <x v="8"/>
    <s v="10"/>
    <e v="#N/A"/>
    <s v="100"/>
    <e v="#N/A"/>
  </r>
  <r>
    <n v="400"/>
    <n v="813830"/>
    <n v="1"/>
    <s v="1813830.400"/>
    <s v="מרכז ימי - אחזקה אספקה וציוד"/>
    <m/>
    <m/>
    <n v="24000"/>
    <n v="24000"/>
    <n v="31400"/>
    <m/>
    <x v="5"/>
    <x v="2"/>
    <x v="34"/>
    <x v="8"/>
    <x v="116"/>
    <x v="19"/>
    <s v="8138"/>
    <s v="קייטנות לימודיות וחודש לימוד נוסף"/>
    <m/>
    <s v="4"/>
    <x v="11"/>
    <s v="40"/>
    <e v="#N/A"/>
    <s v="400"/>
    <e v="#N/A"/>
  </r>
  <r>
    <n v="700"/>
    <n v="813830"/>
    <n v="1"/>
    <s v="1813830.700"/>
    <s v="מרכז ימי - הוצאות לפעולות"/>
    <m/>
    <m/>
    <n v="108100"/>
    <n v="112000"/>
    <n v="110900"/>
    <m/>
    <x v="5"/>
    <x v="2"/>
    <x v="34"/>
    <x v="8"/>
    <x v="116"/>
    <x v="19"/>
    <s v="8138"/>
    <s v="קייטנות לימודיות וחודש לימוד נוסף"/>
    <m/>
    <s v="7"/>
    <x v="9"/>
    <s v="70"/>
    <e v="#N/A"/>
    <s v="700"/>
    <e v="#N/A"/>
  </r>
  <r>
    <n v="500"/>
    <n v="813839"/>
    <n v="1"/>
    <s v="1813839.500"/>
    <s v="משתלם מרכז ימי - הוצאות כלליות"/>
    <m/>
    <m/>
    <n v="20000"/>
    <n v="20000"/>
    <n v="500"/>
    <m/>
    <x v="5"/>
    <x v="2"/>
    <x v="34"/>
    <x v="8"/>
    <x v="116"/>
    <x v="19"/>
    <s v="8138"/>
    <s v="קייטנות לימודיות וחודש לימוד נוסף"/>
    <m/>
    <s v="5"/>
    <x v="12"/>
    <s v="50"/>
    <e v="#N/A"/>
    <s v="500"/>
    <e v="#N/A"/>
  </r>
  <r>
    <n v="100"/>
    <n v="813287"/>
    <n v="1"/>
    <s v="1813287.100"/>
    <s v="המכון הביולוגי - שכר לעובדים קבועים"/>
    <m/>
    <m/>
    <n v="284000"/>
    <n v="281000"/>
    <n v="284600"/>
    <m/>
    <x v="5"/>
    <x v="2"/>
    <x v="34"/>
    <x v="8"/>
    <x v="116"/>
    <x v="19"/>
    <s v="8132"/>
    <s v="בתי״ס יסודיים"/>
    <m/>
    <s v="1"/>
    <x v="8"/>
    <s v="10"/>
    <e v="#N/A"/>
    <s v="100"/>
    <e v="#N/A"/>
  </r>
  <r>
    <n v="700"/>
    <n v="813287"/>
    <n v="1"/>
    <s v="1813287.700"/>
    <s v="המכון הביולוגי - הוצאות לפעולות"/>
    <m/>
    <m/>
    <n v="43700"/>
    <n v="45000"/>
    <n v="45000"/>
    <m/>
    <x v="5"/>
    <x v="2"/>
    <x v="34"/>
    <x v="8"/>
    <x v="116"/>
    <x v="19"/>
    <s v="8132"/>
    <s v="בתי״ס יסודיים"/>
    <m/>
    <s v="7"/>
    <x v="9"/>
    <s v="70"/>
    <e v="#N/A"/>
    <s v="700"/>
    <e v="#N/A"/>
  </r>
  <r>
    <n v="100"/>
    <n v="815100"/>
    <n v="1"/>
    <s v="1815100.100"/>
    <s v="הנהלת חינוך על יסודי - שכר לעובדים קבועים"/>
    <m/>
    <m/>
    <n v="1169100"/>
    <n v="1156100"/>
    <n v="1463500"/>
    <m/>
    <x v="5"/>
    <x v="2"/>
    <x v="34"/>
    <x v="8"/>
    <x v="118"/>
    <x v="21"/>
    <s v="8151"/>
    <s v="מינהל החינוך העל יסודי"/>
    <m/>
    <s v="1"/>
    <x v="8"/>
    <s v="10"/>
    <e v="#N/A"/>
    <s v="100"/>
    <e v="#N/A"/>
  </r>
  <r>
    <n v="120"/>
    <n v="815100"/>
    <n v="1"/>
    <s v="1815100.120"/>
    <s v="הנהלת חינוך על יסודי - שעות נוספות"/>
    <m/>
    <m/>
    <n v="31900"/>
    <n v="31900"/>
    <n v="34700"/>
    <m/>
    <x v="5"/>
    <x v="2"/>
    <x v="34"/>
    <x v="8"/>
    <x v="118"/>
    <x v="21"/>
    <s v="8151"/>
    <s v="מינהל החינוך העל יסודי"/>
    <m/>
    <s v="1"/>
    <x v="8"/>
    <s v="12"/>
    <s v="תוספות שאינן נכללות בשכר הקובע"/>
    <s v="120"/>
    <e v="#N/A"/>
  </r>
  <r>
    <n v="500"/>
    <n v="815100"/>
    <n v="1"/>
    <s v="1815100.500"/>
    <s v="הנהלת חינוך על יסודי - הוצאות כלליות"/>
    <m/>
    <m/>
    <n v="1000"/>
    <n v="1000"/>
    <n v="600"/>
    <m/>
    <x v="5"/>
    <x v="2"/>
    <x v="34"/>
    <x v="8"/>
    <x v="118"/>
    <x v="21"/>
    <s v="8151"/>
    <s v="מינהל החינוך העל יסודי"/>
    <m/>
    <s v="5"/>
    <x v="12"/>
    <s v="50"/>
    <e v="#N/A"/>
    <s v="500"/>
    <e v="#N/A"/>
  </r>
  <r>
    <n v="700"/>
    <n v="815100"/>
    <n v="1"/>
    <s v="1815100.700"/>
    <s v="הנהלת חינוך על יסודי - הוצאות לפעולות"/>
    <m/>
    <m/>
    <n v="23300"/>
    <n v="24000"/>
    <n v="21000"/>
    <m/>
    <x v="5"/>
    <x v="2"/>
    <x v="34"/>
    <x v="8"/>
    <x v="118"/>
    <x v="21"/>
    <s v="8151"/>
    <s v="מינהל החינוך העל יסודי"/>
    <m/>
    <s v="7"/>
    <x v="9"/>
    <s v="70"/>
    <e v="#N/A"/>
    <s v="700"/>
    <e v="#N/A"/>
  </r>
  <r>
    <n v="700"/>
    <n v="815120"/>
    <n v="1"/>
    <s v="1815120.700"/>
    <s v="שידרוג חינוך על יסודי - הוצאות לפעולות"/>
    <m/>
    <m/>
    <n v="534300"/>
    <n v="550000"/>
    <n v="447000"/>
    <m/>
    <x v="5"/>
    <x v="2"/>
    <x v="34"/>
    <x v="8"/>
    <x v="118"/>
    <x v="21"/>
    <s v="8151"/>
    <s v="מינהל החינוך העל יסודי"/>
    <m/>
    <s v="7"/>
    <x v="9"/>
    <s v="70"/>
    <e v="#N/A"/>
    <s v="700"/>
    <e v="#N/A"/>
  </r>
  <r>
    <n v="200"/>
    <n v="815190"/>
    <n v="1"/>
    <s v="1815190.200"/>
    <s v="משתלם על יסודי - שכר לעובדים ארעיים"/>
    <m/>
    <m/>
    <n v="100000"/>
    <n v="100000"/>
    <n v="0"/>
    <m/>
    <x v="5"/>
    <x v="2"/>
    <x v="34"/>
    <x v="8"/>
    <x v="118"/>
    <x v="21"/>
    <s v="8151"/>
    <s v="מינהל החינוך העל יסודי"/>
    <m/>
    <s v="2"/>
    <x v="10"/>
    <s v="20"/>
    <e v="#N/A"/>
    <s v="200"/>
    <e v="#N/A"/>
  </r>
  <r>
    <n v="500"/>
    <n v="815190"/>
    <n v="1"/>
    <s v="1815190.500"/>
    <s v="משתלם על יסודי - הוצאות כלליות"/>
    <m/>
    <m/>
    <n v="2090000"/>
    <n v="2090000"/>
    <n v="1398900"/>
    <m/>
    <x v="5"/>
    <x v="2"/>
    <x v="34"/>
    <x v="8"/>
    <x v="118"/>
    <x v="21"/>
    <s v="8151"/>
    <s v="מינהל החינוך העל יסודי"/>
    <m/>
    <s v="5"/>
    <x v="12"/>
    <s v="50"/>
    <e v="#N/A"/>
    <s v="500"/>
    <e v="#N/A"/>
  </r>
  <r>
    <n v="700"/>
    <n v="815190"/>
    <n v="1"/>
    <s v="1815190.700"/>
    <s v="משתלם על יסודי - הוצאות לפעולות"/>
    <m/>
    <m/>
    <n v="12000"/>
    <n v="12000"/>
    <n v="14800"/>
    <m/>
    <x v="5"/>
    <x v="2"/>
    <x v="34"/>
    <x v="8"/>
    <x v="118"/>
    <x v="21"/>
    <s v="8151"/>
    <s v="מינהל החינוך העל יסודי"/>
    <m/>
    <s v="7"/>
    <x v="9"/>
    <s v="70"/>
    <e v="#N/A"/>
    <s v="700"/>
    <e v="#N/A"/>
  </r>
  <r>
    <n v="100"/>
    <n v="815210"/>
    <n v="1"/>
    <s v="1815210.100"/>
    <s v="תיכון עירוני א'‏ - שכר לעובדים קבועים"/>
    <m/>
    <m/>
    <n v="11786400"/>
    <n v="11657400"/>
    <n v="108230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10"/>
    <n v="1"/>
    <s v="1815210.120"/>
    <s v="תיכון עירוני א'‏ - שעות נוספות"/>
    <m/>
    <m/>
    <n v="4600"/>
    <n v="4600"/>
    <n v="7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10"/>
    <n v="1"/>
    <s v="1815210.400"/>
    <s v="תיכון עירוני א'‏ - אחזקה אספקה וציוד"/>
    <m/>
    <m/>
    <n v="300000"/>
    <n v="330000"/>
    <n v="4060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10"/>
    <n v="1"/>
    <s v="1815210.500"/>
    <s v="תיכון עירוני א'‏ - תחבורה ודואר"/>
    <m/>
    <m/>
    <n v="10000"/>
    <n v="9000"/>
    <n v="270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10"/>
    <n v="1"/>
    <s v="1815210.700"/>
    <s v="תיכון עירוני א'‏ - הוצאות לפעולות"/>
    <m/>
    <m/>
    <n v="2558600"/>
    <n v="2613900"/>
    <n v="23574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20"/>
    <n v="1"/>
    <s v="1815220.100"/>
    <s v="תיכון יבנה - שכר לעובדים קבועים"/>
    <m/>
    <m/>
    <n v="5186000"/>
    <n v="5129000"/>
    <n v="45935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20"/>
    <n v="1"/>
    <s v="1815220.400"/>
    <s v="תיכון יבנה - אחזקה אספקה וציוד"/>
    <m/>
    <m/>
    <n v="215000"/>
    <n v="224000"/>
    <n v="3223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20"/>
    <n v="1"/>
    <s v="1815220.700"/>
    <s v="תיכון יבנה - הוצאות לפעולות"/>
    <m/>
    <m/>
    <n v="406700"/>
    <n v="416000"/>
    <n v="3863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30"/>
    <n v="1"/>
    <s v="1815230.100"/>
    <s v="תיכון ג'‏ - שכר לעובדים קבועים"/>
    <m/>
    <m/>
    <n v="7080400"/>
    <n v="7002400"/>
    <n v="70359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30"/>
    <n v="1"/>
    <s v="1815230.120"/>
    <s v="תיכון ג'‏ - שעות נוספות"/>
    <m/>
    <m/>
    <n v="3600"/>
    <n v="3600"/>
    <n v="82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30"/>
    <n v="1"/>
    <s v="1815230.400"/>
    <s v="תיכון ג'‏ - אחזקה אספקה וציוד"/>
    <m/>
    <m/>
    <n v="279300"/>
    <n v="310000"/>
    <n v="5389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30"/>
    <n v="1"/>
    <s v="1815230.700"/>
    <s v="תיכון ג'‏ - הוצאות לפעולות"/>
    <m/>
    <m/>
    <n v="2807000"/>
    <n v="2867000"/>
    <n v="37740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40"/>
    <n v="1"/>
    <s v="1815240.100"/>
    <s v="תיכון חוגים - שכר לעובדים קבועים"/>
    <m/>
    <m/>
    <n v="11297600"/>
    <n v="11173600"/>
    <n v="103890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40"/>
    <n v="1"/>
    <s v="1815240.120"/>
    <s v="תיכון חוגים - שעות נוספות"/>
    <m/>
    <m/>
    <n v="5400"/>
    <n v="5400"/>
    <n v="75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40"/>
    <n v="1"/>
    <s v="1815240.400"/>
    <s v="תיכון חוגים - אחזקה אספקה וציוד"/>
    <m/>
    <m/>
    <n v="213000"/>
    <n v="213000"/>
    <n v="2029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40"/>
    <n v="1"/>
    <s v="1815240.500"/>
    <s v="תיכון חוגים - תחבורה ודואר"/>
    <m/>
    <m/>
    <n v="10000"/>
    <n v="10000"/>
    <n v="350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40"/>
    <n v="1"/>
    <s v="1815240.700"/>
    <s v="תיכון חוגים - הוצאות לפעולות"/>
    <m/>
    <m/>
    <n v="2671900"/>
    <n v="2757000"/>
    <n v="28740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50"/>
    <n v="1"/>
    <s v="1815250.100"/>
    <s v="תיכון עירוני ה.‏ - שכר לעובדים קבועים"/>
    <m/>
    <m/>
    <n v="12115400"/>
    <n v="11982400"/>
    <n v="121132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50"/>
    <n v="1"/>
    <s v="1815250.120"/>
    <s v="תיכון עירוני ה.‏ - שעות נוספות"/>
    <m/>
    <m/>
    <n v="36600"/>
    <n v="36600"/>
    <n v="443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50"/>
    <n v="1"/>
    <s v="1815250.400"/>
    <s v="תיכון עירוני ה.‏ - אחזקה אספקה וציוד"/>
    <m/>
    <m/>
    <n v="366000"/>
    <n v="411500"/>
    <n v="4392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50"/>
    <n v="1"/>
    <s v="1815250.500"/>
    <s v="תיכון עירוני ה.‏ - תחבורה ודואר"/>
    <m/>
    <m/>
    <n v="8000"/>
    <n v="8000"/>
    <n v="150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50"/>
    <n v="1"/>
    <s v="1815250.700"/>
    <s v="תיכון עירוני ה.‏ - הוצאות לפעולות"/>
    <m/>
    <m/>
    <n v="3553000"/>
    <n v="3623000"/>
    <n v="42205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60"/>
    <n v="1"/>
    <s v="1815260.100"/>
    <s v="תיכון אמי&quot;ת ו' לבנות - שכר לעובדים קבועים"/>
    <m/>
    <m/>
    <n v="985000"/>
    <n v="974000"/>
    <n v="9391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60"/>
    <n v="1"/>
    <s v="1815260.400"/>
    <s v="תיכון אמי&quot;ת ו' לבנות - אחזקה אספקה וציוד"/>
    <m/>
    <m/>
    <n v="158600"/>
    <n v="163400"/>
    <n v="157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60"/>
    <n v="1"/>
    <s v="1815260.500"/>
    <s v="תיכון אמי&quot;ת ו' לבנות - הוצאות כלליות"/>
    <m/>
    <m/>
    <n v="3600"/>
    <n v="3600"/>
    <n v="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60"/>
    <n v="1"/>
    <s v="1815260.700"/>
    <s v="תיכון אמי&quot;ת ו' לבנות - הוצאות לפעולות"/>
    <m/>
    <m/>
    <n v="680000"/>
    <n v="700000"/>
    <n v="6639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70"/>
    <n v="1"/>
    <s v="1815270.100"/>
    <s v="תיכון ב' עיוני - שכר לעובדים קבועים"/>
    <m/>
    <m/>
    <n v="4820000"/>
    <n v="4767000"/>
    <n v="43305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400"/>
    <n v="815270"/>
    <n v="1"/>
    <s v="1815270.400"/>
    <s v="תיכון ב' עיוני - אחזקה אספקה וציוד"/>
    <m/>
    <m/>
    <n v="176700"/>
    <n v="189000"/>
    <n v="2049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70"/>
    <n v="1"/>
    <s v="1815270.500"/>
    <s v="תיכון ב' עיוני - תחבורה ודואר"/>
    <m/>
    <m/>
    <n v="1000"/>
    <n v="1000"/>
    <n v="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70"/>
    <n v="1"/>
    <s v="1815270.700"/>
    <s v="תיכון ב' עיוני - הוצאות לפעולות"/>
    <m/>
    <m/>
    <n v="241000"/>
    <n v="241000"/>
    <n v="2102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80"/>
    <n v="1"/>
    <s v="1815280.100"/>
    <s v="תיכון רעות - שכר לעובדים קבועים"/>
    <m/>
    <m/>
    <n v="11441100"/>
    <n v="11316100"/>
    <n v="96201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80"/>
    <n v="1"/>
    <s v="1815280.120"/>
    <s v="תיכון רעות - שעות נוספות"/>
    <m/>
    <m/>
    <n v="11900"/>
    <n v="11900"/>
    <n v="113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80"/>
    <n v="1"/>
    <s v="1815280.400"/>
    <s v="תיכון רעות - אחזקה אספקה וציוד"/>
    <m/>
    <m/>
    <n v="150000"/>
    <n v="150000"/>
    <n v="2057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700"/>
    <n v="815280"/>
    <n v="1"/>
    <s v="1815280.700"/>
    <s v="תיכון רעות - הוצאות לפעולות"/>
    <m/>
    <m/>
    <n v="1452900"/>
    <n v="1500000"/>
    <n v="11869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290"/>
    <n v="1"/>
    <s v="1815290.100"/>
    <s v="תיכון ק. חיים - שכר לעובדים קבועים"/>
    <m/>
    <m/>
    <n v="18296200"/>
    <n v="18095200"/>
    <n v="16621100"/>
    <m/>
    <x v="5"/>
    <x v="2"/>
    <x v="34"/>
    <x v="8"/>
    <x v="118"/>
    <x v="21"/>
    <s v="8152"/>
    <s v="בתי״ס על יסודיים עיוניים"/>
    <m/>
    <s v="1"/>
    <x v="8"/>
    <s v="10"/>
    <e v="#N/A"/>
    <s v="100"/>
    <e v="#N/A"/>
  </r>
  <r>
    <n v="120"/>
    <n v="815290"/>
    <n v="1"/>
    <s v="1815290.120"/>
    <s v="תיכון ק. חיים - שעות נוספות"/>
    <m/>
    <m/>
    <n v="20800"/>
    <n v="20800"/>
    <n v="23400"/>
    <m/>
    <x v="5"/>
    <x v="2"/>
    <x v="34"/>
    <x v="8"/>
    <x v="118"/>
    <x v="21"/>
    <s v="8152"/>
    <s v="בתי״ס על יסודיים עיוניים"/>
    <m/>
    <s v="1"/>
    <x v="8"/>
    <s v="12"/>
    <s v="תוספות שאינן נכללות בשכר הקובע"/>
    <s v="120"/>
    <e v="#N/A"/>
  </r>
  <r>
    <n v="400"/>
    <n v="815290"/>
    <n v="1"/>
    <s v="1815290.400"/>
    <s v="תיכון ק. חיים - אחזקה אספקה וציוד"/>
    <m/>
    <m/>
    <n v="520100"/>
    <n v="546000"/>
    <n v="613600"/>
    <m/>
    <x v="5"/>
    <x v="2"/>
    <x v="34"/>
    <x v="8"/>
    <x v="118"/>
    <x v="21"/>
    <s v="8152"/>
    <s v="בתי״ס על יסודיים עיוניים"/>
    <m/>
    <s v="4"/>
    <x v="11"/>
    <s v="40"/>
    <e v="#N/A"/>
    <s v="400"/>
    <e v="#N/A"/>
  </r>
  <r>
    <n v="500"/>
    <n v="815290"/>
    <n v="1"/>
    <s v="1815290.500"/>
    <s v="תיכון ק. חיים - תחבורה ודואר"/>
    <m/>
    <m/>
    <n v="8000"/>
    <n v="8000"/>
    <n v="8100"/>
    <m/>
    <x v="5"/>
    <x v="2"/>
    <x v="34"/>
    <x v="8"/>
    <x v="118"/>
    <x v="21"/>
    <s v="8152"/>
    <s v="בתי״ס על יסודיים עיוניים"/>
    <m/>
    <s v="5"/>
    <x v="12"/>
    <s v="50"/>
    <e v="#N/A"/>
    <s v="500"/>
    <e v="#N/A"/>
  </r>
  <r>
    <n v="700"/>
    <n v="815290"/>
    <n v="1"/>
    <s v="1815290.700"/>
    <s v="תיכון ק. חיים - הוצאות לפעולות"/>
    <m/>
    <m/>
    <n v="2393000"/>
    <n v="2453000"/>
    <n v="2524700"/>
    <m/>
    <x v="5"/>
    <x v="2"/>
    <x v="34"/>
    <x v="8"/>
    <x v="118"/>
    <x v="21"/>
    <s v="8152"/>
    <s v="בתי״ס על יסודיים עיוניים"/>
    <m/>
    <s v="7"/>
    <x v="9"/>
    <s v="70"/>
    <e v="#N/A"/>
    <s v="700"/>
    <e v="#N/A"/>
  </r>
  <r>
    <n v="100"/>
    <n v="815520"/>
    <n v="1"/>
    <s v="1815520.100"/>
    <s v="תיכון בסמ&quot;ת‏ - שכר לעובדים קבועים"/>
    <m/>
    <m/>
    <n v="5360000"/>
    <n v="5301000"/>
    <n v="4473300"/>
    <m/>
    <x v="5"/>
    <x v="2"/>
    <x v="34"/>
    <x v="8"/>
    <x v="118"/>
    <x v="21"/>
    <s v="8155"/>
    <s v="בתי״ס על יסודיים מקצועיים"/>
    <m/>
    <s v="1"/>
    <x v="8"/>
    <s v="10"/>
    <e v="#N/A"/>
    <s v="100"/>
    <e v="#N/A"/>
  </r>
  <r>
    <n v="400"/>
    <n v="815520"/>
    <n v="1"/>
    <s v="1815520.400"/>
    <s v="תיכון בסמ&quot;ת‏ - אחזקה אספקה וציוד"/>
    <m/>
    <m/>
    <n v="99000"/>
    <n v="99000"/>
    <n v="100800"/>
    <m/>
    <x v="5"/>
    <x v="2"/>
    <x v="34"/>
    <x v="8"/>
    <x v="118"/>
    <x v="21"/>
    <s v="8155"/>
    <s v="בתי״ס על יסודיים מקצועיים"/>
    <m/>
    <s v="4"/>
    <x v="11"/>
    <s v="40"/>
    <e v="#N/A"/>
    <s v="400"/>
    <e v="#N/A"/>
  </r>
  <r>
    <n v="500"/>
    <n v="815520"/>
    <n v="1"/>
    <s v="1815520.500"/>
    <s v="תיכון בסמ&quot;ת‏ - תחבורה ודואר"/>
    <m/>
    <m/>
    <n v="3000"/>
    <n v="3000"/>
    <n v="200"/>
    <m/>
    <x v="5"/>
    <x v="2"/>
    <x v="34"/>
    <x v="8"/>
    <x v="118"/>
    <x v="21"/>
    <s v="8155"/>
    <s v="בתי״ס על יסודיים מקצועיים"/>
    <m/>
    <s v="5"/>
    <x v="12"/>
    <s v="50"/>
    <e v="#N/A"/>
    <s v="500"/>
    <e v="#N/A"/>
  </r>
  <r>
    <n v="700"/>
    <n v="815520"/>
    <n v="1"/>
    <s v="1815520.700"/>
    <s v="תיכון בסמ&quot;ת‏ - הוצאות לפעולות"/>
    <m/>
    <m/>
    <n v="1121000"/>
    <n v="1157000"/>
    <n v="969800"/>
    <m/>
    <x v="5"/>
    <x v="2"/>
    <x v="34"/>
    <x v="8"/>
    <x v="118"/>
    <x v="21"/>
    <s v="8155"/>
    <s v="בתי״ס על יסודיים מקצועיים"/>
    <m/>
    <s v="7"/>
    <x v="9"/>
    <s v="70"/>
    <e v="#N/A"/>
    <s v="700"/>
    <e v="#N/A"/>
  </r>
  <r>
    <n v="700"/>
    <n v="815530"/>
    <n v="1"/>
    <s v="1815530.700"/>
    <s v="תיכון עירוני ד - הוצאות לפעולות"/>
    <m/>
    <m/>
    <n v="971400"/>
    <n v="1000000"/>
    <n v="184000"/>
    <m/>
    <x v="5"/>
    <x v="2"/>
    <x v="34"/>
    <x v="8"/>
    <x v="118"/>
    <x v="21"/>
    <s v="8155"/>
    <s v="בתי״ס על יסודיים מקצועיים"/>
    <m/>
    <s v="7"/>
    <x v="9"/>
    <s v="70"/>
    <e v="#N/A"/>
    <s v="700"/>
    <e v="#N/A"/>
  </r>
  <r>
    <n v="100"/>
    <n v="818110"/>
    <n v="1"/>
    <s v="1818110.100"/>
    <s v="המחלקה להעצמה חינוכית וקבסי&quot;ם - שכר לעובדים קבועים"/>
    <m/>
    <m/>
    <n v="3914100"/>
    <n v="3871100"/>
    <n v="3602000"/>
    <m/>
    <x v="5"/>
    <x v="2"/>
    <x v="34"/>
    <x v="8"/>
    <x v="93"/>
    <x v="65"/>
    <s v="8181"/>
    <e v="#N/A"/>
    <m/>
    <s v="1"/>
    <x v="8"/>
    <s v="10"/>
    <e v="#N/A"/>
    <s v="100"/>
    <e v="#N/A"/>
  </r>
  <r>
    <n v="120"/>
    <n v="818110"/>
    <n v="1"/>
    <s v="1818110.120"/>
    <s v="המחלקה להעצמה חינוכית וקבסי&quot;ם - שעות נוספות"/>
    <m/>
    <m/>
    <n v="18900"/>
    <n v="18900"/>
    <n v="17000"/>
    <m/>
    <x v="5"/>
    <x v="2"/>
    <x v="34"/>
    <x v="8"/>
    <x v="93"/>
    <x v="65"/>
    <s v="8181"/>
    <e v="#N/A"/>
    <m/>
    <s v="1"/>
    <x v="8"/>
    <s v="12"/>
    <s v="תוספות שאינן נכללות בשכר הקובע"/>
    <s v="120"/>
    <e v="#N/A"/>
  </r>
  <r>
    <n v="700"/>
    <n v="818110"/>
    <n v="1"/>
    <s v="1818110.700"/>
    <s v="המחלקה להעצמה חינוכית וקבסי&quot;ם - הוצאות לפעולות"/>
    <m/>
    <m/>
    <n v="32100"/>
    <n v="33000"/>
    <n v="32600"/>
    <m/>
    <x v="5"/>
    <x v="2"/>
    <x v="34"/>
    <x v="8"/>
    <x v="93"/>
    <x v="65"/>
    <s v="8181"/>
    <e v="#N/A"/>
    <m/>
    <s v="7"/>
    <x v="9"/>
    <s v="70"/>
    <e v="#N/A"/>
    <s v="700"/>
    <e v="#N/A"/>
  </r>
  <r>
    <n v="700"/>
    <n v="817372"/>
    <n v="1"/>
    <s v="1817372.700"/>
    <s v="תוכנית למצויינות במדעים - הוצאות לפעולות"/>
    <m/>
    <m/>
    <n v="1880700"/>
    <n v="1936000"/>
    <n v="1665600"/>
    <m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700"/>
    <n v="817370"/>
    <n v="1"/>
    <s v="1817370.700"/>
    <s v="תגבור חינוכי - הוצאות לפעולות"/>
    <m/>
    <m/>
    <n v="2059500"/>
    <n v="2120000"/>
    <n v="2106300"/>
    <m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200"/>
    <n v="817371"/>
    <n v="1"/>
    <s v="1817371.200"/>
    <s v="פנימיות יום - שכר לעובדים ארעיים"/>
    <m/>
    <m/>
    <n v="213700"/>
    <n v="211700"/>
    <n v="225200"/>
    <m/>
    <x v="5"/>
    <x v="2"/>
    <x v="34"/>
    <x v="8"/>
    <x v="115"/>
    <x v="20"/>
    <s v="8173"/>
    <s v="שרות פסיכולוגי חינוכי"/>
    <m/>
    <s v="2"/>
    <x v="10"/>
    <s v="20"/>
    <e v="#N/A"/>
    <s v="200"/>
    <e v="#N/A"/>
  </r>
  <r>
    <n v="120"/>
    <n v="817371"/>
    <n v="1"/>
    <s v="1817371.120"/>
    <s v="פנימיות יום - שעות נוספות"/>
    <m/>
    <m/>
    <n v="5300"/>
    <n v="5300"/>
    <n v="1200"/>
    <m/>
    <x v="5"/>
    <x v="2"/>
    <x v="34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700"/>
    <n v="817371"/>
    <n v="1"/>
    <s v="1817371.700"/>
    <s v="פנימיות יום - הוצאות לפעולות"/>
    <m/>
    <m/>
    <n v="453700"/>
    <n v="467000"/>
    <n v="931000"/>
    <m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200"/>
    <n v="813190"/>
    <n v="1"/>
    <s v="1813190.200"/>
    <s v="רווחה חינוכית - יסודי - שכר לעובדים ארעיים"/>
    <m/>
    <m/>
    <n v="850000"/>
    <n v="850000"/>
    <n v="1060600"/>
    <m/>
    <x v="5"/>
    <x v="2"/>
    <x v="34"/>
    <x v="8"/>
    <x v="116"/>
    <x v="19"/>
    <s v="8131"/>
    <s v="מינהל החינוך היסודי"/>
    <m/>
    <s v="2"/>
    <x v="10"/>
    <s v="20"/>
    <e v="#N/A"/>
    <s v="200"/>
    <e v="#N/A"/>
  </r>
  <r>
    <n v="500"/>
    <n v="813190"/>
    <n v="1"/>
    <s v="1813190.500"/>
    <s v="רווחה חינוכית - יסודי - הוצאות כלליות"/>
    <m/>
    <m/>
    <n v="446900"/>
    <n v="460000"/>
    <n v="459700"/>
    <m/>
    <x v="5"/>
    <x v="2"/>
    <x v="34"/>
    <x v="8"/>
    <x v="116"/>
    <x v="19"/>
    <s v="8131"/>
    <s v="מינהל החינוך היסודי"/>
    <m/>
    <s v="5"/>
    <x v="12"/>
    <s v="50"/>
    <e v="#N/A"/>
    <s v="500"/>
    <e v="#N/A"/>
  </r>
  <r>
    <n v="100"/>
    <n v="817331"/>
    <n v="1"/>
    <s v="1817331.100"/>
    <s v="אשכול פיס ק. חיים - שכר לעובדים קבועים"/>
    <m/>
    <m/>
    <n v="628000"/>
    <n v="621000"/>
    <n v="574900"/>
    <m/>
    <x v="5"/>
    <x v="2"/>
    <x v="34"/>
    <x v="8"/>
    <x v="115"/>
    <x v="20"/>
    <s v="8173"/>
    <s v="שרות פסיכולוגי חינוכי"/>
    <m/>
    <s v="1"/>
    <x v="8"/>
    <s v="10"/>
    <e v="#N/A"/>
    <s v="100"/>
    <e v="#N/A"/>
  </r>
  <r>
    <n v="120"/>
    <n v="817331"/>
    <n v="1"/>
    <s v="1817331.120"/>
    <s v="אשכול פיס ק. חיים - שעות נוספות"/>
    <m/>
    <m/>
    <n v="18000"/>
    <n v="18000"/>
    <n v="15900"/>
    <m/>
    <x v="5"/>
    <x v="2"/>
    <x v="34"/>
    <x v="8"/>
    <x v="115"/>
    <x v="20"/>
    <s v="8173"/>
    <s v="שרות פסיכולוגי חינוכי"/>
    <m/>
    <s v="1"/>
    <x v="8"/>
    <s v="12"/>
    <s v="תוספות שאינן נכללות בשכר הקובע"/>
    <s v="120"/>
    <e v="#N/A"/>
  </r>
  <r>
    <n v="700"/>
    <n v="817331"/>
    <n v="1"/>
    <s v="1817331.700"/>
    <s v="אשכול פיס ק. חיים - הוצאות לפעולות"/>
    <m/>
    <m/>
    <n v="130000"/>
    <n v="130000"/>
    <n v="0"/>
    <m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800"/>
    <n v="817331"/>
    <n v="1"/>
    <s v="1817331.800"/>
    <s v="אשכול פיס ק. חיים - השתתפויות תמיכות ותרומות"/>
    <m/>
    <m/>
    <n v="64300"/>
    <n v="70000"/>
    <n v="174600"/>
    <m/>
    <x v="5"/>
    <x v="2"/>
    <x v="34"/>
    <x v="8"/>
    <x v="115"/>
    <x v="20"/>
    <s v="8173"/>
    <s v="שרות פסיכולוגי חינוכי"/>
    <m/>
    <s v="8"/>
    <x v="13"/>
    <s v="80"/>
    <e v="#N/A"/>
    <s v="800"/>
    <e v="#N/A"/>
  </r>
  <r>
    <n v="100"/>
    <n v="817332"/>
    <n v="1"/>
    <s v="1817332.100"/>
    <s v="אשכול פיס רעות - שכר לעובדים קבועים"/>
    <m/>
    <m/>
    <n v="623000"/>
    <n v="616000"/>
    <n v="836600"/>
    <m/>
    <x v="5"/>
    <x v="2"/>
    <x v="34"/>
    <x v="8"/>
    <x v="115"/>
    <x v="20"/>
    <s v="8173"/>
    <s v="שרות פסיכולוגי חינוכי"/>
    <m/>
    <s v="1"/>
    <x v="8"/>
    <s v="10"/>
    <e v="#N/A"/>
    <s v="100"/>
    <e v="#N/A"/>
  </r>
  <r>
    <n v="700"/>
    <n v="817332"/>
    <n v="1"/>
    <s v="1817332.700"/>
    <s v="אשכול פיס רעות - הוצאות לפעולות"/>
    <m/>
    <m/>
    <n v="130000"/>
    <n v="130000"/>
    <n v="0"/>
    <m/>
    <x v="5"/>
    <x v="2"/>
    <x v="34"/>
    <x v="8"/>
    <x v="115"/>
    <x v="20"/>
    <s v="8173"/>
    <s v="שרות פסיכולוגי חינוכי"/>
    <m/>
    <s v="7"/>
    <x v="9"/>
    <s v="70"/>
    <e v="#N/A"/>
    <s v="700"/>
    <e v="#N/A"/>
  </r>
  <r>
    <n v="800"/>
    <n v="817332"/>
    <n v="1"/>
    <s v="1817332.800"/>
    <s v="אשכול פיס רעות - השתתפויות תמיכות ותרומות"/>
    <m/>
    <m/>
    <n v="64300"/>
    <n v="70000"/>
    <n v="297300"/>
    <m/>
    <x v="5"/>
    <x v="2"/>
    <x v="34"/>
    <x v="8"/>
    <x v="115"/>
    <x v="20"/>
    <s v="8173"/>
    <s v="שרות פסיכולוגי חינוכי"/>
    <m/>
    <s v="8"/>
    <x v="13"/>
    <s v="80"/>
    <e v="#N/A"/>
    <s v="800"/>
    <e v="#N/A"/>
  </r>
  <r>
    <n v="200"/>
    <n v="817329"/>
    <n v="1"/>
    <s v="1817329.200"/>
    <s v="משתלם אשכול פיס רעות - שכר לעובדים ארעיים"/>
    <m/>
    <m/>
    <n v="150000"/>
    <n v="150000"/>
    <n v="30400"/>
    <m/>
    <x v="5"/>
    <x v="2"/>
    <x v="34"/>
    <x v="8"/>
    <x v="115"/>
    <x v="20"/>
    <s v="8173"/>
    <s v="שרות פסיכולוגי חינוכי"/>
    <m/>
    <s v="2"/>
    <x v="10"/>
    <s v="20"/>
    <e v="#N/A"/>
    <s v="200"/>
    <e v="#N/A"/>
  </r>
  <r>
    <n v="100"/>
    <n v="818600"/>
    <n v="1"/>
    <s v="1818600.100"/>
    <s v="פסגה - מרכז הכשרת מורים - שכר לעובדים קבועים"/>
    <m/>
    <m/>
    <n v="459000"/>
    <n v="454000"/>
    <n v="502200"/>
    <m/>
    <x v="5"/>
    <x v="2"/>
    <x v="34"/>
    <x v="8"/>
    <x v="93"/>
    <x v="65"/>
    <s v="8186"/>
    <e v="#N/A"/>
    <m/>
    <s v="1"/>
    <x v="8"/>
    <s v="10"/>
    <e v="#N/A"/>
    <s v="100"/>
    <e v="#N/A"/>
  </r>
  <r>
    <n v="400"/>
    <n v="818600"/>
    <n v="1"/>
    <s v="1818600.400"/>
    <s v="פסגה - מרכז הכשרת מורים - אחזקה אספקה וציוד"/>
    <m/>
    <m/>
    <n v="71700"/>
    <n v="75000"/>
    <n v="89200"/>
    <m/>
    <x v="5"/>
    <x v="2"/>
    <x v="34"/>
    <x v="8"/>
    <x v="93"/>
    <x v="65"/>
    <s v="8186"/>
    <e v="#N/A"/>
    <m/>
    <s v="4"/>
    <x v="11"/>
    <s v="40"/>
    <e v="#N/A"/>
    <s v="400"/>
    <e v="#N/A"/>
  </r>
  <r>
    <n v="700"/>
    <n v="818600"/>
    <n v="1"/>
    <s v="1818600.700"/>
    <s v="פסגה - מרכז הכשרת מורים - הוצאות לפעולות"/>
    <m/>
    <m/>
    <n v="41000"/>
    <n v="41000"/>
    <n v="41000"/>
    <m/>
    <x v="5"/>
    <x v="2"/>
    <x v="34"/>
    <x v="8"/>
    <x v="93"/>
    <x v="65"/>
    <s v="8186"/>
    <e v="#N/A"/>
    <m/>
    <s v="7"/>
    <x v="9"/>
    <s v="70"/>
    <e v="#N/A"/>
    <s v="700"/>
    <e v="#N/A"/>
  </r>
  <r>
    <n v="700"/>
    <n v="815610"/>
    <n v="1"/>
    <s v="1815610.700"/>
    <s v="ביה&quot;ס כי&quot;ח כולל חטיבת ביניים - הוצאות לפעולות"/>
    <m/>
    <m/>
    <n v="1045000"/>
    <n v="1045000"/>
    <n v="1045000"/>
    <m/>
    <x v="5"/>
    <x v="2"/>
    <x v="34"/>
    <x v="8"/>
    <x v="118"/>
    <x v="21"/>
    <s v="8156"/>
    <s v="בתי״ס על יסודיים חקלאיים"/>
    <m/>
    <s v="7"/>
    <x v="9"/>
    <s v="70"/>
    <e v="#N/A"/>
    <s v="700"/>
    <e v="#N/A"/>
  </r>
  <r>
    <n v="800"/>
    <n v="815610"/>
    <n v="1"/>
    <s v="1815610.800"/>
    <s v="ביה&quot;ס כי&quot;ח כולל חטיבת ביניים - השתתפויות תמיכות ותרומות"/>
    <m/>
    <m/>
    <n v="713300"/>
    <n v="765000"/>
    <n v="762900"/>
    <m/>
    <x v="5"/>
    <x v="2"/>
    <x v="34"/>
    <x v="8"/>
    <x v="118"/>
    <x v="21"/>
    <s v="8156"/>
    <s v="בתי״ס על יסודיים חקלאיים"/>
    <m/>
    <s v="8"/>
    <x v="13"/>
    <s v="80"/>
    <e v="#N/A"/>
    <s v="800"/>
    <e v="#N/A"/>
  </r>
  <r>
    <n v="800"/>
    <n v="817650"/>
    <n v="1"/>
    <s v="1817650.800"/>
    <s v="חוק נהרי - השתתפויות תמיכות ותרומות"/>
    <m/>
    <m/>
    <n v="2914300"/>
    <n v="3000000"/>
    <n v="1303000"/>
    <m/>
    <x v="5"/>
    <x v="2"/>
    <x v="34"/>
    <x v="8"/>
    <x v="115"/>
    <x v="20"/>
    <s v="8176"/>
    <s v="רווחה חינוכית"/>
    <m/>
    <s v="8"/>
    <x v="13"/>
    <s v="80"/>
    <e v="#N/A"/>
    <s v="800"/>
    <e v="#N/A"/>
  </r>
  <r>
    <n v="700"/>
    <n v="815690"/>
    <n v="1"/>
    <s v="1815690.700"/>
    <s v="חט&quot;ב צביה - הוצאות לפעולות"/>
    <m/>
    <m/>
    <n v="145700"/>
    <n v="150000"/>
    <n v="134200"/>
    <m/>
    <x v="5"/>
    <x v="2"/>
    <x v="34"/>
    <x v="8"/>
    <x v="118"/>
    <x v="21"/>
    <s v="8156"/>
    <s v="בתי״ס על יסודיים חקלאיים"/>
    <m/>
    <s v="7"/>
    <x v="9"/>
    <s v="70"/>
    <e v="#N/A"/>
    <s v="700"/>
    <e v="#N/A"/>
  </r>
  <r>
    <n v="400"/>
    <n v="815680"/>
    <n v="1"/>
    <s v="1815680.400"/>
    <s v="מרכז לאו בק כולל חטיבת ביניים - אחזקה אספקה וציוד"/>
    <m/>
    <m/>
    <n v="0"/>
    <n v="0"/>
    <n v="169300"/>
    <m/>
    <x v="5"/>
    <x v="2"/>
    <x v="34"/>
    <x v="8"/>
    <x v="118"/>
    <x v="21"/>
    <s v="8156"/>
    <s v="בתי״ס על יסודיים חקלאיים"/>
    <m/>
    <s v="4"/>
    <x v="11"/>
    <s v="40"/>
    <e v="#N/A"/>
    <s v="400"/>
    <e v="#N/A"/>
  </r>
  <r>
    <n v="700"/>
    <n v="815680"/>
    <n v="1"/>
    <s v="1815680.700"/>
    <s v="מרכז לאו בק כולל חטיבת ביניים - הוצאות לפעולות"/>
    <m/>
    <m/>
    <n v="317600"/>
    <n v="337700"/>
    <n v="198800"/>
    <m/>
    <x v="5"/>
    <x v="2"/>
    <x v="34"/>
    <x v="8"/>
    <x v="118"/>
    <x v="21"/>
    <s v="8156"/>
    <s v="בתי״ס על יסודיים חקלאיים"/>
    <m/>
    <s v="7"/>
    <x v="9"/>
    <s v="70"/>
    <e v="#N/A"/>
    <s v="700"/>
    <e v="#N/A"/>
  </r>
  <r>
    <n v="800"/>
    <n v="815680"/>
    <n v="1"/>
    <s v="1815680.800"/>
    <s v="מרכז לאו בק כולל חטיבת ביניים - השתתפויות תמיכות ותרומות"/>
    <m/>
    <m/>
    <n v="1625300"/>
    <n v="1662300"/>
    <n v="1507300"/>
    <m/>
    <x v="5"/>
    <x v="2"/>
    <x v="34"/>
    <x v="8"/>
    <x v="118"/>
    <x v="21"/>
    <s v="8156"/>
    <s v="בתי״ס על יסודיים חקלאיים"/>
    <m/>
    <s v="8"/>
    <x v="13"/>
    <s v="80"/>
    <e v="#N/A"/>
    <s v="800"/>
    <e v="#N/A"/>
  </r>
  <r>
    <n v="800"/>
    <n v="826500"/>
    <n v="1"/>
    <s v="1826500.800"/>
    <s v="מוזיאון לאומי למדע - השתתפויות תמיכות ותרומות"/>
    <m/>
    <m/>
    <n v="1000100"/>
    <n v="1030000"/>
    <n v="1030000"/>
    <m/>
    <x v="5"/>
    <x v="2"/>
    <x v="19"/>
    <x v="9"/>
    <x v="121"/>
    <x v="26"/>
    <s v="8265"/>
    <e v="#N/A"/>
    <m/>
    <s v="8"/>
    <x v="13"/>
    <s v="80"/>
    <e v="#N/A"/>
    <s v="800"/>
    <e v="#N/A"/>
  </r>
  <r>
    <n v="800"/>
    <n v="826100"/>
    <n v="1"/>
    <s v="1826100.800"/>
    <s v="תיאטרון עירוני - השתתפויות תמיכות ותרומות"/>
    <m/>
    <m/>
    <n v="10248700"/>
    <n v="10550000"/>
    <n v="9763500"/>
    <m/>
    <x v="5"/>
    <x v="2"/>
    <x v="19"/>
    <x v="9"/>
    <x v="121"/>
    <x v="26"/>
    <s v="8261"/>
    <s v="תיאטרונים"/>
    <m/>
    <s v="8"/>
    <x v="13"/>
    <s v="80"/>
    <e v="#N/A"/>
    <s v="800"/>
    <e v="#N/A"/>
  </r>
  <r>
    <n v="700"/>
    <n v="826100"/>
    <n v="1"/>
    <s v="1826100.700"/>
    <s v="פסטיבל תיאטרון ילדים - הוצאות לפעולות"/>
    <m/>
    <m/>
    <n v="777200"/>
    <n v="800000"/>
    <n v="800000"/>
    <m/>
    <x v="5"/>
    <x v="2"/>
    <x v="19"/>
    <x v="9"/>
    <x v="121"/>
    <x v="26"/>
    <s v="8261"/>
    <s v="תיאטרונים"/>
    <m/>
    <s v="7"/>
    <x v="9"/>
    <s v="70"/>
    <e v="#N/A"/>
    <s v="700"/>
    <e v="#N/A"/>
  </r>
  <r>
    <n v="800"/>
    <n v="828300"/>
    <n v="1"/>
    <s v="1828300.800"/>
    <s v="תזמורת הנוער-‏ מרכז יובל - השתתפויות תמיכות ותרומות"/>
    <m/>
    <m/>
    <n v="418200"/>
    <n v="430500"/>
    <n v="389100"/>
    <m/>
    <x v="5"/>
    <x v="2"/>
    <x v="19"/>
    <x v="9"/>
    <x v="90"/>
    <x v="28"/>
    <s v="8283"/>
    <s v="חוגי נוער"/>
    <m/>
    <s v="8"/>
    <x v="13"/>
    <s v="80"/>
    <e v="#N/A"/>
    <s v="800"/>
    <e v="#N/A"/>
  </r>
  <r>
    <n v="800"/>
    <n v="824600"/>
    <n v="1"/>
    <s v="1824600.800"/>
    <s v="אתו&quot;ס - השתתפויות תמיכות ותרומות"/>
    <m/>
    <m/>
    <n v="12822100"/>
    <n v="13199000"/>
    <n v="12669000"/>
    <m/>
    <x v="5"/>
    <x v="2"/>
    <x v="19"/>
    <x v="9"/>
    <x v="56"/>
    <x v="30"/>
    <s v="8246"/>
    <e v="#N/A"/>
    <m/>
    <s v="8"/>
    <x v="13"/>
    <s v="80"/>
    <e v="#N/A"/>
    <s v="800"/>
    <e v="#N/A"/>
  </r>
  <r>
    <n v="900"/>
    <n v="824600"/>
    <n v="1"/>
    <s v="1824600.900"/>
    <s v="אתו&quot;ס - הוצאות חד-פעמיות והשקעות"/>
    <m/>
    <m/>
    <m/>
    <n v="0"/>
    <n v="0"/>
    <m/>
    <x v="5"/>
    <x v="2"/>
    <x v="19"/>
    <x v="9"/>
    <x v="56"/>
    <x v="30"/>
    <s v="8246"/>
    <e v="#N/A"/>
    <m/>
    <s v="9"/>
    <x v="17"/>
    <s v="90"/>
    <e v="#N/A"/>
    <s v="900"/>
    <e v="#N/A"/>
  </r>
  <r>
    <n v="800"/>
    <n v="824609"/>
    <n v="1"/>
    <s v="1824609.800"/>
    <s v="פסטיבל הסרטים - השתתפויות תמיכות ותרומות"/>
    <m/>
    <m/>
    <n v="1165700"/>
    <n v="1200000"/>
    <n v="1200000"/>
    <m/>
    <x v="5"/>
    <x v="2"/>
    <x v="19"/>
    <x v="9"/>
    <x v="56"/>
    <x v="30"/>
    <s v="8246"/>
    <e v="#N/A"/>
    <m/>
    <s v="8"/>
    <x v="13"/>
    <s v="80"/>
    <e v="#N/A"/>
    <s v="800"/>
    <e v="#N/A"/>
  </r>
  <r>
    <n v="800"/>
    <n v="826200"/>
    <n v="1"/>
    <s v="1826200.800"/>
    <s v="תזמורת סימפונית - השתתפויות תמיכות ותרומות"/>
    <m/>
    <m/>
    <n v="4285800"/>
    <n v="4000000"/>
    <n v="4000000"/>
    <m/>
    <x v="5"/>
    <x v="2"/>
    <x v="19"/>
    <x v="9"/>
    <x v="121"/>
    <x v="26"/>
    <s v="8262"/>
    <s v="מוזיאונים"/>
    <m/>
    <s v="8"/>
    <x v="13"/>
    <s v="80"/>
    <e v="#N/A"/>
    <s v="800"/>
    <e v="#N/A"/>
  </r>
  <r>
    <n v="800"/>
    <n v="825000"/>
    <n v="1"/>
    <s v="1825000.800"/>
    <s v="מוזאונים - השתתפויות תמיכות ותרומות"/>
    <m/>
    <m/>
    <n v="10703000"/>
    <n v="10503000"/>
    <n v="9505800"/>
    <m/>
    <x v="5"/>
    <x v="2"/>
    <x v="19"/>
    <x v="9"/>
    <x v="53"/>
    <x v="27"/>
    <s v="8250"/>
    <e v="#N/A"/>
    <m/>
    <s v="8"/>
    <x v="13"/>
    <s v="80"/>
    <e v="#N/A"/>
    <s v="800"/>
    <e v="#N/A"/>
  </r>
  <r>
    <n v="800"/>
    <n v="851000"/>
    <n v="1"/>
    <s v="1851000.800"/>
    <s v="המועצה הדתית - השתתפויות תמיכות ותרומות"/>
    <m/>
    <m/>
    <n v="9604300"/>
    <n v="9831700"/>
    <n v="9232000"/>
    <m/>
    <x v="5"/>
    <x v="2"/>
    <x v="39"/>
    <x v="27"/>
    <x v="122"/>
    <x v="77"/>
    <s v="8510"/>
    <e v="#N/A"/>
    <m/>
    <s v="8"/>
    <x v="13"/>
    <s v="80"/>
    <e v="#N/A"/>
    <s v="800"/>
    <e v="#N/A"/>
  </r>
  <r>
    <n v="800"/>
    <n v="836000"/>
    <n v="1"/>
    <s v="1836000.800"/>
    <s v="מגן דוד אדום - השתתפויות תמיכות ותרומות"/>
    <m/>
    <m/>
    <n v="499900"/>
    <n v="474900"/>
    <n v="473300"/>
    <m/>
    <x v="5"/>
    <x v="2"/>
    <x v="35"/>
    <x v="15"/>
    <x v="123"/>
    <x v="78"/>
    <s v="8360"/>
    <e v="#N/A"/>
    <m/>
    <s v="8"/>
    <x v="13"/>
    <s v="80"/>
    <e v="#N/A"/>
    <s v="800"/>
    <e v="#N/A"/>
  </r>
  <r>
    <n v="800"/>
    <n v="769610"/>
    <n v="1"/>
    <s v="1769610.800"/>
    <s v="מרכז לטיפוח יזמות - השתתפויות תמיכות ותרומות"/>
    <m/>
    <m/>
    <n v="417700"/>
    <n v="430000"/>
    <n v="430000"/>
    <m/>
    <x v="7"/>
    <x v="1"/>
    <x v="26"/>
    <x v="20"/>
    <x v="124"/>
    <x v="79"/>
    <s v="7696"/>
    <e v="#N/A"/>
    <m/>
    <s v="8"/>
    <x v="13"/>
    <s v="80"/>
    <e v="#N/A"/>
    <s v="800"/>
    <e v="#N/A"/>
  </r>
  <r>
    <n v="800"/>
    <n v="771600"/>
    <n v="1"/>
    <s v="1771600.800"/>
    <s v="עמותה לתיירות ונופש חיפה - השתתפויות תמיכות ותרומות"/>
    <m/>
    <m/>
    <n v="2273200"/>
    <n v="2340000"/>
    <n v="2340000"/>
    <m/>
    <x v="7"/>
    <x v="1"/>
    <x v="22"/>
    <x v="18"/>
    <x v="61"/>
    <x v="45"/>
    <s v="7716"/>
    <e v="#N/A"/>
    <m/>
    <s v="8"/>
    <x v="13"/>
    <s v="80"/>
    <e v="#N/A"/>
    <s v="800"/>
    <e v="#N/A"/>
  </r>
  <r>
    <n v="800"/>
    <n v="824620"/>
    <n v="1"/>
    <s v="1824620.800"/>
    <s v="חברת האיצטדיון - השתתפויות תמיכות ותרומות"/>
    <m/>
    <m/>
    <n v="7500000"/>
    <n v="7000000"/>
    <n v="0"/>
    <m/>
    <x v="5"/>
    <x v="2"/>
    <x v="19"/>
    <x v="9"/>
    <x v="56"/>
    <x v="30"/>
    <s v="8246"/>
    <e v="#N/A"/>
    <m/>
    <s v="8"/>
    <x v="13"/>
    <s v="80"/>
    <e v="#N/A"/>
    <s v="800"/>
    <e v="#N/A"/>
  </r>
  <r>
    <n v="800"/>
    <n v="813630"/>
    <n v="1"/>
    <s v="1813630.800"/>
    <s v="חברה כלכלית - השתתפויות תמיכות ותרומות"/>
    <m/>
    <m/>
    <n v="230000"/>
    <n v="230000"/>
    <n v="0"/>
    <m/>
    <x v="5"/>
    <x v="2"/>
    <x v="34"/>
    <x v="8"/>
    <x v="116"/>
    <x v="19"/>
    <s v="8136"/>
    <s v="חינוך משלים בבתי״ס"/>
    <m/>
    <s v="8"/>
    <x v="13"/>
    <s v="80"/>
    <e v="#N/A"/>
    <s v="800"/>
    <e v="#N/A"/>
  </r>
  <r>
    <n v="800"/>
    <n v="724000"/>
    <n v="1"/>
    <s v="1724000.800"/>
    <s v="רשות כיבוי - השתתפויות תמיכות ותרומות"/>
    <m/>
    <m/>
    <n v="13500000"/>
    <n v="13500000"/>
    <n v="14685600"/>
    <m/>
    <x v="7"/>
    <x v="1"/>
    <x v="31"/>
    <x v="4"/>
    <x v="125"/>
    <x v="80"/>
    <s v="7240"/>
    <e v="#N/A"/>
    <m/>
    <s v="8"/>
    <x v="13"/>
    <s v="80"/>
    <e v="#N/A"/>
    <s v="800"/>
    <e v="#N/A"/>
  </r>
  <r>
    <n v="800"/>
    <n v="879000"/>
    <n v="1"/>
    <s v="1879000.800"/>
    <s v="אגד ערים איכות סביבה - השתתפויות תמיכות ותרומות"/>
    <m/>
    <m/>
    <n v="710000"/>
    <n v="710000"/>
    <n v="486100"/>
    <m/>
    <x v="5"/>
    <x v="2"/>
    <x v="40"/>
    <x v="28"/>
    <x v="126"/>
    <x v="81"/>
    <s v="8790"/>
    <e v="#N/A"/>
    <m/>
    <s v="8"/>
    <x v="13"/>
    <s v="80"/>
    <e v="#N/A"/>
    <s v="800"/>
    <e v="#N/A"/>
  </r>
  <r>
    <n v="800"/>
    <n v="911000"/>
    <n v="1"/>
    <s v="1911000.800"/>
    <s v="רשות נחל קישון - השתתפויות תמיכות ותרומות"/>
    <m/>
    <m/>
    <n v="450000"/>
    <n v="450000"/>
    <n v="424800"/>
    <m/>
    <x v="8"/>
    <x v="3"/>
    <x v="41"/>
    <x v="11"/>
    <x v="127"/>
    <x v="82"/>
    <s v="9110"/>
    <e v="#N/A"/>
    <m/>
    <s v="8"/>
    <x v="13"/>
    <s v="80"/>
    <e v="#N/A"/>
    <s v="800"/>
    <e v="#N/A"/>
  </r>
  <r>
    <n v="800"/>
    <n v="745200"/>
    <n v="1"/>
    <s v="1745200.800"/>
    <s v="רשויות ניקוז קישון וכרמל - השתתפויות תמיכות ותרומות"/>
    <m/>
    <m/>
    <n v="1642100"/>
    <n v="1642100"/>
    <n v="2407600"/>
    <m/>
    <x v="7"/>
    <x v="1"/>
    <x v="38"/>
    <x v="6"/>
    <x v="107"/>
    <x v="13"/>
    <s v="7452"/>
    <e v="#N/A"/>
    <m/>
    <s v="8"/>
    <x v="13"/>
    <s v="80"/>
    <e v="#N/A"/>
    <s v="800"/>
    <e v="#N/A"/>
  </r>
  <r>
    <n v="800"/>
    <n v="942000"/>
    <n v="1"/>
    <s v="1942000.800"/>
    <s v="כרמלית - השתתפויות תמיכות ותרומות"/>
    <m/>
    <m/>
    <n v="2625000"/>
    <n v="2695000"/>
    <n v="2695000"/>
    <m/>
    <x v="8"/>
    <x v="3"/>
    <x v="42"/>
    <x v="13"/>
    <x v="128"/>
    <x v="41"/>
    <s v="9420"/>
    <e v="#N/A"/>
    <m/>
    <s v="8"/>
    <x v="13"/>
    <s v="80"/>
    <e v="#N/A"/>
    <s v="800"/>
    <e v="#N/A"/>
  </r>
  <r>
    <n v="800"/>
    <n v="816200"/>
    <n v="1"/>
    <s v="1816200.800"/>
    <s v="אוניברסיטת חיפה וטכניון - השתתפויות תמיכות ותרומות"/>
    <m/>
    <m/>
    <n v="5000000"/>
    <n v="5000000"/>
    <n v="610400"/>
    <m/>
    <x v="5"/>
    <x v="2"/>
    <x v="34"/>
    <x v="8"/>
    <x v="117"/>
    <x v="75"/>
    <s v="8162"/>
    <s v="אוניברסיטאות"/>
    <m/>
    <s v="8"/>
    <x v="13"/>
    <s v="80"/>
    <e v="#N/A"/>
    <s v="800"/>
    <e v="#N/A"/>
  </r>
  <r>
    <n v="700"/>
    <n v="862000"/>
    <n v="1"/>
    <s v="1862000.700"/>
    <s v="עמותה לקליטת עליה - עיר ללא אלימות"/>
    <m/>
    <m/>
    <n v="2040000"/>
    <n v="2100000"/>
    <n v="2100000"/>
    <m/>
    <x v="5"/>
    <x v="2"/>
    <x v="32"/>
    <x v="23"/>
    <x v="129"/>
    <x v="0"/>
    <s v="8620"/>
    <e v="#N/A"/>
    <m/>
    <s v="7"/>
    <x v="9"/>
    <s v="70"/>
    <e v="#N/A"/>
    <s v="700"/>
    <e v="#N/A"/>
  </r>
  <r>
    <n v="800"/>
    <n v="862000"/>
    <n v="1"/>
    <s v="1862000.800"/>
    <s v="עמותה לקליטת עליה - השתתפויות תמיכות ותרומות"/>
    <m/>
    <m/>
    <n v="5177800"/>
    <n v="5330000"/>
    <n v="5322400"/>
    <m/>
    <x v="5"/>
    <x v="2"/>
    <x v="32"/>
    <x v="23"/>
    <x v="129"/>
    <x v="0"/>
    <s v="8620"/>
    <e v="#N/A"/>
    <m/>
    <s v="8"/>
    <x v="13"/>
    <s v="80"/>
    <e v="#N/A"/>
    <s v="800"/>
    <e v="#N/A"/>
  </r>
  <r>
    <n v="861"/>
    <n v="995000"/>
    <n v="1"/>
    <s v="1995000.861"/>
    <s v="הנחות בארנונה"/>
    <m/>
    <m/>
    <n v="160000000"/>
    <n v="160000000"/>
    <n v="159636000"/>
    <m/>
    <x v="8"/>
    <x v="3"/>
    <x v="33"/>
    <x v="24"/>
    <x v="130"/>
    <x v="83"/>
    <s v="9950"/>
    <e v="#N/A"/>
    <m/>
    <s v="8"/>
    <x v="13"/>
    <s v="86"/>
    <s v="הנחות"/>
    <s v="861"/>
    <e v="#N/A"/>
  </r>
  <r>
    <m/>
    <m/>
    <m/>
    <m/>
    <m/>
    <m/>
    <m/>
    <n v="-2165700.0000002384"/>
    <n v="-30191500"/>
    <n v="-28155428"/>
    <m/>
    <x v="10"/>
    <x v="7"/>
    <x v="43"/>
    <x v="29"/>
    <x v="131"/>
    <x v="84"/>
    <m/>
    <m/>
    <m/>
    <m/>
    <x v="18"/>
    <m/>
    <m/>
    <m/>
    <m/>
  </r>
  <r>
    <m/>
    <m/>
    <m/>
    <m/>
    <m/>
    <m/>
    <m/>
    <n v="-2.384185791015625E-7"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  <r>
    <m/>
    <m/>
    <m/>
    <m/>
    <m/>
    <m/>
    <m/>
    <m/>
    <m/>
    <m/>
    <m/>
    <x v="10"/>
    <x v="7"/>
    <x v="43"/>
    <x v="29"/>
    <x v="131"/>
    <x v="84"/>
    <m/>
    <m/>
    <m/>
    <m/>
    <x v="1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50:O266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axis="axisPage" multipleItemSelectionAllowed="1" showAll="0">
      <items count="13">
        <item h="1" x="0"/>
        <item h="1" x="1"/>
        <item h="1" x="2"/>
        <item x="3"/>
        <item x="4"/>
        <item x="9"/>
        <item h="1" x="7"/>
        <item h="1" x="5"/>
        <item x="8"/>
        <item h="1" m="1" x="11"/>
        <item h="1" x="6"/>
        <item h="1" x="10"/>
        <item t="default"/>
      </items>
    </pivotField>
    <pivotField axis="axisRow" showAll="0">
      <items count="10">
        <item x="6"/>
        <item x="0"/>
        <item x="3"/>
        <item x="2"/>
        <item x="1"/>
        <item x="4"/>
        <item m="1" x="8"/>
        <item x="5"/>
        <item x="7"/>
        <item t="default"/>
      </items>
    </pivotField>
    <pivotField showAll="0"/>
    <pivotField axis="axisRow" showAll="0">
      <items count="40">
        <item x="1"/>
        <item x="28"/>
        <item x="0"/>
        <item x="15"/>
        <item x="27"/>
        <item sd="0" x="26"/>
        <item sd="0" m="1" x="35"/>
        <item x="21"/>
        <item x="8"/>
        <item sd="0" x="11"/>
        <item sd="0" x="19"/>
        <item sd="0" x="22"/>
        <item x="2"/>
        <item sd="0" x="14"/>
        <item sd="0" x="12"/>
        <item x="6"/>
        <item x="7"/>
        <item x="18"/>
        <item sd="0" x="25"/>
        <item x="23"/>
        <item x="10"/>
        <item sd="0" x="16"/>
        <item x="20"/>
        <item x="4"/>
        <item x="3"/>
        <item sd="0" x="13"/>
        <item x="5"/>
        <item x="9"/>
        <item sd="0" x="24"/>
        <item m="1" x="31"/>
        <item m="1" x="32"/>
        <item m="1" x="34"/>
        <item m="1" x="30"/>
        <item m="1" x="38"/>
        <item m="1" x="36"/>
        <item m="1" x="37"/>
        <item sd="0" m="1" x="33"/>
        <item sd="0" x="17"/>
        <item x="29"/>
        <item t="default"/>
      </items>
    </pivotField>
    <pivotField axis="axisRow" showAll="0">
      <items count="225">
        <item x="2"/>
        <item x="4"/>
        <item x="5"/>
        <item x="6"/>
        <item x="7"/>
        <item m="1" x="187"/>
        <item x="10"/>
        <item x="11"/>
        <item x="12"/>
        <item x="13"/>
        <item x="15"/>
        <item m="1" x="207"/>
        <item m="1" x="213"/>
        <item x="17"/>
        <item m="1" x="199"/>
        <item x="18"/>
        <item x="19"/>
        <item x="20"/>
        <item m="1" x="182"/>
        <item x="22"/>
        <item x="21"/>
        <item m="1" x="192"/>
        <item m="1" x="196"/>
        <item x="26"/>
        <item x="24"/>
        <item x="29"/>
        <item x="33"/>
        <item x="34"/>
        <item x="35"/>
        <item x="36"/>
        <item x="37"/>
        <item x="38"/>
        <item x="39"/>
        <item m="1" x="208"/>
        <item m="1" x="221"/>
        <item m="1" x="140"/>
        <item m="1" x="177"/>
        <item m="1" x="167"/>
        <item m="1" x="174"/>
        <item x="65"/>
        <item x="66"/>
        <item x="70"/>
        <item x="68"/>
        <item x="75"/>
        <item m="1" x="214"/>
        <item x="69"/>
        <item x="73"/>
        <item x="76"/>
        <item x="99"/>
        <item m="1" x="204"/>
        <item m="1" x="179"/>
        <item x="64"/>
        <item x="103"/>
        <item x="101"/>
        <item x="102"/>
        <item x="110"/>
        <item x="111"/>
        <item x="112"/>
        <item x="125"/>
        <item x="59"/>
        <item x="60"/>
        <item m="1" x="200"/>
        <item x="104"/>
        <item m="1" x="206"/>
        <item x="106"/>
        <item m="1" x="222"/>
        <item m="1" x="150"/>
        <item x="67"/>
        <item x="77"/>
        <item m="1" x="216"/>
        <item x="124"/>
        <item x="61"/>
        <item m="1" x="160"/>
        <item x="109"/>
        <item x="114"/>
        <item x="119"/>
        <item x="116"/>
        <item m="1" x="193"/>
        <item x="118"/>
        <item x="117"/>
        <item x="115"/>
        <item x="93"/>
        <item x="120"/>
        <item x="51"/>
        <item x="52"/>
        <item x="54"/>
        <item x="56"/>
        <item x="53"/>
        <item x="90"/>
        <item x="55"/>
        <item m="1" x="190"/>
        <item x="123"/>
        <item x="80"/>
        <item x="81"/>
        <item x="82"/>
        <item x="83"/>
        <item x="84"/>
        <item x="85"/>
        <item x="86"/>
        <item x="87"/>
        <item x="122"/>
        <item m="1" x="198"/>
        <item x="63"/>
        <item x="91"/>
        <item m="1" x="146"/>
        <item m="1" x="152"/>
        <item x="130"/>
        <item x="1"/>
        <item m="1" x="185"/>
        <item m="1" x="186"/>
        <item m="1" x="180"/>
        <item m="1" x="134"/>
        <item m="1" x="197"/>
        <item x="113"/>
        <item x="107"/>
        <item x="108"/>
        <item m="1" x="165"/>
        <item m="1" x="201"/>
        <item m="1" x="149"/>
        <item m="1" x="161"/>
        <item x="16"/>
        <item x="31"/>
        <item x="45"/>
        <item m="1" x="158"/>
        <item m="1" x="159"/>
        <item m="1" x="162"/>
        <item m="1" x="188"/>
        <item x="89"/>
        <item m="1" x="154"/>
        <item m="1" x="163"/>
        <item m="1" x="168"/>
        <item m="1" x="172"/>
        <item x="88"/>
        <item m="1" x="164"/>
        <item m="1" x="205"/>
        <item m="1" x="210"/>
        <item x="127"/>
        <item x="0"/>
        <item m="1" x="148"/>
        <item m="1" x="183"/>
        <item x="8"/>
        <item x="14"/>
        <item m="1" x="219"/>
        <item m="1" x="212"/>
        <item m="1" x="189"/>
        <item m="1" x="195"/>
        <item x="40"/>
        <item m="1" x="220"/>
        <item x="41"/>
        <item m="1" x="133"/>
        <item x="43"/>
        <item m="1" x="137"/>
        <item m="1" x="181"/>
        <item m="1" x="144"/>
        <item m="1" x="145"/>
        <item m="1" x="202"/>
        <item m="1" x="194"/>
        <item x="62"/>
        <item m="1" x="173"/>
        <item m="1" x="175"/>
        <item m="1" x="184"/>
        <item m="1" x="217"/>
        <item m="1" x="170"/>
        <item m="1" x="147"/>
        <item m="1" x="141"/>
        <item m="1" x="211"/>
        <item m="1" x="143"/>
        <item m="1" x="135"/>
        <item m="1" x="223"/>
        <item m="1" x="191"/>
        <item m="1" x="153"/>
        <item m="1" x="176"/>
        <item m="1" x="157"/>
        <item x="126"/>
        <item x="3"/>
        <item x="9"/>
        <item m="1" x="203"/>
        <item x="23"/>
        <item x="30"/>
        <item x="32"/>
        <item m="1" x="136"/>
        <item m="1" x="139"/>
        <item m="1" x="142"/>
        <item x="42"/>
        <item x="44"/>
        <item m="1" x="178"/>
        <item x="47"/>
        <item x="48"/>
        <item x="49"/>
        <item x="50"/>
        <item m="1" x="138"/>
        <item x="57"/>
        <item x="58"/>
        <item m="1" x="155"/>
        <item m="1" x="171"/>
        <item m="1" x="218"/>
        <item x="71"/>
        <item x="72"/>
        <item x="74"/>
        <item m="1" x="132"/>
        <item x="78"/>
        <item x="79"/>
        <item m="1" x="215"/>
        <item x="92"/>
        <item x="94"/>
        <item x="95"/>
        <item x="96"/>
        <item m="1" x="169"/>
        <item x="97"/>
        <item x="98"/>
        <item x="100"/>
        <item x="105"/>
        <item m="1" x="156"/>
        <item m="1" x="209"/>
        <item x="131"/>
        <item x="25"/>
        <item x="27"/>
        <item x="28"/>
        <item x="46"/>
        <item x="121"/>
        <item m="1" x="166"/>
        <item x="128"/>
        <item m="1" x="151"/>
        <item x="129"/>
        <item t="default"/>
      </items>
    </pivotField>
    <pivotField axis="axisRow" showAll="0">
      <items count="121">
        <item sd="0" m="1" x="97"/>
        <item x="64"/>
        <item x="12"/>
        <item x="62"/>
        <item sd="0" x="69"/>
        <item x="14"/>
        <item x="39"/>
        <item x="11"/>
        <item x="73"/>
        <item sd="0" x="59"/>
        <item m="1" x="113"/>
        <item m="1" x="86"/>
        <item m="1" x="107"/>
        <item sd="0" x="48"/>
        <item x="83"/>
        <item sd="0" x="51"/>
        <item x="63"/>
        <item x="77"/>
        <item m="1" x="103"/>
        <item m="1" x="89"/>
        <item x="75"/>
        <item x="19"/>
        <item x="65"/>
        <item x="21"/>
        <item x="18"/>
        <item m="1" x="101"/>
        <item x="80"/>
        <item sd="0" x="49"/>
        <item m="1" x="99"/>
        <item x="27"/>
        <item x="50"/>
        <item sd="0" x="53"/>
        <item x="17"/>
        <item x="46"/>
        <item x="31"/>
        <item x="24"/>
        <item m="1" x="118"/>
        <item x="72"/>
        <item x="47"/>
        <item sd="0" x="58"/>
        <item x="1"/>
        <item m="1" x="93"/>
        <item m="1" x="102"/>
        <item x="9"/>
        <item x="30"/>
        <item x="28"/>
        <item m="1" x="98"/>
        <item x="29"/>
        <item x="23"/>
        <item x="38"/>
        <item x="45"/>
        <item m="1" x="112"/>
        <item sd="0" m="1" x="109"/>
        <item x="16"/>
        <item x="4"/>
        <item x="25"/>
        <item m="1" x="91"/>
        <item x="40"/>
        <item x="32"/>
        <item m="1" x="108"/>
        <item x="10"/>
        <item m="1" x="85"/>
        <item x="76"/>
        <item x="78"/>
        <item x="3"/>
        <item x="36"/>
        <item x="37"/>
        <item x="34"/>
        <item x="33"/>
        <item x="35"/>
        <item x="20"/>
        <item x="79"/>
        <item x="81"/>
        <item x="6"/>
        <item x="5"/>
        <item sd="0" x="52"/>
        <item x="70"/>
        <item sd="0" x="56"/>
        <item x="44"/>
        <item m="1" x="96"/>
        <item x="60"/>
        <item sd="0" x="0"/>
        <item m="1" x="94"/>
        <item m="1" x="104"/>
        <item x="74"/>
        <item x="13"/>
        <item x="15"/>
        <item m="1" x="92"/>
        <item x="42"/>
        <item m="1" x="100"/>
        <item m="1" x="111"/>
        <item m="1" x="88"/>
        <item m="1" x="87"/>
        <item m="1" x="110"/>
        <item m="1" x="90"/>
        <item x="7"/>
        <item m="1" x="105"/>
        <item x="82"/>
        <item m="1" x="95"/>
        <item m="1" x="114"/>
        <item m="1" x="116"/>
        <item m="1" x="117"/>
        <item m="1" x="119"/>
        <item x="2"/>
        <item m="1" x="106"/>
        <item x="22"/>
        <item x="41"/>
        <item m="1" x="115"/>
        <item x="54"/>
        <item x="55"/>
        <item x="57"/>
        <item x="61"/>
        <item x="66"/>
        <item x="67"/>
        <item x="68"/>
        <item x="43"/>
        <item x="71"/>
        <item x="8"/>
        <item x="84"/>
        <item x="26"/>
        <item t="default"/>
      </items>
    </pivotField>
    <pivotField showAll="0"/>
    <pivotField showAll="0"/>
    <pivotField showAll="0"/>
    <pivotField showAll="0"/>
    <pivotField axis="axisCol" showAll="0">
      <items count="22">
        <item x="0"/>
        <item x="1"/>
        <item x="3"/>
        <item x="7"/>
        <item x="4"/>
        <item x="5"/>
        <item x="6"/>
        <item x="2"/>
        <item x="8"/>
        <item x="10"/>
        <item x="16"/>
        <item x="12"/>
        <item x="11"/>
        <item x="17"/>
        <item x="9"/>
        <item x="13"/>
        <item x="15"/>
        <item m="1" x="20"/>
        <item x="14"/>
        <item m="1" x="19"/>
        <item x="18"/>
        <item t="default"/>
      </items>
    </pivotField>
    <pivotField showAll="0"/>
    <pivotField showAll="0"/>
    <pivotField showAll="0"/>
    <pivotField showAll="0"/>
  </pivotFields>
  <rowFields count="4">
    <field x="12"/>
    <field x="14"/>
    <field x="16"/>
    <field x="15"/>
  </rowFields>
  <rowItems count="15">
    <i>
      <x/>
    </i>
    <i r="1">
      <x v="5"/>
    </i>
    <i r="1">
      <x v="10"/>
    </i>
    <i r="1">
      <x v="11"/>
    </i>
    <i r="1">
      <x v="18"/>
    </i>
    <i>
      <x v="2"/>
    </i>
    <i r="1">
      <x v="9"/>
    </i>
    <i r="1">
      <x v="13"/>
    </i>
    <i r="1">
      <x v="14"/>
    </i>
    <i r="1">
      <x v="25"/>
    </i>
    <i r="1">
      <x v="28"/>
    </i>
    <i>
      <x v="5"/>
    </i>
    <i r="1">
      <x v="21"/>
    </i>
    <i r="1">
      <x v="37"/>
    </i>
    <i t="grand">
      <x/>
    </i>
  </rowItems>
  <colFields count="1">
    <field x="21"/>
  </colFields>
  <colItems count="14">
    <i>
      <x v="1"/>
    </i>
    <i>
      <x v="2"/>
    </i>
    <i>
      <x v="3"/>
    </i>
    <i>
      <x v="4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11" hier="-1"/>
  </pageFields>
  <dataFields count="1">
    <dataField name="Sum of   תקציב חדש 2016" fld="7" baseField="0" baseItem="0" numFmtId="183"/>
  </dataFields>
  <formats count="74">
    <format dxfId="125">
      <pivotArea collapsedLevelsAreSubtotals="1" fieldPosition="0">
        <references count="2">
          <reference field="12" count="1" selected="0">
            <x v="0"/>
          </reference>
          <reference field="14" count="4">
            <x v="5"/>
            <x v="10"/>
            <x v="11"/>
            <x v="18"/>
          </reference>
        </references>
      </pivotArea>
    </format>
    <format dxfId="124">
      <pivotArea collapsedLevelsAreSubtotals="1" fieldPosition="0">
        <references count="2">
          <reference field="12" count="1" selected="0">
            <x v="1"/>
          </reference>
          <reference field="14" count="3">
            <x v="0"/>
            <x v="2"/>
            <x v="12"/>
          </reference>
        </references>
      </pivotArea>
    </format>
    <format dxfId="123">
      <pivotArea collapsedLevelsAreSubtotals="1" fieldPosition="0">
        <references count="2">
          <reference field="12" count="1" selected="0">
            <x v="2"/>
          </reference>
          <reference field="14" count="5">
            <x v="9"/>
            <x v="13"/>
            <x v="14"/>
            <x v="25"/>
            <x v="28"/>
          </reference>
        </references>
      </pivotArea>
    </format>
    <format dxfId="122">
      <pivotArea collapsedLevelsAreSubtotals="1" fieldPosition="0">
        <references count="2">
          <reference field="12" count="1" selected="0">
            <x v="3"/>
          </reference>
          <reference field="14" count="7">
            <x v="1"/>
            <x v="3"/>
            <x v="4"/>
            <x v="8"/>
            <x v="19"/>
            <x v="20"/>
            <x v="27"/>
          </reference>
        </references>
      </pivotArea>
    </format>
    <format dxfId="121">
      <pivotArea collapsedLevelsAreSubtotals="1" fieldPosition="0">
        <references count="2">
          <reference field="12" count="1" selected="0">
            <x v="4"/>
          </reference>
          <reference field="14" count="8">
            <x v="7"/>
            <x v="15"/>
            <x v="16"/>
            <x v="17"/>
            <x v="22"/>
            <x v="23"/>
            <x v="24"/>
            <x v="26"/>
          </reference>
        </references>
      </pivotArea>
    </format>
    <format dxfId="120">
      <pivotArea collapsedLevelsAreSubtotals="1" fieldPosition="0">
        <references count="2">
          <reference field="12" count="1" selected="0">
            <x v="5"/>
          </reference>
          <reference field="14" count="2">
            <x v="6"/>
            <x v="21"/>
          </reference>
        </references>
      </pivotArea>
    </format>
    <format dxfId="119">
      <pivotArea collapsedLevelsAreSubtotals="1" fieldPosition="0">
        <references count="1">
          <reference field="12" count="1">
            <x v="0"/>
          </reference>
        </references>
      </pivotArea>
    </format>
    <format dxfId="118">
      <pivotArea collapsedLevelsAreSubtotals="1" fieldPosition="0">
        <references count="1">
          <reference field="12" count="1">
            <x v="1"/>
          </reference>
        </references>
      </pivotArea>
    </format>
    <format dxfId="117">
      <pivotArea collapsedLevelsAreSubtotals="1" fieldPosition="0">
        <references count="1">
          <reference field="12" count="1">
            <x v="2"/>
          </reference>
        </references>
      </pivotArea>
    </format>
    <format dxfId="116">
      <pivotArea collapsedLevelsAreSubtotals="1" fieldPosition="0">
        <references count="1">
          <reference field="12" count="1">
            <x v="3"/>
          </reference>
        </references>
      </pivotArea>
    </format>
    <format dxfId="115">
      <pivotArea collapsedLevelsAreSubtotals="1" fieldPosition="0">
        <references count="1">
          <reference field="12" count="1">
            <x v="4"/>
          </reference>
        </references>
      </pivotArea>
    </format>
    <format dxfId="114">
      <pivotArea collapsedLevelsAreSubtotals="1" fieldPosition="0">
        <references count="1">
          <reference field="12" count="1">
            <x v="5"/>
          </reference>
        </references>
      </pivotArea>
    </format>
    <format dxfId="113">
      <pivotArea field="21" grandRow="1" outline="0" collapsedLevelsAreSubtotals="1" axis="axisCol" fieldPosition="0">
        <references count="1">
          <reference field="21" count="0" selected="0"/>
        </references>
      </pivotArea>
    </format>
    <format dxfId="112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</references>
      </pivotArea>
    </format>
    <format dxfId="11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29"/>
          </reference>
        </references>
      </pivotArea>
    </format>
    <format dxfId="11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35"/>
          </reference>
        </references>
      </pivotArea>
    </format>
    <format dxfId="10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44"/>
          </reference>
        </references>
      </pivotArea>
    </format>
    <format dxfId="108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45"/>
          </reference>
        </references>
      </pivotArea>
    </format>
    <format dxfId="10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47"/>
          </reference>
        </references>
      </pivotArea>
    </format>
    <format dxfId="106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48"/>
          </reference>
        </references>
      </pivotArea>
    </format>
    <format dxfId="10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55"/>
          </reference>
        </references>
      </pivotArea>
    </format>
    <format dxfId="104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7"/>
          </reference>
          <reference field="16" count="1">
            <x v="81"/>
          </reference>
        </references>
      </pivotArea>
    </format>
    <format dxfId="10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72"/>
          </reference>
        </references>
      </pivotArea>
    </format>
    <format dxfId="102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81"/>
          </reference>
        </references>
      </pivotArea>
    </format>
    <format dxfId="10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41"/>
          </reference>
        </references>
      </pivotArea>
    </format>
    <format dxfId="10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</references>
      </pivotArea>
    </format>
    <format dxfId="99">
      <pivotArea grandCol="1" outline="0" collapsedLevelsAreSubtotals="1" fieldPosition="0"/>
    </format>
    <format dxfId="98">
      <pivotArea collapsedLevelsAreSubtotals="1" fieldPosition="0">
        <references count="3">
          <reference field="12" count="1" selected="0">
            <x v="3"/>
          </reference>
          <reference field="14" count="1">
            <x v="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7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72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5">
      <pivotArea collapsedLevelsAreSubtotals="1" fieldPosition="0">
        <references count="3">
          <reference field="12" count="1" selected="0">
            <x v="3"/>
          </reference>
          <reference field="14" count="1">
            <x v="3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4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4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3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63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2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1">
      <pivotArea collapsedLevelsAreSubtotals="1" fieldPosition="0">
        <references count="3">
          <reference field="12" count="1" selected="0">
            <x v="3"/>
          </reference>
          <reference field="14" count="1">
            <x v="4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0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9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8">
      <pivotArea collapsedLevelsAreSubtotals="1" fieldPosition="0">
        <references count="3">
          <reference field="12" count="1" selected="0">
            <x v="3"/>
          </reference>
          <reference field="14" count="1">
            <x v="8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7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6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0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5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4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2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3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3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2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4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1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32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0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62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9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70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8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7">
      <pivotArea collapsedLevelsAreSubtotals="1" fieldPosition="0">
        <references count="3">
          <reference field="12" count="1" selected="0">
            <x v="3"/>
          </reference>
          <reference field="14" count="1">
            <x v="19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6">
      <pivotArea collapsedLevelsAreSubtotals="1" fieldPosition="0">
        <references count="3">
          <reference field="12" count="1" selected="0">
            <x v="3"/>
          </reference>
          <reference field="14" count="1">
            <x v="20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5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34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4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49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3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58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2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65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1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66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0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67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9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68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69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7">
      <pivotArea collapsedLevelsAreSubtotals="1" fieldPosition="0">
        <references count="4">
          <reference field="12" count="1" selected="0">
            <x v="3"/>
          </reference>
          <reference field="14" count="1" selected="0">
            <x v="20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6">
      <pivotArea collapsedLevelsAreSubtotals="1" fieldPosition="0">
        <references count="3">
          <reference field="12" count="1" selected="0">
            <x v="3"/>
          </reference>
          <reference field="14" count="1">
            <x v="27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5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29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4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35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3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44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2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45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1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47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0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48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9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55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7"/>
          </reference>
          <reference field="16" count="1">
            <x v="81"/>
          </reference>
          <reference field="21" count="14" selected="0"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7">
      <pivotArea outline="0" collapsedLevelsAreSubtotals="1" fieldPosition="0"/>
    </format>
    <format dxfId="56">
      <pivotArea collapsedLevelsAreSubtotals="1" fieldPosition="0">
        <references count="3">
          <reference field="12" count="1" selected="0">
            <x v="2"/>
          </reference>
          <reference field="14" count="1">
            <x v="28"/>
          </reference>
          <reference field="21" count="1" selected="0">
            <x v="13"/>
          </reference>
        </references>
      </pivotArea>
    </format>
    <format dxfId="55">
      <pivotArea collapsedLevelsAreSubtotals="1" fieldPosition="0">
        <references count="2">
          <reference field="12" count="1">
            <x v="2"/>
          </reference>
          <reference field="21" count="1" selected="0">
            <x v="13"/>
          </reference>
        </references>
      </pivotArea>
    </format>
    <format dxfId="54">
      <pivotArea collapsedLevelsAreSubtotals="1" fieldPosition="0">
        <references count="2">
          <reference field="12" count="1">
            <x v="2"/>
          </reference>
          <reference field="21" count="1" selected="0">
            <x v="10"/>
          </reference>
        </references>
      </pivotArea>
    </format>
    <format dxfId="53">
      <pivotArea collapsedLevelsAreSubtotals="1" fieldPosition="0">
        <references count="3">
          <reference field="12" count="1" selected="0">
            <x v="2"/>
          </reference>
          <reference field="14" count="1">
            <x v="9"/>
          </reference>
          <reference field="21" count="1" selected="0">
            <x v="10"/>
          </reference>
        </references>
      </pivotArea>
    </format>
    <format dxfId="52">
      <pivotArea collapsedLevelsAreSubtotals="1" fieldPosition="0">
        <references count="3">
          <reference field="12" count="1" selected="0">
            <x v="2"/>
          </reference>
          <reference field="14" count="1">
            <x v="28"/>
          </reference>
          <reference field="21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85:L227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axis="axisPage" multipleItemSelectionAllowed="1" showAll="0">
      <items count="13">
        <item h="1" x="0"/>
        <item x="1"/>
        <item h="1" x="2"/>
        <item h="1" x="3"/>
        <item h="1" x="4"/>
        <item h="1" x="9"/>
        <item x="7"/>
        <item h="1" x="5"/>
        <item h="1" x="8"/>
        <item h="1" x="10"/>
        <item h="1" m="1" x="11"/>
        <item h="1" x="6"/>
        <item t="default"/>
      </items>
    </pivotField>
    <pivotField axis="axisRow" showAll="0">
      <items count="10">
        <item x="6"/>
        <item x="0"/>
        <item x="3"/>
        <item x="2"/>
        <item x="1"/>
        <item x="4"/>
        <item x="7"/>
        <item m="1" x="8"/>
        <item x="5"/>
        <item t="default"/>
      </items>
    </pivotField>
    <pivotField showAll="0"/>
    <pivotField axis="axisRow" showAll="0">
      <items count="39">
        <item x="1"/>
        <item x="28"/>
        <item x="0"/>
        <item x="15"/>
        <item x="27"/>
        <item x="26"/>
        <item m="1" x="34"/>
        <item x="21"/>
        <item x="8"/>
        <item x="11"/>
        <item x="19"/>
        <item x="22"/>
        <item x="2"/>
        <item x="12"/>
        <item x="6"/>
        <item x="7"/>
        <item x="18"/>
        <item x="25"/>
        <item x="23"/>
        <item x="10"/>
        <item x="16"/>
        <item x="20"/>
        <item x="4"/>
        <item x="3"/>
        <item x="13"/>
        <item x="5"/>
        <item x="9"/>
        <item x="24"/>
        <item x="29"/>
        <item m="1" x="31"/>
        <item x="14"/>
        <item m="1" x="32"/>
        <item m="1" x="33"/>
        <item m="1" x="30"/>
        <item m="1" x="37"/>
        <item m="1" x="35"/>
        <item m="1" x="36"/>
        <item x="17"/>
        <item t="default"/>
      </items>
    </pivotField>
    <pivotField axis="axisRow" showAll="0">
      <items count="220">
        <item x="2"/>
        <item x="4"/>
        <item x="5"/>
        <item x="7"/>
        <item m="1" x="137"/>
        <item x="10"/>
        <item x="11"/>
        <item x="12"/>
        <item x="13"/>
        <item x="15"/>
        <item m="1" x="179"/>
        <item m="1" x="181"/>
        <item x="17"/>
        <item m="1" x="147"/>
        <item x="18"/>
        <item x="19"/>
        <item x="20"/>
        <item m="1" x="213"/>
        <item x="22"/>
        <item x="21"/>
        <item m="1" x="216"/>
        <item m="1" x="217"/>
        <item x="26"/>
        <item x="24"/>
        <item x="29"/>
        <item x="33"/>
        <item x="34"/>
        <item x="35"/>
        <item x="36"/>
        <item x="37"/>
        <item x="38"/>
        <item x="39"/>
        <item m="1" x="141"/>
        <item m="1" x="175"/>
        <item m="1" x="160"/>
        <item m="1" x="177"/>
        <item m="1" x="157"/>
        <item x="65"/>
        <item x="66"/>
        <item x="70"/>
        <item x="68"/>
        <item x="75"/>
        <item m="1" x="151"/>
        <item x="69"/>
        <item x="73"/>
        <item x="76"/>
        <item x="99"/>
        <item m="1" x="208"/>
        <item m="1" x="201"/>
        <item x="64"/>
        <item x="103"/>
        <item x="102"/>
        <item x="110"/>
        <item x="111"/>
        <item x="112"/>
        <item x="125"/>
        <item x="59"/>
        <item x="60"/>
        <item m="1" x="178"/>
        <item x="104"/>
        <item m="1" x="182"/>
        <item x="106"/>
        <item m="1" x="166"/>
        <item x="67"/>
        <item x="77"/>
        <item x="61"/>
        <item m="1" x="131"/>
        <item x="109"/>
        <item x="114"/>
        <item x="119"/>
        <item x="116"/>
        <item m="1" x="195"/>
        <item x="118"/>
        <item x="117"/>
        <item x="115"/>
        <item x="120"/>
        <item x="51"/>
        <item x="52"/>
        <item x="54"/>
        <item x="56"/>
        <item x="53"/>
        <item x="90"/>
        <item x="55"/>
        <item m="1" x="168"/>
        <item x="123"/>
        <item x="80"/>
        <item x="81"/>
        <item x="82"/>
        <item x="83"/>
        <item x="84"/>
        <item x="85"/>
        <item x="86"/>
        <item x="87"/>
        <item x="122"/>
        <item m="1" x="200"/>
        <item x="63"/>
        <item x="91"/>
        <item m="1" x="153"/>
        <item m="1" x="156"/>
        <item m="1" x="158"/>
        <item x="1"/>
        <item m="1" x="199"/>
        <item m="1" x="189"/>
        <item m="1" x="149"/>
        <item m="1" x="163"/>
        <item x="107"/>
        <item x="108"/>
        <item m="1" x="133"/>
        <item m="1" x="170"/>
        <item m="1" x="155"/>
        <item m="1" x="159"/>
        <item x="130"/>
        <item x="31"/>
        <item m="1" x="176"/>
        <item m="1" x="188"/>
        <item m="1" x="198"/>
        <item m="1" x="167"/>
        <item x="89"/>
        <item m="1" x="132"/>
        <item m="1" x="134"/>
        <item m="1" x="136"/>
        <item m="1" x="138"/>
        <item x="88"/>
        <item m="1" x="190"/>
        <item m="1" x="172"/>
        <item m="1" x="173"/>
        <item x="127"/>
        <item x="0"/>
        <item m="1" x="154"/>
        <item m="1" x="135"/>
        <item x="8"/>
        <item x="14"/>
        <item m="1" x="180"/>
        <item m="1" x="148"/>
        <item m="1" x="218"/>
        <item m="1" x="193"/>
        <item m="1" x="194"/>
        <item x="40"/>
        <item m="1" x="169"/>
        <item x="41"/>
        <item m="1" x="171"/>
        <item x="43"/>
        <item m="1" x="174"/>
        <item m="1" x="161"/>
        <item x="113"/>
        <item m="1" x="184"/>
        <item m="1" x="150"/>
        <item x="124"/>
        <item x="101"/>
        <item m="1" x="210"/>
        <item x="45"/>
        <item m="1" x="196"/>
        <item m="1" x="197"/>
        <item x="6"/>
        <item x="16"/>
        <item m="1" x="139"/>
        <item x="62"/>
        <item m="1" x="142"/>
        <item m="1" x="143"/>
        <item m="1" x="209"/>
        <item m="1" x="144"/>
        <item m="1" x="162"/>
        <item m="1" x="185"/>
        <item m="1" x="202"/>
        <item m="1" x="165"/>
        <item m="1" x="203"/>
        <item m="1" x="215"/>
        <item m="1" x="146"/>
        <item m="1" x="145"/>
        <item m="1" x="206"/>
        <item m="1" x="164"/>
        <item m="1" x="186"/>
        <item x="126"/>
        <item x="3"/>
        <item x="9"/>
        <item m="1" x="140"/>
        <item x="23"/>
        <item x="25"/>
        <item x="27"/>
        <item x="28"/>
        <item x="30"/>
        <item x="32"/>
        <item x="42"/>
        <item x="44"/>
        <item x="46"/>
        <item x="47"/>
        <item x="48"/>
        <item x="49"/>
        <item x="50"/>
        <item m="1" x="183"/>
        <item x="57"/>
        <item x="58"/>
        <item m="1" x="187"/>
        <item m="1" x="192"/>
        <item m="1" x="207"/>
        <item x="71"/>
        <item x="72"/>
        <item x="74"/>
        <item m="1" x="152"/>
        <item x="78"/>
        <item x="79"/>
        <item m="1" x="205"/>
        <item x="92"/>
        <item x="93"/>
        <item x="94"/>
        <item x="95"/>
        <item x="96"/>
        <item m="1" x="191"/>
        <item x="97"/>
        <item x="98"/>
        <item x="100"/>
        <item x="105"/>
        <item m="1" x="212"/>
        <item m="1" x="204"/>
        <item x="121"/>
        <item m="1" x="214"/>
        <item x="128"/>
        <item m="1" x="211"/>
        <item x="129"/>
        <item t="default"/>
      </items>
    </pivotField>
    <pivotField axis="axisRow" showAll="0">
      <items count="121">
        <item m="1" x="91"/>
        <item sd="0" x="64"/>
        <item sd="0" x="12"/>
        <item sd="0" x="62"/>
        <item x="69"/>
        <item sd="0" x="14"/>
        <item x="39"/>
        <item sd="0" x="11"/>
        <item sd="0" x="73"/>
        <item x="59"/>
        <item m="1" x="99"/>
        <item m="1" x="101"/>
        <item sd="0" m="1" x="106"/>
        <item x="48"/>
        <item m="1" x="118"/>
        <item x="51"/>
        <item x="63"/>
        <item x="77"/>
        <item sd="0" m="1" x="98"/>
        <item m="1" x="96"/>
        <item x="75"/>
        <item x="19"/>
        <item x="65"/>
        <item x="21"/>
        <item x="18"/>
        <item m="1" x="84"/>
        <item sd="0" x="80"/>
        <item x="49"/>
        <item x="27"/>
        <item sd="0" x="50"/>
        <item x="53"/>
        <item x="17"/>
        <item x="46"/>
        <item x="31"/>
        <item x="24"/>
        <item sd="0" m="1" x="117"/>
        <item sd="0" x="72"/>
        <item sd="0" x="47"/>
        <item x="58"/>
        <item x="1"/>
        <item m="1" x="109"/>
        <item sd="0" x="9"/>
        <item x="30"/>
        <item x="28"/>
        <item x="29"/>
        <item x="23"/>
        <item x="38"/>
        <item sd="0" x="45"/>
        <item sd="0" m="1" x="88"/>
        <item m="1" x="108"/>
        <item sd="0" x="16"/>
        <item sd="0" x="4"/>
        <item x="25"/>
        <item m="1" x="116"/>
        <item x="40"/>
        <item x="32"/>
        <item m="1" x="100"/>
        <item sd="0" x="10"/>
        <item m="1" x="102"/>
        <item x="76"/>
        <item x="78"/>
        <item sd="0" x="3"/>
        <item x="36"/>
        <item x="37"/>
        <item x="34"/>
        <item x="33"/>
        <item x="35"/>
        <item x="20"/>
        <item x="81"/>
        <item sd="0" x="6"/>
        <item x="52"/>
        <item sd="0" x="70"/>
        <item x="56"/>
        <item sd="0" x="44"/>
        <item m="1" x="111"/>
        <item sd="0" x="60"/>
        <item sd="0" x="0"/>
        <item m="1" x="112"/>
        <item m="1" x="114"/>
        <item sd="0" x="13"/>
        <item sd="0" x="15"/>
        <item sd="0" m="1" x="97"/>
        <item m="1" x="115"/>
        <item x="83"/>
        <item m="1" x="90"/>
        <item sd="0" m="1" x="93"/>
        <item m="1" x="89"/>
        <item m="1" x="103"/>
        <item m="1" x="95"/>
        <item sd="0" x="7"/>
        <item m="1" x="113"/>
        <item x="82"/>
        <item sd="0" m="1" x="110"/>
        <item sd="0" m="1" x="94"/>
        <item m="1" x="107"/>
        <item m="1" x="87"/>
        <item sd="0" x="74"/>
        <item sd="0" m="1" x="92"/>
        <item sd="0" m="1" x="86"/>
        <item sd="0" x="79"/>
        <item sd="0" x="5"/>
        <item x="42"/>
        <item m="1" x="119"/>
        <item m="1" x="85"/>
        <item x="2"/>
        <item sd="0" m="1" x="104"/>
        <item x="22"/>
        <item x="26"/>
        <item x="41"/>
        <item x="43"/>
        <item sd="0" m="1" x="105"/>
        <item sd="0" x="54"/>
        <item sd="0" x="55"/>
        <item x="57"/>
        <item x="61"/>
        <item x="66"/>
        <item x="67"/>
        <item sd="0" x="68"/>
        <item sd="0" x="71"/>
        <item sd="0" x="8"/>
        <item t="default"/>
      </items>
    </pivotField>
    <pivotField showAll="0"/>
    <pivotField showAll="0"/>
    <pivotField showAll="0"/>
    <pivotField showAll="0"/>
    <pivotField axis="axisCol" showAll="0">
      <items count="22">
        <item x="0"/>
        <item x="1"/>
        <item x="3"/>
        <item x="7"/>
        <item x="4"/>
        <item x="6"/>
        <item x="5"/>
        <item x="18"/>
        <item m="1" x="20"/>
        <item x="2"/>
        <item x="8"/>
        <item x="10"/>
        <item x="16"/>
        <item x="12"/>
        <item x="11"/>
        <item x="17"/>
        <item x="9"/>
        <item x="13"/>
        <item x="15"/>
        <item x="14"/>
        <item x="19"/>
        <item t="default"/>
      </items>
    </pivotField>
    <pivotField showAll="0"/>
    <pivotField showAll="0"/>
    <pivotField showAll="0"/>
    <pivotField showAll="0"/>
  </pivotFields>
  <rowFields count="4">
    <field x="12"/>
    <field x="14"/>
    <field x="16"/>
    <field x="15"/>
  </rowFields>
  <rowItems count="41">
    <i>
      <x v="4"/>
    </i>
    <i r="1">
      <x v="7"/>
    </i>
    <i r="2">
      <x v="111"/>
    </i>
    <i r="2">
      <x v="112"/>
    </i>
    <i r="2">
      <x v="117"/>
    </i>
    <i r="1">
      <x v="14"/>
    </i>
    <i r="2">
      <x v="2"/>
    </i>
    <i r="2">
      <x v="5"/>
    </i>
    <i r="2">
      <x v="7"/>
    </i>
    <i r="2">
      <x v="79"/>
    </i>
    <i r="2">
      <x v="80"/>
    </i>
    <i r="2">
      <x v="118"/>
    </i>
    <i r="1">
      <x v="15"/>
    </i>
    <i r="2">
      <x v="3"/>
    </i>
    <i r="2">
      <x v="50"/>
    </i>
    <i r="1">
      <x v="16"/>
    </i>
    <i r="2">
      <x v="47"/>
    </i>
    <i r="1">
      <x v="21"/>
    </i>
    <i r="2">
      <x v="1"/>
    </i>
    <i r="2">
      <x v="29"/>
    </i>
    <i r="2">
      <x v="75"/>
    </i>
    <i r="2">
      <x v="99"/>
    </i>
    <i r="1">
      <x v="22"/>
    </i>
    <i r="2">
      <x v="8"/>
    </i>
    <i r="2">
      <x v="26"/>
    </i>
    <i r="2">
      <x v="36"/>
    </i>
    <i r="2">
      <x v="69"/>
    </i>
    <i r="2">
      <x v="89"/>
    </i>
    <i r="2">
      <x v="96"/>
    </i>
    <i r="2">
      <x v="119"/>
    </i>
    <i r="1">
      <x v="23"/>
    </i>
    <i r="2">
      <x v="37"/>
    </i>
    <i r="2">
      <x v="51"/>
    </i>
    <i r="2">
      <x v="61"/>
    </i>
    <i r="2">
      <x v="71"/>
    </i>
    <i r="2">
      <x v="100"/>
    </i>
    <i r="1">
      <x v="25"/>
    </i>
    <i r="2">
      <x v="41"/>
    </i>
    <i r="2">
      <x v="57"/>
    </i>
    <i r="2">
      <x v="73"/>
    </i>
    <i t="grand">
      <x/>
    </i>
  </rowItems>
  <colFields count="1">
    <field x="21"/>
  </colFields>
  <colItems count="11">
    <i>
      <x v="1"/>
    </i>
    <i>
      <x v="2"/>
    </i>
    <i>
      <x v="4"/>
    </i>
    <i>
      <x v="6"/>
    </i>
    <i>
      <x v="9"/>
    </i>
    <i>
      <x v="10"/>
    </i>
    <i>
      <x v="13"/>
    </i>
    <i>
      <x v="14"/>
    </i>
    <i>
      <x v="16"/>
    </i>
    <i>
      <x v="17"/>
    </i>
    <i t="grand">
      <x/>
    </i>
  </colItems>
  <pageFields count="1">
    <pageField fld="11" hier="-1"/>
  </pageFields>
  <dataFields count="1">
    <dataField name="Sum of   תקציב חדש 2016" fld="7" baseField="0" baseItem="0" numFmtId="183"/>
  </dataFields>
  <formats count="70">
    <format dxfId="195">
      <pivotArea collapsedLevelsAreSubtotals="1" fieldPosition="0">
        <references count="2">
          <reference field="12" count="1" selected="0">
            <x v="0"/>
          </reference>
          <reference field="14" count="4">
            <x v="5"/>
            <x v="10"/>
            <x v="11"/>
            <x v="17"/>
          </reference>
        </references>
      </pivotArea>
    </format>
    <format dxfId="194">
      <pivotArea collapsedLevelsAreSubtotals="1" fieldPosition="0">
        <references count="2">
          <reference field="12" count="1" selected="0">
            <x v="1"/>
          </reference>
          <reference field="14" count="3">
            <x v="0"/>
            <x v="2"/>
            <x v="12"/>
          </reference>
        </references>
      </pivotArea>
    </format>
    <format dxfId="193">
      <pivotArea collapsedLevelsAreSubtotals="1" fieldPosition="0">
        <references count="2">
          <reference field="12" count="1" selected="0">
            <x v="2"/>
          </reference>
          <reference field="14" count="4">
            <x v="9"/>
            <x v="13"/>
            <x v="24"/>
            <x v="27"/>
          </reference>
        </references>
      </pivotArea>
    </format>
    <format dxfId="192">
      <pivotArea collapsedLevelsAreSubtotals="1" fieldPosition="0">
        <references count="2">
          <reference field="12" count="1" selected="0">
            <x v="3"/>
          </reference>
          <reference field="14" count="7">
            <x v="1"/>
            <x v="3"/>
            <x v="4"/>
            <x v="8"/>
            <x v="18"/>
            <x v="19"/>
            <x v="26"/>
          </reference>
        </references>
      </pivotArea>
    </format>
    <format dxfId="191">
      <pivotArea collapsedLevelsAreSubtotals="1" fieldPosition="0">
        <references count="2">
          <reference field="12" count="1" selected="0">
            <x v="4"/>
          </reference>
          <reference field="14" count="8">
            <x v="7"/>
            <x v="14"/>
            <x v="15"/>
            <x v="16"/>
            <x v="21"/>
            <x v="22"/>
            <x v="23"/>
            <x v="25"/>
          </reference>
        </references>
      </pivotArea>
    </format>
    <format dxfId="190">
      <pivotArea collapsedLevelsAreSubtotals="1" fieldPosition="0">
        <references count="2">
          <reference field="12" count="1" selected="0">
            <x v="5"/>
          </reference>
          <reference field="14" count="2">
            <x v="6"/>
            <x v="20"/>
          </reference>
        </references>
      </pivotArea>
    </format>
    <format dxfId="189">
      <pivotArea collapsedLevelsAreSubtotals="1" fieldPosition="0">
        <references count="1">
          <reference field="12" count="1">
            <x v="0"/>
          </reference>
        </references>
      </pivotArea>
    </format>
    <format dxfId="188">
      <pivotArea collapsedLevelsAreSubtotals="1" fieldPosition="0">
        <references count="1">
          <reference field="12" count="1">
            <x v="1"/>
          </reference>
        </references>
      </pivotArea>
    </format>
    <format dxfId="187">
      <pivotArea collapsedLevelsAreSubtotals="1" fieldPosition="0">
        <references count="1">
          <reference field="12" count="1">
            <x v="2"/>
          </reference>
        </references>
      </pivotArea>
    </format>
    <format dxfId="186">
      <pivotArea collapsedLevelsAreSubtotals="1" fieldPosition="0">
        <references count="1">
          <reference field="12" count="1">
            <x v="3"/>
          </reference>
        </references>
      </pivotArea>
    </format>
    <format dxfId="185">
      <pivotArea collapsedLevelsAreSubtotals="1" fieldPosition="0">
        <references count="1">
          <reference field="12" count="1">
            <x v="4"/>
          </reference>
        </references>
      </pivotArea>
    </format>
    <format dxfId="184">
      <pivotArea collapsedLevelsAreSubtotals="1" fieldPosition="0">
        <references count="1">
          <reference field="12" count="1">
            <x v="5"/>
          </reference>
        </references>
      </pivotArea>
    </format>
    <format dxfId="183">
      <pivotArea field="21" grandRow="1" outline="0" collapsedLevelsAreSubtotals="1" axis="axisCol" fieldPosition="0">
        <references count="1">
          <reference field="21" count="0" selected="0"/>
        </references>
      </pivotArea>
    </format>
    <format dxfId="182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</references>
      </pivotArea>
    </format>
    <format dxfId="18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28"/>
          </reference>
        </references>
      </pivotArea>
    </format>
    <format dxfId="18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34"/>
          </reference>
        </references>
      </pivotArea>
    </format>
    <format dxfId="17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2"/>
          </reference>
        </references>
      </pivotArea>
    </format>
    <format dxfId="178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3"/>
          </reference>
        </references>
      </pivotArea>
    </format>
    <format dxfId="17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4"/>
          </reference>
        </references>
      </pivotArea>
    </format>
    <format dxfId="176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5"/>
          </reference>
        </references>
      </pivotArea>
    </format>
    <format dxfId="17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52"/>
          </reference>
        </references>
      </pivotArea>
    </format>
    <format dxfId="174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76"/>
          </reference>
        </references>
      </pivotArea>
    </format>
    <format dxfId="17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</references>
      </pivotArea>
    </format>
    <format dxfId="172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76"/>
          </reference>
        </references>
      </pivotArea>
    </format>
    <format dxfId="17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</references>
      </pivotArea>
    </format>
    <format dxfId="17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</references>
      </pivotArea>
    </format>
    <format dxfId="169">
      <pivotArea grandCol="1" outline="0" collapsedLevelsAreSubtotals="1" fieldPosition="0"/>
    </format>
    <format dxfId="168">
      <pivotArea collapsedLevelsAreSubtotals="1" fieldPosition="0">
        <references count="3">
          <reference field="12" count="1" selected="0">
            <x v="3"/>
          </reference>
          <reference field="14" count="1">
            <x v="1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7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5">
      <pivotArea collapsedLevelsAreSubtotals="1" fieldPosition="0">
        <references count="3">
          <reference field="12" count="1" selected="0">
            <x v="3"/>
          </reference>
          <reference field="14" count="1">
            <x v="3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4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3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60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2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1">
      <pivotArea collapsedLevelsAreSubtotals="1" fieldPosition="0">
        <references count="3">
          <reference field="12" count="1" selected="0">
            <x v="3"/>
          </reference>
          <reference field="14" count="1">
            <x v="4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60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9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8">
      <pivotArea collapsedLevelsAreSubtotals="1" fieldPosition="0">
        <references count="3">
          <reference field="12" count="1" selected="0">
            <x v="3"/>
          </reference>
          <reference field="14" count="1">
            <x v="8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7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6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0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5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1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4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2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3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3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2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4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1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31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0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59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9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67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8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7">
      <pivotArea collapsedLevelsAreSubtotals="1" fieldPosition="0">
        <references count="3">
          <reference field="12" count="1" selected="0">
            <x v="3"/>
          </reference>
          <reference field="14" count="1">
            <x v="18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6">
      <pivotArea collapsedLevelsAreSubtotals="1" fieldPosition="0">
        <references count="3">
          <reference field="12" count="1" selected="0">
            <x v="3"/>
          </reference>
          <reference field="14" count="1">
            <x v="19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5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33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4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4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3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55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2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2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1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3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0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4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9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5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8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7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6">
      <pivotArea collapsedLevelsAreSubtotals="1" fieldPosition="0">
        <references count="3">
          <reference field="12" count="1" selected="0">
            <x v="3"/>
          </reference>
          <reference field="14" count="1">
            <x v="2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5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28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4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34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3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2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2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3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1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4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0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5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29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52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2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27">
      <pivotArea outline="0" collapsedLevelsAreSubtotals="1" fieldPosition="0"/>
    </format>
    <format dxfId="126">
      <pivotArea collapsedLevelsAreSubtotals="1" fieldPosition="0">
        <references count="4">
          <reference field="12" count="1" selected="0">
            <x v="4"/>
          </reference>
          <reference field="14" count="1" selected="0">
            <x v="14"/>
          </reference>
          <reference field="16" count="1">
            <x v="80"/>
          </reference>
          <reference field="2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grandTotalCaption="במימון הארנונה" updatedVersion="5" minRefreshableVersion="3" useAutoFormatting="1" itemPrintTitles="1" createdVersion="5" indent="0" outline="1" outlineData="1" multipleFieldFilters="0">
  <location ref="A128:N170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axis="axisPage" multipleItemSelectionAllowed="1" showAll="0">
      <items count="13">
        <item h="1" x="0"/>
        <item h="1" x="1"/>
        <item x="2"/>
        <item h="1" x="3"/>
        <item h="1" x="4"/>
        <item h="1" x="9"/>
        <item h="1" x="7"/>
        <item x="5"/>
        <item h="1" x="8"/>
        <item h="1" m="1" x="11"/>
        <item h="1" x="6"/>
        <item h="1" x="10"/>
        <item t="default"/>
      </items>
    </pivotField>
    <pivotField axis="axisRow" showAll="0">
      <items count="10">
        <item x="6"/>
        <item x="0"/>
        <item x="3"/>
        <item x="2"/>
        <item x="1"/>
        <item x="4"/>
        <item m="1" x="8"/>
        <item x="5"/>
        <item x="7"/>
        <item t="default"/>
      </items>
    </pivotField>
    <pivotField showAll="0"/>
    <pivotField axis="axisRow" showAll="0">
      <items count="40">
        <item x="1"/>
        <item x="28"/>
        <item x="0"/>
        <item x="15"/>
        <item x="27"/>
        <item x="26"/>
        <item m="1" x="35"/>
        <item x="21"/>
        <item x="8"/>
        <item x="11"/>
        <item x="19"/>
        <item x="22"/>
        <item x="2"/>
        <item x="12"/>
        <item x="6"/>
        <item x="7"/>
        <item x="18"/>
        <item x="25"/>
        <item x="23"/>
        <item x="10"/>
        <item x="16"/>
        <item x="20"/>
        <item x="4"/>
        <item x="3"/>
        <item x="13"/>
        <item x="5"/>
        <item x="9"/>
        <item x="24"/>
        <item m="1" x="31"/>
        <item x="14"/>
        <item m="1" x="32"/>
        <item m="1" x="34"/>
        <item m="1" x="30"/>
        <item m="1" x="38"/>
        <item m="1" x="36"/>
        <item m="1" x="37"/>
        <item m="1" x="33"/>
        <item x="17"/>
        <item x="29"/>
        <item t="default"/>
      </items>
    </pivotField>
    <pivotField axis="axisRow" showAll="0">
      <items count="225">
        <item x="2"/>
        <item x="4"/>
        <item x="5"/>
        <item x="7"/>
        <item m="1" x="187"/>
        <item x="10"/>
        <item x="11"/>
        <item x="12"/>
        <item x="13"/>
        <item x="15"/>
        <item m="1" x="207"/>
        <item m="1" x="213"/>
        <item x="17"/>
        <item m="1" x="199"/>
        <item x="18"/>
        <item x="19"/>
        <item x="20"/>
        <item m="1" x="182"/>
        <item x="22"/>
        <item x="21"/>
        <item m="1" x="192"/>
        <item m="1" x="196"/>
        <item x="26"/>
        <item x="24"/>
        <item x="29"/>
        <item x="33"/>
        <item x="34"/>
        <item x="36"/>
        <item x="39"/>
        <item m="1" x="208"/>
        <item m="1" x="140"/>
        <item m="1" x="177"/>
        <item m="1" x="167"/>
        <item m="1" x="174"/>
        <item x="65"/>
        <item x="66"/>
        <item x="70"/>
        <item x="68"/>
        <item x="75"/>
        <item m="1" x="214"/>
        <item x="69"/>
        <item x="73"/>
        <item x="76"/>
        <item x="99"/>
        <item m="1" x="204"/>
        <item m="1" x="179"/>
        <item x="64"/>
        <item x="103"/>
        <item x="102"/>
        <item x="110"/>
        <item x="111"/>
        <item x="112"/>
        <item x="125"/>
        <item x="59"/>
        <item x="60"/>
        <item m="1" x="200"/>
        <item x="104"/>
        <item m="1" x="206"/>
        <item x="106"/>
        <item m="1" x="150"/>
        <item x="67"/>
        <item x="77"/>
        <item x="61"/>
        <item m="1" x="160"/>
        <item x="109"/>
        <item x="114"/>
        <item x="119"/>
        <item x="116"/>
        <item m="1" x="193"/>
        <item x="118"/>
        <item x="117"/>
        <item x="115"/>
        <item x="93"/>
        <item x="51"/>
        <item x="52"/>
        <item x="54"/>
        <item x="56"/>
        <item x="53"/>
        <item x="90"/>
        <item x="55"/>
        <item m="1" x="190"/>
        <item x="123"/>
        <item x="80"/>
        <item x="81"/>
        <item x="82"/>
        <item x="83"/>
        <item x="84"/>
        <item x="85"/>
        <item x="86"/>
        <item x="87"/>
        <item x="122"/>
        <item m="1" x="198"/>
        <item x="63"/>
        <item x="91"/>
        <item m="1" x="146"/>
        <item m="1" x="152"/>
        <item x="130"/>
        <item x="1"/>
        <item m="1" x="185"/>
        <item m="1" x="186"/>
        <item m="1" x="180"/>
        <item m="1" x="134"/>
        <item m="1" x="197"/>
        <item x="107"/>
        <item x="108"/>
        <item m="1" x="165"/>
        <item m="1" x="201"/>
        <item m="1" x="149"/>
        <item m="1" x="161"/>
        <item x="31"/>
        <item m="1" x="158"/>
        <item m="1" x="159"/>
        <item m="1" x="162"/>
        <item m="1" x="188"/>
        <item x="89"/>
        <item m="1" x="154"/>
        <item m="1" x="163"/>
        <item m="1" x="168"/>
        <item m="1" x="172"/>
        <item x="88"/>
        <item m="1" x="164"/>
        <item m="1" x="205"/>
        <item m="1" x="210"/>
        <item x="127"/>
        <item x="0"/>
        <item m="1" x="144"/>
        <item m="1" x="183"/>
        <item x="8"/>
        <item x="14"/>
        <item m="1" x="212"/>
        <item m="1" x="202"/>
        <item m="1" x="145"/>
        <item m="1" x="189"/>
        <item m="1" x="195"/>
        <item x="40"/>
        <item m="1" x="220"/>
        <item x="41"/>
        <item m="1" x="133"/>
        <item x="43"/>
        <item m="1" x="137"/>
        <item m="1" x="181"/>
        <item x="120"/>
        <item x="35"/>
        <item x="38"/>
        <item x="37"/>
        <item x="113"/>
        <item m="1" x="222"/>
        <item m="1" x="216"/>
        <item x="124"/>
        <item x="101"/>
        <item m="1" x="148"/>
        <item x="45"/>
        <item m="1" x="219"/>
        <item m="1" x="221"/>
        <item x="6"/>
        <item x="16"/>
        <item m="1" x="194"/>
        <item x="62"/>
        <item m="1" x="173"/>
        <item m="1" x="175"/>
        <item m="1" x="184"/>
        <item m="1" x="217"/>
        <item m="1" x="170"/>
        <item m="1" x="147"/>
        <item m="1" x="141"/>
        <item m="1" x="211"/>
        <item m="1" x="143"/>
        <item m="1" x="135"/>
        <item m="1" x="223"/>
        <item m="1" x="191"/>
        <item m="1" x="153"/>
        <item m="1" x="176"/>
        <item m="1" x="157"/>
        <item x="126"/>
        <item x="3"/>
        <item x="9"/>
        <item m="1" x="203"/>
        <item x="23"/>
        <item x="30"/>
        <item x="32"/>
        <item m="1" x="136"/>
        <item m="1" x="139"/>
        <item m="1" x="142"/>
        <item x="42"/>
        <item x="44"/>
        <item m="1" x="178"/>
        <item x="47"/>
        <item x="48"/>
        <item x="49"/>
        <item x="50"/>
        <item m="1" x="138"/>
        <item x="57"/>
        <item x="58"/>
        <item m="1" x="155"/>
        <item m="1" x="171"/>
        <item m="1" x="218"/>
        <item x="71"/>
        <item x="72"/>
        <item x="74"/>
        <item m="1" x="132"/>
        <item x="78"/>
        <item x="79"/>
        <item m="1" x="215"/>
        <item x="92"/>
        <item x="94"/>
        <item x="95"/>
        <item x="96"/>
        <item m="1" x="169"/>
        <item x="97"/>
        <item x="98"/>
        <item x="100"/>
        <item x="105"/>
        <item m="1" x="156"/>
        <item m="1" x="209"/>
        <item x="131"/>
        <item x="25"/>
        <item x="27"/>
        <item x="28"/>
        <item x="46"/>
        <item x="121"/>
        <item m="1" x="166"/>
        <item x="128"/>
        <item m="1" x="151"/>
        <item x="129"/>
        <item t="default"/>
      </items>
    </pivotField>
    <pivotField axis="axisRow" showAll="0">
      <items count="121">
        <item m="1" x="97"/>
        <item x="64"/>
        <item x="12"/>
        <item x="62"/>
        <item x="69"/>
        <item x="14"/>
        <item x="39"/>
        <item x="11"/>
        <item x="73"/>
        <item x="59"/>
        <item m="1" x="113"/>
        <item m="1" x="86"/>
        <item m="1" x="107"/>
        <item x="48"/>
        <item x="83"/>
        <item x="51"/>
        <item x="63"/>
        <item sd="0" x="77"/>
        <item m="1" x="103"/>
        <item sd="0" m="1" x="89"/>
        <item sd="0" x="75"/>
        <item sd="0" x="19"/>
        <item sd="0" x="65"/>
        <item sd="0" x="21"/>
        <item sd="0" x="18"/>
        <item m="1" x="101"/>
        <item x="80"/>
        <item x="49"/>
        <item sd="0" x="27"/>
        <item x="50"/>
        <item x="53"/>
        <item sd="0" x="17"/>
        <item x="46"/>
        <item sd="0" x="31"/>
        <item sd="0" x="24"/>
        <item m="1" x="118"/>
        <item x="72"/>
        <item x="47"/>
        <item x="58"/>
        <item x="1"/>
        <item sd="0" m="1" x="93"/>
        <item x="9"/>
        <item sd="0" x="30"/>
        <item sd="0" x="28"/>
        <item sd="0" x="29"/>
        <item sd="0" x="23"/>
        <item sd="0" x="38"/>
        <item x="45"/>
        <item m="1" x="112"/>
        <item m="1" x="109"/>
        <item x="16"/>
        <item x="4"/>
        <item sd="0" x="25"/>
        <item m="1" x="91"/>
        <item x="40"/>
        <item sd="0" x="32"/>
        <item m="1" x="108"/>
        <item x="10"/>
        <item m="1" x="85"/>
        <item sd="0" x="76"/>
        <item sd="0" x="78"/>
        <item x="3"/>
        <item sd="0" x="36"/>
        <item sd="0" x="37"/>
        <item sd="0" x="34"/>
        <item sd="0" x="33"/>
        <item sd="0" x="35"/>
        <item sd="0" x="20"/>
        <item sd="0" x="81"/>
        <item x="6"/>
        <item x="52"/>
        <item x="70"/>
        <item x="56"/>
        <item x="44"/>
        <item m="1" x="96"/>
        <item x="60"/>
        <item sd="0" x="0"/>
        <item sd="0" m="1" x="94"/>
        <item m="1" x="104"/>
        <item x="13"/>
        <item x="15"/>
        <item m="1" x="92"/>
        <item m="1" x="100"/>
        <item m="1" x="111"/>
        <item m="1" x="88"/>
        <item m="1" x="87"/>
        <item m="1" x="110"/>
        <item m="1" x="90"/>
        <item x="7"/>
        <item sd="0" m="1" x="105"/>
        <item x="82"/>
        <item m="1" x="95"/>
        <item m="1" x="116"/>
        <item m="1" x="117"/>
        <item m="1" x="119"/>
        <item x="74"/>
        <item m="1" x="98"/>
        <item m="1" x="99"/>
        <item x="79"/>
        <item x="5"/>
        <item x="42"/>
        <item m="1" x="114"/>
        <item m="1" x="102"/>
        <item x="2"/>
        <item m="1" x="106"/>
        <item sd="0" x="22"/>
        <item x="41"/>
        <item m="1" x="115"/>
        <item x="54"/>
        <item x="55"/>
        <item x="57"/>
        <item x="61"/>
        <item sd="0" x="66"/>
        <item sd="0" x="67"/>
        <item x="68"/>
        <item sd="0" x="43"/>
        <item x="71"/>
        <item x="8"/>
        <item x="84"/>
        <item sd="0" x="26"/>
        <item t="default"/>
      </items>
    </pivotField>
    <pivotField showAll="0"/>
    <pivotField showAll="0"/>
    <pivotField showAll="0"/>
    <pivotField showAll="0"/>
    <pivotField axis="axisCol" showAll="0">
      <items count="22">
        <item x="0"/>
        <item x="1"/>
        <item x="3"/>
        <item x="7"/>
        <item x="4"/>
        <item x="6"/>
        <item x="5"/>
        <item x="2"/>
        <item x="8"/>
        <item x="10"/>
        <item x="16"/>
        <item x="12"/>
        <item x="11"/>
        <item x="17"/>
        <item x="9"/>
        <item x="13"/>
        <item x="15"/>
        <item m="1" x="20"/>
        <item x="14"/>
        <item m="1" x="19"/>
        <item x="18"/>
        <item t="default"/>
      </items>
    </pivotField>
    <pivotField showAll="0"/>
    <pivotField showAll="0"/>
    <pivotField showAll="0"/>
    <pivotField showAll="0"/>
  </pivotFields>
  <rowFields count="4">
    <field x="12"/>
    <field x="14"/>
    <field x="16"/>
    <field x="15"/>
  </rowFields>
  <rowItems count="41">
    <i>
      <x v="3"/>
    </i>
    <i r="1">
      <x v="1"/>
    </i>
    <i r="2">
      <x v="68"/>
    </i>
    <i r="1">
      <x v="3"/>
    </i>
    <i r="2">
      <x v="60"/>
    </i>
    <i r="2">
      <x v="113"/>
    </i>
    <i r="2">
      <x v="115"/>
    </i>
    <i r="1">
      <x v="4"/>
    </i>
    <i r="2">
      <x v="17"/>
    </i>
    <i r="1">
      <x v="8"/>
    </i>
    <i r="2">
      <x v="20"/>
    </i>
    <i r="2">
      <x v="21"/>
    </i>
    <i r="2">
      <x v="22"/>
    </i>
    <i r="2">
      <x v="23"/>
    </i>
    <i r="2">
      <x v="24"/>
    </i>
    <i r="2">
      <x v="31"/>
    </i>
    <i r="2">
      <x v="59"/>
    </i>
    <i r="2">
      <x v="67"/>
    </i>
    <i r="1">
      <x v="18"/>
    </i>
    <i r="2">
      <x v="76"/>
    </i>
    <i r="1">
      <x v="19"/>
    </i>
    <i r="2">
      <x v="33"/>
    </i>
    <i r="2">
      <x v="46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112"/>
    </i>
    <i r="1">
      <x v="26"/>
    </i>
    <i r="2">
      <x v="28"/>
    </i>
    <i r="2">
      <x v="34"/>
    </i>
    <i r="2">
      <x v="42"/>
    </i>
    <i r="2">
      <x v="43"/>
    </i>
    <i r="2">
      <x v="44"/>
    </i>
    <i r="2">
      <x v="45"/>
    </i>
    <i r="2">
      <x v="52"/>
    </i>
    <i r="2">
      <x v="105"/>
    </i>
    <i r="2">
      <x v="119"/>
    </i>
    <i t="grand">
      <x/>
    </i>
  </rowItems>
  <colFields count="1">
    <field x="21"/>
  </colFields>
  <colItems count="13">
    <i>
      <x v="1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11" hier="-1"/>
  </pageFields>
  <dataFields count="1">
    <dataField name="Sum of   תקציב חדש 2016" fld="7" baseField="0" baseItem="0" numFmtId="181"/>
  </dataFields>
  <formats count="138">
    <format dxfId="333">
      <pivotArea collapsedLevelsAreSubtotals="1" fieldPosition="0">
        <references count="2">
          <reference field="12" count="1" selected="0">
            <x v="0"/>
          </reference>
          <reference field="14" count="4">
            <x v="5"/>
            <x v="10"/>
            <x v="11"/>
            <x v="17"/>
          </reference>
        </references>
      </pivotArea>
    </format>
    <format dxfId="332">
      <pivotArea collapsedLevelsAreSubtotals="1" fieldPosition="0">
        <references count="2">
          <reference field="12" count="1" selected="0">
            <x v="1"/>
          </reference>
          <reference field="14" count="3">
            <x v="0"/>
            <x v="2"/>
            <x v="12"/>
          </reference>
        </references>
      </pivotArea>
    </format>
    <format dxfId="331">
      <pivotArea collapsedLevelsAreSubtotals="1" fieldPosition="0">
        <references count="2">
          <reference field="12" count="1" selected="0">
            <x v="2"/>
          </reference>
          <reference field="14" count="4">
            <x v="9"/>
            <x v="13"/>
            <x v="24"/>
            <x v="27"/>
          </reference>
        </references>
      </pivotArea>
    </format>
    <format dxfId="330">
      <pivotArea collapsedLevelsAreSubtotals="1" fieldPosition="0">
        <references count="2">
          <reference field="12" count="1" selected="0">
            <x v="3"/>
          </reference>
          <reference field="14" count="7">
            <x v="1"/>
            <x v="3"/>
            <x v="4"/>
            <x v="8"/>
            <x v="18"/>
            <x v="19"/>
            <x v="26"/>
          </reference>
        </references>
      </pivotArea>
    </format>
    <format dxfId="329">
      <pivotArea collapsedLevelsAreSubtotals="1" fieldPosition="0">
        <references count="2">
          <reference field="12" count="1" selected="0">
            <x v="4"/>
          </reference>
          <reference field="14" count="8">
            <x v="7"/>
            <x v="14"/>
            <x v="15"/>
            <x v="16"/>
            <x v="21"/>
            <x v="22"/>
            <x v="23"/>
            <x v="25"/>
          </reference>
        </references>
      </pivotArea>
    </format>
    <format dxfId="328">
      <pivotArea collapsedLevelsAreSubtotals="1" fieldPosition="0">
        <references count="2">
          <reference field="12" count="1" selected="0">
            <x v="5"/>
          </reference>
          <reference field="14" count="2">
            <x v="6"/>
            <x v="20"/>
          </reference>
        </references>
      </pivotArea>
    </format>
    <format dxfId="327">
      <pivotArea collapsedLevelsAreSubtotals="1" fieldPosition="0">
        <references count="1">
          <reference field="12" count="1">
            <x v="0"/>
          </reference>
        </references>
      </pivotArea>
    </format>
    <format dxfId="326">
      <pivotArea collapsedLevelsAreSubtotals="1" fieldPosition="0">
        <references count="1">
          <reference field="12" count="1">
            <x v="1"/>
          </reference>
        </references>
      </pivotArea>
    </format>
    <format dxfId="325">
      <pivotArea collapsedLevelsAreSubtotals="1" fieldPosition="0">
        <references count="1">
          <reference field="12" count="1">
            <x v="2"/>
          </reference>
        </references>
      </pivotArea>
    </format>
    <format dxfId="324">
      <pivotArea collapsedLevelsAreSubtotals="1" fieldPosition="0">
        <references count="1">
          <reference field="12" count="1">
            <x v="3"/>
          </reference>
        </references>
      </pivotArea>
    </format>
    <format dxfId="323">
      <pivotArea collapsedLevelsAreSubtotals="1" fieldPosition="0">
        <references count="1">
          <reference field="12" count="1">
            <x v="4"/>
          </reference>
        </references>
      </pivotArea>
    </format>
    <format dxfId="322">
      <pivotArea collapsedLevelsAreSubtotals="1" fieldPosition="0">
        <references count="1">
          <reference field="12" count="1">
            <x v="5"/>
          </reference>
        </references>
      </pivotArea>
    </format>
    <format dxfId="321">
      <pivotArea field="21" grandRow="1" outline="0" collapsedLevelsAreSubtotals="1" axis="axisCol" fieldPosition="0">
        <references count="1">
          <reference field="21" count="0" selected="0"/>
        </references>
      </pivotArea>
    </format>
    <format dxfId="32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76"/>
          </reference>
        </references>
      </pivotArea>
    </format>
    <format dxfId="31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76"/>
          </reference>
        </references>
      </pivotArea>
    </format>
    <format dxfId="318">
      <pivotArea grandCol="1" outline="0" collapsedLevelsAreSubtotals="1" fieldPosition="0"/>
    </format>
    <format dxfId="317">
      <pivotArea collapsedLevelsAreSubtotals="1" fieldPosition="0">
        <references count="3">
          <reference field="12" count="1" selected="0">
            <x v="3"/>
          </reference>
          <reference field="14" count="1">
            <x v="1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5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4">
      <pivotArea collapsedLevelsAreSubtotals="1" fieldPosition="0">
        <references count="3">
          <reference field="12" count="1" selected="0">
            <x v="3"/>
          </reference>
          <reference field="14" count="1">
            <x v="3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3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2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60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1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10">
      <pivotArea collapsedLevelsAreSubtotals="1" fieldPosition="0">
        <references count="3">
          <reference field="12" count="1" selected="0">
            <x v="3"/>
          </reference>
          <reference field="14" count="1">
            <x v="4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9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8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7">
      <pivotArea collapsedLevelsAreSubtotals="1" fieldPosition="0">
        <references count="3">
          <reference field="12" count="1" selected="0">
            <x v="3"/>
          </reference>
          <reference field="14" count="1">
            <x v="8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6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5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0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4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1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3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2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2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3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1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4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00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31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9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59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8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67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7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6">
      <pivotArea collapsedLevelsAreSubtotals="1" fieldPosition="0">
        <references count="3">
          <reference field="12" count="1" selected="0">
            <x v="3"/>
          </reference>
          <reference field="14" count="1">
            <x v="18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5">
      <pivotArea collapsedLevelsAreSubtotals="1" fieldPosition="0">
        <references count="3">
          <reference field="12" count="1" selected="0">
            <x v="3"/>
          </reference>
          <reference field="14" count="1">
            <x v="19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4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33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3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4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2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55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1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2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0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3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9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4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8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5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7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5">
      <pivotArea collapsedLevelsAreSubtotals="1" fieldPosition="0">
        <references count="3">
          <reference field="12" count="1" selected="0">
            <x v="3"/>
          </reference>
          <reference field="14" count="1">
            <x v="2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4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28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3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34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2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2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1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3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0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4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79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5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7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52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77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76"/>
          </reference>
          <reference field="21" count="14" selected="0"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7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7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</references>
      </pivotArea>
    </format>
    <format dxfId="274">
      <pivotArea collapsedLevelsAreSubtotals="1" fieldPosition="0">
        <references count="3">
          <reference field="12" count="1" selected="0">
            <x v="3"/>
          </reference>
          <reference field="14" count="1">
            <x v="3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73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3"/>
          </reference>
        </references>
      </pivotArea>
    </format>
    <format dxfId="272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7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</references>
      </pivotArea>
    </format>
    <format dxfId="270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60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6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60"/>
          </reference>
        </references>
      </pivotArea>
    </format>
    <format dxfId="268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76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6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76"/>
          </reference>
        </references>
      </pivotArea>
    </format>
    <format dxfId="266">
      <pivotArea collapsedLevelsAreSubtotals="1" fieldPosition="0">
        <references count="4">
          <reference field="12" count="1" selected="0">
            <x v="3"/>
          </reference>
          <reference field="14" count="1" selected="0">
            <x v="3"/>
          </reference>
          <reference field="16" count="1">
            <x v="77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6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77"/>
          </reference>
        </references>
      </pivotArea>
    </format>
    <format dxfId="264">
      <pivotArea collapsedLevelsAreSubtotals="1" fieldPosition="0">
        <references count="3">
          <reference field="12" count="1" selected="0">
            <x v="3"/>
          </reference>
          <reference field="14" count="1">
            <x v="4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63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4"/>
          </reference>
        </references>
      </pivotArea>
    </format>
    <format dxfId="262">
      <pivotArea collapsedLevelsAreSubtotals="1" fieldPosition="0">
        <references count="4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6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4"/>
          </reference>
          <reference field="16" count="1">
            <x v="17"/>
          </reference>
        </references>
      </pivotArea>
    </format>
    <format dxfId="260">
      <pivotArea collapsedLevelsAreSubtotals="1" fieldPosition="0">
        <references count="3">
          <reference field="12" count="1" selected="0">
            <x v="3"/>
          </reference>
          <reference field="14" count="1">
            <x v="8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59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8"/>
          </reference>
        </references>
      </pivotArea>
    </format>
    <format dxfId="258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5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19"/>
          </reference>
        </references>
      </pivotArea>
    </format>
    <format dxfId="256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0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5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20"/>
          </reference>
        </references>
      </pivotArea>
    </format>
    <format dxfId="254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1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5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21"/>
          </reference>
        </references>
      </pivotArea>
    </format>
    <format dxfId="252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2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5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22"/>
          </reference>
        </references>
      </pivotArea>
    </format>
    <format dxfId="250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3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4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23"/>
          </reference>
        </references>
      </pivotArea>
    </format>
    <format dxfId="248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24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4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24"/>
          </reference>
        </references>
      </pivotArea>
    </format>
    <format dxfId="246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31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4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31"/>
          </reference>
        </references>
      </pivotArea>
    </format>
    <format dxfId="244">
      <pivotArea collapsedLevelsAreSubtotals="1" fieldPosition="0">
        <references count="4">
          <reference field="12" count="1" selected="0">
            <x v="3"/>
          </reference>
          <reference field="14" count="1" selected="0">
            <x v="8"/>
          </reference>
          <reference field="16" count="1">
            <x v="67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4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8"/>
          </reference>
          <reference field="16" count="1">
            <x v="67"/>
          </reference>
        </references>
      </pivotArea>
    </format>
    <format dxfId="242">
      <pivotArea collapsedLevelsAreSubtotals="1" fieldPosition="0">
        <references count="3">
          <reference field="12" count="1" selected="0">
            <x v="3"/>
          </reference>
          <reference field="14" count="1">
            <x v="18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41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18"/>
          </reference>
        </references>
      </pivotArea>
    </format>
    <format dxfId="240">
      <pivotArea collapsedLevelsAreSubtotals="1" fieldPosition="0">
        <references count="4">
          <reference field="12" count="1" selected="0">
            <x v="3"/>
          </reference>
          <reference field="14" count="1" selected="0">
            <x v="18"/>
          </reference>
          <reference field="16" count="1">
            <x v="76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3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8"/>
          </reference>
          <reference field="16" count="1">
            <x v="76"/>
          </reference>
        </references>
      </pivotArea>
    </format>
    <format dxfId="238">
      <pivotArea collapsedLevelsAreSubtotals="1" fieldPosition="0">
        <references count="3">
          <reference field="12" count="1" selected="0">
            <x v="3"/>
          </reference>
          <reference field="14" count="1">
            <x v="19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37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19"/>
          </reference>
        </references>
      </pivotArea>
    </format>
    <format dxfId="23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33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3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33"/>
          </reference>
        </references>
      </pivotArea>
    </format>
    <format dxfId="234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46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3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46"/>
          </reference>
        </references>
      </pivotArea>
    </format>
    <format dxfId="232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55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3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55"/>
          </reference>
        </references>
      </pivotArea>
    </format>
    <format dxfId="230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2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2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62"/>
          </reference>
        </references>
      </pivotArea>
    </format>
    <format dxfId="228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3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2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63"/>
          </reference>
        </references>
      </pivotArea>
    </format>
    <format dxfId="226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4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2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64"/>
          </reference>
        </references>
      </pivotArea>
    </format>
    <format dxfId="224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5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2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65"/>
          </reference>
        </references>
      </pivotArea>
    </format>
    <format dxfId="222">
      <pivotArea collapsedLevelsAreSubtotals="1" fieldPosition="0">
        <references count="4">
          <reference field="12" count="1" selected="0">
            <x v="3"/>
          </reference>
          <reference field="14" count="1" selected="0">
            <x v="19"/>
          </reference>
          <reference field="16" count="1">
            <x v="66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2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9"/>
          </reference>
          <reference field="16" count="1">
            <x v="66"/>
          </reference>
        </references>
      </pivotArea>
    </format>
    <format dxfId="220">
      <pivotArea collapsedLevelsAreSubtotals="1" fieldPosition="0">
        <references count="3">
          <reference field="12" count="1" selected="0">
            <x v="3"/>
          </reference>
          <reference field="14" count="1">
            <x v="26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19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26"/>
          </reference>
        </references>
      </pivotArea>
    </format>
    <format dxfId="21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28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1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28"/>
          </reference>
        </references>
      </pivotArea>
    </format>
    <format dxfId="216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34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1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34"/>
          </reference>
        </references>
      </pivotArea>
    </format>
    <format dxfId="214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2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13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2"/>
          </reference>
        </references>
      </pivotArea>
    </format>
    <format dxfId="212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3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1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3"/>
          </reference>
        </references>
      </pivotArea>
    </format>
    <format dxfId="210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4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09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4"/>
          </reference>
        </references>
      </pivotArea>
    </format>
    <format dxfId="208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45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0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45"/>
          </reference>
        </references>
      </pivotArea>
    </format>
    <format dxfId="206">
      <pivotArea collapsedLevelsAreSubtotals="1" fieldPosition="0">
        <references count="4">
          <reference field="12" count="1" selected="0">
            <x v="3"/>
          </reference>
          <reference field="14" count="1" selected="0">
            <x v="26"/>
          </reference>
          <reference field="16" count="1">
            <x v="52"/>
          </reference>
          <reference field="21" count="5" selected="0">
            <x v="11"/>
            <x v="12"/>
            <x v="13"/>
            <x v="14"/>
            <x v="15"/>
          </reference>
        </references>
      </pivotArea>
    </format>
    <format dxfId="205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26"/>
          </reference>
          <reference field="16" count="1">
            <x v="52"/>
          </reference>
        </references>
      </pivotArea>
    </format>
    <format dxfId="204">
      <pivotArea field="21" grandRow="1" outline="0" collapsedLevelsAreSubtotals="1" axis="axisCol" fieldPosition="0">
        <references count="1">
          <reference field="21" count="5" selected="0">
            <x v="11"/>
            <x v="12"/>
            <x v="13"/>
            <x v="14"/>
            <x v="15"/>
          </reference>
        </references>
      </pivotArea>
    </format>
    <format dxfId="203">
      <pivotArea grandRow="1" grandCol="1" outline="0" collapsedLevelsAreSubtotals="1" fieldPosition="0"/>
    </format>
    <format dxfId="202">
      <pivotArea outline="0" collapsedLevelsAreSubtotals="1" fieldPosition="0"/>
    </format>
    <format dxfId="201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76"/>
          </reference>
        </references>
      </pivotArea>
    </format>
    <format dxfId="200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1"/>
          </reference>
          <reference field="16" count="1">
            <x v="68"/>
          </reference>
        </references>
      </pivotArea>
    </format>
    <format dxfId="199">
      <pivotArea field="14" grandCol="1" collapsedLevelsAreSubtotals="1" axis="axisRow" fieldPosition="1">
        <references count="2">
          <reference field="12" count="1" selected="0">
            <x v="3"/>
          </reference>
          <reference field="14" count="1">
            <x v="3"/>
          </reference>
        </references>
      </pivotArea>
    </format>
    <format dxfId="198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40"/>
          </reference>
        </references>
      </pivotArea>
    </format>
    <format dxfId="197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60"/>
          </reference>
        </references>
      </pivotArea>
    </format>
    <format dxfId="196">
      <pivotArea field="16" grandCol="1" collapsedLevelsAreSubtotals="1" axis="axisRow" fieldPosition="2">
        <references count="3">
          <reference field="12" count="1" selected="0">
            <x v="3"/>
          </reference>
          <reference field="14" count="1" selected="0">
            <x v="3"/>
          </reference>
          <reference field="16" count="1">
            <x v="7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U101" firstHeaderRow="1" firstDataRow="2" firstDataCol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showAll="0"/>
    <pivotField axis="axisRow" showAll="0">
      <items count="10">
        <item x="6"/>
        <item x="0"/>
        <item x="3"/>
        <item x="2"/>
        <item x="1"/>
        <item x="4"/>
        <item m="1" x="8"/>
        <item x="5"/>
        <item x="7"/>
        <item t="default"/>
      </items>
    </pivotField>
    <pivotField axis="axisRow" showAll="0">
      <items count="58">
        <item x="0"/>
        <item x="1"/>
        <item x="2"/>
        <item x="3"/>
        <item x="4"/>
        <item x="5"/>
        <item x="6"/>
        <item m="1" x="47"/>
        <item x="7"/>
        <item x="8"/>
        <item x="9"/>
        <item x="10"/>
        <item m="1" x="54"/>
        <item m="1" x="46"/>
        <item x="11"/>
        <item x="12"/>
        <item x="13"/>
        <item x="16"/>
        <item m="1" x="44"/>
        <item x="25"/>
        <item x="28"/>
        <item x="37"/>
        <item x="36"/>
        <item x="24"/>
        <item x="31"/>
        <item x="21"/>
        <item x="38"/>
        <item x="27"/>
        <item x="26"/>
        <item x="22"/>
        <item x="29"/>
        <item x="34"/>
        <item x="19"/>
        <item x="35"/>
        <item x="30"/>
        <item x="39"/>
        <item x="32"/>
        <item x="40"/>
        <item x="23"/>
        <item x="33"/>
        <item x="15"/>
        <item x="41"/>
        <item m="1" x="55"/>
        <item m="1" x="56"/>
        <item x="14"/>
        <item m="1" x="48"/>
        <item m="1" x="49"/>
        <item m="1" x="50"/>
        <item m="1" x="51"/>
        <item m="1" x="53"/>
        <item m="1" x="52"/>
        <item m="1" x="45"/>
        <item x="17"/>
        <item x="18"/>
        <item x="20"/>
        <item x="43"/>
        <item x="42"/>
        <item t="default"/>
      </items>
    </pivotField>
    <pivotField axis="axisRow" showAll="0">
      <items count="40">
        <item x="1"/>
        <item x="28"/>
        <item x="0"/>
        <item x="15"/>
        <item x="27"/>
        <item x="26"/>
        <item m="1" x="35"/>
        <item x="21"/>
        <item x="8"/>
        <item x="11"/>
        <item x="19"/>
        <item x="22"/>
        <item x="2"/>
        <item x="12"/>
        <item x="6"/>
        <item x="7"/>
        <item x="18"/>
        <item x="25"/>
        <item x="23"/>
        <item x="10"/>
        <item x="16"/>
        <item x="20"/>
        <item x="4"/>
        <item x="3"/>
        <item x="13"/>
        <item x="5"/>
        <item x="9"/>
        <item x="24"/>
        <item m="1" x="31"/>
        <item x="14"/>
        <item m="1" x="32"/>
        <item m="1" x="34"/>
        <item m="1" x="30"/>
        <item m="1" x="38"/>
        <item m="1" x="36"/>
        <item m="1" x="37"/>
        <item m="1" x="33"/>
        <item x="17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22">
        <item x="0"/>
        <item x="1"/>
        <item x="3"/>
        <item x="7"/>
        <item x="4"/>
        <item x="6"/>
        <item x="5"/>
        <item m="1" x="20"/>
        <item x="2"/>
        <item x="8"/>
        <item x="10"/>
        <item x="16"/>
        <item x="12"/>
        <item x="11"/>
        <item x="17"/>
        <item x="9"/>
        <item x="13"/>
        <item x="15"/>
        <item x="14"/>
        <item m="1" x="19"/>
        <item x="18"/>
        <item t="default"/>
      </items>
    </pivotField>
    <pivotField showAll="0"/>
    <pivotField showAll="0"/>
    <pivotField showAll="0"/>
    <pivotField showAll="0"/>
  </pivotFields>
  <rowFields count="3">
    <field x="12"/>
    <field x="13"/>
    <field x="14"/>
  </rowFields>
  <rowItems count="97">
    <i>
      <x/>
    </i>
    <i r="1">
      <x v="19"/>
    </i>
    <i r="2">
      <x v="10"/>
    </i>
    <i r="1">
      <x v="20"/>
    </i>
    <i r="2">
      <x v="11"/>
    </i>
    <i r="1">
      <x v="21"/>
    </i>
    <i r="2">
      <x v="5"/>
    </i>
    <i r="1">
      <x v="22"/>
    </i>
    <i r="2">
      <x v="17"/>
    </i>
    <i>
      <x v="1"/>
    </i>
    <i r="1">
      <x/>
    </i>
    <i r="2">
      <x v="2"/>
    </i>
    <i r="1">
      <x v="1"/>
    </i>
    <i r="2">
      <x/>
    </i>
    <i r="1">
      <x v="2"/>
    </i>
    <i r="2">
      <x v="12"/>
    </i>
    <i>
      <x v="2"/>
    </i>
    <i r="1">
      <x v="14"/>
    </i>
    <i r="2">
      <x v="9"/>
    </i>
    <i r="1">
      <x v="15"/>
    </i>
    <i r="2">
      <x v="13"/>
    </i>
    <i r="1">
      <x v="16"/>
    </i>
    <i r="2">
      <x v="24"/>
    </i>
    <i r="1">
      <x v="38"/>
    </i>
    <i r="2">
      <x v="13"/>
    </i>
    <i r="1">
      <x v="39"/>
    </i>
    <i r="2">
      <x v="27"/>
    </i>
    <i r="1">
      <x v="41"/>
    </i>
    <i r="2">
      <x v="9"/>
    </i>
    <i r="1">
      <x v="44"/>
    </i>
    <i r="2">
      <x v="29"/>
    </i>
    <i r="1">
      <x v="56"/>
    </i>
    <i r="2">
      <x v="24"/>
    </i>
    <i>
      <x v="3"/>
    </i>
    <i r="1">
      <x v="9"/>
    </i>
    <i r="2">
      <x v="8"/>
    </i>
    <i r="1">
      <x v="10"/>
    </i>
    <i r="2">
      <x v="26"/>
    </i>
    <i r="1">
      <x v="11"/>
    </i>
    <i r="2">
      <x v="19"/>
    </i>
    <i r="1">
      <x v="31"/>
    </i>
    <i r="2">
      <x v="8"/>
    </i>
    <i r="1">
      <x v="32"/>
    </i>
    <i r="2">
      <x v="26"/>
    </i>
    <i r="1">
      <x v="33"/>
    </i>
    <i r="2">
      <x v="3"/>
    </i>
    <i r="1">
      <x v="34"/>
    </i>
    <i r="2">
      <x v="19"/>
    </i>
    <i r="1">
      <x v="35"/>
    </i>
    <i r="2">
      <x v="4"/>
    </i>
    <i r="1">
      <x v="36"/>
    </i>
    <i r="2">
      <x v="18"/>
    </i>
    <i r="1">
      <x v="37"/>
    </i>
    <i r="2">
      <x v="1"/>
    </i>
    <i r="1">
      <x v="40"/>
    </i>
    <i r="2">
      <x v="3"/>
    </i>
    <i>
      <x v="4"/>
    </i>
    <i r="1">
      <x v="3"/>
    </i>
    <i r="2">
      <x v="23"/>
    </i>
    <i r="1">
      <x v="4"/>
    </i>
    <i r="2">
      <x v="22"/>
    </i>
    <i r="1">
      <x v="5"/>
    </i>
    <i r="2">
      <x v="25"/>
    </i>
    <i r="1">
      <x v="6"/>
    </i>
    <i r="2">
      <x v="14"/>
    </i>
    <i r="1">
      <x v="8"/>
    </i>
    <i r="2">
      <x v="15"/>
    </i>
    <i r="1">
      <x v="23"/>
    </i>
    <i r="2">
      <x v="23"/>
    </i>
    <i r="1">
      <x v="24"/>
    </i>
    <i r="2">
      <x v="22"/>
    </i>
    <i r="1">
      <x v="25"/>
    </i>
    <i r="2">
      <x v="25"/>
    </i>
    <i r="1">
      <x v="26"/>
    </i>
    <i r="2">
      <x v="14"/>
    </i>
    <i r="1">
      <x v="27"/>
    </i>
    <i r="2">
      <x v="7"/>
    </i>
    <i r="1">
      <x v="28"/>
    </i>
    <i r="2">
      <x v="21"/>
    </i>
    <i r="1">
      <x v="29"/>
    </i>
    <i r="2">
      <x v="16"/>
    </i>
    <i r="1">
      <x v="30"/>
    </i>
    <i r="2">
      <x v="15"/>
    </i>
    <i>
      <x v="5"/>
    </i>
    <i r="1">
      <x v="17"/>
    </i>
    <i r="2">
      <x v="20"/>
    </i>
    <i r="1">
      <x v="52"/>
    </i>
    <i r="2">
      <x v="37"/>
    </i>
    <i r="1">
      <x v="53"/>
    </i>
    <i r="2">
      <x v="37"/>
    </i>
    <i>
      <x v="7"/>
    </i>
    <i r="1">
      <x v="54"/>
    </i>
    <i r="2">
      <x v="37"/>
    </i>
    <i>
      <x v="8"/>
    </i>
    <i r="1">
      <x v="55"/>
    </i>
    <i r="2">
      <x v="38"/>
    </i>
    <i t="grand">
      <x/>
    </i>
  </rowItems>
  <colFields count="1">
    <field x="2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 t="grand">
      <x/>
    </i>
  </colItems>
  <dataFields count="1">
    <dataField name="Sum of   תקציב חדש 2016" fld="7" baseField="0" baseItem="0"/>
  </dataFields>
  <formats count="93">
    <format dxfId="426">
      <pivotArea collapsedLevelsAreSubtotals="1" fieldPosition="0">
        <references count="2">
          <reference field="12" count="1" selected="0">
            <x v="0"/>
          </reference>
          <reference field="14" count="4">
            <x v="5"/>
            <x v="10"/>
            <x v="11"/>
            <x v="17"/>
          </reference>
        </references>
      </pivotArea>
    </format>
    <format dxfId="425">
      <pivotArea collapsedLevelsAreSubtotals="1" fieldPosition="0">
        <references count="2">
          <reference field="12" count="1" selected="0">
            <x v="1"/>
          </reference>
          <reference field="14" count="3">
            <x v="0"/>
            <x v="2"/>
            <x v="12"/>
          </reference>
        </references>
      </pivotArea>
    </format>
    <format dxfId="424">
      <pivotArea collapsedLevelsAreSubtotals="1" fieldPosition="0">
        <references count="2">
          <reference field="12" count="1" selected="0">
            <x v="2"/>
          </reference>
          <reference field="14" count="4">
            <x v="9"/>
            <x v="13"/>
            <x v="24"/>
            <x v="27"/>
          </reference>
        </references>
      </pivotArea>
    </format>
    <format dxfId="423">
      <pivotArea collapsedLevelsAreSubtotals="1" fieldPosition="0">
        <references count="2">
          <reference field="12" count="1" selected="0">
            <x v="3"/>
          </reference>
          <reference field="14" count="7">
            <x v="1"/>
            <x v="3"/>
            <x v="4"/>
            <x v="8"/>
            <x v="18"/>
            <x v="19"/>
            <x v="26"/>
          </reference>
        </references>
      </pivotArea>
    </format>
    <format dxfId="422">
      <pivotArea collapsedLevelsAreSubtotals="1" fieldPosition="0">
        <references count="2">
          <reference field="12" count="1" selected="0">
            <x v="4"/>
          </reference>
          <reference field="14" count="8">
            <x v="7"/>
            <x v="14"/>
            <x v="15"/>
            <x v="16"/>
            <x v="21"/>
            <x v="22"/>
            <x v="23"/>
            <x v="25"/>
          </reference>
        </references>
      </pivotArea>
    </format>
    <format dxfId="421">
      <pivotArea collapsedLevelsAreSubtotals="1" fieldPosition="0">
        <references count="2">
          <reference field="12" count="1" selected="0">
            <x v="5"/>
          </reference>
          <reference field="14" count="2">
            <x v="6"/>
            <x v="20"/>
          </reference>
        </references>
      </pivotArea>
    </format>
    <format dxfId="420">
      <pivotArea collapsedLevelsAreSubtotals="1" fieldPosition="0">
        <references count="1">
          <reference field="12" count="1">
            <x v="0"/>
          </reference>
        </references>
      </pivotArea>
    </format>
    <format dxfId="419">
      <pivotArea collapsedLevelsAreSubtotals="1" fieldPosition="0">
        <references count="2">
          <reference field="12" count="1" selected="0">
            <x v="0"/>
          </reference>
          <reference field="13" count="1">
            <x v="19"/>
          </reference>
        </references>
      </pivotArea>
    </format>
    <format dxfId="418">
      <pivotArea collapsedLevelsAreSubtotals="1" fieldPosition="0">
        <references count="3">
          <reference field="12" count="1" selected="0">
            <x v="0"/>
          </reference>
          <reference field="13" count="1" selected="0">
            <x v="19"/>
          </reference>
          <reference field="14" count="1">
            <x v="10"/>
          </reference>
        </references>
      </pivotArea>
    </format>
    <format dxfId="417">
      <pivotArea collapsedLevelsAreSubtotals="1" fieldPosition="0">
        <references count="2">
          <reference field="12" count="1" selected="0">
            <x v="0"/>
          </reference>
          <reference field="13" count="1">
            <x v="20"/>
          </reference>
        </references>
      </pivotArea>
    </format>
    <format dxfId="416">
      <pivotArea collapsedLevelsAreSubtotals="1" fieldPosition="0">
        <references count="3">
          <reference field="12" count="1" selected="0">
            <x v="0"/>
          </reference>
          <reference field="13" count="1" selected="0">
            <x v="20"/>
          </reference>
          <reference field="14" count="1">
            <x v="11"/>
          </reference>
        </references>
      </pivotArea>
    </format>
    <format dxfId="415">
      <pivotArea collapsedLevelsAreSubtotals="1" fieldPosition="0">
        <references count="2">
          <reference field="12" count="1" selected="0">
            <x v="0"/>
          </reference>
          <reference field="13" count="1">
            <x v="21"/>
          </reference>
        </references>
      </pivotArea>
    </format>
    <format dxfId="414">
      <pivotArea collapsedLevelsAreSubtotals="1" fieldPosition="0">
        <references count="3">
          <reference field="12" count="1" selected="0">
            <x v="0"/>
          </reference>
          <reference field="13" count="1" selected="0">
            <x v="21"/>
          </reference>
          <reference field="14" count="1">
            <x v="5"/>
          </reference>
        </references>
      </pivotArea>
    </format>
    <format dxfId="413">
      <pivotArea collapsedLevelsAreSubtotals="1" fieldPosition="0">
        <references count="2">
          <reference field="12" count="1" selected="0">
            <x v="0"/>
          </reference>
          <reference field="13" count="1">
            <x v="22"/>
          </reference>
        </references>
      </pivotArea>
    </format>
    <format dxfId="412">
      <pivotArea collapsedLevelsAreSubtotals="1" fieldPosition="0">
        <references count="3">
          <reference field="12" count="1" selected="0">
            <x v="0"/>
          </reference>
          <reference field="13" count="1" selected="0">
            <x v="22"/>
          </reference>
          <reference field="14" count="1">
            <x v="17"/>
          </reference>
        </references>
      </pivotArea>
    </format>
    <format dxfId="411">
      <pivotArea collapsedLevelsAreSubtotals="1" fieldPosition="0">
        <references count="1">
          <reference field="12" count="1">
            <x v="1"/>
          </reference>
        </references>
      </pivotArea>
    </format>
    <format dxfId="410">
      <pivotArea collapsedLevelsAreSubtotals="1" fieldPosition="0">
        <references count="2">
          <reference field="12" count="1" selected="0">
            <x v="1"/>
          </reference>
          <reference field="13" count="1">
            <x v="0"/>
          </reference>
        </references>
      </pivotArea>
    </format>
    <format dxfId="409">
      <pivotArea collapsedLevelsAreSubtotals="1" fieldPosition="0">
        <references count="3">
          <reference field="12" count="1" selected="0">
            <x v="1"/>
          </reference>
          <reference field="13" count="1" selected="0">
            <x v="0"/>
          </reference>
          <reference field="14" count="1">
            <x v="2"/>
          </reference>
        </references>
      </pivotArea>
    </format>
    <format dxfId="408">
      <pivotArea collapsedLevelsAreSubtotals="1" fieldPosition="0">
        <references count="2">
          <reference field="12" count="1" selected="0">
            <x v="1"/>
          </reference>
          <reference field="13" count="1">
            <x v="1"/>
          </reference>
        </references>
      </pivotArea>
    </format>
    <format dxfId="407">
      <pivotArea collapsedLevelsAreSubtotals="1" fieldPosition="0">
        <references count="3">
          <reference field="12" count="1" selected="0">
            <x v="1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406">
      <pivotArea collapsedLevelsAreSubtotals="1" fieldPosition="0">
        <references count="2">
          <reference field="12" count="1" selected="0">
            <x v="1"/>
          </reference>
          <reference field="13" count="1">
            <x v="2"/>
          </reference>
        </references>
      </pivotArea>
    </format>
    <format dxfId="405">
      <pivotArea collapsedLevelsAreSubtotals="1" fieldPosition="0">
        <references count="3">
          <reference field="12" count="1" selected="0">
            <x v="1"/>
          </reference>
          <reference field="13" count="1" selected="0">
            <x v="2"/>
          </reference>
          <reference field="14" count="1">
            <x v="12"/>
          </reference>
        </references>
      </pivotArea>
    </format>
    <format dxfId="404">
      <pivotArea collapsedLevelsAreSubtotals="1" fieldPosition="0">
        <references count="1">
          <reference field="12" count="1">
            <x v="2"/>
          </reference>
        </references>
      </pivotArea>
    </format>
    <format dxfId="403">
      <pivotArea collapsedLevelsAreSubtotals="1" fieldPosition="0">
        <references count="2">
          <reference field="12" count="1" selected="0">
            <x v="2"/>
          </reference>
          <reference field="13" count="1">
            <x v="14"/>
          </reference>
        </references>
      </pivotArea>
    </format>
    <format dxfId="402">
      <pivotArea collapsedLevelsAreSubtotals="1" fieldPosition="0">
        <references count="3">
          <reference field="12" count="1" selected="0">
            <x v="2"/>
          </reference>
          <reference field="13" count="1" selected="0">
            <x v="14"/>
          </reference>
          <reference field="14" count="1">
            <x v="9"/>
          </reference>
        </references>
      </pivotArea>
    </format>
    <format dxfId="401">
      <pivotArea collapsedLevelsAreSubtotals="1" fieldPosition="0">
        <references count="2">
          <reference field="12" count="1" selected="0">
            <x v="2"/>
          </reference>
          <reference field="13" count="1">
            <x v="15"/>
          </reference>
        </references>
      </pivotArea>
    </format>
    <format dxfId="400">
      <pivotArea collapsedLevelsAreSubtotals="1" fieldPosition="0">
        <references count="3">
          <reference field="12" count="1" selected="0">
            <x v="2"/>
          </reference>
          <reference field="13" count="1" selected="0">
            <x v="15"/>
          </reference>
          <reference field="14" count="1">
            <x v="13"/>
          </reference>
        </references>
      </pivotArea>
    </format>
    <format dxfId="399">
      <pivotArea collapsedLevelsAreSubtotals="1" fieldPosition="0">
        <references count="2">
          <reference field="12" count="1" selected="0">
            <x v="2"/>
          </reference>
          <reference field="13" count="1">
            <x v="16"/>
          </reference>
        </references>
      </pivotArea>
    </format>
    <format dxfId="398">
      <pivotArea collapsedLevelsAreSubtotals="1" fieldPosition="0">
        <references count="3">
          <reference field="12" count="1" selected="0">
            <x v="2"/>
          </reference>
          <reference field="13" count="1" selected="0">
            <x v="16"/>
          </reference>
          <reference field="14" count="1">
            <x v="24"/>
          </reference>
        </references>
      </pivotArea>
    </format>
    <format dxfId="397">
      <pivotArea collapsedLevelsAreSubtotals="1" fieldPosition="0">
        <references count="2">
          <reference field="12" count="1" selected="0">
            <x v="2"/>
          </reference>
          <reference field="13" count="1">
            <x v="38"/>
          </reference>
        </references>
      </pivotArea>
    </format>
    <format dxfId="396">
      <pivotArea collapsedLevelsAreSubtotals="1" fieldPosition="0">
        <references count="3">
          <reference field="12" count="1" selected="0">
            <x v="2"/>
          </reference>
          <reference field="13" count="1" selected="0">
            <x v="38"/>
          </reference>
          <reference field="14" count="1">
            <x v="13"/>
          </reference>
        </references>
      </pivotArea>
    </format>
    <format dxfId="395">
      <pivotArea collapsedLevelsAreSubtotals="1" fieldPosition="0">
        <references count="2">
          <reference field="12" count="1" selected="0">
            <x v="2"/>
          </reference>
          <reference field="13" count="1">
            <x v="39"/>
          </reference>
        </references>
      </pivotArea>
    </format>
    <format dxfId="394">
      <pivotArea collapsedLevelsAreSubtotals="1" fieldPosition="0">
        <references count="3">
          <reference field="12" count="1" selected="0">
            <x v="2"/>
          </reference>
          <reference field="13" count="1" selected="0">
            <x v="39"/>
          </reference>
          <reference field="14" count="1">
            <x v="27"/>
          </reference>
        </references>
      </pivotArea>
    </format>
    <format dxfId="393">
      <pivotArea collapsedLevelsAreSubtotals="1" fieldPosition="0">
        <references count="1">
          <reference field="12" count="1">
            <x v="3"/>
          </reference>
        </references>
      </pivotArea>
    </format>
    <format dxfId="392">
      <pivotArea collapsedLevelsAreSubtotals="1" fieldPosition="0">
        <references count="2">
          <reference field="12" count="1" selected="0">
            <x v="3"/>
          </reference>
          <reference field="13" count="1">
            <x v="9"/>
          </reference>
        </references>
      </pivotArea>
    </format>
    <format dxfId="391">
      <pivotArea collapsedLevelsAreSubtotals="1" fieldPosition="0">
        <references count="3">
          <reference field="12" count="1" selected="0">
            <x v="3"/>
          </reference>
          <reference field="13" count="1" selected="0">
            <x v="9"/>
          </reference>
          <reference field="14" count="1">
            <x v="8"/>
          </reference>
        </references>
      </pivotArea>
    </format>
    <format dxfId="390">
      <pivotArea collapsedLevelsAreSubtotals="1" fieldPosition="0">
        <references count="2">
          <reference field="12" count="1" selected="0">
            <x v="3"/>
          </reference>
          <reference field="13" count="1">
            <x v="10"/>
          </reference>
        </references>
      </pivotArea>
    </format>
    <format dxfId="389">
      <pivotArea collapsedLevelsAreSubtotals="1" fieldPosition="0">
        <references count="3">
          <reference field="12" count="1" selected="0">
            <x v="3"/>
          </reference>
          <reference field="13" count="1" selected="0">
            <x v="10"/>
          </reference>
          <reference field="14" count="1">
            <x v="26"/>
          </reference>
        </references>
      </pivotArea>
    </format>
    <format dxfId="388">
      <pivotArea collapsedLevelsAreSubtotals="1" fieldPosition="0">
        <references count="2">
          <reference field="12" count="1" selected="0">
            <x v="3"/>
          </reference>
          <reference field="13" count="1">
            <x v="11"/>
          </reference>
        </references>
      </pivotArea>
    </format>
    <format dxfId="387">
      <pivotArea collapsedLevelsAreSubtotals="1" fieldPosition="0">
        <references count="3">
          <reference field="12" count="1" selected="0">
            <x v="3"/>
          </reference>
          <reference field="13" count="1" selected="0">
            <x v="11"/>
          </reference>
          <reference field="14" count="1">
            <x v="19"/>
          </reference>
        </references>
      </pivotArea>
    </format>
    <format dxfId="386">
      <pivotArea collapsedLevelsAreSubtotals="1" fieldPosition="0">
        <references count="2">
          <reference field="12" count="1" selected="0">
            <x v="3"/>
          </reference>
          <reference field="13" count="1">
            <x v="12"/>
          </reference>
        </references>
      </pivotArea>
    </format>
    <format dxfId="385">
      <pivotArea collapsedLevelsAreSubtotals="1" fieldPosition="0">
        <references count="2">
          <reference field="12" count="1" selected="0">
            <x v="3"/>
          </reference>
          <reference field="13" count="1">
            <x v="13"/>
          </reference>
        </references>
      </pivotArea>
    </format>
    <format dxfId="384">
      <pivotArea collapsedLevelsAreSubtotals="1" fieldPosition="0">
        <references count="3">
          <reference field="12" count="1" selected="0">
            <x v="3"/>
          </reference>
          <reference field="13" count="1" selected="0">
            <x v="13"/>
          </reference>
          <reference field="14" count="1">
            <x v="1"/>
          </reference>
        </references>
      </pivotArea>
    </format>
    <format dxfId="383">
      <pivotArea collapsedLevelsAreSubtotals="1" fieldPosition="0">
        <references count="2">
          <reference field="12" count="1" selected="0">
            <x v="3"/>
          </reference>
          <reference field="13" count="1">
            <x v="31"/>
          </reference>
        </references>
      </pivotArea>
    </format>
    <format dxfId="382">
      <pivotArea collapsedLevelsAreSubtotals="1" fieldPosition="0">
        <references count="3">
          <reference field="12" count="1" selected="0">
            <x v="3"/>
          </reference>
          <reference field="13" count="1" selected="0">
            <x v="31"/>
          </reference>
          <reference field="14" count="1">
            <x v="8"/>
          </reference>
        </references>
      </pivotArea>
    </format>
    <format dxfId="381">
      <pivotArea collapsedLevelsAreSubtotals="1" fieldPosition="0">
        <references count="2">
          <reference field="12" count="1" selected="0">
            <x v="3"/>
          </reference>
          <reference field="13" count="1">
            <x v="32"/>
          </reference>
        </references>
      </pivotArea>
    </format>
    <format dxfId="380">
      <pivotArea collapsedLevelsAreSubtotals="1" fieldPosition="0">
        <references count="3">
          <reference field="12" count="1" selected="0">
            <x v="3"/>
          </reference>
          <reference field="13" count="1" selected="0">
            <x v="32"/>
          </reference>
          <reference field="14" count="1">
            <x v="26"/>
          </reference>
        </references>
      </pivotArea>
    </format>
    <format dxfId="379">
      <pivotArea collapsedLevelsAreSubtotals="1" fieldPosition="0">
        <references count="2">
          <reference field="12" count="1" selected="0">
            <x v="3"/>
          </reference>
          <reference field="13" count="1">
            <x v="33"/>
          </reference>
        </references>
      </pivotArea>
    </format>
    <format dxfId="378">
      <pivotArea collapsedLevelsAreSubtotals="1" fieldPosition="0">
        <references count="3">
          <reference field="12" count="1" selected="0">
            <x v="3"/>
          </reference>
          <reference field="13" count="1" selected="0">
            <x v="33"/>
          </reference>
          <reference field="14" count="1">
            <x v="3"/>
          </reference>
        </references>
      </pivotArea>
    </format>
    <format dxfId="377">
      <pivotArea collapsedLevelsAreSubtotals="1" fieldPosition="0">
        <references count="2">
          <reference field="12" count="1" selected="0">
            <x v="3"/>
          </reference>
          <reference field="13" count="1">
            <x v="34"/>
          </reference>
        </references>
      </pivotArea>
    </format>
    <format dxfId="376">
      <pivotArea collapsedLevelsAreSubtotals="1" fieldPosition="0">
        <references count="3">
          <reference field="12" count="1" selected="0">
            <x v="3"/>
          </reference>
          <reference field="13" count="1" selected="0">
            <x v="34"/>
          </reference>
          <reference field="14" count="1">
            <x v="19"/>
          </reference>
        </references>
      </pivotArea>
    </format>
    <format dxfId="375">
      <pivotArea collapsedLevelsAreSubtotals="1" fieldPosition="0">
        <references count="2">
          <reference field="12" count="1" selected="0">
            <x v="3"/>
          </reference>
          <reference field="13" count="1">
            <x v="35"/>
          </reference>
        </references>
      </pivotArea>
    </format>
    <format dxfId="374">
      <pivotArea collapsedLevelsAreSubtotals="1" fieldPosition="0">
        <references count="3">
          <reference field="12" count="1" selected="0">
            <x v="3"/>
          </reference>
          <reference field="13" count="1" selected="0">
            <x v="35"/>
          </reference>
          <reference field="14" count="1">
            <x v="4"/>
          </reference>
        </references>
      </pivotArea>
    </format>
    <format dxfId="373">
      <pivotArea collapsedLevelsAreSubtotals="1" fieldPosition="0">
        <references count="2">
          <reference field="12" count="1" selected="0">
            <x v="3"/>
          </reference>
          <reference field="13" count="1">
            <x v="36"/>
          </reference>
        </references>
      </pivotArea>
    </format>
    <format dxfId="372">
      <pivotArea collapsedLevelsAreSubtotals="1" fieldPosition="0">
        <references count="3">
          <reference field="12" count="1" selected="0">
            <x v="3"/>
          </reference>
          <reference field="13" count="1" selected="0">
            <x v="36"/>
          </reference>
          <reference field="14" count="1">
            <x v="18"/>
          </reference>
        </references>
      </pivotArea>
    </format>
    <format dxfId="371">
      <pivotArea collapsedLevelsAreSubtotals="1" fieldPosition="0">
        <references count="2">
          <reference field="12" count="1" selected="0">
            <x v="3"/>
          </reference>
          <reference field="13" count="1">
            <x v="37"/>
          </reference>
        </references>
      </pivotArea>
    </format>
    <format dxfId="370">
      <pivotArea collapsedLevelsAreSubtotals="1" fieldPosition="0">
        <references count="3">
          <reference field="12" count="1" selected="0">
            <x v="3"/>
          </reference>
          <reference field="13" count="1" selected="0">
            <x v="37"/>
          </reference>
          <reference field="14" count="1">
            <x v="1"/>
          </reference>
        </references>
      </pivotArea>
    </format>
    <format dxfId="369">
      <pivotArea collapsedLevelsAreSubtotals="1" fieldPosition="0">
        <references count="1">
          <reference field="12" count="1">
            <x v="4"/>
          </reference>
        </references>
      </pivotArea>
    </format>
    <format dxfId="368">
      <pivotArea collapsedLevelsAreSubtotals="1" fieldPosition="0">
        <references count="2">
          <reference field="12" count="1" selected="0">
            <x v="4"/>
          </reference>
          <reference field="13" count="1">
            <x v="3"/>
          </reference>
        </references>
      </pivotArea>
    </format>
    <format dxfId="367">
      <pivotArea collapsedLevelsAreSubtotals="1" fieldPosition="0">
        <references count="3">
          <reference field="12" count="1" selected="0">
            <x v="4"/>
          </reference>
          <reference field="13" count="1" selected="0">
            <x v="3"/>
          </reference>
          <reference field="14" count="1">
            <x v="23"/>
          </reference>
        </references>
      </pivotArea>
    </format>
    <format dxfId="366">
      <pivotArea collapsedLevelsAreSubtotals="1" fieldPosition="0">
        <references count="2">
          <reference field="12" count="1" selected="0">
            <x v="4"/>
          </reference>
          <reference field="13" count="1">
            <x v="4"/>
          </reference>
        </references>
      </pivotArea>
    </format>
    <format dxfId="365">
      <pivotArea collapsedLevelsAreSubtotals="1" fieldPosition="0">
        <references count="3">
          <reference field="12" count="1" selected="0">
            <x v="4"/>
          </reference>
          <reference field="13" count="1" selected="0">
            <x v="4"/>
          </reference>
          <reference field="14" count="1">
            <x v="22"/>
          </reference>
        </references>
      </pivotArea>
    </format>
    <format dxfId="364">
      <pivotArea collapsedLevelsAreSubtotals="1" fieldPosition="0">
        <references count="2">
          <reference field="12" count="1" selected="0">
            <x v="4"/>
          </reference>
          <reference field="13" count="1">
            <x v="5"/>
          </reference>
        </references>
      </pivotArea>
    </format>
    <format dxfId="363">
      <pivotArea collapsedLevelsAreSubtotals="1" fieldPosition="0">
        <references count="3">
          <reference field="12" count="1" selected="0">
            <x v="4"/>
          </reference>
          <reference field="13" count="1" selected="0">
            <x v="5"/>
          </reference>
          <reference field="14" count="1">
            <x v="25"/>
          </reference>
        </references>
      </pivotArea>
    </format>
    <format dxfId="362">
      <pivotArea collapsedLevelsAreSubtotals="1" fieldPosition="0">
        <references count="2">
          <reference field="12" count="1" selected="0">
            <x v="4"/>
          </reference>
          <reference field="13" count="1">
            <x v="6"/>
          </reference>
        </references>
      </pivotArea>
    </format>
    <format dxfId="361">
      <pivotArea collapsedLevelsAreSubtotals="1" fieldPosition="0">
        <references count="3">
          <reference field="12" count="1" selected="0">
            <x v="4"/>
          </reference>
          <reference field="13" count="1" selected="0">
            <x v="6"/>
          </reference>
          <reference field="14" count="1">
            <x v="14"/>
          </reference>
        </references>
      </pivotArea>
    </format>
    <format dxfId="360">
      <pivotArea collapsedLevelsAreSubtotals="1" fieldPosition="0">
        <references count="2">
          <reference field="12" count="1" selected="0">
            <x v="4"/>
          </reference>
          <reference field="13" count="1">
            <x v="7"/>
          </reference>
        </references>
      </pivotArea>
    </format>
    <format dxfId="359">
      <pivotArea collapsedLevelsAreSubtotals="1" fieldPosition="0">
        <references count="3">
          <reference field="12" count="1" selected="0">
            <x v="4"/>
          </reference>
          <reference field="13" count="1" selected="0">
            <x v="7"/>
          </reference>
          <reference field="14" count="1">
            <x v="21"/>
          </reference>
        </references>
      </pivotArea>
    </format>
    <format dxfId="358">
      <pivotArea collapsedLevelsAreSubtotals="1" fieldPosition="0">
        <references count="2">
          <reference field="12" count="1" selected="0">
            <x v="4"/>
          </reference>
          <reference field="13" count="1">
            <x v="8"/>
          </reference>
        </references>
      </pivotArea>
    </format>
    <format dxfId="357">
      <pivotArea collapsedLevelsAreSubtotals="1" fieldPosition="0">
        <references count="3">
          <reference field="12" count="1" selected="0">
            <x v="4"/>
          </reference>
          <reference field="13" count="1" selected="0">
            <x v="8"/>
          </reference>
          <reference field="14" count="1">
            <x v="15"/>
          </reference>
        </references>
      </pivotArea>
    </format>
    <format dxfId="356">
      <pivotArea collapsedLevelsAreSubtotals="1" fieldPosition="0">
        <references count="2">
          <reference field="12" count="1" selected="0">
            <x v="4"/>
          </reference>
          <reference field="13" count="1">
            <x v="23"/>
          </reference>
        </references>
      </pivotArea>
    </format>
    <format dxfId="355">
      <pivotArea collapsedLevelsAreSubtotals="1" fieldPosition="0">
        <references count="3">
          <reference field="12" count="1" selected="0">
            <x v="4"/>
          </reference>
          <reference field="13" count="1" selected="0">
            <x v="23"/>
          </reference>
          <reference field="14" count="1">
            <x v="23"/>
          </reference>
        </references>
      </pivotArea>
    </format>
    <format dxfId="354">
      <pivotArea collapsedLevelsAreSubtotals="1" fieldPosition="0">
        <references count="2">
          <reference field="12" count="1" selected="0">
            <x v="4"/>
          </reference>
          <reference field="13" count="1">
            <x v="24"/>
          </reference>
        </references>
      </pivotArea>
    </format>
    <format dxfId="353">
      <pivotArea collapsedLevelsAreSubtotals="1" fieldPosition="0">
        <references count="3">
          <reference field="12" count="1" selected="0">
            <x v="4"/>
          </reference>
          <reference field="13" count="1" selected="0">
            <x v="24"/>
          </reference>
          <reference field="14" count="1">
            <x v="22"/>
          </reference>
        </references>
      </pivotArea>
    </format>
    <format dxfId="352">
      <pivotArea collapsedLevelsAreSubtotals="1" fieldPosition="0">
        <references count="2">
          <reference field="12" count="1" selected="0">
            <x v="4"/>
          </reference>
          <reference field="13" count="1">
            <x v="25"/>
          </reference>
        </references>
      </pivotArea>
    </format>
    <format dxfId="351">
      <pivotArea collapsedLevelsAreSubtotals="1" fieldPosition="0">
        <references count="3">
          <reference field="12" count="1" selected="0">
            <x v="4"/>
          </reference>
          <reference field="13" count="1" selected="0">
            <x v="25"/>
          </reference>
          <reference field="14" count="1">
            <x v="25"/>
          </reference>
        </references>
      </pivotArea>
    </format>
    <format dxfId="350">
      <pivotArea collapsedLevelsAreSubtotals="1" fieldPosition="0">
        <references count="2">
          <reference field="12" count="1" selected="0">
            <x v="4"/>
          </reference>
          <reference field="13" count="1">
            <x v="26"/>
          </reference>
        </references>
      </pivotArea>
    </format>
    <format dxfId="349">
      <pivotArea collapsedLevelsAreSubtotals="1" fieldPosition="0">
        <references count="3">
          <reference field="12" count="1" selected="0">
            <x v="4"/>
          </reference>
          <reference field="13" count="1" selected="0">
            <x v="26"/>
          </reference>
          <reference field="14" count="1">
            <x v="14"/>
          </reference>
        </references>
      </pivotArea>
    </format>
    <format dxfId="348">
      <pivotArea collapsedLevelsAreSubtotals="1" fieldPosition="0">
        <references count="2">
          <reference field="12" count="1" selected="0">
            <x v="4"/>
          </reference>
          <reference field="13" count="1">
            <x v="27"/>
          </reference>
        </references>
      </pivotArea>
    </format>
    <format dxfId="347">
      <pivotArea collapsedLevelsAreSubtotals="1" fieldPosition="0">
        <references count="3">
          <reference field="12" count="1" selected="0">
            <x v="4"/>
          </reference>
          <reference field="13" count="1" selected="0">
            <x v="27"/>
          </reference>
          <reference field="14" count="1">
            <x v="7"/>
          </reference>
        </references>
      </pivotArea>
    </format>
    <format dxfId="346">
      <pivotArea collapsedLevelsAreSubtotals="1" fieldPosition="0">
        <references count="2">
          <reference field="12" count="1" selected="0">
            <x v="4"/>
          </reference>
          <reference field="13" count="1">
            <x v="28"/>
          </reference>
        </references>
      </pivotArea>
    </format>
    <format dxfId="345">
      <pivotArea collapsedLevelsAreSubtotals="1" fieldPosition="0">
        <references count="3">
          <reference field="12" count="1" selected="0">
            <x v="4"/>
          </reference>
          <reference field="13" count="1" selected="0">
            <x v="28"/>
          </reference>
          <reference field="14" count="1">
            <x v="21"/>
          </reference>
        </references>
      </pivotArea>
    </format>
    <format dxfId="344">
      <pivotArea collapsedLevelsAreSubtotals="1" fieldPosition="0">
        <references count="2">
          <reference field="12" count="1" selected="0">
            <x v="4"/>
          </reference>
          <reference field="13" count="1">
            <x v="29"/>
          </reference>
        </references>
      </pivotArea>
    </format>
    <format dxfId="343">
      <pivotArea collapsedLevelsAreSubtotals="1" fieldPosition="0">
        <references count="3">
          <reference field="12" count="1" selected="0">
            <x v="4"/>
          </reference>
          <reference field="13" count="1" selected="0">
            <x v="29"/>
          </reference>
          <reference field="14" count="1">
            <x v="16"/>
          </reference>
        </references>
      </pivotArea>
    </format>
    <format dxfId="342">
      <pivotArea collapsedLevelsAreSubtotals="1" fieldPosition="0">
        <references count="2">
          <reference field="12" count="1" selected="0">
            <x v="4"/>
          </reference>
          <reference field="13" count="1">
            <x v="30"/>
          </reference>
        </references>
      </pivotArea>
    </format>
    <format dxfId="341">
      <pivotArea collapsedLevelsAreSubtotals="1" fieldPosition="0">
        <references count="3">
          <reference field="12" count="1" selected="0">
            <x v="4"/>
          </reference>
          <reference field="13" count="1" selected="0">
            <x v="30"/>
          </reference>
          <reference field="14" count="1">
            <x v="15"/>
          </reference>
        </references>
      </pivotArea>
    </format>
    <format dxfId="340">
      <pivotArea collapsedLevelsAreSubtotals="1" fieldPosition="0">
        <references count="1">
          <reference field="12" count="1">
            <x v="5"/>
          </reference>
        </references>
      </pivotArea>
    </format>
    <format dxfId="339">
      <pivotArea collapsedLevelsAreSubtotals="1" fieldPosition="0">
        <references count="2">
          <reference field="12" count="1" selected="0">
            <x v="5"/>
          </reference>
          <reference field="13" count="1">
            <x v="17"/>
          </reference>
        </references>
      </pivotArea>
    </format>
    <format dxfId="338">
      <pivotArea collapsedLevelsAreSubtotals="1" fieldPosition="0">
        <references count="3">
          <reference field="12" count="1" selected="0">
            <x v="5"/>
          </reference>
          <reference field="13" count="1" selected="0">
            <x v="17"/>
          </reference>
          <reference field="14" count="1">
            <x v="20"/>
          </reference>
        </references>
      </pivotArea>
    </format>
    <format dxfId="337">
      <pivotArea collapsedLevelsAreSubtotals="1" fieldPosition="0">
        <references count="2">
          <reference field="12" count="1" selected="0">
            <x v="5"/>
          </reference>
          <reference field="13" count="1">
            <x v="18"/>
          </reference>
        </references>
      </pivotArea>
    </format>
    <format dxfId="336">
      <pivotArea collapsedLevelsAreSubtotals="1" fieldPosition="0">
        <references count="3">
          <reference field="12" count="1" selected="0">
            <x v="5"/>
          </reference>
          <reference field="13" count="1" selected="0">
            <x v="18"/>
          </reference>
          <reference field="14" count="1">
            <x v="6"/>
          </reference>
        </references>
      </pivotArea>
    </format>
    <format dxfId="335">
      <pivotArea field="21" grandRow="1" outline="0" collapsedLevelsAreSubtotals="1" axis="axisCol" fieldPosition="0">
        <references count="1">
          <reference field="21" count="0" selected="0"/>
        </references>
      </pivotArea>
    </format>
    <format dxfId="334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V35:AF44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x="7"/>
        <item h="1" x="8"/>
        <item h="1" m="1" x="9"/>
        <item t="default"/>
      </items>
    </pivotField>
    <pivotField showAll="0"/>
    <pivotField axis="axisPage" multipleItemSelectionAllowed="1" showAll="0">
      <items count="61">
        <item h="1" x="0"/>
        <item h="1" x="1"/>
        <item h="1" m="1" x="48"/>
        <item h="1" m="1" x="57"/>
        <item h="1" x="2"/>
        <item h="1" x="3"/>
        <item h="1" x="5"/>
        <item h="1" x="4"/>
        <item h="1" x="6"/>
        <item h="1" m="1" x="52"/>
        <item h="1" x="7"/>
        <item h="1" m="1" x="54"/>
        <item h="1" x="8"/>
        <item h="1" x="9"/>
        <item h="1" x="10"/>
        <item h="1" x="12"/>
        <item h="1" x="13"/>
        <item h="1" x="14"/>
        <item h="1" m="1" x="51"/>
        <item h="1" x="16"/>
        <item h="1" m="1" x="42"/>
        <item h="1" x="17"/>
        <item h="1" x="18"/>
        <item h="1" x="15"/>
        <item h="1" m="1" x="44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m="1" x="58"/>
        <item h="1" m="1" x="43"/>
        <item h="1" m="1" x="50"/>
        <item h="1" m="1" x="45"/>
        <item h="1" m="1" x="53"/>
        <item h="1" m="1" x="46"/>
        <item h="1" m="1" x="55"/>
        <item h="1" m="1" x="47"/>
        <item h="1" x="11"/>
        <item h="1" m="1" x="49"/>
        <item h="1" x="40"/>
        <item h="1" m="1" x="41"/>
        <item h="1" m="1" x="56"/>
        <item h="1" m="1" x="59"/>
        <item t="default"/>
      </items>
    </pivotField>
    <pivotField showAll="0"/>
    <pivotField axis="axisRow" showAll="0">
      <items count="280">
        <item m="1" x="231"/>
        <item m="1" x="238"/>
        <item m="1" x="243"/>
        <item m="1" x="251"/>
        <item m="1" x="166"/>
        <item m="1" x="180"/>
        <item m="1" x="271"/>
        <item m="1" x="273"/>
        <item m="1" x="181"/>
        <item x="2"/>
        <item m="1" x="276"/>
        <item m="1" x="145"/>
        <item x="3"/>
        <item m="1" x="154"/>
        <item x="19"/>
        <item m="1" x="168"/>
        <item x="6"/>
        <item m="1" x="232"/>
        <item m="1" x="249"/>
        <item x="8"/>
        <item m="1" x="158"/>
        <item x="9"/>
        <item x="11"/>
        <item x="12"/>
        <item x="14"/>
        <item m="1" x="268"/>
        <item m="1" x="161"/>
        <item m="1" x="169"/>
        <item m="1" x="239"/>
        <item m="1" x="244"/>
        <item m="1" x="265"/>
        <item x="17"/>
        <item m="1" x="176"/>
        <item m="1" x="182"/>
        <item m="1" x="242"/>
        <item x="18"/>
        <item x="16"/>
        <item x="21"/>
        <item x="22"/>
        <item x="23"/>
        <item x="26"/>
        <item x="27"/>
        <item x="24"/>
        <item x="28"/>
        <item x="25"/>
        <item m="1" x="140"/>
        <item x="29"/>
        <item x="30"/>
        <item m="1" x="155"/>
        <item m="1" x="162"/>
        <item m="1" x="170"/>
        <item x="32"/>
        <item m="1" x="186"/>
        <item m="1" x="144"/>
        <item x="36"/>
        <item x="37"/>
        <item x="38"/>
        <item x="40"/>
        <item x="41"/>
        <item x="39"/>
        <item x="42"/>
        <item m="1" x="196"/>
        <item m="1" x="205"/>
        <item m="1" x="227"/>
        <item x="44"/>
        <item m="1" x="159"/>
        <item x="47"/>
        <item m="1" x="214"/>
        <item x="54"/>
        <item m="1" x="163"/>
        <item m="1" x="171"/>
        <item x="55"/>
        <item m="1" x="141"/>
        <item m="1" x="220"/>
        <item m="1" x="224"/>
        <item m="1" x="228"/>
        <item x="58"/>
        <item x="59"/>
        <item m="1" x="225"/>
        <item m="1" x="250"/>
        <item x="61"/>
        <item x="62"/>
        <item x="63"/>
        <item x="64"/>
        <item x="65"/>
        <item x="66"/>
        <item x="67"/>
        <item x="68"/>
        <item m="1" x="138"/>
        <item m="1" x="190"/>
        <item x="69"/>
        <item x="71"/>
        <item x="75"/>
        <item m="1" x="263"/>
        <item m="1" x="219"/>
        <item x="76"/>
        <item m="1" x="164"/>
        <item x="77"/>
        <item x="78"/>
        <item m="1" x="187"/>
        <item x="103"/>
        <item x="79"/>
        <item m="1" x="241"/>
        <item x="80"/>
        <item x="81"/>
        <item x="82"/>
        <item x="83"/>
        <item m="1" x="266"/>
        <item m="1" x="177"/>
        <item x="85"/>
        <item x="86"/>
        <item m="1" x="197"/>
        <item m="1" x="247"/>
        <item x="89"/>
        <item x="90"/>
        <item m="1" x="257"/>
        <item x="91"/>
        <item x="93"/>
        <item x="94"/>
        <item x="95"/>
        <item m="1" x="200"/>
        <item m="1" x="206"/>
        <item m="1" x="208"/>
        <item m="1" x="215"/>
        <item m="1" x="253"/>
        <item m="1" x="256"/>
        <item m="1" x="261"/>
        <item x="98"/>
        <item x="96"/>
        <item m="1" x="275"/>
        <item m="1" x="277"/>
        <item x="97"/>
        <item m="1" x="198"/>
        <item x="99"/>
        <item x="100"/>
        <item m="1" x="258"/>
        <item x="102"/>
        <item m="1" x="222"/>
        <item x="105"/>
        <item x="106"/>
        <item x="107"/>
        <item x="109"/>
        <item x="111"/>
        <item x="112"/>
        <item x="108"/>
        <item m="1" x="259"/>
        <item x="110"/>
        <item m="1" x="152"/>
        <item x="113"/>
        <item x="114"/>
        <item x="115"/>
        <item x="116"/>
        <item x="117"/>
        <item m="1" x="193"/>
        <item m="1" x="201"/>
        <item x="118"/>
        <item x="119"/>
        <item m="1" x="229"/>
        <item x="121"/>
        <item x="123"/>
        <item m="1" x="160"/>
        <item x="126"/>
        <item x="127"/>
        <item x="128"/>
        <item x="129"/>
        <item x="130"/>
        <item x="131"/>
        <item x="132"/>
        <item x="133"/>
        <item m="1" x="212"/>
        <item m="1" x="237"/>
        <item x="134"/>
        <item m="1" x="248"/>
        <item m="1" x="264"/>
        <item m="1" x="217"/>
        <item m="1" x="245"/>
        <item x="136"/>
        <item m="1" x="278"/>
        <item m="1" x="183"/>
        <item m="1" x="191"/>
        <item m="1" x="223"/>
        <item m="1" x="143"/>
        <item m="1" x="147"/>
        <item m="1" x="153"/>
        <item m="1" x="173"/>
        <item m="1" x="188"/>
        <item m="1" x="194"/>
        <item m="1" x="202"/>
        <item m="1" x="221"/>
        <item m="1" x="226"/>
        <item m="1" x="234"/>
        <item m="1" x="157"/>
        <item m="1" x="235"/>
        <item m="1" x="246"/>
        <item m="1" x="167"/>
        <item m="1" x="178"/>
        <item m="1" x="184"/>
        <item m="1" x="199"/>
        <item m="1" x="204"/>
        <item m="1" x="254"/>
        <item m="1" x="260"/>
        <item x="1"/>
        <item m="1" x="175"/>
        <item m="1" x="211"/>
        <item m="1" x="236"/>
        <item m="1" x="255"/>
        <item m="1" x="142"/>
        <item x="10"/>
        <item m="1" x="252"/>
        <item m="1" x="195"/>
        <item m="1" x="230"/>
        <item x="33"/>
        <item m="1" x="233"/>
        <item x="43"/>
        <item m="1" x="218"/>
        <item m="1" x="146"/>
        <item m="1" x="262"/>
        <item x="60"/>
        <item x="84"/>
        <item x="92"/>
        <item x="104"/>
        <item m="1" x="267"/>
        <item x="101"/>
        <item x="122"/>
        <item m="1" x="172"/>
        <item m="1" x="149"/>
        <item m="1" x="165"/>
        <item m="1" x="174"/>
        <item m="1" x="192"/>
        <item m="1" x="207"/>
        <item m="1" x="216"/>
        <item m="1" x="139"/>
        <item m="1" x="189"/>
        <item m="1" x="148"/>
        <item x="20"/>
        <item m="1" x="185"/>
        <item x="31"/>
        <item m="1" x="150"/>
        <item m="1" x="274"/>
        <item x="45"/>
        <item m="1" x="151"/>
        <item x="57"/>
        <item m="1" x="240"/>
        <item m="1" x="203"/>
        <item x="87"/>
        <item m="1" x="269"/>
        <item m="1" x="209"/>
        <item x="120"/>
        <item m="1" x="272"/>
        <item x="135"/>
        <item m="1" x="156"/>
        <item m="1" x="179"/>
        <item m="1" x="210"/>
        <item m="1" x="213"/>
        <item x="70"/>
        <item x="72"/>
        <item x="73"/>
        <item x="74"/>
        <item m="1" x="270"/>
        <item x="88"/>
        <item x="124"/>
        <item x="125"/>
        <item x="137"/>
        <item x="0"/>
        <item x="4"/>
        <item x="5"/>
        <item x="7"/>
        <item x="13"/>
        <item x="15"/>
        <item x="34"/>
        <item x="35"/>
        <item x="46"/>
        <item x="48"/>
        <item x="49"/>
        <item x="50"/>
        <item x="51"/>
        <item x="52"/>
        <item x="53"/>
        <item x="56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0">
        <item x="0"/>
        <item x="1"/>
        <item x="3"/>
        <item x="7"/>
        <item x="5"/>
        <item x="8"/>
        <item x="2"/>
        <item x="9"/>
        <item x="10"/>
        <item x="14"/>
        <item x="11"/>
        <item x="15"/>
        <item x="17"/>
        <item x="13"/>
        <item x="16"/>
        <item x="12"/>
        <item x="6"/>
        <item m="1" x="18"/>
        <item x="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8">
    <i>
      <x v="148"/>
    </i>
    <i>
      <x v="149"/>
    </i>
    <i>
      <x v="150"/>
    </i>
    <i>
      <x v="151"/>
    </i>
    <i>
      <x v="152"/>
    </i>
    <i>
      <x v="155"/>
    </i>
    <i>
      <x v="156"/>
    </i>
    <i t="grand">
      <x/>
    </i>
  </rowItems>
  <colFields count="1">
    <field x="21"/>
  </colFields>
  <colItems count="10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2">
    <pageField fld="11" hier="-1"/>
    <pageField fld="13" hier="-1"/>
  </pageFields>
  <dataFields count="1">
    <dataField name="Sum of   תקציב חדש 2016" fld="7" baseField="0" baseItem="0"/>
  </dataFields>
  <formats count="2">
    <format dxfId="49">
      <pivotArea grandCol="1" outline="0" collapsedLevelsAreSubtotals="1" fieldPosition="0"/>
    </format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G35:AL41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showAll="0"/>
    <pivotField showAll="0"/>
    <pivotField dataField="1" numFmtId="184" showAll="0"/>
    <pivotField numFmtId="184" showAll="0"/>
    <pivotField numFmtId="184" showAll="0"/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m="1" x="9"/>
        <item t="default"/>
      </items>
    </pivotField>
    <pivotField showAll="0"/>
    <pivotField axis="axisPage" multipleItemSelectionAllowed="1" showAll="0">
      <items count="61">
        <item h="1" x="0"/>
        <item h="1" x="1"/>
        <item h="1" m="1" x="48"/>
        <item h="1" m="1" x="57"/>
        <item h="1" x="2"/>
        <item h="1" x="3"/>
        <item h="1" x="5"/>
        <item h="1" x="4"/>
        <item h="1" x="6"/>
        <item h="1" m="1" x="52"/>
        <item h="1" x="7"/>
        <item h="1" m="1" x="54"/>
        <item h="1" x="8"/>
        <item h="1" x="9"/>
        <item x="10"/>
        <item h="1" x="12"/>
        <item h="1" x="13"/>
        <item h="1" x="14"/>
        <item h="1" m="1" x="51"/>
        <item h="1" x="16"/>
        <item h="1" m="1" x="42"/>
        <item h="1" x="17"/>
        <item h="1" x="18"/>
        <item h="1" x="15"/>
        <item h="1" m="1" x="44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m="1" x="58"/>
        <item h="1" m="1" x="43"/>
        <item h="1" m="1" x="50"/>
        <item h="1" m="1" x="45"/>
        <item h="1" m="1" x="53"/>
        <item h="1" m="1" x="46"/>
        <item h="1" m="1" x="55"/>
        <item h="1" m="1" x="47"/>
        <item h="1" x="11"/>
        <item h="1" m="1" x="49"/>
        <item h="1" x="40"/>
        <item h="1" m="1" x="41"/>
        <item h="1" m="1" x="56"/>
        <item h="1" m="1" x="59"/>
        <item t="default"/>
      </items>
    </pivotField>
    <pivotField showAll="0"/>
    <pivotField axis="axisRow" showAll="0">
      <items count="280">
        <item m="1" x="231"/>
        <item m="1" x="238"/>
        <item m="1" x="243"/>
        <item m="1" x="251"/>
        <item m="1" x="166"/>
        <item m="1" x="180"/>
        <item m="1" x="271"/>
        <item m="1" x="273"/>
        <item m="1" x="181"/>
        <item x="2"/>
        <item m="1" x="276"/>
        <item m="1" x="145"/>
        <item x="3"/>
        <item m="1" x="154"/>
        <item x="19"/>
        <item m="1" x="168"/>
        <item x="6"/>
        <item m="1" x="232"/>
        <item m="1" x="249"/>
        <item x="8"/>
        <item m="1" x="158"/>
        <item x="9"/>
        <item x="11"/>
        <item x="12"/>
        <item x="14"/>
        <item m="1" x="268"/>
        <item m="1" x="161"/>
        <item m="1" x="169"/>
        <item m="1" x="239"/>
        <item m="1" x="244"/>
        <item m="1" x="265"/>
        <item x="17"/>
        <item m="1" x="176"/>
        <item m="1" x="182"/>
        <item m="1" x="242"/>
        <item x="18"/>
        <item x="16"/>
        <item x="21"/>
        <item x="22"/>
        <item x="23"/>
        <item x="26"/>
        <item x="27"/>
        <item x="24"/>
        <item x="28"/>
        <item x="25"/>
        <item m="1" x="140"/>
        <item x="29"/>
        <item x="30"/>
        <item m="1" x="155"/>
        <item m="1" x="162"/>
        <item m="1" x="170"/>
        <item x="32"/>
        <item m="1" x="186"/>
        <item m="1" x="144"/>
        <item x="36"/>
        <item x="37"/>
        <item x="38"/>
        <item x="40"/>
        <item x="41"/>
        <item x="39"/>
        <item x="42"/>
        <item m="1" x="196"/>
        <item m="1" x="205"/>
        <item m="1" x="227"/>
        <item x="44"/>
        <item m="1" x="159"/>
        <item x="47"/>
        <item m="1" x="214"/>
        <item x="54"/>
        <item m="1" x="163"/>
        <item m="1" x="171"/>
        <item x="55"/>
        <item m="1" x="141"/>
        <item m="1" x="220"/>
        <item m="1" x="224"/>
        <item m="1" x="228"/>
        <item x="58"/>
        <item x="59"/>
        <item m="1" x="225"/>
        <item m="1" x="250"/>
        <item x="61"/>
        <item x="62"/>
        <item x="63"/>
        <item x="64"/>
        <item x="65"/>
        <item x="66"/>
        <item x="67"/>
        <item x="68"/>
        <item m="1" x="138"/>
        <item m="1" x="190"/>
        <item x="69"/>
        <item x="71"/>
        <item x="75"/>
        <item m="1" x="263"/>
        <item m="1" x="219"/>
        <item x="76"/>
        <item m="1" x="164"/>
        <item x="77"/>
        <item x="78"/>
        <item m="1" x="187"/>
        <item x="103"/>
        <item x="79"/>
        <item m="1" x="241"/>
        <item x="80"/>
        <item x="81"/>
        <item x="82"/>
        <item x="83"/>
        <item m="1" x="266"/>
        <item m="1" x="177"/>
        <item x="85"/>
        <item x="86"/>
        <item m="1" x="197"/>
        <item m="1" x="247"/>
        <item x="89"/>
        <item x="90"/>
        <item m="1" x="257"/>
        <item x="91"/>
        <item x="93"/>
        <item x="94"/>
        <item x="95"/>
        <item m="1" x="200"/>
        <item m="1" x="206"/>
        <item m="1" x="208"/>
        <item m="1" x="215"/>
        <item m="1" x="253"/>
        <item m="1" x="256"/>
        <item m="1" x="261"/>
        <item x="98"/>
        <item x="96"/>
        <item m="1" x="275"/>
        <item m="1" x="277"/>
        <item x="97"/>
        <item m="1" x="198"/>
        <item x="99"/>
        <item x="100"/>
        <item m="1" x="258"/>
        <item x="102"/>
        <item m="1" x="222"/>
        <item x="105"/>
        <item x="106"/>
        <item x="107"/>
        <item x="109"/>
        <item x="111"/>
        <item x="112"/>
        <item x="108"/>
        <item m="1" x="259"/>
        <item x="110"/>
        <item m="1" x="152"/>
        <item x="113"/>
        <item x="114"/>
        <item x="115"/>
        <item x="116"/>
        <item x="117"/>
        <item m="1" x="193"/>
        <item m="1" x="201"/>
        <item x="118"/>
        <item x="119"/>
        <item m="1" x="229"/>
        <item x="121"/>
        <item x="123"/>
        <item m="1" x="160"/>
        <item x="126"/>
        <item x="127"/>
        <item x="128"/>
        <item x="129"/>
        <item x="130"/>
        <item x="131"/>
        <item x="132"/>
        <item x="133"/>
        <item m="1" x="212"/>
        <item m="1" x="237"/>
        <item x="134"/>
        <item m="1" x="248"/>
        <item m="1" x="264"/>
        <item m="1" x="217"/>
        <item m="1" x="245"/>
        <item x="136"/>
        <item m="1" x="278"/>
        <item m="1" x="183"/>
        <item m="1" x="191"/>
        <item m="1" x="223"/>
        <item m="1" x="143"/>
        <item m="1" x="147"/>
        <item m="1" x="153"/>
        <item m="1" x="173"/>
        <item m="1" x="188"/>
        <item m="1" x="194"/>
        <item m="1" x="202"/>
        <item m="1" x="221"/>
        <item m="1" x="226"/>
        <item m="1" x="234"/>
        <item m="1" x="157"/>
        <item m="1" x="235"/>
        <item m="1" x="246"/>
        <item m="1" x="167"/>
        <item m="1" x="178"/>
        <item m="1" x="184"/>
        <item m="1" x="199"/>
        <item m="1" x="204"/>
        <item m="1" x="254"/>
        <item m="1" x="260"/>
        <item x="1"/>
        <item m="1" x="175"/>
        <item m="1" x="211"/>
        <item m="1" x="236"/>
        <item m="1" x="255"/>
        <item m="1" x="142"/>
        <item x="10"/>
        <item m="1" x="252"/>
        <item m="1" x="195"/>
        <item m="1" x="230"/>
        <item x="33"/>
        <item m="1" x="233"/>
        <item x="43"/>
        <item m="1" x="218"/>
        <item m="1" x="146"/>
        <item m="1" x="262"/>
        <item x="60"/>
        <item x="84"/>
        <item x="92"/>
        <item x="104"/>
        <item m="1" x="267"/>
        <item x="101"/>
        <item x="122"/>
        <item m="1" x="172"/>
        <item m="1" x="149"/>
        <item m="1" x="165"/>
        <item m="1" x="174"/>
        <item m="1" x="192"/>
        <item m="1" x="207"/>
        <item m="1" x="216"/>
        <item m="1" x="139"/>
        <item m="1" x="189"/>
        <item m="1" x="148"/>
        <item x="20"/>
        <item m="1" x="185"/>
        <item x="31"/>
        <item m="1" x="150"/>
        <item m="1" x="274"/>
        <item x="45"/>
        <item m="1" x="151"/>
        <item x="57"/>
        <item m="1" x="240"/>
        <item m="1" x="203"/>
        <item x="87"/>
        <item m="1" x="269"/>
        <item m="1" x="209"/>
        <item x="120"/>
        <item m="1" x="272"/>
        <item x="135"/>
        <item m="1" x="156"/>
        <item m="1" x="179"/>
        <item m="1" x="210"/>
        <item m="1" x="213"/>
        <item x="70"/>
        <item x="72"/>
        <item x="73"/>
        <item x="74"/>
        <item m="1" x="270"/>
        <item x="88"/>
        <item x="124"/>
        <item x="125"/>
        <item x="137"/>
        <item x="0"/>
        <item x="4"/>
        <item x="5"/>
        <item x="7"/>
        <item x="13"/>
        <item x="15"/>
        <item x="34"/>
        <item x="35"/>
        <item x="46"/>
        <item x="48"/>
        <item x="49"/>
        <item x="50"/>
        <item x="51"/>
        <item x="52"/>
        <item x="53"/>
        <item x="56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0">
        <item x="0"/>
        <item x="1"/>
        <item x="3"/>
        <item x="7"/>
        <item x="5"/>
        <item x="8"/>
        <item x="2"/>
        <item x="9"/>
        <item x="10"/>
        <item x="14"/>
        <item x="11"/>
        <item x="15"/>
        <item x="17"/>
        <item x="13"/>
        <item x="16"/>
        <item x="12"/>
        <item x="6"/>
        <item m="1" x="18"/>
        <item x="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5">
    <i>
      <x v="46"/>
    </i>
    <i>
      <x v="47"/>
    </i>
    <i>
      <x v="51"/>
    </i>
    <i>
      <x v="236"/>
    </i>
    <i t="grand">
      <x/>
    </i>
  </rowItems>
  <colFields count="1">
    <field x="21"/>
  </colFields>
  <colItems count="5">
    <i>
      <x v="3"/>
    </i>
    <i>
      <x v="4"/>
    </i>
    <i>
      <x v="5"/>
    </i>
    <i>
      <x v="6"/>
    </i>
    <i t="grand">
      <x/>
    </i>
  </colItems>
  <pageFields count="2">
    <pageField fld="11" hier="-1"/>
    <pageField fld="13" hier="-1"/>
  </pageFields>
  <dataFields count="1">
    <dataField name="Sum of   תקציב חדש 2016" fld="7" baseField="0" baseItem="0"/>
  </dataFields>
  <formats count="2">
    <format dxfId="51">
      <pivotArea grandCol="1" outline="0" collapsedLevelsAreSubtotals="1" fieldPosition="0"/>
    </format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47"/>
  <sheetViews>
    <sheetView rightToLeft="1" workbookViewId="0">
      <selection sqref="A1:I1048576"/>
    </sheetView>
  </sheetViews>
  <sheetFormatPr defaultColWidth="11" defaultRowHeight="15" outlineLevelRow="1"/>
  <cols>
    <col min="1" max="1" width="6.5703125" style="422" customWidth="1"/>
    <col min="2" max="2" width="8.7109375" style="423" customWidth="1"/>
    <col min="3" max="3" width="71.85546875" style="424" customWidth="1"/>
    <col min="4" max="4" width="11.140625" style="425" customWidth="1"/>
    <col min="5" max="5" width="11.42578125" style="426" customWidth="1"/>
    <col min="6" max="6" width="11.140625" style="426" customWidth="1"/>
    <col min="7" max="7" width="10.28515625"/>
    <col min="8" max="9" width="16.85546875" bestFit="1" customWidth="1"/>
    <col min="10" max="16" width="11" style="321"/>
    <col min="17" max="17" width="13.140625" style="321" bestFit="1" customWidth="1"/>
    <col min="18" max="18" width="16.7109375" style="321" bestFit="1" customWidth="1"/>
    <col min="19" max="19" width="16" style="321" bestFit="1" customWidth="1"/>
    <col min="20" max="20" width="18.7109375" style="321" bestFit="1" customWidth="1"/>
    <col min="21" max="21" width="13.7109375" style="321" bestFit="1" customWidth="1"/>
    <col min="22" max="256" width="11" style="321"/>
    <col min="257" max="257" width="10.85546875" style="321" bestFit="1" customWidth="1"/>
    <col min="258" max="258" width="10.85546875" style="321" customWidth="1"/>
    <col min="259" max="259" width="24.5703125" style="321" bestFit="1" customWidth="1"/>
    <col min="260" max="260" width="7.85546875" style="321" bestFit="1" customWidth="1"/>
    <col min="261" max="261" width="11.85546875" style="321" bestFit="1" customWidth="1"/>
    <col min="262" max="262" width="14.42578125" style="321" bestFit="1" customWidth="1"/>
    <col min="263" max="263" width="13.7109375" style="321" bestFit="1" customWidth="1"/>
    <col min="264" max="264" width="16.42578125" style="321" bestFit="1" customWidth="1"/>
    <col min="265" max="265" width="11.42578125" style="321" bestFit="1" customWidth="1"/>
    <col min="266" max="512" width="11" style="321"/>
    <col min="513" max="513" width="10.85546875" style="321" bestFit="1" customWidth="1"/>
    <col min="514" max="514" width="10.85546875" style="321" customWidth="1"/>
    <col min="515" max="515" width="24.5703125" style="321" bestFit="1" customWidth="1"/>
    <col min="516" max="516" width="7.85546875" style="321" bestFit="1" customWidth="1"/>
    <col min="517" max="517" width="11.85546875" style="321" bestFit="1" customWidth="1"/>
    <col min="518" max="518" width="14.42578125" style="321" bestFit="1" customWidth="1"/>
    <col min="519" max="519" width="13.7109375" style="321" bestFit="1" customWidth="1"/>
    <col min="520" max="520" width="16.42578125" style="321" bestFit="1" customWidth="1"/>
    <col min="521" max="521" width="11.42578125" style="321" bestFit="1" customWidth="1"/>
    <col min="522" max="768" width="11" style="321"/>
    <col min="769" max="769" width="10.85546875" style="321" bestFit="1" customWidth="1"/>
    <col min="770" max="770" width="10.85546875" style="321" customWidth="1"/>
    <col min="771" max="771" width="24.5703125" style="321" bestFit="1" customWidth="1"/>
    <col min="772" max="772" width="7.85546875" style="321" bestFit="1" customWidth="1"/>
    <col min="773" max="773" width="11.85546875" style="321" bestFit="1" customWidth="1"/>
    <col min="774" max="774" width="14.42578125" style="321" bestFit="1" customWidth="1"/>
    <col min="775" max="775" width="13.7109375" style="321" bestFit="1" customWidth="1"/>
    <col min="776" max="776" width="16.42578125" style="321" bestFit="1" customWidth="1"/>
    <col min="777" max="777" width="11.42578125" style="321" bestFit="1" customWidth="1"/>
    <col min="778" max="1024" width="11" style="321"/>
    <col min="1025" max="1025" width="10.85546875" style="321" bestFit="1" customWidth="1"/>
    <col min="1026" max="1026" width="10.85546875" style="321" customWidth="1"/>
    <col min="1027" max="1027" width="24.5703125" style="321" bestFit="1" customWidth="1"/>
    <col min="1028" max="1028" width="7.85546875" style="321" bestFit="1" customWidth="1"/>
    <col min="1029" max="1029" width="11.85546875" style="321" bestFit="1" customWidth="1"/>
    <col min="1030" max="1030" width="14.42578125" style="321" bestFit="1" customWidth="1"/>
    <col min="1031" max="1031" width="13.7109375" style="321" bestFit="1" customWidth="1"/>
    <col min="1032" max="1032" width="16.42578125" style="321" bestFit="1" customWidth="1"/>
    <col min="1033" max="1033" width="11.42578125" style="321" bestFit="1" customWidth="1"/>
    <col min="1034" max="1280" width="11" style="321"/>
    <col min="1281" max="1281" width="10.85546875" style="321" bestFit="1" customWidth="1"/>
    <col min="1282" max="1282" width="10.85546875" style="321" customWidth="1"/>
    <col min="1283" max="1283" width="24.5703125" style="321" bestFit="1" customWidth="1"/>
    <col min="1284" max="1284" width="7.85546875" style="321" bestFit="1" customWidth="1"/>
    <col min="1285" max="1285" width="11.85546875" style="321" bestFit="1" customWidth="1"/>
    <col min="1286" max="1286" width="14.42578125" style="321" bestFit="1" customWidth="1"/>
    <col min="1287" max="1287" width="13.7109375" style="321" bestFit="1" customWidth="1"/>
    <col min="1288" max="1288" width="16.42578125" style="321" bestFit="1" customWidth="1"/>
    <col min="1289" max="1289" width="11.42578125" style="321" bestFit="1" customWidth="1"/>
    <col min="1290" max="1536" width="11" style="321"/>
    <col min="1537" max="1537" width="10.85546875" style="321" bestFit="1" customWidth="1"/>
    <col min="1538" max="1538" width="10.85546875" style="321" customWidth="1"/>
    <col min="1539" max="1539" width="24.5703125" style="321" bestFit="1" customWidth="1"/>
    <col min="1540" max="1540" width="7.85546875" style="321" bestFit="1" customWidth="1"/>
    <col min="1541" max="1541" width="11.85546875" style="321" bestFit="1" customWidth="1"/>
    <col min="1542" max="1542" width="14.42578125" style="321" bestFit="1" customWidth="1"/>
    <col min="1543" max="1543" width="13.7109375" style="321" bestFit="1" customWidth="1"/>
    <col min="1544" max="1544" width="16.42578125" style="321" bestFit="1" customWidth="1"/>
    <col min="1545" max="1545" width="11.42578125" style="321" bestFit="1" customWidth="1"/>
    <col min="1546" max="1792" width="11" style="321"/>
    <col min="1793" max="1793" width="10.85546875" style="321" bestFit="1" customWidth="1"/>
    <col min="1794" max="1794" width="10.85546875" style="321" customWidth="1"/>
    <col min="1795" max="1795" width="24.5703125" style="321" bestFit="1" customWidth="1"/>
    <col min="1796" max="1796" width="7.85546875" style="321" bestFit="1" customWidth="1"/>
    <col min="1797" max="1797" width="11.85546875" style="321" bestFit="1" customWidth="1"/>
    <col min="1798" max="1798" width="14.42578125" style="321" bestFit="1" customWidth="1"/>
    <col min="1799" max="1799" width="13.7109375" style="321" bestFit="1" customWidth="1"/>
    <col min="1800" max="1800" width="16.42578125" style="321" bestFit="1" customWidth="1"/>
    <col min="1801" max="1801" width="11.42578125" style="321" bestFit="1" customWidth="1"/>
    <col min="1802" max="2048" width="11" style="321"/>
    <col min="2049" max="2049" width="10.85546875" style="321" bestFit="1" customWidth="1"/>
    <col min="2050" max="2050" width="10.85546875" style="321" customWidth="1"/>
    <col min="2051" max="2051" width="24.5703125" style="321" bestFit="1" customWidth="1"/>
    <col min="2052" max="2052" width="7.85546875" style="321" bestFit="1" customWidth="1"/>
    <col min="2053" max="2053" width="11.85546875" style="321" bestFit="1" customWidth="1"/>
    <col min="2054" max="2054" width="14.42578125" style="321" bestFit="1" customWidth="1"/>
    <col min="2055" max="2055" width="13.7109375" style="321" bestFit="1" customWidth="1"/>
    <col min="2056" max="2056" width="16.42578125" style="321" bestFit="1" customWidth="1"/>
    <col min="2057" max="2057" width="11.42578125" style="321" bestFit="1" customWidth="1"/>
    <col min="2058" max="2304" width="11" style="321"/>
    <col min="2305" max="2305" width="10.85546875" style="321" bestFit="1" customWidth="1"/>
    <col min="2306" max="2306" width="10.85546875" style="321" customWidth="1"/>
    <col min="2307" max="2307" width="24.5703125" style="321" bestFit="1" customWidth="1"/>
    <col min="2308" max="2308" width="7.85546875" style="321" bestFit="1" customWidth="1"/>
    <col min="2309" max="2309" width="11.85546875" style="321" bestFit="1" customWidth="1"/>
    <col min="2310" max="2310" width="14.42578125" style="321" bestFit="1" customWidth="1"/>
    <col min="2311" max="2311" width="13.7109375" style="321" bestFit="1" customWidth="1"/>
    <col min="2312" max="2312" width="16.42578125" style="321" bestFit="1" customWidth="1"/>
    <col min="2313" max="2313" width="11.42578125" style="321" bestFit="1" customWidth="1"/>
    <col min="2314" max="2560" width="11" style="321"/>
    <col min="2561" max="2561" width="10.85546875" style="321" bestFit="1" customWidth="1"/>
    <col min="2562" max="2562" width="10.85546875" style="321" customWidth="1"/>
    <col min="2563" max="2563" width="24.5703125" style="321" bestFit="1" customWidth="1"/>
    <col min="2564" max="2564" width="7.85546875" style="321" bestFit="1" customWidth="1"/>
    <col min="2565" max="2565" width="11.85546875" style="321" bestFit="1" customWidth="1"/>
    <col min="2566" max="2566" width="14.42578125" style="321" bestFit="1" customWidth="1"/>
    <col min="2567" max="2567" width="13.7109375" style="321" bestFit="1" customWidth="1"/>
    <col min="2568" max="2568" width="16.42578125" style="321" bestFit="1" customWidth="1"/>
    <col min="2569" max="2569" width="11.42578125" style="321" bestFit="1" customWidth="1"/>
    <col min="2570" max="2816" width="11" style="321"/>
    <col min="2817" max="2817" width="10.85546875" style="321" bestFit="1" customWidth="1"/>
    <col min="2818" max="2818" width="10.85546875" style="321" customWidth="1"/>
    <col min="2819" max="2819" width="24.5703125" style="321" bestFit="1" customWidth="1"/>
    <col min="2820" max="2820" width="7.85546875" style="321" bestFit="1" customWidth="1"/>
    <col min="2821" max="2821" width="11.85546875" style="321" bestFit="1" customWidth="1"/>
    <col min="2822" max="2822" width="14.42578125" style="321" bestFit="1" customWidth="1"/>
    <col min="2823" max="2823" width="13.7109375" style="321" bestFit="1" customWidth="1"/>
    <col min="2824" max="2824" width="16.42578125" style="321" bestFit="1" customWidth="1"/>
    <col min="2825" max="2825" width="11.42578125" style="321" bestFit="1" customWidth="1"/>
    <col min="2826" max="3072" width="11" style="321"/>
    <col min="3073" max="3073" width="10.85546875" style="321" bestFit="1" customWidth="1"/>
    <col min="3074" max="3074" width="10.85546875" style="321" customWidth="1"/>
    <col min="3075" max="3075" width="24.5703125" style="321" bestFit="1" customWidth="1"/>
    <col min="3076" max="3076" width="7.85546875" style="321" bestFit="1" customWidth="1"/>
    <col min="3077" max="3077" width="11.85546875" style="321" bestFit="1" customWidth="1"/>
    <col min="3078" max="3078" width="14.42578125" style="321" bestFit="1" customWidth="1"/>
    <col min="3079" max="3079" width="13.7109375" style="321" bestFit="1" customWidth="1"/>
    <col min="3080" max="3080" width="16.42578125" style="321" bestFit="1" customWidth="1"/>
    <col min="3081" max="3081" width="11.42578125" style="321" bestFit="1" customWidth="1"/>
    <col min="3082" max="3328" width="11" style="321"/>
    <col min="3329" max="3329" width="10.85546875" style="321" bestFit="1" customWidth="1"/>
    <col min="3330" max="3330" width="10.85546875" style="321" customWidth="1"/>
    <col min="3331" max="3331" width="24.5703125" style="321" bestFit="1" customWidth="1"/>
    <col min="3332" max="3332" width="7.85546875" style="321" bestFit="1" customWidth="1"/>
    <col min="3333" max="3333" width="11.85546875" style="321" bestFit="1" customWidth="1"/>
    <col min="3334" max="3334" width="14.42578125" style="321" bestFit="1" customWidth="1"/>
    <col min="3335" max="3335" width="13.7109375" style="321" bestFit="1" customWidth="1"/>
    <col min="3336" max="3336" width="16.42578125" style="321" bestFit="1" customWidth="1"/>
    <col min="3337" max="3337" width="11.42578125" style="321" bestFit="1" customWidth="1"/>
    <col min="3338" max="3584" width="11" style="321"/>
    <col min="3585" max="3585" width="10.85546875" style="321" bestFit="1" customWidth="1"/>
    <col min="3586" max="3586" width="10.85546875" style="321" customWidth="1"/>
    <col min="3587" max="3587" width="24.5703125" style="321" bestFit="1" customWidth="1"/>
    <col min="3588" max="3588" width="7.85546875" style="321" bestFit="1" customWidth="1"/>
    <col min="3589" max="3589" width="11.85546875" style="321" bestFit="1" customWidth="1"/>
    <col min="3590" max="3590" width="14.42578125" style="321" bestFit="1" customWidth="1"/>
    <col min="3591" max="3591" width="13.7109375" style="321" bestFit="1" customWidth="1"/>
    <col min="3592" max="3592" width="16.42578125" style="321" bestFit="1" customWidth="1"/>
    <col min="3593" max="3593" width="11.42578125" style="321" bestFit="1" customWidth="1"/>
    <col min="3594" max="3840" width="11" style="321"/>
    <col min="3841" max="3841" width="10.85546875" style="321" bestFit="1" customWidth="1"/>
    <col min="3842" max="3842" width="10.85546875" style="321" customWidth="1"/>
    <col min="3843" max="3843" width="24.5703125" style="321" bestFit="1" customWidth="1"/>
    <col min="3844" max="3844" width="7.85546875" style="321" bestFit="1" customWidth="1"/>
    <col min="3845" max="3845" width="11.85546875" style="321" bestFit="1" customWidth="1"/>
    <col min="3846" max="3846" width="14.42578125" style="321" bestFit="1" customWidth="1"/>
    <col min="3847" max="3847" width="13.7109375" style="321" bestFit="1" customWidth="1"/>
    <col min="3848" max="3848" width="16.42578125" style="321" bestFit="1" customWidth="1"/>
    <col min="3849" max="3849" width="11.42578125" style="321" bestFit="1" customWidth="1"/>
    <col min="3850" max="4096" width="11" style="321"/>
    <col min="4097" max="4097" width="10.85546875" style="321" bestFit="1" customWidth="1"/>
    <col min="4098" max="4098" width="10.85546875" style="321" customWidth="1"/>
    <col min="4099" max="4099" width="24.5703125" style="321" bestFit="1" customWidth="1"/>
    <col min="4100" max="4100" width="7.85546875" style="321" bestFit="1" customWidth="1"/>
    <col min="4101" max="4101" width="11.85546875" style="321" bestFit="1" customWidth="1"/>
    <col min="4102" max="4102" width="14.42578125" style="321" bestFit="1" customWidth="1"/>
    <col min="4103" max="4103" width="13.7109375" style="321" bestFit="1" customWidth="1"/>
    <col min="4104" max="4104" width="16.42578125" style="321" bestFit="1" customWidth="1"/>
    <col min="4105" max="4105" width="11.42578125" style="321" bestFit="1" customWidth="1"/>
    <col min="4106" max="4352" width="11" style="321"/>
    <col min="4353" max="4353" width="10.85546875" style="321" bestFit="1" customWidth="1"/>
    <col min="4354" max="4354" width="10.85546875" style="321" customWidth="1"/>
    <col min="4355" max="4355" width="24.5703125" style="321" bestFit="1" customWidth="1"/>
    <col min="4356" max="4356" width="7.85546875" style="321" bestFit="1" customWidth="1"/>
    <col min="4357" max="4357" width="11.85546875" style="321" bestFit="1" customWidth="1"/>
    <col min="4358" max="4358" width="14.42578125" style="321" bestFit="1" customWidth="1"/>
    <col min="4359" max="4359" width="13.7109375" style="321" bestFit="1" customWidth="1"/>
    <col min="4360" max="4360" width="16.42578125" style="321" bestFit="1" customWidth="1"/>
    <col min="4361" max="4361" width="11.42578125" style="321" bestFit="1" customWidth="1"/>
    <col min="4362" max="4608" width="11" style="321"/>
    <col min="4609" max="4609" width="10.85546875" style="321" bestFit="1" customWidth="1"/>
    <col min="4610" max="4610" width="10.85546875" style="321" customWidth="1"/>
    <col min="4611" max="4611" width="24.5703125" style="321" bestFit="1" customWidth="1"/>
    <col min="4612" max="4612" width="7.85546875" style="321" bestFit="1" customWidth="1"/>
    <col min="4613" max="4613" width="11.85546875" style="321" bestFit="1" customWidth="1"/>
    <col min="4614" max="4614" width="14.42578125" style="321" bestFit="1" customWidth="1"/>
    <col min="4615" max="4615" width="13.7109375" style="321" bestFit="1" customWidth="1"/>
    <col min="4616" max="4616" width="16.42578125" style="321" bestFit="1" customWidth="1"/>
    <col min="4617" max="4617" width="11.42578125" style="321" bestFit="1" customWidth="1"/>
    <col min="4618" max="4864" width="11" style="321"/>
    <col min="4865" max="4865" width="10.85546875" style="321" bestFit="1" customWidth="1"/>
    <col min="4866" max="4866" width="10.85546875" style="321" customWidth="1"/>
    <col min="4867" max="4867" width="24.5703125" style="321" bestFit="1" customWidth="1"/>
    <col min="4868" max="4868" width="7.85546875" style="321" bestFit="1" customWidth="1"/>
    <col min="4869" max="4869" width="11.85546875" style="321" bestFit="1" customWidth="1"/>
    <col min="4870" max="4870" width="14.42578125" style="321" bestFit="1" customWidth="1"/>
    <col min="4871" max="4871" width="13.7109375" style="321" bestFit="1" customWidth="1"/>
    <col min="4872" max="4872" width="16.42578125" style="321" bestFit="1" customWidth="1"/>
    <col min="4873" max="4873" width="11.42578125" style="321" bestFit="1" customWidth="1"/>
    <col min="4874" max="5120" width="11" style="321"/>
    <col min="5121" max="5121" width="10.85546875" style="321" bestFit="1" customWidth="1"/>
    <col min="5122" max="5122" width="10.85546875" style="321" customWidth="1"/>
    <col min="5123" max="5123" width="24.5703125" style="321" bestFit="1" customWidth="1"/>
    <col min="5124" max="5124" width="7.85546875" style="321" bestFit="1" customWidth="1"/>
    <col min="5125" max="5125" width="11.85546875" style="321" bestFit="1" customWidth="1"/>
    <col min="5126" max="5126" width="14.42578125" style="321" bestFit="1" customWidth="1"/>
    <col min="5127" max="5127" width="13.7109375" style="321" bestFit="1" customWidth="1"/>
    <col min="5128" max="5128" width="16.42578125" style="321" bestFit="1" customWidth="1"/>
    <col min="5129" max="5129" width="11.42578125" style="321" bestFit="1" customWidth="1"/>
    <col min="5130" max="5376" width="11" style="321"/>
    <col min="5377" max="5377" width="10.85546875" style="321" bestFit="1" customWidth="1"/>
    <col min="5378" max="5378" width="10.85546875" style="321" customWidth="1"/>
    <col min="5379" max="5379" width="24.5703125" style="321" bestFit="1" customWidth="1"/>
    <col min="5380" max="5380" width="7.85546875" style="321" bestFit="1" customWidth="1"/>
    <col min="5381" max="5381" width="11.85546875" style="321" bestFit="1" customWidth="1"/>
    <col min="5382" max="5382" width="14.42578125" style="321" bestFit="1" customWidth="1"/>
    <col min="5383" max="5383" width="13.7109375" style="321" bestFit="1" customWidth="1"/>
    <col min="5384" max="5384" width="16.42578125" style="321" bestFit="1" customWidth="1"/>
    <col min="5385" max="5385" width="11.42578125" style="321" bestFit="1" customWidth="1"/>
    <col min="5386" max="5632" width="11" style="321"/>
    <col min="5633" max="5633" width="10.85546875" style="321" bestFit="1" customWidth="1"/>
    <col min="5634" max="5634" width="10.85546875" style="321" customWidth="1"/>
    <col min="5635" max="5635" width="24.5703125" style="321" bestFit="1" customWidth="1"/>
    <col min="5636" max="5636" width="7.85546875" style="321" bestFit="1" customWidth="1"/>
    <col min="5637" max="5637" width="11.85546875" style="321" bestFit="1" customWidth="1"/>
    <col min="5638" max="5638" width="14.42578125" style="321" bestFit="1" customWidth="1"/>
    <col min="5639" max="5639" width="13.7109375" style="321" bestFit="1" customWidth="1"/>
    <col min="5640" max="5640" width="16.42578125" style="321" bestFit="1" customWidth="1"/>
    <col min="5641" max="5641" width="11.42578125" style="321" bestFit="1" customWidth="1"/>
    <col min="5642" max="5888" width="11" style="321"/>
    <col min="5889" max="5889" width="10.85546875" style="321" bestFit="1" customWidth="1"/>
    <col min="5890" max="5890" width="10.85546875" style="321" customWidth="1"/>
    <col min="5891" max="5891" width="24.5703125" style="321" bestFit="1" customWidth="1"/>
    <col min="5892" max="5892" width="7.85546875" style="321" bestFit="1" customWidth="1"/>
    <col min="5893" max="5893" width="11.85546875" style="321" bestFit="1" customWidth="1"/>
    <col min="5894" max="5894" width="14.42578125" style="321" bestFit="1" customWidth="1"/>
    <col min="5895" max="5895" width="13.7109375" style="321" bestFit="1" customWidth="1"/>
    <col min="5896" max="5896" width="16.42578125" style="321" bestFit="1" customWidth="1"/>
    <col min="5897" max="5897" width="11.42578125" style="321" bestFit="1" customWidth="1"/>
    <col min="5898" max="6144" width="11" style="321"/>
    <col min="6145" max="6145" width="10.85546875" style="321" bestFit="1" customWidth="1"/>
    <col min="6146" max="6146" width="10.85546875" style="321" customWidth="1"/>
    <col min="6147" max="6147" width="24.5703125" style="321" bestFit="1" customWidth="1"/>
    <col min="6148" max="6148" width="7.85546875" style="321" bestFit="1" customWidth="1"/>
    <col min="6149" max="6149" width="11.85546875" style="321" bestFit="1" customWidth="1"/>
    <col min="6150" max="6150" width="14.42578125" style="321" bestFit="1" customWidth="1"/>
    <col min="6151" max="6151" width="13.7109375" style="321" bestFit="1" customWidth="1"/>
    <col min="6152" max="6152" width="16.42578125" style="321" bestFit="1" customWidth="1"/>
    <col min="6153" max="6153" width="11.42578125" style="321" bestFit="1" customWidth="1"/>
    <col min="6154" max="6400" width="11" style="321"/>
    <col min="6401" max="6401" width="10.85546875" style="321" bestFit="1" customWidth="1"/>
    <col min="6402" max="6402" width="10.85546875" style="321" customWidth="1"/>
    <col min="6403" max="6403" width="24.5703125" style="321" bestFit="1" customWidth="1"/>
    <col min="6404" max="6404" width="7.85546875" style="321" bestFit="1" customWidth="1"/>
    <col min="6405" max="6405" width="11.85546875" style="321" bestFit="1" customWidth="1"/>
    <col min="6406" max="6406" width="14.42578125" style="321" bestFit="1" customWidth="1"/>
    <col min="6407" max="6407" width="13.7109375" style="321" bestFit="1" customWidth="1"/>
    <col min="6408" max="6408" width="16.42578125" style="321" bestFit="1" customWidth="1"/>
    <col min="6409" max="6409" width="11.42578125" style="321" bestFit="1" customWidth="1"/>
    <col min="6410" max="6656" width="11" style="321"/>
    <col min="6657" max="6657" width="10.85546875" style="321" bestFit="1" customWidth="1"/>
    <col min="6658" max="6658" width="10.85546875" style="321" customWidth="1"/>
    <col min="6659" max="6659" width="24.5703125" style="321" bestFit="1" customWidth="1"/>
    <col min="6660" max="6660" width="7.85546875" style="321" bestFit="1" customWidth="1"/>
    <col min="6661" max="6661" width="11.85546875" style="321" bestFit="1" customWidth="1"/>
    <col min="6662" max="6662" width="14.42578125" style="321" bestFit="1" customWidth="1"/>
    <col min="6663" max="6663" width="13.7109375" style="321" bestFit="1" customWidth="1"/>
    <col min="6664" max="6664" width="16.42578125" style="321" bestFit="1" customWidth="1"/>
    <col min="6665" max="6665" width="11.42578125" style="321" bestFit="1" customWidth="1"/>
    <col min="6666" max="6912" width="11" style="321"/>
    <col min="6913" max="6913" width="10.85546875" style="321" bestFit="1" customWidth="1"/>
    <col min="6914" max="6914" width="10.85546875" style="321" customWidth="1"/>
    <col min="6915" max="6915" width="24.5703125" style="321" bestFit="1" customWidth="1"/>
    <col min="6916" max="6916" width="7.85546875" style="321" bestFit="1" customWidth="1"/>
    <col min="6917" max="6917" width="11.85546875" style="321" bestFit="1" customWidth="1"/>
    <col min="6918" max="6918" width="14.42578125" style="321" bestFit="1" customWidth="1"/>
    <col min="6919" max="6919" width="13.7109375" style="321" bestFit="1" customWidth="1"/>
    <col min="6920" max="6920" width="16.42578125" style="321" bestFit="1" customWidth="1"/>
    <col min="6921" max="6921" width="11.42578125" style="321" bestFit="1" customWidth="1"/>
    <col min="6922" max="7168" width="11" style="321"/>
    <col min="7169" max="7169" width="10.85546875" style="321" bestFit="1" customWidth="1"/>
    <col min="7170" max="7170" width="10.85546875" style="321" customWidth="1"/>
    <col min="7171" max="7171" width="24.5703125" style="321" bestFit="1" customWidth="1"/>
    <col min="7172" max="7172" width="7.85546875" style="321" bestFit="1" customWidth="1"/>
    <col min="7173" max="7173" width="11.85546875" style="321" bestFit="1" customWidth="1"/>
    <col min="7174" max="7174" width="14.42578125" style="321" bestFit="1" customWidth="1"/>
    <col min="7175" max="7175" width="13.7109375" style="321" bestFit="1" customWidth="1"/>
    <col min="7176" max="7176" width="16.42578125" style="321" bestFit="1" customWidth="1"/>
    <col min="7177" max="7177" width="11.42578125" style="321" bestFit="1" customWidth="1"/>
    <col min="7178" max="7424" width="11" style="321"/>
    <col min="7425" max="7425" width="10.85546875" style="321" bestFit="1" customWidth="1"/>
    <col min="7426" max="7426" width="10.85546875" style="321" customWidth="1"/>
    <col min="7427" max="7427" width="24.5703125" style="321" bestFit="1" customWidth="1"/>
    <col min="7428" max="7428" width="7.85546875" style="321" bestFit="1" customWidth="1"/>
    <col min="7429" max="7429" width="11.85546875" style="321" bestFit="1" customWidth="1"/>
    <col min="7430" max="7430" width="14.42578125" style="321" bestFit="1" customWidth="1"/>
    <col min="7431" max="7431" width="13.7109375" style="321" bestFit="1" customWidth="1"/>
    <col min="7432" max="7432" width="16.42578125" style="321" bestFit="1" customWidth="1"/>
    <col min="7433" max="7433" width="11.42578125" style="321" bestFit="1" customWidth="1"/>
    <col min="7434" max="7680" width="11" style="321"/>
    <col min="7681" max="7681" width="10.85546875" style="321" bestFit="1" customWidth="1"/>
    <col min="7682" max="7682" width="10.85546875" style="321" customWidth="1"/>
    <col min="7683" max="7683" width="24.5703125" style="321" bestFit="1" customWidth="1"/>
    <col min="7684" max="7684" width="7.85546875" style="321" bestFit="1" customWidth="1"/>
    <col min="7685" max="7685" width="11.85546875" style="321" bestFit="1" customWidth="1"/>
    <col min="7686" max="7686" width="14.42578125" style="321" bestFit="1" customWidth="1"/>
    <col min="7687" max="7687" width="13.7109375" style="321" bestFit="1" customWidth="1"/>
    <col min="7688" max="7688" width="16.42578125" style="321" bestFit="1" customWidth="1"/>
    <col min="7689" max="7689" width="11.42578125" style="321" bestFit="1" customWidth="1"/>
    <col min="7690" max="7936" width="11" style="321"/>
    <col min="7937" max="7937" width="10.85546875" style="321" bestFit="1" customWidth="1"/>
    <col min="7938" max="7938" width="10.85546875" style="321" customWidth="1"/>
    <col min="7939" max="7939" width="24.5703125" style="321" bestFit="1" customWidth="1"/>
    <col min="7940" max="7940" width="7.85546875" style="321" bestFit="1" customWidth="1"/>
    <col min="7941" max="7941" width="11.85546875" style="321" bestFit="1" customWidth="1"/>
    <col min="7942" max="7942" width="14.42578125" style="321" bestFit="1" customWidth="1"/>
    <col min="7943" max="7943" width="13.7109375" style="321" bestFit="1" customWidth="1"/>
    <col min="7944" max="7944" width="16.42578125" style="321" bestFit="1" customWidth="1"/>
    <col min="7945" max="7945" width="11.42578125" style="321" bestFit="1" customWidth="1"/>
    <col min="7946" max="8192" width="11" style="321"/>
    <col min="8193" max="8193" width="10.85546875" style="321" bestFit="1" customWidth="1"/>
    <col min="8194" max="8194" width="10.85546875" style="321" customWidth="1"/>
    <col min="8195" max="8195" width="24.5703125" style="321" bestFit="1" customWidth="1"/>
    <col min="8196" max="8196" width="7.85546875" style="321" bestFit="1" customWidth="1"/>
    <col min="8197" max="8197" width="11.85546875" style="321" bestFit="1" customWidth="1"/>
    <col min="8198" max="8198" width="14.42578125" style="321" bestFit="1" customWidth="1"/>
    <col min="8199" max="8199" width="13.7109375" style="321" bestFit="1" customWidth="1"/>
    <col min="8200" max="8200" width="16.42578125" style="321" bestFit="1" customWidth="1"/>
    <col min="8201" max="8201" width="11.42578125" style="321" bestFit="1" customWidth="1"/>
    <col min="8202" max="8448" width="11" style="321"/>
    <col min="8449" max="8449" width="10.85546875" style="321" bestFit="1" customWidth="1"/>
    <col min="8450" max="8450" width="10.85546875" style="321" customWidth="1"/>
    <col min="8451" max="8451" width="24.5703125" style="321" bestFit="1" customWidth="1"/>
    <col min="8452" max="8452" width="7.85546875" style="321" bestFit="1" customWidth="1"/>
    <col min="8453" max="8453" width="11.85546875" style="321" bestFit="1" customWidth="1"/>
    <col min="8454" max="8454" width="14.42578125" style="321" bestFit="1" customWidth="1"/>
    <col min="8455" max="8455" width="13.7109375" style="321" bestFit="1" customWidth="1"/>
    <col min="8456" max="8456" width="16.42578125" style="321" bestFit="1" customWidth="1"/>
    <col min="8457" max="8457" width="11.42578125" style="321" bestFit="1" customWidth="1"/>
    <col min="8458" max="8704" width="11" style="321"/>
    <col min="8705" max="8705" width="10.85546875" style="321" bestFit="1" customWidth="1"/>
    <col min="8706" max="8706" width="10.85546875" style="321" customWidth="1"/>
    <col min="8707" max="8707" width="24.5703125" style="321" bestFit="1" customWidth="1"/>
    <col min="8708" max="8708" width="7.85546875" style="321" bestFit="1" customWidth="1"/>
    <col min="8709" max="8709" width="11.85546875" style="321" bestFit="1" customWidth="1"/>
    <col min="8710" max="8710" width="14.42578125" style="321" bestFit="1" customWidth="1"/>
    <col min="8711" max="8711" width="13.7109375" style="321" bestFit="1" customWidth="1"/>
    <col min="8712" max="8712" width="16.42578125" style="321" bestFit="1" customWidth="1"/>
    <col min="8713" max="8713" width="11.42578125" style="321" bestFit="1" customWidth="1"/>
    <col min="8714" max="8960" width="11" style="321"/>
    <col min="8961" max="8961" width="10.85546875" style="321" bestFit="1" customWidth="1"/>
    <col min="8962" max="8962" width="10.85546875" style="321" customWidth="1"/>
    <col min="8963" max="8963" width="24.5703125" style="321" bestFit="1" customWidth="1"/>
    <col min="8964" max="8964" width="7.85546875" style="321" bestFit="1" customWidth="1"/>
    <col min="8965" max="8965" width="11.85546875" style="321" bestFit="1" customWidth="1"/>
    <col min="8966" max="8966" width="14.42578125" style="321" bestFit="1" customWidth="1"/>
    <col min="8967" max="8967" width="13.7109375" style="321" bestFit="1" customWidth="1"/>
    <col min="8968" max="8968" width="16.42578125" style="321" bestFit="1" customWidth="1"/>
    <col min="8969" max="8969" width="11.42578125" style="321" bestFit="1" customWidth="1"/>
    <col min="8970" max="9216" width="11" style="321"/>
    <col min="9217" max="9217" width="10.85546875" style="321" bestFit="1" customWidth="1"/>
    <col min="9218" max="9218" width="10.85546875" style="321" customWidth="1"/>
    <col min="9219" max="9219" width="24.5703125" style="321" bestFit="1" customWidth="1"/>
    <col min="9220" max="9220" width="7.85546875" style="321" bestFit="1" customWidth="1"/>
    <col min="9221" max="9221" width="11.85546875" style="321" bestFit="1" customWidth="1"/>
    <col min="9222" max="9222" width="14.42578125" style="321" bestFit="1" customWidth="1"/>
    <col min="9223" max="9223" width="13.7109375" style="321" bestFit="1" customWidth="1"/>
    <col min="9224" max="9224" width="16.42578125" style="321" bestFit="1" customWidth="1"/>
    <col min="9225" max="9225" width="11.42578125" style="321" bestFit="1" customWidth="1"/>
    <col min="9226" max="9472" width="11" style="321"/>
    <col min="9473" max="9473" width="10.85546875" style="321" bestFit="1" customWidth="1"/>
    <col min="9474" max="9474" width="10.85546875" style="321" customWidth="1"/>
    <col min="9475" max="9475" width="24.5703125" style="321" bestFit="1" customWidth="1"/>
    <col min="9476" max="9476" width="7.85546875" style="321" bestFit="1" customWidth="1"/>
    <col min="9477" max="9477" width="11.85546875" style="321" bestFit="1" customWidth="1"/>
    <col min="9478" max="9478" width="14.42578125" style="321" bestFit="1" customWidth="1"/>
    <col min="9479" max="9479" width="13.7109375" style="321" bestFit="1" customWidth="1"/>
    <col min="9480" max="9480" width="16.42578125" style="321" bestFit="1" customWidth="1"/>
    <col min="9481" max="9481" width="11.42578125" style="321" bestFit="1" customWidth="1"/>
    <col min="9482" max="9728" width="11" style="321"/>
    <col min="9729" max="9729" width="10.85546875" style="321" bestFit="1" customWidth="1"/>
    <col min="9730" max="9730" width="10.85546875" style="321" customWidth="1"/>
    <col min="9731" max="9731" width="24.5703125" style="321" bestFit="1" customWidth="1"/>
    <col min="9732" max="9732" width="7.85546875" style="321" bestFit="1" customWidth="1"/>
    <col min="9733" max="9733" width="11.85546875" style="321" bestFit="1" customWidth="1"/>
    <col min="9734" max="9734" width="14.42578125" style="321" bestFit="1" customWidth="1"/>
    <col min="9735" max="9735" width="13.7109375" style="321" bestFit="1" customWidth="1"/>
    <col min="9736" max="9736" width="16.42578125" style="321" bestFit="1" customWidth="1"/>
    <col min="9737" max="9737" width="11.42578125" style="321" bestFit="1" customWidth="1"/>
    <col min="9738" max="9984" width="11" style="321"/>
    <col min="9985" max="9985" width="10.85546875" style="321" bestFit="1" customWidth="1"/>
    <col min="9986" max="9986" width="10.85546875" style="321" customWidth="1"/>
    <col min="9987" max="9987" width="24.5703125" style="321" bestFit="1" customWidth="1"/>
    <col min="9988" max="9988" width="7.85546875" style="321" bestFit="1" customWidth="1"/>
    <col min="9989" max="9989" width="11.85546875" style="321" bestFit="1" customWidth="1"/>
    <col min="9990" max="9990" width="14.42578125" style="321" bestFit="1" customWidth="1"/>
    <col min="9991" max="9991" width="13.7109375" style="321" bestFit="1" customWidth="1"/>
    <col min="9992" max="9992" width="16.42578125" style="321" bestFit="1" customWidth="1"/>
    <col min="9993" max="9993" width="11.42578125" style="321" bestFit="1" customWidth="1"/>
    <col min="9994" max="10240" width="11" style="321"/>
    <col min="10241" max="10241" width="10.85546875" style="321" bestFit="1" customWidth="1"/>
    <col min="10242" max="10242" width="10.85546875" style="321" customWidth="1"/>
    <col min="10243" max="10243" width="24.5703125" style="321" bestFit="1" customWidth="1"/>
    <col min="10244" max="10244" width="7.85546875" style="321" bestFit="1" customWidth="1"/>
    <col min="10245" max="10245" width="11.85546875" style="321" bestFit="1" customWidth="1"/>
    <col min="10246" max="10246" width="14.42578125" style="321" bestFit="1" customWidth="1"/>
    <col min="10247" max="10247" width="13.7109375" style="321" bestFit="1" customWidth="1"/>
    <col min="10248" max="10248" width="16.42578125" style="321" bestFit="1" customWidth="1"/>
    <col min="10249" max="10249" width="11.42578125" style="321" bestFit="1" customWidth="1"/>
    <col min="10250" max="10496" width="11" style="321"/>
    <col min="10497" max="10497" width="10.85546875" style="321" bestFit="1" customWidth="1"/>
    <col min="10498" max="10498" width="10.85546875" style="321" customWidth="1"/>
    <col min="10499" max="10499" width="24.5703125" style="321" bestFit="1" customWidth="1"/>
    <col min="10500" max="10500" width="7.85546875" style="321" bestFit="1" customWidth="1"/>
    <col min="10501" max="10501" width="11.85546875" style="321" bestFit="1" customWidth="1"/>
    <col min="10502" max="10502" width="14.42578125" style="321" bestFit="1" customWidth="1"/>
    <col min="10503" max="10503" width="13.7109375" style="321" bestFit="1" customWidth="1"/>
    <col min="10504" max="10504" width="16.42578125" style="321" bestFit="1" customWidth="1"/>
    <col min="10505" max="10505" width="11.42578125" style="321" bestFit="1" customWidth="1"/>
    <col min="10506" max="10752" width="11" style="321"/>
    <col min="10753" max="10753" width="10.85546875" style="321" bestFit="1" customWidth="1"/>
    <col min="10754" max="10754" width="10.85546875" style="321" customWidth="1"/>
    <col min="10755" max="10755" width="24.5703125" style="321" bestFit="1" customWidth="1"/>
    <col min="10756" max="10756" width="7.85546875" style="321" bestFit="1" customWidth="1"/>
    <col min="10757" max="10757" width="11.85546875" style="321" bestFit="1" customWidth="1"/>
    <col min="10758" max="10758" width="14.42578125" style="321" bestFit="1" customWidth="1"/>
    <col min="10759" max="10759" width="13.7109375" style="321" bestFit="1" customWidth="1"/>
    <col min="10760" max="10760" width="16.42578125" style="321" bestFit="1" customWidth="1"/>
    <col min="10761" max="10761" width="11.42578125" style="321" bestFit="1" customWidth="1"/>
    <col min="10762" max="11008" width="11" style="321"/>
    <col min="11009" max="11009" width="10.85546875" style="321" bestFit="1" customWidth="1"/>
    <col min="11010" max="11010" width="10.85546875" style="321" customWidth="1"/>
    <col min="11011" max="11011" width="24.5703125" style="321" bestFit="1" customWidth="1"/>
    <col min="11012" max="11012" width="7.85546875" style="321" bestFit="1" customWidth="1"/>
    <col min="11013" max="11013" width="11.85546875" style="321" bestFit="1" customWidth="1"/>
    <col min="11014" max="11014" width="14.42578125" style="321" bestFit="1" customWidth="1"/>
    <col min="11015" max="11015" width="13.7109375" style="321" bestFit="1" customWidth="1"/>
    <col min="11016" max="11016" width="16.42578125" style="321" bestFit="1" customWidth="1"/>
    <col min="11017" max="11017" width="11.42578125" style="321" bestFit="1" customWidth="1"/>
    <col min="11018" max="11264" width="11" style="321"/>
    <col min="11265" max="11265" width="10.85546875" style="321" bestFit="1" customWidth="1"/>
    <col min="11266" max="11266" width="10.85546875" style="321" customWidth="1"/>
    <col min="11267" max="11267" width="24.5703125" style="321" bestFit="1" customWidth="1"/>
    <col min="11268" max="11268" width="7.85546875" style="321" bestFit="1" customWidth="1"/>
    <col min="11269" max="11269" width="11.85546875" style="321" bestFit="1" customWidth="1"/>
    <col min="11270" max="11270" width="14.42578125" style="321" bestFit="1" customWidth="1"/>
    <col min="11271" max="11271" width="13.7109375" style="321" bestFit="1" customWidth="1"/>
    <col min="11272" max="11272" width="16.42578125" style="321" bestFit="1" customWidth="1"/>
    <col min="11273" max="11273" width="11.42578125" style="321" bestFit="1" customWidth="1"/>
    <col min="11274" max="11520" width="11" style="321"/>
    <col min="11521" max="11521" width="10.85546875" style="321" bestFit="1" customWidth="1"/>
    <col min="11522" max="11522" width="10.85546875" style="321" customWidth="1"/>
    <col min="11523" max="11523" width="24.5703125" style="321" bestFit="1" customWidth="1"/>
    <col min="11524" max="11524" width="7.85546875" style="321" bestFit="1" customWidth="1"/>
    <col min="11525" max="11525" width="11.85546875" style="321" bestFit="1" customWidth="1"/>
    <col min="11526" max="11526" width="14.42578125" style="321" bestFit="1" customWidth="1"/>
    <col min="11527" max="11527" width="13.7109375" style="321" bestFit="1" customWidth="1"/>
    <col min="11528" max="11528" width="16.42578125" style="321" bestFit="1" customWidth="1"/>
    <col min="11529" max="11529" width="11.42578125" style="321" bestFit="1" customWidth="1"/>
    <col min="11530" max="11776" width="11" style="321"/>
    <col min="11777" max="11777" width="10.85546875" style="321" bestFit="1" customWidth="1"/>
    <col min="11778" max="11778" width="10.85546875" style="321" customWidth="1"/>
    <col min="11779" max="11779" width="24.5703125" style="321" bestFit="1" customWidth="1"/>
    <col min="11780" max="11780" width="7.85546875" style="321" bestFit="1" customWidth="1"/>
    <col min="11781" max="11781" width="11.85546875" style="321" bestFit="1" customWidth="1"/>
    <col min="11782" max="11782" width="14.42578125" style="321" bestFit="1" customWidth="1"/>
    <col min="11783" max="11783" width="13.7109375" style="321" bestFit="1" customWidth="1"/>
    <col min="11784" max="11784" width="16.42578125" style="321" bestFit="1" customWidth="1"/>
    <col min="11785" max="11785" width="11.42578125" style="321" bestFit="1" customWidth="1"/>
    <col min="11786" max="12032" width="11" style="321"/>
    <col min="12033" max="12033" width="10.85546875" style="321" bestFit="1" customWidth="1"/>
    <col min="12034" max="12034" width="10.85546875" style="321" customWidth="1"/>
    <col min="12035" max="12035" width="24.5703125" style="321" bestFit="1" customWidth="1"/>
    <col min="12036" max="12036" width="7.85546875" style="321" bestFit="1" customWidth="1"/>
    <col min="12037" max="12037" width="11.85546875" style="321" bestFit="1" customWidth="1"/>
    <col min="12038" max="12038" width="14.42578125" style="321" bestFit="1" customWidth="1"/>
    <col min="12039" max="12039" width="13.7109375" style="321" bestFit="1" customWidth="1"/>
    <col min="12040" max="12040" width="16.42578125" style="321" bestFit="1" customWidth="1"/>
    <col min="12041" max="12041" width="11.42578125" style="321" bestFit="1" customWidth="1"/>
    <col min="12042" max="12288" width="11" style="321"/>
    <col min="12289" max="12289" width="10.85546875" style="321" bestFit="1" customWidth="1"/>
    <col min="12290" max="12290" width="10.85546875" style="321" customWidth="1"/>
    <col min="12291" max="12291" width="24.5703125" style="321" bestFit="1" customWidth="1"/>
    <col min="12292" max="12292" width="7.85546875" style="321" bestFit="1" customWidth="1"/>
    <col min="12293" max="12293" width="11.85546875" style="321" bestFit="1" customWidth="1"/>
    <col min="12294" max="12294" width="14.42578125" style="321" bestFit="1" customWidth="1"/>
    <col min="12295" max="12295" width="13.7109375" style="321" bestFit="1" customWidth="1"/>
    <col min="12296" max="12296" width="16.42578125" style="321" bestFit="1" customWidth="1"/>
    <col min="12297" max="12297" width="11.42578125" style="321" bestFit="1" customWidth="1"/>
    <col min="12298" max="12544" width="11" style="321"/>
    <col min="12545" max="12545" width="10.85546875" style="321" bestFit="1" customWidth="1"/>
    <col min="12546" max="12546" width="10.85546875" style="321" customWidth="1"/>
    <col min="12547" max="12547" width="24.5703125" style="321" bestFit="1" customWidth="1"/>
    <col min="12548" max="12548" width="7.85546875" style="321" bestFit="1" customWidth="1"/>
    <col min="12549" max="12549" width="11.85546875" style="321" bestFit="1" customWidth="1"/>
    <col min="12550" max="12550" width="14.42578125" style="321" bestFit="1" customWidth="1"/>
    <col min="12551" max="12551" width="13.7109375" style="321" bestFit="1" customWidth="1"/>
    <col min="12552" max="12552" width="16.42578125" style="321" bestFit="1" customWidth="1"/>
    <col min="12553" max="12553" width="11.42578125" style="321" bestFit="1" customWidth="1"/>
    <col min="12554" max="12800" width="11" style="321"/>
    <col min="12801" max="12801" width="10.85546875" style="321" bestFit="1" customWidth="1"/>
    <col min="12802" max="12802" width="10.85546875" style="321" customWidth="1"/>
    <col min="12803" max="12803" width="24.5703125" style="321" bestFit="1" customWidth="1"/>
    <col min="12804" max="12804" width="7.85546875" style="321" bestFit="1" customWidth="1"/>
    <col min="12805" max="12805" width="11.85546875" style="321" bestFit="1" customWidth="1"/>
    <col min="12806" max="12806" width="14.42578125" style="321" bestFit="1" customWidth="1"/>
    <col min="12807" max="12807" width="13.7109375" style="321" bestFit="1" customWidth="1"/>
    <col min="12808" max="12808" width="16.42578125" style="321" bestFit="1" customWidth="1"/>
    <col min="12809" max="12809" width="11.42578125" style="321" bestFit="1" customWidth="1"/>
    <col min="12810" max="13056" width="11" style="321"/>
    <col min="13057" max="13057" width="10.85546875" style="321" bestFit="1" customWidth="1"/>
    <col min="13058" max="13058" width="10.85546875" style="321" customWidth="1"/>
    <col min="13059" max="13059" width="24.5703125" style="321" bestFit="1" customWidth="1"/>
    <col min="13060" max="13060" width="7.85546875" style="321" bestFit="1" customWidth="1"/>
    <col min="13061" max="13061" width="11.85546875" style="321" bestFit="1" customWidth="1"/>
    <col min="13062" max="13062" width="14.42578125" style="321" bestFit="1" customWidth="1"/>
    <col min="13063" max="13063" width="13.7109375" style="321" bestFit="1" customWidth="1"/>
    <col min="13064" max="13064" width="16.42578125" style="321" bestFit="1" customWidth="1"/>
    <col min="13065" max="13065" width="11.42578125" style="321" bestFit="1" customWidth="1"/>
    <col min="13066" max="13312" width="11" style="321"/>
    <col min="13313" max="13313" width="10.85546875" style="321" bestFit="1" customWidth="1"/>
    <col min="13314" max="13314" width="10.85546875" style="321" customWidth="1"/>
    <col min="13315" max="13315" width="24.5703125" style="321" bestFit="1" customWidth="1"/>
    <col min="13316" max="13316" width="7.85546875" style="321" bestFit="1" customWidth="1"/>
    <col min="13317" max="13317" width="11.85546875" style="321" bestFit="1" customWidth="1"/>
    <col min="13318" max="13318" width="14.42578125" style="321" bestFit="1" customWidth="1"/>
    <col min="13319" max="13319" width="13.7109375" style="321" bestFit="1" customWidth="1"/>
    <col min="13320" max="13320" width="16.42578125" style="321" bestFit="1" customWidth="1"/>
    <col min="13321" max="13321" width="11.42578125" style="321" bestFit="1" customWidth="1"/>
    <col min="13322" max="13568" width="11" style="321"/>
    <col min="13569" max="13569" width="10.85546875" style="321" bestFit="1" customWidth="1"/>
    <col min="13570" max="13570" width="10.85546875" style="321" customWidth="1"/>
    <col min="13571" max="13571" width="24.5703125" style="321" bestFit="1" customWidth="1"/>
    <col min="13572" max="13572" width="7.85546875" style="321" bestFit="1" customWidth="1"/>
    <col min="13573" max="13573" width="11.85546875" style="321" bestFit="1" customWidth="1"/>
    <col min="13574" max="13574" width="14.42578125" style="321" bestFit="1" customWidth="1"/>
    <col min="13575" max="13575" width="13.7109375" style="321" bestFit="1" customWidth="1"/>
    <col min="13576" max="13576" width="16.42578125" style="321" bestFit="1" customWidth="1"/>
    <col min="13577" max="13577" width="11.42578125" style="321" bestFit="1" customWidth="1"/>
    <col min="13578" max="13824" width="11" style="321"/>
    <col min="13825" max="13825" width="10.85546875" style="321" bestFit="1" customWidth="1"/>
    <col min="13826" max="13826" width="10.85546875" style="321" customWidth="1"/>
    <col min="13827" max="13827" width="24.5703125" style="321" bestFit="1" customWidth="1"/>
    <col min="13828" max="13828" width="7.85546875" style="321" bestFit="1" customWidth="1"/>
    <col min="13829" max="13829" width="11.85546875" style="321" bestFit="1" customWidth="1"/>
    <col min="13830" max="13830" width="14.42578125" style="321" bestFit="1" customWidth="1"/>
    <col min="13831" max="13831" width="13.7109375" style="321" bestFit="1" customWidth="1"/>
    <col min="13832" max="13832" width="16.42578125" style="321" bestFit="1" customWidth="1"/>
    <col min="13833" max="13833" width="11.42578125" style="321" bestFit="1" customWidth="1"/>
    <col min="13834" max="14080" width="11" style="321"/>
    <col min="14081" max="14081" width="10.85546875" style="321" bestFit="1" customWidth="1"/>
    <col min="14082" max="14082" width="10.85546875" style="321" customWidth="1"/>
    <col min="14083" max="14083" width="24.5703125" style="321" bestFit="1" customWidth="1"/>
    <col min="14084" max="14084" width="7.85546875" style="321" bestFit="1" customWidth="1"/>
    <col min="14085" max="14085" width="11.85546875" style="321" bestFit="1" customWidth="1"/>
    <col min="14086" max="14086" width="14.42578125" style="321" bestFit="1" customWidth="1"/>
    <col min="14087" max="14087" width="13.7109375" style="321" bestFit="1" customWidth="1"/>
    <col min="14088" max="14088" width="16.42578125" style="321" bestFit="1" customWidth="1"/>
    <col min="14089" max="14089" width="11.42578125" style="321" bestFit="1" customWidth="1"/>
    <col min="14090" max="14336" width="11" style="321"/>
    <col min="14337" max="14337" width="10.85546875" style="321" bestFit="1" customWidth="1"/>
    <col min="14338" max="14338" width="10.85546875" style="321" customWidth="1"/>
    <col min="14339" max="14339" width="24.5703125" style="321" bestFit="1" customWidth="1"/>
    <col min="14340" max="14340" width="7.85546875" style="321" bestFit="1" customWidth="1"/>
    <col min="14341" max="14341" width="11.85546875" style="321" bestFit="1" customWidth="1"/>
    <col min="14342" max="14342" width="14.42578125" style="321" bestFit="1" customWidth="1"/>
    <col min="14343" max="14343" width="13.7109375" style="321" bestFit="1" customWidth="1"/>
    <col min="14344" max="14344" width="16.42578125" style="321" bestFit="1" customWidth="1"/>
    <col min="14345" max="14345" width="11.42578125" style="321" bestFit="1" customWidth="1"/>
    <col min="14346" max="14592" width="11" style="321"/>
    <col min="14593" max="14593" width="10.85546875" style="321" bestFit="1" customWidth="1"/>
    <col min="14594" max="14594" width="10.85546875" style="321" customWidth="1"/>
    <col min="14595" max="14595" width="24.5703125" style="321" bestFit="1" customWidth="1"/>
    <col min="14596" max="14596" width="7.85546875" style="321" bestFit="1" customWidth="1"/>
    <col min="14597" max="14597" width="11.85546875" style="321" bestFit="1" customWidth="1"/>
    <col min="14598" max="14598" width="14.42578125" style="321" bestFit="1" customWidth="1"/>
    <col min="14599" max="14599" width="13.7109375" style="321" bestFit="1" customWidth="1"/>
    <col min="14600" max="14600" width="16.42578125" style="321" bestFit="1" customWidth="1"/>
    <col min="14601" max="14601" width="11.42578125" style="321" bestFit="1" customWidth="1"/>
    <col min="14602" max="14848" width="11" style="321"/>
    <col min="14849" max="14849" width="10.85546875" style="321" bestFit="1" customWidth="1"/>
    <col min="14850" max="14850" width="10.85546875" style="321" customWidth="1"/>
    <col min="14851" max="14851" width="24.5703125" style="321" bestFit="1" customWidth="1"/>
    <col min="14852" max="14852" width="7.85546875" style="321" bestFit="1" customWidth="1"/>
    <col min="14853" max="14853" width="11.85546875" style="321" bestFit="1" customWidth="1"/>
    <col min="14854" max="14854" width="14.42578125" style="321" bestFit="1" customWidth="1"/>
    <col min="14855" max="14855" width="13.7109375" style="321" bestFit="1" customWidth="1"/>
    <col min="14856" max="14856" width="16.42578125" style="321" bestFit="1" customWidth="1"/>
    <col min="14857" max="14857" width="11.42578125" style="321" bestFit="1" customWidth="1"/>
    <col min="14858" max="15104" width="11" style="321"/>
    <col min="15105" max="15105" width="10.85546875" style="321" bestFit="1" customWidth="1"/>
    <col min="15106" max="15106" width="10.85546875" style="321" customWidth="1"/>
    <col min="15107" max="15107" width="24.5703125" style="321" bestFit="1" customWidth="1"/>
    <col min="15108" max="15108" width="7.85546875" style="321" bestFit="1" customWidth="1"/>
    <col min="15109" max="15109" width="11.85546875" style="321" bestFit="1" customWidth="1"/>
    <col min="15110" max="15110" width="14.42578125" style="321" bestFit="1" customWidth="1"/>
    <col min="15111" max="15111" width="13.7109375" style="321" bestFit="1" customWidth="1"/>
    <col min="15112" max="15112" width="16.42578125" style="321" bestFit="1" customWidth="1"/>
    <col min="15113" max="15113" width="11.42578125" style="321" bestFit="1" customWidth="1"/>
    <col min="15114" max="15360" width="11" style="321"/>
    <col min="15361" max="15361" width="10.85546875" style="321" bestFit="1" customWidth="1"/>
    <col min="15362" max="15362" width="10.85546875" style="321" customWidth="1"/>
    <col min="15363" max="15363" width="24.5703125" style="321" bestFit="1" customWidth="1"/>
    <col min="15364" max="15364" width="7.85546875" style="321" bestFit="1" customWidth="1"/>
    <col min="15365" max="15365" width="11.85546875" style="321" bestFit="1" customWidth="1"/>
    <col min="15366" max="15366" width="14.42578125" style="321" bestFit="1" customWidth="1"/>
    <col min="15367" max="15367" width="13.7109375" style="321" bestFit="1" customWidth="1"/>
    <col min="15368" max="15368" width="16.42578125" style="321" bestFit="1" customWidth="1"/>
    <col min="15369" max="15369" width="11.42578125" style="321" bestFit="1" customWidth="1"/>
    <col min="15370" max="15616" width="11" style="321"/>
    <col min="15617" max="15617" width="10.85546875" style="321" bestFit="1" customWidth="1"/>
    <col min="15618" max="15618" width="10.85546875" style="321" customWidth="1"/>
    <col min="15619" max="15619" width="24.5703125" style="321" bestFit="1" customWidth="1"/>
    <col min="15620" max="15620" width="7.85546875" style="321" bestFit="1" customWidth="1"/>
    <col min="15621" max="15621" width="11.85546875" style="321" bestFit="1" customWidth="1"/>
    <col min="15622" max="15622" width="14.42578125" style="321" bestFit="1" customWidth="1"/>
    <col min="15623" max="15623" width="13.7109375" style="321" bestFit="1" customWidth="1"/>
    <col min="15624" max="15624" width="16.42578125" style="321" bestFit="1" customWidth="1"/>
    <col min="15625" max="15625" width="11.42578125" style="321" bestFit="1" customWidth="1"/>
    <col min="15626" max="15872" width="11" style="321"/>
    <col min="15873" max="15873" width="10.85546875" style="321" bestFit="1" customWidth="1"/>
    <col min="15874" max="15874" width="10.85546875" style="321" customWidth="1"/>
    <col min="15875" max="15875" width="24.5703125" style="321" bestFit="1" customWidth="1"/>
    <col min="15876" max="15876" width="7.85546875" style="321" bestFit="1" customWidth="1"/>
    <col min="15877" max="15877" width="11.85546875" style="321" bestFit="1" customWidth="1"/>
    <col min="15878" max="15878" width="14.42578125" style="321" bestFit="1" customWidth="1"/>
    <col min="15879" max="15879" width="13.7109375" style="321" bestFit="1" customWidth="1"/>
    <col min="15880" max="15880" width="16.42578125" style="321" bestFit="1" customWidth="1"/>
    <col min="15881" max="15881" width="11.42578125" style="321" bestFit="1" customWidth="1"/>
    <col min="15882" max="16128" width="11" style="321"/>
    <col min="16129" max="16129" width="10.85546875" style="321" bestFit="1" customWidth="1"/>
    <col min="16130" max="16130" width="10.85546875" style="321" customWidth="1"/>
    <col min="16131" max="16131" width="24.5703125" style="321" bestFit="1" customWidth="1"/>
    <col min="16132" max="16132" width="7.85546875" style="321" bestFit="1" customWidth="1"/>
    <col min="16133" max="16133" width="11.85546875" style="321" bestFit="1" customWidth="1"/>
    <col min="16134" max="16134" width="14.42578125" style="321" bestFit="1" customWidth="1"/>
    <col min="16135" max="16135" width="13.7109375" style="321" bestFit="1" customWidth="1"/>
    <col min="16136" max="16136" width="16.42578125" style="321" bestFit="1" customWidth="1"/>
    <col min="16137" max="16137" width="11.42578125" style="321" bestFit="1" customWidth="1"/>
    <col min="16138" max="16384" width="11" style="321"/>
  </cols>
  <sheetData>
    <row r="1" spans="1:27" s="319" customFormat="1" ht="19.5" thickBot="1">
      <c r="A1" s="336"/>
      <c r="B1" s="337"/>
      <c r="C1" s="338" t="s">
        <v>6374</v>
      </c>
      <c r="D1" s="339" t="s">
        <v>6375</v>
      </c>
      <c r="E1" s="339" t="s">
        <v>6376</v>
      </c>
      <c r="F1" s="339" t="s">
        <v>6375</v>
      </c>
      <c r="G1"/>
      <c r="H1"/>
      <c r="I1"/>
      <c r="M1" s="319" t="s">
        <v>4816</v>
      </c>
      <c r="N1" s="319" t="s">
        <v>23</v>
      </c>
      <c r="O1" s="319" t="s">
        <v>4817</v>
      </c>
      <c r="P1" s="319" t="s">
        <v>4818</v>
      </c>
      <c r="Q1" s="320" t="s">
        <v>4819</v>
      </c>
      <c r="R1" s="320" t="s">
        <v>4820</v>
      </c>
      <c r="S1" s="320" t="s">
        <v>4821</v>
      </c>
      <c r="T1" s="320" t="s">
        <v>4822</v>
      </c>
      <c r="U1" s="320" t="s">
        <v>4823</v>
      </c>
      <c r="W1" s="9" t="s">
        <v>22</v>
      </c>
      <c r="X1" s="14" t="s">
        <v>23</v>
      </c>
      <c r="Y1" s="12" t="s">
        <v>24</v>
      </c>
      <c r="Z1" s="10" t="s">
        <v>33</v>
      </c>
      <c r="AA1" s="11" t="s">
        <v>25</v>
      </c>
    </row>
    <row r="2" spans="1:27" ht="15.75" thickBot="1">
      <c r="A2" s="340" t="s">
        <v>6377</v>
      </c>
      <c r="B2" s="341" t="s">
        <v>6378</v>
      </c>
      <c r="C2" s="342" t="s">
        <v>6379</v>
      </c>
      <c r="D2" s="343" t="s">
        <v>6380</v>
      </c>
      <c r="E2" s="344" t="s">
        <v>6381</v>
      </c>
      <c r="F2" s="345" t="s">
        <v>6382</v>
      </c>
      <c r="H2" s="343" t="s">
        <v>6380</v>
      </c>
      <c r="I2" s="344" t="s">
        <v>6381</v>
      </c>
      <c r="M2" s="321">
        <v>1111100100</v>
      </c>
      <c r="N2" s="321">
        <v>11</v>
      </c>
      <c r="O2" s="321" t="s">
        <v>4824</v>
      </c>
      <c r="P2" s="321">
        <v>2623000</v>
      </c>
      <c r="Q2" s="322">
        <v>-225000000</v>
      </c>
      <c r="R2" s="322">
        <v>-170554500</v>
      </c>
      <c r="S2" s="322">
        <v>-227990000</v>
      </c>
      <c r="T2" s="322">
        <v>-227990000</v>
      </c>
      <c r="U2" s="322">
        <f t="shared" ref="U2:U65" si="0">S2-T2</f>
        <v>0</v>
      </c>
      <c r="W2" s="321">
        <f>M2-1000000000-X2*1000</f>
        <v>100</v>
      </c>
      <c r="X2" s="321">
        <f>ROUNDDOWN((M2-1000000000)/1000,0)</f>
        <v>111100</v>
      </c>
      <c r="Y2" s="321">
        <v>1</v>
      </c>
      <c r="AA2" s="321" t="s">
        <v>4824</v>
      </c>
    </row>
    <row r="3" spans="1:27">
      <c r="A3" s="346">
        <v>100</v>
      </c>
      <c r="B3" s="347">
        <v>111100</v>
      </c>
      <c r="C3" s="348" t="s">
        <v>6383</v>
      </c>
      <c r="D3" s="349">
        <v>174000</v>
      </c>
      <c r="E3" s="350">
        <v>171000</v>
      </c>
      <c r="F3" s="350">
        <v>169000</v>
      </c>
      <c r="H3" s="351">
        <f t="shared" ref="H3:H66" si="1">D3*-1000</f>
        <v>-174000000</v>
      </c>
      <c r="I3" s="351">
        <f t="shared" ref="I3:I66" si="2">F3*-1000</f>
        <v>-169000000</v>
      </c>
      <c r="M3" s="321">
        <v>1111200100</v>
      </c>
      <c r="N3" s="321">
        <v>11</v>
      </c>
      <c r="O3" s="321" t="s">
        <v>4825</v>
      </c>
      <c r="P3" s="321">
        <v>2623000</v>
      </c>
      <c r="Q3" s="322">
        <v>-9805000</v>
      </c>
      <c r="R3" s="322">
        <v>-7810600</v>
      </c>
      <c r="S3" s="322">
        <v>-8402000</v>
      </c>
      <c r="T3" s="322">
        <v>-8402000</v>
      </c>
      <c r="U3" s="322">
        <f t="shared" si="0"/>
        <v>0</v>
      </c>
      <c r="W3" s="321">
        <f t="shared" ref="W3:W66" si="3">M3-1000000000-X3*1000</f>
        <v>100</v>
      </c>
      <c r="X3" s="321">
        <f t="shared" ref="X3:X66" si="4">ROUNDDOWN((M3-1000000000)/1000,0)</f>
        <v>111200</v>
      </c>
      <c r="Y3" s="321">
        <v>1</v>
      </c>
      <c r="AA3" s="321" t="s">
        <v>4825</v>
      </c>
    </row>
    <row r="4" spans="1:27">
      <c r="A4" s="346">
        <v>100</v>
      </c>
      <c r="B4" s="347">
        <v>111200</v>
      </c>
      <c r="C4" s="348" t="s">
        <v>6384</v>
      </c>
      <c r="D4" s="349">
        <v>12000</v>
      </c>
      <c r="E4" s="350">
        <v>13000</v>
      </c>
      <c r="F4" s="350">
        <v>12000</v>
      </c>
      <c r="H4" s="351">
        <f t="shared" si="1"/>
        <v>-12000000</v>
      </c>
      <c r="I4" s="351">
        <f t="shared" si="2"/>
        <v>-12000000</v>
      </c>
      <c r="M4" s="321">
        <v>1111300100</v>
      </c>
      <c r="N4" s="321">
        <v>11</v>
      </c>
      <c r="O4" s="321" t="s">
        <v>4826</v>
      </c>
      <c r="P4" s="321">
        <v>2623000</v>
      </c>
      <c r="Q4" s="322">
        <v>-395000000</v>
      </c>
      <c r="R4" s="322">
        <v>-313835300</v>
      </c>
      <c r="S4" s="322">
        <v>-414102000</v>
      </c>
      <c r="T4" s="322">
        <v>-414102000</v>
      </c>
      <c r="U4" s="322">
        <f t="shared" si="0"/>
        <v>0</v>
      </c>
      <c r="W4" s="321">
        <f t="shared" si="3"/>
        <v>100</v>
      </c>
      <c r="X4" s="321">
        <f t="shared" si="4"/>
        <v>111300</v>
      </c>
      <c r="Y4" s="321">
        <v>1</v>
      </c>
      <c r="AA4" s="321" t="s">
        <v>4826</v>
      </c>
    </row>
    <row r="5" spans="1:27">
      <c r="A5" s="346">
        <v>100</v>
      </c>
      <c r="B5" s="347">
        <v>111300</v>
      </c>
      <c r="C5" s="348" t="s">
        <v>6385</v>
      </c>
      <c r="D5" s="349">
        <v>264000</v>
      </c>
      <c r="E5" s="350">
        <v>256000</v>
      </c>
      <c r="F5" s="350">
        <v>248000</v>
      </c>
      <c r="H5" s="351">
        <f t="shared" si="1"/>
        <v>-264000000</v>
      </c>
      <c r="I5" s="351">
        <f t="shared" si="2"/>
        <v>-248000000</v>
      </c>
      <c r="M5" s="321">
        <v>1111400100</v>
      </c>
      <c r="N5" s="321">
        <v>11</v>
      </c>
      <c r="O5" s="321" t="s">
        <v>4827</v>
      </c>
      <c r="P5" s="321">
        <v>2623000</v>
      </c>
      <c r="Q5" s="322">
        <v>-45200000</v>
      </c>
      <c r="R5" s="322">
        <v>-41682700</v>
      </c>
      <c r="S5" s="322">
        <v>-34574000</v>
      </c>
      <c r="T5" s="322">
        <v>-33822500</v>
      </c>
      <c r="U5" s="322">
        <f t="shared" si="0"/>
        <v>-751500</v>
      </c>
      <c r="W5" s="321">
        <f t="shared" si="3"/>
        <v>100</v>
      </c>
      <c r="X5" s="321">
        <f t="shared" si="4"/>
        <v>111400</v>
      </c>
      <c r="Y5" s="321">
        <v>1</v>
      </c>
      <c r="AA5" s="321" t="s">
        <v>4827</v>
      </c>
    </row>
    <row r="6" spans="1:27">
      <c r="A6" s="346">
        <v>100</v>
      </c>
      <c r="B6" s="347">
        <v>111400</v>
      </c>
      <c r="C6" s="348" t="s">
        <v>6386</v>
      </c>
      <c r="D6" s="349">
        <v>32000</v>
      </c>
      <c r="E6" s="350">
        <v>35000</v>
      </c>
      <c r="F6" s="350">
        <v>31000</v>
      </c>
      <c r="H6" s="351">
        <f t="shared" si="1"/>
        <v>-32000000</v>
      </c>
      <c r="I6" s="351">
        <f t="shared" si="2"/>
        <v>-31000000</v>
      </c>
      <c r="M6" s="321">
        <v>1113000100</v>
      </c>
      <c r="N6" s="321">
        <v>11</v>
      </c>
      <c r="O6" s="321" t="s">
        <v>4828</v>
      </c>
      <c r="P6" s="321">
        <v>2990001</v>
      </c>
      <c r="Q6" s="322">
        <v>-3700000</v>
      </c>
      <c r="R6" s="322">
        <v>-3245100</v>
      </c>
      <c r="S6" s="322">
        <v>-3700000</v>
      </c>
      <c r="T6" s="322">
        <v>-3700000</v>
      </c>
      <c r="U6" s="322">
        <f t="shared" si="0"/>
        <v>0</v>
      </c>
      <c r="W6" s="321">
        <f t="shared" si="3"/>
        <v>100</v>
      </c>
      <c r="X6" s="321">
        <f t="shared" si="4"/>
        <v>113000</v>
      </c>
      <c r="Y6" s="321">
        <v>1</v>
      </c>
      <c r="AA6" s="321" t="s">
        <v>4828</v>
      </c>
    </row>
    <row r="7" spans="1:27">
      <c r="A7" s="346">
        <v>106</v>
      </c>
      <c r="B7" s="347">
        <v>113000</v>
      </c>
      <c r="C7" s="348" t="s">
        <v>6387</v>
      </c>
      <c r="D7" s="349">
        <v>1520</v>
      </c>
      <c r="E7" s="350">
        <v>1500</v>
      </c>
      <c r="F7" s="350">
        <v>1500</v>
      </c>
      <c r="H7" s="351">
        <f t="shared" si="1"/>
        <v>-1520000</v>
      </c>
      <c r="I7" s="351">
        <f t="shared" si="2"/>
        <v>-1500000</v>
      </c>
      <c r="M7" s="321">
        <v>1113001100</v>
      </c>
      <c r="N7" s="321">
        <v>11</v>
      </c>
      <c r="O7" s="321" t="s">
        <v>4829</v>
      </c>
      <c r="P7" s="321">
        <v>2160000</v>
      </c>
      <c r="Q7" s="322">
        <v>-20000</v>
      </c>
      <c r="R7" s="322">
        <v>-13800</v>
      </c>
      <c r="S7" s="322">
        <v>-20000</v>
      </c>
      <c r="T7" s="322">
        <v>-20000</v>
      </c>
      <c r="U7" s="322">
        <f t="shared" si="0"/>
        <v>0</v>
      </c>
      <c r="W7" s="321">
        <f t="shared" si="3"/>
        <v>100</v>
      </c>
      <c r="X7" s="321">
        <f t="shared" si="4"/>
        <v>113001</v>
      </c>
      <c r="Y7" s="321">
        <v>1</v>
      </c>
      <c r="AA7" s="321" t="s">
        <v>4829</v>
      </c>
    </row>
    <row r="8" spans="1:27">
      <c r="A8" s="346">
        <v>106</v>
      </c>
      <c r="B8" s="347">
        <v>115000</v>
      </c>
      <c r="C8" s="348" t="s">
        <v>6388</v>
      </c>
      <c r="D8" s="349">
        <v>46580</v>
      </c>
      <c r="E8" s="350">
        <v>46000</v>
      </c>
      <c r="F8" s="350">
        <v>49000</v>
      </c>
      <c r="H8" s="351">
        <f t="shared" si="1"/>
        <v>-46580000</v>
      </c>
      <c r="I8" s="351">
        <f t="shared" si="2"/>
        <v>-49000000</v>
      </c>
      <c r="M8" s="321">
        <v>1115000100</v>
      </c>
      <c r="N8" s="321">
        <v>11</v>
      </c>
      <c r="O8" s="321" t="s">
        <v>4830</v>
      </c>
      <c r="P8" s="321">
        <v>2990001</v>
      </c>
      <c r="Q8" s="322">
        <v>-70000000</v>
      </c>
      <c r="R8" s="322">
        <v>-57182600</v>
      </c>
      <c r="S8" s="322">
        <v>-71000000</v>
      </c>
      <c r="T8" s="322">
        <v>-71000000</v>
      </c>
      <c r="U8" s="322">
        <f t="shared" si="0"/>
        <v>0</v>
      </c>
      <c r="W8" s="321">
        <f t="shared" si="3"/>
        <v>100</v>
      </c>
      <c r="X8" s="321">
        <f t="shared" si="4"/>
        <v>115000</v>
      </c>
      <c r="Y8" s="321">
        <v>1</v>
      </c>
      <c r="AA8" s="321" t="s">
        <v>4830</v>
      </c>
    </row>
    <row r="9" spans="1:27">
      <c r="A9" s="346">
        <v>106</v>
      </c>
      <c r="B9" s="347">
        <v>116000</v>
      </c>
      <c r="C9" s="352" t="s">
        <v>6389</v>
      </c>
      <c r="D9" s="349">
        <v>350</v>
      </c>
      <c r="E9" s="350">
        <v>200</v>
      </c>
      <c r="F9" s="350">
        <v>500</v>
      </c>
      <c r="H9" s="351">
        <f t="shared" si="1"/>
        <v>-350000</v>
      </c>
      <c r="I9" s="351">
        <f t="shared" si="2"/>
        <v>-500000</v>
      </c>
      <c r="M9" s="321">
        <v>1116000100</v>
      </c>
      <c r="N9" s="321">
        <v>11</v>
      </c>
      <c r="O9" s="321" t="s">
        <v>1953</v>
      </c>
      <c r="P9" s="321">
        <v>2990001</v>
      </c>
      <c r="Q9" s="322">
        <v>-15500000</v>
      </c>
      <c r="R9" s="322">
        <v>-13060900</v>
      </c>
      <c r="S9" s="322">
        <v>-16200000</v>
      </c>
      <c r="T9" s="322">
        <v>-16200000</v>
      </c>
      <c r="U9" s="322">
        <f t="shared" si="0"/>
        <v>0</v>
      </c>
      <c r="W9" s="321">
        <f t="shared" si="3"/>
        <v>100</v>
      </c>
      <c r="X9" s="321">
        <f t="shared" si="4"/>
        <v>116000</v>
      </c>
      <c r="Y9" s="321">
        <v>1</v>
      </c>
      <c r="AA9" s="321" t="s">
        <v>1953</v>
      </c>
    </row>
    <row r="10" spans="1:27">
      <c r="A10" s="346">
        <v>220</v>
      </c>
      <c r="B10" s="347">
        <v>121000</v>
      </c>
      <c r="C10" s="348" t="s">
        <v>6390</v>
      </c>
      <c r="D10" s="349">
        <v>400</v>
      </c>
      <c r="E10" s="350">
        <v>380</v>
      </c>
      <c r="F10" s="350">
        <v>340</v>
      </c>
      <c r="H10" s="351">
        <f t="shared" si="1"/>
        <v>-400000</v>
      </c>
      <c r="I10" s="351">
        <f t="shared" si="2"/>
        <v>-340000</v>
      </c>
      <c r="M10" s="321">
        <v>1117000100</v>
      </c>
      <c r="N10" s="321">
        <v>11</v>
      </c>
      <c r="O10" s="321" t="s">
        <v>4831</v>
      </c>
      <c r="P10" s="321">
        <v>2990001</v>
      </c>
      <c r="Q10" s="322">
        <v>-30000</v>
      </c>
      <c r="R10" s="322">
        <v>-57200</v>
      </c>
      <c r="S10" s="322">
        <v>-100000</v>
      </c>
      <c r="T10" s="322">
        <v>-100000</v>
      </c>
      <c r="U10" s="322">
        <f t="shared" si="0"/>
        <v>0</v>
      </c>
      <c r="W10" s="321">
        <f t="shared" si="3"/>
        <v>100</v>
      </c>
      <c r="X10" s="321">
        <f t="shared" si="4"/>
        <v>117000</v>
      </c>
      <c r="Y10" s="321">
        <v>1</v>
      </c>
      <c r="AA10" s="321" t="s">
        <v>4831</v>
      </c>
    </row>
    <row r="11" spans="1:27">
      <c r="A11" s="346">
        <v>220</v>
      </c>
      <c r="B11" s="347">
        <v>122000</v>
      </c>
      <c r="C11" s="348" t="s">
        <v>1968</v>
      </c>
      <c r="D11" s="349">
        <v>2400</v>
      </c>
      <c r="E11" s="350">
        <v>2400</v>
      </c>
      <c r="F11" s="350">
        <v>2800</v>
      </c>
      <c r="H11" s="351">
        <f t="shared" si="1"/>
        <v>-2400000</v>
      </c>
      <c r="I11" s="351">
        <f t="shared" si="2"/>
        <v>-2800000</v>
      </c>
      <c r="M11" s="321">
        <v>1120000290</v>
      </c>
      <c r="N11" s="321">
        <v>12</v>
      </c>
      <c r="O11" s="321" t="s">
        <v>4832</v>
      </c>
      <c r="P11" s="321">
        <v>1617000</v>
      </c>
      <c r="Q11" s="322">
        <v>-3000000</v>
      </c>
      <c r="R11" s="322">
        <v>-1937800</v>
      </c>
      <c r="S11" s="322">
        <v>-3000000</v>
      </c>
      <c r="T11" s="322">
        <v>-3000000</v>
      </c>
      <c r="U11" s="322">
        <f t="shared" si="0"/>
        <v>0</v>
      </c>
      <c r="W11" s="321">
        <f t="shared" si="3"/>
        <v>290</v>
      </c>
      <c r="X11" s="321">
        <f t="shared" si="4"/>
        <v>120000</v>
      </c>
      <c r="Y11" s="321">
        <v>1</v>
      </c>
      <c r="AA11" s="321" t="s">
        <v>4832</v>
      </c>
    </row>
    <row r="12" spans="1:27">
      <c r="A12" s="346">
        <v>220</v>
      </c>
      <c r="B12" s="347">
        <v>124100</v>
      </c>
      <c r="C12" s="348" t="s">
        <v>6391</v>
      </c>
      <c r="D12" s="349">
        <v>30</v>
      </c>
      <c r="E12" s="350">
        <v>30</v>
      </c>
      <c r="F12" s="350">
        <v>30</v>
      </c>
      <c r="H12" s="351">
        <f t="shared" si="1"/>
        <v>-30000</v>
      </c>
      <c r="I12" s="351">
        <f t="shared" si="2"/>
        <v>-30000</v>
      </c>
      <c r="M12" s="321">
        <v>1121000290</v>
      </c>
      <c r="N12" s="321">
        <v>12</v>
      </c>
      <c r="O12" s="321" t="s">
        <v>4833</v>
      </c>
      <c r="P12" s="321">
        <v>1610000</v>
      </c>
      <c r="Q12" s="322">
        <v>-180000</v>
      </c>
      <c r="R12" s="322">
        <v>-184600</v>
      </c>
      <c r="S12" s="322">
        <v>-200000</v>
      </c>
      <c r="T12" s="322">
        <v>-200000</v>
      </c>
      <c r="U12" s="322">
        <f t="shared" si="0"/>
        <v>0</v>
      </c>
      <c r="W12" s="321">
        <f t="shared" si="3"/>
        <v>290</v>
      </c>
      <c r="X12" s="321">
        <f t="shared" si="4"/>
        <v>121000</v>
      </c>
      <c r="Y12" s="321">
        <v>1</v>
      </c>
      <c r="AA12" s="321" t="s">
        <v>4833</v>
      </c>
    </row>
    <row r="13" spans="1:27">
      <c r="A13" s="346">
        <v>220</v>
      </c>
      <c r="B13" s="347">
        <v>212000</v>
      </c>
      <c r="C13" s="348" t="s">
        <v>6392</v>
      </c>
      <c r="D13" s="349">
        <v>10</v>
      </c>
      <c r="E13" s="350">
        <v>25</v>
      </c>
      <c r="F13" s="350">
        <v>8</v>
      </c>
      <c r="H13" s="351">
        <f t="shared" si="1"/>
        <v>-10000</v>
      </c>
      <c r="I13" s="351">
        <f t="shared" si="2"/>
        <v>-8000</v>
      </c>
      <c r="M13" s="321">
        <v>1122000290</v>
      </c>
      <c r="N13" s="321">
        <v>12</v>
      </c>
      <c r="O13" s="321" t="s">
        <v>4834</v>
      </c>
      <c r="P13" s="321">
        <v>6781002</v>
      </c>
      <c r="Q13" s="322">
        <v>-6740000</v>
      </c>
      <c r="R13" s="322">
        <v>-4654000</v>
      </c>
      <c r="S13" s="322">
        <v>-7250000</v>
      </c>
      <c r="T13" s="322">
        <v>-7250000</v>
      </c>
      <c r="U13" s="322">
        <f t="shared" si="0"/>
        <v>0</v>
      </c>
      <c r="W13" s="321">
        <f t="shared" si="3"/>
        <v>290</v>
      </c>
      <c r="X13" s="321">
        <f t="shared" si="4"/>
        <v>122000</v>
      </c>
      <c r="Y13" s="321">
        <v>1</v>
      </c>
      <c r="AA13" s="321" t="s">
        <v>4834</v>
      </c>
    </row>
    <row r="14" spans="1:27">
      <c r="A14" s="346">
        <v>420</v>
      </c>
      <c r="B14" s="347">
        <v>212000</v>
      </c>
      <c r="C14" s="348" t="s">
        <v>6393</v>
      </c>
      <c r="D14" s="349">
        <v>70</v>
      </c>
      <c r="E14" s="350">
        <v>0</v>
      </c>
      <c r="F14" s="350">
        <v>0</v>
      </c>
      <c r="H14" s="351">
        <f t="shared" si="1"/>
        <v>-70000</v>
      </c>
      <c r="I14" s="351">
        <f t="shared" si="2"/>
        <v>0</v>
      </c>
      <c r="M14" s="321">
        <v>1129001290</v>
      </c>
      <c r="N14" s="321">
        <v>12</v>
      </c>
      <c r="O14" s="321" t="s">
        <v>4835</v>
      </c>
      <c r="P14" s="321">
        <v>1726000</v>
      </c>
      <c r="Q14" s="322">
        <v>-11500000</v>
      </c>
      <c r="R14" s="322">
        <v>-8561300</v>
      </c>
      <c r="S14" s="322">
        <v>-11500000</v>
      </c>
      <c r="T14" s="322">
        <v>-11500000</v>
      </c>
      <c r="U14" s="322">
        <f t="shared" si="0"/>
        <v>0</v>
      </c>
      <c r="W14" s="321">
        <f t="shared" si="3"/>
        <v>290</v>
      </c>
      <c r="X14" s="321">
        <f t="shared" si="4"/>
        <v>129001</v>
      </c>
      <c r="Y14" s="321">
        <v>1</v>
      </c>
      <c r="AA14" s="321" t="s">
        <v>4835</v>
      </c>
    </row>
    <row r="15" spans="1:27">
      <c r="A15" s="346">
        <v>490</v>
      </c>
      <c r="B15" s="347">
        <v>212000</v>
      </c>
      <c r="C15" s="348" t="s">
        <v>6394</v>
      </c>
      <c r="D15" s="349">
        <v>5</v>
      </c>
      <c r="E15" s="350">
        <v>5</v>
      </c>
      <c r="F15" s="350">
        <v>5</v>
      </c>
      <c r="H15" s="351">
        <f t="shared" si="1"/>
        <v>-5000</v>
      </c>
      <c r="I15" s="351">
        <f t="shared" si="2"/>
        <v>-5000</v>
      </c>
      <c r="M15" s="321">
        <v>1130000800</v>
      </c>
      <c r="N15" s="321">
        <v>13</v>
      </c>
      <c r="O15" s="321" t="s">
        <v>4836</v>
      </c>
      <c r="P15" s="321">
        <v>2640000</v>
      </c>
      <c r="Q15" s="322">
        <v>-71375700</v>
      </c>
      <c r="R15" s="322">
        <v>-53673600</v>
      </c>
      <c r="S15" s="322">
        <v>-71375000</v>
      </c>
      <c r="T15" s="322">
        <v>-71375000</v>
      </c>
      <c r="U15" s="322">
        <f t="shared" si="0"/>
        <v>0</v>
      </c>
      <c r="W15" s="321">
        <f t="shared" si="3"/>
        <v>800</v>
      </c>
      <c r="X15" s="321">
        <f t="shared" si="4"/>
        <v>130000</v>
      </c>
      <c r="Y15" s="321">
        <v>1</v>
      </c>
      <c r="AA15" s="321" t="s">
        <v>4836</v>
      </c>
    </row>
    <row r="16" spans="1:27" ht="30">
      <c r="A16" s="346">
        <v>220</v>
      </c>
      <c r="B16" s="347">
        <v>212100</v>
      </c>
      <c r="C16" s="353" t="s">
        <v>6395</v>
      </c>
      <c r="D16" s="349">
        <v>2900</v>
      </c>
      <c r="E16" s="350">
        <v>3680</v>
      </c>
      <c r="F16" s="350">
        <v>3680</v>
      </c>
      <c r="H16" s="351">
        <f t="shared" si="1"/>
        <v>-2900000</v>
      </c>
      <c r="I16" s="351">
        <f t="shared" si="2"/>
        <v>-3680000</v>
      </c>
      <c r="M16" s="321">
        <v>1130000801</v>
      </c>
      <c r="N16" s="321">
        <v>13</v>
      </c>
      <c r="O16" s="321" t="s">
        <v>4837</v>
      </c>
      <c r="P16" s="321">
        <v>1610000</v>
      </c>
      <c r="Q16" s="322">
        <v>0</v>
      </c>
      <c r="R16" s="322">
        <v>0</v>
      </c>
      <c r="S16" s="322">
        <v>-8000000</v>
      </c>
      <c r="T16" s="322">
        <v>-8000000</v>
      </c>
      <c r="U16" s="322">
        <f t="shared" si="0"/>
        <v>0</v>
      </c>
      <c r="W16" s="321">
        <f t="shared" si="3"/>
        <v>801</v>
      </c>
      <c r="X16" s="321">
        <f t="shared" si="4"/>
        <v>130000</v>
      </c>
      <c r="Y16" s="321">
        <v>1</v>
      </c>
      <c r="AA16" s="321" t="s">
        <v>4837</v>
      </c>
    </row>
    <row r="17" spans="1:27">
      <c r="A17" s="346">
        <v>221</v>
      </c>
      <c r="B17" s="347">
        <v>212100</v>
      </c>
      <c r="C17" s="348" t="s">
        <v>6396</v>
      </c>
      <c r="D17" s="349">
        <v>588</v>
      </c>
      <c r="E17" s="350">
        <v>505</v>
      </c>
      <c r="F17" s="350">
        <v>505</v>
      </c>
      <c r="H17" s="351">
        <f t="shared" si="1"/>
        <v>-588000</v>
      </c>
      <c r="I17" s="351">
        <f t="shared" si="2"/>
        <v>-505000</v>
      </c>
      <c r="M17" s="321">
        <v>1130001800</v>
      </c>
      <c r="N17" s="321">
        <v>13</v>
      </c>
      <c r="O17" s="321" t="s">
        <v>4838</v>
      </c>
      <c r="P17" s="321">
        <v>3910000</v>
      </c>
      <c r="Q17" s="322">
        <v>0</v>
      </c>
      <c r="R17" s="322">
        <v>0</v>
      </c>
      <c r="S17" s="322">
        <v>0</v>
      </c>
      <c r="T17" s="322">
        <v>0</v>
      </c>
      <c r="U17" s="322">
        <f t="shared" si="0"/>
        <v>0</v>
      </c>
      <c r="W17" s="321">
        <f t="shared" si="3"/>
        <v>800</v>
      </c>
      <c r="X17" s="321">
        <f t="shared" si="4"/>
        <v>130001</v>
      </c>
      <c r="Y17" s="321">
        <v>1</v>
      </c>
      <c r="AA17" s="321" t="s">
        <v>4838</v>
      </c>
    </row>
    <row r="18" spans="1:27">
      <c r="A18" s="346">
        <v>222</v>
      </c>
      <c r="B18" s="347">
        <v>212100</v>
      </c>
      <c r="C18" s="348" t="s">
        <v>6397</v>
      </c>
      <c r="D18" s="349">
        <v>77</v>
      </c>
      <c r="E18" s="350">
        <v>77</v>
      </c>
      <c r="F18" s="350">
        <v>80</v>
      </c>
      <c r="H18" s="351">
        <f t="shared" si="1"/>
        <v>-77000</v>
      </c>
      <c r="I18" s="351">
        <f t="shared" si="2"/>
        <v>-80000</v>
      </c>
      <c r="M18" s="321">
        <v>1130002800</v>
      </c>
      <c r="N18" s="321">
        <v>13</v>
      </c>
      <c r="O18" s="321" t="s">
        <v>4839</v>
      </c>
      <c r="P18" s="321">
        <v>6972000</v>
      </c>
      <c r="Q18" s="322">
        <v>0</v>
      </c>
      <c r="R18" s="322">
        <v>0</v>
      </c>
      <c r="S18" s="322">
        <v>0</v>
      </c>
      <c r="T18" s="322">
        <v>0</v>
      </c>
      <c r="U18" s="322">
        <f t="shared" si="0"/>
        <v>0</v>
      </c>
      <c r="W18" s="321">
        <f t="shared" si="3"/>
        <v>800</v>
      </c>
      <c r="X18" s="321">
        <f t="shared" si="4"/>
        <v>130002</v>
      </c>
      <c r="Y18" s="321">
        <v>1</v>
      </c>
      <c r="AA18" s="321" t="s">
        <v>4839</v>
      </c>
    </row>
    <row r="19" spans="1:27">
      <c r="A19" s="346">
        <v>490</v>
      </c>
      <c r="B19" s="347">
        <v>212300</v>
      </c>
      <c r="C19" s="348" t="s">
        <v>6398</v>
      </c>
      <c r="D19" s="349">
        <v>100</v>
      </c>
      <c r="E19" s="350">
        <v>150</v>
      </c>
      <c r="F19" s="350">
        <v>200</v>
      </c>
      <c r="H19" s="351">
        <f t="shared" si="1"/>
        <v>-100000</v>
      </c>
      <c r="I19" s="351">
        <f t="shared" si="2"/>
        <v>-200000</v>
      </c>
      <c r="M19" s="321">
        <v>1130003800</v>
      </c>
      <c r="N19" s="321">
        <v>13</v>
      </c>
      <c r="O19" s="321" t="s">
        <v>4840</v>
      </c>
      <c r="P19" s="321">
        <v>3742000</v>
      </c>
      <c r="Q19" s="322">
        <v>0</v>
      </c>
      <c r="R19" s="322">
        <v>0</v>
      </c>
      <c r="S19" s="322">
        <v>0</v>
      </c>
      <c r="T19" s="322">
        <v>0</v>
      </c>
      <c r="U19" s="322">
        <f t="shared" si="0"/>
        <v>0</v>
      </c>
      <c r="W19" s="321">
        <f t="shared" si="3"/>
        <v>800</v>
      </c>
      <c r="X19" s="321">
        <f t="shared" si="4"/>
        <v>130003</v>
      </c>
      <c r="Y19" s="321">
        <v>1</v>
      </c>
      <c r="AA19" s="321" t="s">
        <v>4840</v>
      </c>
    </row>
    <row r="20" spans="1:27">
      <c r="A20" s="346">
        <v>220</v>
      </c>
      <c r="B20" s="347">
        <v>213300</v>
      </c>
      <c r="C20" s="348" t="s">
        <v>6399</v>
      </c>
      <c r="D20" s="349">
        <v>300</v>
      </c>
      <c r="E20" s="350">
        <v>300</v>
      </c>
      <c r="F20" s="350">
        <v>400</v>
      </c>
      <c r="H20" s="351">
        <f t="shared" si="1"/>
        <v>-300000</v>
      </c>
      <c r="I20" s="351">
        <f t="shared" si="2"/>
        <v>-400000</v>
      </c>
      <c r="M20" s="321">
        <v>1160000661</v>
      </c>
      <c r="N20" s="321">
        <v>16</v>
      </c>
      <c r="O20" s="321" t="s">
        <v>4841</v>
      </c>
      <c r="P20" s="321">
        <v>2621100</v>
      </c>
      <c r="Q20" s="322">
        <v>-7500000</v>
      </c>
      <c r="R20" s="322">
        <v>-2088200</v>
      </c>
      <c r="S20" s="322">
        <v>-5500000</v>
      </c>
      <c r="T20" s="322">
        <v>-5500000</v>
      </c>
      <c r="U20" s="322">
        <f t="shared" si="0"/>
        <v>0</v>
      </c>
      <c r="W20" s="321">
        <f t="shared" si="3"/>
        <v>661</v>
      </c>
      <c r="X20" s="321">
        <f t="shared" si="4"/>
        <v>160000</v>
      </c>
      <c r="Y20" s="321">
        <v>1</v>
      </c>
      <c r="AA20" s="321" t="s">
        <v>4841</v>
      </c>
    </row>
    <row r="21" spans="1:27">
      <c r="A21" s="346">
        <v>221</v>
      </c>
      <c r="B21" s="347">
        <v>214200</v>
      </c>
      <c r="C21" s="348" t="s">
        <v>6400</v>
      </c>
      <c r="D21" s="349">
        <v>320</v>
      </c>
      <c r="E21" s="350">
        <v>320</v>
      </c>
      <c r="F21" s="350">
        <v>210</v>
      </c>
      <c r="H21" s="351">
        <f t="shared" si="1"/>
        <v>-320000</v>
      </c>
      <c r="I21" s="351">
        <f t="shared" si="2"/>
        <v>-210000</v>
      </c>
      <c r="M21" s="321">
        <v>1160001661</v>
      </c>
      <c r="N21" s="321">
        <v>16</v>
      </c>
      <c r="O21" s="321" t="s">
        <v>4842</v>
      </c>
      <c r="P21" s="321">
        <v>2621300</v>
      </c>
      <c r="Q21" s="322">
        <v>-2359000</v>
      </c>
      <c r="R21" s="322">
        <v>-1618100</v>
      </c>
      <c r="S21" s="322">
        <v>-2114000</v>
      </c>
      <c r="T21" s="322">
        <v>-2114000</v>
      </c>
      <c r="U21" s="322">
        <f t="shared" si="0"/>
        <v>0</v>
      </c>
      <c r="W21" s="321">
        <f t="shared" si="3"/>
        <v>661</v>
      </c>
      <c r="X21" s="321">
        <f t="shared" si="4"/>
        <v>160001</v>
      </c>
      <c r="Y21" s="321">
        <v>1</v>
      </c>
      <c r="AA21" s="321" t="s">
        <v>4842</v>
      </c>
    </row>
    <row r="22" spans="1:27">
      <c r="A22" s="346">
        <v>220</v>
      </c>
      <c r="B22" s="347">
        <v>214300</v>
      </c>
      <c r="C22" s="348" t="s">
        <v>6401</v>
      </c>
      <c r="D22" s="349">
        <v>500</v>
      </c>
      <c r="E22" s="350">
        <v>500</v>
      </c>
      <c r="F22" s="350">
        <v>600</v>
      </c>
      <c r="H22" s="351">
        <f t="shared" si="1"/>
        <v>-500000</v>
      </c>
      <c r="I22" s="351">
        <f t="shared" si="2"/>
        <v>-600000</v>
      </c>
      <c r="M22" s="321">
        <v>1190000910</v>
      </c>
      <c r="N22" s="321">
        <v>19</v>
      </c>
      <c r="O22" s="321" t="s">
        <v>4843</v>
      </c>
      <c r="P22" s="321">
        <v>1610000</v>
      </c>
      <c r="Q22" s="322">
        <v>0</v>
      </c>
      <c r="R22" s="322">
        <v>0</v>
      </c>
      <c r="S22" s="322">
        <v>0</v>
      </c>
      <c r="T22" s="322">
        <v>0</v>
      </c>
      <c r="U22" s="322">
        <f t="shared" si="0"/>
        <v>0</v>
      </c>
      <c r="W22" s="321">
        <f t="shared" si="3"/>
        <v>910</v>
      </c>
      <c r="X22" s="321">
        <f t="shared" si="4"/>
        <v>190000</v>
      </c>
      <c r="Y22" s="321">
        <v>1</v>
      </c>
      <c r="AA22" s="321" t="s">
        <v>4843</v>
      </c>
    </row>
    <row r="23" spans="1:27">
      <c r="A23" s="346">
        <v>221</v>
      </c>
      <c r="B23" s="347">
        <v>214300</v>
      </c>
      <c r="C23" s="348" t="s">
        <v>6402</v>
      </c>
      <c r="D23" s="349">
        <v>57</v>
      </c>
      <c r="E23" s="350">
        <v>57</v>
      </c>
      <c r="F23" s="350">
        <v>30</v>
      </c>
      <c r="H23" s="351">
        <f t="shared" si="1"/>
        <v>-57000</v>
      </c>
      <c r="I23" s="351">
        <f t="shared" si="2"/>
        <v>-30000</v>
      </c>
      <c r="M23" s="321">
        <v>1192000910</v>
      </c>
      <c r="N23" s="321">
        <v>19</v>
      </c>
      <c r="O23" s="321" t="s">
        <v>4844</v>
      </c>
      <c r="P23" s="321">
        <v>2620000</v>
      </c>
      <c r="Q23" s="322">
        <v>0</v>
      </c>
      <c r="R23" s="322">
        <v>0</v>
      </c>
      <c r="S23" s="322">
        <v>0</v>
      </c>
      <c r="T23" s="322">
        <v>0</v>
      </c>
      <c r="U23" s="322">
        <f t="shared" si="0"/>
        <v>0</v>
      </c>
      <c r="W23" s="321">
        <f t="shared" si="3"/>
        <v>910</v>
      </c>
      <c r="X23" s="321">
        <f t="shared" si="4"/>
        <v>192000</v>
      </c>
      <c r="Y23" s="321">
        <v>1</v>
      </c>
      <c r="AA23" s="321" t="s">
        <v>4844</v>
      </c>
    </row>
    <row r="24" spans="1:27">
      <c r="A24" s="346">
        <v>960</v>
      </c>
      <c r="B24" s="347">
        <v>214300</v>
      </c>
      <c r="C24" s="348" t="s">
        <v>6403</v>
      </c>
      <c r="D24" s="349">
        <v>0</v>
      </c>
      <c r="E24" s="350">
        <v>0</v>
      </c>
      <c r="F24" s="350">
        <v>0</v>
      </c>
      <c r="H24" s="351">
        <f t="shared" si="1"/>
        <v>0</v>
      </c>
      <c r="I24" s="351">
        <f t="shared" si="2"/>
        <v>0</v>
      </c>
      <c r="M24" s="321">
        <v>1210000590</v>
      </c>
      <c r="N24" s="321">
        <v>21</v>
      </c>
      <c r="O24" s="321" t="s">
        <v>4845</v>
      </c>
      <c r="P24" s="321">
        <v>6710000</v>
      </c>
      <c r="Q24" s="322">
        <v>0</v>
      </c>
      <c r="R24" s="322">
        <v>0</v>
      </c>
      <c r="S24" s="322">
        <v>0</v>
      </c>
      <c r="T24" s="322">
        <v>0</v>
      </c>
      <c r="U24" s="322">
        <f t="shared" si="0"/>
        <v>0</v>
      </c>
      <c r="W24" s="321">
        <f t="shared" si="3"/>
        <v>590</v>
      </c>
      <c r="X24" s="321">
        <f t="shared" si="4"/>
        <v>210000</v>
      </c>
      <c r="Y24" s="321">
        <v>1</v>
      </c>
      <c r="AA24" s="321" t="s">
        <v>4845</v>
      </c>
    </row>
    <row r="25" spans="1:27">
      <c r="A25" s="346">
        <v>910</v>
      </c>
      <c r="B25" s="347">
        <v>222100</v>
      </c>
      <c r="C25" s="348" t="s">
        <v>6404</v>
      </c>
      <c r="D25" s="349">
        <v>11</v>
      </c>
      <c r="E25" s="350">
        <v>11</v>
      </c>
      <c r="F25" s="350">
        <v>16</v>
      </c>
      <c r="H25" s="351">
        <f t="shared" si="1"/>
        <v>-11000</v>
      </c>
      <c r="I25" s="351">
        <f t="shared" si="2"/>
        <v>-16000</v>
      </c>
      <c r="M25" s="321">
        <v>1212200690</v>
      </c>
      <c r="N25" s="321">
        <v>21</v>
      </c>
      <c r="O25" s="321" t="s">
        <v>4846</v>
      </c>
      <c r="P25" s="321">
        <v>6712200</v>
      </c>
      <c r="Q25" s="322">
        <v>0</v>
      </c>
      <c r="R25" s="322">
        <v>0</v>
      </c>
      <c r="S25" s="322">
        <v>0</v>
      </c>
      <c r="T25" s="322">
        <v>0</v>
      </c>
      <c r="U25" s="322">
        <f t="shared" si="0"/>
        <v>0</v>
      </c>
      <c r="W25" s="321">
        <f t="shared" si="3"/>
        <v>690</v>
      </c>
      <c r="X25" s="321">
        <f t="shared" si="4"/>
        <v>212200</v>
      </c>
      <c r="Y25" s="321">
        <v>1</v>
      </c>
      <c r="AA25" s="321" t="s">
        <v>4846</v>
      </c>
    </row>
    <row r="26" spans="1:27">
      <c r="A26" s="346">
        <v>220</v>
      </c>
      <c r="B26" s="347">
        <v>222700</v>
      </c>
      <c r="C26" s="348" t="s">
        <v>6405</v>
      </c>
      <c r="D26" s="349">
        <v>0</v>
      </c>
      <c r="E26" s="350">
        <v>65</v>
      </c>
      <c r="F26" s="350">
        <v>0</v>
      </c>
      <c r="H26" s="351">
        <f t="shared" si="1"/>
        <v>0</v>
      </c>
      <c r="I26" s="351">
        <f t="shared" si="2"/>
        <v>0</v>
      </c>
      <c r="M26" s="321">
        <v>1212300620</v>
      </c>
      <c r="N26" s="321">
        <v>21</v>
      </c>
      <c r="O26" s="321" t="s">
        <v>4847</v>
      </c>
      <c r="P26" s="321">
        <v>6712300</v>
      </c>
      <c r="Q26" s="322">
        <v>-20000</v>
      </c>
      <c r="R26" s="322">
        <v>-71700</v>
      </c>
      <c r="S26" s="322">
        <v>0</v>
      </c>
      <c r="T26" s="322">
        <v>0</v>
      </c>
      <c r="U26" s="322">
        <f t="shared" si="0"/>
        <v>0</v>
      </c>
      <c r="W26" s="321">
        <f t="shared" si="3"/>
        <v>620</v>
      </c>
      <c r="X26" s="321">
        <f t="shared" si="4"/>
        <v>212300</v>
      </c>
      <c r="Y26" s="321">
        <v>1</v>
      </c>
      <c r="AA26" s="321" t="s">
        <v>4847</v>
      </c>
    </row>
    <row r="27" spans="1:27">
      <c r="A27" s="346">
        <v>441</v>
      </c>
      <c r="B27" s="347">
        <v>223000</v>
      </c>
      <c r="C27" s="348" t="s">
        <v>6406</v>
      </c>
      <c r="D27" s="349">
        <v>96</v>
      </c>
      <c r="E27" s="350">
        <v>96</v>
      </c>
      <c r="F27" s="350">
        <v>88</v>
      </c>
      <c r="H27" s="351">
        <f t="shared" si="1"/>
        <v>-96000</v>
      </c>
      <c r="I27" s="351">
        <f t="shared" si="2"/>
        <v>-88000</v>
      </c>
      <c r="M27" s="321">
        <v>1212300650</v>
      </c>
      <c r="N27" s="321">
        <v>21</v>
      </c>
      <c r="O27" s="321" t="s">
        <v>4848</v>
      </c>
      <c r="P27" s="321">
        <v>6712300</v>
      </c>
      <c r="Q27" s="322">
        <v>-89200</v>
      </c>
      <c r="R27" s="322">
        <v>0</v>
      </c>
      <c r="S27" s="322">
        <v>-127000</v>
      </c>
      <c r="T27" s="322">
        <v>-127000</v>
      </c>
      <c r="U27" s="322">
        <f t="shared" si="0"/>
        <v>0</v>
      </c>
      <c r="W27" s="321">
        <f t="shared" si="3"/>
        <v>650</v>
      </c>
      <c r="X27" s="321">
        <f t="shared" si="4"/>
        <v>212300</v>
      </c>
      <c r="Y27" s="321">
        <v>1</v>
      </c>
      <c r="AA27" s="321" t="s">
        <v>4848</v>
      </c>
    </row>
    <row r="28" spans="1:27">
      <c r="A28" s="346">
        <v>442</v>
      </c>
      <c r="B28" s="347">
        <v>223000</v>
      </c>
      <c r="C28" s="348" t="s">
        <v>6407</v>
      </c>
      <c r="D28" s="349">
        <v>9</v>
      </c>
      <c r="E28" s="350">
        <v>9</v>
      </c>
      <c r="F28" s="350">
        <v>9</v>
      </c>
      <c r="H28" s="351">
        <f t="shared" si="1"/>
        <v>-9000</v>
      </c>
      <c r="I28" s="351">
        <f t="shared" si="2"/>
        <v>-9000</v>
      </c>
      <c r="M28" s="321">
        <v>1212300651</v>
      </c>
      <c r="N28" s="321">
        <v>21</v>
      </c>
      <c r="O28" s="321" t="s">
        <v>4849</v>
      </c>
      <c r="P28" s="321">
        <v>6712300</v>
      </c>
      <c r="Q28" s="322">
        <v>-1000000</v>
      </c>
      <c r="R28" s="322">
        <v>-214700</v>
      </c>
      <c r="S28" s="322">
        <v>-734000</v>
      </c>
      <c r="T28" s="322">
        <v>-734000</v>
      </c>
      <c r="U28" s="322">
        <f t="shared" si="0"/>
        <v>0</v>
      </c>
      <c r="W28" s="321">
        <f t="shared" si="3"/>
        <v>651</v>
      </c>
      <c r="X28" s="321">
        <f t="shared" si="4"/>
        <v>212300</v>
      </c>
      <c r="Y28" s="321">
        <v>1</v>
      </c>
      <c r="AA28" s="321" t="s">
        <v>4849</v>
      </c>
    </row>
    <row r="29" spans="1:27">
      <c r="A29" s="346">
        <v>442</v>
      </c>
      <c r="B29" s="347">
        <v>230000</v>
      </c>
      <c r="C29" s="348" t="s">
        <v>6408</v>
      </c>
      <c r="D29" s="349">
        <v>400</v>
      </c>
      <c r="E29" s="350">
        <v>400</v>
      </c>
      <c r="F29" s="350">
        <v>400</v>
      </c>
      <c r="H29" s="351">
        <f t="shared" si="1"/>
        <v>-400000</v>
      </c>
      <c r="I29" s="351">
        <f t="shared" si="2"/>
        <v>-400000</v>
      </c>
      <c r="M29" s="321">
        <v>1212300652</v>
      </c>
      <c r="N29" s="321">
        <v>21</v>
      </c>
      <c r="O29" s="321" t="s">
        <v>4850</v>
      </c>
      <c r="P29" s="321">
        <v>6712300</v>
      </c>
      <c r="Q29" s="322">
        <v>0</v>
      </c>
      <c r="R29" s="322">
        <v>0</v>
      </c>
      <c r="S29" s="322">
        <v>0</v>
      </c>
      <c r="T29" s="322">
        <v>0</v>
      </c>
      <c r="U29" s="322">
        <f t="shared" si="0"/>
        <v>0</v>
      </c>
      <c r="W29" s="321">
        <f t="shared" si="3"/>
        <v>652</v>
      </c>
      <c r="X29" s="321">
        <f t="shared" si="4"/>
        <v>212300</v>
      </c>
      <c r="Y29" s="321">
        <v>1</v>
      </c>
      <c r="AA29" s="321" t="s">
        <v>4850</v>
      </c>
    </row>
    <row r="30" spans="1:27">
      <c r="A30" s="346">
        <v>590</v>
      </c>
      <c r="B30" s="347">
        <v>230000</v>
      </c>
      <c r="C30" s="348" t="s">
        <v>6409</v>
      </c>
      <c r="D30" s="349">
        <v>9957</v>
      </c>
      <c r="E30" s="350">
        <v>4507</v>
      </c>
      <c r="F30" s="350">
        <v>9595</v>
      </c>
      <c r="H30" s="351">
        <f t="shared" si="1"/>
        <v>-9957000</v>
      </c>
      <c r="I30" s="351">
        <f t="shared" si="2"/>
        <v>-9595000</v>
      </c>
      <c r="M30" s="321">
        <v>1212300670</v>
      </c>
      <c r="N30" s="321">
        <v>21</v>
      </c>
      <c r="O30" s="321" t="s">
        <v>4851</v>
      </c>
      <c r="P30" s="321">
        <v>6712300</v>
      </c>
      <c r="Q30" s="322">
        <v>-277000</v>
      </c>
      <c r="R30" s="322">
        <v>0</v>
      </c>
      <c r="S30" s="322">
        <v>-300000</v>
      </c>
      <c r="T30" s="322">
        <v>-300000</v>
      </c>
      <c r="U30" s="322">
        <f t="shared" si="0"/>
        <v>0</v>
      </c>
      <c r="W30" s="321">
        <f t="shared" si="3"/>
        <v>670</v>
      </c>
      <c r="X30" s="321">
        <f t="shared" si="4"/>
        <v>212300</v>
      </c>
      <c r="Y30" s="321">
        <v>1</v>
      </c>
      <c r="AA30" s="321" t="s">
        <v>4851</v>
      </c>
    </row>
    <row r="31" spans="1:27">
      <c r="A31" s="346">
        <v>591</v>
      </c>
      <c r="B31" s="347">
        <v>230000</v>
      </c>
      <c r="C31" s="348" t="s">
        <v>6410</v>
      </c>
      <c r="D31" s="349">
        <v>3000</v>
      </c>
      <c r="E31" s="350">
        <v>3000</v>
      </c>
      <c r="F31" s="350">
        <v>3000</v>
      </c>
      <c r="H31" s="351">
        <f t="shared" si="1"/>
        <v>-3000000</v>
      </c>
      <c r="I31" s="351">
        <f t="shared" si="2"/>
        <v>-3000000</v>
      </c>
      <c r="M31" s="321">
        <v>1212300690</v>
      </c>
      <c r="N31" s="321">
        <v>21</v>
      </c>
      <c r="O31" s="321" t="s">
        <v>4852</v>
      </c>
      <c r="P31" s="321">
        <v>6712300</v>
      </c>
      <c r="Q31" s="322">
        <v>0</v>
      </c>
      <c r="R31" s="322">
        <v>0</v>
      </c>
      <c r="S31" s="322">
        <v>0</v>
      </c>
      <c r="T31" s="322">
        <v>0</v>
      </c>
      <c r="U31" s="322">
        <f t="shared" si="0"/>
        <v>0</v>
      </c>
      <c r="W31" s="321">
        <f t="shared" si="3"/>
        <v>690</v>
      </c>
      <c r="X31" s="321">
        <f t="shared" si="4"/>
        <v>212300</v>
      </c>
      <c r="Y31" s="321">
        <v>1</v>
      </c>
      <c r="AA31" s="321" t="s">
        <v>4852</v>
      </c>
    </row>
    <row r="32" spans="1:27">
      <c r="A32" s="346">
        <v>910</v>
      </c>
      <c r="B32" s="347">
        <v>230000</v>
      </c>
      <c r="C32" s="348" t="s">
        <v>6411</v>
      </c>
      <c r="D32" s="349">
        <v>0</v>
      </c>
      <c r="E32" s="350">
        <v>1093</v>
      </c>
      <c r="F32" s="350">
        <v>1090</v>
      </c>
      <c r="H32" s="351">
        <f t="shared" si="1"/>
        <v>0</v>
      </c>
      <c r="I32" s="351">
        <f t="shared" si="2"/>
        <v>-1090000</v>
      </c>
      <c r="M32" s="321">
        <v>1213300290</v>
      </c>
      <c r="N32" s="321">
        <v>21</v>
      </c>
      <c r="O32" s="321" t="s">
        <v>4853</v>
      </c>
      <c r="P32" s="321">
        <v>6713300</v>
      </c>
      <c r="Q32" s="322">
        <v>-300000</v>
      </c>
      <c r="R32" s="322">
        <v>-219600</v>
      </c>
      <c r="S32" s="322">
        <v>-286000</v>
      </c>
      <c r="T32" s="322">
        <v>-286000</v>
      </c>
      <c r="U32" s="322">
        <f t="shared" si="0"/>
        <v>0</v>
      </c>
      <c r="W32" s="321">
        <f t="shared" si="3"/>
        <v>290</v>
      </c>
      <c r="X32" s="321">
        <f t="shared" si="4"/>
        <v>213300</v>
      </c>
      <c r="Y32" s="321">
        <v>1</v>
      </c>
      <c r="AA32" s="321" t="s">
        <v>4853</v>
      </c>
    </row>
    <row r="33" spans="1:27">
      <c r="A33" s="346">
        <v>420</v>
      </c>
      <c r="B33" s="347">
        <v>232000</v>
      </c>
      <c r="C33" s="348" t="s">
        <v>6412</v>
      </c>
      <c r="D33" s="349">
        <v>15</v>
      </c>
      <c r="E33" s="350">
        <v>15</v>
      </c>
      <c r="F33" s="350">
        <v>90</v>
      </c>
      <c r="H33" s="351">
        <f t="shared" si="1"/>
        <v>-15000</v>
      </c>
      <c r="I33" s="351">
        <f t="shared" si="2"/>
        <v>-90000</v>
      </c>
      <c r="M33" s="321">
        <v>1214200290</v>
      </c>
      <c r="N33" s="321">
        <v>21</v>
      </c>
      <c r="O33" s="321" t="s">
        <v>4854</v>
      </c>
      <c r="P33" s="321">
        <v>6714200</v>
      </c>
      <c r="Q33" s="322">
        <v>-550000</v>
      </c>
      <c r="R33" s="322">
        <v>-367000</v>
      </c>
      <c r="S33" s="322">
        <v>-491000</v>
      </c>
      <c r="T33" s="322">
        <v>-491000</v>
      </c>
      <c r="U33" s="322">
        <f t="shared" si="0"/>
        <v>0</v>
      </c>
      <c r="W33" s="321">
        <f t="shared" si="3"/>
        <v>290</v>
      </c>
      <c r="X33" s="321">
        <f t="shared" si="4"/>
        <v>214200</v>
      </c>
      <c r="Y33" s="321">
        <v>1</v>
      </c>
      <c r="AA33" s="321" t="s">
        <v>4854</v>
      </c>
    </row>
    <row r="34" spans="1:27">
      <c r="A34" s="346">
        <v>220</v>
      </c>
      <c r="B34" s="347">
        <v>233100</v>
      </c>
      <c r="C34" s="348" t="s">
        <v>6413</v>
      </c>
      <c r="D34" s="349">
        <v>6700</v>
      </c>
      <c r="E34" s="350">
        <v>8000</v>
      </c>
      <c r="F34" s="350">
        <v>5000</v>
      </c>
      <c r="H34" s="351">
        <f t="shared" si="1"/>
        <v>-6700000</v>
      </c>
      <c r="I34" s="351">
        <f t="shared" si="2"/>
        <v>-5000000</v>
      </c>
      <c r="M34" s="321">
        <v>1214200291</v>
      </c>
      <c r="N34" s="321">
        <v>21</v>
      </c>
      <c r="O34" s="321" t="s">
        <v>4855</v>
      </c>
      <c r="P34" s="321">
        <v>6714200</v>
      </c>
      <c r="Q34" s="322">
        <v>0</v>
      </c>
      <c r="R34" s="322">
        <v>0</v>
      </c>
      <c r="S34" s="322">
        <v>0</v>
      </c>
      <c r="T34" s="322">
        <v>0</v>
      </c>
      <c r="U34" s="322">
        <f t="shared" si="0"/>
        <v>0</v>
      </c>
      <c r="W34" s="321">
        <f t="shared" si="3"/>
        <v>291</v>
      </c>
      <c r="X34" s="321">
        <f t="shared" si="4"/>
        <v>214200</v>
      </c>
      <c r="Y34" s="321">
        <v>1</v>
      </c>
      <c r="AA34" s="321" t="s">
        <v>4855</v>
      </c>
    </row>
    <row r="35" spans="1:27">
      <c r="A35" s="346">
        <v>540</v>
      </c>
      <c r="B35" s="347">
        <v>244300</v>
      </c>
      <c r="C35" s="348" t="s">
        <v>6414</v>
      </c>
      <c r="D35" s="349">
        <v>0</v>
      </c>
      <c r="E35" s="350">
        <v>0</v>
      </c>
      <c r="F35" s="350">
        <v>5</v>
      </c>
      <c r="H35" s="351">
        <f t="shared" si="1"/>
        <v>0</v>
      </c>
      <c r="I35" s="351">
        <f t="shared" si="2"/>
        <v>-5000</v>
      </c>
      <c r="M35" s="321">
        <v>1214200292</v>
      </c>
      <c r="N35" s="321">
        <v>21</v>
      </c>
      <c r="O35" s="321" t="s">
        <v>4856</v>
      </c>
      <c r="P35" s="321">
        <v>6714200</v>
      </c>
      <c r="Q35" s="322">
        <v>-10000</v>
      </c>
      <c r="R35" s="322">
        <v>0</v>
      </c>
      <c r="S35" s="322">
        <v>-10000</v>
      </c>
      <c r="T35" s="322">
        <v>-10000</v>
      </c>
      <c r="U35" s="322">
        <f t="shared" si="0"/>
        <v>0</v>
      </c>
      <c r="W35" s="321">
        <f t="shared" si="3"/>
        <v>292</v>
      </c>
      <c r="X35" s="321">
        <f t="shared" si="4"/>
        <v>214200</v>
      </c>
      <c r="Y35" s="321">
        <v>1</v>
      </c>
      <c r="AA35" s="321" t="s">
        <v>4856</v>
      </c>
    </row>
    <row r="36" spans="1:27">
      <c r="A36" s="346">
        <v>991</v>
      </c>
      <c r="B36" s="347">
        <v>244300</v>
      </c>
      <c r="C36" s="348" t="s">
        <v>6415</v>
      </c>
      <c r="D36" s="349">
        <v>50</v>
      </c>
      <c r="E36" s="350">
        <v>103</v>
      </c>
      <c r="F36" s="350">
        <v>50</v>
      </c>
      <c r="H36" s="351">
        <f t="shared" si="1"/>
        <v>-50000</v>
      </c>
      <c r="I36" s="351">
        <f t="shared" si="2"/>
        <v>-50000</v>
      </c>
      <c r="M36" s="321">
        <v>1214200690</v>
      </c>
      <c r="N36" s="321">
        <v>21</v>
      </c>
      <c r="O36" s="321" t="s">
        <v>4857</v>
      </c>
      <c r="P36" s="321">
        <v>6714200</v>
      </c>
      <c r="Q36" s="322">
        <v>-233000</v>
      </c>
      <c r="R36" s="322">
        <v>-260200</v>
      </c>
      <c r="S36" s="322">
        <v>-450000</v>
      </c>
      <c r="T36" s="322">
        <v>-450000</v>
      </c>
      <c r="U36" s="322">
        <f t="shared" si="0"/>
        <v>0</v>
      </c>
      <c r="W36" s="321">
        <f t="shared" si="3"/>
        <v>690</v>
      </c>
      <c r="X36" s="321">
        <f t="shared" si="4"/>
        <v>214200</v>
      </c>
      <c r="Y36" s="321">
        <v>1</v>
      </c>
      <c r="AA36" s="321" t="s">
        <v>4857</v>
      </c>
    </row>
    <row r="37" spans="1:27">
      <c r="A37" s="346">
        <v>220</v>
      </c>
      <c r="B37" s="347">
        <v>247200</v>
      </c>
      <c r="C37" s="354" t="s">
        <v>6416</v>
      </c>
      <c r="D37" s="349">
        <v>410</v>
      </c>
      <c r="E37" s="350">
        <v>390</v>
      </c>
      <c r="F37" s="350">
        <v>480</v>
      </c>
      <c r="H37" s="351">
        <f t="shared" si="1"/>
        <v>-410000</v>
      </c>
      <c r="I37" s="351">
        <f t="shared" si="2"/>
        <v>-480000</v>
      </c>
      <c r="M37" s="321">
        <v>1214200910</v>
      </c>
      <c r="N37" s="321">
        <v>21</v>
      </c>
      <c r="O37" s="321" t="s">
        <v>4858</v>
      </c>
      <c r="P37" s="321">
        <v>6714200</v>
      </c>
      <c r="Q37" s="322">
        <v>-415000</v>
      </c>
      <c r="R37" s="322">
        <v>-133500</v>
      </c>
      <c r="S37" s="322">
        <v>-500000</v>
      </c>
      <c r="T37" s="322">
        <v>-500000</v>
      </c>
      <c r="U37" s="322">
        <f t="shared" si="0"/>
        <v>0</v>
      </c>
      <c r="W37" s="321">
        <f t="shared" si="3"/>
        <v>910</v>
      </c>
      <c r="X37" s="321">
        <f t="shared" si="4"/>
        <v>214200</v>
      </c>
      <c r="Y37" s="321">
        <v>1</v>
      </c>
      <c r="AA37" s="321" t="s">
        <v>4858</v>
      </c>
    </row>
    <row r="38" spans="1:27">
      <c r="A38" s="346">
        <v>420</v>
      </c>
      <c r="B38" s="347">
        <v>247200</v>
      </c>
      <c r="C38" s="354" t="s">
        <v>6417</v>
      </c>
      <c r="D38" s="349">
        <v>400</v>
      </c>
      <c r="E38" s="350">
        <v>400</v>
      </c>
      <c r="F38" s="350">
        <v>100</v>
      </c>
      <c r="H38" s="351">
        <f t="shared" si="1"/>
        <v>-400000</v>
      </c>
      <c r="I38" s="351">
        <f t="shared" si="2"/>
        <v>-100000</v>
      </c>
      <c r="M38" s="321">
        <v>1214200911</v>
      </c>
      <c r="N38" s="321">
        <v>21</v>
      </c>
      <c r="O38" s="321" t="s">
        <v>4859</v>
      </c>
      <c r="P38" s="321">
        <v>6714200</v>
      </c>
      <c r="Q38" s="322">
        <v>-150000</v>
      </c>
      <c r="R38" s="322">
        <v>-120600</v>
      </c>
      <c r="S38" s="322">
        <v>-150000</v>
      </c>
      <c r="T38" s="322">
        <v>-150000</v>
      </c>
      <c r="U38" s="322">
        <f t="shared" si="0"/>
        <v>0</v>
      </c>
      <c r="W38" s="321">
        <f t="shared" si="3"/>
        <v>911</v>
      </c>
      <c r="X38" s="321">
        <f t="shared" si="4"/>
        <v>214200</v>
      </c>
      <c r="Y38" s="321">
        <v>1</v>
      </c>
      <c r="AA38" s="321" t="s">
        <v>4859</v>
      </c>
    </row>
    <row r="39" spans="1:27">
      <c r="A39" s="346">
        <v>490</v>
      </c>
      <c r="B39" s="347">
        <v>247200</v>
      </c>
      <c r="C39" s="354" t="s">
        <v>6418</v>
      </c>
      <c r="D39" s="349">
        <v>80</v>
      </c>
      <c r="E39" s="350">
        <v>80</v>
      </c>
      <c r="F39" s="350">
        <v>80</v>
      </c>
      <c r="H39" s="351">
        <f t="shared" si="1"/>
        <v>-80000</v>
      </c>
      <c r="I39" s="351">
        <f t="shared" si="2"/>
        <v>-80000</v>
      </c>
      <c r="M39" s="321">
        <v>1214200960</v>
      </c>
      <c r="N39" s="321">
        <v>21</v>
      </c>
      <c r="O39" s="321" t="s">
        <v>4860</v>
      </c>
      <c r="P39" s="321">
        <v>6714200</v>
      </c>
      <c r="Q39" s="322">
        <v>-200000</v>
      </c>
      <c r="R39" s="322">
        <v>0</v>
      </c>
      <c r="S39" s="322">
        <v>-200000</v>
      </c>
      <c r="T39" s="322">
        <v>-200000</v>
      </c>
      <c r="U39" s="322">
        <f t="shared" si="0"/>
        <v>0</v>
      </c>
      <c r="W39" s="321">
        <f t="shared" si="3"/>
        <v>960</v>
      </c>
      <c r="X39" s="321">
        <f t="shared" si="4"/>
        <v>214200</v>
      </c>
      <c r="Y39" s="321">
        <v>1</v>
      </c>
      <c r="AA39" s="321" t="s">
        <v>4860</v>
      </c>
    </row>
    <row r="40" spans="1:27">
      <c r="A40" s="346">
        <v>491</v>
      </c>
      <c r="B40" s="347">
        <v>247200</v>
      </c>
      <c r="C40" s="354" t="s">
        <v>6419</v>
      </c>
      <c r="D40" s="349">
        <v>100</v>
      </c>
      <c r="E40" s="350">
        <v>100</v>
      </c>
      <c r="F40" s="350">
        <v>100</v>
      </c>
      <c r="H40" s="351">
        <f t="shared" si="1"/>
        <v>-100000</v>
      </c>
      <c r="I40" s="351">
        <f t="shared" si="2"/>
        <v>-100000</v>
      </c>
      <c r="M40" s="321">
        <v>1222000910</v>
      </c>
      <c r="N40" s="321">
        <v>22</v>
      </c>
      <c r="O40" s="321" t="s">
        <v>4861</v>
      </c>
      <c r="P40" s="321">
        <v>1722100</v>
      </c>
      <c r="Q40" s="322">
        <v>-25000</v>
      </c>
      <c r="R40" s="322">
        <v>0</v>
      </c>
      <c r="S40" s="322">
        <v>0</v>
      </c>
      <c r="T40" s="322">
        <v>0</v>
      </c>
      <c r="U40" s="322">
        <f t="shared" si="0"/>
        <v>0</v>
      </c>
      <c r="W40" s="321">
        <f t="shared" si="3"/>
        <v>910</v>
      </c>
      <c r="X40" s="321">
        <f t="shared" si="4"/>
        <v>222000</v>
      </c>
      <c r="Y40" s="321">
        <v>1</v>
      </c>
      <c r="AA40" s="321" t="s">
        <v>4861</v>
      </c>
    </row>
    <row r="41" spans="1:27">
      <c r="A41" s="346">
        <v>670</v>
      </c>
      <c r="B41" s="347">
        <v>247200</v>
      </c>
      <c r="C41" s="348" t="s">
        <v>6420</v>
      </c>
      <c r="D41" s="349">
        <v>1100</v>
      </c>
      <c r="E41" s="350">
        <v>1100</v>
      </c>
      <c r="F41" s="350">
        <v>1500</v>
      </c>
      <c r="H41" s="351">
        <f t="shared" si="1"/>
        <v>-1100000</v>
      </c>
      <c r="I41" s="351">
        <f t="shared" si="2"/>
        <v>-1500000</v>
      </c>
      <c r="M41" s="321">
        <v>1232000220</v>
      </c>
      <c r="N41" s="321">
        <v>23</v>
      </c>
      <c r="O41" s="321" t="s">
        <v>4862</v>
      </c>
      <c r="P41" s="321">
        <v>3732000</v>
      </c>
      <c r="Q41" s="322">
        <v>-160000</v>
      </c>
      <c r="R41" s="322">
        <v>-64300</v>
      </c>
      <c r="S41" s="322">
        <v>0</v>
      </c>
      <c r="T41" s="322">
        <v>0</v>
      </c>
      <c r="U41" s="322">
        <f t="shared" si="0"/>
        <v>0</v>
      </c>
      <c r="W41" s="321">
        <f t="shared" si="3"/>
        <v>220</v>
      </c>
      <c r="X41" s="321">
        <f t="shared" si="4"/>
        <v>232000</v>
      </c>
      <c r="Y41" s="321">
        <v>1</v>
      </c>
      <c r="AA41" s="321" t="s">
        <v>4862</v>
      </c>
    </row>
    <row r="42" spans="1:27">
      <c r="A42" s="346">
        <v>420</v>
      </c>
      <c r="B42" s="347">
        <v>261000</v>
      </c>
      <c r="C42" s="348" t="s">
        <v>6421</v>
      </c>
      <c r="D42" s="349">
        <v>253</v>
      </c>
      <c r="E42" s="350">
        <v>250</v>
      </c>
      <c r="F42" s="350">
        <v>250</v>
      </c>
      <c r="H42" s="351">
        <f t="shared" si="1"/>
        <v>-253000</v>
      </c>
      <c r="I42" s="351">
        <f t="shared" si="2"/>
        <v>-250000</v>
      </c>
      <c r="M42" s="321">
        <v>1233100290</v>
      </c>
      <c r="N42" s="321">
        <v>23</v>
      </c>
      <c r="O42" s="321" t="s">
        <v>2941</v>
      </c>
      <c r="P42" s="321">
        <v>3733101</v>
      </c>
      <c r="Q42" s="322">
        <v>-10500000</v>
      </c>
      <c r="R42" s="322">
        <v>-11371400</v>
      </c>
      <c r="S42" s="322">
        <v>-11000000</v>
      </c>
      <c r="T42" s="322">
        <v>-11000000</v>
      </c>
      <c r="U42" s="322">
        <f t="shared" si="0"/>
        <v>0</v>
      </c>
      <c r="W42" s="321">
        <f t="shared" si="3"/>
        <v>290</v>
      </c>
      <c r="X42" s="321">
        <f t="shared" si="4"/>
        <v>233100</v>
      </c>
      <c r="Y42" s="321">
        <v>1</v>
      </c>
      <c r="AA42" s="321" t="s">
        <v>2941</v>
      </c>
    </row>
    <row r="43" spans="1:27">
      <c r="A43" s="346">
        <v>421</v>
      </c>
      <c r="B43" s="347">
        <v>261000</v>
      </c>
      <c r="C43" s="348" t="s">
        <v>6422</v>
      </c>
      <c r="D43" s="349">
        <v>186</v>
      </c>
      <c r="E43" s="350">
        <v>0</v>
      </c>
      <c r="F43" s="350">
        <v>0</v>
      </c>
      <c r="H43" s="351">
        <f t="shared" si="1"/>
        <v>-186000</v>
      </c>
      <c r="I43" s="351">
        <f t="shared" si="2"/>
        <v>0</v>
      </c>
      <c r="M43" s="321">
        <v>1233300290</v>
      </c>
      <c r="N43" s="321">
        <v>23</v>
      </c>
      <c r="O43" s="321" t="s">
        <v>4863</v>
      </c>
      <c r="P43" s="321">
        <v>3731000</v>
      </c>
      <c r="Q43" s="322">
        <v>-300000</v>
      </c>
      <c r="R43" s="322">
        <v>-29200</v>
      </c>
      <c r="S43" s="322">
        <v>-36000</v>
      </c>
      <c r="T43" s="322">
        <v>-36000</v>
      </c>
      <c r="U43" s="322">
        <f t="shared" si="0"/>
        <v>0</v>
      </c>
      <c r="W43" s="321">
        <f t="shared" si="3"/>
        <v>290</v>
      </c>
      <c r="X43" s="321">
        <f t="shared" si="4"/>
        <v>233300</v>
      </c>
      <c r="Y43" s="321">
        <v>1</v>
      </c>
      <c r="AA43" s="321" t="s">
        <v>4863</v>
      </c>
    </row>
    <row r="44" spans="1:27">
      <c r="A44" s="346">
        <v>420</v>
      </c>
      <c r="B44" s="347">
        <v>269000</v>
      </c>
      <c r="C44" s="348" t="s">
        <v>6423</v>
      </c>
      <c r="D44" s="349">
        <v>20</v>
      </c>
      <c r="E44" s="350">
        <v>0</v>
      </c>
      <c r="F44" s="350">
        <v>0</v>
      </c>
      <c r="H44" s="351">
        <f t="shared" si="1"/>
        <v>-20000</v>
      </c>
      <c r="I44" s="351">
        <f t="shared" si="2"/>
        <v>0</v>
      </c>
      <c r="M44" s="321">
        <v>1241000290</v>
      </c>
      <c r="N44" s="321">
        <v>24</v>
      </c>
      <c r="O44" s="321" t="s">
        <v>4864</v>
      </c>
      <c r="P44" s="321">
        <v>3930000</v>
      </c>
      <c r="Q44" s="322">
        <v>-3325000</v>
      </c>
      <c r="R44" s="322">
        <v>-1191000</v>
      </c>
      <c r="S44" s="322">
        <v>-2000000</v>
      </c>
      <c r="T44" s="322">
        <v>-2000000</v>
      </c>
      <c r="U44" s="322">
        <f t="shared" si="0"/>
        <v>0</v>
      </c>
      <c r="W44" s="321">
        <f t="shared" si="3"/>
        <v>290</v>
      </c>
      <c r="X44" s="321">
        <f t="shared" si="4"/>
        <v>241000</v>
      </c>
      <c r="Y44" s="321">
        <v>1</v>
      </c>
      <c r="AA44" s="321" t="s">
        <v>4864</v>
      </c>
    </row>
    <row r="45" spans="1:27">
      <c r="A45" s="346">
        <v>490</v>
      </c>
      <c r="B45" s="347">
        <v>269000</v>
      </c>
      <c r="C45" s="355" t="s">
        <v>6424</v>
      </c>
      <c r="D45" s="349">
        <v>260</v>
      </c>
      <c r="E45" s="350">
        <v>240</v>
      </c>
      <c r="F45" s="350">
        <v>350</v>
      </c>
      <c r="H45" s="351">
        <f t="shared" si="1"/>
        <v>-260000</v>
      </c>
      <c r="I45" s="351">
        <f t="shared" si="2"/>
        <v>-350000</v>
      </c>
      <c r="M45" s="321">
        <v>1241000640</v>
      </c>
      <c r="N45" s="321">
        <v>24</v>
      </c>
      <c r="O45" s="321" t="s">
        <v>4865</v>
      </c>
      <c r="P45" s="321">
        <v>3930000</v>
      </c>
      <c r="Q45" s="322">
        <v>-2000000</v>
      </c>
      <c r="R45" s="322">
        <v>-1866900</v>
      </c>
      <c r="S45" s="322">
        <v>-3500000</v>
      </c>
      <c r="T45" s="322">
        <v>-3500000</v>
      </c>
      <c r="U45" s="322">
        <f t="shared" si="0"/>
        <v>0</v>
      </c>
      <c r="W45" s="321">
        <f t="shared" si="3"/>
        <v>640</v>
      </c>
      <c r="X45" s="321">
        <f t="shared" si="4"/>
        <v>241000</v>
      </c>
      <c r="Y45" s="321">
        <v>1</v>
      </c>
      <c r="AA45" s="321" t="s">
        <v>4865</v>
      </c>
    </row>
    <row r="46" spans="1:27">
      <c r="A46" s="346">
        <v>620</v>
      </c>
      <c r="B46" s="347">
        <v>269000</v>
      </c>
      <c r="C46" s="348" t="s">
        <v>6425</v>
      </c>
      <c r="D46" s="349">
        <v>30</v>
      </c>
      <c r="E46" s="350">
        <v>95</v>
      </c>
      <c r="F46" s="350">
        <v>30</v>
      </c>
      <c r="H46" s="351">
        <f t="shared" si="1"/>
        <v>-30000</v>
      </c>
      <c r="I46" s="351">
        <f t="shared" si="2"/>
        <v>-30000</v>
      </c>
      <c r="M46" s="321">
        <v>1242000410</v>
      </c>
      <c r="N46" s="321">
        <v>24</v>
      </c>
      <c r="O46" s="321" t="s">
        <v>4866</v>
      </c>
      <c r="P46" s="321">
        <v>6781000</v>
      </c>
      <c r="Q46" s="322">
        <v>-1800000</v>
      </c>
      <c r="R46" s="322">
        <v>-620800</v>
      </c>
      <c r="S46" s="322">
        <v>-1800000</v>
      </c>
      <c r="T46" s="322">
        <v>-1800000</v>
      </c>
      <c r="U46" s="322">
        <f t="shared" si="0"/>
        <v>0</v>
      </c>
      <c r="W46" s="321">
        <f t="shared" si="3"/>
        <v>410</v>
      </c>
      <c r="X46" s="321">
        <f t="shared" si="4"/>
        <v>242000</v>
      </c>
      <c r="Y46" s="321">
        <v>1</v>
      </c>
      <c r="AA46" s="321" t="s">
        <v>4866</v>
      </c>
    </row>
    <row r="47" spans="1:27">
      <c r="A47" s="346">
        <v>420</v>
      </c>
      <c r="B47" s="347">
        <v>269200</v>
      </c>
      <c r="C47" s="348" t="s">
        <v>6426</v>
      </c>
      <c r="D47" s="349">
        <v>30</v>
      </c>
      <c r="E47" s="350">
        <v>30</v>
      </c>
      <c r="F47" s="350">
        <v>30</v>
      </c>
      <c r="H47" s="351">
        <f t="shared" si="1"/>
        <v>-30000</v>
      </c>
      <c r="I47" s="351">
        <f t="shared" si="2"/>
        <v>-30000</v>
      </c>
      <c r="M47" s="321">
        <v>1244400990</v>
      </c>
      <c r="N47" s="321">
        <v>24</v>
      </c>
      <c r="O47" s="321" t="s">
        <v>4867</v>
      </c>
      <c r="P47" s="321">
        <v>6742000</v>
      </c>
      <c r="Q47" s="322">
        <v>0</v>
      </c>
      <c r="R47" s="322">
        <v>0</v>
      </c>
      <c r="S47" s="322">
        <v>0</v>
      </c>
      <c r="T47" s="322">
        <v>0</v>
      </c>
      <c r="U47" s="322">
        <f t="shared" si="0"/>
        <v>0</v>
      </c>
      <c r="W47" s="321">
        <f t="shared" si="3"/>
        <v>990</v>
      </c>
      <c r="X47" s="321">
        <f t="shared" si="4"/>
        <v>244400</v>
      </c>
      <c r="Y47" s="321">
        <v>1</v>
      </c>
      <c r="AA47" s="321" t="s">
        <v>4867</v>
      </c>
    </row>
    <row r="48" spans="1:27">
      <c r="A48" s="346">
        <v>280</v>
      </c>
      <c r="B48" s="347">
        <v>281000</v>
      </c>
      <c r="C48" s="348" t="s">
        <v>6427</v>
      </c>
      <c r="D48" s="349">
        <v>550</v>
      </c>
      <c r="E48" s="350">
        <v>550</v>
      </c>
      <c r="F48" s="350">
        <v>450</v>
      </c>
      <c r="H48" s="351">
        <f t="shared" si="1"/>
        <v>-550000</v>
      </c>
      <c r="I48" s="351">
        <f t="shared" si="2"/>
        <v>-450000</v>
      </c>
      <c r="M48" s="321">
        <v>1244500991</v>
      </c>
      <c r="N48" s="321">
        <v>24</v>
      </c>
      <c r="O48" s="321" t="s">
        <v>4868</v>
      </c>
      <c r="P48" s="321">
        <v>4744500</v>
      </c>
      <c r="Q48" s="322">
        <v>0</v>
      </c>
      <c r="R48" s="322">
        <v>0</v>
      </c>
      <c r="S48" s="322">
        <v>0</v>
      </c>
      <c r="T48" s="322">
        <v>0</v>
      </c>
      <c r="U48" s="322">
        <f t="shared" si="0"/>
        <v>0</v>
      </c>
      <c r="W48" s="321">
        <f t="shared" si="3"/>
        <v>991</v>
      </c>
      <c r="X48" s="321">
        <f t="shared" si="4"/>
        <v>244500</v>
      </c>
      <c r="Y48" s="321">
        <v>1</v>
      </c>
      <c r="AA48" s="321" t="s">
        <v>4868</v>
      </c>
    </row>
    <row r="49" spans="1:27">
      <c r="A49" s="346">
        <v>420</v>
      </c>
      <c r="B49" s="347">
        <v>281000</v>
      </c>
      <c r="C49" s="348" t="s">
        <v>6428</v>
      </c>
      <c r="D49" s="349">
        <v>200</v>
      </c>
      <c r="E49" s="350">
        <v>0</v>
      </c>
      <c r="F49" s="350">
        <v>0</v>
      </c>
      <c r="H49" s="351">
        <f t="shared" si="1"/>
        <v>-200000</v>
      </c>
      <c r="I49" s="351">
        <f t="shared" si="2"/>
        <v>0</v>
      </c>
      <c r="M49" s="321">
        <v>1246200690</v>
      </c>
      <c r="N49" s="321">
        <v>24</v>
      </c>
      <c r="O49" s="321" t="s">
        <v>4869</v>
      </c>
      <c r="P49" s="321">
        <v>6746102</v>
      </c>
      <c r="Q49" s="322">
        <v>0</v>
      </c>
      <c r="R49" s="322">
        <v>0</v>
      </c>
      <c r="S49" s="322">
        <v>0</v>
      </c>
      <c r="T49" s="322">
        <v>0</v>
      </c>
      <c r="U49" s="322">
        <f t="shared" si="0"/>
        <v>0</v>
      </c>
      <c r="W49" s="321">
        <f t="shared" si="3"/>
        <v>690</v>
      </c>
      <c r="X49" s="321">
        <f t="shared" si="4"/>
        <v>246200</v>
      </c>
      <c r="Y49" s="321">
        <v>1</v>
      </c>
      <c r="AA49" s="321" t="s">
        <v>4869</v>
      </c>
    </row>
    <row r="50" spans="1:27">
      <c r="A50" s="346">
        <v>280</v>
      </c>
      <c r="B50" s="347">
        <v>282000</v>
      </c>
      <c r="C50" s="348" t="s">
        <v>6429</v>
      </c>
      <c r="D50" s="349">
        <v>600</v>
      </c>
      <c r="E50" s="350">
        <v>600</v>
      </c>
      <c r="F50" s="350">
        <v>1250</v>
      </c>
      <c r="H50" s="351">
        <f t="shared" si="1"/>
        <v>-600000</v>
      </c>
      <c r="I50" s="351">
        <f t="shared" si="2"/>
        <v>-1250000</v>
      </c>
      <c r="M50" s="321">
        <v>1249000490</v>
      </c>
      <c r="N50" s="321">
        <v>24</v>
      </c>
      <c r="O50" s="321" t="s">
        <v>4870</v>
      </c>
      <c r="P50" s="321">
        <v>6879000</v>
      </c>
      <c r="Q50" s="322">
        <v>-60000</v>
      </c>
      <c r="R50" s="322">
        <v>-21200</v>
      </c>
      <c r="S50" s="322">
        <v>-29000</v>
      </c>
      <c r="T50" s="322">
        <v>-29000</v>
      </c>
      <c r="U50" s="322">
        <f t="shared" si="0"/>
        <v>0</v>
      </c>
      <c r="W50" s="321">
        <f t="shared" si="3"/>
        <v>490</v>
      </c>
      <c r="X50" s="321">
        <f t="shared" si="4"/>
        <v>249000</v>
      </c>
      <c r="Y50" s="321">
        <v>1</v>
      </c>
      <c r="AA50" s="321" t="s">
        <v>4870</v>
      </c>
    </row>
    <row r="51" spans="1:27">
      <c r="A51" s="356">
        <v>100</v>
      </c>
      <c r="B51" s="357">
        <v>291000</v>
      </c>
      <c r="C51" s="358" t="s">
        <v>6430</v>
      </c>
      <c r="D51" s="359">
        <v>40</v>
      </c>
      <c r="E51" s="360">
        <v>40</v>
      </c>
      <c r="F51" s="360">
        <v>50</v>
      </c>
      <c r="H51" s="351">
        <f t="shared" si="1"/>
        <v>-40000</v>
      </c>
      <c r="I51" s="351">
        <f t="shared" si="2"/>
        <v>-50000</v>
      </c>
      <c r="M51" s="321">
        <v>1249000990</v>
      </c>
      <c r="N51" s="321">
        <v>24</v>
      </c>
      <c r="O51" s="321" t="s">
        <v>4871</v>
      </c>
      <c r="P51" s="321">
        <v>6879000</v>
      </c>
      <c r="Q51" s="322">
        <v>-240000</v>
      </c>
      <c r="R51" s="322">
        <v>0</v>
      </c>
      <c r="S51" s="322">
        <v>-200000</v>
      </c>
      <c r="T51" s="322">
        <v>-200000</v>
      </c>
      <c r="U51" s="322">
        <f t="shared" si="0"/>
        <v>0</v>
      </c>
      <c r="W51" s="321">
        <f t="shared" si="3"/>
        <v>990</v>
      </c>
      <c r="X51" s="321">
        <f t="shared" si="4"/>
        <v>249000</v>
      </c>
      <c r="Y51" s="321">
        <v>1</v>
      </c>
      <c r="AA51" s="321" t="s">
        <v>4871</v>
      </c>
    </row>
    <row r="52" spans="1:27">
      <c r="A52" s="346">
        <v>490</v>
      </c>
      <c r="B52" s="347">
        <v>311900</v>
      </c>
      <c r="C52" s="348" t="s">
        <v>6431</v>
      </c>
      <c r="D52" s="349">
        <v>205</v>
      </c>
      <c r="E52" s="350">
        <v>205</v>
      </c>
      <c r="F52" s="350">
        <v>180</v>
      </c>
      <c r="H52" s="351">
        <f t="shared" si="1"/>
        <v>-205000</v>
      </c>
      <c r="I52" s="351">
        <f t="shared" si="2"/>
        <v>-180000</v>
      </c>
      <c r="M52" s="321">
        <v>1249000991</v>
      </c>
      <c r="N52" s="321">
        <v>24</v>
      </c>
      <c r="O52" s="321" t="s">
        <v>4872</v>
      </c>
      <c r="P52" s="321">
        <v>6879000</v>
      </c>
      <c r="Q52" s="322">
        <v>-75000</v>
      </c>
      <c r="R52" s="322">
        <v>0</v>
      </c>
      <c r="S52" s="322">
        <v>-75000</v>
      </c>
      <c r="T52" s="322">
        <v>-75000</v>
      </c>
      <c r="U52" s="322">
        <f t="shared" si="0"/>
        <v>0</v>
      </c>
      <c r="W52" s="321">
        <f t="shared" si="3"/>
        <v>991</v>
      </c>
      <c r="X52" s="321">
        <f t="shared" si="4"/>
        <v>249000</v>
      </c>
      <c r="Y52" s="321">
        <v>1</v>
      </c>
      <c r="AA52" s="321" t="s">
        <v>4872</v>
      </c>
    </row>
    <row r="53" spans="1:27">
      <c r="A53" s="346">
        <v>420</v>
      </c>
      <c r="B53" s="347">
        <v>312000</v>
      </c>
      <c r="C53" s="348" t="s">
        <v>6432</v>
      </c>
      <c r="D53" s="349">
        <v>260</v>
      </c>
      <c r="E53" s="350">
        <v>250</v>
      </c>
      <c r="F53" s="350">
        <v>250</v>
      </c>
      <c r="H53" s="351">
        <f t="shared" si="1"/>
        <v>-260000</v>
      </c>
      <c r="I53" s="351">
        <f t="shared" si="2"/>
        <v>-250000</v>
      </c>
      <c r="M53" s="321">
        <v>1261000290</v>
      </c>
      <c r="N53" s="321">
        <v>26</v>
      </c>
      <c r="O53" s="321" t="s">
        <v>4873</v>
      </c>
      <c r="P53" s="321">
        <v>6761000</v>
      </c>
      <c r="Q53" s="322">
        <v>-300000</v>
      </c>
      <c r="R53" s="322">
        <v>-225000</v>
      </c>
      <c r="S53" s="322">
        <v>-300000</v>
      </c>
      <c r="T53" s="322">
        <v>-300000</v>
      </c>
      <c r="U53" s="322">
        <f t="shared" si="0"/>
        <v>0</v>
      </c>
      <c r="W53" s="321">
        <f t="shared" si="3"/>
        <v>290</v>
      </c>
      <c r="X53" s="321">
        <f t="shared" si="4"/>
        <v>261000</v>
      </c>
      <c r="Y53" s="321">
        <v>1</v>
      </c>
      <c r="AA53" s="321" t="s">
        <v>4873</v>
      </c>
    </row>
    <row r="54" spans="1:27">
      <c r="A54" s="346">
        <v>922</v>
      </c>
      <c r="B54" s="347">
        <v>312000</v>
      </c>
      <c r="C54" s="348" t="s">
        <v>6433</v>
      </c>
      <c r="D54" s="349">
        <v>51</v>
      </c>
      <c r="E54" s="350">
        <v>51</v>
      </c>
      <c r="F54" s="350">
        <v>52</v>
      </c>
      <c r="H54" s="351">
        <f t="shared" si="1"/>
        <v>-51000</v>
      </c>
      <c r="I54" s="351">
        <f t="shared" si="2"/>
        <v>-52000</v>
      </c>
      <c r="M54" s="321">
        <v>1262000261</v>
      </c>
      <c r="N54" s="321">
        <v>26</v>
      </c>
      <c r="O54" s="321" t="s">
        <v>4874</v>
      </c>
      <c r="P54" s="321">
        <v>6761000</v>
      </c>
      <c r="Q54" s="322">
        <v>-20000</v>
      </c>
      <c r="R54" s="322">
        <v>-20000</v>
      </c>
      <c r="S54" s="322">
        <v>-25000</v>
      </c>
      <c r="T54" s="322">
        <v>-25000</v>
      </c>
      <c r="U54" s="322">
        <f t="shared" si="0"/>
        <v>0</v>
      </c>
      <c r="W54" s="321">
        <f t="shared" si="3"/>
        <v>261</v>
      </c>
      <c r="X54" s="321">
        <f t="shared" si="4"/>
        <v>262000</v>
      </c>
      <c r="Y54" s="321">
        <v>1</v>
      </c>
      <c r="AA54" s="321" t="s">
        <v>4874</v>
      </c>
    </row>
    <row r="55" spans="1:27">
      <c r="A55" s="346">
        <v>920</v>
      </c>
      <c r="B55" s="347">
        <v>312200</v>
      </c>
      <c r="C55" s="348" t="s">
        <v>6434</v>
      </c>
      <c r="D55" s="349">
        <v>6197</v>
      </c>
      <c r="E55" s="350">
        <v>6207</v>
      </c>
      <c r="F55" s="350">
        <v>6260</v>
      </c>
      <c r="H55" s="351">
        <f t="shared" si="1"/>
        <v>-6197000</v>
      </c>
      <c r="I55" s="351">
        <f t="shared" si="2"/>
        <v>-6260000</v>
      </c>
      <c r="M55" s="321">
        <v>1262000420</v>
      </c>
      <c r="N55" s="321">
        <v>26</v>
      </c>
      <c r="O55" s="321" t="s">
        <v>4875</v>
      </c>
      <c r="P55" s="321">
        <v>6762000</v>
      </c>
      <c r="Q55" s="322">
        <v>-2000</v>
      </c>
      <c r="R55" s="322">
        <v>-2100</v>
      </c>
      <c r="S55" s="322">
        <v>-2000</v>
      </c>
      <c r="T55" s="322">
        <v>-2000</v>
      </c>
      <c r="U55" s="322">
        <f t="shared" si="0"/>
        <v>0</v>
      </c>
      <c r="W55" s="321">
        <f t="shared" si="3"/>
        <v>420</v>
      </c>
      <c r="X55" s="321">
        <f t="shared" si="4"/>
        <v>262000</v>
      </c>
      <c r="Y55" s="321">
        <v>1</v>
      </c>
      <c r="AA55" s="321" t="s">
        <v>4875</v>
      </c>
    </row>
    <row r="56" spans="1:27">
      <c r="A56" s="346">
        <v>921</v>
      </c>
      <c r="B56" s="347">
        <v>312200</v>
      </c>
      <c r="C56" s="348" t="s">
        <v>6435</v>
      </c>
      <c r="D56" s="349">
        <v>8315</v>
      </c>
      <c r="E56" s="350">
        <v>8014</v>
      </c>
      <c r="F56" s="350">
        <v>8295</v>
      </c>
      <c r="H56" s="351">
        <f t="shared" si="1"/>
        <v>-8315000</v>
      </c>
      <c r="I56" s="351">
        <f t="shared" si="2"/>
        <v>-8295000</v>
      </c>
      <c r="M56" s="321">
        <v>1264000610</v>
      </c>
      <c r="N56" s="321">
        <v>26</v>
      </c>
      <c r="O56" s="321" t="s">
        <v>4876</v>
      </c>
      <c r="P56" s="321">
        <v>6764000</v>
      </c>
      <c r="Q56" s="322">
        <v>-7700</v>
      </c>
      <c r="R56" s="322">
        <v>-7700</v>
      </c>
      <c r="S56" s="322">
        <v>-8000</v>
      </c>
      <c r="T56" s="322">
        <v>-8000</v>
      </c>
      <c r="U56" s="322">
        <f t="shared" si="0"/>
        <v>0</v>
      </c>
      <c r="W56" s="321">
        <f t="shared" si="3"/>
        <v>610</v>
      </c>
      <c r="X56" s="321">
        <f t="shared" si="4"/>
        <v>264000</v>
      </c>
      <c r="Y56" s="321">
        <v>1</v>
      </c>
      <c r="AA56" s="321" t="s">
        <v>4876</v>
      </c>
    </row>
    <row r="57" spans="1:27">
      <c r="A57" s="346">
        <v>922</v>
      </c>
      <c r="B57" s="347">
        <v>312200</v>
      </c>
      <c r="C57" s="348" t="s">
        <v>6436</v>
      </c>
      <c r="D57" s="349">
        <v>19371</v>
      </c>
      <c r="E57" s="350">
        <v>18900</v>
      </c>
      <c r="F57" s="350">
        <v>19545</v>
      </c>
      <c r="H57" s="351">
        <f t="shared" si="1"/>
        <v>-19371000</v>
      </c>
      <c r="I57" s="351">
        <f t="shared" si="2"/>
        <v>-19545000</v>
      </c>
      <c r="M57" s="321">
        <v>1269000510</v>
      </c>
      <c r="N57" s="321">
        <v>26</v>
      </c>
      <c r="O57" s="321" t="s">
        <v>4877</v>
      </c>
      <c r="P57" s="321">
        <v>1611305</v>
      </c>
      <c r="Q57" s="322">
        <v>-212000</v>
      </c>
      <c r="R57" s="322">
        <v>-141600</v>
      </c>
      <c r="S57" s="322">
        <v>0</v>
      </c>
      <c r="T57" s="322">
        <v>0</v>
      </c>
      <c r="U57" s="322">
        <f t="shared" si="0"/>
        <v>0</v>
      </c>
      <c r="W57" s="321">
        <f t="shared" si="3"/>
        <v>510</v>
      </c>
      <c r="X57" s="321">
        <f t="shared" si="4"/>
        <v>269000</v>
      </c>
      <c r="Y57" s="321">
        <v>1</v>
      </c>
      <c r="AA57" s="321" t="s">
        <v>4877</v>
      </c>
    </row>
    <row r="58" spans="1:27">
      <c r="A58" s="346">
        <v>923</v>
      </c>
      <c r="B58" s="347">
        <v>312200</v>
      </c>
      <c r="C58" s="348" t="s">
        <v>6437</v>
      </c>
      <c r="D58" s="349">
        <v>775</v>
      </c>
      <c r="E58" s="350">
        <v>674</v>
      </c>
      <c r="F58" s="350">
        <v>665</v>
      </c>
      <c r="H58" s="351">
        <f t="shared" si="1"/>
        <v>-775000</v>
      </c>
      <c r="I58" s="351">
        <f t="shared" si="2"/>
        <v>-665000</v>
      </c>
      <c r="M58" s="321">
        <v>1269000610</v>
      </c>
      <c r="N58" s="321">
        <v>26</v>
      </c>
      <c r="O58" s="321" t="s">
        <v>4878</v>
      </c>
      <c r="P58" s="321">
        <v>1611304</v>
      </c>
      <c r="Q58" s="322">
        <v>-350000</v>
      </c>
      <c r="R58" s="322">
        <v>-214500</v>
      </c>
      <c r="S58" s="322">
        <v>-300000</v>
      </c>
      <c r="T58" s="322">
        <v>-300000</v>
      </c>
      <c r="U58" s="322">
        <f t="shared" si="0"/>
        <v>0</v>
      </c>
      <c r="W58" s="321">
        <f t="shared" si="3"/>
        <v>610</v>
      </c>
      <c r="X58" s="321">
        <f t="shared" si="4"/>
        <v>269000</v>
      </c>
      <c r="Y58" s="321">
        <v>1</v>
      </c>
      <c r="AA58" s="321" t="s">
        <v>4878</v>
      </c>
    </row>
    <row r="59" spans="1:27">
      <c r="A59" s="346">
        <v>924</v>
      </c>
      <c r="B59" s="347">
        <v>312200</v>
      </c>
      <c r="C59" s="348" t="s">
        <v>6438</v>
      </c>
      <c r="D59" s="349">
        <v>2090</v>
      </c>
      <c r="E59" s="350">
        <v>665</v>
      </c>
      <c r="F59" s="350">
        <v>0</v>
      </c>
      <c r="H59" s="351">
        <f t="shared" si="1"/>
        <v>-2090000</v>
      </c>
      <c r="I59" s="351">
        <f t="shared" si="2"/>
        <v>0</v>
      </c>
      <c r="M59" s="321">
        <v>1269000690</v>
      </c>
      <c r="N59" s="321">
        <v>26</v>
      </c>
      <c r="O59" s="321" t="s">
        <v>4879</v>
      </c>
      <c r="P59" s="321">
        <v>1611305</v>
      </c>
      <c r="Q59" s="322">
        <v>-51000</v>
      </c>
      <c r="R59" s="322">
        <v>-40000</v>
      </c>
      <c r="S59" s="322">
        <v>-51000</v>
      </c>
      <c r="T59" s="322">
        <v>-51000</v>
      </c>
      <c r="U59" s="322">
        <f t="shared" si="0"/>
        <v>0</v>
      </c>
      <c r="W59" s="321">
        <f t="shared" si="3"/>
        <v>690</v>
      </c>
      <c r="X59" s="321">
        <f t="shared" si="4"/>
        <v>269000</v>
      </c>
      <c r="Y59" s="321">
        <v>1</v>
      </c>
      <c r="AA59" s="321" t="s">
        <v>4879</v>
      </c>
    </row>
    <row r="60" spans="1:27">
      <c r="A60" s="346">
        <v>410</v>
      </c>
      <c r="B60" s="347">
        <v>312300</v>
      </c>
      <c r="C60" s="348" t="s">
        <v>6439</v>
      </c>
      <c r="D60" s="349">
        <v>0</v>
      </c>
      <c r="E60" s="350">
        <v>0</v>
      </c>
      <c r="F60" s="350">
        <v>0</v>
      </c>
      <c r="H60" s="351">
        <f t="shared" si="1"/>
        <v>0</v>
      </c>
      <c r="I60" s="351">
        <f t="shared" si="2"/>
        <v>0</v>
      </c>
      <c r="M60" s="321">
        <v>1269003490</v>
      </c>
      <c r="N60" s="321">
        <v>26</v>
      </c>
      <c r="O60" s="321" t="s">
        <v>4880</v>
      </c>
      <c r="P60" s="321">
        <v>1769003</v>
      </c>
      <c r="Q60" s="322">
        <v>-31000</v>
      </c>
      <c r="R60" s="322">
        <v>0</v>
      </c>
      <c r="S60" s="322">
        <v>-31000</v>
      </c>
      <c r="T60" s="322">
        <v>-31000</v>
      </c>
      <c r="U60" s="322">
        <f t="shared" si="0"/>
        <v>0</v>
      </c>
      <c r="W60" s="321">
        <f t="shared" si="3"/>
        <v>490</v>
      </c>
      <c r="X60" s="321">
        <f t="shared" si="4"/>
        <v>269003</v>
      </c>
      <c r="Y60" s="321">
        <v>1</v>
      </c>
      <c r="AA60" s="321" t="s">
        <v>4880</v>
      </c>
    </row>
    <row r="61" spans="1:27">
      <c r="A61" s="346">
        <v>420</v>
      </c>
      <c r="B61" s="347">
        <v>313200</v>
      </c>
      <c r="C61" s="355" t="s">
        <v>6440</v>
      </c>
      <c r="D61" s="349">
        <v>0</v>
      </c>
      <c r="E61" s="350">
        <v>988</v>
      </c>
      <c r="F61" s="350">
        <v>1242</v>
      </c>
      <c r="H61" s="351">
        <f t="shared" si="1"/>
        <v>0</v>
      </c>
      <c r="I61" s="351">
        <f t="shared" si="2"/>
        <v>-1242000</v>
      </c>
      <c r="M61" s="321">
        <v>1274700990</v>
      </c>
      <c r="N61" s="321">
        <v>27</v>
      </c>
      <c r="O61" s="321" t="s">
        <v>4881</v>
      </c>
      <c r="P61" s="321">
        <v>6747200</v>
      </c>
      <c r="Q61" s="322">
        <v>-54600</v>
      </c>
      <c r="R61" s="322">
        <v>-9100</v>
      </c>
      <c r="S61" s="322">
        <v>-55000</v>
      </c>
      <c r="T61" s="322">
        <v>-55000</v>
      </c>
      <c r="U61" s="322">
        <f t="shared" si="0"/>
        <v>0</v>
      </c>
      <c r="W61" s="321">
        <f t="shared" si="3"/>
        <v>990</v>
      </c>
      <c r="X61" s="321">
        <f t="shared" si="4"/>
        <v>274700</v>
      </c>
      <c r="Y61" s="321">
        <v>1</v>
      </c>
      <c r="AA61" s="321" t="s">
        <v>4881</v>
      </c>
    </row>
    <row r="62" spans="1:27">
      <c r="A62" s="346">
        <v>920</v>
      </c>
      <c r="B62" s="347">
        <v>313200</v>
      </c>
      <c r="C62" s="355" t="s">
        <v>6441</v>
      </c>
      <c r="D62" s="349">
        <v>6414</v>
      </c>
      <c r="E62" s="350">
        <v>6385</v>
      </c>
      <c r="F62" s="350">
        <v>6350</v>
      </c>
      <c r="H62" s="351">
        <f t="shared" si="1"/>
        <v>-6414000</v>
      </c>
      <c r="I62" s="351">
        <f t="shared" si="2"/>
        <v>-6350000</v>
      </c>
      <c r="M62" s="321">
        <v>1274700991</v>
      </c>
      <c r="N62" s="321">
        <v>27</v>
      </c>
      <c r="O62" s="321" t="s">
        <v>4882</v>
      </c>
      <c r="P62" s="321">
        <v>6747200</v>
      </c>
      <c r="Q62" s="322">
        <v>0</v>
      </c>
      <c r="R62" s="322">
        <v>0</v>
      </c>
      <c r="S62" s="322">
        <v>0</v>
      </c>
      <c r="T62" s="322">
        <v>0</v>
      </c>
      <c r="U62" s="322">
        <f t="shared" si="0"/>
        <v>0</v>
      </c>
      <c r="W62" s="321">
        <f t="shared" si="3"/>
        <v>991</v>
      </c>
      <c r="X62" s="321">
        <f t="shared" si="4"/>
        <v>274700</v>
      </c>
      <c r="Y62" s="321">
        <v>1</v>
      </c>
      <c r="AA62" s="321" t="s">
        <v>4882</v>
      </c>
    </row>
    <row r="63" spans="1:27">
      <c r="A63" s="346">
        <v>921</v>
      </c>
      <c r="B63" s="347">
        <v>313200</v>
      </c>
      <c r="C63" s="355" t="s">
        <v>6442</v>
      </c>
      <c r="D63" s="349">
        <v>963</v>
      </c>
      <c r="E63" s="350">
        <v>944</v>
      </c>
      <c r="F63" s="350">
        <v>935</v>
      </c>
      <c r="H63" s="351">
        <f t="shared" si="1"/>
        <v>-963000</v>
      </c>
      <c r="I63" s="351">
        <f t="shared" si="2"/>
        <v>-935000</v>
      </c>
      <c r="M63" s="321">
        <v>1281000290</v>
      </c>
      <c r="N63" s="321">
        <v>28</v>
      </c>
      <c r="O63" s="321" t="s">
        <v>4883</v>
      </c>
      <c r="P63" s="321">
        <v>6781000</v>
      </c>
      <c r="Q63" s="322">
        <v>-150000</v>
      </c>
      <c r="R63" s="322">
        <v>-32000</v>
      </c>
      <c r="S63" s="322">
        <v>-150000</v>
      </c>
      <c r="T63" s="322">
        <v>-150000</v>
      </c>
      <c r="U63" s="322">
        <f t="shared" si="0"/>
        <v>0</v>
      </c>
      <c r="W63" s="321">
        <f t="shared" si="3"/>
        <v>290</v>
      </c>
      <c r="X63" s="321">
        <f t="shared" si="4"/>
        <v>281000</v>
      </c>
      <c r="Y63" s="321">
        <v>1</v>
      </c>
      <c r="AA63" s="321" t="s">
        <v>4883</v>
      </c>
    </row>
    <row r="64" spans="1:27">
      <c r="A64" s="346">
        <v>922</v>
      </c>
      <c r="B64" s="347">
        <v>313200</v>
      </c>
      <c r="C64" s="348" t="s">
        <v>6443</v>
      </c>
      <c r="D64" s="349">
        <v>37</v>
      </c>
      <c r="E64" s="350">
        <v>38</v>
      </c>
      <c r="F64" s="350">
        <v>32</v>
      </c>
      <c r="H64" s="351">
        <f t="shared" si="1"/>
        <v>-37000</v>
      </c>
      <c r="I64" s="351">
        <f t="shared" si="2"/>
        <v>-32000</v>
      </c>
      <c r="M64" s="321">
        <v>1281000291</v>
      </c>
      <c r="N64" s="321">
        <v>28</v>
      </c>
      <c r="O64" s="321" t="s">
        <v>4884</v>
      </c>
      <c r="P64" s="321">
        <v>6781000</v>
      </c>
      <c r="Q64" s="322">
        <v>-4500000</v>
      </c>
      <c r="R64" s="322">
        <v>-1553300</v>
      </c>
      <c r="S64" s="322">
        <v>-4000000</v>
      </c>
      <c r="T64" s="322">
        <v>-4000000</v>
      </c>
      <c r="U64" s="322">
        <f t="shared" si="0"/>
        <v>0</v>
      </c>
      <c r="W64" s="321">
        <f t="shared" si="3"/>
        <v>291</v>
      </c>
      <c r="X64" s="321">
        <f t="shared" si="4"/>
        <v>281000</v>
      </c>
      <c r="Y64" s="321">
        <v>1</v>
      </c>
      <c r="AA64" s="321" t="s">
        <v>4884</v>
      </c>
    </row>
    <row r="65" spans="1:27">
      <c r="A65" s="346">
        <v>923</v>
      </c>
      <c r="B65" s="347">
        <v>313200</v>
      </c>
      <c r="C65" s="348" t="s">
        <v>6444</v>
      </c>
      <c r="D65" s="349">
        <v>390</v>
      </c>
      <c r="E65" s="350">
        <v>275</v>
      </c>
      <c r="F65" s="350">
        <v>285</v>
      </c>
      <c r="H65" s="351">
        <f t="shared" si="1"/>
        <v>-390000</v>
      </c>
      <c r="I65" s="351">
        <f t="shared" si="2"/>
        <v>-285000</v>
      </c>
      <c r="M65" s="321">
        <v>1281001290</v>
      </c>
      <c r="N65" s="321">
        <v>28</v>
      </c>
      <c r="O65" s="321" t="s">
        <v>4885</v>
      </c>
      <c r="P65" s="321">
        <v>6781001</v>
      </c>
      <c r="Q65" s="322">
        <v>-6800000</v>
      </c>
      <c r="R65" s="322">
        <v>-4238500</v>
      </c>
      <c r="S65" s="322">
        <v>-6800000</v>
      </c>
      <c r="T65" s="322">
        <v>-6800000</v>
      </c>
      <c r="U65" s="322">
        <f t="shared" si="0"/>
        <v>0</v>
      </c>
      <c r="W65" s="321">
        <f t="shared" si="3"/>
        <v>290</v>
      </c>
      <c r="X65" s="321">
        <f t="shared" si="4"/>
        <v>281001</v>
      </c>
      <c r="Y65" s="321">
        <v>1</v>
      </c>
      <c r="AA65" s="321" t="s">
        <v>4885</v>
      </c>
    </row>
    <row r="66" spans="1:27">
      <c r="A66" s="346">
        <v>924</v>
      </c>
      <c r="B66" s="347">
        <v>313200</v>
      </c>
      <c r="C66" s="355" t="s">
        <v>6445</v>
      </c>
      <c r="D66" s="349">
        <v>345</v>
      </c>
      <c r="E66" s="350">
        <v>339</v>
      </c>
      <c r="F66" s="350">
        <v>325</v>
      </c>
      <c r="H66" s="351">
        <f t="shared" si="1"/>
        <v>-345000</v>
      </c>
      <c r="I66" s="351">
        <f t="shared" si="2"/>
        <v>-325000</v>
      </c>
      <c r="M66" s="321">
        <v>1281001291</v>
      </c>
      <c r="N66" s="321">
        <v>28</v>
      </c>
      <c r="O66" s="321" t="s">
        <v>4886</v>
      </c>
      <c r="P66" s="321">
        <v>6781001</v>
      </c>
      <c r="Q66" s="322">
        <v>-1600000</v>
      </c>
      <c r="R66" s="322">
        <v>-383200</v>
      </c>
      <c r="S66" s="322">
        <v>-900000</v>
      </c>
      <c r="T66" s="322">
        <v>-900000</v>
      </c>
      <c r="U66" s="322">
        <f t="shared" ref="U66:U129" si="5">S66-T66</f>
        <v>0</v>
      </c>
      <c r="W66" s="321">
        <f t="shared" si="3"/>
        <v>291</v>
      </c>
      <c r="X66" s="321">
        <f t="shared" si="4"/>
        <v>281001</v>
      </c>
      <c r="Y66" s="321">
        <v>1</v>
      </c>
      <c r="AA66" s="321" t="s">
        <v>4886</v>
      </c>
    </row>
    <row r="67" spans="1:27">
      <c r="A67" s="346">
        <v>920</v>
      </c>
      <c r="B67" s="361">
        <v>313220</v>
      </c>
      <c r="C67" s="355" t="s">
        <v>6446</v>
      </c>
      <c r="D67" s="349">
        <v>131</v>
      </c>
      <c r="E67" s="350">
        <v>131</v>
      </c>
      <c r="F67" s="350">
        <v>135</v>
      </c>
      <c r="H67" s="351">
        <f t="shared" ref="H67:H130" si="6">D67*-1000</f>
        <v>-131000</v>
      </c>
      <c r="I67" s="351">
        <f t="shared" ref="I67:I130" si="7">F67*-1000</f>
        <v>-135000</v>
      </c>
      <c r="M67" s="321">
        <v>1281001292</v>
      </c>
      <c r="N67" s="321">
        <v>28</v>
      </c>
      <c r="O67" s="321" t="s">
        <v>4887</v>
      </c>
      <c r="P67" s="321">
        <v>6781001</v>
      </c>
      <c r="Q67" s="322">
        <v>-1500000</v>
      </c>
      <c r="R67" s="322">
        <v>-6700</v>
      </c>
      <c r="S67" s="322">
        <v>-16000</v>
      </c>
      <c r="T67" s="322">
        <v>-16000</v>
      </c>
      <c r="U67" s="322">
        <f t="shared" si="5"/>
        <v>0</v>
      </c>
      <c r="W67" s="321">
        <f t="shared" ref="W67:W130" si="8">M67-1000000000-X67*1000</f>
        <v>292</v>
      </c>
      <c r="X67" s="321">
        <f t="shared" ref="X67:X130" si="9">ROUNDDOWN((M67-1000000000)/1000,0)</f>
        <v>281001</v>
      </c>
      <c r="Y67" s="321">
        <v>1</v>
      </c>
      <c r="AA67" s="321" t="s">
        <v>4887</v>
      </c>
    </row>
    <row r="68" spans="1:27">
      <c r="A68" s="346">
        <v>920</v>
      </c>
      <c r="B68" s="347">
        <v>313300</v>
      </c>
      <c r="C68" s="348" t="s">
        <v>6447</v>
      </c>
      <c r="D68" s="349">
        <v>9075</v>
      </c>
      <c r="E68" s="350">
        <v>8475</v>
      </c>
      <c r="F68" s="350">
        <v>8640</v>
      </c>
      <c r="H68" s="351">
        <f t="shared" si="6"/>
        <v>-9075000</v>
      </c>
      <c r="I68" s="351">
        <f t="shared" si="7"/>
        <v>-8640000</v>
      </c>
      <c r="M68" s="321">
        <v>1281001293</v>
      </c>
      <c r="N68" s="321">
        <v>28</v>
      </c>
      <c r="O68" s="321" t="s">
        <v>4888</v>
      </c>
      <c r="P68" s="321">
        <v>6781001</v>
      </c>
      <c r="Q68" s="322">
        <v>-1200000</v>
      </c>
      <c r="R68" s="322">
        <v>-684400</v>
      </c>
      <c r="S68" s="322">
        <v>-1200000</v>
      </c>
      <c r="T68" s="322">
        <v>-1200000</v>
      </c>
      <c r="U68" s="322">
        <f t="shared" si="5"/>
        <v>0</v>
      </c>
      <c r="W68" s="321">
        <f t="shared" si="8"/>
        <v>293</v>
      </c>
      <c r="X68" s="321">
        <f t="shared" si="9"/>
        <v>281001</v>
      </c>
      <c r="Y68" s="321">
        <v>1</v>
      </c>
      <c r="AA68" s="321" t="s">
        <v>4888</v>
      </c>
    </row>
    <row r="69" spans="1:27">
      <c r="A69" s="346">
        <v>921</v>
      </c>
      <c r="B69" s="347">
        <v>313300</v>
      </c>
      <c r="C69" s="348" t="s">
        <v>6448</v>
      </c>
      <c r="D69" s="349">
        <v>1250</v>
      </c>
      <c r="E69" s="350">
        <v>1220</v>
      </c>
      <c r="F69" s="350">
        <v>1130</v>
      </c>
      <c r="H69" s="351">
        <f t="shared" si="6"/>
        <v>-1250000</v>
      </c>
      <c r="I69" s="351">
        <f t="shared" si="7"/>
        <v>-1130000</v>
      </c>
      <c r="M69" s="321">
        <v>1281001295</v>
      </c>
      <c r="N69" s="321">
        <v>28</v>
      </c>
      <c r="O69" s="321" t="s">
        <v>4889</v>
      </c>
      <c r="P69" s="321">
        <v>6781001</v>
      </c>
      <c r="Q69" s="322">
        <v>-39000</v>
      </c>
      <c r="R69" s="322">
        <v>-38800</v>
      </c>
      <c r="S69" s="322">
        <v>-39000</v>
      </c>
      <c r="T69" s="322">
        <v>-39000</v>
      </c>
      <c r="U69" s="322">
        <f t="shared" si="5"/>
        <v>0</v>
      </c>
      <c r="W69" s="321">
        <f t="shared" si="8"/>
        <v>295</v>
      </c>
      <c r="X69" s="321">
        <f t="shared" si="9"/>
        <v>281001</v>
      </c>
      <c r="Y69" s="321">
        <v>1</v>
      </c>
      <c r="AA69" s="321" t="s">
        <v>4889</v>
      </c>
    </row>
    <row r="70" spans="1:27">
      <c r="A70" s="346">
        <v>420</v>
      </c>
      <c r="B70" s="347">
        <v>313600</v>
      </c>
      <c r="C70" s="355" t="s">
        <v>6449</v>
      </c>
      <c r="D70" s="349">
        <v>115</v>
      </c>
      <c r="E70" s="350">
        <v>115</v>
      </c>
      <c r="F70" s="350">
        <v>115</v>
      </c>
      <c r="H70" s="351">
        <f t="shared" si="6"/>
        <v>-115000</v>
      </c>
      <c r="I70" s="351">
        <f t="shared" si="7"/>
        <v>-115000</v>
      </c>
      <c r="M70" s="321">
        <v>1281001296</v>
      </c>
      <c r="N70" s="321">
        <v>28</v>
      </c>
      <c r="O70" s="321" t="s">
        <v>4890</v>
      </c>
      <c r="P70" s="321">
        <v>6781001</v>
      </c>
      <c r="Q70" s="322">
        <v>-6500000</v>
      </c>
      <c r="R70" s="322">
        <v>-3882300</v>
      </c>
      <c r="S70" s="322">
        <v>-6500000</v>
      </c>
      <c r="T70" s="322">
        <v>-6500000</v>
      </c>
      <c r="U70" s="322">
        <f t="shared" si="5"/>
        <v>0</v>
      </c>
      <c r="W70" s="321">
        <f t="shared" si="8"/>
        <v>296</v>
      </c>
      <c r="X70" s="321">
        <f t="shared" si="9"/>
        <v>281001</v>
      </c>
      <c r="Y70" s="321">
        <v>1</v>
      </c>
      <c r="AA70" s="321" t="s">
        <v>4890</v>
      </c>
    </row>
    <row r="71" spans="1:27">
      <c r="A71" s="346">
        <v>920</v>
      </c>
      <c r="B71" s="347">
        <v>313600</v>
      </c>
      <c r="C71" s="355" t="s">
        <v>6450</v>
      </c>
      <c r="D71" s="349">
        <v>0</v>
      </c>
      <c r="E71" s="350">
        <v>0</v>
      </c>
      <c r="F71" s="350">
        <v>0</v>
      </c>
      <c r="H71" s="351">
        <f t="shared" si="6"/>
        <v>0</v>
      </c>
      <c r="I71" s="351">
        <f t="shared" si="7"/>
        <v>0</v>
      </c>
      <c r="M71" s="321">
        <v>1281001297</v>
      </c>
      <c r="N71" s="321">
        <v>28</v>
      </c>
      <c r="O71" s="321" t="s">
        <v>4891</v>
      </c>
      <c r="P71" s="321">
        <v>6781001</v>
      </c>
      <c r="Q71" s="322">
        <v>-230000</v>
      </c>
      <c r="R71" s="322">
        <v>-365600</v>
      </c>
      <c r="S71" s="322">
        <v>-300000</v>
      </c>
      <c r="T71" s="322">
        <v>-300000</v>
      </c>
      <c r="U71" s="322">
        <f t="shared" si="5"/>
        <v>0</v>
      </c>
      <c r="W71" s="321">
        <f t="shared" si="8"/>
        <v>297</v>
      </c>
      <c r="X71" s="321">
        <f t="shared" si="9"/>
        <v>281001</v>
      </c>
      <c r="Y71" s="321">
        <v>1</v>
      </c>
      <c r="AA71" s="321" t="s">
        <v>4891</v>
      </c>
    </row>
    <row r="72" spans="1:27">
      <c r="A72" s="346">
        <v>920</v>
      </c>
      <c r="B72" s="347">
        <v>313800</v>
      </c>
      <c r="C72" s="348" t="s">
        <v>6451</v>
      </c>
      <c r="D72" s="349">
        <v>812</v>
      </c>
      <c r="E72" s="350">
        <v>812</v>
      </c>
      <c r="F72" s="350">
        <v>812</v>
      </c>
      <c r="H72" s="351">
        <f t="shared" si="6"/>
        <v>-812000</v>
      </c>
      <c r="I72" s="351">
        <f t="shared" si="7"/>
        <v>-812000</v>
      </c>
      <c r="M72" s="321">
        <v>1281001298</v>
      </c>
      <c r="N72" s="321">
        <v>28</v>
      </c>
      <c r="O72" s="321" t="s">
        <v>4892</v>
      </c>
      <c r="P72" s="321">
        <v>6781001</v>
      </c>
      <c r="Q72" s="322">
        <v>-41000</v>
      </c>
      <c r="R72" s="322">
        <v>-12200</v>
      </c>
      <c r="S72" s="322">
        <v>-18000</v>
      </c>
      <c r="T72" s="322">
        <v>-18000</v>
      </c>
      <c r="U72" s="322">
        <f t="shared" si="5"/>
        <v>0</v>
      </c>
      <c r="W72" s="321">
        <f t="shared" si="8"/>
        <v>298</v>
      </c>
      <c r="X72" s="321">
        <f t="shared" si="9"/>
        <v>281001</v>
      </c>
      <c r="Y72" s="321">
        <v>1</v>
      </c>
      <c r="AA72" s="321" t="s">
        <v>4892</v>
      </c>
    </row>
    <row r="73" spans="1:27">
      <c r="A73" s="346">
        <v>920</v>
      </c>
      <c r="B73" s="347">
        <v>314000</v>
      </c>
      <c r="C73" s="348" t="s">
        <v>6452</v>
      </c>
      <c r="D73" s="349">
        <v>5453</v>
      </c>
      <c r="E73" s="350">
        <v>5336</v>
      </c>
      <c r="F73" s="350">
        <v>5270</v>
      </c>
      <c r="H73" s="351">
        <f t="shared" si="6"/>
        <v>-5453000</v>
      </c>
      <c r="I73" s="351">
        <f t="shared" si="7"/>
        <v>-5270000</v>
      </c>
      <c r="M73" s="321">
        <v>1311000650</v>
      </c>
      <c r="N73" s="321">
        <v>31</v>
      </c>
      <c r="O73" s="321" t="s">
        <v>4893</v>
      </c>
      <c r="P73" s="321">
        <v>4811000</v>
      </c>
      <c r="Q73" s="322">
        <v>0</v>
      </c>
      <c r="R73" s="322">
        <v>0</v>
      </c>
      <c r="S73" s="322">
        <v>0</v>
      </c>
      <c r="T73" s="322">
        <v>0</v>
      </c>
      <c r="U73" s="322">
        <f t="shared" si="5"/>
        <v>0</v>
      </c>
      <c r="W73" s="321">
        <f t="shared" si="8"/>
        <v>650</v>
      </c>
      <c r="X73" s="321">
        <f t="shared" si="9"/>
        <v>311000</v>
      </c>
      <c r="Y73" s="321">
        <v>1</v>
      </c>
      <c r="AA73" s="321" t="s">
        <v>4893</v>
      </c>
    </row>
    <row r="74" spans="1:27">
      <c r="A74" s="346">
        <v>921</v>
      </c>
      <c r="B74" s="347">
        <v>314000</v>
      </c>
      <c r="C74" s="348" t="s">
        <v>6453</v>
      </c>
      <c r="D74" s="349">
        <v>503</v>
      </c>
      <c r="E74" s="350">
        <v>450</v>
      </c>
      <c r="F74" s="350">
        <v>116</v>
      </c>
      <c r="H74" s="351">
        <f t="shared" si="6"/>
        <v>-503000</v>
      </c>
      <c r="I74" s="351">
        <f t="shared" si="7"/>
        <v>-116000</v>
      </c>
      <c r="M74" s="321">
        <v>1311000920</v>
      </c>
      <c r="N74" s="321">
        <v>31</v>
      </c>
      <c r="O74" s="321" t="s">
        <v>4894</v>
      </c>
      <c r="P74" s="321">
        <v>4811000</v>
      </c>
      <c r="Q74" s="322">
        <v>0</v>
      </c>
      <c r="R74" s="322">
        <v>-269800</v>
      </c>
      <c r="S74" s="322">
        <v>-600000</v>
      </c>
      <c r="T74" s="322">
        <v>-600000</v>
      </c>
      <c r="U74" s="322">
        <f t="shared" si="5"/>
        <v>0</v>
      </c>
      <c r="W74" s="321">
        <f t="shared" si="8"/>
        <v>920</v>
      </c>
      <c r="X74" s="321">
        <f t="shared" si="9"/>
        <v>311000</v>
      </c>
      <c r="Y74" s="321">
        <v>1</v>
      </c>
      <c r="AA74" s="321" t="s">
        <v>4894</v>
      </c>
    </row>
    <row r="75" spans="1:27">
      <c r="A75" s="362">
        <v>922</v>
      </c>
      <c r="B75" s="363">
        <v>314000</v>
      </c>
      <c r="C75" s="364" t="s">
        <v>6454</v>
      </c>
      <c r="D75" s="365">
        <v>40</v>
      </c>
      <c r="E75" s="350">
        <v>35</v>
      </c>
      <c r="F75" s="366">
        <v>40</v>
      </c>
      <c r="H75" s="351">
        <f t="shared" si="6"/>
        <v>-40000</v>
      </c>
      <c r="I75" s="351">
        <f t="shared" si="7"/>
        <v>-40000</v>
      </c>
      <c r="M75" s="321">
        <v>1312100420</v>
      </c>
      <c r="N75" s="321">
        <v>31</v>
      </c>
      <c r="O75" s="321" t="s">
        <v>4688</v>
      </c>
      <c r="P75" s="321">
        <v>4812100</v>
      </c>
      <c r="Q75" s="322">
        <v>-5600000</v>
      </c>
      <c r="R75" s="322">
        <v>-3837300</v>
      </c>
      <c r="S75" s="322">
        <v>-5500000</v>
      </c>
      <c r="T75" s="322">
        <v>-5500000</v>
      </c>
      <c r="U75" s="322">
        <f t="shared" si="5"/>
        <v>0</v>
      </c>
      <c r="W75" s="321">
        <f t="shared" si="8"/>
        <v>420</v>
      </c>
      <c r="X75" s="321">
        <f t="shared" si="9"/>
        <v>312100</v>
      </c>
      <c r="Y75" s="321">
        <v>1</v>
      </c>
      <c r="AA75" s="321" t="s">
        <v>4688</v>
      </c>
    </row>
    <row r="76" spans="1:27">
      <c r="A76" s="346">
        <v>920</v>
      </c>
      <c r="B76" s="347">
        <v>314100</v>
      </c>
      <c r="C76" s="348" t="s">
        <v>6455</v>
      </c>
      <c r="D76" s="349">
        <v>406</v>
      </c>
      <c r="E76" s="350">
        <v>406</v>
      </c>
      <c r="F76" s="350">
        <v>405</v>
      </c>
      <c r="H76" s="351">
        <f t="shared" si="6"/>
        <v>-406000</v>
      </c>
      <c r="I76" s="351">
        <f t="shared" si="7"/>
        <v>-405000</v>
      </c>
      <c r="M76" s="321">
        <v>1312100421</v>
      </c>
      <c r="N76" s="321">
        <v>31</v>
      </c>
      <c r="O76" s="321" t="s">
        <v>4895</v>
      </c>
      <c r="P76" s="321">
        <v>4812100</v>
      </c>
      <c r="Q76" s="322">
        <v>-120000</v>
      </c>
      <c r="R76" s="322">
        <v>-73200</v>
      </c>
      <c r="S76" s="322">
        <v>-40000</v>
      </c>
      <c r="T76" s="322">
        <v>-40000</v>
      </c>
      <c r="U76" s="322">
        <f t="shared" si="5"/>
        <v>0</v>
      </c>
      <c r="W76" s="321">
        <f t="shared" si="8"/>
        <v>421</v>
      </c>
      <c r="X76" s="321">
        <f t="shared" si="9"/>
        <v>312100</v>
      </c>
      <c r="Y76" s="321">
        <v>1</v>
      </c>
      <c r="AA76" s="321" t="s">
        <v>4895</v>
      </c>
    </row>
    <row r="77" spans="1:27">
      <c r="A77" s="346">
        <v>920</v>
      </c>
      <c r="B77" s="347">
        <v>315200</v>
      </c>
      <c r="C77" s="352" t="s">
        <v>6456</v>
      </c>
      <c r="D77" s="349">
        <v>53640</v>
      </c>
      <c r="E77" s="350">
        <v>54342</v>
      </c>
      <c r="F77" s="350">
        <v>53942</v>
      </c>
      <c r="H77" s="351">
        <f t="shared" si="6"/>
        <v>-53640000</v>
      </c>
      <c r="I77" s="351">
        <f t="shared" si="7"/>
        <v>-53942000</v>
      </c>
      <c r="M77" s="321">
        <v>1312100924</v>
      </c>
      <c r="N77" s="321">
        <v>31</v>
      </c>
      <c r="O77" s="321" t="s">
        <v>4896</v>
      </c>
      <c r="P77" s="321">
        <v>4812100</v>
      </c>
      <c r="Q77" s="322">
        <v>-342000</v>
      </c>
      <c r="R77" s="322">
        <v>-53900</v>
      </c>
      <c r="S77" s="322">
        <v>-342000</v>
      </c>
      <c r="T77" s="322">
        <v>-342000</v>
      </c>
      <c r="U77" s="322">
        <f t="shared" si="5"/>
        <v>0</v>
      </c>
      <c r="W77" s="321">
        <f t="shared" si="8"/>
        <v>924</v>
      </c>
      <c r="X77" s="321">
        <f t="shared" si="9"/>
        <v>312100</v>
      </c>
      <c r="Y77" s="321">
        <v>1</v>
      </c>
      <c r="AA77" s="321" t="s">
        <v>4896</v>
      </c>
    </row>
    <row r="78" spans="1:27">
      <c r="A78" s="346">
        <v>922</v>
      </c>
      <c r="B78" s="347">
        <v>315200</v>
      </c>
      <c r="C78" s="364" t="s">
        <v>6457</v>
      </c>
      <c r="D78" s="349">
        <v>55</v>
      </c>
      <c r="E78" s="350">
        <v>52</v>
      </c>
      <c r="F78" s="350">
        <v>40</v>
      </c>
      <c r="H78" s="351">
        <f t="shared" si="6"/>
        <v>-55000</v>
      </c>
      <c r="I78" s="351">
        <f t="shared" si="7"/>
        <v>-40000</v>
      </c>
      <c r="M78" s="321">
        <v>1312200920</v>
      </c>
      <c r="N78" s="321">
        <v>31</v>
      </c>
      <c r="O78" s="321" t="s">
        <v>4897</v>
      </c>
      <c r="P78" s="321">
        <v>4812200</v>
      </c>
      <c r="Q78" s="322">
        <v>-88000</v>
      </c>
      <c r="R78" s="322">
        <v>-81500</v>
      </c>
      <c r="S78" s="322">
        <v>-100000</v>
      </c>
      <c r="T78" s="322">
        <v>-100000</v>
      </c>
      <c r="U78" s="322">
        <f t="shared" si="5"/>
        <v>0</v>
      </c>
      <c r="W78" s="321">
        <f t="shared" si="8"/>
        <v>920</v>
      </c>
      <c r="X78" s="321">
        <f t="shared" si="9"/>
        <v>312200</v>
      </c>
      <c r="Y78" s="321">
        <v>1</v>
      </c>
      <c r="AA78" s="321" t="s">
        <v>4897</v>
      </c>
    </row>
    <row r="79" spans="1:27">
      <c r="A79" s="346">
        <v>920</v>
      </c>
      <c r="B79" s="347">
        <v>315210</v>
      </c>
      <c r="C79" s="355" t="s">
        <v>6458</v>
      </c>
      <c r="D79" s="349">
        <v>9440</v>
      </c>
      <c r="E79" s="350">
        <v>8946</v>
      </c>
      <c r="F79" s="350">
        <v>8836</v>
      </c>
      <c r="H79" s="351">
        <f t="shared" si="6"/>
        <v>-9440000</v>
      </c>
      <c r="I79" s="351">
        <f t="shared" si="7"/>
        <v>-8836000</v>
      </c>
      <c r="M79" s="321">
        <v>1312200921</v>
      </c>
      <c r="N79" s="321">
        <v>31</v>
      </c>
      <c r="O79" s="321" t="s">
        <v>4898</v>
      </c>
      <c r="P79" s="321">
        <v>4812200</v>
      </c>
      <c r="Q79" s="322">
        <v>-110000</v>
      </c>
      <c r="R79" s="322">
        <v>-27200</v>
      </c>
      <c r="S79" s="322">
        <v>-150000</v>
      </c>
      <c r="T79" s="322">
        <v>-150000</v>
      </c>
      <c r="U79" s="322">
        <f t="shared" si="5"/>
        <v>0</v>
      </c>
      <c r="W79" s="321">
        <f t="shared" si="8"/>
        <v>921</v>
      </c>
      <c r="X79" s="321">
        <f t="shared" si="9"/>
        <v>312200</v>
      </c>
      <c r="Y79" s="321">
        <v>1</v>
      </c>
      <c r="AA79" s="321" t="s">
        <v>4898</v>
      </c>
    </row>
    <row r="80" spans="1:27">
      <c r="A80" s="346">
        <v>920</v>
      </c>
      <c r="B80" s="347">
        <v>315900</v>
      </c>
      <c r="C80" s="348" t="s">
        <v>6459</v>
      </c>
      <c r="D80" s="349">
        <v>2720</v>
      </c>
      <c r="E80" s="350">
        <v>3100</v>
      </c>
      <c r="F80" s="350">
        <v>3245</v>
      </c>
      <c r="H80" s="351">
        <f t="shared" si="6"/>
        <v>-2720000</v>
      </c>
      <c r="I80" s="351">
        <f t="shared" si="7"/>
        <v>-3245000</v>
      </c>
      <c r="M80" s="321">
        <v>1312200922</v>
      </c>
      <c r="N80" s="321">
        <v>31</v>
      </c>
      <c r="O80" s="321" t="s">
        <v>4899</v>
      </c>
      <c r="P80" s="321">
        <v>4812200</v>
      </c>
      <c r="Q80" s="322">
        <v>-12900000</v>
      </c>
      <c r="R80" s="322">
        <v>-9519500</v>
      </c>
      <c r="S80" s="322">
        <v>-14102000</v>
      </c>
      <c r="T80" s="322">
        <v>-13800000</v>
      </c>
      <c r="U80" s="322">
        <f t="shared" si="5"/>
        <v>-302000</v>
      </c>
      <c r="W80" s="321">
        <f t="shared" si="8"/>
        <v>922</v>
      </c>
      <c r="X80" s="321">
        <f t="shared" si="9"/>
        <v>312200</v>
      </c>
      <c r="Y80" s="321">
        <v>1</v>
      </c>
      <c r="AA80" s="321" t="s">
        <v>4899</v>
      </c>
    </row>
    <row r="81" spans="1:27">
      <c r="A81" s="346">
        <v>922</v>
      </c>
      <c r="B81" s="347">
        <v>315900</v>
      </c>
      <c r="C81" s="348" t="s">
        <v>6460</v>
      </c>
      <c r="D81" s="349">
        <v>1221</v>
      </c>
      <c r="E81" s="350">
        <v>1220</v>
      </c>
      <c r="F81" s="350">
        <v>1230</v>
      </c>
      <c r="H81" s="351">
        <f t="shared" si="6"/>
        <v>-1221000</v>
      </c>
      <c r="I81" s="351">
        <f t="shared" si="7"/>
        <v>-1230000</v>
      </c>
      <c r="M81" s="321">
        <v>1312300420</v>
      </c>
      <c r="N81" s="321">
        <v>31</v>
      </c>
      <c r="O81" s="321" t="s">
        <v>4900</v>
      </c>
      <c r="P81" s="321">
        <v>4812300</v>
      </c>
      <c r="Q81" s="322">
        <v>0</v>
      </c>
      <c r="R81" s="322">
        <v>-68100</v>
      </c>
      <c r="S81" s="322">
        <v>0</v>
      </c>
      <c r="T81" s="322">
        <v>0</v>
      </c>
      <c r="U81" s="322">
        <f t="shared" si="5"/>
        <v>0</v>
      </c>
      <c r="W81" s="321">
        <f t="shared" si="8"/>
        <v>420</v>
      </c>
      <c r="X81" s="321">
        <f t="shared" si="9"/>
        <v>312300</v>
      </c>
      <c r="Y81" s="321">
        <v>1</v>
      </c>
      <c r="AA81" s="321" t="s">
        <v>4900</v>
      </c>
    </row>
    <row r="82" spans="1:27">
      <c r="A82" s="346">
        <v>920</v>
      </c>
      <c r="B82" s="347">
        <v>317100</v>
      </c>
      <c r="C82" s="348" t="s">
        <v>6461</v>
      </c>
      <c r="D82" s="349">
        <v>190</v>
      </c>
      <c r="E82" s="350">
        <v>190</v>
      </c>
      <c r="F82" s="350">
        <v>190</v>
      </c>
      <c r="H82" s="351">
        <f t="shared" si="6"/>
        <v>-190000</v>
      </c>
      <c r="I82" s="351">
        <f t="shared" si="7"/>
        <v>-190000</v>
      </c>
      <c r="M82" s="321">
        <v>1312300920</v>
      </c>
      <c r="N82" s="321">
        <v>31</v>
      </c>
      <c r="O82" s="321" t="s">
        <v>4901</v>
      </c>
      <c r="P82" s="321">
        <v>4812300</v>
      </c>
      <c r="Q82" s="322">
        <v>-32000000</v>
      </c>
      <c r="R82" s="322">
        <v>-23602000</v>
      </c>
      <c r="S82" s="322">
        <v>-42701000</v>
      </c>
      <c r="T82" s="322">
        <v>-38500000</v>
      </c>
      <c r="U82" s="322">
        <f t="shared" si="5"/>
        <v>-4201000</v>
      </c>
      <c r="W82" s="321">
        <f t="shared" si="8"/>
        <v>920</v>
      </c>
      <c r="X82" s="321">
        <f t="shared" si="9"/>
        <v>312300</v>
      </c>
      <c r="Y82" s="321">
        <v>1</v>
      </c>
      <c r="AA82" s="321" t="s">
        <v>4901</v>
      </c>
    </row>
    <row r="83" spans="1:27">
      <c r="A83" s="346">
        <v>998</v>
      </c>
      <c r="B83" s="347">
        <v>317100</v>
      </c>
      <c r="C83" s="354" t="s">
        <v>6462</v>
      </c>
      <c r="D83" s="349">
        <v>1920</v>
      </c>
      <c r="E83" s="350">
        <v>1920</v>
      </c>
      <c r="F83" s="350">
        <v>1920</v>
      </c>
      <c r="H83" s="351">
        <f t="shared" si="6"/>
        <v>-1920000</v>
      </c>
      <c r="I83" s="351">
        <f t="shared" si="7"/>
        <v>-1920000</v>
      </c>
      <c r="M83" s="321">
        <v>1312500420</v>
      </c>
      <c r="N83" s="321">
        <v>31</v>
      </c>
      <c r="O83" s="321" t="s">
        <v>4902</v>
      </c>
      <c r="P83" s="321">
        <v>4812500</v>
      </c>
      <c r="Q83" s="322">
        <v>-20600000</v>
      </c>
      <c r="R83" s="322">
        <v>-12747600</v>
      </c>
      <c r="S83" s="322">
        <v>-21600000</v>
      </c>
      <c r="T83" s="322">
        <v>-21600000</v>
      </c>
      <c r="U83" s="322">
        <f t="shared" si="5"/>
        <v>0</v>
      </c>
      <c r="W83" s="321">
        <f t="shared" si="8"/>
        <v>420</v>
      </c>
      <c r="X83" s="321">
        <f t="shared" si="9"/>
        <v>312500</v>
      </c>
      <c r="Y83" s="321">
        <v>1</v>
      </c>
      <c r="AA83" s="321" t="s">
        <v>4902</v>
      </c>
    </row>
    <row r="84" spans="1:27" ht="30">
      <c r="A84" s="346">
        <v>420</v>
      </c>
      <c r="B84" s="347">
        <v>317210</v>
      </c>
      <c r="C84" s="367" t="s">
        <v>6463</v>
      </c>
      <c r="D84" s="349">
        <v>600</v>
      </c>
      <c r="E84" s="350">
        <v>440</v>
      </c>
      <c r="F84" s="350">
        <v>440</v>
      </c>
      <c r="H84" s="351">
        <f t="shared" si="6"/>
        <v>-600000</v>
      </c>
      <c r="I84" s="351">
        <f t="shared" si="7"/>
        <v>-440000</v>
      </c>
      <c r="M84" s="321">
        <v>1312500421</v>
      </c>
      <c r="N84" s="321">
        <v>31</v>
      </c>
      <c r="O84" s="321" t="s">
        <v>4903</v>
      </c>
      <c r="P84" s="321">
        <v>4812500</v>
      </c>
      <c r="Q84" s="322">
        <v>-440000</v>
      </c>
      <c r="R84" s="322">
        <v>0</v>
      </c>
      <c r="S84" s="322">
        <v>-440000</v>
      </c>
      <c r="T84" s="322">
        <v>-440000</v>
      </c>
      <c r="U84" s="322">
        <f t="shared" si="5"/>
        <v>0</v>
      </c>
      <c r="W84" s="321">
        <f t="shared" si="8"/>
        <v>421</v>
      </c>
      <c r="X84" s="321">
        <f t="shared" si="9"/>
        <v>312500</v>
      </c>
      <c r="Y84" s="321">
        <v>1</v>
      </c>
      <c r="AA84" s="321" t="s">
        <v>4903</v>
      </c>
    </row>
    <row r="85" spans="1:27">
      <c r="A85" s="346">
        <v>421</v>
      </c>
      <c r="B85" s="347">
        <v>317300</v>
      </c>
      <c r="C85" s="348" t="s">
        <v>6464</v>
      </c>
      <c r="D85" s="349">
        <v>50</v>
      </c>
      <c r="E85" s="350">
        <v>50</v>
      </c>
      <c r="F85" s="350">
        <v>50</v>
      </c>
      <c r="H85" s="351">
        <f t="shared" si="6"/>
        <v>-50000</v>
      </c>
      <c r="I85" s="351">
        <f t="shared" si="7"/>
        <v>-50000</v>
      </c>
      <c r="M85" s="321">
        <v>1312501420</v>
      </c>
      <c r="N85" s="321">
        <v>31</v>
      </c>
      <c r="O85" s="321" t="s">
        <v>4904</v>
      </c>
      <c r="P85" s="321">
        <v>4812500</v>
      </c>
      <c r="Q85" s="322">
        <v>-95000</v>
      </c>
      <c r="R85" s="322">
        <v>-71900</v>
      </c>
      <c r="S85" s="322">
        <v>-85000</v>
      </c>
      <c r="T85" s="322">
        <v>-85000</v>
      </c>
      <c r="U85" s="322">
        <f t="shared" si="5"/>
        <v>0</v>
      </c>
      <c r="W85" s="321">
        <f t="shared" si="8"/>
        <v>420</v>
      </c>
      <c r="X85" s="321">
        <f t="shared" si="9"/>
        <v>312501</v>
      </c>
      <c r="Y85" s="321">
        <v>1</v>
      </c>
      <c r="AA85" s="321" t="s">
        <v>4904</v>
      </c>
    </row>
    <row r="86" spans="1:27">
      <c r="A86" s="346">
        <v>490</v>
      </c>
      <c r="B86" s="347">
        <v>317300</v>
      </c>
      <c r="C86" s="348" t="s">
        <v>6465</v>
      </c>
      <c r="D86" s="349">
        <v>150</v>
      </c>
      <c r="E86" s="350">
        <v>150</v>
      </c>
      <c r="F86" s="350">
        <v>150</v>
      </c>
      <c r="H86" s="351">
        <f t="shared" si="6"/>
        <v>-150000</v>
      </c>
      <c r="I86" s="351">
        <f t="shared" si="7"/>
        <v>-150000</v>
      </c>
      <c r="M86" s="321">
        <v>1312501920</v>
      </c>
      <c r="N86" s="321">
        <v>31</v>
      </c>
      <c r="O86" s="321" t="s">
        <v>4905</v>
      </c>
      <c r="P86" s="321">
        <v>4812500</v>
      </c>
      <c r="Q86" s="322">
        <v>-80000</v>
      </c>
      <c r="R86" s="322">
        <v>-34100</v>
      </c>
      <c r="S86" s="322">
        <v>-54000</v>
      </c>
      <c r="T86" s="322">
        <v>-54000</v>
      </c>
      <c r="U86" s="322">
        <f t="shared" si="5"/>
        <v>0</v>
      </c>
      <c r="W86" s="321">
        <f t="shared" si="8"/>
        <v>920</v>
      </c>
      <c r="X86" s="321">
        <f t="shared" si="9"/>
        <v>312501</v>
      </c>
      <c r="Y86" s="321">
        <v>1</v>
      </c>
      <c r="AA86" s="321" t="s">
        <v>4905</v>
      </c>
    </row>
    <row r="87" spans="1:27">
      <c r="A87" s="346">
        <v>920</v>
      </c>
      <c r="B87" s="347">
        <v>317300</v>
      </c>
      <c r="C87" s="352" t="s">
        <v>6466</v>
      </c>
      <c r="D87" s="349">
        <v>3377</v>
      </c>
      <c r="E87" s="350">
        <v>3302</v>
      </c>
      <c r="F87" s="350">
        <v>3550</v>
      </c>
      <c r="H87" s="351">
        <f t="shared" si="6"/>
        <v>-3377000</v>
      </c>
      <c r="I87" s="351">
        <f t="shared" si="7"/>
        <v>-3550000</v>
      </c>
      <c r="M87" s="321">
        <v>1312800420</v>
      </c>
      <c r="N87" s="321">
        <v>31</v>
      </c>
      <c r="O87" s="321" t="s">
        <v>4906</v>
      </c>
      <c r="P87" s="321">
        <v>4812800</v>
      </c>
      <c r="Q87" s="322">
        <v>0</v>
      </c>
      <c r="R87" s="322">
        <v>0</v>
      </c>
      <c r="S87" s="322">
        <v>0</v>
      </c>
      <c r="T87" s="322">
        <v>0</v>
      </c>
      <c r="U87" s="322">
        <f t="shared" si="5"/>
        <v>0</v>
      </c>
      <c r="W87" s="321">
        <f t="shared" si="8"/>
        <v>420</v>
      </c>
      <c r="X87" s="321">
        <f t="shared" si="9"/>
        <v>312800</v>
      </c>
      <c r="Y87" s="321">
        <v>1</v>
      </c>
      <c r="AA87" s="321" t="s">
        <v>4906</v>
      </c>
    </row>
    <row r="88" spans="1:27">
      <c r="A88" s="346">
        <v>940</v>
      </c>
      <c r="B88" s="347">
        <v>317410</v>
      </c>
      <c r="C88" s="348" t="s">
        <v>6467</v>
      </c>
      <c r="D88" s="349">
        <v>300</v>
      </c>
      <c r="E88" s="350">
        <v>300</v>
      </c>
      <c r="F88" s="350">
        <v>370</v>
      </c>
      <c r="H88" s="351">
        <f t="shared" si="6"/>
        <v>-300000</v>
      </c>
      <c r="I88" s="351">
        <f t="shared" si="7"/>
        <v>-370000</v>
      </c>
      <c r="M88" s="321">
        <v>1313200440</v>
      </c>
      <c r="N88" s="321">
        <v>31</v>
      </c>
      <c r="O88" s="321" t="s">
        <v>4907</v>
      </c>
      <c r="P88" s="321">
        <v>4813200</v>
      </c>
      <c r="Q88" s="322">
        <v>0</v>
      </c>
      <c r="R88" s="322">
        <v>0</v>
      </c>
      <c r="S88" s="322">
        <v>0</v>
      </c>
      <c r="T88" s="322">
        <v>0</v>
      </c>
      <c r="U88" s="322">
        <f t="shared" si="5"/>
        <v>0</v>
      </c>
      <c r="W88" s="321">
        <f t="shared" si="8"/>
        <v>440</v>
      </c>
      <c r="X88" s="321">
        <f t="shared" si="9"/>
        <v>313200</v>
      </c>
      <c r="Y88" s="321">
        <v>1</v>
      </c>
      <c r="AA88" s="321" t="s">
        <v>4907</v>
      </c>
    </row>
    <row r="89" spans="1:27">
      <c r="A89" s="346">
        <v>420</v>
      </c>
      <c r="B89" s="347">
        <v>317500</v>
      </c>
      <c r="C89" s="348" t="s">
        <v>6468</v>
      </c>
      <c r="D89" s="349">
        <v>750</v>
      </c>
      <c r="E89" s="350">
        <v>620</v>
      </c>
      <c r="F89" s="350">
        <v>620</v>
      </c>
      <c r="H89" s="351">
        <f t="shared" si="6"/>
        <v>-750000</v>
      </c>
      <c r="I89" s="351">
        <f t="shared" si="7"/>
        <v>-620000</v>
      </c>
      <c r="M89" s="321">
        <v>1313200920</v>
      </c>
      <c r="N89" s="321">
        <v>31</v>
      </c>
      <c r="O89" s="321" t="s">
        <v>4908</v>
      </c>
      <c r="P89" s="321">
        <v>4813200</v>
      </c>
      <c r="Q89" s="322">
        <v>-31000000</v>
      </c>
      <c r="R89" s="322">
        <v>-25070800</v>
      </c>
      <c r="S89" s="322">
        <v>-34000000</v>
      </c>
      <c r="T89" s="322">
        <v>-34000000</v>
      </c>
      <c r="U89" s="322">
        <f t="shared" si="5"/>
        <v>0</v>
      </c>
      <c r="W89" s="321">
        <f t="shared" si="8"/>
        <v>920</v>
      </c>
      <c r="X89" s="321">
        <f t="shared" si="9"/>
        <v>313200</v>
      </c>
      <c r="Y89" s="321">
        <v>1</v>
      </c>
      <c r="AA89" s="321" t="s">
        <v>4908</v>
      </c>
    </row>
    <row r="90" spans="1:27">
      <c r="A90" s="346">
        <v>920</v>
      </c>
      <c r="B90" s="347">
        <v>317700</v>
      </c>
      <c r="C90" s="348" t="s">
        <v>6469</v>
      </c>
      <c r="D90" s="349">
        <v>395</v>
      </c>
      <c r="E90" s="350">
        <v>370</v>
      </c>
      <c r="F90" s="350">
        <v>381</v>
      </c>
      <c r="H90" s="351">
        <f t="shared" si="6"/>
        <v>-395000</v>
      </c>
      <c r="I90" s="351">
        <f t="shared" si="7"/>
        <v>-381000</v>
      </c>
      <c r="M90" s="321">
        <v>1313200924</v>
      </c>
      <c r="N90" s="321">
        <v>31</v>
      </c>
      <c r="O90" s="321" t="s">
        <v>4909</v>
      </c>
      <c r="P90" s="321">
        <v>4813200</v>
      </c>
      <c r="Q90" s="322">
        <v>-612000</v>
      </c>
      <c r="R90" s="322">
        <v>-273000</v>
      </c>
      <c r="S90" s="322">
        <v>-612000</v>
      </c>
      <c r="T90" s="322">
        <v>-612000</v>
      </c>
      <c r="U90" s="322">
        <f t="shared" si="5"/>
        <v>0</v>
      </c>
      <c r="W90" s="321">
        <f t="shared" si="8"/>
        <v>924</v>
      </c>
      <c r="X90" s="321">
        <f t="shared" si="9"/>
        <v>313200</v>
      </c>
      <c r="Y90" s="321">
        <v>1</v>
      </c>
      <c r="AA90" s="321" t="s">
        <v>4909</v>
      </c>
    </row>
    <row r="91" spans="1:27">
      <c r="A91" s="346">
        <v>420</v>
      </c>
      <c r="B91" s="347">
        <v>317800</v>
      </c>
      <c r="C91" s="348" t="s">
        <v>6470</v>
      </c>
      <c r="D91" s="349">
        <v>135</v>
      </c>
      <c r="E91" s="350">
        <v>90</v>
      </c>
      <c r="F91" s="350">
        <v>90</v>
      </c>
      <c r="H91" s="351">
        <f t="shared" si="6"/>
        <v>-135000</v>
      </c>
      <c r="I91" s="351">
        <f t="shared" si="7"/>
        <v>-90000</v>
      </c>
      <c r="M91" s="321">
        <v>1313201420</v>
      </c>
      <c r="N91" s="321">
        <v>31</v>
      </c>
      <c r="O91" s="321" t="s">
        <v>4910</v>
      </c>
      <c r="P91" s="321">
        <v>4813200</v>
      </c>
      <c r="Q91" s="322">
        <v>-360000</v>
      </c>
      <c r="R91" s="322">
        <v>-297600</v>
      </c>
      <c r="S91" s="322">
        <v>-360000</v>
      </c>
      <c r="T91" s="322">
        <v>-360000</v>
      </c>
      <c r="U91" s="322">
        <f t="shared" si="5"/>
        <v>0</v>
      </c>
      <c r="W91" s="321">
        <f t="shared" si="8"/>
        <v>420</v>
      </c>
      <c r="X91" s="321">
        <f t="shared" si="9"/>
        <v>313201</v>
      </c>
      <c r="Y91" s="321">
        <v>1</v>
      </c>
      <c r="AA91" s="321" t="s">
        <v>4910</v>
      </c>
    </row>
    <row r="92" spans="1:27">
      <c r="A92" s="346">
        <v>920</v>
      </c>
      <c r="B92" s="347">
        <v>317800</v>
      </c>
      <c r="C92" s="348" t="s">
        <v>6471</v>
      </c>
      <c r="D92" s="349">
        <v>4950</v>
      </c>
      <c r="E92" s="350">
        <v>4930</v>
      </c>
      <c r="F92" s="350">
        <v>5425</v>
      </c>
      <c r="H92" s="351">
        <f t="shared" si="6"/>
        <v>-4950000</v>
      </c>
      <c r="I92" s="351">
        <f t="shared" si="7"/>
        <v>-5425000</v>
      </c>
      <c r="M92" s="321">
        <v>1313202420</v>
      </c>
      <c r="N92" s="321">
        <v>31</v>
      </c>
      <c r="O92" s="321" t="s">
        <v>4911</v>
      </c>
      <c r="P92" s="321">
        <v>4813200</v>
      </c>
      <c r="Q92" s="322">
        <v>-3100000</v>
      </c>
      <c r="R92" s="322">
        <v>-2858700</v>
      </c>
      <c r="S92" s="322">
        <v>-3000000</v>
      </c>
      <c r="T92" s="322">
        <v>-3000000</v>
      </c>
      <c r="U92" s="322">
        <f t="shared" si="5"/>
        <v>0</v>
      </c>
      <c r="W92" s="321">
        <f t="shared" si="8"/>
        <v>420</v>
      </c>
      <c r="X92" s="321">
        <f t="shared" si="9"/>
        <v>313202</v>
      </c>
      <c r="Y92" s="321">
        <v>1</v>
      </c>
      <c r="AA92" s="321" t="s">
        <v>4911</v>
      </c>
    </row>
    <row r="93" spans="1:27">
      <c r="A93" s="346">
        <v>921</v>
      </c>
      <c r="B93" s="347">
        <v>317800</v>
      </c>
      <c r="C93" s="348" t="s">
        <v>6472</v>
      </c>
      <c r="D93" s="349">
        <v>390</v>
      </c>
      <c r="E93" s="350">
        <v>0</v>
      </c>
      <c r="F93" s="350">
        <v>0</v>
      </c>
      <c r="H93" s="351">
        <f t="shared" si="6"/>
        <v>-390000</v>
      </c>
      <c r="I93" s="351">
        <f t="shared" si="7"/>
        <v>0</v>
      </c>
      <c r="M93" s="321">
        <v>1313204920</v>
      </c>
      <c r="N93" s="321">
        <v>31</v>
      </c>
      <c r="O93" s="321" t="s">
        <v>4912</v>
      </c>
      <c r="P93" s="321">
        <v>4813200</v>
      </c>
      <c r="Q93" s="322">
        <v>-3300000</v>
      </c>
      <c r="R93" s="322">
        <v>-2523500</v>
      </c>
      <c r="S93" s="322">
        <v>-3300000</v>
      </c>
      <c r="T93" s="322">
        <v>-3300000</v>
      </c>
      <c r="U93" s="322">
        <f t="shared" si="5"/>
        <v>0</v>
      </c>
      <c r="W93" s="321">
        <f t="shared" si="8"/>
        <v>920</v>
      </c>
      <c r="X93" s="321">
        <f t="shared" si="9"/>
        <v>313204</v>
      </c>
      <c r="Y93" s="321">
        <v>1</v>
      </c>
      <c r="AA93" s="321" t="s">
        <v>4912</v>
      </c>
    </row>
    <row r="94" spans="1:27">
      <c r="A94" s="346">
        <v>420</v>
      </c>
      <c r="B94" s="347">
        <v>317900</v>
      </c>
      <c r="C94" s="348" t="s">
        <v>6473</v>
      </c>
      <c r="D94" s="349">
        <v>1135</v>
      </c>
      <c r="E94" s="350">
        <v>1000</v>
      </c>
      <c r="F94" s="350">
        <v>1000</v>
      </c>
      <c r="H94" s="351">
        <f t="shared" si="6"/>
        <v>-1135000</v>
      </c>
      <c r="I94" s="351">
        <f t="shared" si="7"/>
        <v>-1000000</v>
      </c>
      <c r="M94" s="321">
        <v>1313205920</v>
      </c>
      <c r="N94" s="321">
        <v>31</v>
      </c>
      <c r="O94" s="321" t="s">
        <v>4913</v>
      </c>
      <c r="P94" s="321">
        <v>4813200</v>
      </c>
      <c r="Q94" s="322">
        <v>-425000</v>
      </c>
      <c r="R94" s="322">
        <v>-407700</v>
      </c>
      <c r="S94" s="322">
        <v>-450000</v>
      </c>
      <c r="T94" s="322">
        <v>-450000</v>
      </c>
      <c r="U94" s="322">
        <f t="shared" si="5"/>
        <v>0</v>
      </c>
      <c r="W94" s="321">
        <f t="shared" si="8"/>
        <v>920</v>
      </c>
      <c r="X94" s="321">
        <f t="shared" si="9"/>
        <v>313205</v>
      </c>
      <c r="Y94" s="321">
        <v>1</v>
      </c>
      <c r="AA94" s="321" t="s">
        <v>4913</v>
      </c>
    </row>
    <row r="95" spans="1:27">
      <c r="A95" s="346">
        <v>421</v>
      </c>
      <c r="B95" s="347">
        <v>317900</v>
      </c>
      <c r="C95" s="348" t="s">
        <v>6474</v>
      </c>
      <c r="D95" s="349">
        <v>365</v>
      </c>
      <c r="E95" s="350">
        <v>365</v>
      </c>
      <c r="F95" s="350">
        <v>365</v>
      </c>
      <c r="H95" s="351">
        <f t="shared" si="6"/>
        <v>-365000</v>
      </c>
      <c r="I95" s="351">
        <f t="shared" si="7"/>
        <v>-365000</v>
      </c>
      <c r="M95" s="321">
        <v>1313206920</v>
      </c>
      <c r="N95" s="321">
        <v>31</v>
      </c>
      <c r="O95" s="321" t="s">
        <v>4914</v>
      </c>
      <c r="P95" s="321">
        <v>4813200</v>
      </c>
      <c r="Q95" s="322">
        <v>-450000</v>
      </c>
      <c r="R95" s="322">
        <v>-98900</v>
      </c>
      <c r="S95" s="322">
        <v>-500000</v>
      </c>
      <c r="T95" s="322">
        <v>-500000</v>
      </c>
      <c r="U95" s="322">
        <f t="shared" si="5"/>
        <v>0</v>
      </c>
      <c r="W95" s="321">
        <f t="shared" si="8"/>
        <v>920</v>
      </c>
      <c r="X95" s="321">
        <f t="shared" si="9"/>
        <v>313206</v>
      </c>
      <c r="Y95" s="321">
        <v>1</v>
      </c>
      <c r="AA95" s="321" t="s">
        <v>4914</v>
      </c>
    </row>
    <row r="96" spans="1:27">
      <c r="A96" s="346">
        <v>430</v>
      </c>
      <c r="B96" s="347">
        <v>317910</v>
      </c>
      <c r="C96" s="348" t="s">
        <v>6475</v>
      </c>
      <c r="D96" s="349">
        <v>135</v>
      </c>
      <c r="E96" s="350">
        <v>135</v>
      </c>
      <c r="F96" s="350">
        <v>135</v>
      </c>
      <c r="H96" s="351">
        <f t="shared" si="6"/>
        <v>-135000</v>
      </c>
      <c r="I96" s="351">
        <f t="shared" si="7"/>
        <v>-135000</v>
      </c>
      <c r="M96" s="321">
        <v>1313206921</v>
      </c>
      <c r="N96" s="321">
        <v>31</v>
      </c>
      <c r="O96" s="321" t="s">
        <v>4915</v>
      </c>
      <c r="P96" s="321">
        <v>4813200</v>
      </c>
      <c r="Q96" s="322">
        <v>-550000</v>
      </c>
      <c r="R96" s="322">
        <v>-108000</v>
      </c>
      <c r="S96" s="322">
        <v>-600000</v>
      </c>
      <c r="T96" s="322">
        <v>-600000</v>
      </c>
      <c r="U96" s="322">
        <f t="shared" si="5"/>
        <v>0</v>
      </c>
      <c r="W96" s="321">
        <f t="shared" si="8"/>
        <v>921</v>
      </c>
      <c r="X96" s="321">
        <f t="shared" si="9"/>
        <v>313206</v>
      </c>
      <c r="Y96" s="321">
        <v>1</v>
      </c>
      <c r="AA96" s="321" t="s">
        <v>4915</v>
      </c>
    </row>
    <row r="97" spans="1:27">
      <c r="A97" s="346">
        <v>431</v>
      </c>
      <c r="B97" s="347">
        <v>317910</v>
      </c>
      <c r="C97" s="348" t="s">
        <v>6476</v>
      </c>
      <c r="D97" s="349">
        <v>1207</v>
      </c>
      <c r="E97" s="350">
        <v>1500</v>
      </c>
      <c r="F97" s="350">
        <v>1500</v>
      </c>
      <c r="H97" s="351">
        <f t="shared" si="6"/>
        <v>-1207000</v>
      </c>
      <c r="I97" s="351">
        <f t="shared" si="7"/>
        <v>-1500000</v>
      </c>
      <c r="M97" s="321">
        <v>1313206922</v>
      </c>
      <c r="N97" s="321">
        <v>31</v>
      </c>
      <c r="O97" s="321" t="s">
        <v>4916</v>
      </c>
      <c r="P97" s="321">
        <v>4813200</v>
      </c>
      <c r="Q97" s="322">
        <v>-150000</v>
      </c>
      <c r="R97" s="322">
        <v>-86000</v>
      </c>
      <c r="S97" s="322">
        <v>-150000</v>
      </c>
      <c r="T97" s="322">
        <v>-150000</v>
      </c>
      <c r="U97" s="322">
        <f t="shared" si="5"/>
        <v>0</v>
      </c>
      <c r="W97" s="321">
        <f t="shared" si="8"/>
        <v>922</v>
      </c>
      <c r="X97" s="321">
        <f t="shared" si="9"/>
        <v>313206</v>
      </c>
      <c r="Y97" s="321">
        <v>1</v>
      </c>
      <c r="AA97" s="321" t="s">
        <v>4916</v>
      </c>
    </row>
    <row r="98" spans="1:27">
      <c r="A98" s="346">
        <v>420</v>
      </c>
      <c r="B98" s="347">
        <v>317920</v>
      </c>
      <c r="C98" s="348" t="s">
        <v>6477</v>
      </c>
      <c r="D98" s="349">
        <v>0</v>
      </c>
      <c r="E98" s="350">
        <v>0</v>
      </c>
      <c r="F98" s="350">
        <v>0</v>
      </c>
      <c r="H98" s="351">
        <f t="shared" si="6"/>
        <v>0</v>
      </c>
      <c r="I98" s="351">
        <f t="shared" si="7"/>
        <v>0</v>
      </c>
      <c r="M98" s="321">
        <v>1313209920</v>
      </c>
      <c r="N98" s="321">
        <v>31</v>
      </c>
      <c r="O98" s="321" t="s">
        <v>4917</v>
      </c>
      <c r="P98" s="321">
        <v>4813200</v>
      </c>
      <c r="Q98" s="322">
        <v>-3000000</v>
      </c>
      <c r="R98" s="322">
        <v>-3134000</v>
      </c>
      <c r="S98" s="322">
        <v>-2500000</v>
      </c>
      <c r="T98" s="322">
        <v>-2500000</v>
      </c>
      <c r="U98" s="322">
        <f t="shared" si="5"/>
        <v>0</v>
      </c>
      <c r="W98" s="321">
        <f t="shared" si="8"/>
        <v>920</v>
      </c>
      <c r="X98" s="321">
        <f t="shared" si="9"/>
        <v>313209</v>
      </c>
      <c r="Y98" s="321">
        <v>1</v>
      </c>
      <c r="AA98" s="321" t="s">
        <v>4917</v>
      </c>
    </row>
    <row r="99" spans="1:27">
      <c r="A99" s="346">
        <v>991</v>
      </c>
      <c r="B99" s="347">
        <v>317950</v>
      </c>
      <c r="C99" s="348" t="s">
        <v>6478</v>
      </c>
      <c r="D99" s="349">
        <v>100</v>
      </c>
      <c r="E99" s="350">
        <v>100</v>
      </c>
      <c r="F99" s="350">
        <v>200</v>
      </c>
      <c r="H99" s="351">
        <f t="shared" si="6"/>
        <v>-100000</v>
      </c>
      <c r="I99" s="351">
        <f t="shared" si="7"/>
        <v>-200000</v>
      </c>
      <c r="M99" s="321">
        <v>1313500420</v>
      </c>
      <c r="N99" s="321">
        <v>31</v>
      </c>
      <c r="O99" s="321" t="s">
        <v>4918</v>
      </c>
      <c r="P99" s="321">
        <v>4813500</v>
      </c>
      <c r="Q99" s="322">
        <v>-60000</v>
      </c>
      <c r="R99" s="322">
        <v>0</v>
      </c>
      <c r="S99" s="322">
        <v>-60000</v>
      </c>
      <c r="T99" s="322">
        <v>-60000</v>
      </c>
      <c r="U99" s="322">
        <f t="shared" si="5"/>
        <v>0</v>
      </c>
      <c r="W99" s="321">
        <f t="shared" si="8"/>
        <v>420</v>
      </c>
      <c r="X99" s="321">
        <f t="shared" si="9"/>
        <v>313500</v>
      </c>
      <c r="Y99" s="321">
        <v>1</v>
      </c>
      <c r="AA99" s="321" t="s">
        <v>4918</v>
      </c>
    </row>
    <row r="100" spans="1:27">
      <c r="A100" s="346">
        <v>420</v>
      </c>
      <c r="B100" s="347">
        <v>317960</v>
      </c>
      <c r="C100" s="348" t="s">
        <v>6479</v>
      </c>
      <c r="D100" s="349">
        <v>500</v>
      </c>
      <c r="E100" s="350">
        <v>500</v>
      </c>
      <c r="F100" s="350">
        <v>500</v>
      </c>
      <c r="H100" s="351">
        <f t="shared" si="6"/>
        <v>-500000</v>
      </c>
      <c r="I100" s="351">
        <f t="shared" si="7"/>
        <v>-500000</v>
      </c>
      <c r="M100" s="321">
        <v>1313500920</v>
      </c>
      <c r="N100" s="321">
        <v>31</v>
      </c>
      <c r="O100" s="321" t="s">
        <v>4919</v>
      </c>
      <c r="P100" s="321">
        <v>4813500</v>
      </c>
      <c r="Q100" s="322">
        <v>-7700000</v>
      </c>
      <c r="R100" s="322">
        <v>-5156000</v>
      </c>
      <c r="S100" s="322">
        <v>-8100000</v>
      </c>
      <c r="T100" s="322">
        <v>-7700000</v>
      </c>
      <c r="U100" s="322">
        <f t="shared" si="5"/>
        <v>-400000</v>
      </c>
      <c r="W100" s="321">
        <f t="shared" si="8"/>
        <v>920</v>
      </c>
      <c r="X100" s="321">
        <f t="shared" si="9"/>
        <v>313500</v>
      </c>
      <c r="Y100" s="321">
        <v>1</v>
      </c>
      <c r="AA100" s="321" t="s">
        <v>4919</v>
      </c>
    </row>
    <row r="101" spans="1:27">
      <c r="A101" s="346">
        <v>920</v>
      </c>
      <c r="B101" s="347">
        <v>317970</v>
      </c>
      <c r="C101" s="348" t="s">
        <v>6480</v>
      </c>
      <c r="D101" s="349">
        <v>150</v>
      </c>
      <c r="E101" s="350">
        <v>150</v>
      </c>
      <c r="F101" s="350">
        <v>75</v>
      </c>
      <c r="H101" s="351">
        <f t="shared" si="6"/>
        <v>-150000</v>
      </c>
      <c r="I101" s="351">
        <f t="shared" si="7"/>
        <v>-75000</v>
      </c>
      <c r="M101" s="321">
        <v>1313500921</v>
      </c>
      <c r="N101" s="321">
        <v>31</v>
      </c>
      <c r="O101" s="321" t="s">
        <v>4920</v>
      </c>
      <c r="P101" s="321">
        <v>4813500</v>
      </c>
      <c r="Q101" s="322">
        <v>-540000</v>
      </c>
      <c r="R101" s="322">
        <v>-510700</v>
      </c>
      <c r="S101" s="322">
        <v>-530000</v>
      </c>
      <c r="T101" s="322">
        <v>-530000</v>
      </c>
      <c r="U101" s="322">
        <f t="shared" si="5"/>
        <v>0</v>
      </c>
      <c r="W101" s="321">
        <f t="shared" si="8"/>
        <v>921</v>
      </c>
      <c r="X101" s="321">
        <f t="shared" si="9"/>
        <v>313500</v>
      </c>
      <c r="Y101" s="321">
        <v>1</v>
      </c>
      <c r="AA101" s="321" t="s">
        <v>4920</v>
      </c>
    </row>
    <row r="102" spans="1:27">
      <c r="A102" s="346">
        <v>420</v>
      </c>
      <c r="B102" s="347">
        <v>322000</v>
      </c>
      <c r="C102" s="348" t="s">
        <v>6481</v>
      </c>
      <c r="D102" s="349">
        <v>60</v>
      </c>
      <c r="E102" s="350">
        <v>60</v>
      </c>
      <c r="F102" s="350">
        <v>60</v>
      </c>
      <c r="H102" s="351">
        <f t="shared" si="6"/>
        <v>-60000</v>
      </c>
      <c r="I102" s="351">
        <f t="shared" si="7"/>
        <v>-60000</v>
      </c>
      <c r="M102" s="321">
        <v>1313500924</v>
      </c>
      <c r="N102" s="321">
        <v>31</v>
      </c>
      <c r="O102" s="321" t="s">
        <v>4921</v>
      </c>
      <c r="P102" s="321">
        <v>4813500</v>
      </c>
      <c r="Q102" s="322">
        <v>-972000</v>
      </c>
      <c r="R102" s="322">
        <v>-296900</v>
      </c>
      <c r="S102" s="322">
        <v>-972000</v>
      </c>
      <c r="T102" s="322">
        <v>-972000</v>
      </c>
      <c r="U102" s="322">
        <f t="shared" si="5"/>
        <v>0</v>
      </c>
      <c r="W102" s="321">
        <f t="shared" si="8"/>
        <v>924</v>
      </c>
      <c r="X102" s="321">
        <f t="shared" si="9"/>
        <v>313500</v>
      </c>
      <c r="Y102" s="321">
        <v>1</v>
      </c>
      <c r="AA102" s="321" t="s">
        <v>4921</v>
      </c>
    </row>
    <row r="103" spans="1:27">
      <c r="A103" s="346">
        <v>420</v>
      </c>
      <c r="B103" s="347">
        <v>323000</v>
      </c>
      <c r="C103" s="352" t="s">
        <v>6482</v>
      </c>
      <c r="D103" s="349">
        <v>40</v>
      </c>
      <c r="E103" s="350">
        <v>50</v>
      </c>
      <c r="F103" s="350">
        <v>30</v>
      </c>
      <c r="H103" s="351">
        <f t="shared" si="6"/>
        <v>-40000</v>
      </c>
      <c r="I103" s="351">
        <f t="shared" si="7"/>
        <v>-30000</v>
      </c>
      <c r="M103" s="321">
        <v>1313500992</v>
      </c>
      <c r="N103" s="321">
        <v>31</v>
      </c>
      <c r="O103" s="321" t="s">
        <v>4922</v>
      </c>
      <c r="P103" s="321">
        <v>4813500</v>
      </c>
      <c r="Q103" s="322">
        <v>-2650000</v>
      </c>
      <c r="R103" s="322">
        <v>-1200000</v>
      </c>
      <c r="S103" s="322">
        <v>-3070000</v>
      </c>
      <c r="T103" s="322">
        <v>-3070000</v>
      </c>
      <c r="U103" s="322">
        <f t="shared" si="5"/>
        <v>0</v>
      </c>
      <c r="W103" s="321">
        <f t="shared" si="8"/>
        <v>992</v>
      </c>
      <c r="X103" s="321">
        <f t="shared" si="9"/>
        <v>313500</v>
      </c>
      <c r="Y103" s="321">
        <v>1</v>
      </c>
      <c r="AA103" s="321" t="s">
        <v>4922</v>
      </c>
    </row>
    <row r="104" spans="1:27">
      <c r="A104" s="346">
        <v>421</v>
      </c>
      <c r="B104" s="347">
        <v>323000</v>
      </c>
      <c r="C104" s="348" t="s">
        <v>6483</v>
      </c>
      <c r="D104" s="349">
        <v>90</v>
      </c>
      <c r="E104" s="350">
        <v>90</v>
      </c>
      <c r="F104" s="350">
        <v>80</v>
      </c>
      <c r="H104" s="351">
        <f t="shared" si="6"/>
        <v>-90000</v>
      </c>
      <c r="I104" s="351">
        <f t="shared" si="7"/>
        <v>-80000</v>
      </c>
      <c r="M104" s="321">
        <v>1313505920</v>
      </c>
      <c r="N104" s="321">
        <v>31</v>
      </c>
      <c r="O104" s="321" t="s">
        <v>3526</v>
      </c>
      <c r="P104" s="321">
        <v>4813500</v>
      </c>
      <c r="Q104" s="322">
        <v>-250000</v>
      </c>
      <c r="R104" s="322">
        <v>-100000</v>
      </c>
      <c r="S104" s="322">
        <v>-200000</v>
      </c>
      <c r="T104" s="322">
        <v>-200000</v>
      </c>
      <c r="U104" s="322">
        <f t="shared" si="5"/>
        <v>0</v>
      </c>
      <c r="W104" s="321">
        <f t="shared" si="8"/>
        <v>920</v>
      </c>
      <c r="X104" s="321">
        <f t="shared" si="9"/>
        <v>313505</v>
      </c>
      <c r="Y104" s="321">
        <v>1</v>
      </c>
      <c r="AA104" s="321" t="s">
        <v>3526</v>
      </c>
    </row>
    <row r="105" spans="1:27">
      <c r="A105" s="346">
        <v>421</v>
      </c>
      <c r="B105" s="347">
        <v>323400</v>
      </c>
      <c r="C105" s="348" t="s">
        <v>6484</v>
      </c>
      <c r="D105" s="349">
        <v>20</v>
      </c>
      <c r="E105" s="350">
        <v>20</v>
      </c>
      <c r="F105" s="350">
        <v>20</v>
      </c>
      <c r="H105" s="351">
        <f t="shared" si="6"/>
        <v>-20000</v>
      </c>
      <c r="I105" s="351">
        <f t="shared" si="7"/>
        <v>-20000</v>
      </c>
      <c r="M105" s="321">
        <v>1313508920</v>
      </c>
      <c r="N105" s="321">
        <v>31</v>
      </c>
      <c r="O105" s="321" t="s">
        <v>4923</v>
      </c>
      <c r="P105" s="321">
        <v>4813500</v>
      </c>
      <c r="Q105" s="322">
        <v>-1500000</v>
      </c>
      <c r="R105" s="322">
        <v>-600000</v>
      </c>
      <c r="S105" s="322">
        <v>-1600000</v>
      </c>
      <c r="T105" s="322">
        <v>-1600000</v>
      </c>
      <c r="U105" s="322">
        <f t="shared" si="5"/>
        <v>0</v>
      </c>
      <c r="W105" s="321">
        <f t="shared" si="8"/>
        <v>920</v>
      </c>
      <c r="X105" s="321">
        <f t="shared" si="9"/>
        <v>313508</v>
      </c>
      <c r="Y105" s="321">
        <v>1</v>
      </c>
      <c r="AA105" s="321" t="s">
        <v>4923</v>
      </c>
    </row>
    <row r="106" spans="1:27">
      <c r="A106" s="346">
        <v>590</v>
      </c>
      <c r="B106" s="347">
        <v>324200</v>
      </c>
      <c r="C106" s="348" t="s">
        <v>6485</v>
      </c>
      <c r="D106" s="349">
        <v>0</v>
      </c>
      <c r="E106" s="350">
        <v>0</v>
      </c>
      <c r="F106" s="350">
        <v>250</v>
      </c>
      <c r="H106" s="351">
        <f t="shared" si="6"/>
        <v>0</v>
      </c>
      <c r="I106" s="351">
        <f t="shared" si="7"/>
        <v>-250000</v>
      </c>
      <c r="M106" s="321">
        <v>1313600920</v>
      </c>
      <c r="N106" s="321">
        <v>31</v>
      </c>
      <c r="O106" s="321" t="s">
        <v>4924</v>
      </c>
      <c r="P106" s="321">
        <v>4813600</v>
      </c>
      <c r="Q106" s="322">
        <v>-680000</v>
      </c>
      <c r="R106" s="322">
        <v>-441000</v>
      </c>
      <c r="S106" s="322">
        <v>-850000</v>
      </c>
      <c r="T106" s="322">
        <v>-850000</v>
      </c>
      <c r="U106" s="322">
        <f t="shared" si="5"/>
        <v>0</v>
      </c>
      <c r="W106" s="321">
        <f t="shared" si="8"/>
        <v>920</v>
      </c>
      <c r="X106" s="321">
        <f t="shared" si="9"/>
        <v>313600</v>
      </c>
      <c r="Y106" s="321">
        <v>1</v>
      </c>
      <c r="AA106" s="321" t="s">
        <v>4924</v>
      </c>
    </row>
    <row r="107" spans="1:27" ht="30">
      <c r="A107" s="346">
        <v>420</v>
      </c>
      <c r="B107" s="347">
        <v>326200</v>
      </c>
      <c r="C107" s="353" t="s">
        <v>6486</v>
      </c>
      <c r="D107" s="349">
        <v>0</v>
      </c>
      <c r="E107" s="350">
        <v>0</v>
      </c>
      <c r="F107" s="350">
        <v>0</v>
      </c>
      <c r="H107" s="351">
        <f t="shared" si="6"/>
        <v>0</v>
      </c>
      <c r="I107" s="351">
        <f t="shared" si="7"/>
        <v>0</v>
      </c>
      <c r="M107" s="321">
        <v>1313700920</v>
      </c>
      <c r="N107" s="321">
        <v>31</v>
      </c>
      <c r="O107" s="321" t="s">
        <v>4925</v>
      </c>
      <c r="P107" s="321">
        <v>4813700</v>
      </c>
      <c r="Q107" s="322">
        <v>-165000</v>
      </c>
      <c r="R107" s="322">
        <v>-143000</v>
      </c>
      <c r="S107" s="322">
        <v>-180000</v>
      </c>
      <c r="T107" s="322">
        <v>-180000</v>
      </c>
      <c r="U107" s="322">
        <f t="shared" si="5"/>
        <v>0</v>
      </c>
      <c r="W107" s="321">
        <f t="shared" si="8"/>
        <v>920</v>
      </c>
      <c r="X107" s="321">
        <f t="shared" si="9"/>
        <v>313700</v>
      </c>
      <c r="Y107" s="321">
        <v>1</v>
      </c>
      <c r="AA107" s="321" t="s">
        <v>4925</v>
      </c>
    </row>
    <row r="108" spans="1:27" ht="30">
      <c r="A108" s="346">
        <v>992</v>
      </c>
      <c r="B108" s="347">
        <v>326200</v>
      </c>
      <c r="C108" s="353" t="s">
        <v>6487</v>
      </c>
      <c r="D108" s="349">
        <v>0</v>
      </c>
      <c r="E108" s="350">
        <v>0</v>
      </c>
      <c r="F108" s="350">
        <v>0</v>
      </c>
      <c r="H108" s="351">
        <f t="shared" si="6"/>
        <v>0</v>
      </c>
      <c r="I108" s="351">
        <f t="shared" si="7"/>
        <v>0</v>
      </c>
      <c r="M108" s="321">
        <v>1315201420</v>
      </c>
      <c r="N108" s="321">
        <v>31</v>
      </c>
      <c r="O108" s="321" t="s">
        <v>4926</v>
      </c>
      <c r="P108" s="321">
        <v>4815200</v>
      </c>
      <c r="Q108" s="322">
        <v>-30000</v>
      </c>
      <c r="R108" s="322">
        <v>-92300</v>
      </c>
      <c r="S108" s="322">
        <v>-31000</v>
      </c>
      <c r="T108" s="322">
        <v>-31000</v>
      </c>
      <c r="U108" s="322">
        <f t="shared" si="5"/>
        <v>0</v>
      </c>
      <c r="W108" s="321">
        <f t="shared" si="8"/>
        <v>420</v>
      </c>
      <c r="X108" s="321">
        <f t="shared" si="9"/>
        <v>315201</v>
      </c>
      <c r="Y108" s="321">
        <v>1</v>
      </c>
      <c r="AA108" s="321" t="s">
        <v>4926</v>
      </c>
    </row>
    <row r="109" spans="1:27" ht="30">
      <c r="A109" s="346">
        <v>420</v>
      </c>
      <c r="B109" s="347">
        <v>326410</v>
      </c>
      <c r="C109" s="353" t="s">
        <v>6488</v>
      </c>
      <c r="D109" s="349">
        <v>0</v>
      </c>
      <c r="E109" s="350">
        <v>20</v>
      </c>
      <c r="F109" s="350">
        <v>20</v>
      </c>
      <c r="H109" s="351">
        <f t="shared" si="6"/>
        <v>0</v>
      </c>
      <c r="I109" s="351">
        <f t="shared" si="7"/>
        <v>-20000</v>
      </c>
      <c r="M109" s="321">
        <v>1315202920</v>
      </c>
      <c r="N109" s="321">
        <v>31</v>
      </c>
      <c r="O109" s="321" t="s">
        <v>4927</v>
      </c>
      <c r="P109" s="321">
        <v>4815200</v>
      </c>
      <c r="Q109" s="322">
        <v>-320000</v>
      </c>
      <c r="R109" s="322">
        <v>-23800</v>
      </c>
      <c r="S109" s="322">
        <v>-320000</v>
      </c>
      <c r="T109" s="322">
        <v>-320000</v>
      </c>
      <c r="U109" s="322">
        <f t="shared" si="5"/>
        <v>0</v>
      </c>
      <c r="W109" s="321">
        <f t="shared" si="8"/>
        <v>920</v>
      </c>
      <c r="X109" s="321">
        <f t="shared" si="9"/>
        <v>315202</v>
      </c>
      <c r="Y109" s="321">
        <v>1</v>
      </c>
      <c r="AA109" s="321" t="s">
        <v>4927</v>
      </c>
    </row>
    <row r="110" spans="1:27">
      <c r="A110" s="346">
        <v>993</v>
      </c>
      <c r="B110" s="347">
        <v>328100</v>
      </c>
      <c r="C110" s="348" t="s">
        <v>6489</v>
      </c>
      <c r="D110" s="349">
        <v>100</v>
      </c>
      <c r="E110" s="350">
        <v>100</v>
      </c>
      <c r="F110" s="350">
        <v>100</v>
      </c>
      <c r="H110" s="351">
        <f t="shared" si="6"/>
        <v>-100000</v>
      </c>
      <c r="I110" s="351">
        <f t="shared" si="7"/>
        <v>-100000</v>
      </c>
      <c r="M110" s="321">
        <v>1315202921</v>
      </c>
      <c r="N110" s="321">
        <v>31</v>
      </c>
      <c r="O110" s="321" t="s">
        <v>4928</v>
      </c>
      <c r="P110" s="321">
        <v>4815200</v>
      </c>
      <c r="Q110" s="322">
        <v>-650000</v>
      </c>
      <c r="R110" s="322">
        <v>-104100</v>
      </c>
      <c r="S110" s="322">
        <v>-650000</v>
      </c>
      <c r="T110" s="322">
        <v>-650000</v>
      </c>
      <c r="U110" s="322">
        <f t="shared" si="5"/>
        <v>0</v>
      </c>
      <c r="W110" s="321">
        <f t="shared" si="8"/>
        <v>921</v>
      </c>
      <c r="X110" s="321">
        <f t="shared" si="9"/>
        <v>315202</v>
      </c>
      <c r="Y110" s="321">
        <v>1</v>
      </c>
      <c r="AA110" s="321" t="s">
        <v>4928</v>
      </c>
    </row>
    <row r="111" spans="1:27">
      <c r="A111" s="346">
        <v>998</v>
      </c>
      <c r="B111" s="347">
        <v>328100</v>
      </c>
      <c r="C111" s="348" t="s">
        <v>6490</v>
      </c>
      <c r="D111" s="349">
        <v>110</v>
      </c>
      <c r="E111" s="350">
        <v>110</v>
      </c>
      <c r="F111" s="350">
        <v>110</v>
      </c>
      <c r="H111" s="351">
        <f t="shared" si="6"/>
        <v>-110000</v>
      </c>
      <c r="I111" s="351">
        <f t="shared" si="7"/>
        <v>-110000</v>
      </c>
      <c r="M111" s="321">
        <v>1315202922</v>
      </c>
      <c r="N111" s="321">
        <v>31</v>
      </c>
      <c r="O111" s="321" t="s">
        <v>4916</v>
      </c>
      <c r="P111" s="321">
        <v>4815200</v>
      </c>
      <c r="Q111" s="322">
        <v>-150000</v>
      </c>
      <c r="R111" s="322">
        <v>-32600</v>
      </c>
      <c r="S111" s="322">
        <v>-150000</v>
      </c>
      <c r="T111" s="322">
        <v>-150000</v>
      </c>
      <c r="U111" s="322">
        <f t="shared" si="5"/>
        <v>0</v>
      </c>
      <c r="W111" s="321">
        <f t="shared" si="8"/>
        <v>922</v>
      </c>
      <c r="X111" s="321">
        <f t="shared" si="9"/>
        <v>315202</v>
      </c>
      <c r="Y111" s="321">
        <v>1</v>
      </c>
      <c r="AA111" s="321" t="s">
        <v>4916</v>
      </c>
    </row>
    <row r="112" spans="1:27">
      <c r="A112" s="346">
        <v>992</v>
      </c>
      <c r="B112" s="347">
        <v>329000</v>
      </c>
      <c r="C112" s="355" t="s">
        <v>6491</v>
      </c>
      <c r="D112" s="349">
        <v>200</v>
      </c>
      <c r="E112" s="350">
        <v>200</v>
      </c>
      <c r="F112" s="350">
        <v>200</v>
      </c>
      <c r="H112" s="351">
        <f t="shared" si="6"/>
        <v>-200000</v>
      </c>
      <c r="I112" s="351">
        <f t="shared" si="7"/>
        <v>-200000</v>
      </c>
      <c r="M112" s="321">
        <v>1315203920</v>
      </c>
      <c r="N112" s="321">
        <v>31</v>
      </c>
      <c r="O112" s="321" t="s">
        <v>4929</v>
      </c>
      <c r="P112" s="321">
        <v>4815200</v>
      </c>
      <c r="Q112" s="322">
        <v>-385000</v>
      </c>
      <c r="R112" s="322">
        <v>-368400</v>
      </c>
      <c r="S112" s="322">
        <v>-400000</v>
      </c>
      <c r="T112" s="322">
        <v>-400000</v>
      </c>
      <c r="U112" s="322">
        <f t="shared" si="5"/>
        <v>0</v>
      </c>
      <c r="W112" s="321">
        <f t="shared" si="8"/>
        <v>920</v>
      </c>
      <c r="X112" s="321">
        <f t="shared" si="9"/>
        <v>315203</v>
      </c>
      <c r="Y112" s="321">
        <v>1</v>
      </c>
      <c r="AA112" s="321" t="s">
        <v>4929</v>
      </c>
    </row>
    <row r="113" spans="1:27">
      <c r="A113" s="346">
        <v>420</v>
      </c>
      <c r="B113" s="347">
        <v>329100</v>
      </c>
      <c r="C113" s="355" t="s">
        <v>6492</v>
      </c>
      <c r="D113" s="349">
        <v>2</v>
      </c>
      <c r="E113" s="350">
        <v>2</v>
      </c>
      <c r="F113" s="350">
        <v>10</v>
      </c>
      <c r="H113" s="351">
        <f t="shared" si="6"/>
        <v>-2000</v>
      </c>
      <c r="I113" s="351">
        <f t="shared" si="7"/>
        <v>-10000</v>
      </c>
      <c r="M113" s="321">
        <v>1315204920</v>
      </c>
      <c r="N113" s="321">
        <v>31</v>
      </c>
      <c r="O113" s="321" t="s">
        <v>4930</v>
      </c>
      <c r="P113" s="321">
        <v>4815200</v>
      </c>
      <c r="Q113" s="322">
        <v>-450000</v>
      </c>
      <c r="R113" s="322">
        <v>-240000</v>
      </c>
      <c r="S113" s="322">
        <v>-450000</v>
      </c>
      <c r="T113" s="322">
        <v>-450000</v>
      </c>
      <c r="U113" s="322">
        <f t="shared" si="5"/>
        <v>0</v>
      </c>
      <c r="W113" s="321">
        <f t="shared" si="8"/>
        <v>920</v>
      </c>
      <c r="X113" s="321">
        <f t="shared" si="9"/>
        <v>315204</v>
      </c>
      <c r="Y113" s="321">
        <v>1</v>
      </c>
      <c r="AA113" s="321" t="s">
        <v>4930</v>
      </c>
    </row>
    <row r="114" spans="1:27">
      <c r="A114" s="346">
        <v>921</v>
      </c>
      <c r="B114" s="347">
        <v>329100</v>
      </c>
      <c r="C114" s="355" t="s">
        <v>6493</v>
      </c>
      <c r="D114" s="349">
        <v>0</v>
      </c>
      <c r="E114" s="350">
        <v>0</v>
      </c>
      <c r="F114" s="350">
        <v>0</v>
      </c>
      <c r="H114" s="351">
        <f t="shared" si="6"/>
        <v>0</v>
      </c>
      <c r="I114" s="351">
        <f t="shared" si="7"/>
        <v>0</v>
      </c>
      <c r="M114" s="321">
        <v>1315204924</v>
      </c>
      <c r="N114" s="321">
        <v>31</v>
      </c>
      <c r="O114" s="321" t="s">
        <v>4931</v>
      </c>
      <c r="P114" s="321">
        <v>4815100</v>
      </c>
      <c r="Q114" s="322">
        <v>-337500</v>
      </c>
      <c r="R114" s="322">
        <v>0</v>
      </c>
      <c r="S114" s="322">
        <v>-338000</v>
      </c>
      <c r="T114" s="322">
        <v>-338000</v>
      </c>
      <c r="U114" s="322">
        <f t="shared" si="5"/>
        <v>0</v>
      </c>
      <c r="W114" s="321">
        <f t="shared" si="8"/>
        <v>924</v>
      </c>
      <c r="X114" s="321">
        <f t="shared" si="9"/>
        <v>315204</v>
      </c>
      <c r="Y114" s="321">
        <v>1</v>
      </c>
      <c r="AA114" s="321" t="s">
        <v>4931</v>
      </c>
    </row>
    <row r="115" spans="1:27">
      <c r="A115" s="346">
        <v>992</v>
      </c>
      <c r="B115" s="347">
        <v>329100</v>
      </c>
      <c r="C115" s="355" t="s">
        <v>6494</v>
      </c>
      <c r="D115" s="349">
        <v>100</v>
      </c>
      <c r="E115" s="350">
        <v>100</v>
      </c>
      <c r="F115" s="350">
        <v>100</v>
      </c>
      <c r="H115" s="351">
        <f t="shared" si="6"/>
        <v>-100000</v>
      </c>
      <c r="I115" s="351">
        <f t="shared" si="7"/>
        <v>-100000</v>
      </c>
      <c r="M115" s="321">
        <v>1315206920</v>
      </c>
      <c r="N115" s="321">
        <v>31</v>
      </c>
      <c r="O115" s="321" t="s">
        <v>4932</v>
      </c>
      <c r="P115" s="321">
        <v>4815200</v>
      </c>
      <c r="Q115" s="322">
        <v>0</v>
      </c>
      <c r="R115" s="322">
        <v>0</v>
      </c>
      <c r="S115" s="322">
        <v>0</v>
      </c>
      <c r="T115" s="322">
        <v>0</v>
      </c>
      <c r="U115" s="322">
        <f t="shared" si="5"/>
        <v>0</v>
      </c>
      <c r="W115" s="321">
        <f t="shared" si="8"/>
        <v>920</v>
      </c>
      <c r="X115" s="321">
        <f t="shared" si="9"/>
        <v>315206</v>
      </c>
      <c r="Y115" s="321">
        <v>1</v>
      </c>
      <c r="AA115" s="321" t="s">
        <v>4932</v>
      </c>
    </row>
    <row r="116" spans="1:27">
      <c r="A116" s="346">
        <v>420</v>
      </c>
      <c r="B116" s="347">
        <v>329200</v>
      </c>
      <c r="C116" s="355" t="s">
        <v>6495</v>
      </c>
      <c r="D116" s="349">
        <v>30</v>
      </c>
      <c r="E116" s="350">
        <v>30</v>
      </c>
      <c r="F116" s="350">
        <v>30</v>
      </c>
      <c r="H116" s="351">
        <f t="shared" si="6"/>
        <v>-30000</v>
      </c>
      <c r="I116" s="351">
        <f t="shared" si="7"/>
        <v>-30000</v>
      </c>
      <c r="M116" s="321">
        <v>1315207650</v>
      </c>
      <c r="N116" s="321">
        <v>31</v>
      </c>
      <c r="O116" s="321" t="s">
        <v>4933</v>
      </c>
      <c r="P116" s="321">
        <v>4815200</v>
      </c>
      <c r="Q116" s="322">
        <v>-125700</v>
      </c>
      <c r="R116" s="322">
        <v>-53700</v>
      </c>
      <c r="S116" s="322">
        <v>-110000</v>
      </c>
      <c r="T116" s="322">
        <v>-110000</v>
      </c>
      <c r="U116" s="322">
        <f t="shared" si="5"/>
        <v>0</v>
      </c>
      <c r="W116" s="321">
        <f t="shared" si="8"/>
        <v>650</v>
      </c>
      <c r="X116" s="321">
        <f t="shared" si="9"/>
        <v>315207</v>
      </c>
      <c r="Y116" s="321">
        <v>1</v>
      </c>
      <c r="AA116" s="321" t="s">
        <v>4933</v>
      </c>
    </row>
    <row r="117" spans="1:27">
      <c r="A117" s="346">
        <v>420</v>
      </c>
      <c r="B117" s="347">
        <v>329210</v>
      </c>
      <c r="C117" s="368" t="s">
        <v>6496</v>
      </c>
      <c r="D117" s="349">
        <v>590</v>
      </c>
      <c r="E117" s="350">
        <v>540</v>
      </c>
      <c r="F117" s="350">
        <v>520</v>
      </c>
      <c r="H117" s="351">
        <f t="shared" si="6"/>
        <v>-590000</v>
      </c>
      <c r="I117" s="351">
        <f t="shared" si="7"/>
        <v>-520000</v>
      </c>
      <c r="M117" s="321">
        <v>1315208920</v>
      </c>
      <c r="N117" s="321">
        <v>31</v>
      </c>
      <c r="O117" s="321" t="s">
        <v>4934</v>
      </c>
      <c r="P117" s="321">
        <v>4815200</v>
      </c>
      <c r="Q117" s="322">
        <v>0</v>
      </c>
      <c r="R117" s="322">
        <v>0</v>
      </c>
      <c r="S117" s="322">
        <v>0</v>
      </c>
      <c r="T117" s="322">
        <v>0</v>
      </c>
      <c r="U117" s="322">
        <f t="shared" si="5"/>
        <v>0</v>
      </c>
      <c r="W117" s="321">
        <f t="shared" si="8"/>
        <v>920</v>
      </c>
      <c r="X117" s="321">
        <f t="shared" si="9"/>
        <v>315208</v>
      </c>
      <c r="Y117" s="321">
        <v>1</v>
      </c>
      <c r="AA117" s="321" t="s">
        <v>4934</v>
      </c>
    </row>
    <row r="118" spans="1:27">
      <c r="A118" s="346">
        <v>421</v>
      </c>
      <c r="B118" s="347">
        <v>329240</v>
      </c>
      <c r="C118" s="368" t="s">
        <v>6497</v>
      </c>
      <c r="D118" s="349">
        <v>680</v>
      </c>
      <c r="E118" s="350">
        <v>632</v>
      </c>
      <c r="F118" s="350">
        <v>570</v>
      </c>
      <c r="H118" s="351">
        <f t="shared" si="6"/>
        <v>-680000</v>
      </c>
      <c r="I118" s="351">
        <f t="shared" si="7"/>
        <v>-570000</v>
      </c>
      <c r="M118" s="321">
        <v>1315501921</v>
      </c>
      <c r="N118" s="321">
        <v>31</v>
      </c>
      <c r="O118" s="321" t="s">
        <v>4935</v>
      </c>
      <c r="P118" s="321">
        <v>4815701</v>
      </c>
      <c r="Q118" s="322">
        <v>-904000</v>
      </c>
      <c r="R118" s="322">
        <v>-681800</v>
      </c>
      <c r="S118" s="322">
        <v>-920000</v>
      </c>
      <c r="T118" s="322">
        <v>-920000</v>
      </c>
      <c r="U118" s="322">
        <f t="shared" si="5"/>
        <v>0</v>
      </c>
      <c r="W118" s="321">
        <f t="shared" si="8"/>
        <v>921</v>
      </c>
      <c r="X118" s="321">
        <f t="shared" si="9"/>
        <v>315501</v>
      </c>
      <c r="Y118" s="321">
        <v>1</v>
      </c>
      <c r="AA118" s="321" t="s">
        <v>4935</v>
      </c>
    </row>
    <row r="119" spans="1:27">
      <c r="A119" s="346">
        <v>422</v>
      </c>
      <c r="B119" s="347">
        <v>329240</v>
      </c>
      <c r="C119" s="368" t="s">
        <v>6498</v>
      </c>
      <c r="D119" s="349">
        <v>70</v>
      </c>
      <c r="E119" s="350">
        <v>70</v>
      </c>
      <c r="F119" s="350">
        <v>80</v>
      </c>
      <c r="H119" s="351">
        <f t="shared" si="6"/>
        <v>-70000</v>
      </c>
      <c r="I119" s="351">
        <f t="shared" si="7"/>
        <v>-80000</v>
      </c>
      <c r="M119" s="321">
        <v>1315502921</v>
      </c>
      <c r="N119" s="321">
        <v>31</v>
      </c>
      <c r="O119" s="321" t="s">
        <v>4936</v>
      </c>
      <c r="P119" s="321">
        <v>4815702</v>
      </c>
      <c r="Q119" s="322">
        <v>0</v>
      </c>
      <c r="R119" s="322">
        <v>0</v>
      </c>
      <c r="S119" s="322">
        <v>0</v>
      </c>
      <c r="T119" s="322">
        <v>0</v>
      </c>
      <c r="U119" s="322">
        <f t="shared" si="5"/>
        <v>0</v>
      </c>
      <c r="W119" s="321">
        <f t="shared" si="8"/>
        <v>921</v>
      </c>
      <c r="X119" s="321">
        <f t="shared" si="9"/>
        <v>315502</v>
      </c>
      <c r="Y119" s="321">
        <v>1</v>
      </c>
      <c r="AA119" s="321" t="s">
        <v>4936</v>
      </c>
    </row>
    <row r="120" spans="1:27">
      <c r="A120" s="346">
        <v>420</v>
      </c>
      <c r="B120" s="347">
        <v>329290</v>
      </c>
      <c r="C120" s="354" t="s">
        <v>6499</v>
      </c>
      <c r="D120" s="349">
        <v>32</v>
      </c>
      <c r="E120" s="350">
        <v>32</v>
      </c>
      <c r="F120" s="350">
        <v>50</v>
      </c>
      <c r="H120" s="351">
        <f t="shared" si="6"/>
        <v>-32000</v>
      </c>
      <c r="I120" s="351">
        <f t="shared" si="7"/>
        <v>-50000</v>
      </c>
      <c r="M120" s="321">
        <v>1315503921</v>
      </c>
      <c r="N120" s="321">
        <v>31</v>
      </c>
      <c r="O120" s="321" t="s">
        <v>4937</v>
      </c>
      <c r="P120" s="321">
        <v>4815703</v>
      </c>
      <c r="Q120" s="322">
        <v>-1360000</v>
      </c>
      <c r="R120" s="322">
        <v>-1014900</v>
      </c>
      <c r="S120" s="322">
        <v>-1335000</v>
      </c>
      <c r="T120" s="322">
        <v>-1335000</v>
      </c>
      <c r="U120" s="322">
        <f t="shared" si="5"/>
        <v>0</v>
      </c>
      <c r="W120" s="321">
        <f t="shared" si="8"/>
        <v>921</v>
      </c>
      <c r="X120" s="321">
        <f t="shared" si="9"/>
        <v>315503</v>
      </c>
      <c r="Y120" s="321">
        <v>1</v>
      </c>
      <c r="AA120" s="321" t="s">
        <v>4937</v>
      </c>
    </row>
    <row r="121" spans="1:27">
      <c r="A121" s="346">
        <v>420</v>
      </c>
      <c r="B121" s="347">
        <v>329520</v>
      </c>
      <c r="C121" s="354" t="s">
        <v>6500</v>
      </c>
      <c r="D121" s="349">
        <v>0</v>
      </c>
      <c r="E121" s="350">
        <v>0</v>
      </c>
      <c r="F121" s="350">
        <v>0</v>
      </c>
      <c r="H121" s="351">
        <f t="shared" si="6"/>
        <v>0</v>
      </c>
      <c r="I121" s="351">
        <f t="shared" si="7"/>
        <v>0</v>
      </c>
      <c r="M121" s="321">
        <v>1315504921</v>
      </c>
      <c r="N121" s="321">
        <v>31</v>
      </c>
      <c r="O121" s="321" t="s">
        <v>4938</v>
      </c>
      <c r="P121" s="321">
        <v>4815704</v>
      </c>
      <c r="Q121" s="322">
        <v>-1250000</v>
      </c>
      <c r="R121" s="322">
        <v>-893700</v>
      </c>
      <c r="S121" s="322">
        <v>-1200000</v>
      </c>
      <c r="T121" s="322">
        <v>-1200000</v>
      </c>
      <c r="U121" s="322">
        <f t="shared" si="5"/>
        <v>0</v>
      </c>
      <c r="W121" s="321">
        <f t="shared" si="8"/>
        <v>921</v>
      </c>
      <c r="X121" s="321">
        <f t="shared" si="9"/>
        <v>315504</v>
      </c>
      <c r="Y121" s="321">
        <v>1</v>
      </c>
      <c r="AA121" s="321" t="s">
        <v>4938</v>
      </c>
    </row>
    <row r="122" spans="1:27">
      <c r="A122" s="346">
        <v>420</v>
      </c>
      <c r="B122" s="347">
        <v>329530</v>
      </c>
      <c r="C122" s="354" t="s">
        <v>6501</v>
      </c>
      <c r="D122" s="349">
        <v>4</v>
      </c>
      <c r="E122" s="350">
        <v>4</v>
      </c>
      <c r="F122" s="350">
        <v>4</v>
      </c>
      <c r="H122" s="351">
        <f t="shared" si="6"/>
        <v>-4000</v>
      </c>
      <c r="I122" s="351">
        <f t="shared" si="7"/>
        <v>-4000</v>
      </c>
      <c r="M122" s="321">
        <v>1315505921</v>
      </c>
      <c r="N122" s="321">
        <v>31</v>
      </c>
      <c r="O122" s="321" t="s">
        <v>4939</v>
      </c>
      <c r="P122" s="321">
        <v>4815705</v>
      </c>
      <c r="Q122" s="322">
        <v>-1650000</v>
      </c>
      <c r="R122" s="322">
        <v>-1023700</v>
      </c>
      <c r="S122" s="322">
        <v>-1500000</v>
      </c>
      <c r="T122" s="322">
        <v>-1500000</v>
      </c>
      <c r="U122" s="322">
        <f t="shared" si="5"/>
        <v>0</v>
      </c>
      <c r="W122" s="321">
        <f t="shared" si="8"/>
        <v>921</v>
      </c>
      <c r="X122" s="321">
        <f t="shared" si="9"/>
        <v>315505</v>
      </c>
      <c r="Y122" s="321">
        <v>1</v>
      </c>
      <c r="AA122" s="321" t="s">
        <v>4939</v>
      </c>
    </row>
    <row r="123" spans="1:27">
      <c r="A123" s="346">
        <v>427</v>
      </c>
      <c r="B123" s="347">
        <v>329901</v>
      </c>
      <c r="C123" s="354" t="s">
        <v>6502</v>
      </c>
      <c r="D123" s="349">
        <v>1200</v>
      </c>
      <c r="E123" s="350">
        <v>1181</v>
      </c>
      <c r="F123" s="350">
        <v>1200</v>
      </c>
      <c r="H123" s="351">
        <f t="shared" si="6"/>
        <v>-1200000</v>
      </c>
      <c r="I123" s="351">
        <f t="shared" si="7"/>
        <v>-1200000</v>
      </c>
      <c r="M123" s="321">
        <v>1315506921</v>
      </c>
      <c r="N123" s="321">
        <v>31</v>
      </c>
      <c r="O123" s="321" t="s">
        <v>4940</v>
      </c>
      <c r="P123" s="321">
        <v>4815706</v>
      </c>
      <c r="Q123" s="322">
        <v>-1815000</v>
      </c>
      <c r="R123" s="322">
        <v>-1144100</v>
      </c>
      <c r="S123" s="322">
        <v>-1500000</v>
      </c>
      <c r="T123" s="322">
        <v>-1500000</v>
      </c>
      <c r="U123" s="322">
        <f t="shared" si="5"/>
        <v>0</v>
      </c>
      <c r="W123" s="321">
        <f t="shared" si="8"/>
        <v>921</v>
      </c>
      <c r="X123" s="321">
        <f t="shared" si="9"/>
        <v>315506</v>
      </c>
      <c r="Y123" s="321">
        <v>1</v>
      </c>
      <c r="AA123" s="321" t="s">
        <v>4940</v>
      </c>
    </row>
    <row r="124" spans="1:27">
      <c r="A124" s="346">
        <v>770</v>
      </c>
      <c r="B124" s="347">
        <v>341000</v>
      </c>
      <c r="C124" s="348" t="s">
        <v>6503</v>
      </c>
      <c r="D124" s="349">
        <v>0</v>
      </c>
      <c r="E124" s="350">
        <v>0</v>
      </c>
      <c r="F124" s="350">
        <v>0</v>
      </c>
      <c r="H124" s="351">
        <f t="shared" si="6"/>
        <v>0</v>
      </c>
      <c r="I124" s="351">
        <f t="shared" si="7"/>
        <v>0</v>
      </c>
      <c r="M124" s="321">
        <v>1315507921</v>
      </c>
      <c r="N124" s="321">
        <v>31</v>
      </c>
      <c r="O124" s="321" t="s">
        <v>4941</v>
      </c>
      <c r="P124" s="321">
        <v>4815707</v>
      </c>
      <c r="Q124" s="322">
        <v>-1760000</v>
      </c>
      <c r="R124" s="322">
        <v>-1141400</v>
      </c>
      <c r="S124" s="322">
        <v>-1600000</v>
      </c>
      <c r="T124" s="322">
        <v>-1600000</v>
      </c>
      <c r="U124" s="322">
        <f t="shared" si="5"/>
        <v>0</v>
      </c>
      <c r="W124" s="321">
        <f t="shared" si="8"/>
        <v>921</v>
      </c>
      <c r="X124" s="321">
        <f t="shared" si="9"/>
        <v>315507</v>
      </c>
      <c r="Y124" s="321">
        <v>1</v>
      </c>
      <c r="AA124" s="321" t="s">
        <v>4941</v>
      </c>
    </row>
    <row r="125" spans="1:27">
      <c r="A125" s="346">
        <v>930</v>
      </c>
      <c r="B125" s="347">
        <v>341000</v>
      </c>
      <c r="C125" s="348" t="s">
        <v>6504</v>
      </c>
      <c r="D125" s="349">
        <v>0</v>
      </c>
      <c r="E125" s="350">
        <v>0</v>
      </c>
      <c r="F125" s="350">
        <v>0</v>
      </c>
      <c r="H125" s="351">
        <f t="shared" si="6"/>
        <v>0</v>
      </c>
      <c r="I125" s="351">
        <f t="shared" si="7"/>
        <v>0</v>
      </c>
      <c r="M125" s="321">
        <v>1315508921</v>
      </c>
      <c r="N125" s="321">
        <v>31</v>
      </c>
      <c r="O125" s="321" t="s">
        <v>4942</v>
      </c>
      <c r="P125" s="321">
        <v>4815708</v>
      </c>
      <c r="Q125" s="322">
        <v>-1650000</v>
      </c>
      <c r="R125" s="322">
        <v>-1049400</v>
      </c>
      <c r="S125" s="322">
        <v>-1450000</v>
      </c>
      <c r="T125" s="322">
        <v>-1450000</v>
      </c>
      <c r="U125" s="322">
        <f t="shared" si="5"/>
        <v>0</v>
      </c>
      <c r="W125" s="321">
        <f t="shared" si="8"/>
        <v>921</v>
      </c>
      <c r="X125" s="321">
        <f t="shared" si="9"/>
        <v>315508</v>
      </c>
      <c r="Y125" s="321">
        <v>1</v>
      </c>
      <c r="AA125" s="321" t="s">
        <v>4942</v>
      </c>
    </row>
    <row r="126" spans="1:27">
      <c r="A126" s="346">
        <v>770</v>
      </c>
      <c r="B126" s="347">
        <v>341001</v>
      </c>
      <c r="C126" s="348" t="s">
        <v>6505</v>
      </c>
      <c r="D126" s="349">
        <v>205</v>
      </c>
      <c r="E126" s="350">
        <v>15</v>
      </c>
      <c r="F126" s="350">
        <v>270</v>
      </c>
      <c r="H126" s="351">
        <f t="shared" si="6"/>
        <v>-205000</v>
      </c>
      <c r="I126" s="351">
        <f t="shared" si="7"/>
        <v>-270000</v>
      </c>
      <c r="M126" s="321">
        <v>1315509921</v>
      </c>
      <c r="N126" s="321">
        <v>31</v>
      </c>
      <c r="O126" s="321" t="s">
        <v>4943</v>
      </c>
      <c r="P126" s="321">
        <v>4815709</v>
      </c>
      <c r="Q126" s="322">
        <v>-1750000</v>
      </c>
      <c r="R126" s="322">
        <v>-1115100</v>
      </c>
      <c r="S126" s="322">
        <v>-1500000</v>
      </c>
      <c r="T126" s="322">
        <v>-1500000</v>
      </c>
      <c r="U126" s="322">
        <f t="shared" si="5"/>
        <v>0</v>
      </c>
      <c r="W126" s="321">
        <f t="shared" si="8"/>
        <v>921</v>
      </c>
      <c r="X126" s="321">
        <f t="shared" si="9"/>
        <v>315509</v>
      </c>
      <c r="Y126" s="321">
        <v>1</v>
      </c>
      <c r="AA126" s="321" t="s">
        <v>4943</v>
      </c>
    </row>
    <row r="127" spans="1:27">
      <c r="A127" s="346">
        <v>930</v>
      </c>
      <c r="B127" s="347">
        <v>341001</v>
      </c>
      <c r="C127" s="348" t="s">
        <v>6506</v>
      </c>
      <c r="D127" s="349">
        <v>5647</v>
      </c>
      <c r="E127" s="350">
        <v>5555</v>
      </c>
      <c r="F127" s="350">
        <v>5555</v>
      </c>
      <c r="H127" s="351">
        <f t="shared" si="6"/>
        <v>-5647000</v>
      </c>
      <c r="I127" s="351">
        <f t="shared" si="7"/>
        <v>-5555000</v>
      </c>
      <c r="M127" s="321">
        <v>1315510921</v>
      </c>
      <c r="N127" s="321">
        <v>31</v>
      </c>
      <c r="O127" s="321" t="s">
        <v>4944</v>
      </c>
      <c r="P127" s="321">
        <v>4815710</v>
      </c>
      <c r="Q127" s="322">
        <v>0</v>
      </c>
      <c r="R127" s="322">
        <v>0</v>
      </c>
      <c r="S127" s="322">
        <v>0</v>
      </c>
      <c r="T127" s="322">
        <v>0</v>
      </c>
      <c r="U127" s="322">
        <f t="shared" si="5"/>
        <v>0</v>
      </c>
      <c r="W127" s="321">
        <f t="shared" si="8"/>
        <v>921</v>
      </c>
      <c r="X127" s="321">
        <f t="shared" si="9"/>
        <v>315510</v>
      </c>
      <c r="Y127" s="321">
        <v>1</v>
      </c>
      <c r="AA127" s="321" t="s">
        <v>4944</v>
      </c>
    </row>
    <row r="128" spans="1:27">
      <c r="A128" s="346">
        <v>930</v>
      </c>
      <c r="B128" s="347">
        <v>341002</v>
      </c>
      <c r="C128" s="348" t="s">
        <v>6507</v>
      </c>
      <c r="D128" s="349">
        <v>132</v>
      </c>
      <c r="E128" s="350">
        <v>129</v>
      </c>
      <c r="F128" s="350">
        <v>129</v>
      </c>
      <c r="H128" s="351">
        <f t="shared" si="6"/>
        <v>-132000</v>
      </c>
      <c r="I128" s="351">
        <f t="shared" si="7"/>
        <v>-129000</v>
      </c>
      <c r="M128" s="321">
        <v>1315511921</v>
      </c>
      <c r="N128" s="321">
        <v>31</v>
      </c>
      <c r="O128" s="321" t="s">
        <v>4945</v>
      </c>
      <c r="P128" s="321">
        <v>4815711</v>
      </c>
      <c r="Q128" s="322">
        <v>-850000</v>
      </c>
      <c r="R128" s="322">
        <v>-564700</v>
      </c>
      <c r="S128" s="322">
        <v>-780000</v>
      </c>
      <c r="T128" s="322">
        <v>-780000</v>
      </c>
      <c r="U128" s="322">
        <f t="shared" si="5"/>
        <v>0</v>
      </c>
      <c r="W128" s="321">
        <f t="shared" si="8"/>
        <v>921</v>
      </c>
      <c r="X128" s="321">
        <f t="shared" si="9"/>
        <v>315511</v>
      </c>
      <c r="Y128" s="321">
        <v>1</v>
      </c>
      <c r="AA128" s="321" t="s">
        <v>4945</v>
      </c>
    </row>
    <row r="129" spans="1:27">
      <c r="A129" s="346">
        <v>930</v>
      </c>
      <c r="B129" s="347">
        <v>341003</v>
      </c>
      <c r="C129" s="348" t="s">
        <v>6508</v>
      </c>
      <c r="D129" s="349">
        <v>20</v>
      </c>
      <c r="E129" s="350">
        <v>20</v>
      </c>
      <c r="F129" s="350">
        <v>20</v>
      </c>
      <c r="H129" s="351">
        <f t="shared" si="6"/>
        <v>-20000</v>
      </c>
      <c r="I129" s="351">
        <f t="shared" si="7"/>
        <v>-20000</v>
      </c>
      <c r="M129" s="321">
        <v>1315515921</v>
      </c>
      <c r="N129" s="321">
        <v>31</v>
      </c>
      <c r="O129" s="321" t="s">
        <v>4946</v>
      </c>
      <c r="P129" s="321">
        <v>4815700</v>
      </c>
      <c r="Q129" s="322">
        <v>0</v>
      </c>
      <c r="R129" s="322">
        <v>-191300</v>
      </c>
      <c r="S129" s="322">
        <v>-250000</v>
      </c>
      <c r="T129" s="322">
        <v>-250000</v>
      </c>
      <c r="U129" s="322">
        <f t="shared" si="5"/>
        <v>0</v>
      </c>
      <c r="W129" s="321">
        <f t="shared" si="8"/>
        <v>921</v>
      </c>
      <c r="X129" s="321">
        <f t="shared" si="9"/>
        <v>315515</v>
      </c>
      <c r="Y129" s="321">
        <v>1</v>
      </c>
      <c r="AA129" s="321" t="s">
        <v>4946</v>
      </c>
    </row>
    <row r="130" spans="1:27">
      <c r="A130" s="346">
        <v>420</v>
      </c>
      <c r="B130" s="347">
        <v>342200</v>
      </c>
      <c r="C130" s="348" t="s">
        <v>6509</v>
      </c>
      <c r="D130" s="349">
        <v>0</v>
      </c>
      <c r="E130" s="350">
        <v>0</v>
      </c>
      <c r="F130" s="350">
        <v>0</v>
      </c>
      <c r="H130" s="351">
        <f t="shared" si="6"/>
        <v>0</v>
      </c>
      <c r="I130" s="351">
        <f t="shared" si="7"/>
        <v>0</v>
      </c>
      <c r="M130" s="321">
        <v>1315516921</v>
      </c>
      <c r="N130" s="321">
        <v>31</v>
      </c>
      <c r="O130" s="321" t="s">
        <v>4947</v>
      </c>
      <c r="P130" s="321">
        <v>4815716</v>
      </c>
      <c r="Q130" s="322">
        <v>-581000</v>
      </c>
      <c r="R130" s="322">
        <v>-519000</v>
      </c>
      <c r="S130" s="322">
        <v>-870000</v>
      </c>
      <c r="T130" s="322">
        <v>-870000</v>
      </c>
      <c r="U130" s="322">
        <f t="shared" ref="U130:U193" si="10">S130-T130</f>
        <v>0</v>
      </c>
      <c r="W130" s="321">
        <f t="shared" si="8"/>
        <v>921</v>
      </c>
      <c r="X130" s="321">
        <f t="shared" si="9"/>
        <v>315516</v>
      </c>
      <c r="Y130" s="321">
        <v>1</v>
      </c>
      <c r="AA130" s="321" t="s">
        <v>4947</v>
      </c>
    </row>
    <row r="131" spans="1:27">
      <c r="A131" s="346">
        <v>930</v>
      </c>
      <c r="B131" s="347">
        <v>342200</v>
      </c>
      <c r="C131" s="348" t="s">
        <v>6510</v>
      </c>
      <c r="D131" s="349">
        <v>0</v>
      </c>
      <c r="E131" s="350">
        <v>0</v>
      </c>
      <c r="F131" s="350">
        <v>0</v>
      </c>
      <c r="H131" s="351">
        <f t="shared" ref="H131:H194" si="11">D131*-1000</f>
        <v>0</v>
      </c>
      <c r="I131" s="351">
        <f t="shared" ref="I131:I194" si="12">F131*-1000</f>
        <v>0</v>
      </c>
      <c r="M131" s="321">
        <v>1315517921</v>
      </c>
      <c r="N131" s="321">
        <v>31</v>
      </c>
      <c r="O131" s="321" t="s">
        <v>4948</v>
      </c>
      <c r="P131" s="321">
        <v>4815700</v>
      </c>
      <c r="Q131" s="322">
        <v>0</v>
      </c>
      <c r="R131" s="322">
        <v>0</v>
      </c>
      <c r="S131" s="322">
        <v>-50000</v>
      </c>
      <c r="T131" s="322">
        <v>-50000</v>
      </c>
      <c r="U131" s="322">
        <f t="shared" si="10"/>
        <v>0</v>
      </c>
      <c r="W131" s="321">
        <f t="shared" ref="W131:W194" si="13">M131-1000000000-X131*1000</f>
        <v>921</v>
      </c>
      <c r="X131" s="321">
        <f t="shared" ref="X131:X194" si="14">ROUNDDOWN((M131-1000000000)/1000,0)</f>
        <v>315517</v>
      </c>
      <c r="Y131" s="321">
        <v>1</v>
      </c>
      <c r="AA131" s="321" t="s">
        <v>4948</v>
      </c>
    </row>
    <row r="132" spans="1:27">
      <c r="A132" s="346">
        <v>931</v>
      </c>
      <c r="B132" s="347">
        <v>342200</v>
      </c>
      <c r="C132" s="348" t="s">
        <v>6511</v>
      </c>
      <c r="D132" s="349">
        <v>0</v>
      </c>
      <c r="E132" s="350">
        <v>0</v>
      </c>
      <c r="F132" s="350">
        <v>0</v>
      </c>
      <c r="H132" s="351">
        <f t="shared" si="11"/>
        <v>0</v>
      </c>
      <c r="I132" s="351">
        <f t="shared" si="12"/>
        <v>0</v>
      </c>
      <c r="M132" s="321">
        <v>1315700926</v>
      </c>
      <c r="N132" s="321">
        <v>31</v>
      </c>
      <c r="O132" s="321" t="s">
        <v>4949</v>
      </c>
      <c r="P132" s="321">
        <v>4815700</v>
      </c>
      <c r="Q132" s="322">
        <v>0</v>
      </c>
      <c r="R132" s="322">
        <v>80100</v>
      </c>
      <c r="S132" s="322">
        <v>0</v>
      </c>
      <c r="T132" s="322">
        <v>0</v>
      </c>
      <c r="U132" s="322">
        <f t="shared" si="10"/>
        <v>0</v>
      </c>
      <c r="W132" s="321">
        <f t="shared" si="13"/>
        <v>926</v>
      </c>
      <c r="X132" s="321">
        <f t="shared" si="14"/>
        <v>315700</v>
      </c>
      <c r="Y132" s="321">
        <v>1</v>
      </c>
      <c r="AA132" s="321" t="s">
        <v>4949</v>
      </c>
    </row>
    <row r="133" spans="1:27">
      <c r="A133" s="346">
        <v>932</v>
      </c>
      <c r="B133" s="347">
        <v>342200</v>
      </c>
      <c r="C133" s="348" t="s">
        <v>6512</v>
      </c>
      <c r="D133" s="349">
        <v>38</v>
      </c>
      <c r="E133" s="350">
        <v>0</v>
      </c>
      <c r="F133" s="350">
        <v>0</v>
      </c>
      <c r="H133" s="351">
        <f t="shared" si="11"/>
        <v>-38000</v>
      </c>
      <c r="I133" s="351">
        <f t="shared" si="12"/>
        <v>0</v>
      </c>
      <c r="M133" s="321">
        <v>1315701920</v>
      </c>
      <c r="N133" s="321">
        <v>31</v>
      </c>
      <c r="O133" s="321" t="s">
        <v>4950</v>
      </c>
      <c r="P133" s="321">
        <v>4815701</v>
      </c>
      <c r="Q133" s="322">
        <v>-12300000</v>
      </c>
      <c r="R133" s="322">
        <v>-9729600</v>
      </c>
      <c r="S133" s="322">
        <v>-13500000</v>
      </c>
      <c r="T133" s="322">
        <v>-13500000</v>
      </c>
      <c r="U133" s="322">
        <f t="shared" si="10"/>
        <v>0</v>
      </c>
      <c r="W133" s="321">
        <f t="shared" si="13"/>
        <v>920</v>
      </c>
      <c r="X133" s="321">
        <f t="shared" si="14"/>
        <v>315701</v>
      </c>
      <c r="Y133" s="321">
        <v>1</v>
      </c>
      <c r="AA133" s="321" t="s">
        <v>4950</v>
      </c>
    </row>
    <row r="134" spans="1:27">
      <c r="A134" s="346">
        <v>930</v>
      </c>
      <c r="B134" s="347">
        <v>342201</v>
      </c>
      <c r="C134" s="352" t="s">
        <v>6513</v>
      </c>
      <c r="D134" s="349">
        <v>53</v>
      </c>
      <c r="E134" s="350">
        <v>53</v>
      </c>
      <c r="F134" s="350">
        <v>53</v>
      </c>
      <c r="H134" s="351">
        <f t="shared" si="11"/>
        <v>-53000</v>
      </c>
      <c r="I134" s="351">
        <f t="shared" si="12"/>
        <v>-53000</v>
      </c>
      <c r="M134" s="321">
        <v>1315702670</v>
      </c>
      <c r="N134" s="321">
        <v>31</v>
      </c>
      <c r="O134" s="321" t="s">
        <v>4951</v>
      </c>
      <c r="P134" s="321">
        <v>4815702</v>
      </c>
      <c r="Q134" s="322">
        <v>-5225000</v>
      </c>
      <c r="R134" s="322">
        <v>-3457300</v>
      </c>
      <c r="S134" s="322">
        <v>-4400000</v>
      </c>
      <c r="T134" s="322">
        <v>-4400000</v>
      </c>
      <c r="U134" s="322">
        <f t="shared" si="10"/>
        <v>0</v>
      </c>
      <c r="W134" s="321">
        <f t="shared" si="13"/>
        <v>670</v>
      </c>
      <c r="X134" s="321">
        <f t="shared" si="14"/>
        <v>315702</v>
      </c>
      <c r="Y134" s="321">
        <v>1</v>
      </c>
      <c r="AA134" s="321" t="s">
        <v>4951</v>
      </c>
    </row>
    <row r="135" spans="1:27">
      <c r="A135" s="346">
        <v>420</v>
      </c>
      <c r="B135" s="347">
        <v>342202</v>
      </c>
      <c r="C135" s="352" t="s">
        <v>6514</v>
      </c>
      <c r="D135" s="349">
        <v>2</v>
      </c>
      <c r="E135" s="350">
        <v>2</v>
      </c>
      <c r="F135" s="350">
        <v>2</v>
      </c>
      <c r="H135" s="351">
        <f t="shared" si="11"/>
        <v>-2000</v>
      </c>
      <c r="I135" s="351">
        <f t="shared" si="12"/>
        <v>-2000</v>
      </c>
      <c r="M135" s="321">
        <v>1315702920</v>
      </c>
      <c r="N135" s="321">
        <v>31</v>
      </c>
      <c r="O135" s="321" t="s">
        <v>4952</v>
      </c>
      <c r="P135" s="321">
        <v>4815702</v>
      </c>
      <c r="Q135" s="322">
        <v>0</v>
      </c>
      <c r="R135" s="322">
        <v>-3100</v>
      </c>
      <c r="S135" s="322">
        <v>0</v>
      </c>
      <c r="T135" s="322">
        <v>0</v>
      </c>
      <c r="U135" s="322">
        <f t="shared" si="10"/>
        <v>0</v>
      </c>
      <c r="W135" s="321">
        <f t="shared" si="13"/>
        <v>920</v>
      </c>
      <c r="X135" s="321">
        <f t="shared" si="14"/>
        <v>315702</v>
      </c>
      <c r="Y135" s="321">
        <v>1</v>
      </c>
      <c r="AA135" s="321" t="s">
        <v>4952</v>
      </c>
    </row>
    <row r="136" spans="1:27">
      <c r="A136" s="346">
        <v>421</v>
      </c>
      <c r="B136" s="347">
        <v>342202</v>
      </c>
      <c r="C136" s="352" t="s">
        <v>6515</v>
      </c>
      <c r="D136" s="349">
        <v>300</v>
      </c>
      <c r="E136" s="350">
        <v>270</v>
      </c>
      <c r="F136" s="350">
        <v>270</v>
      </c>
      <c r="H136" s="351">
        <f t="shared" si="11"/>
        <v>-300000</v>
      </c>
      <c r="I136" s="351">
        <f t="shared" si="12"/>
        <v>-270000</v>
      </c>
      <c r="M136" s="321">
        <v>1315703920</v>
      </c>
      <c r="N136" s="321">
        <v>31</v>
      </c>
      <c r="O136" s="321" t="s">
        <v>4953</v>
      </c>
      <c r="P136" s="321">
        <v>4815703</v>
      </c>
      <c r="Q136" s="322">
        <v>-15600000</v>
      </c>
      <c r="R136" s="322">
        <v>-11122700</v>
      </c>
      <c r="S136" s="322">
        <v>-15000000</v>
      </c>
      <c r="T136" s="322">
        <v>-15000000</v>
      </c>
      <c r="U136" s="322">
        <f t="shared" si="10"/>
        <v>0</v>
      </c>
      <c r="W136" s="321">
        <f t="shared" si="13"/>
        <v>920</v>
      </c>
      <c r="X136" s="321">
        <f t="shared" si="14"/>
        <v>315703</v>
      </c>
      <c r="Y136" s="321">
        <v>1</v>
      </c>
      <c r="AA136" s="321" t="s">
        <v>4953</v>
      </c>
    </row>
    <row r="137" spans="1:27">
      <c r="A137" s="346">
        <v>930</v>
      </c>
      <c r="B137" s="347">
        <v>342202</v>
      </c>
      <c r="C137" s="352" t="s">
        <v>6516</v>
      </c>
      <c r="D137" s="349">
        <v>113</v>
      </c>
      <c r="E137" s="350">
        <v>135</v>
      </c>
      <c r="F137" s="350">
        <v>75</v>
      </c>
      <c r="H137" s="351">
        <f t="shared" si="11"/>
        <v>-113000</v>
      </c>
      <c r="I137" s="351">
        <f t="shared" si="12"/>
        <v>-75000</v>
      </c>
      <c r="M137" s="321">
        <v>1315704920</v>
      </c>
      <c r="N137" s="321">
        <v>31</v>
      </c>
      <c r="O137" s="321" t="s">
        <v>4954</v>
      </c>
      <c r="P137" s="321">
        <v>4815704</v>
      </c>
      <c r="Q137" s="322">
        <v>-17000000</v>
      </c>
      <c r="R137" s="322">
        <v>-12796400</v>
      </c>
      <c r="S137" s="322">
        <v>-17000000</v>
      </c>
      <c r="T137" s="322">
        <v>-17000000</v>
      </c>
      <c r="U137" s="322">
        <f t="shared" si="10"/>
        <v>0</v>
      </c>
      <c r="W137" s="321">
        <f t="shared" si="13"/>
        <v>920</v>
      </c>
      <c r="X137" s="321">
        <f t="shared" si="14"/>
        <v>315704</v>
      </c>
      <c r="Y137" s="321">
        <v>1</v>
      </c>
      <c r="AA137" s="321" t="s">
        <v>4954</v>
      </c>
    </row>
    <row r="138" spans="1:27">
      <c r="A138" s="346">
        <v>930</v>
      </c>
      <c r="B138" s="347">
        <v>342203</v>
      </c>
      <c r="C138" s="352" t="s">
        <v>6517</v>
      </c>
      <c r="D138" s="349">
        <v>0</v>
      </c>
      <c r="E138" s="350">
        <v>0</v>
      </c>
      <c r="F138" s="350">
        <v>0</v>
      </c>
      <c r="H138" s="351">
        <f t="shared" si="11"/>
        <v>0</v>
      </c>
      <c r="I138" s="351">
        <f t="shared" si="12"/>
        <v>0</v>
      </c>
      <c r="M138" s="321">
        <v>1315705920</v>
      </c>
      <c r="N138" s="321">
        <v>31</v>
      </c>
      <c r="O138" s="321" t="s">
        <v>4955</v>
      </c>
      <c r="P138" s="321">
        <v>4815705</v>
      </c>
      <c r="Q138" s="322">
        <v>-17500000</v>
      </c>
      <c r="R138" s="322">
        <v>-14048500</v>
      </c>
      <c r="S138" s="322">
        <v>-18800000</v>
      </c>
      <c r="T138" s="322">
        <v>-18800000</v>
      </c>
      <c r="U138" s="322">
        <f t="shared" si="10"/>
        <v>0</v>
      </c>
      <c r="W138" s="321">
        <f t="shared" si="13"/>
        <v>920</v>
      </c>
      <c r="X138" s="321">
        <f t="shared" si="14"/>
        <v>315705</v>
      </c>
      <c r="Y138" s="321">
        <v>1</v>
      </c>
      <c r="AA138" s="321" t="s">
        <v>4955</v>
      </c>
    </row>
    <row r="139" spans="1:27">
      <c r="A139" s="346">
        <v>930</v>
      </c>
      <c r="B139" s="347">
        <v>342204</v>
      </c>
      <c r="C139" s="352" t="s">
        <v>6518</v>
      </c>
      <c r="D139" s="349">
        <v>117</v>
      </c>
      <c r="E139" s="350">
        <v>118</v>
      </c>
      <c r="F139" s="350">
        <v>266</v>
      </c>
      <c r="H139" s="351">
        <f t="shared" si="11"/>
        <v>-117000</v>
      </c>
      <c r="I139" s="351">
        <f t="shared" si="12"/>
        <v>-266000</v>
      </c>
      <c r="M139" s="321">
        <v>1315706920</v>
      </c>
      <c r="N139" s="321">
        <v>31</v>
      </c>
      <c r="O139" s="321" t="s">
        <v>4940</v>
      </c>
      <c r="P139" s="321">
        <v>4815706</v>
      </c>
      <c r="Q139" s="322">
        <v>-13650000</v>
      </c>
      <c r="R139" s="322">
        <v>-10737700</v>
      </c>
      <c r="S139" s="322">
        <v>-14200000</v>
      </c>
      <c r="T139" s="322">
        <v>-14200000</v>
      </c>
      <c r="U139" s="322">
        <f t="shared" si="10"/>
        <v>0</v>
      </c>
      <c r="W139" s="321">
        <f t="shared" si="13"/>
        <v>920</v>
      </c>
      <c r="X139" s="321">
        <f t="shared" si="14"/>
        <v>315706</v>
      </c>
      <c r="Y139" s="321">
        <v>1</v>
      </c>
      <c r="AA139" s="321" t="s">
        <v>4940</v>
      </c>
    </row>
    <row r="140" spans="1:27">
      <c r="A140" s="346">
        <v>930</v>
      </c>
      <c r="B140" s="347">
        <v>342205</v>
      </c>
      <c r="C140" s="352" t="s">
        <v>6519</v>
      </c>
      <c r="D140" s="349">
        <v>5</v>
      </c>
      <c r="E140" s="350">
        <v>6</v>
      </c>
      <c r="F140" s="350">
        <v>6</v>
      </c>
      <c r="H140" s="351">
        <f t="shared" si="11"/>
        <v>-5000</v>
      </c>
      <c r="I140" s="351">
        <f t="shared" si="12"/>
        <v>-6000</v>
      </c>
      <c r="M140" s="321">
        <v>1315707920</v>
      </c>
      <c r="N140" s="321">
        <v>31</v>
      </c>
      <c r="O140" s="321" t="s">
        <v>4956</v>
      </c>
      <c r="P140" s="321">
        <v>4815707</v>
      </c>
      <c r="Q140" s="322">
        <v>-14700000</v>
      </c>
      <c r="R140" s="322">
        <v>-11257900</v>
      </c>
      <c r="S140" s="322">
        <v>-14900000</v>
      </c>
      <c r="T140" s="322">
        <v>-14900000</v>
      </c>
      <c r="U140" s="322">
        <f t="shared" si="10"/>
        <v>0</v>
      </c>
      <c r="W140" s="321">
        <f t="shared" si="13"/>
        <v>920</v>
      </c>
      <c r="X140" s="321">
        <f t="shared" si="14"/>
        <v>315707</v>
      </c>
      <c r="Y140" s="321">
        <v>1</v>
      </c>
      <c r="AA140" s="321" t="s">
        <v>4956</v>
      </c>
    </row>
    <row r="141" spans="1:27">
      <c r="A141" s="346">
        <v>930</v>
      </c>
      <c r="B141" s="347">
        <v>342206</v>
      </c>
      <c r="C141" s="352" t="s">
        <v>6520</v>
      </c>
      <c r="D141" s="349">
        <v>72</v>
      </c>
      <c r="E141" s="350">
        <v>74</v>
      </c>
      <c r="F141" s="350">
        <v>74</v>
      </c>
      <c r="H141" s="351">
        <f t="shared" si="11"/>
        <v>-72000</v>
      </c>
      <c r="I141" s="351">
        <f t="shared" si="12"/>
        <v>-74000</v>
      </c>
      <c r="M141" s="321">
        <v>1315708920</v>
      </c>
      <c r="N141" s="321">
        <v>31</v>
      </c>
      <c r="O141" s="321" t="s">
        <v>4957</v>
      </c>
      <c r="P141" s="321">
        <v>4815708</v>
      </c>
      <c r="Q141" s="322">
        <v>-14200000</v>
      </c>
      <c r="R141" s="322">
        <v>-10362600</v>
      </c>
      <c r="S141" s="322">
        <v>-14100000</v>
      </c>
      <c r="T141" s="322">
        <v>-14100000</v>
      </c>
      <c r="U141" s="322">
        <f t="shared" si="10"/>
        <v>0</v>
      </c>
      <c r="W141" s="321">
        <f t="shared" si="13"/>
        <v>920</v>
      </c>
      <c r="X141" s="321">
        <f t="shared" si="14"/>
        <v>315708</v>
      </c>
      <c r="Y141" s="321">
        <v>1</v>
      </c>
      <c r="AA141" s="321" t="s">
        <v>4957</v>
      </c>
    </row>
    <row r="142" spans="1:27">
      <c r="A142" s="346">
        <v>420</v>
      </c>
      <c r="B142" s="347">
        <v>342400</v>
      </c>
      <c r="C142" s="352" t="s">
        <v>6521</v>
      </c>
      <c r="D142" s="349">
        <v>0</v>
      </c>
      <c r="E142" s="350">
        <v>0</v>
      </c>
      <c r="F142" s="350">
        <v>0</v>
      </c>
      <c r="H142" s="351">
        <f t="shared" si="11"/>
        <v>0</v>
      </c>
      <c r="I142" s="351">
        <f t="shared" si="12"/>
        <v>0</v>
      </c>
      <c r="M142" s="321">
        <v>1315709920</v>
      </c>
      <c r="N142" s="321">
        <v>31</v>
      </c>
      <c r="O142" s="321" t="s">
        <v>4958</v>
      </c>
      <c r="P142" s="321">
        <v>4815709</v>
      </c>
      <c r="Q142" s="322">
        <v>-14500000</v>
      </c>
      <c r="R142" s="322">
        <v>-11689400</v>
      </c>
      <c r="S142" s="322">
        <v>-15600000</v>
      </c>
      <c r="T142" s="322">
        <v>-15600000</v>
      </c>
      <c r="U142" s="322">
        <f t="shared" si="10"/>
        <v>0</v>
      </c>
      <c r="W142" s="321">
        <f t="shared" si="13"/>
        <v>920</v>
      </c>
      <c r="X142" s="321">
        <f t="shared" si="14"/>
        <v>315709</v>
      </c>
      <c r="Y142" s="321">
        <v>1</v>
      </c>
      <c r="AA142" s="321" t="s">
        <v>4958</v>
      </c>
    </row>
    <row r="143" spans="1:27">
      <c r="A143" s="346">
        <v>420</v>
      </c>
      <c r="B143" s="347">
        <v>342401</v>
      </c>
      <c r="C143" s="352" t="s">
        <v>6522</v>
      </c>
      <c r="D143" s="349">
        <v>20</v>
      </c>
      <c r="E143" s="350">
        <v>20</v>
      </c>
      <c r="F143" s="350">
        <v>33</v>
      </c>
      <c r="H143" s="351">
        <f t="shared" si="11"/>
        <v>-20000</v>
      </c>
      <c r="I143" s="351">
        <f t="shared" si="12"/>
        <v>-33000</v>
      </c>
      <c r="M143" s="321">
        <v>1315710670</v>
      </c>
      <c r="N143" s="321">
        <v>31</v>
      </c>
      <c r="O143" s="321" t="s">
        <v>4959</v>
      </c>
      <c r="P143" s="321">
        <v>4815710</v>
      </c>
      <c r="Q143" s="322">
        <v>-6200000</v>
      </c>
      <c r="R143" s="322">
        <v>-2350100</v>
      </c>
      <c r="S143" s="322">
        <v>-3100000</v>
      </c>
      <c r="T143" s="322">
        <v>-3100000</v>
      </c>
      <c r="U143" s="322">
        <f t="shared" si="10"/>
        <v>0</v>
      </c>
      <c r="W143" s="321">
        <f t="shared" si="13"/>
        <v>670</v>
      </c>
      <c r="X143" s="321">
        <f t="shared" si="14"/>
        <v>315710</v>
      </c>
      <c r="Y143" s="321">
        <v>1</v>
      </c>
      <c r="AA143" s="321" t="s">
        <v>4959</v>
      </c>
    </row>
    <row r="144" spans="1:27">
      <c r="A144" s="346">
        <v>930</v>
      </c>
      <c r="B144" s="347">
        <v>342401</v>
      </c>
      <c r="C144" s="352" t="s">
        <v>6523</v>
      </c>
      <c r="D144" s="349">
        <v>291</v>
      </c>
      <c r="E144" s="350">
        <v>288</v>
      </c>
      <c r="F144" s="350">
        <v>288</v>
      </c>
      <c r="H144" s="351">
        <f t="shared" si="11"/>
        <v>-291000</v>
      </c>
      <c r="I144" s="351">
        <f t="shared" si="12"/>
        <v>-288000</v>
      </c>
      <c r="M144" s="321">
        <v>1315710920</v>
      </c>
      <c r="N144" s="321">
        <v>31</v>
      </c>
      <c r="O144" s="321" t="s">
        <v>4960</v>
      </c>
      <c r="P144" s="321">
        <v>4815710</v>
      </c>
      <c r="Q144" s="322">
        <v>0</v>
      </c>
      <c r="R144" s="322">
        <v>0</v>
      </c>
      <c r="S144" s="322">
        <v>0</v>
      </c>
      <c r="T144" s="322">
        <v>0</v>
      </c>
      <c r="U144" s="322">
        <f t="shared" si="10"/>
        <v>0</v>
      </c>
      <c r="W144" s="321">
        <f t="shared" si="13"/>
        <v>920</v>
      </c>
      <c r="X144" s="321">
        <f t="shared" si="14"/>
        <v>315710</v>
      </c>
      <c r="Y144" s="321">
        <v>1</v>
      </c>
      <c r="AA144" s="321" t="s">
        <v>4960</v>
      </c>
    </row>
    <row r="145" spans="1:27">
      <c r="A145" s="346">
        <v>930</v>
      </c>
      <c r="B145" s="347">
        <v>342402</v>
      </c>
      <c r="C145" s="352" t="s">
        <v>6524</v>
      </c>
      <c r="D145" s="349">
        <v>72</v>
      </c>
      <c r="E145" s="350">
        <v>36</v>
      </c>
      <c r="F145" s="350">
        <v>36</v>
      </c>
      <c r="H145" s="351">
        <f t="shared" si="11"/>
        <v>-72000</v>
      </c>
      <c r="I145" s="351">
        <f t="shared" si="12"/>
        <v>-36000</v>
      </c>
      <c r="M145" s="321">
        <v>1315711920</v>
      </c>
      <c r="N145" s="321">
        <v>31</v>
      </c>
      <c r="O145" s="321" t="s">
        <v>4945</v>
      </c>
      <c r="P145" s="321">
        <v>4815711</v>
      </c>
      <c r="Q145" s="322">
        <v>-8120000</v>
      </c>
      <c r="R145" s="322">
        <v>-6632700</v>
      </c>
      <c r="S145" s="322">
        <v>-8800000</v>
      </c>
      <c r="T145" s="322">
        <v>-8800000</v>
      </c>
      <c r="U145" s="322">
        <f t="shared" si="10"/>
        <v>0</v>
      </c>
      <c r="W145" s="321">
        <f t="shared" si="13"/>
        <v>920</v>
      </c>
      <c r="X145" s="321">
        <f t="shared" si="14"/>
        <v>315711</v>
      </c>
      <c r="Y145" s="321">
        <v>1</v>
      </c>
      <c r="AA145" s="321" t="s">
        <v>4945</v>
      </c>
    </row>
    <row r="146" spans="1:27">
      <c r="A146" s="346">
        <v>930</v>
      </c>
      <c r="B146" s="347">
        <v>343500</v>
      </c>
      <c r="C146" s="348" t="s">
        <v>6525</v>
      </c>
      <c r="D146" s="349">
        <v>0</v>
      </c>
      <c r="E146" s="350">
        <v>0</v>
      </c>
      <c r="F146" s="350">
        <v>0</v>
      </c>
      <c r="H146" s="351">
        <f t="shared" si="11"/>
        <v>0</v>
      </c>
      <c r="I146" s="351">
        <f t="shared" si="12"/>
        <v>0</v>
      </c>
      <c r="M146" s="321">
        <v>1315712920</v>
      </c>
      <c r="N146" s="321">
        <v>31</v>
      </c>
      <c r="O146" s="321" t="s">
        <v>4961</v>
      </c>
      <c r="P146" s="321">
        <v>4815712</v>
      </c>
      <c r="Q146" s="322">
        <v>-200000</v>
      </c>
      <c r="R146" s="322">
        <v>-163400</v>
      </c>
      <c r="S146" s="322">
        <v>-200000</v>
      </c>
      <c r="T146" s="322">
        <v>-200000</v>
      </c>
      <c r="U146" s="322">
        <f t="shared" si="10"/>
        <v>0</v>
      </c>
      <c r="W146" s="321">
        <f t="shared" si="13"/>
        <v>920</v>
      </c>
      <c r="X146" s="321">
        <f t="shared" si="14"/>
        <v>315712</v>
      </c>
      <c r="Y146" s="321">
        <v>1</v>
      </c>
      <c r="AA146" s="321" t="s">
        <v>4961</v>
      </c>
    </row>
    <row r="147" spans="1:27">
      <c r="A147" s="346">
        <v>420</v>
      </c>
      <c r="B147" s="347">
        <v>343501</v>
      </c>
      <c r="C147" s="352" t="s">
        <v>6526</v>
      </c>
      <c r="D147" s="349">
        <v>250</v>
      </c>
      <c r="E147" s="350">
        <v>0</v>
      </c>
      <c r="F147" s="350">
        <v>0</v>
      </c>
      <c r="H147" s="351">
        <f t="shared" si="11"/>
        <v>-250000</v>
      </c>
      <c r="I147" s="351">
        <f t="shared" si="12"/>
        <v>0</v>
      </c>
      <c r="M147" s="321">
        <v>1315713920</v>
      </c>
      <c r="N147" s="321">
        <v>31</v>
      </c>
      <c r="O147" s="321" t="s">
        <v>4962</v>
      </c>
      <c r="P147" s="321">
        <v>4815713</v>
      </c>
      <c r="Q147" s="322">
        <v>-420000</v>
      </c>
      <c r="R147" s="322">
        <v>-317400</v>
      </c>
      <c r="S147" s="322">
        <v>-470000</v>
      </c>
      <c r="T147" s="322">
        <v>-470000</v>
      </c>
      <c r="U147" s="322">
        <f t="shared" si="10"/>
        <v>0</v>
      </c>
      <c r="W147" s="321">
        <f t="shared" si="13"/>
        <v>920</v>
      </c>
      <c r="X147" s="321">
        <f t="shared" si="14"/>
        <v>315713</v>
      </c>
      <c r="Y147" s="321">
        <v>1</v>
      </c>
      <c r="AA147" s="321" t="s">
        <v>4962</v>
      </c>
    </row>
    <row r="148" spans="1:27">
      <c r="A148" s="346">
        <v>930</v>
      </c>
      <c r="B148" s="347">
        <v>343501</v>
      </c>
      <c r="C148" s="352" t="s">
        <v>6527</v>
      </c>
      <c r="D148" s="349">
        <v>103</v>
      </c>
      <c r="E148" s="350">
        <v>123</v>
      </c>
      <c r="F148" s="350">
        <v>123</v>
      </c>
      <c r="H148" s="351">
        <f t="shared" si="11"/>
        <v>-103000</v>
      </c>
      <c r="I148" s="351">
        <f t="shared" si="12"/>
        <v>-123000</v>
      </c>
      <c r="M148" s="321">
        <v>1315714430</v>
      </c>
      <c r="N148" s="321">
        <v>31</v>
      </c>
      <c r="O148" s="321" t="s">
        <v>4963</v>
      </c>
      <c r="P148" s="321">
        <v>4815714</v>
      </c>
      <c r="Q148" s="322">
        <v>-1200000</v>
      </c>
      <c r="R148" s="322">
        <v>-258700</v>
      </c>
      <c r="S148" s="322">
        <v>0</v>
      </c>
      <c r="T148" s="322">
        <v>0</v>
      </c>
      <c r="U148" s="322">
        <f t="shared" si="10"/>
        <v>0</v>
      </c>
      <c r="W148" s="321">
        <f t="shared" si="13"/>
        <v>430</v>
      </c>
      <c r="X148" s="321">
        <f t="shared" si="14"/>
        <v>315714</v>
      </c>
      <c r="Y148" s="321">
        <v>1</v>
      </c>
      <c r="AA148" s="321" t="s">
        <v>4963</v>
      </c>
    </row>
    <row r="149" spans="1:27">
      <c r="A149" s="346">
        <v>930</v>
      </c>
      <c r="B149" s="347">
        <v>343502</v>
      </c>
      <c r="C149" s="352" t="s">
        <v>6528</v>
      </c>
      <c r="D149" s="349">
        <v>39</v>
      </c>
      <c r="E149" s="350">
        <v>49</v>
      </c>
      <c r="F149" s="350">
        <v>49</v>
      </c>
      <c r="H149" s="351">
        <f t="shared" si="11"/>
        <v>-39000</v>
      </c>
      <c r="I149" s="351">
        <f t="shared" si="12"/>
        <v>-49000</v>
      </c>
      <c r="M149" s="321">
        <v>1315715670</v>
      </c>
      <c r="N149" s="321">
        <v>31</v>
      </c>
      <c r="O149" s="321" t="s">
        <v>4964</v>
      </c>
      <c r="P149" s="321">
        <v>4817150</v>
      </c>
      <c r="Q149" s="322">
        <v>0</v>
      </c>
      <c r="R149" s="322">
        <v>0</v>
      </c>
      <c r="S149" s="322">
        <v>0</v>
      </c>
      <c r="T149" s="322">
        <v>0</v>
      </c>
      <c r="U149" s="322">
        <f t="shared" si="10"/>
        <v>0</v>
      </c>
      <c r="W149" s="321">
        <f t="shared" si="13"/>
        <v>670</v>
      </c>
      <c r="X149" s="321">
        <f t="shared" si="14"/>
        <v>315715</v>
      </c>
      <c r="Y149" s="321">
        <v>1</v>
      </c>
      <c r="AA149" s="321" t="s">
        <v>4964</v>
      </c>
    </row>
    <row r="150" spans="1:27">
      <c r="A150" s="346">
        <v>931</v>
      </c>
      <c r="B150" s="347">
        <v>343502</v>
      </c>
      <c r="C150" s="352" t="s">
        <v>6529</v>
      </c>
      <c r="D150" s="349">
        <v>50</v>
      </c>
      <c r="E150" s="350">
        <v>37</v>
      </c>
      <c r="F150" s="350">
        <v>37</v>
      </c>
      <c r="H150" s="351">
        <f t="shared" si="11"/>
        <v>-50000</v>
      </c>
      <c r="I150" s="351">
        <f t="shared" si="12"/>
        <v>-37000</v>
      </c>
      <c r="M150" s="321">
        <v>1316200420</v>
      </c>
      <c r="N150" s="321">
        <v>31</v>
      </c>
      <c r="O150" s="321" t="s">
        <v>4965</v>
      </c>
      <c r="P150" s="321">
        <v>4816200</v>
      </c>
      <c r="Q150" s="322">
        <v>-100000</v>
      </c>
      <c r="R150" s="322">
        <v>-57100</v>
      </c>
      <c r="S150" s="322">
        <v>-100000</v>
      </c>
      <c r="T150" s="322">
        <v>-100000</v>
      </c>
      <c r="U150" s="322">
        <f t="shared" si="10"/>
        <v>0</v>
      </c>
      <c r="W150" s="321">
        <f t="shared" si="13"/>
        <v>420</v>
      </c>
      <c r="X150" s="321">
        <f t="shared" si="14"/>
        <v>316200</v>
      </c>
      <c r="Y150" s="321">
        <v>1</v>
      </c>
      <c r="AA150" s="321" t="s">
        <v>4965</v>
      </c>
    </row>
    <row r="151" spans="1:27">
      <c r="A151" s="346">
        <v>420</v>
      </c>
      <c r="B151" s="347">
        <v>343503</v>
      </c>
      <c r="C151" s="352" t="s">
        <v>6530</v>
      </c>
      <c r="D151" s="349">
        <v>0</v>
      </c>
      <c r="E151" s="350">
        <v>4</v>
      </c>
      <c r="F151" s="350">
        <v>20</v>
      </c>
      <c r="H151" s="351">
        <f t="shared" si="11"/>
        <v>0</v>
      </c>
      <c r="I151" s="351">
        <f t="shared" si="12"/>
        <v>-20000</v>
      </c>
      <c r="M151" s="321">
        <v>1316200970</v>
      </c>
      <c r="N151" s="321">
        <v>31</v>
      </c>
      <c r="O151" s="321" t="s">
        <v>4966</v>
      </c>
      <c r="P151" s="321">
        <v>4816200</v>
      </c>
      <c r="Q151" s="322">
        <v>-90000</v>
      </c>
      <c r="R151" s="322">
        <v>-35500</v>
      </c>
      <c r="S151" s="322">
        <v>-90000</v>
      </c>
      <c r="T151" s="322">
        <v>-90000</v>
      </c>
      <c r="U151" s="322">
        <f t="shared" si="10"/>
        <v>0</v>
      </c>
      <c r="W151" s="321">
        <f t="shared" si="13"/>
        <v>970</v>
      </c>
      <c r="X151" s="321">
        <f t="shared" si="14"/>
        <v>316200</v>
      </c>
      <c r="Y151" s="321">
        <v>1</v>
      </c>
      <c r="AA151" s="321" t="s">
        <v>4966</v>
      </c>
    </row>
    <row r="152" spans="1:27">
      <c r="A152" s="346">
        <v>930</v>
      </c>
      <c r="B152" s="347">
        <v>343503</v>
      </c>
      <c r="C152" s="352" t="s">
        <v>6531</v>
      </c>
      <c r="D152" s="349">
        <v>394</v>
      </c>
      <c r="E152" s="350">
        <v>382</v>
      </c>
      <c r="F152" s="350">
        <v>382</v>
      </c>
      <c r="H152" s="351">
        <f t="shared" si="11"/>
        <v>-394000</v>
      </c>
      <c r="I152" s="351">
        <f t="shared" si="12"/>
        <v>-382000</v>
      </c>
      <c r="M152" s="321">
        <v>1316600650</v>
      </c>
      <c r="N152" s="321">
        <v>31</v>
      </c>
      <c r="O152" s="321" t="s">
        <v>4967</v>
      </c>
      <c r="P152" s="321">
        <v>4811000</v>
      </c>
      <c r="Q152" s="322">
        <v>-570000</v>
      </c>
      <c r="R152" s="322">
        <v>-180900</v>
      </c>
      <c r="S152" s="322">
        <v>-600000</v>
      </c>
      <c r="T152" s="322">
        <v>-600000</v>
      </c>
      <c r="U152" s="322">
        <f t="shared" si="10"/>
        <v>0</v>
      </c>
      <c r="W152" s="321">
        <f t="shared" si="13"/>
        <v>650</v>
      </c>
      <c r="X152" s="321">
        <f t="shared" si="14"/>
        <v>316600</v>
      </c>
      <c r="Y152" s="321">
        <v>1</v>
      </c>
      <c r="AA152" s="321" t="s">
        <v>4967</v>
      </c>
    </row>
    <row r="153" spans="1:27">
      <c r="A153" s="346">
        <v>420</v>
      </c>
      <c r="B153" s="347">
        <v>343504</v>
      </c>
      <c r="C153" s="352" t="s">
        <v>6532</v>
      </c>
      <c r="D153" s="349">
        <v>0</v>
      </c>
      <c r="E153" s="350">
        <v>75</v>
      </c>
      <c r="F153" s="350">
        <v>69</v>
      </c>
      <c r="H153" s="351">
        <f t="shared" si="11"/>
        <v>0</v>
      </c>
      <c r="I153" s="351">
        <f t="shared" si="12"/>
        <v>-69000</v>
      </c>
      <c r="M153" s="321">
        <v>1316802922</v>
      </c>
      <c r="N153" s="321">
        <v>31</v>
      </c>
      <c r="O153" s="321" t="s">
        <v>4968</v>
      </c>
      <c r="P153" s="321">
        <v>4816800</v>
      </c>
      <c r="Q153" s="322">
        <v>-400000</v>
      </c>
      <c r="R153" s="322">
        <v>-89700</v>
      </c>
      <c r="S153" s="322">
        <v>0</v>
      </c>
      <c r="T153" s="322">
        <v>0</v>
      </c>
      <c r="U153" s="322">
        <f t="shared" si="10"/>
        <v>0</v>
      </c>
      <c r="W153" s="321">
        <f t="shared" si="13"/>
        <v>922</v>
      </c>
      <c r="X153" s="321">
        <f t="shared" si="14"/>
        <v>316802</v>
      </c>
      <c r="Y153" s="321">
        <v>1</v>
      </c>
      <c r="AA153" s="321" t="s">
        <v>4968</v>
      </c>
    </row>
    <row r="154" spans="1:27">
      <c r="A154" s="346">
        <v>920</v>
      </c>
      <c r="B154" s="347">
        <v>343504</v>
      </c>
      <c r="C154" s="352" t="s">
        <v>6533</v>
      </c>
      <c r="D154" s="349">
        <v>485</v>
      </c>
      <c r="E154" s="350">
        <v>484</v>
      </c>
      <c r="F154" s="350">
        <v>490</v>
      </c>
      <c r="H154" s="351">
        <f t="shared" si="11"/>
        <v>-485000</v>
      </c>
      <c r="I154" s="351">
        <f t="shared" si="12"/>
        <v>-490000</v>
      </c>
      <c r="M154" s="321">
        <v>1317100920</v>
      </c>
      <c r="N154" s="321">
        <v>31</v>
      </c>
      <c r="O154" s="321" t="s">
        <v>4969</v>
      </c>
      <c r="P154" s="321">
        <v>4817100</v>
      </c>
      <c r="Q154" s="322">
        <v>-570000</v>
      </c>
      <c r="R154" s="322">
        <v>-433200</v>
      </c>
      <c r="S154" s="322">
        <v>-580000</v>
      </c>
      <c r="T154" s="322">
        <v>-580000</v>
      </c>
      <c r="U154" s="322">
        <f t="shared" si="10"/>
        <v>0</v>
      </c>
      <c r="W154" s="321">
        <f t="shared" si="13"/>
        <v>920</v>
      </c>
      <c r="X154" s="321">
        <f t="shared" si="14"/>
        <v>317100</v>
      </c>
      <c r="Y154" s="321">
        <v>1</v>
      </c>
      <c r="AA154" s="321" t="s">
        <v>4969</v>
      </c>
    </row>
    <row r="155" spans="1:27">
      <c r="A155" s="346">
        <v>930</v>
      </c>
      <c r="B155" s="347">
        <v>343504</v>
      </c>
      <c r="C155" s="352" t="s">
        <v>6534</v>
      </c>
      <c r="D155" s="349">
        <v>300</v>
      </c>
      <c r="E155" s="350">
        <v>323</v>
      </c>
      <c r="F155" s="350">
        <v>237</v>
      </c>
      <c r="H155" s="351">
        <f t="shared" si="11"/>
        <v>-300000</v>
      </c>
      <c r="I155" s="351">
        <f t="shared" si="12"/>
        <v>-237000</v>
      </c>
      <c r="M155" s="321">
        <v>1317100992</v>
      </c>
      <c r="N155" s="321">
        <v>31</v>
      </c>
      <c r="O155" s="321" t="s">
        <v>4970</v>
      </c>
      <c r="P155" s="321">
        <v>4817100</v>
      </c>
      <c r="Q155" s="322">
        <v>-4300000</v>
      </c>
      <c r="R155" s="322">
        <v>-2098400</v>
      </c>
      <c r="S155" s="322">
        <v>-4700000</v>
      </c>
      <c r="T155" s="322">
        <v>-4700000</v>
      </c>
      <c r="U155" s="322">
        <f t="shared" si="10"/>
        <v>0</v>
      </c>
      <c r="W155" s="321">
        <f t="shared" si="13"/>
        <v>992</v>
      </c>
      <c r="X155" s="321">
        <f t="shared" si="14"/>
        <v>317100</v>
      </c>
      <c r="Y155" s="321">
        <v>1</v>
      </c>
      <c r="AA155" s="321" t="s">
        <v>4970</v>
      </c>
    </row>
    <row r="156" spans="1:27">
      <c r="A156" s="346">
        <v>930</v>
      </c>
      <c r="B156" s="347">
        <v>343505</v>
      </c>
      <c r="C156" s="352" t="s">
        <v>6535</v>
      </c>
      <c r="D156" s="349">
        <v>7</v>
      </c>
      <c r="E156" s="350">
        <v>7</v>
      </c>
      <c r="F156" s="350">
        <v>7</v>
      </c>
      <c r="H156" s="351">
        <f t="shared" si="11"/>
        <v>-7000</v>
      </c>
      <c r="I156" s="351">
        <f t="shared" si="12"/>
        <v>-7000</v>
      </c>
      <c r="M156" s="321">
        <v>1317200420</v>
      </c>
      <c r="N156" s="321">
        <v>31</v>
      </c>
      <c r="O156" s="321" t="s">
        <v>4971</v>
      </c>
      <c r="P156" s="321">
        <v>4817200</v>
      </c>
      <c r="Q156" s="322">
        <v>-20000</v>
      </c>
      <c r="R156" s="322">
        <v>0</v>
      </c>
      <c r="S156" s="322">
        <v>-25000</v>
      </c>
      <c r="T156" s="322">
        <v>-25000</v>
      </c>
      <c r="U156" s="322">
        <f t="shared" si="10"/>
        <v>0</v>
      </c>
      <c r="W156" s="321">
        <f t="shared" si="13"/>
        <v>420</v>
      </c>
      <c r="X156" s="321">
        <f t="shared" si="14"/>
        <v>317200</v>
      </c>
      <c r="Y156" s="321">
        <v>1</v>
      </c>
      <c r="AA156" s="321" t="s">
        <v>4971</v>
      </c>
    </row>
    <row r="157" spans="1:27">
      <c r="A157" s="346">
        <v>930</v>
      </c>
      <c r="B157" s="347">
        <v>343506</v>
      </c>
      <c r="C157" s="352" t="s">
        <v>6536</v>
      </c>
      <c r="D157" s="349">
        <v>68</v>
      </c>
      <c r="E157" s="350">
        <v>84</v>
      </c>
      <c r="F157" s="350">
        <v>83</v>
      </c>
      <c r="H157" s="351">
        <f t="shared" si="11"/>
        <v>-68000</v>
      </c>
      <c r="I157" s="351">
        <f t="shared" si="12"/>
        <v>-83000</v>
      </c>
      <c r="M157" s="321">
        <v>1317300920</v>
      </c>
      <c r="N157" s="321">
        <v>31</v>
      </c>
      <c r="O157" s="321" t="s">
        <v>4972</v>
      </c>
      <c r="P157" s="321">
        <v>4817300</v>
      </c>
      <c r="Q157" s="322">
        <v>-5500000</v>
      </c>
      <c r="R157" s="322">
        <v>-3887400</v>
      </c>
      <c r="S157" s="322">
        <v>-5600000</v>
      </c>
      <c r="T157" s="322">
        <v>-5600000</v>
      </c>
      <c r="U157" s="322">
        <f t="shared" si="10"/>
        <v>0</v>
      </c>
      <c r="W157" s="321">
        <f t="shared" si="13"/>
        <v>920</v>
      </c>
      <c r="X157" s="321">
        <f t="shared" si="14"/>
        <v>317300</v>
      </c>
      <c r="Y157" s="321">
        <v>1</v>
      </c>
      <c r="AA157" s="321" t="s">
        <v>4972</v>
      </c>
    </row>
    <row r="158" spans="1:27">
      <c r="A158" s="346">
        <v>930</v>
      </c>
      <c r="B158" s="347">
        <v>343507</v>
      </c>
      <c r="C158" s="352" t="s">
        <v>6537</v>
      </c>
      <c r="D158" s="349">
        <v>2</v>
      </c>
      <c r="E158" s="350">
        <v>2</v>
      </c>
      <c r="F158" s="350">
        <v>2</v>
      </c>
      <c r="H158" s="351">
        <f t="shared" si="11"/>
        <v>-2000</v>
      </c>
      <c r="I158" s="351">
        <f t="shared" si="12"/>
        <v>-2000</v>
      </c>
      <c r="M158" s="321">
        <v>1317300921</v>
      </c>
      <c r="N158" s="321">
        <v>31</v>
      </c>
      <c r="O158" s="321" t="s">
        <v>4973</v>
      </c>
      <c r="P158" s="321">
        <v>4817300</v>
      </c>
      <c r="Q158" s="322">
        <v>-100000</v>
      </c>
      <c r="R158" s="322">
        <v>-112100</v>
      </c>
      <c r="S158" s="322">
        <v>-150000</v>
      </c>
      <c r="T158" s="322">
        <v>-150000</v>
      </c>
      <c r="U158" s="322">
        <f t="shared" si="10"/>
        <v>0</v>
      </c>
      <c r="W158" s="321">
        <f t="shared" si="13"/>
        <v>921</v>
      </c>
      <c r="X158" s="321">
        <f t="shared" si="14"/>
        <v>317300</v>
      </c>
      <c r="Y158" s="321">
        <v>1</v>
      </c>
      <c r="AA158" s="321" t="s">
        <v>4973</v>
      </c>
    </row>
    <row r="159" spans="1:27">
      <c r="A159" s="346">
        <v>420</v>
      </c>
      <c r="B159" s="347">
        <v>343510</v>
      </c>
      <c r="C159" s="348" t="s">
        <v>6538</v>
      </c>
      <c r="D159" s="349">
        <v>0</v>
      </c>
      <c r="E159" s="350">
        <v>0</v>
      </c>
      <c r="F159" s="350">
        <v>0</v>
      </c>
      <c r="H159" s="351">
        <f t="shared" si="11"/>
        <v>0</v>
      </c>
      <c r="I159" s="351">
        <f t="shared" si="12"/>
        <v>0</v>
      </c>
      <c r="M159" s="321">
        <v>1317300924</v>
      </c>
      <c r="N159" s="321">
        <v>31</v>
      </c>
      <c r="O159" s="321" t="s">
        <v>4974</v>
      </c>
      <c r="P159" s="321">
        <v>4817300</v>
      </c>
      <c r="Q159" s="322">
        <v>-222000</v>
      </c>
      <c r="R159" s="322">
        <v>-151000</v>
      </c>
      <c r="S159" s="322">
        <v>-222000</v>
      </c>
      <c r="T159" s="322">
        <v>-222000</v>
      </c>
      <c r="U159" s="322">
        <f t="shared" si="10"/>
        <v>0</v>
      </c>
      <c r="W159" s="321">
        <f t="shared" si="13"/>
        <v>924</v>
      </c>
      <c r="X159" s="321">
        <f t="shared" si="14"/>
        <v>317300</v>
      </c>
      <c r="Y159" s="321">
        <v>1</v>
      </c>
      <c r="AA159" s="321" t="s">
        <v>4974</v>
      </c>
    </row>
    <row r="160" spans="1:27">
      <c r="A160" s="346">
        <v>920</v>
      </c>
      <c r="B160" s="347">
        <v>343510</v>
      </c>
      <c r="C160" s="348" t="s">
        <v>6539</v>
      </c>
      <c r="D160" s="349">
        <v>0</v>
      </c>
      <c r="E160" s="350">
        <v>0</v>
      </c>
      <c r="F160" s="350">
        <v>0</v>
      </c>
      <c r="H160" s="351">
        <f t="shared" si="11"/>
        <v>0</v>
      </c>
      <c r="I160" s="351">
        <f t="shared" si="12"/>
        <v>0</v>
      </c>
      <c r="M160" s="321">
        <v>1317500420</v>
      </c>
      <c r="N160" s="321">
        <v>31</v>
      </c>
      <c r="O160" s="321" t="s">
        <v>4975</v>
      </c>
      <c r="P160" s="321">
        <v>4817500</v>
      </c>
      <c r="Q160" s="322">
        <v>-1630000</v>
      </c>
      <c r="R160" s="322">
        <v>-1318200</v>
      </c>
      <c r="S160" s="322">
        <v>-2600000</v>
      </c>
      <c r="T160" s="322">
        <v>-2600000</v>
      </c>
      <c r="U160" s="322">
        <f t="shared" si="10"/>
        <v>0</v>
      </c>
      <c r="W160" s="321">
        <f t="shared" si="13"/>
        <v>420</v>
      </c>
      <c r="X160" s="321">
        <f t="shared" si="14"/>
        <v>317500</v>
      </c>
      <c r="Y160" s="321">
        <v>1</v>
      </c>
      <c r="AA160" s="321" t="s">
        <v>4975</v>
      </c>
    </row>
    <row r="161" spans="1:27">
      <c r="A161" s="346">
        <v>930</v>
      </c>
      <c r="B161" s="347">
        <v>343510</v>
      </c>
      <c r="C161" s="348" t="s">
        <v>6540</v>
      </c>
      <c r="D161" s="349">
        <v>0</v>
      </c>
      <c r="E161" s="350">
        <v>0</v>
      </c>
      <c r="F161" s="350">
        <v>0</v>
      </c>
      <c r="H161" s="351">
        <f t="shared" si="11"/>
        <v>0</v>
      </c>
      <c r="I161" s="351">
        <f t="shared" si="12"/>
        <v>0</v>
      </c>
      <c r="M161" s="321">
        <v>1317600920</v>
      </c>
      <c r="N161" s="321">
        <v>31</v>
      </c>
      <c r="O161" s="321" t="s">
        <v>3526</v>
      </c>
      <c r="P161" s="321">
        <v>4817600</v>
      </c>
      <c r="Q161" s="322">
        <v>-1520000</v>
      </c>
      <c r="R161" s="322">
        <v>-994100</v>
      </c>
      <c r="S161" s="322">
        <v>-1500000</v>
      </c>
      <c r="T161" s="322">
        <v>-1500000</v>
      </c>
      <c r="U161" s="322">
        <f t="shared" si="10"/>
        <v>0</v>
      </c>
      <c r="W161" s="321">
        <f t="shared" si="13"/>
        <v>920</v>
      </c>
      <c r="X161" s="321">
        <f t="shared" si="14"/>
        <v>317600</v>
      </c>
      <c r="Y161" s="321">
        <v>1</v>
      </c>
      <c r="AA161" s="321" t="s">
        <v>3526</v>
      </c>
    </row>
    <row r="162" spans="1:27">
      <c r="A162" s="346">
        <v>420</v>
      </c>
      <c r="B162" s="347">
        <v>343800</v>
      </c>
      <c r="C162" s="348" t="s">
        <v>6541</v>
      </c>
      <c r="D162" s="349">
        <v>0</v>
      </c>
      <c r="E162" s="350">
        <v>0</v>
      </c>
      <c r="F162" s="350">
        <v>0</v>
      </c>
      <c r="H162" s="351">
        <f t="shared" si="11"/>
        <v>0</v>
      </c>
      <c r="I162" s="351">
        <f t="shared" si="12"/>
        <v>0</v>
      </c>
      <c r="M162" s="321">
        <v>1317600921</v>
      </c>
      <c r="N162" s="321">
        <v>31</v>
      </c>
      <c r="O162" s="321" t="s">
        <v>4976</v>
      </c>
      <c r="P162" s="321">
        <v>4817600</v>
      </c>
      <c r="Q162" s="322">
        <v>-600000</v>
      </c>
      <c r="R162" s="322">
        <v>-422700</v>
      </c>
      <c r="S162" s="322">
        <v>-600000</v>
      </c>
      <c r="T162" s="322">
        <v>-600000</v>
      </c>
      <c r="U162" s="322">
        <f t="shared" si="10"/>
        <v>0</v>
      </c>
      <c r="W162" s="321">
        <f t="shared" si="13"/>
        <v>921</v>
      </c>
      <c r="X162" s="321">
        <f t="shared" si="14"/>
        <v>317600</v>
      </c>
      <c r="Y162" s="321">
        <v>1</v>
      </c>
      <c r="AA162" s="321" t="s">
        <v>4976</v>
      </c>
    </row>
    <row r="163" spans="1:27">
      <c r="A163" s="346">
        <v>930</v>
      </c>
      <c r="B163" s="347">
        <v>343800</v>
      </c>
      <c r="C163" s="348" t="s">
        <v>6542</v>
      </c>
      <c r="D163" s="349">
        <v>0</v>
      </c>
      <c r="E163" s="350">
        <v>0</v>
      </c>
      <c r="F163" s="350">
        <v>0</v>
      </c>
      <c r="H163" s="351">
        <f t="shared" si="11"/>
        <v>0</v>
      </c>
      <c r="I163" s="351">
        <f t="shared" si="12"/>
        <v>0</v>
      </c>
      <c r="M163" s="321">
        <v>1317700920</v>
      </c>
      <c r="N163" s="321">
        <v>31</v>
      </c>
      <c r="O163" s="321" t="s">
        <v>4977</v>
      </c>
      <c r="P163" s="321">
        <v>4817700</v>
      </c>
      <c r="Q163" s="322">
        <v>-1150000</v>
      </c>
      <c r="R163" s="322">
        <v>-801400</v>
      </c>
      <c r="S163" s="322">
        <v>-1160000</v>
      </c>
      <c r="T163" s="322">
        <v>-1160000</v>
      </c>
      <c r="U163" s="322">
        <f t="shared" si="10"/>
        <v>0</v>
      </c>
      <c r="W163" s="321">
        <f t="shared" si="13"/>
        <v>920</v>
      </c>
      <c r="X163" s="321">
        <f t="shared" si="14"/>
        <v>317700</v>
      </c>
      <c r="Y163" s="321">
        <v>1</v>
      </c>
      <c r="AA163" s="321" t="s">
        <v>4977</v>
      </c>
    </row>
    <row r="164" spans="1:27">
      <c r="A164" s="346">
        <v>420</v>
      </c>
      <c r="B164" s="347">
        <v>343801</v>
      </c>
      <c r="C164" s="352" t="s">
        <v>6543</v>
      </c>
      <c r="D164" s="349">
        <v>0</v>
      </c>
      <c r="E164" s="350">
        <v>138</v>
      </c>
      <c r="F164" s="350">
        <v>138</v>
      </c>
      <c r="H164" s="351">
        <f t="shared" si="11"/>
        <v>0</v>
      </c>
      <c r="I164" s="351">
        <f t="shared" si="12"/>
        <v>-138000</v>
      </c>
      <c r="M164" s="321">
        <v>1317701650</v>
      </c>
      <c r="N164" s="321">
        <v>31</v>
      </c>
      <c r="O164" s="321" t="s">
        <v>4978</v>
      </c>
      <c r="P164" s="321">
        <v>4817700</v>
      </c>
      <c r="Q164" s="322">
        <v>-300000</v>
      </c>
      <c r="R164" s="322">
        <v>-116700</v>
      </c>
      <c r="S164" s="322">
        <v>-300000</v>
      </c>
      <c r="T164" s="322">
        <v>-300000</v>
      </c>
      <c r="U164" s="322">
        <f t="shared" si="10"/>
        <v>0</v>
      </c>
      <c r="W164" s="321">
        <f t="shared" si="13"/>
        <v>650</v>
      </c>
      <c r="X164" s="321">
        <f t="shared" si="14"/>
        <v>317701</v>
      </c>
      <c r="Y164" s="321">
        <v>1</v>
      </c>
      <c r="AA164" s="321" t="s">
        <v>4978</v>
      </c>
    </row>
    <row r="165" spans="1:27">
      <c r="A165" s="346">
        <v>930</v>
      </c>
      <c r="B165" s="347">
        <v>343801</v>
      </c>
      <c r="C165" s="352" t="s">
        <v>1398</v>
      </c>
      <c r="D165" s="349">
        <v>4650</v>
      </c>
      <c r="E165" s="350">
        <v>4320</v>
      </c>
      <c r="F165" s="350">
        <v>4254</v>
      </c>
      <c r="H165" s="351">
        <f t="shared" si="11"/>
        <v>-4650000</v>
      </c>
      <c r="I165" s="351">
        <f t="shared" si="12"/>
        <v>-4254000</v>
      </c>
      <c r="M165" s="321">
        <v>1317701920</v>
      </c>
      <c r="N165" s="321">
        <v>31</v>
      </c>
      <c r="O165" s="321" t="s">
        <v>4979</v>
      </c>
      <c r="P165" s="321">
        <v>4817700</v>
      </c>
      <c r="Q165" s="322">
        <v>-385000</v>
      </c>
      <c r="R165" s="322">
        <v>0</v>
      </c>
      <c r="S165" s="322">
        <v>-385000</v>
      </c>
      <c r="T165" s="322">
        <v>-385000</v>
      </c>
      <c r="U165" s="322">
        <f t="shared" si="10"/>
        <v>0</v>
      </c>
      <c r="W165" s="321">
        <f t="shared" si="13"/>
        <v>920</v>
      </c>
      <c r="X165" s="321">
        <f t="shared" si="14"/>
        <v>317701</v>
      </c>
      <c r="Y165" s="321">
        <v>1</v>
      </c>
      <c r="AA165" s="321" t="s">
        <v>4979</v>
      </c>
    </row>
    <row r="166" spans="1:27">
      <c r="A166" s="346">
        <v>930</v>
      </c>
      <c r="B166" s="347">
        <v>343900</v>
      </c>
      <c r="C166" s="348" t="s">
        <v>6544</v>
      </c>
      <c r="D166" s="349">
        <v>0</v>
      </c>
      <c r="E166" s="350">
        <v>0</v>
      </c>
      <c r="F166" s="350">
        <v>0</v>
      </c>
      <c r="H166" s="351">
        <f t="shared" si="11"/>
        <v>0</v>
      </c>
      <c r="I166" s="351">
        <f t="shared" si="12"/>
        <v>0</v>
      </c>
      <c r="M166" s="321">
        <v>1317701921</v>
      </c>
      <c r="N166" s="321">
        <v>31</v>
      </c>
      <c r="O166" s="321" t="s">
        <v>4980</v>
      </c>
      <c r="P166" s="321">
        <v>4817700</v>
      </c>
      <c r="Q166" s="322">
        <v>-80000</v>
      </c>
      <c r="R166" s="322">
        <v>-43400</v>
      </c>
      <c r="S166" s="322">
        <v>-80000</v>
      </c>
      <c r="T166" s="322">
        <v>-80000</v>
      </c>
      <c r="U166" s="322">
        <f t="shared" si="10"/>
        <v>0</v>
      </c>
      <c r="W166" s="321">
        <f t="shared" si="13"/>
        <v>921</v>
      </c>
      <c r="X166" s="321">
        <f t="shared" si="14"/>
        <v>317701</v>
      </c>
      <c r="Y166" s="321">
        <v>1</v>
      </c>
      <c r="AA166" s="321" t="s">
        <v>4980</v>
      </c>
    </row>
    <row r="167" spans="1:27">
      <c r="A167" s="346">
        <v>931</v>
      </c>
      <c r="B167" s="347">
        <v>343900</v>
      </c>
      <c r="C167" s="352" t="s">
        <v>6545</v>
      </c>
      <c r="D167" s="349">
        <v>0</v>
      </c>
      <c r="E167" s="350">
        <v>0</v>
      </c>
      <c r="F167" s="350">
        <v>0</v>
      </c>
      <c r="H167" s="351">
        <f t="shared" si="11"/>
        <v>0</v>
      </c>
      <c r="I167" s="351">
        <f t="shared" si="12"/>
        <v>0</v>
      </c>
      <c r="M167" s="321">
        <v>1317701924</v>
      </c>
      <c r="N167" s="321">
        <v>31</v>
      </c>
      <c r="O167" s="321" t="s">
        <v>4981</v>
      </c>
      <c r="P167" s="321">
        <v>4817700</v>
      </c>
      <c r="Q167" s="322">
        <v>-765000</v>
      </c>
      <c r="R167" s="322">
        <v>-301800</v>
      </c>
      <c r="S167" s="322">
        <v>-765000</v>
      </c>
      <c r="T167" s="322">
        <v>-765000</v>
      </c>
      <c r="U167" s="322">
        <f t="shared" si="10"/>
        <v>0</v>
      </c>
      <c r="W167" s="321">
        <f t="shared" si="13"/>
        <v>924</v>
      </c>
      <c r="X167" s="321">
        <f t="shared" si="14"/>
        <v>317701</v>
      </c>
      <c r="Y167" s="321">
        <v>1</v>
      </c>
      <c r="AA167" s="321" t="s">
        <v>4981</v>
      </c>
    </row>
    <row r="168" spans="1:27">
      <c r="A168" s="346">
        <v>930</v>
      </c>
      <c r="B168" s="347">
        <v>343901</v>
      </c>
      <c r="C168" s="352" t="s">
        <v>6546</v>
      </c>
      <c r="D168" s="349">
        <v>1050</v>
      </c>
      <c r="E168" s="350">
        <v>1050</v>
      </c>
      <c r="F168" s="350">
        <v>1076</v>
      </c>
      <c r="H168" s="351">
        <f t="shared" si="11"/>
        <v>-1050000</v>
      </c>
      <c r="I168" s="351">
        <f t="shared" si="12"/>
        <v>-1076000</v>
      </c>
      <c r="M168" s="321">
        <v>1317800920</v>
      </c>
      <c r="N168" s="321">
        <v>31</v>
      </c>
      <c r="O168" s="321" t="s">
        <v>4982</v>
      </c>
      <c r="P168" s="321">
        <v>4817800</v>
      </c>
      <c r="Q168" s="322">
        <v>-5300000</v>
      </c>
      <c r="R168" s="322">
        <v>-2230100</v>
      </c>
      <c r="S168" s="322">
        <v>-3600000</v>
      </c>
      <c r="T168" s="322">
        <v>-3600000</v>
      </c>
      <c r="U168" s="322">
        <f t="shared" si="10"/>
        <v>0</v>
      </c>
      <c r="W168" s="321">
        <f t="shared" si="13"/>
        <v>920</v>
      </c>
      <c r="X168" s="321">
        <f t="shared" si="14"/>
        <v>317800</v>
      </c>
      <c r="Y168" s="321">
        <v>1</v>
      </c>
      <c r="AA168" s="321" t="s">
        <v>4982</v>
      </c>
    </row>
    <row r="169" spans="1:27">
      <c r="A169" s="346">
        <v>420</v>
      </c>
      <c r="B169" s="347">
        <v>344300</v>
      </c>
      <c r="C169" s="348" t="s">
        <v>6547</v>
      </c>
      <c r="D169" s="349">
        <v>0</v>
      </c>
      <c r="E169" s="350">
        <v>0</v>
      </c>
      <c r="F169" s="350">
        <v>0</v>
      </c>
      <c r="H169" s="351">
        <f t="shared" si="11"/>
        <v>0</v>
      </c>
      <c r="I169" s="351">
        <f t="shared" si="12"/>
        <v>0</v>
      </c>
      <c r="M169" s="321">
        <v>1317800921</v>
      </c>
      <c r="N169" s="321">
        <v>31</v>
      </c>
      <c r="O169" s="321" t="s">
        <v>4983</v>
      </c>
      <c r="P169" s="321">
        <v>4817800</v>
      </c>
      <c r="Q169" s="322">
        <v>-4089000</v>
      </c>
      <c r="R169" s="322">
        <v>0</v>
      </c>
      <c r="S169" s="322">
        <v>-4000000</v>
      </c>
      <c r="T169" s="322">
        <v>-4000000</v>
      </c>
      <c r="U169" s="322">
        <f t="shared" si="10"/>
        <v>0</v>
      </c>
      <c r="W169" s="321">
        <f t="shared" si="13"/>
        <v>921</v>
      </c>
      <c r="X169" s="321">
        <f t="shared" si="14"/>
        <v>317800</v>
      </c>
      <c r="Y169" s="321">
        <v>1</v>
      </c>
      <c r="AA169" s="321" t="s">
        <v>4983</v>
      </c>
    </row>
    <row r="170" spans="1:27">
      <c r="A170" s="346">
        <v>930</v>
      </c>
      <c r="B170" s="347">
        <v>344300</v>
      </c>
      <c r="C170" s="348" t="s">
        <v>6548</v>
      </c>
      <c r="D170" s="349">
        <v>0</v>
      </c>
      <c r="E170" s="350">
        <v>0</v>
      </c>
      <c r="F170" s="350">
        <v>0</v>
      </c>
      <c r="H170" s="351">
        <f t="shared" si="11"/>
        <v>0</v>
      </c>
      <c r="I170" s="351">
        <f t="shared" si="12"/>
        <v>0</v>
      </c>
      <c r="M170" s="321">
        <v>1317800922</v>
      </c>
      <c r="N170" s="321">
        <v>31</v>
      </c>
      <c r="O170" s="321" t="s">
        <v>4984</v>
      </c>
      <c r="P170" s="321">
        <v>4817800</v>
      </c>
      <c r="Q170" s="322">
        <v>-650000</v>
      </c>
      <c r="R170" s="322">
        <v>-468300</v>
      </c>
      <c r="S170" s="322">
        <v>-650000</v>
      </c>
      <c r="T170" s="322">
        <v>-650000</v>
      </c>
      <c r="U170" s="322">
        <f t="shared" si="10"/>
        <v>0</v>
      </c>
      <c r="W170" s="321">
        <f t="shared" si="13"/>
        <v>922</v>
      </c>
      <c r="X170" s="321">
        <f t="shared" si="14"/>
        <v>317800</v>
      </c>
      <c r="Y170" s="321">
        <v>1</v>
      </c>
      <c r="AA170" s="321" t="s">
        <v>4984</v>
      </c>
    </row>
    <row r="171" spans="1:27">
      <c r="A171" s="346">
        <v>420</v>
      </c>
      <c r="B171" s="347">
        <v>344301</v>
      </c>
      <c r="C171" s="348" t="s">
        <v>6549</v>
      </c>
      <c r="D171" s="349">
        <v>0</v>
      </c>
      <c r="E171" s="350">
        <v>394</v>
      </c>
      <c r="F171" s="350">
        <v>521</v>
      </c>
      <c r="H171" s="351">
        <f t="shared" si="11"/>
        <v>0</v>
      </c>
      <c r="I171" s="351">
        <f t="shared" si="12"/>
        <v>-521000</v>
      </c>
      <c r="M171" s="321">
        <v>1317903430</v>
      </c>
      <c r="N171" s="321">
        <v>31</v>
      </c>
      <c r="O171" s="321" t="s">
        <v>4985</v>
      </c>
      <c r="P171" s="321">
        <v>4817900</v>
      </c>
      <c r="Q171" s="322">
        <v>-1500000</v>
      </c>
      <c r="R171" s="322">
        <v>-1348000</v>
      </c>
      <c r="S171" s="322">
        <v>-1500000</v>
      </c>
      <c r="T171" s="322">
        <v>-1500000</v>
      </c>
      <c r="U171" s="322">
        <f t="shared" si="10"/>
        <v>0</v>
      </c>
      <c r="W171" s="321">
        <f t="shared" si="13"/>
        <v>430</v>
      </c>
      <c r="X171" s="321">
        <f t="shared" si="14"/>
        <v>317903</v>
      </c>
      <c r="Y171" s="321">
        <v>1</v>
      </c>
      <c r="AA171" s="321" t="s">
        <v>4985</v>
      </c>
    </row>
    <row r="172" spans="1:27">
      <c r="A172" s="346">
        <v>421</v>
      </c>
      <c r="B172" s="347">
        <v>344301</v>
      </c>
      <c r="C172" s="348" t="s">
        <v>6550</v>
      </c>
      <c r="D172" s="349">
        <v>568</v>
      </c>
      <c r="E172" s="350">
        <v>0</v>
      </c>
      <c r="F172" s="350">
        <v>0</v>
      </c>
      <c r="H172" s="351">
        <f t="shared" si="11"/>
        <v>-568000</v>
      </c>
      <c r="I172" s="351">
        <f t="shared" si="12"/>
        <v>0</v>
      </c>
      <c r="M172" s="321">
        <v>1317904420</v>
      </c>
      <c r="N172" s="321">
        <v>31</v>
      </c>
      <c r="O172" s="321" t="s">
        <v>4986</v>
      </c>
      <c r="P172" s="321">
        <v>4817900</v>
      </c>
      <c r="Q172" s="322">
        <v>-300000</v>
      </c>
      <c r="R172" s="322">
        <v>-271400</v>
      </c>
      <c r="S172" s="322">
        <v>-400000</v>
      </c>
      <c r="T172" s="322">
        <v>-400000</v>
      </c>
      <c r="U172" s="322">
        <f t="shared" si="10"/>
        <v>0</v>
      </c>
      <c r="W172" s="321">
        <f t="shared" si="13"/>
        <v>420</v>
      </c>
      <c r="X172" s="321">
        <f t="shared" si="14"/>
        <v>317904</v>
      </c>
      <c r="Y172" s="321">
        <v>1</v>
      </c>
      <c r="AA172" s="321" t="s">
        <v>4986</v>
      </c>
    </row>
    <row r="173" spans="1:27">
      <c r="A173" s="346">
        <v>930</v>
      </c>
      <c r="B173" s="347">
        <v>344301</v>
      </c>
      <c r="C173" s="348" t="s">
        <v>6551</v>
      </c>
      <c r="D173" s="349">
        <v>2625</v>
      </c>
      <c r="E173" s="350">
        <v>2181</v>
      </c>
      <c r="F173" s="350">
        <v>2248</v>
      </c>
      <c r="H173" s="351">
        <f t="shared" si="11"/>
        <v>-2625000</v>
      </c>
      <c r="I173" s="351">
        <f t="shared" si="12"/>
        <v>-2248000</v>
      </c>
      <c r="M173" s="321">
        <v>1317906920</v>
      </c>
      <c r="N173" s="321">
        <v>31</v>
      </c>
      <c r="O173" s="321" t="s">
        <v>4987</v>
      </c>
      <c r="P173" s="321">
        <v>4817900</v>
      </c>
      <c r="Q173" s="322">
        <v>-3500000</v>
      </c>
      <c r="R173" s="322">
        <v>-861900</v>
      </c>
      <c r="S173" s="322">
        <v>-3000000</v>
      </c>
      <c r="T173" s="322">
        <v>-3000000</v>
      </c>
      <c r="U173" s="322">
        <f t="shared" si="10"/>
        <v>0</v>
      </c>
      <c r="W173" s="321">
        <f t="shared" si="13"/>
        <v>920</v>
      </c>
      <c r="X173" s="321">
        <f t="shared" si="14"/>
        <v>317906</v>
      </c>
      <c r="Y173" s="321">
        <v>1</v>
      </c>
      <c r="AA173" s="321" t="s">
        <v>4987</v>
      </c>
    </row>
    <row r="174" spans="1:27">
      <c r="A174" s="346">
        <v>930</v>
      </c>
      <c r="B174" s="347">
        <v>344302</v>
      </c>
      <c r="C174" s="348" t="s">
        <v>6552</v>
      </c>
      <c r="D174" s="349">
        <v>17</v>
      </c>
      <c r="E174" s="350">
        <v>8</v>
      </c>
      <c r="F174" s="350">
        <v>8</v>
      </c>
      <c r="H174" s="351">
        <f t="shared" si="11"/>
        <v>-17000</v>
      </c>
      <c r="I174" s="351">
        <f t="shared" si="12"/>
        <v>-8000</v>
      </c>
      <c r="M174" s="321">
        <v>1317909920</v>
      </c>
      <c r="N174" s="321">
        <v>31</v>
      </c>
      <c r="O174" s="321" t="s">
        <v>4988</v>
      </c>
      <c r="P174" s="321">
        <v>4817900</v>
      </c>
      <c r="Q174" s="322">
        <v>-2300000</v>
      </c>
      <c r="R174" s="322">
        <v>-2433500</v>
      </c>
      <c r="S174" s="322">
        <v>-2500000</v>
      </c>
      <c r="T174" s="322">
        <v>-2500000</v>
      </c>
      <c r="U174" s="322">
        <f t="shared" si="10"/>
        <v>0</v>
      </c>
      <c r="W174" s="321">
        <f t="shared" si="13"/>
        <v>920</v>
      </c>
      <c r="X174" s="321">
        <f t="shared" si="14"/>
        <v>317909</v>
      </c>
      <c r="Y174" s="321">
        <v>1</v>
      </c>
      <c r="AA174" s="321" t="s">
        <v>4988</v>
      </c>
    </row>
    <row r="175" spans="1:27">
      <c r="A175" s="346">
        <v>930</v>
      </c>
      <c r="B175" s="347">
        <v>344401</v>
      </c>
      <c r="C175" s="348" t="s">
        <v>6553</v>
      </c>
      <c r="D175" s="349">
        <v>130</v>
      </c>
      <c r="E175" s="350">
        <v>130</v>
      </c>
      <c r="F175" s="350">
        <v>133</v>
      </c>
      <c r="H175" s="351">
        <f t="shared" si="11"/>
        <v>-130000</v>
      </c>
      <c r="I175" s="351">
        <f t="shared" si="12"/>
        <v>-133000</v>
      </c>
      <c r="M175" s="321">
        <v>1318000410</v>
      </c>
      <c r="N175" s="321">
        <v>31</v>
      </c>
      <c r="O175" s="321" t="s">
        <v>4989</v>
      </c>
      <c r="P175" s="321">
        <v>4818000</v>
      </c>
      <c r="Q175" s="322">
        <v>-170000</v>
      </c>
      <c r="R175" s="322">
        <v>-108800</v>
      </c>
      <c r="S175" s="322">
        <v>-200000</v>
      </c>
      <c r="T175" s="322">
        <v>-200000</v>
      </c>
      <c r="U175" s="322">
        <f t="shared" si="10"/>
        <v>0</v>
      </c>
      <c r="W175" s="321">
        <f t="shared" si="13"/>
        <v>410</v>
      </c>
      <c r="X175" s="321">
        <f t="shared" si="14"/>
        <v>318000</v>
      </c>
      <c r="Y175" s="321">
        <v>1</v>
      </c>
      <c r="AA175" s="321" t="s">
        <v>4989</v>
      </c>
    </row>
    <row r="176" spans="1:27">
      <c r="A176" s="346">
        <v>420</v>
      </c>
      <c r="B176" s="347">
        <v>344402</v>
      </c>
      <c r="C176" s="348" t="s">
        <v>6554</v>
      </c>
      <c r="D176" s="349">
        <v>0</v>
      </c>
      <c r="E176" s="350">
        <v>0</v>
      </c>
      <c r="F176" s="350">
        <v>6</v>
      </c>
      <c r="H176" s="351">
        <f t="shared" si="11"/>
        <v>0</v>
      </c>
      <c r="I176" s="351">
        <f t="shared" si="12"/>
        <v>-6000</v>
      </c>
      <c r="M176" s="321">
        <v>1318000920</v>
      </c>
      <c r="N176" s="321">
        <v>31</v>
      </c>
      <c r="O176" s="321" t="s">
        <v>4990</v>
      </c>
      <c r="P176" s="321">
        <v>4818000</v>
      </c>
      <c r="Q176" s="322">
        <v>-25000</v>
      </c>
      <c r="R176" s="322">
        <v>-68000</v>
      </c>
      <c r="S176" s="322">
        <v>-100000</v>
      </c>
      <c r="T176" s="322">
        <v>-100000</v>
      </c>
      <c r="U176" s="322">
        <f t="shared" si="10"/>
        <v>0</v>
      </c>
      <c r="W176" s="321">
        <f t="shared" si="13"/>
        <v>920</v>
      </c>
      <c r="X176" s="321">
        <f t="shared" si="14"/>
        <v>318000</v>
      </c>
      <c r="Y176" s="321">
        <v>1</v>
      </c>
      <c r="AA176" s="321" t="s">
        <v>4990</v>
      </c>
    </row>
    <row r="177" spans="1:27">
      <c r="A177" s="346">
        <v>930</v>
      </c>
      <c r="B177" s="347">
        <v>344402</v>
      </c>
      <c r="C177" s="348" t="s">
        <v>6555</v>
      </c>
      <c r="D177" s="349">
        <v>60</v>
      </c>
      <c r="E177" s="350">
        <v>62</v>
      </c>
      <c r="F177" s="350">
        <v>62</v>
      </c>
      <c r="H177" s="351">
        <f t="shared" si="11"/>
        <v>-60000</v>
      </c>
      <c r="I177" s="351">
        <f t="shared" si="12"/>
        <v>-62000</v>
      </c>
      <c r="M177" s="321">
        <v>1318000990</v>
      </c>
      <c r="N177" s="321">
        <v>31</v>
      </c>
      <c r="O177" s="321" t="s">
        <v>4991</v>
      </c>
      <c r="P177" s="321">
        <v>4818000</v>
      </c>
      <c r="Q177" s="322">
        <v>-200000</v>
      </c>
      <c r="R177" s="322">
        <v>-119500</v>
      </c>
      <c r="S177" s="322">
        <v>-150000</v>
      </c>
      <c r="T177" s="322">
        <v>-150000</v>
      </c>
      <c r="U177" s="322">
        <f t="shared" si="10"/>
        <v>0</v>
      </c>
      <c r="W177" s="321">
        <f t="shared" si="13"/>
        <v>990</v>
      </c>
      <c r="X177" s="321">
        <f t="shared" si="14"/>
        <v>318000</v>
      </c>
      <c r="Y177" s="321">
        <v>1</v>
      </c>
      <c r="AA177" s="321" t="s">
        <v>4991</v>
      </c>
    </row>
    <row r="178" spans="1:27">
      <c r="A178" s="346">
        <v>420</v>
      </c>
      <c r="B178" s="347">
        <v>344403</v>
      </c>
      <c r="C178" s="348" t="s">
        <v>6556</v>
      </c>
      <c r="D178" s="349">
        <v>0</v>
      </c>
      <c r="E178" s="350">
        <v>79</v>
      </c>
      <c r="F178" s="350">
        <v>43</v>
      </c>
      <c r="H178" s="351">
        <f t="shared" si="11"/>
        <v>0</v>
      </c>
      <c r="I178" s="351">
        <f t="shared" si="12"/>
        <v>-43000</v>
      </c>
      <c r="M178" s="321">
        <v>1326402650</v>
      </c>
      <c r="N178" s="321">
        <v>32</v>
      </c>
      <c r="O178" s="321" t="s">
        <v>4992</v>
      </c>
      <c r="P178" s="321">
        <v>1826400</v>
      </c>
      <c r="Q178" s="322">
        <v>0</v>
      </c>
      <c r="R178" s="322">
        <v>0</v>
      </c>
      <c r="S178" s="322">
        <v>0</v>
      </c>
      <c r="T178" s="322">
        <v>0</v>
      </c>
      <c r="U178" s="322">
        <f t="shared" si="10"/>
        <v>0</v>
      </c>
      <c r="W178" s="321">
        <f t="shared" si="13"/>
        <v>650</v>
      </c>
      <c r="X178" s="321">
        <f t="shared" si="14"/>
        <v>326402</v>
      </c>
      <c r="Y178" s="321">
        <v>1</v>
      </c>
      <c r="AA178" s="321" t="s">
        <v>4992</v>
      </c>
    </row>
    <row r="179" spans="1:27">
      <c r="A179" s="346">
        <v>930</v>
      </c>
      <c r="B179" s="347">
        <v>344403</v>
      </c>
      <c r="C179" s="348" t="s">
        <v>6557</v>
      </c>
      <c r="D179" s="349">
        <v>154</v>
      </c>
      <c r="E179" s="350">
        <v>156</v>
      </c>
      <c r="F179" s="350">
        <v>156</v>
      </c>
      <c r="H179" s="351">
        <f t="shared" si="11"/>
        <v>-154000</v>
      </c>
      <c r="I179" s="351">
        <f t="shared" si="12"/>
        <v>-156000</v>
      </c>
      <c r="M179" s="321">
        <v>1329201650</v>
      </c>
      <c r="N179" s="321">
        <v>32</v>
      </c>
      <c r="O179" s="321" t="s">
        <v>4993</v>
      </c>
      <c r="P179" s="321">
        <v>1829200</v>
      </c>
      <c r="Q179" s="322">
        <v>-4200000</v>
      </c>
      <c r="R179" s="322">
        <v>-3861600</v>
      </c>
      <c r="S179" s="322">
        <v>-4200000</v>
      </c>
      <c r="T179" s="322">
        <v>-4200000</v>
      </c>
      <c r="U179" s="322">
        <f t="shared" si="10"/>
        <v>0</v>
      </c>
      <c r="W179" s="321">
        <f t="shared" si="13"/>
        <v>650</v>
      </c>
      <c r="X179" s="321">
        <f t="shared" si="14"/>
        <v>329201</v>
      </c>
      <c r="Y179" s="321">
        <v>1</v>
      </c>
      <c r="AA179" s="321" t="s">
        <v>4993</v>
      </c>
    </row>
    <row r="180" spans="1:27">
      <c r="A180" s="346">
        <v>930</v>
      </c>
      <c r="B180" s="347">
        <v>344404</v>
      </c>
      <c r="C180" s="348" t="s">
        <v>6558</v>
      </c>
      <c r="D180" s="349">
        <v>0</v>
      </c>
      <c r="E180" s="350">
        <v>0</v>
      </c>
      <c r="F180" s="350">
        <v>0</v>
      </c>
      <c r="H180" s="351">
        <f t="shared" si="11"/>
        <v>0</v>
      </c>
      <c r="I180" s="351">
        <f t="shared" si="12"/>
        <v>0</v>
      </c>
      <c r="M180" s="321">
        <v>1329201651</v>
      </c>
      <c r="N180" s="321">
        <v>32</v>
      </c>
      <c r="O180" s="321" t="s">
        <v>4994</v>
      </c>
      <c r="P180" s="321">
        <v>1829200</v>
      </c>
      <c r="Q180" s="322">
        <v>-312800</v>
      </c>
      <c r="R180" s="322">
        <v>-387300</v>
      </c>
      <c r="S180" s="322">
        <v>-387000</v>
      </c>
      <c r="T180" s="322">
        <v>-387000</v>
      </c>
      <c r="U180" s="322">
        <f t="shared" si="10"/>
        <v>0</v>
      </c>
      <c r="W180" s="321">
        <f t="shared" si="13"/>
        <v>651</v>
      </c>
      <c r="X180" s="321">
        <f t="shared" si="14"/>
        <v>329201</v>
      </c>
      <c r="Y180" s="321">
        <v>1</v>
      </c>
      <c r="AA180" s="321" t="s">
        <v>4994</v>
      </c>
    </row>
    <row r="181" spans="1:27">
      <c r="A181" s="346">
        <v>930</v>
      </c>
      <c r="B181" s="347">
        <v>344405</v>
      </c>
      <c r="C181" s="348" t="s">
        <v>6559</v>
      </c>
      <c r="D181" s="349">
        <v>90</v>
      </c>
      <c r="E181" s="350">
        <v>90</v>
      </c>
      <c r="F181" s="350">
        <v>53</v>
      </c>
      <c r="H181" s="351">
        <f t="shared" si="11"/>
        <v>-90000</v>
      </c>
      <c r="I181" s="351">
        <f t="shared" si="12"/>
        <v>-53000</v>
      </c>
      <c r="M181" s="321">
        <v>1329300921</v>
      </c>
      <c r="N181" s="321">
        <v>32</v>
      </c>
      <c r="O181" s="321" t="s">
        <v>4995</v>
      </c>
      <c r="P181" s="321">
        <v>1829300</v>
      </c>
      <c r="Q181" s="322">
        <v>-700000</v>
      </c>
      <c r="R181" s="322">
        <v>-332600</v>
      </c>
      <c r="S181" s="322">
        <v>-600000</v>
      </c>
      <c r="T181" s="322">
        <v>-600000</v>
      </c>
      <c r="U181" s="322">
        <f t="shared" si="10"/>
        <v>0</v>
      </c>
      <c r="W181" s="321">
        <f t="shared" si="13"/>
        <v>921</v>
      </c>
      <c r="X181" s="321">
        <f t="shared" si="14"/>
        <v>329300</v>
      </c>
      <c r="Y181" s="321">
        <v>1</v>
      </c>
      <c r="AA181" s="321" t="s">
        <v>4995</v>
      </c>
    </row>
    <row r="182" spans="1:27">
      <c r="A182" s="346">
        <v>930</v>
      </c>
      <c r="B182" s="347">
        <v>344406</v>
      </c>
      <c r="C182" s="348" t="s">
        <v>6560</v>
      </c>
      <c r="D182" s="349">
        <v>387</v>
      </c>
      <c r="E182" s="350">
        <v>387</v>
      </c>
      <c r="F182" s="350">
        <v>387</v>
      </c>
      <c r="H182" s="351">
        <f t="shared" si="11"/>
        <v>-387000</v>
      </c>
      <c r="I182" s="351">
        <f t="shared" si="12"/>
        <v>-387000</v>
      </c>
      <c r="M182" s="321">
        <v>1329300940</v>
      </c>
      <c r="N182" s="321">
        <v>32</v>
      </c>
      <c r="O182" s="321" t="s">
        <v>4996</v>
      </c>
      <c r="P182" s="321">
        <v>1829300</v>
      </c>
      <c r="Q182" s="322">
        <v>0</v>
      </c>
      <c r="R182" s="322">
        <v>0</v>
      </c>
      <c r="S182" s="322">
        <v>0</v>
      </c>
      <c r="T182" s="322">
        <v>0</v>
      </c>
      <c r="U182" s="322">
        <f t="shared" si="10"/>
        <v>0</v>
      </c>
      <c r="W182" s="321">
        <f t="shared" si="13"/>
        <v>940</v>
      </c>
      <c r="X182" s="321">
        <f t="shared" si="14"/>
        <v>329300</v>
      </c>
      <c r="Y182" s="321">
        <v>1</v>
      </c>
      <c r="AA182" s="321" t="s">
        <v>4996</v>
      </c>
    </row>
    <row r="183" spans="1:27">
      <c r="A183" s="346">
        <v>420</v>
      </c>
      <c r="B183" s="347">
        <v>344410</v>
      </c>
      <c r="C183" s="348" t="s">
        <v>6561</v>
      </c>
      <c r="D183" s="349">
        <v>0</v>
      </c>
      <c r="E183" s="350">
        <v>0</v>
      </c>
      <c r="F183" s="350">
        <v>0</v>
      </c>
      <c r="H183" s="351">
        <f t="shared" si="11"/>
        <v>0</v>
      </c>
      <c r="I183" s="351">
        <f t="shared" si="12"/>
        <v>0</v>
      </c>
      <c r="M183" s="321">
        <v>1332200940</v>
      </c>
      <c r="N183" s="321">
        <v>33</v>
      </c>
      <c r="O183" s="321" t="s">
        <v>4997</v>
      </c>
      <c r="P183" s="321">
        <v>5832200</v>
      </c>
      <c r="Q183" s="322">
        <v>0</v>
      </c>
      <c r="R183" s="322">
        <v>0</v>
      </c>
      <c r="S183" s="322">
        <v>0</v>
      </c>
      <c r="T183" s="322">
        <v>0</v>
      </c>
      <c r="U183" s="322">
        <f t="shared" si="10"/>
        <v>0</v>
      </c>
      <c r="W183" s="321">
        <f t="shared" si="13"/>
        <v>940</v>
      </c>
      <c r="X183" s="321">
        <f t="shared" si="14"/>
        <v>332200</v>
      </c>
      <c r="Y183" s="321">
        <v>1</v>
      </c>
      <c r="AA183" s="321" t="s">
        <v>4997</v>
      </c>
    </row>
    <row r="184" spans="1:27">
      <c r="A184" s="346">
        <v>930</v>
      </c>
      <c r="B184" s="347">
        <v>344410</v>
      </c>
      <c r="C184" s="348" t="s">
        <v>6562</v>
      </c>
      <c r="D184" s="349">
        <v>0</v>
      </c>
      <c r="E184" s="350">
        <v>0</v>
      </c>
      <c r="F184" s="350">
        <v>0</v>
      </c>
      <c r="H184" s="351">
        <f t="shared" si="11"/>
        <v>0</v>
      </c>
      <c r="I184" s="351">
        <f t="shared" si="12"/>
        <v>0</v>
      </c>
      <c r="M184" s="321">
        <v>1332300940</v>
      </c>
      <c r="N184" s="321">
        <v>33</v>
      </c>
      <c r="O184" s="321" t="s">
        <v>4998</v>
      </c>
      <c r="P184" s="321">
        <v>5832300</v>
      </c>
      <c r="Q184" s="322">
        <v>0</v>
      </c>
      <c r="R184" s="322">
        <v>0</v>
      </c>
      <c r="S184" s="322">
        <v>0</v>
      </c>
      <c r="T184" s="322">
        <v>0</v>
      </c>
      <c r="U184" s="322">
        <f t="shared" si="10"/>
        <v>0</v>
      </c>
      <c r="W184" s="321">
        <f t="shared" si="13"/>
        <v>940</v>
      </c>
      <c r="X184" s="321">
        <f t="shared" si="14"/>
        <v>332300</v>
      </c>
      <c r="Y184" s="321">
        <v>1</v>
      </c>
      <c r="AA184" s="321" t="s">
        <v>4998</v>
      </c>
    </row>
    <row r="185" spans="1:27">
      <c r="A185" s="346">
        <v>930</v>
      </c>
      <c r="B185" s="347">
        <v>344500</v>
      </c>
      <c r="C185" s="348" t="s">
        <v>6563</v>
      </c>
      <c r="D185" s="349">
        <v>0</v>
      </c>
      <c r="E185" s="350">
        <v>0</v>
      </c>
      <c r="F185" s="350">
        <v>0</v>
      </c>
      <c r="H185" s="351">
        <f t="shared" si="11"/>
        <v>0</v>
      </c>
      <c r="I185" s="351">
        <f t="shared" si="12"/>
        <v>0</v>
      </c>
      <c r="M185" s="321">
        <v>1335000940</v>
      </c>
      <c r="N185" s="321">
        <v>33</v>
      </c>
      <c r="O185" s="321" t="s">
        <v>4999</v>
      </c>
      <c r="P185" s="321">
        <v>5835000</v>
      </c>
      <c r="Q185" s="322">
        <v>-225000</v>
      </c>
      <c r="R185" s="322">
        <v>-45200</v>
      </c>
      <c r="S185" s="322">
        <v>-225000</v>
      </c>
      <c r="T185" s="322">
        <v>-225000</v>
      </c>
      <c r="U185" s="322">
        <f t="shared" si="10"/>
        <v>0</v>
      </c>
      <c r="W185" s="321">
        <f t="shared" si="13"/>
        <v>940</v>
      </c>
      <c r="X185" s="321">
        <f t="shared" si="14"/>
        <v>335000</v>
      </c>
      <c r="Y185" s="321">
        <v>1</v>
      </c>
      <c r="AA185" s="321" t="s">
        <v>4999</v>
      </c>
    </row>
    <row r="186" spans="1:27">
      <c r="A186" s="346">
        <v>420</v>
      </c>
      <c r="B186" s="347">
        <v>344501</v>
      </c>
      <c r="C186" s="348" t="s">
        <v>6564</v>
      </c>
      <c r="D186" s="349">
        <v>0</v>
      </c>
      <c r="E186" s="350">
        <v>55</v>
      </c>
      <c r="F186" s="350">
        <v>90</v>
      </c>
      <c r="H186" s="351">
        <f t="shared" si="11"/>
        <v>0</v>
      </c>
      <c r="I186" s="351">
        <f t="shared" si="12"/>
        <v>-90000</v>
      </c>
      <c r="M186" s="321">
        <v>1335001410</v>
      </c>
      <c r="N186" s="321">
        <v>33</v>
      </c>
      <c r="O186" s="321" t="s">
        <v>5000</v>
      </c>
      <c r="P186" s="321">
        <v>5835000</v>
      </c>
      <c r="Q186" s="322">
        <v>-10000</v>
      </c>
      <c r="R186" s="322">
        <v>0</v>
      </c>
      <c r="S186" s="322">
        <v>-10000</v>
      </c>
      <c r="T186" s="322">
        <v>-10000</v>
      </c>
      <c r="U186" s="322">
        <f t="shared" si="10"/>
        <v>0</v>
      </c>
      <c r="W186" s="321">
        <f t="shared" si="13"/>
        <v>410</v>
      </c>
      <c r="X186" s="321">
        <f t="shared" si="14"/>
        <v>335001</v>
      </c>
      <c r="Y186" s="321">
        <v>1</v>
      </c>
      <c r="AA186" s="321" t="s">
        <v>5000</v>
      </c>
    </row>
    <row r="187" spans="1:27">
      <c r="A187" s="346">
        <v>930</v>
      </c>
      <c r="B187" s="347">
        <v>344501</v>
      </c>
      <c r="C187" s="348" t="s">
        <v>6565</v>
      </c>
      <c r="D187" s="349">
        <v>225</v>
      </c>
      <c r="E187" s="350">
        <v>146</v>
      </c>
      <c r="F187" s="350">
        <v>130</v>
      </c>
      <c r="H187" s="351">
        <f t="shared" si="11"/>
        <v>-225000</v>
      </c>
      <c r="I187" s="351">
        <f t="shared" si="12"/>
        <v>-130000</v>
      </c>
      <c r="M187" s="321">
        <v>1335001940</v>
      </c>
      <c r="N187" s="321">
        <v>33</v>
      </c>
      <c r="O187" s="321" t="s">
        <v>5001</v>
      </c>
      <c r="P187" s="321">
        <v>5835000</v>
      </c>
      <c r="Q187" s="322">
        <v>-54000</v>
      </c>
      <c r="R187" s="322">
        <v>0</v>
      </c>
      <c r="S187" s="322">
        <v>0</v>
      </c>
      <c r="T187" s="322">
        <v>0</v>
      </c>
      <c r="U187" s="322">
        <f t="shared" si="10"/>
        <v>0</v>
      </c>
      <c r="W187" s="321">
        <f t="shared" si="13"/>
        <v>940</v>
      </c>
      <c r="X187" s="321">
        <f t="shared" si="14"/>
        <v>335001</v>
      </c>
      <c r="Y187" s="321">
        <v>1</v>
      </c>
      <c r="AA187" s="321" t="s">
        <v>5001</v>
      </c>
    </row>
    <row r="188" spans="1:27">
      <c r="A188" s="346">
        <v>420</v>
      </c>
      <c r="B188" s="347">
        <v>344510</v>
      </c>
      <c r="C188" s="348" t="s">
        <v>6566</v>
      </c>
      <c r="D188" s="349">
        <v>0</v>
      </c>
      <c r="E188" s="350">
        <v>0</v>
      </c>
      <c r="F188" s="350">
        <v>0</v>
      </c>
      <c r="H188" s="351">
        <f t="shared" si="11"/>
        <v>0</v>
      </c>
      <c r="I188" s="351">
        <f t="shared" si="12"/>
        <v>0</v>
      </c>
      <c r="M188" s="321">
        <v>1335001990</v>
      </c>
      <c r="N188" s="321">
        <v>33</v>
      </c>
      <c r="O188" s="321" t="s">
        <v>5002</v>
      </c>
      <c r="P188" s="321">
        <v>5835001</v>
      </c>
      <c r="Q188" s="322">
        <v>-1302000</v>
      </c>
      <c r="R188" s="322">
        <v>-1186000</v>
      </c>
      <c r="S188" s="322">
        <v>-1302000</v>
      </c>
      <c r="T188" s="322">
        <v>-1302000</v>
      </c>
      <c r="U188" s="322">
        <f t="shared" si="10"/>
        <v>0</v>
      </c>
      <c r="W188" s="321">
        <f t="shared" si="13"/>
        <v>990</v>
      </c>
      <c r="X188" s="321">
        <f t="shared" si="14"/>
        <v>335001</v>
      </c>
      <c r="Y188" s="321">
        <v>1</v>
      </c>
      <c r="AA188" s="321" t="s">
        <v>5002</v>
      </c>
    </row>
    <row r="189" spans="1:27">
      <c r="A189" s="346">
        <v>931</v>
      </c>
      <c r="B189" s="347">
        <v>344510</v>
      </c>
      <c r="C189" s="355" t="s">
        <v>6567</v>
      </c>
      <c r="D189" s="349">
        <v>0</v>
      </c>
      <c r="E189" s="350">
        <v>0</v>
      </c>
      <c r="F189" s="350">
        <v>0</v>
      </c>
      <c r="H189" s="351">
        <f t="shared" si="11"/>
        <v>0</v>
      </c>
      <c r="I189" s="351">
        <f t="shared" si="12"/>
        <v>0</v>
      </c>
      <c r="M189" s="321">
        <v>1335002940</v>
      </c>
      <c r="N189" s="321">
        <v>33</v>
      </c>
      <c r="O189" s="321" t="s">
        <v>5003</v>
      </c>
      <c r="P189" s="321">
        <v>5835000</v>
      </c>
      <c r="Q189" s="322">
        <v>0</v>
      </c>
      <c r="R189" s="322">
        <v>0</v>
      </c>
      <c r="S189" s="322">
        <v>0</v>
      </c>
      <c r="T189" s="322">
        <v>0</v>
      </c>
      <c r="U189" s="322">
        <f t="shared" si="10"/>
        <v>0</v>
      </c>
      <c r="W189" s="321">
        <f t="shared" si="13"/>
        <v>940</v>
      </c>
      <c r="X189" s="321">
        <f t="shared" si="14"/>
        <v>335002</v>
      </c>
      <c r="Y189" s="321">
        <v>1</v>
      </c>
      <c r="AA189" s="321" t="s">
        <v>5003</v>
      </c>
    </row>
    <row r="190" spans="1:27">
      <c r="A190" s="346">
        <v>420</v>
      </c>
      <c r="B190" s="347">
        <v>345100</v>
      </c>
      <c r="C190" s="348" t="s">
        <v>6568</v>
      </c>
      <c r="D190" s="349">
        <v>0</v>
      </c>
      <c r="E190" s="350">
        <v>0</v>
      </c>
      <c r="F190" s="350">
        <v>0</v>
      </c>
      <c r="H190" s="351">
        <f t="shared" si="11"/>
        <v>0</v>
      </c>
      <c r="I190" s="351">
        <f t="shared" si="12"/>
        <v>0</v>
      </c>
      <c r="M190" s="321">
        <v>1335003940</v>
      </c>
      <c r="N190" s="321">
        <v>33</v>
      </c>
      <c r="O190" s="321" t="s">
        <v>5004</v>
      </c>
      <c r="P190" s="321">
        <v>5835000</v>
      </c>
      <c r="Q190" s="322">
        <v>-21000</v>
      </c>
      <c r="R190" s="322">
        <v>0</v>
      </c>
      <c r="S190" s="322">
        <v>0</v>
      </c>
      <c r="T190" s="322">
        <v>0</v>
      </c>
      <c r="U190" s="322">
        <f t="shared" si="10"/>
        <v>0</v>
      </c>
      <c r="W190" s="321">
        <f t="shared" si="13"/>
        <v>940</v>
      </c>
      <c r="X190" s="321">
        <f t="shared" si="14"/>
        <v>335003</v>
      </c>
      <c r="Y190" s="321">
        <v>1</v>
      </c>
      <c r="AA190" s="321" t="s">
        <v>5004</v>
      </c>
    </row>
    <row r="191" spans="1:27">
      <c r="A191" s="346">
        <v>421</v>
      </c>
      <c r="B191" s="347">
        <v>345100</v>
      </c>
      <c r="C191" s="348" t="s">
        <v>6569</v>
      </c>
      <c r="D191" s="349">
        <v>0</v>
      </c>
      <c r="E191" s="350">
        <v>0</v>
      </c>
      <c r="F191" s="350">
        <v>0</v>
      </c>
      <c r="H191" s="351">
        <f t="shared" si="11"/>
        <v>0</v>
      </c>
      <c r="I191" s="351">
        <f t="shared" si="12"/>
        <v>0</v>
      </c>
      <c r="M191" s="321">
        <v>1335003990</v>
      </c>
      <c r="N191" s="321">
        <v>33</v>
      </c>
      <c r="O191" s="321" t="s">
        <v>5005</v>
      </c>
      <c r="P191" s="321">
        <v>5835001</v>
      </c>
      <c r="Q191" s="322">
        <v>-1564000</v>
      </c>
      <c r="R191" s="322">
        <v>-1335700</v>
      </c>
      <c r="S191" s="322">
        <v>-1564000</v>
      </c>
      <c r="T191" s="322">
        <v>-1564000</v>
      </c>
      <c r="U191" s="322">
        <f t="shared" si="10"/>
        <v>0</v>
      </c>
      <c r="W191" s="321">
        <f t="shared" si="13"/>
        <v>990</v>
      </c>
      <c r="X191" s="321">
        <f t="shared" si="14"/>
        <v>335003</v>
      </c>
      <c r="Y191" s="321">
        <v>1</v>
      </c>
      <c r="AA191" s="321" t="s">
        <v>5005</v>
      </c>
    </row>
    <row r="192" spans="1:27">
      <c r="A192" s="346">
        <v>930</v>
      </c>
      <c r="B192" s="347">
        <v>345100</v>
      </c>
      <c r="C192" s="348" t="s">
        <v>6570</v>
      </c>
      <c r="D192" s="349">
        <v>0</v>
      </c>
      <c r="E192" s="350">
        <v>0</v>
      </c>
      <c r="F192" s="350">
        <v>0</v>
      </c>
      <c r="H192" s="351">
        <f t="shared" si="11"/>
        <v>0</v>
      </c>
      <c r="I192" s="351">
        <f t="shared" si="12"/>
        <v>0</v>
      </c>
      <c r="M192" s="321">
        <v>1341000930</v>
      </c>
      <c r="N192" s="321">
        <v>34</v>
      </c>
      <c r="O192" s="321" t="s">
        <v>5006</v>
      </c>
      <c r="P192" s="321">
        <v>5841000</v>
      </c>
      <c r="Q192" s="322">
        <v>-171000</v>
      </c>
      <c r="R192" s="322">
        <v>0</v>
      </c>
      <c r="S192" s="322">
        <v>-206000</v>
      </c>
      <c r="T192" s="322">
        <v>-206000</v>
      </c>
      <c r="U192" s="322">
        <f t="shared" si="10"/>
        <v>0</v>
      </c>
      <c r="W192" s="321">
        <f t="shared" si="13"/>
        <v>930</v>
      </c>
      <c r="X192" s="321">
        <f t="shared" si="14"/>
        <v>341000</v>
      </c>
      <c r="Y192" s="321">
        <v>1</v>
      </c>
      <c r="AA192" s="321" t="s">
        <v>5006</v>
      </c>
    </row>
    <row r="193" spans="1:27">
      <c r="A193" s="346">
        <v>931</v>
      </c>
      <c r="B193" s="347">
        <v>345100</v>
      </c>
      <c r="C193" s="348" t="s">
        <v>6571</v>
      </c>
      <c r="D193" s="349">
        <v>0</v>
      </c>
      <c r="E193" s="350">
        <v>0</v>
      </c>
      <c r="F193" s="350">
        <v>0</v>
      </c>
      <c r="H193" s="351">
        <f t="shared" si="11"/>
        <v>0</v>
      </c>
      <c r="I193" s="351">
        <f t="shared" si="12"/>
        <v>0</v>
      </c>
      <c r="M193" s="321">
        <v>1341001790</v>
      </c>
      <c r="N193" s="321">
        <v>34</v>
      </c>
      <c r="O193" s="321" t="s">
        <v>5007</v>
      </c>
      <c r="P193" s="321">
        <v>5841000</v>
      </c>
      <c r="Q193" s="322">
        <v>-90000</v>
      </c>
      <c r="R193" s="322">
        <v>-45000</v>
      </c>
      <c r="S193" s="322">
        <v>-90000</v>
      </c>
      <c r="T193" s="322">
        <v>-90000</v>
      </c>
      <c r="U193" s="322">
        <f t="shared" si="10"/>
        <v>0</v>
      </c>
      <c r="W193" s="321">
        <f t="shared" si="13"/>
        <v>790</v>
      </c>
      <c r="X193" s="321">
        <f t="shared" si="14"/>
        <v>341001</v>
      </c>
      <c r="Y193" s="321">
        <v>1</v>
      </c>
      <c r="AA193" s="321" t="s">
        <v>5007</v>
      </c>
    </row>
    <row r="194" spans="1:27">
      <c r="A194" s="346">
        <v>420</v>
      </c>
      <c r="B194" s="347">
        <v>345101</v>
      </c>
      <c r="C194" s="348" t="s">
        <v>6572</v>
      </c>
      <c r="D194" s="349">
        <v>0</v>
      </c>
      <c r="E194" s="350">
        <v>80</v>
      </c>
      <c r="F194" s="350">
        <v>80</v>
      </c>
      <c r="H194" s="351">
        <f t="shared" si="11"/>
        <v>0</v>
      </c>
      <c r="I194" s="351">
        <f t="shared" si="12"/>
        <v>-80000</v>
      </c>
      <c r="M194" s="321">
        <v>1341001930</v>
      </c>
      <c r="N194" s="321">
        <v>34</v>
      </c>
      <c r="O194" s="321" t="s">
        <v>5008</v>
      </c>
      <c r="P194" s="321">
        <v>5841000</v>
      </c>
      <c r="Q194" s="322">
        <v>-18224600</v>
      </c>
      <c r="R194" s="322">
        <v>-15027000</v>
      </c>
      <c r="S194" s="322">
        <v>-18852000</v>
      </c>
      <c r="T194" s="322">
        <v>-18852000</v>
      </c>
      <c r="U194" s="322">
        <f t="shared" ref="U194:U257" si="15">S194-T194</f>
        <v>0</v>
      </c>
      <c r="W194" s="321">
        <f t="shared" si="13"/>
        <v>930</v>
      </c>
      <c r="X194" s="321">
        <f t="shared" si="14"/>
        <v>341001</v>
      </c>
      <c r="Y194" s="321">
        <v>1</v>
      </c>
      <c r="AA194" s="321" t="s">
        <v>5008</v>
      </c>
    </row>
    <row r="195" spans="1:27">
      <c r="A195" s="346">
        <v>421</v>
      </c>
      <c r="B195" s="347">
        <v>345101</v>
      </c>
      <c r="C195" s="348" t="s">
        <v>6573</v>
      </c>
      <c r="D195" s="349">
        <v>87</v>
      </c>
      <c r="E195" s="350">
        <v>0</v>
      </c>
      <c r="F195" s="350">
        <v>0</v>
      </c>
      <c r="H195" s="351">
        <f t="shared" ref="H195:H258" si="16">D195*-1000</f>
        <v>-87000</v>
      </c>
      <c r="I195" s="351">
        <f t="shared" ref="I195:I258" si="17">F195*-1000</f>
        <v>0</v>
      </c>
      <c r="M195" s="321">
        <v>1341001990</v>
      </c>
      <c r="N195" s="321">
        <v>34</v>
      </c>
      <c r="O195" s="321" t="s">
        <v>5009</v>
      </c>
      <c r="P195" s="321">
        <v>5841000</v>
      </c>
      <c r="Q195" s="322">
        <v>-150000</v>
      </c>
      <c r="R195" s="322">
        <v>-16000</v>
      </c>
      <c r="S195" s="322">
        <v>0</v>
      </c>
      <c r="T195" s="322">
        <v>0</v>
      </c>
      <c r="U195" s="322">
        <f t="shared" si="15"/>
        <v>0</v>
      </c>
      <c r="W195" s="321">
        <f t="shared" ref="W195:W258" si="18">M195-1000000000-X195*1000</f>
        <v>990</v>
      </c>
      <c r="X195" s="321">
        <f t="shared" ref="X195:X258" si="19">ROUNDDOWN((M195-1000000000)/1000,0)</f>
        <v>341001</v>
      </c>
      <c r="Y195" s="321">
        <v>1</v>
      </c>
      <c r="AA195" s="321" t="s">
        <v>5009</v>
      </c>
    </row>
    <row r="196" spans="1:27">
      <c r="A196" s="346">
        <v>930</v>
      </c>
      <c r="B196" s="347">
        <v>345101</v>
      </c>
      <c r="C196" s="348" t="s">
        <v>6574</v>
      </c>
      <c r="D196" s="349">
        <v>488</v>
      </c>
      <c r="E196" s="350">
        <v>308</v>
      </c>
      <c r="F196" s="350">
        <v>234</v>
      </c>
      <c r="H196" s="351">
        <f t="shared" si="16"/>
        <v>-488000</v>
      </c>
      <c r="I196" s="351">
        <f t="shared" si="17"/>
        <v>-234000</v>
      </c>
      <c r="M196" s="321">
        <v>1341002930</v>
      </c>
      <c r="N196" s="321">
        <v>34</v>
      </c>
      <c r="O196" s="321" t="s">
        <v>5010</v>
      </c>
      <c r="P196" s="321">
        <v>5841000</v>
      </c>
      <c r="Q196" s="322">
        <v>-15000</v>
      </c>
      <c r="R196" s="322">
        <v>0</v>
      </c>
      <c r="S196" s="322">
        <v>-15000</v>
      </c>
      <c r="T196" s="322">
        <v>-15000</v>
      </c>
      <c r="U196" s="322">
        <f t="shared" si="15"/>
        <v>0</v>
      </c>
      <c r="W196" s="321">
        <f t="shared" si="18"/>
        <v>930</v>
      </c>
      <c r="X196" s="321">
        <f t="shared" si="19"/>
        <v>341002</v>
      </c>
      <c r="Y196" s="321">
        <v>1</v>
      </c>
      <c r="AA196" s="321" t="s">
        <v>5010</v>
      </c>
    </row>
    <row r="197" spans="1:27">
      <c r="A197" s="346">
        <v>930</v>
      </c>
      <c r="B197" s="347">
        <v>345102</v>
      </c>
      <c r="C197" s="348" t="s">
        <v>6575</v>
      </c>
      <c r="D197" s="349">
        <v>8</v>
      </c>
      <c r="E197" s="350">
        <v>11</v>
      </c>
      <c r="F197" s="350">
        <v>11</v>
      </c>
      <c r="H197" s="351">
        <f t="shared" si="16"/>
        <v>-8000</v>
      </c>
      <c r="I197" s="351">
        <f t="shared" si="17"/>
        <v>-11000</v>
      </c>
      <c r="M197" s="321">
        <v>1341002990</v>
      </c>
      <c r="N197" s="321">
        <v>34</v>
      </c>
      <c r="O197" s="321" t="s">
        <v>5011</v>
      </c>
      <c r="P197" s="321">
        <v>5841000</v>
      </c>
      <c r="Q197" s="322">
        <v>-506400</v>
      </c>
      <c r="R197" s="322">
        <v>-332800</v>
      </c>
      <c r="S197" s="322">
        <v>0</v>
      </c>
      <c r="T197" s="322">
        <v>0</v>
      </c>
      <c r="U197" s="322">
        <f t="shared" si="15"/>
        <v>0</v>
      </c>
      <c r="W197" s="321">
        <f t="shared" si="18"/>
        <v>990</v>
      </c>
      <c r="X197" s="321">
        <f t="shared" si="19"/>
        <v>341002</v>
      </c>
      <c r="Y197" s="321">
        <v>1</v>
      </c>
      <c r="AA197" s="321" t="s">
        <v>5011</v>
      </c>
    </row>
    <row r="198" spans="1:27">
      <c r="A198" s="346">
        <v>930</v>
      </c>
      <c r="B198" s="347">
        <v>345103</v>
      </c>
      <c r="C198" s="348" t="s">
        <v>6576</v>
      </c>
      <c r="D198" s="349">
        <v>8</v>
      </c>
      <c r="E198" s="350">
        <v>7</v>
      </c>
      <c r="F198" s="350">
        <v>7</v>
      </c>
      <c r="H198" s="351">
        <f t="shared" si="16"/>
        <v>-8000</v>
      </c>
      <c r="I198" s="351">
        <f t="shared" si="17"/>
        <v>-7000</v>
      </c>
      <c r="M198" s="321">
        <v>1341003930</v>
      </c>
      <c r="N198" s="321">
        <v>34</v>
      </c>
      <c r="O198" s="321" t="s">
        <v>5012</v>
      </c>
      <c r="P198" s="321">
        <v>5841000</v>
      </c>
      <c r="Q198" s="322">
        <v>-299000</v>
      </c>
      <c r="R198" s="322">
        <v>-212100</v>
      </c>
      <c r="S198" s="322">
        <v>-303000</v>
      </c>
      <c r="T198" s="322">
        <v>-303000</v>
      </c>
      <c r="U198" s="322">
        <f t="shared" si="15"/>
        <v>0</v>
      </c>
      <c r="W198" s="321">
        <f t="shared" si="18"/>
        <v>930</v>
      </c>
      <c r="X198" s="321">
        <f t="shared" si="19"/>
        <v>341003</v>
      </c>
      <c r="Y198" s="321">
        <v>1</v>
      </c>
      <c r="AA198" s="321" t="s">
        <v>5012</v>
      </c>
    </row>
    <row r="199" spans="1:27">
      <c r="A199" s="346">
        <v>420</v>
      </c>
      <c r="B199" s="347">
        <v>345104</v>
      </c>
      <c r="C199" s="348" t="s">
        <v>6577</v>
      </c>
      <c r="D199" s="349">
        <v>0</v>
      </c>
      <c r="E199" s="350">
        <v>0</v>
      </c>
      <c r="F199" s="350">
        <v>6</v>
      </c>
      <c r="H199" s="351">
        <f t="shared" si="16"/>
        <v>0</v>
      </c>
      <c r="I199" s="351">
        <f t="shared" si="17"/>
        <v>-6000</v>
      </c>
      <c r="M199" s="321">
        <v>1341005790</v>
      </c>
      <c r="N199" s="321">
        <v>34</v>
      </c>
      <c r="O199" s="321" t="s">
        <v>5013</v>
      </c>
      <c r="P199" s="321">
        <v>5841000</v>
      </c>
      <c r="Q199" s="322">
        <v>-3000</v>
      </c>
      <c r="R199" s="322">
        <v>0</v>
      </c>
      <c r="S199" s="322">
        <v>-3000</v>
      </c>
      <c r="T199" s="322">
        <v>-3000</v>
      </c>
      <c r="U199" s="322">
        <f t="shared" si="15"/>
        <v>0</v>
      </c>
      <c r="W199" s="321">
        <f t="shared" si="18"/>
        <v>790</v>
      </c>
      <c r="X199" s="321">
        <f t="shared" si="19"/>
        <v>341005</v>
      </c>
      <c r="Y199" s="321">
        <v>1</v>
      </c>
      <c r="AA199" s="321" t="s">
        <v>5013</v>
      </c>
    </row>
    <row r="200" spans="1:27">
      <c r="A200" s="346">
        <v>421</v>
      </c>
      <c r="B200" s="347">
        <v>345104</v>
      </c>
      <c r="C200" s="348" t="s">
        <v>6578</v>
      </c>
      <c r="D200" s="349">
        <v>79</v>
      </c>
      <c r="E200" s="350">
        <v>0</v>
      </c>
      <c r="F200" s="350">
        <v>0</v>
      </c>
      <c r="H200" s="351">
        <f t="shared" si="16"/>
        <v>-79000</v>
      </c>
      <c r="I200" s="351">
        <f t="shared" si="17"/>
        <v>0</v>
      </c>
      <c r="M200" s="321">
        <v>1341005930</v>
      </c>
      <c r="N200" s="321">
        <v>34</v>
      </c>
      <c r="O200" s="321" t="s">
        <v>5014</v>
      </c>
      <c r="P200" s="321">
        <v>5841000</v>
      </c>
      <c r="Q200" s="322">
        <v>-25000</v>
      </c>
      <c r="R200" s="322">
        <v>0</v>
      </c>
      <c r="S200" s="322">
        <v>-25000</v>
      </c>
      <c r="T200" s="322">
        <v>-25000</v>
      </c>
      <c r="U200" s="322">
        <f t="shared" si="15"/>
        <v>0</v>
      </c>
      <c r="W200" s="321">
        <f t="shared" si="18"/>
        <v>930</v>
      </c>
      <c r="X200" s="321">
        <f t="shared" si="19"/>
        <v>341005</v>
      </c>
      <c r="Y200" s="321">
        <v>1</v>
      </c>
      <c r="AA200" s="321" t="s">
        <v>5014</v>
      </c>
    </row>
    <row r="201" spans="1:27">
      <c r="A201" s="346">
        <v>930</v>
      </c>
      <c r="B201" s="347">
        <v>345104</v>
      </c>
      <c r="C201" s="348" t="s">
        <v>6579</v>
      </c>
      <c r="D201" s="349">
        <v>12450</v>
      </c>
      <c r="E201" s="350">
        <v>12225</v>
      </c>
      <c r="F201" s="350">
        <v>12818</v>
      </c>
      <c r="H201" s="351">
        <f t="shared" si="16"/>
        <v>-12450000</v>
      </c>
      <c r="I201" s="351">
        <f t="shared" si="17"/>
        <v>-12818000</v>
      </c>
      <c r="M201" s="321">
        <v>1341007930</v>
      </c>
      <c r="N201" s="321">
        <v>34</v>
      </c>
      <c r="O201" s="321" t="s">
        <v>5015</v>
      </c>
      <c r="P201" s="321">
        <v>5841000</v>
      </c>
      <c r="Q201" s="322">
        <v>-48000</v>
      </c>
      <c r="R201" s="322">
        <v>-25900</v>
      </c>
      <c r="S201" s="322">
        <v>-49000</v>
      </c>
      <c r="T201" s="322">
        <v>-49000</v>
      </c>
      <c r="U201" s="322">
        <f t="shared" si="15"/>
        <v>0</v>
      </c>
      <c r="W201" s="321">
        <f t="shared" si="18"/>
        <v>930</v>
      </c>
      <c r="X201" s="321">
        <f t="shared" si="19"/>
        <v>341007</v>
      </c>
      <c r="Y201" s="321">
        <v>1</v>
      </c>
      <c r="AA201" s="321" t="s">
        <v>5015</v>
      </c>
    </row>
    <row r="202" spans="1:27">
      <c r="A202" s="346">
        <v>930</v>
      </c>
      <c r="B202" s="347">
        <v>345105</v>
      </c>
      <c r="C202" s="348" t="s">
        <v>6580</v>
      </c>
      <c r="D202" s="349">
        <v>4950</v>
      </c>
      <c r="E202" s="350">
        <v>4950</v>
      </c>
      <c r="F202" s="350">
        <v>5207</v>
      </c>
      <c r="H202" s="351">
        <f t="shared" si="16"/>
        <v>-4950000</v>
      </c>
      <c r="I202" s="351">
        <f t="shared" si="17"/>
        <v>-5207000</v>
      </c>
      <c r="M202" s="321">
        <v>1342200410</v>
      </c>
      <c r="N202" s="321">
        <v>34</v>
      </c>
      <c r="O202" s="321" t="s">
        <v>5016</v>
      </c>
      <c r="P202" s="321">
        <v>5842200</v>
      </c>
      <c r="Q202" s="322">
        <v>-5000</v>
      </c>
      <c r="R202" s="322">
        <v>-6600</v>
      </c>
      <c r="S202" s="322">
        <v>-9000</v>
      </c>
      <c r="T202" s="322">
        <v>-9000</v>
      </c>
      <c r="U202" s="322">
        <f t="shared" si="15"/>
        <v>0</v>
      </c>
      <c r="W202" s="321">
        <f t="shared" si="18"/>
        <v>410</v>
      </c>
      <c r="X202" s="321">
        <f t="shared" si="19"/>
        <v>342200</v>
      </c>
      <c r="Y202" s="321">
        <v>1</v>
      </c>
      <c r="AA202" s="321" t="s">
        <v>5016</v>
      </c>
    </row>
    <row r="203" spans="1:27">
      <c r="A203" s="346">
        <v>930</v>
      </c>
      <c r="B203" s="347">
        <v>345106</v>
      </c>
      <c r="C203" s="348" t="s">
        <v>6581</v>
      </c>
      <c r="D203" s="349">
        <v>4800</v>
      </c>
      <c r="E203" s="350">
        <v>4440</v>
      </c>
      <c r="F203" s="350">
        <v>4513</v>
      </c>
      <c r="H203" s="351">
        <f t="shared" si="16"/>
        <v>-4800000</v>
      </c>
      <c r="I203" s="351">
        <f t="shared" si="17"/>
        <v>-4513000</v>
      </c>
      <c r="M203" s="321">
        <v>1342200730</v>
      </c>
      <c r="N203" s="321">
        <v>34</v>
      </c>
      <c r="O203" s="321" t="s">
        <v>5017</v>
      </c>
      <c r="P203" s="321">
        <v>5842200</v>
      </c>
      <c r="Q203" s="322">
        <v>-567000</v>
      </c>
      <c r="R203" s="322">
        <v>-359300</v>
      </c>
      <c r="S203" s="322">
        <v>-747000</v>
      </c>
      <c r="T203" s="322">
        <v>-747000</v>
      </c>
      <c r="U203" s="322">
        <f t="shared" si="15"/>
        <v>0</v>
      </c>
      <c r="W203" s="321">
        <f t="shared" si="18"/>
        <v>730</v>
      </c>
      <c r="X203" s="321">
        <f t="shared" si="19"/>
        <v>342200</v>
      </c>
      <c r="Y203" s="321">
        <v>1</v>
      </c>
      <c r="AA203" s="321" t="s">
        <v>5017</v>
      </c>
    </row>
    <row r="204" spans="1:27">
      <c r="A204" s="346">
        <v>420</v>
      </c>
      <c r="B204" s="347">
        <v>345107</v>
      </c>
      <c r="C204" s="348" t="s">
        <v>6582</v>
      </c>
      <c r="D204" s="349">
        <v>0</v>
      </c>
      <c r="E204" s="350">
        <v>0</v>
      </c>
      <c r="F204" s="350">
        <v>4</v>
      </c>
      <c r="H204" s="351">
        <f t="shared" si="16"/>
        <v>0</v>
      </c>
      <c r="I204" s="351">
        <f t="shared" si="17"/>
        <v>-4000</v>
      </c>
      <c r="M204" s="321">
        <v>1342201930</v>
      </c>
      <c r="N204" s="321">
        <v>34</v>
      </c>
      <c r="O204" s="321" t="s">
        <v>5018</v>
      </c>
      <c r="P204" s="321">
        <v>5842200</v>
      </c>
      <c r="Q204" s="322">
        <v>-347000</v>
      </c>
      <c r="R204" s="322">
        <v>-129700</v>
      </c>
      <c r="S204" s="322">
        <v>-351000</v>
      </c>
      <c r="T204" s="322">
        <v>-351000</v>
      </c>
      <c r="U204" s="322">
        <f t="shared" si="15"/>
        <v>0</v>
      </c>
      <c r="W204" s="321">
        <f t="shared" si="18"/>
        <v>930</v>
      </c>
      <c r="X204" s="321">
        <f t="shared" si="19"/>
        <v>342201</v>
      </c>
      <c r="Y204" s="321">
        <v>1</v>
      </c>
      <c r="AA204" s="321" t="s">
        <v>5018</v>
      </c>
    </row>
    <row r="205" spans="1:27">
      <c r="A205" s="346">
        <v>930</v>
      </c>
      <c r="B205" s="347">
        <v>345107</v>
      </c>
      <c r="C205" s="348" t="s">
        <v>6583</v>
      </c>
      <c r="D205" s="349">
        <v>188</v>
      </c>
      <c r="E205" s="350">
        <v>90</v>
      </c>
      <c r="F205" s="350">
        <v>91</v>
      </c>
      <c r="H205" s="351">
        <f t="shared" si="16"/>
        <v>-188000</v>
      </c>
      <c r="I205" s="351">
        <f t="shared" si="17"/>
        <v>-91000</v>
      </c>
      <c r="M205" s="321">
        <v>1342203930</v>
      </c>
      <c r="N205" s="321">
        <v>34</v>
      </c>
      <c r="O205" s="321" t="s">
        <v>5019</v>
      </c>
      <c r="P205" s="321">
        <v>5842200</v>
      </c>
      <c r="Q205" s="322">
        <v>-523500</v>
      </c>
      <c r="R205" s="322">
        <v>-346500</v>
      </c>
      <c r="S205" s="322">
        <v>-530000</v>
      </c>
      <c r="T205" s="322">
        <v>-530000</v>
      </c>
      <c r="U205" s="322">
        <f t="shared" si="15"/>
        <v>0</v>
      </c>
      <c r="W205" s="321">
        <f t="shared" si="18"/>
        <v>930</v>
      </c>
      <c r="X205" s="321">
        <f t="shared" si="19"/>
        <v>342203</v>
      </c>
      <c r="Y205" s="321">
        <v>1</v>
      </c>
      <c r="AA205" s="321" t="s">
        <v>5019</v>
      </c>
    </row>
    <row r="206" spans="1:27">
      <c r="A206" s="346">
        <v>930</v>
      </c>
      <c r="B206" s="347">
        <v>345108</v>
      </c>
      <c r="C206" s="348" t="s">
        <v>6584</v>
      </c>
      <c r="D206" s="349">
        <v>75</v>
      </c>
      <c r="E206" s="350">
        <v>81</v>
      </c>
      <c r="F206" s="350">
        <v>81</v>
      </c>
      <c r="H206" s="351">
        <f t="shared" si="16"/>
        <v>-75000</v>
      </c>
      <c r="I206" s="351">
        <f t="shared" si="17"/>
        <v>-81000</v>
      </c>
      <c r="M206" s="321">
        <v>1342205930</v>
      </c>
      <c r="N206" s="321">
        <v>34</v>
      </c>
      <c r="O206" s="321" t="s">
        <v>5020</v>
      </c>
      <c r="P206" s="321">
        <v>5842200</v>
      </c>
      <c r="Q206" s="322">
        <v>-750000</v>
      </c>
      <c r="R206" s="322">
        <v>-525000</v>
      </c>
      <c r="S206" s="322">
        <v>-966000</v>
      </c>
      <c r="T206" s="322">
        <v>-966000</v>
      </c>
      <c r="U206" s="322">
        <f t="shared" si="15"/>
        <v>0</v>
      </c>
      <c r="W206" s="321">
        <f t="shared" si="18"/>
        <v>930</v>
      </c>
      <c r="X206" s="321">
        <f t="shared" si="19"/>
        <v>342205</v>
      </c>
      <c r="Y206" s="321">
        <v>1</v>
      </c>
      <c r="AA206" s="321" t="s">
        <v>5020</v>
      </c>
    </row>
    <row r="207" spans="1:27">
      <c r="A207" s="346">
        <v>420</v>
      </c>
      <c r="B207" s="347">
        <v>345109</v>
      </c>
      <c r="C207" s="348" t="s">
        <v>6585</v>
      </c>
      <c r="D207" s="349">
        <v>0</v>
      </c>
      <c r="E207" s="350">
        <v>7</v>
      </c>
      <c r="F207" s="350">
        <v>2</v>
      </c>
      <c r="H207" s="351">
        <f t="shared" si="16"/>
        <v>0</v>
      </c>
      <c r="I207" s="351">
        <f t="shared" si="17"/>
        <v>-2000</v>
      </c>
      <c r="M207" s="321">
        <v>1342206930</v>
      </c>
      <c r="N207" s="321">
        <v>34</v>
      </c>
      <c r="O207" s="321" t="s">
        <v>5021</v>
      </c>
      <c r="P207" s="321">
        <v>5842200</v>
      </c>
      <c r="Q207" s="322">
        <v>-226000</v>
      </c>
      <c r="R207" s="322">
        <v>-54700</v>
      </c>
      <c r="S207" s="322">
        <v>-229000</v>
      </c>
      <c r="T207" s="322">
        <v>-229000</v>
      </c>
      <c r="U207" s="322">
        <f t="shared" si="15"/>
        <v>0</v>
      </c>
      <c r="W207" s="321">
        <f t="shared" si="18"/>
        <v>930</v>
      </c>
      <c r="X207" s="321">
        <f t="shared" si="19"/>
        <v>342206</v>
      </c>
      <c r="Y207" s="321">
        <v>1</v>
      </c>
      <c r="AA207" s="321" t="s">
        <v>5021</v>
      </c>
    </row>
    <row r="208" spans="1:27">
      <c r="A208" s="346">
        <v>930</v>
      </c>
      <c r="B208" s="347">
        <v>345109</v>
      </c>
      <c r="C208" s="348" t="s">
        <v>6586</v>
      </c>
      <c r="D208" s="349">
        <v>52</v>
      </c>
      <c r="E208" s="350">
        <v>0</v>
      </c>
      <c r="F208" s="350">
        <v>15</v>
      </c>
      <c r="H208" s="351">
        <f t="shared" si="16"/>
        <v>-52000</v>
      </c>
      <c r="I208" s="351">
        <f t="shared" si="17"/>
        <v>-15000</v>
      </c>
      <c r="M208" s="321">
        <v>1342207930</v>
      </c>
      <c r="N208" s="321">
        <v>34</v>
      </c>
      <c r="O208" s="321" t="s">
        <v>5022</v>
      </c>
      <c r="P208" s="321">
        <v>5842200</v>
      </c>
      <c r="Q208" s="322">
        <v>-436000</v>
      </c>
      <c r="R208" s="322">
        <v>-330500</v>
      </c>
      <c r="S208" s="322">
        <v>-446000</v>
      </c>
      <c r="T208" s="322">
        <v>-446000</v>
      </c>
      <c r="U208" s="322">
        <f t="shared" si="15"/>
        <v>0</v>
      </c>
      <c r="W208" s="321">
        <f t="shared" si="18"/>
        <v>930</v>
      </c>
      <c r="X208" s="321">
        <f t="shared" si="19"/>
        <v>342207</v>
      </c>
      <c r="Y208" s="321">
        <v>1</v>
      </c>
      <c r="AA208" s="321" t="s">
        <v>5022</v>
      </c>
    </row>
    <row r="209" spans="1:27">
      <c r="A209" s="346">
        <v>930</v>
      </c>
      <c r="B209" s="347">
        <v>345110</v>
      </c>
      <c r="C209" s="348" t="s">
        <v>6587</v>
      </c>
      <c r="D209" s="349">
        <v>342</v>
      </c>
      <c r="E209" s="350">
        <v>270</v>
      </c>
      <c r="F209" s="350">
        <v>272</v>
      </c>
      <c r="H209" s="351">
        <f t="shared" si="16"/>
        <v>-342000</v>
      </c>
      <c r="I209" s="351">
        <f t="shared" si="17"/>
        <v>-272000</v>
      </c>
      <c r="M209" s="321">
        <v>1342211930</v>
      </c>
      <c r="N209" s="321">
        <v>34</v>
      </c>
      <c r="O209" s="321" t="s">
        <v>5023</v>
      </c>
      <c r="P209" s="321">
        <v>5842200</v>
      </c>
      <c r="Q209" s="322">
        <v>-651000</v>
      </c>
      <c r="R209" s="322">
        <v>41700</v>
      </c>
      <c r="S209" s="322">
        <v>-701000</v>
      </c>
      <c r="T209" s="322">
        <v>-701000</v>
      </c>
      <c r="U209" s="322">
        <f t="shared" si="15"/>
        <v>0</v>
      </c>
      <c r="W209" s="321">
        <f t="shared" si="18"/>
        <v>930</v>
      </c>
      <c r="X209" s="321">
        <f t="shared" si="19"/>
        <v>342211</v>
      </c>
      <c r="Y209" s="321">
        <v>1</v>
      </c>
      <c r="AA209" s="321" t="s">
        <v>5023</v>
      </c>
    </row>
    <row r="210" spans="1:27">
      <c r="A210" s="346">
        <v>420</v>
      </c>
      <c r="B210" s="347">
        <v>345111</v>
      </c>
      <c r="C210" s="348" t="s">
        <v>6588</v>
      </c>
      <c r="D210" s="349">
        <v>0</v>
      </c>
      <c r="E210" s="350">
        <v>0</v>
      </c>
      <c r="F210" s="350">
        <v>2</v>
      </c>
      <c r="H210" s="351">
        <f t="shared" si="16"/>
        <v>0</v>
      </c>
      <c r="I210" s="351">
        <f t="shared" si="17"/>
        <v>-2000</v>
      </c>
      <c r="M210" s="321">
        <v>1342212930</v>
      </c>
      <c r="N210" s="321">
        <v>34</v>
      </c>
      <c r="O210" s="321" t="s">
        <v>5024</v>
      </c>
      <c r="P210" s="321">
        <v>5842200</v>
      </c>
      <c r="Q210" s="322">
        <v>-15000</v>
      </c>
      <c r="R210" s="322">
        <v>0</v>
      </c>
      <c r="S210" s="322">
        <v>-15000</v>
      </c>
      <c r="T210" s="322">
        <v>-15000</v>
      </c>
      <c r="U210" s="322">
        <f t="shared" si="15"/>
        <v>0</v>
      </c>
      <c r="W210" s="321">
        <f t="shared" si="18"/>
        <v>930</v>
      </c>
      <c r="X210" s="321">
        <f t="shared" si="19"/>
        <v>342212</v>
      </c>
      <c r="Y210" s="321">
        <v>1</v>
      </c>
      <c r="AA210" s="321" t="s">
        <v>5024</v>
      </c>
    </row>
    <row r="211" spans="1:27">
      <c r="A211" s="346">
        <v>930</v>
      </c>
      <c r="B211" s="347">
        <v>345111</v>
      </c>
      <c r="C211" s="348" t="s">
        <v>6589</v>
      </c>
      <c r="D211" s="349">
        <v>14</v>
      </c>
      <c r="E211" s="350">
        <v>14</v>
      </c>
      <c r="F211" s="350">
        <v>14</v>
      </c>
      <c r="H211" s="351">
        <f t="shared" si="16"/>
        <v>-14000</v>
      </c>
      <c r="I211" s="351">
        <f t="shared" si="17"/>
        <v>-14000</v>
      </c>
      <c r="M211" s="321">
        <v>1342213930</v>
      </c>
      <c r="N211" s="321">
        <v>34</v>
      </c>
      <c r="O211" s="321" t="s">
        <v>5025</v>
      </c>
      <c r="P211" s="321">
        <v>5842200</v>
      </c>
      <c r="Q211" s="322">
        <v>-2834000</v>
      </c>
      <c r="R211" s="322">
        <v>0</v>
      </c>
      <c r="S211" s="322">
        <v>-2868000</v>
      </c>
      <c r="T211" s="322">
        <v>-2868000</v>
      </c>
      <c r="U211" s="322">
        <f t="shared" si="15"/>
        <v>0</v>
      </c>
      <c r="W211" s="321">
        <f t="shared" si="18"/>
        <v>930</v>
      </c>
      <c r="X211" s="321">
        <f t="shared" si="19"/>
        <v>342213</v>
      </c>
      <c r="Y211" s="321">
        <v>1</v>
      </c>
      <c r="AA211" s="321" t="s">
        <v>5025</v>
      </c>
    </row>
    <row r="212" spans="1:27">
      <c r="A212" s="346">
        <v>930</v>
      </c>
      <c r="B212" s="347">
        <v>345200</v>
      </c>
      <c r="C212" s="348" t="s">
        <v>6590</v>
      </c>
      <c r="D212" s="349">
        <v>0</v>
      </c>
      <c r="E212" s="350">
        <v>0</v>
      </c>
      <c r="F212" s="350">
        <v>0</v>
      </c>
      <c r="H212" s="351">
        <f t="shared" si="16"/>
        <v>0</v>
      </c>
      <c r="I212" s="351">
        <f t="shared" si="17"/>
        <v>0</v>
      </c>
      <c r="M212" s="321">
        <v>1342400410</v>
      </c>
      <c r="N212" s="321">
        <v>34</v>
      </c>
      <c r="O212" s="321" t="s">
        <v>5026</v>
      </c>
      <c r="P212" s="321">
        <v>5842400</v>
      </c>
      <c r="Q212" s="322">
        <v>-5000</v>
      </c>
      <c r="R212" s="322">
        <v>0</v>
      </c>
      <c r="S212" s="322">
        <v>0</v>
      </c>
      <c r="T212" s="322">
        <v>0</v>
      </c>
      <c r="U212" s="322">
        <f t="shared" si="15"/>
        <v>0</v>
      </c>
      <c r="W212" s="321">
        <f t="shared" si="18"/>
        <v>410</v>
      </c>
      <c r="X212" s="321">
        <f t="shared" si="19"/>
        <v>342400</v>
      </c>
      <c r="Y212" s="321">
        <v>1</v>
      </c>
      <c r="AA212" s="321" t="s">
        <v>5026</v>
      </c>
    </row>
    <row r="213" spans="1:27">
      <c r="A213" s="346">
        <v>930</v>
      </c>
      <c r="B213" s="347">
        <v>345201</v>
      </c>
      <c r="C213" s="348" t="s">
        <v>6591</v>
      </c>
      <c r="D213" s="349">
        <v>38</v>
      </c>
      <c r="E213" s="350">
        <v>28</v>
      </c>
      <c r="F213" s="350">
        <v>28</v>
      </c>
      <c r="H213" s="351">
        <f t="shared" si="16"/>
        <v>-38000</v>
      </c>
      <c r="I213" s="351">
        <f t="shared" si="17"/>
        <v>-28000</v>
      </c>
      <c r="M213" s="321">
        <v>1342401930</v>
      </c>
      <c r="N213" s="321">
        <v>34</v>
      </c>
      <c r="O213" s="321" t="s">
        <v>5027</v>
      </c>
      <c r="P213" s="321">
        <v>5842400</v>
      </c>
      <c r="Q213" s="322">
        <v>-85000</v>
      </c>
      <c r="R213" s="322">
        <v>0</v>
      </c>
      <c r="S213" s="322">
        <v>-86000</v>
      </c>
      <c r="T213" s="322">
        <v>-86000</v>
      </c>
      <c r="U213" s="322">
        <f t="shared" si="15"/>
        <v>0</v>
      </c>
      <c r="W213" s="321">
        <f t="shared" si="18"/>
        <v>930</v>
      </c>
      <c r="X213" s="321">
        <f t="shared" si="19"/>
        <v>342401</v>
      </c>
      <c r="Y213" s="321">
        <v>1</v>
      </c>
      <c r="AA213" s="321" t="s">
        <v>5027</v>
      </c>
    </row>
    <row r="214" spans="1:27">
      <c r="A214" s="346">
        <v>420</v>
      </c>
      <c r="B214" s="347">
        <v>345202</v>
      </c>
      <c r="C214" s="348" t="s">
        <v>6592</v>
      </c>
      <c r="D214" s="349">
        <v>0</v>
      </c>
      <c r="E214" s="350">
        <v>45</v>
      </c>
      <c r="F214" s="350">
        <v>36</v>
      </c>
      <c r="H214" s="351">
        <f t="shared" si="16"/>
        <v>0</v>
      </c>
      <c r="I214" s="351">
        <f t="shared" si="17"/>
        <v>-36000</v>
      </c>
      <c r="M214" s="321">
        <v>1342402930</v>
      </c>
      <c r="N214" s="321">
        <v>34</v>
      </c>
      <c r="O214" s="321" t="s">
        <v>5028</v>
      </c>
      <c r="P214" s="321">
        <v>5842400</v>
      </c>
      <c r="Q214" s="322">
        <v>0</v>
      </c>
      <c r="R214" s="322">
        <v>0</v>
      </c>
      <c r="S214" s="322">
        <v>0</v>
      </c>
      <c r="T214" s="322">
        <v>0</v>
      </c>
      <c r="U214" s="322">
        <f t="shared" si="15"/>
        <v>0</v>
      </c>
      <c r="W214" s="321">
        <f t="shared" si="18"/>
        <v>930</v>
      </c>
      <c r="X214" s="321">
        <f t="shared" si="19"/>
        <v>342402</v>
      </c>
      <c r="Y214" s="321">
        <v>1</v>
      </c>
      <c r="AA214" s="321" t="s">
        <v>5028</v>
      </c>
    </row>
    <row r="215" spans="1:27">
      <c r="A215" s="346">
        <v>930</v>
      </c>
      <c r="B215" s="347">
        <v>345202</v>
      </c>
      <c r="C215" s="348" t="s">
        <v>6593</v>
      </c>
      <c r="D215" s="349">
        <v>927</v>
      </c>
      <c r="E215" s="350">
        <v>1300</v>
      </c>
      <c r="F215" s="350">
        <v>1494</v>
      </c>
      <c r="H215" s="351">
        <f t="shared" si="16"/>
        <v>-927000</v>
      </c>
      <c r="I215" s="351">
        <f t="shared" si="17"/>
        <v>-1494000</v>
      </c>
      <c r="M215" s="321">
        <v>1342403930</v>
      </c>
      <c r="N215" s="321">
        <v>34</v>
      </c>
      <c r="O215" s="321" t="s">
        <v>5029</v>
      </c>
      <c r="P215" s="321">
        <v>5842400</v>
      </c>
      <c r="Q215" s="322">
        <v>-402500</v>
      </c>
      <c r="R215" s="322">
        <v>-296300</v>
      </c>
      <c r="S215" s="322">
        <v>-448000</v>
      </c>
      <c r="T215" s="322">
        <v>-448000</v>
      </c>
      <c r="U215" s="322">
        <f t="shared" si="15"/>
        <v>0</v>
      </c>
      <c r="W215" s="321">
        <f t="shared" si="18"/>
        <v>930</v>
      </c>
      <c r="X215" s="321">
        <f t="shared" si="19"/>
        <v>342403</v>
      </c>
      <c r="Y215" s="321">
        <v>1</v>
      </c>
      <c r="AA215" s="321" t="s">
        <v>5029</v>
      </c>
    </row>
    <row r="216" spans="1:27">
      <c r="A216" s="346">
        <v>420</v>
      </c>
      <c r="B216" s="347">
        <v>345203</v>
      </c>
      <c r="C216" s="348" t="s">
        <v>6594</v>
      </c>
      <c r="D216" s="349">
        <v>0</v>
      </c>
      <c r="E216" s="350">
        <v>31</v>
      </c>
      <c r="F216" s="350">
        <v>25</v>
      </c>
      <c r="H216" s="351">
        <f t="shared" si="16"/>
        <v>0</v>
      </c>
      <c r="I216" s="351">
        <f t="shared" si="17"/>
        <v>-25000</v>
      </c>
      <c r="M216" s="321">
        <v>1342404930</v>
      </c>
      <c r="N216" s="321">
        <v>34</v>
      </c>
      <c r="O216" s="321" t="s">
        <v>5030</v>
      </c>
      <c r="P216" s="321">
        <v>5842400</v>
      </c>
      <c r="Q216" s="322">
        <v>-33000</v>
      </c>
      <c r="R216" s="322">
        <v>-45000</v>
      </c>
      <c r="S216" s="322">
        <v>-48000</v>
      </c>
      <c r="T216" s="322">
        <v>-48000</v>
      </c>
      <c r="U216" s="322">
        <f t="shared" si="15"/>
        <v>0</v>
      </c>
      <c r="W216" s="321">
        <f t="shared" si="18"/>
        <v>930</v>
      </c>
      <c r="X216" s="321">
        <f t="shared" si="19"/>
        <v>342404</v>
      </c>
      <c r="Y216" s="321">
        <v>1</v>
      </c>
      <c r="AA216" s="321" t="s">
        <v>5030</v>
      </c>
    </row>
    <row r="217" spans="1:27">
      <c r="A217" s="346">
        <v>930</v>
      </c>
      <c r="B217" s="347">
        <v>345203</v>
      </c>
      <c r="C217" s="348" t="s">
        <v>6595</v>
      </c>
      <c r="D217" s="349">
        <v>449</v>
      </c>
      <c r="E217" s="350">
        <v>413</v>
      </c>
      <c r="F217" s="350">
        <v>397</v>
      </c>
      <c r="H217" s="351">
        <f t="shared" si="16"/>
        <v>-449000</v>
      </c>
      <c r="I217" s="351">
        <f t="shared" si="17"/>
        <v>-397000</v>
      </c>
      <c r="M217" s="321">
        <v>1342407930</v>
      </c>
      <c r="N217" s="321">
        <v>34</v>
      </c>
      <c r="O217" s="321" t="s">
        <v>5031</v>
      </c>
      <c r="P217" s="321">
        <v>5842400</v>
      </c>
      <c r="Q217" s="322">
        <v>-29000</v>
      </c>
      <c r="R217" s="322">
        <v>-15000</v>
      </c>
      <c r="S217" s="322">
        <v>-29000</v>
      </c>
      <c r="T217" s="322">
        <v>-29000</v>
      </c>
      <c r="U217" s="322">
        <f t="shared" si="15"/>
        <v>0</v>
      </c>
      <c r="W217" s="321">
        <f t="shared" si="18"/>
        <v>930</v>
      </c>
      <c r="X217" s="321">
        <f t="shared" si="19"/>
        <v>342407</v>
      </c>
      <c r="Y217" s="321">
        <v>1</v>
      </c>
      <c r="AA217" s="321" t="s">
        <v>5031</v>
      </c>
    </row>
    <row r="218" spans="1:27">
      <c r="A218" s="346">
        <v>930</v>
      </c>
      <c r="B218" s="347">
        <v>345210</v>
      </c>
      <c r="C218" s="348" t="s">
        <v>6596</v>
      </c>
      <c r="D218" s="349">
        <v>0</v>
      </c>
      <c r="E218" s="350">
        <v>0</v>
      </c>
      <c r="F218" s="350">
        <v>0</v>
      </c>
      <c r="H218" s="351">
        <f t="shared" si="16"/>
        <v>0</v>
      </c>
      <c r="I218" s="351">
        <f t="shared" si="17"/>
        <v>0</v>
      </c>
      <c r="M218" s="321">
        <v>1342408930</v>
      </c>
      <c r="N218" s="321">
        <v>34</v>
      </c>
      <c r="O218" s="321" t="s">
        <v>5032</v>
      </c>
      <c r="P218" s="321">
        <v>5842400</v>
      </c>
      <c r="Q218" s="322">
        <v>-17300</v>
      </c>
      <c r="R218" s="322">
        <v>-12900</v>
      </c>
      <c r="S218" s="322">
        <v>-27000</v>
      </c>
      <c r="T218" s="322">
        <v>-27000</v>
      </c>
      <c r="U218" s="322">
        <f t="shared" si="15"/>
        <v>0</v>
      </c>
      <c r="W218" s="321">
        <f t="shared" si="18"/>
        <v>930</v>
      </c>
      <c r="X218" s="321">
        <f t="shared" si="19"/>
        <v>342408</v>
      </c>
      <c r="Y218" s="321">
        <v>1</v>
      </c>
      <c r="AA218" s="321" t="s">
        <v>5032</v>
      </c>
    </row>
    <row r="219" spans="1:27">
      <c r="A219" s="346">
        <v>930</v>
      </c>
      <c r="B219" s="347">
        <v>345300</v>
      </c>
      <c r="C219" s="348" t="s">
        <v>6597</v>
      </c>
      <c r="D219" s="349">
        <v>0</v>
      </c>
      <c r="E219" s="350">
        <v>0</v>
      </c>
      <c r="F219" s="350">
        <v>0</v>
      </c>
      <c r="H219" s="351">
        <f t="shared" si="16"/>
        <v>0</v>
      </c>
      <c r="I219" s="351">
        <f t="shared" si="17"/>
        <v>0</v>
      </c>
      <c r="M219" s="321">
        <v>1342409930</v>
      </c>
      <c r="N219" s="321">
        <v>34</v>
      </c>
      <c r="O219" s="321" t="s">
        <v>5033</v>
      </c>
      <c r="P219" s="321">
        <v>5842400</v>
      </c>
      <c r="Q219" s="322">
        <v>-1643000</v>
      </c>
      <c r="R219" s="322">
        <v>-523700</v>
      </c>
      <c r="S219" s="322">
        <v>-739000</v>
      </c>
      <c r="T219" s="322">
        <v>-739000</v>
      </c>
      <c r="U219" s="322">
        <f t="shared" si="15"/>
        <v>0</v>
      </c>
      <c r="W219" s="321">
        <f t="shared" si="18"/>
        <v>930</v>
      </c>
      <c r="X219" s="321">
        <f t="shared" si="19"/>
        <v>342409</v>
      </c>
      <c r="Y219" s="321">
        <v>1</v>
      </c>
      <c r="AA219" s="321" t="s">
        <v>5033</v>
      </c>
    </row>
    <row r="220" spans="1:27">
      <c r="A220" s="346">
        <v>930</v>
      </c>
      <c r="B220" s="347">
        <v>345301</v>
      </c>
      <c r="C220" s="348" t="s">
        <v>6598</v>
      </c>
      <c r="D220" s="349">
        <v>27</v>
      </c>
      <c r="E220" s="350">
        <v>11</v>
      </c>
      <c r="F220" s="350">
        <v>0</v>
      </c>
      <c r="H220" s="351">
        <f t="shared" si="16"/>
        <v>-27000</v>
      </c>
      <c r="I220" s="351">
        <f t="shared" si="17"/>
        <v>0</v>
      </c>
      <c r="M220" s="321">
        <v>1343500410</v>
      </c>
      <c r="N220" s="321">
        <v>34</v>
      </c>
      <c r="O220" s="321" t="s">
        <v>5034</v>
      </c>
      <c r="P220" s="321">
        <v>5843500</v>
      </c>
      <c r="Q220" s="322">
        <v>-240000</v>
      </c>
      <c r="R220" s="322">
        <v>-238800</v>
      </c>
      <c r="S220" s="322">
        <v>-320000</v>
      </c>
      <c r="T220" s="322">
        <v>-320000</v>
      </c>
      <c r="U220" s="322">
        <f t="shared" si="15"/>
        <v>0</v>
      </c>
      <c r="W220" s="321">
        <f t="shared" si="18"/>
        <v>410</v>
      </c>
      <c r="X220" s="321">
        <f t="shared" si="19"/>
        <v>343500</v>
      </c>
      <c r="Y220" s="321">
        <v>1</v>
      </c>
      <c r="AA220" s="321" t="s">
        <v>5034</v>
      </c>
    </row>
    <row r="221" spans="1:27">
      <c r="A221" s="346">
        <v>420</v>
      </c>
      <c r="B221" s="347">
        <v>345302</v>
      </c>
      <c r="C221" s="348" t="s">
        <v>6599</v>
      </c>
      <c r="D221" s="349">
        <v>0</v>
      </c>
      <c r="E221" s="350">
        <v>0</v>
      </c>
      <c r="F221" s="350">
        <v>7</v>
      </c>
      <c r="H221" s="351">
        <f t="shared" si="16"/>
        <v>0</v>
      </c>
      <c r="I221" s="351">
        <f t="shared" si="17"/>
        <v>-7000</v>
      </c>
      <c r="M221" s="321">
        <v>1343500411</v>
      </c>
      <c r="N221" s="321">
        <v>34</v>
      </c>
      <c r="O221" s="321" t="s">
        <v>5035</v>
      </c>
      <c r="P221" s="321">
        <v>5843500</v>
      </c>
      <c r="Q221" s="322">
        <v>-54000</v>
      </c>
      <c r="R221" s="322">
        <v>0</v>
      </c>
      <c r="S221" s="322">
        <v>-54000</v>
      </c>
      <c r="T221" s="322">
        <v>-54000</v>
      </c>
      <c r="U221" s="322">
        <f t="shared" si="15"/>
        <v>0</v>
      </c>
      <c r="W221" s="321">
        <f t="shared" si="18"/>
        <v>411</v>
      </c>
      <c r="X221" s="321">
        <f t="shared" si="19"/>
        <v>343500</v>
      </c>
      <c r="Y221" s="321">
        <v>1</v>
      </c>
      <c r="AA221" s="321" t="s">
        <v>5035</v>
      </c>
    </row>
    <row r="222" spans="1:27">
      <c r="A222" s="346">
        <v>930</v>
      </c>
      <c r="B222" s="347">
        <v>345302</v>
      </c>
      <c r="C222" s="348" t="s">
        <v>6600</v>
      </c>
      <c r="D222" s="349">
        <v>413</v>
      </c>
      <c r="E222" s="350">
        <v>123</v>
      </c>
      <c r="F222" s="350">
        <v>123</v>
      </c>
      <c r="H222" s="351">
        <f t="shared" si="16"/>
        <v>-413000</v>
      </c>
      <c r="I222" s="351">
        <f t="shared" si="17"/>
        <v>-123000</v>
      </c>
      <c r="M222" s="321">
        <v>1343500930</v>
      </c>
      <c r="N222" s="321">
        <v>34</v>
      </c>
      <c r="O222" s="321" t="s">
        <v>5036</v>
      </c>
      <c r="P222" s="321">
        <v>5843500</v>
      </c>
      <c r="Q222" s="322">
        <v>-2162000</v>
      </c>
      <c r="R222" s="322">
        <v>-1499300</v>
      </c>
      <c r="S222" s="322">
        <v>-2023000</v>
      </c>
      <c r="T222" s="322">
        <v>-2023000</v>
      </c>
      <c r="U222" s="322">
        <f t="shared" si="15"/>
        <v>0</v>
      </c>
      <c r="W222" s="321">
        <f t="shared" si="18"/>
        <v>930</v>
      </c>
      <c r="X222" s="321">
        <f t="shared" si="19"/>
        <v>343500</v>
      </c>
      <c r="Y222" s="321">
        <v>1</v>
      </c>
      <c r="AA222" s="321" t="s">
        <v>5036</v>
      </c>
    </row>
    <row r="223" spans="1:27">
      <c r="A223" s="346">
        <v>930</v>
      </c>
      <c r="B223" s="347">
        <v>345303</v>
      </c>
      <c r="C223" s="348" t="s">
        <v>6601</v>
      </c>
      <c r="D223" s="349">
        <v>6</v>
      </c>
      <c r="E223" s="350">
        <v>8</v>
      </c>
      <c r="F223" s="350">
        <v>8</v>
      </c>
      <c r="H223" s="351">
        <f t="shared" si="16"/>
        <v>-6000</v>
      </c>
      <c r="I223" s="351">
        <f t="shared" si="17"/>
        <v>-8000</v>
      </c>
      <c r="M223" s="321">
        <v>1343501410</v>
      </c>
      <c r="N223" s="321">
        <v>34</v>
      </c>
      <c r="O223" s="321" t="s">
        <v>4044</v>
      </c>
      <c r="P223" s="321">
        <v>5843500</v>
      </c>
      <c r="Q223" s="322">
        <v>-21000</v>
      </c>
      <c r="R223" s="322">
        <v>-23000</v>
      </c>
      <c r="S223" s="322">
        <v>-30000</v>
      </c>
      <c r="T223" s="322">
        <v>-30000</v>
      </c>
      <c r="U223" s="322">
        <f t="shared" si="15"/>
        <v>0</v>
      </c>
      <c r="W223" s="321">
        <f t="shared" si="18"/>
        <v>410</v>
      </c>
      <c r="X223" s="321">
        <f t="shared" si="19"/>
        <v>343501</v>
      </c>
      <c r="Y223" s="321">
        <v>1</v>
      </c>
      <c r="AA223" s="321" t="s">
        <v>4044</v>
      </c>
    </row>
    <row r="224" spans="1:27">
      <c r="A224" s="346">
        <v>420</v>
      </c>
      <c r="B224" s="347">
        <v>345304</v>
      </c>
      <c r="C224" s="348" t="s">
        <v>6602</v>
      </c>
      <c r="D224" s="349">
        <v>0</v>
      </c>
      <c r="E224" s="350">
        <v>4</v>
      </c>
      <c r="F224" s="350">
        <v>4</v>
      </c>
      <c r="H224" s="351">
        <f t="shared" si="16"/>
        <v>0</v>
      </c>
      <c r="I224" s="351">
        <f t="shared" si="17"/>
        <v>-4000</v>
      </c>
      <c r="M224" s="321">
        <v>1343501690</v>
      </c>
      <c r="N224" s="321">
        <v>34</v>
      </c>
      <c r="O224" s="321" t="s">
        <v>5037</v>
      </c>
      <c r="P224" s="321">
        <v>5843500</v>
      </c>
      <c r="Q224" s="322">
        <v>-14000</v>
      </c>
      <c r="R224" s="322">
        <v>-10200</v>
      </c>
      <c r="S224" s="322">
        <v>-10000</v>
      </c>
      <c r="T224" s="322">
        <v>-10000</v>
      </c>
      <c r="U224" s="322">
        <f t="shared" si="15"/>
        <v>0</v>
      </c>
      <c r="W224" s="321">
        <f t="shared" si="18"/>
        <v>690</v>
      </c>
      <c r="X224" s="321">
        <f t="shared" si="19"/>
        <v>343501</v>
      </c>
      <c r="Y224" s="321">
        <v>1</v>
      </c>
      <c r="AA224" s="321" t="s">
        <v>5037</v>
      </c>
    </row>
    <row r="225" spans="1:27">
      <c r="A225" s="346">
        <v>930</v>
      </c>
      <c r="B225" s="347">
        <v>345304</v>
      </c>
      <c r="C225" s="348" t="s">
        <v>6603</v>
      </c>
      <c r="D225" s="349">
        <v>62</v>
      </c>
      <c r="E225" s="350">
        <v>31</v>
      </c>
      <c r="F225" s="350">
        <v>31</v>
      </c>
      <c r="H225" s="351">
        <f t="shared" si="16"/>
        <v>-62000</v>
      </c>
      <c r="I225" s="351">
        <f t="shared" si="17"/>
        <v>-31000</v>
      </c>
      <c r="M225" s="321">
        <v>1343501930</v>
      </c>
      <c r="N225" s="321">
        <v>34</v>
      </c>
      <c r="O225" s="321" t="s">
        <v>5038</v>
      </c>
      <c r="P225" s="321">
        <v>5843500</v>
      </c>
      <c r="Q225" s="322">
        <v>-668000</v>
      </c>
      <c r="R225" s="322">
        <v>-455300</v>
      </c>
      <c r="S225" s="322">
        <v>-740000</v>
      </c>
      <c r="T225" s="322">
        <v>-740000</v>
      </c>
      <c r="U225" s="322">
        <f t="shared" si="15"/>
        <v>0</v>
      </c>
      <c r="W225" s="321">
        <f t="shared" si="18"/>
        <v>930</v>
      </c>
      <c r="X225" s="321">
        <f t="shared" si="19"/>
        <v>343501</v>
      </c>
      <c r="Y225" s="321">
        <v>1</v>
      </c>
      <c r="AA225" s="321" t="s">
        <v>5038</v>
      </c>
    </row>
    <row r="226" spans="1:27">
      <c r="A226" s="346">
        <v>930</v>
      </c>
      <c r="B226" s="347">
        <v>346101</v>
      </c>
      <c r="C226" s="348" t="s">
        <v>3974</v>
      </c>
      <c r="D226" s="349">
        <v>234</v>
      </c>
      <c r="E226" s="350">
        <v>226</v>
      </c>
      <c r="F226" s="350">
        <v>226</v>
      </c>
      <c r="H226" s="351">
        <f t="shared" si="16"/>
        <v>-234000</v>
      </c>
      <c r="I226" s="351">
        <f t="shared" si="17"/>
        <v>-226000</v>
      </c>
      <c r="M226" s="321">
        <v>1343502930</v>
      </c>
      <c r="N226" s="321">
        <v>34</v>
      </c>
      <c r="O226" s="321" t="s">
        <v>5039</v>
      </c>
      <c r="P226" s="321">
        <v>5843500</v>
      </c>
      <c r="Q226" s="322">
        <v>-516600</v>
      </c>
      <c r="R226" s="322">
        <v>-388800</v>
      </c>
      <c r="S226" s="322">
        <v>-525000</v>
      </c>
      <c r="T226" s="322">
        <v>-525000</v>
      </c>
      <c r="U226" s="322">
        <f t="shared" si="15"/>
        <v>0</v>
      </c>
      <c r="W226" s="321">
        <f t="shared" si="18"/>
        <v>930</v>
      </c>
      <c r="X226" s="321">
        <f t="shared" si="19"/>
        <v>343502</v>
      </c>
      <c r="Y226" s="321">
        <v>1</v>
      </c>
      <c r="AA226" s="321" t="s">
        <v>5039</v>
      </c>
    </row>
    <row r="227" spans="1:27">
      <c r="A227" s="346">
        <v>930</v>
      </c>
      <c r="B227" s="347">
        <v>346301</v>
      </c>
      <c r="C227" s="348" t="s">
        <v>6604</v>
      </c>
      <c r="D227" s="349">
        <v>2</v>
      </c>
      <c r="E227" s="350">
        <v>5</v>
      </c>
      <c r="F227" s="350">
        <v>5</v>
      </c>
      <c r="H227" s="351">
        <f t="shared" si="16"/>
        <v>-2000</v>
      </c>
      <c r="I227" s="351">
        <f t="shared" si="17"/>
        <v>-5000</v>
      </c>
      <c r="M227" s="321">
        <v>1343503930</v>
      </c>
      <c r="N227" s="321">
        <v>34</v>
      </c>
      <c r="O227" s="321" t="s">
        <v>5040</v>
      </c>
      <c r="P227" s="321">
        <v>5843500</v>
      </c>
      <c r="Q227" s="322">
        <v>-115000</v>
      </c>
      <c r="R227" s="322">
        <v>-128100</v>
      </c>
      <c r="S227" s="322">
        <v>-116000</v>
      </c>
      <c r="T227" s="322">
        <v>-116000</v>
      </c>
      <c r="U227" s="322">
        <f t="shared" si="15"/>
        <v>0</v>
      </c>
      <c r="W227" s="321">
        <f t="shared" si="18"/>
        <v>930</v>
      </c>
      <c r="X227" s="321">
        <f t="shared" si="19"/>
        <v>343503</v>
      </c>
      <c r="Y227" s="321">
        <v>1</v>
      </c>
      <c r="AA227" s="321" t="s">
        <v>5040</v>
      </c>
    </row>
    <row r="228" spans="1:27">
      <c r="A228" s="346">
        <v>930</v>
      </c>
      <c r="B228" s="347">
        <v>346302</v>
      </c>
      <c r="C228" s="348" t="s">
        <v>6605</v>
      </c>
      <c r="D228" s="349">
        <v>75</v>
      </c>
      <c r="E228" s="350">
        <v>75</v>
      </c>
      <c r="F228" s="350">
        <v>77</v>
      </c>
      <c r="H228" s="351">
        <f t="shared" si="16"/>
        <v>-75000</v>
      </c>
      <c r="I228" s="351">
        <f t="shared" si="17"/>
        <v>-77000</v>
      </c>
      <c r="M228" s="321">
        <v>1343504930</v>
      </c>
      <c r="N228" s="321">
        <v>34</v>
      </c>
      <c r="O228" s="321" t="s">
        <v>5041</v>
      </c>
      <c r="P228" s="321">
        <v>5843500</v>
      </c>
      <c r="Q228" s="322">
        <v>-2653000</v>
      </c>
      <c r="R228" s="322">
        <v>-1595500</v>
      </c>
      <c r="S228" s="322">
        <v>-2685000</v>
      </c>
      <c r="T228" s="322">
        <v>-2685000</v>
      </c>
      <c r="U228" s="322">
        <f t="shared" si="15"/>
        <v>0</v>
      </c>
      <c r="W228" s="321">
        <f t="shared" si="18"/>
        <v>930</v>
      </c>
      <c r="X228" s="321">
        <f t="shared" si="19"/>
        <v>343504</v>
      </c>
      <c r="Y228" s="321">
        <v>1</v>
      </c>
      <c r="AA228" s="321" t="s">
        <v>5041</v>
      </c>
    </row>
    <row r="229" spans="1:27">
      <c r="A229" s="346">
        <v>930</v>
      </c>
      <c r="B229" s="347">
        <v>346400</v>
      </c>
      <c r="C229" s="348" t="s">
        <v>6606</v>
      </c>
      <c r="D229" s="349">
        <v>0</v>
      </c>
      <c r="E229" s="350">
        <v>0</v>
      </c>
      <c r="F229" s="350">
        <v>0</v>
      </c>
      <c r="H229" s="351">
        <f t="shared" si="16"/>
        <v>0</v>
      </c>
      <c r="I229" s="351">
        <f t="shared" si="17"/>
        <v>0</v>
      </c>
      <c r="M229" s="321">
        <v>1343505930</v>
      </c>
      <c r="N229" s="321">
        <v>34</v>
      </c>
      <c r="O229" s="321" t="s">
        <v>5042</v>
      </c>
      <c r="P229" s="321">
        <v>5843500</v>
      </c>
      <c r="Q229" s="322">
        <v>-320000</v>
      </c>
      <c r="R229" s="322">
        <v>-237900</v>
      </c>
      <c r="S229" s="322">
        <v>-324000</v>
      </c>
      <c r="T229" s="322">
        <v>-324000</v>
      </c>
      <c r="U229" s="322">
        <f t="shared" si="15"/>
        <v>0</v>
      </c>
      <c r="W229" s="321">
        <f t="shared" si="18"/>
        <v>930</v>
      </c>
      <c r="X229" s="321">
        <f t="shared" si="19"/>
        <v>343505</v>
      </c>
      <c r="Y229" s="321">
        <v>1</v>
      </c>
      <c r="AA229" s="321" t="s">
        <v>5042</v>
      </c>
    </row>
    <row r="230" spans="1:27">
      <c r="A230" s="346">
        <v>930</v>
      </c>
      <c r="B230" s="347">
        <v>346401</v>
      </c>
      <c r="C230" s="348" t="s">
        <v>6607</v>
      </c>
      <c r="D230" s="349">
        <v>15</v>
      </c>
      <c r="E230" s="350">
        <v>15</v>
      </c>
      <c r="F230" s="350">
        <v>19</v>
      </c>
      <c r="H230" s="351">
        <f t="shared" si="16"/>
        <v>-15000</v>
      </c>
      <c r="I230" s="351">
        <f t="shared" si="17"/>
        <v>-19000</v>
      </c>
      <c r="M230" s="321">
        <v>1343507930</v>
      </c>
      <c r="N230" s="321">
        <v>34</v>
      </c>
      <c r="O230" s="321" t="s">
        <v>5043</v>
      </c>
      <c r="P230" s="321">
        <v>5843500</v>
      </c>
      <c r="Q230" s="322">
        <v>-72000</v>
      </c>
      <c r="R230" s="322">
        <v>-82000</v>
      </c>
      <c r="S230" s="322">
        <v>-91000</v>
      </c>
      <c r="T230" s="322">
        <v>-91000</v>
      </c>
      <c r="U230" s="322">
        <f t="shared" si="15"/>
        <v>0</v>
      </c>
      <c r="W230" s="321">
        <f t="shared" si="18"/>
        <v>930</v>
      </c>
      <c r="X230" s="321">
        <f t="shared" si="19"/>
        <v>343507</v>
      </c>
      <c r="Y230" s="321">
        <v>1</v>
      </c>
      <c r="AA230" s="321" t="s">
        <v>5043</v>
      </c>
    </row>
    <row r="231" spans="1:27">
      <c r="A231" s="346">
        <v>930</v>
      </c>
      <c r="B231" s="347">
        <v>346402</v>
      </c>
      <c r="C231" s="348" t="s">
        <v>6608</v>
      </c>
      <c r="D231" s="349">
        <v>285</v>
      </c>
      <c r="E231" s="350">
        <v>285</v>
      </c>
      <c r="F231" s="350">
        <v>285</v>
      </c>
      <c r="H231" s="351">
        <f t="shared" si="16"/>
        <v>-285000</v>
      </c>
      <c r="I231" s="351">
        <f t="shared" si="17"/>
        <v>-285000</v>
      </c>
      <c r="M231" s="321">
        <v>1343508930</v>
      </c>
      <c r="N231" s="321">
        <v>34</v>
      </c>
      <c r="O231" s="321" t="s">
        <v>5044</v>
      </c>
      <c r="P231" s="321">
        <v>5843500</v>
      </c>
      <c r="Q231" s="322">
        <v>-12000</v>
      </c>
      <c r="R231" s="322">
        <v>-3800</v>
      </c>
      <c r="S231" s="322">
        <v>-12000</v>
      </c>
      <c r="T231" s="322">
        <v>-12000</v>
      </c>
      <c r="U231" s="322">
        <f t="shared" si="15"/>
        <v>0</v>
      </c>
      <c r="W231" s="321">
        <f t="shared" si="18"/>
        <v>930</v>
      </c>
      <c r="X231" s="321">
        <f t="shared" si="19"/>
        <v>343508</v>
      </c>
      <c r="Y231" s="321">
        <v>1</v>
      </c>
      <c r="AA231" s="321" t="s">
        <v>5044</v>
      </c>
    </row>
    <row r="232" spans="1:27">
      <c r="A232" s="346">
        <v>930</v>
      </c>
      <c r="B232" s="347">
        <v>346500</v>
      </c>
      <c r="C232" s="348" t="s">
        <v>6609</v>
      </c>
      <c r="D232" s="349">
        <v>0</v>
      </c>
      <c r="E232" s="350">
        <v>0</v>
      </c>
      <c r="F232" s="350">
        <v>0</v>
      </c>
      <c r="H232" s="351">
        <f t="shared" si="16"/>
        <v>0</v>
      </c>
      <c r="I232" s="351">
        <f t="shared" si="17"/>
        <v>0</v>
      </c>
      <c r="M232" s="321">
        <v>1343800930</v>
      </c>
      <c r="N232" s="321">
        <v>34</v>
      </c>
      <c r="O232" s="321" t="s">
        <v>5045</v>
      </c>
      <c r="P232" s="321">
        <v>5843800</v>
      </c>
      <c r="Q232" s="322">
        <v>-19868500</v>
      </c>
      <c r="R232" s="322">
        <v>-15167500</v>
      </c>
      <c r="S232" s="322">
        <v>-21158000</v>
      </c>
      <c r="T232" s="322">
        <v>-21158000</v>
      </c>
      <c r="U232" s="322">
        <f t="shared" si="15"/>
        <v>0</v>
      </c>
      <c r="W232" s="321">
        <f t="shared" si="18"/>
        <v>930</v>
      </c>
      <c r="X232" s="321">
        <f t="shared" si="19"/>
        <v>343800</v>
      </c>
      <c r="Y232" s="321">
        <v>1</v>
      </c>
      <c r="AA232" s="321" t="s">
        <v>5045</v>
      </c>
    </row>
    <row r="233" spans="1:27">
      <c r="A233" s="346">
        <v>930</v>
      </c>
      <c r="B233" s="347">
        <v>346501</v>
      </c>
      <c r="C233" s="348" t="s">
        <v>6610</v>
      </c>
      <c r="D233" s="349">
        <v>6300</v>
      </c>
      <c r="E233" s="350">
        <v>5850</v>
      </c>
      <c r="F233" s="350">
        <v>6168</v>
      </c>
      <c r="H233" s="351">
        <f t="shared" si="16"/>
        <v>-6300000</v>
      </c>
      <c r="I233" s="351">
        <f t="shared" si="17"/>
        <v>-6168000</v>
      </c>
      <c r="M233" s="321">
        <v>1343801930</v>
      </c>
      <c r="N233" s="321">
        <v>34</v>
      </c>
      <c r="O233" s="321" t="s">
        <v>5046</v>
      </c>
      <c r="P233" s="321">
        <v>5843800</v>
      </c>
      <c r="Q233" s="322">
        <v>0</v>
      </c>
      <c r="R233" s="322">
        <v>0</v>
      </c>
      <c r="S233" s="322">
        <v>0</v>
      </c>
      <c r="T233" s="322">
        <v>0</v>
      </c>
      <c r="U233" s="322">
        <f t="shared" si="15"/>
        <v>0</v>
      </c>
      <c r="W233" s="321">
        <f t="shared" si="18"/>
        <v>930</v>
      </c>
      <c r="X233" s="321">
        <f t="shared" si="19"/>
        <v>343801</v>
      </c>
      <c r="Y233" s="321">
        <v>1</v>
      </c>
      <c r="AA233" s="321" t="s">
        <v>5046</v>
      </c>
    </row>
    <row r="234" spans="1:27">
      <c r="A234" s="346">
        <v>420</v>
      </c>
      <c r="B234" s="347">
        <v>346502</v>
      </c>
      <c r="C234" s="348" t="s">
        <v>6611</v>
      </c>
      <c r="D234" s="349">
        <v>0</v>
      </c>
      <c r="E234" s="350">
        <v>0</v>
      </c>
      <c r="F234" s="350">
        <v>4</v>
      </c>
      <c r="H234" s="351">
        <f t="shared" si="16"/>
        <v>0</v>
      </c>
      <c r="I234" s="351">
        <f t="shared" si="17"/>
        <v>-4000</v>
      </c>
      <c r="M234" s="321">
        <v>1343811410</v>
      </c>
      <c r="N234" s="321">
        <v>34</v>
      </c>
      <c r="O234" s="321" t="s">
        <v>4052</v>
      </c>
      <c r="P234" s="321">
        <v>5843800</v>
      </c>
      <c r="Q234" s="322">
        <v>-363000</v>
      </c>
      <c r="R234" s="322">
        <v>-453100</v>
      </c>
      <c r="S234" s="322">
        <v>-550000</v>
      </c>
      <c r="T234" s="322">
        <v>-550000</v>
      </c>
      <c r="U234" s="322">
        <f t="shared" si="15"/>
        <v>0</v>
      </c>
      <c r="W234" s="321">
        <f t="shared" si="18"/>
        <v>410</v>
      </c>
      <c r="X234" s="321">
        <f t="shared" si="19"/>
        <v>343811</v>
      </c>
      <c r="Y234" s="321">
        <v>1</v>
      </c>
      <c r="AA234" s="321" t="s">
        <v>4052</v>
      </c>
    </row>
    <row r="235" spans="1:27">
      <c r="A235" s="346">
        <v>930</v>
      </c>
      <c r="B235" s="347">
        <v>346502</v>
      </c>
      <c r="C235" s="348" t="s">
        <v>6612</v>
      </c>
      <c r="D235" s="349">
        <v>62</v>
      </c>
      <c r="E235" s="350">
        <v>53</v>
      </c>
      <c r="F235" s="350">
        <v>53</v>
      </c>
      <c r="H235" s="351">
        <f t="shared" si="16"/>
        <v>-62000</v>
      </c>
      <c r="I235" s="351">
        <f t="shared" si="17"/>
        <v>-53000</v>
      </c>
      <c r="M235" s="321">
        <v>1343900420</v>
      </c>
      <c r="N235" s="321">
        <v>34</v>
      </c>
      <c r="O235" s="321" t="s">
        <v>5047</v>
      </c>
      <c r="P235" s="321">
        <v>5843900</v>
      </c>
      <c r="Q235" s="322">
        <v>-106000</v>
      </c>
      <c r="R235" s="322">
        <v>-128400</v>
      </c>
      <c r="S235" s="322">
        <v>-150000</v>
      </c>
      <c r="T235" s="322">
        <v>-150000</v>
      </c>
      <c r="U235" s="322">
        <f t="shared" si="15"/>
        <v>0</v>
      </c>
      <c r="W235" s="321">
        <f t="shared" si="18"/>
        <v>420</v>
      </c>
      <c r="X235" s="321">
        <f t="shared" si="19"/>
        <v>343900</v>
      </c>
      <c r="Y235" s="321">
        <v>1</v>
      </c>
      <c r="AA235" s="321" t="s">
        <v>5047</v>
      </c>
    </row>
    <row r="236" spans="1:27">
      <c r="A236" s="346">
        <v>930</v>
      </c>
      <c r="B236" s="347">
        <v>346601</v>
      </c>
      <c r="C236" s="348" t="s">
        <v>6613</v>
      </c>
      <c r="D236" s="349">
        <v>398</v>
      </c>
      <c r="E236" s="350">
        <v>375</v>
      </c>
      <c r="F236" s="350">
        <v>381</v>
      </c>
      <c r="H236" s="351">
        <f t="shared" si="16"/>
        <v>-398000</v>
      </c>
      <c r="I236" s="351">
        <f t="shared" si="17"/>
        <v>-381000</v>
      </c>
      <c r="M236" s="321">
        <v>1343900930</v>
      </c>
      <c r="N236" s="321">
        <v>34</v>
      </c>
      <c r="O236" s="321" t="s">
        <v>5048</v>
      </c>
      <c r="P236" s="321">
        <v>5843900</v>
      </c>
      <c r="Q236" s="322">
        <v>-9858800</v>
      </c>
      <c r="R236" s="322">
        <v>-7510000</v>
      </c>
      <c r="S236" s="322">
        <v>-10509000</v>
      </c>
      <c r="T236" s="322">
        <v>-10509000</v>
      </c>
      <c r="U236" s="322">
        <f t="shared" si="15"/>
        <v>0</v>
      </c>
      <c r="W236" s="321">
        <f t="shared" si="18"/>
        <v>930</v>
      </c>
      <c r="X236" s="321">
        <f t="shared" si="19"/>
        <v>343900</v>
      </c>
      <c r="Y236" s="321">
        <v>1</v>
      </c>
      <c r="AA236" s="321" t="s">
        <v>5048</v>
      </c>
    </row>
    <row r="237" spans="1:27">
      <c r="A237" s="346">
        <v>930</v>
      </c>
      <c r="B237" s="347">
        <v>346602</v>
      </c>
      <c r="C237" s="348" t="s">
        <v>6614</v>
      </c>
      <c r="D237" s="349">
        <v>105</v>
      </c>
      <c r="E237" s="350">
        <v>105</v>
      </c>
      <c r="F237" s="350">
        <v>108</v>
      </c>
      <c r="H237" s="351">
        <f t="shared" si="16"/>
        <v>-105000</v>
      </c>
      <c r="I237" s="351">
        <f t="shared" si="17"/>
        <v>-108000</v>
      </c>
      <c r="M237" s="321">
        <v>1343900990</v>
      </c>
      <c r="N237" s="321">
        <v>34</v>
      </c>
      <c r="O237" s="321" t="s">
        <v>5049</v>
      </c>
      <c r="P237" s="321">
        <v>5843900</v>
      </c>
      <c r="Q237" s="322">
        <v>-4800000</v>
      </c>
      <c r="R237" s="322">
        <v>-3087100</v>
      </c>
      <c r="S237" s="322">
        <v>-4800000</v>
      </c>
      <c r="T237" s="322">
        <v>-4800000</v>
      </c>
      <c r="U237" s="322">
        <f t="shared" si="15"/>
        <v>0</v>
      </c>
      <c r="W237" s="321">
        <f t="shared" si="18"/>
        <v>990</v>
      </c>
      <c r="X237" s="321">
        <f t="shared" si="19"/>
        <v>343900</v>
      </c>
      <c r="Y237" s="321">
        <v>1</v>
      </c>
      <c r="AA237" s="321" t="s">
        <v>5049</v>
      </c>
    </row>
    <row r="238" spans="1:27">
      <c r="A238" s="346">
        <v>930</v>
      </c>
      <c r="B238" s="347">
        <v>346603</v>
      </c>
      <c r="C238" s="348" t="s">
        <v>6615</v>
      </c>
      <c r="D238" s="349">
        <v>24</v>
      </c>
      <c r="E238" s="350">
        <v>24</v>
      </c>
      <c r="F238" s="350">
        <v>24</v>
      </c>
      <c r="H238" s="351">
        <f t="shared" si="16"/>
        <v>-24000</v>
      </c>
      <c r="I238" s="351">
        <f t="shared" si="17"/>
        <v>-24000</v>
      </c>
      <c r="M238" s="321">
        <v>1344300930</v>
      </c>
      <c r="N238" s="321">
        <v>34</v>
      </c>
      <c r="O238" s="321" t="s">
        <v>5050</v>
      </c>
      <c r="P238" s="321">
        <v>5844300</v>
      </c>
      <c r="Q238" s="322">
        <v>-12044200</v>
      </c>
      <c r="R238" s="322">
        <v>-6073700</v>
      </c>
      <c r="S238" s="322">
        <v>-8341000</v>
      </c>
      <c r="T238" s="322">
        <v>-8341000</v>
      </c>
      <c r="U238" s="322">
        <f t="shared" si="15"/>
        <v>0</v>
      </c>
      <c r="W238" s="321">
        <f t="shared" si="18"/>
        <v>930</v>
      </c>
      <c r="X238" s="321">
        <f t="shared" si="19"/>
        <v>344300</v>
      </c>
      <c r="Y238" s="321">
        <v>1</v>
      </c>
      <c r="AA238" s="321" t="s">
        <v>5050</v>
      </c>
    </row>
    <row r="239" spans="1:27">
      <c r="A239" s="346">
        <v>930</v>
      </c>
      <c r="B239" s="347">
        <v>346604</v>
      </c>
      <c r="C239" s="348" t="s">
        <v>6616</v>
      </c>
      <c r="D239" s="349">
        <v>0</v>
      </c>
      <c r="E239" s="350">
        <v>0</v>
      </c>
      <c r="F239" s="350">
        <v>3</v>
      </c>
      <c r="H239" s="351">
        <f t="shared" si="16"/>
        <v>0</v>
      </c>
      <c r="I239" s="351">
        <f t="shared" si="17"/>
        <v>-3000</v>
      </c>
      <c r="M239" s="321">
        <v>1344301930</v>
      </c>
      <c r="N239" s="321">
        <v>34</v>
      </c>
      <c r="O239" s="321" t="s">
        <v>5051</v>
      </c>
      <c r="P239" s="321">
        <v>5844300</v>
      </c>
      <c r="Q239" s="322">
        <v>-20000</v>
      </c>
      <c r="R239" s="322">
        <v>-32900</v>
      </c>
      <c r="S239" s="322">
        <v>-40000</v>
      </c>
      <c r="T239" s="322">
        <v>-40000</v>
      </c>
      <c r="U239" s="322">
        <f t="shared" si="15"/>
        <v>0</v>
      </c>
      <c r="W239" s="321">
        <f t="shared" si="18"/>
        <v>930</v>
      </c>
      <c r="X239" s="321">
        <f t="shared" si="19"/>
        <v>344301</v>
      </c>
      <c r="Y239" s="321">
        <v>1</v>
      </c>
      <c r="AA239" s="321" t="s">
        <v>5051</v>
      </c>
    </row>
    <row r="240" spans="1:27">
      <c r="A240" s="346">
        <v>930</v>
      </c>
      <c r="B240" s="347">
        <v>346605</v>
      </c>
      <c r="C240" s="348" t="s">
        <v>6617</v>
      </c>
      <c r="D240" s="349">
        <v>30</v>
      </c>
      <c r="E240" s="350">
        <v>30</v>
      </c>
      <c r="F240" s="350">
        <v>31</v>
      </c>
      <c r="H240" s="351">
        <f t="shared" si="16"/>
        <v>-30000</v>
      </c>
      <c r="I240" s="351">
        <f t="shared" si="17"/>
        <v>-31000</v>
      </c>
      <c r="M240" s="321">
        <v>1344311410</v>
      </c>
      <c r="N240" s="321">
        <v>34</v>
      </c>
      <c r="O240" s="321" t="s">
        <v>4689</v>
      </c>
      <c r="P240" s="321">
        <v>5844300</v>
      </c>
      <c r="Q240" s="322">
        <v>-1027000</v>
      </c>
      <c r="R240" s="322">
        <v>-624600</v>
      </c>
      <c r="S240" s="322">
        <v>-780000</v>
      </c>
      <c r="T240" s="322">
        <v>-780000</v>
      </c>
      <c r="U240" s="322">
        <f t="shared" si="15"/>
        <v>0</v>
      </c>
      <c r="W240" s="321">
        <f t="shared" si="18"/>
        <v>410</v>
      </c>
      <c r="X240" s="321">
        <f t="shared" si="19"/>
        <v>344311</v>
      </c>
      <c r="Y240" s="321">
        <v>1</v>
      </c>
      <c r="AA240" s="321" t="s">
        <v>4689</v>
      </c>
    </row>
    <row r="241" spans="1:27">
      <c r="A241" s="346">
        <v>420</v>
      </c>
      <c r="B241" s="347">
        <v>346606</v>
      </c>
      <c r="C241" s="348" t="s">
        <v>6618</v>
      </c>
      <c r="D241" s="349">
        <v>0</v>
      </c>
      <c r="E241" s="350">
        <v>0</v>
      </c>
      <c r="F241" s="350">
        <v>22</v>
      </c>
      <c r="H241" s="351">
        <f t="shared" si="16"/>
        <v>0</v>
      </c>
      <c r="I241" s="351">
        <f t="shared" si="17"/>
        <v>-22000</v>
      </c>
      <c r="M241" s="321">
        <v>1344324410</v>
      </c>
      <c r="N241" s="321">
        <v>34</v>
      </c>
      <c r="O241" s="321" t="s">
        <v>5052</v>
      </c>
      <c r="P241" s="321">
        <v>5844400</v>
      </c>
      <c r="Q241" s="322">
        <v>-41000</v>
      </c>
      <c r="R241" s="322">
        <v>-45700</v>
      </c>
      <c r="S241" s="322">
        <v>-68000</v>
      </c>
      <c r="T241" s="322">
        <v>-68000</v>
      </c>
      <c r="U241" s="322">
        <f t="shared" si="15"/>
        <v>0</v>
      </c>
      <c r="W241" s="321">
        <f t="shared" si="18"/>
        <v>410</v>
      </c>
      <c r="X241" s="321">
        <f t="shared" si="19"/>
        <v>344324</v>
      </c>
      <c r="Y241" s="321">
        <v>1</v>
      </c>
      <c r="AA241" s="321" t="s">
        <v>5052</v>
      </c>
    </row>
    <row r="242" spans="1:27">
      <c r="A242" s="346">
        <v>930</v>
      </c>
      <c r="B242" s="347">
        <v>346606</v>
      </c>
      <c r="C242" s="348" t="s">
        <v>6619</v>
      </c>
      <c r="D242" s="349">
        <v>257</v>
      </c>
      <c r="E242" s="350">
        <v>186</v>
      </c>
      <c r="F242" s="350">
        <v>184</v>
      </c>
      <c r="H242" s="351">
        <f t="shared" si="16"/>
        <v>-257000</v>
      </c>
      <c r="I242" s="351">
        <f t="shared" si="17"/>
        <v>-184000</v>
      </c>
      <c r="M242" s="321">
        <v>1344400930</v>
      </c>
      <c r="N242" s="321">
        <v>34</v>
      </c>
      <c r="O242" s="321" t="s">
        <v>5053</v>
      </c>
      <c r="P242" s="321">
        <v>5844400</v>
      </c>
      <c r="Q242" s="322">
        <v>-300000</v>
      </c>
      <c r="R242" s="322">
        <v>-198700</v>
      </c>
      <c r="S242" s="322">
        <v>-304000</v>
      </c>
      <c r="T242" s="322">
        <v>-304000</v>
      </c>
      <c r="U242" s="322">
        <f t="shared" si="15"/>
        <v>0</v>
      </c>
      <c r="W242" s="321">
        <f t="shared" si="18"/>
        <v>930</v>
      </c>
      <c r="X242" s="321">
        <f t="shared" si="19"/>
        <v>344400</v>
      </c>
      <c r="Y242" s="321">
        <v>1</v>
      </c>
      <c r="AA242" s="321" t="s">
        <v>5053</v>
      </c>
    </row>
    <row r="243" spans="1:27">
      <c r="A243" s="346">
        <v>930</v>
      </c>
      <c r="B243" s="347">
        <v>346700</v>
      </c>
      <c r="C243" s="348" t="s">
        <v>6620</v>
      </c>
      <c r="D243" s="349">
        <v>0</v>
      </c>
      <c r="E243" s="350">
        <v>0</v>
      </c>
      <c r="F243" s="350">
        <v>0</v>
      </c>
      <c r="H243" s="351">
        <f t="shared" si="16"/>
        <v>0</v>
      </c>
      <c r="I243" s="351">
        <f t="shared" si="17"/>
        <v>0</v>
      </c>
      <c r="M243" s="321">
        <v>1344401930</v>
      </c>
      <c r="N243" s="321">
        <v>34</v>
      </c>
      <c r="O243" s="321" t="s">
        <v>5054</v>
      </c>
      <c r="P243" s="321">
        <v>5844400</v>
      </c>
      <c r="Q243" s="322">
        <v>-382300</v>
      </c>
      <c r="R243" s="322">
        <v>-284000</v>
      </c>
      <c r="S243" s="322">
        <v>-387000</v>
      </c>
      <c r="T243" s="322">
        <v>-387000</v>
      </c>
      <c r="U243" s="322">
        <f t="shared" si="15"/>
        <v>0</v>
      </c>
      <c r="W243" s="321">
        <f t="shared" si="18"/>
        <v>930</v>
      </c>
      <c r="X243" s="321">
        <f t="shared" si="19"/>
        <v>344401</v>
      </c>
      <c r="Y243" s="321">
        <v>1</v>
      </c>
      <c r="AA243" s="321" t="s">
        <v>5054</v>
      </c>
    </row>
    <row r="244" spans="1:27">
      <c r="A244" s="346">
        <v>930</v>
      </c>
      <c r="B244" s="347">
        <v>346701</v>
      </c>
      <c r="C244" s="348" t="s">
        <v>6621</v>
      </c>
      <c r="D244" s="349">
        <v>77</v>
      </c>
      <c r="E244" s="350">
        <v>101</v>
      </c>
      <c r="F244" s="350">
        <v>114</v>
      </c>
      <c r="H244" s="351">
        <f t="shared" si="16"/>
        <v>-77000</v>
      </c>
      <c r="I244" s="351">
        <f t="shared" si="17"/>
        <v>-114000</v>
      </c>
      <c r="M244" s="321">
        <v>1344402930</v>
      </c>
      <c r="N244" s="321">
        <v>34</v>
      </c>
      <c r="O244" s="321" t="s">
        <v>5055</v>
      </c>
      <c r="P244" s="321">
        <v>5844400</v>
      </c>
      <c r="Q244" s="322">
        <v>-11000</v>
      </c>
      <c r="R244" s="322">
        <v>0</v>
      </c>
      <c r="S244" s="322">
        <v>-11000</v>
      </c>
      <c r="T244" s="322">
        <v>-11000</v>
      </c>
      <c r="U244" s="322">
        <f t="shared" si="15"/>
        <v>0</v>
      </c>
      <c r="W244" s="321">
        <f t="shared" si="18"/>
        <v>930</v>
      </c>
      <c r="X244" s="321">
        <f t="shared" si="19"/>
        <v>344402</v>
      </c>
      <c r="Y244" s="321">
        <v>1</v>
      </c>
      <c r="AA244" s="321" t="s">
        <v>5055</v>
      </c>
    </row>
    <row r="245" spans="1:27">
      <c r="A245" s="346">
        <v>420</v>
      </c>
      <c r="B245" s="347">
        <v>346702</v>
      </c>
      <c r="C245" s="348" t="s">
        <v>6622</v>
      </c>
      <c r="D245" s="349">
        <v>0</v>
      </c>
      <c r="E245" s="350">
        <v>3</v>
      </c>
      <c r="F245" s="350">
        <v>81</v>
      </c>
      <c r="H245" s="351">
        <f t="shared" si="16"/>
        <v>0</v>
      </c>
      <c r="I245" s="351">
        <f t="shared" si="17"/>
        <v>-81000</v>
      </c>
      <c r="M245" s="321">
        <v>1344403930</v>
      </c>
      <c r="N245" s="321">
        <v>34</v>
      </c>
      <c r="O245" s="321" t="s">
        <v>5056</v>
      </c>
      <c r="P245" s="321">
        <v>5844400</v>
      </c>
      <c r="Q245" s="322">
        <v>-1650000</v>
      </c>
      <c r="R245" s="322">
        <v>-1096000</v>
      </c>
      <c r="S245" s="322">
        <v>-1670000</v>
      </c>
      <c r="T245" s="322">
        <v>-1670000</v>
      </c>
      <c r="U245" s="322">
        <f t="shared" si="15"/>
        <v>0</v>
      </c>
      <c r="W245" s="321">
        <f t="shared" si="18"/>
        <v>930</v>
      </c>
      <c r="X245" s="321">
        <f t="shared" si="19"/>
        <v>344403</v>
      </c>
      <c r="Y245" s="321">
        <v>1</v>
      </c>
      <c r="AA245" s="321" t="s">
        <v>5056</v>
      </c>
    </row>
    <row r="246" spans="1:27">
      <c r="A246" s="346">
        <v>421</v>
      </c>
      <c r="B246" s="347">
        <v>346702</v>
      </c>
      <c r="C246" s="348" t="s">
        <v>6623</v>
      </c>
      <c r="D246" s="349">
        <v>3</v>
      </c>
      <c r="E246" s="350">
        <v>0</v>
      </c>
      <c r="F246" s="350">
        <v>0</v>
      </c>
      <c r="H246" s="351">
        <f t="shared" si="16"/>
        <v>-3000</v>
      </c>
      <c r="I246" s="351">
        <f t="shared" si="17"/>
        <v>0</v>
      </c>
      <c r="M246" s="321">
        <v>1344404930</v>
      </c>
      <c r="N246" s="321">
        <v>34</v>
      </c>
      <c r="O246" s="321" t="s">
        <v>5057</v>
      </c>
      <c r="P246" s="321">
        <v>5844400</v>
      </c>
      <c r="Q246" s="322">
        <v>-135000</v>
      </c>
      <c r="R246" s="322">
        <v>-80800</v>
      </c>
      <c r="S246" s="322">
        <v>-142000</v>
      </c>
      <c r="T246" s="322">
        <v>-142000</v>
      </c>
      <c r="U246" s="322">
        <f t="shared" si="15"/>
        <v>0</v>
      </c>
      <c r="W246" s="321">
        <f t="shared" si="18"/>
        <v>930</v>
      </c>
      <c r="X246" s="321">
        <f t="shared" si="19"/>
        <v>344404</v>
      </c>
      <c r="Y246" s="321">
        <v>1</v>
      </c>
      <c r="AA246" s="321" t="s">
        <v>5057</v>
      </c>
    </row>
    <row r="247" spans="1:27">
      <c r="A247" s="346">
        <v>930</v>
      </c>
      <c r="B247" s="347">
        <v>346702</v>
      </c>
      <c r="C247" s="348" t="s">
        <v>3989</v>
      </c>
      <c r="D247" s="349">
        <v>150</v>
      </c>
      <c r="E247" s="350">
        <v>150</v>
      </c>
      <c r="F247" s="350">
        <v>76</v>
      </c>
      <c r="H247" s="351">
        <f t="shared" si="16"/>
        <v>-150000</v>
      </c>
      <c r="I247" s="351">
        <f t="shared" si="17"/>
        <v>-76000</v>
      </c>
      <c r="M247" s="321">
        <v>1344405930</v>
      </c>
      <c r="N247" s="321">
        <v>34</v>
      </c>
      <c r="O247" s="321" t="s">
        <v>5058</v>
      </c>
      <c r="P247" s="321">
        <v>5844400</v>
      </c>
      <c r="Q247" s="322">
        <v>-15000</v>
      </c>
      <c r="R247" s="322">
        <v>0</v>
      </c>
      <c r="S247" s="322">
        <v>-15000</v>
      </c>
      <c r="T247" s="322">
        <v>-15000</v>
      </c>
      <c r="U247" s="322">
        <f t="shared" si="15"/>
        <v>0</v>
      </c>
      <c r="W247" s="321">
        <f t="shared" si="18"/>
        <v>930</v>
      </c>
      <c r="X247" s="321">
        <f t="shared" si="19"/>
        <v>344405</v>
      </c>
      <c r="Y247" s="321">
        <v>1</v>
      </c>
      <c r="AA247" s="321" t="s">
        <v>5058</v>
      </c>
    </row>
    <row r="248" spans="1:27">
      <c r="A248" s="346">
        <v>930</v>
      </c>
      <c r="B248" s="347">
        <v>346703</v>
      </c>
      <c r="C248" s="348" t="s">
        <v>6624</v>
      </c>
      <c r="D248" s="349">
        <v>212</v>
      </c>
      <c r="E248" s="350">
        <v>77</v>
      </c>
      <c r="F248" s="350">
        <v>77</v>
      </c>
      <c r="H248" s="351">
        <f t="shared" si="16"/>
        <v>-212000</v>
      </c>
      <c r="I248" s="351">
        <f t="shared" si="17"/>
        <v>-77000</v>
      </c>
      <c r="M248" s="321">
        <v>1344406930</v>
      </c>
      <c r="N248" s="321">
        <v>34</v>
      </c>
      <c r="O248" s="321" t="s">
        <v>5059</v>
      </c>
      <c r="P248" s="321">
        <v>5844400</v>
      </c>
      <c r="Q248" s="322">
        <v>-195000</v>
      </c>
      <c r="R248" s="322">
        <v>-146300</v>
      </c>
      <c r="S248" s="322">
        <v>-197000</v>
      </c>
      <c r="T248" s="322">
        <v>-197000</v>
      </c>
      <c r="U248" s="322">
        <f t="shared" si="15"/>
        <v>0</v>
      </c>
      <c r="W248" s="321">
        <f t="shared" si="18"/>
        <v>930</v>
      </c>
      <c r="X248" s="321">
        <f t="shared" si="19"/>
        <v>344406</v>
      </c>
      <c r="Y248" s="321">
        <v>1</v>
      </c>
      <c r="AA248" s="321" t="s">
        <v>5059</v>
      </c>
    </row>
    <row r="249" spans="1:27">
      <c r="A249" s="346">
        <v>930</v>
      </c>
      <c r="B249" s="347">
        <v>346704</v>
      </c>
      <c r="C249" s="348" t="s">
        <v>6625</v>
      </c>
      <c r="D249" s="349">
        <v>233</v>
      </c>
      <c r="E249" s="350">
        <v>49</v>
      </c>
      <c r="F249" s="350">
        <v>49</v>
      </c>
      <c r="H249" s="351">
        <f t="shared" si="16"/>
        <v>-233000</v>
      </c>
      <c r="I249" s="351">
        <f t="shared" si="17"/>
        <v>-49000</v>
      </c>
      <c r="M249" s="321">
        <v>1344407930</v>
      </c>
      <c r="N249" s="321">
        <v>34</v>
      </c>
      <c r="O249" s="321" t="s">
        <v>5060</v>
      </c>
      <c r="P249" s="321">
        <v>5844400</v>
      </c>
      <c r="Q249" s="322">
        <v>-110000</v>
      </c>
      <c r="R249" s="322">
        <v>-71000</v>
      </c>
      <c r="S249" s="322">
        <v>-111000</v>
      </c>
      <c r="T249" s="322">
        <v>-111000</v>
      </c>
      <c r="U249" s="322">
        <f t="shared" si="15"/>
        <v>0</v>
      </c>
      <c r="W249" s="321">
        <f t="shared" si="18"/>
        <v>930</v>
      </c>
      <c r="X249" s="321">
        <f t="shared" si="19"/>
        <v>344407</v>
      </c>
      <c r="Y249" s="321">
        <v>1</v>
      </c>
      <c r="AA249" s="321" t="s">
        <v>5060</v>
      </c>
    </row>
    <row r="250" spans="1:27">
      <c r="A250" s="346">
        <v>930</v>
      </c>
      <c r="B250" s="347">
        <v>346705</v>
      </c>
      <c r="C250" s="348" t="s">
        <v>6626</v>
      </c>
      <c r="D250" s="349">
        <v>0</v>
      </c>
      <c r="E250" s="350">
        <v>0</v>
      </c>
      <c r="F250" s="350">
        <v>1</v>
      </c>
      <c r="H250" s="351">
        <f t="shared" si="16"/>
        <v>0</v>
      </c>
      <c r="I250" s="351">
        <f t="shared" si="17"/>
        <v>-1000</v>
      </c>
      <c r="M250" s="321">
        <v>1344408930</v>
      </c>
      <c r="N250" s="321">
        <v>34</v>
      </c>
      <c r="O250" s="321" t="s">
        <v>5061</v>
      </c>
      <c r="P250" s="321">
        <v>5844400</v>
      </c>
      <c r="Q250" s="322">
        <v>-19800</v>
      </c>
      <c r="R250" s="322">
        <v>0</v>
      </c>
      <c r="S250" s="322">
        <v>-20000</v>
      </c>
      <c r="T250" s="322">
        <v>-20000</v>
      </c>
      <c r="U250" s="322">
        <f t="shared" si="15"/>
        <v>0</v>
      </c>
      <c r="W250" s="321">
        <f t="shared" si="18"/>
        <v>930</v>
      </c>
      <c r="X250" s="321">
        <f t="shared" si="19"/>
        <v>344408</v>
      </c>
      <c r="Y250" s="321">
        <v>1</v>
      </c>
      <c r="AA250" s="321" t="s">
        <v>5061</v>
      </c>
    </row>
    <row r="251" spans="1:27">
      <c r="A251" s="346">
        <v>420</v>
      </c>
      <c r="B251" s="347">
        <v>346706</v>
      </c>
      <c r="C251" s="348" t="s">
        <v>6627</v>
      </c>
      <c r="D251" s="349">
        <v>0</v>
      </c>
      <c r="E251" s="350">
        <v>0</v>
      </c>
      <c r="F251" s="350">
        <v>2</v>
      </c>
      <c r="H251" s="351">
        <f t="shared" si="16"/>
        <v>0</v>
      </c>
      <c r="I251" s="351">
        <f t="shared" si="17"/>
        <v>-2000</v>
      </c>
      <c r="M251" s="321">
        <v>1344409930</v>
      </c>
      <c r="N251" s="321">
        <v>34</v>
      </c>
      <c r="O251" s="321" t="s">
        <v>5062</v>
      </c>
      <c r="P251" s="321">
        <v>5844400</v>
      </c>
      <c r="Q251" s="322">
        <v>-100000</v>
      </c>
      <c r="R251" s="322">
        <v>2300</v>
      </c>
      <c r="S251" s="322">
        <v>-104000</v>
      </c>
      <c r="T251" s="322">
        <v>-104000</v>
      </c>
      <c r="U251" s="322">
        <f t="shared" si="15"/>
        <v>0</v>
      </c>
      <c r="W251" s="321">
        <f t="shared" si="18"/>
        <v>930</v>
      </c>
      <c r="X251" s="321">
        <f t="shared" si="19"/>
        <v>344409</v>
      </c>
      <c r="Y251" s="321">
        <v>1</v>
      </c>
      <c r="AA251" s="321" t="s">
        <v>5062</v>
      </c>
    </row>
    <row r="252" spans="1:27">
      <c r="A252" s="346">
        <v>930</v>
      </c>
      <c r="B252" s="347">
        <v>346706</v>
      </c>
      <c r="C252" s="348" t="s">
        <v>6628</v>
      </c>
      <c r="D252" s="349">
        <v>5</v>
      </c>
      <c r="E252" s="350">
        <v>9</v>
      </c>
      <c r="F252" s="350">
        <v>9</v>
      </c>
      <c r="H252" s="351">
        <f t="shared" si="16"/>
        <v>-5000</v>
      </c>
      <c r="I252" s="351">
        <f t="shared" si="17"/>
        <v>-9000</v>
      </c>
      <c r="M252" s="321">
        <v>1344500410</v>
      </c>
      <c r="N252" s="321">
        <v>34</v>
      </c>
      <c r="O252" s="321" t="s">
        <v>5063</v>
      </c>
      <c r="P252" s="321">
        <v>5844500</v>
      </c>
      <c r="Q252" s="322">
        <v>-172000</v>
      </c>
      <c r="R252" s="322">
        <v>-74800</v>
      </c>
      <c r="S252" s="322">
        <v>-112000</v>
      </c>
      <c r="T252" s="322">
        <v>-112000</v>
      </c>
      <c r="U252" s="322">
        <f t="shared" si="15"/>
        <v>0</v>
      </c>
      <c r="W252" s="321">
        <f t="shared" si="18"/>
        <v>410</v>
      </c>
      <c r="X252" s="321">
        <f t="shared" si="19"/>
        <v>344500</v>
      </c>
      <c r="Y252" s="321">
        <v>1</v>
      </c>
      <c r="AA252" s="321" t="s">
        <v>5063</v>
      </c>
    </row>
    <row r="253" spans="1:27">
      <c r="A253" s="346">
        <v>930</v>
      </c>
      <c r="B253" s="347">
        <v>346707</v>
      </c>
      <c r="C253" s="348" t="s">
        <v>6629</v>
      </c>
      <c r="D253" s="349">
        <v>75</v>
      </c>
      <c r="E253" s="350">
        <v>75</v>
      </c>
      <c r="F253" s="350">
        <v>122</v>
      </c>
      <c r="H253" s="351">
        <f t="shared" si="16"/>
        <v>-75000</v>
      </c>
      <c r="I253" s="351">
        <f t="shared" si="17"/>
        <v>-122000</v>
      </c>
      <c r="M253" s="321">
        <v>1344500930</v>
      </c>
      <c r="N253" s="321">
        <v>34</v>
      </c>
      <c r="O253" s="321" t="s">
        <v>5064</v>
      </c>
      <c r="P253" s="321">
        <v>5844500</v>
      </c>
      <c r="Q253" s="322">
        <v>-1000000</v>
      </c>
      <c r="R253" s="322">
        <v>-735000</v>
      </c>
      <c r="S253" s="322">
        <v>-1012000</v>
      </c>
      <c r="T253" s="322">
        <v>-1012000</v>
      </c>
      <c r="U253" s="322">
        <f t="shared" si="15"/>
        <v>0</v>
      </c>
      <c r="W253" s="321">
        <f t="shared" si="18"/>
        <v>930</v>
      </c>
      <c r="X253" s="321">
        <f t="shared" si="19"/>
        <v>344500</v>
      </c>
      <c r="Y253" s="321">
        <v>1</v>
      </c>
      <c r="AA253" s="321" t="s">
        <v>5064</v>
      </c>
    </row>
    <row r="254" spans="1:27">
      <c r="A254" s="346">
        <v>930</v>
      </c>
      <c r="B254" s="347">
        <v>346801</v>
      </c>
      <c r="C254" s="348" t="s">
        <v>6630</v>
      </c>
      <c r="D254" s="349">
        <v>8</v>
      </c>
      <c r="E254" s="350">
        <v>8</v>
      </c>
      <c r="F254" s="350">
        <v>9</v>
      </c>
      <c r="H254" s="351">
        <f t="shared" si="16"/>
        <v>-8000</v>
      </c>
      <c r="I254" s="351">
        <f t="shared" si="17"/>
        <v>-9000</v>
      </c>
      <c r="M254" s="321">
        <v>1344501930</v>
      </c>
      <c r="N254" s="321">
        <v>34</v>
      </c>
      <c r="O254" s="321" t="s">
        <v>5065</v>
      </c>
      <c r="P254" s="321">
        <v>5844500</v>
      </c>
      <c r="Q254" s="322">
        <v>0</v>
      </c>
      <c r="R254" s="322">
        <v>-185300</v>
      </c>
      <c r="S254" s="322">
        <v>0</v>
      </c>
      <c r="T254" s="322">
        <v>0</v>
      </c>
      <c r="U254" s="322">
        <f t="shared" si="15"/>
        <v>0</v>
      </c>
      <c r="W254" s="321">
        <f t="shared" si="18"/>
        <v>930</v>
      </c>
      <c r="X254" s="321">
        <f t="shared" si="19"/>
        <v>344501</v>
      </c>
      <c r="Y254" s="321">
        <v>1</v>
      </c>
      <c r="AA254" s="321" t="s">
        <v>5065</v>
      </c>
    </row>
    <row r="255" spans="1:27">
      <c r="A255" s="346">
        <v>930</v>
      </c>
      <c r="B255" s="347">
        <v>346802</v>
      </c>
      <c r="C255" s="348" t="s">
        <v>6631</v>
      </c>
      <c r="D255" s="349">
        <v>40</v>
      </c>
      <c r="E255" s="350">
        <v>40</v>
      </c>
      <c r="F255" s="350">
        <v>40</v>
      </c>
      <c r="H255" s="351">
        <f t="shared" si="16"/>
        <v>-40000</v>
      </c>
      <c r="I255" s="351">
        <f t="shared" si="17"/>
        <v>-40000</v>
      </c>
      <c r="M255" s="321">
        <v>1344502930</v>
      </c>
      <c r="N255" s="321">
        <v>34</v>
      </c>
      <c r="O255" s="321" t="s">
        <v>5066</v>
      </c>
      <c r="P255" s="321">
        <v>5844500</v>
      </c>
      <c r="Q255" s="322">
        <v>0</v>
      </c>
      <c r="R255" s="322">
        <v>0</v>
      </c>
      <c r="S255" s="322">
        <v>0</v>
      </c>
      <c r="T255" s="322">
        <v>0</v>
      </c>
      <c r="U255" s="322">
        <f t="shared" si="15"/>
        <v>0</v>
      </c>
      <c r="W255" s="321">
        <f t="shared" si="18"/>
        <v>930</v>
      </c>
      <c r="X255" s="321">
        <f t="shared" si="19"/>
        <v>344502</v>
      </c>
      <c r="Y255" s="321">
        <v>1</v>
      </c>
      <c r="AA255" s="321" t="s">
        <v>5066</v>
      </c>
    </row>
    <row r="256" spans="1:27">
      <c r="A256" s="346">
        <v>420</v>
      </c>
      <c r="B256" s="347">
        <v>346803</v>
      </c>
      <c r="C256" s="348" t="s">
        <v>6632</v>
      </c>
      <c r="D256" s="349">
        <v>0</v>
      </c>
      <c r="E256" s="350">
        <v>0</v>
      </c>
      <c r="F256" s="350">
        <v>4</v>
      </c>
      <c r="H256" s="351">
        <f t="shared" si="16"/>
        <v>0</v>
      </c>
      <c r="I256" s="351">
        <f t="shared" si="17"/>
        <v>-4000</v>
      </c>
      <c r="M256" s="321">
        <v>1344503930</v>
      </c>
      <c r="N256" s="321">
        <v>34</v>
      </c>
      <c r="O256" s="321" t="s">
        <v>5067</v>
      </c>
      <c r="P256" s="321">
        <v>5844500</v>
      </c>
      <c r="Q256" s="322">
        <v>0</v>
      </c>
      <c r="R256" s="322">
        <v>0</v>
      </c>
      <c r="S256" s="322">
        <v>0</v>
      </c>
      <c r="T256" s="322">
        <v>0</v>
      </c>
      <c r="U256" s="322">
        <f t="shared" si="15"/>
        <v>0</v>
      </c>
      <c r="W256" s="321">
        <f t="shared" si="18"/>
        <v>930</v>
      </c>
      <c r="X256" s="321">
        <f t="shared" si="19"/>
        <v>344503</v>
      </c>
      <c r="Y256" s="321">
        <v>1</v>
      </c>
      <c r="AA256" s="321" t="s">
        <v>5067</v>
      </c>
    </row>
    <row r="257" spans="1:27">
      <c r="A257" s="346">
        <v>930</v>
      </c>
      <c r="B257" s="347">
        <v>346803</v>
      </c>
      <c r="C257" s="348" t="s">
        <v>6633</v>
      </c>
      <c r="D257" s="349">
        <v>30</v>
      </c>
      <c r="E257" s="350">
        <v>25</v>
      </c>
      <c r="F257" s="350">
        <v>25</v>
      </c>
      <c r="H257" s="351">
        <f t="shared" si="16"/>
        <v>-30000</v>
      </c>
      <c r="I257" s="351">
        <f t="shared" si="17"/>
        <v>-25000</v>
      </c>
      <c r="M257" s="321">
        <v>1344900930</v>
      </c>
      <c r="N257" s="321">
        <v>34</v>
      </c>
      <c r="O257" s="321" t="s">
        <v>5068</v>
      </c>
      <c r="P257" s="321">
        <v>5844400</v>
      </c>
      <c r="Q257" s="322">
        <v>-30000</v>
      </c>
      <c r="R257" s="322">
        <v>-8700</v>
      </c>
      <c r="S257" s="322">
        <v>-30000</v>
      </c>
      <c r="T257" s="322">
        <v>-30000</v>
      </c>
      <c r="U257" s="322">
        <f t="shared" si="15"/>
        <v>0</v>
      </c>
      <c r="W257" s="321">
        <f t="shared" si="18"/>
        <v>930</v>
      </c>
      <c r="X257" s="321">
        <f t="shared" si="19"/>
        <v>344900</v>
      </c>
      <c r="Y257" s="321">
        <v>1</v>
      </c>
      <c r="AA257" s="321" t="s">
        <v>5068</v>
      </c>
    </row>
    <row r="258" spans="1:27">
      <c r="A258" s="346">
        <v>930</v>
      </c>
      <c r="B258" s="347">
        <v>346804</v>
      </c>
      <c r="C258" s="348" t="s">
        <v>6634</v>
      </c>
      <c r="D258" s="349">
        <v>75</v>
      </c>
      <c r="E258" s="350">
        <v>83</v>
      </c>
      <c r="F258" s="350">
        <v>83</v>
      </c>
      <c r="H258" s="351">
        <f t="shared" si="16"/>
        <v>-75000</v>
      </c>
      <c r="I258" s="351">
        <f t="shared" si="17"/>
        <v>-83000</v>
      </c>
      <c r="M258" s="321">
        <v>1345100410</v>
      </c>
      <c r="N258" s="321">
        <v>34</v>
      </c>
      <c r="O258" s="321" t="s">
        <v>5069</v>
      </c>
      <c r="P258" s="321">
        <v>5845100</v>
      </c>
      <c r="Q258" s="322">
        <v>-101000</v>
      </c>
      <c r="R258" s="322">
        <v>-108700</v>
      </c>
      <c r="S258" s="322">
        <v>-163000</v>
      </c>
      <c r="T258" s="322">
        <v>-163000</v>
      </c>
      <c r="U258" s="322">
        <f t="shared" ref="U258:U321" si="20">S258-T258</f>
        <v>0</v>
      </c>
      <c r="W258" s="321">
        <f t="shared" si="18"/>
        <v>410</v>
      </c>
      <c r="X258" s="321">
        <f t="shared" si="19"/>
        <v>345100</v>
      </c>
      <c r="Y258" s="321">
        <v>1</v>
      </c>
      <c r="AA258" s="321" t="s">
        <v>5069</v>
      </c>
    </row>
    <row r="259" spans="1:27">
      <c r="A259" s="346">
        <v>930</v>
      </c>
      <c r="B259" s="347">
        <v>346805</v>
      </c>
      <c r="C259" s="348" t="s">
        <v>6635</v>
      </c>
      <c r="D259" s="349">
        <v>107</v>
      </c>
      <c r="E259" s="350">
        <v>107</v>
      </c>
      <c r="F259" s="350">
        <v>109</v>
      </c>
      <c r="H259" s="351">
        <f t="shared" ref="H259:H322" si="21">D259*-1000</f>
        <v>-107000</v>
      </c>
      <c r="I259" s="351">
        <f t="shared" ref="I259:I322" si="22">F259*-1000</f>
        <v>-109000</v>
      </c>
      <c r="M259" s="321">
        <v>1345100930</v>
      </c>
      <c r="N259" s="321">
        <v>34</v>
      </c>
      <c r="O259" s="321" t="s">
        <v>5070</v>
      </c>
      <c r="P259" s="321">
        <v>5845100</v>
      </c>
      <c r="Q259" s="322">
        <v>-23109700</v>
      </c>
      <c r="R259" s="322">
        <v>-18735000</v>
      </c>
      <c r="S259" s="322">
        <v>-25680000</v>
      </c>
      <c r="T259" s="322">
        <v>-25680000</v>
      </c>
      <c r="U259" s="322">
        <f t="shared" si="20"/>
        <v>0</v>
      </c>
      <c r="W259" s="321">
        <f t="shared" ref="W259:W322" si="23">M259-1000000000-X259*1000</f>
        <v>930</v>
      </c>
      <c r="X259" s="321">
        <f t="shared" ref="X259:X322" si="24">ROUNDDOWN((M259-1000000000)/1000,0)</f>
        <v>345100</v>
      </c>
      <c r="Y259" s="321">
        <v>1</v>
      </c>
      <c r="AA259" s="321" t="s">
        <v>5070</v>
      </c>
    </row>
    <row r="260" spans="1:27">
      <c r="A260" s="346">
        <v>930</v>
      </c>
      <c r="B260" s="347">
        <v>346806</v>
      </c>
      <c r="C260" s="348" t="s">
        <v>6636</v>
      </c>
      <c r="D260" s="349">
        <v>8</v>
      </c>
      <c r="E260" s="350">
        <v>8</v>
      </c>
      <c r="F260" s="350">
        <v>0</v>
      </c>
      <c r="H260" s="351">
        <f t="shared" si="21"/>
        <v>-8000</v>
      </c>
      <c r="I260" s="351">
        <f t="shared" si="22"/>
        <v>0</v>
      </c>
      <c r="M260" s="321">
        <v>1345101930</v>
      </c>
      <c r="N260" s="321">
        <v>34</v>
      </c>
      <c r="O260" s="321" t="s">
        <v>5071</v>
      </c>
      <c r="P260" s="321">
        <v>5845100</v>
      </c>
      <c r="Q260" s="322">
        <v>-3510000</v>
      </c>
      <c r="R260" s="322">
        <v>-1902000</v>
      </c>
      <c r="S260" s="322">
        <v>-3552000</v>
      </c>
      <c r="T260" s="322">
        <v>-3552000</v>
      </c>
      <c r="U260" s="322">
        <f t="shared" si="20"/>
        <v>0</v>
      </c>
      <c r="W260" s="321">
        <f t="shared" si="23"/>
        <v>930</v>
      </c>
      <c r="X260" s="321">
        <f t="shared" si="24"/>
        <v>345101</v>
      </c>
      <c r="Y260" s="321">
        <v>1</v>
      </c>
      <c r="AA260" s="321" t="s">
        <v>5071</v>
      </c>
    </row>
    <row r="261" spans="1:27">
      <c r="A261" s="346">
        <v>930</v>
      </c>
      <c r="B261" s="347">
        <v>346807</v>
      </c>
      <c r="C261" s="348" t="s">
        <v>6637</v>
      </c>
      <c r="D261" s="349">
        <v>180</v>
      </c>
      <c r="E261" s="350">
        <v>0</v>
      </c>
      <c r="F261" s="350">
        <v>0</v>
      </c>
      <c r="H261" s="351">
        <f t="shared" si="21"/>
        <v>-180000</v>
      </c>
      <c r="I261" s="351">
        <f t="shared" si="22"/>
        <v>0</v>
      </c>
      <c r="M261" s="321">
        <v>1345102930</v>
      </c>
      <c r="N261" s="321">
        <v>34</v>
      </c>
      <c r="O261" s="321" t="s">
        <v>5072</v>
      </c>
      <c r="P261" s="321">
        <v>5845100</v>
      </c>
      <c r="Q261" s="322">
        <v>-3118000</v>
      </c>
      <c r="R261" s="322">
        <v>-2789000</v>
      </c>
      <c r="S261" s="322">
        <v>-3992000</v>
      </c>
      <c r="T261" s="322">
        <v>-3992000</v>
      </c>
      <c r="U261" s="322">
        <f t="shared" si="20"/>
        <v>0</v>
      </c>
      <c r="W261" s="321">
        <f t="shared" si="23"/>
        <v>930</v>
      </c>
      <c r="X261" s="321">
        <f t="shared" si="24"/>
        <v>345102</v>
      </c>
      <c r="Y261" s="321">
        <v>1</v>
      </c>
      <c r="AA261" s="321" t="s">
        <v>5072</v>
      </c>
    </row>
    <row r="262" spans="1:27">
      <c r="A262" s="346">
        <v>930</v>
      </c>
      <c r="B262" s="347">
        <v>347101</v>
      </c>
      <c r="C262" s="355" t="s">
        <v>6638</v>
      </c>
      <c r="D262" s="349">
        <v>62</v>
      </c>
      <c r="E262" s="350">
        <v>17</v>
      </c>
      <c r="F262" s="350">
        <v>19</v>
      </c>
      <c r="H262" s="351">
        <f t="shared" si="21"/>
        <v>-62000</v>
      </c>
      <c r="I262" s="351">
        <f t="shared" si="22"/>
        <v>-19000</v>
      </c>
      <c r="M262" s="321">
        <v>1345103930</v>
      </c>
      <c r="N262" s="321">
        <v>34</v>
      </c>
      <c r="O262" s="321" t="s">
        <v>5073</v>
      </c>
      <c r="P262" s="321">
        <v>5845100</v>
      </c>
      <c r="Q262" s="322">
        <v>-400000</v>
      </c>
      <c r="R262" s="322">
        <v>-247500</v>
      </c>
      <c r="S262" s="322">
        <v>-405000</v>
      </c>
      <c r="T262" s="322">
        <v>-405000</v>
      </c>
      <c r="U262" s="322">
        <f t="shared" si="20"/>
        <v>0</v>
      </c>
      <c r="W262" s="321">
        <f t="shared" si="23"/>
        <v>930</v>
      </c>
      <c r="X262" s="321">
        <f t="shared" si="24"/>
        <v>345103</v>
      </c>
      <c r="Y262" s="321">
        <v>1</v>
      </c>
      <c r="AA262" s="321" t="s">
        <v>5073</v>
      </c>
    </row>
    <row r="263" spans="1:27">
      <c r="A263" s="346">
        <v>930</v>
      </c>
      <c r="B263" s="347">
        <v>347102</v>
      </c>
      <c r="C263" s="355" t="s">
        <v>6639</v>
      </c>
      <c r="D263" s="349">
        <v>23</v>
      </c>
      <c r="E263" s="350">
        <v>23</v>
      </c>
      <c r="F263" s="350">
        <v>23</v>
      </c>
      <c r="H263" s="351">
        <f t="shared" si="21"/>
        <v>-23000</v>
      </c>
      <c r="I263" s="351">
        <f t="shared" si="22"/>
        <v>-23000</v>
      </c>
      <c r="M263" s="321">
        <v>1345104930</v>
      </c>
      <c r="N263" s="321">
        <v>34</v>
      </c>
      <c r="O263" s="321" t="s">
        <v>5074</v>
      </c>
      <c r="P263" s="321">
        <v>5845100</v>
      </c>
      <c r="Q263" s="322">
        <v>-794000</v>
      </c>
      <c r="R263" s="322">
        <v>-626500</v>
      </c>
      <c r="S263" s="322">
        <v>-804000</v>
      </c>
      <c r="T263" s="322">
        <v>-804000</v>
      </c>
      <c r="U263" s="322">
        <f t="shared" si="20"/>
        <v>0</v>
      </c>
      <c r="W263" s="321">
        <f t="shared" si="23"/>
        <v>930</v>
      </c>
      <c r="X263" s="321">
        <f t="shared" si="24"/>
        <v>345104</v>
      </c>
      <c r="Y263" s="321">
        <v>1</v>
      </c>
      <c r="AA263" s="321" t="s">
        <v>5074</v>
      </c>
    </row>
    <row r="264" spans="1:27">
      <c r="A264" s="346">
        <v>930</v>
      </c>
      <c r="B264" s="347">
        <v>347103</v>
      </c>
      <c r="C264" s="355" t="s">
        <v>6640</v>
      </c>
      <c r="D264" s="349">
        <v>13</v>
      </c>
      <c r="E264" s="350">
        <v>28</v>
      </c>
      <c r="F264" s="350">
        <v>18</v>
      </c>
      <c r="H264" s="351">
        <f t="shared" si="21"/>
        <v>-13000</v>
      </c>
      <c r="I264" s="351">
        <f t="shared" si="22"/>
        <v>-18000</v>
      </c>
      <c r="M264" s="321">
        <v>1345105930</v>
      </c>
      <c r="N264" s="321">
        <v>34</v>
      </c>
      <c r="O264" s="321" t="s">
        <v>5075</v>
      </c>
      <c r="P264" s="321">
        <v>5845100</v>
      </c>
      <c r="Q264" s="322">
        <v>-130000</v>
      </c>
      <c r="R264" s="322">
        <v>-45000</v>
      </c>
      <c r="S264" s="322">
        <v>-132000</v>
      </c>
      <c r="T264" s="322">
        <v>-132000</v>
      </c>
      <c r="U264" s="322">
        <f t="shared" si="20"/>
        <v>0</v>
      </c>
      <c r="W264" s="321">
        <f t="shared" si="23"/>
        <v>930</v>
      </c>
      <c r="X264" s="321">
        <f t="shared" si="24"/>
        <v>345105</v>
      </c>
      <c r="Y264" s="321">
        <v>1</v>
      </c>
      <c r="AA264" s="321" t="s">
        <v>5075</v>
      </c>
    </row>
    <row r="265" spans="1:27">
      <c r="A265" s="346">
        <v>930</v>
      </c>
      <c r="B265" s="347">
        <v>347104</v>
      </c>
      <c r="C265" s="355" t="s">
        <v>6641</v>
      </c>
      <c r="D265" s="349">
        <v>113</v>
      </c>
      <c r="E265" s="350">
        <v>113</v>
      </c>
      <c r="F265" s="350">
        <v>115</v>
      </c>
      <c r="H265" s="351">
        <f t="shared" si="21"/>
        <v>-113000</v>
      </c>
      <c r="I265" s="351">
        <f t="shared" si="22"/>
        <v>-115000</v>
      </c>
      <c r="M265" s="321">
        <v>1345106930</v>
      </c>
      <c r="N265" s="321">
        <v>34</v>
      </c>
      <c r="O265" s="321" t="s">
        <v>5076</v>
      </c>
      <c r="P265" s="321">
        <v>5845100</v>
      </c>
      <c r="Q265" s="322">
        <v>-64000</v>
      </c>
      <c r="R265" s="322">
        <v>-51000</v>
      </c>
      <c r="S265" s="322">
        <v>-69000</v>
      </c>
      <c r="T265" s="322">
        <v>-69000</v>
      </c>
      <c r="U265" s="322">
        <f t="shared" si="20"/>
        <v>0</v>
      </c>
      <c r="W265" s="321">
        <f t="shared" si="23"/>
        <v>930</v>
      </c>
      <c r="X265" s="321">
        <f t="shared" si="24"/>
        <v>345106</v>
      </c>
      <c r="Y265" s="321">
        <v>1</v>
      </c>
      <c r="AA265" s="321" t="s">
        <v>5076</v>
      </c>
    </row>
    <row r="266" spans="1:27">
      <c r="A266" s="346">
        <v>930</v>
      </c>
      <c r="B266" s="347">
        <v>347105</v>
      </c>
      <c r="C266" s="355" t="s">
        <v>6642</v>
      </c>
      <c r="D266" s="349">
        <v>143</v>
      </c>
      <c r="E266" s="350">
        <v>0</v>
      </c>
      <c r="F266" s="350">
        <v>0</v>
      </c>
      <c r="H266" s="351">
        <f t="shared" si="21"/>
        <v>-143000</v>
      </c>
      <c r="I266" s="351">
        <f t="shared" si="22"/>
        <v>0</v>
      </c>
      <c r="M266" s="321">
        <v>1345107930</v>
      </c>
      <c r="N266" s="321">
        <v>34</v>
      </c>
      <c r="O266" s="321" t="s">
        <v>5077</v>
      </c>
      <c r="P266" s="321">
        <v>5845100</v>
      </c>
      <c r="Q266" s="322">
        <v>-36000</v>
      </c>
      <c r="R266" s="322">
        <v>-25500</v>
      </c>
      <c r="S266" s="322">
        <v>-36000</v>
      </c>
      <c r="T266" s="322">
        <v>-36000</v>
      </c>
      <c r="U266" s="322">
        <f t="shared" si="20"/>
        <v>0</v>
      </c>
      <c r="W266" s="321">
        <f t="shared" si="23"/>
        <v>930</v>
      </c>
      <c r="X266" s="321">
        <f t="shared" si="24"/>
        <v>345107</v>
      </c>
      <c r="Y266" s="321">
        <v>1</v>
      </c>
      <c r="AA266" s="321" t="s">
        <v>5077</v>
      </c>
    </row>
    <row r="267" spans="1:27">
      <c r="A267" s="346">
        <v>930</v>
      </c>
      <c r="B267" s="347">
        <v>347106</v>
      </c>
      <c r="C267" s="355" t="s">
        <v>6643</v>
      </c>
      <c r="D267" s="349">
        <v>112</v>
      </c>
      <c r="E267" s="350">
        <v>0</v>
      </c>
      <c r="F267" s="350">
        <v>0</v>
      </c>
      <c r="H267" s="351">
        <f t="shared" si="21"/>
        <v>-112000</v>
      </c>
      <c r="I267" s="351">
        <f t="shared" si="22"/>
        <v>0</v>
      </c>
      <c r="M267" s="321">
        <v>1345108930</v>
      </c>
      <c r="N267" s="321">
        <v>34</v>
      </c>
      <c r="O267" s="321" t="s">
        <v>5078</v>
      </c>
      <c r="P267" s="321">
        <v>5845100</v>
      </c>
      <c r="Q267" s="322">
        <v>-277000</v>
      </c>
      <c r="R267" s="322">
        <v>-110000</v>
      </c>
      <c r="S267" s="322">
        <v>-280000</v>
      </c>
      <c r="T267" s="322">
        <v>-280000</v>
      </c>
      <c r="U267" s="322">
        <f t="shared" si="20"/>
        <v>0</v>
      </c>
      <c r="W267" s="321">
        <f t="shared" si="23"/>
        <v>930</v>
      </c>
      <c r="X267" s="321">
        <f t="shared" si="24"/>
        <v>345108</v>
      </c>
      <c r="Y267" s="321">
        <v>1</v>
      </c>
      <c r="AA267" s="321" t="s">
        <v>5078</v>
      </c>
    </row>
    <row r="268" spans="1:27">
      <c r="A268" s="346">
        <v>930</v>
      </c>
      <c r="B268" s="347">
        <v>347301</v>
      </c>
      <c r="C268" s="355" t="s">
        <v>6644</v>
      </c>
      <c r="D268" s="349">
        <v>209</v>
      </c>
      <c r="E268" s="350">
        <v>75</v>
      </c>
      <c r="F268" s="350">
        <v>78</v>
      </c>
      <c r="H268" s="351">
        <f t="shared" si="21"/>
        <v>-209000</v>
      </c>
      <c r="I268" s="351">
        <f t="shared" si="22"/>
        <v>-78000</v>
      </c>
      <c r="M268" s="321">
        <v>1345109930</v>
      </c>
      <c r="N268" s="321">
        <v>34</v>
      </c>
      <c r="O268" s="321" t="s">
        <v>5079</v>
      </c>
      <c r="P268" s="321">
        <v>5845100</v>
      </c>
      <c r="Q268" s="322">
        <v>-621000</v>
      </c>
      <c r="R268" s="322">
        <v>-332100</v>
      </c>
      <c r="S268" s="322">
        <v>-628000</v>
      </c>
      <c r="T268" s="322">
        <v>-628000</v>
      </c>
      <c r="U268" s="322">
        <f t="shared" si="20"/>
        <v>0</v>
      </c>
      <c r="W268" s="321">
        <f t="shared" si="23"/>
        <v>930</v>
      </c>
      <c r="X268" s="321">
        <f t="shared" si="24"/>
        <v>345109</v>
      </c>
      <c r="Y268" s="321">
        <v>1</v>
      </c>
      <c r="AA268" s="321" t="s">
        <v>5079</v>
      </c>
    </row>
    <row r="269" spans="1:27">
      <c r="A269" s="346">
        <v>930</v>
      </c>
      <c r="B269" s="347">
        <v>347302</v>
      </c>
      <c r="C269" s="355" t="s">
        <v>6645</v>
      </c>
      <c r="D269" s="349">
        <v>4</v>
      </c>
      <c r="E269" s="350">
        <v>4</v>
      </c>
      <c r="F269" s="350">
        <v>9</v>
      </c>
      <c r="H269" s="351">
        <f t="shared" si="21"/>
        <v>-4000</v>
      </c>
      <c r="I269" s="351">
        <f t="shared" si="22"/>
        <v>-9000</v>
      </c>
      <c r="M269" s="321">
        <v>1345111930</v>
      </c>
      <c r="N269" s="321">
        <v>34</v>
      </c>
      <c r="O269" s="321" t="s">
        <v>5080</v>
      </c>
      <c r="P269" s="321">
        <v>5845100</v>
      </c>
      <c r="Q269" s="322">
        <v>-350000</v>
      </c>
      <c r="R269" s="322">
        <v>-171600</v>
      </c>
      <c r="S269" s="322">
        <v>-354000</v>
      </c>
      <c r="T269" s="322">
        <v>-354000</v>
      </c>
      <c r="U269" s="322">
        <f t="shared" si="20"/>
        <v>0</v>
      </c>
      <c r="W269" s="321">
        <f t="shared" si="23"/>
        <v>930</v>
      </c>
      <c r="X269" s="321">
        <f t="shared" si="24"/>
        <v>345111</v>
      </c>
      <c r="Y269" s="321">
        <v>1</v>
      </c>
      <c r="AA269" s="321" t="s">
        <v>5080</v>
      </c>
    </row>
    <row r="270" spans="1:27">
      <c r="A270" s="346">
        <v>930</v>
      </c>
      <c r="B270" s="347">
        <v>347303</v>
      </c>
      <c r="C270" s="355" t="s">
        <v>6646</v>
      </c>
      <c r="D270" s="349">
        <v>40</v>
      </c>
      <c r="E270" s="350">
        <v>26</v>
      </c>
      <c r="F270" s="350">
        <v>27</v>
      </c>
      <c r="H270" s="351">
        <f t="shared" si="21"/>
        <v>-40000</v>
      </c>
      <c r="I270" s="351">
        <f t="shared" si="22"/>
        <v>-27000</v>
      </c>
      <c r="M270" s="321">
        <v>1345112930</v>
      </c>
      <c r="N270" s="321">
        <v>34</v>
      </c>
      <c r="O270" s="321" t="s">
        <v>5081</v>
      </c>
      <c r="P270" s="321">
        <v>5845100</v>
      </c>
      <c r="Q270" s="322">
        <v>-50000</v>
      </c>
      <c r="R270" s="322">
        <v>0</v>
      </c>
      <c r="S270" s="322">
        <v>-51000</v>
      </c>
      <c r="T270" s="322">
        <v>-51000</v>
      </c>
      <c r="U270" s="322">
        <f t="shared" si="20"/>
        <v>0</v>
      </c>
      <c r="W270" s="321">
        <f t="shared" si="23"/>
        <v>930</v>
      </c>
      <c r="X270" s="321">
        <f t="shared" si="24"/>
        <v>345112</v>
      </c>
      <c r="Y270" s="321">
        <v>1</v>
      </c>
      <c r="AA270" s="321" t="s">
        <v>5081</v>
      </c>
    </row>
    <row r="271" spans="1:27">
      <c r="A271" s="346">
        <v>930</v>
      </c>
      <c r="B271" s="347">
        <v>347400</v>
      </c>
      <c r="C271" s="355" t="s">
        <v>6647</v>
      </c>
      <c r="D271" s="349">
        <v>0</v>
      </c>
      <c r="E271" s="350">
        <v>0</v>
      </c>
      <c r="F271" s="350">
        <v>0</v>
      </c>
      <c r="H271" s="351">
        <f t="shared" si="21"/>
        <v>0</v>
      </c>
      <c r="I271" s="351">
        <f t="shared" si="22"/>
        <v>0</v>
      </c>
      <c r="M271" s="321">
        <v>1345200410</v>
      </c>
      <c r="N271" s="321">
        <v>34</v>
      </c>
      <c r="O271" s="321" t="s">
        <v>5082</v>
      </c>
      <c r="P271" s="321">
        <v>5845200</v>
      </c>
      <c r="Q271" s="322">
        <v>-74000</v>
      </c>
      <c r="R271" s="322">
        <v>-18600</v>
      </c>
      <c r="S271" s="322">
        <v>-27000</v>
      </c>
      <c r="T271" s="322">
        <v>-27000</v>
      </c>
      <c r="U271" s="322">
        <f t="shared" si="20"/>
        <v>0</v>
      </c>
      <c r="W271" s="321">
        <f t="shared" si="23"/>
        <v>410</v>
      </c>
      <c r="X271" s="321">
        <f t="shared" si="24"/>
        <v>345200</v>
      </c>
      <c r="Y271" s="321">
        <v>1</v>
      </c>
      <c r="AA271" s="321" t="s">
        <v>5082</v>
      </c>
    </row>
    <row r="272" spans="1:27">
      <c r="A272" s="346">
        <v>931</v>
      </c>
      <c r="B272" s="347">
        <v>347400</v>
      </c>
      <c r="C272" s="348" t="s">
        <v>6648</v>
      </c>
      <c r="D272" s="349">
        <v>0</v>
      </c>
      <c r="E272" s="350">
        <v>0</v>
      </c>
      <c r="F272" s="350">
        <v>0</v>
      </c>
      <c r="H272" s="351">
        <f t="shared" si="21"/>
        <v>0</v>
      </c>
      <c r="I272" s="351">
        <f t="shared" si="22"/>
        <v>0</v>
      </c>
      <c r="M272" s="321">
        <v>1345200411</v>
      </c>
      <c r="N272" s="321">
        <v>34</v>
      </c>
      <c r="O272" s="321" t="s">
        <v>5083</v>
      </c>
      <c r="P272" s="321">
        <v>5845200</v>
      </c>
      <c r="Q272" s="322">
        <v>-10000</v>
      </c>
      <c r="R272" s="322">
        <v>-12900</v>
      </c>
      <c r="S272" s="322">
        <v>-10000</v>
      </c>
      <c r="T272" s="322">
        <v>-10000</v>
      </c>
      <c r="U272" s="322">
        <f t="shared" si="20"/>
        <v>0</v>
      </c>
      <c r="W272" s="321">
        <f t="shared" si="23"/>
        <v>411</v>
      </c>
      <c r="X272" s="321">
        <f t="shared" si="24"/>
        <v>345200</v>
      </c>
      <c r="Y272" s="321">
        <v>1</v>
      </c>
      <c r="AA272" s="321" t="s">
        <v>5083</v>
      </c>
    </row>
    <row r="273" spans="1:27">
      <c r="A273" s="346">
        <v>932</v>
      </c>
      <c r="B273" s="347">
        <v>347400</v>
      </c>
      <c r="C273" s="348" t="s">
        <v>6649</v>
      </c>
      <c r="D273" s="349">
        <v>0</v>
      </c>
      <c r="E273" s="350">
        <v>0</v>
      </c>
      <c r="F273" s="350">
        <v>0</v>
      </c>
      <c r="H273" s="351">
        <f t="shared" si="21"/>
        <v>0</v>
      </c>
      <c r="I273" s="351">
        <f t="shared" si="22"/>
        <v>0</v>
      </c>
      <c r="M273" s="321">
        <v>1345201410</v>
      </c>
      <c r="N273" s="321">
        <v>34</v>
      </c>
      <c r="O273" s="321" t="s">
        <v>5084</v>
      </c>
      <c r="P273" s="321">
        <v>5845200</v>
      </c>
      <c r="Q273" s="322">
        <v>-201000</v>
      </c>
      <c r="R273" s="322">
        <v>-179700</v>
      </c>
      <c r="S273" s="322">
        <v>-240000</v>
      </c>
      <c r="T273" s="322">
        <v>-240000</v>
      </c>
      <c r="U273" s="322">
        <f t="shared" si="20"/>
        <v>0</v>
      </c>
      <c r="W273" s="321">
        <f t="shared" si="23"/>
        <v>410</v>
      </c>
      <c r="X273" s="321">
        <f t="shared" si="24"/>
        <v>345201</v>
      </c>
      <c r="Y273" s="321">
        <v>1</v>
      </c>
      <c r="AA273" s="321" t="s">
        <v>5084</v>
      </c>
    </row>
    <row r="274" spans="1:27">
      <c r="A274" s="346">
        <v>930</v>
      </c>
      <c r="B274" s="347">
        <v>347401</v>
      </c>
      <c r="C274" s="355" t="s">
        <v>6650</v>
      </c>
      <c r="D274" s="349">
        <v>910</v>
      </c>
      <c r="E274" s="350">
        <v>910</v>
      </c>
      <c r="F274" s="350">
        <v>910</v>
      </c>
      <c r="H274" s="351">
        <f t="shared" si="21"/>
        <v>-910000</v>
      </c>
      <c r="I274" s="351">
        <f t="shared" si="22"/>
        <v>-910000</v>
      </c>
      <c r="M274" s="321">
        <v>1345201930</v>
      </c>
      <c r="N274" s="321">
        <v>34</v>
      </c>
      <c r="O274" s="321" t="s">
        <v>5085</v>
      </c>
      <c r="P274" s="321">
        <v>5845200</v>
      </c>
      <c r="Q274" s="322">
        <v>-64800</v>
      </c>
      <c r="R274" s="322">
        <v>-49700</v>
      </c>
      <c r="S274" s="322">
        <v>-66000</v>
      </c>
      <c r="T274" s="322">
        <v>-66000</v>
      </c>
      <c r="U274" s="322">
        <f t="shared" si="20"/>
        <v>0</v>
      </c>
      <c r="W274" s="321">
        <f t="shared" si="23"/>
        <v>930</v>
      </c>
      <c r="X274" s="321">
        <f t="shared" si="24"/>
        <v>345201</v>
      </c>
      <c r="Y274" s="321">
        <v>1</v>
      </c>
      <c r="AA274" s="321" t="s">
        <v>5085</v>
      </c>
    </row>
    <row r="275" spans="1:27">
      <c r="A275" s="346">
        <v>931</v>
      </c>
      <c r="B275" s="347">
        <v>347401</v>
      </c>
      <c r="C275" s="355" t="s">
        <v>6651</v>
      </c>
      <c r="D275" s="349">
        <v>368</v>
      </c>
      <c r="E275" s="350">
        <v>368</v>
      </c>
      <c r="F275" s="350">
        <v>53</v>
      </c>
      <c r="H275" s="351">
        <f t="shared" si="21"/>
        <v>-368000</v>
      </c>
      <c r="I275" s="351">
        <f t="shared" si="22"/>
        <v>-53000</v>
      </c>
      <c r="M275" s="321">
        <v>1345202410</v>
      </c>
      <c r="N275" s="321">
        <v>34</v>
      </c>
      <c r="O275" s="321" t="s">
        <v>5086</v>
      </c>
      <c r="P275" s="321">
        <v>5845200</v>
      </c>
      <c r="Q275" s="322">
        <v>-74000</v>
      </c>
      <c r="R275" s="322">
        <v>-43700</v>
      </c>
      <c r="S275" s="322">
        <v>-58000</v>
      </c>
      <c r="T275" s="322">
        <v>-58000</v>
      </c>
      <c r="U275" s="322">
        <f t="shared" si="20"/>
        <v>0</v>
      </c>
      <c r="W275" s="321">
        <f t="shared" si="23"/>
        <v>410</v>
      </c>
      <c r="X275" s="321">
        <f t="shared" si="24"/>
        <v>345202</v>
      </c>
      <c r="Y275" s="321">
        <v>1</v>
      </c>
      <c r="AA275" s="321" t="s">
        <v>5086</v>
      </c>
    </row>
    <row r="276" spans="1:27">
      <c r="A276" s="346">
        <v>930</v>
      </c>
      <c r="B276" s="347">
        <v>347403</v>
      </c>
      <c r="C276" s="355" t="s">
        <v>6652</v>
      </c>
      <c r="D276" s="349">
        <v>24</v>
      </c>
      <c r="E276" s="350">
        <v>24</v>
      </c>
      <c r="F276" s="350">
        <v>24</v>
      </c>
      <c r="H276" s="351">
        <f t="shared" si="21"/>
        <v>-24000</v>
      </c>
      <c r="I276" s="351">
        <f t="shared" si="22"/>
        <v>-24000</v>
      </c>
      <c r="M276" s="321">
        <v>1345202930</v>
      </c>
      <c r="N276" s="321">
        <v>34</v>
      </c>
      <c r="O276" s="321" t="s">
        <v>5087</v>
      </c>
      <c r="P276" s="321">
        <v>5845200</v>
      </c>
      <c r="Q276" s="322">
        <v>-3508000</v>
      </c>
      <c r="R276" s="322">
        <v>-3310200</v>
      </c>
      <c r="S276" s="322">
        <v>-3837000</v>
      </c>
      <c r="T276" s="322">
        <v>-3837000</v>
      </c>
      <c r="U276" s="322">
        <f t="shared" si="20"/>
        <v>0</v>
      </c>
      <c r="W276" s="321">
        <f t="shared" si="23"/>
        <v>930</v>
      </c>
      <c r="X276" s="321">
        <f t="shared" si="24"/>
        <v>345202</v>
      </c>
      <c r="Y276" s="321">
        <v>1</v>
      </c>
      <c r="AA276" s="321" t="s">
        <v>5087</v>
      </c>
    </row>
    <row r="277" spans="1:27">
      <c r="A277" s="346">
        <v>930</v>
      </c>
      <c r="B277" s="347">
        <v>347404</v>
      </c>
      <c r="C277" s="355" t="s">
        <v>6653</v>
      </c>
      <c r="D277" s="349">
        <v>246</v>
      </c>
      <c r="E277" s="350">
        <v>246</v>
      </c>
      <c r="F277" s="350">
        <v>246</v>
      </c>
      <c r="H277" s="351">
        <f t="shared" si="21"/>
        <v>-246000</v>
      </c>
      <c r="I277" s="351">
        <f t="shared" si="22"/>
        <v>-246000</v>
      </c>
      <c r="M277" s="321">
        <v>1345203790</v>
      </c>
      <c r="N277" s="321">
        <v>34</v>
      </c>
      <c r="O277" s="321" t="s">
        <v>5088</v>
      </c>
      <c r="P277" s="321">
        <v>5845200</v>
      </c>
      <c r="Q277" s="322">
        <v>-562000</v>
      </c>
      <c r="R277" s="322">
        <v>-509900</v>
      </c>
      <c r="S277" s="322">
        <v>-562000</v>
      </c>
      <c r="T277" s="322">
        <v>-562000</v>
      </c>
      <c r="U277" s="322">
        <f t="shared" si="20"/>
        <v>0</v>
      </c>
      <c r="W277" s="321">
        <f t="shared" si="23"/>
        <v>790</v>
      </c>
      <c r="X277" s="321">
        <f t="shared" si="24"/>
        <v>345203</v>
      </c>
      <c r="Y277" s="321">
        <v>1</v>
      </c>
      <c r="AA277" s="321" t="s">
        <v>5088</v>
      </c>
    </row>
    <row r="278" spans="1:27">
      <c r="A278" s="346">
        <v>931</v>
      </c>
      <c r="B278" s="347">
        <v>347404</v>
      </c>
      <c r="C278" s="355" t="s">
        <v>6654</v>
      </c>
      <c r="D278" s="349">
        <v>62</v>
      </c>
      <c r="E278" s="350">
        <v>65</v>
      </c>
      <c r="F278" s="350">
        <v>380</v>
      </c>
      <c r="H278" s="351">
        <f t="shared" si="21"/>
        <v>-62000</v>
      </c>
      <c r="I278" s="351">
        <f t="shared" si="22"/>
        <v>-380000</v>
      </c>
      <c r="M278" s="321">
        <v>1345203930</v>
      </c>
      <c r="N278" s="321">
        <v>34</v>
      </c>
      <c r="O278" s="321" t="s">
        <v>5089</v>
      </c>
      <c r="P278" s="321">
        <v>5845200</v>
      </c>
      <c r="Q278" s="322">
        <v>-67200</v>
      </c>
      <c r="R278" s="322">
        <v>0</v>
      </c>
      <c r="S278" s="322">
        <v>-68000</v>
      </c>
      <c r="T278" s="322">
        <v>-68000</v>
      </c>
      <c r="U278" s="322">
        <f t="shared" si="20"/>
        <v>0</v>
      </c>
      <c r="W278" s="321">
        <f t="shared" si="23"/>
        <v>930</v>
      </c>
      <c r="X278" s="321">
        <f t="shared" si="24"/>
        <v>345203</v>
      </c>
      <c r="Y278" s="321">
        <v>1</v>
      </c>
      <c r="AA278" s="321" t="s">
        <v>5089</v>
      </c>
    </row>
    <row r="279" spans="1:27">
      <c r="A279" s="346">
        <v>420</v>
      </c>
      <c r="B279" s="347">
        <v>347500</v>
      </c>
      <c r="C279" s="354" t="s">
        <v>6655</v>
      </c>
      <c r="D279" s="349">
        <v>0</v>
      </c>
      <c r="E279" s="350">
        <v>0</v>
      </c>
      <c r="F279" s="350">
        <v>0</v>
      </c>
      <c r="H279" s="351">
        <f t="shared" si="21"/>
        <v>0</v>
      </c>
      <c r="I279" s="351">
        <f t="shared" si="22"/>
        <v>0</v>
      </c>
      <c r="M279" s="321">
        <v>1345204790</v>
      </c>
      <c r="N279" s="321">
        <v>34</v>
      </c>
      <c r="O279" s="321" t="s">
        <v>5090</v>
      </c>
      <c r="P279" s="321">
        <v>5845200</v>
      </c>
      <c r="Q279" s="322">
        <v>-562000</v>
      </c>
      <c r="R279" s="322">
        <v>-683500</v>
      </c>
      <c r="S279" s="322">
        <v>-562000</v>
      </c>
      <c r="T279" s="322">
        <v>-562000</v>
      </c>
      <c r="U279" s="322">
        <f t="shared" si="20"/>
        <v>0</v>
      </c>
      <c r="W279" s="321">
        <f t="shared" si="23"/>
        <v>790</v>
      </c>
      <c r="X279" s="321">
        <f t="shared" si="24"/>
        <v>345204</v>
      </c>
      <c r="Y279" s="321">
        <v>1</v>
      </c>
      <c r="AA279" s="321" t="s">
        <v>5090</v>
      </c>
    </row>
    <row r="280" spans="1:27">
      <c r="A280" s="346">
        <v>930</v>
      </c>
      <c r="B280" s="347">
        <v>347500</v>
      </c>
      <c r="C280" s="354" t="s">
        <v>6656</v>
      </c>
      <c r="D280" s="349">
        <v>0</v>
      </c>
      <c r="E280" s="350">
        <v>0</v>
      </c>
      <c r="F280" s="350">
        <v>0</v>
      </c>
      <c r="H280" s="351">
        <f t="shared" si="21"/>
        <v>0</v>
      </c>
      <c r="I280" s="351">
        <f t="shared" si="22"/>
        <v>0</v>
      </c>
      <c r="M280" s="321">
        <v>1345204930</v>
      </c>
      <c r="N280" s="321">
        <v>34</v>
      </c>
      <c r="O280" s="321" t="s">
        <v>5091</v>
      </c>
      <c r="P280" s="321">
        <v>5845400</v>
      </c>
      <c r="Q280" s="322">
        <v>-1726800</v>
      </c>
      <c r="R280" s="322">
        <v>-1388200</v>
      </c>
      <c r="S280" s="322">
        <v>-1868000</v>
      </c>
      <c r="T280" s="322">
        <v>-1868000</v>
      </c>
      <c r="U280" s="322">
        <f t="shared" si="20"/>
        <v>0</v>
      </c>
      <c r="W280" s="321">
        <f t="shared" si="23"/>
        <v>930</v>
      </c>
      <c r="X280" s="321">
        <f t="shared" si="24"/>
        <v>345204</v>
      </c>
      <c r="Y280" s="321">
        <v>1</v>
      </c>
      <c r="AA280" s="321" t="s">
        <v>5091</v>
      </c>
    </row>
    <row r="281" spans="1:27">
      <c r="A281" s="346">
        <v>931</v>
      </c>
      <c r="B281" s="347">
        <v>347500</v>
      </c>
      <c r="C281" s="354" t="s">
        <v>6657</v>
      </c>
      <c r="D281" s="349">
        <v>0</v>
      </c>
      <c r="E281" s="350">
        <v>0</v>
      </c>
      <c r="F281" s="350">
        <v>0</v>
      </c>
      <c r="H281" s="351">
        <f t="shared" si="21"/>
        <v>0</v>
      </c>
      <c r="I281" s="351">
        <f t="shared" si="22"/>
        <v>0</v>
      </c>
      <c r="M281" s="321">
        <v>1345300410</v>
      </c>
      <c r="N281" s="321">
        <v>34</v>
      </c>
      <c r="O281" s="321" t="s">
        <v>5092</v>
      </c>
      <c r="P281" s="321">
        <v>5845300</v>
      </c>
      <c r="Q281" s="322">
        <v>-65000</v>
      </c>
      <c r="R281" s="322">
        <v>-46900</v>
      </c>
      <c r="S281" s="322">
        <v>-64000</v>
      </c>
      <c r="T281" s="322">
        <v>-64000</v>
      </c>
      <c r="U281" s="322">
        <f t="shared" si="20"/>
        <v>0</v>
      </c>
      <c r="W281" s="321">
        <f t="shared" si="23"/>
        <v>410</v>
      </c>
      <c r="X281" s="321">
        <f t="shared" si="24"/>
        <v>345300</v>
      </c>
      <c r="Y281" s="321">
        <v>1</v>
      </c>
      <c r="AA281" s="321" t="s">
        <v>5092</v>
      </c>
    </row>
    <row r="282" spans="1:27">
      <c r="A282" s="346">
        <v>930</v>
      </c>
      <c r="B282" s="347">
        <v>348200</v>
      </c>
      <c r="C282" s="348" t="s">
        <v>6658</v>
      </c>
      <c r="D282" s="349">
        <v>0</v>
      </c>
      <c r="E282" s="350">
        <v>0</v>
      </c>
      <c r="F282" s="350">
        <v>0</v>
      </c>
      <c r="H282" s="351">
        <f t="shared" si="21"/>
        <v>0</v>
      </c>
      <c r="I282" s="351">
        <f t="shared" si="22"/>
        <v>0</v>
      </c>
      <c r="M282" s="321">
        <v>1345300930</v>
      </c>
      <c r="N282" s="321">
        <v>34</v>
      </c>
      <c r="O282" s="321" t="s">
        <v>5093</v>
      </c>
      <c r="P282" s="321">
        <v>5845300</v>
      </c>
      <c r="Q282" s="322">
        <v>-107000</v>
      </c>
      <c r="R282" s="322">
        <v>-59800</v>
      </c>
      <c r="S282" s="322">
        <v>-130000</v>
      </c>
      <c r="T282" s="322">
        <v>-130000</v>
      </c>
      <c r="U282" s="322">
        <f t="shared" si="20"/>
        <v>0</v>
      </c>
      <c r="W282" s="321">
        <f t="shared" si="23"/>
        <v>930</v>
      </c>
      <c r="X282" s="321">
        <f t="shared" si="24"/>
        <v>345300</v>
      </c>
      <c r="Y282" s="321">
        <v>1</v>
      </c>
      <c r="AA282" s="321" t="s">
        <v>5093</v>
      </c>
    </row>
    <row r="283" spans="1:27">
      <c r="A283" s="346">
        <v>420</v>
      </c>
      <c r="B283" s="347">
        <v>348201</v>
      </c>
      <c r="C283" s="348" t="s">
        <v>6659</v>
      </c>
      <c r="D283" s="349">
        <v>12</v>
      </c>
      <c r="E283" s="350">
        <v>5</v>
      </c>
      <c r="F283" s="350">
        <v>5</v>
      </c>
      <c r="H283" s="351">
        <f t="shared" si="21"/>
        <v>-12000</v>
      </c>
      <c r="I283" s="351">
        <f t="shared" si="22"/>
        <v>-5000</v>
      </c>
      <c r="M283" s="321">
        <v>1345301930</v>
      </c>
      <c r="N283" s="321">
        <v>34</v>
      </c>
      <c r="O283" s="321" t="s">
        <v>5094</v>
      </c>
      <c r="P283" s="321">
        <v>5845300</v>
      </c>
      <c r="Q283" s="322">
        <v>-406200</v>
      </c>
      <c r="R283" s="322">
        <v>-187600</v>
      </c>
      <c r="S283" s="322">
        <v>-411000</v>
      </c>
      <c r="T283" s="322">
        <v>-411000</v>
      </c>
      <c r="U283" s="322">
        <f t="shared" si="20"/>
        <v>0</v>
      </c>
      <c r="W283" s="321">
        <f t="shared" si="23"/>
        <v>930</v>
      </c>
      <c r="X283" s="321">
        <f t="shared" si="24"/>
        <v>345301</v>
      </c>
      <c r="Y283" s="321">
        <v>1</v>
      </c>
      <c r="AA283" s="321" t="s">
        <v>5094</v>
      </c>
    </row>
    <row r="284" spans="1:27">
      <c r="A284" s="346">
        <v>930</v>
      </c>
      <c r="B284" s="347">
        <v>348201</v>
      </c>
      <c r="C284" s="348" t="s">
        <v>1523</v>
      </c>
      <c r="D284" s="349">
        <v>13</v>
      </c>
      <c r="E284" s="350">
        <v>13</v>
      </c>
      <c r="F284" s="350">
        <v>13</v>
      </c>
      <c r="H284" s="351">
        <f t="shared" si="21"/>
        <v>-13000</v>
      </c>
      <c r="I284" s="351">
        <f t="shared" si="22"/>
        <v>-13000</v>
      </c>
      <c r="M284" s="321">
        <v>1345302930</v>
      </c>
      <c r="N284" s="321">
        <v>34</v>
      </c>
      <c r="O284" s="321" t="s">
        <v>5095</v>
      </c>
      <c r="P284" s="321">
        <v>5845300</v>
      </c>
      <c r="Q284" s="322">
        <v>-140000</v>
      </c>
      <c r="R284" s="322">
        <v>-130100</v>
      </c>
      <c r="S284" s="322">
        <v>-202000</v>
      </c>
      <c r="T284" s="322">
        <v>-202000</v>
      </c>
      <c r="U284" s="322">
        <f t="shared" si="20"/>
        <v>0</v>
      </c>
      <c r="W284" s="321">
        <f t="shared" si="23"/>
        <v>930</v>
      </c>
      <c r="X284" s="321">
        <f t="shared" si="24"/>
        <v>345302</v>
      </c>
      <c r="Y284" s="321">
        <v>1</v>
      </c>
      <c r="AA284" s="321" t="s">
        <v>5095</v>
      </c>
    </row>
    <row r="285" spans="1:27">
      <c r="A285" s="346">
        <v>930</v>
      </c>
      <c r="B285" s="347">
        <v>348202</v>
      </c>
      <c r="C285" s="348" t="s">
        <v>6660</v>
      </c>
      <c r="D285" s="349">
        <v>8</v>
      </c>
      <c r="E285" s="350">
        <v>10</v>
      </c>
      <c r="F285" s="350">
        <v>10</v>
      </c>
      <c r="H285" s="351">
        <f t="shared" si="21"/>
        <v>-8000</v>
      </c>
      <c r="I285" s="351">
        <f t="shared" si="22"/>
        <v>-10000</v>
      </c>
      <c r="M285" s="321">
        <v>1345303930</v>
      </c>
      <c r="N285" s="321">
        <v>34</v>
      </c>
      <c r="O285" s="321" t="s">
        <v>5096</v>
      </c>
      <c r="P285" s="321">
        <v>5845300</v>
      </c>
      <c r="Q285" s="322">
        <v>-450000</v>
      </c>
      <c r="R285" s="322">
        <v>-300000</v>
      </c>
      <c r="S285" s="322">
        <v>-455000</v>
      </c>
      <c r="T285" s="322">
        <v>-455000</v>
      </c>
      <c r="U285" s="322">
        <f t="shared" si="20"/>
        <v>0</v>
      </c>
      <c r="W285" s="321">
        <f t="shared" si="23"/>
        <v>930</v>
      </c>
      <c r="X285" s="321">
        <f t="shared" si="24"/>
        <v>345303</v>
      </c>
      <c r="Y285" s="321">
        <v>1</v>
      </c>
      <c r="AA285" s="321" t="s">
        <v>5096</v>
      </c>
    </row>
    <row r="286" spans="1:27">
      <c r="A286" s="346">
        <v>930</v>
      </c>
      <c r="B286" s="347">
        <v>348300</v>
      </c>
      <c r="C286" s="348" t="s">
        <v>6661</v>
      </c>
      <c r="D286" s="349">
        <v>0</v>
      </c>
      <c r="E286" s="350">
        <v>0</v>
      </c>
      <c r="F286" s="350">
        <v>0</v>
      </c>
      <c r="H286" s="351">
        <f t="shared" si="21"/>
        <v>0</v>
      </c>
      <c r="I286" s="351">
        <f t="shared" si="22"/>
        <v>0</v>
      </c>
      <c r="M286" s="321">
        <v>1345527410</v>
      </c>
      <c r="N286" s="321">
        <v>34</v>
      </c>
      <c r="O286" s="321" t="s">
        <v>5097</v>
      </c>
      <c r="P286" s="321">
        <v>5845400</v>
      </c>
      <c r="Q286" s="322">
        <v>-245000</v>
      </c>
      <c r="R286" s="322">
        <v>-150900</v>
      </c>
      <c r="S286" s="322">
        <v>-201000</v>
      </c>
      <c r="T286" s="322">
        <v>-201000</v>
      </c>
      <c r="U286" s="322">
        <f t="shared" si="20"/>
        <v>0</v>
      </c>
      <c r="W286" s="321">
        <f t="shared" si="23"/>
        <v>410</v>
      </c>
      <c r="X286" s="321">
        <f t="shared" si="24"/>
        <v>345527</v>
      </c>
      <c r="Y286" s="321">
        <v>1</v>
      </c>
      <c r="AA286" s="321" t="s">
        <v>5097</v>
      </c>
    </row>
    <row r="287" spans="1:27">
      <c r="A287" s="346">
        <v>930</v>
      </c>
      <c r="B287" s="347">
        <v>348301</v>
      </c>
      <c r="C287" s="348" t="s">
        <v>6662</v>
      </c>
      <c r="D287" s="349">
        <v>10</v>
      </c>
      <c r="E287" s="350">
        <v>10</v>
      </c>
      <c r="F287" s="350">
        <v>16</v>
      </c>
      <c r="H287" s="351">
        <f t="shared" si="21"/>
        <v>-10000</v>
      </c>
      <c r="I287" s="351">
        <f t="shared" si="22"/>
        <v>-16000</v>
      </c>
      <c r="M287" s="321">
        <v>1346100930</v>
      </c>
      <c r="N287" s="321">
        <v>34</v>
      </c>
      <c r="O287" s="321" t="s">
        <v>5098</v>
      </c>
      <c r="P287" s="321">
        <v>5846100</v>
      </c>
      <c r="Q287" s="322">
        <v>-171000</v>
      </c>
      <c r="R287" s="322">
        <v>-67600</v>
      </c>
      <c r="S287" s="322">
        <v>-173000</v>
      </c>
      <c r="T287" s="322">
        <v>-173000</v>
      </c>
      <c r="U287" s="322">
        <f t="shared" si="20"/>
        <v>0</v>
      </c>
      <c r="W287" s="321">
        <f t="shared" si="23"/>
        <v>930</v>
      </c>
      <c r="X287" s="321">
        <f t="shared" si="24"/>
        <v>346100</v>
      </c>
      <c r="Y287" s="321">
        <v>1</v>
      </c>
      <c r="AA287" s="321" t="s">
        <v>5098</v>
      </c>
    </row>
    <row r="288" spans="1:27">
      <c r="A288" s="346">
        <v>930</v>
      </c>
      <c r="B288" s="347">
        <v>348302</v>
      </c>
      <c r="C288" s="348" t="s">
        <v>6663</v>
      </c>
      <c r="D288" s="349">
        <v>4</v>
      </c>
      <c r="E288" s="350">
        <v>4</v>
      </c>
      <c r="F288" s="350">
        <v>4</v>
      </c>
      <c r="H288" s="351">
        <f t="shared" si="21"/>
        <v>-4000</v>
      </c>
      <c r="I288" s="351">
        <f t="shared" si="22"/>
        <v>-4000</v>
      </c>
      <c r="M288" s="321">
        <v>1346300930</v>
      </c>
      <c r="N288" s="321">
        <v>34</v>
      </c>
      <c r="O288" s="321" t="s">
        <v>5099</v>
      </c>
      <c r="P288" s="321">
        <v>5846300</v>
      </c>
      <c r="Q288" s="322">
        <v>-65000</v>
      </c>
      <c r="R288" s="322">
        <v>-36400</v>
      </c>
      <c r="S288" s="322">
        <v>-66000</v>
      </c>
      <c r="T288" s="322">
        <v>-66000</v>
      </c>
      <c r="U288" s="322">
        <f t="shared" si="20"/>
        <v>0</v>
      </c>
      <c r="W288" s="321">
        <f t="shared" si="23"/>
        <v>930</v>
      </c>
      <c r="X288" s="321">
        <f t="shared" si="24"/>
        <v>346300</v>
      </c>
      <c r="Y288" s="321">
        <v>1</v>
      </c>
      <c r="AA288" s="321" t="s">
        <v>5099</v>
      </c>
    </row>
    <row r="289" spans="1:27">
      <c r="A289" s="346">
        <v>930</v>
      </c>
      <c r="B289" s="347">
        <v>349001</v>
      </c>
      <c r="C289" s="354" t="s">
        <v>6664</v>
      </c>
      <c r="D289" s="349">
        <v>89</v>
      </c>
      <c r="E289" s="350">
        <v>89</v>
      </c>
      <c r="F289" s="350">
        <v>89</v>
      </c>
      <c r="H289" s="351">
        <f t="shared" si="21"/>
        <v>-89000</v>
      </c>
      <c r="I289" s="351">
        <f t="shared" si="22"/>
        <v>-89000</v>
      </c>
      <c r="M289" s="321">
        <v>1346302930</v>
      </c>
      <c r="N289" s="321">
        <v>34</v>
      </c>
      <c r="O289" s="321" t="s">
        <v>5100</v>
      </c>
      <c r="P289" s="321">
        <v>5846300</v>
      </c>
      <c r="Q289" s="322">
        <v>-260000</v>
      </c>
      <c r="R289" s="322">
        <v>-153900</v>
      </c>
      <c r="S289" s="322">
        <v>-263000</v>
      </c>
      <c r="T289" s="322">
        <v>-263000</v>
      </c>
      <c r="U289" s="322">
        <f t="shared" si="20"/>
        <v>0</v>
      </c>
      <c r="W289" s="321">
        <f t="shared" si="23"/>
        <v>930</v>
      </c>
      <c r="X289" s="321">
        <f t="shared" si="24"/>
        <v>346302</v>
      </c>
      <c r="Y289" s="321">
        <v>1</v>
      </c>
      <c r="AA289" s="321" t="s">
        <v>5100</v>
      </c>
    </row>
    <row r="290" spans="1:27">
      <c r="A290" s="346">
        <v>420</v>
      </c>
      <c r="B290" s="347">
        <v>349002</v>
      </c>
      <c r="C290" s="354" t="s">
        <v>6665</v>
      </c>
      <c r="D290" s="349">
        <v>0</v>
      </c>
      <c r="E290" s="350">
        <v>0</v>
      </c>
      <c r="F290" s="350">
        <v>8</v>
      </c>
      <c r="H290" s="351">
        <f t="shared" si="21"/>
        <v>0</v>
      </c>
      <c r="I290" s="351">
        <f t="shared" si="22"/>
        <v>-8000</v>
      </c>
      <c r="M290" s="321">
        <v>1346400930</v>
      </c>
      <c r="N290" s="321">
        <v>34</v>
      </c>
      <c r="O290" s="321" t="s">
        <v>5101</v>
      </c>
      <c r="P290" s="321">
        <v>5846400</v>
      </c>
      <c r="Q290" s="322">
        <v>-52000</v>
      </c>
      <c r="R290" s="322">
        <v>-18800</v>
      </c>
      <c r="S290" s="322">
        <v>-53000</v>
      </c>
      <c r="T290" s="322">
        <v>-53000</v>
      </c>
      <c r="U290" s="322">
        <f t="shared" si="20"/>
        <v>0</v>
      </c>
      <c r="W290" s="321">
        <f t="shared" si="23"/>
        <v>930</v>
      </c>
      <c r="X290" s="321">
        <f t="shared" si="24"/>
        <v>346400</v>
      </c>
      <c r="Y290" s="321">
        <v>1</v>
      </c>
      <c r="AA290" s="321" t="s">
        <v>5101</v>
      </c>
    </row>
    <row r="291" spans="1:27">
      <c r="A291" s="346">
        <v>930</v>
      </c>
      <c r="B291" s="347">
        <v>349002</v>
      </c>
      <c r="C291" s="354" t="s">
        <v>6666</v>
      </c>
      <c r="D291" s="349">
        <v>36</v>
      </c>
      <c r="E291" s="350">
        <v>30</v>
      </c>
      <c r="F291" s="350">
        <v>30</v>
      </c>
      <c r="H291" s="351">
        <f t="shared" si="21"/>
        <v>-36000</v>
      </c>
      <c r="I291" s="351">
        <f t="shared" si="22"/>
        <v>-30000</v>
      </c>
      <c r="M291" s="321">
        <v>1346402930</v>
      </c>
      <c r="N291" s="321">
        <v>34</v>
      </c>
      <c r="O291" s="321" t="s">
        <v>5102</v>
      </c>
      <c r="P291" s="321">
        <v>5846400</v>
      </c>
      <c r="Q291" s="322">
        <v>-455000</v>
      </c>
      <c r="R291" s="322">
        <v>-591500</v>
      </c>
      <c r="S291" s="322">
        <v>-810000</v>
      </c>
      <c r="T291" s="322">
        <v>-810000</v>
      </c>
      <c r="U291" s="322">
        <f t="shared" si="20"/>
        <v>0</v>
      </c>
      <c r="W291" s="321">
        <f t="shared" si="23"/>
        <v>930</v>
      </c>
      <c r="X291" s="321">
        <f t="shared" si="24"/>
        <v>346402</v>
      </c>
      <c r="Y291" s="321">
        <v>1</v>
      </c>
      <c r="AA291" s="321" t="s">
        <v>5102</v>
      </c>
    </row>
    <row r="292" spans="1:27">
      <c r="A292" s="346">
        <v>930</v>
      </c>
      <c r="B292" s="347">
        <v>349003</v>
      </c>
      <c r="C292" s="354" t="s">
        <v>6667</v>
      </c>
      <c r="D292" s="349">
        <v>150</v>
      </c>
      <c r="E292" s="350">
        <v>150</v>
      </c>
      <c r="F292" s="350">
        <v>150</v>
      </c>
      <c r="H292" s="351">
        <f t="shared" si="21"/>
        <v>-150000</v>
      </c>
      <c r="I292" s="351">
        <f t="shared" si="22"/>
        <v>-150000</v>
      </c>
      <c r="M292" s="321">
        <v>1346500930</v>
      </c>
      <c r="N292" s="321">
        <v>34</v>
      </c>
      <c r="O292" s="321" t="s">
        <v>5103</v>
      </c>
      <c r="P292" s="321">
        <v>5846500</v>
      </c>
      <c r="Q292" s="322">
        <v>-5979700</v>
      </c>
      <c r="R292" s="322">
        <v>-4587100</v>
      </c>
      <c r="S292" s="322">
        <v>-6465000</v>
      </c>
      <c r="T292" s="322">
        <v>-6465000</v>
      </c>
      <c r="U292" s="322">
        <f t="shared" si="20"/>
        <v>0</v>
      </c>
      <c r="W292" s="321">
        <f t="shared" si="23"/>
        <v>930</v>
      </c>
      <c r="X292" s="321">
        <f t="shared" si="24"/>
        <v>346500</v>
      </c>
      <c r="Y292" s="321">
        <v>1</v>
      </c>
      <c r="AA292" s="321" t="s">
        <v>5103</v>
      </c>
    </row>
    <row r="293" spans="1:27">
      <c r="A293" s="346">
        <v>930</v>
      </c>
      <c r="B293" s="347">
        <v>349004</v>
      </c>
      <c r="C293" s="354" t="s">
        <v>6668</v>
      </c>
      <c r="D293" s="349">
        <v>18</v>
      </c>
      <c r="E293" s="350">
        <v>18</v>
      </c>
      <c r="F293" s="350">
        <v>18</v>
      </c>
      <c r="H293" s="351">
        <f t="shared" si="21"/>
        <v>-18000</v>
      </c>
      <c r="I293" s="351">
        <f t="shared" si="22"/>
        <v>-18000</v>
      </c>
      <c r="M293" s="321">
        <v>1346501930</v>
      </c>
      <c r="N293" s="321">
        <v>34</v>
      </c>
      <c r="O293" s="321" t="s">
        <v>5104</v>
      </c>
      <c r="P293" s="321">
        <v>5846500</v>
      </c>
      <c r="Q293" s="322">
        <v>-574200</v>
      </c>
      <c r="R293" s="322">
        <v>-223600</v>
      </c>
      <c r="S293" s="322">
        <v>-581000</v>
      </c>
      <c r="T293" s="322">
        <v>-581000</v>
      </c>
      <c r="U293" s="322">
        <f t="shared" si="20"/>
        <v>0</v>
      </c>
      <c r="W293" s="321">
        <f t="shared" si="23"/>
        <v>930</v>
      </c>
      <c r="X293" s="321">
        <f t="shared" si="24"/>
        <v>346501</v>
      </c>
      <c r="Y293" s="321">
        <v>1</v>
      </c>
      <c r="AA293" s="321" t="s">
        <v>5104</v>
      </c>
    </row>
    <row r="294" spans="1:27">
      <c r="A294" s="346">
        <v>930</v>
      </c>
      <c r="B294" s="347">
        <v>349005</v>
      </c>
      <c r="C294" s="354" t="s">
        <v>6669</v>
      </c>
      <c r="D294" s="349">
        <v>7</v>
      </c>
      <c r="E294" s="350">
        <v>34</v>
      </c>
      <c r="F294" s="350">
        <v>35</v>
      </c>
      <c r="H294" s="351">
        <f t="shared" si="21"/>
        <v>-7000</v>
      </c>
      <c r="I294" s="351">
        <f t="shared" si="22"/>
        <v>-35000</v>
      </c>
      <c r="M294" s="321">
        <v>1346600930</v>
      </c>
      <c r="N294" s="321">
        <v>34</v>
      </c>
      <c r="O294" s="321" t="s">
        <v>5105</v>
      </c>
      <c r="P294" s="321">
        <v>5846600</v>
      </c>
      <c r="Q294" s="322">
        <v>-575000</v>
      </c>
      <c r="R294" s="322">
        <v>-847500</v>
      </c>
      <c r="S294" s="322">
        <v>-1052000</v>
      </c>
      <c r="T294" s="322">
        <v>-1052000</v>
      </c>
      <c r="U294" s="322">
        <f t="shared" si="20"/>
        <v>0</v>
      </c>
      <c r="W294" s="321">
        <f t="shared" si="23"/>
        <v>930</v>
      </c>
      <c r="X294" s="321">
        <f t="shared" si="24"/>
        <v>346600</v>
      </c>
      <c r="Y294" s="321">
        <v>1</v>
      </c>
      <c r="AA294" s="321" t="s">
        <v>5105</v>
      </c>
    </row>
    <row r="295" spans="1:27">
      <c r="A295" s="346">
        <v>420</v>
      </c>
      <c r="B295" s="347">
        <v>349006</v>
      </c>
      <c r="C295" s="354" t="s">
        <v>6670</v>
      </c>
      <c r="D295" s="349">
        <v>0</v>
      </c>
      <c r="E295" s="350">
        <v>0</v>
      </c>
      <c r="F295" s="350">
        <v>17</v>
      </c>
      <c r="H295" s="351">
        <f t="shared" si="21"/>
        <v>0</v>
      </c>
      <c r="I295" s="351">
        <f t="shared" si="22"/>
        <v>-17000</v>
      </c>
      <c r="M295" s="321">
        <v>1346601410</v>
      </c>
      <c r="N295" s="321">
        <v>34</v>
      </c>
      <c r="O295" s="321" t="s">
        <v>5106</v>
      </c>
      <c r="P295" s="321">
        <v>5846600</v>
      </c>
      <c r="Q295" s="322">
        <v>0</v>
      </c>
      <c r="R295" s="322">
        <v>0</v>
      </c>
      <c r="S295" s="322">
        <v>0</v>
      </c>
      <c r="T295" s="322">
        <v>0</v>
      </c>
      <c r="U295" s="322">
        <f t="shared" si="20"/>
        <v>0</v>
      </c>
      <c r="W295" s="321">
        <f t="shared" si="23"/>
        <v>410</v>
      </c>
      <c r="X295" s="321">
        <f t="shared" si="24"/>
        <v>346601</v>
      </c>
      <c r="Y295" s="321">
        <v>1</v>
      </c>
      <c r="AA295" s="321" t="s">
        <v>5106</v>
      </c>
    </row>
    <row r="296" spans="1:27">
      <c r="A296" s="346">
        <v>930</v>
      </c>
      <c r="B296" s="347">
        <v>349006</v>
      </c>
      <c r="C296" s="354" t="s">
        <v>6671</v>
      </c>
      <c r="D296" s="349">
        <v>495</v>
      </c>
      <c r="E296" s="350">
        <v>495</v>
      </c>
      <c r="F296" s="350">
        <v>460</v>
      </c>
      <c r="H296" s="351">
        <f t="shared" si="21"/>
        <v>-495000</v>
      </c>
      <c r="I296" s="351">
        <f t="shared" si="22"/>
        <v>-460000</v>
      </c>
      <c r="M296" s="321">
        <v>1346601930</v>
      </c>
      <c r="N296" s="321">
        <v>34</v>
      </c>
      <c r="O296" s="321" t="s">
        <v>5107</v>
      </c>
      <c r="P296" s="321">
        <v>5846600</v>
      </c>
      <c r="Q296" s="322">
        <v>-534600</v>
      </c>
      <c r="R296" s="322">
        <v>-424100</v>
      </c>
      <c r="S296" s="322">
        <v>-600000</v>
      </c>
      <c r="T296" s="322">
        <v>-600000</v>
      </c>
      <c r="U296" s="322">
        <f t="shared" si="20"/>
        <v>0</v>
      </c>
      <c r="W296" s="321">
        <f t="shared" si="23"/>
        <v>930</v>
      </c>
      <c r="X296" s="321">
        <f t="shared" si="24"/>
        <v>346601</v>
      </c>
      <c r="Y296" s="321">
        <v>1</v>
      </c>
      <c r="AA296" s="321" t="s">
        <v>5107</v>
      </c>
    </row>
    <row r="297" spans="1:27">
      <c r="A297" s="346">
        <v>930</v>
      </c>
      <c r="B297" s="347">
        <v>349007</v>
      </c>
      <c r="C297" s="354" t="s">
        <v>6672</v>
      </c>
      <c r="D297" s="349">
        <v>23</v>
      </c>
      <c r="E297" s="350">
        <v>23</v>
      </c>
      <c r="F297" s="350">
        <v>24</v>
      </c>
      <c r="H297" s="351">
        <f t="shared" si="21"/>
        <v>-23000</v>
      </c>
      <c r="I297" s="351">
        <f t="shared" si="22"/>
        <v>-24000</v>
      </c>
      <c r="M297" s="321">
        <v>1346602930</v>
      </c>
      <c r="N297" s="321">
        <v>34</v>
      </c>
      <c r="O297" s="321" t="s">
        <v>5108</v>
      </c>
      <c r="P297" s="321">
        <v>5846600</v>
      </c>
      <c r="Q297" s="322">
        <v>-170000</v>
      </c>
      <c r="R297" s="322">
        <v>-104300</v>
      </c>
      <c r="S297" s="322">
        <v>-202000</v>
      </c>
      <c r="T297" s="322">
        <v>-202000</v>
      </c>
      <c r="U297" s="322">
        <f t="shared" si="20"/>
        <v>0</v>
      </c>
      <c r="W297" s="321">
        <f t="shared" si="23"/>
        <v>930</v>
      </c>
      <c r="X297" s="321">
        <f t="shared" si="24"/>
        <v>346602</v>
      </c>
      <c r="Y297" s="321">
        <v>1</v>
      </c>
      <c r="AA297" s="321" t="s">
        <v>5108</v>
      </c>
    </row>
    <row r="298" spans="1:27">
      <c r="A298" s="346">
        <v>420</v>
      </c>
      <c r="B298" s="347">
        <v>349008</v>
      </c>
      <c r="C298" s="354" t="s">
        <v>6673</v>
      </c>
      <c r="D298" s="349">
        <v>0</v>
      </c>
      <c r="E298" s="350">
        <v>0</v>
      </c>
      <c r="F298" s="350">
        <v>3</v>
      </c>
      <c r="H298" s="351">
        <f t="shared" si="21"/>
        <v>0</v>
      </c>
      <c r="I298" s="351">
        <f t="shared" si="22"/>
        <v>-3000</v>
      </c>
      <c r="M298" s="321">
        <v>1346700410</v>
      </c>
      <c r="N298" s="321">
        <v>34</v>
      </c>
      <c r="O298" s="321" t="s">
        <v>5109</v>
      </c>
      <c r="P298" s="321">
        <v>5846700</v>
      </c>
      <c r="Q298" s="322">
        <v>-16000</v>
      </c>
      <c r="R298" s="322">
        <v>-22500</v>
      </c>
      <c r="S298" s="322">
        <v>-30000</v>
      </c>
      <c r="T298" s="322">
        <v>-30000</v>
      </c>
      <c r="U298" s="322">
        <f t="shared" si="20"/>
        <v>0</v>
      </c>
      <c r="W298" s="321">
        <f t="shared" si="23"/>
        <v>410</v>
      </c>
      <c r="X298" s="321">
        <f t="shared" si="24"/>
        <v>346700</v>
      </c>
      <c r="Y298" s="321">
        <v>1</v>
      </c>
      <c r="AA298" s="321" t="s">
        <v>5109</v>
      </c>
    </row>
    <row r="299" spans="1:27">
      <c r="A299" s="346">
        <v>930</v>
      </c>
      <c r="B299" s="347">
        <v>349008</v>
      </c>
      <c r="C299" s="354" t="s">
        <v>6674</v>
      </c>
      <c r="D299" s="349">
        <v>11</v>
      </c>
      <c r="E299" s="350">
        <v>11</v>
      </c>
      <c r="F299" s="350">
        <v>17</v>
      </c>
      <c r="H299" s="351">
        <f t="shared" si="21"/>
        <v>-11000</v>
      </c>
      <c r="I299" s="351">
        <f t="shared" si="22"/>
        <v>-17000</v>
      </c>
      <c r="M299" s="321">
        <v>1346700930</v>
      </c>
      <c r="N299" s="321">
        <v>34</v>
      </c>
      <c r="O299" s="321" t="s">
        <v>5110</v>
      </c>
      <c r="P299" s="321">
        <v>5846700</v>
      </c>
      <c r="Q299" s="322">
        <v>-220000</v>
      </c>
      <c r="R299" s="322">
        <v>-123000</v>
      </c>
      <c r="S299" s="322">
        <v>-223000</v>
      </c>
      <c r="T299" s="322">
        <v>-223000</v>
      </c>
      <c r="U299" s="322">
        <f t="shared" si="20"/>
        <v>0</v>
      </c>
      <c r="W299" s="321">
        <f t="shared" si="23"/>
        <v>930</v>
      </c>
      <c r="X299" s="321">
        <f t="shared" si="24"/>
        <v>346700</v>
      </c>
      <c r="Y299" s="321">
        <v>1</v>
      </c>
      <c r="AA299" s="321" t="s">
        <v>5110</v>
      </c>
    </row>
    <row r="300" spans="1:27">
      <c r="A300" s="346">
        <v>420</v>
      </c>
      <c r="B300" s="347">
        <v>349009</v>
      </c>
      <c r="C300" s="354" t="s">
        <v>6675</v>
      </c>
      <c r="D300" s="349">
        <v>0</v>
      </c>
      <c r="E300" s="350">
        <v>0</v>
      </c>
      <c r="F300" s="350">
        <v>2</v>
      </c>
      <c r="H300" s="351">
        <f t="shared" si="21"/>
        <v>0</v>
      </c>
      <c r="I300" s="351">
        <f t="shared" si="22"/>
        <v>-2000</v>
      </c>
      <c r="M300" s="321">
        <v>1346702930</v>
      </c>
      <c r="N300" s="321">
        <v>34</v>
      </c>
      <c r="O300" s="321" t="s">
        <v>5111</v>
      </c>
      <c r="P300" s="321">
        <v>5846700</v>
      </c>
      <c r="Q300" s="322">
        <v>-260000</v>
      </c>
      <c r="R300" s="322">
        <v>-89100</v>
      </c>
      <c r="S300" s="322">
        <v>-263000</v>
      </c>
      <c r="T300" s="322">
        <v>-263000</v>
      </c>
      <c r="U300" s="322">
        <f t="shared" si="20"/>
        <v>0</v>
      </c>
      <c r="W300" s="321">
        <f t="shared" si="23"/>
        <v>930</v>
      </c>
      <c r="X300" s="321">
        <f t="shared" si="24"/>
        <v>346702</v>
      </c>
      <c r="Y300" s="321">
        <v>1</v>
      </c>
      <c r="AA300" s="321" t="s">
        <v>5111</v>
      </c>
    </row>
    <row r="301" spans="1:27">
      <c r="A301" s="346">
        <v>930</v>
      </c>
      <c r="B301" s="347">
        <v>349009</v>
      </c>
      <c r="C301" s="354" t="s">
        <v>6676</v>
      </c>
      <c r="D301" s="349">
        <v>31</v>
      </c>
      <c r="E301" s="350">
        <v>31</v>
      </c>
      <c r="F301" s="350">
        <v>31</v>
      </c>
      <c r="H301" s="351">
        <f t="shared" si="21"/>
        <v>-31000</v>
      </c>
      <c r="I301" s="351">
        <f t="shared" si="22"/>
        <v>-31000</v>
      </c>
      <c r="M301" s="321">
        <v>1346703930</v>
      </c>
      <c r="N301" s="321">
        <v>34</v>
      </c>
      <c r="O301" s="321" t="s">
        <v>5112</v>
      </c>
      <c r="P301" s="321">
        <v>5846700</v>
      </c>
      <c r="Q301" s="322">
        <v>-2154000</v>
      </c>
      <c r="R301" s="322">
        <v>-1135300</v>
      </c>
      <c r="S301" s="322">
        <v>-2180000</v>
      </c>
      <c r="T301" s="322">
        <v>-2180000</v>
      </c>
      <c r="U301" s="322">
        <f t="shared" si="20"/>
        <v>0</v>
      </c>
      <c r="W301" s="321">
        <f t="shared" si="23"/>
        <v>930</v>
      </c>
      <c r="X301" s="321">
        <f t="shared" si="24"/>
        <v>346703</v>
      </c>
      <c r="Y301" s="321">
        <v>1</v>
      </c>
      <c r="AA301" s="321" t="s">
        <v>5112</v>
      </c>
    </row>
    <row r="302" spans="1:27">
      <c r="A302" s="346">
        <v>930</v>
      </c>
      <c r="B302" s="347">
        <v>349010</v>
      </c>
      <c r="C302" s="354" t="s">
        <v>6677</v>
      </c>
      <c r="D302" s="349">
        <v>31</v>
      </c>
      <c r="E302" s="350">
        <v>31</v>
      </c>
      <c r="F302" s="350">
        <v>31</v>
      </c>
      <c r="H302" s="351">
        <f t="shared" si="21"/>
        <v>-31000</v>
      </c>
      <c r="I302" s="351">
        <f t="shared" si="22"/>
        <v>-31000</v>
      </c>
      <c r="M302" s="321">
        <v>1346704930</v>
      </c>
      <c r="N302" s="321">
        <v>34</v>
      </c>
      <c r="O302" s="321" t="s">
        <v>5113</v>
      </c>
      <c r="P302" s="321">
        <v>5846700</v>
      </c>
      <c r="Q302" s="322">
        <v>-125000</v>
      </c>
      <c r="R302" s="322">
        <v>-70400</v>
      </c>
      <c r="S302" s="322">
        <v>-127000</v>
      </c>
      <c r="T302" s="322">
        <v>-127000</v>
      </c>
      <c r="U302" s="322">
        <f t="shared" si="20"/>
        <v>0</v>
      </c>
      <c r="W302" s="321">
        <f t="shared" si="23"/>
        <v>930</v>
      </c>
      <c r="X302" s="321">
        <f t="shared" si="24"/>
        <v>346704</v>
      </c>
      <c r="Y302" s="321">
        <v>1</v>
      </c>
      <c r="AA302" s="321" t="s">
        <v>5113</v>
      </c>
    </row>
    <row r="303" spans="1:27">
      <c r="A303" s="346">
        <v>930</v>
      </c>
      <c r="B303" s="347">
        <v>349011</v>
      </c>
      <c r="C303" s="354" t="s">
        <v>6678</v>
      </c>
      <c r="D303" s="349">
        <v>13</v>
      </c>
      <c r="E303" s="350">
        <v>7</v>
      </c>
      <c r="F303" s="350">
        <v>7</v>
      </c>
      <c r="H303" s="351">
        <f t="shared" si="21"/>
        <v>-13000</v>
      </c>
      <c r="I303" s="351">
        <f t="shared" si="22"/>
        <v>-7000</v>
      </c>
      <c r="M303" s="321">
        <v>1346705930</v>
      </c>
      <c r="N303" s="321">
        <v>34</v>
      </c>
      <c r="O303" s="321" t="s">
        <v>5114</v>
      </c>
      <c r="P303" s="321">
        <v>5846700</v>
      </c>
      <c r="Q303" s="322">
        <v>-450000</v>
      </c>
      <c r="R303" s="322">
        <v>-562500</v>
      </c>
      <c r="S303" s="322">
        <v>-688000</v>
      </c>
      <c r="T303" s="322">
        <v>-688000</v>
      </c>
      <c r="U303" s="322">
        <f t="shared" si="20"/>
        <v>0</v>
      </c>
      <c r="W303" s="321">
        <f t="shared" si="23"/>
        <v>930</v>
      </c>
      <c r="X303" s="321">
        <f t="shared" si="24"/>
        <v>346705</v>
      </c>
      <c r="Y303" s="321">
        <v>1</v>
      </c>
      <c r="AA303" s="321" t="s">
        <v>5114</v>
      </c>
    </row>
    <row r="304" spans="1:27">
      <c r="A304" s="346">
        <v>930</v>
      </c>
      <c r="B304" s="347">
        <v>349100</v>
      </c>
      <c r="C304" s="354" t="s">
        <v>6679</v>
      </c>
      <c r="D304" s="349">
        <v>0</v>
      </c>
      <c r="E304" s="350">
        <v>0</v>
      </c>
      <c r="F304" s="350">
        <v>0</v>
      </c>
      <c r="H304" s="351">
        <f t="shared" si="21"/>
        <v>0</v>
      </c>
      <c r="I304" s="351">
        <f t="shared" si="22"/>
        <v>0</v>
      </c>
      <c r="M304" s="321">
        <v>1346706930</v>
      </c>
      <c r="N304" s="321">
        <v>34</v>
      </c>
      <c r="O304" s="321" t="s">
        <v>5115</v>
      </c>
      <c r="P304" s="321">
        <v>5846700</v>
      </c>
      <c r="Q304" s="322">
        <v>-100000</v>
      </c>
      <c r="R304" s="322">
        <v>-262500</v>
      </c>
      <c r="S304" s="322">
        <v>-253000</v>
      </c>
      <c r="T304" s="322">
        <v>-253000</v>
      </c>
      <c r="U304" s="322">
        <f t="shared" si="20"/>
        <v>0</v>
      </c>
      <c r="W304" s="321">
        <f t="shared" si="23"/>
        <v>930</v>
      </c>
      <c r="X304" s="321">
        <f t="shared" si="24"/>
        <v>346706</v>
      </c>
      <c r="Y304" s="321">
        <v>1</v>
      </c>
      <c r="AA304" s="321" t="s">
        <v>5115</v>
      </c>
    </row>
    <row r="305" spans="1:27">
      <c r="A305" s="346">
        <v>930</v>
      </c>
      <c r="B305" s="347">
        <v>349300</v>
      </c>
      <c r="C305" s="354" t="s">
        <v>6680</v>
      </c>
      <c r="D305" s="349">
        <v>0</v>
      </c>
      <c r="E305" s="350">
        <v>0</v>
      </c>
      <c r="F305" s="350">
        <v>0</v>
      </c>
      <c r="H305" s="351">
        <f t="shared" si="21"/>
        <v>0</v>
      </c>
      <c r="I305" s="351">
        <f t="shared" si="22"/>
        <v>0</v>
      </c>
      <c r="M305" s="321">
        <v>1346707930</v>
      </c>
      <c r="N305" s="321">
        <v>34</v>
      </c>
      <c r="O305" s="321" t="s">
        <v>5116</v>
      </c>
      <c r="P305" s="321">
        <v>5846700</v>
      </c>
      <c r="Q305" s="322">
        <v>-345000</v>
      </c>
      <c r="R305" s="322">
        <v>-206300</v>
      </c>
      <c r="S305" s="322">
        <v>-352000</v>
      </c>
      <c r="T305" s="322">
        <v>-352000</v>
      </c>
      <c r="U305" s="322">
        <f t="shared" si="20"/>
        <v>0</v>
      </c>
      <c r="W305" s="321">
        <f t="shared" si="23"/>
        <v>930</v>
      </c>
      <c r="X305" s="321">
        <f t="shared" si="24"/>
        <v>346707</v>
      </c>
      <c r="Y305" s="321">
        <v>1</v>
      </c>
      <c r="AA305" s="321" t="s">
        <v>5116</v>
      </c>
    </row>
    <row r="306" spans="1:27">
      <c r="A306" s="346">
        <v>930</v>
      </c>
      <c r="B306" s="347">
        <v>349400</v>
      </c>
      <c r="C306" s="348" t="s">
        <v>6681</v>
      </c>
      <c r="D306" s="349">
        <v>0</v>
      </c>
      <c r="E306" s="350">
        <v>0</v>
      </c>
      <c r="F306" s="350">
        <v>0</v>
      </c>
      <c r="H306" s="351">
        <f t="shared" si="21"/>
        <v>0</v>
      </c>
      <c r="I306" s="351">
        <f t="shared" si="22"/>
        <v>0</v>
      </c>
      <c r="M306" s="321">
        <v>1346710930</v>
      </c>
      <c r="N306" s="321">
        <v>34</v>
      </c>
      <c r="O306" s="321" t="s">
        <v>3994</v>
      </c>
      <c r="P306" s="321">
        <v>5846700</v>
      </c>
      <c r="Q306" s="322">
        <v>-450000</v>
      </c>
      <c r="R306" s="322">
        <v>-188600</v>
      </c>
      <c r="S306" s="322">
        <v>-455000</v>
      </c>
      <c r="T306" s="322">
        <v>-455000</v>
      </c>
      <c r="U306" s="322">
        <f t="shared" si="20"/>
        <v>0</v>
      </c>
      <c r="W306" s="321">
        <f t="shared" si="23"/>
        <v>930</v>
      </c>
      <c r="X306" s="321">
        <f t="shared" si="24"/>
        <v>346710</v>
      </c>
      <c r="Y306" s="321">
        <v>1</v>
      </c>
      <c r="AA306" s="321" t="s">
        <v>3994</v>
      </c>
    </row>
    <row r="307" spans="1:27">
      <c r="A307" s="346">
        <v>920</v>
      </c>
      <c r="B307" s="347">
        <v>361000</v>
      </c>
      <c r="C307" s="355" t="s">
        <v>6682</v>
      </c>
      <c r="D307" s="349">
        <v>50</v>
      </c>
      <c r="E307" s="350">
        <v>40</v>
      </c>
      <c r="F307" s="350">
        <v>40</v>
      </c>
      <c r="H307" s="351">
        <f t="shared" si="21"/>
        <v>-50000</v>
      </c>
      <c r="I307" s="351">
        <f t="shared" si="22"/>
        <v>-40000</v>
      </c>
      <c r="M307" s="321">
        <v>1346711930</v>
      </c>
      <c r="N307" s="321">
        <v>34</v>
      </c>
      <c r="O307" s="321" t="s">
        <v>5117</v>
      </c>
      <c r="P307" s="321">
        <v>5846700</v>
      </c>
      <c r="Q307" s="322">
        <v>-190000</v>
      </c>
      <c r="R307" s="322">
        <v>-310100</v>
      </c>
      <c r="S307" s="322">
        <v>-418000</v>
      </c>
      <c r="T307" s="322">
        <v>-418000</v>
      </c>
      <c r="U307" s="322">
        <f t="shared" si="20"/>
        <v>0</v>
      </c>
      <c r="W307" s="321">
        <f t="shared" si="23"/>
        <v>930</v>
      </c>
      <c r="X307" s="321">
        <f t="shared" si="24"/>
        <v>346711</v>
      </c>
      <c r="Y307" s="321">
        <v>1</v>
      </c>
      <c r="AA307" s="321" t="s">
        <v>5117</v>
      </c>
    </row>
    <row r="308" spans="1:27">
      <c r="A308" s="346">
        <v>950</v>
      </c>
      <c r="B308" s="347">
        <v>369000</v>
      </c>
      <c r="C308" s="368" t="s">
        <v>6683</v>
      </c>
      <c r="D308" s="349">
        <v>385</v>
      </c>
      <c r="E308" s="350">
        <v>85</v>
      </c>
      <c r="F308" s="350">
        <v>85</v>
      </c>
      <c r="H308" s="351">
        <f t="shared" si="21"/>
        <v>-385000</v>
      </c>
      <c r="I308" s="351">
        <f t="shared" si="22"/>
        <v>-85000</v>
      </c>
      <c r="M308" s="321">
        <v>1346712930</v>
      </c>
      <c r="N308" s="321">
        <v>34</v>
      </c>
      <c r="O308" s="321" t="s">
        <v>5118</v>
      </c>
      <c r="P308" s="321">
        <v>5846700</v>
      </c>
      <c r="Q308" s="322">
        <v>-155000</v>
      </c>
      <c r="R308" s="322">
        <v>-114800</v>
      </c>
      <c r="S308" s="322">
        <v>-173000</v>
      </c>
      <c r="T308" s="322">
        <v>-173000</v>
      </c>
      <c r="U308" s="322">
        <f t="shared" si="20"/>
        <v>0</v>
      </c>
      <c r="W308" s="321">
        <f t="shared" si="23"/>
        <v>930</v>
      </c>
      <c r="X308" s="321">
        <f t="shared" si="24"/>
        <v>346712</v>
      </c>
      <c r="Y308" s="321">
        <v>1</v>
      </c>
      <c r="AA308" s="321" t="s">
        <v>5118</v>
      </c>
    </row>
    <row r="309" spans="1:27">
      <c r="A309" s="346">
        <v>997</v>
      </c>
      <c r="B309" s="347">
        <v>379000</v>
      </c>
      <c r="C309" s="368" t="s">
        <v>6684</v>
      </c>
      <c r="D309" s="349">
        <v>135</v>
      </c>
      <c r="E309" s="350">
        <v>135</v>
      </c>
      <c r="F309" s="350">
        <v>135</v>
      </c>
      <c r="H309" s="351">
        <f t="shared" si="21"/>
        <v>-135000</v>
      </c>
      <c r="I309" s="351">
        <f t="shared" si="22"/>
        <v>-135000</v>
      </c>
      <c r="M309" s="321">
        <v>1346714930</v>
      </c>
      <c r="N309" s="321">
        <v>34</v>
      </c>
      <c r="O309" s="321" t="s">
        <v>5119</v>
      </c>
      <c r="P309" s="321">
        <v>5846700</v>
      </c>
      <c r="Q309" s="322">
        <v>-28100</v>
      </c>
      <c r="R309" s="322">
        <v>0</v>
      </c>
      <c r="S309" s="322">
        <v>-28000</v>
      </c>
      <c r="T309" s="322">
        <v>-28000</v>
      </c>
      <c r="U309" s="322">
        <f t="shared" si="20"/>
        <v>0</v>
      </c>
      <c r="W309" s="321">
        <f t="shared" si="23"/>
        <v>930</v>
      </c>
      <c r="X309" s="321">
        <f t="shared" si="24"/>
        <v>346714</v>
      </c>
      <c r="Y309" s="321">
        <v>1</v>
      </c>
      <c r="AA309" s="321" t="s">
        <v>5119</v>
      </c>
    </row>
    <row r="310" spans="1:27">
      <c r="A310" s="346">
        <v>998</v>
      </c>
      <c r="B310" s="347">
        <v>379000</v>
      </c>
      <c r="C310" s="368" t="s">
        <v>6685</v>
      </c>
      <c r="D310" s="349">
        <v>0</v>
      </c>
      <c r="E310" s="350">
        <v>34</v>
      </c>
      <c r="F310" s="350">
        <v>34</v>
      </c>
      <c r="H310" s="351">
        <f t="shared" si="21"/>
        <v>0</v>
      </c>
      <c r="I310" s="351">
        <f t="shared" si="22"/>
        <v>-34000</v>
      </c>
      <c r="M310" s="321">
        <v>1346715930</v>
      </c>
      <c r="N310" s="321">
        <v>34</v>
      </c>
      <c r="O310" s="321" t="s">
        <v>5120</v>
      </c>
      <c r="P310" s="321">
        <v>5846700</v>
      </c>
      <c r="Q310" s="322">
        <v>-27000</v>
      </c>
      <c r="R310" s="322">
        <v>-7700</v>
      </c>
      <c r="S310" s="322">
        <v>-27000</v>
      </c>
      <c r="T310" s="322">
        <v>-27000</v>
      </c>
      <c r="U310" s="322">
        <f t="shared" si="20"/>
        <v>0</v>
      </c>
      <c r="W310" s="321">
        <f t="shared" si="23"/>
        <v>930</v>
      </c>
      <c r="X310" s="321">
        <f t="shared" si="24"/>
        <v>346715</v>
      </c>
      <c r="Y310" s="321">
        <v>1</v>
      </c>
      <c r="AA310" s="321" t="s">
        <v>5120</v>
      </c>
    </row>
    <row r="311" spans="1:27">
      <c r="A311" s="346">
        <v>210</v>
      </c>
      <c r="B311" s="347">
        <v>413100</v>
      </c>
      <c r="C311" s="348" t="s">
        <v>6686</v>
      </c>
      <c r="D311" s="349">
        <v>0</v>
      </c>
      <c r="E311" s="350">
        <v>550</v>
      </c>
      <c r="F311" s="350">
        <v>360</v>
      </c>
      <c r="H311" s="351">
        <f t="shared" si="21"/>
        <v>0</v>
      </c>
      <c r="I311" s="351">
        <f t="shared" si="22"/>
        <v>-360000</v>
      </c>
      <c r="M311" s="321">
        <v>1346716930</v>
      </c>
      <c r="N311" s="321">
        <v>34</v>
      </c>
      <c r="O311" s="321" t="s">
        <v>5121</v>
      </c>
      <c r="P311" s="321">
        <v>5846700</v>
      </c>
      <c r="Q311" s="322">
        <v>0</v>
      </c>
      <c r="R311" s="322">
        <v>0</v>
      </c>
      <c r="S311" s="322">
        <v>0</v>
      </c>
      <c r="T311" s="322">
        <v>0</v>
      </c>
      <c r="U311" s="322">
        <f t="shared" si="20"/>
        <v>0</v>
      </c>
      <c r="W311" s="321">
        <f t="shared" si="23"/>
        <v>930</v>
      </c>
      <c r="X311" s="321">
        <f t="shared" si="24"/>
        <v>346716</v>
      </c>
      <c r="Y311" s="321">
        <v>1</v>
      </c>
      <c r="AA311" s="321" t="s">
        <v>5121</v>
      </c>
    </row>
    <row r="312" spans="1:27">
      <c r="A312" s="362">
        <v>420</v>
      </c>
      <c r="B312" s="363">
        <v>413200</v>
      </c>
      <c r="C312" s="364" t="s">
        <v>6687</v>
      </c>
      <c r="D312" s="365">
        <v>2189</v>
      </c>
      <c r="E312" s="366">
        <v>2100</v>
      </c>
      <c r="F312" s="366">
        <v>2250</v>
      </c>
      <c r="H312" s="351">
        <f t="shared" si="21"/>
        <v>-2189000</v>
      </c>
      <c r="I312" s="351">
        <f t="shared" si="22"/>
        <v>-2250000</v>
      </c>
      <c r="M312" s="321">
        <v>1346800930</v>
      </c>
      <c r="N312" s="321">
        <v>34</v>
      </c>
      <c r="O312" s="321" t="s">
        <v>5122</v>
      </c>
      <c r="P312" s="321">
        <v>5846800</v>
      </c>
      <c r="Q312" s="322">
        <v>-185000</v>
      </c>
      <c r="R312" s="322">
        <v>-43300</v>
      </c>
      <c r="S312" s="322">
        <v>-61000</v>
      </c>
      <c r="T312" s="322">
        <v>-61000</v>
      </c>
      <c r="U312" s="322">
        <f t="shared" si="20"/>
        <v>0</v>
      </c>
      <c r="W312" s="321">
        <f t="shared" si="23"/>
        <v>930</v>
      </c>
      <c r="X312" s="321">
        <f t="shared" si="24"/>
        <v>346800</v>
      </c>
      <c r="Y312" s="321">
        <v>1</v>
      </c>
      <c r="AA312" s="321" t="s">
        <v>5122</v>
      </c>
    </row>
    <row r="313" spans="1:27">
      <c r="A313" s="362">
        <v>220</v>
      </c>
      <c r="B313" s="363">
        <v>413300</v>
      </c>
      <c r="C313" s="364" t="s">
        <v>6688</v>
      </c>
      <c r="D313" s="365">
        <v>0</v>
      </c>
      <c r="E313" s="366">
        <v>0</v>
      </c>
      <c r="F313" s="366">
        <v>0</v>
      </c>
      <c r="H313" s="351">
        <f t="shared" si="21"/>
        <v>0</v>
      </c>
      <c r="I313" s="351">
        <f t="shared" si="22"/>
        <v>0</v>
      </c>
      <c r="M313" s="321">
        <v>1346801930</v>
      </c>
      <c r="N313" s="321">
        <v>34</v>
      </c>
      <c r="O313" s="321" t="s">
        <v>5123</v>
      </c>
      <c r="P313" s="321">
        <v>5846800</v>
      </c>
      <c r="Q313" s="322">
        <v>-55000</v>
      </c>
      <c r="R313" s="322">
        <v>-11700</v>
      </c>
      <c r="S313" s="322">
        <v>-64000</v>
      </c>
      <c r="T313" s="322">
        <v>-64000</v>
      </c>
      <c r="U313" s="322">
        <f t="shared" si="20"/>
        <v>0</v>
      </c>
      <c r="W313" s="321">
        <f t="shared" si="23"/>
        <v>930</v>
      </c>
      <c r="X313" s="321">
        <f t="shared" si="24"/>
        <v>346801</v>
      </c>
      <c r="Y313" s="321">
        <v>1</v>
      </c>
      <c r="AA313" s="321" t="s">
        <v>5123</v>
      </c>
    </row>
    <row r="314" spans="1:27">
      <c r="A314" s="346">
        <v>670</v>
      </c>
      <c r="B314" s="347">
        <v>430000</v>
      </c>
      <c r="C314" s="348" t="s">
        <v>6689</v>
      </c>
      <c r="D314" s="349">
        <v>6500</v>
      </c>
      <c r="E314" s="350">
        <v>5500</v>
      </c>
      <c r="F314" s="350">
        <v>4600</v>
      </c>
      <c r="H314" s="351">
        <f t="shared" si="21"/>
        <v>-6500000</v>
      </c>
      <c r="I314" s="351">
        <f t="shared" si="22"/>
        <v>-4600000</v>
      </c>
      <c r="M314" s="321">
        <v>1346802930</v>
      </c>
      <c r="N314" s="321">
        <v>34</v>
      </c>
      <c r="O314" s="321" t="s">
        <v>5124</v>
      </c>
      <c r="P314" s="321">
        <v>5846800</v>
      </c>
      <c r="Q314" s="322">
        <v>-63000</v>
      </c>
      <c r="R314" s="322">
        <v>-59400</v>
      </c>
      <c r="S314" s="322">
        <v>-102000</v>
      </c>
      <c r="T314" s="322">
        <v>-102000</v>
      </c>
      <c r="U314" s="322">
        <f t="shared" si="20"/>
        <v>0</v>
      </c>
      <c r="W314" s="321">
        <f t="shared" si="23"/>
        <v>930</v>
      </c>
      <c r="X314" s="321">
        <f t="shared" si="24"/>
        <v>346802</v>
      </c>
      <c r="Y314" s="321">
        <v>1</v>
      </c>
      <c r="AA314" s="321" t="s">
        <v>5124</v>
      </c>
    </row>
    <row r="315" spans="1:27">
      <c r="A315" s="346">
        <v>671</v>
      </c>
      <c r="B315" s="347">
        <v>430000</v>
      </c>
      <c r="C315" s="348" t="s">
        <v>6690</v>
      </c>
      <c r="D315" s="349">
        <v>2805</v>
      </c>
      <c r="E315" s="350">
        <v>2770</v>
      </c>
      <c r="F315" s="350">
        <v>2850</v>
      </c>
      <c r="H315" s="351">
        <f t="shared" si="21"/>
        <v>-2805000</v>
      </c>
      <c r="I315" s="351">
        <f t="shared" si="22"/>
        <v>-2850000</v>
      </c>
      <c r="M315" s="321">
        <v>1346804930</v>
      </c>
      <c r="N315" s="321">
        <v>34</v>
      </c>
      <c r="O315" s="321" t="s">
        <v>5125</v>
      </c>
      <c r="P315" s="321">
        <v>5846800</v>
      </c>
      <c r="Q315" s="322">
        <v>-330000</v>
      </c>
      <c r="R315" s="322">
        <v>-217500</v>
      </c>
      <c r="S315" s="322">
        <v>-334000</v>
      </c>
      <c r="T315" s="322">
        <v>-334000</v>
      </c>
      <c r="U315" s="322">
        <f t="shared" si="20"/>
        <v>0</v>
      </c>
      <c r="W315" s="321">
        <f t="shared" si="23"/>
        <v>930</v>
      </c>
      <c r="X315" s="321">
        <f t="shared" si="24"/>
        <v>346804</v>
      </c>
      <c r="Y315" s="321">
        <v>1</v>
      </c>
      <c r="AA315" s="321" t="s">
        <v>5125</v>
      </c>
    </row>
    <row r="316" spans="1:27">
      <c r="A316" s="346">
        <v>672</v>
      </c>
      <c r="B316" s="347">
        <v>430000</v>
      </c>
      <c r="C316" s="348" t="s">
        <v>6691</v>
      </c>
      <c r="D316" s="349">
        <v>140</v>
      </c>
      <c r="E316" s="350">
        <v>135</v>
      </c>
      <c r="F316" s="350">
        <v>140</v>
      </c>
      <c r="H316" s="351">
        <f t="shared" si="21"/>
        <v>-140000</v>
      </c>
      <c r="I316" s="351">
        <f t="shared" si="22"/>
        <v>-140000</v>
      </c>
      <c r="M316" s="321">
        <v>1346805930</v>
      </c>
      <c r="N316" s="321">
        <v>34</v>
      </c>
      <c r="O316" s="321" t="s">
        <v>5126</v>
      </c>
      <c r="P316" s="321">
        <v>5846800</v>
      </c>
      <c r="Q316" s="322">
        <v>-68000</v>
      </c>
      <c r="R316" s="322">
        <v>-64300</v>
      </c>
      <c r="S316" s="322">
        <v>-75000</v>
      </c>
      <c r="T316" s="322">
        <v>-75000</v>
      </c>
      <c r="U316" s="322">
        <f t="shared" si="20"/>
        <v>0</v>
      </c>
      <c r="W316" s="321">
        <f t="shared" si="23"/>
        <v>930</v>
      </c>
      <c r="X316" s="321">
        <f t="shared" si="24"/>
        <v>346805</v>
      </c>
      <c r="Y316" s="321">
        <v>1</v>
      </c>
      <c r="AA316" s="321" t="s">
        <v>5126</v>
      </c>
    </row>
    <row r="317" spans="1:27">
      <c r="A317" s="346">
        <v>280</v>
      </c>
      <c r="B317" s="347">
        <v>443000</v>
      </c>
      <c r="C317" s="348" t="s">
        <v>6692</v>
      </c>
      <c r="D317" s="349">
        <v>9200</v>
      </c>
      <c r="E317" s="350">
        <v>8675</v>
      </c>
      <c r="F317" s="350">
        <v>9250</v>
      </c>
      <c r="H317" s="351">
        <f t="shared" si="21"/>
        <v>-9200000</v>
      </c>
      <c r="I317" s="351">
        <f t="shared" si="22"/>
        <v>-9250000</v>
      </c>
      <c r="M317" s="321">
        <v>1347100930</v>
      </c>
      <c r="N317" s="321">
        <v>34</v>
      </c>
      <c r="O317" s="321" t="s">
        <v>5127</v>
      </c>
      <c r="P317" s="321">
        <v>5847100</v>
      </c>
      <c r="Q317" s="322">
        <v>-514000</v>
      </c>
      <c r="R317" s="322">
        <v>-253100</v>
      </c>
      <c r="S317" s="322">
        <v>-520000</v>
      </c>
      <c r="T317" s="322">
        <v>-520000</v>
      </c>
      <c r="U317" s="322">
        <f t="shared" si="20"/>
        <v>0</v>
      </c>
      <c r="W317" s="321">
        <f t="shared" si="23"/>
        <v>930</v>
      </c>
      <c r="X317" s="321">
        <f t="shared" si="24"/>
        <v>347100</v>
      </c>
      <c r="Y317" s="321">
        <v>1</v>
      </c>
      <c r="AA317" s="321" t="s">
        <v>5127</v>
      </c>
    </row>
    <row r="318" spans="1:27">
      <c r="A318" s="346">
        <v>220</v>
      </c>
      <c r="B318" s="347">
        <v>443100</v>
      </c>
      <c r="C318" s="348" t="s">
        <v>6693</v>
      </c>
      <c r="D318" s="349">
        <v>5355</v>
      </c>
      <c r="E318" s="350">
        <v>5100</v>
      </c>
      <c r="F318" s="350">
        <v>4745</v>
      </c>
      <c r="H318" s="351">
        <f t="shared" si="21"/>
        <v>-5355000</v>
      </c>
      <c r="I318" s="351">
        <f t="shared" si="22"/>
        <v>-4745000</v>
      </c>
      <c r="M318" s="321">
        <v>1347102930</v>
      </c>
      <c r="N318" s="321">
        <v>34</v>
      </c>
      <c r="O318" s="321" t="s">
        <v>5128</v>
      </c>
      <c r="P318" s="321">
        <v>5847100</v>
      </c>
      <c r="Q318" s="322">
        <v>-125500</v>
      </c>
      <c r="R318" s="322">
        <v>-120800</v>
      </c>
      <c r="S318" s="322">
        <v>-501000</v>
      </c>
      <c r="T318" s="322">
        <v>-501000</v>
      </c>
      <c r="U318" s="322">
        <f t="shared" si="20"/>
        <v>0</v>
      </c>
      <c r="W318" s="321">
        <f t="shared" si="23"/>
        <v>930</v>
      </c>
      <c r="X318" s="321">
        <f t="shared" si="24"/>
        <v>347102</v>
      </c>
      <c r="Y318" s="321">
        <v>1</v>
      </c>
      <c r="AA318" s="321" t="s">
        <v>5128</v>
      </c>
    </row>
    <row r="319" spans="1:27">
      <c r="A319" s="346">
        <v>220</v>
      </c>
      <c r="B319" s="347">
        <v>443200</v>
      </c>
      <c r="C319" s="348" t="s">
        <v>6694</v>
      </c>
      <c r="D319" s="349">
        <v>11000</v>
      </c>
      <c r="E319" s="350">
        <v>9850</v>
      </c>
      <c r="F319" s="350">
        <v>9280</v>
      </c>
      <c r="H319" s="351">
        <f t="shared" si="21"/>
        <v>-11000000</v>
      </c>
      <c r="I319" s="351">
        <f t="shared" si="22"/>
        <v>-9280000</v>
      </c>
      <c r="M319" s="321">
        <v>1347103930</v>
      </c>
      <c r="N319" s="321">
        <v>34</v>
      </c>
      <c r="O319" s="321" t="s">
        <v>5129</v>
      </c>
      <c r="P319" s="321">
        <v>5847100</v>
      </c>
      <c r="Q319" s="322">
        <v>-68000</v>
      </c>
      <c r="R319" s="322">
        <v>-11600</v>
      </c>
      <c r="S319" s="322">
        <v>-69000</v>
      </c>
      <c r="T319" s="322">
        <v>-69000</v>
      </c>
      <c r="U319" s="322">
        <f t="shared" si="20"/>
        <v>0</v>
      </c>
      <c r="W319" s="321">
        <f t="shared" si="23"/>
        <v>930</v>
      </c>
      <c r="X319" s="321">
        <f t="shared" si="24"/>
        <v>347103</v>
      </c>
      <c r="Y319" s="321">
        <v>1</v>
      </c>
      <c r="AA319" s="321" t="s">
        <v>5129</v>
      </c>
    </row>
    <row r="320" spans="1:27">
      <c r="A320" s="362">
        <v>222</v>
      </c>
      <c r="B320" s="363">
        <v>443200</v>
      </c>
      <c r="C320" s="364" t="s">
        <v>6695</v>
      </c>
      <c r="D320" s="365">
        <v>1550</v>
      </c>
      <c r="E320" s="366">
        <v>1550</v>
      </c>
      <c r="F320" s="366">
        <v>1500</v>
      </c>
      <c r="H320" s="351">
        <f t="shared" si="21"/>
        <v>-1550000</v>
      </c>
      <c r="I320" s="351">
        <f t="shared" si="22"/>
        <v>-1500000</v>
      </c>
      <c r="M320" s="321">
        <v>1347105930</v>
      </c>
      <c r="N320" s="321">
        <v>34</v>
      </c>
      <c r="O320" s="321" t="s">
        <v>5130</v>
      </c>
      <c r="P320" s="321">
        <v>5847100</v>
      </c>
      <c r="Q320" s="322">
        <v>0</v>
      </c>
      <c r="R320" s="322">
        <v>0</v>
      </c>
      <c r="S320" s="322">
        <v>0</v>
      </c>
      <c r="T320" s="322">
        <v>0</v>
      </c>
      <c r="U320" s="322">
        <f t="shared" si="20"/>
        <v>0</v>
      </c>
      <c r="W320" s="321">
        <f t="shared" si="23"/>
        <v>930</v>
      </c>
      <c r="X320" s="321">
        <f t="shared" si="24"/>
        <v>347105</v>
      </c>
      <c r="Y320" s="321">
        <v>1</v>
      </c>
      <c r="AA320" s="321" t="s">
        <v>5130</v>
      </c>
    </row>
    <row r="321" spans="1:27">
      <c r="A321" s="346">
        <v>590</v>
      </c>
      <c r="B321" s="347">
        <v>471000</v>
      </c>
      <c r="C321" s="348" t="s">
        <v>6696</v>
      </c>
      <c r="D321" s="349">
        <v>0</v>
      </c>
      <c r="E321" s="350">
        <v>9520</v>
      </c>
      <c r="F321" s="350">
        <v>9750</v>
      </c>
      <c r="H321" s="351">
        <f t="shared" si="21"/>
        <v>0</v>
      </c>
      <c r="I321" s="351">
        <f t="shared" si="22"/>
        <v>-9750000</v>
      </c>
      <c r="M321" s="321">
        <v>1347106930</v>
      </c>
      <c r="N321" s="321">
        <v>34</v>
      </c>
      <c r="O321" s="321" t="s">
        <v>5131</v>
      </c>
      <c r="P321" s="321">
        <v>5847100</v>
      </c>
      <c r="Q321" s="322">
        <v>-235800</v>
      </c>
      <c r="R321" s="322">
        <v>-519500</v>
      </c>
      <c r="S321" s="322">
        <v>-774000</v>
      </c>
      <c r="T321" s="322">
        <v>-774000</v>
      </c>
      <c r="U321" s="322">
        <f t="shared" si="20"/>
        <v>0</v>
      </c>
      <c r="W321" s="321">
        <f t="shared" si="23"/>
        <v>930</v>
      </c>
      <c r="X321" s="321">
        <f t="shared" si="24"/>
        <v>347106</v>
      </c>
      <c r="Y321" s="321">
        <v>1</v>
      </c>
      <c r="AA321" s="321" t="s">
        <v>5131</v>
      </c>
    </row>
    <row r="322" spans="1:27">
      <c r="A322" s="346">
        <v>210</v>
      </c>
      <c r="B322" s="347">
        <v>472000</v>
      </c>
      <c r="C322" s="348" t="s">
        <v>6697</v>
      </c>
      <c r="D322" s="349">
        <v>0</v>
      </c>
      <c r="E322" s="350">
        <v>30</v>
      </c>
      <c r="F322" s="350">
        <v>0</v>
      </c>
      <c r="H322" s="351">
        <f t="shared" si="21"/>
        <v>0</v>
      </c>
      <c r="I322" s="351">
        <f t="shared" si="22"/>
        <v>0</v>
      </c>
      <c r="M322" s="321">
        <v>1347107930</v>
      </c>
      <c r="N322" s="321">
        <v>34</v>
      </c>
      <c r="O322" s="321" t="s">
        <v>5132</v>
      </c>
      <c r="P322" s="321">
        <v>5847100</v>
      </c>
      <c r="Q322" s="322">
        <v>-96000</v>
      </c>
      <c r="R322" s="322">
        <v>-115300</v>
      </c>
      <c r="S322" s="322">
        <v>-121000</v>
      </c>
      <c r="T322" s="322">
        <v>-121000</v>
      </c>
      <c r="U322" s="322">
        <f t="shared" ref="U322:U385" si="25">S322-T322</f>
        <v>0</v>
      </c>
      <c r="W322" s="321">
        <f t="shared" si="23"/>
        <v>930</v>
      </c>
      <c r="X322" s="321">
        <f t="shared" si="24"/>
        <v>347107</v>
      </c>
      <c r="Y322" s="321">
        <v>1</v>
      </c>
      <c r="AA322" s="321" t="s">
        <v>5132</v>
      </c>
    </row>
    <row r="323" spans="1:27">
      <c r="A323" s="362">
        <v>420</v>
      </c>
      <c r="B323" s="363">
        <v>472000</v>
      </c>
      <c r="C323" s="364" t="s">
        <v>6698</v>
      </c>
      <c r="D323" s="365">
        <v>189</v>
      </c>
      <c r="E323" s="366">
        <v>180</v>
      </c>
      <c r="F323" s="366">
        <v>190</v>
      </c>
      <c r="H323" s="351">
        <f t="shared" ref="H323:H337" si="26">D323*-1000</f>
        <v>-189000</v>
      </c>
      <c r="I323" s="351">
        <f t="shared" ref="I323:I337" si="27">F323*-1000</f>
        <v>-190000</v>
      </c>
      <c r="M323" s="321">
        <v>1347108930</v>
      </c>
      <c r="N323" s="321">
        <v>34</v>
      </c>
      <c r="O323" s="321" t="s">
        <v>5133</v>
      </c>
      <c r="P323" s="321">
        <v>5847100</v>
      </c>
      <c r="Q323" s="322">
        <v>-129000</v>
      </c>
      <c r="R323" s="322">
        <v>0</v>
      </c>
      <c r="S323" s="322">
        <v>-131000</v>
      </c>
      <c r="T323" s="322">
        <v>-131000</v>
      </c>
      <c r="U323" s="322">
        <f t="shared" si="25"/>
        <v>0</v>
      </c>
      <c r="W323" s="321">
        <f t="shared" ref="W323:W386" si="28">M323-1000000000-X323*1000</f>
        <v>930</v>
      </c>
      <c r="X323" s="321">
        <f t="shared" ref="X323:X386" si="29">ROUNDDOWN((M323-1000000000)/1000,0)</f>
        <v>347108</v>
      </c>
      <c r="Y323" s="321">
        <v>1</v>
      </c>
      <c r="AA323" s="321" t="s">
        <v>5133</v>
      </c>
    </row>
    <row r="324" spans="1:27">
      <c r="A324" s="362">
        <v>420</v>
      </c>
      <c r="B324" s="363">
        <v>473000</v>
      </c>
      <c r="C324" s="364" t="s">
        <v>6699</v>
      </c>
      <c r="D324" s="365">
        <v>1648</v>
      </c>
      <c r="E324" s="366">
        <v>1606</v>
      </c>
      <c r="F324" s="366">
        <v>1670</v>
      </c>
      <c r="H324" s="351">
        <f t="shared" si="26"/>
        <v>-1648000</v>
      </c>
      <c r="I324" s="351">
        <f t="shared" si="27"/>
        <v>-1670000</v>
      </c>
      <c r="M324" s="321">
        <v>1347111930</v>
      </c>
      <c r="N324" s="321">
        <v>34</v>
      </c>
      <c r="O324" s="321" t="s">
        <v>5134</v>
      </c>
      <c r="P324" s="321">
        <v>5847100</v>
      </c>
      <c r="Q324" s="322">
        <v>-219500</v>
      </c>
      <c r="R324" s="322">
        <v>-159800</v>
      </c>
      <c r="S324" s="322">
        <v>-223000</v>
      </c>
      <c r="T324" s="322">
        <v>-223000</v>
      </c>
      <c r="U324" s="322">
        <f t="shared" si="25"/>
        <v>0</v>
      </c>
      <c r="W324" s="321">
        <f t="shared" si="28"/>
        <v>930</v>
      </c>
      <c r="X324" s="321">
        <f t="shared" si="29"/>
        <v>347111</v>
      </c>
      <c r="Y324" s="321">
        <v>1</v>
      </c>
      <c r="AA324" s="321" t="s">
        <v>5134</v>
      </c>
    </row>
    <row r="325" spans="1:27">
      <c r="A325" s="346">
        <v>660</v>
      </c>
      <c r="B325" s="347">
        <v>511000</v>
      </c>
      <c r="C325" s="348" t="s">
        <v>198</v>
      </c>
      <c r="D325" s="349">
        <v>8200</v>
      </c>
      <c r="E325" s="350">
        <v>8204</v>
      </c>
      <c r="F325" s="350">
        <v>8204</v>
      </c>
      <c r="H325" s="351">
        <f t="shared" si="26"/>
        <v>-8200000</v>
      </c>
      <c r="I325" s="351">
        <f t="shared" si="27"/>
        <v>-8204000</v>
      </c>
      <c r="M325" s="321">
        <v>1347112930</v>
      </c>
      <c r="N325" s="321">
        <v>34</v>
      </c>
      <c r="O325" s="321" t="s">
        <v>5135</v>
      </c>
      <c r="P325" s="321">
        <v>5847100</v>
      </c>
      <c r="Q325" s="322">
        <v>-658000</v>
      </c>
      <c r="R325" s="322">
        <v>-335300</v>
      </c>
      <c r="S325" s="322">
        <v>-704000</v>
      </c>
      <c r="T325" s="322">
        <v>-704000</v>
      </c>
      <c r="U325" s="322">
        <f t="shared" si="25"/>
        <v>0</v>
      </c>
      <c r="W325" s="321">
        <f t="shared" si="28"/>
        <v>930</v>
      </c>
      <c r="X325" s="321">
        <f t="shared" si="29"/>
        <v>347112</v>
      </c>
      <c r="Y325" s="321">
        <v>1</v>
      </c>
      <c r="AA325" s="321" t="s">
        <v>5135</v>
      </c>
    </row>
    <row r="326" spans="1:27">
      <c r="A326" s="346">
        <v>661</v>
      </c>
      <c r="B326" s="347">
        <v>511000</v>
      </c>
      <c r="C326" s="348" t="s">
        <v>6700</v>
      </c>
      <c r="D326" s="349">
        <v>50</v>
      </c>
      <c r="E326" s="350">
        <v>30</v>
      </c>
      <c r="F326" s="350">
        <v>70</v>
      </c>
      <c r="H326" s="351">
        <f t="shared" si="26"/>
        <v>-50000</v>
      </c>
      <c r="I326" s="351">
        <f t="shared" si="27"/>
        <v>-70000</v>
      </c>
      <c r="M326" s="321">
        <v>1347113930</v>
      </c>
      <c r="N326" s="321">
        <v>34</v>
      </c>
      <c r="O326" s="321" t="s">
        <v>5136</v>
      </c>
      <c r="P326" s="321">
        <v>5847100</v>
      </c>
      <c r="Q326" s="322">
        <v>-37000</v>
      </c>
      <c r="R326" s="322">
        <v>0</v>
      </c>
      <c r="S326" s="322">
        <v>-37000</v>
      </c>
      <c r="T326" s="322">
        <v>-37000</v>
      </c>
      <c r="U326" s="322">
        <f t="shared" si="25"/>
        <v>0</v>
      </c>
      <c r="W326" s="321">
        <f t="shared" si="28"/>
        <v>930</v>
      </c>
      <c r="X326" s="321">
        <f t="shared" si="29"/>
        <v>347113</v>
      </c>
      <c r="Y326" s="321">
        <v>1</v>
      </c>
      <c r="AA326" s="321" t="s">
        <v>5136</v>
      </c>
    </row>
    <row r="327" spans="1:27">
      <c r="A327" s="346">
        <v>662</v>
      </c>
      <c r="B327" s="347">
        <v>511000</v>
      </c>
      <c r="C327" s="348" t="s">
        <v>6701</v>
      </c>
      <c r="D327" s="349">
        <v>12194</v>
      </c>
      <c r="E327" s="350">
        <v>0</v>
      </c>
      <c r="F327" s="350">
        <v>0</v>
      </c>
      <c r="H327" s="351">
        <f t="shared" si="26"/>
        <v>-12194000</v>
      </c>
      <c r="I327" s="351">
        <f t="shared" si="27"/>
        <v>0</v>
      </c>
      <c r="M327" s="321">
        <v>1347114930</v>
      </c>
      <c r="N327" s="321">
        <v>34</v>
      </c>
      <c r="O327" s="321" t="s">
        <v>5137</v>
      </c>
      <c r="P327" s="321">
        <v>5847100</v>
      </c>
      <c r="Q327" s="322">
        <v>-111700</v>
      </c>
      <c r="R327" s="322">
        <v>-75000</v>
      </c>
      <c r="S327" s="322">
        <v>-131000</v>
      </c>
      <c r="T327" s="322">
        <v>-131000</v>
      </c>
      <c r="U327" s="322">
        <f t="shared" si="25"/>
        <v>0</v>
      </c>
      <c r="W327" s="321">
        <f t="shared" si="28"/>
        <v>930</v>
      </c>
      <c r="X327" s="321">
        <f t="shared" si="29"/>
        <v>347114</v>
      </c>
      <c r="Y327" s="321">
        <v>1</v>
      </c>
      <c r="AA327" s="321" t="s">
        <v>5137</v>
      </c>
    </row>
    <row r="328" spans="1:27">
      <c r="A328" s="346">
        <v>510</v>
      </c>
      <c r="B328" s="347">
        <v>513000</v>
      </c>
      <c r="C328" s="369" t="s">
        <v>6702</v>
      </c>
      <c r="D328" s="349">
        <v>3695</v>
      </c>
      <c r="E328" s="350">
        <v>3600</v>
      </c>
      <c r="F328" s="350">
        <v>3000</v>
      </c>
      <c r="H328" s="351">
        <f t="shared" si="26"/>
        <v>-3695000</v>
      </c>
      <c r="I328" s="351">
        <f t="shared" si="27"/>
        <v>-3000000</v>
      </c>
      <c r="M328" s="321">
        <v>1347124930</v>
      </c>
      <c r="N328" s="321">
        <v>34</v>
      </c>
      <c r="O328" s="321" t="s">
        <v>5138</v>
      </c>
      <c r="P328" s="321">
        <v>5847100</v>
      </c>
      <c r="Q328" s="322">
        <v>0</v>
      </c>
      <c r="R328" s="322">
        <v>0</v>
      </c>
      <c r="S328" s="322">
        <v>0</v>
      </c>
      <c r="T328" s="322">
        <v>0</v>
      </c>
      <c r="U328" s="322">
        <f t="shared" si="25"/>
        <v>0</v>
      </c>
      <c r="W328" s="321">
        <f t="shared" si="28"/>
        <v>930</v>
      </c>
      <c r="X328" s="321">
        <f t="shared" si="29"/>
        <v>347124</v>
      </c>
      <c r="Y328" s="321">
        <v>1</v>
      </c>
      <c r="AA328" s="321" t="s">
        <v>5138</v>
      </c>
    </row>
    <row r="329" spans="1:27">
      <c r="A329" s="346">
        <v>590</v>
      </c>
      <c r="B329" s="347">
        <v>591100</v>
      </c>
      <c r="C329" s="348" t="s">
        <v>6703</v>
      </c>
      <c r="D329" s="349">
        <v>100</v>
      </c>
      <c r="E329" s="350">
        <v>100</v>
      </c>
      <c r="F329" s="350">
        <v>100</v>
      </c>
      <c r="H329" s="351">
        <f t="shared" si="26"/>
        <v>-100000</v>
      </c>
      <c r="I329" s="351">
        <f t="shared" si="27"/>
        <v>-100000</v>
      </c>
      <c r="M329" s="321">
        <v>1347200930</v>
      </c>
      <c r="N329" s="321">
        <v>34</v>
      </c>
      <c r="O329" s="321" t="s">
        <v>5139</v>
      </c>
      <c r="P329" s="321">
        <v>5847200</v>
      </c>
      <c r="Q329" s="322">
        <v>-10500</v>
      </c>
      <c r="R329" s="322">
        <v>-37900</v>
      </c>
      <c r="S329" s="322">
        <v>-148000</v>
      </c>
      <c r="T329" s="322">
        <v>-148000</v>
      </c>
      <c r="U329" s="322">
        <f t="shared" si="25"/>
        <v>0</v>
      </c>
      <c r="W329" s="321">
        <f t="shared" si="28"/>
        <v>930</v>
      </c>
      <c r="X329" s="321">
        <f t="shared" si="29"/>
        <v>347200</v>
      </c>
      <c r="Y329" s="321">
        <v>1</v>
      </c>
      <c r="AA329" s="321" t="s">
        <v>5139</v>
      </c>
    </row>
    <row r="330" spans="1:27">
      <c r="A330" s="346">
        <v>591</v>
      </c>
      <c r="B330" s="347">
        <v>591100</v>
      </c>
      <c r="C330" s="348" t="s">
        <v>6704</v>
      </c>
      <c r="D330" s="349">
        <v>4356</v>
      </c>
      <c r="E330" s="350">
        <v>7450</v>
      </c>
      <c r="F330" s="350">
        <v>7700</v>
      </c>
      <c r="H330" s="351">
        <f t="shared" si="26"/>
        <v>-4356000</v>
      </c>
      <c r="I330" s="351">
        <f t="shared" si="27"/>
        <v>-7700000</v>
      </c>
      <c r="M330" s="321">
        <v>1347300930</v>
      </c>
      <c r="N330" s="321">
        <v>34</v>
      </c>
      <c r="O330" s="321" t="s">
        <v>5140</v>
      </c>
      <c r="P330" s="321">
        <v>5847300</v>
      </c>
      <c r="Q330" s="322">
        <v>-954000</v>
      </c>
      <c r="R330" s="322">
        <v>-832200</v>
      </c>
      <c r="S330" s="322">
        <v>-993000</v>
      </c>
      <c r="T330" s="322">
        <v>-993000</v>
      </c>
      <c r="U330" s="322">
        <f t="shared" si="25"/>
        <v>0</v>
      </c>
      <c r="W330" s="321">
        <f t="shared" si="28"/>
        <v>930</v>
      </c>
      <c r="X330" s="321">
        <f t="shared" si="29"/>
        <v>347300</v>
      </c>
      <c r="Y330" s="321">
        <v>1</v>
      </c>
      <c r="AA330" s="321" t="s">
        <v>5140</v>
      </c>
    </row>
    <row r="331" spans="1:27">
      <c r="A331" s="346">
        <v>592</v>
      </c>
      <c r="B331" s="347">
        <v>591100</v>
      </c>
      <c r="C331" s="348" t="s">
        <v>6705</v>
      </c>
      <c r="D331" s="349">
        <v>0</v>
      </c>
      <c r="E331" s="350">
        <v>500</v>
      </c>
      <c r="F331" s="350">
        <v>500</v>
      </c>
      <c r="H331" s="351">
        <f t="shared" si="26"/>
        <v>0</v>
      </c>
      <c r="I331" s="351">
        <f t="shared" si="27"/>
        <v>-500000</v>
      </c>
      <c r="M331" s="321">
        <v>1347301930</v>
      </c>
      <c r="N331" s="321">
        <v>34</v>
      </c>
      <c r="O331" s="321" t="s">
        <v>5141</v>
      </c>
      <c r="P331" s="321">
        <v>5847300</v>
      </c>
      <c r="Q331" s="322">
        <v>-25000</v>
      </c>
      <c r="R331" s="322">
        <v>-10900</v>
      </c>
      <c r="S331" s="322">
        <v>-25000</v>
      </c>
      <c r="T331" s="322">
        <v>-25000</v>
      </c>
      <c r="U331" s="322">
        <f t="shared" si="25"/>
        <v>0</v>
      </c>
      <c r="W331" s="321">
        <f t="shared" si="28"/>
        <v>930</v>
      </c>
      <c r="X331" s="321">
        <f t="shared" si="29"/>
        <v>347301</v>
      </c>
      <c r="Y331" s="321">
        <v>1</v>
      </c>
      <c r="AA331" s="321" t="s">
        <v>5141</v>
      </c>
    </row>
    <row r="332" spans="1:27">
      <c r="A332" s="346">
        <v>593</v>
      </c>
      <c r="B332" s="347">
        <v>591100</v>
      </c>
      <c r="C332" s="348" t="s">
        <v>6706</v>
      </c>
      <c r="D332" s="349">
        <v>4450</v>
      </c>
      <c r="E332" s="350">
        <v>4700</v>
      </c>
      <c r="F332" s="350">
        <v>4850</v>
      </c>
      <c r="H332" s="351">
        <f t="shared" si="26"/>
        <v>-4450000</v>
      </c>
      <c r="I332" s="351">
        <f t="shared" si="27"/>
        <v>-4850000</v>
      </c>
      <c r="M332" s="321">
        <v>1347303930</v>
      </c>
      <c r="N332" s="321">
        <v>34</v>
      </c>
      <c r="O332" s="321" t="s">
        <v>5142</v>
      </c>
      <c r="P332" s="321">
        <v>5847300</v>
      </c>
      <c r="Q332" s="322">
        <v>-205000</v>
      </c>
      <c r="R332" s="322">
        <v>-153800</v>
      </c>
      <c r="S332" s="322">
        <v>-208000</v>
      </c>
      <c r="T332" s="322">
        <v>-208000</v>
      </c>
      <c r="U332" s="322">
        <f t="shared" si="25"/>
        <v>0</v>
      </c>
      <c r="W332" s="321">
        <f t="shared" si="28"/>
        <v>930</v>
      </c>
      <c r="X332" s="321">
        <f t="shared" si="29"/>
        <v>347303</v>
      </c>
      <c r="Y332" s="321">
        <v>1</v>
      </c>
      <c r="AA332" s="321" t="s">
        <v>5142</v>
      </c>
    </row>
    <row r="333" spans="1:27">
      <c r="A333" s="346">
        <v>594</v>
      </c>
      <c r="B333" s="347">
        <v>591100</v>
      </c>
      <c r="C333" s="348" t="s">
        <v>6707</v>
      </c>
      <c r="D333" s="349">
        <v>6050</v>
      </c>
      <c r="E333" s="350">
        <v>5900</v>
      </c>
      <c r="F333" s="350">
        <v>6050</v>
      </c>
      <c r="H333" s="351">
        <f t="shared" si="26"/>
        <v>-6050000</v>
      </c>
      <c r="I333" s="351">
        <f t="shared" si="27"/>
        <v>-6050000</v>
      </c>
      <c r="M333" s="321">
        <v>1347305930</v>
      </c>
      <c r="N333" s="321">
        <v>34</v>
      </c>
      <c r="O333" s="321" t="s">
        <v>5143</v>
      </c>
      <c r="P333" s="321">
        <v>5847300</v>
      </c>
      <c r="Q333" s="322">
        <v>-149000</v>
      </c>
      <c r="R333" s="322">
        <v>-104600</v>
      </c>
      <c r="S333" s="322">
        <v>-151000</v>
      </c>
      <c r="T333" s="322">
        <v>-151000</v>
      </c>
      <c r="U333" s="322">
        <f t="shared" si="25"/>
        <v>0</v>
      </c>
      <c r="W333" s="321">
        <f t="shared" si="28"/>
        <v>930</v>
      </c>
      <c r="X333" s="321">
        <f t="shared" si="29"/>
        <v>347305</v>
      </c>
      <c r="Y333" s="321">
        <v>1</v>
      </c>
      <c r="AA333" s="321" t="s">
        <v>5143</v>
      </c>
    </row>
    <row r="334" spans="1:27">
      <c r="A334" s="346">
        <v>420</v>
      </c>
      <c r="B334" s="347">
        <v>594000</v>
      </c>
      <c r="C334" s="348" t="s">
        <v>6708</v>
      </c>
      <c r="D334" s="349">
        <v>600</v>
      </c>
      <c r="E334" s="350">
        <v>619</v>
      </c>
      <c r="F334" s="350">
        <v>600</v>
      </c>
      <c r="H334" s="351">
        <f t="shared" si="26"/>
        <v>-600000</v>
      </c>
      <c r="I334" s="351">
        <f t="shared" si="27"/>
        <v>-600000</v>
      </c>
      <c r="M334" s="321">
        <v>1347306930</v>
      </c>
      <c r="N334" s="321">
        <v>34</v>
      </c>
      <c r="O334" s="321" t="s">
        <v>5144</v>
      </c>
      <c r="P334" s="321">
        <v>5847100</v>
      </c>
      <c r="Q334" s="322">
        <v>-375000</v>
      </c>
      <c r="R334" s="322">
        <v>-201400</v>
      </c>
      <c r="S334" s="322">
        <v>-380000</v>
      </c>
      <c r="T334" s="322">
        <v>-380000</v>
      </c>
      <c r="U334" s="322">
        <f t="shared" si="25"/>
        <v>0</v>
      </c>
      <c r="W334" s="321">
        <f t="shared" si="28"/>
        <v>930</v>
      </c>
      <c r="X334" s="321">
        <f t="shared" si="29"/>
        <v>347306</v>
      </c>
      <c r="Y334" s="321">
        <v>1</v>
      </c>
      <c r="AA334" s="321" t="s">
        <v>5144</v>
      </c>
    </row>
    <row r="335" spans="1:27">
      <c r="A335" s="362">
        <v>910</v>
      </c>
      <c r="B335" s="363">
        <v>594000</v>
      </c>
      <c r="C335" s="370" t="s">
        <v>6709</v>
      </c>
      <c r="D335" s="365">
        <v>380</v>
      </c>
      <c r="E335" s="366">
        <v>380</v>
      </c>
      <c r="F335" s="366">
        <v>380</v>
      </c>
      <c r="H335" s="351">
        <f t="shared" si="26"/>
        <v>-380000</v>
      </c>
      <c r="I335" s="351">
        <f t="shared" si="27"/>
        <v>-380000</v>
      </c>
      <c r="M335" s="321">
        <v>1347307930</v>
      </c>
      <c r="N335" s="321">
        <v>34</v>
      </c>
      <c r="O335" s="321" t="s">
        <v>5145</v>
      </c>
      <c r="P335" s="321">
        <v>5847300</v>
      </c>
      <c r="Q335" s="322">
        <v>-95000</v>
      </c>
      <c r="R335" s="322">
        <v>-48600</v>
      </c>
      <c r="S335" s="322">
        <v>-126000</v>
      </c>
      <c r="T335" s="322">
        <v>-126000</v>
      </c>
      <c r="U335" s="322">
        <f t="shared" si="25"/>
        <v>0</v>
      </c>
      <c r="W335" s="321">
        <f t="shared" si="28"/>
        <v>930</v>
      </c>
      <c r="X335" s="321">
        <f t="shared" si="29"/>
        <v>347307</v>
      </c>
      <c r="Y335" s="321">
        <v>1</v>
      </c>
      <c r="AA335" s="321" t="s">
        <v>5145</v>
      </c>
    </row>
    <row r="336" spans="1:27">
      <c r="A336" s="362">
        <v>490</v>
      </c>
      <c r="B336" s="363">
        <v>597200</v>
      </c>
      <c r="C336" s="348" t="s">
        <v>6710</v>
      </c>
      <c r="D336" s="365">
        <v>200</v>
      </c>
      <c r="E336" s="366">
        <v>200</v>
      </c>
      <c r="F336" s="366">
        <v>370</v>
      </c>
      <c r="H336" s="351">
        <f t="shared" si="26"/>
        <v>-200000</v>
      </c>
      <c r="I336" s="351">
        <f t="shared" si="27"/>
        <v>-370000</v>
      </c>
      <c r="M336" s="321">
        <v>1347400930</v>
      </c>
      <c r="N336" s="321">
        <v>34</v>
      </c>
      <c r="O336" s="321" t="s">
        <v>5146</v>
      </c>
      <c r="P336" s="321">
        <v>5847400</v>
      </c>
      <c r="Q336" s="322">
        <v>-16000</v>
      </c>
      <c r="R336" s="322">
        <v>0</v>
      </c>
      <c r="S336" s="322">
        <v>-16000</v>
      </c>
      <c r="T336" s="322">
        <v>-16000</v>
      </c>
      <c r="U336" s="322">
        <f t="shared" si="25"/>
        <v>0</v>
      </c>
      <c r="W336" s="321">
        <f t="shared" si="28"/>
        <v>930</v>
      </c>
      <c r="X336" s="321">
        <f t="shared" si="29"/>
        <v>347400</v>
      </c>
      <c r="Y336" s="321">
        <v>1</v>
      </c>
      <c r="AA336" s="321" t="s">
        <v>5146</v>
      </c>
    </row>
    <row r="337" spans="1:27">
      <c r="A337" s="371">
        <v>510</v>
      </c>
      <c r="B337" s="372">
        <v>599200</v>
      </c>
      <c r="C337" s="373" t="s">
        <v>2326</v>
      </c>
      <c r="D337" s="374">
        <v>0</v>
      </c>
      <c r="E337" s="375">
        <v>6700</v>
      </c>
      <c r="F337" s="375">
        <v>6700</v>
      </c>
      <c r="H337" s="351">
        <f t="shared" si="26"/>
        <v>0</v>
      </c>
      <c r="I337" s="351">
        <f t="shared" si="27"/>
        <v>-6700000</v>
      </c>
      <c r="M337" s="321">
        <v>1347401930</v>
      </c>
      <c r="N337" s="321">
        <v>34</v>
      </c>
      <c r="O337" s="321" t="s">
        <v>5147</v>
      </c>
      <c r="P337" s="321">
        <v>5847400</v>
      </c>
      <c r="Q337" s="322">
        <v>-546200</v>
      </c>
      <c r="R337" s="322">
        <v>-364400</v>
      </c>
      <c r="S337" s="322">
        <v>-553000</v>
      </c>
      <c r="T337" s="322">
        <v>-553000</v>
      </c>
      <c r="U337" s="322">
        <f t="shared" si="25"/>
        <v>0</v>
      </c>
      <c r="W337" s="321">
        <f t="shared" si="28"/>
        <v>930</v>
      </c>
      <c r="X337" s="321">
        <f t="shared" si="29"/>
        <v>347401</v>
      </c>
      <c r="Y337" s="321">
        <v>1</v>
      </c>
      <c r="AA337" s="321" t="s">
        <v>5147</v>
      </c>
    </row>
    <row r="338" spans="1:27">
      <c r="A338" s="376">
        <v>100</v>
      </c>
      <c r="B338" s="377">
        <v>611100</v>
      </c>
      <c r="C338" s="378" t="s">
        <v>6711</v>
      </c>
      <c r="D338" s="379">
        <v>2090</v>
      </c>
      <c r="E338" s="380">
        <v>2050</v>
      </c>
      <c r="F338" s="380">
        <v>2150</v>
      </c>
      <c r="H338" s="351">
        <f t="shared" ref="H338:H401" si="30">D338*1000</f>
        <v>2090000</v>
      </c>
      <c r="I338" s="351">
        <f t="shared" ref="I338:I401" si="31">F338*1000</f>
        <v>2150000</v>
      </c>
      <c r="M338" s="321">
        <v>1347402930</v>
      </c>
      <c r="N338" s="321">
        <v>34</v>
      </c>
      <c r="O338" s="321" t="s">
        <v>5148</v>
      </c>
      <c r="P338" s="321">
        <v>5847400</v>
      </c>
      <c r="Q338" s="322">
        <v>-79000</v>
      </c>
      <c r="R338" s="322">
        <v>-27400</v>
      </c>
      <c r="S338" s="322">
        <v>-80000</v>
      </c>
      <c r="T338" s="322">
        <v>-80000</v>
      </c>
      <c r="U338" s="322">
        <f t="shared" si="25"/>
        <v>0</v>
      </c>
      <c r="W338" s="321">
        <f t="shared" si="28"/>
        <v>930</v>
      </c>
      <c r="X338" s="321">
        <f t="shared" si="29"/>
        <v>347402</v>
      </c>
      <c r="Y338" s="321">
        <v>1</v>
      </c>
      <c r="AA338" s="321" t="s">
        <v>5148</v>
      </c>
    </row>
    <row r="339" spans="1:27">
      <c r="A339" s="376">
        <v>514</v>
      </c>
      <c r="B339" s="377">
        <v>611100</v>
      </c>
      <c r="C339" s="381" t="s">
        <v>6712</v>
      </c>
      <c r="D339" s="379">
        <v>10</v>
      </c>
      <c r="E339" s="380">
        <v>10</v>
      </c>
      <c r="F339" s="380">
        <v>10</v>
      </c>
      <c r="H339" s="351">
        <f t="shared" si="30"/>
        <v>10000</v>
      </c>
      <c r="I339" s="351">
        <f t="shared" si="31"/>
        <v>10000</v>
      </c>
      <c r="M339" s="321">
        <v>1347403930</v>
      </c>
      <c r="N339" s="321">
        <v>34</v>
      </c>
      <c r="O339" s="321" t="s">
        <v>5149</v>
      </c>
      <c r="P339" s="321">
        <v>5847400</v>
      </c>
      <c r="Q339" s="322">
        <v>-490700</v>
      </c>
      <c r="R339" s="322">
        <v>-192300</v>
      </c>
      <c r="S339" s="322">
        <v>-531000</v>
      </c>
      <c r="T339" s="322">
        <v>-531000</v>
      </c>
      <c r="U339" s="322">
        <f t="shared" si="25"/>
        <v>0</v>
      </c>
      <c r="W339" s="321">
        <f t="shared" si="28"/>
        <v>930</v>
      </c>
      <c r="X339" s="321">
        <f t="shared" si="29"/>
        <v>347403</v>
      </c>
      <c r="Y339" s="321">
        <v>1</v>
      </c>
      <c r="AA339" s="321" t="s">
        <v>5149</v>
      </c>
    </row>
    <row r="340" spans="1:27">
      <c r="A340" s="376">
        <v>540</v>
      </c>
      <c r="B340" s="377">
        <v>611100</v>
      </c>
      <c r="C340" s="382" t="s">
        <v>6713</v>
      </c>
      <c r="D340" s="379">
        <v>20</v>
      </c>
      <c r="E340" s="380">
        <v>20</v>
      </c>
      <c r="F340" s="380">
        <v>20</v>
      </c>
      <c r="H340" s="351">
        <f t="shared" si="30"/>
        <v>20000</v>
      </c>
      <c r="I340" s="351">
        <f t="shared" si="31"/>
        <v>20000</v>
      </c>
      <c r="M340" s="321">
        <v>1347405930</v>
      </c>
      <c r="N340" s="321">
        <v>34</v>
      </c>
      <c r="O340" s="321" t="s">
        <v>5150</v>
      </c>
      <c r="P340" s="321">
        <v>5847400</v>
      </c>
      <c r="Q340" s="322">
        <v>-59000</v>
      </c>
      <c r="R340" s="322">
        <v>0</v>
      </c>
      <c r="S340" s="322">
        <v>-60000</v>
      </c>
      <c r="T340" s="322">
        <v>-60000</v>
      </c>
      <c r="U340" s="322">
        <f t="shared" si="25"/>
        <v>0</v>
      </c>
      <c r="W340" s="321">
        <f t="shared" si="28"/>
        <v>930</v>
      </c>
      <c r="X340" s="321">
        <f t="shared" si="29"/>
        <v>347405</v>
      </c>
      <c r="Y340" s="321">
        <v>1</v>
      </c>
      <c r="AA340" s="321" t="s">
        <v>5150</v>
      </c>
    </row>
    <row r="341" spans="1:27">
      <c r="A341" s="376">
        <v>780</v>
      </c>
      <c r="B341" s="377">
        <v>611100</v>
      </c>
      <c r="C341" s="382" t="s">
        <v>169</v>
      </c>
      <c r="D341" s="379">
        <v>25</v>
      </c>
      <c r="E341" s="380">
        <v>20</v>
      </c>
      <c r="F341" s="380">
        <v>25</v>
      </c>
      <c r="H341" s="351">
        <f t="shared" si="30"/>
        <v>25000</v>
      </c>
      <c r="I341" s="351">
        <f t="shared" si="31"/>
        <v>25000</v>
      </c>
      <c r="M341" s="321">
        <v>1347408930</v>
      </c>
      <c r="N341" s="321">
        <v>34</v>
      </c>
      <c r="O341" s="321" t="s">
        <v>5151</v>
      </c>
      <c r="P341" s="321">
        <v>5847400</v>
      </c>
      <c r="Q341" s="322">
        <v>-6700</v>
      </c>
      <c r="R341" s="322">
        <v>0</v>
      </c>
      <c r="S341" s="322">
        <v>-7000</v>
      </c>
      <c r="T341" s="322">
        <v>-7000</v>
      </c>
      <c r="U341" s="322">
        <f t="shared" si="25"/>
        <v>0</v>
      </c>
      <c r="W341" s="321">
        <f t="shared" si="28"/>
        <v>930</v>
      </c>
      <c r="X341" s="321">
        <f t="shared" si="29"/>
        <v>347408</v>
      </c>
      <c r="Y341" s="321">
        <v>1</v>
      </c>
      <c r="AA341" s="321" t="s">
        <v>5151</v>
      </c>
    </row>
    <row r="342" spans="1:27">
      <c r="A342" s="376">
        <v>100</v>
      </c>
      <c r="B342" s="377">
        <v>611200</v>
      </c>
      <c r="C342" s="382" t="s">
        <v>6714</v>
      </c>
      <c r="D342" s="379">
        <f>1016+65</f>
        <v>1081</v>
      </c>
      <c r="E342" s="380">
        <v>1050</v>
      </c>
      <c r="F342" s="380">
        <v>1060</v>
      </c>
      <c r="H342" s="351">
        <f t="shared" si="30"/>
        <v>1081000</v>
      </c>
      <c r="I342" s="351">
        <f t="shared" si="31"/>
        <v>1060000</v>
      </c>
      <c r="M342" s="321">
        <v>1348200922</v>
      </c>
      <c r="N342" s="321">
        <v>34</v>
      </c>
      <c r="O342" s="321" t="s">
        <v>5152</v>
      </c>
      <c r="P342" s="321">
        <v>5848200</v>
      </c>
      <c r="Q342" s="322">
        <v>0</v>
      </c>
      <c r="R342" s="322">
        <v>0</v>
      </c>
      <c r="S342" s="322">
        <v>-400000</v>
      </c>
      <c r="T342" s="322">
        <v>-400000</v>
      </c>
      <c r="U342" s="322">
        <f t="shared" si="25"/>
        <v>0</v>
      </c>
      <c r="W342" s="321">
        <f t="shared" si="28"/>
        <v>922</v>
      </c>
      <c r="X342" s="321">
        <f t="shared" si="29"/>
        <v>348200</v>
      </c>
      <c r="Y342" s="321">
        <v>1</v>
      </c>
      <c r="AA342" s="321" t="s">
        <v>5152</v>
      </c>
    </row>
    <row r="343" spans="1:27">
      <c r="A343" s="376">
        <v>410</v>
      </c>
      <c r="B343" s="377">
        <v>611200</v>
      </c>
      <c r="C343" s="382" t="s">
        <v>6715</v>
      </c>
      <c r="D343" s="383">
        <v>30</v>
      </c>
      <c r="E343" s="380">
        <v>25</v>
      </c>
      <c r="F343" s="384">
        <v>30</v>
      </c>
      <c r="H343" s="351">
        <f t="shared" si="30"/>
        <v>30000</v>
      </c>
      <c r="I343" s="351">
        <f t="shared" si="31"/>
        <v>30000</v>
      </c>
      <c r="M343" s="321">
        <v>1348200930</v>
      </c>
      <c r="N343" s="321">
        <v>34</v>
      </c>
      <c r="O343" s="321" t="s">
        <v>5153</v>
      </c>
      <c r="P343" s="321">
        <v>5848200</v>
      </c>
      <c r="Q343" s="322">
        <v>-25000</v>
      </c>
      <c r="R343" s="322">
        <v>-4200</v>
      </c>
      <c r="S343" s="322">
        <v>-25000</v>
      </c>
      <c r="T343" s="322">
        <v>-25000</v>
      </c>
      <c r="U343" s="322">
        <f t="shared" si="25"/>
        <v>0</v>
      </c>
      <c r="W343" s="321">
        <f t="shared" si="28"/>
        <v>930</v>
      </c>
      <c r="X343" s="321">
        <f t="shared" si="29"/>
        <v>348200</v>
      </c>
      <c r="Y343" s="321">
        <v>1</v>
      </c>
      <c r="AA343" s="321" t="s">
        <v>5153</v>
      </c>
    </row>
    <row r="344" spans="1:27">
      <c r="A344" s="376">
        <v>470</v>
      </c>
      <c r="B344" s="377">
        <v>611200</v>
      </c>
      <c r="C344" s="382" t="s">
        <v>6716</v>
      </c>
      <c r="D344" s="383">
        <v>8</v>
      </c>
      <c r="E344" s="380">
        <v>10</v>
      </c>
      <c r="F344" s="384">
        <v>10</v>
      </c>
      <c r="H344" s="351">
        <f t="shared" si="30"/>
        <v>8000</v>
      </c>
      <c r="I344" s="351">
        <f t="shared" si="31"/>
        <v>10000</v>
      </c>
      <c r="M344" s="321">
        <v>1348300930</v>
      </c>
      <c r="N344" s="321">
        <v>34</v>
      </c>
      <c r="O344" s="321" t="s">
        <v>5154</v>
      </c>
      <c r="P344" s="321">
        <v>5848300</v>
      </c>
      <c r="Q344" s="322">
        <v>-72000</v>
      </c>
      <c r="R344" s="322">
        <v>-16500</v>
      </c>
      <c r="S344" s="322">
        <v>-73000</v>
      </c>
      <c r="T344" s="322">
        <v>-73000</v>
      </c>
      <c r="U344" s="322">
        <f t="shared" si="25"/>
        <v>0</v>
      </c>
      <c r="W344" s="321">
        <f t="shared" si="28"/>
        <v>930</v>
      </c>
      <c r="X344" s="321">
        <f t="shared" si="29"/>
        <v>348300</v>
      </c>
      <c r="Y344" s="321">
        <v>1</v>
      </c>
      <c r="AA344" s="321" t="s">
        <v>5154</v>
      </c>
    </row>
    <row r="345" spans="1:27">
      <c r="A345" s="376">
        <v>560</v>
      </c>
      <c r="B345" s="377">
        <v>611200</v>
      </c>
      <c r="C345" s="382" t="s">
        <v>6717</v>
      </c>
      <c r="D345" s="379">
        <v>20</v>
      </c>
      <c r="E345" s="380">
        <v>40</v>
      </c>
      <c r="F345" s="380">
        <v>40</v>
      </c>
      <c r="H345" s="351">
        <f t="shared" si="30"/>
        <v>20000</v>
      </c>
      <c r="I345" s="351">
        <f t="shared" si="31"/>
        <v>40000</v>
      </c>
      <c r="M345" s="321">
        <v>1348400930</v>
      </c>
      <c r="N345" s="321">
        <v>34</v>
      </c>
      <c r="O345" s="321" t="s">
        <v>5155</v>
      </c>
      <c r="P345" s="321">
        <v>5848400</v>
      </c>
      <c r="Q345" s="322">
        <v>-12000</v>
      </c>
      <c r="R345" s="322">
        <v>0</v>
      </c>
      <c r="S345" s="322">
        <v>-12000</v>
      </c>
      <c r="T345" s="322">
        <v>-12000</v>
      </c>
      <c r="U345" s="322">
        <f t="shared" si="25"/>
        <v>0</v>
      </c>
      <c r="W345" s="321">
        <f t="shared" si="28"/>
        <v>930</v>
      </c>
      <c r="X345" s="321">
        <f t="shared" si="29"/>
        <v>348400</v>
      </c>
      <c r="Y345" s="321">
        <v>1</v>
      </c>
      <c r="AA345" s="321" t="s">
        <v>5155</v>
      </c>
    </row>
    <row r="346" spans="1:27">
      <c r="A346" s="376">
        <v>561</v>
      </c>
      <c r="B346" s="377">
        <v>611200</v>
      </c>
      <c r="C346" s="382" t="s">
        <v>6718</v>
      </c>
      <c r="D346" s="379">
        <v>20</v>
      </c>
      <c r="E346" s="380">
        <v>0</v>
      </c>
      <c r="F346" s="380">
        <v>0</v>
      </c>
      <c r="H346" s="351">
        <f t="shared" si="30"/>
        <v>20000</v>
      </c>
      <c r="I346" s="351">
        <f t="shared" si="31"/>
        <v>0</v>
      </c>
      <c r="M346" s="321">
        <v>1348500930</v>
      </c>
      <c r="N346" s="321">
        <v>34</v>
      </c>
      <c r="O346" s="321" t="s">
        <v>5156</v>
      </c>
      <c r="P346" s="321">
        <v>5848500</v>
      </c>
      <c r="Q346" s="322">
        <v>-22500</v>
      </c>
      <c r="R346" s="322">
        <v>-4900</v>
      </c>
      <c r="S346" s="322">
        <v>-23000</v>
      </c>
      <c r="T346" s="322">
        <v>-23000</v>
      </c>
      <c r="U346" s="322">
        <f t="shared" si="25"/>
        <v>0</v>
      </c>
      <c r="W346" s="321">
        <f t="shared" si="28"/>
        <v>930</v>
      </c>
      <c r="X346" s="321">
        <f t="shared" si="29"/>
        <v>348500</v>
      </c>
      <c r="Y346" s="321">
        <v>1</v>
      </c>
      <c r="AA346" s="321" t="s">
        <v>5156</v>
      </c>
    </row>
    <row r="347" spans="1:27">
      <c r="A347" s="376">
        <v>570</v>
      </c>
      <c r="B347" s="377">
        <v>611200</v>
      </c>
      <c r="C347" s="378" t="s">
        <v>6719</v>
      </c>
      <c r="D347" s="379">
        <v>56</v>
      </c>
      <c r="E347" s="380">
        <v>41</v>
      </c>
      <c r="F347" s="380">
        <v>41</v>
      </c>
      <c r="H347" s="351">
        <f t="shared" si="30"/>
        <v>56000</v>
      </c>
      <c r="I347" s="351">
        <f t="shared" si="31"/>
        <v>41000</v>
      </c>
      <c r="M347" s="321">
        <v>1349000930</v>
      </c>
      <c r="N347" s="321">
        <v>34</v>
      </c>
      <c r="O347" s="321" t="s">
        <v>5157</v>
      </c>
      <c r="P347" s="321">
        <v>5849000</v>
      </c>
      <c r="Q347" s="322">
        <v>-64800</v>
      </c>
      <c r="R347" s="322">
        <v>0</v>
      </c>
      <c r="S347" s="322">
        <v>-66000</v>
      </c>
      <c r="T347" s="322">
        <v>-66000</v>
      </c>
      <c r="U347" s="322">
        <f t="shared" si="25"/>
        <v>0</v>
      </c>
      <c r="W347" s="321">
        <f t="shared" si="28"/>
        <v>930</v>
      </c>
      <c r="X347" s="321">
        <f t="shared" si="29"/>
        <v>349000</v>
      </c>
      <c r="Y347" s="321">
        <v>1</v>
      </c>
      <c r="AA347" s="321" t="s">
        <v>5157</v>
      </c>
    </row>
    <row r="348" spans="1:27">
      <c r="A348" s="376">
        <v>750</v>
      </c>
      <c r="B348" s="377">
        <v>611200</v>
      </c>
      <c r="C348" s="382" t="s">
        <v>6720</v>
      </c>
      <c r="D348" s="379">
        <v>5</v>
      </c>
      <c r="E348" s="380">
        <v>5</v>
      </c>
      <c r="F348" s="380">
        <v>5</v>
      </c>
      <c r="H348" s="351">
        <f t="shared" si="30"/>
        <v>5000</v>
      </c>
      <c r="I348" s="351">
        <f t="shared" si="31"/>
        <v>5000</v>
      </c>
      <c r="M348" s="321">
        <v>1349002930</v>
      </c>
      <c r="N348" s="321">
        <v>34</v>
      </c>
      <c r="O348" s="321" t="s">
        <v>5158</v>
      </c>
      <c r="P348" s="321">
        <v>5846300</v>
      </c>
      <c r="Q348" s="322">
        <v>-100000</v>
      </c>
      <c r="R348" s="322">
        <v>-26300</v>
      </c>
      <c r="S348" s="322">
        <v>-101000</v>
      </c>
      <c r="T348" s="322">
        <v>-101000</v>
      </c>
      <c r="U348" s="322">
        <f t="shared" si="25"/>
        <v>0</v>
      </c>
      <c r="W348" s="321">
        <f t="shared" si="28"/>
        <v>930</v>
      </c>
      <c r="X348" s="321">
        <f t="shared" si="29"/>
        <v>349002</v>
      </c>
      <c r="Y348" s="321">
        <v>1</v>
      </c>
      <c r="AA348" s="321" t="s">
        <v>5158</v>
      </c>
    </row>
    <row r="349" spans="1:27">
      <c r="A349" s="376">
        <v>755</v>
      </c>
      <c r="B349" s="377">
        <v>611200</v>
      </c>
      <c r="C349" s="382" t="s">
        <v>6721</v>
      </c>
      <c r="D349" s="379">
        <v>30</v>
      </c>
      <c r="E349" s="380">
        <v>30</v>
      </c>
      <c r="F349" s="380">
        <v>30</v>
      </c>
      <c r="H349" s="351">
        <f t="shared" si="30"/>
        <v>30000</v>
      </c>
      <c r="I349" s="351">
        <f t="shared" si="31"/>
        <v>30000</v>
      </c>
      <c r="M349" s="321">
        <v>1349003930</v>
      </c>
      <c r="N349" s="321">
        <v>34</v>
      </c>
      <c r="O349" s="321" t="s">
        <v>5159</v>
      </c>
      <c r="P349" s="321">
        <v>5849000</v>
      </c>
      <c r="Q349" s="322">
        <v>-563000</v>
      </c>
      <c r="R349" s="322">
        <v>0</v>
      </c>
      <c r="S349" s="322">
        <v>-570000</v>
      </c>
      <c r="T349" s="322">
        <v>-570000</v>
      </c>
      <c r="U349" s="322">
        <f t="shared" si="25"/>
        <v>0</v>
      </c>
      <c r="W349" s="321">
        <f t="shared" si="28"/>
        <v>930</v>
      </c>
      <c r="X349" s="321">
        <f t="shared" si="29"/>
        <v>349003</v>
      </c>
      <c r="Y349" s="321">
        <v>1</v>
      </c>
      <c r="AA349" s="321" t="s">
        <v>5159</v>
      </c>
    </row>
    <row r="350" spans="1:27">
      <c r="A350" s="376">
        <v>780</v>
      </c>
      <c r="B350" s="377">
        <v>611200</v>
      </c>
      <c r="C350" s="382" t="s">
        <v>6722</v>
      </c>
      <c r="D350" s="379">
        <v>90</v>
      </c>
      <c r="E350" s="380">
        <v>90</v>
      </c>
      <c r="F350" s="380">
        <v>110</v>
      </c>
      <c r="H350" s="351">
        <f t="shared" si="30"/>
        <v>90000</v>
      </c>
      <c r="I350" s="351">
        <f t="shared" si="31"/>
        <v>110000</v>
      </c>
      <c r="M350" s="321">
        <v>1349005930</v>
      </c>
      <c r="N350" s="321">
        <v>34</v>
      </c>
      <c r="O350" s="321" t="s">
        <v>5160</v>
      </c>
      <c r="P350" s="321">
        <v>5845200</v>
      </c>
      <c r="Q350" s="322">
        <v>-55000</v>
      </c>
      <c r="R350" s="322">
        <v>-27700</v>
      </c>
      <c r="S350" s="322">
        <v>-56000</v>
      </c>
      <c r="T350" s="322">
        <v>-56000</v>
      </c>
      <c r="U350" s="322">
        <f t="shared" si="25"/>
        <v>0</v>
      </c>
      <c r="W350" s="321">
        <f t="shared" si="28"/>
        <v>930</v>
      </c>
      <c r="X350" s="321">
        <f t="shared" si="29"/>
        <v>349005</v>
      </c>
      <c r="Y350" s="321">
        <v>1</v>
      </c>
      <c r="AA350" s="321" t="s">
        <v>5160</v>
      </c>
    </row>
    <row r="351" spans="1:27">
      <c r="A351" s="376">
        <v>781</v>
      </c>
      <c r="B351" s="377">
        <v>611200</v>
      </c>
      <c r="C351" s="382" t="s">
        <v>6723</v>
      </c>
      <c r="D351" s="379">
        <v>40</v>
      </c>
      <c r="E351" s="380">
        <v>90</v>
      </c>
      <c r="F351" s="380">
        <v>90</v>
      </c>
      <c r="H351" s="351">
        <f t="shared" si="30"/>
        <v>40000</v>
      </c>
      <c r="I351" s="351">
        <f t="shared" si="31"/>
        <v>90000</v>
      </c>
      <c r="M351" s="321">
        <v>1349006930</v>
      </c>
      <c r="N351" s="321">
        <v>34</v>
      </c>
      <c r="O351" s="321" t="s">
        <v>5161</v>
      </c>
      <c r="P351" s="321">
        <v>5845400</v>
      </c>
      <c r="Q351" s="322">
        <v>-39200</v>
      </c>
      <c r="R351" s="322">
        <v>-29900</v>
      </c>
      <c r="S351" s="322">
        <v>-41000</v>
      </c>
      <c r="T351" s="322">
        <v>-41000</v>
      </c>
      <c r="U351" s="322">
        <f t="shared" si="25"/>
        <v>0</v>
      </c>
      <c r="W351" s="321">
        <f t="shared" si="28"/>
        <v>930</v>
      </c>
      <c r="X351" s="321">
        <f t="shared" si="29"/>
        <v>349006</v>
      </c>
      <c r="Y351" s="321">
        <v>1</v>
      </c>
      <c r="AA351" s="321" t="s">
        <v>5161</v>
      </c>
    </row>
    <row r="352" spans="1:27">
      <c r="A352" s="376">
        <v>782</v>
      </c>
      <c r="B352" s="377">
        <v>611200</v>
      </c>
      <c r="C352" s="382" t="s">
        <v>6724</v>
      </c>
      <c r="D352" s="379">
        <v>30</v>
      </c>
      <c r="E352" s="380">
        <v>30</v>
      </c>
      <c r="F352" s="380">
        <v>30</v>
      </c>
      <c r="H352" s="351">
        <f t="shared" si="30"/>
        <v>30000</v>
      </c>
      <c r="I352" s="351">
        <f t="shared" si="31"/>
        <v>30000</v>
      </c>
      <c r="M352" s="321">
        <v>1349007930</v>
      </c>
      <c r="N352" s="321">
        <v>34</v>
      </c>
      <c r="O352" s="321" t="s">
        <v>5162</v>
      </c>
      <c r="P352" s="321">
        <v>5845100</v>
      </c>
      <c r="Q352" s="322">
        <v>-887000</v>
      </c>
      <c r="R352" s="322">
        <v>-650200</v>
      </c>
      <c r="S352" s="322">
        <v>-1059000</v>
      </c>
      <c r="T352" s="322">
        <v>-1059000</v>
      </c>
      <c r="U352" s="322">
        <f t="shared" si="25"/>
        <v>0</v>
      </c>
      <c r="W352" s="321">
        <f t="shared" si="28"/>
        <v>930</v>
      </c>
      <c r="X352" s="321">
        <f t="shared" si="29"/>
        <v>349007</v>
      </c>
      <c r="Y352" s="321">
        <v>1</v>
      </c>
      <c r="AA352" s="321" t="s">
        <v>5162</v>
      </c>
    </row>
    <row r="353" spans="1:27">
      <c r="A353" s="376">
        <v>783</v>
      </c>
      <c r="B353" s="377">
        <v>611200</v>
      </c>
      <c r="C353" s="382" t="s">
        <v>6725</v>
      </c>
      <c r="D353" s="379">
        <v>150</v>
      </c>
      <c r="E353" s="380">
        <v>150</v>
      </c>
      <c r="F353" s="380">
        <v>150</v>
      </c>
      <c r="H353" s="351">
        <f t="shared" si="30"/>
        <v>150000</v>
      </c>
      <c r="I353" s="351">
        <f t="shared" si="31"/>
        <v>150000</v>
      </c>
      <c r="M353" s="321">
        <v>1349008930</v>
      </c>
      <c r="N353" s="321">
        <v>34</v>
      </c>
      <c r="O353" s="321" t="s">
        <v>4029</v>
      </c>
      <c r="P353" s="321">
        <v>5842200</v>
      </c>
      <c r="Q353" s="322">
        <v>-107000</v>
      </c>
      <c r="R353" s="322">
        <v>-76700</v>
      </c>
      <c r="S353" s="322">
        <v>-108000</v>
      </c>
      <c r="T353" s="322">
        <v>-108000</v>
      </c>
      <c r="U353" s="322">
        <f t="shared" si="25"/>
        <v>0</v>
      </c>
      <c r="W353" s="321">
        <f t="shared" si="28"/>
        <v>930</v>
      </c>
      <c r="X353" s="321">
        <f t="shared" si="29"/>
        <v>349008</v>
      </c>
      <c r="Y353" s="321">
        <v>1</v>
      </c>
      <c r="AA353" s="321" t="s">
        <v>4029</v>
      </c>
    </row>
    <row r="354" spans="1:27">
      <c r="A354" s="376">
        <v>784</v>
      </c>
      <c r="B354" s="377">
        <v>611200</v>
      </c>
      <c r="C354" s="382" t="s">
        <v>6726</v>
      </c>
      <c r="D354" s="379">
        <v>0</v>
      </c>
      <c r="E354" s="380">
        <v>0</v>
      </c>
      <c r="F354" s="380">
        <v>0</v>
      </c>
      <c r="H354" s="351">
        <f t="shared" si="30"/>
        <v>0</v>
      </c>
      <c r="I354" s="351">
        <f t="shared" si="31"/>
        <v>0</v>
      </c>
      <c r="M354" s="321">
        <v>1349009930</v>
      </c>
      <c r="N354" s="321">
        <v>34</v>
      </c>
      <c r="O354" s="321" t="s">
        <v>5163</v>
      </c>
      <c r="P354" s="321">
        <v>5843900</v>
      </c>
      <c r="Q354" s="322">
        <v>-33000</v>
      </c>
      <c r="R354" s="322">
        <v>0</v>
      </c>
      <c r="S354" s="322">
        <v>-33000</v>
      </c>
      <c r="T354" s="322">
        <v>-33000</v>
      </c>
      <c r="U354" s="322">
        <f t="shared" si="25"/>
        <v>0</v>
      </c>
      <c r="W354" s="321">
        <f t="shared" si="28"/>
        <v>930</v>
      </c>
      <c r="X354" s="321">
        <f t="shared" si="29"/>
        <v>349009</v>
      </c>
      <c r="Y354" s="321">
        <v>1</v>
      </c>
      <c r="AA354" s="321" t="s">
        <v>5163</v>
      </c>
    </row>
    <row r="355" spans="1:27">
      <c r="A355" s="376">
        <v>785</v>
      </c>
      <c r="B355" s="377">
        <v>611200</v>
      </c>
      <c r="C355" s="382" t="s">
        <v>6727</v>
      </c>
      <c r="D355" s="379">
        <v>10</v>
      </c>
      <c r="E355" s="380">
        <v>30</v>
      </c>
      <c r="F355" s="380">
        <v>20</v>
      </c>
      <c r="H355" s="351">
        <f t="shared" si="30"/>
        <v>10000</v>
      </c>
      <c r="I355" s="351">
        <f t="shared" si="31"/>
        <v>20000</v>
      </c>
      <c r="M355" s="321">
        <v>1349010930</v>
      </c>
      <c r="N355" s="321">
        <v>34</v>
      </c>
      <c r="O355" s="321" t="s">
        <v>5164</v>
      </c>
      <c r="P355" s="321">
        <v>5843800</v>
      </c>
      <c r="Q355" s="322">
        <v>-557000</v>
      </c>
      <c r="R355" s="322">
        <v>-750300</v>
      </c>
      <c r="S355" s="322">
        <v>-2459000</v>
      </c>
      <c r="T355" s="322">
        <v>-2459000</v>
      </c>
      <c r="U355" s="322">
        <f t="shared" si="25"/>
        <v>0</v>
      </c>
      <c r="W355" s="321">
        <f t="shared" si="28"/>
        <v>930</v>
      </c>
      <c r="X355" s="321">
        <f t="shared" si="29"/>
        <v>349010</v>
      </c>
      <c r="Y355" s="321">
        <v>1</v>
      </c>
      <c r="AA355" s="321" t="s">
        <v>5164</v>
      </c>
    </row>
    <row r="356" spans="1:27">
      <c r="A356" s="376">
        <v>786</v>
      </c>
      <c r="B356" s="377">
        <v>611200</v>
      </c>
      <c r="C356" s="382" t="s">
        <v>6728</v>
      </c>
      <c r="D356" s="379">
        <v>130</v>
      </c>
      <c r="E356" s="380">
        <v>130</v>
      </c>
      <c r="F356" s="380">
        <v>130</v>
      </c>
      <c r="H356" s="351">
        <f t="shared" si="30"/>
        <v>130000</v>
      </c>
      <c r="I356" s="351">
        <f t="shared" si="31"/>
        <v>130000</v>
      </c>
      <c r="M356" s="321">
        <v>1349011930</v>
      </c>
      <c r="N356" s="321">
        <v>34</v>
      </c>
      <c r="O356" s="321" t="s">
        <v>5165</v>
      </c>
      <c r="P356" s="321">
        <v>5843000</v>
      </c>
      <c r="Q356" s="322">
        <v>-195000</v>
      </c>
      <c r="R356" s="322">
        <v>-90300</v>
      </c>
      <c r="S356" s="322">
        <v>-197000</v>
      </c>
      <c r="T356" s="322">
        <v>-197000</v>
      </c>
      <c r="U356" s="322">
        <f t="shared" si="25"/>
        <v>0</v>
      </c>
      <c r="W356" s="321">
        <f t="shared" si="28"/>
        <v>930</v>
      </c>
      <c r="X356" s="321">
        <f t="shared" si="29"/>
        <v>349011</v>
      </c>
      <c r="Y356" s="321">
        <v>1</v>
      </c>
      <c r="AA356" s="321" t="s">
        <v>5165</v>
      </c>
    </row>
    <row r="357" spans="1:27">
      <c r="A357" s="376">
        <v>787</v>
      </c>
      <c r="B357" s="377">
        <v>611200</v>
      </c>
      <c r="C357" s="382" t="s">
        <v>6729</v>
      </c>
      <c r="D357" s="379">
        <v>4</v>
      </c>
      <c r="E357" s="380">
        <v>14</v>
      </c>
      <c r="F357" s="380">
        <v>14</v>
      </c>
      <c r="H357" s="351">
        <f t="shared" si="30"/>
        <v>4000</v>
      </c>
      <c r="I357" s="351">
        <f t="shared" si="31"/>
        <v>14000</v>
      </c>
      <c r="M357" s="321">
        <v>1349012930</v>
      </c>
      <c r="N357" s="321">
        <v>34</v>
      </c>
      <c r="O357" s="321" t="s">
        <v>5166</v>
      </c>
      <c r="P357" s="321">
        <v>5844400</v>
      </c>
      <c r="Q357" s="322">
        <v>-295600</v>
      </c>
      <c r="R357" s="322">
        <v>-223100</v>
      </c>
      <c r="S357" s="322">
        <v>-301000</v>
      </c>
      <c r="T357" s="322">
        <v>-301000</v>
      </c>
      <c r="U357" s="322">
        <f t="shared" si="25"/>
        <v>0</v>
      </c>
      <c r="W357" s="321">
        <f t="shared" si="28"/>
        <v>930</v>
      </c>
      <c r="X357" s="321">
        <f t="shared" si="29"/>
        <v>349012</v>
      </c>
      <c r="Y357" s="321">
        <v>1</v>
      </c>
      <c r="AA357" s="321" t="s">
        <v>5166</v>
      </c>
    </row>
    <row r="358" spans="1:27">
      <c r="A358" s="376">
        <v>788</v>
      </c>
      <c r="B358" s="377">
        <v>611200</v>
      </c>
      <c r="C358" s="382" t="s">
        <v>6730</v>
      </c>
      <c r="D358" s="379">
        <v>35</v>
      </c>
      <c r="E358" s="380">
        <v>30</v>
      </c>
      <c r="F358" s="380">
        <v>30</v>
      </c>
      <c r="H358" s="351">
        <f t="shared" si="30"/>
        <v>35000</v>
      </c>
      <c r="I358" s="351">
        <f t="shared" si="31"/>
        <v>30000</v>
      </c>
      <c r="M358" s="321">
        <v>1349013930</v>
      </c>
      <c r="N358" s="321">
        <v>34</v>
      </c>
      <c r="O358" s="321" t="s">
        <v>5167</v>
      </c>
      <c r="P358" s="321">
        <v>5849000</v>
      </c>
      <c r="Q358" s="322">
        <v>-238000</v>
      </c>
      <c r="R358" s="322">
        <v>-163500</v>
      </c>
      <c r="S358" s="322">
        <v>-325000</v>
      </c>
      <c r="T358" s="322">
        <v>-325000</v>
      </c>
      <c r="U358" s="322">
        <f t="shared" si="25"/>
        <v>0</v>
      </c>
      <c r="W358" s="321">
        <f t="shared" si="28"/>
        <v>930</v>
      </c>
      <c r="X358" s="321">
        <f t="shared" si="29"/>
        <v>349013</v>
      </c>
      <c r="Y358" s="321">
        <v>1</v>
      </c>
      <c r="AA358" s="321" t="s">
        <v>5167</v>
      </c>
    </row>
    <row r="359" spans="1:27">
      <c r="A359" s="376">
        <v>789</v>
      </c>
      <c r="B359" s="377">
        <v>611200</v>
      </c>
      <c r="C359" s="382" t="s">
        <v>6731</v>
      </c>
      <c r="D359" s="379">
        <v>400</v>
      </c>
      <c r="E359" s="380">
        <v>0</v>
      </c>
      <c r="F359" s="380">
        <v>0</v>
      </c>
      <c r="H359" s="351">
        <f t="shared" si="30"/>
        <v>400000</v>
      </c>
      <c r="I359" s="351">
        <f t="shared" si="31"/>
        <v>0</v>
      </c>
      <c r="M359" s="321">
        <v>1349014930</v>
      </c>
      <c r="N359" s="321">
        <v>34</v>
      </c>
      <c r="O359" s="321" t="s">
        <v>5168</v>
      </c>
      <c r="P359" s="321">
        <v>5849000</v>
      </c>
      <c r="Q359" s="322">
        <v>-65000</v>
      </c>
      <c r="R359" s="322">
        <v>-46800</v>
      </c>
      <c r="S359" s="322">
        <v>-77000</v>
      </c>
      <c r="T359" s="322">
        <v>-77000</v>
      </c>
      <c r="U359" s="322">
        <f t="shared" si="25"/>
        <v>0</v>
      </c>
      <c r="W359" s="321">
        <f t="shared" si="28"/>
        <v>930</v>
      </c>
      <c r="X359" s="321">
        <f t="shared" si="29"/>
        <v>349014</v>
      </c>
      <c r="Y359" s="321">
        <v>1</v>
      </c>
      <c r="AA359" s="321" t="s">
        <v>5168</v>
      </c>
    </row>
    <row r="360" spans="1:27">
      <c r="A360" s="376">
        <v>100</v>
      </c>
      <c r="B360" s="377">
        <v>611300</v>
      </c>
      <c r="C360" s="382" t="s">
        <v>6732</v>
      </c>
      <c r="D360" s="379">
        <v>4498</v>
      </c>
      <c r="E360" s="380">
        <v>4100</v>
      </c>
      <c r="F360" s="380">
        <v>4151</v>
      </c>
      <c r="H360" s="351">
        <f t="shared" si="30"/>
        <v>4498000</v>
      </c>
      <c r="I360" s="351">
        <f t="shared" si="31"/>
        <v>4151000</v>
      </c>
      <c r="M360" s="321">
        <v>1349016930</v>
      </c>
      <c r="N360" s="321">
        <v>34</v>
      </c>
      <c r="O360" s="321" t="s">
        <v>5169</v>
      </c>
      <c r="P360" s="321">
        <v>5848500</v>
      </c>
      <c r="Q360" s="322">
        <v>-317900</v>
      </c>
      <c r="R360" s="322">
        <v>-237800</v>
      </c>
      <c r="S360" s="322">
        <v>-335000</v>
      </c>
      <c r="T360" s="322">
        <v>-335000</v>
      </c>
      <c r="U360" s="322">
        <f t="shared" si="25"/>
        <v>0</v>
      </c>
      <c r="W360" s="321">
        <f t="shared" si="28"/>
        <v>930</v>
      </c>
      <c r="X360" s="321">
        <f t="shared" si="29"/>
        <v>349016</v>
      </c>
      <c r="Y360" s="321">
        <v>1</v>
      </c>
      <c r="AA360" s="321" t="s">
        <v>5169</v>
      </c>
    </row>
    <row r="361" spans="1:27">
      <c r="A361" s="376">
        <v>470</v>
      </c>
      <c r="B361" s="377">
        <v>611300</v>
      </c>
      <c r="C361" s="382" t="s">
        <v>6716</v>
      </c>
      <c r="D361" s="379">
        <v>70</v>
      </c>
      <c r="E361" s="380">
        <v>100</v>
      </c>
      <c r="F361" s="380">
        <v>60</v>
      </c>
      <c r="H361" s="351">
        <f t="shared" si="30"/>
        <v>70000</v>
      </c>
      <c r="I361" s="351">
        <f t="shared" si="31"/>
        <v>60000</v>
      </c>
      <c r="M361" s="321">
        <v>1349017930</v>
      </c>
      <c r="N361" s="321">
        <v>34</v>
      </c>
      <c r="O361" s="321" t="s">
        <v>5170</v>
      </c>
      <c r="P361" s="321">
        <v>5846800</v>
      </c>
      <c r="Q361" s="322">
        <v>-203000</v>
      </c>
      <c r="R361" s="322">
        <v>-247500</v>
      </c>
      <c r="S361" s="322">
        <v>-324000</v>
      </c>
      <c r="T361" s="322">
        <v>-324000</v>
      </c>
      <c r="U361" s="322">
        <f t="shared" si="25"/>
        <v>0</v>
      </c>
      <c r="W361" s="321">
        <f t="shared" si="28"/>
        <v>930</v>
      </c>
      <c r="X361" s="321">
        <f t="shared" si="29"/>
        <v>349017</v>
      </c>
      <c r="Y361" s="321">
        <v>1</v>
      </c>
      <c r="AA361" s="321" t="s">
        <v>5170</v>
      </c>
    </row>
    <row r="362" spans="1:27">
      <c r="A362" s="376">
        <v>511</v>
      </c>
      <c r="B362" s="377">
        <v>611300</v>
      </c>
      <c r="C362" s="382" t="s">
        <v>6733</v>
      </c>
      <c r="D362" s="379">
        <v>100</v>
      </c>
      <c r="E362" s="380">
        <v>80</v>
      </c>
      <c r="F362" s="380">
        <v>120</v>
      </c>
      <c r="H362" s="351">
        <f t="shared" si="30"/>
        <v>100000</v>
      </c>
      <c r="I362" s="351">
        <f t="shared" si="31"/>
        <v>120000</v>
      </c>
      <c r="M362" s="321">
        <v>1349018950</v>
      </c>
      <c r="N362" s="321">
        <v>34</v>
      </c>
      <c r="O362" s="321" t="s">
        <v>5171</v>
      </c>
      <c r="P362" s="321">
        <v>5848200</v>
      </c>
      <c r="Q362" s="322">
        <v>0</v>
      </c>
      <c r="R362" s="322">
        <v>0</v>
      </c>
      <c r="S362" s="322">
        <v>0</v>
      </c>
      <c r="T362" s="322">
        <v>0</v>
      </c>
      <c r="U362" s="322">
        <f t="shared" si="25"/>
        <v>0</v>
      </c>
      <c r="W362" s="321">
        <f t="shared" si="28"/>
        <v>950</v>
      </c>
      <c r="X362" s="321">
        <f t="shared" si="29"/>
        <v>349018</v>
      </c>
      <c r="Y362" s="321">
        <v>1</v>
      </c>
      <c r="AA362" s="321" t="s">
        <v>5171</v>
      </c>
    </row>
    <row r="363" spans="1:27">
      <c r="A363" s="376">
        <v>522</v>
      </c>
      <c r="B363" s="377">
        <v>611300</v>
      </c>
      <c r="C363" s="382" t="s">
        <v>6734</v>
      </c>
      <c r="D363" s="379">
        <v>80</v>
      </c>
      <c r="E363" s="380">
        <v>80</v>
      </c>
      <c r="F363" s="380">
        <v>85</v>
      </c>
      <c r="H363" s="351">
        <f t="shared" si="30"/>
        <v>80000</v>
      </c>
      <c r="I363" s="351">
        <f t="shared" si="31"/>
        <v>85000</v>
      </c>
      <c r="M363" s="321">
        <v>1349021930</v>
      </c>
      <c r="N363" s="321">
        <v>34</v>
      </c>
      <c r="O363" s="321" t="s">
        <v>5172</v>
      </c>
      <c r="P363" s="321">
        <v>5849000</v>
      </c>
      <c r="Q363" s="322">
        <v>0</v>
      </c>
      <c r="R363" s="322">
        <v>-173300</v>
      </c>
      <c r="S363" s="322">
        <v>-230000</v>
      </c>
      <c r="T363" s="322">
        <v>-230000</v>
      </c>
      <c r="U363" s="322">
        <f t="shared" si="25"/>
        <v>0</v>
      </c>
      <c r="W363" s="321">
        <f t="shared" si="28"/>
        <v>930</v>
      </c>
      <c r="X363" s="321">
        <f t="shared" si="29"/>
        <v>349021</v>
      </c>
      <c r="Y363" s="321">
        <v>1</v>
      </c>
      <c r="AA363" s="321" t="s">
        <v>5172</v>
      </c>
    </row>
    <row r="364" spans="1:27">
      <c r="A364" s="376">
        <v>530</v>
      </c>
      <c r="B364" s="377">
        <v>611300</v>
      </c>
      <c r="C364" s="369" t="s">
        <v>6735</v>
      </c>
      <c r="D364" s="379">
        <v>125</v>
      </c>
      <c r="E364" s="380">
        <v>90</v>
      </c>
      <c r="F364" s="380">
        <v>90</v>
      </c>
      <c r="H364" s="351">
        <f t="shared" si="30"/>
        <v>125000</v>
      </c>
      <c r="I364" s="351">
        <f t="shared" si="31"/>
        <v>90000</v>
      </c>
      <c r="M364" s="321">
        <v>1349022930</v>
      </c>
      <c r="N364" s="321">
        <v>34</v>
      </c>
      <c r="O364" s="321" t="s">
        <v>5173</v>
      </c>
      <c r="P364" s="321">
        <v>5847300</v>
      </c>
      <c r="Q364" s="322">
        <v>-143000</v>
      </c>
      <c r="R364" s="322">
        <v>-15800</v>
      </c>
      <c r="S364" s="322">
        <v>-145000</v>
      </c>
      <c r="T364" s="322">
        <v>-145000</v>
      </c>
      <c r="U364" s="322">
        <f t="shared" si="25"/>
        <v>0</v>
      </c>
      <c r="W364" s="321">
        <f t="shared" si="28"/>
        <v>930</v>
      </c>
      <c r="X364" s="321">
        <f t="shared" si="29"/>
        <v>349022</v>
      </c>
      <c r="Y364" s="321">
        <v>1</v>
      </c>
      <c r="AA364" s="321" t="s">
        <v>5173</v>
      </c>
    </row>
    <row r="365" spans="1:27">
      <c r="A365" s="376">
        <v>540</v>
      </c>
      <c r="B365" s="377">
        <v>611300</v>
      </c>
      <c r="C365" s="382" t="s">
        <v>6736</v>
      </c>
      <c r="D365" s="379">
        <v>50</v>
      </c>
      <c r="E365" s="380">
        <v>50</v>
      </c>
      <c r="F365" s="380">
        <v>60</v>
      </c>
      <c r="H365" s="351">
        <f t="shared" si="30"/>
        <v>50000</v>
      </c>
      <c r="I365" s="351">
        <f t="shared" si="31"/>
        <v>60000</v>
      </c>
      <c r="M365" s="321">
        <v>1349023930</v>
      </c>
      <c r="N365" s="321">
        <v>34</v>
      </c>
      <c r="O365" s="321" t="s">
        <v>5174</v>
      </c>
      <c r="P365" s="321">
        <v>5842400</v>
      </c>
      <c r="Q365" s="322">
        <v>-232000</v>
      </c>
      <c r="R365" s="322">
        <v>-192100</v>
      </c>
      <c r="S365" s="322">
        <v>-235000</v>
      </c>
      <c r="T365" s="322">
        <v>-235000</v>
      </c>
      <c r="U365" s="322">
        <f t="shared" si="25"/>
        <v>0</v>
      </c>
      <c r="W365" s="321">
        <f t="shared" si="28"/>
        <v>930</v>
      </c>
      <c r="X365" s="321">
        <f t="shared" si="29"/>
        <v>349023</v>
      </c>
      <c r="Y365" s="321">
        <v>1</v>
      </c>
      <c r="AA365" s="321" t="s">
        <v>5174</v>
      </c>
    </row>
    <row r="366" spans="1:27">
      <c r="A366" s="376">
        <v>550</v>
      </c>
      <c r="B366" s="377">
        <v>611300</v>
      </c>
      <c r="C366" s="382" t="s">
        <v>6737</v>
      </c>
      <c r="D366" s="379">
        <v>200</v>
      </c>
      <c r="E366" s="380">
        <v>200</v>
      </c>
      <c r="F366" s="380">
        <v>300</v>
      </c>
      <c r="H366" s="351">
        <f t="shared" si="30"/>
        <v>200000</v>
      </c>
      <c r="I366" s="351">
        <f t="shared" si="31"/>
        <v>300000</v>
      </c>
      <c r="M366" s="321">
        <v>1349024930</v>
      </c>
      <c r="N366" s="321">
        <v>34</v>
      </c>
      <c r="O366" s="321" t="s">
        <v>5175</v>
      </c>
      <c r="P366" s="321">
        <v>5849000</v>
      </c>
      <c r="Q366" s="322">
        <v>-51000</v>
      </c>
      <c r="R366" s="322">
        <v>-42800</v>
      </c>
      <c r="S366" s="322">
        <v>-72000</v>
      </c>
      <c r="T366" s="322">
        <v>-72000</v>
      </c>
      <c r="U366" s="322">
        <f t="shared" si="25"/>
        <v>0</v>
      </c>
      <c r="W366" s="321">
        <f t="shared" si="28"/>
        <v>930</v>
      </c>
      <c r="X366" s="321">
        <f t="shared" si="29"/>
        <v>349024</v>
      </c>
      <c r="Y366" s="321">
        <v>1</v>
      </c>
      <c r="AA366" s="321" t="s">
        <v>5175</v>
      </c>
    </row>
    <row r="367" spans="1:27">
      <c r="A367" s="376">
        <v>560</v>
      </c>
      <c r="B367" s="377">
        <v>611300</v>
      </c>
      <c r="C367" s="382" t="s">
        <v>6738</v>
      </c>
      <c r="D367" s="379">
        <v>25</v>
      </c>
      <c r="E367" s="380">
        <v>25</v>
      </c>
      <c r="F367" s="380">
        <v>25</v>
      </c>
      <c r="H367" s="351">
        <f t="shared" si="30"/>
        <v>25000</v>
      </c>
      <c r="I367" s="351">
        <f t="shared" si="31"/>
        <v>25000</v>
      </c>
      <c r="M367" s="321">
        <v>1349025930</v>
      </c>
      <c r="N367" s="321">
        <v>34</v>
      </c>
      <c r="O367" s="321" t="s">
        <v>5176</v>
      </c>
      <c r="P367" s="321">
        <v>5849000</v>
      </c>
      <c r="Q367" s="322">
        <v>0</v>
      </c>
      <c r="R367" s="322">
        <v>0</v>
      </c>
      <c r="S367" s="322">
        <v>0</v>
      </c>
      <c r="T367" s="322">
        <v>0</v>
      </c>
      <c r="U367" s="322">
        <f t="shared" si="25"/>
        <v>0</v>
      </c>
      <c r="W367" s="321">
        <f t="shared" si="28"/>
        <v>930</v>
      </c>
      <c r="X367" s="321">
        <f t="shared" si="29"/>
        <v>349025</v>
      </c>
      <c r="Y367" s="321">
        <v>1</v>
      </c>
      <c r="AA367" s="321" t="s">
        <v>5176</v>
      </c>
    </row>
    <row r="368" spans="1:27">
      <c r="A368" s="376">
        <v>570</v>
      </c>
      <c r="B368" s="377">
        <v>611300</v>
      </c>
      <c r="C368" s="385" t="s">
        <v>6739</v>
      </c>
      <c r="D368" s="379">
        <v>23</v>
      </c>
      <c r="E368" s="380">
        <v>17</v>
      </c>
      <c r="F368" s="380">
        <v>17</v>
      </c>
      <c r="H368" s="351">
        <f t="shared" si="30"/>
        <v>23000</v>
      </c>
      <c r="I368" s="351">
        <f t="shared" si="31"/>
        <v>17000</v>
      </c>
      <c r="M368" s="321">
        <v>1349300930</v>
      </c>
      <c r="N368" s="321">
        <v>34</v>
      </c>
      <c r="O368" s="321" t="s">
        <v>5177</v>
      </c>
      <c r="P368" s="321">
        <v>5847300</v>
      </c>
      <c r="Q368" s="322">
        <v>0</v>
      </c>
      <c r="R368" s="322">
        <v>0</v>
      </c>
      <c r="S368" s="322">
        <v>0</v>
      </c>
      <c r="T368" s="322">
        <v>0</v>
      </c>
      <c r="U368" s="322">
        <f t="shared" si="25"/>
        <v>0</v>
      </c>
      <c r="W368" s="321">
        <f t="shared" si="28"/>
        <v>930</v>
      </c>
      <c r="X368" s="321">
        <f t="shared" si="29"/>
        <v>349300</v>
      </c>
      <c r="Y368" s="321">
        <v>1</v>
      </c>
      <c r="AA368" s="321" t="s">
        <v>5177</v>
      </c>
    </row>
    <row r="369" spans="1:27">
      <c r="A369" s="376">
        <v>742</v>
      </c>
      <c r="B369" s="377">
        <v>611300</v>
      </c>
      <c r="C369" s="385" t="s">
        <v>6740</v>
      </c>
      <c r="D369" s="379">
        <v>3</v>
      </c>
      <c r="E369" s="380">
        <v>2</v>
      </c>
      <c r="F369" s="380">
        <v>3</v>
      </c>
      <c r="H369" s="351">
        <f t="shared" si="30"/>
        <v>3000</v>
      </c>
      <c r="I369" s="351">
        <f t="shared" si="31"/>
        <v>3000</v>
      </c>
      <c r="M369" s="321">
        <v>1360000420</v>
      </c>
      <c r="N369" s="321">
        <v>36</v>
      </c>
      <c r="O369" s="321" t="s">
        <v>5178</v>
      </c>
      <c r="P369" s="321">
        <v>1860000</v>
      </c>
      <c r="Q369" s="322">
        <v>-285000</v>
      </c>
      <c r="R369" s="322">
        <v>-47800</v>
      </c>
      <c r="S369" s="322">
        <v>-200000</v>
      </c>
      <c r="T369" s="322">
        <v>-200000</v>
      </c>
      <c r="U369" s="322">
        <f t="shared" si="25"/>
        <v>0</v>
      </c>
      <c r="W369" s="321">
        <f t="shared" si="28"/>
        <v>420</v>
      </c>
      <c r="X369" s="321">
        <f t="shared" si="29"/>
        <v>360000</v>
      </c>
      <c r="Y369" s="321">
        <v>1</v>
      </c>
      <c r="AA369" s="321" t="s">
        <v>5178</v>
      </c>
    </row>
    <row r="370" spans="1:27">
      <c r="A370" s="376">
        <v>750</v>
      </c>
      <c r="B370" s="377">
        <v>611300</v>
      </c>
      <c r="C370" s="354" t="s">
        <v>6741</v>
      </c>
      <c r="D370" s="379">
        <v>245</v>
      </c>
      <c r="E370" s="380">
        <v>250</v>
      </c>
      <c r="F370" s="380">
        <v>255</v>
      </c>
      <c r="H370" s="351">
        <f t="shared" si="30"/>
        <v>245000</v>
      </c>
      <c r="I370" s="351">
        <f t="shared" si="31"/>
        <v>255000</v>
      </c>
      <c r="M370" s="321">
        <v>1360000421</v>
      </c>
      <c r="N370" s="321">
        <v>36</v>
      </c>
      <c r="O370" s="321" t="s">
        <v>5179</v>
      </c>
      <c r="P370" s="321">
        <v>1860000</v>
      </c>
      <c r="Q370" s="322">
        <v>-30000</v>
      </c>
      <c r="R370" s="322">
        <v>-20500</v>
      </c>
      <c r="S370" s="322">
        <v>-30000</v>
      </c>
      <c r="T370" s="322">
        <v>-30000</v>
      </c>
      <c r="U370" s="322">
        <f t="shared" si="25"/>
        <v>0</v>
      </c>
      <c r="W370" s="321">
        <f t="shared" si="28"/>
        <v>421</v>
      </c>
      <c r="X370" s="321">
        <f t="shared" si="29"/>
        <v>360000</v>
      </c>
      <c r="Y370" s="321">
        <v>1</v>
      </c>
      <c r="AA370" s="321" t="s">
        <v>5179</v>
      </c>
    </row>
    <row r="371" spans="1:27">
      <c r="A371" s="376">
        <v>751</v>
      </c>
      <c r="B371" s="377">
        <v>611300</v>
      </c>
      <c r="C371" s="385" t="s">
        <v>6742</v>
      </c>
      <c r="D371" s="379">
        <v>11</v>
      </c>
      <c r="E371" s="380">
        <v>11</v>
      </c>
      <c r="F371" s="380">
        <v>11</v>
      </c>
      <c r="H371" s="351">
        <f t="shared" si="30"/>
        <v>11000</v>
      </c>
      <c r="I371" s="351">
        <f t="shared" si="31"/>
        <v>11000</v>
      </c>
      <c r="M371" s="321">
        <v>1360000951</v>
      </c>
      <c r="N371" s="321">
        <v>36</v>
      </c>
      <c r="O371" s="321" t="s">
        <v>5180</v>
      </c>
      <c r="P371" s="321">
        <v>1860000</v>
      </c>
      <c r="Q371" s="322">
        <v>-500000</v>
      </c>
      <c r="R371" s="322">
        <v>-34200</v>
      </c>
      <c r="S371" s="322">
        <v>-500000</v>
      </c>
      <c r="T371" s="322">
        <v>-500000</v>
      </c>
      <c r="U371" s="322">
        <f t="shared" si="25"/>
        <v>0</v>
      </c>
      <c r="W371" s="321">
        <f t="shared" si="28"/>
        <v>951</v>
      </c>
      <c r="X371" s="321">
        <f t="shared" si="29"/>
        <v>360000</v>
      </c>
      <c r="Y371" s="321">
        <v>1</v>
      </c>
      <c r="AA371" s="321" t="s">
        <v>5180</v>
      </c>
    </row>
    <row r="372" spans="1:27">
      <c r="A372" s="376">
        <v>752</v>
      </c>
      <c r="B372" s="377">
        <v>611300</v>
      </c>
      <c r="C372" s="385" t="s">
        <v>6743</v>
      </c>
      <c r="D372" s="379">
        <v>40</v>
      </c>
      <c r="E372" s="380">
        <v>100</v>
      </c>
      <c r="F372" s="380">
        <v>30</v>
      </c>
      <c r="H372" s="351">
        <f t="shared" si="30"/>
        <v>40000</v>
      </c>
      <c r="I372" s="351">
        <f t="shared" si="31"/>
        <v>30000</v>
      </c>
      <c r="M372" s="321">
        <v>1360001950</v>
      </c>
      <c r="N372" s="321">
        <v>36</v>
      </c>
      <c r="O372" s="321" t="s">
        <v>5181</v>
      </c>
      <c r="P372" s="321">
        <v>1860001</v>
      </c>
      <c r="Q372" s="322">
        <v>-700000</v>
      </c>
      <c r="R372" s="322">
        <v>-427000</v>
      </c>
      <c r="S372" s="322">
        <v>-700000</v>
      </c>
      <c r="T372" s="322">
        <v>-700000</v>
      </c>
      <c r="U372" s="322">
        <f t="shared" si="25"/>
        <v>0</v>
      </c>
      <c r="W372" s="321">
        <f t="shared" si="28"/>
        <v>950</v>
      </c>
      <c r="X372" s="321">
        <f t="shared" si="29"/>
        <v>360001</v>
      </c>
      <c r="Y372" s="321">
        <v>1</v>
      </c>
      <c r="AA372" s="321" t="s">
        <v>5181</v>
      </c>
    </row>
    <row r="373" spans="1:27">
      <c r="A373" s="376">
        <v>755</v>
      </c>
      <c r="B373" s="377">
        <v>611300</v>
      </c>
      <c r="C373" s="385" t="s">
        <v>6744</v>
      </c>
      <c r="D373" s="379">
        <v>50</v>
      </c>
      <c r="E373" s="380">
        <v>130</v>
      </c>
      <c r="F373" s="380">
        <v>250</v>
      </c>
      <c r="H373" s="351">
        <f t="shared" si="30"/>
        <v>50000</v>
      </c>
      <c r="I373" s="351">
        <f t="shared" si="31"/>
        <v>250000</v>
      </c>
      <c r="M373" s="321">
        <v>1360002420</v>
      </c>
      <c r="N373" s="321">
        <v>36</v>
      </c>
      <c r="O373" s="321" t="s">
        <v>5182</v>
      </c>
      <c r="P373" s="321">
        <v>1860002</v>
      </c>
      <c r="Q373" s="322">
        <v>0</v>
      </c>
      <c r="R373" s="322">
        <v>0</v>
      </c>
      <c r="S373" s="322">
        <v>0</v>
      </c>
      <c r="T373" s="322">
        <v>0</v>
      </c>
      <c r="U373" s="322">
        <f t="shared" si="25"/>
        <v>0</v>
      </c>
      <c r="W373" s="321">
        <f t="shared" si="28"/>
        <v>420</v>
      </c>
      <c r="X373" s="321">
        <f t="shared" si="29"/>
        <v>360002</v>
      </c>
      <c r="Y373" s="321">
        <v>1</v>
      </c>
      <c r="AA373" s="321" t="s">
        <v>5182</v>
      </c>
    </row>
    <row r="374" spans="1:27">
      <c r="A374" s="376">
        <v>780</v>
      </c>
      <c r="B374" s="377">
        <v>611300</v>
      </c>
      <c r="C374" s="385" t="s">
        <v>6745</v>
      </c>
      <c r="D374" s="379">
        <v>20</v>
      </c>
      <c r="E374" s="380">
        <v>20</v>
      </c>
      <c r="F374" s="380">
        <v>20</v>
      </c>
      <c r="H374" s="351">
        <f t="shared" si="30"/>
        <v>20000</v>
      </c>
      <c r="I374" s="351">
        <f t="shared" si="31"/>
        <v>20000</v>
      </c>
      <c r="M374" s="321">
        <v>1360002950</v>
      </c>
      <c r="N374" s="321">
        <v>36</v>
      </c>
      <c r="O374" s="321" t="s">
        <v>5183</v>
      </c>
      <c r="P374" s="321">
        <v>1860002</v>
      </c>
      <c r="Q374" s="322">
        <v>-200000</v>
      </c>
      <c r="R374" s="322">
        <v>-34200</v>
      </c>
      <c r="S374" s="322">
        <v>-200000</v>
      </c>
      <c r="T374" s="322">
        <v>-200000</v>
      </c>
      <c r="U374" s="322">
        <f t="shared" si="25"/>
        <v>0</v>
      </c>
      <c r="W374" s="321">
        <f t="shared" si="28"/>
        <v>950</v>
      </c>
      <c r="X374" s="321">
        <f t="shared" si="29"/>
        <v>360002</v>
      </c>
      <c r="Y374" s="321">
        <v>1</v>
      </c>
      <c r="AA374" s="321" t="s">
        <v>5183</v>
      </c>
    </row>
    <row r="375" spans="1:27">
      <c r="A375" s="376">
        <v>930</v>
      </c>
      <c r="B375" s="377">
        <v>611300</v>
      </c>
      <c r="C375" s="385" t="s">
        <v>164</v>
      </c>
      <c r="D375" s="379">
        <v>5</v>
      </c>
      <c r="E375" s="380">
        <v>5</v>
      </c>
      <c r="F375" s="380">
        <v>5</v>
      </c>
      <c r="H375" s="351">
        <f t="shared" si="30"/>
        <v>5000</v>
      </c>
      <c r="I375" s="351">
        <f t="shared" si="31"/>
        <v>5000</v>
      </c>
      <c r="M375" s="321">
        <v>1360003420</v>
      </c>
      <c r="N375" s="321">
        <v>36</v>
      </c>
      <c r="O375" s="321" t="s">
        <v>5184</v>
      </c>
      <c r="P375" s="321">
        <v>1860003</v>
      </c>
      <c r="Q375" s="322">
        <v>-30000</v>
      </c>
      <c r="R375" s="322">
        <v>0</v>
      </c>
      <c r="S375" s="322">
        <v>0</v>
      </c>
      <c r="T375" s="322">
        <v>0</v>
      </c>
      <c r="U375" s="322">
        <f t="shared" si="25"/>
        <v>0</v>
      </c>
      <c r="W375" s="321">
        <f t="shared" si="28"/>
        <v>420</v>
      </c>
      <c r="X375" s="321">
        <f t="shared" si="29"/>
        <v>360003</v>
      </c>
      <c r="Y375" s="321">
        <v>1</v>
      </c>
      <c r="AA375" s="321" t="s">
        <v>5184</v>
      </c>
    </row>
    <row r="376" spans="1:27">
      <c r="A376" s="376">
        <v>950</v>
      </c>
      <c r="B376" s="377">
        <v>611300</v>
      </c>
      <c r="C376" s="385" t="s">
        <v>6746</v>
      </c>
      <c r="D376" s="379">
        <v>0</v>
      </c>
      <c r="E376" s="380">
        <v>50</v>
      </c>
      <c r="F376" s="380">
        <v>50</v>
      </c>
      <c r="H376" s="351">
        <f t="shared" si="30"/>
        <v>0</v>
      </c>
      <c r="I376" s="351">
        <f t="shared" si="31"/>
        <v>50000</v>
      </c>
      <c r="M376" s="321">
        <v>1360004420</v>
      </c>
      <c r="N376" s="321">
        <v>36</v>
      </c>
      <c r="O376" s="321" t="s">
        <v>5185</v>
      </c>
      <c r="P376" s="321">
        <v>1860004</v>
      </c>
      <c r="Q376" s="322">
        <v>0</v>
      </c>
      <c r="R376" s="322">
        <v>0</v>
      </c>
      <c r="S376" s="322">
        <v>0</v>
      </c>
      <c r="T376" s="322">
        <v>0</v>
      </c>
      <c r="U376" s="322">
        <f t="shared" si="25"/>
        <v>0</v>
      </c>
      <c r="W376" s="321">
        <f t="shared" si="28"/>
        <v>420</v>
      </c>
      <c r="X376" s="321">
        <f t="shared" si="29"/>
        <v>360004</v>
      </c>
      <c r="Y376" s="321">
        <v>1</v>
      </c>
      <c r="AA376" s="321" t="s">
        <v>5185</v>
      </c>
    </row>
    <row r="377" spans="1:27">
      <c r="A377" s="376">
        <v>100</v>
      </c>
      <c r="B377" s="377">
        <v>612000</v>
      </c>
      <c r="C377" s="382" t="s">
        <v>6747</v>
      </c>
      <c r="D377" s="379">
        <v>955</v>
      </c>
      <c r="E377" s="380">
        <v>900</v>
      </c>
      <c r="F377" s="380">
        <v>930</v>
      </c>
      <c r="H377" s="351">
        <f t="shared" si="30"/>
        <v>955000</v>
      </c>
      <c r="I377" s="351">
        <f t="shared" si="31"/>
        <v>930000</v>
      </c>
      <c r="M377" s="321">
        <v>1360004950</v>
      </c>
      <c r="N377" s="321">
        <v>36</v>
      </c>
      <c r="O377" s="321" t="s">
        <v>5186</v>
      </c>
      <c r="P377" s="321">
        <v>1860004</v>
      </c>
      <c r="Q377" s="322">
        <v>-100000</v>
      </c>
      <c r="R377" s="322">
        <v>0</v>
      </c>
      <c r="S377" s="322">
        <v>-100000</v>
      </c>
      <c r="T377" s="322">
        <v>-100000</v>
      </c>
      <c r="U377" s="322">
        <f t="shared" si="25"/>
        <v>0</v>
      </c>
      <c r="W377" s="321">
        <f t="shared" si="28"/>
        <v>950</v>
      </c>
      <c r="X377" s="321">
        <f t="shared" si="29"/>
        <v>360004</v>
      </c>
      <c r="Y377" s="321">
        <v>1</v>
      </c>
      <c r="AA377" s="321" t="s">
        <v>5186</v>
      </c>
    </row>
    <row r="378" spans="1:27">
      <c r="A378" s="376">
        <v>410</v>
      </c>
      <c r="B378" s="377">
        <v>612000</v>
      </c>
      <c r="C378" s="382" t="s">
        <v>6748</v>
      </c>
      <c r="D378" s="379">
        <v>70</v>
      </c>
      <c r="E378" s="380">
        <v>65</v>
      </c>
      <c r="F378" s="380">
        <v>75</v>
      </c>
      <c r="H378" s="351">
        <f t="shared" si="30"/>
        <v>70000</v>
      </c>
      <c r="I378" s="351">
        <f t="shared" si="31"/>
        <v>75000</v>
      </c>
      <c r="M378" s="321">
        <v>1360005950</v>
      </c>
      <c r="N378" s="321">
        <v>36</v>
      </c>
      <c r="O378" s="321" t="s">
        <v>5187</v>
      </c>
      <c r="P378" s="321">
        <v>1860005</v>
      </c>
      <c r="Q378" s="322">
        <v>0</v>
      </c>
      <c r="R378" s="322">
        <v>0</v>
      </c>
      <c r="S378" s="322">
        <v>0</v>
      </c>
      <c r="T378" s="322">
        <v>0</v>
      </c>
      <c r="U378" s="322">
        <f t="shared" si="25"/>
        <v>0</v>
      </c>
      <c r="W378" s="321">
        <f t="shared" si="28"/>
        <v>950</v>
      </c>
      <c r="X378" s="321">
        <f t="shared" si="29"/>
        <v>360005</v>
      </c>
      <c r="Y378" s="321">
        <v>1</v>
      </c>
      <c r="AA378" s="321" t="s">
        <v>5187</v>
      </c>
    </row>
    <row r="379" spans="1:27">
      <c r="A379" s="376">
        <v>522</v>
      </c>
      <c r="B379" s="377">
        <v>612000</v>
      </c>
      <c r="C379" s="382" t="s">
        <v>6749</v>
      </c>
      <c r="D379" s="379">
        <v>5</v>
      </c>
      <c r="E379" s="380">
        <v>0</v>
      </c>
      <c r="F379" s="380">
        <v>5</v>
      </c>
      <c r="H379" s="351">
        <f t="shared" si="30"/>
        <v>5000</v>
      </c>
      <c r="I379" s="351">
        <f t="shared" si="31"/>
        <v>5000</v>
      </c>
      <c r="M379" s="321">
        <v>1360006420</v>
      </c>
      <c r="N379" s="321">
        <v>36</v>
      </c>
      <c r="O379" s="321" t="s">
        <v>5188</v>
      </c>
      <c r="P379" s="321">
        <v>1860006</v>
      </c>
      <c r="Q379" s="322">
        <v>0</v>
      </c>
      <c r="R379" s="322">
        <v>0</v>
      </c>
      <c r="S379" s="322">
        <v>0</v>
      </c>
      <c r="T379" s="322">
        <v>0</v>
      </c>
      <c r="U379" s="322">
        <f t="shared" si="25"/>
        <v>0</v>
      </c>
      <c r="W379" s="321">
        <f t="shared" si="28"/>
        <v>420</v>
      </c>
      <c r="X379" s="321">
        <f t="shared" si="29"/>
        <v>360006</v>
      </c>
      <c r="Y379" s="321">
        <v>1</v>
      </c>
      <c r="AA379" s="321" t="s">
        <v>5188</v>
      </c>
    </row>
    <row r="380" spans="1:27">
      <c r="A380" s="376">
        <v>540</v>
      </c>
      <c r="B380" s="377">
        <v>612000</v>
      </c>
      <c r="C380" s="382" t="s">
        <v>6750</v>
      </c>
      <c r="D380" s="379">
        <v>6</v>
      </c>
      <c r="E380" s="380">
        <v>6</v>
      </c>
      <c r="F380" s="380">
        <v>6</v>
      </c>
      <c r="H380" s="351">
        <f t="shared" si="30"/>
        <v>6000</v>
      </c>
      <c r="I380" s="351">
        <f t="shared" si="31"/>
        <v>6000</v>
      </c>
      <c r="M380" s="321">
        <v>1360006950</v>
      </c>
      <c r="N380" s="321">
        <v>36</v>
      </c>
      <c r="O380" s="321" t="s">
        <v>5189</v>
      </c>
      <c r="P380" s="321">
        <v>1860006</v>
      </c>
      <c r="Q380" s="322">
        <v>0</v>
      </c>
      <c r="R380" s="322">
        <v>0</v>
      </c>
      <c r="S380" s="322">
        <v>0</v>
      </c>
      <c r="T380" s="322">
        <v>0</v>
      </c>
      <c r="U380" s="322">
        <f t="shared" si="25"/>
        <v>0</v>
      </c>
      <c r="W380" s="321">
        <f t="shared" si="28"/>
        <v>950</v>
      </c>
      <c r="X380" s="321">
        <f t="shared" si="29"/>
        <v>360006</v>
      </c>
      <c r="Y380" s="321">
        <v>1</v>
      </c>
      <c r="AA380" s="321" t="s">
        <v>5189</v>
      </c>
    </row>
    <row r="381" spans="1:27">
      <c r="A381" s="376">
        <v>780</v>
      </c>
      <c r="B381" s="377">
        <v>612000</v>
      </c>
      <c r="C381" s="382" t="s">
        <v>6751</v>
      </c>
      <c r="D381" s="379">
        <v>270</v>
      </c>
      <c r="E381" s="380">
        <v>270</v>
      </c>
      <c r="F381" s="380">
        <v>270</v>
      </c>
      <c r="H381" s="351">
        <f t="shared" si="30"/>
        <v>270000</v>
      </c>
      <c r="I381" s="351">
        <f t="shared" si="31"/>
        <v>270000</v>
      </c>
      <c r="M381" s="321">
        <v>1360007420</v>
      </c>
      <c r="N381" s="321">
        <v>36</v>
      </c>
      <c r="O381" s="321" t="s">
        <v>5190</v>
      </c>
      <c r="P381" s="321">
        <v>1860007</v>
      </c>
      <c r="Q381" s="322">
        <v>0</v>
      </c>
      <c r="R381" s="322">
        <v>0</v>
      </c>
      <c r="S381" s="322">
        <v>0</v>
      </c>
      <c r="T381" s="322">
        <v>0</v>
      </c>
      <c r="U381" s="322">
        <f t="shared" si="25"/>
        <v>0</v>
      </c>
      <c r="W381" s="321">
        <f t="shared" si="28"/>
        <v>420</v>
      </c>
      <c r="X381" s="321">
        <f t="shared" si="29"/>
        <v>360007</v>
      </c>
      <c r="Y381" s="321">
        <v>1</v>
      </c>
      <c r="AA381" s="321" t="s">
        <v>5190</v>
      </c>
    </row>
    <row r="382" spans="1:27">
      <c r="A382" s="376">
        <v>930</v>
      </c>
      <c r="B382" s="377">
        <v>612000</v>
      </c>
      <c r="C382" s="382" t="s">
        <v>164</v>
      </c>
      <c r="D382" s="379">
        <v>6</v>
      </c>
      <c r="E382" s="380">
        <v>5</v>
      </c>
      <c r="F382" s="380">
        <v>12</v>
      </c>
      <c r="H382" s="351">
        <f t="shared" si="30"/>
        <v>6000</v>
      </c>
      <c r="I382" s="351">
        <f t="shared" si="31"/>
        <v>12000</v>
      </c>
      <c r="M382" s="321">
        <v>1360007950</v>
      </c>
      <c r="N382" s="321">
        <v>36</v>
      </c>
      <c r="O382" s="321" t="s">
        <v>5191</v>
      </c>
      <c r="P382" s="321">
        <v>1860007</v>
      </c>
      <c r="Q382" s="322">
        <v>0</v>
      </c>
      <c r="R382" s="322">
        <v>0</v>
      </c>
      <c r="S382" s="322">
        <v>0</v>
      </c>
      <c r="T382" s="322">
        <v>0</v>
      </c>
      <c r="U382" s="322">
        <f t="shared" si="25"/>
        <v>0</v>
      </c>
      <c r="W382" s="321">
        <f t="shared" si="28"/>
        <v>950</v>
      </c>
      <c r="X382" s="321">
        <f t="shared" si="29"/>
        <v>360007</v>
      </c>
      <c r="Y382" s="321">
        <v>1</v>
      </c>
      <c r="AA382" s="321" t="s">
        <v>5191</v>
      </c>
    </row>
    <row r="383" spans="1:27">
      <c r="A383" s="376">
        <v>100</v>
      </c>
      <c r="B383" s="377">
        <v>612100</v>
      </c>
      <c r="C383" s="382" t="s">
        <v>6747</v>
      </c>
      <c r="D383" s="379">
        <v>249</v>
      </c>
      <c r="E383" s="380">
        <v>220</v>
      </c>
      <c r="F383" s="380">
        <v>155</v>
      </c>
      <c r="H383" s="351">
        <f t="shared" si="30"/>
        <v>249000</v>
      </c>
      <c r="I383" s="351">
        <f t="shared" si="31"/>
        <v>155000</v>
      </c>
      <c r="M383" s="321">
        <v>1413100210</v>
      </c>
      <c r="N383" s="321">
        <v>41</v>
      </c>
      <c r="O383" s="321" t="s">
        <v>5192</v>
      </c>
      <c r="P383" s="321">
        <v>3910000</v>
      </c>
      <c r="Q383" s="322">
        <v>-900000</v>
      </c>
      <c r="R383" s="322">
        <v>-342800</v>
      </c>
      <c r="S383" s="322">
        <v>-350000</v>
      </c>
      <c r="T383" s="322">
        <v>-350000</v>
      </c>
      <c r="U383" s="322">
        <f t="shared" si="25"/>
        <v>0</v>
      </c>
      <c r="W383" s="321">
        <f t="shared" si="28"/>
        <v>210</v>
      </c>
      <c r="X383" s="321">
        <f t="shared" si="29"/>
        <v>413100</v>
      </c>
      <c r="Y383" s="321">
        <v>1</v>
      </c>
      <c r="AA383" s="321" t="s">
        <v>5192</v>
      </c>
    </row>
    <row r="384" spans="1:27">
      <c r="A384" s="376">
        <v>540</v>
      </c>
      <c r="B384" s="377">
        <v>612100</v>
      </c>
      <c r="C384" s="382" t="s">
        <v>6752</v>
      </c>
      <c r="D384" s="379">
        <v>5</v>
      </c>
      <c r="E384" s="380">
        <v>5</v>
      </c>
      <c r="F384" s="380">
        <v>5</v>
      </c>
      <c r="H384" s="351">
        <f t="shared" si="30"/>
        <v>5000</v>
      </c>
      <c r="I384" s="351">
        <f t="shared" si="31"/>
        <v>5000</v>
      </c>
      <c r="M384" s="321">
        <v>1413200210</v>
      </c>
      <c r="N384" s="321">
        <v>41</v>
      </c>
      <c r="O384" s="321" t="s">
        <v>5193</v>
      </c>
      <c r="P384" s="321">
        <v>3910000</v>
      </c>
      <c r="Q384" s="322">
        <v>-5000</v>
      </c>
      <c r="R384" s="322">
        <v>-800</v>
      </c>
      <c r="S384" s="322">
        <v>0</v>
      </c>
      <c r="T384" s="322">
        <v>0</v>
      </c>
      <c r="U384" s="322">
        <f t="shared" si="25"/>
        <v>0</v>
      </c>
      <c r="W384" s="321">
        <f t="shared" si="28"/>
        <v>210</v>
      </c>
      <c r="X384" s="321">
        <f t="shared" si="29"/>
        <v>413200</v>
      </c>
      <c r="Y384" s="321">
        <v>1</v>
      </c>
      <c r="AA384" s="321" t="s">
        <v>5193</v>
      </c>
    </row>
    <row r="385" spans="1:27">
      <c r="A385" s="376">
        <v>560</v>
      </c>
      <c r="B385" s="377">
        <v>612100</v>
      </c>
      <c r="C385" s="382" t="s">
        <v>6753</v>
      </c>
      <c r="D385" s="379">
        <v>10</v>
      </c>
      <c r="E385" s="380">
        <v>6</v>
      </c>
      <c r="F385" s="380">
        <v>11</v>
      </c>
      <c r="H385" s="351">
        <f t="shared" si="30"/>
        <v>10000</v>
      </c>
      <c r="I385" s="351">
        <f t="shared" si="31"/>
        <v>11000</v>
      </c>
      <c r="M385" s="321">
        <v>1413300663</v>
      </c>
      <c r="N385" s="321">
        <v>41</v>
      </c>
      <c r="O385" s="321" t="s">
        <v>5194</v>
      </c>
      <c r="P385" s="321">
        <v>3410000</v>
      </c>
      <c r="Q385" s="322">
        <v>0</v>
      </c>
      <c r="R385" s="322">
        <v>0</v>
      </c>
      <c r="S385" s="322">
        <v>0</v>
      </c>
      <c r="T385" s="322">
        <v>0</v>
      </c>
      <c r="U385" s="322">
        <f t="shared" si="25"/>
        <v>0</v>
      </c>
      <c r="W385" s="321">
        <f t="shared" si="28"/>
        <v>663</v>
      </c>
      <c r="X385" s="321">
        <f t="shared" si="29"/>
        <v>413300</v>
      </c>
      <c r="Y385" s="321">
        <v>1</v>
      </c>
      <c r="AA385" s="321" t="s">
        <v>5194</v>
      </c>
    </row>
    <row r="386" spans="1:27">
      <c r="A386" s="376">
        <v>570</v>
      </c>
      <c r="B386" s="377">
        <v>612100</v>
      </c>
      <c r="C386" s="382" t="s">
        <v>6739</v>
      </c>
      <c r="D386" s="379">
        <v>19</v>
      </c>
      <c r="E386" s="380">
        <v>19</v>
      </c>
      <c r="F386" s="380">
        <v>19</v>
      </c>
      <c r="H386" s="351">
        <f t="shared" si="30"/>
        <v>19000</v>
      </c>
      <c r="I386" s="351">
        <f t="shared" si="31"/>
        <v>19000</v>
      </c>
      <c r="M386" s="321">
        <v>1413301690</v>
      </c>
      <c r="N386" s="321">
        <v>41</v>
      </c>
      <c r="O386" s="321" t="s">
        <v>5195</v>
      </c>
      <c r="P386" s="321">
        <v>3410000</v>
      </c>
      <c r="Q386" s="322">
        <v>0</v>
      </c>
      <c r="R386" s="322">
        <v>0</v>
      </c>
      <c r="S386" s="322">
        <v>0</v>
      </c>
      <c r="T386" s="322">
        <v>0</v>
      </c>
      <c r="U386" s="322">
        <f t="shared" ref="U386:U449" si="32">S386-T386</f>
        <v>0</v>
      </c>
      <c r="W386" s="321">
        <f t="shared" si="28"/>
        <v>690</v>
      </c>
      <c r="X386" s="321">
        <f t="shared" si="29"/>
        <v>413301</v>
      </c>
      <c r="Y386" s="321">
        <v>1</v>
      </c>
      <c r="AA386" s="321" t="s">
        <v>5195</v>
      </c>
    </row>
    <row r="387" spans="1:27">
      <c r="A387" s="376">
        <v>780</v>
      </c>
      <c r="B387" s="377">
        <v>612100</v>
      </c>
      <c r="C387" s="382" t="s">
        <v>6754</v>
      </c>
      <c r="D387" s="379">
        <v>10</v>
      </c>
      <c r="E387" s="380">
        <v>10</v>
      </c>
      <c r="F387" s="380">
        <v>10</v>
      </c>
      <c r="H387" s="351">
        <f t="shared" si="30"/>
        <v>10000</v>
      </c>
      <c r="I387" s="351">
        <f t="shared" si="31"/>
        <v>10000</v>
      </c>
      <c r="M387" s="321">
        <v>1437000420</v>
      </c>
      <c r="N387" s="321">
        <v>43</v>
      </c>
      <c r="O387" s="321" t="s">
        <v>5196</v>
      </c>
      <c r="P387" s="321">
        <v>6937000</v>
      </c>
      <c r="Q387" s="322">
        <v>-2700000</v>
      </c>
      <c r="R387" s="322">
        <v>-1675000</v>
      </c>
      <c r="S387" s="322">
        <v>-2800000</v>
      </c>
      <c r="T387" s="322">
        <v>-2800000</v>
      </c>
      <c r="U387" s="322">
        <f t="shared" si="32"/>
        <v>0</v>
      </c>
      <c r="W387" s="321">
        <f t="shared" ref="W387:W450" si="33">M387-1000000000-X387*1000</f>
        <v>420</v>
      </c>
      <c r="X387" s="321">
        <f t="shared" ref="X387:X450" si="34">ROUNDDOWN((M387-1000000000)/1000,0)</f>
        <v>437000</v>
      </c>
      <c r="Y387" s="321">
        <v>1</v>
      </c>
      <c r="AA387" s="321" t="s">
        <v>5196</v>
      </c>
    </row>
    <row r="388" spans="1:27">
      <c r="A388" s="376">
        <v>100</v>
      </c>
      <c r="B388" s="377">
        <v>613000</v>
      </c>
      <c r="C388" s="382" t="s">
        <v>6747</v>
      </c>
      <c r="D388" s="379">
        <v>1040</v>
      </c>
      <c r="E388" s="380">
        <v>1020</v>
      </c>
      <c r="F388" s="380">
        <v>1035</v>
      </c>
      <c r="H388" s="351">
        <f t="shared" si="30"/>
        <v>1040000</v>
      </c>
      <c r="I388" s="351">
        <f t="shared" si="31"/>
        <v>1035000</v>
      </c>
      <c r="M388" s="321">
        <v>1439000640</v>
      </c>
      <c r="N388" s="321">
        <v>43</v>
      </c>
      <c r="O388" s="321" t="s">
        <v>5197</v>
      </c>
      <c r="P388" s="321">
        <v>3930000</v>
      </c>
      <c r="Q388" s="322">
        <v>-2480000</v>
      </c>
      <c r="R388" s="322">
        <v>-1622600</v>
      </c>
      <c r="S388" s="322">
        <v>-2916000</v>
      </c>
      <c r="T388" s="322">
        <v>-2916000</v>
      </c>
      <c r="U388" s="322">
        <f t="shared" si="32"/>
        <v>0</v>
      </c>
      <c r="W388" s="321">
        <f t="shared" si="33"/>
        <v>640</v>
      </c>
      <c r="X388" s="321">
        <f t="shared" si="34"/>
        <v>439000</v>
      </c>
      <c r="Y388" s="321">
        <v>1</v>
      </c>
      <c r="AA388" s="321" t="s">
        <v>5197</v>
      </c>
    </row>
    <row r="389" spans="1:27">
      <c r="A389" s="376">
        <v>522</v>
      </c>
      <c r="B389" s="377">
        <v>613000</v>
      </c>
      <c r="C389" s="378" t="s">
        <v>6755</v>
      </c>
      <c r="D389" s="379">
        <v>3</v>
      </c>
      <c r="E389" s="380">
        <v>3</v>
      </c>
      <c r="F389" s="380">
        <v>3</v>
      </c>
      <c r="H389" s="351">
        <f t="shared" si="30"/>
        <v>3000</v>
      </c>
      <c r="I389" s="351">
        <f t="shared" si="31"/>
        <v>3000</v>
      </c>
      <c r="M389" s="321">
        <v>1441000620</v>
      </c>
      <c r="N389" s="321">
        <v>44</v>
      </c>
      <c r="O389" s="321" t="s">
        <v>5198</v>
      </c>
      <c r="P389" s="321">
        <v>1941000</v>
      </c>
      <c r="Q389" s="322">
        <v>-1000000</v>
      </c>
      <c r="R389" s="322">
        <v>-313500</v>
      </c>
      <c r="S389" s="322">
        <v>-445000</v>
      </c>
      <c r="T389" s="322">
        <v>-445000</v>
      </c>
      <c r="U389" s="322">
        <f t="shared" si="32"/>
        <v>0</v>
      </c>
      <c r="W389" s="321">
        <f t="shared" si="33"/>
        <v>620</v>
      </c>
      <c r="X389" s="321">
        <f t="shared" si="34"/>
        <v>441000</v>
      </c>
      <c r="Y389" s="321">
        <v>1</v>
      </c>
      <c r="AA389" s="321" t="s">
        <v>5198</v>
      </c>
    </row>
    <row r="390" spans="1:27">
      <c r="A390" s="376">
        <v>540</v>
      </c>
      <c r="B390" s="377">
        <v>613000</v>
      </c>
      <c r="C390" s="382" t="s">
        <v>6736</v>
      </c>
      <c r="D390" s="379">
        <v>9</v>
      </c>
      <c r="E390" s="380">
        <v>9</v>
      </c>
      <c r="F390" s="380">
        <v>9</v>
      </c>
      <c r="H390" s="351">
        <f t="shared" si="30"/>
        <v>9000</v>
      </c>
      <c r="I390" s="351">
        <f t="shared" si="31"/>
        <v>9000</v>
      </c>
      <c r="M390" s="321">
        <v>1472000210</v>
      </c>
      <c r="N390" s="321">
        <v>47</v>
      </c>
      <c r="O390" s="321" t="s">
        <v>5199</v>
      </c>
      <c r="P390" s="321">
        <v>3970000</v>
      </c>
      <c r="Q390" s="322">
        <v>-150000</v>
      </c>
      <c r="R390" s="322">
        <v>-125300</v>
      </c>
      <c r="S390" s="322">
        <v>-100000</v>
      </c>
      <c r="T390" s="322">
        <v>-100000</v>
      </c>
      <c r="U390" s="322">
        <f t="shared" si="32"/>
        <v>0</v>
      </c>
      <c r="W390" s="321">
        <f t="shared" si="33"/>
        <v>210</v>
      </c>
      <c r="X390" s="321">
        <f t="shared" si="34"/>
        <v>472000</v>
      </c>
      <c r="Y390" s="321">
        <v>1</v>
      </c>
      <c r="AA390" s="321" t="s">
        <v>5199</v>
      </c>
    </row>
    <row r="391" spans="1:27">
      <c r="A391" s="376">
        <v>560</v>
      </c>
      <c r="B391" s="377">
        <v>613000</v>
      </c>
      <c r="C391" s="382" t="s">
        <v>6753</v>
      </c>
      <c r="D391" s="379">
        <v>11</v>
      </c>
      <c r="E391" s="380">
        <v>10</v>
      </c>
      <c r="F391" s="380">
        <v>10</v>
      </c>
      <c r="H391" s="351">
        <f t="shared" si="30"/>
        <v>11000</v>
      </c>
      <c r="I391" s="351">
        <f t="shared" si="31"/>
        <v>10000</v>
      </c>
      <c r="M391" s="321">
        <v>1520000610</v>
      </c>
      <c r="N391" s="321">
        <v>52</v>
      </c>
      <c r="O391" s="321" t="s">
        <v>5200</v>
      </c>
      <c r="P391" s="321">
        <v>1610000</v>
      </c>
      <c r="Q391" s="322">
        <v>-2500000</v>
      </c>
      <c r="R391" s="322">
        <v>-375200</v>
      </c>
      <c r="S391" s="322">
        <v>-1500000</v>
      </c>
      <c r="T391" s="322">
        <v>-1500000</v>
      </c>
      <c r="U391" s="322">
        <f t="shared" si="32"/>
        <v>0</v>
      </c>
      <c r="W391" s="321">
        <f t="shared" si="33"/>
        <v>610</v>
      </c>
      <c r="X391" s="321">
        <f t="shared" si="34"/>
        <v>520000</v>
      </c>
      <c r="Y391" s="321">
        <v>1</v>
      </c>
      <c r="AA391" s="321" t="s">
        <v>5200</v>
      </c>
    </row>
    <row r="392" spans="1:27">
      <c r="A392" s="376">
        <v>750</v>
      </c>
      <c r="B392" s="377">
        <v>613000</v>
      </c>
      <c r="C392" s="382" t="s">
        <v>6756</v>
      </c>
      <c r="D392" s="379">
        <v>100</v>
      </c>
      <c r="E392" s="380">
        <v>120</v>
      </c>
      <c r="F392" s="380">
        <v>120</v>
      </c>
      <c r="H392" s="351">
        <f t="shared" si="30"/>
        <v>100000</v>
      </c>
      <c r="I392" s="351">
        <f t="shared" si="31"/>
        <v>120000</v>
      </c>
      <c r="M392" s="321">
        <v>1591900590</v>
      </c>
      <c r="N392" s="321">
        <v>59</v>
      </c>
      <c r="O392" s="321" t="s">
        <v>5201</v>
      </c>
      <c r="P392" s="321">
        <v>3970000</v>
      </c>
      <c r="Q392" s="322">
        <v>-33237300</v>
      </c>
      <c r="R392" s="322">
        <v>-869700</v>
      </c>
      <c r="S392" s="322">
        <v>-33237300</v>
      </c>
      <c r="T392" s="322">
        <v>-33237300</v>
      </c>
      <c r="U392" s="322">
        <f t="shared" si="32"/>
        <v>0</v>
      </c>
      <c r="W392" s="321">
        <f t="shared" si="33"/>
        <v>590</v>
      </c>
      <c r="X392" s="321">
        <f t="shared" si="34"/>
        <v>591900</v>
      </c>
      <c r="Y392" s="321">
        <v>1</v>
      </c>
      <c r="AA392" s="321" t="s">
        <v>5201</v>
      </c>
    </row>
    <row r="393" spans="1:27">
      <c r="A393" s="376">
        <v>751</v>
      </c>
      <c r="B393" s="377">
        <v>613000</v>
      </c>
      <c r="C393" s="382" t="s">
        <v>6757</v>
      </c>
      <c r="D393" s="379">
        <v>200</v>
      </c>
      <c r="E393" s="380">
        <v>200</v>
      </c>
      <c r="F393" s="380">
        <v>250</v>
      </c>
      <c r="H393" s="351">
        <f t="shared" si="30"/>
        <v>200000</v>
      </c>
      <c r="I393" s="351">
        <f t="shared" si="31"/>
        <v>250000</v>
      </c>
      <c r="M393" s="321">
        <v>1594000490</v>
      </c>
      <c r="N393" s="321">
        <v>59</v>
      </c>
      <c r="O393" s="321" t="s">
        <v>2862</v>
      </c>
      <c r="P393" s="321">
        <v>1610000</v>
      </c>
      <c r="Q393" s="322">
        <v>0</v>
      </c>
      <c r="R393" s="322">
        <v>-1161100</v>
      </c>
      <c r="S393" s="322">
        <v>-38236700</v>
      </c>
      <c r="T393" s="322">
        <v>0</v>
      </c>
      <c r="U393" s="322">
        <f t="shared" si="32"/>
        <v>-38236700</v>
      </c>
      <c r="W393" s="321">
        <f t="shared" si="33"/>
        <v>490</v>
      </c>
      <c r="X393" s="321">
        <f t="shared" si="34"/>
        <v>594000</v>
      </c>
      <c r="Y393" s="321">
        <v>1</v>
      </c>
      <c r="AA393" s="321" t="s">
        <v>2862</v>
      </c>
    </row>
    <row r="394" spans="1:27">
      <c r="A394" s="376">
        <v>780</v>
      </c>
      <c r="B394" s="377">
        <v>613000</v>
      </c>
      <c r="C394" s="382" t="s">
        <v>6758</v>
      </c>
      <c r="D394" s="379">
        <v>40</v>
      </c>
      <c r="E394" s="380">
        <v>36</v>
      </c>
      <c r="F394" s="380">
        <v>42</v>
      </c>
      <c r="H394" s="351">
        <f t="shared" si="30"/>
        <v>40000</v>
      </c>
      <c r="I394" s="351">
        <f t="shared" si="31"/>
        <v>42000</v>
      </c>
      <c r="M394" s="321">
        <v>1594000730</v>
      </c>
      <c r="N394" s="321">
        <v>59</v>
      </c>
      <c r="O394" s="321" t="s">
        <v>5202</v>
      </c>
      <c r="P394" s="321">
        <v>2590000</v>
      </c>
      <c r="Q394" s="322">
        <v>-630000</v>
      </c>
      <c r="R394" s="322">
        <v>-441900</v>
      </c>
      <c r="S394" s="322">
        <v>-630000</v>
      </c>
      <c r="T394" s="322">
        <v>-630000</v>
      </c>
      <c r="U394" s="322">
        <f t="shared" si="32"/>
        <v>0</v>
      </c>
      <c r="W394" s="321">
        <f t="shared" si="33"/>
        <v>730</v>
      </c>
      <c r="X394" s="321">
        <f t="shared" si="34"/>
        <v>594000</v>
      </c>
      <c r="Y394" s="321">
        <v>1</v>
      </c>
      <c r="AA394" s="321" t="s">
        <v>5202</v>
      </c>
    </row>
    <row r="395" spans="1:27">
      <c r="A395" s="376">
        <v>781</v>
      </c>
      <c r="B395" s="377">
        <v>613000</v>
      </c>
      <c r="C395" s="382" t="s">
        <v>6759</v>
      </c>
      <c r="D395" s="379">
        <v>0</v>
      </c>
      <c r="E395" s="380">
        <v>0</v>
      </c>
      <c r="F395" s="380">
        <v>0</v>
      </c>
      <c r="H395" s="351">
        <f t="shared" si="30"/>
        <v>0</v>
      </c>
      <c r="I395" s="351">
        <f t="shared" si="31"/>
        <v>0</v>
      </c>
      <c r="M395" s="321">
        <v>1594000990</v>
      </c>
      <c r="N395" s="321">
        <v>59</v>
      </c>
      <c r="O395" s="321" t="s">
        <v>5203</v>
      </c>
      <c r="P395" s="321">
        <v>1610000</v>
      </c>
      <c r="Q395" s="322">
        <v>0</v>
      </c>
      <c r="R395" s="322">
        <v>0</v>
      </c>
      <c r="S395" s="322">
        <v>0</v>
      </c>
      <c r="T395" s="322">
        <v>0</v>
      </c>
      <c r="U395" s="322">
        <f t="shared" si="32"/>
        <v>0</v>
      </c>
      <c r="W395" s="321">
        <f t="shared" si="33"/>
        <v>990</v>
      </c>
      <c r="X395" s="321">
        <f t="shared" si="34"/>
        <v>594000</v>
      </c>
      <c r="Y395" s="321">
        <v>1</v>
      </c>
      <c r="AA395" s="321" t="s">
        <v>5203</v>
      </c>
    </row>
    <row r="396" spans="1:27">
      <c r="A396" s="376">
        <v>782</v>
      </c>
      <c r="B396" s="377">
        <v>613000</v>
      </c>
      <c r="C396" s="382" t="s">
        <v>6760</v>
      </c>
      <c r="D396" s="379">
        <v>70</v>
      </c>
      <c r="E396" s="380">
        <v>70</v>
      </c>
      <c r="F396" s="380">
        <v>70</v>
      </c>
      <c r="H396" s="351">
        <f t="shared" si="30"/>
        <v>70000</v>
      </c>
      <c r="I396" s="351">
        <f t="shared" si="31"/>
        <v>70000</v>
      </c>
      <c r="M396" s="321">
        <v>1599000990</v>
      </c>
      <c r="N396" s="321">
        <v>59</v>
      </c>
      <c r="O396" s="321" t="s">
        <v>5204</v>
      </c>
      <c r="P396" s="321">
        <v>1610000</v>
      </c>
      <c r="Q396" s="322">
        <v>0</v>
      </c>
      <c r="R396" s="322">
        <v>0</v>
      </c>
      <c r="S396" s="322">
        <v>0</v>
      </c>
      <c r="T396" s="322">
        <v>0</v>
      </c>
      <c r="U396" s="322">
        <f t="shared" si="32"/>
        <v>0</v>
      </c>
      <c r="W396" s="321">
        <f t="shared" si="33"/>
        <v>990</v>
      </c>
      <c r="X396" s="321">
        <f t="shared" si="34"/>
        <v>599000</v>
      </c>
      <c r="Y396" s="321">
        <v>1</v>
      </c>
      <c r="AA396" s="321" t="s">
        <v>5204</v>
      </c>
    </row>
    <row r="397" spans="1:27">
      <c r="A397" s="376">
        <v>785</v>
      </c>
      <c r="B397" s="377">
        <v>613000</v>
      </c>
      <c r="C397" s="382" t="s">
        <v>6761</v>
      </c>
      <c r="D397" s="379">
        <v>80</v>
      </c>
      <c r="E397" s="380">
        <v>80</v>
      </c>
      <c r="F397" s="380">
        <v>80</v>
      </c>
      <c r="H397" s="351">
        <f t="shared" si="30"/>
        <v>80000</v>
      </c>
      <c r="I397" s="351">
        <f t="shared" si="31"/>
        <v>80000</v>
      </c>
      <c r="M397" s="321">
        <v>1611100110</v>
      </c>
      <c r="N397" s="321">
        <v>61</v>
      </c>
      <c r="O397" s="321" t="s">
        <v>5205</v>
      </c>
      <c r="P397" s="321">
        <v>1611100</v>
      </c>
      <c r="Q397" s="322">
        <v>2163000</v>
      </c>
      <c r="R397" s="322">
        <v>1592000</v>
      </c>
      <c r="S397" s="322">
        <v>2166000</v>
      </c>
      <c r="T397" s="322">
        <v>2166000</v>
      </c>
      <c r="U397" s="322">
        <f t="shared" si="32"/>
        <v>0</v>
      </c>
      <c r="W397" s="321">
        <f t="shared" si="33"/>
        <v>110</v>
      </c>
      <c r="X397" s="321">
        <f t="shared" si="34"/>
        <v>611100</v>
      </c>
      <c r="Y397" s="321">
        <v>1</v>
      </c>
      <c r="AA397" s="321" t="s">
        <v>5205</v>
      </c>
    </row>
    <row r="398" spans="1:27">
      <c r="A398" s="376">
        <v>100</v>
      </c>
      <c r="B398" s="377">
        <v>614000</v>
      </c>
      <c r="C398" s="382" t="s">
        <v>6747</v>
      </c>
      <c r="D398" s="379">
        <v>1274</v>
      </c>
      <c r="E398" s="380">
        <v>1230</v>
      </c>
      <c r="F398" s="380">
        <v>1300</v>
      </c>
      <c r="H398" s="351">
        <f t="shared" si="30"/>
        <v>1274000</v>
      </c>
      <c r="I398" s="351">
        <f t="shared" si="31"/>
        <v>1300000</v>
      </c>
      <c r="M398" s="321">
        <v>1611100120</v>
      </c>
      <c r="N398" s="321">
        <v>61</v>
      </c>
      <c r="O398" s="321" t="s">
        <v>5206</v>
      </c>
      <c r="P398" s="321">
        <v>1611100</v>
      </c>
      <c r="Q398" s="322">
        <v>20000</v>
      </c>
      <c r="R398" s="322">
        <v>43200</v>
      </c>
      <c r="S398" s="322">
        <v>45000</v>
      </c>
      <c r="T398" s="322">
        <v>45000</v>
      </c>
      <c r="U398" s="322">
        <f t="shared" si="32"/>
        <v>0</v>
      </c>
      <c r="W398" s="321">
        <f t="shared" si="33"/>
        <v>120</v>
      </c>
      <c r="X398" s="321">
        <f t="shared" si="34"/>
        <v>611100</v>
      </c>
      <c r="Y398" s="321">
        <v>1</v>
      </c>
      <c r="AA398" s="321" t="s">
        <v>5206</v>
      </c>
    </row>
    <row r="399" spans="1:27">
      <c r="A399" s="376">
        <v>470</v>
      </c>
      <c r="B399" s="377">
        <v>614000</v>
      </c>
      <c r="C399" s="382" t="s">
        <v>6716</v>
      </c>
      <c r="D399" s="379">
        <v>15</v>
      </c>
      <c r="E399" s="380">
        <v>20</v>
      </c>
      <c r="F399" s="380">
        <v>29</v>
      </c>
      <c r="H399" s="351">
        <f t="shared" si="30"/>
        <v>15000</v>
      </c>
      <c r="I399" s="351">
        <f t="shared" si="31"/>
        <v>29000</v>
      </c>
      <c r="M399" s="321">
        <v>1611100140</v>
      </c>
      <c r="N399" s="321">
        <v>61</v>
      </c>
      <c r="O399" s="321" t="s">
        <v>5207</v>
      </c>
      <c r="P399" s="321">
        <v>1611100</v>
      </c>
      <c r="Q399" s="322">
        <v>148000</v>
      </c>
      <c r="R399" s="322">
        <v>95500</v>
      </c>
      <c r="S399" s="322">
        <v>129000</v>
      </c>
      <c r="T399" s="322">
        <v>129000</v>
      </c>
      <c r="U399" s="322">
        <f t="shared" si="32"/>
        <v>0</v>
      </c>
      <c r="W399" s="321">
        <f t="shared" si="33"/>
        <v>140</v>
      </c>
      <c r="X399" s="321">
        <f t="shared" si="34"/>
        <v>611100</v>
      </c>
      <c r="Y399" s="321">
        <v>1</v>
      </c>
      <c r="AA399" s="321" t="s">
        <v>5207</v>
      </c>
    </row>
    <row r="400" spans="1:27">
      <c r="A400" s="376">
        <v>514</v>
      </c>
      <c r="B400" s="377">
        <v>614000</v>
      </c>
      <c r="C400" s="382" t="s">
        <v>6762</v>
      </c>
      <c r="D400" s="379">
        <v>150</v>
      </c>
      <c r="E400" s="380">
        <v>177</v>
      </c>
      <c r="F400" s="380">
        <v>177</v>
      </c>
      <c r="H400" s="351">
        <f t="shared" si="30"/>
        <v>150000</v>
      </c>
      <c r="I400" s="351">
        <f t="shared" si="31"/>
        <v>177000</v>
      </c>
      <c r="M400" s="321">
        <v>1611100141</v>
      </c>
      <c r="N400" s="321">
        <v>61</v>
      </c>
      <c r="O400" s="321" t="s">
        <v>5208</v>
      </c>
      <c r="P400" s="321">
        <v>1611100</v>
      </c>
      <c r="Q400" s="322">
        <v>155000</v>
      </c>
      <c r="R400" s="322">
        <v>105900</v>
      </c>
      <c r="S400" s="322">
        <v>147000</v>
      </c>
      <c r="T400" s="322">
        <v>147000</v>
      </c>
      <c r="U400" s="322">
        <f t="shared" si="32"/>
        <v>0</v>
      </c>
      <c r="W400" s="321">
        <f t="shared" si="33"/>
        <v>141</v>
      </c>
      <c r="X400" s="321">
        <f t="shared" si="34"/>
        <v>611100</v>
      </c>
      <c r="Y400" s="321">
        <v>1</v>
      </c>
      <c r="AA400" s="321" t="s">
        <v>5208</v>
      </c>
    </row>
    <row r="401" spans="1:27">
      <c r="A401" s="376">
        <v>530</v>
      </c>
      <c r="B401" s="377">
        <v>614000</v>
      </c>
      <c r="C401" s="382" t="s">
        <v>6763</v>
      </c>
      <c r="D401" s="379">
        <v>50</v>
      </c>
      <c r="E401" s="380">
        <v>42</v>
      </c>
      <c r="F401" s="380">
        <v>42</v>
      </c>
      <c r="H401" s="351">
        <f t="shared" si="30"/>
        <v>50000</v>
      </c>
      <c r="I401" s="351">
        <f t="shared" si="31"/>
        <v>42000</v>
      </c>
      <c r="M401" s="321">
        <v>1611100181</v>
      </c>
      <c r="N401" s="321">
        <v>61</v>
      </c>
      <c r="O401" s="321" t="s">
        <v>2580</v>
      </c>
      <c r="P401" s="321">
        <v>1611100</v>
      </c>
      <c r="Q401" s="322">
        <v>492000</v>
      </c>
      <c r="R401" s="322">
        <v>365400</v>
      </c>
      <c r="S401" s="322">
        <v>497000</v>
      </c>
      <c r="T401" s="322">
        <v>497000</v>
      </c>
      <c r="U401" s="322">
        <f t="shared" si="32"/>
        <v>0</v>
      </c>
      <c r="W401" s="321">
        <f t="shared" si="33"/>
        <v>181</v>
      </c>
      <c r="X401" s="321">
        <f t="shared" si="34"/>
        <v>611100</v>
      </c>
      <c r="Y401" s="321">
        <v>1</v>
      </c>
      <c r="AA401" s="321" t="s">
        <v>2580</v>
      </c>
    </row>
    <row r="402" spans="1:27">
      <c r="A402" s="376">
        <v>540</v>
      </c>
      <c r="B402" s="377">
        <v>614000</v>
      </c>
      <c r="C402" s="382" t="s">
        <v>6764</v>
      </c>
      <c r="D402" s="379">
        <v>15</v>
      </c>
      <c r="E402" s="380">
        <v>15</v>
      </c>
      <c r="F402" s="380">
        <v>15</v>
      </c>
      <c r="H402" s="351">
        <f t="shared" ref="H402:H465" si="35">D402*1000</f>
        <v>15000</v>
      </c>
      <c r="I402" s="351">
        <f t="shared" ref="I402:I465" si="36">F402*1000</f>
        <v>15000</v>
      </c>
      <c r="M402" s="321">
        <v>1611100182</v>
      </c>
      <c r="N402" s="321">
        <v>61</v>
      </c>
      <c r="O402" s="321" t="s">
        <v>5209</v>
      </c>
      <c r="P402" s="321">
        <v>1611100</v>
      </c>
      <c r="Q402" s="322">
        <v>394000</v>
      </c>
      <c r="R402" s="322">
        <v>322500</v>
      </c>
      <c r="S402" s="322">
        <v>423000</v>
      </c>
      <c r="T402" s="322">
        <v>423000</v>
      </c>
      <c r="U402" s="322">
        <f t="shared" si="32"/>
        <v>0</v>
      </c>
      <c r="W402" s="321">
        <f t="shared" si="33"/>
        <v>182</v>
      </c>
      <c r="X402" s="321">
        <f t="shared" si="34"/>
        <v>611100</v>
      </c>
      <c r="Y402" s="321">
        <v>1</v>
      </c>
      <c r="AA402" s="321" t="s">
        <v>5209</v>
      </c>
    </row>
    <row r="403" spans="1:27">
      <c r="A403" s="376">
        <v>550</v>
      </c>
      <c r="B403" s="377">
        <v>614000</v>
      </c>
      <c r="C403" s="382" t="s">
        <v>6737</v>
      </c>
      <c r="D403" s="379">
        <v>550</v>
      </c>
      <c r="E403" s="380">
        <v>525</v>
      </c>
      <c r="F403" s="380">
        <v>525</v>
      </c>
      <c r="H403" s="351">
        <f t="shared" si="35"/>
        <v>550000</v>
      </c>
      <c r="I403" s="351">
        <f t="shared" si="36"/>
        <v>525000</v>
      </c>
      <c r="M403" s="321">
        <v>1611101110</v>
      </c>
      <c r="N403" s="321">
        <v>61</v>
      </c>
      <c r="O403" s="321" t="s">
        <v>5205</v>
      </c>
      <c r="P403" s="321">
        <v>1611101</v>
      </c>
      <c r="Q403" s="322">
        <v>618000</v>
      </c>
      <c r="R403" s="322">
        <v>498400</v>
      </c>
      <c r="S403" s="322">
        <v>713000</v>
      </c>
      <c r="T403" s="322">
        <v>713000</v>
      </c>
      <c r="U403" s="322">
        <f t="shared" si="32"/>
        <v>0</v>
      </c>
      <c r="W403" s="321">
        <f t="shared" si="33"/>
        <v>110</v>
      </c>
      <c r="X403" s="321">
        <f t="shared" si="34"/>
        <v>611101</v>
      </c>
      <c r="Y403" s="321">
        <v>1</v>
      </c>
      <c r="AA403" s="321" t="s">
        <v>5205</v>
      </c>
    </row>
    <row r="404" spans="1:27">
      <c r="A404" s="376">
        <v>551</v>
      </c>
      <c r="B404" s="377">
        <v>614000</v>
      </c>
      <c r="C404" s="382" t="s">
        <v>6765</v>
      </c>
      <c r="D404" s="379">
        <v>40</v>
      </c>
      <c r="E404" s="380">
        <v>60</v>
      </c>
      <c r="F404" s="380">
        <v>60</v>
      </c>
      <c r="H404" s="351">
        <f t="shared" si="35"/>
        <v>40000</v>
      </c>
      <c r="I404" s="351">
        <f t="shared" si="36"/>
        <v>60000</v>
      </c>
      <c r="M404" s="321">
        <v>1611101120</v>
      </c>
      <c r="N404" s="321">
        <v>61</v>
      </c>
      <c r="O404" s="321" t="s">
        <v>5210</v>
      </c>
      <c r="P404" s="321">
        <v>1611101</v>
      </c>
      <c r="Q404" s="322">
        <v>110000</v>
      </c>
      <c r="R404" s="322">
        <v>75000</v>
      </c>
      <c r="S404" s="322">
        <v>83000</v>
      </c>
      <c r="T404" s="322">
        <v>83000</v>
      </c>
      <c r="U404" s="322">
        <f t="shared" si="32"/>
        <v>0</v>
      </c>
      <c r="W404" s="321">
        <f t="shared" si="33"/>
        <v>120</v>
      </c>
      <c r="X404" s="321">
        <f t="shared" si="34"/>
        <v>611101</v>
      </c>
      <c r="Y404" s="321">
        <v>1</v>
      </c>
      <c r="AA404" s="321" t="s">
        <v>5210</v>
      </c>
    </row>
    <row r="405" spans="1:27">
      <c r="A405" s="376">
        <v>571</v>
      </c>
      <c r="B405" s="377">
        <v>614000</v>
      </c>
      <c r="C405" s="382" t="s">
        <v>6766</v>
      </c>
      <c r="D405" s="379">
        <v>150</v>
      </c>
      <c r="E405" s="380">
        <v>150</v>
      </c>
      <c r="F405" s="380">
        <v>150</v>
      </c>
      <c r="H405" s="351">
        <f t="shared" si="35"/>
        <v>150000</v>
      </c>
      <c r="I405" s="351">
        <f t="shared" si="36"/>
        <v>150000</v>
      </c>
      <c r="M405" s="321">
        <v>1611101130</v>
      </c>
      <c r="N405" s="321">
        <v>61</v>
      </c>
      <c r="O405" s="321" t="s">
        <v>2576</v>
      </c>
      <c r="P405" s="321">
        <v>1611101</v>
      </c>
      <c r="Q405" s="322">
        <v>53000</v>
      </c>
      <c r="R405" s="322">
        <v>48300</v>
      </c>
      <c r="S405" s="322">
        <v>70000</v>
      </c>
      <c r="T405" s="322">
        <v>63000</v>
      </c>
      <c r="U405" s="322">
        <f t="shared" si="32"/>
        <v>7000</v>
      </c>
      <c r="W405" s="321">
        <f t="shared" si="33"/>
        <v>130</v>
      </c>
      <c r="X405" s="321">
        <f t="shared" si="34"/>
        <v>611101</v>
      </c>
      <c r="Y405" s="321">
        <v>1</v>
      </c>
      <c r="AA405" s="321" t="s">
        <v>2576</v>
      </c>
    </row>
    <row r="406" spans="1:27">
      <c r="A406" s="376">
        <v>780</v>
      </c>
      <c r="B406" s="377">
        <v>614000</v>
      </c>
      <c r="C406" s="382" t="s">
        <v>6767</v>
      </c>
      <c r="D406" s="379">
        <v>100</v>
      </c>
      <c r="E406" s="380">
        <v>120</v>
      </c>
      <c r="F406" s="380">
        <v>120</v>
      </c>
      <c r="H406" s="351">
        <f t="shared" si="35"/>
        <v>100000</v>
      </c>
      <c r="I406" s="351">
        <f t="shared" si="36"/>
        <v>120000</v>
      </c>
      <c r="M406" s="321">
        <v>1611101140</v>
      </c>
      <c r="N406" s="321">
        <v>61</v>
      </c>
      <c r="O406" s="321" t="s">
        <v>5207</v>
      </c>
      <c r="P406" s="321">
        <v>1611101</v>
      </c>
      <c r="Q406" s="322">
        <v>127000</v>
      </c>
      <c r="R406" s="322">
        <v>131700</v>
      </c>
      <c r="S406" s="322">
        <v>179000</v>
      </c>
      <c r="T406" s="322">
        <v>179000</v>
      </c>
      <c r="U406" s="322">
        <f t="shared" si="32"/>
        <v>0</v>
      </c>
      <c r="W406" s="321">
        <f t="shared" si="33"/>
        <v>140</v>
      </c>
      <c r="X406" s="321">
        <f t="shared" si="34"/>
        <v>611101</v>
      </c>
      <c r="Y406" s="321">
        <v>1</v>
      </c>
      <c r="AA406" s="321" t="s">
        <v>5207</v>
      </c>
    </row>
    <row r="407" spans="1:27">
      <c r="A407" s="376">
        <v>784</v>
      </c>
      <c r="B407" s="377">
        <v>614000</v>
      </c>
      <c r="C407" s="382" t="s">
        <v>6768</v>
      </c>
      <c r="D407" s="379">
        <v>100</v>
      </c>
      <c r="E407" s="380">
        <v>120</v>
      </c>
      <c r="F407" s="380">
        <v>120</v>
      </c>
      <c r="H407" s="351">
        <f t="shared" si="35"/>
        <v>100000</v>
      </c>
      <c r="I407" s="351">
        <f t="shared" si="36"/>
        <v>120000</v>
      </c>
      <c r="M407" s="321">
        <v>1611101141</v>
      </c>
      <c r="N407" s="321">
        <v>61</v>
      </c>
      <c r="O407" s="321" t="s">
        <v>5208</v>
      </c>
      <c r="P407" s="321">
        <v>1611101</v>
      </c>
      <c r="Q407" s="322">
        <v>50000</v>
      </c>
      <c r="R407" s="322">
        <v>48700</v>
      </c>
      <c r="S407" s="322">
        <v>63000</v>
      </c>
      <c r="T407" s="322">
        <v>63000</v>
      </c>
      <c r="U407" s="322">
        <f t="shared" si="32"/>
        <v>0</v>
      </c>
      <c r="W407" s="321">
        <f t="shared" si="33"/>
        <v>141</v>
      </c>
      <c r="X407" s="321">
        <f t="shared" si="34"/>
        <v>611101</v>
      </c>
      <c r="Y407" s="321">
        <v>1</v>
      </c>
      <c r="AA407" s="321" t="s">
        <v>5208</v>
      </c>
    </row>
    <row r="408" spans="1:27">
      <c r="A408" s="376">
        <v>100</v>
      </c>
      <c r="B408" s="377">
        <v>615000</v>
      </c>
      <c r="C408" s="382" t="s">
        <v>6711</v>
      </c>
      <c r="D408" s="379">
        <f>2517+120</f>
        <v>2637</v>
      </c>
      <c r="E408" s="380">
        <v>2465</v>
      </c>
      <c r="F408" s="380">
        <v>2465</v>
      </c>
      <c r="H408" s="351">
        <f t="shared" si="35"/>
        <v>2637000</v>
      </c>
      <c r="I408" s="351">
        <f t="shared" si="36"/>
        <v>2465000</v>
      </c>
      <c r="M408" s="321">
        <v>1611101181</v>
      </c>
      <c r="N408" s="321">
        <v>61</v>
      </c>
      <c r="O408" s="321" t="s">
        <v>2580</v>
      </c>
      <c r="P408" s="321">
        <v>1611101</v>
      </c>
      <c r="Q408" s="322">
        <v>169000</v>
      </c>
      <c r="R408" s="322">
        <v>129200</v>
      </c>
      <c r="S408" s="322">
        <v>183000</v>
      </c>
      <c r="T408" s="322">
        <v>183000</v>
      </c>
      <c r="U408" s="322">
        <f t="shared" si="32"/>
        <v>0</v>
      </c>
      <c r="W408" s="321">
        <f t="shared" si="33"/>
        <v>181</v>
      </c>
      <c r="X408" s="321">
        <f t="shared" si="34"/>
        <v>611101</v>
      </c>
      <c r="Y408" s="321">
        <v>1</v>
      </c>
      <c r="AA408" s="321" t="s">
        <v>2580</v>
      </c>
    </row>
    <row r="409" spans="1:27">
      <c r="A409" s="376">
        <v>470</v>
      </c>
      <c r="B409" s="377">
        <v>615000</v>
      </c>
      <c r="C409" s="382" t="s">
        <v>6769</v>
      </c>
      <c r="D409" s="379">
        <v>45</v>
      </c>
      <c r="E409" s="380">
        <v>65</v>
      </c>
      <c r="F409" s="380">
        <v>65</v>
      </c>
      <c r="H409" s="351">
        <f t="shared" si="35"/>
        <v>45000</v>
      </c>
      <c r="I409" s="351">
        <f t="shared" si="36"/>
        <v>65000</v>
      </c>
      <c r="M409" s="321">
        <v>1611101182</v>
      </c>
      <c r="N409" s="321">
        <v>61</v>
      </c>
      <c r="O409" s="321" t="s">
        <v>2582</v>
      </c>
      <c r="P409" s="321">
        <v>1611101</v>
      </c>
      <c r="Q409" s="322">
        <v>131000</v>
      </c>
      <c r="R409" s="322">
        <v>106000</v>
      </c>
      <c r="S409" s="322">
        <v>151000</v>
      </c>
      <c r="T409" s="322">
        <v>151000</v>
      </c>
      <c r="U409" s="322">
        <f t="shared" si="32"/>
        <v>0</v>
      </c>
      <c r="W409" s="321">
        <f t="shared" si="33"/>
        <v>182</v>
      </c>
      <c r="X409" s="321">
        <f t="shared" si="34"/>
        <v>611101</v>
      </c>
      <c r="Y409" s="321">
        <v>1</v>
      </c>
      <c r="AA409" s="321" t="s">
        <v>2582</v>
      </c>
    </row>
    <row r="410" spans="1:27">
      <c r="A410" s="376">
        <v>521</v>
      </c>
      <c r="B410" s="377">
        <v>615000</v>
      </c>
      <c r="C410" s="382" t="s">
        <v>6770</v>
      </c>
      <c r="D410" s="379">
        <v>350</v>
      </c>
      <c r="E410" s="380">
        <v>320</v>
      </c>
      <c r="F410" s="380">
        <v>320</v>
      </c>
      <c r="H410" s="351">
        <f t="shared" si="35"/>
        <v>350000</v>
      </c>
      <c r="I410" s="351">
        <f t="shared" si="36"/>
        <v>320000</v>
      </c>
      <c r="M410" s="321">
        <v>1611101210</v>
      </c>
      <c r="N410" s="321">
        <v>61</v>
      </c>
      <c r="O410" s="321" t="s">
        <v>5211</v>
      </c>
      <c r="P410" s="321">
        <v>1611101</v>
      </c>
      <c r="Q410" s="322">
        <v>400000</v>
      </c>
      <c r="R410" s="322">
        <v>23900</v>
      </c>
      <c r="S410" s="322">
        <v>200000</v>
      </c>
      <c r="T410" s="322">
        <v>200000</v>
      </c>
      <c r="U410" s="322">
        <f t="shared" si="32"/>
        <v>0</v>
      </c>
      <c r="W410" s="321">
        <f t="shared" si="33"/>
        <v>210</v>
      </c>
      <c r="X410" s="321">
        <f t="shared" si="34"/>
        <v>611101</v>
      </c>
      <c r="Y410" s="321">
        <v>1</v>
      </c>
      <c r="AA410" s="321" t="s">
        <v>5211</v>
      </c>
    </row>
    <row r="411" spans="1:27">
      <c r="A411" s="376">
        <v>522</v>
      </c>
      <c r="B411" s="377">
        <v>615000</v>
      </c>
      <c r="C411" s="382" t="s">
        <v>6771</v>
      </c>
      <c r="D411" s="379">
        <v>10</v>
      </c>
      <c r="E411" s="380">
        <v>10</v>
      </c>
      <c r="F411" s="380">
        <v>10</v>
      </c>
      <c r="H411" s="351">
        <f t="shared" si="35"/>
        <v>10000</v>
      </c>
      <c r="I411" s="351">
        <f t="shared" si="36"/>
        <v>10000</v>
      </c>
      <c r="M411" s="321">
        <v>1611101470</v>
      </c>
      <c r="N411" s="321">
        <v>61</v>
      </c>
      <c r="O411" s="321" t="s">
        <v>2830</v>
      </c>
      <c r="P411" s="321">
        <v>1611101</v>
      </c>
      <c r="Q411" s="322">
        <v>24700</v>
      </c>
      <c r="R411" s="322">
        <v>11500</v>
      </c>
      <c r="S411" s="322">
        <v>24700</v>
      </c>
      <c r="T411" s="322">
        <v>24700</v>
      </c>
      <c r="U411" s="322">
        <f t="shared" si="32"/>
        <v>0</v>
      </c>
      <c r="W411" s="321">
        <f t="shared" si="33"/>
        <v>470</v>
      </c>
      <c r="X411" s="321">
        <f t="shared" si="34"/>
        <v>611101</v>
      </c>
      <c r="Y411" s="321">
        <v>1</v>
      </c>
      <c r="AA411" s="321" t="s">
        <v>2830</v>
      </c>
    </row>
    <row r="412" spans="1:27">
      <c r="A412" s="376">
        <v>523</v>
      </c>
      <c r="B412" s="377">
        <v>615000</v>
      </c>
      <c r="C412" s="378" t="s">
        <v>6772</v>
      </c>
      <c r="D412" s="379">
        <v>360</v>
      </c>
      <c r="E412" s="380">
        <v>360</v>
      </c>
      <c r="F412" s="380">
        <v>360</v>
      </c>
      <c r="H412" s="351">
        <f t="shared" si="35"/>
        <v>360000</v>
      </c>
      <c r="I412" s="351">
        <f t="shared" si="36"/>
        <v>360000</v>
      </c>
      <c r="M412" s="321">
        <v>1611101471</v>
      </c>
      <c r="N412" s="321">
        <v>61</v>
      </c>
      <c r="O412" s="321" t="s">
        <v>5212</v>
      </c>
      <c r="P412" s="321">
        <v>1611101</v>
      </c>
      <c r="Q412" s="322">
        <v>4700</v>
      </c>
      <c r="R412" s="322">
        <v>4700</v>
      </c>
      <c r="S412" s="322">
        <v>5000</v>
      </c>
      <c r="T412" s="322">
        <v>5000</v>
      </c>
      <c r="U412" s="322">
        <f t="shared" si="32"/>
        <v>0</v>
      </c>
      <c r="W412" s="321">
        <f t="shared" si="33"/>
        <v>471</v>
      </c>
      <c r="X412" s="321">
        <f t="shared" si="34"/>
        <v>611101</v>
      </c>
      <c r="Y412" s="321">
        <v>1</v>
      </c>
      <c r="AA412" s="321" t="s">
        <v>5212</v>
      </c>
    </row>
    <row r="413" spans="1:27">
      <c r="A413" s="376">
        <v>524</v>
      </c>
      <c r="B413" s="377">
        <v>615000</v>
      </c>
      <c r="C413" s="386" t="s">
        <v>6773</v>
      </c>
      <c r="D413" s="379">
        <v>180</v>
      </c>
      <c r="E413" s="380">
        <v>150</v>
      </c>
      <c r="F413" s="380">
        <v>150</v>
      </c>
      <c r="H413" s="351">
        <f t="shared" si="35"/>
        <v>180000</v>
      </c>
      <c r="I413" s="351">
        <f t="shared" si="36"/>
        <v>150000</v>
      </c>
      <c r="M413" s="321">
        <v>1611101510</v>
      </c>
      <c r="N413" s="321">
        <v>61</v>
      </c>
      <c r="O413" s="321" t="s">
        <v>5213</v>
      </c>
      <c r="P413" s="321">
        <v>1611101</v>
      </c>
      <c r="Q413" s="322">
        <v>5000</v>
      </c>
      <c r="R413" s="322">
        <v>2700</v>
      </c>
      <c r="S413" s="322">
        <v>5000</v>
      </c>
      <c r="T413" s="322">
        <v>5000</v>
      </c>
      <c r="U413" s="322">
        <f t="shared" si="32"/>
        <v>0</v>
      </c>
      <c r="W413" s="321">
        <f t="shared" si="33"/>
        <v>510</v>
      </c>
      <c r="X413" s="321">
        <f t="shared" si="34"/>
        <v>611101</v>
      </c>
      <c r="Y413" s="321">
        <v>1</v>
      </c>
      <c r="AA413" s="321" t="s">
        <v>5213</v>
      </c>
    </row>
    <row r="414" spans="1:27">
      <c r="A414" s="376">
        <v>526</v>
      </c>
      <c r="B414" s="377">
        <v>615000</v>
      </c>
      <c r="C414" s="382" t="s">
        <v>6774</v>
      </c>
      <c r="D414" s="379">
        <v>600</v>
      </c>
      <c r="E414" s="380">
        <v>250</v>
      </c>
      <c r="F414" s="380">
        <v>250</v>
      </c>
      <c r="H414" s="351">
        <f t="shared" si="35"/>
        <v>600000</v>
      </c>
      <c r="I414" s="351">
        <f t="shared" si="36"/>
        <v>250000</v>
      </c>
      <c r="M414" s="321">
        <v>1611101514</v>
      </c>
      <c r="N414" s="321">
        <v>61</v>
      </c>
      <c r="O414" s="321" t="s">
        <v>2626</v>
      </c>
      <c r="P414" s="321">
        <v>1611101</v>
      </c>
      <c r="Q414" s="322">
        <v>17000</v>
      </c>
      <c r="R414" s="322">
        <v>7300</v>
      </c>
      <c r="S414" s="322">
        <v>17000</v>
      </c>
      <c r="T414" s="322">
        <v>17000</v>
      </c>
      <c r="U414" s="322">
        <f t="shared" si="32"/>
        <v>0</v>
      </c>
      <c r="W414" s="321">
        <f t="shared" si="33"/>
        <v>514</v>
      </c>
      <c r="X414" s="321">
        <f t="shared" si="34"/>
        <v>611101</v>
      </c>
      <c r="Y414" s="321">
        <v>1</v>
      </c>
      <c r="AA414" s="321" t="s">
        <v>2626</v>
      </c>
    </row>
    <row r="415" spans="1:27">
      <c r="A415" s="376">
        <v>540</v>
      </c>
      <c r="B415" s="377">
        <v>615000</v>
      </c>
      <c r="C415" s="382" t="s">
        <v>6750</v>
      </c>
      <c r="D415" s="379">
        <v>11</v>
      </c>
      <c r="E415" s="380">
        <v>10</v>
      </c>
      <c r="F415" s="380">
        <v>10</v>
      </c>
      <c r="H415" s="351">
        <f t="shared" si="35"/>
        <v>11000</v>
      </c>
      <c r="I415" s="351">
        <f t="shared" si="36"/>
        <v>10000</v>
      </c>
      <c r="M415" s="321">
        <v>1611101522</v>
      </c>
      <c r="N415" s="321">
        <v>61</v>
      </c>
      <c r="O415" s="321" t="s">
        <v>5214</v>
      </c>
      <c r="P415" s="321">
        <v>1611101</v>
      </c>
      <c r="Q415" s="322">
        <v>5000</v>
      </c>
      <c r="R415" s="322">
        <v>3100</v>
      </c>
      <c r="S415" s="322">
        <v>5000</v>
      </c>
      <c r="T415" s="322">
        <v>5000</v>
      </c>
      <c r="U415" s="322">
        <f t="shared" si="32"/>
        <v>0</v>
      </c>
      <c r="W415" s="321">
        <f t="shared" si="33"/>
        <v>522</v>
      </c>
      <c r="X415" s="321">
        <f t="shared" si="34"/>
        <v>611101</v>
      </c>
      <c r="Y415" s="321">
        <v>1</v>
      </c>
      <c r="AA415" s="321" t="s">
        <v>5214</v>
      </c>
    </row>
    <row r="416" spans="1:27">
      <c r="A416" s="376">
        <v>550</v>
      </c>
      <c r="B416" s="377">
        <v>615000</v>
      </c>
      <c r="C416" s="382" t="s">
        <v>6737</v>
      </c>
      <c r="D416" s="379">
        <v>216</v>
      </c>
      <c r="E416" s="380">
        <v>216</v>
      </c>
      <c r="F416" s="380">
        <v>216</v>
      </c>
      <c r="H416" s="351">
        <f t="shared" si="35"/>
        <v>216000</v>
      </c>
      <c r="I416" s="351">
        <f t="shared" si="36"/>
        <v>216000</v>
      </c>
      <c r="M416" s="321">
        <v>1611101530</v>
      </c>
      <c r="N416" s="321">
        <v>61</v>
      </c>
      <c r="O416" s="321">
        <v>8001852</v>
      </c>
      <c r="P416" s="321">
        <v>1611101</v>
      </c>
      <c r="Q416" s="322">
        <v>60000</v>
      </c>
      <c r="R416" s="322">
        <v>28500</v>
      </c>
      <c r="S416" s="322">
        <v>60000</v>
      </c>
      <c r="T416" s="322">
        <v>60000</v>
      </c>
      <c r="U416" s="322">
        <f t="shared" si="32"/>
        <v>0</v>
      </c>
      <c r="W416" s="321">
        <f t="shared" si="33"/>
        <v>530</v>
      </c>
      <c r="X416" s="321">
        <f t="shared" si="34"/>
        <v>611101</v>
      </c>
      <c r="Y416" s="321">
        <v>1</v>
      </c>
      <c r="AA416" s="321">
        <v>8001852</v>
      </c>
    </row>
    <row r="417" spans="1:27">
      <c r="A417" s="376">
        <v>560</v>
      </c>
      <c r="B417" s="377">
        <v>615000</v>
      </c>
      <c r="C417" s="381" t="s">
        <v>6775</v>
      </c>
      <c r="D417" s="379">
        <v>15</v>
      </c>
      <c r="E417" s="380">
        <v>15</v>
      </c>
      <c r="F417" s="380">
        <v>15</v>
      </c>
      <c r="H417" s="351">
        <f t="shared" si="35"/>
        <v>15000</v>
      </c>
      <c r="I417" s="351">
        <f t="shared" si="36"/>
        <v>15000</v>
      </c>
      <c r="M417" s="321">
        <v>1611101533</v>
      </c>
      <c r="N417" s="321">
        <v>61</v>
      </c>
      <c r="O417" s="321" t="s">
        <v>5215</v>
      </c>
      <c r="P417" s="321">
        <v>1611101</v>
      </c>
      <c r="Q417" s="322">
        <v>0</v>
      </c>
      <c r="R417" s="322">
        <v>0</v>
      </c>
      <c r="S417" s="322">
        <v>0</v>
      </c>
      <c r="T417" s="322">
        <v>0</v>
      </c>
      <c r="U417" s="322">
        <f t="shared" si="32"/>
        <v>0</v>
      </c>
      <c r="W417" s="321">
        <f t="shared" si="33"/>
        <v>533</v>
      </c>
      <c r="X417" s="321">
        <f t="shared" si="34"/>
        <v>611101</v>
      </c>
      <c r="Y417" s="321">
        <v>1</v>
      </c>
      <c r="AA417" s="321" t="s">
        <v>5215</v>
      </c>
    </row>
    <row r="418" spans="1:27">
      <c r="A418" s="376">
        <v>570</v>
      </c>
      <c r="B418" s="377">
        <v>615000</v>
      </c>
      <c r="C418" s="382" t="s">
        <v>6776</v>
      </c>
      <c r="D418" s="379">
        <v>175</v>
      </c>
      <c r="E418" s="380">
        <v>166</v>
      </c>
      <c r="F418" s="380">
        <v>166</v>
      </c>
      <c r="H418" s="351">
        <f t="shared" si="35"/>
        <v>175000</v>
      </c>
      <c r="I418" s="351">
        <f t="shared" si="36"/>
        <v>166000</v>
      </c>
      <c r="M418" s="321">
        <v>1611101540</v>
      </c>
      <c r="N418" s="321">
        <v>61</v>
      </c>
      <c r="O418" s="321" t="s">
        <v>5216</v>
      </c>
      <c r="P418" s="321">
        <v>1611101</v>
      </c>
      <c r="Q418" s="322">
        <v>5000</v>
      </c>
      <c r="R418" s="322">
        <v>3300</v>
      </c>
      <c r="S418" s="322">
        <v>5000</v>
      </c>
      <c r="T418" s="322">
        <v>5000</v>
      </c>
      <c r="U418" s="322">
        <f t="shared" si="32"/>
        <v>0</v>
      </c>
      <c r="W418" s="321">
        <f t="shared" si="33"/>
        <v>540</v>
      </c>
      <c r="X418" s="321">
        <f t="shared" si="34"/>
        <v>611101</v>
      </c>
      <c r="Y418" s="321">
        <v>1</v>
      </c>
      <c r="AA418" s="321" t="s">
        <v>5216</v>
      </c>
    </row>
    <row r="419" spans="1:27">
      <c r="A419" s="376">
        <v>742</v>
      </c>
      <c r="B419" s="377">
        <v>615000</v>
      </c>
      <c r="C419" s="385" t="s">
        <v>6740</v>
      </c>
      <c r="D419" s="379">
        <v>3</v>
      </c>
      <c r="E419" s="380">
        <v>3</v>
      </c>
      <c r="F419" s="380">
        <v>3</v>
      </c>
      <c r="H419" s="351">
        <f t="shared" si="35"/>
        <v>3000</v>
      </c>
      <c r="I419" s="351">
        <f t="shared" si="36"/>
        <v>3000</v>
      </c>
      <c r="M419" s="321">
        <v>1611101542</v>
      </c>
      <c r="N419" s="321">
        <v>61</v>
      </c>
      <c r="O419" s="321" t="s">
        <v>5217</v>
      </c>
      <c r="P419" s="321">
        <v>1611101</v>
      </c>
      <c r="Q419" s="322">
        <v>24500</v>
      </c>
      <c r="R419" s="322">
        <v>2400</v>
      </c>
      <c r="S419" s="322">
        <v>19000</v>
      </c>
      <c r="T419" s="322">
        <v>19000</v>
      </c>
      <c r="U419" s="322">
        <f t="shared" si="32"/>
        <v>0</v>
      </c>
      <c r="W419" s="321">
        <f t="shared" si="33"/>
        <v>542</v>
      </c>
      <c r="X419" s="321">
        <f t="shared" si="34"/>
        <v>611101</v>
      </c>
      <c r="Y419" s="321">
        <v>1</v>
      </c>
      <c r="AA419" s="321" t="s">
        <v>5217</v>
      </c>
    </row>
    <row r="420" spans="1:27">
      <c r="A420" s="376">
        <v>755</v>
      </c>
      <c r="B420" s="377">
        <v>615000</v>
      </c>
      <c r="C420" s="385" t="s">
        <v>6777</v>
      </c>
      <c r="D420" s="379">
        <v>15</v>
      </c>
      <c r="E420" s="380">
        <v>16</v>
      </c>
      <c r="F420" s="380">
        <v>16</v>
      </c>
      <c r="H420" s="351">
        <f t="shared" si="35"/>
        <v>15000</v>
      </c>
      <c r="I420" s="351">
        <f t="shared" si="36"/>
        <v>16000</v>
      </c>
      <c r="M420" s="321">
        <v>1611101760</v>
      </c>
      <c r="N420" s="321">
        <v>61</v>
      </c>
      <c r="O420" s="321" t="s">
        <v>5218</v>
      </c>
      <c r="P420" s="321">
        <v>1611101</v>
      </c>
      <c r="Q420" s="322">
        <v>20000</v>
      </c>
      <c r="R420" s="322">
        <v>12600</v>
      </c>
      <c r="S420" s="322">
        <v>20000</v>
      </c>
      <c r="T420" s="322">
        <v>20000</v>
      </c>
      <c r="U420" s="322">
        <f t="shared" si="32"/>
        <v>0</v>
      </c>
      <c r="W420" s="321">
        <f t="shared" si="33"/>
        <v>760</v>
      </c>
      <c r="X420" s="321">
        <f t="shared" si="34"/>
        <v>611101</v>
      </c>
      <c r="Y420" s="321">
        <v>1</v>
      </c>
      <c r="AA420" s="321" t="s">
        <v>5218</v>
      </c>
    </row>
    <row r="421" spans="1:27">
      <c r="A421" s="376">
        <v>780</v>
      </c>
      <c r="B421" s="377">
        <v>615000</v>
      </c>
      <c r="C421" s="385" t="s">
        <v>6778</v>
      </c>
      <c r="D421" s="379">
        <v>85</v>
      </c>
      <c r="E421" s="380">
        <v>35</v>
      </c>
      <c r="F421" s="380">
        <v>35</v>
      </c>
      <c r="H421" s="351">
        <f t="shared" si="35"/>
        <v>85000</v>
      </c>
      <c r="I421" s="351">
        <f t="shared" si="36"/>
        <v>35000</v>
      </c>
      <c r="M421" s="321">
        <v>1611101780</v>
      </c>
      <c r="N421" s="321">
        <v>61</v>
      </c>
      <c r="O421" s="321" t="s">
        <v>2709</v>
      </c>
      <c r="P421" s="321">
        <v>1611101</v>
      </c>
      <c r="Q421" s="322">
        <v>31000</v>
      </c>
      <c r="R421" s="322">
        <v>26000</v>
      </c>
      <c r="S421" s="322">
        <v>34000</v>
      </c>
      <c r="T421" s="322">
        <v>29000</v>
      </c>
      <c r="U421" s="322">
        <f t="shared" si="32"/>
        <v>5000</v>
      </c>
      <c r="W421" s="321">
        <f t="shared" si="33"/>
        <v>780</v>
      </c>
      <c r="X421" s="321">
        <f t="shared" si="34"/>
        <v>611101</v>
      </c>
      <c r="Y421" s="321">
        <v>1</v>
      </c>
      <c r="AA421" s="321" t="s">
        <v>2709</v>
      </c>
    </row>
    <row r="422" spans="1:27">
      <c r="A422" s="376">
        <v>781</v>
      </c>
      <c r="B422" s="377">
        <v>615000</v>
      </c>
      <c r="C422" s="382" t="s">
        <v>6779</v>
      </c>
      <c r="D422" s="379">
        <v>130</v>
      </c>
      <c r="E422" s="380">
        <v>180</v>
      </c>
      <c r="F422" s="380">
        <v>180</v>
      </c>
      <c r="H422" s="351">
        <f t="shared" si="35"/>
        <v>130000</v>
      </c>
      <c r="I422" s="351">
        <f t="shared" si="36"/>
        <v>180000</v>
      </c>
      <c r="M422" s="321">
        <v>1611102110</v>
      </c>
      <c r="N422" s="321">
        <v>61</v>
      </c>
      <c r="O422" s="321" t="s">
        <v>5205</v>
      </c>
      <c r="P422" s="321">
        <v>1611102</v>
      </c>
      <c r="Q422" s="322">
        <v>304000</v>
      </c>
      <c r="R422" s="322">
        <v>223300</v>
      </c>
      <c r="S422" s="322">
        <v>306000</v>
      </c>
      <c r="T422" s="322">
        <v>306000</v>
      </c>
      <c r="U422" s="322">
        <f t="shared" si="32"/>
        <v>0</v>
      </c>
      <c r="W422" s="321">
        <f t="shared" si="33"/>
        <v>110</v>
      </c>
      <c r="X422" s="321">
        <f t="shared" si="34"/>
        <v>611102</v>
      </c>
      <c r="Y422" s="321">
        <v>1</v>
      </c>
      <c r="AA422" s="321" t="s">
        <v>5205</v>
      </c>
    </row>
    <row r="423" spans="1:27">
      <c r="A423" s="376">
        <v>782</v>
      </c>
      <c r="B423" s="377">
        <v>615000</v>
      </c>
      <c r="C423" s="382" t="s">
        <v>6780</v>
      </c>
      <c r="D423" s="379">
        <v>15</v>
      </c>
      <c r="E423" s="380">
        <v>15</v>
      </c>
      <c r="F423" s="380">
        <v>15</v>
      </c>
      <c r="H423" s="351">
        <f t="shared" si="35"/>
        <v>15000</v>
      </c>
      <c r="I423" s="351">
        <f t="shared" si="36"/>
        <v>15000</v>
      </c>
      <c r="M423" s="321">
        <v>1611102120</v>
      </c>
      <c r="N423" s="321">
        <v>61</v>
      </c>
      <c r="O423" s="321" t="s">
        <v>5206</v>
      </c>
      <c r="P423" s="321">
        <v>1611102</v>
      </c>
      <c r="Q423" s="322">
        <v>55000</v>
      </c>
      <c r="R423" s="322">
        <v>42300</v>
      </c>
      <c r="S423" s="322">
        <v>51000</v>
      </c>
      <c r="T423" s="322">
        <v>51000</v>
      </c>
      <c r="U423" s="322">
        <f t="shared" si="32"/>
        <v>0</v>
      </c>
      <c r="W423" s="321">
        <f t="shared" si="33"/>
        <v>120</v>
      </c>
      <c r="X423" s="321">
        <f t="shared" si="34"/>
        <v>611102</v>
      </c>
      <c r="Y423" s="321">
        <v>1</v>
      </c>
      <c r="AA423" s="321" t="s">
        <v>5206</v>
      </c>
    </row>
    <row r="424" spans="1:27">
      <c r="A424" s="376">
        <v>783</v>
      </c>
      <c r="B424" s="377">
        <v>615000</v>
      </c>
      <c r="C424" s="385" t="s">
        <v>6781</v>
      </c>
      <c r="D424" s="379">
        <v>70</v>
      </c>
      <c r="E424" s="380">
        <v>0</v>
      </c>
      <c r="F424" s="380">
        <v>0</v>
      </c>
      <c r="H424" s="351">
        <f t="shared" si="35"/>
        <v>70000</v>
      </c>
      <c r="I424" s="351">
        <f t="shared" si="36"/>
        <v>0</v>
      </c>
      <c r="M424" s="321">
        <v>1611102140</v>
      </c>
      <c r="N424" s="321">
        <v>61</v>
      </c>
      <c r="O424" s="321" t="s">
        <v>5207</v>
      </c>
      <c r="P424" s="321">
        <v>1611102</v>
      </c>
      <c r="Q424" s="322">
        <v>48000</v>
      </c>
      <c r="R424" s="322">
        <v>33200</v>
      </c>
      <c r="S424" s="322">
        <v>51000</v>
      </c>
      <c r="T424" s="322">
        <v>51000</v>
      </c>
      <c r="U424" s="322">
        <f t="shared" si="32"/>
        <v>0</v>
      </c>
      <c r="W424" s="321">
        <f t="shared" si="33"/>
        <v>140</v>
      </c>
      <c r="X424" s="321">
        <f t="shared" si="34"/>
        <v>611102</v>
      </c>
      <c r="Y424" s="321">
        <v>1</v>
      </c>
      <c r="AA424" s="321" t="s">
        <v>5207</v>
      </c>
    </row>
    <row r="425" spans="1:27">
      <c r="A425" s="376">
        <v>930</v>
      </c>
      <c r="B425" s="377">
        <v>615000</v>
      </c>
      <c r="C425" s="382" t="s">
        <v>164</v>
      </c>
      <c r="D425" s="379">
        <v>18</v>
      </c>
      <c r="E425" s="380">
        <v>35</v>
      </c>
      <c r="F425" s="380">
        <v>35</v>
      </c>
      <c r="H425" s="351">
        <f t="shared" si="35"/>
        <v>18000</v>
      </c>
      <c r="I425" s="351">
        <f t="shared" si="36"/>
        <v>35000</v>
      </c>
      <c r="M425" s="321">
        <v>1611102141</v>
      </c>
      <c r="N425" s="321">
        <v>61</v>
      </c>
      <c r="O425" s="321" t="s">
        <v>5208</v>
      </c>
      <c r="P425" s="321">
        <v>1611102</v>
      </c>
      <c r="Q425" s="322">
        <v>17000</v>
      </c>
      <c r="R425" s="322">
        <v>14200</v>
      </c>
      <c r="S425" s="322">
        <v>20000</v>
      </c>
      <c r="T425" s="322">
        <v>20000</v>
      </c>
      <c r="U425" s="322">
        <f t="shared" si="32"/>
        <v>0</v>
      </c>
      <c r="W425" s="321">
        <f t="shared" si="33"/>
        <v>141</v>
      </c>
      <c r="X425" s="321">
        <f t="shared" si="34"/>
        <v>611102</v>
      </c>
      <c r="Y425" s="321">
        <v>1</v>
      </c>
      <c r="AA425" s="321" t="s">
        <v>5208</v>
      </c>
    </row>
    <row r="426" spans="1:27">
      <c r="A426" s="376">
        <v>960</v>
      </c>
      <c r="B426" s="377">
        <v>615000</v>
      </c>
      <c r="C426" s="382" t="s">
        <v>6782</v>
      </c>
      <c r="D426" s="379">
        <v>10</v>
      </c>
      <c r="E426" s="380">
        <v>10</v>
      </c>
      <c r="F426" s="380">
        <v>10</v>
      </c>
      <c r="H426" s="351">
        <f t="shared" si="35"/>
        <v>10000</v>
      </c>
      <c r="I426" s="351">
        <f t="shared" si="36"/>
        <v>10000</v>
      </c>
      <c r="M426" s="321">
        <v>1611102181</v>
      </c>
      <c r="N426" s="321">
        <v>61</v>
      </c>
      <c r="O426" s="321" t="s">
        <v>2580</v>
      </c>
      <c r="P426" s="321">
        <v>1611102</v>
      </c>
      <c r="Q426" s="322">
        <v>60000</v>
      </c>
      <c r="R426" s="322">
        <v>53400</v>
      </c>
      <c r="S426" s="322">
        <v>71000</v>
      </c>
      <c r="T426" s="322">
        <v>71000</v>
      </c>
      <c r="U426" s="322">
        <f t="shared" si="32"/>
        <v>0</v>
      </c>
      <c r="W426" s="321">
        <f t="shared" si="33"/>
        <v>181</v>
      </c>
      <c r="X426" s="321">
        <f t="shared" si="34"/>
        <v>611102</v>
      </c>
      <c r="Y426" s="321">
        <v>1</v>
      </c>
      <c r="AA426" s="321" t="s">
        <v>2580</v>
      </c>
    </row>
    <row r="427" spans="1:27">
      <c r="A427" s="376">
        <v>100</v>
      </c>
      <c r="B427" s="377">
        <v>616000</v>
      </c>
      <c r="C427" s="382" t="s">
        <v>6711</v>
      </c>
      <c r="D427" s="379">
        <v>1980</v>
      </c>
      <c r="E427" s="380">
        <v>1895</v>
      </c>
      <c r="F427" s="380">
        <v>1895</v>
      </c>
      <c r="H427" s="351">
        <f t="shared" si="35"/>
        <v>1980000</v>
      </c>
      <c r="I427" s="351">
        <f t="shared" si="36"/>
        <v>1895000</v>
      </c>
      <c r="M427" s="321">
        <v>1611102182</v>
      </c>
      <c r="N427" s="321">
        <v>61</v>
      </c>
      <c r="O427" s="321" t="s">
        <v>5209</v>
      </c>
      <c r="P427" s="321">
        <v>1611102</v>
      </c>
      <c r="Q427" s="322">
        <v>58000</v>
      </c>
      <c r="R427" s="322">
        <v>41900</v>
      </c>
      <c r="S427" s="322">
        <v>59000</v>
      </c>
      <c r="T427" s="322">
        <v>59000</v>
      </c>
      <c r="U427" s="322">
        <f t="shared" si="32"/>
        <v>0</v>
      </c>
      <c r="W427" s="321">
        <f t="shared" si="33"/>
        <v>182</v>
      </c>
      <c r="X427" s="321">
        <f t="shared" si="34"/>
        <v>611102</v>
      </c>
      <c r="Y427" s="321">
        <v>1</v>
      </c>
      <c r="AA427" s="321" t="s">
        <v>5209</v>
      </c>
    </row>
    <row r="428" spans="1:27">
      <c r="A428" s="376">
        <v>410</v>
      </c>
      <c r="B428" s="377">
        <v>616000</v>
      </c>
      <c r="C428" s="382" t="s">
        <v>6748</v>
      </c>
      <c r="D428" s="379">
        <v>179</v>
      </c>
      <c r="E428" s="380">
        <v>160</v>
      </c>
      <c r="F428" s="380">
        <v>185</v>
      </c>
      <c r="H428" s="351">
        <f t="shared" si="35"/>
        <v>179000</v>
      </c>
      <c r="I428" s="351">
        <f t="shared" si="36"/>
        <v>185000</v>
      </c>
      <c r="M428" s="321">
        <v>1611102210</v>
      </c>
      <c r="N428" s="321">
        <v>61</v>
      </c>
      <c r="O428" s="321" t="s">
        <v>5211</v>
      </c>
      <c r="P428" s="321">
        <v>1611102</v>
      </c>
      <c r="Q428" s="322">
        <v>0</v>
      </c>
      <c r="R428" s="322">
        <v>0</v>
      </c>
      <c r="S428" s="322">
        <v>0</v>
      </c>
      <c r="T428" s="322">
        <v>0</v>
      </c>
      <c r="U428" s="322">
        <f t="shared" si="32"/>
        <v>0</v>
      </c>
      <c r="W428" s="321">
        <f t="shared" si="33"/>
        <v>210</v>
      </c>
      <c r="X428" s="321">
        <f t="shared" si="34"/>
        <v>611102</v>
      </c>
      <c r="Y428" s="321">
        <v>1</v>
      </c>
      <c r="AA428" s="321" t="s">
        <v>5211</v>
      </c>
    </row>
    <row r="429" spans="1:27">
      <c r="A429" s="376">
        <v>530</v>
      </c>
      <c r="B429" s="377">
        <v>616000</v>
      </c>
      <c r="C429" s="382" t="s">
        <v>6735</v>
      </c>
      <c r="D429" s="379">
        <v>53</v>
      </c>
      <c r="E429" s="380">
        <v>48</v>
      </c>
      <c r="F429" s="380">
        <v>48</v>
      </c>
      <c r="H429" s="351">
        <f t="shared" si="35"/>
        <v>53000</v>
      </c>
      <c r="I429" s="351">
        <f t="shared" si="36"/>
        <v>48000</v>
      </c>
      <c r="M429" s="321">
        <v>1611102470</v>
      </c>
      <c r="N429" s="321">
        <v>61</v>
      </c>
      <c r="O429" s="321" t="s">
        <v>2830</v>
      </c>
      <c r="P429" s="321">
        <v>1611102</v>
      </c>
      <c r="Q429" s="322">
        <v>4300</v>
      </c>
      <c r="R429" s="322">
        <v>2600</v>
      </c>
      <c r="S429" s="322">
        <v>4300</v>
      </c>
      <c r="T429" s="322">
        <v>4300</v>
      </c>
      <c r="U429" s="322">
        <f t="shared" si="32"/>
        <v>0</v>
      </c>
      <c r="W429" s="321">
        <f t="shared" si="33"/>
        <v>470</v>
      </c>
      <c r="X429" s="321">
        <f t="shared" si="34"/>
        <v>611102</v>
      </c>
      <c r="Y429" s="321">
        <v>1</v>
      </c>
      <c r="AA429" s="321" t="s">
        <v>2830</v>
      </c>
    </row>
    <row r="430" spans="1:27">
      <c r="A430" s="376">
        <v>540</v>
      </c>
      <c r="B430" s="377">
        <v>616000</v>
      </c>
      <c r="C430" s="382" t="s">
        <v>6750</v>
      </c>
      <c r="D430" s="379">
        <v>23</v>
      </c>
      <c r="E430" s="380">
        <v>22</v>
      </c>
      <c r="F430" s="380">
        <v>22</v>
      </c>
      <c r="H430" s="351">
        <f t="shared" si="35"/>
        <v>23000</v>
      </c>
      <c r="I430" s="351">
        <f t="shared" si="36"/>
        <v>22000</v>
      </c>
      <c r="M430" s="321">
        <v>1611102510</v>
      </c>
      <c r="N430" s="321">
        <v>61</v>
      </c>
      <c r="O430" s="321" t="s">
        <v>5213</v>
      </c>
      <c r="P430" s="321">
        <v>1611102</v>
      </c>
      <c r="Q430" s="322">
        <v>2000</v>
      </c>
      <c r="R430" s="322">
        <v>1100</v>
      </c>
      <c r="S430" s="322">
        <v>2000</v>
      </c>
      <c r="T430" s="322">
        <v>2000</v>
      </c>
      <c r="U430" s="322">
        <f t="shared" si="32"/>
        <v>0</v>
      </c>
      <c r="W430" s="321">
        <f t="shared" si="33"/>
        <v>510</v>
      </c>
      <c r="X430" s="321">
        <f t="shared" si="34"/>
        <v>611102</v>
      </c>
      <c r="Y430" s="321">
        <v>1</v>
      </c>
      <c r="AA430" s="321" t="s">
        <v>5213</v>
      </c>
    </row>
    <row r="431" spans="1:27">
      <c r="A431" s="376">
        <v>570</v>
      </c>
      <c r="B431" s="377">
        <v>616000</v>
      </c>
      <c r="C431" s="381" t="s">
        <v>6783</v>
      </c>
      <c r="D431" s="379">
        <v>507</v>
      </c>
      <c r="E431" s="380">
        <v>590</v>
      </c>
      <c r="F431" s="380">
        <v>590</v>
      </c>
      <c r="H431" s="351">
        <f t="shared" si="35"/>
        <v>507000</v>
      </c>
      <c r="I431" s="351">
        <f t="shared" si="36"/>
        <v>590000</v>
      </c>
      <c r="M431" s="321">
        <v>1611102514</v>
      </c>
      <c r="N431" s="321">
        <v>61</v>
      </c>
      <c r="O431" s="321" t="s">
        <v>2626</v>
      </c>
      <c r="P431" s="321">
        <v>1611102</v>
      </c>
      <c r="Q431" s="322">
        <v>5100</v>
      </c>
      <c r="R431" s="322">
        <v>2500</v>
      </c>
      <c r="S431" s="322">
        <v>5100</v>
      </c>
      <c r="T431" s="322">
        <v>5100</v>
      </c>
      <c r="U431" s="322">
        <f t="shared" si="32"/>
        <v>0</v>
      </c>
      <c r="W431" s="321">
        <f t="shared" si="33"/>
        <v>514</v>
      </c>
      <c r="X431" s="321">
        <f t="shared" si="34"/>
        <v>611102</v>
      </c>
      <c r="Y431" s="321">
        <v>1</v>
      </c>
      <c r="AA431" s="321" t="s">
        <v>2626</v>
      </c>
    </row>
    <row r="432" spans="1:27">
      <c r="A432" s="376">
        <v>571</v>
      </c>
      <c r="B432" s="377">
        <v>616000</v>
      </c>
      <c r="C432" s="381" t="s">
        <v>6784</v>
      </c>
      <c r="D432" s="379">
        <v>620</v>
      </c>
      <c r="E432" s="380">
        <v>571</v>
      </c>
      <c r="F432" s="380">
        <v>571</v>
      </c>
      <c r="H432" s="351">
        <f t="shared" si="35"/>
        <v>620000</v>
      </c>
      <c r="I432" s="351">
        <f t="shared" si="36"/>
        <v>571000</v>
      </c>
      <c r="M432" s="321">
        <v>1611102522</v>
      </c>
      <c r="N432" s="321">
        <v>61</v>
      </c>
      <c r="O432" s="321" t="s">
        <v>5219</v>
      </c>
      <c r="P432" s="321">
        <v>1611102</v>
      </c>
      <c r="Q432" s="322">
        <v>3000</v>
      </c>
      <c r="R432" s="322">
        <v>0</v>
      </c>
      <c r="S432" s="322">
        <v>3000</v>
      </c>
      <c r="T432" s="322">
        <v>3000</v>
      </c>
      <c r="U432" s="322">
        <f t="shared" si="32"/>
        <v>0</v>
      </c>
      <c r="W432" s="321">
        <f t="shared" si="33"/>
        <v>522</v>
      </c>
      <c r="X432" s="321">
        <f t="shared" si="34"/>
        <v>611102</v>
      </c>
      <c r="Y432" s="321">
        <v>1</v>
      </c>
      <c r="AA432" s="321" t="s">
        <v>5219</v>
      </c>
    </row>
    <row r="433" spans="1:27">
      <c r="A433" s="376">
        <v>572</v>
      </c>
      <c r="B433" s="377">
        <v>616000</v>
      </c>
      <c r="C433" s="382" t="s">
        <v>6785</v>
      </c>
      <c r="D433" s="383">
        <v>1000</v>
      </c>
      <c r="E433" s="380">
        <v>130</v>
      </c>
      <c r="F433" s="384">
        <v>130</v>
      </c>
      <c r="H433" s="351">
        <f t="shared" si="35"/>
        <v>1000000</v>
      </c>
      <c r="I433" s="351">
        <f t="shared" si="36"/>
        <v>130000</v>
      </c>
      <c r="M433" s="321">
        <v>1611102531</v>
      </c>
      <c r="N433" s="321">
        <v>61</v>
      </c>
      <c r="O433" s="321" t="s">
        <v>5220</v>
      </c>
      <c r="P433" s="321">
        <v>1611102</v>
      </c>
      <c r="Q433" s="322">
        <v>40000</v>
      </c>
      <c r="R433" s="322">
        <v>14500</v>
      </c>
      <c r="S433" s="322">
        <v>40000</v>
      </c>
      <c r="T433" s="322">
        <v>40000</v>
      </c>
      <c r="U433" s="322">
        <f t="shared" si="32"/>
        <v>0</v>
      </c>
      <c r="W433" s="321">
        <f t="shared" si="33"/>
        <v>531</v>
      </c>
      <c r="X433" s="321">
        <f t="shared" si="34"/>
        <v>611102</v>
      </c>
      <c r="Y433" s="321">
        <v>1</v>
      </c>
      <c r="AA433" s="321" t="s">
        <v>5220</v>
      </c>
    </row>
    <row r="434" spans="1:27">
      <c r="A434" s="376">
        <v>573</v>
      </c>
      <c r="B434" s="377">
        <v>616000</v>
      </c>
      <c r="C434" s="382" t="s">
        <v>6786</v>
      </c>
      <c r="D434" s="383">
        <v>180</v>
      </c>
      <c r="E434" s="380">
        <v>250</v>
      </c>
      <c r="F434" s="384">
        <v>250</v>
      </c>
      <c r="H434" s="351">
        <f t="shared" si="35"/>
        <v>180000</v>
      </c>
      <c r="I434" s="351">
        <f t="shared" si="36"/>
        <v>250000</v>
      </c>
      <c r="M434" s="321">
        <v>1611102540</v>
      </c>
      <c r="N434" s="321">
        <v>61</v>
      </c>
      <c r="O434" s="321" t="s">
        <v>5216</v>
      </c>
      <c r="P434" s="321">
        <v>1611102</v>
      </c>
      <c r="Q434" s="322">
        <v>2000</v>
      </c>
      <c r="R434" s="322">
        <v>800</v>
      </c>
      <c r="S434" s="322">
        <v>1500</v>
      </c>
      <c r="T434" s="322">
        <v>1500</v>
      </c>
      <c r="U434" s="322">
        <f t="shared" si="32"/>
        <v>0</v>
      </c>
      <c r="W434" s="321">
        <f t="shared" si="33"/>
        <v>540</v>
      </c>
      <c r="X434" s="321">
        <f t="shared" si="34"/>
        <v>611102</v>
      </c>
      <c r="Y434" s="321">
        <v>1</v>
      </c>
      <c r="AA434" s="321" t="s">
        <v>5216</v>
      </c>
    </row>
    <row r="435" spans="1:27">
      <c r="A435" s="376">
        <v>574</v>
      </c>
      <c r="B435" s="377">
        <v>616000</v>
      </c>
      <c r="C435" s="382" t="s">
        <v>6787</v>
      </c>
      <c r="D435" s="383">
        <v>209</v>
      </c>
      <c r="E435" s="380">
        <v>202</v>
      </c>
      <c r="F435" s="384">
        <v>202</v>
      </c>
      <c r="H435" s="351">
        <f t="shared" si="35"/>
        <v>209000</v>
      </c>
      <c r="I435" s="351">
        <f t="shared" si="36"/>
        <v>202000</v>
      </c>
      <c r="M435" s="321">
        <v>1611102542</v>
      </c>
      <c r="N435" s="321">
        <v>61</v>
      </c>
      <c r="O435" s="321" t="s">
        <v>5217</v>
      </c>
      <c r="P435" s="321">
        <v>1611102</v>
      </c>
      <c r="Q435" s="322">
        <v>9700</v>
      </c>
      <c r="R435" s="322">
        <v>1400</v>
      </c>
      <c r="S435" s="322">
        <v>6000</v>
      </c>
      <c r="T435" s="322">
        <v>6000</v>
      </c>
      <c r="U435" s="322">
        <f t="shared" si="32"/>
        <v>0</v>
      </c>
      <c r="W435" s="321">
        <f t="shared" si="33"/>
        <v>542</v>
      </c>
      <c r="X435" s="321">
        <f t="shared" si="34"/>
        <v>611102</v>
      </c>
      <c r="Y435" s="321">
        <v>1</v>
      </c>
      <c r="AA435" s="321" t="s">
        <v>5217</v>
      </c>
    </row>
    <row r="436" spans="1:27">
      <c r="A436" s="376">
        <v>750</v>
      </c>
      <c r="B436" s="377">
        <v>616000</v>
      </c>
      <c r="C436" s="382" t="s">
        <v>6788</v>
      </c>
      <c r="D436" s="379">
        <v>570</v>
      </c>
      <c r="E436" s="380">
        <v>541</v>
      </c>
      <c r="F436" s="380">
        <v>541</v>
      </c>
      <c r="H436" s="351">
        <f t="shared" si="35"/>
        <v>570000</v>
      </c>
      <c r="I436" s="351">
        <f t="shared" si="36"/>
        <v>541000</v>
      </c>
      <c r="M436" s="321">
        <v>1611102780</v>
      </c>
      <c r="N436" s="321">
        <v>61</v>
      </c>
      <c r="O436" s="321" t="s">
        <v>2709</v>
      </c>
      <c r="P436" s="321">
        <v>1611102</v>
      </c>
      <c r="Q436" s="322">
        <v>6000</v>
      </c>
      <c r="R436" s="322">
        <v>1600</v>
      </c>
      <c r="S436" s="322">
        <v>6000</v>
      </c>
      <c r="T436" s="322">
        <v>5000</v>
      </c>
      <c r="U436" s="322">
        <f t="shared" si="32"/>
        <v>1000</v>
      </c>
      <c r="W436" s="321">
        <f t="shared" si="33"/>
        <v>780</v>
      </c>
      <c r="X436" s="321">
        <f t="shared" si="34"/>
        <v>611102</v>
      </c>
      <c r="Y436" s="321">
        <v>1</v>
      </c>
      <c r="AA436" s="321" t="s">
        <v>2709</v>
      </c>
    </row>
    <row r="437" spans="1:27">
      <c r="A437" s="376">
        <v>930</v>
      </c>
      <c r="B437" s="377">
        <v>616000</v>
      </c>
      <c r="C437" s="382" t="s">
        <v>6789</v>
      </c>
      <c r="D437" s="383">
        <v>225</v>
      </c>
      <c r="E437" s="380">
        <v>200</v>
      </c>
      <c r="F437" s="384">
        <v>200</v>
      </c>
      <c r="H437" s="351">
        <f t="shared" si="35"/>
        <v>225000</v>
      </c>
      <c r="I437" s="351">
        <f t="shared" si="36"/>
        <v>200000</v>
      </c>
      <c r="M437" s="321">
        <v>1611103110</v>
      </c>
      <c r="N437" s="321">
        <v>61</v>
      </c>
      <c r="O437" s="321" t="s">
        <v>5205</v>
      </c>
      <c r="P437" s="321">
        <v>1611103</v>
      </c>
      <c r="Q437" s="322">
        <v>258000</v>
      </c>
      <c r="R437" s="322">
        <v>179800</v>
      </c>
      <c r="S437" s="322">
        <v>246000</v>
      </c>
      <c r="T437" s="322">
        <v>246000</v>
      </c>
      <c r="U437" s="322">
        <f t="shared" si="32"/>
        <v>0</v>
      </c>
      <c r="W437" s="321">
        <f t="shared" si="33"/>
        <v>110</v>
      </c>
      <c r="X437" s="321">
        <f t="shared" si="34"/>
        <v>611103</v>
      </c>
      <c r="Y437" s="321">
        <v>1</v>
      </c>
      <c r="AA437" s="321" t="s">
        <v>5205</v>
      </c>
    </row>
    <row r="438" spans="1:27">
      <c r="A438" s="376">
        <v>960</v>
      </c>
      <c r="B438" s="377">
        <v>616000</v>
      </c>
      <c r="C438" s="382" t="s">
        <v>6790</v>
      </c>
      <c r="D438" s="379">
        <v>100</v>
      </c>
      <c r="E438" s="380">
        <v>100</v>
      </c>
      <c r="F438" s="380">
        <v>100</v>
      </c>
      <c r="H438" s="351">
        <f t="shared" si="35"/>
        <v>100000</v>
      </c>
      <c r="I438" s="351">
        <f t="shared" si="36"/>
        <v>100000</v>
      </c>
      <c r="M438" s="321">
        <v>1611103120</v>
      </c>
      <c r="N438" s="321">
        <v>61</v>
      </c>
      <c r="O438" s="321" t="s">
        <v>5206</v>
      </c>
      <c r="P438" s="321">
        <v>1611103</v>
      </c>
      <c r="Q438" s="322">
        <v>48000</v>
      </c>
      <c r="R438" s="322">
        <v>37500</v>
      </c>
      <c r="S438" s="322">
        <v>47000</v>
      </c>
      <c r="T438" s="322">
        <v>47000</v>
      </c>
      <c r="U438" s="322">
        <f t="shared" si="32"/>
        <v>0</v>
      </c>
      <c r="W438" s="321">
        <f t="shared" si="33"/>
        <v>120</v>
      </c>
      <c r="X438" s="321">
        <f t="shared" si="34"/>
        <v>611103</v>
      </c>
      <c r="Y438" s="321">
        <v>1</v>
      </c>
      <c r="AA438" s="321" t="s">
        <v>5206</v>
      </c>
    </row>
    <row r="439" spans="1:27">
      <c r="A439" s="376">
        <v>100</v>
      </c>
      <c r="B439" s="377">
        <v>617000</v>
      </c>
      <c r="C439" s="382" t="s">
        <v>6747</v>
      </c>
      <c r="D439" s="379">
        <v>2139</v>
      </c>
      <c r="E439" s="380">
        <v>2100</v>
      </c>
      <c r="F439" s="380">
        <v>2150</v>
      </c>
      <c r="H439" s="351">
        <f t="shared" si="35"/>
        <v>2139000</v>
      </c>
      <c r="I439" s="351">
        <f t="shared" si="36"/>
        <v>2150000</v>
      </c>
      <c r="M439" s="321">
        <v>1611103140</v>
      </c>
      <c r="N439" s="321">
        <v>61</v>
      </c>
      <c r="O439" s="321" t="s">
        <v>5207</v>
      </c>
      <c r="P439" s="321">
        <v>1611103</v>
      </c>
      <c r="Q439" s="322">
        <v>46000</v>
      </c>
      <c r="R439" s="322">
        <v>34600</v>
      </c>
      <c r="S439" s="322">
        <v>43000</v>
      </c>
      <c r="T439" s="322">
        <v>43000</v>
      </c>
      <c r="U439" s="322">
        <f t="shared" si="32"/>
        <v>0</v>
      </c>
      <c r="W439" s="321">
        <f t="shared" si="33"/>
        <v>140</v>
      </c>
      <c r="X439" s="321">
        <f t="shared" si="34"/>
        <v>611103</v>
      </c>
      <c r="Y439" s="321">
        <v>1</v>
      </c>
      <c r="AA439" s="321" t="s">
        <v>5207</v>
      </c>
    </row>
    <row r="440" spans="1:27">
      <c r="A440" s="376">
        <v>410</v>
      </c>
      <c r="B440" s="377">
        <v>617000</v>
      </c>
      <c r="C440" s="382" t="s">
        <v>6748</v>
      </c>
      <c r="D440" s="379">
        <v>250</v>
      </c>
      <c r="E440" s="380">
        <v>120</v>
      </c>
      <c r="F440" s="380">
        <v>125</v>
      </c>
      <c r="H440" s="351">
        <f t="shared" si="35"/>
        <v>250000</v>
      </c>
      <c r="I440" s="351">
        <f t="shared" si="36"/>
        <v>125000</v>
      </c>
      <c r="M440" s="321">
        <v>1611103141</v>
      </c>
      <c r="N440" s="321">
        <v>61</v>
      </c>
      <c r="O440" s="321" t="s">
        <v>5208</v>
      </c>
      <c r="P440" s="321">
        <v>1611103</v>
      </c>
      <c r="Q440" s="322">
        <v>10000</v>
      </c>
      <c r="R440" s="322">
        <v>7500</v>
      </c>
      <c r="S440" s="322">
        <v>11000</v>
      </c>
      <c r="T440" s="322">
        <v>11000</v>
      </c>
      <c r="U440" s="322">
        <f t="shared" si="32"/>
        <v>0</v>
      </c>
      <c r="W440" s="321">
        <f t="shared" si="33"/>
        <v>141</v>
      </c>
      <c r="X440" s="321">
        <f t="shared" si="34"/>
        <v>611103</v>
      </c>
      <c r="Y440" s="321">
        <v>1</v>
      </c>
      <c r="AA440" s="321" t="s">
        <v>5208</v>
      </c>
    </row>
    <row r="441" spans="1:27">
      <c r="A441" s="376">
        <v>522</v>
      </c>
      <c r="B441" s="377">
        <v>617000</v>
      </c>
      <c r="C441" s="382" t="s">
        <v>6771</v>
      </c>
      <c r="D441" s="379">
        <v>20</v>
      </c>
      <c r="E441" s="380">
        <v>20</v>
      </c>
      <c r="F441" s="380">
        <v>20</v>
      </c>
      <c r="H441" s="351">
        <f t="shared" si="35"/>
        <v>20000</v>
      </c>
      <c r="I441" s="351">
        <f t="shared" si="36"/>
        <v>20000</v>
      </c>
      <c r="M441" s="321">
        <v>1611103181</v>
      </c>
      <c r="N441" s="321">
        <v>61</v>
      </c>
      <c r="O441" s="321" t="s">
        <v>2580</v>
      </c>
      <c r="P441" s="321">
        <v>1611103</v>
      </c>
      <c r="Q441" s="322">
        <v>53000</v>
      </c>
      <c r="R441" s="322">
        <v>37200</v>
      </c>
      <c r="S441" s="322">
        <v>51000</v>
      </c>
      <c r="T441" s="322">
        <v>51000</v>
      </c>
      <c r="U441" s="322">
        <f t="shared" si="32"/>
        <v>0</v>
      </c>
      <c r="W441" s="321">
        <f t="shared" si="33"/>
        <v>181</v>
      </c>
      <c r="X441" s="321">
        <f t="shared" si="34"/>
        <v>611103</v>
      </c>
      <c r="Y441" s="321">
        <v>1</v>
      </c>
      <c r="AA441" s="321" t="s">
        <v>2580</v>
      </c>
    </row>
    <row r="442" spans="1:27">
      <c r="A442" s="376">
        <v>530</v>
      </c>
      <c r="B442" s="377">
        <v>617000</v>
      </c>
      <c r="C442" s="382" t="s">
        <v>6791</v>
      </c>
      <c r="D442" s="379">
        <v>72</v>
      </c>
      <c r="E442" s="380">
        <v>60</v>
      </c>
      <c r="F442" s="380">
        <v>61</v>
      </c>
      <c r="H442" s="351">
        <f t="shared" si="35"/>
        <v>72000</v>
      </c>
      <c r="I442" s="351">
        <f t="shared" si="36"/>
        <v>61000</v>
      </c>
      <c r="M442" s="321">
        <v>1611103182</v>
      </c>
      <c r="N442" s="321">
        <v>61</v>
      </c>
      <c r="O442" s="321" t="s">
        <v>2582</v>
      </c>
      <c r="P442" s="321">
        <v>1611103</v>
      </c>
      <c r="Q442" s="322">
        <v>50000</v>
      </c>
      <c r="R442" s="322">
        <v>34800</v>
      </c>
      <c r="S442" s="322">
        <v>47000</v>
      </c>
      <c r="T442" s="322">
        <v>47000</v>
      </c>
      <c r="U442" s="322">
        <f t="shared" si="32"/>
        <v>0</v>
      </c>
      <c r="W442" s="321">
        <f t="shared" si="33"/>
        <v>182</v>
      </c>
      <c r="X442" s="321">
        <f t="shared" si="34"/>
        <v>611103</v>
      </c>
      <c r="Y442" s="321">
        <v>1</v>
      </c>
      <c r="AA442" s="321" t="s">
        <v>2582</v>
      </c>
    </row>
    <row r="443" spans="1:27">
      <c r="A443" s="376">
        <v>540</v>
      </c>
      <c r="B443" s="377">
        <v>617000</v>
      </c>
      <c r="C443" s="382" t="s">
        <v>6750</v>
      </c>
      <c r="D443" s="379">
        <v>17</v>
      </c>
      <c r="E443" s="380">
        <v>15</v>
      </c>
      <c r="F443" s="380">
        <v>13</v>
      </c>
      <c r="H443" s="351">
        <f t="shared" si="35"/>
        <v>17000</v>
      </c>
      <c r="I443" s="351">
        <f t="shared" si="36"/>
        <v>13000</v>
      </c>
      <c r="M443" s="321">
        <v>1611103210</v>
      </c>
      <c r="N443" s="321">
        <v>61</v>
      </c>
      <c r="O443" s="321" t="s">
        <v>5221</v>
      </c>
      <c r="P443" s="321">
        <v>1611103</v>
      </c>
      <c r="Q443" s="322">
        <v>0</v>
      </c>
      <c r="R443" s="322">
        <v>0</v>
      </c>
      <c r="S443" s="322">
        <v>0</v>
      </c>
      <c r="T443" s="322">
        <v>0</v>
      </c>
      <c r="U443" s="322">
        <f t="shared" si="32"/>
        <v>0</v>
      </c>
      <c r="W443" s="321">
        <f t="shared" si="33"/>
        <v>210</v>
      </c>
      <c r="X443" s="321">
        <f t="shared" si="34"/>
        <v>611103</v>
      </c>
      <c r="Y443" s="321">
        <v>1</v>
      </c>
      <c r="AA443" s="321" t="s">
        <v>5221</v>
      </c>
    </row>
    <row r="444" spans="1:27">
      <c r="A444" s="376">
        <v>560</v>
      </c>
      <c r="B444" s="377">
        <v>617000</v>
      </c>
      <c r="C444" s="382" t="s">
        <v>6792</v>
      </c>
      <c r="D444" s="379">
        <v>20</v>
      </c>
      <c r="E444" s="380">
        <v>30</v>
      </c>
      <c r="F444" s="380">
        <v>50</v>
      </c>
      <c r="H444" s="351">
        <f t="shared" si="35"/>
        <v>20000</v>
      </c>
      <c r="I444" s="351">
        <f t="shared" si="36"/>
        <v>50000</v>
      </c>
      <c r="M444" s="321">
        <v>1611103470</v>
      </c>
      <c r="N444" s="321">
        <v>61</v>
      </c>
      <c r="O444" s="321" t="s">
        <v>2830</v>
      </c>
      <c r="P444" s="321">
        <v>1611103</v>
      </c>
      <c r="Q444" s="322">
        <v>4300</v>
      </c>
      <c r="R444" s="322">
        <v>300</v>
      </c>
      <c r="S444" s="322">
        <v>4300</v>
      </c>
      <c r="T444" s="322">
        <v>4300</v>
      </c>
      <c r="U444" s="322">
        <f t="shared" si="32"/>
        <v>0</v>
      </c>
      <c r="W444" s="321">
        <f t="shared" si="33"/>
        <v>470</v>
      </c>
      <c r="X444" s="321">
        <f t="shared" si="34"/>
        <v>611103</v>
      </c>
      <c r="Y444" s="321">
        <v>1</v>
      </c>
      <c r="AA444" s="321" t="s">
        <v>2830</v>
      </c>
    </row>
    <row r="445" spans="1:27">
      <c r="A445" s="376">
        <v>570</v>
      </c>
      <c r="B445" s="377">
        <v>617000</v>
      </c>
      <c r="C445" s="382" t="s">
        <v>6793</v>
      </c>
      <c r="D445" s="379">
        <v>4</v>
      </c>
      <c r="E445" s="380">
        <v>4</v>
      </c>
      <c r="F445" s="380">
        <v>4</v>
      </c>
      <c r="H445" s="351">
        <f t="shared" si="35"/>
        <v>4000</v>
      </c>
      <c r="I445" s="351">
        <f t="shared" si="36"/>
        <v>4000</v>
      </c>
      <c r="M445" s="321">
        <v>1611103510</v>
      </c>
      <c r="N445" s="321">
        <v>61</v>
      </c>
      <c r="O445" s="321" t="s">
        <v>5213</v>
      </c>
      <c r="P445" s="321">
        <v>1611103</v>
      </c>
      <c r="Q445" s="322">
        <v>2000</v>
      </c>
      <c r="R445" s="322">
        <v>400</v>
      </c>
      <c r="S445" s="322">
        <v>2000</v>
      </c>
      <c r="T445" s="322">
        <v>2000</v>
      </c>
      <c r="U445" s="322">
        <f t="shared" si="32"/>
        <v>0</v>
      </c>
      <c r="W445" s="321">
        <f t="shared" si="33"/>
        <v>510</v>
      </c>
      <c r="X445" s="321">
        <f t="shared" si="34"/>
        <v>611103</v>
      </c>
      <c r="Y445" s="321">
        <v>1</v>
      </c>
      <c r="AA445" s="321" t="s">
        <v>5213</v>
      </c>
    </row>
    <row r="446" spans="1:27">
      <c r="A446" s="376">
        <v>581</v>
      </c>
      <c r="B446" s="377">
        <v>617000</v>
      </c>
      <c r="C446" s="382" t="s">
        <v>6794</v>
      </c>
      <c r="D446" s="379">
        <v>200</v>
      </c>
      <c r="E446" s="380">
        <v>250</v>
      </c>
      <c r="F446" s="380">
        <v>250</v>
      </c>
      <c r="H446" s="351">
        <f t="shared" si="35"/>
        <v>200000</v>
      </c>
      <c r="I446" s="351">
        <f t="shared" si="36"/>
        <v>250000</v>
      </c>
      <c r="M446" s="321">
        <v>1611103514</v>
      </c>
      <c r="N446" s="321">
        <v>61</v>
      </c>
      <c r="O446" s="321" t="s">
        <v>2626</v>
      </c>
      <c r="P446" s="321">
        <v>1611103</v>
      </c>
      <c r="Q446" s="322">
        <v>5100</v>
      </c>
      <c r="R446" s="322">
        <v>0</v>
      </c>
      <c r="S446" s="322">
        <v>5100</v>
      </c>
      <c r="T446" s="322">
        <v>5100</v>
      </c>
      <c r="U446" s="322">
        <f t="shared" si="32"/>
        <v>0</v>
      </c>
      <c r="W446" s="321">
        <f t="shared" si="33"/>
        <v>514</v>
      </c>
      <c r="X446" s="321">
        <f t="shared" si="34"/>
        <v>611103</v>
      </c>
      <c r="Y446" s="321">
        <v>1</v>
      </c>
      <c r="AA446" s="321" t="s">
        <v>2626</v>
      </c>
    </row>
    <row r="447" spans="1:27">
      <c r="A447" s="376">
        <v>742</v>
      </c>
      <c r="B447" s="377">
        <v>617000</v>
      </c>
      <c r="C447" s="382" t="s">
        <v>6740</v>
      </c>
      <c r="D447" s="379">
        <v>3</v>
      </c>
      <c r="E447" s="380">
        <v>2</v>
      </c>
      <c r="F447" s="380">
        <v>3</v>
      </c>
      <c r="H447" s="351">
        <f t="shared" si="35"/>
        <v>3000</v>
      </c>
      <c r="I447" s="351">
        <f t="shared" si="36"/>
        <v>3000</v>
      </c>
      <c r="M447" s="321">
        <v>1611103522</v>
      </c>
      <c r="N447" s="321">
        <v>61</v>
      </c>
      <c r="O447" s="321" t="s">
        <v>5214</v>
      </c>
      <c r="P447" s="321">
        <v>1611103</v>
      </c>
      <c r="Q447" s="322">
        <v>4000</v>
      </c>
      <c r="R447" s="322">
        <v>1400</v>
      </c>
      <c r="S447" s="322">
        <v>4000</v>
      </c>
      <c r="T447" s="322">
        <v>4000</v>
      </c>
      <c r="U447" s="322">
        <f t="shared" si="32"/>
        <v>0</v>
      </c>
      <c r="W447" s="321">
        <f t="shared" si="33"/>
        <v>522</v>
      </c>
      <c r="X447" s="321">
        <f t="shared" si="34"/>
        <v>611103</v>
      </c>
      <c r="Y447" s="321">
        <v>1</v>
      </c>
      <c r="AA447" s="321" t="s">
        <v>5214</v>
      </c>
    </row>
    <row r="448" spans="1:27">
      <c r="A448" s="376">
        <v>750</v>
      </c>
      <c r="B448" s="377">
        <v>617000</v>
      </c>
      <c r="C448" s="382" t="s">
        <v>6795</v>
      </c>
      <c r="D448" s="379">
        <v>2600</v>
      </c>
      <c r="E448" s="380">
        <v>2700</v>
      </c>
      <c r="F448" s="380">
        <v>2700</v>
      </c>
      <c r="H448" s="351">
        <f t="shared" si="35"/>
        <v>2600000</v>
      </c>
      <c r="I448" s="351">
        <f t="shared" si="36"/>
        <v>2700000</v>
      </c>
      <c r="M448" s="321">
        <v>1611103530</v>
      </c>
      <c r="N448" s="321">
        <v>61</v>
      </c>
      <c r="O448" s="321" t="s">
        <v>5222</v>
      </c>
      <c r="P448" s="321">
        <v>1611103</v>
      </c>
      <c r="Q448" s="322">
        <v>0</v>
      </c>
      <c r="R448" s="322">
        <v>0</v>
      </c>
      <c r="S448" s="322">
        <v>0</v>
      </c>
      <c r="T448" s="322">
        <v>0</v>
      </c>
      <c r="U448" s="322">
        <f t="shared" si="32"/>
        <v>0</v>
      </c>
      <c r="W448" s="321">
        <f t="shared" si="33"/>
        <v>530</v>
      </c>
      <c r="X448" s="321">
        <f t="shared" si="34"/>
        <v>611103</v>
      </c>
      <c r="Y448" s="321">
        <v>1</v>
      </c>
      <c r="AA448" s="321" t="s">
        <v>5222</v>
      </c>
    </row>
    <row r="449" spans="1:27">
      <c r="A449" s="376">
        <v>751</v>
      </c>
      <c r="B449" s="377">
        <v>617000</v>
      </c>
      <c r="C449" s="382" t="s">
        <v>6796</v>
      </c>
      <c r="D449" s="379">
        <v>10</v>
      </c>
      <c r="E449" s="380">
        <v>10</v>
      </c>
      <c r="F449" s="380">
        <v>10</v>
      </c>
      <c r="H449" s="351">
        <f t="shared" si="35"/>
        <v>10000</v>
      </c>
      <c r="I449" s="351">
        <f t="shared" si="36"/>
        <v>10000</v>
      </c>
      <c r="M449" s="321">
        <v>1611103540</v>
      </c>
      <c r="N449" s="321">
        <v>61</v>
      </c>
      <c r="O449" s="321" t="s">
        <v>5216</v>
      </c>
      <c r="P449" s="321">
        <v>1611103</v>
      </c>
      <c r="Q449" s="322">
        <v>2000</v>
      </c>
      <c r="R449" s="322">
        <v>500</v>
      </c>
      <c r="S449" s="322">
        <v>1500</v>
      </c>
      <c r="T449" s="322">
        <v>1500</v>
      </c>
      <c r="U449" s="322">
        <f t="shared" si="32"/>
        <v>0</v>
      </c>
      <c r="W449" s="321">
        <f t="shared" si="33"/>
        <v>540</v>
      </c>
      <c r="X449" s="321">
        <f t="shared" si="34"/>
        <v>611103</v>
      </c>
      <c r="Y449" s="321">
        <v>1</v>
      </c>
      <c r="AA449" s="321" t="s">
        <v>5216</v>
      </c>
    </row>
    <row r="450" spans="1:27">
      <c r="A450" s="376">
        <v>755</v>
      </c>
      <c r="B450" s="377">
        <v>617000</v>
      </c>
      <c r="C450" s="382" t="s">
        <v>6777</v>
      </c>
      <c r="D450" s="379">
        <v>0</v>
      </c>
      <c r="E450" s="380">
        <v>0</v>
      </c>
      <c r="F450" s="380">
        <v>0</v>
      </c>
      <c r="H450" s="351">
        <f t="shared" si="35"/>
        <v>0</v>
      </c>
      <c r="I450" s="351">
        <f t="shared" si="36"/>
        <v>0</v>
      </c>
      <c r="M450" s="321">
        <v>1611103542</v>
      </c>
      <c r="N450" s="321">
        <v>61</v>
      </c>
      <c r="O450" s="321" t="s">
        <v>5217</v>
      </c>
      <c r="P450" s="321">
        <v>1611103</v>
      </c>
      <c r="Q450" s="322">
        <v>9900</v>
      </c>
      <c r="R450" s="322">
        <v>1900</v>
      </c>
      <c r="S450" s="322">
        <v>10000</v>
      </c>
      <c r="T450" s="322">
        <v>10000</v>
      </c>
      <c r="U450" s="322">
        <f t="shared" ref="U450:U513" si="37">S450-T450</f>
        <v>0</v>
      </c>
      <c r="W450" s="321">
        <f t="shared" si="33"/>
        <v>542</v>
      </c>
      <c r="X450" s="321">
        <f t="shared" si="34"/>
        <v>611103</v>
      </c>
      <c r="Y450" s="321">
        <v>1</v>
      </c>
      <c r="AA450" s="321" t="s">
        <v>5217</v>
      </c>
    </row>
    <row r="451" spans="1:27">
      <c r="A451" s="376">
        <v>930</v>
      </c>
      <c r="B451" s="377">
        <v>617000</v>
      </c>
      <c r="C451" s="382" t="s">
        <v>164</v>
      </c>
      <c r="D451" s="379">
        <v>10</v>
      </c>
      <c r="E451" s="380">
        <v>20</v>
      </c>
      <c r="F451" s="380">
        <v>20</v>
      </c>
      <c r="H451" s="351">
        <f t="shared" si="35"/>
        <v>10000</v>
      </c>
      <c r="I451" s="351">
        <f t="shared" si="36"/>
        <v>20000</v>
      </c>
      <c r="M451" s="321">
        <v>1611103780</v>
      </c>
      <c r="N451" s="321">
        <v>61</v>
      </c>
      <c r="O451" s="321" t="s">
        <v>2709</v>
      </c>
      <c r="P451" s="321">
        <v>1611103</v>
      </c>
      <c r="Q451" s="322">
        <v>6000</v>
      </c>
      <c r="R451" s="322">
        <v>600</v>
      </c>
      <c r="S451" s="322">
        <v>6000</v>
      </c>
      <c r="T451" s="322">
        <v>5000</v>
      </c>
      <c r="U451" s="322">
        <f t="shared" si="37"/>
        <v>1000</v>
      </c>
      <c r="W451" s="321">
        <f t="shared" ref="W451:W514" si="38">M451-1000000000-X451*1000</f>
        <v>780</v>
      </c>
      <c r="X451" s="321">
        <f t="shared" ref="X451:X514" si="39">ROUNDDOWN((M451-1000000000)/1000,0)</f>
        <v>611103</v>
      </c>
      <c r="Y451" s="321">
        <v>1</v>
      </c>
      <c r="AA451" s="321" t="s">
        <v>2709</v>
      </c>
    </row>
    <row r="452" spans="1:27">
      <c r="A452" s="376">
        <v>100</v>
      </c>
      <c r="B452" s="377">
        <v>621000</v>
      </c>
      <c r="C452" s="382" t="s">
        <v>6711</v>
      </c>
      <c r="D452" s="379">
        <f>6000+50</f>
        <v>6050</v>
      </c>
      <c r="E452" s="380">
        <v>5800</v>
      </c>
      <c r="F452" s="380">
        <v>6030</v>
      </c>
      <c r="H452" s="351">
        <f t="shared" si="35"/>
        <v>6050000</v>
      </c>
      <c r="I452" s="351">
        <f t="shared" si="36"/>
        <v>6030000</v>
      </c>
      <c r="M452" s="321">
        <v>1611104110</v>
      </c>
      <c r="N452" s="321">
        <v>61</v>
      </c>
      <c r="O452" s="321" t="s">
        <v>5205</v>
      </c>
      <c r="P452" s="321">
        <v>1611104</v>
      </c>
      <c r="Q452" s="322">
        <v>236000</v>
      </c>
      <c r="R452" s="322">
        <v>151500</v>
      </c>
      <c r="S452" s="322">
        <v>243000</v>
      </c>
      <c r="T452" s="322">
        <v>243000</v>
      </c>
      <c r="U452" s="322">
        <f t="shared" si="37"/>
        <v>0</v>
      </c>
      <c r="W452" s="321">
        <f t="shared" si="38"/>
        <v>110</v>
      </c>
      <c r="X452" s="321">
        <f t="shared" si="39"/>
        <v>611104</v>
      </c>
      <c r="Y452" s="321">
        <v>1</v>
      </c>
      <c r="AA452" s="321" t="s">
        <v>5205</v>
      </c>
    </row>
    <row r="453" spans="1:27">
      <c r="A453" s="376">
        <v>429</v>
      </c>
      <c r="B453" s="377">
        <v>621000</v>
      </c>
      <c r="C453" s="382" t="s">
        <v>6797</v>
      </c>
      <c r="D453" s="379">
        <v>165</v>
      </c>
      <c r="E453" s="380">
        <v>156</v>
      </c>
      <c r="F453" s="380">
        <v>160</v>
      </c>
      <c r="H453" s="351">
        <f t="shared" si="35"/>
        <v>165000</v>
      </c>
      <c r="I453" s="351">
        <f t="shared" si="36"/>
        <v>160000</v>
      </c>
      <c r="M453" s="321">
        <v>1611104120</v>
      </c>
      <c r="N453" s="321">
        <v>61</v>
      </c>
      <c r="O453" s="321" t="s">
        <v>5206</v>
      </c>
      <c r="P453" s="321">
        <v>1611104</v>
      </c>
      <c r="Q453" s="322">
        <v>12000</v>
      </c>
      <c r="R453" s="322">
        <v>17800</v>
      </c>
      <c r="S453" s="322">
        <v>19000</v>
      </c>
      <c r="T453" s="322">
        <v>19000</v>
      </c>
      <c r="U453" s="322">
        <f t="shared" si="37"/>
        <v>0</v>
      </c>
      <c r="W453" s="321">
        <f t="shared" si="38"/>
        <v>120</v>
      </c>
      <c r="X453" s="321">
        <f t="shared" si="39"/>
        <v>611104</v>
      </c>
      <c r="Y453" s="321">
        <v>1</v>
      </c>
      <c r="AA453" s="321" t="s">
        <v>5206</v>
      </c>
    </row>
    <row r="454" spans="1:27">
      <c r="A454" s="376">
        <v>430</v>
      </c>
      <c r="B454" s="377">
        <v>621000</v>
      </c>
      <c r="C454" s="382" t="s">
        <v>6798</v>
      </c>
      <c r="D454" s="379">
        <v>55</v>
      </c>
      <c r="E454" s="380">
        <v>50</v>
      </c>
      <c r="F454" s="380">
        <v>60</v>
      </c>
      <c r="H454" s="351">
        <f t="shared" si="35"/>
        <v>55000</v>
      </c>
      <c r="I454" s="351">
        <f t="shared" si="36"/>
        <v>60000</v>
      </c>
      <c r="M454" s="321">
        <v>1611104130</v>
      </c>
      <c r="N454" s="321">
        <v>61</v>
      </c>
      <c r="O454" s="321" t="s">
        <v>2576</v>
      </c>
      <c r="P454" s="321">
        <v>1611104</v>
      </c>
      <c r="Q454" s="322">
        <v>1000</v>
      </c>
      <c r="R454" s="322">
        <v>0</v>
      </c>
      <c r="S454" s="322">
        <v>0</v>
      </c>
      <c r="T454" s="322">
        <v>0</v>
      </c>
      <c r="U454" s="322">
        <f t="shared" si="37"/>
        <v>0</v>
      </c>
      <c r="W454" s="321">
        <f t="shared" si="38"/>
        <v>130</v>
      </c>
      <c r="X454" s="321">
        <f t="shared" si="39"/>
        <v>611104</v>
      </c>
      <c r="Y454" s="321">
        <v>1</v>
      </c>
      <c r="AA454" s="321" t="s">
        <v>2576</v>
      </c>
    </row>
    <row r="455" spans="1:27">
      <c r="A455" s="376">
        <v>470</v>
      </c>
      <c r="B455" s="377">
        <v>621000</v>
      </c>
      <c r="C455" s="381" t="s">
        <v>6716</v>
      </c>
      <c r="D455" s="379">
        <v>80</v>
      </c>
      <c r="E455" s="380">
        <v>105</v>
      </c>
      <c r="F455" s="380">
        <v>105</v>
      </c>
      <c r="H455" s="351">
        <f t="shared" si="35"/>
        <v>80000</v>
      </c>
      <c r="I455" s="351">
        <f t="shared" si="36"/>
        <v>105000</v>
      </c>
      <c r="M455" s="321">
        <v>1611104140</v>
      </c>
      <c r="N455" s="321">
        <v>61</v>
      </c>
      <c r="O455" s="321" t="s">
        <v>5207</v>
      </c>
      <c r="P455" s="321">
        <v>1611104</v>
      </c>
      <c r="Q455" s="322">
        <v>28000</v>
      </c>
      <c r="R455" s="322">
        <v>20300</v>
      </c>
      <c r="S455" s="322">
        <v>24000</v>
      </c>
      <c r="T455" s="322">
        <v>24000</v>
      </c>
      <c r="U455" s="322">
        <f t="shared" si="37"/>
        <v>0</v>
      </c>
      <c r="W455" s="321">
        <f t="shared" si="38"/>
        <v>140</v>
      </c>
      <c r="X455" s="321">
        <f t="shared" si="39"/>
        <v>611104</v>
      </c>
      <c r="Y455" s="321">
        <v>1</v>
      </c>
      <c r="AA455" s="321" t="s">
        <v>5207</v>
      </c>
    </row>
    <row r="456" spans="1:27">
      <c r="A456" s="376">
        <v>522</v>
      </c>
      <c r="B456" s="377">
        <v>621000</v>
      </c>
      <c r="C456" s="382" t="s">
        <v>6749</v>
      </c>
      <c r="D456" s="379">
        <v>9</v>
      </c>
      <c r="E456" s="380">
        <v>9</v>
      </c>
      <c r="F456" s="380">
        <v>9</v>
      </c>
      <c r="H456" s="351">
        <f t="shared" si="35"/>
        <v>9000</v>
      </c>
      <c r="I456" s="351">
        <f t="shared" si="36"/>
        <v>9000</v>
      </c>
      <c r="M456" s="321">
        <v>1611104141</v>
      </c>
      <c r="N456" s="321">
        <v>61</v>
      </c>
      <c r="O456" s="321" t="s">
        <v>5208</v>
      </c>
      <c r="P456" s="321">
        <v>1611104</v>
      </c>
      <c r="Q456" s="322">
        <v>17000</v>
      </c>
      <c r="R456" s="322">
        <v>8200</v>
      </c>
      <c r="S456" s="322">
        <v>14000</v>
      </c>
      <c r="T456" s="322">
        <v>14000</v>
      </c>
      <c r="U456" s="322">
        <f t="shared" si="37"/>
        <v>0</v>
      </c>
      <c r="W456" s="321">
        <f t="shared" si="38"/>
        <v>141</v>
      </c>
      <c r="X456" s="321">
        <f t="shared" si="39"/>
        <v>611104</v>
      </c>
      <c r="Y456" s="321">
        <v>1</v>
      </c>
      <c r="AA456" s="321" t="s">
        <v>5208</v>
      </c>
    </row>
    <row r="457" spans="1:27">
      <c r="A457" s="376">
        <v>530</v>
      </c>
      <c r="B457" s="377">
        <v>621000</v>
      </c>
      <c r="C457" s="381" t="s">
        <v>6799</v>
      </c>
      <c r="D457" s="379">
        <v>69</v>
      </c>
      <c r="E457" s="380">
        <v>61</v>
      </c>
      <c r="F457" s="380">
        <v>61</v>
      </c>
      <c r="H457" s="351">
        <f t="shared" si="35"/>
        <v>69000</v>
      </c>
      <c r="I457" s="351">
        <f t="shared" si="36"/>
        <v>61000</v>
      </c>
      <c r="M457" s="321">
        <v>1611104181</v>
      </c>
      <c r="N457" s="321">
        <v>61</v>
      </c>
      <c r="O457" s="321" t="s">
        <v>2580</v>
      </c>
      <c r="P457" s="321">
        <v>1611104</v>
      </c>
      <c r="Q457" s="322">
        <v>55000</v>
      </c>
      <c r="R457" s="322">
        <v>48400</v>
      </c>
      <c r="S457" s="322">
        <v>67000</v>
      </c>
      <c r="T457" s="322">
        <v>67000</v>
      </c>
      <c r="U457" s="322">
        <f t="shared" si="37"/>
        <v>0</v>
      </c>
      <c r="W457" s="321">
        <f t="shared" si="38"/>
        <v>181</v>
      </c>
      <c r="X457" s="321">
        <f t="shared" si="39"/>
        <v>611104</v>
      </c>
      <c r="Y457" s="321">
        <v>1</v>
      </c>
      <c r="AA457" s="321" t="s">
        <v>2580</v>
      </c>
    </row>
    <row r="458" spans="1:27">
      <c r="A458" s="376">
        <v>540</v>
      </c>
      <c r="B458" s="377">
        <v>621000</v>
      </c>
      <c r="C458" s="382" t="s">
        <v>6800</v>
      </c>
      <c r="D458" s="379">
        <v>25</v>
      </c>
      <c r="E458" s="380">
        <v>25</v>
      </c>
      <c r="F458" s="380">
        <v>25</v>
      </c>
      <c r="H458" s="351">
        <f t="shared" si="35"/>
        <v>25000</v>
      </c>
      <c r="I458" s="351">
        <f t="shared" si="36"/>
        <v>25000</v>
      </c>
      <c r="M458" s="321">
        <v>1611104182</v>
      </c>
      <c r="N458" s="321">
        <v>61</v>
      </c>
      <c r="O458" s="321" t="s">
        <v>2582</v>
      </c>
      <c r="P458" s="321">
        <v>1611104</v>
      </c>
      <c r="Q458" s="322">
        <v>38000</v>
      </c>
      <c r="R458" s="322">
        <v>27100</v>
      </c>
      <c r="S458" s="322">
        <v>42000</v>
      </c>
      <c r="T458" s="322">
        <v>42000</v>
      </c>
      <c r="U458" s="322">
        <f t="shared" si="37"/>
        <v>0</v>
      </c>
      <c r="W458" s="321">
        <f t="shared" si="38"/>
        <v>182</v>
      </c>
      <c r="X458" s="321">
        <f t="shared" si="39"/>
        <v>611104</v>
      </c>
      <c r="Y458" s="321">
        <v>1</v>
      </c>
      <c r="AA458" s="321" t="s">
        <v>2582</v>
      </c>
    </row>
    <row r="459" spans="1:27">
      <c r="A459" s="376">
        <v>550</v>
      </c>
      <c r="B459" s="377">
        <v>621000</v>
      </c>
      <c r="C459" s="381" t="s">
        <v>6801</v>
      </c>
      <c r="D459" s="379">
        <v>20</v>
      </c>
      <c r="E459" s="380">
        <v>30</v>
      </c>
      <c r="F459" s="380">
        <v>30</v>
      </c>
      <c r="H459" s="351">
        <f t="shared" si="35"/>
        <v>20000</v>
      </c>
      <c r="I459" s="351">
        <f t="shared" si="36"/>
        <v>30000</v>
      </c>
      <c r="M459" s="321">
        <v>1611104470</v>
      </c>
      <c r="N459" s="321">
        <v>61</v>
      </c>
      <c r="O459" s="321" t="s">
        <v>2830</v>
      </c>
      <c r="P459" s="321">
        <v>1611104</v>
      </c>
      <c r="Q459" s="322">
        <v>4300</v>
      </c>
      <c r="R459" s="322">
        <v>3700</v>
      </c>
      <c r="S459" s="322">
        <v>4300</v>
      </c>
      <c r="T459" s="322">
        <v>4300</v>
      </c>
      <c r="U459" s="322">
        <f t="shared" si="37"/>
        <v>0</v>
      </c>
      <c r="W459" s="321">
        <f t="shared" si="38"/>
        <v>470</v>
      </c>
      <c r="X459" s="321">
        <f t="shared" si="39"/>
        <v>611104</v>
      </c>
      <c r="Y459" s="321">
        <v>1</v>
      </c>
      <c r="AA459" s="321" t="s">
        <v>2830</v>
      </c>
    </row>
    <row r="460" spans="1:27">
      <c r="A460" s="376">
        <v>570</v>
      </c>
      <c r="B460" s="377">
        <v>621000</v>
      </c>
      <c r="C460" s="382" t="s">
        <v>6802</v>
      </c>
      <c r="D460" s="379">
        <v>125</v>
      </c>
      <c r="E460" s="380">
        <v>128</v>
      </c>
      <c r="F460" s="380">
        <v>128</v>
      </c>
      <c r="H460" s="351">
        <f t="shared" si="35"/>
        <v>125000</v>
      </c>
      <c r="I460" s="351">
        <f t="shared" si="36"/>
        <v>128000</v>
      </c>
      <c r="M460" s="321">
        <v>1611104471</v>
      </c>
      <c r="N460" s="321">
        <v>61</v>
      </c>
      <c r="O460" s="321" t="s">
        <v>5223</v>
      </c>
      <c r="P460" s="321">
        <v>1611104</v>
      </c>
      <c r="Q460" s="322">
        <v>1200</v>
      </c>
      <c r="R460" s="322">
        <v>1200</v>
      </c>
      <c r="S460" s="322">
        <v>1300</v>
      </c>
      <c r="T460" s="322">
        <v>1300</v>
      </c>
      <c r="U460" s="322">
        <f t="shared" si="37"/>
        <v>0</v>
      </c>
      <c r="W460" s="321">
        <f t="shared" si="38"/>
        <v>471</v>
      </c>
      <c r="X460" s="321">
        <f t="shared" si="39"/>
        <v>611104</v>
      </c>
      <c r="Y460" s="321">
        <v>1</v>
      </c>
      <c r="AA460" s="321" t="s">
        <v>5223</v>
      </c>
    </row>
    <row r="461" spans="1:27">
      <c r="A461" s="376">
        <v>571</v>
      </c>
      <c r="B461" s="377">
        <v>621000</v>
      </c>
      <c r="C461" s="382" t="s">
        <v>6803</v>
      </c>
      <c r="D461" s="379">
        <v>351</v>
      </c>
      <c r="E461" s="380">
        <v>351</v>
      </c>
      <c r="F461" s="380">
        <v>351</v>
      </c>
      <c r="H461" s="351">
        <f t="shared" si="35"/>
        <v>351000</v>
      </c>
      <c r="I461" s="351">
        <f t="shared" si="36"/>
        <v>351000</v>
      </c>
      <c r="M461" s="321">
        <v>1611104510</v>
      </c>
      <c r="N461" s="321">
        <v>61</v>
      </c>
      <c r="O461" s="321" t="s">
        <v>5213</v>
      </c>
      <c r="P461" s="321">
        <v>1611104</v>
      </c>
      <c r="Q461" s="322">
        <v>2000</v>
      </c>
      <c r="R461" s="322">
        <v>500</v>
      </c>
      <c r="S461" s="322">
        <v>2000</v>
      </c>
      <c r="T461" s="322">
        <v>2000</v>
      </c>
      <c r="U461" s="322">
        <f t="shared" si="37"/>
        <v>0</v>
      </c>
      <c r="W461" s="321">
        <f t="shared" si="38"/>
        <v>510</v>
      </c>
      <c r="X461" s="321">
        <f t="shared" si="39"/>
        <v>611104</v>
      </c>
      <c r="Y461" s="321">
        <v>1</v>
      </c>
      <c r="AA461" s="321" t="s">
        <v>5213</v>
      </c>
    </row>
    <row r="462" spans="1:27">
      <c r="A462" s="376">
        <v>742</v>
      </c>
      <c r="B462" s="377">
        <v>621000</v>
      </c>
      <c r="C462" s="385" t="s">
        <v>6740</v>
      </c>
      <c r="D462" s="379">
        <v>5</v>
      </c>
      <c r="E462" s="380">
        <v>4</v>
      </c>
      <c r="F462" s="380">
        <v>5</v>
      </c>
      <c r="H462" s="351">
        <f t="shared" si="35"/>
        <v>5000</v>
      </c>
      <c r="I462" s="351">
        <f t="shared" si="36"/>
        <v>5000</v>
      </c>
      <c r="M462" s="321">
        <v>1611104514</v>
      </c>
      <c r="N462" s="321">
        <v>61</v>
      </c>
      <c r="O462" s="321" t="s">
        <v>2626</v>
      </c>
      <c r="P462" s="321">
        <v>1611104</v>
      </c>
      <c r="Q462" s="322">
        <v>5100</v>
      </c>
      <c r="R462" s="322">
        <v>0</v>
      </c>
      <c r="S462" s="322">
        <v>5100</v>
      </c>
      <c r="T462" s="322">
        <v>5100</v>
      </c>
      <c r="U462" s="322">
        <f t="shared" si="37"/>
        <v>0</v>
      </c>
      <c r="W462" s="321">
        <f t="shared" si="38"/>
        <v>514</v>
      </c>
      <c r="X462" s="321">
        <f t="shared" si="39"/>
        <v>611104</v>
      </c>
      <c r="Y462" s="321">
        <v>1</v>
      </c>
      <c r="AA462" s="321" t="s">
        <v>2626</v>
      </c>
    </row>
    <row r="463" spans="1:27">
      <c r="A463" s="376">
        <v>750</v>
      </c>
      <c r="B463" s="377">
        <v>621000</v>
      </c>
      <c r="C463" s="385" t="s">
        <v>6804</v>
      </c>
      <c r="D463" s="379">
        <v>95</v>
      </c>
      <c r="E463" s="380">
        <v>96</v>
      </c>
      <c r="F463" s="380">
        <v>96</v>
      </c>
      <c r="H463" s="351">
        <f t="shared" si="35"/>
        <v>95000</v>
      </c>
      <c r="I463" s="351">
        <f t="shared" si="36"/>
        <v>96000</v>
      </c>
      <c r="M463" s="321">
        <v>1611104522</v>
      </c>
      <c r="N463" s="321">
        <v>61</v>
      </c>
      <c r="O463" s="321" t="s">
        <v>5214</v>
      </c>
      <c r="P463" s="321">
        <v>1611104</v>
      </c>
      <c r="Q463" s="322">
        <v>3000</v>
      </c>
      <c r="R463" s="322">
        <v>1400</v>
      </c>
      <c r="S463" s="322">
        <v>3000</v>
      </c>
      <c r="T463" s="322">
        <v>3000</v>
      </c>
      <c r="U463" s="322">
        <f t="shared" si="37"/>
        <v>0</v>
      </c>
      <c r="W463" s="321">
        <f t="shared" si="38"/>
        <v>522</v>
      </c>
      <c r="X463" s="321">
        <f t="shared" si="39"/>
        <v>611104</v>
      </c>
      <c r="Y463" s="321">
        <v>1</v>
      </c>
      <c r="AA463" s="321" t="s">
        <v>5214</v>
      </c>
    </row>
    <row r="464" spans="1:27">
      <c r="A464" s="376">
        <v>755</v>
      </c>
      <c r="B464" s="377">
        <v>621000</v>
      </c>
      <c r="C464" s="385" t="s">
        <v>6744</v>
      </c>
      <c r="D464" s="379">
        <v>30</v>
      </c>
      <c r="E464" s="380">
        <v>50</v>
      </c>
      <c r="F464" s="380">
        <v>80</v>
      </c>
      <c r="H464" s="351">
        <f t="shared" si="35"/>
        <v>30000</v>
      </c>
      <c r="I464" s="351">
        <f t="shared" si="36"/>
        <v>80000</v>
      </c>
      <c r="M464" s="321">
        <v>1611104530</v>
      </c>
      <c r="N464" s="321">
        <v>61</v>
      </c>
      <c r="O464" s="321" t="s">
        <v>5224</v>
      </c>
      <c r="P464" s="321">
        <v>1611104</v>
      </c>
      <c r="Q464" s="322">
        <v>40000</v>
      </c>
      <c r="R464" s="322">
        <v>24500</v>
      </c>
      <c r="S464" s="322">
        <v>40000</v>
      </c>
      <c r="T464" s="322">
        <v>40000</v>
      </c>
      <c r="U464" s="322">
        <f t="shared" si="37"/>
        <v>0</v>
      </c>
      <c r="W464" s="321">
        <f t="shared" si="38"/>
        <v>530</v>
      </c>
      <c r="X464" s="321">
        <f t="shared" si="39"/>
        <v>611104</v>
      </c>
      <c r="Y464" s="321">
        <v>1</v>
      </c>
      <c r="AA464" s="321" t="s">
        <v>5224</v>
      </c>
    </row>
    <row r="465" spans="1:27">
      <c r="A465" s="376">
        <v>930</v>
      </c>
      <c r="B465" s="377">
        <v>621000</v>
      </c>
      <c r="C465" s="382" t="s">
        <v>164</v>
      </c>
      <c r="D465" s="379">
        <v>10</v>
      </c>
      <c r="E465" s="380">
        <v>20</v>
      </c>
      <c r="F465" s="380">
        <v>15</v>
      </c>
      <c r="H465" s="351">
        <f t="shared" si="35"/>
        <v>10000</v>
      </c>
      <c r="I465" s="351">
        <f t="shared" si="36"/>
        <v>15000</v>
      </c>
      <c r="M465" s="321">
        <v>1611104540</v>
      </c>
      <c r="N465" s="321">
        <v>61</v>
      </c>
      <c r="O465" s="321" t="s">
        <v>5216</v>
      </c>
      <c r="P465" s="321">
        <v>1611104</v>
      </c>
      <c r="Q465" s="322">
        <v>2000</v>
      </c>
      <c r="R465" s="322">
        <v>400</v>
      </c>
      <c r="S465" s="322">
        <v>1500</v>
      </c>
      <c r="T465" s="322">
        <v>1500</v>
      </c>
      <c r="U465" s="322">
        <f t="shared" si="37"/>
        <v>0</v>
      </c>
      <c r="W465" s="321">
        <f t="shared" si="38"/>
        <v>540</v>
      </c>
      <c r="X465" s="321">
        <f t="shared" si="39"/>
        <v>611104</v>
      </c>
      <c r="Y465" s="321">
        <v>1</v>
      </c>
      <c r="AA465" s="321" t="s">
        <v>5216</v>
      </c>
    </row>
    <row r="466" spans="1:27">
      <c r="A466" s="376">
        <v>950</v>
      </c>
      <c r="B466" s="377">
        <v>621000</v>
      </c>
      <c r="C466" s="387" t="s">
        <v>6805</v>
      </c>
      <c r="D466" s="379">
        <v>650</v>
      </c>
      <c r="E466" s="380">
        <v>650</v>
      </c>
      <c r="F466" s="380">
        <v>650</v>
      </c>
      <c r="H466" s="351">
        <f t="shared" ref="H466:H529" si="40">D466*1000</f>
        <v>650000</v>
      </c>
      <c r="I466" s="351">
        <f t="shared" ref="I466:I529" si="41">F466*1000</f>
        <v>650000</v>
      </c>
      <c r="M466" s="321">
        <v>1611104542</v>
      </c>
      <c r="N466" s="321">
        <v>61</v>
      </c>
      <c r="O466" s="321" t="s">
        <v>5217</v>
      </c>
      <c r="P466" s="321">
        <v>1611104</v>
      </c>
      <c r="Q466" s="322">
        <v>6000</v>
      </c>
      <c r="R466" s="322">
        <v>2800</v>
      </c>
      <c r="S466" s="322">
        <v>6000</v>
      </c>
      <c r="T466" s="322">
        <v>6000</v>
      </c>
      <c r="U466" s="322">
        <f t="shared" si="37"/>
        <v>0</v>
      </c>
      <c r="W466" s="321">
        <f t="shared" si="38"/>
        <v>542</v>
      </c>
      <c r="X466" s="321">
        <f t="shared" si="39"/>
        <v>611104</v>
      </c>
      <c r="Y466" s="321">
        <v>1</v>
      </c>
      <c r="AA466" s="321" t="s">
        <v>5217</v>
      </c>
    </row>
    <row r="467" spans="1:27">
      <c r="A467" s="376">
        <v>951</v>
      </c>
      <c r="B467" s="377">
        <v>621000</v>
      </c>
      <c r="C467" s="382" t="s">
        <v>6806</v>
      </c>
      <c r="D467" s="379">
        <v>50</v>
      </c>
      <c r="E467" s="380">
        <v>50</v>
      </c>
      <c r="F467" s="380">
        <v>50</v>
      </c>
      <c r="H467" s="351">
        <f t="shared" si="40"/>
        <v>50000</v>
      </c>
      <c r="I467" s="351">
        <f t="shared" si="41"/>
        <v>50000</v>
      </c>
      <c r="M467" s="321">
        <v>1611104780</v>
      </c>
      <c r="N467" s="321">
        <v>61</v>
      </c>
      <c r="O467" s="321" t="s">
        <v>2709</v>
      </c>
      <c r="P467" s="321">
        <v>1611104</v>
      </c>
      <c r="Q467" s="322">
        <v>6000</v>
      </c>
      <c r="R467" s="322">
        <v>600</v>
      </c>
      <c r="S467" s="322">
        <v>6000</v>
      </c>
      <c r="T467" s="322">
        <v>5000</v>
      </c>
      <c r="U467" s="322">
        <f t="shared" si="37"/>
        <v>1000</v>
      </c>
      <c r="W467" s="321">
        <f t="shared" si="38"/>
        <v>780</v>
      </c>
      <c r="X467" s="321">
        <f t="shared" si="39"/>
        <v>611104</v>
      </c>
      <c r="Y467" s="321">
        <v>1</v>
      </c>
      <c r="AA467" s="321" t="s">
        <v>2709</v>
      </c>
    </row>
    <row r="468" spans="1:27">
      <c r="A468" s="376">
        <v>960</v>
      </c>
      <c r="B468" s="377">
        <v>621000</v>
      </c>
      <c r="C468" s="382" t="s">
        <v>6782</v>
      </c>
      <c r="D468" s="379">
        <v>25</v>
      </c>
      <c r="E468" s="380">
        <v>25</v>
      </c>
      <c r="F468" s="380">
        <v>20</v>
      </c>
      <c r="H468" s="351">
        <f t="shared" si="40"/>
        <v>25000</v>
      </c>
      <c r="I468" s="351">
        <f t="shared" si="41"/>
        <v>20000</v>
      </c>
      <c r="M468" s="321">
        <v>1611105110</v>
      </c>
      <c r="N468" s="321">
        <v>61</v>
      </c>
      <c r="O468" s="321" t="s">
        <v>5205</v>
      </c>
      <c r="P468" s="321">
        <v>1611105</v>
      </c>
      <c r="Q468" s="322">
        <v>0</v>
      </c>
      <c r="R468" s="322">
        <v>43900</v>
      </c>
      <c r="S468" s="322">
        <v>64000</v>
      </c>
      <c r="T468" s="322">
        <v>64000</v>
      </c>
      <c r="U468" s="322">
        <f t="shared" si="37"/>
        <v>0</v>
      </c>
      <c r="W468" s="321">
        <f t="shared" si="38"/>
        <v>110</v>
      </c>
      <c r="X468" s="321">
        <f t="shared" si="39"/>
        <v>611105</v>
      </c>
      <c r="Y468" s="321">
        <v>1</v>
      </c>
      <c r="AA468" s="321" t="s">
        <v>5205</v>
      </c>
    </row>
    <row r="469" spans="1:27">
      <c r="A469" s="376">
        <v>100</v>
      </c>
      <c r="B469" s="377">
        <v>623000</v>
      </c>
      <c r="C469" s="382" t="s">
        <v>6747</v>
      </c>
      <c r="D469" s="379">
        <v>6075</v>
      </c>
      <c r="E469" s="380">
        <v>5200</v>
      </c>
      <c r="F469" s="380">
        <v>5330</v>
      </c>
      <c r="H469" s="351">
        <f t="shared" si="40"/>
        <v>6075000</v>
      </c>
      <c r="I469" s="351">
        <f t="shared" si="41"/>
        <v>5330000</v>
      </c>
      <c r="M469" s="321">
        <v>1611105120</v>
      </c>
      <c r="N469" s="321">
        <v>61</v>
      </c>
      <c r="O469" s="321" t="s">
        <v>5206</v>
      </c>
      <c r="P469" s="321">
        <v>1611105</v>
      </c>
      <c r="Q469" s="322">
        <v>0</v>
      </c>
      <c r="R469" s="322">
        <v>1400</v>
      </c>
      <c r="S469" s="322">
        <v>2000</v>
      </c>
      <c r="T469" s="322">
        <v>2000</v>
      </c>
      <c r="U469" s="322">
        <f t="shared" si="37"/>
        <v>0</v>
      </c>
      <c r="W469" s="321">
        <f t="shared" si="38"/>
        <v>120</v>
      </c>
      <c r="X469" s="321">
        <f t="shared" si="39"/>
        <v>611105</v>
      </c>
      <c r="Y469" s="321">
        <v>1</v>
      </c>
      <c r="AA469" s="321" t="s">
        <v>5206</v>
      </c>
    </row>
    <row r="470" spans="1:27">
      <c r="A470" s="376">
        <v>101</v>
      </c>
      <c r="B470" s="377">
        <v>623000</v>
      </c>
      <c r="C470" s="382" t="s">
        <v>6807</v>
      </c>
      <c r="D470" s="379">
        <v>820</v>
      </c>
      <c r="E470" s="380">
        <v>650</v>
      </c>
      <c r="F470" s="380">
        <v>720</v>
      </c>
      <c r="H470" s="351">
        <f t="shared" si="40"/>
        <v>820000</v>
      </c>
      <c r="I470" s="351">
        <f t="shared" si="41"/>
        <v>720000</v>
      </c>
      <c r="M470" s="321">
        <v>1611105130</v>
      </c>
      <c r="N470" s="321">
        <v>61</v>
      </c>
      <c r="O470" s="321" t="s">
        <v>2576</v>
      </c>
      <c r="P470" s="321">
        <v>1611105</v>
      </c>
      <c r="Q470" s="322">
        <v>0</v>
      </c>
      <c r="R470" s="322">
        <v>0</v>
      </c>
      <c r="S470" s="322">
        <v>0</v>
      </c>
      <c r="T470" s="322">
        <v>0</v>
      </c>
      <c r="U470" s="322">
        <f t="shared" si="37"/>
        <v>0</v>
      </c>
      <c r="W470" s="321">
        <f t="shared" si="38"/>
        <v>130</v>
      </c>
      <c r="X470" s="321">
        <f t="shared" si="39"/>
        <v>611105</v>
      </c>
      <c r="Y470" s="321">
        <v>1</v>
      </c>
      <c r="AA470" s="321" t="s">
        <v>2576</v>
      </c>
    </row>
    <row r="471" spans="1:27">
      <c r="A471" s="376">
        <v>410</v>
      </c>
      <c r="B471" s="377">
        <v>623000</v>
      </c>
      <c r="C471" s="382" t="s">
        <v>6715</v>
      </c>
      <c r="D471" s="379">
        <v>890</v>
      </c>
      <c r="E471" s="380">
        <v>890</v>
      </c>
      <c r="F471" s="380">
        <v>890</v>
      </c>
      <c r="H471" s="351">
        <f t="shared" si="40"/>
        <v>890000</v>
      </c>
      <c r="I471" s="351">
        <f t="shared" si="41"/>
        <v>890000</v>
      </c>
      <c r="M471" s="321">
        <v>1611105140</v>
      </c>
      <c r="N471" s="321">
        <v>61</v>
      </c>
      <c r="O471" s="321" t="s">
        <v>5207</v>
      </c>
      <c r="P471" s="321">
        <v>1611105</v>
      </c>
      <c r="Q471" s="322">
        <v>0</v>
      </c>
      <c r="R471" s="322">
        <v>13700</v>
      </c>
      <c r="S471" s="322">
        <v>18000</v>
      </c>
      <c r="T471" s="322">
        <v>18000</v>
      </c>
      <c r="U471" s="322">
        <f t="shared" si="37"/>
        <v>0</v>
      </c>
      <c r="W471" s="321">
        <f t="shared" si="38"/>
        <v>140</v>
      </c>
      <c r="X471" s="321">
        <f t="shared" si="39"/>
        <v>611105</v>
      </c>
      <c r="Y471" s="321">
        <v>1</v>
      </c>
      <c r="AA471" s="321" t="s">
        <v>5207</v>
      </c>
    </row>
    <row r="472" spans="1:27">
      <c r="A472" s="376">
        <v>430</v>
      </c>
      <c r="B472" s="377">
        <v>623000</v>
      </c>
      <c r="C472" s="382" t="s">
        <v>6798</v>
      </c>
      <c r="D472" s="379">
        <v>65</v>
      </c>
      <c r="E472" s="380">
        <v>60</v>
      </c>
      <c r="F472" s="380">
        <v>65</v>
      </c>
      <c r="H472" s="351">
        <f t="shared" si="40"/>
        <v>65000</v>
      </c>
      <c r="I472" s="351">
        <f t="shared" si="41"/>
        <v>65000</v>
      </c>
      <c r="M472" s="321">
        <v>1611105141</v>
      </c>
      <c r="N472" s="321">
        <v>61</v>
      </c>
      <c r="O472" s="321" t="s">
        <v>5208</v>
      </c>
      <c r="P472" s="321">
        <v>1611105</v>
      </c>
      <c r="Q472" s="322">
        <v>0</v>
      </c>
      <c r="R472" s="322">
        <v>1800</v>
      </c>
      <c r="S472" s="322">
        <v>3000</v>
      </c>
      <c r="T472" s="322">
        <v>3000</v>
      </c>
      <c r="U472" s="322">
        <f t="shared" si="37"/>
        <v>0</v>
      </c>
      <c r="W472" s="321">
        <f t="shared" si="38"/>
        <v>141</v>
      </c>
      <c r="X472" s="321">
        <f t="shared" si="39"/>
        <v>611105</v>
      </c>
      <c r="Y472" s="321">
        <v>1</v>
      </c>
      <c r="AA472" s="321" t="s">
        <v>5208</v>
      </c>
    </row>
    <row r="473" spans="1:27">
      <c r="A473" s="376">
        <v>470</v>
      </c>
      <c r="B473" s="377">
        <v>623000</v>
      </c>
      <c r="C473" s="382" t="s">
        <v>6808</v>
      </c>
      <c r="D473" s="379">
        <v>80</v>
      </c>
      <c r="E473" s="380">
        <v>80</v>
      </c>
      <c r="F473" s="380">
        <v>80</v>
      </c>
      <c r="H473" s="351">
        <f t="shared" si="40"/>
        <v>80000</v>
      </c>
      <c r="I473" s="351">
        <f t="shared" si="41"/>
        <v>80000</v>
      </c>
      <c r="M473" s="321">
        <v>1611105181</v>
      </c>
      <c r="N473" s="321">
        <v>61</v>
      </c>
      <c r="O473" s="321" t="s">
        <v>2580</v>
      </c>
      <c r="P473" s="321">
        <v>1611105</v>
      </c>
      <c r="Q473" s="322">
        <v>0</v>
      </c>
      <c r="R473" s="322">
        <v>11300</v>
      </c>
      <c r="S473" s="322">
        <v>16000</v>
      </c>
      <c r="T473" s="322">
        <v>16000</v>
      </c>
      <c r="U473" s="322">
        <f t="shared" si="37"/>
        <v>0</v>
      </c>
      <c r="W473" s="321">
        <f t="shared" si="38"/>
        <v>181</v>
      </c>
      <c r="X473" s="321">
        <f t="shared" si="39"/>
        <v>611105</v>
      </c>
      <c r="Y473" s="321">
        <v>1</v>
      </c>
      <c r="AA473" s="321" t="s">
        <v>2580</v>
      </c>
    </row>
    <row r="474" spans="1:27">
      <c r="A474" s="376">
        <v>540</v>
      </c>
      <c r="B474" s="377">
        <v>623000</v>
      </c>
      <c r="C474" s="382" t="s">
        <v>6750</v>
      </c>
      <c r="D474" s="379">
        <v>5</v>
      </c>
      <c r="E474" s="380">
        <v>10</v>
      </c>
      <c r="F474" s="380">
        <v>10</v>
      </c>
      <c r="H474" s="351">
        <f t="shared" si="40"/>
        <v>5000</v>
      </c>
      <c r="I474" s="351">
        <f t="shared" si="41"/>
        <v>10000</v>
      </c>
      <c r="M474" s="321">
        <v>1611105182</v>
      </c>
      <c r="N474" s="321">
        <v>61</v>
      </c>
      <c r="O474" s="321" t="s">
        <v>2582</v>
      </c>
      <c r="P474" s="321">
        <v>1611105</v>
      </c>
      <c r="Q474" s="322">
        <v>0</v>
      </c>
      <c r="R474" s="322">
        <v>7100</v>
      </c>
      <c r="S474" s="322">
        <v>10000</v>
      </c>
      <c r="T474" s="322">
        <v>10000</v>
      </c>
      <c r="U474" s="322">
        <f t="shared" si="37"/>
        <v>0</v>
      </c>
      <c r="W474" s="321">
        <f t="shared" si="38"/>
        <v>182</v>
      </c>
      <c r="X474" s="321">
        <f t="shared" si="39"/>
        <v>611105</v>
      </c>
      <c r="Y474" s="321">
        <v>1</v>
      </c>
      <c r="AA474" s="321" t="s">
        <v>2582</v>
      </c>
    </row>
    <row r="475" spans="1:27">
      <c r="A475" s="376">
        <v>550</v>
      </c>
      <c r="B475" s="377">
        <v>623000</v>
      </c>
      <c r="C475" s="382" t="s">
        <v>6737</v>
      </c>
      <c r="D475" s="379">
        <v>30</v>
      </c>
      <c r="E475" s="380">
        <v>40</v>
      </c>
      <c r="F475" s="380">
        <v>40</v>
      </c>
      <c r="H475" s="351">
        <f t="shared" si="40"/>
        <v>30000</v>
      </c>
      <c r="I475" s="351">
        <f t="shared" si="41"/>
        <v>40000</v>
      </c>
      <c r="M475" s="321">
        <v>1611105210</v>
      </c>
      <c r="N475" s="321">
        <v>61</v>
      </c>
      <c r="O475" s="321" t="s">
        <v>5225</v>
      </c>
      <c r="P475" s="321">
        <v>1611105</v>
      </c>
      <c r="Q475" s="322">
        <v>270000</v>
      </c>
      <c r="R475" s="322">
        <v>163900</v>
      </c>
      <c r="S475" s="322">
        <v>170000</v>
      </c>
      <c r="T475" s="322">
        <v>170000</v>
      </c>
      <c r="U475" s="322">
        <f t="shared" si="37"/>
        <v>0</v>
      </c>
      <c r="W475" s="321">
        <f t="shared" si="38"/>
        <v>210</v>
      </c>
      <c r="X475" s="321">
        <f t="shared" si="39"/>
        <v>611105</v>
      </c>
      <c r="Y475" s="321">
        <v>1</v>
      </c>
      <c r="AA475" s="321" t="s">
        <v>5225</v>
      </c>
    </row>
    <row r="476" spans="1:27">
      <c r="A476" s="376">
        <v>570</v>
      </c>
      <c r="B476" s="377">
        <v>623000</v>
      </c>
      <c r="C476" s="382" t="s">
        <v>6809</v>
      </c>
      <c r="D476" s="379">
        <v>455</v>
      </c>
      <c r="E476" s="380">
        <v>450</v>
      </c>
      <c r="F476" s="380">
        <v>450</v>
      </c>
      <c r="H476" s="351">
        <f t="shared" si="40"/>
        <v>455000</v>
      </c>
      <c r="I476" s="351">
        <f t="shared" si="41"/>
        <v>450000</v>
      </c>
      <c r="M476" s="321">
        <v>1611105470</v>
      </c>
      <c r="N476" s="321">
        <v>61</v>
      </c>
      <c r="O476" s="321" t="s">
        <v>2830</v>
      </c>
      <c r="P476" s="321">
        <v>1611105</v>
      </c>
      <c r="Q476" s="322">
        <v>4300</v>
      </c>
      <c r="R476" s="322">
        <v>2300</v>
      </c>
      <c r="S476" s="322">
        <v>4300</v>
      </c>
      <c r="T476" s="322">
        <v>4300</v>
      </c>
      <c r="U476" s="322">
        <f t="shared" si="37"/>
        <v>0</v>
      </c>
      <c r="W476" s="321">
        <f t="shared" si="38"/>
        <v>470</v>
      </c>
      <c r="X476" s="321">
        <f t="shared" si="39"/>
        <v>611105</v>
      </c>
      <c r="Y476" s="321">
        <v>1</v>
      </c>
      <c r="AA476" s="321" t="s">
        <v>2830</v>
      </c>
    </row>
    <row r="477" spans="1:27">
      <c r="A477" s="376">
        <v>581</v>
      </c>
      <c r="B477" s="377">
        <v>623000</v>
      </c>
      <c r="C477" s="378" t="s">
        <v>6810</v>
      </c>
      <c r="D477" s="379">
        <v>150</v>
      </c>
      <c r="E477" s="380">
        <v>150</v>
      </c>
      <c r="F477" s="380">
        <v>135</v>
      </c>
      <c r="H477" s="351">
        <f t="shared" si="40"/>
        <v>150000</v>
      </c>
      <c r="I477" s="351">
        <f t="shared" si="41"/>
        <v>135000</v>
      </c>
      <c r="M477" s="321">
        <v>1611105471</v>
      </c>
      <c r="N477" s="321">
        <v>61</v>
      </c>
      <c r="O477" s="321" t="s">
        <v>5226</v>
      </c>
      <c r="P477" s="321">
        <v>1611105</v>
      </c>
      <c r="Q477" s="322">
        <v>1200</v>
      </c>
      <c r="R477" s="322">
        <v>1200</v>
      </c>
      <c r="S477" s="322">
        <v>1300</v>
      </c>
      <c r="T477" s="322">
        <v>1300</v>
      </c>
      <c r="U477" s="322">
        <f t="shared" si="37"/>
        <v>0</v>
      </c>
      <c r="W477" s="321">
        <f t="shared" si="38"/>
        <v>471</v>
      </c>
      <c r="X477" s="321">
        <f t="shared" si="39"/>
        <v>611105</v>
      </c>
      <c r="Y477" s="321">
        <v>1</v>
      </c>
      <c r="AA477" s="321" t="s">
        <v>5226</v>
      </c>
    </row>
    <row r="478" spans="1:27">
      <c r="A478" s="376">
        <v>582</v>
      </c>
      <c r="B478" s="377">
        <v>623000</v>
      </c>
      <c r="C478" s="381" t="s">
        <v>6811</v>
      </c>
      <c r="D478" s="379">
        <v>450</v>
      </c>
      <c r="E478" s="380">
        <v>440</v>
      </c>
      <c r="F478" s="380">
        <v>450</v>
      </c>
      <c r="H478" s="351">
        <f t="shared" si="40"/>
        <v>450000</v>
      </c>
      <c r="I478" s="351">
        <f t="shared" si="41"/>
        <v>450000</v>
      </c>
      <c r="M478" s="321">
        <v>1611105510</v>
      </c>
      <c r="N478" s="321">
        <v>61</v>
      </c>
      <c r="O478" s="321" t="s">
        <v>5213</v>
      </c>
      <c r="P478" s="321">
        <v>1611105</v>
      </c>
      <c r="Q478" s="322">
        <v>2000</v>
      </c>
      <c r="R478" s="322">
        <v>400</v>
      </c>
      <c r="S478" s="322">
        <v>2000</v>
      </c>
      <c r="T478" s="322">
        <v>2000</v>
      </c>
      <c r="U478" s="322">
        <f t="shared" si="37"/>
        <v>0</v>
      </c>
      <c r="W478" s="321">
        <f t="shared" si="38"/>
        <v>510</v>
      </c>
      <c r="X478" s="321">
        <f t="shared" si="39"/>
        <v>611105</v>
      </c>
      <c r="Y478" s="321">
        <v>1</v>
      </c>
      <c r="AA478" s="321" t="s">
        <v>5213</v>
      </c>
    </row>
    <row r="479" spans="1:27">
      <c r="A479" s="376">
        <v>583</v>
      </c>
      <c r="B479" s="377">
        <v>623000</v>
      </c>
      <c r="C479" s="381" t="s">
        <v>6812</v>
      </c>
      <c r="D479" s="379">
        <v>150</v>
      </c>
      <c r="E479" s="380">
        <v>100</v>
      </c>
      <c r="F479" s="380">
        <v>110</v>
      </c>
      <c r="H479" s="351">
        <f t="shared" si="40"/>
        <v>150000</v>
      </c>
      <c r="I479" s="351">
        <f t="shared" si="41"/>
        <v>110000</v>
      </c>
      <c r="M479" s="321">
        <v>1611105514</v>
      </c>
      <c r="N479" s="321">
        <v>61</v>
      </c>
      <c r="O479" s="321" t="s">
        <v>2626</v>
      </c>
      <c r="P479" s="321">
        <v>1611105</v>
      </c>
      <c r="Q479" s="322">
        <v>5100</v>
      </c>
      <c r="R479" s="322">
        <v>0</v>
      </c>
      <c r="S479" s="322">
        <v>5100</v>
      </c>
      <c r="T479" s="322">
        <v>5100</v>
      </c>
      <c r="U479" s="322">
        <f t="shared" si="37"/>
        <v>0</v>
      </c>
      <c r="W479" s="321">
        <f t="shared" si="38"/>
        <v>514</v>
      </c>
      <c r="X479" s="321">
        <f t="shared" si="39"/>
        <v>611105</v>
      </c>
      <c r="Y479" s="321">
        <v>1</v>
      </c>
      <c r="AA479" s="321" t="s">
        <v>2626</v>
      </c>
    </row>
    <row r="480" spans="1:27">
      <c r="A480" s="376">
        <v>584</v>
      </c>
      <c r="B480" s="377">
        <v>623000</v>
      </c>
      <c r="C480" s="381" t="s">
        <v>6813</v>
      </c>
      <c r="D480" s="379">
        <v>1104</v>
      </c>
      <c r="E480" s="380">
        <v>1100</v>
      </c>
      <c r="F480" s="380">
        <v>950</v>
      </c>
      <c r="H480" s="351">
        <f t="shared" si="40"/>
        <v>1104000</v>
      </c>
      <c r="I480" s="351">
        <f t="shared" si="41"/>
        <v>950000</v>
      </c>
      <c r="M480" s="321">
        <v>1611105522</v>
      </c>
      <c r="N480" s="321">
        <v>61</v>
      </c>
      <c r="O480" s="321" t="s">
        <v>5214</v>
      </c>
      <c r="P480" s="321">
        <v>1611105</v>
      </c>
      <c r="Q480" s="322">
        <v>4000</v>
      </c>
      <c r="R480" s="322">
        <v>0</v>
      </c>
      <c r="S480" s="322">
        <v>4000</v>
      </c>
      <c r="T480" s="322">
        <v>4000</v>
      </c>
      <c r="U480" s="322">
        <f t="shared" si="37"/>
        <v>0</v>
      </c>
      <c r="W480" s="321">
        <f t="shared" si="38"/>
        <v>522</v>
      </c>
      <c r="X480" s="321">
        <f t="shared" si="39"/>
        <v>611105</v>
      </c>
      <c r="Y480" s="321">
        <v>1</v>
      </c>
      <c r="AA480" s="321" t="s">
        <v>5214</v>
      </c>
    </row>
    <row r="481" spans="1:27">
      <c r="A481" s="376">
        <v>610</v>
      </c>
      <c r="B481" s="377">
        <v>623000</v>
      </c>
      <c r="C481" s="382" t="s">
        <v>6814</v>
      </c>
      <c r="D481" s="379">
        <v>20</v>
      </c>
      <c r="E481" s="380">
        <v>30</v>
      </c>
      <c r="F481" s="380">
        <v>70</v>
      </c>
      <c r="H481" s="351">
        <f t="shared" si="40"/>
        <v>20000</v>
      </c>
      <c r="I481" s="351">
        <f t="shared" si="41"/>
        <v>70000</v>
      </c>
      <c r="M481" s="321">
        <v>1611105540</v>
      </c>
      <c r="N481" s="321">
        <v>61</v>
      </c>
      <c r="O481" s="321" t="s">
        <v>5216</v>
      </c>
      <c r="P481" s="321">
        <v>1611105</v>
      </c>
      <c r="Q481" s="322">
        <v>2000</v>
      </c>
      <c r="R481" s="322">
        <v>600</v>
      </c>
      <c r="S481" s="322">
        <v>1500</v>
      </c>
      <c r="T481" s="322">
        <v>1500</v>
      </c>
      <c r="U481" s="322">
        <f t="shared" si="37"/>
        <v>0</v>
      </c>
      <c r="W481" s="321">
        <f t="shared" si="38"/>
        <v>540</v>
      </c>
      <c r="X481" s="321">
        <f t="shared" si="39"/>
        <v>611105</v>
      </c>
      <c r="Y481" s="321">
        <v>1</v>
      </c>
      <c r="AA481" s="321" t="s">
        <v>5216</v>
      </c>
    </row>
    <row r="482" spans="1:27">
      <c r="A482" s="376">
        <v>611</v>
      </c>
      <c r="B482" s="377">
        <v>623000</v>
      </c>
      <c r="C482" s="382" t="s">
        <v>6815</v>
      </c>
      <c r="D482" s="379">
        <v>100</v>
      </c>
      <c r="E482" s="380">
        <v>90</v>
      </c>
      <c r="F482" s="380">
        <v>100</v>
      </c>
      <c r="H482" s="351">
        <f t="shared" si="40"/>
        <v>100000</v>
      </c>
      <c r="I482" s="351">
        <f t="shared" si="41"/>
        <v>100000</v>
      </c>
      <c r="M482" s="321">
        <v>1611105542</v>
      </c>
      <c r="N482" s="321">
        <v>61</v>
      </c>
      <c r="O482" s="321" t="s">
        <v>5227</v>
      </c>
      <c r="P482" s="321">
        <v>1611105</v>
      </c>
      <c r="Q482" s="322">
        <v>5400</v>
      </c>
      <c r="R482" s="322">
        <v>1400</v>
      </c>
      <c r="S482" s="322">
        <v>6000</v>
      </c>
      <c r="T482" s="322">
        <v>6000</v>
      </c>
      <c r="U482" s="322">
        <f t="shared" si="37"/>
        <v>0</v>
      </c>
      <c r="W482" s="321">
        <f t="shared" si="38"/>
        <v>542</v>
      </c>
      <c r="X482" s="321">
        <f t="shared" si="39"/>
        <v>611105</v>
      </c>
      <c r="Y482" s="321">
        <v>1</v>
      </c>
      <c r="AA482" s="321" t="s">
        <v>5227</v>
      </c>
    </row>
    <row r="483" spans="1:27">
      <c r="A483" s="376">
        <v>612</v>
      </c>
      <c r="B483" s="377">
        <v>623000</v>
      </c>
      <c r="C483" s="382" t="s">
        <v>6816</v>
      </c>
      <c r="D483" s="379">
        <v>280</v>
      </c>
      <c r="E483" s="380">
        <v>270</v>
      </c>
      <c r="F483" s="380">
        <v>330</v>
      </c>
      <c r="H483" s="351">
        <f t="shared" si="40"/>
        <v>280000</v>
      </c>
      <c r="I483" s="351">
        <f t="shared" si="41"/>
        <v>330000</v>
      </c>
      <c r="M483" s="321">
        <v>1611105580</v>
      </c>
      <c r="N483" s="321">
        <v>61</v>
      </c>
      <c r="O483" s="321" t="s">
        <v>5228</v>
      </c>
      <c r="P483" s="321">
        <v>1611105</v>
      </c>
      <c r="Q483" s="322">
        <v>80000</v>
      </c>
      <c r="R483" s="322">
        <v>0</v>
      </c>
      <c r="S483" s="322">
        <v>80000</v>
      </c>
      <c r="T483" s="322">
        <v>50000</v>
      </c>
      <c r="U483" s="322">
        <f t="shared" si="37"/>
        <v>30000</v>
      </c>
      <c r="W483" s="321">
        <f t="shared" si="38"/>
        <v>580</v>
      </c>
      <c r="X483" s="321">
        <f t="shared" si="39"/>
        <v>611105</v>
      </c>
      <c r="Y483" s="321">
        <v>1</v>
      </c>
      <c r="AA483" s="321" t="s">
        <v>5228</v>
      </c>
    </row>
    <row r="484" spans="1:27">
      <c r="A484" s="376">
        <v>730</v>
      </c>
      <c r="B484" s="377">
        <v>623000</v>
      </c>
      <c r="C484" s="382" t="s">
        <v>6817</v>
      </c>
      <c r="D484" s="379">
        <v>14</v>
      </c>
      <c r="E484" s="380">
        <v>14</v>
      </c>
      <c r="F484" s="380">
        <v>14</v>
      </c>
      <c r="H484" s="351">
        <f t="shared" si="40"/>
        <v>14000</v>
      </c>
      <c r="I484" s="351">
        <f t="shared" si="41"/>
        <v>14000</v>
      </c>
      <c r="M484" s="321">
        <v>1611105780</v>
      </c>
      <c r="N484" s="321">
        <v>61</v>
      </c>
      <c r="O484" s="321" t="s">
        <v>2709</v>
      </c>
      <c r="P484" s="321">
        <v>1611105</v>
      </c>
      <c r="Q484" s="322">
        <v>6000</v>
      </c>
      <c r="R484" s="322">
        <v>600</v>
      </c>
      <c r="S484" s="322">
        <v>6000</v>
      </c>
      <c r="T484" s="322">
        <v>5000</v>
      </c>
      <c r="U484" s="322">
        <f t="shared" si="37"/>
        <v>1000</v>
      </c>
      <c r="W484" s="321">
        <f t="shared" si="38"/>
        <v>780</v>
      </c>
      <c r="X484" s="321">
        <f t="shared" si="39"/>
        <v>611105</v>
      </c>
      <c r="Y484" s="321">
        <v>1</v>
      </c>
      <c r="AA484" s="321" t="s">
        <v>2709</v>
      </c>
    </row>
    <row r="485" spans="1:27">
      <c r="A485" s="376">
        <v>742</v>
      </c>
      <c r="B485" s="377">
        <v>623000</v>
      </c>
      <c r="C485" s="385" t="s">
        <v>6740</v>
      </c>
      <c r="D485" s="379">
        <v>3</v>
      </c>
      <c r="E485" s="380">
        <v>2</v>
      </c>
      <c r="F485" s="380">
        <v>4</v>
      </c>
      <c r="H485" s="351">
        <f t="shared" si="40"/>
        <v>3000</v>
      </c>
      <c r="I485" s="351">
        <f t="shared" si="41"/>
        <v>4000</v>
      </c>
      <c r="M485" s="321">
        <v>1611106110</v>
      </c>
      <c r="N485" s="321">
        <v>61</v>
      </c>
      <c r="O485" s="321" t="s">
        <v>5205</v>
      </c>
      <c r="P485" s="321">
        <v>1611106</v>
      </c>
      <c r="Q485" s="322">
        <v>239000</v>
      </c>
      <c r="R485" s="322">
        <v>177300</v>
      </c>
      <c r="S485" s="322">
        <v>248000</v>
      </c>
      <c r="T485" s="322">
        <v>248000</v>
      </c>
      <c r="U485" s="322">
        <f t="shared" si="37"/>
        <v>0</v>
      </c>
      <c r="W485" s="321">
        <f t="shared" si="38"/>
        <v>110</v>
      </c>
      <c r="X485" s="321">
        <f t="shared" si="39"/>
        <v>611106</v>
      </c>
      <c r="Y485" s="321">
        <v>1</v>
      </c>
      <c r="AA485" s="321" t="s">
        <v>5205</v>
      </c>
    </row>
    <row r="486" spans="1:27">
      <c r="A486" s="376">
        <v>750</v>
      </c>
      <c r="B486" s="377">
        <v>623000</v>
      </c>
      <c r="C486" s="385" t="s">
        <v>6818</v>
      </c>
      <c r="D486" s="379">
        <v>1980</v>
      </c>
      <c r="E486" s="380">
        <v>350</v>
      </c>
      <c r="F486" s="380">
        <v>400</v>
      </c>
      <c r="H486" s="351">
        <f t="shared" si="40"/>
        <v>1980000</v>
      </c>
      <c r="I486" s="351">
        <f t="shared" si="41"/>
        <v>400000</v>
      </c>
      <c r="M486" s="321">
        <v>1611106120</v>
      </c>
      <c r="N486" s="321">
        <v>61</v>
      </c>
      <c r="O486" s="321" t="s">
        <v>5206</v>
      </c>
      <c r="P486" s="321">
        <v>1611106</v>
      </c>
      <c r="Q486" s="322">
        <v>14000</v>
      </c>
      <c r="R486" s="322">
        <v>13700</v>
      </c>
      <c r="S486" s="322">
        <v>14000</v>
      </c>
      <c r="T486" s="322">
        <v>14000</v>
      </c>
      <c r="U486" s="322">
        <f t="shared" si="37"/>
        <v>0</v>
      </c>
      <c r="W486" s="321">
        <f t="shared" si="38"/>
        <v>120</v>
      </c>
      <c r="X486" s="321">
        <f t="shared" si="39"/>
        <v>611106</v>
      </c>
      <c r="Y486" s="321">
        <v>1</v>
      </c>
      <c r="AA486" s="321" t="s">
        <v>5206</v>
      </c>
    </row>
    <row r="487" spans="1:27">
      <c r="A487" s="376">
        <v>753</v>
      </c>
      <c r="B487" s="377">
        <v>623000</v>
      </c>
      <c r="C487" s="388" t="s">
        <v>6819</v>
      </c>
      <c r="D487" s="379">
        <v>74</v>
      </c>
      <c r="E487" s="380">
        <v>70</v>
      </c>
      <c r="F487" s="380">
        <v>82</v>
      </c>
      <c r="H487" s="351">
        <f t="shared" si="40"/>
        <v>74000</v>
      </c>
      <c r="I487" s="351">
        <f t="shared" si="41"/>
        <v>82000</v>
      </c>
      <c r="M487" s="321">
        <v>1611106130</v>
      </c>
      <c r="N487" s="321">
        <v>61</v>
      </c>
      <c r="O487" s="321" t="s">
        <v>2576</v>
      </c>
      <c r="P487" s="321">
        <v>1611106</v>
      </c>
      <c r="Q487" s="322">
        <v>9000</v>
      </c>
      <c r="R487" s="322">
        <v>6800</v>
      </c>
      <c r="S487" s="322">
        <v>10000</v>
      </c>
      <c r="T487" s="322">
        <v>9000</v>
      </c>
      <c r="U487" s="322">
        <f t="shared" si="37"/>
        <v>1000</v>
      </c>
      <c r="W487" s="321">
        <f t="shared" si="38"/>
        <v>130</v>
      </c>
      <c r="X487" s="321">
        <f t="shared" si="39"/>
        <v>611106</v>
      </c>
      <c r="Y487" s="321">
        <v>1</v>
      </c>
      <c r="AA487" s="321" t="s">
        <v>2576</v>
      </c>
    </row>
    <row r="488" spans="1:27">
      <c r="A488" s="376">
        <v>754</v>
      </c>
      <c r="B488" s="377">
        <v>623000</v>
      </c>
      <c r="C488" s="385" t="s">
        <v>6820</v>
      </c>
      <c r="D488" s="379">
        <v>10</v>
      </c>
      <c r="E488" s="380">
        <v>0</v>
      </c>
      <c r="F488" s="380">
        <v>10</v>
      </c>
      <c r="H488" s="351">
        <f t="shared" si="40"/>
        <v>10000</v>
      </c>
      <c r="I488" s="351">
        <f t="shared" si="41"/>
        <v>10000</v>
      </c>
      <c r="M488" s="321">
        <v>1611106140</v>
      </c>
      <c r="N488" s="321">
        <v>61</v>
      </c>
      <c r="O488" s="321" t="s">
        <v>5207</v>
      </c>
      <c r="P488" s="321">
        <v>1611106</v>
      </c>
      <c r="Q488" s="322">
        <v>44000</v>
      </c>
      <c r="R488" s="322">
        <v>38500</v>
      </c>
      <c r="S488" s="322">
        <v>48000</v>
      </c>
      <c r="T488" s="322">
        <v>48000</v>
      </c>
      <c r="U488" s="322">
        <f t="shared" si="37"/>
        <v>0</v>
      </c>
      <c r="W488" s="321">
        <f t="shared" si="38"/>
        <v>140</v>
      </c>
      <c r="X488" s="321">
        <f t="shared" si="39"/>
        <v>611106</v>
      </c>
      <c r="Y488" s="321">
        <v>1</v>
      </c>
      <c r="AA488" s="321" t="s">
        <v>5207</v>
      </c>
    </row>
    <row r="489" spans="1:27">
      <c r="A489" s="376">
        <v>755</v>
      </c>
      <c r="B489" s="377">
        <v>623000</v>
      </c>
      <c r="C489" s="385" t="s">
        <v>6744</v>
      </c>
      <c r="D489" s="379">
        <v>20</v>
      </c>
      <c r="E489" s="380">
        <v>0</v>
      </c>
      <c r="F489" s="380">
        <v>20</v>
      </c>
      <c r="H489" s="351">
        <f t="shared" si="40"/>
        <v>20000</v>
      </c>
      <c r="I489" s="351">
        <f t="shared" si="41"/>
        <v>20000</v>
      </c>
      <c r="M489" s="321">
        <v>1611106141</v>
      </c>
      <c r="N489" s="321">
        <v>61</v>
      </c>
      <c r="O489" s="321" t="s">
        <v>5229</v>
      </c>
      <c r="P489" s="321">
        <v>1611106</v>
      </c>
      <c r="Q489" s="322">
        <v>6000</v>
      </c>
      <c r="R489" s="322">
        <v>10400</v>
      </c>
      <c r="S489" s="322">
        <v>15000</v>
      </c>
      <c r="T489" s="322">
        <v>15000</v>
      </c>
      <c r="U489" s="322">
        <f t="shared" si="37"/>
        <v>0</v>
      </c>
      <c r="W489" s="321">
        <f t="shared" si="38"/>
        <v>141</v>
      </c>
      <c r="X489" s="321">
        <f t="shared" si="39"/>
        <v>611106</v>
      </c>
      <c r="Y489" s="321">
        <v>1</v>
      </c>
      <c r="AA489" s="321" t="s">
        <v>5229</v>
      </c>
    </row>
    <row r="490" spans="1:27">
      <c r="A490" s="376">
        <v>756</v>
      </c>
      <c r="B490" s="377">
        <v>623000</v>
      </c>
      <c r="C490" s="385" t="s">
        <v>6821</v>
      </c>
      <c r="D490" s="379">
        <v>79</v>
      </c>
      <c r="E490" s="380">
        <v>80</v>
      </c>
      <c r="F490" s="380">
        <v>80</v>
      </c>
      <c r="H490" s="351">
        <f t="shared" si="40"/>
        <v>79000</v>
      </c>
      <c r="I490" s="351">
        <f t="shared" si="41"/>
        <v>80000</v>
      </c>
      <c r="M490" s="321">
        <v>1611106181</v>
      </c>
      <c r="N490" s="321">
        <v>61</v>
      </c>
      <c r="O490" s="321" t="s">
        <v>2580</v>
      </c>
      <c r="P490" s="321">
        <v>1611106</v>
      </c>
      <c r="Q490" s="322">
        <v>57000</v>
      </c>
      <c r="R490" s="322">
        <v>43600</v>
      </c>
      <c r="S490" s="322">
        <v>60000</v>
      </c>
      <c r="T490" s="322">
        <v>60000</v>
      </c>
      <c r="U490" s="322">
        <f t="shared" si="37"/>
        <v>0</v>
      </c>
      <c r="W490" s="321">
        <f t="shared" si="38"/>
        <v>181</v>
      </c>
      <c r="X490" s="321">
        <f t="shared" si="39"/>
        <v>611106</v>
      </c>
      <c r="Y490" s="321">
        <v>1</v>
      </c>
      <c r="AA490" s="321" t="s">
        <v>2580</v>
      </c>
    </row>
    <row r="491" spans="1:27">
      <c r="A491" s="376">
        <v>780</v>
      </c>
      <c r="B491" s="377">
        <v>623000</v>
      </c>
      <c r="C491" s="385" t="s">
        <v>6822</v>
      </c>
      <c r="D491" s="379">
        <v>400</v>
      </c>
      <c r="E491" s="380">
        <v>400</v>
      </c>
      <c r="F491" s="380">
        <v>450</v>
      </c>
      <c r="H491" s="351">
        <f t="shared" si="40"/>
        <v>400000</v>
      </c>
      <c r="I491" s="351">
        <f t="shared" si="41"/>
        <v>450000</v>
      </c>
      <c r="M491" s="321">
        <v>1611106182</v>
      </c>
      <c r="N491" s="321">
        <v>61</v>
      </c>
      <c r="O491" s="321" t="s">
        <v>2582</v>
      </c>
      <c r="P491" s="321">
        <v>1611106</v>
      </c>
      <c r="Q491" s="322">
        <v>42000</v>
      </c>
      <c r="R491" s="322">
        <v>32900</v>
      </c>
      <c r="S491" s="322">
        <v>46000</v>
      </c>
      <c r="T491" s="322">
        <v>46000</v>
      </c>
      <c r="U491" s="322">
        <f t="shared" si="37"/>
        <v>0</v>
      </c>
      <c r="W491" s="321">
        <f t="shared" si="38"/>
        <v>182</v>
      </c>
      <c r="X491" s="321">
        <f t="shared" si="39"/>
        <v>611106</v>
      </c>
      <c r="Y491" s="321">
        <v>1</v>
      </c>
      <c r="AA491" s="321" t="s">
        <v>2582</v>
      </c>
    </row>
    <row r="492" spans="1:27">
      <c r="A492" s="376">
        <v>781</v>
      </c>
      <c r="B492" s="377">
        <v>623000</v>
      </c>
      <c r="C492" s="385" t="s">
        <v>169</v>
      </c>
      <c r="D492" s="379">
        <v>150</v>
      </c>
      <c r="E492" s="380">
        <v>300</v>
      </c>
      <c r="F492" s="380">
        <v>300</v>
      </c>
      <c r="H492" s="351">
        <f t="shared" si="40"/>
        <v>150000</v>
      </c>
      <c r="I492" s="351">
        <f t="shared" si="41"/>
        <v>300000</v>
      </c>
      <c r="M492" s="321">
        <v>1611106470</v>
      </c>
      <c r="N492" s="321">
        <v>61</v>
      </c>
      <c r="O492" s="321" t="s">
        <v>2830</v>
      </c>
      <c r="P492" s="321">
        <v>1611106</v>
      </c>
      <c r="Q492" s="322">
        <v>4300</v>
      </c>
      <c r="R492" s="322">
        <v>1900</v>
      </c>
      <c r="S492" s="322">
        <v>4300</v>
      </c>
      <c r="T492" s="322">
        <v>4300</v>
      </c>
      <c r="U492" s="322">
        <f t="shared" si="37"/>
        <v>0</v>
      </c>
      <c r="W492" s="321">
        <f t="shared" si="38"/>
        <v>470</v>
      </c>
      <c r="X492" s="321">
        <f t="shared" si="39"/>
        <v>611106</v>
      </c>
      <c r="Y492" s="321">
        <v>1</v>
      </c>
      <c r="AA492" s="321" t="s">
        <v>2830</v>
      </c>
    </row>
    <row r="493" spans="1:27">
      <c r="A493" s="376">
        <v>930</v>
      </c>
      <c r="B493" s="377">
        <v>623000</v>
      </c>
      <c r="C493" s="382" t="s">
        <v>164</v>
      </c>
      <c r="D493" s="379">
        <v>30</v>
      </c>
      <c r="E493" s="380">
        <v>30</v>
      </c>
      <c r="F493" s="380">
        <v>30</v>
      </c>
      <c r="H493" s="351">
        <f t="shared" si="40"/>
        <v>30000</v>
      </c>
      <c r="I493" s="351">
        <f t="shared" si="41"/>
        <v>30000</v>
      </c>
      <c r="M493" s="321">
        <v>1611106510</v>
      </c>
      <c r="N493" s="321">
        <v>61</v>
      </c>
      <c r="O493" s="321" t="s">
        <v>5230</v>
      </c>
      <c r="P493" s="321">
        <v>1611106</v>
      </c>
      <c r="Q493" s="322">
        <v>2000</v>
      </c>
      <c r="R493" s="322">
        <v>1000</v>
      </c>
      <c r="S493" s="322">
        <v>2000</v>
      </c>
      <c r="T493" s="322">
        <v>2000</v>
      </c>
      <c r="U493" s="322">
        <f t="shared" si="37"/>
        <v>0</v>
      </c>
      <c r="W493" s="321">
        <f t="shared" si="38"/>
        <v>510</v>
      </c>
      <c r="X493" s="321">
        <f t="shared" si="39"/>
        <v>611106</v>
      </c>
      <c r="Y493" s="321">
        <v>1</v>
      </c>
      <c r="AA493" s="321" t="s">
        <v>5230</v>
      </c>
    </row>
    <row r="494" spans="1:27">
      <c r="A494" s="376">
        <v>610</v>
      </c>
      <c r="B494" s="377">
        <v>631000</v>
      </c>
      <c r="C494" s="382" t="s">
        <v>6823</v>
      </c>
      <c r="D494" s="379">
        <v>150</v>
      </c>
      <c r="E494" s="380">
        <v>130</v>
      </c>
      <c r="F494" s="380">
        <v>200</v>
      </c>
      <c r="H494" s="351">
        <f t="shared" si="40"/>
        <v>150000</v>
      </c>
      <c r="I494" s="351">
        <f t="shared" si="41"/>
        <v>200000</v>
      </c>
      <c r="M494" s="321">
        <v>1611106514</v>
      </c>
      <c r="N494" s="321">
        <v>61</v>
      </c>
      <c r="O494" s="321" t="s">
        <v>2626</v>
      </c>
      <c r="P494" s="321">
        <v>1611106</v>
      </c>
      <c r="Q494" s="322">
        <v>5100</v>
      </c>
      <c r="R494" s="322">
        <v>2500</v>
      </c>
      <c r="S494" s="322">
        <v>5100</v>
      </c>
      <c r="T494" s="322">
        <v>5100</v>
      </c>
      <c r="U494" s="322">
        <f t="shared" si="37"/>
        <v>0</v>
      </c>
      <c r="W494" s="321">
        <f t="shared" si="38"/>
        <v>514</v>
      </c>
      <c r="X494" s="321">
        <f t="shared" si="39"/>
        <v>611106</v>
      </c>
      <c r="Y494" s="321">
        <v>1</v>
      </c>
      <c r="AA494" s="321" t="s">
        <v>2626</v>
      </c>
    </row>
    <row r="495" spans="1:27">
      <c r="A495" s="376">
        <v>611</v>
      </c>
      <c r="B495" s="377">
        <v>632000</v>
      </c>
      <c r="C495" s="382" t="s">
        <v>6824</v>
      </c>
      <c r="D495" s="379">
        <v>1300</v>
      </c>
      <c r="E495" s="380">
        <v>1200</v>
      </c>
      <c r="F495" s="380">
        <v>1200</v>
      </c>
      <c r="H495" s="351">
        <f t="shared" si="40"/>
        <v>1300000</v>
      </c>
      <c r="I495" s="351">
        <f t="shared" si="41"/>
        <v>1200000</v>
      </c>
      <c r="M495" s="321">
        <v>1611106522</v>
      </c>
      <c r="N495" s="321">
        <v>61</v>
      </c>
      <c r="O495" s="321" t="s">
        <v>2589</v>
      </c>
      <c r="P495" s="321">
        <v>1611106</v>
      </c>
      <c r="Q495" s="322">
        <v>3000</v>
      </c>
      <c r="R495" s="322">
        <v>1700</v>
      </c>
      <c r="S495" s="322">
        <v>3000</v>
      </c>
      <c r="T495" s="322">
        <v>3000</v>
      </c>
      <c r="U495" s="322">
        <f t="shared" si="37"/>
        <v>0</v>
      </c>
      <c r="W495" s="321">
        <f t="shared" si="38"/>
        <v>522</v>
      </c>
      <c r="X495" s="321">
        <f t="shared" si="39"/>
        <v>611106</v>
      </c>
      <c r="Y495" s="321">
        <v>1</v>
      </c>
      <c r="AA495" s="321" t="s">
        <v>2589</v>
      </c>
    </row>
    <row r="496" spans="1:27">
      <c r="A496" s="376">
        <v>620</v>
      </c>
      <c r="B496" s="377">
        <v>632000</v>
      </c>
      <c r="C496" s="382" t="s">
        <v>6825</v>
      </c>
      <c r="D496" s="379">
        <v>5</v>
      </c>
      <c r="E496" s="380">
        <v>0</v>
      </c>
      <c r="F496" s="380">
        <v>10</v>
      </c>
      <c r="H496" s="351">
        <f t="shared" si="40"/>
        <v>5000</v>
      </c>
      <c r="I496" s="351">
        <f t="shared" si="41"/>
        <v>10000</v>
      </c>
      <c r="M496" s="321">
        <v>1611106540</v>
      </c>
      <c r="N496" s="321">
        <v>61</v>
      </c>
      <c r="O496" s="321" t="s">
        <v>5216</v>
      </c>
      <c r="P496" s="321">
        <v>1611106</v>
      </c>
      <c r="Q496" s="322">
        <v>2000</v>
      </c>
      <c r="R496" s="322">
        <v>1100</v>
      </c>
      <c r="S496" s="322">
        <v>1000</v>
      </c>
      <c r="T496" s="322">
        <v>1000</v>
      </c>
      <c r="U496" s="322">
        <f t="shared" si="37"/>
        <v>0</v>
      </c>
      <c r="W496" s="321">
        <f t="shared" si="38"/>
        <v>540</v>
      </c>
      <c r="X496" s="321">
        <f t="shared" si="39"/>
        <v>611106</v>
      </c>
      <c r="Y496" s="321">
        <v>1</v>
      </c>
      <c r="AA496" s="321" t="s">
        <v>5216</v>
      </c>
    </row>
    <row r="497" spans="1:27">
      <c r="A497" s="376">
        <v>861</v>
      </c>
      <c r="B497" s="377">
        <v>632000</v>
      </c>
      <c r="C497" s="382" t="s">
        <v>6826</v>
      </c>
      <c r="D497" s="379">
        <v>1650</v>
      </c>
      <c r="E497" s="380">
        <v>1500</v>
      </c>
      <c r="F497" s="380">
        <v>1500</v>
      </c>
      <c r="H497" s="351">
        <f t="shared" si="40"/>
        <v>1650000</v>
      </c>
      <c r="I497" s="351">
        <f t="shared" si="41"/>
        <v>1500000</v>
      </c>
      <c r="M497" s="321">
        <v>1611106542</v>
      </c>
      <c r="N497" s="321">
        <v>61</v>
      </c>
      <c r="O497" s="321" t="s">
        <v>5217</v>
      </c>
      <c r="P497" s="321">
        <v>1611106</v>
      </c>
      <c r="Q497" s="322">
        <v>6500</v>
      </c>
      <c r="R497" s="322">
        <v>3000</v>
      </c>
      <c r="S497" s="322">
        <v>6000</v>
      </c>
      <c r="T497" s="322">
        <v>6000</v>
      </c>
      <c r="U497" s="322">
        <f t="shared" si="37"/>
        <v>0</v>
      </c>
      <c r="W497" s="321">
        <f t="shared" si="38"/>
        <v>542</v>
      </c>
      <c r="X497" s="321">
        <f t="shared" si="39"/>
        <v>611106</v>
      </c>
      <c r="Y497" s="321">
        <v>1</v>
      </c>
      <c r="AA497" s="321" t="s">
        <v>5217</v>
      </c>
    </row>
    <row r="498" spans="1:27">
      <c r="A498" s="376">
        <v>691</v>
      </c>
      <c r="B498" s="377">
        <v>648100</v>
      </c>
      <c r="C498" s="382" t="s">
        <v>6827</v>
      </c>
      <c r="D498" s="379">
        <v>4100</v>
      </c>
      <c r="E498" s="380">
        <v>4750</v>
      </c>
      <c r="F498" s="380">
        <v>4750</v>
      </c>
      <c r="H498" s="351">
        <f t="shared" si="40"/>
        <v>4100000</v>
      </c>
      <c r="I498" s="351">
        <f t="shared" si="41"/>
        <v>4750000</v>
      </c>
      <c r="M498" s="321">
        <v>1611106780</v>
      </c>
      <c r="N498" s="321">
        <v>61</v>
      </c>
      <c r="O498" s="321" t="s">
        <v>2709</v>
      </c>
      <c r="P498" s="321">
        <v>1611106</v>
      </c>
      <c r="Q498" s="322">
        <v>6000</v>
      </c>
      <c r="R498" s="322">
        <v>3600</v>
      </c>
      <c r="S498" s="322">
        <v>6000</v>
      </c>
      <c r="T498" s="322">
        <v>5000</v>
      </c>
      <c r="U498" s="322">
        <f t="shared" si="37"/>
        <v>1000</v>
      </c>
      <c r="W498" s="321">
        <f t="shared" si="38"/>
        <v>780</v>
      </c>
      <c r="X498" s="321">
        <f t="shared" si="39"/>
        <v>611106</v>
      </c>
      <c r="Y498" s="321">
        <v>1</v>
      </c>
      <c r="AA498" s="321" t="s">
        <v>2709</v>
      </c>
    </row>
    <row r="499" spans="1:27">
      <c r="A499" s="376">
        <v>692</v>
      </c>
      <c r="B499" s="377">
        <v>648100</v>
      </c>
      <c r="C499" s="382" t="s">
        <v>6828</v>
      </c>
      <c r="D499" s="379">
        <v>1150</v>
      </c>
      <c r="E499" s="380">
        <v>1300</v>
      </c>
      <c r="F499" s="380">
        <v>1350</v>
      </c>
      <c r="H499" s="351">
        <f t="shared" si="40"/>
        <v>1150000</v>
      </c>
      <c r="I499" s="351">
        <f t="shared" si="41"/>
        <v>1350000</v>
      </c>
      <c r="M499" s="321">
        <v>1611301110</v>
      </c>
      <c r="N499" s="321">
        <v>61</v>
      </c>
      <c r="O499" s="321" t="s">
        <v>5231</v>
      </c>
      <c r="P499" s="321">
        <v>1611301</v>
      </c>
      <c r="Q499" s="322">
        <v>823000</v>
      </c>
      <c r="R499" s="322">
        <v>616700</v>
      </c>
      <c r="S499" s="322">
        <v>862000</v>
      </c>
      <c r="T499" s="322">
        <v>862000</v>
      </c>
      <c r="U499" s="322">
        <f t="shared" si="37"/>
        <v>0</v>
      </c>
      <c r="W499" s="321">
        <f t="shared" si="38"/>
        <v>110</v>
      </c>
      <c r="X499" s="321">
        <f t="shared" si="39"/>
        <v>611301</v>
      </c>
      <c r="Y499" s="321">
        <v>1</v>
      </c>
      <c r="AA499" s="321" t="s">
        <v>5231</v>
      </c>
    </row>
    <row r="500" spans="1:27">
      <c r="A500" s="376">
        <v>693</v>
      </c>
      <c r="B500" s="377">
        <v>648100</v>
      </c>
      <c r="C500" s="382" t="s">
        <v>6829</v>
      </c>
      <c r="D500" s="379">
        <v>1200</v>
      </c>
      <c r="E500" s="380">
        <v>1400</v>
      </c>
      <c r="F500" s="380">
        <v>1600</v>
      </c>
      <c r="H500" s="351">
        <f t="shared" si="40"/>
        <v>1200000</v>
      </c>
      <c r="I500" s="351">
        <f t="shared" si="41"/>
        <v>1600000</v>
      </c>
      <c r="M500" s="321">
        <v>1611301120</v>
      </c>
      <c r="N500" s="321">
        <v>61</v>
      </c>
      <c r="O500" s="321" t="s">
        <v>5206</v>
      </c>
      <c r="P500" s="321">
        <v>1611301</v>
      </c>
      <c r="Q500" s="322">
        <v>62000</v>
      </c>
      <c r="R500" s="322">
        <v>59700</v>
      </c>
      <c r="S500" s="322">
        <v>68000</v>
      </c>
      <c r="T500" s="322">
        <v>68000</v>
      </c>
      <c r="U500" s="322">
        <f t="shared" si="37"/>
        <v>0</v>
      </c>
      <c r="W500" s="321">
        <f t="shared" si="38"/>
        <v>120</v>
      </c>
      <c r="X500" s="321">
        <f t="shared" si="39"/>
        <v>611301</v>
      </c>
      <c r="Y500" s="321">
        <v>1</v>
      </c>
      <c r="AA500" s="321" t="s">
        <v>5206</v>
      </c>
    </row>
    <row r="501" spans="1:27">
      <c r="A501" s="376">
        <v>691</v>
      </c>
      <c r="B501" s="377">
        <v>648200</v>
      </c>
      <c r="C501" s="382" t="s">
        <v>6827</v>
      </c>
      <c r="D501" s="389">
        <v>2100</v>
      </c>
      <c r="E501" s="390">
        <v>4300</v>
      </c>
      <c r="F501" s="390">
        <v>4300</v>
      </c>
      <c r="H501" s="351">
        <f t="shared" si="40"/>
        <v>2100000</v>
      </c>
      <c r="I501" s="351">
        <f t="shared" si="41"/>
        <v>4300000</v>
      </c>
      <c r="M501" s="321">
        <v>1611301140</v>
      </c>
      <c r="N501" s="321">
        <v>61</v>
      </c>
      <c r="O501" s="321" t="s">
        <v>5207</v>
      </c>
      <c r="P501" s="321">
        <v>1611301</v>
      </c>
      <c r="Q501" s="322">
        <v>106000</v>
      </c>
      <c r="R501" s="322">
        <v>60700</v>
      </c>
      <c r="S501" s="322">
        <v>94000</v>
      </c>
      <c r="T501" s="322">
        <v>94000</v>
      </c>
      <c r="U501" s="322">
        <f t="shared" si="37"/>
        <v>0</v>
      </c>
      <c r="W501" s="321">
        <f t="shared" si="38"/>
        <v>140</v>
      </c>
      <c r="X501" s="321">
        <f t="shared" si="39"/>
        <v>611301</v>
      </c>
      <c r="Y501" s="321">
        <v>1</v>
      </c>
      <c r="AA501" s="321" t="s">
        <v>5207</v>
      </c>
    </row>
    <row r="502" spans="1:27">
      <c r="A502" s="376">
        <v>692</v>
      </c>
      <c r="B502" s="377">
        <v>648200</v>
      </c>
      <c r="C502" s="382" t="s">
        <v>6828</v>
      </c>
      <c r="D502" s="389">
        <v>500</v>
      </c>
      <c r="E502" s="390">
        <v>500</v>
      </c>
      <c r="F502" s="390">
        <v>500</v>
      </c>
      <c r="H502" s="351">
        <f t="shared" si="40"/>
        <v>500000</v>
      </c>
      <c r="I502" s="351">
        <f t="shared" si="41"/>
        <v>500000</v>
      </c>
      <c r="M502" s="321">
        <v>1611301141</v>
      </c>
      <c r="N502" s="321">
        <v>61</v>
      </c>
      <c r="O502" s="321" t="s">
        <v>5208</v>
      </c>
      <c r="P502" s="321">
        <v>1611301</v>
      </c>
      <c r="Q502" s="322">
        <v>41000</v>
      </c>
      <c r="R502" s="322">
        <v>32200</v>
      </c>
      <c r="S502" s="322">
        <v>44000</v>
      </c>
      <c r="T502" s="322">
        <v>44000</v>
      </c>
      <c r="U502" s="322">
        <f t="shared" si="37"/>
        <v>0</v>
      </c>
      <c r="W502" s="321">
        <f t="shared" si="38"/>
        <v>141</v>
      </c>
      <c r="X502" s="321">
        <f t="shared" si="39"/>
        <v>611301</v>
      </c>
      <c r="Y502" s="321">
        <v>1</v>
      </c>
      <c r="AA502" s="321" t="s">
        <v>5208</v>
      </c>
    </row>
    <row r="503" spans="1:27">
      <c r="A503" s="376">
        <v>693</v>
      </c>
      <c r="B503" s="377">
        <v>648200</v>
      </c>
      <c r="C503" s="382" t="s">
        <v>6829</v>
      </c>
      <c r="D503" s="389">
        <v>750</v>
      </c>
      <c r="E503" s="390">
        <v>1350</v>
      </c>
      <c r="F503" s="390">
        <v>1550</v>
      </c>
      <c r="H503" s="351">
        <f t="shared" si="40"/>
        <v>750000</v>
      </c>
      <c r="I503" s="351">
        <f t="shared" si="41"/>
        <v>1550000</v>
      </c>
      <c r="M503" s="321">
        <v>1611301181</v>
      </c>
      <c r="N503" s="321">
        <v>61</v>
      </c>
      <c r="O503" s="321" t="s">
        <v>2580</v>
      </c>
      <c r="P503" s="321">
        <v>1611301</v>
      </c>
      <c r="Q503" s="322">
        <v>202000</v>
      </c>
      <c r="R503" s="322">
        <v>151400</v>
      </c>
      <c r="S503" s="322">
        <v>211000</v>
      </c>
      <c r="T503" s="322">
        <v>211000</v>
      </c>
      <c r="U503" s="322">
        <f t="shared" si="37"/>
        <v>0</v>
      </c>
      <c r="W503" s="321">
        <f t="shared" si="38"/>
        <v>181</v>
      </c>
      <c r="X503" s="321">
        <f t="shared" si="39"/>
        <v>611301</v>
      </c>
      <c r="Y503" s="321">
        <v>1</v>
      </c>
      <c r="AA503" s="321" t="s">
        <v>2580</v>
      </c>
    </row>
    <row r="504" spans="1:27">
      <c r="A504" s="376">
        <v>691</v>
      </c>
      <c r="B504" s="377">
        <v>648300</v>
      </c>
      <c r="C504" s="382" t="s">
        <v>6827</v>
      </c>
      <c r="D504" s="389">
        <v>1050</v>
      </c>
      <c r="E504" s="390">
        <v>1050</v>
      </c>
      <c r="F504" s="390">
        <v>1050</v>
      </c>
      <c r="H504" s="351">
        <f t="shared" si="40"/>
        <v>1050000</v>
      </c>
      <c r="I504" s="351">
        <f t="shared" si="41"/>
        <v>1050000</v>
      </c>
      <c r="M504" s="321">
        <v>1611301182</v>
      </c>
      <c r="N504" s="321">
        <v>61</v>
      </c>
      <c r="O504" s="321" t="s">
        <v>2582</v>
      </c>
      <c r="P504" s="321">
        <v>1611301</v>
      </c>
      <c r="Q504" s="322">
        <v>149000</v>
      </c>
      <c r="R504" s="322">
        <v>113200</v>
      </c>
      <c r="S504" s="322">
        <v>162000</v>
      </c>
      <c r="T504" s="322">
        <v>162000</v>
      </c>
      <c r="U504" s="322">
        <f t="shared" si="37"/>
        <v>0</v>
      </c>
      <c r="W504" s="321">
        <f t="shared" si="38"/>
        <v>182</v>
      </c>
      <c r="X504" s="321">
        <f t="shared" si="39"/>
        <v>611301</v>
      </c>
      <c r="Y504" s="321">
        <v>1</v>
      </c>
      <c r="AA504" s="321" t="s">
        <v>2582</v>
      </c>
    </row>
    <row r="505" spans="1:27">
      <c r="A505" s="376">
        <v>692</v>
      </c>
      <c r="B505" s="377">
        <v>648300</v>
      </c>
      <c r="C505" s="382" t="s">
        <v>6828</v>
      </c>
      <c r="D505" s="389">
        <v>300</v>
      </c>
      <c r="E505" s="390">
        <v>300</v>
      </c>
      <c r="F505" s="390">
        <v>300</v>
      </c>
      <c r="H505" s="351">
        <f t="shared" si="40"/>
        <v>300000</v>
      </c>
      <c r="I505" s="351">
        <f t="shared" si="41"/>
        <v>300000</v>
      </c>
      <c r="M505" s="321">
        <v>1611301210</v>
      </c>
      <c r="N505" s="321">
        <v>61</v>
      </c>
      <c r="O505" s="321" t="s">
        <v>5211</v>
      </c>
      <c r="P505" s="321">
        <v>1611301</v>
      </c>
      <c r="Q505" s="322">
        <v>100000</v>
      </c>
      <c r="R505" s="322">
        <v>29700</v>
      </c>
      <c r="S505" s="322">
        <v>100000</v>
      </c>
      <c r="T505" s="322">
        <v>100000</v>
      </c>
      <c r="U505" s="322">
        <f t="shared" si="37"/>
        <v>0</v>
      </c>
      <c r="W505" s="321">
        <f t="shared" si="38"/>
        <v>210</v>
      </c>
      <c r="X505" s="321">
        <f t="shared" si="39"/>
        <v>611301</v>
      </c>
      <c r="Y505" s="321">
        <v>1</v>
      </c>
      <c r="AA505" s="321" t="s">
        <v>5211</v>
      </c>
    </row>
    <row r="506" spans="1:27">
      <c r="A506" s="376">
        <v>693</v>
      </c>
      <c r="B506" s="377">
        <v>648300</v>
      </c>
      <c r="C506" s="382" t="s">
        <v>6829</v>
      </c>
      <c r="D506" s="389">
        <v>50</v>
      </c>
      <c r="E506" s="390">
        <v>20</v>
      </c>
      <c r="F506" s="390">
        <v>50</v>
      </c>
      <c r="H506" s="351">
        <f t="shared" si="40"/>
        <v>50000</v>
      </c>
      <c r="I506" s="351">
        <f t="shared" si="41"/>
        <v>50000</v>
      </c>
      <c r="M506" s="321">
        <v>1611301470</v>
      </c>
      <c r="N506" s="321">
        <v>61</v>
      </c>
      <c r="O506" s="321" t="s">
        <v>2830</v>
      </c>
      <c r="P506" s="321">
        <v>1611301</v>
      </c>
      <c r="Q506" s="322">
        <v>6000</v>
      </c>
      <c r="R506" s="322">
        <v>3000</v>
      </c>
      <c r="S506" s="322">
        <v>6000</v>
      </c>
      <c r="T506" s="322">
        <v>6000</v>
      </c>
      <c r="U506" s="322">
        <f t="shared" si="37"/>
        <v>0</v>
      </c>
      <c r="W506" s="321">
        <f t="shared" si="38"/>
        <v>470</v>
      </c>
      <c r="X506" s="321">
        <f t="shared" si="39"/>
        <v>611301</v>
      </c>
      <c r="Y506" s="321">
        <v>1</v>
      </c>
      <c r="AA506" s="321" t="s">
        <v>2830</v>
      </c>
    </row>
    <row r="507" spans="1:27">
      <c r="A507" s="376">
        <v>691</v>
      </c>
      <c r="B507" s="377">
        <v>648400</v>
      </c>
      <c r="C507" s="382" t="s">
        <v>6827</v>
      </c>
      <c r="D507" s="389">
        <v>250</v>
      </c>
      <c r="E507" s="390">
        <v>335</v>
      </c>
      <c r="F507" s="390">
        <v>335</v>
      </c>
      <c r="H507" s="351">
        <f t="shared" si="40"/>
        <v>250000</v>
      </c>
      <c r="I507" s="351">
        <f t="shared" si="41"/>
        <v>335000</v>
      </c>
      <c r="M507" s="321">
        <v>1611301471</v>
      </c>
      <c r="N507" s="321">
        <v>61</v>
      </c>
      <c r="O507" s="321" t="s">
        <v>5232</v>
      </c>
      <c r="P507" s="321">
        <v>1611301</v>
      </c>
      <c r="Q507" s="322">
        <v>3500</v>
      </c>
      <c r="R507" s="322">
        <v>3500</v>
      </c>
      <c r="S507" s="322">
        <v>3700</v>
      </c>
      <c r="T507" s="322">
        <v>3700</v>
      </c>
      <c r="U507" s="322">
        <f t="shared" si="37"/>
        <v>0</v>
      </c>
      <c r="W507" s="321">
        <f t="shared" si="38"/>
        <v>471</v>
      </c>
      <c r="X507" s="321">
        <f t="shared" si="39"/>
        <v>611301</v>
      </c>
      <c r="Y507" s="321">
        <v>1</v>
      </c>
      <c r="AA507" s="321" t="s">
        <v>5232</v>
      </c>
    </row>
    <row r="508" spans="1:27">
      <c r="A508" s="376">
        <v>692</v>
      </c>
      <c r="B508" s="377">
        <v>648400</v>
      </c>
      <c r="C508" s="382" t="s">
        <v>6828</v>
      </c>
      <c r="D508" s="389">
        <v>30</v>
      </c>
      <c r="E508" s="390">
        <v>40</v>
      </c>
      <c r="F508" s="390">
        <v>40</v>
      </c>
      <c r="H508" s="351">
        <f t="shared" si="40"/>
        <v>30000</v>
      </c>
      <c r="I508" s="351">
        <f t="shared" si="41"/>
        <v>40000</v>
      </c>
      <c r="M508" s="321">
        <v>1611301510</v>
      </c>
      <c r="N508" s="321">
        <v>61</v>
      </c>
      <c r="O508" s="321" t="s">
        <v>5213</v>
      </c>
      <c r="P508" s="321">
        <v>1611301</v>
      </c>
      <c r="Q508" s="322">
        <v>4000</v>
      </c>
      <c r="R508" s="322">
        <v>1800</v>
      </c>
      <c r="S508" s="322">
        <v>4000</v>
      </c>
      <c r="T508" s="322">
        <v>4000</v>
      </c>
      <c r="U508" s="322">
        <f t="shared" si="37"/>
        <v>0</v>
      </c>
      <c r="W508" s="321">
        <f t="shared" si="38"/>
        <v>510</v>
      </c>
      <c r="X508" s="321">
        <f t="shared" si="39"/>
        <v>611301</v>
      </c>
      <c r="Y508" s="321">
        <v>1</v>
      </c>
      <c r="AA508" s="321" t="s">
        <v>5213</v>
      </c>
    </row>
    <row r="509" spans="1:27">
      <c r="A509" s="376">
        <v>693</v>
      </c>
      <c r="B509" s="377">
        <v>648400</v>
      </c>
      <c r="C509" s="382" t="s">
        <v>6829</v>
      </c>
      <c r="D509" s="389">
        <v>70</v>
      </c>
      <c r="E509" s="390">
        <v>125</v>
      </c>
      <c r="F509" s="390">
        <v>125</v>
      </c>
      <c r="H509" s="351">
        <f t="shared" si="40"/>
        <v>70000</v>
      </c>
      <c r="I509" s="351">
        <f t="shared" si="41"/>
        <v>125000</v>
      </c>
      <c r="M509" s="321">
        <v>1611301522</v>
      </c>
      <c r="N509" s="321">
        <v>61</v>
      </c>
      <c r="O509" s="321" t="s">
        <v>5233</v>
      </c>
      <c r="P509" s="321">
        <v>1611301</v>
      </c>
      <c r="Q509" s="322">
        <v>4000</v>
      </c>
      <c r="R509" s="322">
        <v>3100</v>
      </c>
      <c r="S509" s="322">
        <v>4000</v>
      </c>
      <c r="T509" s="322">
        <v>4000</v>
      </c>
      <c r="U509" s="322">
        <f t="shared" si="37"/>
        <v>0</v>
      </c>
      <c r="W509" s="321">
        <f t="shared" si="38"/>
        <v>522</v>
      </c>
      <c r="X509" s="321">
        <f t="shared" si="39"/>
        <v>611301</v>
      </c>
      <c r="Y509" s="321">
        <v>1</v>
      </c>
      <c r="AA509" s="321" t="s">
        <v>5233</v>
      </c>
    </row>
    <row r="510" spans="1:27">
      <c r="A510" s="376">
        <v>691</v>
      </c>
      <c r="B510" s="377">
        <v>648500</v>
      </c>
      <c r="C510" s="382" t="s">
        <v>6827</v>
      </c>
      <c r="D510" s="389">
        <v>2750</v>
      </c>
      <c r="E510" s="390">
        <v>3050</v>
      </c>
      <c r="F510" s="390">
        <v>3050</v>
      </c>
      <c r="H510" s="351">
        <f t="shared" si="40"/>
        <v>2750000</v>
      </c>
      <c r="I510" s="351">
        <f t="shared" si="41"/>
        <v>3050000</v>
      </c>
      <c r="M510" s="321">
        <v>1611301530</v>
      </c>
      <c r="N510" s="321">
        <v>61</v>
      </c>
      <c r="O510" s="321" t="s">
        <v>5234</v>
      </c>
      <c r="P510" s="321">
        <v>1611301</v>
      </c>
      <c r="Q510" s="322">
        <v>25000</v>
      </c>
      <c r="R510" s="322">
        <v>12600</v>
      </c>
      <c r="S510" s="322">
        <v>25000</v>
      </c>
      <c r="T510" s="322">
        <v>25000</v>
      </c>
      <c r="U510" s="322">
        <f t="shared" si="37"/>
        <v>0</v>
      </c>
      <c r="W510" s="321">
        <f t="shared" si="38"/>
        <v>530</v>
      </c>
      <c r="X510" s="321">
        <f t="shared" si="39"/>
        <v>611301</v>
      </c>
      <c r="Y510" s="321">
        <v>1</v>
      </c>
      <c r="AA510" s="321" t="s">
        <v>5234</v>
      </c>
    </row>
    <row r="511" spans="1:27">
      <c r="A511" s="376">
        <v>692</v>
      </c>
      <c r="B511" s="377">
        <v>648500</v>
      </c>
      <c r="C511" s="382" t="s">
        <v>6828</v>
      </c>
      <c r="D511" s="389">
        <v>800</v>
      </c>
      <c r="E511" s="390">
        <v>750</v>
      </c>
      <c r="F511" s="390">
        <v>800</v>
      </c>
      <c r="H511" s="351">
        <f t="shared" si="40"/>
        <v>800000</v>
      </c>
      <c r="I511" s="351">
        <f t="shared" si="41"/>
        <v>800000</v>
      </c>
      <c r="M511" s="321">
        <v>1611301540</v>
      </c>
      <c r="N511" s="321">
        <v>61</v>
      </c>
      <c r="O511" s="321" t="s">
        <v>5216</v>
      </c>
      <c r="P511" s="321">
        <v>1611301</v>
      </c>
      <c r="Q511" s="322">
        <v>2000</v>
      </c>
      <c r="R511" s="322">
        <v>1300</v>
      </c>
      <c r="S511" s="322">
        <v>2500</v>
      </c>
      <c r="T511" s="322">
        <v>2500</v>
      </c>
      <c r="U511" s="322">
        <f t="shared" si="37"/>
        <v>0</v>
      </c>
      <c r="W511" s="321">
        <f t="shared" si="38"/>
        <v>540</v>
      </c>
      <c r="X511" s="321">
        <f t="shared" si="39"/>
        <v>611301</v>
      </c>
      <c r="Y511" s="321">
        <v>1</v>
      </c>
      <c r="AA511" s="321" t="s">
        <v>5216</v>
      </c>
    </row>
    <row r="512" spans="1:27">
      <c r="A512" s="376">
        <v>693</v>
      </c>
      <c r="B512" s="377">
        <v>648500</v>
      </c>
      <c r="C512" s="382" t="s">
        <v>6829</v>
      </c>
      <c r="D512" s="389">
        <v>900</v>
      </c>
      <c r="E512" s="390">
        <v>900</v>
      </c>
      <c r="F512" s="390">
        <v>1000</v>
      </c>
      <c r="H512" s="351">
        <f t="shared" si="40"/>
        <v>900000</v>
      </c>
      <c r="I512" s="351">
        <f t="shared" si="41"/>
        <v>1000000</v>
      </c>
      <c r="M512" s="321">
        <v>1611301542</v>
      </c>
      <c r="N512" s="321">
        <v>61</v>
      </c>
      <c r="O512" s="321" t="s">
        <v>5217</v>
      </c>
      <c r="P512" s="321">
        <v>1611301</v>
      </c>
      <c r="Q512" s="322">
        <v>7100</v>
      </c>
      <c r="R512" s="322">
        <v>4200</v>
      </c>
      <c r="S512" s="322">
        <v>10000</v>
      </c>
      <c r="T512" s="322">
        <v>10000</v>
      </c>
      <c r="U512" s="322">
        <f t="shared" si="37"/>
        <v>0</v>
      </c>
      <c r="W512" s="321">
        <f t="shared" si="38"/>
        <v>542</v>
      </c>
      <c r="X512" s="321">
        <f t="shared" si="39"/>
        <v>611301</v>
      </c>
      <c r="Y512" s="321">
        <v>1</v>
      </c>
      <c r="AA512" s="321" t="s">
        <v>5217</v>
      </c>
    </row>
    <row r="513" spans="1:27">
      <c r="A513" s="376">
        <v>691</v>
      </c>
      <c r="B513" s="377">
        <v>648600</v>
      </c>
      <c r="C513" s="382" t="s">
        <v>6827</v>
      </c>
      <c r="D513" s="389">
        <v>3750</v>
      </c>
      <c r="E513" s="390">
        <v>3750</v>
      </c>
      <c r="F513" s="390">
        <v>3750</v>
      </c>
      <c r="H513" s="351">
        <f t="shared" si="40"/>
        <v>3750000</v>
      </c>
      <c r="I513" s="351">
        <f t="shared" si="41"/>
        <v>3750000</v>
      </c>
      <c r="M513" s="321">
        <v>1611301580</v>
      </c>
      <c r="N513" s="321">
        <v>61</v>
      </c>
      <c r="O513" s="321" t="s">
        <v>5235</v>
      </c>
      <c r="P513" s="321">
        <v>1611301</v>
      </c>
      <c r="Q513" s="322">
        <v>345000</v>
      </c>
      <c r="R513" s="322">
        <v>61400</v>
      </c>
      <c r="S513" s="322">
        <v>345000</v>
      </c>
      <c r="T513" s="322">
        <v>150000</v>
      </c>
      <c r="U513" s="322">
        <f t="shared" si="37"/>
        <v>195000</v>
      </c>
      <c r="W513" s="321">
        <f t="shared" si="38"/>
        <v>580</v>
      </c>
      <c r="X513" s="321">
        <f t="shared" si="39"/>
        <v>611301</v>
      </c>
      <c r="Y513" s="321">
        <v>1</v>
      </c>
      <c r="AA513" s="321" t="s">
        <v>5235</v>
      </c>
    </row>
    <row r="514" spans="1:27">
      <c r="A514" s="376">
        <v>692</v>
      </c>
      <c r="B514" s="377">
        <v>648600</v>
      </c>
      <c r="C514" s="382" t="s">
        <v>6828</v>
      </c>
      <c r="D514" s="389">
        <v>1100</v>
      </c>
      <c r="E514" s="390">
        <v>1100</v>
      </c>
      <c r="F514" s="390">
        <v>1100</v>
      </c>
      <c r="H514" s="351">
        <f t="shared" si="40"/>
        <v>1100000</v>
      </c>
      <c r="I514" s="351">
        <f t="shared" si="41"/>
        <v>1100000</v>
      </c>
      <c r="M514" s="321">
        <v>1611301581</v>
      </c>
      <c r="N514" s="321">
        <v>61</v>
      </c>
      <c r="O514" s="321" t="s">
        <v>5236</v>
      </c>
      <c r="P514" s="321">
        <v>1611301</v>
      </c>
      <c r="Q514" s="322">
        <v>0</v>
      </c>
      <c r="R514" s="322">
        <v>0</v>
      </c>
      <c r="S514" s="322">
        <v>0</v>
      </c>
      <c r="T514" s="322">
        <v>0</v>
      </c>
      <c r="U514" s="322">
        <f t="shared" ref="U514:U577" si="42">S514-T514</f>
        <v>0</v>
      </c>
      <c r="W514" s="321">
        <f t="shared" si="38"/>
        <v>581</v>
      </c>
      <c r="X514" s="321">
        <f t="shared" si="39"/>
        <v>611301</v>
      </c>
      <c r="Y514" s="321">
        <v>1</v>
      </c>
      <c r="AA514" s="321" t="s">
        <v>5236</v>
      </c>
    </row>
    <row r="515" spans="1:27">
      <c r="A515" s="376">
        <v>693</v>
      </c>
      <c r="B515" s="377">
        <v>648600</v>
      </c>
      <c r="C515" s="382" t="s">
        <v>6829</v>
      </c>
      <c r="D515" s="389">
        <v>1200</v>
      </c>
      <c r="E515" s="390">
        <v>1200</v>
      </c>
      <c r="F515" s="390">
        <v>1200</v>
      </c>
      <c r="H515" s="351">
        <f t="shared" si="40"/>
        <v>1200000</v>
      </c>
      <c r="I515" s="351">
        <f t="shared" si="41"/>
        <v>1200000</v>
      </c>
      <c r="M515" s="321">
        <v>1611301582</v>
      </c>
      <c r="N515" s="321">
        <v>61</v>
      </c>
      <c r="O515" s="321" t="s">
        <v>5237</v>
      </c>
      <c r="P515" s="321">
        <v>1611301</v>
      </c>
      <c r="Q515" s="322">
        <v>0</v>
      </c>
      <c r="R515" s="322">
        <v>0</v>
      </c>
      <c r="S515" s="322">
        <v>0</v>
      </c>
      <c r="T515" s="322">
        <v>0</v>
      </c>
      <c r="U515" s="322">
        <f t="shared" si="42"/>
        <v>0</v>
      </c>
      <c r="W515" s="321">
        <f t="shared" ref="W515:W578" si="43">M515-1000000000-X515*1000</f>
        <v>582</v>
      </c>
      <c r="X515" s="321">
        <f t="shared" ref="X515:X578" si="44">ROUNDDOWN((M515-1000000000)/1000,0)</f>
        <v>611301</v>
      </c>
      <c r="Y515" s="321">
        <v>1</v>
      </c>
      <c r="AA515" s="321" t="s">
        <v>5237</v>
      </c>
    </row>
    <row r="516" spans="1:27">
      <c r="A516" s="376">
        <v>100</v>
      </c>
      <c r="B516" s="377">
        <v>711000</v>
      </c>
      <c r="C516" s="382" t="s">
        <v>6747</v>
      </c>
      <c r="D516" s="379">
        <f>1692-410</f>
        <v>1282</v>
      </c>
      <c r="E516" s="380">
        <v>1600</v>
      </c>
      <c r="F516" s="380">
        <v>1800</v>
      </c>
      <c r="H516" s="351">
        <f t="shared" si="40"/>
        <v>1282000</v>
      </c>
      <c r="I516" s="351">
        <f t="shared" si="41"/>
        <v>1800000</v>
      </c>
      <c r="M516" s="321">
        <v>1611301750</v>
      </c>
      <c r="N516" s="321">
        <v>61</v>
      </c>
      <c r="O516" s="321" t="s">
        <v>2707</v>
      </c>
      <c r="P516" s="321">
        <v>1611301</v>
      </c>
      <c r="Q516" s="322">
        <v>40000</v>
      </c>
      <c r="R516" s="322">
        <v>3000</v>
      </c>
      <c r="S516" s="322">
        <v>40000</v>
      </c>
      <c r="T516" s="322">
        <v>20000</v>
      </c>
      <c r="U516" s="322">
        <f t="shared" si="42"/>
        <v>20000</v>
      </c>
      <c r="W516" s="321">
        <f t="shared" si="43"/>
        <v>750</v>
      </c>
      <c r="X516" s="321">
        <f t="shared" si="44"/>
        <v>611301</v>
      </c>
      <c r="Y516" s="321">
        <v>1</v>
      </c>
      <c r="AA516" s="321" t="s">
        <v>2707</v>
      </c>
    </row>
    <row r="517" spans="1:27">
      <c r="A517" s="376">
        <v>101</v>
      </c>
      <c r="B517" s="377">
        <v>711000</v>
      </c>
      <c r="C517" s="382" t="s">
        <v>6830</v>
      </c>
      <c r="D517" s="379">
        <v>1343</v>
      </c>
      <c r="E517" s="380">
        <v>0</v>
      </c>
      <c r="F517" s="380">
        <v>0</v>
      </c>
      <c r="H517" s="351">
        <f t="shared" si="40"/>
        <v>1343000</v>
      </c>
      <c r="I517" s="351">
        <f t="shared" si="41"/>
        <v>0</v>
      </c>
      <c r="M517" s="321">
        <v>1611301751</v>
      </c>
      <c r="N517" s="321">
        <v>61</v>
      </c>
      <c r="O517" s="321" t="s">
        <v>5238</v>
      </c>
      <c r="P517" s="321">
        <v>1611301</v>
      </c>
      <c r="Q517" s="322">
        <v>0</v>
      </c>
      <c r="R517" s="322">
        <v>0</v>
      </c>
      <c r="S517" s="322">
        <v>0</v>
      </c>
      <c r="T517" s="322">
        <v>0</v>
      </c>
      <c r="U517" s="322">
        <f t="shared" si="42"/>
        <v>0</v>
      </c>
      <c r="W517" s="321">
        <f t="shared" si="43"/>
        <v>751</v>
      </c>
      <c r="X517" s="321">
        <f t="shared" si="44"/>
        <v>611301</v>
      </c>
      <c r="Y517" s="321">
        <v>1</v>
      </c>
      <c r="AA517" s="321" t="s">
        <v>5238</v>
      </c>
    </row>
    <row r="518" spans="1:27">
      <c r="A518" s="376">
        <v>430</v>
      </c>
      <c r="B518" s="377">
        <v>711000</v>
      </c>
      <c r="C518" s="382" t="s">
        <v>6798</v>
      </c>
      <c r="D518" s="379">
        <v>100</v>
      </c>
      <c r="E518" s="380">
        <v>95</v>
      </c>
      <c r="F518" s="380">
        <v>104</v>
      </c>
      <c r="H518" s="351">
        <f t="shared" si="40"/>
        <v>100000</v>
      </c>
      <c r="I518" s="351">
        <f t="shared" si="41"/>
        <v>104000</v>
      </c>
      <c r="M518" s="321">
        <v>1611301760</v>
      </c>
      <c r="N518" s="321">
        <v>61</v>
      </c>
      <c r="O518" s="321" t="s">
        <v>5218</v>
      </c>
      <c r="P518" s="321">
        <v>1611301</v>
      </c>
      <c r="Q518" s="322">
        <v>0</v>
      </c>
      <c r="R518" s="322">
        <v>0</v>
      </c>
      <c r="S518" s="322">
        <v>0</v>
      </c>
      <c r="T518" s="322">
        <v>0</v>
      </c>
      <c r="U518" s="322">
        <f t="shared" si="42"/>
        <v>0</v>
      </c>
      <c r="W518" s="321">
        <f t="shared" si="43"/>
        <v>760</v>
      </c>
      <c r="X518" s="321">
        <f t="shared" si="44"/>
        <v>611301</v>
      </c>
      <c r="Y518" s="321">
        <v>1</v>
      </c>
      <c r="AA518" s="321" t="s">
        <v>5218</v>
      </c>
    </row>
    <row r="519" spans="1:27">
      <c r="A519" s="376">
        <v>470</v>
      </c>
      <c r="B519" s="377">
        <v>711000</v>
      </c>
      <c r="C519" s="382" t="s">
        <v>6769</v>
      </c>
      <c r="D519" s="379">
        <v>51</v>
      </c>
      <c r="E519" s="380">
        <v>81</v>
      </c>
      <c r="F519" s="380">
        <v>81</v>
      </c>
      <c r="H519" s="351">
        <f t="shared" si="40"/>
        <v>51000</v>
      </c>
      <c r="I519" s="351">
        <f t="shared" si="41"/>
        <v>81000</v>
      </c>
      <c r="M519" s="321">
        <v>1611301780</v>
      </c>
      <c r="N519" s="321">
        <v>61</v>
      </c>
      <c r="O519" s="321" t="s">
        <v>5239</v>
      </c>
      <c r="P519" s="321">
        <v>1611301</v>
      </c>
      <c r="Q519" s="322">
        <v>90000</v>
      </c>
      <c r="R519" s="322">
        <v>29000</v>
      </c>
      <c r="S519" s="322">
        <v>90000</v>
      </c>
      <c r="T519" s="322">
        <v>45000</v>
      </c>
      <c r="U519" s="322">
        <f t="shared" si="42"/>
        <v>45000</v>
      </c>
      <c r="W519" s="321">
        <f t="shared" si="43"/>
        <v>780</v>
      </c>
      <c r="X519" s="321">
        <f t="shared" si="44"/>
        <v>611301</v>
      </c>
      <c r="Y519" s="321">
        <v>1</v>
      </c>
      <c r="AA519" s="321" t="s">
        <v>5239</v>
      </c>
    </row>
    <row r="520" spans="1:27">
      <c r="A520" s="376">
        <v>530</v>
      </c>
      <c r="B520" s="377">
        <v>711000</v>
      </c>
      <c r="C520" s="382" t="s">
        <v>6831</v>
      </c>
      <c r="D520" s="379">
        <v>70</v>
      </c>
      <c r="E520" s="380">
        <v>60</v>
      </c>
      <c r="F520" s="380">
        <v>60</v>
      </c>
      <c r="H520" s="351">
        <f t="shared" si="40"/>
        <v>70000</v>
      </c>
      <c r="I520" s="351">
        <f t="shared" si="41"/>
        <v>60000</v>
      </c>
      <c r="M520" s="321">
        <v>1611301930</v>
      </c>
      <c r="N520" s="321">
        <v>61</v>
      </c>
      <c r="O520" s="321" t="s">
        <v>2834</v>
      </c>
      <c r="P520" s="321">
        <v>1611301</v>
      </c>
      <c r="Q520" s="322">
        <v>0</v>
      </c>
      <c r="R520" s="322">
        <v>0</v>
      </c>
      <c r="S520" s="322">
        <v>0</v>
      </c>
      <c r="T520" s="322">
        <v>0</v>
      </c>
      <c r="U520" s="322">
        <f t="shared" si="42"/>
        <v>0</v>
      </c>
      <c r="W520" s="321">
        <f t="shared" si="43"/>
        <v>930</v>
      </c>
      <c r="X520" s="321">
        <f t="shared" si="44"/>
        <v>611301</v>
      </c>
      <c r="Y520" s="321">
        <v>1</v>
      </c>
      <c r="AA520" s="321" t="s">
        <v>2834</v>
      </c>
    </row>
    <row r="521" spans="1:27">
      <c r="A521" s="376">
        <v>522</v>
      </c>
      <c r="B521" s="377">
        <v>711000</v>
      </c>
      <c r="C521" s="382" t="s">
        <v>6749</v>
      </c>
      <c r="D521" s="379">
        <v>0</v>
      </c>
      <c r="E521" s="380">
        <v>1</v>
      </c>
      <c r="F521" s="380">
        <v>1</v>
      </c>
      <c r="H521" s="351">
        <f t="shared" si="40"/>
        <v>0</v>
      </c>
      <c r="I521" s="351">
        <f t="shared" si="41"/>
        <v>1000</v>
      </c>
      <c r="M521" s="321">
        <v>1611301931</v>
      </c>
      <c r="N521" s="321">
        <v>61</v>
      </c>
      <c r="O521" s="321" t="s">
        <v>5240</v>
      </c>
      <c r="P521" s="321">
        <v>1611301</v>
      </c>
      <c r="Q521" s="322">
        <v>134000</v>
      </c>
      <c r="R521" s="322">
        <v>9000</v>
      </c>
      <c r="S521" s="322">
        <v>134000</v>
      </c>
      <c r="T521" s="322">
        <v>34000</v>
      </c>
      <c r="U521" s="322">
        <f t="shared" si="42"/>
        <v>100000</v>
      </c>
      <c r="W521" s="321">
        <f t="shared" si="43"/>
        <v>931</v>
      </c>
      <c r="X521" s="321">
        <f t="shared" si="44"/>
        <v>611301</v>
      </c>
      <c r="Y521" s="321">
        <v>1</v>
      </c>
      <c r="AA521" s="321" t="s">
        <v>5240</v>
      </c>
    </row>
    <row r="522" spans="1:27">
      <c r="A522" s="376">
        <v>540</v>
      </c>
      <c r="B522" s="377">
        <v>711000</v>
      </c>
      <c r="C522" s="382" t="s">
        <v>6832</v>
      </c>
      <c r="D522" s="379">
        <v>17</v>
      </c>
      <c r="E522" s="380">
        <v>18</v>
      </c>
      <c r="F522" s="380">
        <v>6</v>
      </c>
      <c r="H522" s="351">
        <f t="shared" si="40"/>
        <v>17000</v>
      </c>
      <c r="I522" s="351">
        <f t="shared" si="41"/>
        <v>6000</v>
      </c>
      <c r="M522" s="321">
        <v>1611301981</v>
      </c>
      <c r="N522" s="321">
        <v>61</v>
      </c>
      <c r="O522" s="321" t="s">
        <v>5241</v>
      </c>
      <c r="P522" s="321">
        <v>1611301</v>
      </c>
      <c r="Q522" s="322">
        <v>0</v>
      </c>
      <c r="R522" s="322">
        <v>0</v>
      </c>
      <c r="S522" s="322">
        <v>0</v>
      </c>
      <c r="T522" s="322">
        <v>0</v>
      </c>
      <c r="U522" s="322">
        <f t="shared" si="42"/>
        <v>0</v>
      </c>
      <c r="W522" s="321">
        <f t="shared" si="43"/>
        <v>981</v>
      </c>
      <c r="X522" s="321">
        <f t="shared" si="44"/>
        <v>611301</v>
      </c>
      <c r="Y522" s="321">
        <v>1</v>
      </c>
      <c r="AA522" s="321" t="s">
        <v>5241</v>
      </c>
    </row>
    <row r="523" spans="1:27">
      <c r="A523" s="376">
        <v>550</v>
      </c>
      <c r="B523" s="377">
        <v>711000</v>
      </c>
      <c r="C523" s="382" t="s">
        <v>6737</v>
      </c>
      <c r="D523" s="379">
        <v>80</v>
      </c>
      <c r="E523" s="380">
        <v>130</v>
      </c>
      <c r="F523" s="380">
        <v>130</v>
      </c>
      <c r="H523" s="351">
        <f t="shared" si="40"/>
        <v>80000</v>
      </c>
      <c r="I523" s="351">
        <f t="shared" si="41"/>
        <v>130000</v>
      </c>
      <c r="M523" s="321">
        <v>1611302110</v>
      </c>
      <c r="N523" s="321">
        <v>61</v>
      </c>
      <c r="O523" s="321" t="s">
        <v>5231</v>
      </c>
      <c r="P523" s="321">
        <v>1611302</v>
      </c>
      <c r="Q523" s="322">
        <v>692000</v>
      </c>
      <c r="R523" s="322">
        <v>488200</v>
      </c>
      <c r="S523" s="322">
        <v>692000</v>
      </c>
      <c r="T523" s="322">
        <v>692000</v>
      </c>
      <c r="U523" s="322">
        <f t="shared" si="42"/>
        <v>0</v>
      </c>
      <c r="W523" s="321">
        <f t="shared" si="43"/>
        <v>110</v>
      </c>
      <c r="X523" s="321">
        <f t="shared" si="44"/>
        <v>611302</v>
      </c>
      <c r="Y523" s="321">
        <v>1</v>
      </c>
      <c r="AA523" s="321" t="s">
        <v>5231</v>
      </c>
    </row>
    <row r="524" spans="1:27">
      <c r="A524" s="376">
        <v>730</v>
      </c>
      <c r="B524" s="377">
        <v>711000</v>
      </c>
      <c r="C524" s="381" t="s">
        <v>6833</v>
      </c>
      <c r="D524" s="379">
        <v>26</v>
      </c>
      <c r="E524" s="380">
        <v>25</v>
      </c>
      <c r="F524" s="380">
        <v>25</v>
      </c>
      <c r="H524" s="351">
        <f t="shared" si="40"/>
        <v>26000</v>
      </c>
      <c r="I524" s="351">
        <f t="shared" si="41"/>
        <v>25000</v>
      </c>
      <c r="M524" s="321">
        <v>1611302120</v>
      </c>
      <c r="N524" s="321">
        <v>61</v>
      </c>
      <c r="O524" s="321" t="s">
        <v>5206</v>
      </c>
      <c r="P524" s="321">
        <v>1611302</v>
      </c>
      <c r="Q524" s="322">
        <v>69000</v>
      </c>
      <c r="R524" s="322">
        <v>55900</v>
      </c>
      <c r="S524" s="322">
        <v>66000</v>
      </c>
      <c r="T524" s="322">
        <v>66000</v>
      </c>
      <c r="U524" s="322">
        <f t="shared" si="42"/>
        <v>0</v>
      </c>
      <c r="W524" s="321">
        <f t="shared" si="43"/>
        <v>120</v>
      </c>
      <c r="X524" s="321">
        <f t="shared" si="44"/>
        <v>611302</v>
      </c>
      <c r="Y524" s="321">
        <v>1</v>
      </c>
      <c r="AA524" s="321" t="s">
        <v>5206</v>
      </c>
    </row>
    <row r="525" spans="1:27">
      <c r="A525" s="376">
        <v>742</v>
      </c>
      <c r="B525" s="377">
        <v>711000</v>
      </c>
      <c r="C525" s="385" t="s">
        <v>6740</v>
      </c>
      <c r="D525" s="379">
        <v>4</v>
      </c>
      <c r="E525" s="380">
        <v>4</v>
      </c>
      <c r="F525" s="380">
        <v>4</v>
      </c>
      <c r="H525" s="351">
        <f t="shared" si="40"/>
        <v>4000</v>
      </c>
      <c r="I525" s="351">
        <f t="shared" si="41"/>
        <v>4000</v>
      </c>
      <c r="M525" s="321">
        <v>1611302130</v>
      </c>
      <c r="N525" s="321">
        <v>61</v>
      </c>
      <c r="O525" s="321" t="s">
        <v>2576</v>
      </c>
      <c r="P525" s="321">
        <v>1611302</v>
      </c>
      <c r="Q525" s="322">
        <v>11000</v>
      </c>
      <c r="R525" s="322">
        <v>13000</v>
      </c>
      <c r="S525" s="322">
        <v>21000</v>
      </c>
      <c r="T525" s="322">
        <v>18900</v>
      </c>
      <c r="U525" s="322">
        <f t="shared" si="42"/>
        <v>2100</v>
      </c>
      <c r="W525" s="321">
        <f t="shared" si="43"/>
        <v>130</v>
      </c>
      <c r="X525" s="321">
        <f t="shared" si="44"/>
        <v>611302</v>
      </c>
      <c r="Y525" s="321">
        <v>1</v>
      </c>
      <c r="AA525" s="321" t="s">
        <v>2576</v>
      </c>
    </row>
    <row r="526" spans="1:27">
      <c r="A526" s="376">
        <v>750</v>
      </c>
      <c r="B526" s="377">
        <v>711000</v>
      </c>
      <c r="C526" s="385" t="s">
        <v>6834</v>
      </c>
      <c r="D526" s="379">
        <v>118</v>
      </c>
      <c r="E526" s="380">
        <v>119</v>
      </c>
      <c r="F526" s="380">
        <v>119</v>
      </c>
      <c r="H526" s="351">
        <f t="shared" si="40"/>
        <v>118000</v>
      </c>
      <c r="I526" s="351">
        <f t="shared" si="41"/>
        <v>119000</v>
      </c>
      <c r="M526" s="321">
        <v>1611302140</v>
      </c>
      <c r="N526" s="321">
        <v>61</v>
      </c>
      <c r="O526" s="321" t="s">
        <v>5242</v>
      </c>
      <c r="P526" s="321">
        <v>1611302</v>
      </c>
      <c r="Q526" s="322">
        <v>66000</v>
      </c>
      <c r="R526" s="322">
        <v>51800</v>
      </c>
      <c r="S526" s="322">
        <v>71000</v>
      </c>
      <c r="T526" s="322">
        <v>71000</v>
      </c>
      <c r="U526" s="322">
        <f t="shared" si="42"/>
        <v>0</v>
      </c>
      <c r="W526" s="321">
        <f t="shared" si="43"/>
        <v>140</v>
      </c>
      <c r="X526" s="321">
        <f t="shared" si="44"/>
        <v>611302</v>
      </c>
      <c r="Y526" s="321">
        <v>1</v>
      </c>
      <c r="AA526" s="321" t="s">
        <v>5242</v>
      </c>
    </row>
    <row r="527" spans="1:27">
      <c r="A527" s="376">
        <v>752</v>
      </c>
      <c r="B527" s="377">
        <v>711000</v>
      </c>
      <c r="C527" s="385" t="s">
        <v>6835</v>
      </c>
      <c r="D527" s="379">
        <v>15</v>
      </c>
      <c r="E527" s="380">
        <v>15</v>
      </c>
      <c r="F527" s="380">
        <v>15</v>
      </c>
      <c r="H527" s="351">
        <f t="shared" si="40"/>
        <v>15000</v>
      </c>
      <c r="I527" s="351">
        <f t="shared" si="41"/>
        <v>15000</v>
      </c>
      <c r="M527" s="321">
        <v>1611302141</v>
      </c>
      <c r="N527" s="321">
        <v>61</v>
      </c>
      <c r="O527" s="321" t="s">
        <v>5208</v>
      </c>
      <c r="P527" s="321">
        <v>1611302</v>
      </c>
      <c r="Q527" s="322">
        <v>35000</v>
      </c>
      <c r="R527" s="322">
        <v>21500</v>
      </c>
      <c r="S527" s="322">
        <v>31000</v>
      </c>
      <c r="T527" s="322">
        <v>31000</v>
      </c>
      <c r="U527" s="322">
        <f t="shared" si="42"/>
        <v>0</v>
      </c>
      <c r="W527" s="321">
        <f t="shared" si="43"/>
        <v>141</v>
      </c>
      <c r="X527" s="321">
        <f t="shared" si="44"/>
        <v>611302</v>
      </c>
      <c r="Y527" s="321">
        <v>1</v>
      </c>
      <c r="AA527" s="321" t="s">
        <v>5208</v>
      </c>
    </row>
    <row r="528" spans="1:27">
      <c r="A528" s="376">
        <v>960</v>
      </c>
      <c r="B528" s="377">
        <v>711000</v>
      </c>
      <c r="C528" s="382" t="s">
        <v>6782</v>
      </c>
      <c r="D528" s="379">
        <v>350</v>
      </c>
      <c r="E528" s="380">
        <v>573</v>
      </c>
      <c r="F528" s="380">
        <v>573</v>
      </c>
      <c r="H528" s="351">
        <f t="shared" si="40"/>
        <v>350000</v>
      </c>
      <c r="I528" s="351">
        <f t="shared" si="41"/>
        <v>573000</v>
      </c>
      <c r="M528" s="321">
        <v>1611302181</v>
      </c>
      <c r="N528" s="321">
        <v>61</v>
      </c>
      <c r="O528" s="321" t="s">
        <v>2580</v>
      </c>
      <c r="P528" s="321">
        <v>1611302</v>
      </c>
      <c r="Q528" s="322">
        <v>101000</v>
      </c>
      <c r="R528" s="322">
        <v>72600</v>
      </c>
      <c r="S528" s="322">
        <v>103000</v>
      </c>
      <c r="T528" s="322">
        <v>103000</v>
      </c>
      <c r="U528" s="322">
        <f t="shared" si="42"/>
        <v>0</v>
      </c>
      <c r="W528" s="321">
        <f t="shared" si="43"/>
        <v>181</v>
      </c>
      <c r="X528" s="321">
        <f t="shared" si="44"/>
        <v>611302</v>
      </c>
      <c r="Y528" s="321">
        <v>1</v>
      </c>
      <c r="AA528" s="321" t="s">
        <v>2580</v>
      </c>
    </row>
    <row r="529" spans="1:27">
      <c r="A529" s="376">
        <v>100</v>
      </c>
      <c r="B529" s="377">
        <v>712000</v>
      </c>
      <c r="C529" s="381" t="s">
        <v>6711</v>
      </c>
      <c r="D529" s="379">
        <v>1095</v>
      </c>
      <c r="E529" s="380">
        <v>935</v>
      </c>
      <c r="F529" s="380">
        <v>800</v>
      </c>
      <c r="H529" s="351">
        <f t="shared" si="40"/>
        <v>1095000</v>
      </c>
      <c r="I529" s="351">
        <f t="shared" si="41"/>
        <v>800000</v>
      </c>
      <c r="M529" s="321">
        <v>1611302182</v>
      </c>
      <c r="N529" s="321">
        <v>61</v>
      </c>
      <c r="O529" s="321" t="s">
        <v>2582</v>
      </c>
      <c r="P529" s="321">
        <v>1611302</v>
      </c>
      <c r="Q529" s="322">
        <v>129000</v>
      </c>
      <c r="R529" s="322">
        <v>95000</v>
      </c>
      <c r="S529" s="322">
        <v>135000</v>
      </c>
      <c r="T529" s="322">
        <v>135000</v>
      </c>
      <c r="U529" s="322">
        <f t="shared" si="42"/>
        <v>0</v>
      </c>
      <c r="W529" s="321">
        <f t="shared" si="43"/>
        <v>182</v>
      </c>
      <c r="X529" s="321">
        <f t="shared" si="44"/>
        <v>611302</v>
      </c>
      <c r="Y529" s="321">
        <v>1</v>
      </c>
      <c r="AA529" s="321" t="s">
        <v>2582</v>
      </c>
    </row>
    <row r="530" spans="1:27">
      <c r="A530" s="376">
        <v>101</v>
      </c>
      <c r="B530" s="377">
        <v>712000</v>
      </c>
      <c r="C530" s="381" t="s">
        <v>6836</v>
      </c>
      <c r="D530" s="379">
        <v>557</v>
      </c>
      <c r="E530" s="380">
        <v>520</v>
      </c>
      <c r="F530" s="380">
        <v>560</v>
      </c>
      <c r="H530" s="351">
        <f t="shared" ref="H530:H593" si="45">D530*1000</f>
        <v>557000</v>
      </c>
      <c r="I530" s="351">
        <f t="shared" ref="I530:I593" si="46">F530*1000</f>
        <v>560000</v>
      </c>
      <c r="M530" s="321">
        <v>1611302210</v>
      </c>
      <c r="N530" s="321">
        <v>61</v>
      </c>
      <c r="O530" s="321" t="s">
        <v>5211</v>
      </c>
      <c r="P530" s="321">
        <v>1611302</v>
      </c>
      <c r="Q530" s="322">
        <v>70000</v>
      </c>
      <c r="R530" s="322">
        <v>62500</v>
      </c>
      <c r="S530" s="322">
        <v>70000</v>
      </c>
      <c r="T530" s="322">
        <v>70000</v>
      </c>
      <c r="U530" s="322">
        <f t="shared" si="42"/>
        <v>0</v>
      </c>
      <c r="W530" s="321">
        <f t="shared" si="43"/>
        <v>210</v>
      </c>
      <c r="X530" s="321">
        <f t="shared" si="44"/>
        <v>611302</v>
      </c>
      <c r="Y530" s="321">
        <v>1</v>
      </c>
      <c r="AA530" s="321" t="s">
        <v>5211</v>
      </c>
    </row>
    <row r="531" spans="1:27">
      <c r="A531" s="376">
        <v>102</v>
      </c>
      <c r="B531" s="377">
        <v>712000</v>
      </c>
      <c r="C531" s="381" t="s">
        <v>6837</v>
      </c>
      <c r="D531" s="379">
        <v>1045</v>
      </c>
      <c r="E531" s="380">
        <v>950</v>
      </c>
      <c r="F531" s="380">
        <v>900</v>
      </c>
      <c r="H531" s="351">
        <f t="shared" si="45"/>
        <v>1045000</v>
      </c>
      <c r="I531" s="351">
        <f t="shared" si="46"/>
        <v>900000</v>
      </c>
      <c r="M531" s="321">
        <v>1611302470</v>
      </c>
      <c r="N531" s="321">
        <v>61</v>
      </c>
      <c r="O531" s="321" t="s">
        <v>5243</v>
      </c>
      <c r="P531" s="321">
        <v>1611302</v>
      </c>
      <c r="Q531" s="322">
        <v>6000</v>
      </c>
      <c r="R531" s="322">
        <v>3100</v>
      </c>
      <c r="S531" s="322">
        <v>6000</v>
      </c>
      <c r="T531" s="322">
        <v>6000</v>
      </c>
      <c r="U531" s="322">
        <f t="shared" si="42"/>
        <v>0</v>
      </c>
      <c r="W531" s="321">
        <f t="shared" si="43"/>
        <v>470</v>
      </c>
      <c r="X531" s="321">
        <f t="shared" si="44"/>
        <v>611302</v>
      </c>
      <c r="Y531" s="321">
        <v>1</v>
      </c>
      <c r="AA531" s="321" t="s">
        <v>5243</v>
      </c>
    </row>
    <row r="532" spans="1:27">
      <c r="A532" s="376">
        <v>127</v>
      </c>
      <c r="B532" s="377">
        <v>712000</v>
      </c>
      <c r="C532" s="382" t="s">
        <v>6838</v>
      </c>
      <c r="D532" s="379">
        <v>5</v>
      </c>
      <c r="E532" s="380">
        <v>5</v>
      </c>
      <c r="F532" s="380">
        <v>5</v>
      </c>
      <c r="H532" s="351">
        <f t="shared" si="45"/>
        <v>5000</v>
      </c>
      <c r="I532" s="351">
        <f t="shared" si="46"/>
        <v>5000</v>
      </c>
      <c r="M532" s="321">
        <v>1611302471</v>
      </c>
      <c r="N532" s="321">
        <v>61</v>
      </c>
      <c r="O532" s="321" t="s">
        <v>5223</v>
      </c>
      <c r="P532" s="321">
        <v>1611302</v>
      </c>
      <c r="Q532" s="322">
        <v>4700</v>
      </c>
      <c r="R532" s="322">
        <v>4700</v>
      </c>
      <c r="S532" s="322">
        <v>5000</v>
      </c>
      <c r="T532" s="322">
        <v>5000</v>
      </c>
      <c r="U532" s="322">
        <f t="shared" si="42"/>
        <v>0</v>
      </c>
      <c r="W532" s="321">
        <f t="shared" si="43"/>
        <v>471</v>
      </c>
      <c r="X532" s="321">
        <f t="shared" si="44"/>
        <v>611302</v>
      </c>
      <c r="Y532" s="321">
        <v>1</v>
      </c>
      <c r="AA532" s="321" t="s">
        <v>5223</v>
      </c>
    </row>
    <row r="533" spans="1:27">
      <c r="A533" s="376">
        <v>720</v>
      </c>
      <c r="B533" s="377">
        <v>712000</v>
      </c>
      <c r="C533" s="382" t="s">
        <v>6839</v>
      </c>
      <c r="D533" s="379">
        <v>180</v>
      </c>
      <c r="E533" s="380">
        <v>180</v>
      </c>
      <c r="F533" s="380">
        <v>180</v>
      </c>
      <c r="H533" s="351">
        <f t="shared" si="45"/>
        <v>180000</v>
      </c>
      <c r="I533" s="351">
        <f t="shared" si="46"/>
        <v>180000</v>
      </c>
      <c r="M533" s="321">
        <v>1611302510</v>
      </c>
      <c r="N533" s="321">
        <v>61</v>
      </c>
      <c r="O533" s="321" t="s">
        <v>5213</v>
      </c>
      <c r="P533" s="321">
        <v>1611302</v>
      </c>
      <c r="Q533" s="322">
        <v>2000</v>
      </c>
      <c r="R533" s="322">
        <v>500</v>
      </c>
      <c r="S533" s="322">
        <v>2000</v>
      </c>
      <c r="T533" s="322">
        <v>2000</v>
      </c>
      <c r="U533" s="322">
        <f t="shared" si="42"/>
        <v>0</v>
      </c>
      <c r="W533" s="321">
        <f t="shared" si="43"/>
        <v>510</v>
      </c>
      <c r="X533" s="321">
        <f t="shared" si="44"/>
        <v>611302</v>
      </c>
      <c r="Y533" s="321">
        <v>1</v>
      </c>
      <c r="AA533" s="321" t="s">
        <v>5213</v>
      </c>
    </row>
    <row r="534" spans="1:27">
      <c r="A534" s="376">
        <v>730</v>
      </c>
      <c r="B534" s="377">
        <v>712000</v>
      </c>
      <c r="C534" s="381" t="s">
        <v>6840</v>
      </c>
      <c r="D534" s="379">
        <v>149</v>
      </c>
      <c r="E534" s="380">
        <v>150</v>
      </c>
      <c r="F534" s="380">
        <v>150</v>
      </c>
      <c r="H534" s="351">
        <f t="shared" si="45"/>
        <v>149000</v>
      </c>
      <c r="I534" s="351">
        <f t="shared" si="46"/>
        <v>150000</v>
      </c>
      <c r="M534" s="321">
        <v>1611302511</v>
      </c>
      <c r="N534" s="321">
        <v>61</v>
      </c>
      <c r="O534" s="321" t="s">
        <v>5244</v>
      </c>
      <c r="P534" s="321">
        <v>1611302</v>
      </c>
      <c r="Q534" s="322">
        <v>14000</v>
      </c>
      <c r="R534" s="322">
        <v>700</v>
      </c>
      <c r="S534" s="322">
        <v>14000</v>
      </c>
      <c r="T534" s="322">
        <v>14000</v>
      </c>
      <c r="U534" s="322">
        <f t="shared" si="42"/>
        <v>0</v>
      </c>
      <c r="W534" s="321">
        <f t="shared" si="43"/>
        <v>511</v>
      </c>
      <c r="X534" s="321">
        <f t="shared" si="44"/>
        <v>611302</v>
      </c>
      <c r="Y534" s="321">
        <v>1</v>
      </c>
      <c r="AA534" s="321" t="s">
        <v>5244</v>
      </c>
    </row>
    <row r="535" spans="1:27">
      <c r="A535" s="376">
        <v>731</v>
      </c>
      <c r="B535" s="377">
        <v>712000</v>
      </c>
      <c r="C535" s="381" t="s">
        <v>6841</v>
      </c>
      <c r="D535" s="379">
        <v>416</v>
      </c>
      <c r="E535" s="380">
        <v>400</v>
      </c>
      <c r="F535" s="380">
        <v>420</v>
      </c>
      <c r="H535" s="351">
        <f t="shared" si="45"/>
        <v>416000</v>
      </c>
      <c r="I535" s="351">
        <f t="shared" si="46"/>
        <v>420000</v>
      </c>
      <c r="M535" s="321">
        <v>1611302521</v>
      </c>
      <c r="N535" s="321">
        <v>61</v>
      </c>
      <c r="O535" s="321" t="s">
        <v>5245</v>
      </c>
      <c r="P535" s="321">
        <v>1611302</v>
      </c>
      <c r="Q535" s="322">
        <v>10000</v>
      </c>
      <c r="R535" s="322">
        <v>0</v>
      </c>
      <c r="S535" s="322">
        <v>10000</v>
      </c>
      <c r="T535" s="322">
        <v>10000</v>
      </c>
      <c r="U535" s="322">
        <f t="shared" si="42"/>
        <v>0</v>
      </c>
      <c r="W535" s="321">
        <f t="shared" si="43"/>
        <v>521</v>
      </c>
      <c r="X535" s="321">
        <f t="shared" si="44"/>
        <v>611302</v>
      </c>
      <c r="Y535" s="321">
        <v>1</v>
      </c>
      <c r="AA535" s="321" t="s">
        <v>5245</v>
      </c>
    </row>
    <row r="536" spans="1:27">
      <c r="A536" s="376">
        <v>751</v>
      </c>
      <c r="B536" s="377">
        <v>712000</v>
      </c>
      <c r="C536" s="381" t="s">
        <v>6842</v>
      </c>
      <c r="D536" s="379">
        <v>16632</v>
      </c>
      <c r="E536" s="380">
        <v>16790</v>
      </c>
      <c r="F536" s="380">
        <v>16790</v>
      </c>
      <c r="H536" s="351">
        <f t="shared" si="45"/>
        <v>16632000</v>
      </c>
      <c r="I536" s="351">
        <f t="shared" si="46"/>
        <v>16790000</v>
      </c>
      <c r="M536" s="321">
        <v>1611302522</v>
      </c>
      <c r="N536" s="321">
        <v>61</v>
      </c>
      <c r="O536" s="321" t="s">
        <v>5214</v>
      </c>
      <c r="P536" s="321">
        <v>1611302</v>
      </c>
      <c r="Q536" s="322">
        <v>22000</v>
      </c>
      <c r="R536" s="322">
        <v>18900</v>
      </c>
      <c r="S536" s="322">
        <v>22000</v>
      </c>
      <c r="T536" s="322">
        <v>22000</v>
      </c>
      <c r="U536" s="322">
        <f t="shared" si="42"/>
        <v>0</v>
      </c>
      <c r="W536" s="321">
        <f t="shared" si="43"/>
        <v>522</v>
      </c>
      <c r="X536" s="321">
        <f t="shared" si="44"/>
        <v>611302</v>
      </c>
      <c r="Y536" s="321">
        <v>1</v>
      </c>
      <c r="AA536" s="321" t="s">
        <v>5214</v>
      </c>
    </row>
    <row r="537" spans="1:27">
      <c r="A537" s="376">
        <v>752</v>
      </c>
      <c r="B537" s="377">
        <v>712000</v>
      </c>
      <c r="C537" s="382" t="s">
        <v>6843</v>
      </c>
      <c r="D537" s="379">
        <v>16988</v>
      </c>
      <c r="E537" s="380">
        <v>16630</v>
      </c>
      <c r="F537" s="380">
        <v>16630</v>
      </c>
      <c r="H537" s="351">
        <f t="shared" si="45"/>
        <v>16988000</v>
      </c>
      <c r="I537" s="351">
        <f t="shared" si="46"/>
        <v>16630000</v>
      </c>
      <c r="M537" s="321">
        <v>1611302530</v>
      </c>
      <c r="N537" s="321">
        <v>61</v>
      </c>
      <c r="O537" s="321" t="s">
        <v>5246</v>
      </c>
      <c r="P537" s="321">
        <v>1611302</v>
      </c>
      <c r="Q537" s="322">
        <v>40000</v>
      </c>
      <c r="R537" s="322">
        <v>16400</v>
      </c>
      <c r="S537" s="322">
        <v>40000</v>
      </c>
      <c r="T537" s="322">
        <v>40000</v>
      </c>
      <c r="U537" s="322">
        <f t="shared" si="42"/>
        <v>0</v>
      </c>
      <c r="W537" s="321">
        <f t="shared" si="43"/>
        <v>530</v>
      </c>
      <c r="X537" s="321">
        <f t="shared" si="44"/>
        <v>611302</v>
      </c>
      <c r="Y537" s="321">
        <v>1</v>
      </c>
      <c r="AA537" s="321" t="s">
        <v>5246</v>
      </c>
    </row>
    <row r="538" spans="1:27">
      <c r="A538" s="376">
        <v>753</v>
      </c>
      <c r="B538" s="377">
        <v>712000</v>
      </c>
      <c r="C538" s="382" t="s">
        <v>6844</v>
      </c>
      <c r="D538" s="379">
        <v>0</v>
      </c>
      <c r="E538" s="380">
        <v>0</v>
      </c>
      <c r="F538" s="380">
        <v>0</v>
      </c>
      <c r="H538" s="351">
        <f t="shared" si="45"/>
        <v>0</v>
      </c>
      <c r="I538" s="351">
        <f t="shared" si="46"/>
        <v>0</v>
      </c>
      <c r="M538" s="321">
        <v>1611302540</v>
      </c>
      <c r="N538" s="321">
        <v>61</v>
      </c>
      <c r="O538" s="321" t="s">
        <v>5216</v>
      </c>
      <c r="P538" s="321">
        <v>1611302</v>
      </c>
      <c r="Q538" s="322">
        <v>2000</v>
      </c>
      <c r="R538" s="322">
        <v>1700</v>
      </c>
      <c r="S538" s="322">
        <v>2500</v>
      </c>
      <c r="T538" s="322">
        <v>2500</v>
      </c>
      <c r="U538" s="322">
        <f t="shared" si="42"/>
        <v>0</v>
      </c>
      <c r="W538" s="321">
        <f t="shared" si="43"/>
        <v>540</v>
      </c>
      <c r="X538" s="321">
        <f t="shared" si="44"/>
        <v>611302</v>
      </c>
      <c r="Y538" s="321">
        <v>1</v>
      </c>
      <c r="AA538" s="321" t="s">
        <v>5216</v>
      </c>
    </row>
    <row r="539" spans="1:27">
      <c r="A539" s="376">
        <v>755</v>
      </c>
      <c r="B539" s="377">
        <v>712000</v>
      </c>
      <c r="C539" s="381" t="s">
        <v>6845</v>
      </c>
      <c r="D539" s="379">
        <v>0</v>
      </c>
      <c r="E539" s="380">
        <v>0</v>
      </c>
      <c r="F539" s="380">
        <v>0</v>
      </c>
      <c r="H539" s="351">
        <f t="shared" si="45"/>
        <v>0</v>
      </c>
      <c r="I539" s="351">
        <f t="shared" si="46"/>
        <v>0</v>
      </c>
      <c r="M539" s="321">
        <v>1611302542</v>
      </c>
      <c r="N539" s="321">
        <v>61</v>
      </c>
      <c r="O539" s="321" t="s">
        <v>5217</v>
      </c>
      <c r="P539" s="321">
        <v>1611302</v>
      </c>
      <c r="Q539" s="322">
        <v>57600</v>
      </c>
      <c r="R539" s="322">
        <v>29900</v>
      </c>
      <c r="S539" s="322">
        <v>55000</v>
      </c>
      <c r="T539" s="322">
        <v>55000</v>
      </c>
      <c r="U539" s="322">
        <f t="shared" si="42"/>
        <v>0</v>
      </c>
      <c r="W539" s="321">
        <f t="shared" si="43"/>
        <v>542</v>
      </c>
      <c r="X539" s="321">
        <f t="shared" si="44"/>
        <v>611302</v>
      </c>
      <c r="Y539" s="321">
        <v>1</v>
      </c>
      <c r="AA539" s="321" t="s">
        <v>5217</v>
      </c>
    </row>
    <row r="540" spans="1:27">
      <c r="A540" s="376">
        <v>756</v>
      </c>
      <c r="B540" s="377">
        <v>712000</v>
      </c>
      <c r="C540" s="382" t="s">
        <v>6846</v>
      </c>
      <c r="D540" s="379">
        <v>240</v>
      </c>
      <c r="E540" s="380">
        <v>170</v>
      </c>
      <c r="F540" s="380">
        <v>170</v>
      </c>
      <c r="H540" s="351">
        <f t="shared" si="45"/>
        <v>240000</v>
      </c>
      <c r="I540" s="351">
        <f t="shared" si="46"/>
        <v>170000</v>
      </c>
      <c r="M540" s="321">
        <v>1611302580</v>
      </c>
      <c r="N540" s="321">
        <v>61</v>
      </c>
      <c r="O540" s="321" t="s">
        <v>2629</v>
      </c>
      <c r="P540" s="321">
        <v>1611302</v>
      </c>
      <c r="Q540" s="322">
        <v>170000</v>
      </c>
      <c r="R540" s="322">
        <v>79800</v>
      </c>
      <c r="S540" s="322">
        <v>180000</v>
      </c>
      <c r="T540" s="322">
        <v>130000</v>
      </c>
      <c r="U540" s="322">
        <f t="shared" si="42"/>
        <v>50000</v>
      </c>
      <c r="W540" s="321">
        <f t="shared" si="43"/>
        <v>580</v>
      </c>
      <c r="X540" s="321">
        <f t="shared" si="44"/>
        <v>611302</v>
      </c>
      <c r="Y540" s="321">
        <v>1</v>
      </c>
      <c r="AA540" s="321" t="s">
        <v>2629</v>
      </c>
    </row>
    <row r="541" spans="1:27">
      <c r="A541" s="376">
        <v>757</v>
      </c>
      <c r="B541" s="377">
        <v>712000</v>
      </c>
      <c r="C541" s="382" t="s">
        <v>6847</v>
      </c>
      <c r="D541" s="379">
        <v>8316</v>
      </c>
      <c r="E541" s="380">
        <v>8000</v>
      </c>
      <c r="F541" s="380">
        <v>8000</v>
      </c>
      <c r="H541" s="351">
        <f t="shared" si="45"/>
        <v>8316000</v>
      </c>
      <c r="I541" s="351">
        <f t="shared" si="46"/>
        <v>8000000</v>
      </c>
      <c r="M541" s="321">
        <v>1611302581</v>
      </c>
      <c r="N541" s="321">
        <v>61</v>
      </c>
      <c r="O541" s="321" t="s">
        <v>5247</v>
      </c>
      <c r="P541" s="321">
        <v>1611302</v>
      </c>
      <c r="Q541" s="322">
        <v>0</v>
      </c>
      <c r="R541" s="322">
        <v>0</v>
      </c>
      <c r="S541" s="322">
        <v>0</v>
      </c>
      <c r="T541" s="322">
        <v>0</v>
      </c>
      <c r="U541" s="322">
        <f t="shared" si="42"/>
        <v>0</v>
      </c>
      <c r="W541" s="321">
        <f t="shared" si="43"/>
        <v>581</v>
      </c>
      <c r="X541" s="321">
        <f t="shared" si="44"/>
        <v>611302</v>
      </c>
      <c r="Y541" s="321">
        <v>1</v>
      </c>
      <c r="AA541" s="321" t="s">
        <v>5247</v>
      </c>
    </row>
    <row r="542" spans="1:27">
      <c r="A542" s="376">
        <v>759</v>
      </c>
      <c r="B542" s="377">
        <v>712000</v>
      </c>
      <c r="C542" s="382" t="s">
        <v>6848</v>
      </c>
      <c r="D542" s="379">
        <v>14454</v>
      </c>
      <c r="E542" s="380">
        <v>12400</v>
      </c>
      <c r="F542" s="380">
        <v>12400</v>
      </c>
      <c r="H542" s="351">
        <f t="shared" si="45"/>
        <v>14454000</v>
      </c>
      <c r="I542" s="351">
        <f t="shared" si="46"/>
        <v>12400000</v>
      </c>
      <c r="M542" s="321">
        <v>1611302582</v>
      </c>
      <c r="N542" s="321">
        <v>61</v>
      </c>
      <c r="O542" s="321" t="s">
        <v>4588</v>
      </c>
      <c r="P542" s="321">
        <v>1611302</v>
      </c>
      <c r="Q542" s="322">
        <v>0</v>
      </c>
      <c r="R542" s="322">
        <v>0</v>
      </c>
      <c r="S542" s="322">
        <v>100000</v>
      </c>
      <c r="T542" s="322">
        <v>50000</v>
      </c>
      <c r="U542" s="322">
        <f t="shared" si="42"/>
        <v>50000</v>
      </c>
      <c r="W542" s="321">
        <f t="shared" si="43"/>
        <v>582</v>
      </c>
      <c r="X542" s="321">
        <f t="shared" si="44"/>
        <v>611302</v>
      </c>
      <c r="Y542" s="321">
        <v>1</v>
      </c>
      <c r="AA542" s="321" t="s">
        <v>4588</v>
      </c>
    </row>
    <row r="543" spans="1:27">
      <c r="A543" s="376">
        <v>780</v>
      </c>
      <c r="B543" s="377">
        <v>712000</v>
      </c>
      <c r="C543" s="382" t="s">
        <v>6849</v>
      </c>
      <c r="D543" s="379">
        <v>70</v>
      </c>
      <c r="E543" s="380">
        <v>70</v>
      </c>
      <c r="F543" s="380">
        <v>70</v>
      </c>
      <c r="H543" s="351">
        <f t="shared" si="45"/>
        <v>70000</v>
      </c>
      <c r="I543" s="351">
        <f t="shared" si="46"/>
        <v>70000</v>
      </c>
      <c r="M543" s="321">
        <v>1611302760</v>
      </c>
      <c r="N543" s="321">
        <v>61</v>
      </c>
      <c r="O543" s="321" t="s">
        <v>5248</v>
      </c>
      <c r="P543" s="321">
        <v>1611302</v>
      </c>
      <c r="Q543" s="322">
        <v>20000</v>
      </c>
      <c r="R543" s="322">
        <v>12600</v>
      </c>
      <c r="S543" s="322">
        <v>20000</v>
      </c>
      <c r="T543" s="322">
        <v>20000</v>
      </c>
      <c r="U543" s="322">
        <f t="shared" si="42"/>
        <v>0</v>
      </c>
      <c r="W543" s="321">
        <f t="shared" si="43"/>
        <v>760</v>
      </c>
      <c r="X543" s="321">
        <f t="shared" si="44"/>
        <v>611302</v>
      </c>
      <c r="Y543" s="321">
        <v>1</v>
      </c>
      <c r="AA543" s="321" t="s">
        <v>5248</v>
      </c>
    </row>
    <row r="544" spans="1:27">
      <c r="A544" s="376">
        <v>750</v>
      </c>
      <c r="B544" s="377">
        <v>712100</v>
      </c>
      <c r="C544" s="382" t="s">
        <v>6850</v>
      </c>
      <c r="D544" s="379">
        <v>588</v>
      </c>
      <c r="E544" s="380">
        <v>505</v>
      </c>
      <c r="F544" s="380">
        <v>505</v>
      </c>
      <c r="H544" s="351">
        <f t="shared" si="45"/>
        <v>588000</v>
      </c>
      <c r="I544" s="351">
        <f t="shared" si="46"/>
        <v>505000</v>
      </c>
      <c r="M544" s="321">
        <v>1611302930</v>
      </c>
      <c r="N544" s="321">
        <v>61</v>
      </c>
      <c r="O544" s="321" t="s">
        <v>2834</v>
      </c>
      <c r="P544" s="321">
        <v>1611302</v>
      </c>
      <c r="Q544" s="322">
        <v>125000</v>
      </c>
      <c r="R544" s="322">
        <v>54700</v>
      </c>
      <c r="S544" s="322">
        <v>125000</v>
      </c>
      <c r="T544" s="322">
        <v>100000</v>
      </c>
      <c r="U544" s="322">
        <f t="shared" si="42"/>
        <v>25000</v>
      </c>
      <c r="W544" s="321">
        <f t="shared" si="43"/>
        <v>930</v>
      </c>
      <c r="X544" s="321">
        <f t="shared" si="44"/>
        <v>611302</v>
      </c>
      <c r="Y544" s="321">
        <v>1</v>
      </c>
      <c r="AA544" s="321" t="s">
        <v>2834</v>
      </c>
    </row>
    <row r="545" spans="1:27">
      <c r="A545" s="376">
        <v>751</v>
      </c>
      <c r="B545" s="377">
        <v>712100</v>
      </c>
      <c r="C545" s="378" t="s">
        <v>6851</v>
      </c>
      <c r="D545" s="379">
        <v>50</v>
      </c>
      <c r="E545" s="380">
        <v>50</v>
      </c>
      <c r="F545" s="380">
        <v>50</v>
      </c>
      <c r="H545" s="351">
        <f t="shared" si="45"/>
        <v>50000</v>
      </c>
      <c r="I545" s="351">
        <f t="shared" si="46"/>
        <v>50000</v>
      </c>
      <c r="M545" s="321">
        <v>1611303210</v>
      </c>
      <c r="N545" s="321">
        <v>61</v>
      </c>
      <c r="O545" s="321" t="s">
        <v>5221</v>
      </c>
      <c r="P545" s="321">
        <v>1611103</v>
      </c>
      <c r="Q545" s="322">
        <v>0</v>
      </c>
      <c r="R545" s="322">
        <v>0</v>
      </c>
      <c r="S545" s="322">
        <v>0</v>
      </c>
      <c r="T545" s="322">
        <v>0</v>
      </c>
      <c r="U545" s="322">
        <f t="shared" si="42"/>
        <v>0</v>
      </c>
      <c r="W545" s="321">
        <f t="shared" si="43"/>
        <v>210</v>
      </c>
      <c r="X545" s="321">
        <f t="shared" si="44"/>
        <v>611303</v>
      </c>
      <c r="Y545" s="321">
        <v>1</v>
      </c>
      <c r="AA545" s="321" t="s">
        <v>5221</v>
      </c>
    </row>
    <row r="546" spans="1:27">
      <c r="A546" s="376">
        <v>752</v>
      </c>
      <c r="B546" s="377">
        <v>712100</v>
      </c>
      <c r="C546" s="381" t="s">
        <v>6852</v>
      </c>
      <c r="D546" s="379">
        <v>2782</v>
      </c>
      <c r="E546" s="380">
        <v>3460</v>
      </c>
      <c r="F546" s="380">
        <v>3460</v>
      </c>
      <c r="H546" s="351">
        <f t="shared" si="45"/>
        <v>2782000</v>
      </c>
      <c r="I546" s="351">
        <f t="shared" si="46"/>
        <v>3460000</v>
      </c>
      <c r="M546" s="321">
        <v>1611304110</v>
      </c>
      <c r="N546" s="321">
        <v>61</v>
      </c>
      <c r="O546" s="321" t="s">
        <v>5231</v>
      </c>
      <c r="P546" s="321">
        <v>1611304</v>
      </c>
      <c r="Q546" s="322">
        <v>274000</v>
      </c>
      <c r="R546" s="322">
        <v>235600</v>
      </c>
      <c r="S546" s="322">
        <v>324000</v>
      </c>
      <c r="T546" s="322">
        <v>324000</v>
      </c>
      <c r="U546" s="322">
        <f t="shared" si="42"/>
        <v>0</v>
      </c>
      <c r="W546" s="321">
        <f t="shared" si="43"/>
        <v>110</v>
      </c>
      <c r="X546" s="321">
        <f t="shared" si="44"/>
        <v>611304</v>
      </c>
      <c r="Y546" s="321">
        <v>1</v>
      </c>
      <c r="AA546" s="321" t="s">
        <v>5231</v>
      </c>
    </row>
    <row r="547" spans="1:27">
      <c r="A547" s="376">
        <v>100</v>
      </c>
      <c r="B547" s="377">
        <v>713000</v>
      </c>
      <c r="C547" s="382" t="s">
        <v>6747</v>
      </c>
      <c r="D547" s="379">
        <v>1592</v>
      </c>
      <c r="E547" s="380">
        <v>1550</v>
      </c>
      <c r="F547" s="380">
        <v>1550</v>
      </c>
      <c r="H547" s="351">
        <f t="shared" si="45"/>
        <v>1592000</v>
      </c>
      <c r="I547" s="351">
        <f t="shared" si="46"/>
        <v>1550000</v>
      </c>
      <c r="M547" s="321">
        <v>1611304120</v>
      </c>
      <c r="N547" s="321">
        <v>61</v>
      </c>
      <c r="O547" s="321" t="s">
        <v>5206</v>
      </c>
      <c r="P547" s="321">
        <v>1611304</v>
      </c>
      <c r="Q547" s="322">
        <v>38000</v>
      </c>
      <c r="R547" s="322">
        <v>35300</v>
      </c>
      <c r="S547" s="322">
        <v>43000</v>
      </c>
      <c r="T547" s="322">
        <v>43000</v>
      </c>
      <c r="U547" s="322">
        <f t="shared" si="42"/>
        <v>0</v>
      </c>
      <c r="W547" s="321">
        <f t="shared" si="43"/>
        <v>120</v>
      </c>
      <c r="X547" s="321">
        <f t="shared" si="44"/>
        <v>611304</v>
      </c>
      <c r="Y547" s="321">
        <v>1</v>
      </c>
      <c r="AA547" s="321" t="s">
        <v>5206</v>
      </c>
    </row>
    <row r="548" spans="1:27">
      <c r="A548" s="376">
        <v>550</v>
      </c>
      <c r="B548" s="377">
        <v>713000</v>
      </c>
      <c r="C548" s="382" t="s">
        <v>6853</v>
      </c>
      <c r="D548" s="379">
        <v>10</v>
      </c>
      <c r="E548" s="380">
        <v>10</v>
      </c>
      <c r="F548" s="380">
        <v>10</v>
      </c>
      <c r="H548" s="351">
        <f t="shared" si="45"/>
        <v>10000</v>
      </c>
      <c r="I548" s="351">
        <f t="shared" si="46"/>
        <v>10000</v>
      </c>
      <c r="M548" s="321">
        <v>1611304130</v>
      </c>
      <c r="N548" s="321">
        <v>61</v>
      </c>
      <c r="O548" s="321" t="s">
        <v>5249</v>
      </c>
      <c r="P548" s="321">
        <v>1611304</v>
      </c>
      <c r="Q548" s="322">
        <v>10000</v>
      </c>
      <c r="R548" s="322">
        <v>9700</v>
      </c>
      <c r="S548" s="322">
        <v>12000</v>
      </c>
      <c r="T548" s="322">
        <v>10800</v>
      </c>
      <c r="U548" s="322">
        <f t="shared" si="42"/>
        <v>1200</v>
      </c>
      <c r="W548" s="321">
        <f t="shared" si="43"/>
        <v>130</v>
      </c>
      <c r="X548" s="321">
        <f t="shared" si="44"/>
        <v>611304</v>
      </c>
      <c r="Y548" s="321">
        <v>1</v>
      </c>
      <c r="AA548" s="321" t="s">
        <v>5249</v>
      </c>
    </row>
    <row r="549" spans="1:27">
      <c r="A549" s="376">
        <v>570</v>
      </c>
      <c r="B549" s="377">
        <v>713000</v>
      </c>
      <c r="C549" s="382" t="s">
        <v>6739</v>
      </c>
      <c r="D549" s="379">
        <v>50</v>
      </c>
      <c r="E549" s="380">
        <v>50</v>
      </c>
      <c r="F549" s="380">
        <v>50</v>
      </c>
      <c r="H549" s="351">
        <f t="shared" si="45"/>
        <v>50000</v>
      </c>
      <c r="I549" s="351">
        <f t="shared" si="46"/>
        <v>50000</v>
      </c>
      <c r="M549" s="321">
        <v>1611304140</v>
      </c>
      <c r="N549" s="321">
        <v>61</v>
      </c>
      <c r="O549" s="321" t="s">
        <v>5207</v>
      </c>
      <c r="P549" s="321">
        <v>1611304</v>
      </c>
      <c r="Q549" s="322">
        <v>66000</v>
      </c>
      <c r="R549" s="322">
        <v>51600</v>
      </c>
      <c r="S549" s="322">
        <v>67000</v>
      </c>
      <c r="T549" s="322">
        <v>67000</v>
      </c>
      <c r="U549" s="322">
        <f t="shared" si="42"/>
        <v>0</v>
      </c>
      <c r="W549" s="321">
        <f t="shared" si="43"/>
        <v>140</v>
      </c>
      <c r="X549" s="321">
        <f t="shared" si="44"/>
        <v>611304</v>
      </c>
      <c r="Y549" s="321">
        <v>1</v>
      </c>
      <c r="AA549" s="321" t="s">
        <v>5207</v>
      </c>
    </row>
    <row r="550" spans="1:27">
      <c r="A550" s="376">
        <v>780</v>
      </c>
      <c r="B550" s="377">
        <v>713000</v>
      </c>
      <c r="C550" s="382" t="s">
        <v>6854</v>
      </c>
      <c r="D550" s="379">
        <v>150</v>
      </c>
      <c r="E550" s="380">
        <v>50</v>
      </c>
      <c r="F550" s="380">
        <v>50</v>
      </c>
      <c r="H550" s="351">
        <f t="shared" si="45"/>
        <v>150000</v>
      </c>
      <c r="I550" s="351">
        <f t="shared" si="46"/>
        <v>50000</v>
      </c>
      <c r="M550" s="321">
        <v>1611304141</v>
      </c>
      <c r="N550" s="321">
        <v>61</v>
      </c>
      <c r="O550" s="321" t="s">
        <v>5208</v>
      </c>
      <c r="P550" s="321">
        <v>1611304</v>
      </c>
      <c r="Q550" s="322">
        <v>11000</v>
      </c>
      <c r="R550" s="322">
        <v>9800</v>
      </c>
      <c r="S550" s="322">
        <v>14000</v>
      </c>
      <c r="T550" s="322">
        <v>14000</v>
      </c>
      <c r="U550" s="322">
        <f t="shared" si="42"/>
        <v>0</v>
      </c>
      <c r="W550" s="321">
        <f t="shared" si="43"/>
        <v>141</v>
      </c>
      <c r="X550" s="321">
        <f t="shared" si="44"/>
        <v>611304</v>
      </c>
      <c r="Y550" s="321">
        <v>1</v>
      </c>
      <c r="AA550" s="321" t="s">
        <v>5208</v>
      </c>
    </row>
    <row r="551" spans="1:27">
      <c r="A551" s="376">
        <v>100</v>
      </c>
      <c r="B551" s="377">
        <v>714000</v>
      </c>
      <c r="C551" s="382" t="s">
        <v>6747</v>
      </c>
      <c r="D551" s="379">
        <v>2139</v>
      </c>
      <c r="E551" s="380">
        <v>2100</v>
      </c>
      <c r="F551" s="380">
        <v>2210</v>
      </c>
      <c r="H551" s="351">
        <f t="shared" si="45"/>
        <v>2139000</v>
      </c>
      <c r="I551" s="351">
        <f t="shared" si="46"/>
        <v>2210000</v>
      </c>
      <c r="M551" s="321">
        <v>1611304181</v>
      </c>
      <c r="N551" s="321">
        <v>61</v>
      </c>
      <c r="O551" s="321" t="s">
        <v>2580</v>
      </c>
      <c r="P551" s="321">
        <v>1611304</v>
      </c>
      <c r="Q551" s="322">
        <v>62000</v>
      </c>
      <c r="R551" s="322">
        <v>54100</v>
      </c>
      <c r="S551" s="322">
        <v>73000</v>
      </c>
      <c r="T551" s="322">
        <v>73000</v>
      </c>
      <c r="U551" s="322">
        <f t="shared" si="42"/>
        <v>0</v>
      </c>
      <c r="W551" s="321">
        <f t="shared" si="43"/>
        <v>181</v>
      </c>
      <c r="X551" s="321">
        <f t="shared" si="44"/>
        <v>611304</v>
      </c>
      <c r="Y551" s="321">
        <v>1</v>
      </c>
      <c r="AA551" s="321" t="s">
        <v>2580</v>
      </c>
    </row>
    <row r="552" spans="1:27">
      <c r="A552" s="376">
        <v>430</v>
      </c>
      <c r="B552" s="377">
        <v>714000</v>
      </c>
      <c r="C552" s="382" t="s">
        <v>6855</v>
      </c>
      <c r="D552" s="379">
        <v>2</v>
      </c>
      <c r="E552" s="380">
        <v>2</v>
      </c>
      <c r="F552" s="380">
        <v>0</v>
      </c>
      <c r="H552" s="351">
        <f t="shared" si="45"/>
        <v>2000</v>
      </c>
      <c r="I552" s="351">
        <f t="shared" si="46"/>
        <v>0</v>
      </c>
      <c r="M552" s="321">
        <v>1611304182</v>
      </c>
      <c r="N552" s="321">
        <v>61</v>
      </c>
      <c r="O552" s="321" t="s">
        <v>2582</v>
      </c>
      <c r="P552" s="321">
        <v>1611304</v>
      </c>
      <c r="Q552" s="322">
        <v>55000</v>
      </c>
      <c r="R552" s="322">
        <v>45400</v>
      </c>
      <c r="S552" s="322">
        <v>63000</v>
      </c>
      <c r="T552" s="322">
        <v>63000</v>
      </c>
      <c r="U552" s="322">
        <f t="shared" si="42"/>
        <v>0</v>
      </c>
      <c r="W552" s="321">
        <f t="shared" si="43"/>
        <v>182</v>
      </c>
      <c r="X552" s="321">
        <f t="shared" si="44"/>
        <v>611304</v>
      </c>
      <c r="Y552" s="321">
        <v>1</v>
      </c>
      <c r="AA552" s="321" t="s">
        <v>2582</v>
      </c>
    </row>
    <row r="553" spans="1:27">
      <c r="A553" s="376">
        <v>540</v>
      </c>
      <c r="B553" s="377">
        <v>714000</v>
      </c>
      <c r="C553" s="382" t="s">
        <v>6736</v>
      </c>
      <c r="D553" s="379">
        <v>9</v>
      </c>
      <c r="E553" s="380">
        <v>9</v>
      </c>
      <c r="F553" s="380">
        <v>9</v>
      </c>
      <c r="H553" s="351">
        <f t="shared" si="45"/>
        <v>9000</v>
      </c>
      <c r="I553" s="351">
        <f t="shared" si="46"/>
        <v>9000</v>
      </c>
      <c r="M553" s="321">
        <v>1611304210</v>
      </c>
      <c r="N553" s="321">
        <v>61</v>
      </c>
      <c r="O553" s="321" t="s">
        <v>2572</v>
      </c>
      <c r="P553" s="321">
        <v>1611304</v>
      </c>
      <c r="Q553" s="322">
        <v>0</v>
      </c>
      <c r="R553" s="322">
        <v>0</v>
      </c>
      <c r="S553" s="322">
        <v>0</v>
      </c>
      <c r="T553" s="322">
        <v>0</v>
      </c>
      <c r="U553" s="322">
        <f t="shared" si="42"/>
        <v>0</v>
      </c>
      <c r="W553" s="321">
        <f t="shared" si="43"/>
        <v>210</v>
      </c>
      <c r="X553" s="321">
        <f t="shared" si="44"/>
        <v>611304</v>
      </c>
      <c r="Y553" s="321">
        <v>1</v>
      </c>
      <c r="AA553" s="321" t="s">
        <v>2572</v>
      </c>
    </row>
    <row r="554" spans="1:27">
      <c r="A554" s="376">
        <v>550</v>
      </c>
      <c r="B554" s="377">
        <v>714000</v>
      </c>
      <c r="C554" s="382" t="s">
        <v>6801</v>
      </c>
      <c r="D554" s="379">
        <v>15</v>
      </c>
      <c r="E554" s="380">
        <v>15</v>
      </c>
      <c r="F554" s="380">
        <v>15</v>
      </c>
      <c r="H554" s="351">
        <f t="shared" si="45"/>
        <v>15000</v>
      </c>
      <c r="I554" s="351">
        <f t="shared" si="46"/>
        <v>15000</v>
      </c>
      <c r="M554" s="321">
        <v>1611304470</v>
      </c>
      <c r="N554" s="321">
        <v>61</v>
      </c>
      <c r="O554" s="321" t="s">
        <v>5250</v>
      </c>
      <c r="P554" s="321">
        <v>1611304</v>
      </c>
      <c r="Q554" s="322">
        <v>4000</v>
      </c>
      <c r="R554" s="322">
        <v>2500</v>
      </c>
      <c r="S554" s="322">
        <v>4000</v>
      </c>
      <c r="T554" s="322">
        <v>4000</v>
      </c>
      <c r="U554" s="322">
        <f t="shared" si="42"/>
        <v>0</v>
      </c>
      <c r="W554" s="321">
        <f t="shared" si="43"/>
        <v>470</v>
      </c>
      <c r="X554" s="321">
        <f t="shared" si="44"/>
        <v>611304</v>
      </c>
      <c r="Y554" s="321">
        <v>1</v>
      </c>
      <c r="AA554" s="321" t="s">
        <v>5250</v>
      </c>
    </row>
    <row r="555" spans="1:27">
      <c r="A555" s="376">
        <v>720</v>
      </c>
      <c r="B555" s="377">
        <v>714000</v>
      </c>
      <c r="C555" s="382" t="s">
        <v>6856</v>
      </c>
      <c r="D555" s="379">
        <v>335</v>
      </c>
      <c r="E555" s="380">
        <v>330</v>
      </c>
      <c r="F555" s="380">
        <v>330</v>
      </c>
      <c r="H555" s="351">
        <f t="shared" si="45"/>
        <v>335000</v>
      </c>
      <c r="I555" s="351">
        <f t="shared" si="46"/>
        <v>330000</v>
      </c>
      <c r="M555" s="321">
        <v>1611304522</v>
      </c>
      <c r="N555" s="321">
        <v>61</v>
      </c>
      <c r="O555" s="321" t="s">
        <v>5251</v>
      </c>
      <c r="P555" s="321">
        <v>1611304</v>
      </c>
      <c r="Q555" s="322">
        <v>2000</v>
      </c>
      <c r="R555" s="322">
        <v>0</v>
      </c>
      <c r="S555" s="322">
        <v>2000</v>
      </c>
      <c r="T555" s="322">
        <v>2000</v>
      </c>
      <c r="U555" s="322">
        <f t="shared" si="42"/>
        <v>0</v>
      </c>
      <c r="W555" s="321">
        <f t="shared" si="43"/>
        <v>522</v>
      </c>
      <c r="X555" s="321">
        <f t="shared" si="44"/>
        <v>611304</v>
      </c>
      <c r="Y555" s="321">
        <v>1</v>
      </c>
      <c r="AA555" s="321" t="s">
        <v>5251</v>
      </c>
    </row>
    <row r="556" spans="1:27">
      <c r="A556" s="376">
        <v>721</v>
      </c>
      <c r="B556" s="377">
        <v>714000</v>
      </c>
      <c r="C556" s="382" t="s">
        <v>6857</v>
      </c>
      <c r="D556" s="379">
        <v>3</v>
      </c>
      <c r="E556" s="380">
        <v>3</v>
      </c>
      <c r="F556" s="380">
        <v>3</v>
      </c>
      <c r="H556" s="351">
        <f t="shared" si="45"/>
        <v>3000</v>
      </c>
      <c r="I556" s="351">
        <f t="shared" si="46"/>
        <v>3000</v>
      </c>
      <c r="M556" s="321">
        <v>1611304540</v>
      </c>
      <c r="N556" s="321">
        <v>61</v>
      </c>
      <c r="O556" s="321" t="s">
        <v>5252</v>
      </c>
      <c r="P556" s="321">
        <v>1611304</v>
      </c>
      <c r="Q556" s="322">
        <v>1000</v>
      </c>
      <c r="R556" s="322">
        <v>500</v>
      </c>
      <c r="S556" s="322">
        <v>1000</v>
      </c>
      <c r="T556" s="322">
        <v>1000</v>
      </c>
      <c r="U556" s="322">
        <f t="shared" si="42"/>
        <v>0</v>
      </c>
      <c r="W556" s="321">
        <f t="shared" si="43"/>
        <v>540</v>
      </c>
      <c r="X556" s="321">
        <f t="shared" si="44"/>
        <v>611304</v>
      </c>
      <c r="Y556" s="321">
        <v>1</v>
      </c>
      <c r="AA556" s="321" t="s">
        <v>5252</v>
      </c>
    </row>
    <row r="557" spans="1:27">
      <c r="A557" s="376">
        <v>730</v>
      </c>
      <c r="B557" s="377">
        <v>714000</v>
      </c>
      <c r="C557" s="382" t="s">
        <v>6858</v>
      </c>
      <c r="D557" s="379">
        <v>119</v>
      </c>
      <c r="E557" s="380">
        <v>115</v>
      </c>
      <c r="F557" s="380">
        <v>120</v>
      </c>
      <c r="H557" s="351">
        <f t="shared" si="45"/>
        <v>119000</v>
      </c>
      <c r="I557" s="351">
        <f t="shared" si="46"/>
        <v>120000</v>
      </c>
      <c r="M557" s="321">
        <v>1611304542</v>
      </c>
      <c r="N557" s="321">
        <v>61</v>
      </c>
      <c r="O557" s="321" t="s">
        <v>5217</v>
      </c>
      <c r="P557" s="321">
        <v>1611304</v>
      </c>
      <c r="Q557" s="322">
        <v>1300</v>
      </c>
      <c r="R557" s="322">
        <v>800</v>
      </c>
      <c r="S557" s="322">
        <v>2000</v>
      </c>
      <c r="T557" s="322">
        <v>2000</v>
      </c>
      <c r="U557" s="322">
        <f t="shared" si="42"/>
        <v>0</v>
      </c>
      <c r="W557" s="321">
        <f t="shared" si="43"/>
        <v>542</v>
      </c>
      <c r="X557" s="321">
        <f t="shared" si="44"/>
        <v>611304</v>
      </c>
      <c r="Y557" s="321">
        <v>1</v>
      </c>
      <c r="AA557" s="321" t="s">
        <v>5217</v>
      </c>
    </row>
    <row r="558" spans="1:27">
      <c r="A558" s="376">
        <v>740</v>
      </c>
      <c r="B558" s="377">
        <v>714000</v>
      </c>
      <c r="C558" s="382" t="s">
        <v>6859</v>
      </c>
      <c r="D558" s="379">
        <v>5</v>
      </c>
      <c r="E558" s="380">
        <v>9</v>
      </c>
      <c r="F558" s="380">
        <v>9</v>
      </c>
      <c r="H558" s="351">
        <f t="shared" si="45"/>
        <v>5000</v>
      </c>
      <c r="I558" s="351">
        <f t="shared" si="46"/>
        <v>9000</v>
      </c>
      <c r="M558" s="321">
        <v>1611304572</v>
      </c>
      <c r="N558" s="321">
        <v>61</v>
      </c>
      <c r="O558" s="321" t="s">
        <v>5253</v>
      </c>
      <c r="P558" s="321">
        <v>1611304</v>
      </c>
      <c r="Q558" s="322">
        <v>6000</v>
      </c>
      <c r="R558" s="322">
        <v>0</v>
      </c>
      <c r="S558" s="322">
        <v>25000</v>
      </c>
      <c r="T558" s="322">
        <v>25000</v>
      </c>
      <c r="U558" s="322">
        <f t="shared" si="42"/>
        <v>0</v>
      </c>
      <c r="W558" s="321">
        <f t="shared" si="43"/>
        <v>572</v>
      </c>
      <c r="X558" s="321">
        <f t="shared" si="44"/>
        <v>611304</v>
      </c>
      <c r="Y558" s="321">
        <v>1</v>
      </c>
      <c r="AA558" s="321" t="s">
        <v>5253</v>
      </c>
    </row>
    <row r="559" spans="1:27">
      <c r="A559" s="376">
        <v>750</v>
      </c>
      <c r="B559" s="377">
        <v>714000</v>
      </c>
      <c r="C559" s="382" t="s">
        <v>6804</v>
      </c>
      <c r="D559" s="379">
        <v>17</v>
      </c>
      <c r="E559" s="380">
        <v>17</v>
      </c>
      <c r="F559" s="380">
        <v>17</v>
      </c>
      <c r="H559" s="351">
        <f t="shared" si="45"/>
        <v>17000</v>
      </c>
      <c r="I559" s="351">
        <f t="shared" si="46"/>
        <v>17000</v>
      </c>
      <c r="M559" s="321">
        <v>1611305110</v>
      </c>
      <c r="N559" s="321">
        <v>61</v>
      </c>
      <c r="O559" s="321" t="s">
        <v>5205</v>
      </c>
      <c r="P559" s="321">
        <v>1611305</v>
      </c>
      <c r="Q559" s="322">
        <v>949000</v>
      </c>
      <c r="R559" s="322">
        <v>733600</v>
      </c>
      <c r="S559" s="322">
        <v>1075000</v>
      </c>
      <c r="T559" s="322">
        <v>1075000</v>
      </c>
      <c r="U559" s="322">
        <f t="shared" si="42"/>
        <v>0</v>
      </c>
      <c r="W559" s="321">
        <f t="shared" si="43"/>
        <v>110</v>
      </c>
      <c r="X559" s="321">
        <f t="shared" si="44"/>
        <v>611305</v>
      </c>
      <c r="Y559" s="321">
        <v>1</v>
      </c>
      <c r="AA559" s="321" t="s">
        <v>5205</v>
      </c>
    </row>
    <row r="560" spans="1:27">
      <c r="A560" s="376">
        <v>980</v>
      </c>
      <c r="B560" s="377">
        <v>714000</v>
      </c>
      <c r="C560" s="382" t="s">
        <v>6860</v>
      </c>
      <c r="D560" s="379">
        <v>150</v>
      </c>
      <c r="E560" s="380">
        <v>150</v>
      </c>
      <c r="F560" s="380">
        <v>150</v>
      </c>
      <c r="H560" s="351">
        <f t="shared" si="45"/>
        <v>150000</v>
      </c>
      <c r="I560" s="351">
        <f t="shared" si="46"/>
        <v>150000</v>
      </c>
      <c r="M560" s="321">
        <v>1611305120</v>
      </c>
      <c r="N560" s="321">
        <v>61</v>
      </c>
      <c r="O560" s="321" t="s">
        <v>5206</v>
      </c>
      <c r="P560" s="321">
        <v>1611305</v>
      </c>
      <c r="Q560" s="322">
        <v>296000</v>
      </c>
      <c r="R560" s="322">
        <v>201400</v>
      </c>
      <c r="S560" s="322">
        <v>245000</v>
      </c>
      <c r="T560" s="322">
        <v>245000</v>
      </c>
      <c r="U560" s="322">
        <f t="shared" si="42"/>
        <v>0</v>
      </c>
      <c r="W560" s="321">
        <f t="shared" si="43"/>
        <v>120</v>
      </c>
      <c r="X560" s="321">
        <f t="shared" si="44"/>
        <v>611305</v>
      </c>
      <c r="Y560" s="321">
        <v>1</v>
      </c>
      <c r="AA560" s="321" t="s">
        <v>5206</v>
      </c>
    </row>
    <row r="561" spans="1:27">
      <c r="A561" s="376">
        <v>750</v>
      </c>
      <c r="B561" s="377">
        <v>715000</v>
      </c>
      <c r="C561" s="381" t="s">
        <v>6861</v>
      </c>
      <c r="D561" s="379">
        <v>390</v>
      </c>
      <c r="E561" s="380">
        <v>390</v>
      </c>
      <c r="F561" s="380">
        <v>390</v>
      </c>
      <c r="H561" s="351">
        <f t="shared" si="45"/>
        <v>390000</v>
      </c>
      <c r="I561" s="351">
        <f t="shared" si="46"/>
        <v>390000</v>
      </c>
      <c r="M561" s="321">
        <v>1611305130</v>
      </c>
      <c r="N561" s="321">
        <v>61</v>
      </c>
      <c r="O561" s="321" t="s">
        <v>2576</v>
      </c>
      <c r="P561" s="321">
        <v>1611305</v>
      </c>
      <c r="Q561" s="322">
        <v>132000</v>
      </c>
      <c r="R561" s="322">
        <v>88400</v>
      </c>
      <c r="S561" s="322">
        <v>111000</v>
      </c>
      <c r="T561" s="322">
        <v>99900</v>
      </c>
      <c r="U561" s="322">
        <f t="shared" si="42"/>
        <v>11100</v>
      </c>
      <c r="W561" s="321">
        <f t="shared" si="43"/>
        <v>130</v>
      </c>
      <c r="X561" s="321">
        <f t="shared" si="44"/>
        <v>611305</v>
      </c>
      <c r="Y561" s="321">
        <v>1</v>
      </c>
      <c r="AA561" s="321" t="s">
        <v>2576</v>
      </c>
    </row>
    <row r="562" spans="1:27">
      <c r="A562" s="376">
        <v>100</v>
      </c>
      <c r="B562" s="377">
        <v>721000</v>
      </c>
      <c r="C562" s="382" t="s">
        <v>6747</v>
      </c>
      <c r="D562" s="379">
        <v>548</v>
      </c>
      <c r="E562" s="380">
        <v>520</v>
      </c>
      <c r="F562" s="380">
        <v>806</v>
      </c>
      <c r="H562" s="351">
        <f t="shared" si="45"/>
        <v>548000</v>
      </c>
      <c r="I562" s="351">
        <f t="shared" si="46"/>
        <v>806000</v>
      </c>
      <c r="M562" s="321">
        <v>1611305140</v>
      </c>
      <c r="N562" s="321">
        <v>61</v>
      </c>
      <c r="O562" s="321" t="s">
        <v>5242</v>
      </c>
      <c r="P562" s="321">
        <v>1611305</v>
      </c>
      <c r="Q562" s="322">
        <v>266000</v>
      </c>
      <c r="R562" s="322">
        <v>186600</v>
      </c>
      <c r="S562" s="322">
        <v>271000</v>
      </c>
      <c r="T562" s="322">
        <v>271000</v>
      </c>
      <c r="U562" s="322">
        <f t="shared" si="42"/>
        <v>0</v>
      </c>
      <c r="W562" s="321">
        <f t="shared" si="43"/>
        <v>140</v>
      </c>
      <c r="X562" s="321">
        <f t="shared" si="44"/>
        <v>611305</v>
      </c>
      <c r="Y562" s="321">
        <v>1</v>
      </c>
      <c r="AA562" s="321" t="s">
        <v>5242</v>
      </c>
    </row>
    <row r="563" spans="1:27">
      <c r="A563" s="376">
        <v>101</v>
      </c>
      <c r="B563" s="377">
        <v>721000</v>
      </c>
      <c r="C563" s="382" t="s">
        <v>6862</v>
      </c>
      <c r="D563" s="379">
        <v>577</v>
      </c>
      <c r="E563" s="380">
        <v>340</v>
      </c>
      <c r="F563" s="380">
        <v>340</v>
      </c>
      <c r="H563" s="351">
        <f t="shared" si="45"/>
        <v>577000</v>
      </c>
      <c r="I563" s="351">
        <f t="shared" si="46"/>
        <v>340000</v>
      </c>
      <c r="M563" s="321">
        <v>1611305141</v>
      </c>
      <c r="N563" s="321">
        <v>61</v>
      </c>
      <c r="O563" s="321" t="s">
        <v>5208</v>
      </c>
      <c r="P563" s="321">
        <v>1611305</v>
      </c>
      <c r="Q563" s="322">
        <v>39000</v>
      </c>
      <c r="R563" s="322">
        <v>32100</v>
      </c>
      <c r="S563" s="322">
        <v>45000</v>
      </c>
      <c r="T563" s="322">
        <v>45000</v>
      </c>
      <c r="U563" s="322">
        <f t="shared" si="42"/>
        <v>0</v>
      </c>
      <c r="W563" s="321">
        <f t="shared" si="43"/>
        <v>141</v>
      </c>
      <c r="X563" s="321">
        <f t="shared" si="44"/>
        <v>611305</v>
      </c>
      <c r="Y563" s="321">
        <v>1</v>
      </c>
      <c r="AA563" s="321" t="s">
        <v>5208</v>
      </c>
    </row>
    <row r="564" spans="1:27">
      <c r="A564" s="376">
        <v>423</v>
      </c>
      <c r="B564" s="377">
        <v>721000</v>
      </c>
      <c r="C564" s="348" t="s">
        <v>6863</v>
      </c>
      <c r="D564" s="379">
        <v>50</v>
      </c>
      <c r="E564" s="380">
        <v>50</v>
      </c>
      <c r="F564" s="380">
        <v>50</v>
      </c>
      <c r="H564" s="351">
        <f t="shared" si="45"/>
        <v>50000</v>
      </c>
      <c r="I564" s="351">
        <f t="shared" si="46"/>
        <v>50000</v>
      </c>
      <c r="M564" s="321">
        <v>1611305181</v>
      </c>
      <c r="N564" s="321">
        <v>61</v>
      </c>
      <c r="O564" s="321" t="s">
        <v>2580</v>
      </c>
      <c r="P564" s="321">
        <v>1611305</v>
      </c>
      <c r="Q564" s="322">
        <v>211000</v>
      </c>
      <c r="R564" s="322">
        <v>170800</v>
      </c>
      <c r="S564" s="322">
        <v>245000</v>
      </c>
      <c r="T564" s="322">
        <v>245000</v>
      </c>
      <c r="U564" s="322">
        <f t="shared" si="42"/>
        <v>0</v>
      </c>
      <c r="W564" s="321">
        <f t="shared" si="43"/>
        <v>181</v>
      </c>
      <c r="X564" s="321">
        <f t="shared" si="44"/>
        <v>611305</v>
      </c>
      <c r="Y564" s="321">
        <v>1</v>
      </c>
      <c r="AA564" s="321" t="s">
        <v>2580</v>
      </c>
    </row>
    <row r="565" spans="1:27">
      <c r="A565" s="376">
        <v>470</v>
      </c>
      <c r="B565" s="377">
        <v>721000</v>
      </c>
      <c r="C565" s="382" t="s">
        <v>6769</v>
      </c>
      <c r="D565" s="379">
        <v>70</v>
      </c>
      <c r="E565" s="380">
        <v>0</v>
      </c>
      <c r="F565" s="380">
        <v>0</v>
      </c>
      <c r="H565" s="351">
        <f t="shared" si="45"/>
        <v>70000</v>
      </c>
      <c r="I565" s="351">
        <f t="shared" si="46"/>
        <v>0</v>
      </c>
      <c r="M565" s="321">
        <v>1611305182</v>
      </c>
      <c r="N565" s="321">
        <v>61</v>
      </c>
      <c r="O565" s="321" t="s">
        <v>2582</v>
      </c>
      <c r="P565" s="321">
        <v>1611305</v>
      </c>
      <c r="Q565" s="322">
        <v>229000</v>
      </c>
      <c r="R565" s="322">
        <v>166200</v>
      </c>
      <c r="S565" s="322">
        <v>241000</v>
      </c>
      <c r="T565" s="322">
        <v>241000</v>
      </c>
      <c r="U565" s="322">
        <f t="shared" si="42"/>
        <v>0</v>
      </c>
      <c r="W565" s="321">
        <f t="shared" si="43"/>
        <v>182</v>
      </c>
      <c r="X565" s="321">
        <f t="shared" si="44"/>
        <v>611305</v>
      </c>
      <c r="Y565" s="321">
        <v>1</v>
      </c>
      <c r="AA565" s="321" t="s">
        <v>2582</v>
      </c>
    </row>
    <row r="566" spans="1:27">
      <c r="A566" s="376">
        <v>511</v>
      </c>
      <c r="B566" s="377">
        <v>721000</v>
      </c>
      <c r="C566" s="391" t="s">
        <v>6864</v>
      </c>
      <c r="D566" s="379">
        <v>25</v>
      </c>
      <c r="E566" s="380">
        <v>0</v>
      </c>
      <c r="F566" s="380">
        <v>0</v>
      </c>
      <c r="H566" s="351">
        <f t="shared" si="45"/>
        <v>25000</v>
      </c>
      <c r="I566" s="351">
        <f t="shared" si="46"/>
        <v>0</v>
      </c>
      <c r="M566" s="321">
        <v>1611305210</v>
      </c>
      <c r="N566" s="321">
        <v>61</v>
      </c>
      <c r="O566" s="321" t="s">
        <v>5221</v>
      </c>
      <c r="P566" s="321">
        <v>1611305</v>
      </c>
      <c r="Q566" s="322">
        <v>0</v>
      </c>
      <c r="R566" s="322">
        <v>0</v>
      </c>
      <c r="S566" s="322">
        <v>0</v>
      </c>
      <c r="T566" s="322">
        <v>0</v>
      </c>
      <c r="U566" s="322">
        <f t="shared" si="42"/>
        <v>0</v>
      </c>
      <c r="W566" s="321">
        <f t="shared" si="43"/>
        <v>210</v>
      </c>
      <c r="X566" s="321">
        <f t="shared" si="44"/>
        <v>611305</v>
      </c>
      <c r="Y566" s="321">
        <v>1</v>
      </c>
      <c r="AA566" s="321" t="s">
        <v>5221</v>
      </c>
    </row>
    <row r="567" spans="1:27">
      <c r="A567" s="376">
        <v>530</v>
      </c>
      <c r="B567" s="377">
        <v>721000</v>
      </c>
      <c r="C567" s="382" t="s">
        <v>6865</v>
      </c>
      <c r="D567" s="379">
        <v>82</v>
      </c>
      <c r="E567" s="380">
        <v>50</v>
      </c>
      <c r="F567" s="380">
        <v>50</v>
      </c>
      <c r="H567" s="351">
        <f t="shared" si="45"/>
        <v>82000</v>
      </c>
      <c r="I567" s="351">
        <f t="shared" si="46"/>
        <v>50000</v>
      </c>
      <c r="M567" s="321">
        <v>1611305470</v>
      </c>
      <c r="N567" s="321">
        <v>61</v>
      </c>
      <c r="O567" s="321" t="s">
        <v>2830</v>
      </c>
      <c r="P567" s="321">
        <v>1611305</v>
      </c>
      <c r="Q567" s="322">
        <v>3400</v>
      </c>
      <c r="R567" s="322">
        <v>1700</v>
      </c>
      <c r="S567" s="322">
        <v>3400</v>
      </c>
      <c r="T567" s="322">
        <v>3400</v>
      </c>
      <c r="U567" s="322">
        <f t="shared" si="42"/>
        <v>0</v>
      </c>
      <c r="W567" s="321">
        <f t="shared" si="43"/>
        <v>470</v>
      </c>
      <c r="X567" s="321">
        <f t="shared" si="44"/>
        <v>611305</v>
      </c>
      <c r="Y567" s="321">
        <v>1</v>
      </c>
      <c r="AA567" s="321" t="s">
        <v>2830</v>
      </c>
    </row>
    <row r="568" spans="1:27">
      <c r="A568" s="376">
        <v>540</v>
      </c>
      <c r="B568" s="377">
        <v>721000</v>
      </c>
      <c r="C568" s="382" t="s">
        <v>6764</v>
      </c>
      <c r="D568" s="379">
        <v>8</v>
      </c>
      <c r="E568" s="380">
        <v>7</v>
      </c>
      <c r="F568" s="380">
        <v>6</v>
      </c>
      <c r="H568" s="351">
        <f t="shared" si="45"/>
        <v>8000</v>
      </c>
      <c r="I568" s="351">
        <f t="shared" si="46"/>
        <v>6000</v>
      </c>
      <c r="M568" s="321">
        <v>1611305471</v>
      </c>
      <c r="N568" s="321">
        <v>61</v>
      </c>
      <c r="O568" s="321" t="s">
        <v>5212</v>
      </c>
      <c r="P568" s="321">
        <v>1611305</v>
      </c>
      <c r="Q568" s="322">
        <v>3500</v>
      </c>
      <c r="R568" s="322">
        <v>3500</v>
      </c>
      <c r="S568" s="322">
        <v>3700</v>
      </c>
      <c r="T568" s="322">
        <v>3700</v>
      </c>
      <c r="U568" s="322">
        <f t="shared" si="42"/>
        <v>0</v>
      </c>
      <c r="W568" s="321">
        <f t="shared" si="43"/>
        <v>471</v>
      </c>
      <c r="X568" s="321">
        <f t="shared" si="44"/>
        <v>611305</v>
      </c>
      <c r="Y568" s="321">
        <v>1</v>
      </c>
      <c r="AA568" s="321" t="s">
        <v>5212</v>
      </c>
    </row>
    <row r="569" spans="1:27">
      <c r="A569" s="376">
        <v>570</v>
      </c>
      <c r="B569" s="377">
        <v>721000</v>
      </c>
      <c r="C569" s="382" t="s">
        <v>6739</v>
      </c>
      <c r="D569" s="379">
        <v>50</v>
      </c>
      <c r="E569" s="380">
        <v>0</v>
      </c>
      <c r="F569" s="380">
        <v>0</v>
      </c>
      <c r="H569" s="351">
        <f t="shared" si="45"/>
        <v>50000</v>
      </c>
      <c r="I569" s="351">
        <f t="shared" si="46"/>
        <v>0</v>
      </c>
      <c r="M569" s="321">
        <v>1611305510</v>
      </c>
      <c r="N569" s="321">
        <v>61</v>
      </c>
      <c r="O569" s="321" t="s">
        <v>2805</v>
      </c>
      <c r="P569" s="321">
        <v>1611305</v>
      </c>
      <c r="Q569" s="322">
        <v>1000</v>
      </c>
      <c r="R569" s="322">
        <v>500</v>
      </c>
      <c r="S569" s="322">
        <v>1000</v>
      </c>
      <c r="T569" s="322">
        <v>1000</v>
      </c>
      <c r="U569" s="322">
        <f t="shared" si="42"/>
        <v>0</v>
      </c>
      <c r="W569" s="321">
        <f t="shared" si="43"/>
        <v>510</v>
      </c>
      <c r="X569" s="321">
        <f t="shared" si="44"/>
        <v>611305</v>
      </c>
      <c r="Y569" s="321">
        <v>1</v>
      </c>
      <c r="AA569" s="321" t="s">
        <v>2805</v>
      </c>
    </row>
    <row r="570" spans="1:27">
      <c r="A570" s="376">
        <v>730</v>
      </c>
      <c r="B570" s="377">
        <v>721000</v>
      </c>
      <c r="C570" s="382" t="s">
        <v>6866</v>
      </c>
      <c r="D570" s="379">
        <v>69</v>
      </c>
      <c r="E570" s="380">
        <v>70</v>
      </c>
      <c r="F570" s="380">
        <v>80</v>
      </c>
      <c r="H570" s="351">
        <f t="shared" si="45"/>
        <v>69000</v>
      </c>
      <c r="I570" s="351">
        <f t="shared" si="46"/>
        <v>80000</v>
      </c>
      <c r="M570" s="321">
        <v>1611305522</v>
      </c>
      <c r="N570" s="321">
        <v>61</v>
      </c>
      <c r="O570" s="321" t="s">
        <v>2608</v>
      </c>
      <c r="P570" s="321">
        <v>1611305</v>
      </c>
      <c r="Q570" s="322">
        <v>5000</v>
      </c>
      <c r="R570" s="322">
        <v>0</v>
      </c>
      <c r="S570" s="322">
        <v>5000</v>
      </c>
      <c r="T570" s="322">
        <v>5000</v>
      </c>
      <c r="U570" s="322">
        <f t="shared" si="42"/>
        <v>0</v>
      </c>
      <c r="W570" s="321">
        <f t="shared" si="43"/>
        <v>522</v>
      </c>
      <c r="X570" s="321">
        <f t="shared" si="44"/>
        <v>611305</v>
      </c>
      <c r="Y570" s="321">
        <v>1</v>
      </c>
      <c r="AA570" s="321" t="s">
        <v>2608</v>
      </c>
    </row>
    <row r="571" spans="1:27">
      <c r="A571" s="376">
        <v>740</v>
      </c>
      <c r="B571" s="377">
        <v>721000</v>
      </c>
      <c r="C571" s="385" t="s">
        <v>6867</v>
      </c>
      <c r="D571" s="379">
        <v>78</v>
      </c>
      <c r="E571" s="380">
        <v>78</v>
      </c>
      <c r="F571" s="380">
        <v>78</v>
      </c>
      <c r="H571" s="351">
        <f t="shared" si="45"/>
        <v>78000</v>
      </c>
      <c r="I571" s="351">
        <f t="shared" si="46"/>
        <v>78000</v>
      </c>
      <c r="M571" s="321">
        <v>1611305540</v>
      </c>
      <c r="N571" s="321">
        <v>61</v>
      </c>
      <c r="O571" s="321" t="s">
        <v>5216</v>
      </c>
      <c r="P571" s="321">
        <v>1611305</v>
      </c>
      <c r="Q571" s="322">
        <v>120000</v>
      </c>
      <c r="R571" s="322">
        <v>79900</v>
      </c>
      <c r="S571" s="322">
        <v>120000</v>
      </c>
      <c r="T571" s="322">
        <v>120000</v>
      </c>
      <c r="U571" s="322">
        <f t="shared" si="42"/>
        <v>0</v>
      </c>
      <c r="W571" s="321">
        <f t="shared" si="43"/>
        <v>540</v>
      </c>
      <c r="X571" s="321">
        <f t="shared" si="44"/>
        <v>611305</v>
      </c>
      <c r="Y571" s="321">
        <v>1</v>
      </c>
      <c r="AA571" s="321" t="s">
        <v>5216</v>
      </c>
    </row>
    <row r="572" spans="1:27">
      <c r="A572" s="376">
        <v>755</v>
      </c>
      <c r="B572" s="377">
        <v>721000</v>
      </c>
      <c r="C572" s="382" t="s">
        <v>6868</v>
      </c>
      <c r="D572" s="379">
        <v>30</v>
      </c>
      <c r="E572" s="380">
        <v>0</v>
      </c>
      <c r="F572" s="380">
        <v>0</v>
      </c>
      <c r="H572" s="351">
        <f t="shared" si="45"/>
        <v>30000</v>
      </c>
      <c r="I572" s="351">
        <f t="shared" si="46"/>
        <v>0</v>
      </c>
      <c r="M572" s="321">
        <v>1611305542</v>
      </c>
      <c r="N572" s="321">
        <v>61</v>
      </c>
      <c r="O572" s="321" t="s">
        <v>5217</v>
      </c>
      <c r="P572" s="321">
        <v>1611305</v>
      </c>
      <c r="Q572" s="322">
        <v>16600</v>
      </c>
      <c r="R572" s="322">
        <v>9100</v>
      </c>
      <c r="S572" s="322">
        <v>16000</v>
      </c>
      <c r="T572" s="322">
        <v>16000</v>
      </c>
      <c r="U572" s="322">
        <f t="shared" si="42"/>
        <v>0</v>
      </c>
      <c r="W572" s="321">
        <f t="shared" si="43"/>
        <v>542</v>
      </c>
      <c r="X572" s="321">
        <f t="shared" si="44"/>
        <v>611305</v>
      </c>
      <c r="Y572" s="321">
        <v>1</v>
      </c>
      <c r="AA572" s="321" t="s">
        <v>5217</v>
      </c>
    </row>
    <row r="573" spans="1:27">
      <c r="A573" s="376">
        <v>780</v>
      </c>
      <c r="B573" s="377">
        <v>721000</v>
      </c>
      <c r="C573" s="382" t="s">
        <v>6869</v>
      </c>
      <c r="D573" s="379">
        <v>85</v>
      </c>
      <c r="E573" s="380">
        <v>86</v>
      </c>
      <c r="F573" s="380">
        <v>86</v>
      </c>
      <c r="H573" s="351">
        <f t="shared" si="45"/>
        <v>85000</v>
      </c>
      <c r="I573" s="351">
        <f t="shared" si="46"/>
        <v>86000</v>
      </c>
      <c r="M573" s="321">
        <v>1611305545</v>
      </c>
      <c r="N573" s="321">
        <v>61</v>
      </c>
      <c r="O573" s="321" t="s">
        <v>2595</v>
      </c>
      <c r="P573" s="321">
        <v>1611305</v>
      </c>
      <c r="Q573" s="322">
        <v>100000</v>
      </c>
      <c r="R573" s="322">
        <v>43900</v>
      </c>
      <c r="S573" s="322">
        <v>100000</v>
      </c>
      <c r="T573" s="322">
        <v>100000</v>
      </c>
      <c r="U573" s="322">
        <f t="shared" si="42"/>
        <v>0</v>
      </c>
      <c r="W573" s="321">
        <f t="shared" si="43"/>
        <v>545</v>
      </c>
      <c r="X573" s="321">
        <f t="shared" si="44"/>
        <v>611305</v>
      </c>
      <c r="Y573" s="321">
        <v>1</v>
      </c>
      <c r="AA573" s="321" t="s">
        <v>2595</v>
      </c>
    </row>
    <row r="574" spans="1:27">
      <c r="A574" s="376">
        <v>781</v>
      </c>
      <c r="B574" s="377">
        <v>721000</v>
      </c>
      <c r="C574" s="348" t="s">
        <v>6870</v>
      </c>
      <c r="D574" s="379">
        <v>30</v>
      </c>
      <c r="E574" s="380">
        <v>30</v>
      </c>
      <c r="F574" s="380">
        <v>45</v>
      </c>
      <c r="H574" s="351">
        <f t="shared" si="45"/>
        <v>30000</v>
      </c>
      <c r="I574" s="351">
        <f t="shared" si="46"/>
        <v>45000</v>
      </c>
      <c r="M574" s="321">
        <v>1611305570</v>
      </c>
      <c r="N574" s="321">
        <v>61</v>
      </c>
      <c r="O574" s="321" t="s">
        <v>5254</v>
      </c>
      <c r="P574" s="321">
        <v>1611305</v>
      </c>
      <c r="Q574" s="322">
        <v>300000</v>
      </c>
      <c r="R574" s="322">
        <v>187600</v>
      </c>
      <c r="S574" s="322">
        <v>400000</v>
      </c>
      <c r="T574" s="322">
        <v>200000</v>
      </c>
      <c r="U574" s="322">
        <f t="shared" si="42"/>
        <v>200000</v>
      </c>
      <c r="W574" s="321">
        <f t="shared" si="43"/>
        <v>570</v>
      </c>
      <c r="X574" s="321">
        <f t="shared" si="44"/>
        <v>611305</v>
      </c>
      <c r="Y574" s="321">
        <v>1</v>
      </c>
      <c r="AA574" s="321" t="s">
        <v>5254</v>
      </c>
    </row>
    <row r="575" spans="1:27">
      <c r="A575" s="376">
        <v>782</v>
      </c>
      <c r="B575" s="377">
        <v>721000</v>
      </c>
      <c r="C575" s="348" t="s">
        <v>6871</v>
      </c>
      <c r="D575" s="379">
        <v>120</v>
      </c>
      <c r="E575" s="380">
        <v>150</v>
      </c>
      <c r="F575" s="380">
        <v>135</v>
      </c>
      <c r="H575" s="351">
        <f t="shared" si="45"/>
        <v>120000</v>
      </c>
      <c r="I575" s="351">
        <f t="shared" si="46"/>
        <v>135000</v>
      </c>
      <c r="M575" s="321">
        <v>1611305571</v>
      </c>
      <c r="N575" s="321">
        <v>61</v>
      </c>
      <c r="O575" s="321" t="s">
        <v>5255</v>
      </c>
      <c r="P575" s="321">
        <v>1611305</v>
      </c>
      <c r="Q575" s="322">
        <v>205000</v>
      </c>
      <c r="R575" s="322">
        <v>61700</v>
      </c>
      <c r="S575" s="322">
        <v>215000</v>
      </c>
      <c r="T575" s="322">
        <v>215000</v>
      </c>
      <c r="U575" s="322">
        <f t="shared" si="42"/>
        <v>0</v>
      </c>
      <c r="W575" s="321">
        <f t="shared" si="43"/>
        <v>571</v>
      </c>
      <c r="X575" s="321">
        <f t="shared" si="44"/>
        <v>611305</v>
      </c>
      <c r="Y575" s="321">
        <v>1</v>
      </c>
      <c r="AA575" s="321" t="s">
        <v>5255</v>
      </c>
    </row>
    <row r="576" spans="1:27">
      <c r="A576" s="376">
        <v>783</v>
      </c>
      <c r="B576" s="377">
        <v>721000</v>
      </c>
      <c r="C576" s="348" t="s">
        <v>6872</v>
      </c>
      <c r="D576" s="379">
        <v>0</v>
      </c>
      <c r="E576" s="380">
        <v>143</v>
      </c>
      <c r="F576" s="380">
        <v>143</v>
      </c>
      <c r="H576" s="351">
        <f t="shared" si="45"/>
        <v>0</v>
      </c>
      <c r="I576" s="351">
        <f t="shared" si="46"/>
        <v>143000</v>
      </c>
      <c r="M576" s="321">
        <v>1611305572</v>
      </c>
      <c r="N576" s="321">
        <v>61</v>
      </c>
      <c r="O576" s="321" t="s">
        <v>5256</v>
      </c>
      <c r="P576" s="321">
        <v>1611305</v>
      </c>
      <c r="Q576" s="322">
        <v>390000</v>
      </c>
      <c r="R576" s="322">
        <v>128400</v>
      </c>
      <c r="S576" s="322">
        <v>410000</v>
      </c>
      <c r="T576" s="322">
        <v>410000</v>
      </c>
      <c r="U576" s="322">
        <f t="shared" si="42"/>
        <v>0</v>
      </c>
      <c r="W576" s="321">
        <f t="shared" si="43"/>
        <v>572</v>
      </c>
      <c r="X576" s="321">
        <f t="shared" si="44"/>
        <v>611305</v>
      </c>
      <c r="Y576" s="321">
        <v>1</v>
      </c>
      <c r="AA576" s="321" t="s">
        <v>5256</v>
      </c>
    </row>
    <row r="577" spans="1:27">
      <c r="A577" s="376">
        <v>960</v>
      </c>
      <c r="B577" s="377">
        <v>721000</v>
      </c>
      <c r="C577" s="382" t="s">
        <v>6782</v>
      </c>
      <c r="D577" s="379">
        <v>300</v>
      </c>
      <c r="E577" s="380">
        <v>0</v>
      </c>
      <c r="F577" s="380">
        <v>0</v>
      </c>
      <c r="H577" s="351">
        <f t="shared" si="45"/>
        <v>300000</v>
      </c>
      <c r="I577" s="351">
        <f t="shared" si="46"/>
        <v>0</v>
      </c>
      <c r="M577" s="321">
        <v>1611305574</v>
      </c>
      <c r="N577" s="321">
        <v>61</v>
      </c>
      <c r="O577" s="321" t="s">
        <v>5257</v>
      </c>
      <c r="P577" s="321">
        <v>1611305</v>
      </c>
      <c r="Q577" s="322">
        <v>420000</v>
      </c>
      <c r="R577" s="322">
        <v>145200</v>
      </c>
      <c r="S577" s="322">
        <v>420000</v>
      </c>
      <c r="T577" s="322">
        <v>320000</v>
      </c>
      <c r="U577" s="322">
        <f t="shared" si="42"/>
        <v>100000</v>
      </c>
      <c r="W577" s="321">
        <f t="shared" si="43"/>
        <v>574</v>
      </c>
      <c r="X577" s="321">
        <f t="shared" si="44"/>
        <v>611305</v>
      </c>
      <c r="Y577" s="321">
        <v>1</v>
      </c>
      <c r="AA577" s="321" t="s">
        <v>5257</v>
      </c>
    </row>
    <row r="578" spans="1:27">
      <c r="A578" s="376">
        <v>100</v>
      </c>
      <c r="B578" s="377">
        <v>722100</v>
      </c>
      <c r="C578" s="382" t="s">
        <v>6747</v>
      </c>
      <c r="D578" s="379">
        <v>105</v>
      </c>
      <c r="E578" s="380">
        <v>105</v>
      </c>
      <c r="F578" s="380">
        <v>105</v>
      </c>
      <c r="H578" s="351">
        <f t="shared" si="45"/>
        <v>105000</v>
      </c>
      <c r="I578" s="351">
        <f t="shared" si="46"/>
        <v>105000</v>
      </c>
      <c r="M578" s="321">
        <v>1611305575</v>
      </c>
      <c r="N578" s="321">
        <v>61</v>
      </c>
      <c r="O578" s="321" t="s">
        <v>5258</v>
      </c>
      <c r="P578" s="321">
        <v>1611305</v>
      </c>
      <c r="Q578" s="322">
        <v>110000</v>
      </c>
      <c r="R578" s="322">
        <v>12500</v>
      </c>
      <c r="S578" s="322">
        <v>110000</v>
      </c>
      <c r="T578" s="322">
        <v>110000</v>
      </c>
      <c r="U578" s="322">
        <f t="shared" ref="U578:U641" si="47">S578-T578</f>
        <v>0</v>
      </c>
      <c r="W578" s="321">
        <f t="shared" si="43"/>
        <v>575</v>
      </c>
      <c r="X578" s="321">
        <f t="shared" si="44"/>
        <v>611305</v>
      </c>
      <c r="Y578" s="321">
        <v>1</v>
      </c>
      <c r="AA578" s="321" t="s">
        <v>5258</v>
      </c>
    </row>
    <row r="579" spans="1:27">
      <c r="A579" s="376">
        <v>410</v>
      </c>
      <c r="B579" s="377">
        <v>722100</v>
      </c>
      <c r="C579" s="382" t="s">
        <v>6715</v>
      </c>
      <c r="D579" s="379">
        <v>0</v>
      </c>
      <c r="E579" s="380">
        <v>18</v>
      </c>
      <c r="F579" s="380">
        <v>18</v>
      </c>
      <c r="H579" s="351">
        <f t="shared" si="45"/>
        <v>0</v>
      </c>
      <c r="I579" s="351">
        <f t="shared" si="46"/>
        <v>18000</v>
      </c>
      <c r="M579" s="321">
        <v>1611305576</v>
      </c>
      <c r="N579" s="321">
        <v>61</v>
      </c>
      <c r="O579" s="321" t="s">
        <v>5259</v>
      </c>
      <c r="P579" s="321">
        <v>1611305</v>
      </c>
      <c r="Q579" s="322">
        <v>100000</v>
      </c>
      <c r="R579" s="322">
        <v>36500</v>
      </c>
      <c r="S579" s="322">
        <v>110000</v>
      </c>
      <c r="T579" s="322">
        <v>60000</v>
      </c>
      <c r="U579" s="322">
        <f t="shared" si="47"/>
        <v>50000</v>
      </c>
      <c r="W579" s="321">
        <f t="shared" ref="W579:W642" si="48">M579-1000000000-X579*1000</f>
        <v>576</v>
      </c>
      <c r="X579" s="321">
        <f t="shared" ref="X579:X642" si="49">ROUNDDOWN((M579-1000000000)/1000,0)</f>
        <v>611305</v>
      </c>
      <c r="Y579" s="321">
        <v>1</v>
      </c>
      <c r="AA579" s="321" t="s">
        <v>5259</v>
      </c>
    </row>
    <row r="580" spans="1:27">
      <c r="A580" s="376">
        <v>420</v>
      </c>
      <c r="B580" s="377">
        <v>722100</v>
      </c>
      <c r="C580" s="382" t="s">
        <v>6873</v>
      </c>
      <c r="D580" s="379">
        <v>3</v>
      </c>
      <c r="E580" s="380">
        <v>3</v>
      </c>
      <c r="F580" s="380">
        <v>3</v>
      </c>
      <c r="H580" s="351">
        <f t="shared" si="45"/>
        <v>3000</v>
      </c>
      <c r="I580" s="351">
        <f t="shared" si="46"/>
        <v>3000</v>
      </c>
      <c r="M580" s="321">
        <v>1611305577</v>
      </c>
      <c r="N580" s="321">
        <v>61</v>
      </c>
      <c r="O580" s="321" t="s">
        <v>5260</v>
      </c>
      <c r="P580" s="321">
        <v>1611305</v>
      </c>
      <c r="Q580" s="322">
        <v>175000</v>
      </c>
      <c r="R580" s="322">
        <v>69400</v>
      </c>
      <c r="S580" s="322">
        <v>180000</v>
      </c>
      <c r="T580" s="322">
        <v>180000</v>
      </c>
      <c r="U580" s="322">
        <f t="shared" si="47"/>
        <v>0</v>
      </c>
      <c r="W580" s="321">
        <f t="shared" si="48"/>
        <v>577</v>
      </c>
      <c r="X580" s="321">
        <f t="shared" si="49"/>
        <v>611305</v>
      </c>
      <c r="Y580" s="321">
        <v>1</v>
      </c>
      <c r="AA580" s="321" t="s">
        <v>5260</v>
      </c>
    </row>
    <row r="581" spans="1:27">
      <c r="A581" s="376">
        <v>430</v>
      </c>
      <c r="B581" s="377">
        <v>722100</v>
      </c>
      <c r="C581" s="382" t="s">
        <v>6798</v>
      </c>
      <c r="D581" s="379">
        <v>4</v>
      </c>
      <c r="E581" s="380">
        <v>4</v>
      </c>
      <c r="F581" s="380">
        <v>4</v>
      </c>
      <c r="H581" s="351">
        <f t="shared" si="45"/>
        <v>4000</v>
      </c>
      <c r="I581" s="351">
        <f t="shared" si="46"/>
        <v>4000</v>
      </c>
      <c r="M581" s="321">
        <v>1611305578</v>
      </c>
      <c r="N581" s="321">
        <v>61</v>
      </c>
      <c r="O581" s="321" t="s">
        <v>5261</v>
      </c>
      <c r="P581" s="321">
        <v>1611305</v>
      </c>
      <c r="Q581" s="322">
        <v>0</v>
      </c>
      <c r="R581" s="322">
        <v>0</v>
      </c>
      <c r="S581" s="322">
        <v>0</v>
      </c>
      <c r="T581" s="322">
        <v>0</v>
      </c>
      <c r="U581" s="322">
        <f t="shared" si="47"/>
        <v>0</v>
      </c>
      <c r="W581" s="321">
        <f t="shared" si="48"/>
        <v>578</v>
      </c>
      <c r="X581" s="321">
        <f t="shared" si="49"/>
        <v>611305</v>
      </c>
      <c r="Y581" s="321">
        <v>1</v>
      </c>
      <c r="AA581" s="321" t="s">
        <v>5261</v>
      </c>
    </row>
    <row r="582" spans="1:27">
      <c r="A582" s="376">
        <v>511</v>
      </c>
      <c r="B582" s="377">
        <v>722100</v>
      </c>
      <c r="C582" s="382" t="s">
        <v>6874</v>
      </c>
      <c r="D582" s="379">
        <v>16</v>
      </c>
      <c r="E582" s="380">
        <v>16</v>
      </c>
      <c r="F582" s="380">
        <v>16</v>
      </c>
      <c r="H582" s="351">
        <f t="shared" si="45"/>
        <v>16000</v>
      </c>
      <c r="I582" s="351">
        <f t="shared" si="46"/>
        <v>16000</v>
      </c>
      <c r="M582" s="321">
        <v>1611305579</v>
      </c>
      <c r="N582" s="321">
        <v>61</v>
      </c>
      <c r="O582" s="321" t="s">
        <v>5262</v>
      </c>
      <c r="P582" s="321">
        <v>1611305</v>
      </c>
      <c r="Q582" s="322">
        <v>0</v>
      </c>
      <c r="R582" s="322">
        <v>0</v>
      </c>
      <c r="S582" s="322">
        <v>0</v>
      </c>
      <c r="T582" s="322">
        <v>0</v>
      </c>
      <c r="U582" s="322">
        <f t="shared" si="47"/>
        <v>0</v>
      </c>
      <c r="W582" s="321">
        <f t="shared" si="48"/>
        <v>579</v>
      </c>
      <c r="X582" s="321">
        <f t="shared" si="49"/>
        <v>611305</v>
      </c>
      <c r="Y582" s="321">
        <v>1</v>
      </c>
      <c r="AA582" s="321" t="s">
        <v>5262</v>
      </c>
    </row>
    <row r="583" spans="1:27">
      <c r="A583" s="376">
        <v>540</v>
      </c>
      <c r="B583" s="377">
        <v>722100</v>
      </c>
      <c r="C583" s="382" t="s">
        <v>6752</v>
      </c>
      <c r="D583" s="379">
        <v>3</v>
      </c>
      <c r="E583" s="380">
        <v>3</v>
      </c>
      <c r="F583" s="380">
        <v>3</v>
      </c>
      <c r="H583" s="351">
        <f t="shared" si="45"/>
        <v>3000</v>
      </c>
      <c r="I583" s="351">
        <f t="shared" si="46"/>
        <v>3000</v>
      </c>
      <c r="M583" s="321">
        <v>1611305720</v>
      </c>
      <c r="N583" s="321">
        <v>61</v>
      </c>
      <c r="O583" s="321" t="s">
        <v>2705</v>
      </c>
      <c r="P583" s="321">
        <v>1611305</v>
      </c>
      <c r="Q583" s="322">
        <v>5000</v>
      </c>
      <c r="R583" s="322">
        <v>0</v>
      </c>
      <c r="S583" s="322">
        <v>5000</v>
      </c>
      <c r="T583" s="322">
        <v>5000</v>
      </c>
      <c r="U583" s="322">
        <f t="shared" si="47"/>
        <v>0</v>
      </c>
      <c r="W583" s="321">
        <f t="shared" si="48"/>
        <v>720</v>
      </c>
      <c r="X583" s="321">
        <f t="shared" si="49"/>
        <v>611305</v>
      </c>
      <c r="Y583" s="321">
        <v>1</v>
      </c>
      <c r="AA583" s="321" t="s">
        <v>2705</v>
      </c>
    </row>
    <row r="584" spans="1:27">
      <c r="A584" s="376">
        <v>550</v>
      </c>
      <c r="B584" s="377">
        <v>722100</v>
      </c>
      <c r="C584" s="382" t="s">
        <v>6875</v>
      </c>
      <c r="D584" s="379">
        <v>1</v>
      </c>
      <c r="E584" s="380">
        <v>1</v>
      </c>
      <c r="F584" s="380">
        <v>1</v>
      </c>
      <c r="H584" s="351">
        <f t="shared" si="45"/>
        <v>1000</v>
      </c>
      <c r="I584" s="351">
        <f t="shared" si="46"/>
        <v>1000</v>
      </c>
      <c r="M584" s="321">
        <v>1611305730</v>
      </c>
      <c r="N584" s="321">
        <v>61</v>
      </c>
      <c r="O584" s="321" t="s">
        <v>5263</v>
      </c>
      <c r="P584" s="321">
        <v>1611305</v>
      </c>
      <c r="Q584" s="322">
        <v>30000</v>
      </c>
      <c r="R584" s="322">
        <v>10300</v>
      </c>
      <c r="S584" s="322">
        <v>30000</v>
      </c>
      <c r="T584" s="322">
        <v>30000</v>
      </c>
      <c r="U584" s="322">
        <f t="shared" si="47"/>
        <v>0</v>
      </c>
      <c r="W584" s="321">
        <f t="shared" si="48"/>
        <v>730</v>
      </c>
      <c r="X584" s="321">
        <f t="shared" si="49"/>
        <v>611305</v>
      </c>
      <c r="Y584" s="321">
        <v>1</v>
      </c>
      <c r="AA584" s="321" t="s">
        <v>5263</v>
      </c>
    </row>
    <row r="585" spans="1:27">
      <c r="A585" s="376">
        <v>750</v>
      </c>
      <c r="B585" s="377">
        <v>722100</v>
      </c>
      <c r="C585" s="382" t="s">
        <v>6804</v>
      </c>
      <c r="D585" s="379">
        <v>6</v>
      </c>
      <c r="E585" s="380">
        <v>6</v>
      </c>
      <c r="F585" s="380">
        <v>6</v>
      </c>
      <c r="H585" s="351">
        <f t="shared" si="45"/>
        <v>6000</v>
      </c>
      <c r="I585" s="351">
        <f t="shared" si="46"/>
        <v>6000</v>
      </c>
      <c r="M585" s="321">
        <v>1611305740</v>
      </c>
      <c r="N585" s="321">
        <v>61</v>
      </c>
      <c r="O585" s="321" t="s">
        <v>5264</v>
      </c>
      <c r="P585" s="321">
        <v>1611305</v>
      </c>
      <c r="Q585" s="322">
        <v>4000</v>
      </c>
      <c r="R585" s="322">
        <v>300</v>
      </c>
      <c r="S585" s="322">
        <v>4000</v>
      </c>
      <c r="T585" s="322">
        <v>4000</v>
      </c>
      <c r="U585" s="322">
        <f t="shared" si="47"/>
        <v>0</v>
      </c>
      <c r="W585" s="321">
        <f t="shared" si="48"/>
        <v>740</v>
      </c>
      <c r="X585" s="321">
        <f t="shared" si="49"/>
        <v>611305</v>
      </c>
      <c r="Y585" s="321">
        <v>1</v>
      </c>
      <c r="AA585" s="321" t="s">
        <v>5264</v>
      </c>
    </row>
    <row r="586" spans="1:27">
      <c r="A586" s="376">
        <v>780</v>
      </c>
      <c r="B586" s="377">
        <v>722100</v>
      </c>
      <c r="C586" s="382" t="s">
        <v>6876</v>
      </c>
      <c r="D586" s="379">
        <v>36</v>
      </c>
      <c r="E586" s="380">
        <v>36</v>
      </c>
      <c r="F586" s="380">
        <v>36</v>
      </c>
      <c r="H586" s="351">
        <f t="shared" si="45"/>
        <v>36000</v>
      </c>
      <c r="I586" s="351">
        <f t="shared" si="46"/>
        <v>36000</v>
      </c>
      <c r="M586" s="321">
        <v>1611305920</v>
      </c>
      <c r="N586" s="321">
        <v>61</v>
      </c>
      <c r="O586" s="321" t="s">
        <v>5265</v>
      </c>
      <c r="P586" s="321">
        <v>1611305</v>
      </c>
      <c r="Q586" s="322">
        <v>500000</v>
      </c>
      <c r="R586" s="322">
        <v>6700</v>
      </c>
      <c r="S586" s="322">
        <v>500000</v>
      </c>
      <c r="T586" s="322">
        <v>0</v>
      </c>
      <c r="U586" s="322">
        <f t="shared" si="47"/>
        <v>500000</v>
      </c>
      <c r="W586" s="321">
        <f t="shared" si="48"/>
        <v>920</v>
      </c>
      <c r="X586" s="321">
        <f t="shared" si="49"/>
        <v>611305</v>
      </c>
      <c r="Y586" s="321">
        <v>1</v>
      </c>
      <c r="AA586" s="321" t="s">
        <v>5265</v>
      </c>
    </row>
    <row r="587" spans="1:27">
      <c r="A587" s="376">
        <v>101</v>
      </c>
      <c r="B587" s="377">
        <v>722700</v>
      </c>
      <c r="C587" s="382" t="s">
        <v>6877</v>
      </c>
      <c r="D587" s="379">
        <v>3782</v>
      </c>
      <c r="E587" s="380">
        <v>2980</v>
      </c>
      <c r="F587" s="380">
        <v>2995</v>
      </c>
      <c r="H587" s="351">
        <f t="shared" si="45"/>
        <v>3782000</v>
      </c>
      <c r="I587" s="351">
        <f t="shared" si="46"/>
        <v>2995000</v>
      </c>
      <c r="M587" s="321">
        <v>1611305921</v>
      </c>
      <c r="N587" s="321">
        <v>61</v>
      </c>
      <c r="O587" s="321" t="s">
        <v>5266</v>
      </c>
      <c r="P587" s="321">
        <v>1611305</v>
      </c>
      <c r="Q587" s="322">
        <v>1000000</v>
      </c>
      <c r="R587" s="322">
        <v>879600</v>
      </c>
      <c r="S587" s="322">
        <v>0</v>
      </c>
      <c r="T587" s="322">
        <v>0</v>
      </c>
      <c r="U587" s="322">
        <f t="shared" si="47"/>
        <v>0</v>
      </c>
      <c r="W587" s="321">
        <f t="shared" si="48"/>
        <v>921</v>
      </c>
      <c r="X587" s="321">
        <f t="shared" si="49"/>
        <v>611305</v>
      </c>
      <c r="Y587" s="321">
        <v>1</v>
      </c>
      <c r="AA587" s="321" t="s">
        <v>5266</v>
      </c>
    </row>
    <row r="588" spans="1:27">
      <c r="A588" s="376">
        <v>410</v>
      </c>
      <c r="B588" s="377">
        <v>722700</v>
      </c>
      <c r="C588" s="382" t="s">
        <v>6715</v>
      </c>
      <c r="D588" s="379">
        <v>35</v>
      </c>
      <c r="E588" s="380">
        <v>31</v>
      </c>
      <c r="F588" s="380">
        <v>22</v>
      </c>
      <c r="H588" s="351">
        <f t="shared" si="45"/>
        <v>35000</v>
      </c>
      <c r="I588" s="351">
        <f t="shared" si="46"/>
        <v>22000</v>
      </c>
      <c r="M588" s="321">
        <v>1611305981</v>
      </c>
      <c r="N588" s="321">
        <v>61</v>
      </c>
      <c r="O588" s="321" t="s">
        <v>5267</v>
      </c>
      <c r="P588" s="321">
        <v>1611305</v>
      </c>
      <c r="Q588" s="322">
        <v>0</v>
      </c>
      <c r="R588" s="322">
        <v>0</v>
      </c>
      <c r="S588" s="322">
        <v>0</v>
      </c>
      <c r="T588" s="322">
        <v>0</v>
      </c>
      <c r="U588" s="322">
        <f t="shared" si="47"/>
        <v>0</v>
      </c>
      <c r="W588" s="321">
        <f t="shared" si="48"/>
        <v>981</v>
      </c>
      <c r="X588" s="321">
        <f t="shared" si="49"/>
        <v>611305</v>
      </c>
      <c r="Y588" s="321">
        <v>1</v>
      </c>
      <c r="AA588" s="321" t="s">
        <v>5267</v>
      </c>
    </row>
    <row r="589" spans="1:27">
      <c r="A589" s="376">
        <v>730</v>
      </c>
      <c r="B589" s="377">
        <v>722700</v>
      </c>
      <c r="C589" s="382" t="s">
        <v>6878</v>
      </c>
      <c r="D589" s="379">
        <v>496</v>
      </c>
      <c r="E589" s="380">
        <v>410</v>
      </c>
      <c r="F589" s="380">
        <v>410</v>
      </c>
      <c r="H589" s="351">
        <f t="shared" si="45"/>
        <v>496000</v>
      </c>
      <c r="I589" s="351">
        <f t="shared" si="46"/>
        <v>410000</v>
      </c>
      <c r="M589" s="321">
        <v>1611306110</v>
      </c>
      <c r="N589" s="321">
        <v>61</v>
      </c>
      <c r="O589" s="321" t="s">
        <v>5205</v>
      </c>
      <c r="P589" s="321">
        <v>1611306</v>
      </c>
      <c r="Q589" s="322">
        <v>289000</v>
      </c>
      <c r="R589" s="322">
        <v>268500</v>
      </c>
      <c r="S589" s="322">
        <v>365000</v>
      </c>
      <c r="T589" s="322">
        <v>365000</v>
      </c>
      <c r="U589" s="322">
        <f t="shared" si="47"/>
        <v>0</v>
      </c>
      <c r="W589" s="321">
        <f t="shared" si="48"/>
        <v>110</v>
      </c>
      <c r="X589" s="321">
        <f t="shared" si="49"/>
        <v>611306</v>
      </c>
      <c r="Y589" s="321">
        <v>1</v>
      </c>
      <c r="AA589" s="321" t="s">
        <v>5205</v>
      </c>
    </row>
    <row r="590" spans="1:27">
      <c r="A590" s="376">
        <v>750</v>
      </c>
      <c r="B590" s="377">
        <v>722700</v>
      </c>
      <c r="C590" s="382" t="s">
        <v>6879</v>
      </c>
      <c r="D590" s="379">
        <v>0</v>
      </c>
      <c r="E590" s="380">
        <v>170</v>
      </c>
      <c r="F590" s="380">
        <v>170</v>
      </c>
      <c r="H590" s="351">
        <f t="shared" si="45"/>
        <v>0</v>
      </c>
      <c r="I590" s="351">
        <f t="shared" si="46"/>
        <v>170000</v>
      </c>
      <c r="M590" s="321">
        <v>1611306120</v>
      </c>
      <c r="N590" s="321">
        <v>61</v>
      </c>
      <c r="O590" s="321" t="s">
        <v>5206</v>
      </c>
      <c r="P590" s="321">
        <v>1611306</v>
      </c>
      <c r="Q590" s="322">
        <v>44000</v>
      </c>
      <c r="R590" s="322">
        <v>21900</v>
      </c>
      <c r="S590" s="322">
        <v>23000</v>
      </c>
      <c r="T590" s="322">
        <v>23000</v>
      </c>
      <c r="U590" s="322">
        <f t="shared" si="47"/>
        <v>0</v>
      </c>
      <c r="W590" s="321">
        <f t="shared" si="48"/>
        <v>120</v>
      </c>
      <c r="X590" s="321">
        <f t="shared" si="49"/>
        <v>611306</v>
      </c>
      <c r="Y590" s="321">
        <v>1</v>
      </c>
      <c r="AA590" s="321" t="s">
        <v>5206</v>
      </c>
    </row>
    <row r="591" spans="1:27">
      <c r="A591" s="376">
        <v>751</v>
      </c>
      <c r="B591" s="377">
        <v>722700</v>
      </c>
      <c r="C591" s="382" t="s">
        <v>6880</v>
      </c>
      <c r="D591" s="379">
        <v>0</v>
      </c>
      <c r="E591" s="380">
        <v>0</v>
      </c>
      <c r="F591" s="380">
        <v>0</v>
      </c>
      <c r="H591" s="351">
        <f t="shared" si="45"/>
        <v>0</v>
      </c>
      <c r="I591" s="351">
        <f t="shared" si="46"/>
        <v>0</v>
      </c>
      <c r="M591" s="321">
        <v>1611306130</v>
      </c>
      <c r="N591" s="321">
        <v>61</v>
      </c>
      <c r="O591" s="321" t="s">
        <v>2576</v>
      </c>
      <c r="P591" s="321">
        <v>1611306</v>
      </c>
      <c r="Q591" s="322">
        <v>1000</v>
      </c>
      <c r="R591" s="322">
        <v>2200</v>
      </c>
      <c r="S591" s="322">
        <v>3000</v>
      </c>
      <c r="T591" s="322">
        <v>2700</v>
      </c>
      <c r="U591" s="322">
        <f t="shared" si="47"/>
        <v>300</v>
      </c>
      <c r="W591" s="321">
        <f t="shared" si="48"/>
        <v>130</v>
      </c>
      <c r="X591" s="321">
        <f t="shared" si="49"/>
        <v>611306</v>
      </c>
      <c r="Y591" s="321">
        <v>1</v>
      </c>
      <c r="AA591" s="321" t="s">
        <v>2576</v>
      </c>
    </row>
    <row r="592" spans="1:27">
      <c r="A592" s="376">
        <v>780</v>
      </c>
      <c r="B592" s="377">
        <v>722700</v>
      </c>
      <c r="C592" s="382" t="s">
        <v>6881</v>
      </c>
      <c r="D592" s="379">
        <v>100</v>
      </c>
      <c r="E592" s="380">
        <v>70</v>
      </c>
      <c r="F592" s="380">
        <v>70</v>
      </c>
      <c r="H592" s="351">
        <f t="shared" si="45"/>
        <v>100000</v>
      </c>
      <c r="I592" s="351">
        <f t="shared" si="46"/>
        <v>70000</v>
      </c>
      <c r="M592" s="321">
        <v>1611306140</v>
      </c>
      <c r="N592" s="321">
        <v>61</v>
      </c>
      <c r="O592" s="321" t="s">
        <v>5207</v>
      </c>
      <c r="P592" s="321">
        <v>1611306</v>
      </c>
      <c r="Q592" s="322">
        <v>49000</v>
      </c>
      <c r="R592" s="322">
        <v>15900</v>
      </c>
      <c r="S592" s="322">
        <v>19000</v>
      </c>
      <c r="T592" s="322">
        <v>19000</v>
      </c>
      <c r="U592" s="322">
        <f t="shared" si="47"/>
        <v>0</v>
      </c>
      <c r="W592" s="321">
        <f t="shared" si="48"/>
        <v>140</v>
      </c>
      <c r="X592" s="321">
        <f t="shared" si="49"/>
        <v>611306</v>
      </c>
      <c r="Y592" s="321">
        <v>1</v>
      </c>
      <c r="AA592" s="321" t="s">
        <v>5207</v>
      </c>
    </row>
    <row r="593" spans="1:27">
      <c r="A593" s="376">
        <v>980</v>
      </c>
      <c r="B593" s="377">
        <v>722700</v>
      </c>
      <c r="C593" s="382" t="s">
        <v>6882</v>
      </c>
      <c r="D593" s="379">
        <v>150</v>
      </c>
      <c r="E593" s="380">
        <v>0</v>
      </c>
      <c r="F593" s="380">
        <v>0</v>
      </c>
      <c r="H593" s="351">
        <f t="shared" si="45"/>
        <v>150000</v>
      </c>
      <c r="I593" s="351">
        <f t="shared" si="46"/>
        <v>0</v>
      </c>
      <c r="M593" s="321">
        <v>1611306141</v>
      </c>
      <c r="N593" s="321">
        <v>61</v>
      </c>
      <c r="O593" s="321" t="s">
        <v>5229</v>
      </c>
      <c r="P593" s="321">
        <v>1611306</v>
      </c>
      <c r="Q593" s="322">
        <v>11000</v>
      </c>
      <c r="R593" s="322">
        <v>12500</v>
      </c>
      <c r="S593" s="322">
        <v>17000</v>
      </c>
      <c r="T593" s="322">
        <v>17000</v>
      </c>
      <c r="U593" s="322">
        <f t="shared" si="47"/>
        <v>0</v>
      </c>
      <c r="W593" s="321">
        <f t="shared" si="48"/>
        <v>141</v>
      </c>
      <c r="X593" s="321">
        <f t="shared" si="49"/>
        <v>611306</v>
      </c>
      <c r="Y593" s="321">
        <v>1</v>
      </c>
      <c r="AA593" s="321" t="s">
        <v>5229</v>
      </c>
    </row>
    <row r="594" spans="1:27">
      <c r="A594" s="376">
        <v>100</v>
      </c>
      <c r="B594" s="377">
        <v>722800</v>
      </c>
      <c r="C594" s="382" t="s">
        <v>6747</v>
      </c>
      <c r="D594" s="379">
        <v>1339</v>
      </c>
      <c r="E594" s="380">
        <v>1200</v>
      </c>
      <c r="F594" s="380">
        <v>1216</v>
      </c>
      <c r="H594" s="351">
        <f t="shared" ref="H594:H657" si="50">D594*1000</f>
        <v>1339000</v>
      </c>
      <c r="I594" s="351">
        <f t="shared" ref="I594:I657" si="51">F594*1000</f>
        <v>1216000</v>
      </c>
      <c r="M594" s="321">
        <v>1611306181</v>
      </c>
      <c r="N594" s="321">
        <v>61</v>
      </c>
      <c r="O594" s="321" t="s">
        <v>2580</v>
      </c>
      <c r="P594" s="321">
        <v>1611306</v>
      </c>
      <c r="Q594" s="322">
        <v>69000</v>
      </c>
      <c r="R594" s="322">
        <v>66500</v>
      </c>
      <c r="S594" s="322">
        <v>90000</v>
      </c>
      <c r="T594" s="322">
        <v>90000</v>
      </c>
      <c r="U594" s="322">
        <f t="shared" si="47"/>
        <v>0</v>
      </c>
      <c r="W594" s="321">
        <f t="shared" si="48"/>
        <v>181</v>
      </c>
      <c r="X594" s="321">
        <f t="shared" si="49"/>
        <v>611306</v>
      </c>
      <c r="Y594" s="321">
        <v>1</v>
      </c>
      <c r="AA594" s="321" t="s">
        <v>2580</v>
      </c>
    </row>
    <row r="595" spans="1:27">
      <c r="A595" s="376">
        <v>540</v>
      </c>
      <c r="B595" s="377">
        <v>722800</v>
      </c>
      <c r="C595" s="382" t="s">
        <v>6883</v>
      </c>
      <c r="D595" s="379">
        <v>180</v>
      </c>
      <c r="E595" s="380">
        <v>180</v>
      </c>
      <c r="F595" s="380">
        <v>180</v>
      </c>
      <c r="H595" s="351">
        <f t="shared" si="50"/>
        <v>180000</v>
      </c>
      <c r="I595" s="351">
        <f t="shared" si="51"/>
        <v>180000</v>
      </c>
      <c r="M595" s="321">
        <v>1611306182</v>
      </c>
      <c r="N595" s="321">
        <v>61</v>
      </c>
      <c r="O595" s="321" t="s">
        <v>2582</v>
      </c>
      <c r="P595" s="321">
        <v>1611306</v>
      </c>
      <c r="Q595" s="322">
        <v>60000</v>
      </c>
      <c r="R595" s="322">
        <v>49400</v>
      </c>
      <c r="S595" s="322">
        <v>68000</v>
      </c>
      <c r="T595" s="322">
        <v>68000</v>
      </c>
      <c r="U595" s="322">
        <f t="shared" si="47"/>
        <v>0</v>
      </c>
      <c r="W595" s="321">
        <f t="shared" si="48"/>
        <v>182</v>
      </c>
      <c r="X595" s="321">
        <f t="shared" si="49"/>
        <v>611306</v>
      </c>
      <c r="Y595" s="321">
        <v>1</v>
      </c>
      <c r="AA595" s="321" t="s">
        <v>2582</v>
      </c>
    </row>
    <row r="596" spans="1:27">
      <c r="A596" s="376">
        <v>755</v>
      </c>
      <c r="B596" s="377">
        <v>722800</v>
      </c>
      <c r="C596" s="382" t="s">
        <v>6868</v>
      </c>
      <c r="D596" s="379">
        <v>0</v>
      </c>
      <c r="E596" s="380">
        <v>10</v>
      </c>
      <c r="F596" s="380">
        <v>10</v>
      </c>
      <c r="H596" s="351">
        <f t="shared" si="50"/>
        <v>0</v>
      </c>
      <c r="I596" s="351">
        <f t="shared" si="51"/>
        <v>10000</v>
      </c>
      <c r="M596" s="321">
        <v>1611306210</v>
      </c>
      <c r="N596" s="321">
        <v>61</v>
      </c>
      <c r="O596" s="321" t="s">
        <v>5221</v>
      </c>
      <c r="P596" s="321">
        <v>1611306</v>
      </c>
      <c r="Q596" s="322">
        <v>0</v>
      </c>
      <c r="R596" s="322">
        <v>0</v>
      </c>
      <c r="S596" s="322">
        <v>0</v>
      </c>
      <c r="T596" s="322">
        <v>0</v>
      </c>
      <c r="U596" s="322">
        <f t="shared" si="47"/>
        <v>0</v>
      </c>
      <c r="W596" s="321">
        <f t="shared" si="48"/>
        <v>210</v>
      </c>
      <c r="X596" s="321">
        <f t="shared" si="49"/>
        <v>611306</v>
      </c>
      <c r="Y596" s="321">
        <v>1</v>
      </c>
      <c r="AA596" s="321" t="s">
        <v>5221</v>
      </c>
    </row>
    <row r="597" spans="1:27">
      <c r="A597" s="376">
        <v>780</v>
      </c>
      <c r="B597" s="377">
        <v>722800</v>
      </c>
      <c r="C597" s="382" t="s">
        <v>6884</v>
      </c>
      <c r="D597" s="379">
        <v>96</v>
      </c>
      <c r="E597" s="380">
        <v>78</v>
      </c>
      <c r="F597" s="380">
        <v>71</v>
      </c>
      <c r="H597" s="351">
        <f t="shared" si="50"/>
        <v>96000</v>
      </c>
      <c r="I597" s="351">
        <f t="shared" si="51"/>
        <v>71000</v>
      </c>
      <c r="M597" s="321">
        <v>1611306420</v>
      </c>
      <c r="N597" s="321">
        <v>61</v>
      </c>
      <c r="O597" s="321" t="s">
        <v>5268</v>
      </c>
      <c r="P597" s="321">
        <v>1611306</v>
      </c>
      <c r="Q597" s="322">
        <v>270000</v>
      </c>
      <c r="R597" s="322">
        <v>239300</v>
      </c>
      <c r="S597" s="322">
        <v>300000</v>
      </c>
      <c r="T597" s="322">
        <v>300000</v>
      </c>
      <c r="U597" s="322">
        <f t="shared" si="47"/>
        <v>0</v>
      </c>
      <c r="W597" s="321">
        <f t="shared" si="48"/>
        <v>420</v>
      </c>
      <c r="X597" s="321">
        <f t="shared" si="49"/>
        <v>611306</v>
      </c>
      <c r="Y597" s="321">
        <v>1</v>
      </c>
      <c r="AA597" s="321" t="s">
        <v>5268</v>
      </c>
    </row>
    <row r="598" spans="1:27">
      <c r="A598" s="376">
        <v>100</v>
      </c>
      <c r="B598" s="377">
        <v>723000</v>
      </c>
      <c r="C598" s="382" t="s">
        <v>6747</v>
      </c>
      <c r="D598" s="379">
        <v>607</v>
      </c>
      <c r="E598" s="380">
        <v>600</v>
      </c>
      <c r="F598" s="380">
        <v>558</v>
      </c>
      <c r="H598" s="351">
        <f t="shared" si="50"/>
        <v>607000</v>
      </c>
      <c r="I598" s="351">
        <f t="shared" si="51"/>
        <v>558000</v>
      </c>
      <c r="M598" s="321">
        <v>1611306470</v>
      </c>
      <c r="N598" s="321">
        <v>61</v>
      </c>
      <c r="O598" s="321" t="s">
        <v>2660</v>
      </c>
      <c r="P598" s="321">
        <v>1611306</v>
      </c>
      <c r="Q598" s="322">
        <v>2600</v>
      </c>
      <c r="R598" s="322">
        <v>900</v>
      </c>
      <c r="S598" s="322">
        <v>2600</v>
      </c>
      <c r="T598" s="322">
        <v>2600</v>
      </c>
      <c r="U598" s="322">
        <f t="shared" si="47"/>
        <v>0</v>
      </c>
      <c r="W598" s="321">
        <f t="shared" si="48"/>
        <v>470</v>
      </c>
      <c r="X598" s="321">
        <f t="shared" si="49"/>
        <v>611306</v>
      </c>
      <c r="Y598" s="321">
        <v>1</v>
      </c>
      <c r="AA598" s="321" t="s">
        <v>2660</v>
      </c>
    </row>
    <row r="599" spans="1:27">
      <c r="A599" s="376">
        <v>411</v>
      </c>
      <c r="B599" s="377">
        <v>723000</v>
      </c>
      <c r="C599" s="382" t="s">
        <v>6885</v>
      </c>
      <c r="D599" s="379">
        <v>250</v>
      </c>
      <c r="E599" s="380">
        <v>240</v>
      </c>
      <c r="F599" s="380">
        <v>240</v>
      </c>
      <c r="H599" s="351">
        <f t="shared" si="50"/>
        <v>250000</v>
      </c>
      <c r="I599" s="351">
        <f t="shared" si="51"/>
        <v>240000</v>
      </c>
      <c r="M599" s="321">
        <v>1611306471</v>
      </c>
      <c r="N599" s="321">
        <v>61</v>
      </c>
      <c r="O599" s="321" t="s">
        <v>5269</v>
      </c>
      <c r="P599" s="321">
        <v>1611306</v>
      </c>
      <c r="Q599" s="322">
        <v>0</v>
      </c>
      <c r="R599" s="322">
        <v>0</v>
      </c>
      <c r="S599" s="322">
        <v>3700</v>
      </c>
      <c r="T599" s="322">
        <v>3700</v>
      </c>
      <c r="U599" s="322">
        <f t="shared" si="47"/>
        <v>0</v>
      </c>
      <c r="W599" s="321">
        <f t="shared" si="48"/>
        <v>471</v>
      </c>
      <c r="X599" s="321">
        <f t="shared" si="49"/>
        <v>611306</v>
      </c>
      <c r="Y599" s="321">
        <v>1</v>
      </c>
      <c r="AA599" s="321" t="s">
        <v>5269</v>
      </c>
    </row>
    <row r="600" spans="1:27">
      <c r="A600" s="376">
        <v>420</v>
      </c>
      <c r="B600" s="377">
        <v>723000</v>
      </c>
      <c r="C600" s="382" t="s">
        <v>6886</v>
      </c>
      <c r="D600" s="379">
        <v>275</v>
      </c>
      <c r="E600" s="380">
        <v>270</v>
      </c>
      <c r="F600" s="380">
        <v>261</v>
      </c>
      <c r="H600" s="351">
        <f t="shared" si="50"/>
        <v>275000</v>
      </c>
      <c r="I600" s="351">
        <f t="shared" si="51"/>
        <v>261000</v>
      </c>
      <c r="M600" s="321">
        <v>1611306510</v>
      </c>
      <c r="N600" s="321">
        <v>61</v>
      </c>
      <c r="O600" s="321" t="s">
        <v>2805</v>
      </c>
      <c r="P600" s="321">
        <v>1611306</v>
      </c>
      <c r="Q600" s="322">
        <v>1000</v>
      </c>
      <c r="R600" s="322">
        <v>700</v>
      </c>
      <c r="S600" s="322">
        <v>1000</v>
      </c>
      <c r="T600" s="322">
        <v>1000</v>
      </c>
      <c r="U600" s="322">
        <f t="shared" si="47"/>
        <v>0</v>
      </c>
      <c r="W600" s="321">
        <f t="shared" si="48"/>
        <v>510</v>
      </c>
      <c r="X600" s="321">
        <f t="shared" si="49"/>
        <v>611306</v>
      </c>
      <c r="Y600" s="321">
        <v>1</v>
      </c>
      <c r="AA600" s="321" t="s">
        <v>2805</v>
      </c>
    </row>
    <row r="601" spans="1:27">
      <c r="A601" s="376">
        <v>430</v>
      </c>
      <c r="B601" s="377">
        <v>723000</v>
      </c>
      <c r="C601" s="382" t="s">
        <v>6798</v>
      </c>
      <c r="D601" s="379">
        <v>77</v>
      </c>
      <c r="E601" s="380">
        <v>75</v>
      </c>
      <c r="F601" s="380">
        <v>73</v>
      </c>
      <c r="H601" s="351">
        <f t="shared" si="50"/>
        <v>77000</v>
      </c>
      <c r="I601" s="351">
        <f t="shared" si="51"/>
        <v>73000</v>
      </c>
      <c r="M601" s="321">
        <v>1611306522</v>
      </c>
      <c r="N601" s="321">
        <v>61</v>
      </c>
      <c r="O601" s="321" t="s">
        <v>2608</v>
      </c>
      <c r="P601" s="321">
        <v>1611306</v>
      </c>
      <c r="Q601" s="322">
        <v>6000</v>
      </c>
      <c r="R601" s="322">
        <v>1300</v>
      </c>
      <c r="S601" s="322">
        <v>6000</v>
      </c>
      <c r="T601" s="322">
        <v>6000</v>
      </c>
      <c r="U601" s="322">
        <f t="shared" si="47"/>
        <v>0</v>
      </c>
      <c r="W601" s="321">
        <f t="shared" si="48"/>
        <v>522</v>
      </c>
      <c r="X601" s="321">
        <f t="shared" si="49"/>
        <v>611306</v>
      </c>
      <c r="Y601" s="321">
        <v>1</v>
      </c>
      <c r="AA601" s="321" t="s">
        <v>2608</v>
      </c>
    </row>
    <row r="602" spans="1:27">
      <c r="A602" s="376">
        <v>432</v>
      </c>
      <c r="B602" s="377">
        <v>723000</v>
      </c>
      <c r="C602" s="382" t="s">
        <v>6887</v>
      </c>
      <c r="D602" s="379">
        <v>44</v>
      </c>
      <c r="E602" s="380">
        <v>44</v>
      </c>
      <c r="F602" s="380">
        <v>44</v>
      </c>
      <c r="H602" s="351">
        <f t="shared" si="50"/>
        <v>44000</v>
      </c>
      <c r="I602" s="351">
        <f t="shared" si="51"/>
        <v>44000</v>
      </c>
      <c r="M602" s="321">
        <v>1611306530</v>
      </c>
      <c r="N602" s="321">
        <v>61</v>
      </c>
      <c r="O602" s="321" t="s">
        <v>5270</v>
      </c>
      <c r="P602" s="321">
        <v>1611306</v>
      </c>
      <c r="Q602" s="322">
        <v>35000</v>
      </c>
      <c r="R602" s="322">
        <v>10700</v>
      </c>
      <c r="S602" s="322">
        <v>35000</v>
      </c>
      <c r="T602" s="322">
        <v>35000</v>
      </c>
      <c r="U602" s="322">
        <f t="shared" si="47"/>
        <v>0</v>
      </c>
      <c r="W602" s="321">
        <f t="shared" si="48"/>
        <v>530</v>
      </c>
      <c r="X602" s="321">
        <f t="shared" si="49"/>
        <v>611306</v>
      </c>
      <c r="Y602" s="321">
        <v>1</v>
      </c>
      <c r="AA602" s="321" t="s">
        <v>5270</v>
      </c>
    </row>
    <row r="603" spans="1:27">
      <c r="A603" s="376">
        <v>440</v>
      </c>
      <c r="B603" s="377">
        <v>723000</v>
      </c>
      <c r="C603" s="382" t="s">
        <v>6888</v>
      </c>
      <c r="D603" s="379">
        <v>93</v>
      </c>
      <c r="E603" s="380">
        <v>93</v>
      </c>
      <c r="F603" s="380">
        <v>93</v>
      </c>
      <c r="H603" s="351">
        <f t="shared" si="50"/>
        <v>93000</v>
      </c>
      <c r="I603" s="351">
        <f t="shared" si="51"/>
        <v>93000</v>
      </c>
      <c r="M603" s="321">
        <v>1611306540</v>
      </c>
      <c r="N603" s="321">
        <v>61</v>
      </c>
      <c r="O603" s="321" t="s">
        <v>5216</v>
      </c>
      <c r="P603" s="321">
        <v>1611306</v>
      </c>
      <c r="Q603" s="322">
        <v>9000</v>
      </c>
      <c r="R603" s="322">
        <v>5900</v>
      </c>
      <c r="S603" s="322">
        <v>9000</v>
      </c>
      <c r="T603" s="322">
        <v>9000</v>
      </c>
      <c r="U603" s="322">
        <f t="shared" si="47"/>
        <v>0</v>
      </c>
      <c r="W603" s="321">
        <f t="shared" si="48"/>
        <v>540</v>
      </c>
      <c r="X603" s="321">
        <f t="shared" si="49"/>
        <v>611306</v>
      </c>
      <c r="Y603" s="321">
        <v>1</v>
      </c>
      <c r="AA603" s="321" t="s">
        <v>5216</v>
      </c>
    </row>
    <row r="604" spans="1:27">
      <c r="A604" s="376">
        <v>540</v>
      </c>
      <c r="B604" s="377">
        <v>723000</v>
      </c>
      <c r="C604" s="382" t="s">
        <v>6752</v>
      </c>
      <c r="D604" s="379">
        <v>12</v>
      </c>
      <c r="E604" s="380">
        <v>11</v>
      </c>
      <c r="F604" s="380">
        <v>11</v>
      </c>
      <c r="H604" s="351">
        <f t="shared" si="50"/>
        <v>12000</v>
      </c>
      <c r="I604" s="351">
        <f t="shared" si="51"/>
        <v>11000</v>
      </c>
      <c r="M604" s="321">
        <v>1611306542</v>
      </c>
      <c r="N604" s="321">
        <v>61</v>
      </c>
      <c r="O604" s="321" t="s">
        <v>5271</v>
      </c>
      <c r="P604" s="321">
        <v>1611306</v>
      </c>
      <c r="Q604" s="322">
        <v>2000</v>
      </c>
      <c r="R604" s="322">
        <v>1100</v>
      </c>
      <c r="S604" s="322">
        <v>2000</v>
      </c>
      <c r="T604" s="322">
        <v>2000</v>
      </c>
      <c r="U604" s="322">
        <f t="shared" si="47"/>
        <v>0</v>
      </c>
      <c r="W604" s="321">
        <f t="shared" si="48"/>
        <v>542</v>
      </c>
      <c r="X604" s="321">
        <f t="shared" si="49"/>
        <v>611306</v>
      </c>
      <c r="Y604" s="321">
        <v>1</v>
      </c>
      <c r="AA604" s="321" t="s">
        <v>5271</v>
      </c>
    </row>
    <row r="605" spans="1:27">
      <c r="A605" s="376">
        <v>730</v>
      </c>
      <c r="B605" s="377">
        <v>723000</v>
      </c>
      <c r="C605" s="382" t="s">
        <v>6889</v>
      </c>
      <c r="D605" s="379">
        <v>50</v>
      </c>
      <c r="E605" s="380">
        <v>50</v>
      </c>
      <c r="F605" s="380">
        <v>55</v>
      </c>
      <c r="H605" s="351">
        <f t="shared" si="50"/>
        <v>50000</v>
      </c>
      <c r="I605" s="351">
        <f t="shared" si="51"/>
        <v>55000</v>
      </c>
      <c r="M605" s="321">
        <v>1611306550</v>
      </c>
      <c r="N605" s="321">
        <v>61</v>
      </c>
      <c r="O605" s="321" t="s">
        <v>5272</v>
      </c>
      <c r="P605" s="321">
        <v>1611306</v>
      </c>
      <c r="Q605" s="322">
        <v>24000</v>
      </c>
      <c r="R605" s="322">
        <v>2000</v>
      </c>
      <c r="S605" s="322">
        <v>24000</v>
      </c>
      <c r="T605" s="322">
        <v>24000</v>
      </c>
      <c r="U605" s="322">
        <f t="shared" si="47"/>
        <v>0</v>
      </c>
      <c r="W605" s="321">
        <f t="shared" si="48"/>
        <v>550</v>
      </c>
      <c r="X605" s="321">
        <f t="shared" si="49"/>
        <v>611306</v>
      </c>
      <c r="Y605" s="321">
        <v>1</v>
      </c>
      <c r="AA605" s="321" t="s">
        <v>5272</v>
      </c>
    </row>
    <row r="606" spans="1:27">
      <c r="A606" s="376">
        <v>755</v>
      </c>
      <c r="B606" s="377">
        <v>723000</v>
      </c>
      <c r="C606" s="382" t="s">
        <v>6868</v>
      </c>
      <c r="D606" s="379">
        <v>120</v>
      </c>
      <c r="E606" s="380">
        <v>0</v>
      </c>
      <c r="F606" s="380">
        <v>0</v>
      </c>
      <c r="H606" s="351">
        <f t="shared" si="50"/>
        <v>120000</v>
      </c>
      <c r="I606" s="351">
        <f t="shared" si="51"/>
        <v>0</v>
      </c>
      <c r="M606" s="321">
        <v>1611306572</v>
      </c>
      <c r="N606" s="321">
        <v>61</v>
      </c>
      <c r="O606" s="321" t="s">
        <v>5253</v>
      </c>
      <c r="P606" s="321">
        <v>1611306</v>
      </c>
      <c r="Q606" s="322">
        <v>0</v>
      </c>
      <c r="R606" s="322">
        <v>0</v>
      </c>
      <c r="S606" s="322">
        <v>0</v>
      </c>
      <c r="T606" s="322">
        <v>0</v>
      </c>
      <c r="U606" s="322">
        <f t="shared" si="47"/>
        <v>0</v>
      </c>
      <c r="W606" s="321">
        <f t="shared" si="48"/>
        <v>572</v>
      </c>
      <c r="X606" s="321">
        <f t="shared" si="49"/>
        <v>611306</v>
      </c>
      <c r="Y606" s="321">
        <v>1</v>
      </c>
      <c r="AA606" s="321" t="s">
        <v>5253</v>
      </c>
    </row>
    <row r="607" spans="1:27">
      <c r="A607" s="376">
        <v>811</v>
      </c>
      <c r="B607" s="377">
        <v>723000</v>
      </c>
      <c r="C607" s="382" t="s">
        <v>6890</v>
      </c>
      <c r="D607" s="379">
        <v>650</v>
      </c>
      <c r="E607" s="380">
        <v>597</v>
      </c>
      <c r="F607" s="380">
        <v>597</v>
      </c>
      <c r="H607" s="351">
        <f t="shared" si="50"/>
        <v>650000</v>
      </c>
      <c r="I607" s="351">
        <f t="shared" si="51"/>
        <v>597000</v>
      </c>
      <c r="M607" s="321">
        <v>1611306580</v>
      </c>
      <c r="N607" s="321">
        <v>61</v>
      </c>
      <c r="O607" s="321" t="s">
        <v>5273</v>
      </c>
      <c r="P607" s="321">
        <v>1611306</v>
      </c>
      <c r="Q607" s="322">
        <v>140000</v>
      </c>
      <c r="R607" s="322">
        <v>1900</v>
      </c>
      <c r="S607" s="322">
        <v>150000</v>
      </c>
      <c r="T607" s="322">
        <v>100000</v>
      </c>
      <c r="U607" s="322">
        <f t="shared" si="47"/>
        <v>50000</v>
      </c>
      <c r="W607" s="321">
        <f t="shared" si="48"/>
        <v>580</v>
      </c>
      <c r="X607" s="321">
        <f t="shared" si="49"/>
        <v>611306</v>
      </c>
      <c r="Y607" s="321">
        <v>1</v>
      </c>
      <c r="AA607" s="321" t="s">
        <v>5273</v>
      </c>
    </row>
    <row r="608" spans="1:27">
      <c r="A608" s="376">
        <v>831</v>
      </c>
      <c r="B608" s="377">
        <v>724000</v>
      </c>
      <c r="C608" s="382" t="s">
        <v>6891</v>
      </c>
      <c r="D608" s="379">
        <v>3700</v>
      </c>
      <c r="E608" s="380">
        <v>3635</v>
      </c>
      <c r="F608" s="380">
        <v>3635</v>
      </c>
      <c r="H608" s="351">
        <f t="shared" si="50"/>
        <v>3700000</v>
      </c>
      <c r="I608" s="351">
        <f t="shared" si="51"/>
        <v>3635000</v>
      </c>
      <c r="M608" s="321">
        <v>1611306581</v>
      </c>
      <c r="N608" s="321">
        <v>61</v>
      </c>
      <c r="O608" s="321" t="s">
        <v>5274</v>
      </c>
      <c r="P608" s="321">
        <v>1611306</v>
      </c>
      <c r="Q608" s="322">
        <v>90000</v>
      </c>
      <c r="R608" s="322">
        <v>5700</v>
      </c>
      <c r="S608" s="322">
        <v>90000</v>
      </c>
      <c r="T608" s="322">
        <v>20000</v>
      </c>
      <c r="U608" s="322">
        <f t="shared" si="47"/>
        <v>70000</v>
      </c>
      <c r="W608" s="321">
        <f t="shared" si="48"/>
        <v>581</v>
      </c>
      <c r="X608" s="321">
        <f t="shared" si="49"/>
        <v>611306</v>
      </c>
      <c r="Y608" s="321">
        <v>1</v>
      </c>
      <c r="AA608" s="321" t="s">
        <v>5274</v>
      </c>
    </row>
    <row r="609" spans="1:27">
      <c r="A609" s="376">
        <v>100</v>
      </c>
      <c r="B609" s="377">
        <v>726000</v>
      </c>
      <c r="C609" s="382" t="s">
        <v>6892</v>
      </c>
      <c r="D609" s="383">
        <v>70</v>
      </c>
      <c r="E609" s="380">
        <v>70</v>
      </c>
      <c r="F609" s="384">
        <v>77</v>
      </c>
      <c r="H609" s="351">
        <f t="shared" si="50"/>
        <v>70000</v>
      </c>
      <c r="I609" s="351">
        <f t="shared" si="51"/>
        <v>77000</v>
      </c>
      <c r="M609" s="321">
        <v>1611306750</v>
      </c>
      <c r="N609" s="321">
        <v>61</v>
      </c>
      <c r="O609" s="321" t="s">
        <v>5275</v>
      </c>
      <c r="P609" s="321">
        <v>1611306</v>
      </c>
      <c r="Q609" s="322">
        <v>56000</v>
      </c>
      <c r="R609" s="322">
        <v>0</v>
      </c>
      <c r="S609" s="322">
        <v>56000</v>
      </c>
      <c r="T609" s="322">
        <v>0</v>
      </c>
      <c r="U609" s="322">
        <f t="shared" si="47"/>
        <v>56000</v>
      </c>
      <c r="W609" s="321">
        <f t="shared" si="48"/>
        <v>750</v>
      </c>
      <c r="X609" s="321">
        <f t="shared" si="49"/>
        <v>611306</v>
      </c>
      <c r="Y609" s="321">
        <v>1</v>
      </c>
      <c r="AA609" s="321" t="s">
        <v>5275</v>
      </c>
    </row>
    <row r="610" spans="1:27">
      <c r="A610" s="376">
        <v>540</v>
      </c>
      <c r="B610" s="377">
        <v>726000</v>
      </c>
      <c r="C610" s="382" t="s">
        <v>6752</v>
      </c>
      <c r="D610" s="383">
        <v>6</v>
      </c>
      <c r="E610" s="380">
        <v>8</v>
      </c>
      <c r="F610" s="384">
        <v>8</v>
      </c>
      <c r="H610" s="351">
        <f t="shared" si="50"/>
        <v>6000</v>
      </c>
      <c r="I610" s="351">
        <f t="shared" si="51"/>
        <v>8000</v>
      </c>
      <c r="M610" s="321">
        <v>1611306752</v>
      </c>
      <c r="N610" s="321">
        <v>61</v>
      </c>
      <c r="O610" s="321" t="s">
        <v>5276</v>
      </c>
      <c r="P610" s="321">
        <v>1611306</v>
      </c>
      <c r="Q610" s="322">
        <v>210000</v>
      </c>
      <c r="R610" s="322">
        <v>20400</v>
      </c>
      <c r="S610" s="322">
        <v>210000</v>
      </c>
      <c r="T610" s="322">
        <v>170000</v>
      </c>
      <c r="U610" s="322">
        <f t="shared" si="47"/>
        <v>40000</v>
      </c>
      <c r="W610" s="321">
        <f t="shared" si="48"/>
        <v>752</v>
      </c>
      <c r="X610" s="321">
        <f t="shared" si="49"/>
        <v>611306</v>
      </c>
      <c r="Y610" s="321">
        <v>1</v>
      </c>
      <c r="AA610" s="321" t="s">
        <v>5276</v>
      </c>
    </row>
    <row r="611" spans="1:27">
      <c r="A611" s="376">
        <v>780</v>
      </c>
      <c r="B611" s="377">
        <v>726000</v>
      </c>
      <c r="C611" s="382" t="s">
        <v>129</v>
      </c>
      <c r="D611" s="379">
        <v>25</v>
      </c>
      <c r="E611" s="380">
        <v>24</v>
      </c>
      <c r="F611" s="380">
        <v>24</v>
      </c>
      <c r="H611" s="351">
        <f t="shared" si="50"/>
        <v>25000</v>
      </c>
      <c r="I611" s="351">
        <f t="shared" si="51"/>
        <v>24000</v>
      </c>
      <c r="M611" s="321">
        <v>1611306753</v>
      </c>
      <c r="N611" s="321">
        <v>61</v>
      </c>
      <c r="O611" s="321" t="s">
        <v>5277</v>
      </c>
      <c r="P611" s="321">
        <v>1611306</v>
      </c>
      <c r="Q611" s="322">
        <v>200000</v>
      </c>
      <c r="R611" s="322">
        <v>0</v>
      </c>
      <c r="S611" s="322">
        <v>200000</v>
      </c>
      <c r="T611" s="322">
        <v>200000</v>
      </c>
      <c r="U611" s="322">
        <f t="shared" si="47"/>
        <v>0</v>
      </c>
      <c r="W611" s="321">
        <f t="shared" si="48"/>
        <v>753</v>
      </c>
      <c r="X611" s="321">
        <f t="shared" si="49"/>
        <v>611306</v>
      </c>
      <c r="Y611" s="321">
        <v>1</v>
      </c>
      <c r="AA611" s="321" t="s">
        <v>5277</v>
      </c>
    </row>
    <row r="612" spans="1:27">
      <c r="A612" s="376">
        <v>100</v>
      </c>
      <c r="B612" s="377">
        <v>731000</v>
      </c>
      <c r="C612" s="382" t="s">
        <v>6747</v>
      </c>
      <c r="D612" s="379">
        <f>2587+50</f>
        <v>2637</v>
      </c>
      <c r="E612" s="380">
        <v>2550</v>
      </c>
      <c r="F612" s="380">
        <v>2644</v>
      </c>
      <c r="H612" s="351">
        <f t="shared" si="50"/>
        <v>2637000</v>
      </c>
      <c r="I612" s="351">
        <f t="shared" si="51"/>
        <v>2644000</v>
      </c>
      <c r="M612" s="321">
        <v>1611306760</v>
      </c>
      <c r="N612" s="321">
        <v>61</v>
      </c>
      <c r="O612" s="321" t="s">
        <v>5278</v>
      </c>
      <c r="P612" s="321">
        <v>1611306</v>
      </c>
      <c r="Q612" s="322">
        <v>270000</v>
      </c>
      <c r="R612" s="322">
        <v>190200</v>
      </c>
      <c r="S612" s="322">
        <v>270000</v>
      </c>
      <c r="T612" s="322">
        <v>250000</v>
      </c>
      <c r="U612" s="322">
        <f t="shared" si="47"/>
        <v>20000</v>
      </c>
      <c r="W612" s="321">
        <f t="shared" si="48"/>
        <v>760</v>
      </c>
      <c r="X612" s="321">
        <f t="shared" si="49"/>
        <v>611306</v>
      </c>
      <c r="Y612" s="321">
        <v>1</v>
      </c>
      <c r="AA612" s="321" t="s">
        <v>5278</v>
      </c>
    </row>
    <row r="613" spans="1:27">
      <c r="A613" s="376">
        <v>410</v>
      </c>
      <c r="B613" s="377">
        <v>731000</v>
      </c>
      <c r="C613" s="382" t="s">
        <v>6893</v>
      </c>
      <c r="D613" s="379">
        <v>295</v>
      </c>
      <c r="E613" s="380">
        <v>290</v>
      </c>
      <c r="F613" s="380">
        <v>280</v>
      </c>
      <c r="H613" s="351">
        <f t="shared" si="50"/>
        <v>295000</v>
      </c>
      <c r="I613" s="351">
        <f t="shared" si="51"/>
        <v>280000</v>
      </c>
      <c r="M613" s="321">
        <v>1611306761</v>
      </c>
      <c r="N613" s="321">
        <v>61</v>
      </c>
      <c r="O613" s="321" t="s">
        <v>5279</v>
      </c>
      <c r="P613" s="321">
        <v>1611306</v>
      </c>
      <c r="Q613" s="322">
        <v>0</v>
      </c>
      <c r="R613" s="322">
        <v>144600</v>
      </c>
      <c r="S613" s="322">
        <v>320000</v>
      </c>
      <c r="T613" s="322">
        <v>250000</v>
      </c>
      <c r="U613" s="322">
        <f t="shared" si="47"/>
        <v>70000</v>
      </c>
      <c r="W613" s="321">
        <f t="shared" si="48"/>
        <v>761</v>
      </c>
      <c r="X613" s="321">
        <f t="shared" si="49"/>
        <v>611306</v>
      </c>
      <c r="Y613" s="321">
        <v>1</v>
      </c>
      <c r="AA613" s="321" t="s">
        <v>5279</v>
      </c>
    </row>
    <row r="614" spans="1:27">
      <c r="A614" s="376">
        <v>429</v>
      </c>
      <c r="B614" s="377">
        <v>731000</v>
      </c>
      <c r="C614" s="382" t="s">
        <v>6797</v>
      </c>
      <c r="D614" s="379">
        <v>200</v>
      </c>
      <c r="E614" s="380">
        <v>192</v>
      </c>
      <c r="F614" s="380">
        <v>200</v>
      </c>
      <c r="H614" s="351">
        <f t="shared" si="50"/>
        <v>200000</v>
      </c>
      <c r="I614" s="351">
        <f t="shared" si="51"/>
        <v>200000</v>
      </c>
      <c r="M614" s="321">
        <v>1611306771</v>
      </c>
      <c r="N614" s="321">
        <v>61</v>
      </c>
      <c r="O614" s="321" t="s">
        <v>5280</v>
      </c>
      <c r="P614" s="321">
        <v>1611306</v>
      </c>
      <c r="Q614" s="322">
        <v>0</v>
      </c>
      <c r="R614" s="322">
        <v>1100</v>
      </c>
      <c r="S614" s="322">
        <v>1500</v>
      </c>
      <c r="T614" s="322">
        <v>1500</v>
      </c>
      <c r="U614" s="322">
        <f t="shared" si="47"/>
        <v>0</v>
      </c>
      <c r="W614" s="321">
        <f t="shared" si="48"/>
        <v>771</v>
      </c>
      <c r="X614" s="321">
        <f t="shared" si="49"/>
        <v>611306</v>
      </c>
      <c r="Y614" s="321">
        <v>1</v>
      </c>
      <c r="AA614" s="321" t="s">
        <v>5280</v>
      </c>
    </row>
    <row r="615" spans="1:27">
      <c r="A615" s="376">
        <v>430</v>
      </c>
      <c r="B615" s="377">
        <v>731000</v>
      </c>
      <c r="C615" s="382" t="s">
        <v>6798</v>
      </c>
      <c r="D615" s="379">
        <v>204</v>
      </c>
      <c r="E615" s="380">
        <v>200</v>
      </c>
      <c r="F615" s="380">
        <v>200</v>
      </c>
      <c r="H615" s="351">
        <f t="shared" si="50"/>
        <v>204000</v>
      </c>
      <c r="I615" s="351">
        <f t="shared" si="51"/>
        <v>200000</v>
      </c>
      <c r="M615" s="321">
        <v>1611306820</v>
      </c>
      <c r="N615" s="321">
        <v>61</v>
      </c>
      <c r="O615" s="321" t="s">
        <v>5279</v>
      </c>
      <c r="P615" s="321">
        <v>1611306</v>
      </c>
      <c r="Q615" s="322">
        <v>320000</v>
      </c>
      <c r="R615" s="322">
        <v>0</v>
      </c>
      <c r="S615" s="322">
        <v>0</v>
      </c>
      <c r="T615" s="322">
        <v>0</v>
      </c>
      <c r="U615" s="322">
        <f t="shared" si="47"/>
        <v>0</v>
      </c>
      <c r="W615" s="321">
        <f t="shared" si="48"/>
        <v>820</v>
      </c>
      <c r="X615" s="321">
        <f t="shared" si="49"/>
        <v>611306</v>
      </c>
      <c r="Y615" s="321">
        <v>1</v>
      </c>
      <c r="AA615" s="321" t="s">
        <v>5279</v>
      </c>
    </row>
    <row r="616" spans="1:27">
      <c r="A616" s="376">
        <v>470</v>
      </c>
      <c r="B616" s="377">
        <v>731000</v>
      </c>
      <c r="C616" s="382" t="s">
        <v>6716</v>
      </c>
      <c r="D616" s="383">
        <v>90</v>
      </c>
      <c r="E616" s="380">
        <v>108</v>
      </c>
      <c r="F616" s="384">
        <v>108</v>
      </c>
      <c r="H616" s="351">
        <f t="shared" si="50"/>
        <v>90000</v>
      </c>
      <c r="I616" s="351">
        <f t="shared" si="51"/>
        <v>108000</v>
      </c>
      <c r="M616" s="321">
        <v>1612000110</v>
      </c>
      <c r="N616" s="321">
        <v>61</v>
      </c>
      <c r="O616" s="321" t="s">
        <v>5205</v>
      </c>
      <c r="P616" s="321">
        <v>1612000</v>
      </c>
      <c r="Q616" s="322">
        <v>1079000</v>
      </c>
      <c r="R616" s="322">
        <v>823200</v>
      </c>
      <c r="S616" s="322">
        <v>1123000</v>
      </c>
      <c r="T616" s="322">
        <v>1123000</v>
      </c>
      <c r="U616" s="322">
        <f t="shared" si="47"/>
        <v>0</v>
      </c>
      <c r="W616" s="321">
        <f t="shared" si="48"/>
        <v>110</v>
      </c>
      <c r="X616" s="321">
        <f t="shared" si="49"/>
        <v>612000</v>
      </c>
      <c r="Y616" s="321">
        <v>1</v>
      </c>
      <c r="AA616" s="321" t="s">
        <v>5205</v>
      </c>
    </row>
    <row r="617" spans="1:27">
      <c r="A617" s="376">
        <v>511</v>
      </c>
      <c r="B617" s="377">
        <v>731000</v>
      </c>
      <c r="C617" s="381" t="s">
        <v>6894</v>
      </c>
      <c r="D617" s="379">
        <v>30</v>
      </c>
      <c r="E617" s="380">
        <v>30</v>
      </c>
      <c r="F617" s="380">
        <v>30</v>
      </c>
      <c r="H617" s="351">
        <f t="shared" si="50"/>
        <v>30000</v>
      </c>
      <c r="I617" s="351">
        <f t="shared" si="51"/>
        <v>30000</v>
      </c>
      <c r="M617" s="321">
        <v>1612000120</v>
      </c>
      <c r="N617" s="321">
        <v>61</v>
      </c>
      <c r="O617" s="321" t="s">
        <v>5206</v>
      </c>
      <c r="P617" s="321">
        <v>1612000</v>
      </c>
      <c r="Q617" s="322">
        <v>82000</v>
      </c>
      <c r="R617" s="322">
        <v>72600</v>
      </c>
      <c r="S617" s="322">
        <v>85000</v>
      </c>
      <c r="T617" s="322">
        <v>85000</v>
      </c>
      <c r="U617" s="322">
        <f t="shared" si="47"/>
        <v>0</v>
      </c>
      <c r="W617" s="321">
        <f t="shared" si="48"/>
        <v>120</v>
      </c>
      <c r="X617" s="321">
        <f t="shared" si="49"/>
        <v>612000</v>
      </c>
      <c r="Y617" s="321">
        <v>1</v>
      </c>
      <c r="AA617" s="321" t="s">
        <v>5206</v>
      </c>
    </row>
    <row r="618" spans="1:27">
      <c r="A618" s="376">
        <v>530</v>
      </c>
      <c r="B618" s="377">
        <v>731000</v>
      </c>
      <c r="C618" s="381" t="s">
        <v>6799</v>
      </c>
      <c r="D618" s="379">
        <v>145</v>
      </c>
      <c r="E618" s="380">
        <v>130</v>
      </c>
      <c r="F618" s="380">
        <v>131</v>
      </c>
      <c r="H618" s="351">
        <f t="shared" si="50"/>
        <v>145000</v>
      </c>
      <c r="I618" s="351">
        <f t="shared" si="51"/>
        <v>131000</v>
      </c>
      <c r="M618" s="321">
        <v>1612000130</v>
      </c>
      <c r="N618" s="321">
        <v>61</v>
      </c>
      <c r="O618" s="321" t="s">
        <v>2576</v>
      </c>
      <c r="P618" s="321">
        <v>1612000</v>
      </c>
      <c r="Q618" s="322">
        <v>35000</v>
      </c>
      <c r="R618" s="322">
        <v>24800</v>
      </c>
      <c r="S618" s="322">
        <v>35000</v>
      </c>
      <c r="T618" s="322">
        <v>31500</v>
      </c>
      <c r="U618" s="322">
        <f t="shared" si="47"/>
        <v>3500</v>
      </c>
      <c r="W618" s="321">
        <f t="shared" si="48"/>
        <v>130</v>
      </c>
      <c r="X618" s="321">
        <f t="shared" si="49"/>
        <v>612000</v>
      </c>
      <c r="Y618" s="321">
        <v>1</v>
      </c>
      <c r="AA618" s="321" t="s">
        <v>2576</v>
      </c>
    </row>
    <row r="619" spans="1:27">
      <c r="A619" s="376">
        <v>540</v>
      </c>
      <c r="B619" s="377">
        <v>731000</v>
      </c>
      <c r="C619" s="382" t="s">
        <v>6752</v>
      </c>
      <c r="D619" s="379">
        <v>40</v>
      </c>
      <c r="E619" s="380">
        <v>40</v>
      </c>
      <c r="F619" s="380">
        <v>31</v>
      </c>
      <c r="H619" s="351">
        <f t="shared" si="50"/>
        <v>40000</v>
      </c>
      <c r="I619" s="351">
        <f t="shared" si="51"/>
        <v>31000</v>
      </c>
      <c r="M619" s="321">
        <v>1612000140</v>
      </c>
      <c r="N619" s="321">
        <v>61</v>
      </c>
      <c r="O619" s="321" t="s">
        <v>5207</v>
      </c>
      <c r="P619" s="321">
        <v>1612000</v>
      </c>
      <c r="Q619" s="322">
        <v>143000</v>
      </c>
      <c r="R619" s="322">
        <v>104700</v>
      </c>
      <c r="S619" s="322">
        <v>164000</v>
      </c>
      <c r="T619" s="322">
        <v>164000</v>
      </c>
      <c r="U619" s="322">
        <f t="shared" si="47"/>
        <v>0</v>
      </c>
      <c r="W619" s="321">
        <f t="shared" si="48"/>
        <v>140</v>
      </c>
      <c r="X619" s="321">
        <f t="shared" si="49"/>
        <v>612000</v>
      </c>
      <c r="Y619" s="321">
        <v>1</v>
      </c>
      <c r="AA619" s="321" t="s">
        <v>5207</v>
      </c>
    </row>
    <row r="620" spans="1:27">
      <c r="A620" s="376">
        <v>550</v>
      </c>
      <c r="B620" s="377">
        <v>731000</v>
      </c>
      <c r="C620" s="382" t="s">
        <v>6895</v>
      </c>
      <c r="D620" s="379">
        <v>38</v>
      </c>
      <c r="E620" s="380">
        <v>38</v>
      </c>
      <c r="F620" s="380">
        <v>38</v>
      </c>
      <c r="H620" s="351">
        <f t="shared" si="50"/>
        <v>38000</v>
      </c>
      <c r="I620" s="351">
        <f t="shared" si="51"/>
        <v>38000</v>
      </c>
      <c r="M620" s="321">
        <v>1612000141</v>
      </c>
      <c r="N620" s="321">
        <v>61</v>
      </c>
      <c r="O620" s="321" t="s">
        <v>5208</v>
      </c>
      <c r="P620" s="321">
        <v>1612000</v>
      </c>
      <c r="Q620" s="322">
        <v>57000</v>
      </c>
      <c r="R620" s="322">
        <v>36200</v>
      </c>
      <c r="S620" s="322">
        <v>50000</v>
      </c>
      <c r="T620" s="322">
        <v>50000</v>
      </c>
      <c r="U620" s="322">
        <f t="shared" si="47"/>
        <v>0</v>
      </c>
      <c r="W620" s="321">
        <f t="shared" si="48"/>
        <v>141</v>
      </c>
      <c r="X620" s="321">
        <f t="shared" si="49"/>
        <v>612000</v>
      </c>
      <c r="Y620" s="321">
        <v>1</v>
      </c>
      <c r="AA620" s="321" t="s">
        <v>5208</v>
      </c>
    </row>
    <row r="621" spans="1:27">
      <c r="A621" s="376">
        <v>570</v>
      </c>
      <c r="B621" s="377">
        <v>731000</v>
      </c>
      <c r="C621" s="382" t="s">
        <v>6739</v>
      </c>
      <c r="D621" s="379">
        <v>204</v>
      </c>
      <c r="E621" s="380">
        <v>209</v>
      </c>
      <c r="F621" s="380">
        <v>209</v>
      </c>
      <c r="H621" s="351">
        <f t="shared" si="50"/>
        <v>204000</v>
      </c>
      <c r="I621" s="351">
        <f t="shared" si="51"/>
        <v>209000</v>
      </c>
      <c r="M621" s="321">
        <v>1612000181</v>
      </c>
      <c r="N621" s="321">
        <v>61</v>
      </c>
      <c r="O621" s="321" t="s">
        <v>2580</v>
      </c>
      <c r="P621" s="321">
        <v>1612000</v>
      </c>
      <c r="Q621" s="322">
        <v>248000</v>
      </c>
      <c r="R621" s="322">
        <v>207000</v>
      </c>
      <c r="S621" s="322">
        <v>278000</v>
      </c>
      <c r="T621" s="322">
        <v>278000</v>
      </c>
      <c r="U621" s="322">
        <f t="shared" si="47"/>
        <v>0</v>
      </c>
      <c r="W621" s="321">
        <f t="shared" si="48"/>
        <v>181</v>
      </c>
      <c r="X621" s="321">
        <f t="shared" si="49"/>
        <v>612000</v>
      </c>
      <c r="Y621" s="321">
        <v>1</v>
      </c>
      <c r="AA621" s="321" t="s">
        <v>2580</v>
      </c>
    </row>
    <row r="622" spans="1:27">
      <c r="A622" s="376">
        <v>742</v>
      </c>
      <c r="B622" s="377">
        <v>731000</v>
      </c>
      <c r="C622" s="385" t="s">
        <v>6740</v>
      </c>
      <c r="D622" s="379">
        <v>10</v>
      </c>
      <c r="E622" s="380">
        <v>9</v>
      </c>
      <c r="F622" s="380">
        <v>9</v>
      </c>
      <c r="H622" s="351">
        <f t="shared" si="50"/>
        <v>10000</v>
      </c>
      <c r="I622" s="351">
        <f t="shared" si="51"/>
        <v>9000</v>
      </c>
      <c r="M622" s="321">
        <v>1612000182</v>
      </c>
      <c r="N622" s="321">
        <v>61</v>
      </c>
      <c r="O622" s="321" t="s">
        <v>2582</v>
      </c>
      <c r="P622" s="321">
        <v>1612000</v>
      </c>
      <c r="Q622" s="322">
        <v>201000</v>
      </c>
      <c r="R622" s="322">
        <v>154700</v>
      </c>
      <c r="S622" s="322">
        <v>213000</v>
      </c>
      <c r="T622" s="322">
        <v>213000</v>
      </c>
      <c r="U622" s="322">
        <f t="shared" si="47"/>
        <v>0</v>
      </c>
      <c r="W622" s="321">
        <f t="shared" si="48"/>
        <v>182</v>
      </c>
      <c r="X622" s="321">
        <f t="shared" si="49"/>
        <v>612000</v>
      </c>
      <c r="Y622" s="321">
        <v>1</v>
      </c>
      <c r="AA622" s="321" t="s">
        <v>2582</v>
      </c>
    </row>
    <row r="623" spans="1:27">
      <c r="A623" s="376">
        <v>750</v>
      </c>
      <c r="B623" s="377">
        <v>731000</v>
      </c>
      <c r="C623" s="385" t="s">
        <v>6804</v>
      </c>
      <c r="D623" s="379">
        <v>178</v>
      </c>
      <c r="E623" s="380">
        <v>175</v>
      </c>
      <c r="F623" s="380">
        <v>175</v>
      </c>
      <c r="H623" s="351">
        <f t="shared" si="50"/>
        <v>178000</v>
      </c>
      <c r="I623" s="351">
        <f t="shared" si="51"/>
        <v>175000</v>
      </c>
      <c r="M623" s="321">
        <v>1612000470</v>
      </c>
      <c r="N623" s="321">
        <v>61</v>
      </c>
      <c r="O623" s="321" t="s">
        <v>2830</v>
      </c>
      <c r="P623" s="321">
        <v>1612000</v>
      </c>
      <c r="Q623" s="322">
        <v>2000</v>
      </c>
      <c r="R623" s="322">
        <v>700</v>
      </c>
      <c r="S623" s="322">
        <v>2000</v>
      </c>
      <c r="T623" s="322">
        <v>2000</v>
      </c>
      <c r="U623" s="322">
        <f t="shared" si="47"/>
        <v>0</v>
      </c>
      <c r="W623" s="321">
        <f t="shared" si="48"/>
        <v>470</v>
      </c>
      <c r="X623" s="321">
        <f t="shared" si="49"/>
        <v>612000</v>
      </c>
      <c r="Y623" s="321">
        <v>1</v>
      </c>
      <c r="AA623" s="321" t="s">
        <v>2830</v>
      </c>
    </row>
    <row r="624" spans="1:27">
      <c r="A624" s="376">
        <v>751</v>
      </c>
      <c r="B624" s="377">
        <v>731000</v>
      </c>
      <c r="C624" s="385" t="s">
        <v>6896</v>
      </c>
      <c r="D624" s="379">
        <v>160</v>
      </c>
      <c r="E624" s="380">
        <v>150</v>
      </c>
      <c r="F624" s="380">
        <v>150</v>
      </c>
      <c r="H624" s="351">
        <f t="shared" si="50"/>
        <v>160000</v>
      </c>
      <c r="I624" s="351">
        <f t="shared" si="51"/>
        <v>150000</v>
      </c>
      <c r="M624" s="321">
        <v>1612000471</v>
      </c>
      <c r="N624" s="321">
        <v>61</v>
      </c>
      <c r="O624" s="321" t="s">
        <v>5212</v>
      </c>
      <c r="P624" s="321">
        <v>1612000</v>
      </c>
      <c r="Q624" s="322">
        <v>3500</v>
      </c>
      <c r="R624" s="322">
        <v>3500</v>
      </c>
      <c r="S624" s="322">
        <v>4000</v>
      </c>
      <c r="T624" s="322">
        <v>4000</v>
      </c>
      <c r="U624" s="322">
        <f t="shared" si="47"/>
        <v>0</v>
      </c>
      <c r="W624" s="321">
        <f t="shared" si="48"/>
        <v>471</v>
      </c>
      <c r="X624" s="321">
        <f t="shared" si="49"/>
        <v>612000</v>
      </c>
      <c r="Y624" s="321">
        <v>1</v>
      </c>
      <c r="AA624" s="321" t="s">
        <v>5212</v>
      </c>
    </row>
    <row r="625" spans="1:27">
      <c r="A625" s="376">
        <v>780</v>
      </c>
      <c r="B625" s="377">
        <v>731000</v>
      </c>
      <c r="C625" s="385" t="s">
        <v>6897</v>
      </c>
      <c r="D625" s="379">
        <v>38</v>
      </c>
      <c r="E625" s="380">
        <v>32</v>
      </c>
      <c r="F625" s="380">
        <v>32</v>
      </c>
      <c r="H625" s="351">
        <f t="shared" si="50"/>
        <v>38000</v>
      </c>
      <c r="I625" s="351">
        <f t="shared" si="51"/>
        <v>32000</v>
      </c>
      <c r="M625" s="321">
        <v>1612000510</v>
      </c>
      <c r="N625" s="321">
        <v>61</v>
      </c>
      <c r="O625" s="321" t="s">
        <v>2805</v>
      </c>
      <c r="P625" s="321">
        <v>1612000</v>
      </c>
      <c r="Q625" s="322">
        <v>1000</v>
      </c>
      <c r="R625" s="322">
        <v>500</v>
      </c>
      <c r="S625" s="322">
        <v>1000</v>
      </c>
      <c r="T625" s="322">
        <v>1000</v>
      </c>
      <c r="U625" s="322">
        <f t="shared" si="47"/>
        <v>0</v>
      </c>
      <c r="W625" s="321">
        <f t="shared" si="48"/>
        <v>510</v>
      </c>
      <c r="X625" s="321">
        <f t="shared" si="49"/>
        <v>612000</v>
      </c>
      <c r="Y625" s="321">
        <v>1</v>
      </c>
      <c r="AA625" s="321" t="s">
        <v>2805</v>
      </c>
    </row>
    <row r="626" spans="1:27">
      <c r="A626" s="376">
        <v>960</v>
      </c>
      <c r="B626" s="377">
        <v>731000</v>
      </c>
      <c r="C626" s="382" t="s">
        <v>6782</v>
      </c>
      <c r="D626" s="379">
        <v>100</v>
      </c>
      <c r="E626" s="380">
        <v>125</v>
      </c>
      <c r="F626" s="380">
        <v>125</v>
      </c>
      <c r="H626" s="351">
        <f t="shared" si="50"/>
        <v>100000</v>
      </c>
      <c r="I626" s="351">
        <f t="shared" si="51"/>
        <v>125000</v>
      </c>
      <c r="M626" s="321">
        <v>1612000522</v>
      </c>
      <c r="N626" s="321">
        <v>61</v>
      </c>
      <c r="O626" s="321" t="s">
        <v>5281</v>
      </c>
      <c r="P626" s="321">
        <v>1612000</v>
      </c>
      <c r="Q626" s="322">
        <v>1000</v>
      </c>
      <c r="R626" s="322">
        <v>0</v>
      </c>
      <c r="S626" s="322">
        <v>1000</v>
      </c>
      <c r="T626" s="322">
        <v>1000</v>
      </c>
      <c r="U626" s="322">
        <f t="shared" si="47"/>
        <v>0</v>
      </c>
      <c r="W626" s="321">
        <f t="shared" si="48"/>
        <v>522</v>
      </c>
      <c r="X626" s="321">
        <f t="shared" si="49"/>
        <v>612000</v>
      </c>
      <c r="Y626" s="321">
        <v>1</v>
      </c>
      <c r="AA626" s="321" t="s">
        <v>5281</v>
      </c>
    </row>
    <row r="627" spans="1:27">
      <c r="A627" s="376">
        <v>100</v>
      </c>
      <c r="B627" s="377">
        <v>732000</v>
      </c>
      <c r="C627" s="382" t="s">
        <v>6898</v>
      </c>
      <c r="D627" s="379">
        <f>1363+150</f>
        <v>1513</v>
      </c>
      <c r="E627" s="380">
        <v>1200</v>
      </c>
      <c r="F627" s="380">
        <v>1518</v>
      </c>
      <c r="H627" s="351">
        <f t="shared" si="50"/>
        <v>1513000</v>
      </c>
      <c r="I627" s="351">
        <f t="shared" si="51"/>
        <v>1518000</v>
      </c>
      <c r="M627" s="321">
        <v>1612000530</v>
      </c>
      <c r="N627" s="321">
        <v>61</v>
      </c>
      <c r="O627" s="321" t="s">
        <v>5282</v>
      </c>
      <c r="P627" s="321">
        <v>1612000</v>
      </c>
      <c r="Q627" s="322">
        <v>40000</v>
      </c>
      <c r="R627" s="322">
        <v>40700</v>
      </c>
      <c r="S627" s="322">
        <v>42000</v>
      </c>
      <c r="T627" s="322">
        <v>42000</v>
      </c>
      <c r="U627" s="322">
        <f t="shared" si="47"/>
        <v>0</v>
      </c>
      <c r="W627" s="321">
        <f t="shared" si="48"/>
        <v>530</v>
      </c>
      <c r="X627" s="321">
        <f t="shared" si="49"/>
        <v>612000</v>
      </c>
      <c r="Y627" s="321">
        <v>1</v>
      </c>
      <c r="AA627" s="321" t="s">
        <v>5282</v>
      </c>
    </row>
    <row r="628" spans="1:27">
      <c r="A628" s="376">
        <v>101</v>
      </c>
      <c r="B628" s="377">
        <v>732000</v>
      </c>
      <c r="C628" s="382" t="s">
        <v>6899</v>
      </c>
      <c r="D628" s="379">
        <v>746</v>
      </c>
      <c r="E628" s="380">
        <v>740</v>
      </c>
      <c r="F628" s="380">
        <v>760</v>
      </c>
      <c r="H628" s="351">
        <f t="shared" si="50"/>
        <v>746000</v>
      </c>
      <c r="I628" s="351">
        <f t="shared" si="51"/>
        <v>760000</v>
      </c>
      <c r="M628" s="321">
        <v>1612000540</v>
      </c>
      <c r="N628" s="321">
        <v>61</v>
      </c>
      <c r="O628" s="321" t="s">
        <v>5216</v>
      </c>
      <c r="P628" s="321">
        <v>1612000</v>
      </c>
      <c r="Q628" s="322">
        <v>2000</v>
      </c>
      <c r="R628" s="322">
        <v>900</v>
      </c>
      <c r="S628" s="322">
        <v>2000</v>
      </c>
      <c r="T628" s="322">
        <v>2000</v>
      </c>
      <c r="U628" s="322">
        <f t="shared" si="47"/>
        <v>0</v>
      </c>
      <c r="W628" s="321">
        <f t="shared" si="48"/>
        <v>540</v>
      </c>
      <c r="X628" s="321">
        <f t="shared" si="49"/>
        <v>612000</v>
      </c>
      <c r="Y628" s="321">
        <v>1</v>
      </c>
      <c r="AA628" s="321" t="s">
        <v>5216</v>
      </c>
    </row>
    <row r="629" spans="1:27">
      <c r="A629" s="376">
        <v>570</v>
      </c>
      <c r="B629" s="377">
        <v>732000</v>
      </c>
      <c r="C629" s="382" t="s">
        <v>6900</v>
      </c>
      <c r="D629" s="379">
        <v>178</v>
      </c>
      <c r="E629" s="380">
        <v>178</v>
      </c>
      <c r="F629" s="380">
        <v>178</v>
      </c>
      <c r="H629" s="351">
        <f t="shared" si="50"/>
        <v>178000</v>
      </c>
      <c r="I629" s="351">
        <f t="shared" si="51"/>
        <v>178000</v>
      </c>
      <c r="M629" s="321">
        <v>1612000541</v>
      </c>
      <c r="N629" s="321">
        <v>61</v>
      </c>
      <c r="O629" s="321" t="s">
        <v>5283</v>
      </c>
      <c r="P629" s="321">
        <v>1612000</v>
      </c>
      <c r="Q629" s="322">
        <v>0</v>
      </c>
      <c r="R629" s="322">
        <v>0</v>
      </c>
      <c r="S629" s="322">
        <v>0</v>
      </c>
      <c r="T629" s="322">
        <v>0</v>
      </c>
      <c r="U629" s="322">
        <f t="shared" si="47"/>
        <v>0</v>
      </c>
      <c r="W629" s="321">
        <f t="shared" si="48"/>
        <v>541</v>
      </c>
      <c r="X629" s="321">
        <f t="shared" si="49"/>
        <v>612000</v>
      </c>
      <c r="Y629" s="321">
        <v>1</v>
      </c>
      <c r="AA629" s="321" t="s">
        <v>5283</v>
      </c>
    </row>
    <row r="630" spans="1:27">
      <c r="A630" s="376">
        <v>755</v>
      </c>
      <c r="B630" s="377">
        <v>732000</v>
      </c>
      <c r="C630" s="385" t="s">
        <v>6744</v>
      </c>
      <c r="D630" s="379">
        <v>120</v>
      </c>
      <c r="E630" s="380">
        <v>80</v>
      </c>
      <c r="F630" s="380">
        <v>100</v>
      </c>
      <c r="H630" s="351">
        <f t="shared" si="50"/>
        <v>120000</v>
      </c>
      <c r="I630" s="351">
        <f t="shared" si="51"/>
        <v>100000</v>
      </c>
      <c r="M630" s="321">
        <v>1612000542</v>
      </c>
      <c r="N630" s="321">
        <v>61</v>
      </c>
      <c r="O630" s="321" t="s">
        <v>5217</v>
      </c>
      <c r="P630" s="321">
        <v>1612000</v>
      </c>
      <c r="Q630" s="322">
        <v>7600</v>
      </c>
      <c r="R630" s="322">
        <v>3300</v>
      </c>
      <c r="S630" s="322">
        <v>9000</v>
      </c>
      <c r="T630" s="322">
        <v>9000</v>
      </c>
      <c r="U630" s="322">
        <f t="shared" si="47"/>
        <v>0</v>
      </c>
      <c r="W630" s="321">
        <f t="shared" si="48"/>
        <v>542</v>
      </c>
      <c r="X630" s="321">
        <f t="shared" si="49"/>
        <v>612000</v>
      </c>
      <c r="Y630" s="321">
        <v>1</v>
      </c>
      <c r="AA630" s="321" t="s">
        <v>5217</v>
      </c>
    </row>
    <row r="631" spans="1:27">
      <c r="A631" s="376">
        <v>950</v>
      </c>
      <c r="B631" s="377">
        <v>732000</v>
      </c>
      <c r="C631" s="382" t="s">
        <v>6901</v>
      </c>
      <c r="D631" s="379">
        <v>115</v>
      </c>
      <c r="E631" s="380">
        <v>222</v>
      </c>
      <c r="F631" s="380">
        <v>222</v>
      </c>
      <c r="H631" s="351">
        <f t="shared" si="50"/>
        <v>115000</v>
      </c>
      <c r="I631" s="351">
        <f t="shared" si="51"/>
        <v>222000</v>
      </c>
      <c r="M631" s="321">
        <v>1612000560</v>
      </c>
      <c r="N631" s="321">
        <v>61</v>
      </c>
      <c r="O631" s="321" t="s">
        <v>5284</v>
      </c>
      <c r="P631" s="321">
        <v>1612000</v>
      </c>
      <c r="Q631" s="322">
        <v>4000</v>
      </c>
      <c r="R631" s="322">
        <v>900</v>
      </c>
      <c r="S631" s="322">
        <v>4000</v>
      </c>
      <c r="T631" s="322">
        <v>4000</v>
      </c>
      <c r="U631" s="322">
        <f t="shared" si="47"/>
        <v>0</v>
      </c>
      <c r="W631" s="321">
        <f t="shared" si="48"/>
        <v>560</v>
      </c>
      <c r="X631" s="321">
        <f t="shared" si="49"/>
        <v>612000</v>
      </c>
      <c r="Y631" s="321">
        <v>1</v>
      </c>
      <c r="AA631" s="321" t="s">
        <v>5284</v>
      </c>
    </row>
    <row r="632" spans="1:27">
      <c r="A632" s="376">
        <v>951</v>
      </c>
      <c r="B632" s="377">
        <v>732000</v>
      </c>
      <c r="C632" s="382" t="s">
        <v>6902</v>
      </c>
      <c r="D632" s="379">
        <v>3000</v>
      </c>
      <c r="E632" s="380">
        <v>3000</v>
      </c>
      <c r="F632" s="380">
        <v>3000</v>
      </c>
      <c r="H632" s="351">
        <f t="shared" si="50"/>
        <v>3000000</v>
      </c>
      <c r="I632" s="351">
        <f t="shared" si="51"/>
        <v>3000000</v>
      </c>
      <c r="M632" s="321">
        <v>1612000750</v>
      </c>
      <c r="N632" s="321">
        <v>61</v>
      </c>
      <c r="O632" s="321" t="s">
        <v>2707</v>
      </c>
      <c r="P632" s="321">
        <v>1612000</v>
      </c>
      <c r="Q632" s="322">
        <v>80000</v>
      </c>
      <c r="R632" s="322">
        <v>9200</v>
      </c>
      <c r="S632" s="322">
        <v>80000</v>
      </c>
      <c r="T632" s="322">
        <v>80000</v>
      </c>
      <c r="U632" s="322">
        <f t="shared" si="47"/>
        <v>0</v>
      </c>
      <c r="W632" s="321">
        <f t="shared" si="48"/>
        <v>750</v>
      </c>
      <c r="X632" s="321">
        <f t="shared" si="49"/>
        <v>612000</v>
      </c>
      <c r="Y632" s="321">
        <v>1</v>
      </c>
      <c r="AA632" s="321" t="s">
        <v>2707</v>
      </c>
    </row>
    <row r="633" spans="1:27">
      <c r="A633" s="376">
        <v>100</v>
      </c>
      <c r="B633" s="377">
        <v>732200</v>
      </c>
      <c r="C633" s="382" t="s">
        <v>6711</v>
      </c>
      <c r="D633" s="379">
        <f>746+120</f>
        <v>866</v>
      </c>
      <c r="E633" s="380">
        <v>730</v>
      </c>
      <c r="F633" s="380">
        <v>800</v>
      </c>
      <c r="H633" s="351">
        <f t="shared" si="50"/>
        <v>866000</v>
      </c>
      <c r="I633" s="351">
        <f t="shared" si="51"/>
        <v>800000</v>
      </c>
      <c r="M633" s="321">
        <v>1612000751</v>
      </c>
      <c r="N633" s="321">
        <v>61</v>
      </c>
      <c r="O633" s="321" t="s">
        <v>5239</v>
      </c>
      <c r="P633" s="321">
        <v>1612000</v>
      </c>
      <c r="Q633" s="322">
        <v>50000</v>
      </c>
      <c r="R633" s="322">
        <v>19300</v>
      </c>
      <c r="S633" s="322">
        <v>50000</v>
      </c>
      <c r="T633" s="322">
        <v>50000</v>
      </c>
      <c r="U633" s="322">
        <f t="shared" si="47"/>
        <v>0</v>
      </c>
      <c r="W633" s="321">
        <f t="shared" si="48"/>
        <v>751</v>
      </c>
      <c r="X633" s="321">
        <f t="shared" si="49"/>
        <v>612000</v>
      </c>
      <c r="Y633" s="321">
        <v>1</v>
      </c>
      <c r="AA633" s="321" t="s">
        <v>5239</v>
      </c>
    </row>
    <row r="634" spans="1:27">
      <c r="A634" s="376">
        <v>410</v>
      </c>
      <c r="B634" s="377">
        <v>732200</v>
      </c>
      <c r="C634" s="382" t="s">
        <v>6903</v>
      </c>
      <c r="D634" s="379">
        <v>0</v>
      </c>
      <c r="E634" s="380">
        <v>0</v>
      </c>
      <c r="F634" s="380">
        <v>0</v>
      </c>
      <c r="H634" s="351">
        <f t="shared" si="50"/>
        <v>0</v>
      </c>
      <c r="I634" s="351">
        <f t="shared" si="51"/>
        <v>0</v>
      </c>
      <c r="M634" s="321">
        <v>1613000110</v>
      </c>
      <c r="N634" s="321">
        <v>61</v>
      </c>
      <c r="O634" s="321" t="s">
        <v>5205</v>
      </c>
      <c r="P634" s="321">
        <v>1613000</v>
      </c>
      <c r="Q634" s="322">
        <v>593000</v>
      </c>
      <c r="R634" s="322">
        <v>375800</v>
      </c>
      <c r="S634" s="322">
        <v>493000</v>
      </c>
      <c r="T634" s="322">
        <v>493000</v>
      </c>
      <c r="U634" s="322">
        <f t="shared" si="47"/>
        <v>0</v>
      </c>
      <c r="W634" s="321">
        <f t="shared" si="48"/>
        <v>110</v>
      </c>
      <c r="X634" s="321">
        <f t="shared" si="49"/>
        <v>613000</v>
      </c>
      <c r="Y634" s="321">
        <v>1</v>
      </c>
      <c r="AA634" s="321" t="s">
        <v>5205</v>
      </c>
    </row>
    <row r="635" spans="1:27">
      <c r="A635" s="376">
        <v>430</v>
      </c>
      <c r="B635" s="377">
        <v>732200</v>
      </c>
      <c r="C635" s="382" t="s">
        <v>6904</v>
      </c>
      <c r="D635" s="379">
        <v>0</v>
      </c>
      <c r="E635" s="380">
        <v>0</v>
      </c>
      <c r="F635" s="380">
        <v>0</v>
      </c>
      <c r="H635" s="351">
        <f t="shared" si="50"/>
        <v>0</v>
      </c>
      <c r="I635" s="351">
        <f t="shared" si="51"/>
        <v>0</v>
      </c>
      <c r="M635" s="321">
        <v>1613000120</v>
      </c>
      <c r="N635" s="321">
        <v>61</v>
      </c>
      <c r="O635" s="321" t="s">
        <v>5206</v>
      </c>
      <c r="P635" s="321">
        <v>1613000</v>
      </c>
      <c r="Q635" s="322">
        <v>229000</v>
      </c>
      <c r="R635" s="322">
        <v>139000</v>
      </c>
      <c r="S635" s="322">
        <v>160000</v>
      </c>
      <c r="T635" s="322">
        <v>160000</v>
      </c>
      <c r="U635" s="322">
        <f t="shared" si="47"/>
        <v>0</v>
      </c>
      <c r="W635" s="321">
        <f t="shared" si="48"/>
        <v>120</v>
      </c>
      <c r="X635" s="321">
        <f t="shared" si="49"/>
        <v>613000</v>
      </c>
      <c r="Y635" s="321">
        <v>1</v>
      </c>
      <c r="AA635" s="321" t="s">
        <v>5206</v>
      </c>
    </row>
    <row r="636" spans="1:27">
      <c r="A636" s="376">
        <v>781</v>
      </c>
      <c r="B636" s="377">
        <v>732200</v>
      </c>
      <c r="C636" s="382" t="s">
        <v>146</v>
      </c>
      <c r="D636" s="379">
        <v>40</v>
      </c>
      <c r="E636" s="380">
        <v>50</v>
      </c>
      <c r="F636" s="380">
        <v>50</v>
      </c>
      <c r="H636" s="351">
        <f t="shared" si="50"/>
        <v>40000</v>
      </c>
      <c r="I636" s="351">
        <f t="shared" si="51"/>
        <v>50000</v>
      </c>
      <c r="M636" s="321">
        <v>1613000130</v>
      </c>
      <c r="N636" s="321">
        <v>61</v>
      </c>
      <c r="O636" s="321" t="s">
        <v>2576</v>
      </c>
      <c r="P636" s="321">
        <v>1613000</v>
      </c>
      <c r="Q636" s="322">
        <v>3000</v>
      </c>
      <c r="R636" s="322">
        <v>3800</v>
      </c>
      <c r="S636" s="322">
        <v>6000</v>
      </c>
      <c r="T636" s="322">
        <v>5400</v>
      </c>
      <c r="U636" s="322">
        <f t="shared" si="47"/>
        <v>600</v>
      </c>
      <c r="W636" s="321">
        <f t="shared" si="48"/>
        <v>130</v>
      </c>
      <c r="X636" s="321">
        <f t="shared" si="49"/>
        <v>613000</v>
      </c>
      <c r="Y636" s="321">
        <v>1</v>
      </c>
      <c r="AA636" s="321" t="s">
        <v>2576</v>
      </c>
    </row>
    <row r="637" spans="1:27">
      <c r="A637" s="376">
        <v>100</v>
      </c>
      <c r="B637" s="377">
        <v>733100</v>
      </c>
      <c r="C637" s="382" t="s">
        <v>6747</v>
      </c>
      <c r="D637" s="379">
        <v>1785</v>
      </c>
      <c r="E637" s="380">
        <v>1750</v>
      </c>
      <c r="F637" s="380">
        <v>2060</v>
      </c>
      <c r="H637" s="351">
        <f t="shared" si="50"/>
        <v>1785000</v>
      </c>
      <c r="I637" s="351">
        <f t="shared" si="51"/>
        <v>2060000</v>
      </c>
      <c r="M637" s="321">
        <v>1613000140</v>
      </c>
      <c r="N637" s="321">
        <v>61</v>
      </c>
      <c r="O637" s="321" t="s">
        <v>5242</v>
      </c>
      <c r="P637" s="321">
        <v>1613000</v>
      </c>
      <c r="Q637" s="322">
        <v>131000</v>
      </c>
      <c r="R637" s="322">
        <v>66200</v>
      </c>
      <c r="S637" s="322">
        <v>80000</v>
      </c>
      <c r="T637" s="322">
        <v>80000</v>
      </c>
      <c r="U637" s="322">
        <f t="shared" si="47"/>
        <v>0</v>
      </c>
      <c r="W637" s="321">
        <f t="shared" si="48"/>
        <v>140</v>
      </c>
      <c r="X637" s="321">
        <f t="shared" si="49"/>
        <v>613000</v>
      </c>
      <c r="Y637" s="321">
        <v>1</v>
      </c>
      <c r="AA637" s="321" t="s">
        <v>5242</v>
      </c>
    </row>
    <row r="638" spans="1:27">
      <c r="A638" s="376">
        <v>100</v>
      </c>
      <c r="B638" s="377">
        <v>733200</v>
      </c>
      <c r="C638" s="382" t="s">
        <v>6747</v>
      </c>
      <c r="D638" s="379">
        <v>1493</v>
      </c>
      <c r="E638" s="380">
        <v>1450</v>
      </c>
      <c r="F638" s="380">
        <v>1560</v>
      </c>
      <c r="H638" s="351">
        <f t="shared" si="50"/>
        <v>1493000</v>
      </c>
      <c r="I638" s="351">
        <f t="shared" si="51"/>
        <v>1560000</v>
      </c>
      <c r="M638" s="321">
        <v>1613000141</v>
      </c>
      <c r="N638" s="321">
        <v>61</v>
      </c>
      <c r="O638" s="321" t="s">
        <v>5208</v>
      </c>
      <c r="P638" s="321">
        <v>1613000</v>
      </c>
      <c r="Q638" s="322">
        <v>24000</v>
      </c>
      <c r="R638" s="322">
        <v>17900</v>
      </c>
      <c r="S638" s="322">
        <v>25000</v>
      </c>
      <c r="T638" s="322">
        <v>25000</v>
      </c>
      <c r="U638" s="322">
        <f t="shared" si="47"/>
        <v>0</v>
      </c>
      <c r="W638" s="321">
        <f t="shared" si="48"/>
        <v>141</v>
      </c>
      <c r="X638" s="321">
        <f t="shared" si="49"/>
        <v>613000</v>
      </c>
      <c r="Y638" s="321">
        <v>1</v>
      </c>
      <c r="AA638" s="321" t="s">
        <v>5208</v>
      </c>
    </row>
    <row r="639" spans="1:27">
      <c r="A639" s="376">
        <v>730</v>
      </c>
      <c r="B639" s="377">
        <v>733200</v>
      </c>
      <c r="C639" s="388" t="s">
        <v>6833</v>
      </c>
      <c r="D639" s="379">
        <v>96</v>
      </c>
      <c r="E639" s="380">
        <v>95</v>
      </c>
      <c r="F639" s="380">
        <v>90</v>
      </c>
      <c r="H639" s="351">
        <f t="shared" si="50"/>
        <v>96000</v>
      </c>
      <c r="I639" s="351">
        <f t="shared" si="51"/>
        <v>90000</v>
      </c>
      <c r="M639" s="321">
        <v>1613000181</v>
      </c>
      <c r="N639" s="321">
        <v>61</v>
      </c>
      <c r="O639" s="321" t="s">
        <v>2580</v>
      </c>
      <c r="P639" s="321">
        <v>1613000</v>
      </c>
      <c r="Q639" s="322">
        <v>97000</v>
      </c>
      <c r="R639" s="322">
        <v>64400</v>
      </c>
      <c r="S639" s="322">
        <v>83000</v>
      </c>
      <c r="T639" s="322">
        <v>83000</v>
      </c>
      <c r="U639" s="322">
        <f t="shared" si="47"/>
        <v>0</v>
      </c>
      <c r="W639" s="321">
        <f t="shared" si="48"/>
        <v>181</v>
      </c>
      <c r="X639" s="321">
        <f t="shared" si="49"/>
        <v>613000</v>
      </c>
      <c r="Y639" s="321">
        <v>1</v>
      </c>
      <c r="AA639" s="321" t="s">
        <v>2580</v>
      </c>
    </row>
    <row r="640" spans="1:27">
      <c r="A640" s="376">
        <v>750</v>
      </c>
      <c r="B640" s="377">
        <v>733200</v>
      </c>
      <c r="C640" s="381" t="s">
        <v>6905</v>
      </c>
      <c r="D640" s="379">
        <v>130</v>
      </c>
      <c r="E640" s="380">
        <v>230</v>
      </c>
      <c r="F640" s="380">
        <v>230</v>
      </c>
      <c r="H640" s="351">
        <f t="shared" si="50"/>
        <v>130000</v>
      </c>
      <c r="I640" s="351">
        <f t="shared" si="51"/>
        <v>230000</v>
      </c>
      <c r="M640" s="321">
        <v>1613000182</v>
      </c>
      <c r="N640" s="321">
        <v>61</v>
      </c>
      <c r="O640" s="321" t="s">
        <v>2582</v>
      </c>
      <c r="P640" s="321">
        <v>1613000</v>
      </c>
      <c r="Q640" s="322">
        <v>131000</v>
      </c>
      <c r="R640" s="322">
        <v>78100</v>
      </c>
      <c r="S640" s="322">
        <v>104000</v>
      </c>
      <c r="T640" s="322">
        <v>104000</v>
      </c>
      <c r="U640" s="322">
        <f t="shared" si="47"/>
        <v>0</v>
      </c>
      <c r="W640" s="321">
        <f t="shared" si="48"/>
        <v>182</v>
      </c>
      <c r="X640" s="321">
        <f t="shared" si="49"/>
        <v>613000</v>
      </c>
      <c r="Y640" s="321">
        <v>1</v>
      </c>
      <c r="AA640" s="321" t="s">
        <v>2582</v>
      </c>
    </row>
    <row r="641" spans="1:27">
      <c r="A641" s="376">
        <v>100</v>
      </c>
      <c r="B641" s="377">
        <v>734000</v>
      </c>
      <c r="C641" s="382" t="s">
        <v>6711</v>
      </c>
      <c r="D641" s="379">
        <v>547</v>
      </c>
      <c r="E641" s="380">
        <v>500</v>
      </c>
      <c r="F641" s="380">
        <v>505</v>
      </c>
      <c r="H641" s="351">
        <f t="shared" si="50"/>
        <v>547000</v>
      </c>
      <c r="I641" s="351">
        <f t="shared" si="51"/>
        <v>505000</v>
      </c>
      <c r="M641" s="321">
        <v>1613000210</v>
      </c>
      <c r="N641" s="321">
        <v>61</v>
      </c>
      <c r="O641" s="321" t="s">
        <v>5285</v>
      </c>
      <c r="P641" s="321">
        <v>1613000</v>
      </c>
      <c r="Q641" s="322">
        <v>0</v>
      </c>
      <c r="R641" s="322">
        <v>0</v>
      </c>
      <c r="S641" s="322">
        <v>0</v>
      </c>
      <c r="T641" s="322">
        <v>0</v>
      </c>
      <c r="U641" s="322">
        <f t="shared" si="47"/>
        <v>0</v>
      </c>
      <c r="W641" s="321">
        <f t="shared" si="48"/>
        <v>210</v>
      </c>
      <c r="X641" s="321">
        <f t="shared" si="49"/>
        <v>613000</v>
      </c>
      <c r="Y641" s="321">
        <v>1</v>
      </c>
      <c r="AA641" s="321" t="s">
        <v>5285</v>
      </c>
    </row>
    <row r="642" spans="1:27">
      <c r="A642" s="376">
        <v>100</v>
      </c>
      <c r="B642" s="377">
        <v>735000</v>
      </c>
      <c r="C642" s="382" t="s">
        <v>6747</v>
      </c>
      <c r="D642" s="379">
        <f>403+550</f>
        <v>953</v>
      </c>
      <c r="E642" s="380">
        <v>395</v>
      </c>
      <c r="F642" s="380">
        <v>496</v>
      </c>
      <c r="H642" s="351">
        <f t="shared" si="50"/>
        <v>953000</v>
      </c>
      <c r="I642" s="351">
        <f t="shared" si="51"/>
        <v>496000</v>
      </c>
      <c r="M642" s="321">
        <v>1613000470</v>
      </c>
      <c r="N642" s="321">
        <v>61</v>
      </c>
      <c r="O642" s="321" t="s">
        <v>2830</v>
      </c>
      <c r="P642" s="321">
        <v>1613000</v>
      </c>
      <c r="Q642" s="322">
        <v>35000</v>
      </c>
      <c r="R642" s="322">
        <v>5500</v>
      </c>
      <c r="S642" s="322">
        <v>35000</v>
      </c>
      <c r="T642" s="322">
        <v>35000</v>
      </c>
      <c r="U642" s="322">
        <f t="shared" ref="U642:U705" si="52">S642-T642</f>
        <v>0</v>
      </c>
      <c r="W642" s="321">
        <f t="shared" si="48"/>
        <v>470</v>
      </c>
      <c r="X642" s="321">
        <f t="shared" si="49"/>
        <v>613000</v>
      </c>
      <c r="Y642" s="321">
        <v>1</v>
      </c>
      <c r="AA642" s="321" t="s">
        <v>2830</v>
      </c>
    </row>
    <row r="643" spans="1:27">
      <c r="A643" s="376">
        <v>100</v>
      </c>
      <c r="B643" s="377">
        <v>742000</v>
      </c>
      <c r="C643" s="392" t="s">
        <v>6711</v>
      </c>
      <c r="D643" s="379">
        <f>995+220</f>
        <v>1215</v>
      </c>
      <c r="E643" s="380">
        <v>910</v>
      </c>
      <c r="F643" s="380">
        <v>1120</v>
      </c>
      <c r="H643" s="351">
        <f t="shared" si="50"/>
        <v>1215000</v>
      </c>
      <c r="I643" s="351">
        <f t="shared" si="51"/>
        <v>1120000</v>
      </c>
      <c r="M643" s="321">
        <v>1613000471</v>
      </c>
      <c r="N643" s="321">
        <v>61</v>
      </c>
      <c r="O643" s="321" t="s">
        <v>5212</v>
      </c>
      <c r="P643" s="321">
        <v>1613000</v>
      </c>
      <c r="Q643" s="322">
        <v>58000</v>
      </c>
      <c r="R643" s="322">
        <v>11900</v>
      </c>
      <c r="S643" s="322">
        <v>62100</v>
      </c>
      <c r="T643" s="322">
        <v>62100</v>
      </c>
      <c r="U643" s="322">
        <f t="shared" si="52"/>
        <v>0</v>
      </c>
      <c r="W643" s="321">
        <f t="shared" ref="W643:W706" si="53">M643-1000000000-X643*1000</f>
        <v>471</v>
      </c>
      <c r="X643" s="321">
        <f t="shared" ref="X643:X706" si="54">ROUNDDOWN((M643-1000000000)/1000,0)</f>
        <v>613000</v>
      </c>
      <c r="Y643" s="321">
        <v>1</v>
      </c>
      <c r="AA643" s="321" t="s">
        <v>5212</v>
      </c>
    </row>
    <row r="644" spans="1:27">
      <c r="A644" s="376">
        <v>102</v>
      </c>
      <c r="B644" s="377">
        <v>742000</v>
      </c>
      <c r="C644" s="382" t="s">
        <v>6906</v>
      </c>
      <c r="D644" s="379">
        <v>821</v>
      </c>
      <c r="E644" s="380">
        <v>805</v>
      </c>
      <c r="F644" s="380">
        <v>805</v>
      </c>
      <c r="H644" s="351">
        <f t="shared" si="50"/>
        <v>821000</v>
      </c>
      <c r="I644" s="351">
        <f t="shared" si="51"/>
        <v>805000</v>
      </c>
      <c r="M644" s="321">
        <v>1613000510</v>
      </c>
      <c r="N644" s="321">
        <v>61</v>
      </c>
      <c r="O644" s="321" t="s">
        <v>5213</v>
      </c>
      <c r="P644" s="321">
        <v>1613000</v>
      </c>
      <c r="Q644" s="322">
        <v>950000</v>
      </c>
      <c r="R644" s="322">
        <v>592300</v>
      </c>
      <c r="S644" s="322">
        <v>950000</v>
      </c>
      <c r="T644" s="322">
        <v>950000</v>
      </c>
      <c r="U644" s="322">
        <f t="shared" si="52"/>
        <v>0</v>
      </c>
      <c r="W644" s="321">
        <f t="shared" si="53"/>
        <v>510</v>
      </c>
      <c r="X644" s="321">
        <f t="shared" si="54"/>
        <v>613000</v>
      </c>
      <c r="Y644" s="321">
        <v>1</v>
      </c>
      <c r="AA644" s="321" t="s">
        <v>5213</v>
      </c>
    </row>
    <row r="645" spans="1:27">
      <c r="A645" s="376">
        <v>420</v>
      </c>
      <c r="B645" s="377">
        <v>742000</v>
      </c>
      <c r="C645" s="382" t="s">
        <v>6907</v>
      </c>
      <c r="D645" s="379">
        <v>325</v>
      </c>
      <c r="E645" s="380">
        <v>350</v>
      </c>
      <c r="F645" s="380">
        <v>350</v>
      </c>
      <c r="H645" s="351">
        <f t="shared" si="50"/>
        <v>325000</v>
      </c>
      <c r="I645" s="351">
        <f t="shared" si="51"/>
        <v>350000</v>
      </c>
      <c r="M645" s="321">
        <v>1613000522</v>
      </c>
      <c r="N645" s="321">
        <v>61</v>
      </c>
      <c r="O645" s="321" t="s">
        <v>5214</v>
      </c>
      <c r="P645" s="321">
        <v>1613000</v>
      </c>
      <c r="Q645" s="322">
        <v>0</v>
      </c>
      <c r="R645" s="322">
        <v>0</v>
      </c>
      <c r="S645" s="322">
        <v>1000</v>
      </c>
      <c r="T645" s="322">
        <v>1000</v>
      </c>
      <c r="U645" s="322">
        <f t="shared" si="52"/>
        <v>0</v>
      </c>
      <c r="W645" s="321">
        <f t="shared" si="53"/>
        <v>522</v>
      </c>
      <c r="X645" s="321">
        <f t="shared" si="54"/>
        <v>613000</v>
      </c>
      <c r="Y645" s="321">
        <v>1</v>
      </c>
      <c r="AA645" s="321" t="s">
        <v>5214</v>
      </c>
    </row>
    <row r="646" spans="1:27">
      <c r="A646" s="376">
        <v>730</v>
      </c>
      <c r="B646" s="377">
        <v>742000</v>
      </c>
      <c r="C646" s="381" t="s">
        <v>6866</v>
      </c>
      <c r="D646" s="379">
        <v>99</v>
      </c>
      <c r="E646" s="380">
        <v>100</v>
      </c>
      <c r="F646" s="380">
        <v>100</v>
      </c>
      <c r="H646" s="351">
        <f t="shared" si="50"/>
        <v>99000</v>
      </c>
      <c r="I646" s="351">
        <f t="shared" si="51"/>
        <v>100000</v>
      </c>
      <c r="M646" s="321">
        <v>1613000540</v>
      </c>
      <c r="N646" s="321">
        <v>61</v>
      </c>
      <c r="O646" s="321" t="s">
        <v>5216</v>
      </c>
      <c r="P646" s="321">
        <v>1613000</v>
      </c>
      <c r="Q646" s="322">
        <v>100000</v>
      </c>
      <c r="R646" s="322">
        <v>45200</v>
      </c>
      <c r="S646" s="322">
        <v>100000</v>
      </c>
      <c r="T646" s="322">
        <v>100000</v>
      </c>
      <c r="U646" s="322">
        <f t="shared" si="52"/>
        <v>0</v>
      </c>
      <c r="W646" s="321">
        <f t="shared" si="53"/>
        <v>540</v>
      </c>
      <c r="X646" s="321">
        <f t="shared" si="54"/>
        <v>613000</v>
      </c>
      <c r="Y646" s="321">
        <v>1</v>
      </c>
      <c r="AA646" s="321" t="s">
        <v>5216</v>
      </c>
    </row>
    <row r="647" spans="1:27">
      <c r="A647" s="376">
        <v>740</v>
      </c>
      <c r="B647" s="377">
        <v>742000</v>
      </c>
      <c r="C647" s="382" t="s">
        <v>6859</v>
      </c>
      <c r="D647" s="379">
        <v>8</v>
      </c>
      <c r="E647" s="380">
        <v>16</v>
      </c>
      <c r="F647" s="380">
        <v>16</v>
      </c>
      <c r="H647" s="351">
        <f t="shared" si="50"/>
        <v>8000</v>
      </c>
      <c r="I647" s="351">
        <f t="shared" si="51"/>
        <v>16000</v>
      </c>
      <c r="M647" s="321">
        <v>1613000541</v>
      </c>
      <c r="N647" s="321">
        <v>61</v>
      </c>
      <c r="O647" s="321" t="s">
        <v>5286</v>
      </c>
      <c r="P647" s="321">
        <v>1613000</v>
      </c>
      <c r="Q647" s="322">
        <v>450000</v>
      </c>
      <c r="R647" s="322">
        <v>317000</v>
      </c>
      <c r="S647" s="322">
        <v>450000</v>
      </c>
      <c r="T647" s="322">
        <v>450000</v>
      </c>
      <c r="U647" s="322">
        <f t="shared" si="52"/>
        <v>0</v>
      </c>
      <c r="W647" s="321">
        <f t="shared" si="53"/>
        <v>541</v>
      </c>
      <c r="X647" s="321">
        <f t="shared" si="54"/>
        <v>613000</v>
      </c>
      <c r="Y647" s="321">
        <v>1</v>
      </c>
      <c r="AA647" s="321" t="s">
        <v>5286</v>
      </c>
    </row>
    <row r="648" spans="1:27">
      <c r="A648" s="376">
        <v>751</v>
      </c>
      <c r="B648" s="377">
        <v>742000</v>
      </c>
      <c r="C648" s="382" t="s">
        <v>6908</v>
      </c>
      <c r="D648" s="379">
        <v>500</v>
      </c>
      <c r="E648" s="380">
        <v>500</v>
      </c>
      <c r="F648" s="380">
        <v>500</v>
      </c>
      <c r="H648" s="351">
        <f t="shared" si="50"/>
        <v>500000</v>
      </c>
      <c r="I648" s="351">
        <f t="shared" si="51"/>
        <v>500000</v>
      </c>
      <c r="M648" s="321">
        <v>1613000542</v>
      </c>
      <c r="N648" s="321">
        <v>61</v>
      </c>
      <c r="O648" s="321" t="s">
        <v>5217</v>
      </c>
      <c r="P648" s="321">
        <v>1613000</v>
      </c>
      <c r="Q648" s="322">
        <v>6300</v>
      </c>
      <c r="R648" s="322">
        <v>2500</v>
      </c>
      <c r="S648" s="322">
        <v>4000</v>
      </c>
      <c r="T648" s="322">
        <v>4000</v>
      </c>
      <c r="U648" s="322">
        <f t="shared" si="52"/>
        <v>0</v>
      </c>
      <c r="W648" s="321">
        <f t="shared" si="53"/>
        <v>542</v>
      </c>
      <c r="X648" s="321">
        <f t="shared" si="54"/>
        <v>613000</v>
      </c>
      <c r="Y648" s="321">
        <v>1</v>
      </c>
      <c r="AA648" s="321" t="s">
        <v>5217</v>
      </c>
    </row>
    <row r="649" spans="1:27">
      <c r="A649" s="376">
        <v>755</v>
      </c>
      <c r="B649" s="377">
        <v>742000</v>
      </c>
      <c r="C649" s="393" t="s">
        <v>6909</v>
      </c>
      <c r="D649" s="379">
        <v>0</v>
      </c>
      <c r="E649" s="380">
        <v>0</v>
      </c>
      <c r="F649" s="380">
        <v>0</v>
      </c>
      <c r="H649" s="351">
        <f t="shared" si="50"/>
        <v>0</v>
      </c>
      <c r="I649" s="351">
        <f t="shared" si="51"/>
        <v>0</v>
      </c>
      <c r="M649" s="321">
        <v>1613000580</v>
      </c>
      <c r="N649" s="321">
        <v>61</v>
      </c>
      <c r="O649" s="321" t="s">
        <v>5287</v>
      </c>
      <c r="P649" s="321">
        <v>1613000</v>
      </c>
      <c r="Q649" s="322">
        <v>40000</v>
      </c>
      <c r="R649" s="322">
        <v>16900</v>
      </c>
      <c r="S649" s="322">
        <v>40000</v>
      </c>
      <c r="T649" s="322">
        <v>40000</v>
      </c>
      <c r="U649" s="322">
        <f t="shared" si="52"/>
        <v>0</v>
      </c>
      <c r="W649" s="321">
        <f t="shared" si="53"/>
        <v>580</v>
      </c>
      <c r="X649" s="321">
        <f t="shared" si="54"/>
        <v>613000</v>
      </c>
      <c r="Y649" s="321">
        <v>1</v>
      </c>
      <c r="AA649" s="321" t="s">
        <v>5287</v>
      </c>
    </row>
    <row r="650" spans="1:27">
      <c r="A650" s="376">
        <v>100</v>
      </c>
      <c r="B650" s="377">
        <v>743000</v>
      </c>
      <c r="C650" s="382" t="s">
        <v>6747</v>
      </c>
      <c r="D650" s="379">
        <v>1417</v>
      </c>
      <c r="E650" s="380">
        <v>1390</v>
      </c>
      <c r="F650" s="380">
        <v>1390</v>
      </c>
      <c r="H650" s="351">
        <f t="shared" si="50"/>
        <v>1417000</v>
      </c>
      <c r="I650" s="351">
        <f t="shared" si="51"/>
        <v>1390000</v>
      </c>
      <c r="M650" s="321">
        <v>1613000730</v>
      </c>
      <c r="N650" s="321">
        <v>61</v>
      </c>
      <c r="O650" s="321" t="s">
        <v>5288</v>
      </c>
      <c r="P650" s="321">
        <v>1613000</v>
      </c>
      <c r="Q650" s="322">
        <v>30000</v>
      </c>
      <c r="R650" s="322">
        <v>13600</v>
      </c>
      <c r="S650" s="322">
        <v>30000</v>
      </c>
      <c r="T650" s="322">
        <v>30000</v>
      </c>
      <c r="U650" s="322">
        <f t="shared" si="52"/>
        <v>0</v>
      </c>
      <c r="W650" s="321">
        <f t="shared" si="53"/>
        <v>730</v>
      </c>
      <c r="X650" s="321">
        <f t="shared" si="54"/>
        <v>613000</v>
      </c>
      <c r="Y650" s="321">
        <v>1</v>
      </c>
      <c r="AA650" s="321" t="s">
        <v>5288</v>
      </c>
    </row>
    <row r="651" spans="1:27">
      <c r="A651" s="376">
        <v>720</v>
      </c>
      <c r="B651" s="377">
        <v>743000</v>
      </c>
      <c r="C651" s="382" t="s">
        <v>6910</v>
      </c>
      <c r="D651" s="379">
        <v>170</v>
      </c>
      <c r="E651" s="380">
        <v>250</v>
      </c>
      <c r="F651" s="380">
        <v>250</v>
      </c>
      <c r="H651" s="351">
        <f t="shared" si="50"/>
        <v>170000</v>
      </c>
      <c r="I651" s="351">
        <f t="shared" si="51"/>
        <v>250000</v>
      </c>
      <c r="M651" s="321">
        <v>1613000750</v>
      </c>
      <c r="N651" s="321">
        <v>61</v>
      </c>
      <c r="O651" s="321" t="s">
        <v>5289</v>
      </c>
      <c r="P651" s="321">
        <v>1613000</v>
      </c>
      <c r="Q651" s="322">
        <v>200000</v>
      </c>
      <c r="R651" s="322">
        <v>88900</v>
      </c>
      <c r="S651" s="322">
        <v>250000</v>
      </c>
      <c r="T651" s="322">
        <v>200000</v>
      </c>
      <c r="U651" s="322">
        <f t="shared" si="52"/>
        <v>50000</v>
      </c>
      <c r="W651" s="321">
        <f t="shared" si="53"/>
        <v>750</v>
      </c>
      <c r="X651" s="321">
        <f t="shared" si="54"/>
        <v>613000</v>
      </c>
      <c r="Y651" s="321">
        <v>1</v>
      </c>
      <c r="AA651" s="321" t="s">
        <v>5289</v>
      </c>
    </row>
    <row r="652" spans="1:27">
      <c r="A652" s="376">
        <v>730</v>
      </c>
      <c r="B652" s="377">
        <v>743000</v>
      </c>
      <c r="C652" s="381" t="s">
        <v>6866</v>
      </c>
      <c r="D652" s="379">
        <v>243</v>
      </c>
      <c r="E652" s="380">
        <v>240</v>
      </c>
      <c r="F652" s="380">
        <v>240</v>
      </c>
      <c r="H652" s="351">
        <f t="shared" si="50"/>
        <v>243000</v>
      </c>
      <c r="I652" s="351">
        <f t="shared" si="51"/>
        <v>240000</v>
      </c>
      <c r="M652" s="321">
        <v>1613000920</v>
      </c>
      <c r="N652" s="321">
        <v>61</v>
      </c>
      <c r="O652" s="321" t="s">
        <v>5290</v>
      </c>
      <c r="P652" s="321">
        <v>1613000</v>
      </c>
      <c r="Q652" s="322">
        <v>0</v>
      </c>
      <c r="R652" s="322">
        <v>0</v>
      </c>
      <c r="S652" s="322">
        <v>0</v>
      </c>
      <c r="T652" s="322">
        <v>0</v>
      </c>
      <c r="U652" s="322">
        <f t="shared" si="52"/>
        <v>0</v>
      </c>
      <c r="W652" s="321">
        <f t="shared" si="53"/>
        <v>920</v>
      </c>
      <c r="X652" s="321">
        <f t="shared" si="54"/>
        <v>613000</v>
      </c>
      <c r="Y652" s="321">
        <v>1</v>
      </c>
      <c r="AA652" s="321" t="s">
        <v>5290</v>
      </c>
    </row>
    <row r="653" spans="1:27">
      <c r="A653" s="376">
        <v>740</v>
      </c>
      <c r="B653" s="377">
        <v>743000</v>
      </c>
      <c r="C653" s="382" t="s">
        <v>6859</v>
      </c>
      <c r="D653" s="379">
        <v>5</v>
      </c>
      <c r="E653" s="380">
        <v>10</v>
      </c>
      <c r="F653" s="380">
        <v>10</v>
      </c>
      <c r="H653" s="351">
        <f t="shared" si="50"/>
        <v>5000</v>
      </c>
      <c r="I653" s="351">
        <f t="shared" si="51"/>
        <v>10000</v>
      </c>
      <c r="M653" s="321">
        <v>1614000110</v>
      </c>
      <c r="N653" s="321">
        <v>61</v>
      </c>
      <c r="O653" s="321" t="s">
        <v>5205</v>
      </c>
      <c r="P653" s="321">
        <v>1614000</v>
      </c>
      <c r="Q653" s="322">
        <v>683000</v>
      </c>
      <c r="R653" s="322">
        <v>486900</v>
      </c>
      <c r="S653" s="322">
        <v>744000</v>
      </c>
      <c r="T653" s="322">
        <v>744000</v>
      </c>
      <c r="U653" s="322">
        <f t="shared" si="52"/>
        <v>0</v>
      </c>
      <c r="W653" s="321">
        <f t="shared" si="53"/>
        <v>110</v>
      </c>
      <c r="X653" s="321">
        <f t="shared" si="54"/>
        <v>614000</v>
      </c>
      <c r="Y653" s="321">
        <v>1</v>
      </c>
      <c r="AA653" s="321" t="s">
        <v>5205</v>
      </c>
    </row>
    <row r="654" spans="1:27">
      <c r="A654" s="376">
        <v>750</v>
      </c>
      <c r="B654" s="377">
        <v>743000</v>
      </c>
      <c r="C654" s="382" t="s">
        <v>6911</v>
      </c>
      <c r="D654" s="379">
        <v>450</v>
      </c>
      <c r="E654" s="380">
        <v>500</v>
      </c>
      <c r="F654" s="380">
        <v>500</v>
      </c>
      <c r="H654" s="351">
        <f t="shared" si="50"/>
        <v>450000</v>
      </c>
      <c r="I654" s="351">
        <f t="shared" si="51"/>
        <v>500000</v>
      </c>
      <c r="M654" s="321">
        <v>1614000120</v>
      </c>
      <c r="N654" s="321">
        <v>61</v>
      </c>
      <c r="O654" s="321" t="s">
        <v>5206</v>
      </c>
      <c r="P654" s="321">
        <v>1614000</v>
      </c>
      <c r="Q654" s="322">
        <v>129000</v>
      </c>
      <c r="R654" s="322">
        <v>102800</v>
      </c>
      <c r="S654" s="322">
        <v>124000</v>
      </c>
      <c r="T654" s="322">
        <v>124000</v>
      </c>
      <c r="U654" s="322">
        <f t="shared" si="52"/>
        <v>0</v>
      </c>
      <c r="W654" s="321">
        <f t="shared" si="53"/>
        <v>120</v>
      </c>
      <c r="X654" s="321">
        <f t="shared" si="54"/>
        <v>614000</v>
      </c>
      <c r="Y654" s="321">
        <v>1</v>
      </c>
      <c r="AA654" s="321" t="s">
        <v>5206</v>
      </c>
    </row>
    <row r="655" spans="1:27">
      <c r="A655" s="376">
        <v>771</v>
      </c>
      <c r="B655" s="377">
        <v>743000</v>
      </c>
      <c r="C655" s="382" t="s">
        <v>6912</v>
      </c>
      <c r="D655" s="379">
        <v>5641</v>
      </c>
      <c r="E655" s="380">
        <v>5600</v>
      </c>
      <c r="F655" s="380">
        <v>6032</v>
      </c>
      <c r="H655" s="351">
        <f t="shared" si="50"/>
        <v>5641000</v>
      </c>
      <c r="I655" s="351">
        <f t="shared" si="51"/>
        <v>6032000</v>
      </c>
      <c r="M655" s="321">
        <v>1614000130</v>
      </c>
      <c r="N655" s="321">
        <v>61</v>
      </c>
      <c r="O655" s="321" t="s">
        <v>2576</v>
      </c>
      <c r="P655" s="321">
        <v>1614000</v>
      </c>
      <c r="Q655" s="322">
        <v>74000</v>
      </c>
      <c r="R655" s="322">
        <v>48700</v>
      </c>
      <c r="S655" s="322">
        <v>67000</v>
      </c>
      <c r="T655" s="322">
        <v>60300</v>
      </c>
      <c r="U655" s="322">
        <f t="shared" si="52"/>
        <v>6700</v>
      </c>
      <c r="W655" s="321">
        <f t="shared" si="53"/>
        <v>130</v>
      </c>
      <c r="X655" s="321">
        <f t="shared" si="54"/>
        <v>614000</v>
      </c>
      <c r="Y655" s="321">
        <v>1</v>
      </c>
      <c r="AA655" s="321" t="s">
        <v>2576</v>
      </c>
    </row>
    <row r="656" spans="1:27">
      <c r="A656" s="376">
        <v>720</v>
      </c>
      <c r="B656" s="377">
        <v>744000</v>
      </c>
      <c r="C656" s="382" t="s">
        <v>6913</v>
      </c>
      <c r="D656" s="379">
        <v>1005</v>
      </c>
      <c r="E656" s="380">
        <v>1150</v>
      </c>
      <c r="F656" s="380">
        <v>1150</v>
      </c>
      <c r="H656" s="351">
        <f t="shared" si="50"/>
        <v>1005000</v>
      </c>
      <c r="I656" s="351">
        <f t="shared" si="51"/>
        <v>1150000</v>
      </c>
      <c r="M656" s="321">
        <v>1614000140</v>
      </c>
      <c r="N656" s="321">
        <v>61</v>
      </c>
      <c r="O656" s="321" t="s">
        <v>5207</v>
      </c>
      <c r="P656" s="321">
        <v>1614000</v>
      </c>
      <c r="Q656" s="322">
        <v>78000</v>
      </c>
      <c r="R656" s="322">
        <v>40500</v>
      </c>
      <c r="S656" s="322">
        <v>56000</v>
      </c>
      <c r="T656" s="322">
        <v>56000</v>
      </c>
      <c r="U656" s="322">
        <f t="shared" si="52"/>
        <v>0</v>
      </c>
      <c r="W656" s="321">
        <f t="shared" si="53"/>
        <v>140</v>
      </c>
      <c r="X656" s="321">
        <f t="shared" si="54"/>
        <v>614000</v>
      </c>
      <c r="Y656" s="321">
        <v>1</v>
      </c>
      <c r="AA656" s="321" t="s">
        <v>5207</v>
      </c>
    </row>
    <row r="657" spans="1:27">
      <c r="A657" s="376">
        <v>740</v>
      </c>
      <c r="B657" s="377">
        <v>744000</v>
      </c>
      <c r="C657" s="387" t="s">
        <v>6914</v>
      </c>
      <c r="D657" s="379">
        <v>85</v>
      </c>
      <c r="E657" s="380">
        <v>87</v>
      </c>
      <c r="F657" s="380">
        <v>87</v>
      </c>
      <c r="H657" s="351">
        <f t="shared" si="50"/>
        <v>85000</v>
      </c>
      <c r="I657" s="351">
        <f t="shared" si="51"/>
        <v>87000</v>
      </c>
      <c r="M657" s="321">
        <v>1614000141</v>
      </c>
      <c r="N657" s="321">
        <v>61</v>
      </c>
      <c r="O657" s="321" t="s">
        <v>5208</v>
      </c>
      <c r="P657" s="321">
        <v>1614000</v>
      </c>
      <c r="Q657" s="322">
        <v>16000</v>
      </c>
      <c r="R657" s="322">
        <v>12000</v>
      </c>
      <c r="S657" s="322">
        <v>20000</v>
      </c>
      <c r="T657" s="322">
        <v>20000</v>
      </c>
      <c r="U657" s="322">
        <f t="shared" si="52"/>
        <v>0</v>
      </c>
      <c r="W657" s="321">
        <f t="shared" si="53"/>
        <v>141</v>
      </c>
      <c r="X657" s="321">
        <f t="shared" si="54"/>
        <v>614000</v>
      </c>
      <c r="Y657" s="321">
        <v>1</v>
      </c>
      <c r="AA657" s="321" t="s">
        <v>5208</v>
      </c>
    </row>
    <row r="658" spans="1:27">
      <c r="A658" s="376">
        <v>750</v>
      </c>
      <c r="B658" s="377">
        <v>744000</v>
      </c>
      <c r="C658" s="382" t="s">
        <v>6915</v>
      </c>
      <c r="D658" s="379">
        <v>545</v>
      </c>
      <c r="E658" s="380">
        <v>545</v>
      </c>
      <c r="F658" s="380">
        <v>536</v>
      </c>
      <c r="H658" s="351">
        <f t="shared" ref="H658:H721" si="55">D658*1000</f>
        <v>545000</v>
      </c>
      <c r="I658" s="351">
        <f t="shared" ref="I658:I721" si="56">F658*1000</f>
        <v>536000</v>
      </c>
      <c r="M658" s="321">
        <v>1614000181</v>
      </c>
      <c r="N658" s="321">
        <v>61</v>
      </c>
      <c r="O658" s="321" t="s">
        <v>2580</v>
      </c>
      <c r="P658" s="321">
        <v>1614000</v>
      </c>
      <c r="Q658" s="322">
        <v>130000</v>
      </c>
      <c r="R658" s="322">
        <v>101300</v>
      </c>
      <c r="S658" s="322">
        <v>156000</v>
      </c>
      <c r="T658" s="322">
        <v>156000</v>
      </c>
      <c r="U658" s="322">
        <f t="shared" si="52"/>
        <v>0</v>
      </c>
      <c r="W658" s="321">
        <f t="shared" si="53"/>
        <v>181</v>
      </c>
      <c r="X658" s="321">
        <f t="shared" si="54"/>
        <v>614000</v>
      </c>
      <c r="Y658" s="321">
        <v>1</v>
      </c>
      <c r="AA658" s="321" t="s">
        <v>2580</v>
      </c>
    </row>
    <row r="659" spans="1:27">
      <c r="A659" s="376">
        <v>752</v>
      </c>
      <c r="B659" s="377">
        <v>744000</v>
      </c>
      <c r="C659" s="394" t="s">
        <v>6916</v>
      </c>
      <c r="D659" s="379">
        <v>320</v>
      </c>
      <c r="E659" s="380">
        <v>370</v>
      </c>
      <c r="F659" s="380">
        <v>370</v>
      </c>
      <c r="H659" s="351">
        <f t="shared" si="55"/>
        <v>320000</v>
      </c>
      <c r="I659" s="351">
        <f t="shared" si="56"/>
        <v>370000</v>
      </c>
      <c r="M659" s="321">
        <v>1614000182</v>
      </c>
      <c r="N659" s="321">
        <v>61</v>
      </c>
      <c r="O659" s="321" t="s">
        <v>2582</v>
      </c>
      <c r="P659" s="321">
        <v>1614000</v>
      </c>
      <c r="Q659" s="322">
        <v>136000</v>
      </c>
      <c r="R659" s="322">
        <v>96800</v>
      </c>
      <c r="S659" s="322">
        <v>145000</v>
      </c>
      <c r="T659" s="322">
        <v>145000</v>
      </c>
      <c r="U659" s="322">
        <f t="shared" si="52"/>
        <v>0</v>
      </c>
      <c r="W659" s="321">
        <f t="shared" si="53"/>
        <v>182</v>
      </c>
      <c r="X659" s="321">
        <f t="shared" si="54"/>
        <v>614000</v>
      </c>
      <c r="Y659" s="321">
        <v>1</v>
      </c>
      <c r="AA659" s="321" t="s">
        <v>2582</v>
      </c>
    </row>
    <row r="660" spans="1:27">
      <c r="A660" s="376">
        <v>771</v>
      </c>
      <c r="B660" s="377">
        <v>744000</v>
      </c>
      <c r="C660" s="385" t="s">
        <v>6917</v>
      </c>
      <c r="D660" s="379">
        <v>305</v>
      </c>
      <c r="E660" s="380">
        <v>300</v>
      </c>
      <c r="F660" s="380">
        <v>327</v>
      </c>
      <c r="H660" s="351">
        <f t="shared" si="55"/>
        <v>305000</v>
      </c>
      <c r="I660" s="351">
        <f t="shared" si="56"/>
        <v>327000</v>
      </c>
      <c r="M660" s="321">
        <v>1614000210</v>
      </c>
      <c r="N660" s="321">
        <v>61</v>
      </c>
      <c r="O660" s="321" t="s">
        <v>5291</v>
      </c>
      <c r="P660" s="321">
        <v>1614000</v>
      </c>
      <c r="Q660" s="322">
        <v>100000</v>
      </c>
      <c r="R660" s="322">
        <v>49800</v>
      </c>
      <c r="S660" s="322">
        <v>0</v>
      </c>
      <c r="T660" s="322">
        <v>0</v>
      </c>
      <c r="U660" s="322">
        <f t="shared" si="52"/>
        <v>0</v>
      </c>
      <c r="W660" s="321">
        <f t="shared" si="53"/>
        <v>210</v>
      </c>
      <c r="X660" s="321">
        <f t="shared" si="54"/>
        <v>614000</v>
      </c>
      <c r="Y660" s="321">
        <v>1</v>
      </c>
      <c r="AA660" s="321" t="s">
        <v>5291</v>
      </c>
    </row>
    <row r="661" spans="1:27">
      <c r="A661" s="376">
        <v>100</v>
      </c>
      <c r="B661" s="377">
        <v>745000</v>
      </c>
      <c r="C661" s="392" t="s">
        <v>6711</v>
      </c>
      <c r="D661" s="379">
        <v>288</v>
      </c>
      <c r="E661" s="380">
        <v>0</v>
      </c>
      <c r="F661" s="380">
        <v>250</v>
      </c>
      <c r="H661" s="351">
        <f t="shared" si="55"/>
        <v>288000</v>
      </c>
      <c r="I661" s="351">
        <f t="shared" si="56"/>
        <v>250000</v>
      </c>
      <c r="M661" s="321">
        <v>1614000470</v>
      </c>
      <c r="N661" s="321">
        <v>61</v>
      </c>
      <c r="O661" s="321" t="s">
        <v>2830</v>
      </c>
      <c r="P661" s="321">
        <v>1614000</v>
      </c>
      <c r="Q661" s="322">
        <v>6000</v>
      </c>
      <c r="R661" s="322">
        <v>1000</v>
      </c>
      <c r="S661" s="322">
        <v>6000</v>
      </c>
      <c r="T661" s="322">
        <v>6000</v>
      </c>
      <c r="U661" s="322">
        <f t="shared" si="52"/>
        <v>0</v>
      </c>
      <c r="W661" s="321">
        <f t="shared" si="53"/>
        <v>470</v>
      </c>
      <c r="X661" s="321">
        <f t="shared" si="54"/>
        <v>614000</v>
      </c>
      <c r="Y661" s="321">
        <v>1</v>
      </c>
      <c r="AA661" s="321" t="s">
        <v>2830</v>
      </c>
    </row>
    <row r="662" spans="1:27">
      <c r="A662" s="376">
        <v>420</v>
      </c>
      <c r="B662" s="377">
        <v>745000</v>
      </c>
      <c r="C662" s="382" t="s">
        <v>6918</v>
      </c>
      <c r="D662" s="379">
        <v>220</v>
      </c>
      <c r="E662" s="380">
        <v>220</v>
      </c>
      <c r="F662" s="380">
        <v>270</v>
      </c>
      <c r="H662" s="351">
        <f t="shared" si="55"/>
        <v>220000</v>
      </c>
      <c r="I662" s="351">
        <f t="shared" si="56"/>
        <v>270000</v>
      </c>
      <c r="M662" s="321">
        <v>1614000471</v>
      </c>
      <c r="N662" s="321">
        <v>61</v>
      </c>
      <c r="O662" s="321" t="s">
        <v>5292</v>
      </c>
      <c r="P662" s="321">
        <v>1614000</v>
      </c>
      <c r="Q662" s="322">
        <v>3500</v>
      </c>
      <c r="R662" s="322">
        <v>3500</v>
      </c>
      <c r="S662" s="322">
        <v>3700</v>
      </c>
      <c r="T662" s="322">
        <v>3700</v>
      </c>
      <c r="U662" s="322">
        <f t="shared" si="52"/>
        <v>0</v>
      </c>
      <c r="W662" s="321">
        <f t="shared" si="53"/>
        <v>471</v>
      </c>
      <c r="X662" s="321">
        <f t="shared" si="54"/>
        <v>614000</v>
      </c>
      <c r="Y662" s="321">
        <v>1</v>
      </c>
      <c r="AA662" s="321" t="s">
        <v>5292</v>
      </c>
    </row>
    <row r="663" spans="1:27">
      <c r="A663" s="376">
        <v>750</v>
      </c>
      <c r="B663" s="377">
        <v>745000</v>
      </c>
      <c r="C663" s="382" t="s">
        <v>6919</v>
      </c>
      <c r="D663" s="379">
        <v>100</v>
      </c>
      <c r="E663" s="380">
        <v>100</v>
      </c>
      <c r="F663" s="380">
        <v>100</v>
      </c>
      <c r="H663" s="351">
        <f t="shared" si="55"/>
        <v>100000</v>
      </c>
      <c r="I663" s="351">
        <f t="shared" si="56"/>
        <v>100000</v>
      </c>
      <c r="M663" s="321">
        <v>1614000522</v>
      </c>
      <c r="N663" s="321">
        <v>61</v>
      </c>
      <c r="O663" s="321" t="s">
        <v>5214</v>
      </c>
      <c r="P663" s="321">
        <v>1614000</v>
      </c>
      <c r="Q663" s="322">
        <v>8000</v>
      </c>
      <c r="R663" s="322">
        <v>8000</v>
      </c>
      <c r="S663" s="322">
        <v>8000</v>
      </c>
      <c r="T663" s="322">
        <v>8000</v>
      </c>
      <c r="U663" s="322">
        <f t="shared" si="52"/>
        <v>0</v>
      </c>
      <c r="W663" s="321">
        <f t="shared" si="53"/>
        <v>522</v>
      </c>
      <c r="X663" s="321">
        <f t="shared" si="54"/>
        <v>614000</v>
      </c>
      <c r="Y663" s="321">
        <v>1</v>
      </c>
      <c r="AA663" s="321" t="s">
        <v>5214</v>
      </c>
    </row>
    <row r="664" spans="1:27">
      <c r="A664" s="376">
        <v>830</v>
      </c>
      <c r="B664" s="377">
        <v>745000</v>
      </c>
      <c r="C664" s="382" t="s">
        <v>6920</v>
      </c>
      <c r="D664" s="379">
        <v>275</v>
      </c>
      <c r="E664" s="380">
        <v>275</v>
      </c>
      <c r="F664" s="380">
        <v>275</v>
      </c>
      <c r="H664" s="351">
        <f t="shared" si="55"/>
        <v>275000</v>
      </c>
      <c r="I664" s="351">
        <f t="shared" si="56"/>
        <v>275000</v>
      </c>
      <c r="M664" s="321">
        <v>1614000530</v>
      </c>
      <c r="N664" s="321">
        <v>61</v>
      </c>
      <c r="O664" s="321" t="s">
        <v>5293</v>
      </c>
      <c r="P664" s="321">
        <v>1614000</v>
      </c>
      <c r="Q664" s="322">
        <v>35000</v>
      </c>
      <c r="R664" s="322">
        <v>14600</v>
      </c>
      <c r="S664" s="322">
        <v>30000</v>
      </c>
      <c r="T664" s="322">
        <v>30000</v>
      </c>
      <c r="U664" s="322">
        <f t="shared" si="52"/>
        <v>0</v>
      </c>
      <c r="W664" s="321">
        <f t="shared" si="53"/>
        <v>530</v>
      </c>
      <c r="X664" s="321">
        <f t="shared" si="54"/>
        <v>614000</v>
      </c>
      <c r="Y664" s="321">
        <v>1</v>
      </c>
      <c r="AA664" s="321" t="s">
        <v>5293</v>
      </c>
    </row>
    <row r="665" spans="1:27">
      <c r="A665" s="376">
        <v>100</v>
      </c>
      <c r="B665" s="377">
        <v>746000</v>
      </c>
      <c r="C665" s="382" t="s">
        <v>6711</v>
      </c>
      <c r="D665" s="379">
        <v>1378</v>
      </c>
      <c r="E665" s="380">
        <v>1350</v>
      </c>
      <c r="F665" s="380">
        <v>1420</v>
      </c>
      <c r="H665" s="351">
        <f t="shared" si="55"/>
        <v>1378000</v>
      </c>
      <c r="I665" s="351">
        <f t="shared" si="56"/>
        <v>1420000</v>
      </c>
      <c r="M665" s="321">
        <v>1614000540</v>
      </c>
      <c r="N665" s="321">
        <v>61</v>
      </c>
      <c r="O665" s="321" t="s">
        <v>5216</v>
      </c>
      <c r="P665" s="321">
        <v>1614000</v>
      </c>
      <c r="Q665" s="322">
        <v>4000</v>
      </c>
      <c r="R665" s="322">
        <v>2400</v>
      </c>
      <c r="S665" s="322">
        <v>4000</v>
      </c>
      <c r="T665" s="322">
        <v>4000</v>
      </c>
      <c r="U665" s="322">
        <f t="shared" si="52"/>
        <v>0</v>
      </c>
      <c r="W665" s="321">
        <f t="shared" si="53"/>
        <v>540</v>
      </c>
      <c r="X665" s="321">
        <f t="shared" si="54"/>
        <v>614000</v>
      </c>
      <c r="Y665" s="321">
        <v>1</v>
      </c>
      <c r="AA665" s="321" t="s">
        <v>5216</v>
      </c>
    </row>
    <row r="666" spans="1:27">
      <c r="A666" s="376">
        <v>127</v>
      </c>
      <c r="B666" s="377">
        <v>746000</v>
      </c>
      <c r="C666" s="382" t="s">
        <v>6921</v>
      </c>
      <c r="D666" s="379">
        <v>7</v>
      </c>
      <c r="E666" s="380">
        <v>6</v>
      </c>
      <c r="F666" s="380">
        <v>7</v>
      </c>
      <c r="H666" s="351">
        <f t="shared" si="55"/>
        <v>7000</v>
      </c>
      <c r="I666" s="351">
        <f t="shared" si="56"/>
        <v>7000</v>
      </c>
      <c r="M666" s="321">
        <v>1614000542</v>
      </c>
      <c r="N666" s="321">
        <v>61</v>
      </c>
      <c r="O666" s="321" t="s">
        <v>5217</v>
      </c>
      <c r="P666" s="321">
        <v>1614000</v>
      </c>
      <c r="Q666" s="322">
        <v>8200</v>
      </c>
      <c r="R666" s="322">
        <v>5500</v>
      </c>
      <c r="S666" s="322">
        <v>10000</v>
      </c>
      <c r="T666" s="322">
        <v>10000</v>
      </c>
      <c r="U666" s="322">
        <f t="shared" si="52"/>
        <v>0</v>
      </c>
      <c r="W666" s="321">
        <f t="shared" si="53"/>
        <v>542</v>
      </c>
      <c r="X666" s="321">
        <f t="shared" si="54"/>
        <v>614000</v>
      </c>
      <c r="Y666" s="321">
        <v>1</v>
      </c>
      <c r="AA666" s="321" t="s">
        <v>5217</v>
      </c>
    </row>
    <row r="667" spans="1:27">
      <c r="A667" s="376">
        <v>432</v>
      </c>
      <c r="B667" s="377">
        <v>746000</v>
      </c>
      <c r="C667" s="382" t="s">
        <v>6922</v>
      </c>
      <c r="D667" s="379">
        <v>5643</v>
      </c>
      <c r="E667" s="380">
        <v>6000</v>
      </c>
      <c r="F667" s="380">
        <v>6000</v>
      </c>
      <c r="H667" s="351">
        <f t="shared" si="55"/>
        <v>5643000</v>
      </c>
      <c r="I667" s="351">
        <f t="shared" si="56"/>
        <v>6000000</v>
      </c>
      <c r="M667" s="321">
        <v>1614000550</v>
      </c>
      <c r="N667" s="321">
        <v>61</v>
      </c>
      <c r="O667" s="321" t="s">
        <v>5272</v>
      </c>
      <c r="P667" s="321">
        <v>1614000</v>
      </c>
      <c r="Q667" s="322">
        <v>850000</v>
      </c>
      <c r="R667" s="322">
        <v>636300</v>
      </c>
      <c r="S667" s="322">
        <v>850000</v>
      </c>
      <c r="T667" s="322">
        <v>750000</v>
      </c>
      <c r="U667" s="322">
        <f t="shared" si="52"/>
        <v>100000</v>
      </c>
      <c r="W667" s="321">
        <f t="shared" si="53"/>
        <v>550</v>
      </c>
      <c r="X667" s="321">
        <f t="shared" si="54"/>
        <v>614000</v>
      </c>
      <c r="Y667" s="321">
        <v>1</v>
      </c>
      <c r="AA667" s="321" t="s">
        <v>5272</v>
      </c>
    </row>
    <row r="668" spans="1:27">
      <c r="A668" s="376">
        <v>720</v>
      </c>
      <c r="B668" s="377">
        <v>746000</v>
      </c>
      <c r="C668" s="382" t="s">
        <v>6923</v>
      </c>
      <c r="D668" s="379">
        <v>244</v>
      </c>
      <c r="E668" s="380">
        <v>205</v>
      </c>
      <c r="F668" s="380">
        <v>205</v>
      </c>
      <c r="H668" s="351">
        <f t="shared" si="55"/>
        <v>244000</v>
      </c>
      <c r="I668" s="351">
        <f t="shared" si="56"/>
        <v>205000</v>
      </c>
      <c r="M668" s="321">
        <v>1614000551</v>
      </c>
      <c r="N668" s="321">
        <v>61</v>
      </c>
      <c r="O668" s="321" t="s">
        <v>5294</v>
      </c>
      <c r="P668" s="321">
        <v>1614000</v>
      </c>
      <c r="Q668" s="322">
        <v>500000</v>
      </c>
      <c r="R668" s="322">
        <v>314700</v>
      </c>
      <c r="S668" s="322">
        <v>500000</v>
      </c>
      <c r="T668" s="322">
        <v>500000</v>
      </c>
      <c r="U668" s="322">
        <f t="shared" si="52"/>
        <v>0</v>
      </c>
      <c r="W668" s="321">
        <f t="shared" si="53"/>
        <v>551</v>
      </c>
      <c r="X668" s="321">
        <f t="shared" si="54"/>
        <v>614000</v>
      </c>
      <c r="Y668" s="321">
        <v>1</v>
      </c>
      <c r="AA668" s="321" t="s">
        <v>5294</v>
      </c>
    </row>
    <row r="669" spans="1:27">
      <c r="A669" s="376">
        <v>721</v>
      </c>
      <c r="B669" s="377">
        <v>746000</v>
      </c>
      <c r="C669" s="382" t="s">
        <v>6924</v>
      </c>
      <c r="D669" s="379">
        <v>213</v>
      </c>
      <c r="E669" s="380">
        <v>0</v>
      </c>
      <c r="F669" s="380">
        <v>0</v>
      </c>
      <c r="H669" s="351">
        <f t="shared" si="55"/>
        <v>213000</v>
      </c>
      <c r="I669" s="351">
        <f t="shared" si="56"/>
        <v>0</v>
      </c>
      <c r="M669" s="321">
        <v>1614000552</v>
      </c>
      <c r="N669" s="321">
        <v>61</v>
      </c>
      <c r="O669" s="321" t="s">
        <v>5295</v>
      </c>
      <c r="P669" s="321">
        <v>1614000</v>
      </c>
      <c r="Q669" s="322">
        <v>100000</v>
      </c>
      <c r="R669" s="322">
        <v>14700</v>
      </c>
      <c r="S669" s="322">
        <v>100000</v>
      </c>
      <c r="T669" s="322">
        <v>75000</v>
      </c>
      <c r="U669" s="322">
        <f t="shared" si="52"/>
        <v>25000</v>
      </c>
      <c r="W669" s="321">
        <f t="shared" si="53"/>
        <v>552</v>
      </c>
      <c r="X669" s="321">
        <f t="shared" si="54"/>
        <v>614000</v>
      </c>
      <c r="Y669" s="321">
        <v>1</v>
      </c>
      <c r="AA669" s="321" t="s">
        <v>5295</v>
      </c>
    </row>
    <row r="670" spans="1:27">
      <c r="A670" s="376">
        <v>730</v>
      </c>
      <c r="B670" s="377">
        <v>746000</v>
      </c>
      <c r="C670" s="381" t="s">
        <v>6840</v>
      </c>
      <c r="D670" s="379">
        <v>74</v>
      </c>
      <c r="E670" s="380">
        <v>75</v>
      </c>
      <c r="F670" s="380">
        <v>90</v>
      </c>
      <c r="H670" s="351">
        <f t="shared" si="55"/>
        <v>74000</v>
      </c>
      <c r="I670" s="351">
        <f t="shared" si="56"/>
        <v>90000</v>
      </c>
      <c r="M670" s="321">
        <v>1614000553</v>
      </c>
      <c r="N670" s="321">
        <v>61</v>
      </c>
      <c r="O670" s="321" t="s">
        <v>5296</v>
      </c>
      <c r="P670" s="321">
        <v>1611101</v>
      </c>
      <c r="Q670" s="322">
        <v>0</v>
      </c>
      <c r="R670" s="322">
        <v>0</v>
      </c>
      <c r="S670" s="322">
        <v>0</v>
      </c>
      <c r="T670" s="322">
        <v>0</v>
      </c>
      <c r="U670" s="322">
        <f t="shared" si="52"/>
        <v>0</v>
      </c>
      <c r="W670" s="321">
        <f t="shared" si="53"/>
        <v>553</v>
      </c>
      <c r="X670" s="321">
        <f t="shared" si="54"/>
        <v>614000</v>
      </c>
      <c r="Y670" s="321">
        <v>1</v>
      </c>
      <c r="AA670" s="321" t="s">
        <v>5296</v>
      </c>
    </row>
    <row r="671" spans="1:27">
      <c r="A671" s="376">
        <v>740</v>
      </c>
      <c r="B671" s="377">
        <v>746000</v>
      </c>
      <c r="C671" s="382" t="s">
        <v>6859</v>
      </c>
      <c r="D671" s="379">
        <v>10</v>
      </c>
      <c r="E671" s="380">
        <v>20</v>
      </c>
      <c r="F671" s="380">
        <v>20</v>
      </c>
      <c r="H671" s="351">
        <f t="shared" si="55"/>
        <v>10000</v>
      </c>
      <c r="I671" s="351">
        <f t="shared" si="56"/>
        <v>20000</v>
      </c>
      <c r="M671" s="321">
        <v>1614000554</v>
      </c>
      <c r="N671" s="321">
        <v>61</v>
      </c>
      <c r="O671" s="321" t="s">
        <v>5297</v>
      </c>
      <c r="P671" s="321">
        <v>1614000</v>
      </c>
      <c r="Q671" s="322">
        <v>15000</v>
      </c>
      <c r="R671" s="322">
        <v>5500</v>
      </c>
      <c r="S671" s="322">
        <v>15000</v>
      </c>
      <c r="T671" s="322">
        <v>15000</v>
      </c>
      <c r="U671" s="322">
        <f t="shared" si="52"/>
        <v>0</v>
      </c>
      <c r="W671" s="321">
        <f t="shared" si="53"/>
        <v>554</v>
      </c>
      <c r="X671" s="321">
        <f t="shared" si="54"/>
        <v>614000</v>
      </c>
      <c r="Y671" s="321">
        <v>1</v>
      </c>
      <c r="AA671" s="321" t="s">
        <v>5297</v>
      </c>
    </row>
    <row r="672" spans="1:27">
      <c r="A672" s="376">
        <v>750</v>
      </c>
      <c r="B672" s="377">
        <v>746000</v>
      </c>
      <c r="C672" s="382" t="s">
        <v>6925</v>
      </c>
      <c r="D672" s="379">
        <v>9405</v>
      </c>
      <c r="E672" s="380">
        <v>8206</v>
      </c>
      <c r="F672" s="380">
        <v>8206</v>
      </c>
      <c r="H672" s="351">
        <f t="shared" si="55"/>
        <v>9405000</v>
      </c>
      <c r="I672" s="351">
        <f t="shared" si="56"/>
        <v>8206000</v>
      </c>
      <c r="M672" s="321">
        <v>1614000572</v>
      </c>
      <c r="N672" s="321">
        <v>61</v>
      </c>
      <c r="O672" s="321" t="s">
        <v>5298</v>
      </c>
      <c r="P672" s="321">
        <v>1614000</v>
      </c>
      <c r="Q672" s="322">
        <v>51000</v>
      </c>
      <c r="R672" s="322">
        <v>24100</v>
      </c>
      <c r="S672" s="322">
        <v>51000</v>
      </c>
      <c r="T672" s="322">
        <v>51000</v>
      </c>
      <c r="U672" s="322">
        <f t="shared" si="52"/>
        <v>0</v>
      </c>
      <c r="W672" s="321">
        <f t="shared" si="53"/>
        <v>572</v>
      </c>
      <c r="X672" s="321">
        <f t="shared" si="54"/>
        <v>614000</v>
      </c>
      <c r="Y672" s="321">
        <v>1</v>
      </c>
      <c r="AA672" s="321" t="s">
        <v>5298</v>
      </c>
    </row>
    <row r="673" spans="1:27">
      <c r="A673" s="376">
        <v>751</v>
      </c>
      <c r="B673" s="377">
        <v>746000</v>
      </c>
      <c r="C673" s="382" t="s">
        <v>6926</v>
      </c>
      <c r="D673" s="379">
        <v>300</v>
      </c>
      <c r="E673" s="380">
        <v>300</v>
      </c>
      <c r="F673" s="380">
        <v>360</v>
      </c>
      <c r="H673" s="351">
        <f t="shared" si="55"/>
        <v>300000</v>
      </c>
      <c r="I673" s="351">
        <f t="shared" si="56"/>
        <v>360000</v>
      </c>
      <c r="M673" s="321">
        <v>1614000580</v>
      </c>
      <c r="N673" s="321">
        <v>61</v>
      </c>
      <c r="O673" s="321" t="s">
        <v>5299</v>
      </c>
      <c r="P673" s="321">
        <v>1614000</v>
      </c>
      <c r="Q673" s="322">
        <v>410000</v>
      </c>
      <c r="R673" s="322">
        <v>239300</v>
      </c>
      <c r="S673" s="322">
        <v>410000</v>
      </c>
      <c r="T673" s="322">
        <v>350000</v>
      </c>
      <c r="U673" s="322">
        <f t="shared" si="52"/>
        <v>60000</v>
      </c>
      <c r="W673" s="321">
        <f t="shared" si="53"/>
        <v>580</v>
      </c>
      <c r="X673" s="321">
        <f t="shared" si="54"/>
        <v>614000</v>
      </c>
      <c r="Y673" s="321">
        <v>1</v>
      </c>
      <c r="AA673" s="321" t="s">
        <v>5299</v>
      </c>
    </row>
    <row r="674" spans="1:27">
      <c r="A674" s="376">
        <v>752</v>
      </c>
      <c r="B674" s="377">
        <v>746000</v>
      </c>
      <c r="C674" s="382" t="s">
        <v>6927</v>
      </c>
      <c r="D674" s="379">
        <v>685</v>
      </c>
      <c r="E674" s="380">
        <v>657</v>
      </c>
      <c r="F674" s="380">
        <v>657</v>
      </c>
      <c r="H674" s="351">
        <f t="shared" si="55"/>
        <v>685000</v>
      </c>
      <c r="I674" s="351">
        <f t="shared" si="56"/>
        <v>657000</v>
      </c>
      <c r="M674" s="321">
        <v>1614000581</v>
      </c>
      <c r="N674" s="321">
        <v>61</v>
      </c>
      <c r="O674" s="321" t="s">
        <v>5300</v>
      </c>
      <c r="P674" s="321">
        <v>1614000</v>
      </c>
      <c r="Q674" s="322">
        <v>180000</v>
      </c>
      <c r="R674" s="322">
        <v>0</v>
      </c>
      <c r="S674" s="322">
        <v>180000</v>
      </c>
      <c r="T674" s="322">
        <v>100000</v>
      </c>
      <c r="U674" s="322">
        <f t="shared" si="52"/>
        <v>80000</v>
      </c>
      <c r="W674" s="321">
        <f t="shared" si="53"/>
        <v>581</v>
      </c>
      <c r="X674" s="321">
        <f t="shared" si="54"/>
        <v>614000</v>
      </c>
      <c r="Y674" s="321">
        <v>1</v>
      </c>
      <c r="AA674" s="321" t="s">
        <v>5300</v>
      </c>
    </row>
    <row r="675" spans="1:27">
      <c r="A675" s="376">
        <v>753</v>
      </c>
      <c r="B675" s="377">
        <v>746000</v>
      </c>
      <c r="C675" s="382" t="s">
        <v>6928</v>
      </c>
      <c r="D675" s="379">
        <v>687</v>
      </c>
      <c r="E675" s="380">
        <v>785</v>
      </c>
      <c r="F675" s="380">
        <v>785</v>
      </c>
      <c r="H675" s="351">
        <f t="shared" si="55"/>
        <v>687000</v>
      </c>
      <c r="I675" s="351">
        <f t="shared" si="56"/>
        <v>785000</v>
      </c>
      <c r="M675" s="321">
        <v>1614000752</v>
      </c>
      <c r="N675" s="321">
        <v>61</v>
      </c>
      <c r="O675" s="321" t="s">
        <v>5301</v>
      </c>
      <c r="P675" s="321">
        <v>1614000</v>
      </c>
      <c r="Q675" s="322">
        <v>29000</v>
      </c>
      <c r="R675" s="322">
        <v>24300</v>
      </c>
      <c r="S675" s="322">
        <v>30000</v>
      </c>
      <c r="T675" s="322">
        <v>30000</v>
      </c>
      <c r="U675" s="322">
        <f t="shared" si="52"/>
        <v>0</v>
      </c>
      <c r="W675" s="321">
        <f t="shared" si="53"/>
        <v>752</v>
      </c>
      <c r="X675" s="321">
        <f t="shared" si="54"/>
        <v>614000</v>
      </c>
      <c r="Y675" s="321">
        <v>1</v>
      </c>
      <c r="AA675" s="321" t="s">
        <v>5301</v>
      </c>
    </row>
    <row r="676" spans="1:27">
      <c r="A676" s="376">
        <v>754</v>
      </c>
      <c r="B676" s="377">
        <v>746000</v>
      </c>
      <c r="C676" s="382" t="s">
        <v>6929</v>
      </c>
      <c r="D676" s="379">
        <v>900</v>
      </c>
      <c r="E676" s="380">
        <v>915</v>
      </c>
      <c r="F676" s="380">
        <v>915</v>
      </c>
      <c r="H676" s="351">
        <f t="shared" si="55"/>
        <v>900000</v>
      </c>
      <c r="I676" s="351">
        <f t="shared" si="56"/>
        <v>915000</v>
      </c>
      <c r="M676" s="321">
        <v>1614000753</v>
      </c>
      <c r="N676" s="321">
        <v>61</v>
      </c>
      <c r="O676" s="321" t="s">
        <v>5302</v>
      </c>
      <c r="P676" s="321">
        <v>1614000</v>
      </c>
      <c r="Q676" s="322">
        <v>10000</v>
      </c>
      <c r="R676" s="322">
        <v>0</v>
      </c>
      <c r="S676" s="322">
        <v>10000</v>
      </c>
      <c r="T676" s="322">
        <v>10000</v>
      </c>
      <c r="U676" s="322">
        <f t="shared" si="52"/>
        <v>0</v>
      </c>
      <c r="W676" s="321">
        <f t="shared" si="53"/>
        <v>753</v>
      </c>
      <c r="X676" s="321">
        <f t="shared" si="54"/>
        <v>614000</v>
      </c>
      <c r="Y676" s="321">
        <v>1</v>
      </c>
      <c r="AA676" s="321" t="s">
        <v>5302</v>
      </c>
    </row>
    <row r="677" spans="1:27">
      <c r="A677" s="376">
        <v>756</v>
      </c>
      <c r="B677" s="377">
        <v>746000</v>
      </c>
      <c r="C677" s="382" t="s">
        <v>6930</v>
      </c>
      <c r="D677" s="379">
        <v>100</v>
      </c>
      <c r="E677" s="380">
        <v>130</v>
      </c>
      <c r="F677" s="380">
        <v>130</v>
      </c>
      <c r="H677" s="351">
        <f t="shared" si="55"/>
        <v>100000</v>
      </c>
      <c r="I677" s="351">
        <f t="shared" si="56"/>
        <v>130000</v>
      </c>
      <c r="M677" s="321">
        <v>1614000754</v>
      </c>
      <c r="N677" s="321">
        <v>61</v>
      </c>
      <c r="O677" s="321" t="s">
        <v>5303</v>
      </c>
      <c r="P677" s="321">
        <v>1614000</v>
      </c>
      <c r="Q677" s="322">
        <v>0</v>
      </c>
      <c r="R677" s="322">
        <v>0</v>
      </c>
      <c r="S677" s="322">
        <v>0</v>
      </c>
      <c r="T677" s="322">
        <v>0</v>
      </c>
      <c r="U677" s="322">
        <f t="shared" si="52"/>
        <v>0</v>
      </c>
      <c r="W677" s="321">
        <f t="shared" si="53"/>
        <v>754</v>
      </c>
      <c r="X677" s="321">
        <f t="shared" si="54"/>
        <v>614000</v>
      </c>
      <c r="Y677" s="321">
        <v>1</v>
      </c>
      <c r="AA677" s="321" t="s">
        <v>5303</v>
      </c>
    </row>
    <row r="678" spans="1:27">
      <c r="A678" s="376">
        <v>757</v>
      </c>
      <c r="B678" s="377">
        <v>746000</v>
      </c>
      <c r="C678" s="382" t="s">
        <v>6931</v>
      </c>
      <c r="D678" s="379">
        <v>521</v>
      </c>
      <c r="E678" s="380">
        <v>465</v>
      </c>
      <c r="F678" s="380">
        <v>495</v>
      </c>
      <c r="H678" s="351">
        <f t="shared" si="55"/>
        <v>521000</v>
      </c>
      <c r="I678" s="351">
        <f t="shared" si="56"/>
        <v>495000</v>
      </c>
      <c r="M678" s="321">
        <v>1614000756</v>
      </c>
      <c r="N678" s="321">
        <v>61</v>
      </c>
      <c r="O678" s="321" t="s">
        <v>5304</v>
      </c>
      <c r="P678" s="321">
        <v>1614000</v>
      </c>
      <c r="Q678" s="322">
        <v>0</v>
      </c>
      <c r="R678" s="322">
        <v>0</v>
      </c>
      <c r="S678" s="322">
        <v>100000</v>
      </c>
      <c r="T678" s="322">
        <v>80000</v>
      </c>
      <c r="U678" s="322">
        <f t="shared" si="52"/>
        <v>20000</v>
      </c>
      <c r="W678" s="321">
        <f t="shared" si="53"/>
        <v>756</v>
      </c>
      <c r="X678" s="321">
        <f t="shared" si="54"/>
        <v>614000</v>
      </c>
      <c r="Y678" s="321">
        <v>1</v>
      </c>
      <c r="AA678" s="321" t="s">
        <v>5304</v>
      </c>
    </row>
    <row r="679" spans="1:27">
      <c r="A679" s="376">
        <v>758</v>
      </c>
      <c r="B679" s="377">
        <v>746000</v>
      </c>
      <c r="C679" s="382" t="s">
        <v>6932</v>
      </c>
      <c r="D679" s="379">
        <v>564</v>
      </c>
      <c r="E679" s="380">
        <v>503</v>
      </c>
      <c r="F679" s="380">
        <v>503</v>
      </c>
      <c r="H679" s="351">
        <f t="shared" si="55"/>
        <v>564000</v>
      </c>
      <c r="I679" s="351">
        <f t="shared" si="56"/>
        <v>503000</v>
      </c>
      <c r="M679" s="321">
        <v>1614000757</v>
      </c>
      <c r="N679" s="321">
        <v>61</v>
      </c>
      <c r="O679" s="321" t="s">
        <v>5305</v>
      </c>
      <c r="P679" s="321">
        <v>1614000</v>
      </c>
      <c r="Q679" s="322">
        <v>0</v>
      </c>
      <c r="R679" s="322">
        <v>0</v>
      </c>
      <c r="S679" s="322">
        <v>150000</v>
      </c>
      <c r="T679" s="322">
        <v>100000</v>
      </c>
      <c r="U679" s="322">
        <f t="shared" si="52"/>
        <v>50000</v>
      </c>
      <c r="W679" s="321">
        <f t="shared" si="53"/>
        <v>757</v>
      </c>
      <c r="X679" s="321">
        <f t="shared" si="54"/>
        <v>614000</v>
      </c>
      <c r="Y679" s="321">
        <v>1</v>
      </c>
      <c r="AA679" s="321" t="s">
        <v>5305</v>
      </c>
    </row>
    <row r="680" spans="1:27">
      <c r="A680" s="376">
        <v>759</v>
      </c>
      <c r="B680" s="377">
        <v>746000</v>
      </c>
      <c r="C680" s="382" t="s">
        <v>6933</v>
      </c>
      <c r="D680" s="379">
        <v>10</v>
      </c>
      <c r="E680" s="380">
        <v>12</v>
      </c>
      <c r="F680" s="380">
        <v>12</v>
      </c>
      <c r="H680" s="351">
        <f t="shared" si="55"/>
        <v>10000</v>
      </c>
      <c r="I680" s="351">
        <f t="shared" si="56"/>
        <v>12000</v>
      </c>
      <c r="M680" s="321">
        <v>1614000777</v>
      </c>
      <c r="N680" s="321">
        <v>61</v>
      </c>
      <c r="O680" s="321" t="s">
        <v>5306</v>
      </c>
      <c r="P680" s="321">
        <v>1614000</v>
      </c>
      <c r="Q680" s="322">
        <v>200000</v>
      </c>
      <c r="R680" s="322">
        <v>207800</v>
      </c>
      <c r="S680" s="322">
        <v>350000</v>
      </c>
      <c r="T680" s="322">
        <v>300000</v>
      </c>
      <c r="U680" s="322">
        <f t="shared" si="52"/>
        <v>50000</v>
      </c>
      <c r="W680" s="321">
        <f t="shared" si="53"/>
        <v>777</v>
      </c>
      <c r="X680" s="321">
        <f t="shared" si="54"/>
        <v>614000</v>
      </c>
      <c r="Y680" s="321">
        <v>1</v>
      </c>
      <c r="AA680" s="321" t="s">
        <v>5306</v>
      </c>
    </row>
    <row r="681" spans="1:27">
      <c r="A681" s="376">
        <v>780</v>
      </c>
      <c r="B681" s="377">
        <v>746000</v>
      </c>
      <c r="C681" s="382" t="s">
        <v>6934</v>
      </c>
      <c r="D681" s="379">
        <v>1000</v>
      </c>
      <c r="E681" s="380">
        <v>1250</v>
      </c>
      <c r="F681" s="380">
        <v>1250</v>
      </c>
      <c r="H681" s="351">
        <f t="shared" si="55"/>
        <v>1000000</v>
      </c>
      <c r="I681" s="351">
        <f t="shared" si="56"/>
        <v>1250000</v>
      </c>
      <c r="M681" s="321">
        <v>1614000981</v>
      </c>
      <c r="N681" s="321">
        <v>61</v>
      </c>
      <c r="O681" s="321" t="s">
        <v>5307</v>
      </c>
      <c r="P681" s="321">
        <v>1614000</v>
      </c>
      <c r="Q681" s="322">
        <v>0</v>
      </c>
      <c r="R681" s="322">
        <v>0</v>
      </c>
      <c r="S681" s="322">
        <v>0</v>
      </c>
      <c r="T681" s="322">
        <v>0</v>
      </c>
      <c r="U681" s="322">
        <f t="shared" si="52"/>
        <v>0</v>
      </c>
      <c r="W681" s="321">
        <f t="shared" si="53"/>
        <v>981</v>
      </c>
      <c r="X681" s="321">
        <f t="shared" si="54"/>
        <v>614000</v>
      </c>
      <c r="Y681" s="321">
        <v>1</v>
      </c>
      <c r="AA681" s="321" t="s">
        <v>5307</v>
      </c>
    </row>
    <row r="682" spans="1:27">
      <c r="A682" s="376">
        <v>781</v>
      </c>
      <c r="B682" s="377">
        <v>746000</v>
      </c>
      <c r="C682" s="382" t="s">
        <v>6935</v>
      </c>
      <c r="D682" s="379">
        <v>150</v>
      </c>
      <c r="E682" s="380">
        <v>0</v>
      </c>
      <c r="F682" s="380">
        <v>0</v>
      </c>
      <c r="H682" s="351">
        <f t="shared" si="55"/>
        <v>150000</v>
      </c>
      <c r="I682" s="351">
        <f t="shared" si="56"/>
        <v>0</v>
      </c>
      <c r="M682" s="321">
        <v>1615000110</v>
      </c>
      <c r="N682" s="321">
        <v>61</v>
      </c>
      <c r="O682" s="321" t="s">
        <v>5205</v>
      </c>
      <c r="P682" s="321">
        <v>1615000</v>
      </c>
      <c r="Q682" s="322">
        <v>1511000</v>
      </c>
      <c r="R682" s="322">
        <v>1211100</v>
      </c>
      <c r="S682" s="322">
        <v>1726000</v>
      </c>
      <c r="T682" s="322">
        <v>1726000</v>
      </c>
      <c r="U682" s="322">
        <f t="shared" si="52"/>
        <v>0</v>
      </c>
      <c r="W682" s="321">
        <f t="shared" si="53"/>
        <v>110</v>
      </c>
      <c r="X682" s="321">
        <f t="shared" si="54"/>
        <v>615000</v>
      </c>
      <c r="Y682" s="321">
        <v>1</v>
      </c>
      <c r="AA682" s="321" t="s">
        <v>5205</v>
      </c>
    </row>
    <row r="683" spans="1:27">
      <c r="A683" s="376">
        <v>782</v>
      </c>
      <c r="B683" s="377">
        <v>746000</v>
      </c>
      <c r="C683" s="382" t="s">
        <v>6936</v>
      </c>
      <c r="D683" s="379">
        <v>100</v>
      </c>
      <c r="E683" s="380">
        <v>0</v>
      </c>
      <c r="F683" s="380">
        <v>0</v>
      </c>
      <c r="H683" s="351">
        <f t="shared" si="55"/>
        <v>100000</v>
      </c>
      <c r="I683" s="351">
        <f t="shared" si="56"/>
        <v>0</v>
      </c>
      <c r="M683" s="321">
        <v>1615000120</v>
      </c>
      <c r="N683" s="321">
        <v>61</v>
      </c>
      <c r="O683" s="321" t="s">
        <v>5206</v>
      </c>
      <c r="P683" s="321">
        <v>1615000</v>
      </c>
      <c r="Q683" s="322">
        <v>543000</v>
      </c>
      <c r="R683" s="322">
        <v>415900</v>
      </c>
      <c r="S683" s="322">
        <v>506000</v>
      </c>
      <c r="T683" s="322">
        <v>506000</v>
      </c>
      <c r="U683" s="322">
        <f t="shared" si="52"/>
        <v>0</v>
      </c>
      <c r="W683" s="321">
        <f t="shared" si="53"/>
        <v>120</v>
      </c>
      <c r="X683" s="321">
        <f t="shared" si="54"/>
        <v>615000</v>
      </c>
      <c r="Y683" s="321">
        <v>1</v>
      </c>
      <c r="AA683" s="321" t="s">
        <v>5206</v>
      </c>
    </row>
    <row r="684" spans="1:27">
      <c r="A684" s="376">
        <v>783</v>
      </c>
      <c r="B684" s="377">
        <v>746000</v>
      </c>
      <c r="C684" s="382" t="s">
        <v>6937</v>
      </c>
      <c r="D684" s="379">
        <v>200</v>
      </c>
      <c r="E684" s="380">
        <v>0</v>
      </c>
      <c r="F684" s="380">
        <v>0</v>
      </c>
      <c r="H684" s="351">
        <f t="shared" si="55"/>
        <v>200000</v>
      </c>
      <c r="I684" s="351">
        <f t="shared" si="56"/>
        <v>0</v>
      </c>
      <c r="M684" s="321">
        <v>1615000130</v>
      </c>
      <c r="N684" s="321">
        <v>61</v>
      </c>
      <c r="O684" s="321" t="s">
        <v>2576</v>
      </c>
      <c r="P684" s="321">
        <v>1615000</v>
      </c>
      <c r="Q684" s="322">
        <v>7000</v>
      </c>
      <c r="R684" s="322">
        <v>14600</v>
      </c>
      <c r="S684" s="322">
        <v>29000</v>
      </c>
      <c r="T684" s="322">
        <v>26100</v>
      </c>
      <c r="U684" s="322">
        <f t="shared" si="52"/>
        <v>2900</v>
      </c>
      <c r="W684" s="321">
        <f t="shared" si="53"/>
        <v>130</v>
      </c>
      <c r="X684" s="321">
        <f t="shared" si="54"/>
        <v>615000</v>
      </c>
      <c r="Y684" s="321">
        <v>1</v>
      </c>
      <c r="AA684" s="321" t="s">
        <v>2576</v>
      </c>
    </row>
    <row r="685" spans="1:27">
      <c r="A685" s="376">
        <v>100</v>
      </c>
      <c r="B685" s="377">
        <v>746100</v>
      </c>
      <c r="C685" s="382" t="s">
        <v>6711</v>
      </c>
      <c r="D685" s="379">
        <f>776+50</f>
        <v>826</v>
      </c>
      <c r="E685" s="380">
        <v>670</v>
      </c>
      <c r="F685" s="380">
        <v>710</v>
      </c>
      <c r="H685" s="351">
        <f t="shared" si="55"/>
        <v>826000</v>
      </c>
      <c r="I685" s="351">
        <f t="shared" si="56"/>
        <v>710000</v>
      </c>
      <c r="M685" s="321">
        <v>1615000140</v>
      </c>
      <c r="N685" s="321">
        <v>61</v>
      </c>
      <c r="O685" s="321" t="s">
        <v>5207</v>
      </c>
      <c r="P685" s="321">
        <v>1615000</v>
      </c>
      <c r="Q685" s="322">
        <v>222000</v>
      </c>
      <c r="R685" s="322">
        <v>122200</v>
      </c>
      <c r="S685" s="322">
        <v>177000</v>
      </c>
      <c r="T685" s="322">
        <v>177000</v>
      </c>
      <c r="U685" s="322">
        <f t="shared" si="52"/>
        <v>0</v>
      </c>
      <c r="W685" s="321">
        <f t="shared" si="53"/>
        <v>140</v>
      </c>
      <c r="X685" s="321">
        <f t="shared" si="54"/>
        <v>615000</v>
      </c>
      <c r="Y685" s="321">
        <v>1</v>
      </c>
      <c r="AA685" s="321" t="s">
        <v>5207</v>
      </c>
    </row>
    <row r="686" spans="1:27">
      <c r="A686" s="376">
        <v>101</v>
      </c>
      <c r="B686" s="377">
        <v>746100</v>
      </c>
      <c r="C686" s="382" t="s">
        <v>6938</v>
      </c>
      <c r="D686" s="379">
        <v>428</v>
      </c>
      <c r="E686" s="380">
        <v>420</v>
      </c>
      <c r="F686" s="380">
        <v>423</v>
      </c>
      <c r="H686" s="351">
        <f t="shared" si="55"/>
        <v>428000</v>
      </c>
      <c r="I686" s="351">
        <f t="shared" si="56"/>
        <v>423000</v>
      </c>
      <c r="M686" s="321">
        <v>1615000141</v>
      </c>
      <c r="N686" s="321">
        <v>61</v>
      </c>
      <c r="O686" s="321" t="s">
        <v>5208</v>
      </c>
      <c r="P686" s="321">
        <v>1615000</v>
      </c>
      <c r="Q686" s="322">
        <v>59000</v>
      </c>
      <c r="R686" s="322">
        <v>57400</v>
      </c>
      <c r="S686" s="322">
        <v>102000</v>
      </c>
      <c r="T686" s="322">
        <v>102000</v>
      </c>
      <c r="U686" s="322">
        <f t="shared" si="52"/>
        <v>0</v>
      </c>
      <c r="W686" s="321">
        <f t="shared" si="53"/>
        <v>141</v>
      </c>
      <c r="X686" s="321">
        <f t="shared" si="54"/>
        <v>615000</v>
      </c>
      <c r="Y686" s="321">
        <v>1</v>
      </c>
      <c r="AA686" s="321" t="s">
        <v>5208</v>
      </c>
    </row>
    <row r="687" spans="1:27">
      <c r="A687" s="376">
        <v>420</v>
      </c>
      <c r="B687" s="377">
        <v>746100</v>
      </c>
      <c r="C687" s="382" t="s">
        <v>6939</v>
      </c>
      <c r="D687" s="379">
        <v>400</v>
      </c>
      <c r="E687" s="380">
        <v>350</v>
      </c>
      <c r="F687" s="380">
        <v>650</v>
      </c>
      <c r="H687" s="351">
        <f t="shared" si="55"/>
        <v>400000</v>
      </c>
      <c r="I687" s="351">
        <f t="shared" si="56"/>
        <v>650000</v>
      </c>
      <c r="M687" s="321">
        <v>1615000181</v>
      </c>
      <c r="N687" s="321">
        <v>61</v>
      </c>
      <c r="O687" s="321" t="s">
        <v>2580</v>
      </c>
      <c r="P687" s="321">
        <v>1615000</v>
      </c>
      <c r="Q687" s="322">
        <v>292000</v>
      </c>
      <c r="R687" s="322">
        <v>236100</v>
      </c>
      <c r="S687" s="322">
        <v>344000</v>
      </c>
      <c r="T687" s="322">
        <v>344000</v>
      </c>
      <c r="U687" s="322">
        <f t="shared" si="52"/>
        <v>0</v>
      </c>
      <c r="W687" s="321">
        <f t="shared" si="53"/>
        <v>181</v>
      </c>
      <c r="X687" s="321">
        <f t="shared" si="54"/>
        <v>615000</v>
      </c>
      <c r="Y687" s="321">
        <v>1</v>
      </c>
      <c r="AA687" s="321" t="s">
        <v>2580</v>
      </c>
    </row>
    <row r="688" spans="1:27">
      <c r="A688" s="376">
        <v>430</v>
      </c>
      <c r="B688" s="377">
        <v>746100</v>
      </c>
      <c r="C688" s="382" t="s">
        <v>6798</v>
      </c>
      <c r="D688" s="379">
        <v>225</v>
      </c>
      <c r="E688" s="380">
        <v>189</v>
      </c>
      <c r="F688" s="380">
        <v>189</v>
      </c>
      <c r="H688" s="351">
        <f t="shared" si="55"/>
        <v>225000</v>
      </c>
      <c r="I688" s="351">
        <f t="shared" si="56"/>
        <v>189000</v>
      </c>
      <c r="M688" s="321">
        <v>1615000182</v>
      </c>
      <c r="N688" s="321">
        <v>61</v>
      </c>
      <c r="O688" s="321" t="s">
        <v>2582</v>
      </c>
      <c r="P688" s="321">
        <v>1615000</v>
      </c>
      <c r="Q688" s="322">
        <v>334000</v>
      </c>
      <c r="R688" s="322">
        <v>256600</v>
      </c>
      <c r="S688" s="322">
        <v>365000</v>
      </c>
      <c r="T688" s="322">
        <v>365000</v>
      </c>
      <c r="U688" s="322">
        <f t="shared" si="52"/>
        <v>0</v>
      </c>
      <c r="W688" s="321">
        <f t="shared" si="53"/>
        <v>182</v>
      </c>
      <c r="X688" s="321">
        <f t="shared" si="54"/>
        <v>615000</v>
      </c>
      <c r="Y688" s="321">
        <v>1</v>
      </c>
      <c r="AA688" s="321" t="s">
        <v>2582</v>
      </c>
    </row>
    <row r="689" spans="1:27">
      <c r="A689" s="376">
        <v>432</v>
      </c>
      <c r="B689" s="377">
        <v>746100</v>
      </c>
      <c r="C689" s="382" t="s">
        <v>5469</v>
      </c>
      <c r="D689" s="379">
        <v>300</v>
      </c>
      <c r="E689" s="380">
        <v>300</v>
      </c>
      <c r="F689" s="380">
        <v>600</v>
      </c>
      <c r="H689" s="351">
        <f t="shared" si="55"/>
        <v>300000</v>
      </c>
      <c r="I689" s="351">
        <f t="shared" si="56"/>
        <v>600000</v>
      </c>
      <c r="M689" s="321">
        <v>1615000210</v>
      </c>
      <c r="N689" s="321">
        <v>61</v>
      </c>
      <c r="O689" s="321" t="s">
        <v>5308</v>
      </c>
      <c r="P689" s="321">
        <v>1615000</v>
      </c>
      <c r="Q689" s="322">
        <v>300000</v>
      </c>
      <c r="R689" s="322">
        <v>221900</v>
      </c>
      <c r="S689" s="322">
        <v>200000</v>
      </c>
      <c r="T689" s="322">
        <v>200000</v>
      </c>
      <c r="U689" s="322">
        <f t="shared" si="52"/>
        <v>0</v>
      </c>
      <c r="W689" s="321">
        <f t="shared" si="53"/>
        <v>210</v>
      </c>
      <c r="X689" s="321">
        <f t="shared" si="54"/>
        <v>615000</v>
      </c>
      <c r="Y689" s="321">
        <v>1</v>
      </c>
      <c r="AA689" s="321" t="s">
        <v>5308</v>
      </c>
    </row>
    <row r="690" spans="1:27">
      <c r="A690" s="376">
        <v>470</v>
      </c>
      <c r="B690" s="377">
        <v>746100</v>
      </c>
      <c r="C690" s="382" t="s">
        <v>6769</v>
      </c>
      <c r="D690" s="379">
        <v>7</v>
      </c>
      <c r="E690" s="380">
        <v>10</v>
      </c>
      <c r="F690" s="380">
        <v>10</v>
      </c>
      <c r="H690" s="351">
        <f t="shared" si="55"/>
        <v>7000</v>
      </c>
      <c r="I690" s="351">
        <f t="shared" si="56"/>
        <v>10000</v>
      </c>
      <c r="M690" s="321">
        <v>1615000470</v>
      </c>
      <c r="N690" s="321">
        <v>61</v>
      </c>
      <c r="O690" s="321" t="s">
        <v>2830</v>
      </c>
      <c r="P690" s="321">
        <v>1615000</v>
      </c>
      <c r="Q690" s="322">
        <v>13000</v>
      </c>
      <c r="R690" s="322">
        <v>9700</v>
      </c>
      <c r="S690" s="322">
        <v>13000</v>
      </c>
      <c r="T690" s="322">
        <v>13000</v>
      </c>
      <c r="U690" s="322">
        <f t="shared" si="52"/>
        <v>0</v>
      </c>
      <c r="W690" s="321">
        <f t="shared" si="53"/>
        <v>470</v>
      </c>
      <c r="X690" s="321">
        <f t="shared" si="54"/>
        <v>615000</v>
      </c>
      <c r="Y690" s="321">
        <v>1</v>
      </c>
      <c r="AA690" s="321" t="s">
        <v>2830</v>
      </c>
    </row>
    <row r="691" spans="1:27">
      <c r="A691" s="376">
        <v>540</v>
      </c>
      <c r="B691" s="377">
        <v>746100</v>
      </c>
      <c r="C691" s="382" t="s">
        <v>6940</v>
      </c>
      <c r="D691" s="379">
        <v>20</v>
      </c>
      <c r="E691" s="380">
        <v>20</v>
      </c>
      <c r="F691" s="380">
        <v>16</v>
      </c>
      <c r="H691" s="351">
        <f t="shared" si="55"/>
        <v>20000</v>
      </c>
      <c r="I691" s="351">
        <f t="shared" si="56"/>
        <v>16000</v>
      </c>
      <c r="M691" s="321">
        <v>1615000471</v>
      </c>
      <c r="N691" s="321">
        <v>61</v>
      </c>
      <c r="O691" s="321" t="s">
        <v>5212</v>
      </c>
      <c r="P691" s="321">
        <v>1615000</v>
      </c>
      <c r="Q691" s="322">
        <v>4700</v>
      </c>
      <c r="R691" s="322">
        <v>4700</v>
      </c>
      <c r="S691" s="322">
        <v>5000</v>
      </c>
      <c r="T691" s="322">
        <v>5000</v>
      </c>
      <c r="U691" s="322">
        <f t="shared" si="52"/>
        <v>0</v>
      </c>
      <c r="W691" s="321">
        <f t="shared" si="53"/>
        <v>471</v>
      </c>
      <c r="X691" s="321">
        <f t="shared" si="54"/>
        <v>615000</v>
      </c>
      <c r="Y691" s="321">
        <v>1</v>
      </c>
      <c r="AA691" s="321" t="s">
        <v>5212</v>
      </c>
    </row>
    <row r="692" spans="1:27">
      <c r="A692" s="376">
        <v>550</v>
      </c>
      <c r="B692" s="377">
        <v>746100</v>
      </c>
      <c r="C692" s="382" t="s">
        <v>6737</v>
      </c>
      <c r="D692" s="379">
        <v>10</v>
      </c>
      <c r="E692" s="380">
        <v>10</v>
      </c>
      <c r="F692" s="380">
        <v>10</v>
      </c>
      <c r="H692" s="351">
        <f t="shared" si="55"/>
        <v>10000</v>
      </c>
      <c r="I692" s="351">
        <f t="shared" si="56"/>
        <v>10000</v>
      </c>
      <c r="M692" s="321">
        <v>1615000510</v>
      </c>
      <c r="N692" s="321">
        <v>61</v>
      </c>
      <c r="O692" s="321" t="s">
        <v>5309</v>
      </c>
      <c r="P692" s="321">
        <v>1615000</v>
      </c>
      <c r="Q692" s="322">
        <v>3000</v>
      </c>
      <c r="R692" s="322">
        <v>2200</v>
      </c>
      <c r="S692" s="322">
        <v>3000</v>
      </c>
      <c r="T692" s="322">
        <v>3000</v>
      </c>
      <c r="U692" s="322">
        <f t="shared" si="52"/>
        <v>0</v>
      </c>
      <c r="W692" s="321">
        <f t="shared" si="53"/>
        <v>510</v>
      </c>
      <c r="X692" s="321">
        <f t="shared" si="54"/>
        <v>615000</v>
      </c>
      <c r="Y692" s="321">
        <v>1</v>
      </c>
      <c r="AA692" s="321" t="s">
        <v>5309</v>
      </c>
    </row>
    <row r="693" spans="1:27">
      <c r="A693" s="376">
        <v>720</v>
      </c>
      <c r="B693" s="377">
        <v>746100</v>
      </c>
      <c r="C693" s="382" t="s">
        <v>6941</v>
      </c>
      <c r="D693" s="379">
        <v>210</v>
      </c>
      <c r="E693" s="380">
        <v>206</v>
      </c>
      <c r="F693" s="380">
        <v>206</v>
      </c>
      <c r="H693" s="351">
        <f t="shared" si="55"/>
        <v>210000</v>
      </c>
      <c r="I693" s="351">
        <f t="shared" si="56"/>
        <v>206000</v>
      </c>
      <c r="M693" s="321">
        <v>1615000514</v>
      </c>
      <c r="N693" s="321">
        <v>61</v>
      </c>
      <c r="O693" s="321" t="s">
        <v>5310</v>
      </c>
      <c r="P693" s="321">
        <v>1615000</v>
      </c>
      <c r="Q693" s="322">
        <v>2300000</v>
      </c>
      <c r="R693" s="322">
        <v>1817300</v>
      </c>
      <c r="S693" s="322">
        <v>3000000</v>
      </c>
      <c r="T693" s="322">
        <v>2700000</v>
      </c>
      <c r="U693" s="322">
        <f t="shared" si="52"/>
        <v>300000</v>
      </c>
      <c r="W693" s="321">
        <f t="shared" si="53"/>
        <v>514</v>
      </c>
      <c r="X693" s="321">
        <f t="shared" si="54"/>
        <v>615000</v>
      </c>
      <c r="Y693" s="321">
        <v>1</v>
      </c>
      <c r="AA693" s="321" t="s">
        <v>5310</v>
      </c>
    </row>
    <row r="694" spans="1:27">
      <c r="A694" s="376">
        <v>730</v>
      </c>
      <c r="B694" s="377">
        <v>746100</v>
      </c>
      <c r="C694" s="381" t="s">
        <v>6866</v>
      </c>
      <c r="D694" s="379">
        <v>153</v>
      </c>
      <c r="E694" s="380">
        <v>152</v>
      </c>
      <c r="F694" s="380">
        <v>150</v>
      </c>
      <c r="H694" s="351">
        <f t="shared" si="55"/>
        <v>153000</v>
      </c>
      <c r="I694" s="351">
        <f t="shared" si="56"/>
        <v>150000</v>
      </c>
      <c r="M694" s="321">
        <v>1615000520</v>
      </c>
      <c r="N694" s="321">
        <v>61</v>
      </c>
      <c r="O694" s="321" t="s">
        <v>5311</v>
      </c>
      <c r="P694" s="321">
        <v>1615000</v>
      </c>
      <c r="Q694" s="322">
        <v>300000</v>
      </c>
      <c r="R694" s="322">
        <v>242200</v>
      </c>
      <c r="S694" s="322">
        <v>350000</v>
      </c>
      <c r="T694" s="322">
        <v>350000</v>
      </c>
      <c r="U694" s="322">
        <f t="shared" si="52"/>
        <v>0</v>
      </c>
      <c r="W694" s="321">
        <f t="shared" si="53"/>
        <v>520</v>
      </c>
      <c r="X694" s="321">
        <f t="shared" si="54"/>
        <v>615000</v>
      </c>
      <c r="Y694" s="321">
        <v>1</v>
      </c>
      <c r="AA694" s="321" t="s">
        <v>5311</v>
      </c>
    </row>
    <row r="695" spans="1:27">
      <c r="A695" s="376">
        <v>740</v>
      </c>
      <c r="B695" s="377">
        <v>746100</v>
      </c>
      <c r="C695" s="381" t="s">
        <v>6859</v>
      </c>
      <c r="D695" s="379">
        <v>30</v>
      </c>
      <c r="E695" s="380">
        <v>50</v>
      </c>
      <c r="F695" s="380">
        <v>50</v>
      </c>
      <c r="H695" s="351">
        <f t="shared" si="55"/>
        <v>30000</v>
      </c>
      <c r="I695" s="351">
        <f t="shared" si="56"/>
        <v>50000</v>
      </c>
      <c r="M695" s="321">
        <v>1615000521</v>
      </c>
      <c r="N695" s="321">
        <v>61</v>
      </c>
      <c r="O695" s="321" t="s">
        <v>5312</v>
      </c>
      <c r="P695" s="321">
        <v>1615000</v>
      </c>
      <c r="Q695" s="322">
        <v>0</v>
      </c>
      <c r="R695" s="322">
        <v>-1000</v>
      </c>
      <c r="S695" s="322">
        <v>0</v>
      </c>
      <c r="T695" s="322">
        <v>0</v>
      </c>
      <c r="U695" s="322">
        <f t="shared" si="52"/>
        <v>0</v>
      </c>
      <c r="W695" s="321">
        <f t="shared" si="53"/>
        <v>521</v>
      </c>
      <c r="X695" s="321">
        <f t="shared" si="54"/>
        <v>615000</v>
      </c>
      <c r="Y695" s="321">
        <v>1</v>
      </c>
      <c r="AA695" s="321" t="s">
        <v>5312</v>
      </c>
    </row>
    <row r="696" spans="1:27">
      <c r="A696" s="376">
        <v>750</v>
      </c>
      <c r="B696" s="377">
        <v>746100</v>
      </c>
      <c r="C696" s="382" t="s">
        <v>6942</v>
      </c>
      <c r="D696" s="379">
        <v>2000</v>
      </c>
      <c r="E696" s="380">
        <v>2000</v>
      </c>
      <c r="F696" s="380">
        <v>2200</v>
      </c>
      <c r="H696" s="351">
        <f t="shared" si="55"/>
        <v>2000000</v>
      </c>
      <c r="I696" s="351">
        <f t="shared" si="56"/>
        <v>2200000</v>
      </c>
      <c r="M696" s="321">
        <v>1615000522</v>
      </c>
      <c r="N696" s="321">
        <v>61</v>
      </c>
      <c r="O696" s="321" t="s">
        <v>5214</v>
      </c>
      <c r="P696" s="321">
        <v>1615000</v>
      </c>
      <c r="Q696" s="322">
        <v>3000</v>
      </c>
      <c r="R696" s="322">
        <v>1900</v>
      </c>
      <c r="S696" s="322">
        <v>3000</v>
      </c>
      <c r="T696" s="322">
        <v>3000</v>
      </c>
      <c r="U696" s="322">
        <f t="shared" si="52"/>
        <v>0</v>
      </c>
      <c r="W696" s="321">
        <f t="shared" si="53"/>
        <v>522</v>
      </c>
      <c r="X696" s="321">
        <f t="shared" si="54"/>
        <v>615000</v>
      </c>
      <c r="Y696" s="321">
        <v>1</v>
      </c>
      <c r="AA696" s="321" t="s">
        <v>5214</v>
      </c>
    </row>
    <row r="697" spans="1:27">
      <c r="A697" s="376">
        <v>751</v>
      </c>
      <c r="B697" s="377">
        <v>746100</v>
      </c>
      <c r="C697" s="382" t="s">
        <v>6943</v>
      </c>
      <c r="D697" s="379">
        <v>600</v>
      </c>
      <c r="E697" s="380">
        <v>625</v>
      </c>
      <c r="F697" s="380">
        <v>625</v>
      </c>
      <c r="H697" s="351">
        <f t="shared" si="55"/>
        <v>600000</v>
      </c>
      <c r="I697" s="351">
        <f t="shared" si="56"/>
        <v>625000</v>
      </c>
      <c r="M697" s="321">
        <v>1615000523</v>
      </c>
      <c r="N697" s="321">
        <v>61</v>
      </c>
      <c r="O697" s="321" t="s">
        <v>2615</v>
      </c>
      <c r="P697" s="321">
        <v>1615000</v>
      </c>
      <c r="Q697" s="322">
        <v>1350000</v>
      </c>
      <c r="R697" s="322">
        <v>1330100</v>
      </c>
      <c r="S697" s="322">
        <v>1350000</v>
      </c>
      <c r="T697" s="322">
        <v>1350000</v>
      </c>
      <c r="U697" s="322">
        <f t="shared" si="52"/>
        <v>0</v>
      </c>
      <c r="W697" s="321">
        <f t="shared" si="53"/>
        <v>523</v>
      </c>
      <c r="X697" s="321">
        <f t="shared" si="54"/>
        <v>615000</v>
      </c>
      <c r="Y697" s="321">
        <v>1</v>
      </c>
      <c r="AA697" s="321" t="s">
        <v>2615</v>
      </c>
    </row>
    <row r="698" spans="1:27">
      <c r="A698" s="376">
        <v>752</v>
      </c>
      <c r="B698" s="377">
        <v>746100</v>
      </c>
      <c r="C698" s="382" t="s">
        <v>6944</v>
      </c>
      <c r="D698" s="379">
        <v>150</v>
      </c>
      <c r="E698" s="380">
        <v>150</v>
      </c>
      <c r="F698" s="380">
        <v>200</v>
      </c>
      <c r="H698" s="351">
        <f t="shared" si="55"/>
        <v>150000</v>
      </c>
      <c r="I698" s="351">
        <f t="shared" si="56"/>
        <v>200000</v>
      </c>
      <c r="M698" s="321">
        <v>1615000530</v>
      </c>
      <c r="N698" s="321">
        <v>61</v>
      </c>
      <c r="O698" s="321" t="s">
        <v>5313</v>
      </c>
      <c r="P698" s="321">
        <v>1615000</v>
      </c>
      <c r="Q698" s="322">
        <v>35000</v>
      </c>
      <c r="R698" s="322">
        <v>21400</v>
      </c>
      <c r="S698" s="322">
        <v>35000</v>
      </c>
      <c r="T698" s="322">
        <v>35000</v>
      </c>
      <c r="U698" s="322">
        <f t="shared" si="52"/>
        <v>0</v>
      </c>
      <c r="W698" s="321">
        <f t="shared" si="53"/>
        <v>530</v>
      </c>
      <c r="X698" s="321">
        <f t="shared" si="54"/>
        <v>615000</v>
      </c>
      <c r="Y698" s="321">
        <v>1</v>
      </c>
      <c r="AA698" s="321" t="s">
        <v>5313</v>
      </c>
    </row>
    <row r="699" spans="1:27">
      <c r="A699" s="376">
        <v>753</v>
      </c>
      <c r="B699" s="377">
        <v>746100</v>
      </c>
      <c r="C699" s="382" t="s">
        <v>6945</v>
      </c>
      <c r="D699" s="379">
        <v>210</v>
      </c>
      <c r="E699" s="380">
        <v>215</v>
      </c>
      <c r="F699" s="380">
        <v>215</v>
      </c>
      <c r="H699" s="351">
        <f t="shared" si="55"/>
        <v>210000</v>
      </c>
      <c r="I699" s="351">
        <f t="shared" si="56"/>
        <v>215000</v>
      </c>
      <c r="M699" s="321">
        <v>1615000531</v>
      </c>
      <c r="N699" s="321">
        <v>61</v>
      </c>
      <c r="O699" s="321" t="s">
        <v>5314</v>
      </c>
      <c r="P699" s="321">
        <v>1615000</v>
      </c>
      <c r="Q699" s="322">
        <v>35000</v>
      </c>
      <c r="R699" s="322">
        <v>17100</v>
      </c>
      <c r="S699" s="322">
        <v>35000</v>
      </c>
      <c r="T699" s="322">
        <v>35000</v>
      </c>
      <c r="U699" s="322">
        <f t="shared" si="52"/>
        <v>0</v>
      </c>
      <c r="W699" s="321">
        <f t="shared" si="53"/>
        <v>531</v>
      </c>
      <c r="X699" s="321">
        <f t="shared" si="54"/>
        <v>615000</v>
      </c>
      <c r="Y699" s="321">
        <v>1</v>
      </c>
      <c r="AA699" s="321" t="s">
        <v>5314</v>
      </c>
    </row>
    <row r="700" spans="1:27">
      <c r="A700" s="376">
        <v>755</v>
      </c>
      <c r="B700" s="377">
        <v>746100</v>
      </c>
      <c r="C700" s="382" t="s">
        <v>6777</v>
      </c>
      <c r="D700" s="379">
        <v>0</v>
      </c>
      <c r="E700" s="380">
        <v>56</v>
      </c>
      <c r="F700" s="380">
        <v>90</v>
      </c>
      <c r="H700" s="351">
        <f t="shared" si="55"/>
        <v>0</v>
      </c>
      <c r="I700" s="351">
        <f t="shared" si="56"/>
        <v>90000</v>
      </c>
      <c r="M700" s="321">
        <v>1615000540</v>
      </c>
      <c r="N700" s="321">
        <v>61</v>
      </c>
      <c r="O700" s="321" t="s">
        <v>5216</v>
      </c>
      <c r="P700" s="321">
        <v>1615000</v>
      </c>
      <c r="Q700" s="322">
        <v>9000</v>
      </c>
      <c r="R700" s="322">
        <v>5200</v>
      </c>
      <c r="S700" s="322">
        <v>8000</v>
      </c>
      <c r="T700" s="322">
        <v>8000</v>
      </c>
      <c r="U700" s="322">
        <f t="shared" si="52"/>
        <v>0</v>
      </c>
      <c r="W700" s="321">
        <f t="shared" si="53"/>
        <v>540</v>
      </c>
      <c r="X700" s="321">
        <f t="shared" si="54"/>
        <v>615000</v>
      </c>
      <c r="Y700" s="321">
        <v>1</v>
      </c>
      <c r="AA700" s="321" t="s">
        <v>5216</v>
      </c>
    </row>
    <row r="701" spans="1:27">
      <c r="A701" s="376">
        <v>757</v>
      </c>
      <c r="B701" s="377">
        <v>746100</v>
      </c>
      <c r="C701" s="382" t="s">
        <v>6946</v>
      </c>
      <c r="D701" s="379">
        <v>50</v>
      </c>
      <c r="E701" s="380">
        <v>50</v>
      </c>
      <c r="F701" s="380">
        <v>100</v>
      </c>
      <c r="H701" s="351">
        <f t="shared" si="55"/>
        <v>50000</v>
      </c>
      <c r="I701" s="351">
        <f t="shared" si="56"/>
        <v>100000</v>
      </c>
      <c r="M701" s="321">
        <v>1615000542</v>
      </c>
      <c r="N701" s="321">
        <v>61</v>
      </c>
      <c r="O701" s="321" t="s">
        <v>5217</v>
      </c>
      <c r="P701" s="321">
        <v>1615000</v>
      </c>
      <c r="Q701" s="322">
        <v>5000</v>
      </c>
      <c r="R701" s="322">
        <v>3300</v>
      </c>
      <c r="S701" s="322">
        <v>6000</v>
      </c>
      <c r="T701" s="322">
        <v>6000</v>
      </c>
      <c r="U701" s="322">
        <f t="shared" si="52"/>
        <v>0</v>
      </c>
      <c r="W701" s="321">
        <f t="shared" si="53"/>
        <v>542</v>
      </c>
      <c r="X701" s="321">
        <f t="shared" si="54"/>
        <v>615000</v>
      </c>
      <c r="Y701" s="321">
        <v>1</v>
      </c>
      <c r="AA701" s="321" t="s">
        <v>5217</v>
      </c>
    </row>
    <row r="702" spans="1:27">
      <c r="A702" s="376">
        <v>780</v>
      </c>
      <c r="B702" s="377">
        <v>746100</v>
      </c>
      <c r="C702" s="382" t="s">
        <v>146</v>
      </c>
      <c r="D702" s="379">
        <v>500</v>
      </c>
      <c r="E702" s="380">
        <v>550</v>
      </c>
      <c r="F702" s="380">
        <v>550</v>
      </c>
      <c r="H702" s="351">
        <f t="shared" si="55"/>
        <v>500000</v>
      </c>
      <c r="I702" s="351">
        <f t="shared" si="56"/>
        <v>550000</v>
      </c>
      <c r="M702" s="321">
        <v>1615000560</v>
      </c>
      <c r="N702" s="321">
        <v>61</v>
      </c>
      <c r="O702" s="321" t="s">
        <v>2919</v>
      </c>
      <c r="P702" s="321">
        <v>1615000</v>
      </c>
      <c r="Q702" s="322">
        <v>7000</v>
      </c>
      <c r="R702" s="322">
        <v>0</v>
      </c>
      <c r="S702" s="322">
        <v>7000</v>
      </c>
      <c r="T702" s="322">
        <v>7000</v>
      </c>
      <c r="U702" s="322">
        <f t="shared" si="52"/>
        <v>0</v>
      </c>
      <c r="W702" s="321">
        <f t="shared" si="53"/>
        <v>560</v>
      </c>
      <c r="X702" s="321">
        <f t="shared" si="54"/>
        <v>615000</v>
      </c>
      <c r="Y702" s="321">
        <v>1</v>
      </c>
      <c r="AA702" s="321" t="s">
        <v>2919</v>
      </c>
    </row>
    <row r="703" spans="1:27">
      <c r="A703" s="376">
        <v>781</v>
      </c>
      <c r="B703" s="377">
        <v>746100</v>
      </c>
      <c r="C703" s="382" t="s">
        <v>6947</v>
      </c>
      <c r="D703" s="379">
        <v>60</v>
      </c>
      <c r="E703" s="380">
        <v>75</v>
      </c>
      <c r="F703" s="380">
        <v>75</v>
      </c>
      <c r="H703" s="351">
        <f t="shared" si="55"/>
        <v>60000</v>
      </c>
      <c r="I703" s="351">
        <f t="shared" si="56"/>
        <v>75000</v>
      </c>
      <c r="M703" s="321">
        <v>1615000571</v>
      </c>
      <c r="N703" s="321">
        <v>61</v>
      </c>
      <c r="O703" s="321" t="s">
        <v>5255</v>
      </c>
      <c r="P703" s="321">
        <v>1615000</v>
      </c>
      <c r="Q703" s="322">
        <v>45000</v>
      </c>
      <c r="R703" s="322">
        <v>41500</v>
      </c>
      <c r="S703" s="322">
        <v>45000</v>
      </c>
      <c r="T703" s="322">
        <v>45000</v>
      </c>
      <c r="U703" s="322">
        <f t="shared" si="52"/>
        <v>0</v>
      </c>
      <c r="W703" s="321">
        <f t="shared" si="53"/>
        <v>571</v>
      </c>
      <c r="X703" s="321">
        <f t="shared" si="54"/>
        <v>615000</v>
      </c>
      <c r="Y703" s="321">
        <v>1</v>
      </c>
      <c r="AA703" s="321" t="s">
        <v>5255</v>
      </c>
    </row>
    <row r="704" spans="1:27">
      <c r="A704" s="376">
        <v>782</v>
      </c>
      <c r="B704" s="377">
        <v>746100</v>
      </c>
      <c r="C704" s="382" t="s">
        <v>6948</v>
      </c>
      <c r="D704" s="379">
        <v>50</v>
      </c>
      <c r="E704" s="380">
        <v>0</v>
      </c>
      <c r="F704" s="380">
        <v>0</v>
      </c>
      <c r="H704" s="351">
        <f t="shared" si="55"/>
        <v>50000</v>
      </c>
      <c r="I704" s="351">
        <f t="shared" si="56"/>
        <v>0</v>
      </c>
      <c r="M704" s="321">
        <v>1615000572</v>
      </c>
      <c r="N704" s="321">
        <v>61</v>
      </c>
      <c r="O704" s="321" t="s">
        <v>5253</v>
      </c>
      <c r="P704" s="321">
        <v>1615000</v>
      </c>
      <c r="Q704" s="322">
        <v>0</v>
      </c>
      <c r="R704" s="322">
        <v>0</v>
      </c>
      <c r="S704" s="322">
        <v>10000</v>
      </c>
      <c r="T704" s="322">
        <v>10000</v>
      </c>
      <c r="U704" s="322">
        <f t="shared" si="52"/>
        <v>0</v>
      </c>
      <c r="W704" s="321">
        <f t="shared" si="53"/>
        <v>572</v>
      </c>
      <c r="X704" s="321">
        <f t="shared" si="54"/>
        <v>615000</v>
      </c>
      <c r="Y704" s="321">
        <v>1</v>
      </c>
      <c r="AA704" s="321" t="s">
        <v>5253</v>
      </c>
    </row>
    <row r="705" spans="1:27">
      <c r="A705" s="376">
        <v>101</v>
      </c>
      <c r="B705" s="377">
        <v>747200</v>
      </c>
      <c r="C705" s="382" t="s">
        <v>6949</v>
      </c>
      <c r="D705" s="379">
        <v>1144</v>
      </c>
      <c r="E705" s="380">
        <v>1100</v>
      </c>
      <c r="F705" s="380">
        <v>1150</v>
      </c>
      <c r="H705" s="351">
        <f t="shared" si="55"/>
        <v>1144000</v>
      </c>
      <c r="I705" s="351">
        <f t="shared" si="56"/>
        <v>1150000</v>
      </c>
      <c r="M705" s="321">
        <v>1615000574</v>
      </c>
      <c r="N705" s="321">
        <v>61</v>
      </c>
      <c r="O705" s="321" t="s">
        <v>5315</v>
      </c>
      <c r="P705" s="321">
        <v>1615000</v>
      </c>
      <c r="Q705" s="322">
        <v>0</v>
      </c>
      <c r="R705" s="322">
        <v>0</v>
      </c>
      <c r="S705" s="322">
        <v>0</v>
      </c>
      <c r="T705" s="322">
        <v>0</v>
      </c>
      <c r="U705" s="322">
        <f t="shared" si="52"/>
        <v>0</v>
      </c>
      <c r="W705" s="321">
        <f t="shared" si="53"/>
        <v>574</v>
      </c>
      <c r="X705" s="321">
        <f t="shared" si="54"/>
        <v>615000</v>
      </c>
      <c r="Y705" s="321">
        <v>1</v>
      </c>
      <c r="AA705" s="321" t="s">
        <v>5315</v>
      </c>
    </row>
    <row r="706" spans="1:27">
      <c r="A706" s="376">
        <v>102</v>
      </c>
      <c r="B706" s="377">
        <v>747200</v>
      </c>
      <c r="C706" s="382" t="s">
        <v>6950</v>
      </c>
      <c r="D706" s="379">
        <v>8706</v>
      </c>
      <c r="E706" s="380">
        <v>8500</v>
      </c>
      <c r="F706" s="380">
        <v>8500</v>
      </c>
      <c r="H706" s="351">
        <f t="shared" si="55"/>
        <v>8706000</v>
      </c>
      <c r="I706" s="351">
        <f t="shared" si="56"/>
        <v>8500000</v>
      </c>
      <c r="M706" s="321">
        <v>1615000575</v>
      </c>
      <c r="N706" s="321">
        <v>61</v>
      </c>
      <c r="O706" s="321" t="s">
        <v>5316</v>
      </c>
      <c r="P706" s="321">
        <v>1615000</v>
      </c>
      <c r="Q706" s="322">
        <v>0</v>
      </c>
      <c r="R706" s="322">
        <v>0</v>
      </c>
      <c r="S706" s="322">
        <v>0</v>
      </c>
      <c r="T706" s="322">
        <v>0</v>
      </c>
      <c r="U706" s="322">
        <f t="shared" ref="U706:U769" si="57">S706-T706</f>
        <v>0</v>
      </c>
      <c r="W706" s="321">
        <f t="shared" si="53"/>
        <v>575</v>
      </c>
      <c r="X706" s="321">
        <f t="shared" si="54"/>
        <v>615000</v>
      </c>
      <c r="Y706" s="321">
        <v>1</v>
      </c>
      <c r="AA706" s="321" t="s">
        <v>5316</v>
      </c>
    </row>
    <row r="707" spans="1:27">
      <c r="A707" s="376">
        <v>127</v>
      </c>
      <c r="B707" s="377">
        <v>747200</v>
      </c>
      <c r="C707" s="382" t="s">
        <v>6951</v>
      </c>
      <c r="D707" s="379">
        <v>269</v>
      </c>
      <c r="E707" s="380">
        <v>260</v>
      </c>
      <c r="F707" s="380">
        <v>260</v>
      </c>
      <c r="H707" s="351">
        <f t="shared" si="55"/>
        <v>269000</v>
      </c>
      <c r="I707" s="351">
        <f t="shared" si="56"/>
        <v>260000</v>
      </c>
      <c r="M707" s="321">
        <v>1615000577</v>
      </c>
      <c r="N707" s="321">
        <v>61</v>
      </c>
      <c r="O707" s="321" t="s">
        <v>5260</v>
      </c>
      <c r="P707" s="321">
        <v>1615000</v>
      </c>
      <c r="Q707" s="322">
        <v>0</v>
      </c>
      <c r="R707" s="322">
        <v>0</v>
      </c>
      <c r="S707" s="322">
        <v>0</v>
      </c>
      <c r="T707" s="322">
        <v>0</v>
      </c>
      <c r="U707" s="322">
        <f t="shared" si="57"/>
        <v>0</v>
      </c>
      <c r="W707" s="321">
        <f t="shared" ref="W707:W770" si="58">M707-1000000000-X707*1000</f>
        <v>577</v>
      </c>
      <c r="X707" s="321">
        <f t="shared" ref="X707:X770" si="59">ROUNDDOWN((M707-1000000000)/1000,0)</f>
        <v>615000</v>
      </c>
      <c r="Y707" s="321">
        <v>1</v>
      </c>
      <c r="AA707" s="321" t="s">
        <v>5260</v>
      </c>
    </row>
    <row r="708" spans="1:27">
      <c r="A708" s="376">
        <v>420</v>
      </c>
      <c r="B708" s="377">
        <v>747200</v>
      </c>
      <c r="C708" s="387" t="s">
        <v>6952</v>
      </c>
      <c r="D708" s="379">
        <v>235</v>
      </c>
      <c r="E708" s="380">
        <v>220</v>
      </c>
      <c r="F708" s="380">
        <v>220</v>
      </c>
      <c r="H708" s="351">
        <f t="shared" si="55"/>
        <v>235000</v>
      </c>
      <c r="I708" s="351">
        <f t="shared" si="56"/>
        <v>220000</v>
      </c>
      <c r="M708" s="321">
        <v>1615000580</v>
      </c>
      <c r="N708" s="321">
        <v>61</v>
      </c>
      <c r="O708" s="321" t="s">
        <v>5317</v>
      </c>
      <c r="P708" s="321">
        <v>1615000</v>
      </c>
      <c r="Q708" s="322">
        <v>500000</v>
      </c>
      <c r="R708" s="322">
        <v>14900</v>
      </c>
      <c r="S708" s="322">
        <v>1500000</v>
      </c>
      <c r="T708" s="322">
        <v>1000000</v>
      </c>
      <c r="U708" s="322">
        <f t="shared" si="57"/>
        <v>500000</v>
      </c>
      <c r="W708" s="321">
        <f t="shared" si="58"/>
        <v>580</v>
      </c>
      <c r="X708" s="321">
        <f t="shared" si="59"/>
        <v>615000</v>
      </c>
      <c r="Y708" s="321">
        <v>1</v>
      </c>
      <c r="AA708" s="321" t="s">
        <v>5317</v>
      </c>
    </row>
    <row r="709" spans="1:27">
      <c r="A709" s="376">
        <v>430</v>
      </c>
      <c r="B709" s="377">
        <v>747200</v>
      </c>
      <c r="C709" s="382" t="s">
        <v>6798</v>
      </c>
      <c r="D709" s="379">
        <v>9</v>
      </c>
      <c r="E709" s="380">
        <v>6</v>
      </c>
      <c r="F709" s="380">
        <v>9</v>
      </c>
      <c r="H709" s="351">
        <f t="shared" si="55"/>
        <v>9000</v>
      </c>
      <c r="I709" s="351">
        <f t="shared" si="56"/>
        <v>9000</v>
      </c>
      <c r="M709" s="321">
        <v>1615000581</v>
      </c>
      <c r="N709" s="321">
        <v>61</v>
      </c>
      <c r="O709" s="321" t="s">
        <v>5318</v>
      </c>
      <c r="P709" s="321">
        <v>1615000</v>
      </c>
      <c r="Q709" s="322">
        <v>32000</v>
      </c>
      <c r="R709" s="322">
        <v>-600</v>
      </c>
      <c r="S709" s="322">
        <v>32000</v>
      </c>
      <c r="T709" s="322">
        <v>32000</v>
      </c>
      <c r="U709" s="322">
        <f t="shared" si="57"/>
        <v>0</v>
      </c>
      <c r="W709" s="321">
        <f t="shared" si="58"/>
        <v>581</v>
      </c>
      <c r="X709" s="321">
        <f t="shared" si="59"/>
        <v>615000</v>
      </c>
      <c r="Y709" s="321">
        <v>1</v>
      </c>
      <c r="AA709" s="321" t="s">
        <v>5318</v>
      </c>
    </row>
    <row r="710" spans="1:27">
      <c r="A710" s="376">
        <v>432</v>
      </c>
      <c r="B710" s="377">
        <v>747200</v>
      </c>
      <c r="C710" s="382" t="s">
        <v>6887</v>
      </c>
      <c r="D710" s="379">
        <v>250</v>
      </c>
      <c r="E710" s="380">
        <v>200</v>
      </c>
      <c r="F710" s="380">
        <v>320</v>
      </c>
      <c r="H710" s="351">
        <f t="shared" si="55"/>
        <v>250000</v>
      </c>
      <c r="I710" s="351">
        <f t="shared" si="56"/>
        <v>320000</v>
      </c>
      <c r="M710" s="321">
        <v>1615000582</v>
      </c>
      <c r="N710" s="321">
        <v>61</v>
      </c>
      <c r="O710" s="321" t="s">
        <v>5319</v>
      </c>
      <c r="P710" s="321">
        <v>1615000</v>
      </c>
      <c r="Q710" s="322">
        <v>25000</v>
      </c>
      <c r="R710" s="322">
        <v>4500</v>
      </c>
      <c r="S710" s="322">
        <v>25000</v>
      </c>
      <c r="T710" s="322">
        <v>25000</v>
      </c>
      <c r="U710" s="322">
        <f t="shared" si="57"/>
        <v>0</v>
      </c>
      <c r="W710" s="321">
        <f t="shared" si="58"/>
        <v>582</v>
      </c>
      <c r="X710" s="321">
        <f t="shared" si="59"/>
        <v>615000</v>
      </c>
      <c r="Y710" s="321">
        <v>1</v>
      </c>
      <c r="AA710" s="321" t="s">
        <v>5319</v>
      </c>
    </row>
    <row r="711" spans="1:27">
      <c r="A711" s="376">
        <v>521</v>
      </c>
      <c r="B711" s="377">
        <v>747200</v>
      </c>
      <c r="C711" s="382" t="s">
        <v>6953</v>
      </c>
      <c r="D711" s="379">
        <v>65</v>
      </c>
      <c r="E711" s="380">
        <v>55</v>
      </c>
      <c r="F711" s="380">
        <v>55</v>
      </c>
      <c r="H711" s="351">
        <f t="shared" si="55"/>
        <v>65000</v>
      </c>
      <c r="I711" s="351">
        <f t="shared" si="56"/>
        <v>55000</v>
      </c>
      <c r="M711" s="321">
        <v>1615000583</v>
      </c>
      <c r="N711" s="321">
        <v>61</v>
      </c>
      <c r="O711" s="321" t="s">
        <v>5320</v>
      </c>
      <c r="P711" s="321">
        <v>1615000</v>
      </c>
      <c r="Q711" s="322">
        <v>5000</v>
      </c>
      <c r="R711" s="322">
        <v>0</v>
      </c>
      <c r="S711" s="322">
        <v>5000</v>
      </c>
      <c r="T711" s="322">
        <v>5000</v>
      </c>
      <c r="U711" s="322">
        <f t="shared" si="57"/>
        <v>0</v>
      </c>
      <c r="W711" s="321">
        <f t="shared" si="58"/>
        <v>583</v>
      </c>
      <c r="X711" s="321">
        <f t="shared" si="59"/>
        <v>615000</v>
      </c>
      <c r="Y711" s="321">
        <v>1</v>
      </c>
      <c r="AA711" s="321" t="s">
        <v>5320</v>
      </c>
    </row>
    <row r="712" spans="1:27">
      <c r="A712" s="376">
        <v>540</v>
      </c>
      <c r="B712" s="377">
        <v>747200</v>
      </c>
      <c r="C712" s="382" t="s">
        <v>6752</v>
      </c>
      <c r="D712" s="379">
        <v>10</v>
      </c>
      <c r="E712" s="380">
        <v>9</v>
      </c>
      <c r="F712" s="380">
        <v>7</v>
      </c>
      <c r="H712" s="351">
        <f t="shared" si="55"/>
        <v>10000</v>
      </c>
      <c r="I712" s="351">
        <f t="shared" si="56"/>
        <v>7000</v>
      </c>
      <c r="M712" s="321">
        <v>1615000584</v>
      </c>
      <c r="N712" s="321">
        <v>61</v>
      </c>
      <c r="O712" s="321" t="s">
        <v>5321</v>
      </c>
      <c r="P712" s="321">
        <v>1615000</v>
      </c>
      <c r="Q712" s="322">
        <v>35000</v>
      </c>
      <c r="R712" s="322">
        <v>12900</v>
      </c>
      <c r="S712" s="322">
        <v>35000</v>
      </c>
      <c r="T712" s="322">
        <v>35000</v>
      </c>
      <c r="U712" s="322">
        <f t="shared" si="57"/>
        <v>0</v>
      </c>
      <c r="W712" s="321">
        <f t="shared" si="58"/>
        <v>584</v>
      </c>
      <c r="X712" s="321">
        <f t="shared" si="59"/>
        <v>615000</v>
      </c>
      <c r="Y712" s="321">
        <v>1</v>
      </c>
      <c r="AA712" s="321" t="s">
        <v>5321</v>
      </c>
    </row>
    <row r="713" spans="1:27">
      <c r="A713" s="376">
        <v>550</v>
      </c>
      <c r="B713" s="377">
        <v>747200</v>
      </c>
      <c r="C713" s="382" t="s">
        <v>6737</v>
      </c>
      <c r="D713" s="379">
        <v>8</v>
      </c>
      <c r="E713" s="380">
        <v>8</v>
      </c>
      <c r="F713" s="380">
        <v>8</v>
      </c>
      <c r="H713" s="351">
        <f t="shared" si="55"/>
        <v>8000</v>
      </c>
      <c r="I713" s="351">
        <f t="shared" si="56"/>
        <v>8000</v>
      </c>
      <c r="M713" s="321">
        <v>1615000585</v>
      </c>
      <c r="N713" s="321">
        <v>61</v>
      </c>
      <c r="O713" s="321" t="s">
        <v>5322</v>
      </c>
      <c r="P713" s="321">
        <v>1615000</v>
      </c>
      <c r="Q713" s="322">
        <v>0</v>
      </c>
      <c r="R713" s="322">
        <v>0</v>
      </c>
      <c r="S713" s="322">
        <v>0</v>
      </c>
      <c r="T713" s="322">
        <v>0</v>
      </c>
      <c r="U713" s="322">
        <f t="shared" si="57"/>
        <v>0</v>
      </c>
      <c r="W713" s="321">
        <f t="shared" si="58"/>
        <v>585</v>
      </c>
      <c r="X713" s="321">
        <f t="shared" si="59"/>
        <v>615000</v>
      </c>
      <c r="Y713" s="321">
        <v>1</v>
      </c>
      <c r="AA713" s="321" t="s">
        <v>5322</v>
      </c>
    </row>
    <row r="714" spans="1:27">
      <c r="A714" s="376">
        <v>730</v>
      </c>
      <c r="B714" s="377">
        <v>747200</v>
      </c>
      <c r="C714" s="381" t="s">
        <v>6866</v>
      </c>
      <c r="D714" s="379">
        <v>540</v>
      </c>
      <c r="E714" s="380">
        <v>540</v>
      </c>
      <c r="F714" s="380">
        <v>540</v>
      </c>
      <c r="H714" s="351">
        <f t="shared" si="55"/>
        <v>540000</v>
      </c>
      <c r="I714" s="351">
        <f t="shared" si="56"/>
        <v>540000</v>
      </c>
      <c r="M714" s="321">
        <v>1615000586</v>
      </c>
      <c r="N714" s="321">
        <v>61</v>
      </c>
      <c r="O714" s="321" t="s">
        <v>5317</v>
      </c>
      <c r="P714" s="321">
        <v>1615000</v>
      </c>
      <c r="Q714" s="322">
        <v>350000</v>
      </c>
      <c r="R714" s="322">
        <v>89400</v>
      </c>
      <c r="S714" s="322">
        <v>673000</v>
      </c>
      <c r="T714" s="322">
        <v>473000</v>
      </c>
      <c r="U714" s="322">
        <f t="shared" si="57"/>
        <v>200000</v>
      </c>
      <c r="W714" s="321">
        <f t="shared" si="58"/>
        <v>586</v>
      </c>
      <c r="X714" s="321">
        <f t="shared" si="59"/>
        <v>615000</v>
      </c>
      <c r="Y714" s="321">
        <v>1</v>
      </c>
      <c r="AA714" s="321" t="s">
        <v>5317</v>
      </c>
    </row>
    <row r="715" spans="1:27">
      <c r="A715" s="376">
        <v>740</v>
      </c>
      <c r="B715" s="377">
        <v>747200</v>
      </c>
      <c r="C715" s="382" t="s">
        <v>5638</v>
      </c>
      <c r="D715" s="379">
        <v>150</v>
      </c>
      <c r="E715" s="380">
        <v>165</v>
      </c>
      <c r="F715" s="380">
        <v>165</v>
      </c>
      <c r="H715" s="351">
        <f t="shared" si="55"/>
        <v>150000</v>
      </c>
      <c r="I715" s="351">
        <f t="shared" si="56"/>
        <v>165000</v>
      </c>
      <c r="M715" s="321">
        <v>1615000587</v>
      </c>
      <c r="N715" s="321">
        <v>61</v>
      </c>
      <c r="O715" s="321" t="s">
        <v>5323</v>
      </c>
      <c r="P715" s="321">
        <v>1615000</v>
      </c>
      <c r="Q715" s="322">
        <v>1932000</v>
      </c>
      <c r="R715" s="322">
        <v>1394500</v>
      </c>
      <c r="S715" s="322">
        <v>2100000</v>
      </c>
      <c r="T715" s="322">
        <v>1800000</v>
      </c>
      <c r="U715" s="322">
        <f t="shared" si="57"/>
        <v>300000</v>
      </c>
      <c r="W715" s="321">
        <f t="shared" si="58"/>
        <v>587</v>
      </c>
      <c r="X715" s="321">
        <f t="shared" si="59"/>
        <v>615000</v>
      </c>
      <c r="Y715" s="321">
        <v>1</v>
      </c>
      <c r="AA715" s="321" t="s">
        <v>5323</v>
      </c>
    </row>
    <row r="716" spans="1:27">
      <c r="A716" s="376">
        <v>750</v>
      </c>
      <c r="B716" s="377">
        <v>747200</v>
      </c>
      <c r="C716" s="382" t="s">
        <v>6954</v>
      </c>
      <c r="D716" s="379">
        <v>649</v>
      </c>
      <c r="E716" s="380">
        <v>635</v>
      </c>
      <c r="F716" s="380">
        <v>635</v>
      </c>
      <c r="H716" s="351">
        <f t="shared" si="55"/>
        <v>649000</v>
      </c>
      <c r="I716" s="351">
        <f t="shared" si="56"/>
        <v>635000</v>
      </c>
      <c r="M716" s="321">
        <v>1615000588</v>
      </c>
      <c r="N716" s="321">
        <v>61</v>
      </c>
      <c r="O716" s="321" t="s">
        <v>5324</v>
      </c>
      <c r="P716" s="321">
        <v>1615000</v>
      </c>
      <c r="Q716" s="322">
        <v>83000</v>
      </c>
      <c r="R716" s="322">
        <v>-26700</v>
      </c>
      <c r="S716" s="322">
        <v>100000</v>
      </c>
      <c r="T716" s="322">
        <v>100000</v>
      </c>
      <c r="U716" s="322">
        <f t="shared" si="57"/>
        <v>0</v>
      </c>
      <c r="W716" s="321">
        <f t="shared" si="58"/>
        <v>588</v>
      </c>
      <c r="X716" s="321">
        <f t="shared" si="59"/>
        <v>615000</v>
      </c>
      <c r="Y716" s="321">
        <v>1</v>
      </c>
      <c r="AA716" s="321" t="s">
        <v>5324</v>
      </c>
    </row>
    <row r="717" spans="1:27">
      <c r="A717" s="376">
        <v>751</v>
      </c>
      <c r="B717" s="377">
        <v>747200</v>
      </c>
      <c r="C717" s="382" t="s">
        <v>6942</v>
      </c>
      <c r="D717" s="379">
        <v>1846</v>
      </c>
      <c r="E717" s="380">
        <v>1800</v>
      </c>
      <c r="F717" s="380">
        <v>1800</v>
      </c>
      <c r="H717" s="351">
        <f t="shared" si="55"/>
        <v>1846000</v>
      </c>
      <c r="I717" s="351">
        <f t="shared" si="56"/>
        <v>1800000</v>
      </c>
      <c r="M717" s="321">
        <v>1615000589</v>
      </c>
      <c r="N717" s="321">
        <v>61</v>
      </c>
      <c r="O717" s="321" t="s">
        <v>5325</v>
      </c>
      <c r="P717" s="321">
        <v>1615000</v>
      </c>
      <c r="Q717" s="322">
        <v>60000</v>
      </c>
      <c r="R717" s="322">
        <v>40000</v>
      </c>
      <c r="S717" s="322">
        <v>60000</v>
      </c>
      <c r="T717" s="322">
        <v>60000</v>
      </c>
      <c r="U717" s="322">
        <f t="shared" si="57"/>
        <v>0</v>
      </c>
      <c r="W717" s="321">
        <f t="shared" si="58"/>
        <v>589</v>
      </c>
      <c r="X717" s="321">
        <f t="shared" si="59"/>
        <v>615000</v>
      </c>
      <c r="Y717" s="321">
        <v>1</v>
      </c>
      <c r="AA717" s="321" t="s">
        <v>5325</v>
      </c>
    </row>
    <row r="718" spans="1:27">
      <c r="A718" s="376">
        <v>752</v>
      </c>
      <c r="B718" s="377">
        <v>747200</v>
      </c>
      <c r="C718" s="382" t="s">
        <v>6955</v>
      </c>
      <c r="D718" s="379">
        <v>230</v>
      </c>
      <c r="E718" s="380">
        <v>200</v>
      </c>
      <c r="F718" s="380">
        <v>215</v>
      </c>
      <c r="H718" s="351">
        <f t="shared" si="55"/>
        <v>230000</v>
      </c>
      <c r="I718" s="351">
        <f t="shared" si="56"/>
        <v>215000</v>
      </c>
      <c r="M718" s="321">
        <v>1615000750</v>
      </c>
      <c r="N718" s="321">
        <v>61</v>
      </c>
      <c r="O718" s="321" t="s">
        <v>5326</v>
      </c>
      <c r="P718" s="321">
        <v>1615000</v>
      </c>
      <c r="Q718" s="322">
        <v>25000</v>
      </c>
      <c r="R718" s="322">
        <v>4600</v>
      </c>
      <c r="S718" s="322">
        <v>25000</v>
      </c>
      <c r="T718" s="322">
        <v>25000</v>
      </c>
      <c r="U718" s="322">
        <f t="shared" si="57"/>
        <v>0</v>
      </c>
      <c r="W718" s="321">
        <f t="shared" si="58"/>
        <v>750</v>
      </c>
      <c r="X718" s="321">
        <f t="shared" si="59"/>
        <v>615000</v>
      </c>
      <c r="Y718" s="321">
        <v>1</v>
      </c>
      <c r="AA718" s="321" t="s">
        <v>5326</v>
      </c>
    </row>
    <row r="719" spans="1:27">
      <c r="A719" s="376">
        <v>753</v>
      </c>
      <c r="B719" s="377">
        <v>747200</v>
      </c>
      <c r="C719" s="382" t="s">
        <v>6956</v>
      </c>
      <c r="D719" s="379">
        <v>884</v>
      </c>
      <c r="E719" s="380">
        <v>864</v>
      </c>
      <c r="F719" s="380">
        <v>864</v>
      </c>
      <c r="H719" s="351">
        <f t="shared" si="55"/>
        <v>884000</v>
      </c>
      <c r="I719" s="351">
        <f t="shared" si="56"/>
        <v>864000</v>
      </c>
      <c r="M719" s="321">
        <v>1615000751</v>
      </c>
      <c r="N719" s="321">
        <v>61</v>
      </c>
      <c r="O719" s="321" t="s">
        <v>5327</v>
      </c>
      <c r="P719" s="321">
        <v>1615000</v>
      </c>
      <c r="Q719" s="322">
        <v>18000</v>
      </c>
      <c r="R719" s="322">
        <v>500</v>
      </c>
      <c r="S719" s="322">
        <v>18000</v>
      </c>
      <c r="T719" s="322">
        <v>18000</v>
      </c>
      <c r="U719" s="322">
        <f t="shared" si="57"/>
        <v>0</v>
      </c>
      <c r="W719" s="321">
        <f t="shared" si="58"/>
        <v>751</v>
      </c>
      <c r="X719" s="321">
        <f t="shared" si="59"/>
        <v>615000</v>
      </c>
      <c r="Y719" s="321">
        <v>1</v>
      </c>
      <c r="AA719" s="321" t="s">
        <v>5327</v>
      </c>
    </row>
    <row r="720" spans="1:27">
      <c r="A720" s="376">
        <v>754</v>
      </c>
      <c r="B720" s="377">
        <v>747200</v>
      </c>
      <c r="C720" s="382" t="s">
        <v>6957</v>
      </c>
      <c r="D720" s="379">
        <v>160</v>
      </c>
      <c r="E720" s="380">
        <v>144</v>
      </c>
      <c r="F720" s="380">
        <v>144</v>
      </c>
      <c r="H720" s="351">
        <f t="shared" si="55"/>
        <v>160000</v>
      </c>
      <c r="I720" s="351">
        <f t="shared" si="56"/>
        <v>144000</v>
      </c>
      <c r="M720" s="321">
        <v>1615000752</v>
      </c>
      <c r="N720" s="321">
        <v>61</v>
      </c>
      <c r="O720" s="321" t="s">
        <v>5328</v>
      </c>
      <c r="P720" s="321">
        <v>1615000</v>
      </c>
      <c r="Q720" s="322">
        <v>13000</v>
      </c>
      <c r="R720" s="322">
        <v>0</v>
      </c>
      <c r="S720" s="322">
        <v>0</v>
      </c>
      <c r="T720" s="322">
        <v>0</v>
      </c>
      <c r="U720" s="322">
        <f t="shared" si="57"/>
        <v>0</v>
      </c>
      <c r="W720" s="321">
        <f t="shared" si="58"/>
        <v>752</v>
      </c>
      <c r="X720" s="321">
        <f t="shared" si="59"/>
        <v>615000</v>
      </c>
      <c r="Y720" s="321">
        <v>1</v>
      </c>
      <c r="AA720" s="321" t="s">
        <v>5328</v>
      </c>
    </row>
    <row r="721" spans="1:27">
      <c r="A721" s="376">
        <v>780</v>
      </c>
      <c r="B721" s="377">
        <v>747200</v>
      </c>
      <c r="C721" s="382" t="s">
        <v>6958</v>
      </c>
      <c r="D721" s="379">
        <v>250</v>
      </c>
      <c r="E721" s="380">
        <v>240</v>
      </c>
      <c r="F721" s="380">
        <v>240</v>
      </c>
      <c r="H721" s="351">
        <f t="shared" si="55"/>
        <v>250000</v>
      </c>
      <c r="I721" s="351">
        <f t="shared" si="56"/>
        <v>240000</v>
      </c>
      <c r="M721" s="321">
        <v>1615000760</v>
      </c>
      <c r="N721" s="321">
        <v>61</v>
      </c>
      <c r="O721" s="321" t="s">
        <v>5329</v>
      </c>
      <c r="P721" s="321">
        <v>1615000</v>
      </c>
      <c r="Q721" s="322">
        <v>0</v>
      </c>
      <c r="R721" s="322">
        <v>0</v>
      </c>
      <c r="S721" s="322">
        <v>0</v>
      </c>
      <c r="T721" s="322">
        <v>0</v>
      </c>
      <c r="U721" s="322">
        <f t="shared" si="57"/>
        <v>0</v>
      </c>
      <c r="W721" s="321">
        <f t="shared" si="58"/>
        <v>760</v>
      </c>
      <c r="X721" s="321">
        <f t="shared" si="59"/>
        <v>615000</v>
      </c>
      <c r="Y721" s="321">
        <v>1</v>
      </c>
      <c r="AA721" s="321" t="s">
        <v>5329</v>
      </c>
    </row>
    <row r="722" spans="1:27">
      <c r="A722" s="376">
        <v>550</v>
      </c>
      <c r="B722" s="377">
        <v>751000</v>
      </c>
      <c r="C722" s="382" t="s">
        <v>6737</v>
      </c>
      <c r="D722" s="379">
        <v>45</v>
      </c>
      <c r="E722" s="380">
        <v>45</v>
      </c>
      <c r="F722" s="380">
        <v>45</v>
      </c>
      <c r="H722" s="351">
        <f t="shared" ref="H722:H785" si="60">D722*1000</f>
        <v>45000</v>
      </c>
      <c r="I722" s="351">
        <f t="shared" ref="I722:I785" si="61">F722*1000</f>
        <v>45000</v>
      </c>
      <c r="M722" s="321">
        <v>1615000780</v>
      </c>
      <c r="N722" s="321">
        <v>61</v>
      </c>
      <c r="O722" s="321" t="s">
        <v>5330</v>
      </c>
      <c r="P722" s="321">
        <v>1615000</v>
      </c>
      <c r="Q722" s="322">
        <v>978000</v>
      </c>
      <c r="R722" s="322">
        <v>342200</v>
      </c>
      <c r="S722" s="322">
        <v>1300000</v>
      </c>
      <c r="T722" s="322">
        <v>1100000</v>
      </c>
      <c r="U722" s="322">
        <f t="shared" si="57"/>
        <v>200000</v>
      </c>
      <c r="W722" s="321">
        <f t="shared" si="58"/>
        <v>780</v>
      </c>
      <c r="X722" s="321">
        <f t="shared" si="59"/>
        <v>615000</v>
      </c>
      <c r="Y722" s="321">
        <v>1</v>
      </c>
      <c r="AA722" s="321" t="s">
        <v>5330</v>
      </c>
    </row>
    <row r="723" spans="1:27">
      <c r="A723" s="376">
        <v>750</v>
      </c>
      <c r="B723" s="377">
        <v>751000</v>
      </c>
      <c r="C723" s="385" t="s">
        <v>6945</v>
      </c>
      <c r="D723" s="379">
        <v>110</v>
      </c>
      <c r="E723" s="380">
        <v>0</v>
      </c>
      <c r="F723" s="380">
        <v>0</v>
      </c>
      <c r="H723" s="351">
        <f t="shared" si="60"/>
        <v>110000</v>
      </c>
      <c r="I723" s="351">
        <f t="shared" si="61"/>
        <v>0</v>
      </c>
      <c r="M723" s="321">
        <v>1615000981</v>
      </c>
      <c r="N723" s="321">
        <v>61</v>
      </c>
      <c r="O723" s="321" t="s">
        <v>5307</v>
      </c>
      <c r="P723" s="321">
        <v>1615000</v>
      </c>
      <c r="Q723" s="322">
        <v>0</v>
      </c>
      <c r="R723" s="322">
        <v>0</v>
      </c>
      <c r="S723" s="322">
        <v>0</v>
      </c>
      <c r="T723" s="322">
        <v>0</v>
      </c>
      <c r="U723" s="322">
        <f t="shared" si="57"/>
        <v>0</v>
      </c>
      <c r="W723" s="321">
        <f t="shared" si="58"/>
        <v>981</v>
      </c>
      <c r="X723" s="321">
        <f t="shared" si="59"/>
        <v>615000</v>
      </c>
      <c r="Y723" s="321">
        <v>1</v>
      </c>
      <c r="AA723" s="321" t="s">
        <v>5307</v>
      </c>
    </row>
    <row r="724" spans="1:27">
      <c r="A724" s="376">
        <v>781</v>
      </c>
      <c r="B724" s="377">
        <v>751000</v>
      </c>
      <c r="C724" s="391" t="s">
        <v>6959</v>
      </c>
      <c r="D724" s="379">
        <v>130</v>
      </c>
      <c r="E724" s="380">
        <v>130</v>
      </c>
      <c r="F724" s="380">
        <v>130</v>
      </c>
      <c r="H724" s="351">
        <f t="shared" si="60"/>
        <v>130000</v>
      </c>
      <c r="I724" s="351">
        <f t="shared" si="61"/>
        <v>130000</v>
      </c>
      <c r="M724" s="321">
        <v>1615001110</v>
      </c>
      <c r="N724" s="321">
        <v>61</v>
      </c>
      <c r="O724" s="321" t="s">
        <v>5205</v>
      </c>
      <c r="P724" s="321">
        <v>1615001</v>
      </c>
      <c r="Q724" s="322">
        <v>219000</v>
      </c>
      <c r="R724" s="322">
        <v>191200</v>
      </c>
      <c r="S724" s="322">
        <v>258000</v>
      </c>
      <c r="T724" s="322">
        <v>258000</v>
      </c>
      <c r="U724" s="322">
        <f t="shared" si="57"/>
        <v>0</v>
      </c>
      <c r="W724" s="321">
        <f t="shared" si="58"/>
        <v>110</v>
      </c>
      <c r="X724" s="321">
        <f t="shared" si="59"/>
        <v>615001</v>
      </c>
      <c r="Y724" s="321">
        <v>1</v>
      </c>
      <c r="AA724" s="321" t="s">
        <v>5205</v>
      </c>
    </row>
    <row r="725" spans="1:27">
      <c r="A725" s="376">
        <v>782</v>
      </c>
      <c r="B725" s="377">
        <v>751000</v>
      </c>
      <c r="C725" s="391" t="s">
        <v>6960</v>
      </c>
      <c r="D725" s="379">
        <v>325</v>
      </c>
      <c r="E725" s="380">
        <v>325</v>
      </c>
      <c r="F725" s="380">
        <v>325</v>
      </c>
      <c r="H725" s="351">
        <f t="shared" si="60"/>
        <v>325000</v>
      </c>
      <c r="I725" s="351">
        <f t="shared" si="61"/>
        <v>325000</v>
      </c>
      <c r="M725" s="321">
        <v>1615001120</v>
      </c>
      <c r="N725" s="321">
        <v>61</v>
      </c>
      <c r="O725" s="321" t="s">
        <v>5206</v>
      </c>
      <c r="P725" s="321">
        <v>1615001</v>
      </c>
      <c r="Q725" s="322">
        <v>68000</v>
      </c>
      <c r="R725" s="322">
        <v>73200</v>
      </c>
      <c r="S725" s="322">
        <v>87000</v>
      </c>
      <c r="T725" s="322">
        <v>87000</v>
      </c>
      <c r="U725" s="322">
        <f t="shared" si="57"/>
        <v>0</v>
      </c>
      <c r="W725" s="321">
        <f t="shared" si="58"/>
        <v>120</v>
      </c>
      <c r="X725" s="321">
        <f t="shared" si="59"/>
        <v>615001</v>
      </c>
      <c r="Y725" s="321">
        <v>1</v>
      </c>
      <c r="AA725" s="321" t="s">
        <v>5206</v>
      </c>
    </row>
    <row r="726" spans="1:27">
      <c r="A726" s="376">
        <v>783</v>
      </c>
      <c r="B726" s="377">
        <v>751000</v>
      </c>
      <c r="C726" s="382" t="s">
        <v>6961</v>
      </c>
      <c r="D726" s="379">
        <v>400</v>
      </c>
      <c r="E726" s="380">
        <v>400</v>
      </c>
      <c r="F726" s="380">
        <v>400</v>
      </c>
      <c r="H726" s="351">
        <f t="shared" si="60"/>
        <v>400000</v>
      </c>
      <c r="I726" s="351">
        <f t="shared" si="61"/>
        <v>400000</v>
      </c>
      <c r="M726" s="321">
        <v>1615001130</v>
      </c>
      <c r="N726" s="321">
        <v>61</v>
      </c>
      <c r="O726" s="321" t="s">
        <v>2576</v>
      </c>
      <c r="P726" s="321">
        <v>1615001</v>
      </c>
      <c r="Q726" s="322">
        <v>0</v>
      </c>
      <c r="R726" s="322">
        <v>0</v>
      </c>
      <c r="S726" s="322">
        <v>0</v>
      </c>
      <c r="T726" s="322">
        <v>0</v>
      </c>
      <c r="U726" s="322">
        <f t="shared" si="57"/>
        <v>0</v>
      </c>
      <c r="W726" s="321">
        <f t="shared" si="58"/>
        <v>130</v>
      </c>
      <c r="X726" s="321">
        <f t="shared" si="59"/>
        <v>615001</v>
      </c>
      <c r="Y726" s="321">
        <v>1</v>
      </c>
      <c r="AA726" s="321" t="s">
        <v>2576</v>
      </c>
    </row>
    <row r="727" spans="1:27">
      <c r="A727" s="376">
        <v>785</v>
      </c>
      <c r="B727" s="377">
        <v>751000</v>
      </c>
      <c r="C727" s="391" t="s">
        <v>6962</v>
      </c>
      <c r="D727" s="379">
        <v>100</v>
      </c>
      <c r="E727" s="380">
        <v>100</v>
      </c>
      <c r="F727" s="380">
        <v>100</v>
      </c>
      <c r="H727" s="351">
        <f t="shared" si="60"/>
        <v>100000</v>
      </c>
      <c r="I727" s="351">
        <f t="shared" si="61"/>
        <v>100000</v>
      </c>
      <c r="M727" s="321">
        <v>1615001140</v>
      </c>
      <c r="N727" s="321">
        <v>61</v>
      </c>
      <c r="O727" s="321" t="s">
        <v>5207</v>
      </c>
      <c r="P727" s="321">
        <v>1615001</v>
      </c>
      <c r="Q727" s="322">
        <v>44000</v>
      </c>
      <c r="R727" s="322">
        <v>37700</v>
      </c>
      <c r="S727" s="322">
        <v>47000</v>
      </c>
      <c r="T727" s="322">
        <v>47000</v>
      </c>
      <c r="U727" s="322">
        <f t="shared" si="57"/>
        <v>0</v>
      </c>
      <c r="W727" s="321">
        <f t="shared" si="58"/>
        <v>140</v>
      </c>
      <c r="X727" s="321">
        <f t="shared" si="59"/>
        <v>615001</v>
      </c>
      <c r="Y727" s="321">
        <v>1</v>
      </c>
      <c r="AA727" s="321" t="s">
        <v>5207</v>
      </c>
    </row>
    <row r="728" spans="1:27">
      <c r="A728" s="376">
        <v>550</v>
      </c>
      <c r="B728" s="377">
        <v>752000</v>
      </c>
      <c r="C728" s="382" t="s">
        <v>6737</v>
      </c>
      <c r="D728" s="379">
        <v>50</v>
      </c>
      <c r="E728" s="380">
        <v>50</v>
      </c>
      <c r="F728" s="380">
        <v>50</v>
      </c>
      <c r="H728" s="351">
        <f t="shared" si="60"/>
        <v>50000</v>
      </c>
      <c r="I728" s="351">
        <f t="shared" si="61"/>
        <v>50000</v>
      </c>
      <c r="M728" s="321">
        <v>1615001141</v>
      </c>
      <c r="N728" s="321">
        <v>61</v>
      </c>
      <c r="O728" s="321" t="s">
        <v>5208</v>
      </c>
      <c r="P728" s="321">
        <v>1615001</v>
      </c>
      <c r="Q728" s="322">
        <v>19000</v>
      </c>
      <c r="R728" s="322">
        <v>14800</v>
      </c>
      <c r="S728" s="322">
        <v>20000</v>
      </c>
      <c r="T728" s="322">
        <v>20000</v>
      </c>
      <c r="U728" s="322">
        <f t="shared" si="57"/>
        <v>0</v>
      </c>
      <c r="W728" s="321">
        <f t="shared" si="58"/>
        <v>141</v>
      </c>
      <c r="X728" s="321">
        <f t="shared" si="59"/>
        <v>615001</v>
      </c>
      <c r="Y728" s="321">
        <v>1</v>
      </c>
      <c r="AA728" s="321" t="s">
        <v>5208</v>
      </c>
    </row>
    <row r="729" spans="1:27">
      <c r="A729" s="376">
        <v>780</v>
      </c>
      <c r="B729" s="377">
        <v>752000</v>
      </c>
      <c r="C729" s="382" t="s">
        <v>6963</v>
      </c>
      <c r="D729" s="379">
        <v>270</v>
      </c>
      <c r="E729" s="380">
        <v>318</v>
      </c>
      <c r="F729" s="380">
        <v>318</v>
      </c>
      <c r="H729" s="351">
        <f t="shared" si="60"/>
        <v>270000</v>
      </c>
      <c r="I729" s="351">
        <f t="shared" si="61"/>
        <v>318000</v>
      </c>
      <c r="M729" s="321">
        <v>1615001181</v>
      </c>
      <c r="N729" s="321">
        <v>61</v>
      </c>
      <c r="O729" s="321" t="s">
        <v>2580</v>
      </c>
      <c r="P729" s="321">
        <v>1615001</v>
      </c>
      <c r="Q729" s="322">
        <v>47000</v>
      </c>
      <c r="R729" s="322">
        <v>39200</v>
      </c>
      <c r="S729" s="322">
        <v>51000</v>
      </c>
      <c r="T729" s="322">
        <v>51000</v>
      </c>
      <c r="U729" s="322">
        <f t="shared" si="57"/>
        <v>0</v>
      </c>
      <c r="W729" s="321">
        <f t="shared" si="58"/>
        <v>181</v>
      </c>
      <c r="X729" s="321">
        <f t="shared" si="59"/>
        <v>615001</v>
      </c>
      <c r="Y729" s="321">
        <v>1</v>
      </c>
      <c r="AA729" s="321" t="s">
        <v>2580</v>
      </c>
    </row>
    <row r="730" spans="1:27">
      <c r="A730" s="376">
        <v>781</v>
      </c>
      <c r="B730" s="377">
        <v>753000</v>
      </c>
      <c r="C730" s="387" t="s">
        <v>6964</v>
      </c>
      <c r="D730" s="379">
        <v>170</v>
      </c>
      <c r="E730" s="380">
        <v>170</v>
      </c>
      <c r="F730" s="380">
        <v>170</v>
      </c>
      <c r="H730" s="351">
        <f t="shared" si="60"/>
        <v>170000</v>
      </c>
      <c r="I730" s="351">
        <f t="shared" si="61"/>
        <v>170000</v>
      </c>
      <c r="M730" s="321">
        <v>1615001182</v>
      </c>
      <c r="N730" s="321">
        <v>61</v>
      </c>
      <c r="O730" s="321" t="s">
        <v>2582</v>
      </c>
      <c r="P730" s="321">
        <v>1615001</v>
      </c>
      <c r="Q730" s="322">
        <v>47000</v>
      </c>
      <c r="R730" s="322">
        <v>41500</v>
      </c>
      <c r="S730" s="322">
        <v>57000</v>
      </c>
      <c r="T730" s="322">
        <v>57000</v>
      </c>
      <c r="U730" s="322">
        <f t="shared" si="57"/>
        <v>0</v>
      </c>
      <c r="W730" s="321">
        <f t="shared" si="58"/>
        <v>182</v>
      </c>
      <c r="X730" s="321">
        <f t="shared" si="59"/>
        <v>615001</v>
      </c>
      <c r="Y730" s="321">
        <v>1</v>
      </c>
      <c r="AA730" s="321" t="s">
        <v>2582</v>
      </c>
    </row>
    <row r="731" spans="1:27">
      <c r="A731" s="376">
        <v>782</v>
      </c>
      <c r="B731" s="377">
        <v>753000</v>
      </c>
      <c r="C731" s="382" t="s">
        <v>6965</v>
      </c>
      <c r="D731" s="379">
        <v>20</v>
      </c>
      <c r="E731" s="380">
        <v>0</v>
      </c>
      <c r="F731" s="380">
        <v>20</v>
      </c>
      <c r="H731" s="351">
        <f t="shared" si="60"/>
        <v>20000</v>
      </c>
      <c r="I731" s="351">
        <f t="shared" si="61"/>
        <v>20000</v>
      </c>
      <c r="M731" s="321">
        <v>1615001470</v>
      </c>
      <c r="N731" s="321">
        <v>61</v>
      </c>
      <c r="O731" s="321" t="s">
        <v>2830</v>
      </c>
      <c r="P731" s="321">
        <v>1615001</v>
      </c>
      <c r="Q731" s="322">
        <v>19000</v>
      </c>
      <c r="R731" s="322">
        <v>4200</v>
      </c>
      <c r="S731" s="322">
        <v>19000</v>
      </c>
      <c r="T731" s="322">
        <v>19000</v>
      </c>
      <c r="U731" s="322">
        <f t="shared" si="57"/>
        <v>0</v>
      </c>
      <c r="W731" s="321">
        <f t="shared" si="58"/>
        <v>470</v>
      </c>
      <c r="X731" s="321">
        <f t="shared" si="59"/>
        <v>615001</v>
      </c>
      <c r="Y731" s="321">
        <v>1</v>
      </c>
      <c r="AA731" s="321" t="s">
        <v>2830</v>
      </c>
    </row>
    <row r="732" spans="1:27">
      <c r="A732" s="376">
        <v>100</v>
      </c>
      <c r="B732" s="377">
        <v>754000</v>
      </c>
      <c r="C732" s="385" t="s">
        <v>6966</v>
      </c>
      <c r="D732" s="379">
        <v>95</v>
      </c>
      <c r="E732" s="380">
        <v>93</v>
      </c>
      <c r="F732" s="380">
        <v>93</v>
      </c>
      <c r="H732" s="351">
        <f t="shared" si="60"/>
        <v>95000</v>
      </c>
      <c r="I732" s="351">
        <f t="shared" si="61"/>
        <v>93000</v>
      </c>
      <c r="M732" s="321">
        <v>1615001471</v>
      </c>
      <c r="N732" s="321">
        <v>61</v>
      </c>
      <c r="O732" s="321" t="s">
        <v>5212</v>
      </c>
      <c r="P732" s="321">
        <v>1615001</v>
      </c>
      <c r="Q732" s="322">
        <v>3500</v>
      </c>
      <c r="R732" s="322">
        <v>3500</v>
      </c>
      <c r="S732" s="322">
        <v>3700</v>
      </c>
      <c r="T732" s="322">
        <v>3700</v>
      </c>
      <c r="U732" s="322">
        <f t="shared" si="57"/>
        <v>0</v>
      </c>
      <c r="W732" s="321">
        <f t="shared" si="58"/>
        <v>471</v>
      </c>
      <c r="X732" s="321">
        <f t="shared" si="59"/>
        <v>615001</v>
      </c>
      <c r="Y732" s="321">
        <v>1</v>
      </c>
      <c r="AA732" s="321" t="s">
        <v>5212</v>
      </c>
    </row>
    <row r="733" spans="1:27">
      <c r="A733" s="376">
        <v>510</v>
      </c>
      <c r="B733" s="377">
        <v>754000</v>
      </c>
      <c r="C733" s="378" t="s">
        <v>6967</v>
      </c>
      <c r="D733" s="379">
        <v>50</v>
      </c>
      <c r="E733" s="380">
        <v>50</v>
      </c>
      <c r="F733" s="380">
        <v>70</v>
      </c>
      <c r="H733" s="351">
        <f t="shared" si="60"/>
        <v>50000</v>
      </c>
      <c r="I733" s="351">
        <f t="shared" si="61"/>
        <v>70000</v>
      </c>
      <c r="M733" s="321">
        <v>1615001514</v>
      </c>
      <c r="N733" s="321">
        <v>61</v>
      </c>
      <c r="O733" s="321" t="s">
        <v>5310</v>
      </c>
      <c r="P733" s="321">
        <v>1615001</v>
      </c>
      <c r="Q733" s="322">
        <v>0</v>
      </c>
      <c r="R733" s="322">
        <v>0</v>
      </c>
      <c r="S733" s="322">
        <v>0</v>
      </c>
      <c r="T733" s="322">
        <v>0</v>
      </c>
      <c r="U733" s="322">
        <f t="shared" si="57"/>
        <v>0</v>
      </c>
      <c r="W733" s="321">
        <f t="shared" si="58"/>
        <v>514</v>
      </c>
      <c r="X733" s="321">
        <f t="shared" si="59"/>
        <v>615001</v>
      </c>
      <c r="Y733" s="321">
        <v>1</v>
      </c>
      <c r="AA733" s="321" t="s">
        <v>5310</v>
      </c>
    </row>
    <row r="734" spans="1:27">
      <c r="A734" s="376">
        <v>540</v>
      </c>
      <c r="B734" s="377">
        <v>754000</v>
      </c>
      <c r="C734" s="382" t="s">
        <v>6968</v>
      </c>
      <c r="D734" s="379">
        <v>2</v>
      </c>
      <c r="E734" s="380">
        <v>2</v>
      </c>
      <c r="F734" s="380">
        <v>2</v>
      </c>
      <c r="H734" s="351">
        <f t="shared" si="60"/>
        <v>2000</v>
      </c>
      <c r="I734" s="351">
        <f t="shared" si="61"/>
        <v>2000</v>
      </c>
      <c r="M734" s="321">
        <v>1615001540</v>
      </c>
      <c r="N734" s="321">
        <v>61</v>
      </c>
      <c r="O734" s="321" t="s">
        <v>5216</v>
      </c>
      <c r="P734" s="321">
        <v>1615001</v>
      </c>
      <c r="Q734" s="322">
        <v>3000</v>
      </c>
      <c r="R734" s="322">
        <v>1700</v>
      </c>
      <c r="S734" s="322">
        <v>3000</v>
      </c>
      <c r="T734" s="322">
        <v>3000</v>
      </c>
      <c r="U734" s="322">
        <f t="shared" si="57"/>
        <v>0</v>
      </c>
      <c r="W734" s="321">
        <f t="shared" si="58"/>
        <v>540</v>
      </c>
      <c r="X734" s="321">
        <f t="shared" si="59"/>
        <v>615001</v>
      </c>
      <c r="Y734" s="321">
        <v>1</v>
      </c>
      <c r="AA734" s="321" t="s">
        <v>5216</v>
      </c>
    </row>
    <row r="735" spans="1:27">
      <c r="A735" s="376">
        <v>100</v>
      </c>
      <c r="B735" s="377">
        <v>761000</v>
      </c>
      <c r="C735" s="378" t="s">
        <v>6969</v>
      </c>
      <c r="D735" s="379">
        <v>1741</v>
      </c>
      <c r="E735" s="380">
        <v>1700</v>
      </c>
      <c r="F735" s="380">
        <v>1850</v>
      </c>
      <c r="H735" s="351">
        <f t="shared" si="60"/>
        <v>1741000</v>
      </c>
      <c r="I735" s="351">
        <f t="shared" si="61"/>
        <v>1850000</v>
      </c>
      <c r="M735" s="321">
        <v>1615001542</v>
      </c>
      <c r="N735" s="321">
        <v>61</v>
      </c>
      <c r="O735" s="321" t="s">
        <v>5217</v>
      </c>
      <c r="P735" s="321">
        <v>1615001</v>
      </c>
      <c r="Q735" s="322">
        <v>10200</v>
      </c>
      <c r="R735" s="322">
        <v>1900</v>
      </c>
      <c r="S735" s="322">
        <v>6000</v>
      </c>
      <c r="T735" s="322">
        <v>6000</v>
      </c>
      <c r="U735" s="322">
        <f t="shared" si="57"/>
        <v>0</v>
      </c>
      <c r="W735" s="321">
        <f t="shared" si="58"/>
        <v>542</v>
      </c>
      <c r="X735" s="321">
        <f t="shared" si="59"/>
        <v>615001</v>
      </c>
      <c r="Y735" s="321">
        <v>1</v>
      </c>
      <c r="AA735" s="321" t="s">
        <v>5217</v>
      </c>
    </row>
    <row r="736" spans="1:27">
      <c r="A736" s="376">
        <v>540</v>
      </c>
      <c r="B736" s="377">
        <v>761000</v>
      </c>
      <c r="C736" s="382" t="s">
        <v>6752</v>
      </c>
      <c r="D736" s="379">
        <v>20</v>
      </c>
      <c r="E736" s="380">
        <v>20</v>
      </c>
      <c r="F736" s="380">
        <v>20</v>
      </c>
      <c r="H736" s="351">
        <f t="shared" si="60"/>
        <v>20000</v>
      </c>
      <c r="I736" s="351">
        <f t="shared" si="61"/>
        <v>20000</v>
      </c>
      <c r="M736" s="321">
        <v>1615001572</v>
      </c>
      <c r="N736" s="321">
        <v>61</v>
      </c>
      <c r="O736" s="321" t="s">
        <v>5253</v>
      </c>
      <c r="P736" s="321">
        <v>1615001</v>
      </c>
      <c r="Q736" s="322">
        <v>5000</v>
      </c>
      <c r="R736" s="322">
        <v>0</v>
      </c>
      <c r="S736" s="322">
        <v>35000</v>
      </c>
      <c r="T736" s="322">
        <v>10000</v>
      </c>
      <c r="U736" s="322">
        <f t="shared" si="57"/>
        <v>25000</v>
      </c>
      <c r="W736" s="321">
        <f t="shared" si="58"/>
        <v>572</v>
      </c>
      <c r="X736" s="321">
        <f t="shared" si="59"/>
        <v>615001</v>
      </c>
      <c r="Y736" s="321">
        <v>1</v>
      </c>
      <c r="AA736" s="321" t="s">
        <v>5253</v>
      </c>
    </row>
    <row r="737" spans="1:27">
      <c r="A737" s="376">
        <v>730</v>
      </c>
      <c r="B737" s="377">
        <v>761000</v>
      </c>
      <c r="C737" s="382" t="s">
        <v>6970</v>
      </c>
      <c r="D737" s="379">
        <v>40</v>
      </c>
      <c r="E737" s="380">
        <v>40</v>
      </c>
      <c r="F737" s="380">
        <v>40</v>
      </c>
      <c r="H737" s="351">
        <f t="shared" si="60"/>
        <v>40000</v>
      </c>
      <c r="I737" s="351">
        <f t="shared" si="61"/>
        <v>40000</v>
      </c>
      <c r="M737" s="321">
        <v>1615001581</v>
      </c>
      <c r="N737" s="321">
        <v>61</v>
      </c>
      <c r="O737" s="321" t="s">
        <v>5323</v>
      </c>
      <c r="P737" s="321">
        <v>1615001</v>
      </c>
      <c r="Q737" s="322">
        <v>0</v>
      </c>
      <c r="R737" s="322">
        <v>-14300</v>
      </c>
      <c r="S737" s="322">
        <v>0</v>
      </c>
      <c r="T737" s="322">
        <v>0</v>
      </c>
      <c r="U737" s="322">
        <f t="shared" si="57"/>
        <v>0</v>
      </c>
      <c r="W737" s="321">
        <f t="shared" si="58"/>
        <v>581</v>
      </c>
      <c r="X737" s="321">
        <f t="shared" si="59"/>
        <v>615001</v>
      </c>
      <c r="Y737" s="321">
        <v>1</v>
      </c>
      <c r="AA737" s="321" t="s">
        <v>5323</v>
      </c>
    </row>
    <row r="738" spans="1:27">
      <c r="A738" s="376">
        <v>780</v>
      </c>
      <c r="B738" s="377">
        <v>761000</v>
      </c>
      <c r="C738" s="382" t="s">
        <v>6971</v>
      </c>
      <c r="D738" s="379">
        <v>120</v>
      </c>
      <c r="E738" s="380">
        <v>120</v>
      </c>
      <c r="F738" s="380">
        <v>70</v>
      </c>
      <c r="H738" s="351">
        <f t="shared" si="60"/>
        <v>120000</v>
      </c>
      <c r="I738" s="351">
        <f t="shared" si="61"/>
        <v>70000</v>
      </c>
      <c r="M738" s="321">
        <v>1615002110</v>
      </c>
      <c r="N738" s="321">
        <v>61</v>
      </c>
      <c r="O738" s="321" t="s">
        <v>5205</v>
      </c>
      <c r="P738" s="321">
        <v>1615000</v>
      </c>
      <c r="Q738" s="322">
        <v>151000</v>
      </c>
      <c r="R738" s="322">
        <v>12700</v>
      </c>
      <c r="S738" s="322">
        <v>13000</v>
      </c>
      <c r="T738" s="322">
        <v>13000</v>
      </c>
      <c r="U738" s="322">
        <f t="shared" si="57"/>
        <v>0</v>
      </c>
      <c r="W738" s="321">
        <f t="shared" si="58"/>
        <v>110</v>
      </c>
      <c r="X738" s="321">
        <f t="shared" si="59"/>
        <v>615002</v>
      </c>
      <c r="Y738" s="321">
        <v>1</v>
      </c>
      <c r="AA738" s="321" t="s">
        <v>5205</v>
      </c>
    </row>
    <row r="739" spans="1:27">
      <c r="A739" s="376">
        <v>750</v>
      </c>
      <c r="B739" s="377">
        <v>762100</v>
      </c>
      <c r="C739" s="382" t="s">
        <v>6972</v>
      </c>
      <c r="D739" s="379">
        <v>80</v>
      </c>
      <c r="E739" s="380">
        <v>83</v>
      </c>
      <c r="F739" s="380">
        <v>83</v>
      </c>
      <c r="H739" s="351">
        <f t="shared" si="60"/>
        <v>80000</v>
      </c>
      <c r="I739" s="351">
        <f t="shared" si="61"/>
        <v>83000</v>
      </c>
      <c r="M739" s="321">
        <v>1615002120</v>
      </c>
      <c r="N739" s="321">
        <v>61</v>
      </c>
      <c r="O739" s="321" t="s">
        <v>5206</v>
      </c>
      <c r="P739" s="321">
        <v>1615000</v>
      </c>
      <c r="Q739" s="322">
        <v>11000</v>
      </c>
      <c r="R739" s="322">
        <v>3300</v>
      </c>
      <c r="S739" s="322">
        <v>4000</v>
      </c>
      <c r="T739" s="322">
        <v>4000</v>
      </c>
      <c r="U739" s="322">
        <f t="shared" si="57"/>
        <v>0</v>
      </c>
      <c r="W739" s="321">
        <f t="shared" si="58"/>
        <v>120</v>
      </c>
      <c r="X739" s="321">
        <f t="shared" si="59"/>
        <v>615002</v>
      </c>
      <c r="Y739" s="321">
        <v>1</v>
      </c>
      <c r="AA739" s="321" t="s">
        <v>5206</v>
      </c>
    </row>
    <row r="740" spans="1:27">
      <c r="A740" s="376">
        <v>100</v>
      </c>
      <c r="B740" s="377">
        <v>764000</v>
      </c>
      <c r="C740" s="382" t="s">
        <v>6711</v>
      </c>
      <c r="D740" s="379">
        <v>468</v>
      </c>
      <c r="E740" s="380">
        <v>450</v>
      </c>
      <c r="F740" s="380">
        <v>460</v>
      </c>
      <c r="H740" s="351">
        <f t="shared" si="60"/>
        <v>468000</v>
      </c>
      <c r="I740" s="351">
        <f t="shared" si="61"/>
        <v>460000</v>
      </c>
      <c r="M740" s="321">
        <v>1615002130</v>
      </c>
      <c r="N740" s="321">
        <v>61</v>
      </c>
      <c r="O740" s="321" t="s">
        <v>2576</v>
      </c>
      <c r="P740" s="321">
        <v>1615000</v>
      </c>
      <c r="Q740" s="322">
        <v>3000</v>
      </c>
      <c r="R740" s="322">
        <v>0</v>
      </c>
      <c r="S740" s="322">
        <v>1000</v>
      </c>
      <c r="T740" s="322">
        <v>900</v>
      </c>
      <c r="U740" s="322">
        <f t="shared" si="57"/>
        <v>100</v>
      </c>
      <c r="W740" s="321">
        <f t="shared" si="58"/>
        <v>130</v>
      </c>
      <c r="X740" s="321">
        <f t="shared" si="59"/>
        <v>615002</v>
      </c>
      <c r="Y740" s="321">
        <v>1</v>
      </c>
      <c r="AA740" s="321" t="s">
        <v>2576</v>
      </c>
    </row>
    <row r="741" spans="1:27">
      <c r="A741" s="376">
        <v>540</v>
      </c>
      <c r="B741" s="377">
        <v>764000</v>
      </c>
      <c r="C741" s="382" t="s">
        <v>6752</v>
      </c>
      <c r="D741" s="379">
        <v>5</v>
      </c>
      <c r="E741" s="380">
        <v>5</v>
      </c>
      <c r="F741" s="380">
        <v>3</v>
      </c>
      <c r="H741" s="351">
        <f t="shared" si="60"/>
        <v>5000</v>
      </c>
      <c r="I741" s="351">
        <f t="shared" si="61"/>
        <v>3000</v>
      </c>
      <c r="M741" s="321">
        <v>1615002140</v>
      </c>
      <c r="N741" s="321">
        <v>61</v>
      </c>
      <c r="O741" s="321" t="s">
        <v>5207</v>
      </c>
      <c r="P741" s="321">
        <v>1615000</v>
      </c>
      <c r="Q741" s="322">
        <v>7000</v>
      </c>
      <c r="R741" s="322">
        <v>0</v>
      </c>
      <c r="S741" s="322">
        <v>0</v>
      </c>
      <c r="T741" s="322">
        <v>0</v>
      </c>
      <c r="U741" s="322">
        <f t="shared" si="57"/>
        <v>0</v>
      </c>
      <c r="W741" s="321">
        <f t="shared" si="58"/>
        <v>140</v>
      </c>
      <c r="X741" s="321">
        <f t="shared" si="59"/>
        <v>615002</v>
      </c>
      <c r="Y741" s="321">
        <v>1</v>
      </c>
      <c r="AA741" s="321" t="s">
        <v>5207</v>
      </c>
    </row>
    <row r="742" spans="1:27">
      <c r="A742" s="376">
        <v>550</v>
      </c>
      <c r="B742" s="377">
        <v>764000</v>
      </c>
      <c r="C742" s="382" t="s">
        <v>6853</v>
      </c>
      <c r="D742" s="379">
        <v>10</v>
      </c>
      <c r="E742" s="380">
        <v>10</v>
      </c>
      <c r="F742" s="380">
        <v>10</v>
      </c>
      <c r="H742" s="351">
        <f t="shared" si="60"/>
        <v>10000</v>
      </c>
      <c r="I742" s="351">
        <f t="shared" si="61"/>
        <v>10000</v>
      </c>
      <c r="M742" s="321">
        <v>1615002141</v>
      </c>
      <c r="N742" s="321">
        <v>61</v>
      </c>
      <c r="O742" s="321" t="s">
        <v>5208</v>
      </c>
      <c r="P742" s="321">
        <v>1615000</v>
      </c>
      <c r="Q742" s="322">
        <v>9000</v>
      </c>
      <c r="R742" s="322">
        <v>2500</v>
      </c>
      <c r="S742" s="322">
        <v>3000</v>
      </c>
      <c r="T742" s="322">
        <v>3000</v>
      </c>
      <c r="U742" s="322">
        <f t="shared" si="57"/>
        <v>0</v>
      </c>
      <c r="W742" s="321">
        <f t="shared" si="58"/>
        <v>141</v>
      </c>
      <c r="X742" s="321">
        <f t="shared" si="59"/>
        <v>615002</v>
      </c>
      <c r="Y742" s="321">
        <v>1</v>
      </c>
      <c r="AA742" s="321" t="s">
        <v>5208</v>
      </c>
    </row>
    <row r="743" spans="1:27">
      <c r="A743" s="376">
        <v>750</v>
      </c>
      <c r="B743" s="377">
        <v>764000</v>
      </c>
      <c r="C743" s="382" t="s">
        <v>6795</v>
      </c>
      <c r="D743" s="379">
        <v>14</v>
      </c>
      <c r="E743" s="380">
        <v>14</v>
      </c>
      <c r="F743" s="380">
        <v>14</v>
      </c>
      <c r="H743" s="351">
        <f t="shared" si="60"/>
        <v>14000</v>
      </c>
      <c r="I743" s="351">
        <f t="shared" si="61"/>
        <v>14000</v>
      </c>
      <c r="M743" s="321">
        <v>1615002181</v>
      </c>
      <c r="N743" s="321">
        <v>61</v>
      </c>
      <c r="O743" s="321" t="s">
        <v>2580</v>
      </c>
      <c r="P743" s="321">
        <v>1615000</v>
      </c>
      <c r="Q743" s="322">
        <v>23000</v>
      </c>
      <c r="R743" s="322">
        <v>3600</v>
      </c>
      <c r="S743" s="322">
        <v>4000</v>
      </c>
      <c r="T743" s="322">
        <v>4000</v>
      </c>
      <c r="U743" s="322">
        <f t="shared" si="57"/>
        <v>0</v>
      </c>
      <c r="W743" s="321">
        <f t="shared" si="58"/>
        <v>181</v>
      </c>
      <c r="X743" s="321">
        <f t="shared" si="59"/>
        <v>615002</v>
      </c>
      <c r="Y743" s="321">
        <v>1</v>
      </c>
      <c r="AA743" s="321" t="s">
        <v>2580</v>
      </c>
    </row>
    <row r="744" spans="1:27">
      <c r="A744" s="376">
        <v>780</v>
      </c>
      <c r="B744" s="377">
        <v>764000</v>
      </c>
      <c r="C744" s="382" t="s">
        <v>6973</v>
      </c>
      <c r="D744" s="379">
        <v>16</v>
      </c>
      <c r="E744" s="380">
        <v>8</v>
      </c>
      <c r="F744" s="380">
        <v>8</v>
      </c>
      <c r="H744" s="351">
        <f t="shared" si="60"/>
        <v>16000</v>
      </c>
      <c r="I744" s="351">
        <f t="shared" si="61"/>
        <v>8000</v>
      </c>
      <c r="M744" s="321">
        <v>1615002182</v>
      </c>
      <c r="N744" s="321">
        <v>61</v>
      </c>
      <c r="O744" s="321" t="s">
        <v>2582</v>
      </c>
      <c r="P744" s="321">
        <v>1615000</v>
      </c>
      <c r="Q744" s="322">
        <v>29000</v>
      </c>
      <c r="R744" s="322">
        <v>2100</v>
      </c>
      <c r="S744" s="322">
        <v>4000</v>
      </c>
      <c r="T744" s="322">
        <v>4000</v>
      </c>
      <c r="U744" s="322">
        <f t="shared" si="57"/>
        <v>0</v>
      </c>
      <c r="W744" s="321">
        <f t="shared" si="58"/>
        <v>182</v>
      </c>
      <c r="X744" s="321">
        <f t="shared" si="59"/>
        <v>615002</v>
      </c>
      <c r="Y744" s="321">
        <v>1</v>
      </c>
      <c r="AA744" s="321" t="s">
        <v>2582</v>
      </c>
    </row>
    <row r="745" spans="1:27">
      <c r="A745" s="376">
        <v>811</v>
      </c>
      <c r="B745" s="377">
        <v>765000</v>
      </c>
      <c r="C745" s="382" t="s">
        <v>6974</v>
      </c>
      <c r="D745" s="379">
        <v>310</v>
      </c>
      <c r="E745" s="380">
        <v>300</v>
      </c>
      <c r="F745" s="380">
        <v>310</v>
      </c>
      <c r="H745" s="351">
        <f t="shared" si="60"/>
        <v>310000</v>
      </c>
      <c r="I745" s="351">
        <f t="shared" si="61"/>
        <v>310000</v>
      </c>
      <c r="M745" s="321">
        <v>1615002211</v>
      </c>
      <c r="N745" s="321">
        <v>61</v>
      </c>
      <c r="O745" s="321" t="s">
        <v>5308</v>
      </c>
      <c r="P745" s="321">
        <v>1615000</v>
      </c>
      <c r="Q745" s="322">
        <v>400000</v>
      </c>
      <c r="R745" s="322">
        <v>256000</v>
      </c>
      <c r="S745" s="322">
        <v>400000</v>
      </c>
      <c r="T745" s="322">
        <v>400000</v>
      </c>
      <c r="U745" s="322">
        <f t="shared" si="57"/>
        <v>0</v>
      </c>
      <c r="W745" s="321">
        <f t="shared" si="58"/>
        <v>211</v>
      </c>
      <c r="X745" s="321">
        <f t="shared" si="59"/>
        <v>615002</v>
      </c>
      <c r="Y745" s="321">
        <v>1</v>
      </c>
      <c r="AA745" s="321" t="s">
        <v>5308</v>
      </c>
    </row>
    <row r="746" spans="1:27">
      <c r="A746" s="376">
        <v>812</v>
      </c>
      <c r="B746" s="377">
        <v>765000</v>
      </c>
      <c r="C746" s="382" t="s">
        <v>6975</v>
      </c>
      <c r="D746" s="379">
        <v>30</v>
      </c>
      <c r="E746" s="380">
        <v>27</v>
      </c>
      <c r="F746" s="380">
        <v>30</v>
      </c>
      <c r="H746" s="351">
        <f t="shared" si="60"/>
        <v>30000</v>
      </c>
      <c r="I746" s="351">
        <f t="shared" si="61"/>
        <v>30000</v>
      </c>
      <c r="M746" s="321">
        <v>1615002320</v>
      </c>
      <c r="N746" s="321">
        <v>61</v>
      </c>
      <c r="O746" s="321" t="s">
        <v>5331</v>
      </c>
      <c r="P746" s="321">
        <v>1615000</v>
      </c>
      <c r="Q746" s="322">
        <v>0</v>
      </c>
      <c r="R746" s="322">
        <v>700</v>
      </c>
      <c r="S746" s="322">
        <v>1000</v>
      </c>
      <c r="T746" s="322">
        <v>1000</v>
      </c>
      <c r="U746" s="322">
        <f t="shared" si="57"/>
        <v>0</v>
      </c>
      <c r="W746" s="321">
        <f t="shared" si="58"/>
        <v>320</v>
      </c>
      <c r="X746" s="321">
        <f t="shared" si="59"/>
        <v>615002</v>
      </c>
      <c r="Y746" s="321">
        <v>1</v>
      </c>
      <c r="AA746" s="321" t="s">
        <v>5331</v>
      </c>
    </row>
    <row r="747" spans="1:27">
      <c r="A747" s="376">
        <v>820</v>
      </c>
      <c r="B747" s="377">
        <v>765000</v>
      </c>
      <c r="C747" s="382" t="s">
        <v>6976</v>
      </c>
      <c r="D747" s="379">
        <v>200</v>
      </c>
      <c r="E747" s="380">
        <v>0</v>
      </c>
      <c r="F747" s="380">
        <v>0</v>
      </c>
      <c r="H747" s="351">
        <f t="shared" si="60"/>
        <v>200000</v>
      </c>
      <c r="I747" s="351">
        <f t="shared" si="61"/>
        <v>0</v>
      </c>
      <c r="M747" s="321">
        <v>1616000110</v>
      </c>
      <c r="N747" s="321">
        <v>61</v>
      </c>
      <c r="O747" s="321" t="s">
        <v>5205</v>
      </c>
      <c r="P747" s="321">
        <v>1616000</v>
      </c>
      <c r="Q747" s="322">
        <v>392000</v>
      </c>
      <c r="R747" s="322">
        <v>297900</v>
      </c>
      <c r="S747" s="322">
        <v>411000</v>
      </c>
      <c r="T747" s="322">
        <v>411000</v>
      </c>
      <c r="U747" s="322">
        <f t="shared" si="57"/>
        <v>0</v>
      </c>
      <c r="W747" s="321">
        <f t="shared" si="58"/>
        <v>110</v>
      </c>
      <c r="X747" s="321">
        <f t="shared" si="59"/>
        <v>616000</v>
      </c>
      <c r="Y747" s="321">
        <v>1</v>
      </c>
      <c r="AA747" s="321" t="s">
        <v>5205</v>
      </c>
    </row>
    <row r="748" spans="1:27">
      <c r="A748" s="376">
        <v>821</v>
      </c>
      <c r="B748" s="377">
        <v>765000</v>
      </c>
      <c r="C748" s="382" t="s">
        <v>6977</v>
      </c>
      <c r="D748" s="379">
        <v>600</v>
      </c>
      <c r="E748" s="380">
        <v>600</v>
      </c>
      <c r="F748" s="380">
        <v>600</v>
      </c>
      <c r="H748" s="351">
        <f t="shared" si="60"/>
        <v>600000</v>
      </c>
      <c r="I748" s="351">
        <f t="shared" si="61"/>
        <v>600000</v>
      </c>
      <c r="M748" s="321">
        <v>1616000120</v>
      </c>
      <c r="N748" s="321">
        <v>61</v>
      </c>
      <c r="O748" s="321" t="s">
        <v>5206</v>
      </c>
      <c r="P748" s="321">
        <v>1616000</v>
      </c>
      <c r="Q748" s="322">
        <v>84000</v>
      </c>
      <c r="R748" s="322">
        <v>76400</v>
      </c>
      <c r="S748" s="322">
        <v>90000</v>
      </c>
      <c r="T748" s="322">
        <v>90000</v>
      </c>
      <c r="U748" s="322">
        <f t="shared" si="57"/>
        <v>0</v>
      </c>
      <c r="W748" s="321">
        <f t="shared" si="58"/>
        <v>120</v>
      </c>
      <c r="X748" s="321">
        <f t="shared" si="59"/>
        <v>616000</v>
      </c>
      <c r="Y748" s="321">
        <v>1</v>
      </c>
      <c r="AA748" s="321" t="s">
        <v>5206</v>
      </c>
    </row>
    <row r="749" spans="1:27">
      <c r="A749" s="376">
        <v>100</v>
      </c>
      <c r="B749" s="377">
        <v>766000</v>
      </c>
      <c r="C749" s="382" t="s">
        <v>6747</v>
      </c>
      <c r="D749" s="379">
        <v>303</v>
      </c>
      <c r="E749" s="380">
        <v>282</v>
      </c>
      <c r="F749" s="380">
        <v>290</v>
      </c>
      <c r="H749" s="351">
        <f t="shared" si="60"/>
        <v>303000</v>
      </c>
      <c r="I749" s="351">
        <f t="shared" si="61"/>
        <v>290000</v>
      </c>
      <c r="M749" s="321">
        <v>1616000130</v>
      </c>
      <c r="N749" s="321">
        <v>61</v>
      </c>
      <c r="O749" s="321" t="s">
        <v>2576</v>
      </c>
      <c r="P749" s="321">
        <v>1616000</v>
      </c>
      <c r="Q749" s="322">
        <v>39000</v>
      </c>
      <c r="R749" s="322">
        <v>30700</v>
      </c>
      <c r="S749" s="322">
        <v>41000</v>
      </c>
      <c r="T749" s="322">
        <v>36900</v>
      </c>
      <c r="U749" s="322">
        <f t="shared" si="57"/>
        <v>4100</v>
      </c>
      <c r="W749" s="321">
        <f t="shared" si="58"/>
        <v>130</v>
      </c>
      <c r="X749" s="321">
        <f t="shared" si="59"/>
        <v>616000</v>
      </c>
      <c r="Y749" s="321">
        <v>1</v>
      </c>
      <c r="AA749" s="321" t="s">
        <v>2576</v>
      </c>
    </row>
    <row r="750" spans="1:27">
      <c r="A750" s="376">
        <v>560</v>
      </c>
      <c r="B750" s="377">
        <v>766000</v>
      </c>
      <c r="C750" s="382" t="s">
        <v>6753</v>
      </c>
      <c r="D750" s="379">
        <v>20</v>
      </c>
      <c r="E750" s="380">
        <v>20</v>
      </c>
      <c r="F750" s="380">
        <v>20</v>
      </c>
      <c r="H750" s="351">
        <f t="shared" si="60"/>
        <v>20000</v>
      </c>
      <c r="I750" s="351">
        <f t="shared" si="61"/>
        <v>20000</v>
      </c>
      <c r="M750" s="321">
        <v>1616000140</v>
      </c>
      <c r="N750" s="321">
        <v>61</v>
      </c>
      <c r="O750" s="321" t="s">
        <v>5207</v>
      </c>
      <c r="P750" s="321">
        <v>1616000</v>
      </c>
      <c r="Q750" s="322">
        <v>75000</v>
      </c>
      <c r="R750" s="322">
        <v>72600</v>
      </c>
      <c r="S750" s="322">
        <v>95000</v>
      </c>
      <c r="T750" s="322">
        <v>95000</v>
      </c>
      <c r="U750" s="322">
        <f t="shared" si="57"/>
        <v>0</v>
      </c>
      <c r="W750" s="321">
        <f t="shared" si="58"/>
        <v>140</v>
      </c>
      <c r="X750" s="321">
        <f t="shared" si="59"/>
        <v>616000</v>
      </c>
      <c r="Y750" s="321">
        <v>1</v>
      </c>
      <c r="AA750" s="321" t="s">
        <v>5207</v>
      </c>
    </row>
    <row r="751" spans="1:27">
      <c r="A751" s="376">
        <v>810</v>
      </c>
      <c r="B751" s="377">
        <v>766000</v>
      </c>
      <c r="C751" s="382" t="s">
        <v>6978</v>
      </c>
      <c r="D751" s="379">
        <v>2277</v>
      </c>
      <c r="E751" s="380">
        <v>2100</v>
      </c>
      <c r="F751" s="380">
        <v>2120</v>
      </c>
      <c r="H751" s="351">
        <f t="shared" si="60"/>
        <v>2277000</v>
      </c>
      <c r="I751" s="351">
        <f t="shared" si="61"/>
        <v>2120000</v>
      </c>
      <c r="M751" s="321">
        <v>1616000141</v>
      </c>
      <c r="N751" s="321">
        <v>61</v>
      </c>
      <c r="O751" s="321" t="s">
        <v>5208</v>
      </c>
      <c r="P751" s="321">
        <v>1616000</v>
      </c>
      <c r="Q751" s="322">
        <v>23000</v>
      </c>
      <c r="R751" s="322">
        <v>14800</v>
      </c>
      <c r="S751" s="322">
        <v>20000</v>
      </c>
      <c r="T751" s="322">
        <v>20000</v>
      </c>
      <c r="U751" s="322">
        <f t="shared" si="57"/>
        <v>0</v>
      </c>
      <c r="W751" s="321">
        <f t="shared" si="58"/>
        <v>141</v>
      </c>
      <c r="X751" s="321">
        <f t="shared" si="59"/>
        <v>616000</v>
      </c>
      <c r="Y751" s="321">
        <v>1</v>
      </c>
      <c r="AA751" s="321" t="s">
        <v>5208</v>
      </c>
    </row>
    <row r="752" spans="1:27">
      <c r="A752" s="376">
        <v>811</v>
      </c>
      <c r="B752" s="377">
        <v>766000</v>
      </c>
      <c r="C752" s="382" t="s">
        <v>6979</v>
      </c>
      <c r="D752" s="379">
        <v>300</v>
      </c>
      <c r="E752" s="380">
        <v>300</v>
      </c>
      <c r="F752" s="380">
        <v>300</v>
      </c>
      <c r="H752" s="351">
        <f t="shared" si="60"/>
        <v>300000</v>
      </c>
      <c r="I752" s="351">
        <f t="shared" si="61"/>
        <v>300000</v>
      </c>
      <c r="M752" s="321">
        <v>1616000181</v>
      </c>
      <c r="N752" s="321">
        <v>61</v>
      </c>
      <c r="O752" s="321" t="s">
        <v>2580</v>
      </c>
      <c r="P752" s="321">
        <v>1616000</v>
      </c>
      <c r="Q752" s="322">
        <v>71000</v>
      </c>
      <c r="R752" s="322">
        <v>57100</v>
      </c>
      <c r="S752" s="322">
        <v>76000</v>
      </c>
      <c r="T752" s="322">
        <v>76000</v>
      </c>
      <c r="U752" s="322">
        <f t="shared" si="57"/>
        <v>0</v>
      </c>
      <c r="W752" s="321">
        <f t="shared" si="58"/>
        <v>181</v>
      </c>
      <c r="X752" s="321">
        <f t="shared" si="59"/>
        <v>616000</v>
      </c>
      <c r="Y752" s="321">
        <v>1</v>
      </c>
      <c r="AA752" s="321" t="s">
        <v>2580</v>
      </c>
    </row>
    <row r="753" spans="1:27">
      <c r="A753" s="376">
        <v>812</v>
      </c>
      <c r="B753" s="377">
        <v>766000</v>
      </c>
      <c r="C753" s="382" t="s">
        <v>6980</v>
      </c>
      <c r="D753" s="379">
        <v>940</v>
      </c>
      <c r="E753" s="380">
        <v>940</v>
      </c>
      <c r="F753" s="380">
        <v>940</v>
      </c>
      <c r="H753" s="351">
        <f t="shared" si="60"/>
        <v>940000</v>
      </c>
      <c r="I753" s="351">
        <f t="shared" si="61"/>
        <v>940000</v>
      </c>
      <c r="M753" s="321">
        <v>1616000182</v>
      </c>
      <c r="N753" s="321">
        <v>61</v>
      </c>
      <c r="O753" s="321" t="s">
        <v>2582</v>
      </c>
      <c r="P753" s="321">
        <v>1616000</v>
      </c>
      <c r="Q753" s="322">
        <v>84000</v>
      </c>
      <c r="R753" s="322">
        <v>69600</v>
      </c>
      <c r="S753" s="322">
        <v>95000</v>
      </c>
      <c r="T753" s="322">
        <v>95000</v>
      </c>
      <c r="U753" s="322">
        <f t="shared" si="57"/>
        <v>0</v>
      </c>
      <c r="W753" s="321">
        <f t="shared" si="58"/>
        <v>182</v>
      </c>
      <c r="X753" s="321">
        <f t="shared" si="59"/>
        <v>616000</v>
      </c>
      <c r="Y753" s="321">
        <v>1</v>
      </c>
      <c r="AA753" s="321" t="s">
        <v>2582</v>
      </c>
    </row>
    <row r="754" spans="1:27">
      <c r="A754" s="376">
        <v>440</v>
      </c>
      <c r="B754" s="377">
        <v>767000</v>
      </c>
      <c r="C754" s="382" t="s">
        <v>6981</v>
      </c>
      <c r="D754" s="379">
        <v>1245</v>
      </c>
      <c r="E754" s="380">
        <v>1200</v>
      </c>
      <c r="F754" s="380">
        <v>1185</v>
      </c>
      <c r="H754" s="351">
        <f t="shared" si="60"/>
        <v>1245000</v>
      </c>
      <c r="I754" s="351">
        <f t="shared" si="61"/>
        <v>1185000</v>
      </c>
      <c r="M754" s="321">
        <v>1616000470</v>
      </c>
      <c r="N754" s="321">
        <v>61</v>
      </c>
      <c r="O754" s="321" t="s">
        <v>2830</v>
      </c>
      <c r="P754" s="321">
        <v>1616000</v>
      </c>
      <c r="Q754" s="322">
        <v>2000</v>
      </c>
      <c r="R754" s="322">
        <v>700</v>
      </c>
      <c r="S754" s="322">
        <v>2000</v>
      </c>
      <c r="T754" s="322">
        <v>2000</v>
      </c>
      <c r="U754" s="322">
        <f t="shared" si="57"/>
        <v>0</v>
      </c>
      <c r="W754" s="321">
        <f t="shared" si="58"/>
        <v>470</v>
      </c>
      <c r="X754" s="321">
        <f t="shared" si="59"/>
        <v>616000</v>
      </c>
      <c r="Y754" s="321">
        <v>1</v>
      </c>
      <c r="AA754" s="321" t="s">
        <v>2830</v>
      </c>
    </row>
    <row r="755" spans="1:27">
      <c r="A755" s="376">
        <v>442</v>
      </c>
      <c r="B755" s="377">
        <v>767000</v>
      </c>
      <c r="C755" s="382" t="s">
        <v>6982</v>
      </c>
      <c r="D755" s="379">
        <v>1200</v>
      </c>
      <c r="E755" s="380">
        <v>1000</v>
      </c>
      <c r="F755" s="380">
        <v>2000</v>
      </c>
      <c r="H755" s="351">
        <f t="shared" si="60"/>
        <v>1200000</v>
      </c>
      <c r="I755" s="351">
        <f t="shared" si="61"/>
        <v>2000000</v>
      </c>
      <c r="M755" s="321">
        <v>1616000471</v>
      </c>
      <c r="N755" s="321">
        <v>61</v>
      </c>
      <c r="O755" s="321" t="s">
        <v>5332</v>
      </c>
      <c r="P755" s="321">
        <v>1616000</v>
      </c>
      <c r="Q755" s="322">
        <v>3500</v>
      </c>
      <c r="R755" s="322">
        <v>3500</v>
      </c>
      <c r="S755" s="322">
        <v>3700</v>
      </c>
      <c r="T755" s="322">
        <v>3700</v>
      </c>
      <c r="U755" s="322">
        <f t="shared" si="57"/>
        <v>0</v>
      </c>
      <c r="W755" s="321">
        <f t="shared" si="58"/>
        <v>471</v>
      </c>
      <c r="X755" s="321">
        <f t="shared" si="59"/>
        <v>616000</v>
      </c>
      <c r="Y755" s="321">
        <v>1</v>
      </c>
      <c r="AA755" s="321" t="s">
        <v>5332</v>
      </c>
    </row>
    <row r="756" spans="1:27">
      <c r="A756" s="376">
        <v>444</v>
      </c>
      <c r="B756" s="377">
        <v>767000</v>
      </c>
      <c r="C756" s="382" t="s">
        <v>6983</v>
      </c>
      <c r="D756" s="379">
        <v>3200</v>
      </c>
      <c r="E756" s="380">
        <v>3100</v>
      </c>
      <c r="F756" s="380">
        <v>3230</v>
      </c>
      <c r="H756" s="351">
        <f t="shared" si="60"/>
        <v>3200000</v>
      </c>
      <c r="I756" s="351">
        <f t="shared" si="61"/>
        <v>3230000</v>
      </c>
      <c r="M756" s="321">
        <v>1616000520</v>
      </c>
      <c r="N756" s="321">
        <v>61</v>
      </c>
      <c r="O756" s="321" t="s">
        <v>5333</v>
      </c>
      <c r="P756" s="321">
        <v>1616000</v>
      </c>
      <c r="Q756" s="322">
        <v>180000</v>
      </c>
      <c r="R756" s="322">
        <v>101100</v>
      </c>
      <c r="S756" s="322">
        <v>180000</v>
      </c>
      <c r="T756" s="322">
        <v>180000</v>
      </c>
      <c r="U756" s="322">
        <f t="shared" si="57"/>
        <v>0</v>
      </c>
      <c r="W756" s="321">
        <f t="shared" si="58"/>
        <v>520</v>
      </c>
      <c r="X756" s="321">
        <f t="shared" si="59"/>
        <v>616000</v>
      </c>
      <c r="Y756" s="321">
        <v>1</v>
      </c>
      <c r="AA756" s="321" t="s">
        <v>5333</v>
      </c>
    </row>
    <row r="757" spans="1:27">
      <c r="A757" s="376">
        <v>445</v>
      </c>
      <c r="B757" s="377">
        <v>767000</v>
      </c>
      <c r="C757" s="382" t="s">
        <v>6984</v>
      </c>
      <c r="D757" s="379">
        <v>375</v>
      </c>
      <c r="E757" s="380">
        <v>250</v>
      </c>
      <c r="F757" s="380">
        <v>475</v>
      </c>
      <c r="H757" s="351">
        <f t="shared" si="60"/>
        <v>375000</v>
      </c>
      <c r="I757" s="351">
        <f t="shared" si="61"/>
        <v>475000</v>
      </c>
      <c r="M757" s="321">
        <v>1616000522</v>
      </c>
      <c r="N757" s="321">
        <v>61</v>
      </c>
      <c r="O757" s="321" t="s">
        <v>2608</v>
      </c>
      <c r="P757" s="321">
        <v>1616000</v>
      </c>
      <c r="Q757" s="322">
        <v>2000</v>
      </c>
      <c r="R757" s="322">
        <v>700</v>
      </c>
      <c r="S757" s="322">
        <v>2000</v>
      </c>
      <c r="T757" s="322">
        <v>2000</v>
      </c>
      <c r="U757" s="322">
        <f t="shared" si="57"/>
        <v>0</v>
      </c>
      <c r="W757" s="321">
        <f t="shared" si="58"/>
        <v>522</v>
      </c>
      <c r="X757" s="321">
        <f t="shared" si="59"/>
        <v>616000</v>
      </c>
      <c r="Y757" s="321">
        <v>1</v>
      </c>
      <c r="AA757" s="321" t="s">
        <v>2608</v>
      </c>
    </row>
    <row r="758" spans="1:27">
      <c r="A758" s="376">
        <v>100</v>
      </c>
      <c r="B758" s="377">
        <v>769100</v>
      </c>
      <c r="C758" s="382" t="s">
        <v>6747</v>
      </c>
      <c r="D758" s="379">
        <v>458</v>
      </c>
      <c r="E758" s="380">
        <v>435</v>
      </c>
      <c r="F758" s="380">
        <v>430</v>
      </c>
      <c r="H758" s="351">
        <f t="shared" si="60"/>
        <v>458000</v>
      </c>
      <c r="I758" s="351">
        <f t="shared" si="61"/>
        <v>430000</v>
      </c>
      <c r="M758" s="321">
        <v>1616000540</v>
      </c>
      <c r="N758" s="321">
        <v>61</v>
      </c>
      <c r="O758" s="321" t="s">
        <v>5216</v>
      </c>
      <c r="P758" s="321">
        <v>1616000</v>
      </c>
      <c r="Q758" s="322">
        <v>1000</v>
      </c>
      <c r="R758" s="322">
        <v>500</v>
      </c>
      <c r="S758" s="322">
        <v>1000</v>
      </c>
      <c r="T758" s="322">
        <v>1000</v>
      </c>
      <c r="U758" s="322">
        <f t="shared" si="57"/>
        <v>0</v>
      </c>
      <c r="W758" s="321">
        <f t="shared" si="58"/>
        <v>540</v>
      </c>
      <c r="X758" s="321">
        <f t="shared" si="59"/>
        <v>616000</v>
      </c>
      <c r="Y758" s="321">
        <v>1</v>
      </c>
      <c r="AA758" s="321" t="s">
        <v>5216</v>
      </c>
    </row>
    <row r="759" spans="1:27">
      <c r="A759" s="376">
        <v>530</v>
      </c>
      <c r="B759" s="377">
        <v>769100</v>
      </c>
      <c r="C759" s="382" t="s">
        <v>6831</v>
      </c>
      <c r="D759" s="379">
        <v>71</v>
      </c>
      <c r="E759" s="380">
        <v>35</v>
      </c>
      <c r="F759" s="380">
        <v>35</v>
      </c>
      <c r="H759" s="351">
        <f t="shared" si="60"/>
        <v>71000</v>
      </c>
      <c r="I759" s="351">
        <f t="shared" si="61"/>
        <v>35000</v>
      </c>
      <c r="M759" s="321">
        <v>1616000542</v>
      </c>
      <c r="N759" s="321">
        <v>61</v>
      </c>
      <c r="O759" s="321" t="s">
        <v>5334</v>
      </c>
      <c r="P759" s="321">
        <v>1616000</v>
      </c>
      <c r="Q759" s="322">
        <v>1300</v>
      </c>
      <c r="R759" s="322">
        <v>800</v>
      </c>
      <c r="S759" s="322">
        <v>3000</v>
      </c>
      <c r="T759" s="322">
        <v>3000</v>
      </c>
      <c r="U759" s="322">
        <f t="shared" si="57"/>
        <v>0</v>
      </c>
      <c r="W759" s="321">
        <f t="shared" si="58"/>
        <v>542</v>
      </c>
      <c r="X759" s="321">
        <f t="shared" si="59"/>
        <v>616000</v>
      </c>
      <c r="Y759" s="321">
        <v>1</v>
      </c>
      <c r="AA759" s="321" t="s">
        <v>5334</v>
      </c>
    </row>
    <row r="760" spans="1:27">
      <c r="A760" s="376">
        <v>540</v>
      </c>
      <c r="B760" s="377">
        <v>769100</v>
      </c>
      <c r="C760" s="382" t="s">
        <v>6985</v>
      </c>
      <c r="D760" s="379">
        <v>9</v>
      </c>
      <c r="E760" s="380">
        <v>9</v>
      </c>
      <c r="F760" s="380">
        <v>12</v>
      </c>
      <c r="H760" s="351">
        <f t="shared" si="60"/>
        <v>9000</v>
      </c>
      <c r="I760" s="351">
        <f t="shared" si="61"/>
        <v>12000</v>
      </c>
      <c r="M760" s="321">
        <v>1616000572</v>
      </c>
      <c r="N760" s="321">
        <v>61</v>
      </c>
      <c r="O760" s="321" t="s">
        <v>5253</v>
      </c>
      <c r="P760" s="321">
        <v>1616000</v>
      </c>
      <c r="Q760" s="322">
        <v>0</v>
      </c>
      <c r="R760" s="322">
        <v>0</v>
      </c>
      <c r="S760" s="322">
        <v>10500</v>
      </c>
      <c r="T760" s="322">
        <v>10500</v>
      </c>
      <c r="U760" s="322">
        <f t="shared" si="57"/>
        <v>0</v>
      </c>
      <c r="W760" s="321">
        <f t="shared" si="58"/>
        <v>572</v>
      </c>
      <c r="X760" s="321">
        <f t="shared" si="59"/>
        <v>616000</v>
      </c>
      <c r="Y760" s="321">
        <v>1</v>
      </c>
      <c r="AA760" s="321" t="s">
        <v>5253</v>
      </c>
    </row>
    <row r="761" spans="1:27">
      <c r="A761" s="376">
        <v>750</v>
      </c>
      <c r="B761" s="377">
        <v>769100</v>
      </c>
      <c r="C761" s="382" t="s">
        <v>6986</v>
      </c>
      <c r="D761" s="379">
        <v>12</v>
      </c>
      <c r="E761" s="380">
        <v>12</v>
      </c>
      <c r="F761" s="380">
        <v>12</v>
      </c>
      <c r="H761" s="351">
        <f t="shared" si="60"/>
        <v>12000</v>
      </c>
      <c r="I761" s="351">
        <f t="shared" si="61"/>
        <v>12000</v>
      </c>
      <c r="M761" s="321">
        <v>1616000580</v>
      </c>
      <c r="N761" s="321">
        <v>61</v>
      </c>
      <c r="O761" s="321" t="s">
        <v>3828</v>
      </c>
      <c r="P761" s="321">
        <v>1616000</v>
      </c>
      <c r="Q761" s="322">
        <v>260000</v>
      </c>
      <c r="R761" s="322">
        <v>165900</v>
      </c>
      <c r="S761" s="322">
        <v>260000</v>
      </c>
      <c r="T761" s="322">
        <v>260000</v>
      </c>
      <c r="U761" s="322">
        <f t="shared" si="57"/>
        <v>0</v>
      </c>
      <c r="W761" s="321">
        <f t="shared" si="58"/>
        <v>580</v>
      </c>
      <c r="X761" s="321">
        <f t="shared" si="59"/>
        <v>616000</v>
      </c>
      <c r="Y761" s="321">
        <v>1</v>
      </c>
      <c r="AA761" s="321" t="s">
        <v>3828</v>
      </c>
    </row>
    <row r="762" spans="1:27">
      <c r="A762" s="376">
        <v>755</v>
      </c>
      <c r="B762" s="377">
        <v>769100</v>
      </c>
      <c r="C762" s="382" t="s">
        <v>6777</v>
      </c>
      <c r="D762" s="379">
        <v>5</v>
      </c>
      <c r="E762" s="380">
        <v>4</v>
      </c>
      <c r="F762" s="380">
        <v>5</v>
      </c>
      <c r="H762" s="351">
        <f t="shared" si="60"/>
        <v>5000</v>
      </c>
      <c r="I762" s="351">
        <f t="shared" si="61"/>
        <v>5000</v>
      </c>
      <c r="M762" s="321">
        <v>1617000110</v>
      </c>
      <c r="N762" s="321">
        <v>61</v>
      </c>
      <c r="O762" s="321" t="s">
        <v>5231</v>
      </c>
      <c r="P762" s="321">
        <v>1617000</v>
      </c>
      <c r="Q762" s="322">
        <v>2078000</v>
      </c>
      <c r="R762" s="322">
        <v>1590000</v>
      </c>
      <c r="S762" s="322">
        <v>2277000</v>
      </c>
      <c r="T762" s="322">
        <v>2097000</v>
      </c>
      <c r="U762" s="322">
        <f t="shared" si="57"/>
        <v>180000</v>
      </c>
      <c r="W762" s="321">
        <f t="shared" si="58"/>
        <v>110</v>
      </c>
      <c r="X762" s="321">
        <f t="shared" si="59"/>
        <v>617000</v>
      </c>
      <c r="Y762" s="321">
        <v>1</v>
      </c>
      <c r="AA762" s="321" t="s">
        <v>5231</v>
      </c>
    </row>
    <row r="763" spans="1:27">
      <c r="A763" s="376">
        <v>780</v>
      </c>
      <c r="B763" s="377">
        <v>769100</v>
      </c>
      <c r="C763" s="382" t="s">
        <v>129</v>
      </c>
      <c r="D763" s="379">
        <v>280</v>
      </c>
      <c r="E763" s="380">
        <v>300</v>
      </c>
      <c r="F763" s="380">
        <v>300</v>
      </c>
      <c r="H763" s="351">
        <f t="shared" si="60"/>
        <v>280000</v>
      </c>
      <c r="I763" s="351">
        <f t="shared" si="61"/>
        <v>300000</v>
      </c>
      <c r="M763" s="321">
        <v>1617000120</v>
      </c>
      <c r="N763" s="321">
        <v>61</v>
      </c>
      <c r="O763" s="321" t="s">
        <v>5206</v>
      </c>
      <c r="P763" s="321">
        <v>1617000</v>
      </c>
      <c r="Q763" s="322">
        <v>242000</v>
      </c>
      <c r="R763" s="322">
        <v>208000</v>
      </c>
      <c r="S763" s="322">
        <v>261000</v>
      </c>
      <c r="T763" s="322">
        <v>261000</v>
      </c>
      <c r="U763" s="322">
        <f t="shared" si="57"/>
        <v>0</v>
      </c>
      <c r="W763" s="321">
        <f t="shared" si="58"/>
        <v>120</v>
      </c>
      <c r="X763" s="321">
        <f t="shared" si="59"/>
        <v>617000</v>
      </c>
      <c r="Y763" s="321">
        <v>1</v>
      </c>
      <c r="AA763" s="321" t="s">
        <v>5206</v>
      </c>
    </row>
    <row r="764" spans="1:27">
      <c r="A764" s="376">
        <v>100</v>
      </c>
      <c r="B764" s="377">
        <v>769200</v>
      </c>
      <c r="C764" s="382" t="s">
        <v>6747</v>
      </c>
      <c r="D764" s="379">
        <v>368</v>
      </c>
      <c r="E764" s="380">
        <v>360</v>
      </c>
      <c r="F764" s="380">
        <v>315</v>
      </c>
      <c r="H764" s="351">
        <f t="shared" si="60"/>
        <v>368000</v>
      </c>
      <c r="I764" s="351">
        <f t="shared" si="61"/>
        <v>315000</v>
      </c>
      <c r="M764" s="321">
        <v>1617000130</v>
      </c>
      <c r="N764" s="321">
        <v>61</v>
      </c>
      <c r="O764" s="321" t="s">
        <v>2576</v>
      </c>
      <c r="P764" s="321">
        <v>1617000</v>
      </c>
      <c r="Q764" s="322">
        <v>19000</v>
      </c>
      <c r="R764" s="322">
        <v>11200</v>
      </c>
      <c r="S764" s="322">
        <v>14000</v>
      </c>
      <c r="T764" s="322">
        <v>12600</v>
      </c>
      <c r="U764" s="322">
        <f t="shared" si="57"/>
        <v>1400</v>
      </c>
      <c r="W764" s="321">
        <f t="shared" si="58"/>
        <v>130</v>
      </c>
      <c r="X764" s="321">
        <f t="shared" si="59"/>
        <v>617000</v>
      </c>
      <c r="Y764" s="321">
        <v>1</v>
      </c>
      <c r="AA764" s="321" t="s">
        <v>2576</v>
      </c>
    </row>
    <row r="765" spans="1:27">
      <c r="A765" s="376">
        <v>420</v>
      </c>
      <c r="B765" s="377">
        <v>769200</v>
      </c>
      <c r="C765" s="382" t="s">
        <v>6987</v>
      </c>
      <c r="D765" s="379">
        <v>15</v>
      </c>
      <c r="E765" s="380">
        <v>15</v>
      </c>
      <c r="F765" s="380">
        <v>15</v>
      </c>
      <c r="H765" s="351">
        <f t="shared" si="60"/>
        <v>15000</v>
      </c>
      <c r="I765" s="351">
        <f t="shared" si="61"/>
        <v>15000</v>
      </c>
      <c r="M765" s="321">
        <v>1617000140</v>
      </c>
      <c r="N765" s="321">
        <v>61</v>
      </c>
      <c r="O765" s="321" t="s">
        <v>5207</v>
      </c>
      <c r="P765" s="321">
        <v>1617000</v>
      </c>
      <c r="Q765" s="322">
        <v>314000</v>
      </c>
      <c r="R765" s="322">
        <v>232800</v>
      </c>
      <c r="S765" s="322">
        <v>336000</v>
      </c>
      <c r="T765" s="322">
        <v>336000</v>
      </c>
      <c r="U765" s="322">
        <f t="shared" si="57"/>
        <v>0</v>
      </c>
      <c r="W765" s="321">
        <f t="shared" si="58"/>
        <v>140</v>
      </c>
      <c r="X765" s="321">
        <f t="shared" si="59"/>
        <v>617000</v>
      </c>
      <c r="Y765" s="321">
        <v>1</v>
      </c>
      <c r="AA765" s="321" t="s">
        <v>5207</v>
      </c>
    </row>
    <row r="766" spans="1:27">
      <c r="A766" s="376">
        <v>470</v>
      </c>
      <c r="B766" s="377">
        <v>769200</v>
      </c>
      <c r="C766" s="382" t="s">
        <v>6769</v>
      </c>
      <c r="D766" s="379">
        <v>7</v>
      </c>
      <c r="E766" s="380">
        <v>10</v>
      </c>
      <c r="F766" s="380">
        <v>10</v>
      </c>
      <c r="H766" s="351">
        <f t="shared" si="60"/>
        <v>7000</v>
      </c>
      <c r="I766" s="351">
        <f t="shared" si="61"/>
        <v>10000</v>
      </c>
      <c r="M766" s="321">
        <v>1617000141</v>
      </c>
      <c r="N766" s="321">
        <v>61</v>
      </c>
      <c r="O766" s="321" t="s">
        <v>5208</v>
      </c>
      <c r="P766" s="321">
        <v>1617000</v>
      </c>
      <c r="Q766" s="322">
        <v>89000</v>
      </c>
      <c r="R766" s="322">
        <v>72800</v>
      </c>
      <c r="S766" s="322">
        <v>105000</v>
      </c>
      <c r="T766" s="322">
        <v>105000</v>
      </c>
      <c r="U766" s="322">
        <f t="shared" si="57"/>
        <v>0</v>
      </c>
      <c r="W766" s="321">
        <f t="shared" si="58"/>
        <v>141</v>
      </c>
      <c r="X766" s="321">
        <f t="shared" si="59"/>
        <v>617000</v>
      </c>
      <c r="Y766" s="321">
        <v>1</v>
      </c>
      <c r="AA766" s="321" t="s">
        <v>5208</v>
      </c>
    </row>
    <row r="767" spans="1:27">
      <c r="A767" s="376">
        <v>540</v>
      </c>
      <c r="B767" s="377">
        <v>769200</v>
      </c>
      <c r="C767" s="382" t="s">
        <v>6752</v>
      </c>
      <c r="D767" s="379">
        <v>6</v>
      </c>
      <c r="E767" s="380">
        <v>6</v>
      </c>
      <c r="F767" s="380">
        <v>5</v>
      </c>
      <c r="H767" s="351">
        <f t="shared" si="60"/>
        <v>6000</v>
      </c>
      <c r="I767" s="351">
        <f t="shared" si="61"/>
        <v>5000</v>
      </c>
      <c r="M767" s="321">
        <v>1617000181</v>
      </c>
      <c r="N767" s="321">
        <v>61</v>
      </c>
      <c r="O767" s="321" t="s">
        <v>2580</v>
      </c>
      <c r="P767" s="321">
        <v>1617000</v>
      </c>
      <c r="Q767" s="322">
        <v>431000</v>
      </c>
      <c r="R767" s="322">
        <v>357400</v>
      </c>
      <c r="S767" s="322">
        <v>501000</v>
      </c>
      <c r="T767" s="322">
        <v>501000</v>
      </c>
      <c r="U767" s="322">
        <f t="shared" si="57"/>
        <v>0</v>
      </c>
      <c r="W767" s="321">
        <f t="shared" si="58"/>
        <v>181</v>
      </c>
      <c r="X767" s="321">
        <f t="shared" si="59"/>
        <v>617000</v>
      </c>
      <c r="Y767" s="321">
        <v>1</v>
      </c>
      <c r="AA767" s="321" t="s">
        <v>2580</v>
      </c>
    </row>
    <row r="768" spans="1:27">
      <c r="A768" s="376">
        <v>550</v>
      </c>
      <c r="B768" s="377">
        <v>769200</v>
      </c>
      <c r="C768" s="382" t="s">
        <v>6737</v>
      </c>
      <c r="D768" s="379">
        <v>40</v>
      </c>
      <c r="E768" s="380">
        <v>40</v>
      </c>
      <c r="F768" s="380">
        <v>40</v>
      </c>
      <c r="H768" s="351">
        <f t="shared" si="60"/>
        <v>40000</v>
      </c>
      <c r="I768" s="351">
        <f t="shared" si="61"/>
        <v>40000</v>
      </c>
      <c r="M768" s="321">
        <v>1617000182</v>
      </c>
      <c r="N768" s="321">
        <v>61</v>
      </c>
      <c r="O768" s="321" t="s">
        <v>2582</v>
      </c>
      <c r="P768" s="321">
        <v>1617000</v>
      </c>
      <c r="Q768" s="322">
        <v>385000</v>
      </c>
      <c r="R768" s="322">
        <v>297900</v>
      </c>
      <c r="S768" s="322">
        <v>430000</v>
      </c>
      <c r="T768" s="322">
        <v>430000</v>
      </c>
      <c r="U768" s="322">
        <f t="shared" si="57"/>
        <v>0</v>
      </c>
      <c r="W768" s="321">
        <f t="shared" si="58"/>
        <v>182</v>
      </c>
      <c r="X768" s="321">
        <f t="shared" si="59"/>
        <v>617000</v>
      </c>
      <c r="Y768" s="321">
        <v>1</v>
      </c>
      <c r="AA768" s="321" t="s">
        <v>2582</v>
      </c>
    </row>
    <row r="769" spans="1:27">
      <c r="A769" s="376">
        <v>570</v>
      </c>
      <c r="B769" s="377">
        <v>769200</v>
      </c>
      <c r="C769" s="382" t="s">
        <v>6739</v>
      </c>
      <c r="D769" s="379">
        <v>31</v>
      </c>
      <c r="E769" s="380">
        <v>16</v>
      </c>
      <c r="F769" s="380">
        <v>16</v>
      </c>
      <c r="H769" s="351">
        <f t="shared" si="60"/>
        <v>31000</v>
      </c>
      <c r="I769" s="351">
        <f t="shared" si="61"/>
        <v>16000</v>
      </c>
      <c r="M769" s="321">
        <v>1617000210</v>
      </c>
      <c r="N769" s="321">
        <v>61</v>
      </c>
      <c r="O769" s="321" t="s">
        <v>5291</v>
      </c>
      <c r="P769" s="321">
        <v>1617000</v>
      </c>
      <c r="Q769" s="322">
        <v>0</v>
      </c>
      <c r="R769" s="322">
        <v>0</v>
      </c>
      <c r="S769" s="322">
        <v>0</v>
      </c>
      <c r="T769" s="322">
        <v>0</v>
      </c>
      <c r="U769" s="322">
        <f t="shared" si="57"/>
        <v>0</v>
      </c>
      <c r="W769" s="321">
        <f t="shared" si="58"/>
        <v>210</v>
      </c>
      <c r="X769" s="321">
        <f t="shared" si="59"/>
        <v>617000</v>
      </c>
      <c r="Y769" s="321">
        <v>1</v>
      </c>
      <c r="AA769" s="321" t="s">
        <v>5291</v>
      </c>
    </row>
    <row r="770" spans="1:27">
      <c r="A770" s="376">
        <v>750</v>
      </c>
      <c r="B770" s="377">
        <v>769200</v>
      </c>
      <c r="C770" s="382" t="s">
        <v>6804</v>
      </c>
      <c r="D770" s="379">
        <v>35</v>
      </c>
      <c r="E770" s="380">
        <v>35</v>
      </c>
      <c r="F770" s="380">
        <v>35</v>
      </c>
      <c r="H770" s="351">
        <f t="shared" si="60"/>
        <v>35000</v>
      </c>
      <c r="I770" s="351">
        <f t="shared" si="61"/>
        <v>35000</v>
      </c>
      <c r="M770" s="321">
        <v>1617000441</v>
      </c>
      <c r="N770" s="321">
        <v>61</v>
      </c>
      <c r="O770" s="321" t="s">
        <v>3971</v>
      </c>
      <c r="P770" s="321">
        <v>1617000</v>
      </c>
      <c r="Q770" s="322">
        <v>31000</v>
      </c>
      <c r="R770" s="322">
        <v>2400</v>
      </c>
      <c r="S770" s="322">
        <v>30000</v>
      </c>
      <c r="T770" s="322">
        <v>30000</v>
      </c>
      <c r="U770" s="322">
        <f t="shared" ref="U770:U833" si="62">S770-T770</f>
        <v>0</v>
      </c>
      <c r="W770" s="321">
        <f t="shared" si="58"/>
        <v>441</v>
      </c>
      <c r="X770" s="321">
        <f t="shared" si="59"/>
        <v>617000</v>
      </c>
      <c r="Y770" s="321">
        <v>1</v>
      </c>
      <c r="AA770" s="321" t="s">
        <v>3971</v>
      </c>
    </row>
    <row r="771" spans="1:27">
      <c r="A771" s="376">
        <v>780</v>
      </c>
      <c r="B771" s="377">
        <v>769200</v>
      </c>
      <c r="C771" s="382" t="s">
        <v>129</v>
      </c>
      <c r="D771" s="379">
        <v>355</v>
      </c>
      <c r="E771" s="380">
        <v>305</v>
      </c>
      <c r="F771" s="380">
        <v>320</v>
      </c>
      <c r="H771" s="351">
        <f t="shared" si="60"/>
        <v>355000</v>
      </c>
      <c r="I771" s="351">
        <f t="shared" si="61"/>
        <v>320000</v>
      </c>
      <c r="M771" s="321">
        <v>1617000470</v>
      </c>
      <c r="N771" s="321">
        <v>61</v>
      </c>
      <c r="O771" s="321" t="s">
        <v>2830</v>
      </c>
      <c r="P771" s="321">
        <v>1617000</v>
      </c>
      <c r="Q771" s="322">
        <v>16000</v>
      </c>
      <c r="R771" s="322">
        <v>7400</v>
      </c>
      <c r="S771" s="322">
        <v>16000</v>
      </c>
      <c r="T771" s="322">
        <v>16000</v>
      </c>
      <c r="U771" s="322">
        <f t="shared" si="62"/>
        <v>0</v>
      </c>
      <c r="W771" s="321">
        <f t="shared" ref="W771:W834" si="63">M771-1000000000-X771*1000</f>
        <v>470</v>
      </c>
      <c r="X771" s="321">
        <f t="shared" ref="X771:X834" si="64">ROUNDDOWN((M771-1000000000)/1000,0)</f>
        <v>617000</v>
      </c>
      <c r="Y771" s="321">
        <v>1</v>
      </c>
      <c r="AA771" s="321" t="s">
        <v>2830</v>
      </c>
    </row>
    <row r="772" spans="1:27">
      <c r="A772" s="376">
        <v>781</v>
      </c>
      <c r="B772" s="377">
        <v>769200</v>
      </c>
      <c r="C772" s="382" t="s">
        <v>6988</v>
      </c>
      <c r="D772" s="379">
        <v>30</v>
      </c>
      <c r="E772" s="380">
        <v>30</v>
      </c>
      <c r="F772" s="380">
        <v>30</v>
      </c>
      <c r="H772" s="351">
        <f t="shared" si="60"/>
        <v>30000</v>
      </c>
      <c r="I772" s="351">
        <f t="shared" si="61"/>
        <v>30000</v>
      </c>
      <c r="M772" s="321">
        <v>1617000471</v>
      </c>
      <c r="N772" s="321">
        <v>61</v>
      </c>
      <c r="O772" s="321" t="s">
        <v>5212</v>
      </c>
      <c r="P772" s="321">
        <v>1617000</v>
      </c>
      <c r="Q772" s="322">
        <v>5800</v>
      </c>
      <c r="R772" s="322">
        <v>5800</v>
      </c>
      <c r="S772" s="322">
        <v>6200</v>
      </c>
      <c r="T772" s="322">
        <v>6200</v>
      </c>
      <c r="U772" s="322">
        <f t="shared" si="62"/>
        <v>0</v>
      </c>
      <c r="W772" s="321">
        <f t="shared" si="63"/>
        <v>471</v>
      </c>
      <c r="X772" s="321">
        <f t="shared" si="64"/>
        <v>617000</v>
      </c>
      <c r="Y772" s="321">
        <v>1</v>
      </c>
      <c r="AA772" s="321" t="s">
        <v>5212</v>
      </c>
    </row>
    <row r="773" spans="1:27">
      <c r="A773" s="376">
        <v>782</v>
      </c>
      <c r="B773" s="377">
        <v>769200</v>
      </c>
      <c r="C773" s="382" t="s">
        <v>6989</v>
      </c>
      <c r="D773" s="379">
        <v>250</v>
      </c>
      <c r="E773" s="380">
        <v>250</v>
      </c>
      <c r="F773" s="380">
        <v>250</v>
      </c>
      <c r="H773" s="351">
        <f t="shared" si="60"/>
        <v>250000</v>
      </c>
      <c r="I773" s="351">
        <f t="shared" si="61"/>
        <v>250000</v>
      </c>
      <c r="M773" s="321">
        <v>1617000510</v>
      </c>
      <c r="N773" s="321">
        <v>61</v>
      </c>
      <c r="O773" s="321" t="s">
        <v>2805</v>
      </c>
      <c r="P773" s="321">
        <v>1617000</v>
      </c>
      <c r="Q773" s="322">
        <v>2000</v>
      </c>
      <c r="R773" s="322">
        <v>900</v>
      </c>
      <c r="S773" s="322">
        <v>2000</v>
      </c>
      <c r="T773" s="322">
        <v>2000</v>
      </c>
      <c r="U773" s="322">
        <f t="shared" si="62"/>
        <v>0</v>
      </c>
      <c r="W773" s="321">
        <f t="shared" si="63"/>
        <v>510</v>
      </c>
      <c r="X773" s="321">
        <f t="shared" si="64"/>
        <v>617000</v>
      </c>
      <c r="Y773" s="321">
        <v>1</v>
      </c>
      <c r="AA773" s="321" t="s">
        <v>2805</v>
      </c>
    </row>
    <row r="774" spans="1:27">
      <c r="A774" s="376">
        <v>930</v>
      </c>
      <c r="B774" s="377">
        <v>769200</v>
      </c>
      <c r="C774" s="382" t="s">
        <v>164</v>
      </c>
      <c r="D774" s="379">
        <v>15</v>
      </c>
      <c r="E774" s="380">
        <v>15</v>
      </c>
      <c r="F774" s="380">
        <v>15</v>
      </c>
      <c r="H774" s="351">
        <f t="shared" si="60"/>
        <v>15000</v>
      </c>
      <c r="I774" s="351">
        <f t="shared" si="61"/>
        <v>15000</v>
      </c>
      <c r="M774" s="321">
        <v>1617000521</v>
      </c>
      <c r="N774" s="321">
        <v>61</v>
      </c>
      <c r="O774" s="321" t="s">
        <v>2734</v>
      </c>
      <c r="P774" s="321">
        <v>1617000</v>
      </c>
      <c r="Q774" s="322">
        <v>15000</v>
      </c>
      <c r="R774" s="322">
        <v>11800</v>
      </c>
      <c r="S774" s="322">
        <v>15000</v>
      </c>
      <c r="T774" s="322">
        <v>15000</v>
      </c>
      <c r="U774" s="322">
        <f t="shared" si="62"/>
        <v>0</v>
      </c>
      <c r="W774" s="321">
        <f t="shared" si="63"/>
        <v>521</v>
      </c>
      <c r="X774" s="321">
        <f t="shared" si="64"/>
        <v>617000</v>
      </c>
      <c r="Y774" s="321">
        <v>1</v>
      </c>
      <c r="AA774" s="321" t="s">
        <v>2734</v>
      </c>
    </row>
    <row r="775" spans="1:27">
      <c r="A775" s="376">
        <v>100</v>
      </c>
      <c r="B775" s="377">
        <v>771000</v>
      </c>
      <c r="C775" s="382" t="s">
        <v>6747</v>
      </c>
      <c r="D775" s="379">
        <v>139</v>
      </c>
      <c r="E775" s="395">
        <v>135</v>
      </c>
      <c r="F775" s="380">
        <v>135</v>
      </c>
      <c r="H775" s="351">
        <f t="shared" si="60"/>
        <v>139000</v>
      </c>
      <c r="I775" s="351">
        <f t="shared" si="61"/>
        <v>135000</v>
      </c>
      <c r="M775" s="321">
        <v>1617000522</v>
      </c>
      <c r="N775" s="321">
        <v>61</v>
      </c>
      <c r="O775" s="321" t="s">
        <v>5214</v>
      </c>
      <c r="P775" s="321">
        <v>1617000</v>
      </c>
      <c r="Q775" s="322">
        <v>15000</v>
      </c>
      <c r="R775" s="322">
        <v>1300</v>
      </c>
      <c r="S775" s="322">
        <v>15000</v>
      </c>
      <c r="T775" s="322">
        <v>15000</v>
      </c>
      <c r="U775" s="322">
        <f t="shared" si="62"/>
        <v>0</v>
      </c>
      <c r="W775" s="321">
        <f t="shared" si="63"/>
        <v>522</v>
      </c>
      <c r="X775" s="321">
        <f t="shared" si="64"/>
        <v>617000</v>
      </c>
      <c r="Y775" s="321">
        <v>1</v>
      </c>
      <c r="AA775" s="321" t="s">
        <v>5214</v>
      </c>
    </row>
    <row r="776" spans="1:27">
      <c r="A776" s="376">
        <v>410</v>
      </c>
      <c r="B776" s="377">
        <v>771000</v>
      </c>
      <c r="C776" s="382" t="s">
        <v>6715</v>
      </c>
      <c r="D776" s="379">
        <v>85</v>
      </c>
      <c r="E776" s="396">
        <v>78</v>
      </c>
      <c r="F776" s="380">
        <v>85</v>
      </c>
      <c r="H776" s="351">
        <f t="shared" si="60"/>
        <v>85000</v>
      </c>
      <c r="I776" s="351">
        <f t="shared" si="61"/>
        <v>85000</v>
      </c>
      <c r="M776" s="321">
        <v>1617000530</v>
      </c>
      <c r="N776" s="321">
        <v>61</v>
      </c>
      <c r="O776" s="321" t="s">
        <v>5335</v>
      </c>
      <c r="P776" s="321">
        <v>1617000</v>
      </c>
      <c r="Q776" s="322">
        <v>30000</v>
      </c>
      <c r="R776" s="322">
        <v>8100</v>
      </c>
      <c r="S776" s="322">
        <v>30000</v>
      </c>
      <c r="T776" s="322">
        <v>30000</v>
      </c>
      <c r="U776" s="322">
        <f t="shared" si="62"/>
        <v>0</v>
      </c>
      <c r="W776" s="321">
        <f t="shared" si="63"/>
        <v>530</v>
      </c>
      <c r="X776" s="321">
        <f t="shared" si="64"/>
        <v>617000</v>
      </c>
      <c r="Y776" s="321">
        <v>1</v>
      </c>
      <c r="AA776" s="321" t="s">
        <v>5335</v>
      </c>
    </row>
    <row r="777" spans="1:27">
      <c r="A777" s="376">
        <v>430</v>
      </c>
      <c r="B777" s="377">
        <v>771000</v>
      </c>
      <c r="C777" s="382" t="s">
        <v>6798</v>
      </c>
      <c r="D777" s="379">
        <v>8</v>
      </c>
      <c r="E777" s="396">
        <v>7</v>
      </c>
      <c r="F777" s="380">
        <v>8</v>
      </c>
      <c r="H777" s="351">
        <f t="shared" si="60"/>
        <v>8000</v>
      </c>
      <c r="I777" s="351">
        <f t="shared" si="61"/>
        <v>8000</v>
      </c>
      <c r="M777" s="321">
        <v>1617000531</v>
      </c>
      <c r="N777" s="321">
        <v>61</v>
      </c>
      <c r="O777" s="321" t="s">
        <v>5336</v>
      </c>
      <c r="P777" s="321">
        <v>1617000</v>
      </c>
      <c r="Q777" s="322">
        <v>30000</v>
      </c>
      <c r="R777" s="322">
        <v>6800</v>
      </c>
      <c r="S777" s="322">
        <v>30000</v>
      </c>
      <c r="T777" s="322">
        <v>30000</v>
      </c>
      <c r="U777" s="322">
        <f t="shared" si="62"/>
        <v>0</v>
      </c>
      <c r="W777" s="321">
        <f t="shared" si="63"/>
        <v>531</v>
      </c>
      <c r="X777" s="321">
        <f t="shared" si="64"/>
        <v>617000</v>
      </c>
      <c r="Y777" s="321">
        <v>1</v>
      </c>
      <c r="AA777" s="321" t="s">
        <v>5336</v>
      </c>
    </row>
    <row r="778" spans="1:27">
      <c r="A778" s="376">
        <v>470</v>
      </c>
      <c r="B778" s="377">
        <v>771000</v>
      </c>
      <c r="C778" s="382" t="s">
        <v>6769</v>
      </c>
      <c r="D778" s="379">
        <v>4</v>
      </c>
      <c r="E778" s="396">
        <v>5</v>
      </c>
      <c r="F778" s="380">
        <v>5</v>
      </c>
      <c r="H778" s="351">
        <f t="shared" si="60"/>
        <v>4000</v>
      </c>
      <c r="I778" s="351">
        <f t="shared" si="61"/>
        <v>5000</v>
      </c>
      <c r="M778" s="321">
        <v>1617000540</v>
      </c>
      <c r="N778" s="321">
        <v>61</v>
      </c>
      <c r="O778" s="321" t="s">
        <v>5216</v>
      </c>
      <c r="P778" s="321">
        <v>1617000</v>
      </c>
      <c r="Q778" s="322">
        <v>5000</v>
      </c>
      <c r="R778" s="322">
        <v>3000</v>
      </c>
      <c r="S778" s="322">
        <v>5000</v>
      </c>
      <c r="T778" s="322">
        <v>5000</v>
      </c>
      <c r="U778" s="322">
        <f t="shared" si="62"/>
        <v>0</v>
      </c>
      <c r="W778" s="321">
        <f t="shared" si="63"/>
        <v>540</v>
      </c>
      <c r="X778" s="321">
        <f t="shared" si="64"/>
        <v>617000</v>
      </c>
      <c r="Y778" s="321">
        <v>1</v>
      </c>
      <c r="AA778" s="321" t="s">
        <v>5216</v>
      </c>
    </row>
    <row r="779" spans="1:27">
      <c r="A779" s="376">
        <v>540</v>
      </c>
      <c r="B779" s="377">
        <v>771000</v>
      </c>
      <c r="C779" s="382" t="s">
        <v>6752</v>
      </c>
      <c r="D779" s="379">
        <v>6</v>
      </c>
      <c r="E779" s="396">
        <v>6</v>
      </c>
      <c r="F779" s="380">
        <v>6</v>
      </c>
      <c r="H779" s="351">
        <f t="shared" si="60"/>
        <v>6000</v>
      </c>
      <c r="I779" s="351">
        <f t="shared" si="61"/>
        <v>6000</v>
      </c>
      <c r="M779" s="321">
        <v>1617000541</v>
      </c>
      <c r="N779" s="321">
        <v>61</v>
      </c>
      <c r="O779" s="321" t="s">
        <v>5283</v>
      </c>
      <c r="P779" s="321">
        <v>1617000</v>
      </c>
      <c r="Q779" s="322">
        <v>3000</v>
      </c>
      <c r="R779" s="322">
        <v>2400</v>
      </c>
      <c r="S779" s="322">
        <v>3000</v>
      </c>
      <c r="T779" s="322">
        <v>3000</v>
      </c>
      <c r="U779" s="322">
        <f t="shared" si="62"/>
        <v>0</v>
      </c>
      <c r="W779" s="321">
        <f t="shared" si="63"/>
        <v>541</v>
      </c>
      <c r="X779" s="321">
        <f t="shared" si="64"/>
        <v>617000</v>
      </c>
      <c r="Y779" s="321">
        <v>1</v>
      </c>
      <c r="AA779" s="321" t="s">
        <v>5283</v>
      </c>
    </row>
    <row r="780" spans="1:27">
      <c r="A780" s="376">
        <v>550</v>
      </c>
      <c r="B780" s="377">
        <v>771000</v>
      </c>
      <c r="C780" s="382" t="s">
        <v>6737</v>
      </c>
      <c r="D780" s="379">
        <f>34+6</f>
        <v>40</v>
      </c>
      <c r="E780" s="396">
        <v>34</v>
      </c>
      <c r="F780" s="380">
        <v>34</v>
      </c>
      <c r="H780" s="351">
        <f t="shared" si="60"/>
        <v>40000</v>
      </c>
      <c r="I780" s="351">
        <f t="shared" si="61"/>
        <v>34000</v>
      </c>
      <c r="M780" s="321">
        <v>1617000542</v>
      </c>
      <c r="N780" s="321">
        <v>61</v>
      </c>
      <c r="O780" s="321" t="s">
        <v>5217</v>
      </c>
      <c r="P780" s="321">
        <v>1617000</v>
      </c>
      <c r="Q780" s="322">
        <v>9900</v>
      </c>
      <c r="R780" s="322">
        <v>6700</v>
      </c>
      <c r="S780" s="322">
        <v>12000</v>
      </c>
      <c r="T780" s="322">
        <v>12000</v>
      </c>
      <c r="U780" s="322">
        <f t="shared" si="62"/>
        <v>0</v>
      </c>
      <c r="W780" s="321">
        <f t="shared" si="63"/>
        <v>542</v>
      </c>
      <c r="X780" s="321">
        <f t="shared" si="64"/>
        <v>617000</v>
      </c>
      <c r="Y780" s="321">
        <v>1</v>
      </c>
      <c r="AA780" s="321" t="s">
        <v>5217</v>
      </c>
    </row>
    <row r="781" spans="1:27">
      <c r="A781" s="376">
        <v>710</v>
      </c>
      <c r="B781" s="377">
        <v>771000</v>
      </c>
      <c r="C781" s="382" t="s">
        <v>6990</v>
      </c>
      <c r="D781" s="379">
        <v>500</v>
      </c>
      <c r="E781" s="396">
        <v>500</v>
      </c>
      <c r="F781" s="380">
        <v>400</v>
      </c>
      <c r="H781" s="351">
        <f t="shared" si="60"/>
        <v>500000</v>
      </c>
      <c r="I781" s="351">
        <f t="shared" si="61"/>
        <v>400000</v>
      </c>
      <c r="M781" s="321">
        <v>1617000572</v>
      </c>
      <c r="N781" s="321">
        <v>61</v>
      </c>
      <c r="O781" s="321" t="s">
        <v>5253</v>
      </c>
      <c r="P781" s="321">
        <v>1617000</v>
      </c>
      <c r="Q781" s="322">
        <v>17000</v>
      </c>
      <c r="R781" s="322">
        <v>10900</v>
      </c>
      <c r="S781" s="322">
        <v>18000</v>
      </c>
      <c r="T781" s="322">
        <v>18000</v>
      </c>
      <c r="U781" s="322">
        <f t="shared" si="62"/>
        <v>0</v>
      </c>
      <c r="W781" s="321">
        <f t="shared" si="63"/>
        <v>572</v>
      </c>
      <c r="X781" s="321">
        <f t="shared" si="64"/>
        <v>617000</v>
      </c>
      <c r="Y781" s="321">
        <v>1</v>
      </c>
      <c r="AA781" s="321" t="s">
        <v>5253</v>
      </c>
    </row>
    <row r="782" spans="1:27">
      <c r="A782" s="376">
        <v>750</v>
      </c>
      <c r="B782" s="377">
        <v>771000</v>
      </c>
      <c r="C782" s="382" t="s">
        <v>6804</v>
      </c>
      <c r="D782" s="379">
        <v>3</v>
      </c>
      <c r="E782" s="396">
        <v>3</v>
      </c>
      <c r="F782" s="380">
        <v>3</v>
      </c>
      <c r="H782" s="351">
        <f t="shared" si="60"/>
        <v>3000</v>
      </c>
      <c r="I782" s="351">
        <f t="shared" si="61"/>
        <v>3000</v>
      </c>
      <c r="M782" s="321">
        <v>1617000581</v>
      </c>
      <c r="N782" s="321">
        <v>61</v>
      </c>
      <c r="O782" s="321" t="s">
        <v>5337</v>
      </c>
      <c r="P782" s="321">
        <v>1617000</v>
      </c>
      <c r="Q782" s="322">
        <v>130000</v>
      </c>
      <c r="R782" s="322">
        <v>91500</v>
      </c>
      <c r="S782" s="322">
        <v>130000</v>
      </c>
      <c r="T782" s="322">
        <v>130000</v>
      </c>
      <c r="U782" s="322">
        <f t="shared" si="62"/>
        <v>0</v>
      </c>
      <c r="W782" s="321">
        <f t="shared" si="63"/>
        <v>581</v>
      </c>
      <c r="X782" s="321">
        <f t="shared" si="64"/>
        <v>617000</v>
      </c>
      <c r="Y782" s="321">
        <v>1</v>
      </c>
      <c r="AA782" s="321" t="s">
        <v>5337</v>
      </c>
    </row>
    <row r="783" spans="1:27">
      <c r="A783" s="376">
        <v>751</v>
      </c>
      <c r="B783" s="377">
        <v>771000</v>
      </c>
      <c r="C783" s="382" t="s">
        <v>6991</v>
      </c>
      <c r="D783" s="379">
        <v>25</v>
      </c>
      <c r="E783" s="396">
        <v>0</v>
      </c>
      <c r="F783" s="380">
        <v>0</v>
      </c>
      <c r="H783" s="351">
        <f t="shared" si="60"/>
        <v>25000</v>
      </c>
      <c r="I783" s="351">
        <f t="shared" si="61"/>
        <v>0</v>
      </c>
      <c r="M783" s="321">
        <v>1617000582</v>
      </c>
      <c r="N783" s="321">
        <v>61</v>
      </c>
      <c r="O783" s="321" t="s">
        <v>5338</v>
      </c>
      <c r="P783" s="321">
        <v>1617000</v>
      </c>
      <c r="Q783" s="322">
        <v>720000</v>
      </c>
      <c r="R783" s="322">
        <v>528900</v>
      </c>
      <c r="S783" s="322">
        <v>720000</v>
      </c>
      <c r="T783" s="322">
        <v>720000</v>
      </c>
      <c r="U783" s="322">
        <f t="shared" si="62"/>
        <v>0</v>
      </c>
      <c r="W783" s="321">
        <f t="shared" si="63"/>
        <v>582</v>
      </c>
      <c r="X783" s="321">
        <f t="shared" si="64"/>
        <v>617000</v>
      </c>
      <c r="Y783" s="321">
        <v>1</v>
      </c>
      <c r="AA783" s="321" t="s">
        <v>5338</v>
      </c>
    </row>
    <row r="784" spans="1:27">
      <c r="A784" s="376">
        <v>755</v>
      </c>
      <c r="B784" s="377">
        <v>771000</v>
      </c>
      <c r="C784" s="391" t="s">
        <v>6992</v>
      </c>
      <c r="D784" s="379">
        <v>45</v>
      </c>
      <c r="E784" s="396">
        <v>16</v>
      </c>
      <c r="F784" s="380">
        <v>20</v>
      </c>
      <c r="H784" s="351">
        <f t="shared" si="60"/>
        <v>45000</v>
      </c>
      <c r="I784" s="351">
        <f t="shared" si="61"/>
        <v>20000</v>
      </c>
      <c r="M784" s="321">
        <v>1617000583</v>
      </c>
      <c r="N784" s="321">
        <v>61</v>
      </c>
      <c r="O784" s="321" t="s">
        <v>5339</v>
      </c>
      <c r="P784" s="321">
        <v>1617000</v>
      </c>
      <c r="Q784" s="322">
        <v>1500000</v>
      </c>
      <c r="R784" s="322">
        <v>1140500</v>
      </c>
      <c r="S784" s="322">
        <v>1500000</v>
      </c>
      <c r="T784" s="322">
        <v>1500000</v>
      </c>
      <c r="U784" s="322">
        <f t="shared" si="62"/>
        <v>0</v>
      </c>
      <c r="W784" s="321">
        <f t="shared" si="63"/>
        <v>583</v>
      </c>
      <c r="X784" s="321">
        <f t="shared" si="64"/>
        <v>617000</v>
      </c>
      <c r="Y784" s="321">
        <v>1</v>
      </c>
      <c r="AA784" s="321" t="s">
        <v>5339</v>
      </c>
    </row>
    <row r="785" spans="1:27">
      <c r="A785" s="376">
        <v>780</v>
      </c>
      <c r="B785" s="377">
        <v>771000</v>
      </c>
      <c r="C785" s="387" t="s">
        <v>129</v>
      </c>
      <c r="D785" s="379">
        <f>230+100</f>
        <v>330</v>
      </c>
      <c r="E785" s="396">
        <v>230</v>
      </c>
      <c r="F785" s="380">
        <v>230</v>
      </c>
      <c r="H785" s="351">
        <f t="shared" si="60"/>
        <v>330000</v>
      </c>
      <c r="I785" s="351">
        <f t="shared" si="61"/>
        <v>230000</v>
      </c>
      <c r="M785" s="321">
        <v>1617000584</v>
      </c>
      <c r="N785" s="321">
        <v>61</v>
      </c>
      <c r="O785" s="321" t="s">
        <v>5340</v>
      </c>
      <c r="P785" s="321">
        <v>1617000</v>
      </c>
      <c r="Q785" s="322">
        <v>5000</v>
      </c>
      <c r="R785" s="322">
        <v>600</v>
      </c>
      <c r="S785" s="322">
        <v>5000</v>
      </c>
      <c r="T785" s="322">
        <v>5000</v>
      </c>
      <c r="U785" s="322">
        <f t="shared" si="62"/>
        <v>0</v>
      </c>
      <c r="W785" s="321">
        <f t="shared" si="63"/>
        <v>584</v>
      </c>
      <c r="X785" s="321">
        <f t="shared" si="64"/>
        <v>617000</v>
      </c>
      <c r="Y785" s="321">
        <v>1</v>
      </c>
      <c r="AA785" s="321" t="s">
        <v>5340</v>
      </c>
    </row>
    <row r="786" spans="1:27">
      <c r="A786" s="376">
        <v>782</v>
      </c>
      <c r="B786" s="377">
        <v>771000</v>
      </c>
      <c r="C786" s="382" t="s">
        <v>6993</v>
      </c>
      <c r="D786" s="379">
        <v>19</v>
      </c>
      <c r="E786" s="396">
        <v>0</v>
      </c>
      <c r="F786" s="380">
        <v>0</v>
      </c>
      <c r="H786" s="351">
        <f t="shared" ref="H786:H849" si="65">D786*1000</f>
        <v>19000</v>
      </c>
      <c r="I786" s="351">
        <f t="shared" ref="I786:I849" si="66">F786*1000</f>
        <v>0</v>
      </c>
      <c r="M786" s="321">
        <v>1617000585</v>
      </c>
      <c r="N786" s="321">
        <v>61</v>
      </c>
      <c r="O786" s="321" t="s">
        <v>5247</v>
      </c>
      <c r="P786" s="321">
        <v>1617000</v>
      </c>
      <c r="Q786" s="322">
        <v>100000</v>
      </c>
      <c r="R786" s="322">
        <v>33500</v>
      </c>
      <c r="S786" s="322">
        <v>100000</v>
      </c>
      <c r="T786" s="322">
        <v>50000</v>
      </c>
      <c r="U786" s="322">
        <f t="shared" si="62"/>
        <v>50000</v>
      </c>
      <c r="W786" s="321">
        <f t="shared" si="63"/>
        <v>585</v>
      </c>
      <c r="X786" s="321">
        <f t="shared" si="64"/>
        <v>617000</v>
      </c>
      <c r="Y786" s="321">
        <v>1</v>
      </c>
      <c r="AA786" s="321" t="s">
        <v>5247</v>
      </c>
    </row>
    <row r="787" spans="1:27">
      <c r="A787" s="376">
        <v>100</v>
      </c>
      <c r="B787" s="377">
        <v>781000</v>
      </c>
      <c r="C787" s="391" t="s">
        <v>6994</v>
      </c>
      <c r="D787" s="379">
        <v>0</v>
      </c>
      <c r="E787" s="380">
        <v>1300</v>
      </c>
      <c r="F787" s="380">
        <v>1450</v>
      </c>
      <c r="H787" s="351">
        <f t="shared" si="65"/>
        <v>0</v>
      </c>
      <c r="I787" s="351">
        <f t="shared" si="66"/>
        <v>1450000</v>
      </c>
      <c r="M787" s="321">
        <v>1617000761</v>
      </c>
      <c r="N787" s="321">
        <v>61</v>
      </c>
      <c r="O787" s="321" t="s">
        <v>5341</v>
      </c>
      <c r="P787" s="321">
        <v>1617000</v>
      </c>
      <c r="Q787" s="322">
        <v>16000</v>
      </c>
      <c r="R787" s="322">
        <v>0</v>
      </c>
      <c r="S787" s="322">
        <v>16000</v>
      </c>
      <c r="T787" s="322">
        <v>16000</v>
      </c>
      <c r="U787" s="322">
        <f t="shared" si="62"/>
        <v>0</v>
      </c>
      <c r="W787" s="321">
        <f t="shared" si="63"/>
        <v>761</v>
      </c>
      <c r="X787" s="321">
        <f t="shared" si="64"/>
        <v>617000</v>
      </c>
      <c r="Y787" s="321">
        <v>1</v>
      </c>
      <c r="AA787" s="321" t="s">
        <v>5341</v>
      </c>
    </row>
    <row r="788" spans="1:27">
      <c r="A788" s="376">
        <v>102</v>
      </c>
      <c r="B788" s="377">
        <v>781000</v>
      </c>
      <c r="C788" s="382" t="s">
        <v>6995</v>
      </c>
      <c r="D788" s="379">
        <f>5622+410</f>
        <v>6032</v>
      </c>
      <c r="E788" s="380">
        <v>5500</v>
      </c>
      <c r="F788" s="380">
        <v>5500</v>
      </c>
      <c r="H788" s="351">
        <f t="shared" si="65"/>
        <v>6032000</v>
      </c>
      <c r="I788" s="351">
        <f t="shared" si="66"/>
        <v>5500000</v>
      </c>
      <c r="M788" s="321">
        <v>1617000810</v>
      </c>
      <c r="N788" s="321">
        <v>61</v>
      </c>
      <c r="O788" s="321" t="s">
        <v>5342</v>
      </c>
      <c r="P788" s="321">
        <v>1617000</v>
      </c>
      <c r="Q788" s="322">
        <v>0</v>
      </c>
      <c r="R788" s="322">
        <v>0</v>
      </c>
      <c r="S788" s="322">
        <v>50000</v>
      </c>
      <c r="T788" s="322">
        <v>50000</v>
      </c>
      <c r="U788" s="322">
        <f t="shared" si="62"/>
        <v>0</v>
      </c>
      <c r="W788" s="321">
        <f t="shared" si="63"/>
        <v>810</v>
      </c>
      <c r="X788" s="321">
        <f t="shared" si="64"/>
        <v>617000</v>
      </c>
      <c r="Y788" s="321">
        <v>1</v>
      </c>
      <c r="AA788" s="321" t="s">
        <v>5342</v>
      </c>
    </row>
    <row r="789" spans="1:27">
      <c r="A789" s="376">
        <v>127</v>
      </c>
      <c r="B789" s="377">
        <v>781000</v>
      </c>
      <c r="C789" s="382" t="s">
        <v>6996</v>
      </c>
      <c r="D789" s="379">
        <v>199</v>
      </c>
      <c r="E789" s="380">
        <v>165</v>
      </c>
      <c r="F789" s="380">
        <v>165</v>
      </c>
      <c r="H789" s="351">
        <f t="shared" si="65"/>
        <v>199000</v>
      </c>
      <c r="I789" s="351">
        <f t="shared" si="66"/>
        <v>165000</v>
      </c>
      <c r="M789" s="321">
        <v>1618000110</v>
      </c>
      <c r="N789" s="321">
        <v>61</v>
      </c>
      <c r="O789" s="321" t="s">
        <v>5205</v>
      </c>
      <c r="P789" s="321">
        <v>1618000</v>
      </c>
      <c r="Q789" s="322">
        <v>533000</v>
      </c>
      <c r="R789" s="322">
        <v>415000</v>
      </c>
      <c r="S789" s="322">
        <v>635000</v>
      </c>
      <c r="T789" s="322">
        <v>635000</v>
      </c>
      <c r="U789" s="322">
        <f t="shared" si="62"/>
        <v>0</v>
      </c>
      <c r="W789" s="321">
        <f t="shared" si="63"/>
        <v>110</v>
      </c>
      <c r="X789" s="321">
        <f t="shared" si="64"/>
        <v>618000</v>
      </c>
      <c r="Y789" s="321">
        <v>1</v>
      </c>
      <c r="AA789" s="321" t="s">
        <v>5205</v>
      </c>
    </row>
    <row r="790" spans="1:27">
      <c r="A790" s="376">
        <v>410</v>
      </c>
      <c r="B790" s="377">
        <v>781000</v>
      </c>
      <c r="C790" s="382" t="s">
        <v>6997</v>
      </c>
      <c r="D790" s="379">
        <v>0</v>
      </c>
      <c r="E790" s="380">
        <v>0</v>
      </c>
      <c r="F790" s="380">
        <v>33</v>
      </c>
      <c r="H790" s="351">
        <f t="shared" si="65"/>
        <v>0</v>
      </c>
      <c r="I790" s="351">
        <f t="shared" si="66"/>
        <v>33000</v>
      </c>
      <c r="M790" s="321">
        <v>1618000120</v>
      </c>
      <c r="N790" s="321">
        <v>61</v>
      </c>
      <c r="O790" s="321" t="s">
        <v>5343</v>
      </c>
      <c r="P790" s="321">
        <v>1618000</v>
      </c>
      <c r="Q790" s="322">
        <v>43000</v>
      </c>
      <c r="R790" s="322">
        <v>37500</v>
      </c>
      <c r="S790" s="322">
        <v>50000</v>
      </c>
      <c r="T790" s="322">
        <v>50000</v>
      </c>
      <c r="U790" s="322">
        <f t="shared" si="62"/>
        <v>0</v>
      </c>
      <c r="W790" s="321">
        <f t="shared" si="63"/>
        <v>120</v>
      </c>
      <c r="X790" s="321">
        <f t="shared" si="64"/>
        <v>618000</v>
      </c>
      <c r="Y790" s="321">
        <v>1</v>
      </c>
      <c r="AA790" s="321" t="s">
        <v>5343</v>
      </c>
    </row>
    <row r="791" spans="1:27">
      <c r="A791" s="376">
        <v>430</v>
      </c>
      <c r="B791" s="377">
        <v>781000</v>
      </c>
      <c r="C791" s="382" t="s">
        <v>6998</v>
      </c>
      <c r="D791" s="379">
        <v>0</v>
      </c>
      <c r="E791" s="380">
        <v>1</v>
      </c>
      <c r="F791" s="380">
        <v>2</v>
      </c>
      <c r="H791" s="351">
        <f t="shared" si="65"/>
        <v>0</v>
      </c>
      <c r="I791" s="351">
        <f t="shared" si="66"/>
        <v>2000</v>
      </c>
      <c r="M791" s="321">
        <v>1618000130</v>
      </c>
      <c r="N791" s="321">
        <v>61</v>
      </c>
      <c r="O791" s="321" t="s">
        <v>2576</v>
      </c>
      <c r="P791" s="321">
        <v>1618000</v>
      </c>
      <c r="Q791" s="322">
        <v>11000</v>
      </c>
      <c r="R791" s="322">
        <v>9300</v>
      </c>
      <c r="S791" s="322">
        <v>13000</v>
      </c>
      <c r="T791" s="322">
        <v>11700</v>
      </c>
      <c r="U791" s="322">
        <f t="shared" si="62"/>
        <v>1300</v>
      </c>
      <c r="W791" s="321">
        <f t="shared" si="63"/>
        <v>130</v>
      </c>
      <c r="X791" s="321">
        <f t="shared" si="64"/>
        <v>618000</v>
      </c>
      <c r="Y791" s="321">
        <v>1</v>
      </c>
      <c r="AA791" s="321" t="s">
        <v>2576</v>
      </c>
    </row>
    <row r="792" spans="1:27">
      <c r="A792" s="376">
        <v>540</v>
      </c>
      <c r="B792" s="377">
        <v>781000</v>
      </c>
      <c r="C792" s="382" t="s">
        <v>6752</v>
      </c>
      <c r="D792" s="379">
        <v>50</v>
      </c>
      <c r="E792" s="380">
        <v>50</v>
      </c>
      <c r="F792" s="380">
        <v>210</v>
      </c>
      <c r="H792" s="351">
        <f t="shared" si="65"/>
        <v>50000</v>
      </c>
      <c r="I792" s="351">
        <f t="shared" si="66"/>
        <v>210000</v>
      </c>
      <c r="M792" s="321">
        <v>1618000140</v>
      </c>
      <c r="N792" s="321">
        <v>61</v>
      </c>
      <c r="O792" s="321" t="s">
        <v>2578</v>
      </c>
      <c r="P792" s="321">
        <v>1618000</v>
      </c>
      <c r="Q792" s="322">
        <v>62000</v>
      </c>
      <c r="R792" s="322">
        <v>48100</v>
      </c>
      <c r="S792" s="322">
        <v>71000</v>
      </c>
      <c r="T792" s="322">
        <v>71000</v>
      </c>
      <c r="U792" s="322">
        <f t="shared" si="62"/>
        <v>0</v>
      </c>
      <c r="W792" s="321">
        <f t="shared" si="63"/>
        <v>140</v>
      </c>
      <c r="X792" s="321">
        <f t="shared" si="64"/>
        <v>618000</v>
      </c>
      <c r="Y792" s="321">
        <v>1</v>
      </c>
      <c r="AA792" s="321" t="s">
        <v>2578</v>
      </c>
    </row>
    <row r="793" spans="1:27">
      <c r="A793" s="376">
        <v>541</v>
      </c>
      <c r="B793" s="377">
        <v>781000</v>
      </c>
      <c r="C793" s="382" t="s">
        <v>6999</v>
      </c>
      <c r="D793" s="379">
        <v>160</v>
      </c>
      <c r="E793" s="380">
        <v>160</v>
      </c>
      <c r="F793" s="380">
        <v>0</v>
      </c>
      <c r="H793" s="351">
        <f t="shared" si="65"/>
        <v>160000</v>
      </c>
      <c r="I793" s="351">
        <f t="shared" si="66"/>
        <v>0</v>
      </c>
      <c r="M793" s="321">
        <v>1618000141</v>
      </c>
      <c r="N793" s="321">
        <v>61</v>
      </c>
      <c r="O793" s="321" t="s">
        <v>5229</v>
      </c>
      <c r="P793" s="321">
        <v>1618000</v>
      </c>
      <c r="Q793" s="322">
        <v>21000</v>
      </c>
      <c r="R793" s="322">
        <v>16100</v>
      </c>
      <c r="S793" s="322">
        <v>25000</v>
      </c>
      <c r="T793" s="322">
        <v>25000</v>
      </c>
      <c r="U793" s="322">
        <f t="shared" si="62"/>
        <v>0</v>
      </c>
      <c r="W793" s="321">
        <f t="shared" si="63"/>
        <v>141</v>
      </c>
      <c r="X793" s="321">
        <f t="shared" si="64"/>
        <v>618000</v>
      </c>
      <c r="Y793" s="321">
        <v>1</v>
      </c>
      <c r="AA793" s="321" t="s">
        <v>5229</v>
      </c>
    </row>
    <row r="794" spans="1:27">
      <c r="A794" s="376">
        <v>550</v>
      </c>
      <c r="B794" s="377">
        <v>781000</v>
      </c>
      <c r="C794" s="382" t="s">
        <v>6853</v>
      </c>
      <c r="D794" s="379">
        <v>25</v>
      </c>
      <c r="E794" s="380">
        <v>15</v>
      </c>
      <c r="F794" s="380">
        <v>15</v>
      </c>
      <c r="H794" s="351">
        <f t="shared" si="65"/>
        <v>25000</v>
      </c>
      <c r="I794" s="351">
        <f t="shared" si="66"/>
        <v>15000</v>
      </c>
      <c r="M794" s="321">
        <v>1618000181</v>
      </c>
      <c r="N794" s="321">
        <v>61</v>
      </c>
      <c r="O794" s="321" t="s">
        <v>2580</v>
      </c>
      <c r="P794" s="321">
        <v>1618000</v>
      </c>
      <c r="Q794" s="322">
        <v>120000</v>
      </c>
      <c r="R794" s="322">
        <v>94500</v>
      </c>
      <c r="S794" s="322">
        <v>143000</v>
      </c>
      <c r="T794" s="322">
        <v>143000</v>
      </c>
      <c r="U794" s="322">
        <f t="shared" si="62"/>
        <v>0</v>
      </c>
      <c r="W794" s="321">
        <f t="shared" si="63"/>
        <v>181</v>
      </c>
      <c r="X794" s="321">
        <f t="shared" si="64"/>
        <v>618000</v>
      </c>
      <c r="Y794" s="321">
        <v>1</v>
      </c>
      <c r="AA794" s="321" t="s">
        <v>2580</v>
      </c>
    </row>
    <row r="795" spans="1:27">
      <c r="A795" s="376">
        <v>570</v>
      </c>
      <c r="B795" s="377">
        <v>781000</v>
      </c>
      <c r="C795" s="382" t="s">
        <v>6739</v>
      </c>
      <c r="D795" s="379">
        <v>23</v>
      </c>
      <c r="E795" s="380">
        <v>24</v>
      </c>
      <c r="F795" s="380">
        <v>24</v>
      </c>
      <c r="H795" s="351">
        <f t="shared" si="65"/>
        <v>23000</v>
      </c>
      <c r="I795" s="351">
        <f t="shared" si="66"/>
        <v>24000</v>
      </c>
      <c r="M795" s="321">
        <v>1618000182</v>
      </c>
      <c r="N795" s="321">
        <v>61</v>
      </c>
      <c r="O795" s="321" t="s">
        <v>2582</v>
      </c>
      <c r="P795" s="321">
        <v>1618000</v>
      </c>
      <c r="Q795" s="322">
        <v>100000</v>
      </c>
      <c r="R795" s="322">
        <v>78600</v>
      </c>
      <c r="S795" s="322">
        <v>120000</v>
      </c>
      <c r="T795" s="322">
        <v>120000</v>
      </c>
      <c r="U795" s="322">
        <f t="shared" si="62"/>
        <v>0</v>
      </c>
      <c r="W795" s="321">
        <f t="shared" si="63"/>
        <v>182</v>
      </c>
      <c r="X795" s="321">
        <f t="shared" si="64"/>
        <v>618000</v>
      </c>
      <c r="Y795" s="321">
        <v>1</v>
      </c>
      <c r="AA795" s="321" t="s">
        <v>2582</v>
      </c>
    </row>
    <row r="796" spans="1:27">
      <c r="A796" s="376">
        <v>730</v>
      </c>
      <c r="B796" s="377">
        <v>781000</v>
      </c>
      <c r="C796" s="382" t="s">
        <v>7000</v>
      </c>
      <c r="D796" s="383">
        <v>342</v>
      </c>
      <c r="E796" s="380">
        <v>460</v>
      </c>
      <c r="F796" s="384">
        <v>460</v>
      </c>
      <c r="H796" s="351">
        <f t="shared" si="65"/>
        <v>342000</v>
      </c>
      <c r="I796" s="351">
        <f t="shared" si="66"/>
        <v>460000</v>
      </c>
      <c r="M796" s="321">
        <v>1618000210</v>
      </c>
      <c r="N796" s="321">
        <v>61</v>
      </c>
      <c r="O796" s="321" t="s">
        <v>5221</v>
      </c>
      <c r="P796" s="321">
        <v>1618000</v>
      </c>
      <c r="Q796" s="322">
        <v>0</v>
      </c>
      <c r="R796" s="322">
        <v>0</v>
      </c>
      <c r="S796" s="322">
        <v>0</v>
      </c>
      <c r="T796" s="322">
        <v>0</v>
      </c>
      <c r="U796" s="322">
        <f t="shared" si="62"/>
        <v>0</v>
      </c>
      <c r="W796" s="321">
        <f t="shared" si="63"/>
        <v>210</v>
      </c>
      <c r="X796" s="321">
        <f t="shared" si="64"/>
        <v>618000</v>
      </c>
      <c r="Y796" s="321">
        <v>1</v>
      </c>
      <c r="AA796" s="321" t="s">
        <v>5221</v>
      </c>
    </row>
    <row r="797" spans="1:27">
      <c r="A797" s="376">
        <v>742</v>
      </c>
      <c r="B797" s="377">
        <v>781000</v>
      </c>
      <c r="C797" s="385" t="s">
        <v>6740</v>
      </c>
      <c r="D797" s="379">
        <v>1</v>
      </c>
      <c r="E797" s="380">
        <v>1</v>
      </c>
      <c r="F797" s="380">
        <v>1</v>
      </c>
      <c r="H797" s="351">
        <f t="shared" si="65"/>
        <v>1000</v>
      </c>
      <c r="I797" s="351">
        <f t="shared" si="66"/>
        <v>1000</v>
      </c>
      <c r="M797" s="321">
        <v>1618000470</v>
      </c>
      <c r="N797" s="321">
        <v>61</v>
      </c>
      <c r="O797" s="321" t="s">
        <v>2660</v>
      </c>
      <c r="P797" s="321">
        <v>1618000</v>
      </c>
      <c r="Q797" s="322">
        <v>8000</v>
      </c>
      <c r="R797" s="322">
        <v>5800</v>
      </c>
      <c r="S797" s="322">
        <v>8000</v>
      </c>
      <c r="T797" s="322">
        <v>8000</v>
      </c>
      <c r="U797" s="322">
        <f t="shared" si="62"/>
        <v>0</v>
      </c>
      <c r="W797" s="321">
        <f t="shared" si="63"/>
        <v>470</v>
      </c>
      <c r="X797" s="321">
        <f t="shared" si="64"/>
        <v>618000</v>
      </c>
      <c r="Y797" s="321">
        <v>1</v>
      </c>
      <c r="AA797" s="321" t="s">
        <v>2660</v>
      </c>
    </row>
    <row r="798" spans="1:27">
      <c r="A798" s="376">
        <v>750</v>
      </c>
      <c r="B798" s="377">
        <v>781000</v>
      </c>
      <c r="C798" s="382" t="s">
        <v>7001</v>
      </c>
      <c r="D798" s="379">
        <v>189</v>
      </c>
      <c r="E798" s="380">
        <v>120</v>
      </c>
      <c r="F798" s="380">
        <v>39</v>
      </c>
      <c r="H798" s="351">
        <f t="shared" si="65"/>
        <v>189000</v>
      </c>
      <c r="I798" s="351">
        <f t="shared" si="66"/>
        <v>39000</v>
      </c>
      <c r="M798" s="321">
        <v>1618000471</v>
      </c>
      <c r="N798" s="321">
        <v>61</v>
      </c>
      <c r="O798" s="321" t="s">
        <v>5212</v>
      </c>
      <c r="P798" s="321">
        <v>1618000</v>
      </c>
      <c r="Q798" s="322">
        <v>3500</v>
      </c>
      <c r="R798" s="322">
        <v>3500</v>
      </c>
      <c r="S798" s="322">
        <v>3700</v>
      </c>
      <c r="T798" s="322">
        <v>3700</v>
      </c>
      <c r="U798" s="322">
        <f t="shared" si="62"/>
        <v>0</v>
      </c>
      <c r="W798" s="321">
        <f t="shared" si="63"/>
        <v>471</v>
      </c>
      <c r="X798" s="321">
        <f t="shared" si="64"/>
        <v>618000</v>
      </c>
      <c r="Y798" s="321">
        <v>1</v>
      </c>
      <c r="AA798" s="321" t="s">
        <v>5212</v>
      </c>
    </row>
    <row r="799" spans="1:27">
      <c r="A799" s="376">
        <v>755</v>
      </c>
      <c r="B799" s="377">
        <v>781000</v>
      </c>
      <c r="C799" s="382" t="s">
        <v>6744</v>
      </c>
      <c r="D799" s="379">
        <v>0</v>
      </c>
      <c r="E799" s="380">
        <v>32</v>
      </c>
      <c r="F799" s="380">
        <v>32</v>
      </c>
      <c r="H799" s="351">
        <f t="shared" si="65"/>
        <v>0</v>
      </c>
      <c r="I799" s="351">
        <f t="shared" si="66"/>
        <v>32000</v>
      </c>
      <c r="M799" s="321">
        <v>1618000510</v>
      </c>
      <c r="N799" s="321">
        <v>61</v>
      </c>
      <c r="O799" s="321" t="s">
        <v>2805</v>
      </c>
      <c r="P799" s="321">
        <v>1618000</v>
      </c>
      <c r="Q799" s="322">
        <v>2000</v>
      </c>
      <c r="R799" s="322">
        <v>400</v>
      </c>
      <c r="S799" s="322">
        <v>2000</v>
      </c>
      <c r="T799" s="322">
        <v>2000</v>
      </c>
      <c r="U799" s="322">
        <f t="shared" si="62"/>
        <v>0</v>
      </c>
      <c r="W799" s="321">
        <f t="shared" si="63"/>
        <v>510</v>
      </c>
      <c r="X799" s="321">
        <f t="shared" si="64"/>
        <v>618000</v>
      </c>
      <c r="Y799" s="321">
        <v>1</v>
      </c>
      <c r="AA799" s="321" t="s">
        <v>2805</v>
      </c>
    </row>
    <row r="800" spans="1:27">
      <c r="A800" s="376">
        <v>780</v>
      </c>
      <c r="B800" s="377">
        <v>781000</v>
      </c>
      <c r="C800" s="381" t="s">
        <v>7002</v>
      </c>
      <c r="D800" s="379">
        <v>140</v>
      </c>
      <c r="E800" s="380">
        <v>70</v>
      </c>
      <c r="F800" s="380">
        <v>70</v>
      </c>
      <c r="H800" s="351">
        <f t="shared" si="65"/>
        <v>140000</v>
      </c>
      <c r="I800" s="351">
        <f t="shared" si="66"/>
        <v>70000</v>
      </c>
      <c r="M800" s="321">
        <v>1618000522</v>
      </c>
      <c r="N800" s="321">
        <v>61</v>
      </c>
      <c r="O800" s="321" t="s">
        <v>2608</v>
      </c>
      <c r="P800" s="321">
        <v>1618000</v>
      </c>
      <c r="Q800" s="322">
        <v>5000</v>
      </c>
      <c r="R800" s="322">
        <v>3100</v>
      </c>
      <c r="S800" s="322">
        <v>5000</v>
      </c>
      <c r="T800" s="322">
        <v>5000</v>
      </c>
      <c r="U800" s="322">
        <f t="shared" si="62"/>
        <v>0</v>
      </c>
      <c r="W800" s="321">
        <f t="shared" si="63"/>
        <v>522</v>
      </c>
      <c r="X800" s="321">
        <f t="shared" si="64"/>
        <v>618000</v>
      </c>
      <c r="Y800" s="321">
        <v>1</v>
      </c>
      <c r="AA800" s="321" t="s">
        <v>2608</v>
      </c>
    </row>
    <row r="801" spans="1:27">
      <c r="A801" s="376">
        <v>781</v>
      </c>
      <c r="B801" s="377">
        <v>781000</v>
      </c>
      <c r="C801" s="381" t="s">
        <v>7003</v>
      </c>
      <c r="D801" s="379">
        <v>200</v>
      </c>
      <c r="E801" s="380">
        <v>0</v>
      </c>
      <c r="F801" s="380">
        <v>0</v>
      </c>
      <c r="H801" s="351">
        <f t="shared" si="65"/>
        <v>200000</v>
      </c>
      <c r="I801" s="351">
        <f t="shared" si="66"/>
        <v>0</v>
      </c>
      <c r="M801" s="321">
        <v>1618000530</v>
      </c>
      <c r="N801" s="321">
        <v>61</v>
      </c>
      <c r="O801" s="321" t="s">
        <v>5344</v>
      </c>
      <c r="P801" s="321">
        <v>1618000</v>
      </c>
      <c r="Q801" s="322">
        <v>35000</v>
      </c>
      <c r="R801" s="322">
        <v>44100</v>
      </c>
      <c r="S801" s="322">
        <v>44000</v>
      </c>
      <c r="T801" s="322">
        <v>44000</v>
      </c>
      <c r="U801" s="322">
        <f t="shared" si="62"/>
        <v>0</v>
      </c>
      <c r="W801" s="321">
        <f t="shared" si="63"/>
        <v>530</v>
      </c>
      <c r="X801" s="321">
        <f t="shared" si="64"/>
        <v>618000</v>
      </c>
      <c r="Y801" s="321">
        <v>1</v>
      </c>
      <c r="AA801" s="321" t="s">
        <v>5344</v>
      </c>
    </row>
    <row r="802" spans="1:27">
      <c r="A802" s="376">
        <v>730</v>
      </c>
      <c r="B802" s="377">
        <v>781100</v>
      </c>
      <c r="C802" s="382" t="s">
        <v>7004</v>
      </c>
      <c r="D802" s="383">
        <v>39</v>
      </c>
      <c r="E802" s="380">
        <v>39</v>
      </c>
      <c r="F802" s="384">
        <v>120</v>
      </c>
      <c r="H802" s="351">
        <f t="shared" si="65"/>
        <v>39000</v>
      </c>
      <c r="I802" s="351">
        <f t="shared" si="66"/>
        <v>120000</v>
      </c>
      <c r="M802" s="321">
        <v>1618000540</v>
      </c>
      <c r="N802" s="321">
        <v>61</v>
      </c>
      <c r="O802" s="321" t="s">
        <v>5216</v>
      </c>
      <c r="P802" s="321">
        <v>1618000</v>
      </c>
      <c r="Q802" s="322">
        <v>2000</v>
      </c>
      <c r="R802" s="322">
        <v>1300</v>
      </c>
      <c r="S802" s="322">
        <v>2500</v>
      </c>
      <c r="T802" s="322">
        <v>2500</v>
      </c>
      <c r="U802" s="322">
        <f t="shared" si="62"/>
        <v>0</v>
      </c>
      <c r="W802" s="321">
        <f t="shared" si="63"/>
        <v>540</v>
      </c>
      <c r="X802" s="321">
        <f t="shared" si="64"/>
        <v>618000</v>
      </c>
      <c r="Y802" s="321">
        <v>1</v>
      </c>
      <c r="AA802" s="321" t="s">
        <v>5216</v>
      </c>
    </row>
    <row r="803" spans="1:27">
      <c r="A803" s="376">
        <v>100</v>
      </c>
      <c r="B803" s="377">
        <v>782000</v>
      </c>
      <c r="C803" s="382" t="s">
        <v>6747</v>
      </c>
      <c r="D803" s="379">
        <v>299</v>
      </c>
      <c r="E803" s="380">
        <v>290</v>
      </c>
      <c r="F803" s="380">
        <v>300</v>
      </c>
      <c r="H803" s="351">
        <f t="shared" si="65"/>
        <v>299000</v>
      </c>
      <c r="I803" s="351">
        <f t="shared" si="66"/>
        <v>300000</v>
      </c>
      <c r="M803" s="321">
        <v>1618000542</v>
      </c>
      <c r="N803" s="321">
        <v>61</v>
      </c>
      <c r="O803" s="321" t="s">
        <v>5334</v>
      </c>
      <c r="P803" s="321">
        <v>1618000</v>
      </c>
      <c r="Q803" s="322">
        <v>3500</v>
      </c>
      <c r="R803" s="322">
        <v>3600</v>
      </c>
      <c r="S803" s="322">
        <v>7000</v>
      </c>
      <c r="T803" s="322">
        <v>7000</v>
      </c>
      <c r="U803" s="322">
        <f t="shared" si="62"/>
        <v>0</v>
      </c>
      <c r="W803" s="321">
        <f t="shared" si="63"/>
        <v>542</v>
      </c>
      <c r="X803" s="321">
        <f t="shared" si="64"/>
        <v>618000</v>
      </c>
      <c r="Y803" s="321">
        <v>1</v>
      </c>
      <c r="AA803" s="321" t="s">
        <v>5334</v>
      </c>
    </row>
    <row r="804" spans="1:27">
      <c r="A804" s="376">
        <v>780</v>
      </c>
      <c r="B804" s="377">
        <v>782000</v>
      </c>
      <c r="C804" s="382" t="s">
        <v>7005</v>
      </c>
      <c r="D804" s="379">
        <v>595</v>
      </c>
      <c r="E804" s="380">
        <v>450</v>
      </c>
      <c r="F804" s="380">
        <v>450</v>
      </c>
      <c r="H804" s="351">
        <f t="shared" si="65"/>
        <v>595000</v>
      </c>
      <c r="I804" s="351">
        <f t="shared" si="66"/>
        <v>450000</v>
      </c>
      <c r="M804" s="321">
        <v>1618000560</v>
      </c>
      <c r="N804" s="321">
        <v>61</v>
      </c>
      <c r="O804" s="321" t="s">
        <v>5345</v>
      </c>
      <c r="P804" s="321">
        <v>1618000</v>
      </c>
      <c r="Q804" s="322">
        <v>0</v>
      </c>
      <c r="R804" s="322">
        <v>0</v>
      </c>
      <c r="S804" s="322">
        <v>0</v>
      </c>
      <c r="T804" s="322">
        <v>0</v>
      </c>
      <c r="U804" s="322">
        <f t="shared" si="62"/>
        <v>0</v>
      </c>
      <c r="W804" s="321">
        <f t="shared" si="63"/>
        <v>560</v>
      </c>
      <c r="X804" s="321">
        <f t="shared" si="64"/>
        <v>618000</v>
      </c>
      <c r="Y804" s="321">
        <v>1</v>
      </c>
      <c r="AA804" s="321" t="s">
        <v>5345</v>
      </c>
    </row>
    <row r="805" spans="1:27">
      <c r="A805" s="376">
        <v>810</v>
      </c>
      <c r="B805" s="377">
        <v>791000</v>
      </c>
      <c r="C805" s="382" t="s">
        <v>7006</v>
      </c>
      <c r="D805" s="379">
        <v>27</v>
      </c>
      <c r="E805" s="380">
        <v>27</v>
      </c>
      <c r="F805" s="380">
        <v>34</v>
      </c>
      <c r="H805" s="351">
        <f t="shared" si="65"/>
        <v>27000</v>
      </c>
      <c r="I805" s="351">
        <f t="shared" si="66"/>
        <v>34000</v>
      </c>
      <c r="M805" s="321">
        <v>1618000561</v>
      </c>
      <c r="N805" s="321">
        <v>61</v>
      </c>
      <c r="O805" s="321" t="s">
        <v>5346</v>
      </c>
      <c r="P805" s="321">
        <v>1618000</v>
      </c>
      <c r="Q805" s="322">
        <v>35000</v>
      </c>
      <c r="R805" s="322">
        <v>0</v>
      </c>
      <c r="S805" s="322">
        <v>35000</v>
      </c>
      <c r="T805" s="322">
        <v>35000</v>
      </c>
      <c r="U805" s="322">
        <f t="shared" si="62"/>
        <v>0</v>
      </c>
      <c r="W805" s="321">
        <f t="shared" si="63"/>
        <v>561</v>
      </c>
      <c r="X805" s="321">
        <f t="shared" si="64"/>
        <v>618000</v>
      </c>
      <c r="Y805" s="321">
        <v>1</v>
      </c>
      <c r="AA805" s="321" t="s">
        <v>5346</v>
      </c>
    </row>
    <row r="806" spans="1:27">
      <c r="A806" s="376">
        <v>100</v>
      </c>
      <c r="B806" s="377">
        <v>811000</v>
      </c>
      <c r="C806" s="391" t="s">
        <v>6747</v>
      </c>
      <c r="D806" s="379">
        <f>2696+150</f>
        <v>2846</v>
      </c>
      <c r="E806" s="380">
        <v>2820</v>
      </c>
      <c r="F806" s="380">
        <v>2857</v>
      </c>
      <c r="H806" s="351">
        <f t="shared" si="65"/>
        <v>2846000</v>
      </c>
      <c r="I806" s="351">
        <f t="shared" si="66"/>
        <v>2857000</v>
      </c>
      <c r="M806" s="321">
        <v>1618000562</v>
      </c>
      <c r="N806" s="321">
        <v>61</v>
      </c>
      <c r="O806" s="321" t="s">
        <v>5347</v>
      </c>
      <c r="P806" s="321">
        <v>1618000</v>
      </c>
      <c r="Q806" s="322">
        <v>50000</v>
      </c>
      <c r="R806" s="322">
        <v>2800</v>
      </c>
      <c r="S806" s="322">
        <v>50000</v>
      </c>
      <c r="T806" s="322">
        <v>50000</v>
      </c>
      <c r="U806" s="322">
        <f t="shared" si="62"/>
        <v>0</v>
      </c>
      <c r="W806" s="321">
        <f t="shared" si="63"/>
        <v>562</v>
      </c>
      <c r="X806" s="321">
        <f t="shared" si="64"/>
        <v>618000</v>
      </c>
      <c r="Y806" s="321">
        <v>1</v>
      </c>
      <c r="AA806" s="321" t="s">
        <v>5347</v>
      </c>
    </row>
    <row r="807" spans="1:27">
      <c r="A807" s="376">
        <v>102</v>
      </c>
      <c r="B807" s="377">
        <v>811000</v>
      </c>
      <c r="C807" s="391" t="s">
        <v>7007</v>
      </c>
      <c r="D807" s="379">
        <v>1020</v>
      </c>
      <c r="E807" s="380">
        <v>910</v>
      </c>
      <c r="F807" s="380">
        <v>975</v>
      </c>
      <c r="H807" s="351">
        <f t="shared" si="65"/>
        <v>1020000</v>
      </c>
      <c r="I807" s="351">
        <f t="shared" si="66"/>
        <v>975000</v>
      </c>
      <c r="M807" s="321">
        <v>1618000572</v>
      </c>
      <c r="N807" s="321">
        <v>61</v>
      </c>
      <c r="O807" s="321" t="s">
        <v>5253</v>
      </c>
      <c r="P807" s="321">
        <v>1618000</v>
      </c>
      <c r="Q807" s="322">
        <v>37500</v>
      </c>
      <c r="R807" s="322">
        <v>400</v>
      </c>
      <c r="S807" s="322">
        <v>37500</v>
      </c>
      <c r="T807" s="322">
        <v>37500</v>
      </c>
      <c r="U807" s="322">
        <f t="shared" si="62"/>
        <v>0</v>
      </c>
      <c r="W807" s="321">
        <f t="shared" si="63"/>
        <v>572</v>
      </c>
      <c r="X807" s="321">
        <f t="shared" si="64"/>
        <v>618000</v>
      </c>
      <c r="Y807" s="321">
        <v>1</v>
      </c>
      <c r="AA807" s="321" t="s">
        <v>5253</v>
      </c>
    </row>
    <row r="808" spans="1:27">
      <c r="A808" s="376">
        <v>410</v>
      </c>
      <c r="B808" s="377">
        <v>811000</v>
      </c>
      <c r="C808" s="382" t="s">
        <v>6715</v>
      </c>
      <c r="D808" s="379">
        <v>360</v>
      </c>
      <c r="E808" s="380">
        <v>330</v>
      </c>
      <c r="F808" s="380">
        <v>420</v>
      </c>
      <c r="H808" s="351">
        <f t="shared" si="65"/>
        <v>360000</v>
      </c>
      <c r="I808" s="351">
        <f t="shared" si="66"/>
        <v>420000</v>
      </c>
      <c r="M808" s="321">
        <v>1618000580</v>
      </c>
      <c r="N808" s="321">
        <v>61</v>
      </c>
      <c r="O808" s="321" t="s">
        <v>5348</v>
      </c>
      <c r="P808" s="321">
        <v>1618000</v>
      </c>
      <c r="Q808" s="322">
        <v>50000</v>
      </c>
      <c r="R808" s="322">
        <v>40800</v>
      </c>
      <c r="S808" s="322">
        <v>50000</v>
      </c>
      <c r="T808" s="322">
        <v>50000</v>
      </c>
      <c r="U808" s="322">
        <f t="shared" si="62"/>
        <v>0</v>
      </c>
      <c r="W808" s="321">
        <f t="shared" si="63"/>
        <v>580</v>
      </c>
      <c r="X808" s="321">
        <f t="shared" si="64"/>
        <v>618000</v>
      </c>
      <c r="Y808" s="321">
        <v>1</v>
      </c>
      <c r="AA808" s="321" t="s">
        <v>5348</v>
      </c>
    </row>
    <row r="809" spans="1:27">
      <c r="A809" s="376">
        <v>420</v>
      </c>
      <c r="B809" s="377">
        <v>811000</v>
      </c>
      <c r="C809" s="382" t="s">
        <v>6987</v>
      </c>
      <c r="D809" s="379">
        <v>32</v>
      </c>
      <c r="E809" s="380">
        <v>32</v>
      </c>
      <c r="F809" s="380">
        <v>32</v>
      </c>
      <c r="H809" s="351">
        <f t="shared" si="65"/>
        <v>32000</v>
      </c>
      <c r="I809" s="351">
        <f t="shared" si="66"/>
        <v>32000</v>
      </c>
      <c r="M809" s="321">
        <v>1618000581</v>
      </c>
      <c r="N809" s="321">
        <v>61</v>
      </c>
      <c r="O809" s="321" t="s">
        <v>5349</v>
      </c>
      <c r="P809" s="321">
        <v>1618000</v>
      </c>
      <c r="Q809" s="322">
        <v>0</v>
      </c>
      <c r="R809" s="322">
        <v>0</v>
      </c>
      <c r="S809" s="322">
        <v>0</v>
      </c>
      <c r="T809" s="322">
        <v>0</v>
      </c>
      <c r="U809" s="322">
        <f t="shared" si="62"/>
        <v>0</v>
      </c>
      <c r="W809" s="321">
        <f t="shared" si="63"/>
        <v>581</v>
      </c>
      <c r="X809" s="321">
        <f t="shared" si="64"/>
        <v>618000</v>
      </c>
      <c r="Y809" s="321">
        <v>1</v>
      </c>
      <c r="AA809" s="321" t="s">
        <v>5349</v>
      </c>
    </row>
    <row r="810" spans="1:27">
      <c r="A810" s="376">
        <v>430</v>
      </c>
      <c r="B810" s="377">
        <v>811000</v>
      </c>
      <c r="C810" s="391" t="s">
        <v>7008</v>
      </c>
      <c r="D810" s="379">
        <v>89</v>
      </c>
      <c r="E810" s="380">
        <v>87</v>
      </c>
      <c r="F810" s="380">
        <v>87</v>
      </c>
      <c r="H810" s="351">
        <f t="shared" si="65"/>
        <v>89000</v>
      </c>
      <c r="I810" s="351">
        <f t="shared" si="66"/>
        <v>87000</v>
      </c>
      <c r="M810" s="321">
        <v>1618000582</v>
      </c>
      <c r="N810" s="321">
        <v>61</v>
      </c>
      <c r="O810" s="321" t="s">
        <v>5350</v>
      </c>
      <c r="P810" s="321">
        <v>1618000</v>
      </c>
      <c r="Q810" s="322">
        <v>100000</v>
      </c>
      <c r="R810" s="322">
        <v>30600</v>
      </c>
      <c r="S810" s="322">
        <v>100000</v>
      </c>
      <c r="T810" s="322">
        <v>70000</v>
      </c>
      <c r="U810" s="322">
        <f t="shared" si="62"/>
        <v>30000</v>
      </c>
      <c r="W810" s="321">
        <f t="shared" si="63"/>
        <v>582</v>
      </c>
      <c r="X810" s="321">
        <f t="shared" si="64"/>
        <v>618000</v>
      </c>
      <c r="Y810" s="321">
        <v>1</v>
      </c>
      <c r="AA810" s="321" t="s">
        <v>5350</v>
      </c>
    </row>
    <row r="811" spans="1:27">
      <c r="A811" s="376">
        <v>442</v>
      </c>
      <c r="B811" s="377">
        <v>811000</v>
      </c>
      <c r="C811" s="382" t="s">
        <v>7009</v>
      </c>
      <c r="D811" s="379">
        <v>140</v>
      </c>
      <c r="E811" s="380">
        <v>180</v>
      </c>
      <c r="F811" s="380">
        <v>180</v>
      </c>
      <c r="H811" s="351">
        <f t="shared" si="65"/>
        <v>140000</v>
      </c>
      <c r="I811" s="351">
        <f t="shared" si="66"/>
        <v>180000</v>
      </c>
      <c r="M811" s="321">
        <v>1618000583</v>
      </c>
      <c r="N811" s="321">
        <v>61</v>
      </c>
      <c r="O811" s="321" t="s">
        <v>5351</v>
      </c>
      <c r="P811" s="321">
        <v>1618000</v>
      </c>
      <c r="Q811" s="322">
        <v>100000</v>
      </c>
      <c r="R811" s="322">
        <v>37600</v>
      </c>
      <c r="S811" s="322">
        <v>100000</v>
      </c>
      <c r="T811" s="322">
        <v>70000</v>
      </c>
      <c r="U811" s="322">
        <f t="shared" si="62"/>
        <v>30000</v>
      </c>
      <c r="W811" s="321">
        <f t="shared" si="63"/>
        <v>583</v>
      </c>
      <c r="X811" s="321">
        <f t="shared" si="64"/>
        <v>618000</v>
      </c>
      <c r="Y811" s="321">
        <v>1</v>
      </c>
      <c r="AA811" s="321" t="s">
        <v>5351</v>
      </c>
    </row>
    <row r="812" spans="1:27">
      <c r="A812" s="376">
        <v>470</v>
      </c>
      <c r="B812" s="377">
        <v>811000</v>
      </c>
      <c r="C812" s="391" t="s">
        <v>6716</v>
      </c>
      <c r="D812" s="379">
        <v>30</v>
      </c>
      <c r="E812" s="380">
        <v>43</v>
      </c>
      <c r="F812" s="380">
        <v>43</v>
      </c>
      <c r="H812" s="351">
        <f t="shared" si="65"/>
        <v>30000</v>
      </c>
      <c r="I812" s="351">
        <f t="shared" si="66"/>
        <v>43000</v>
      </c>
      <c r="M812" s="321">
        <v>1618000584</v>
      </c>
      <c r="N812" s="321">
        <v>61</v>
      </c>
      <c r="O812" s="321" t="s">
        <v>5352</v>
      </c>
      <c r="P812" s="321">
        <v>1618000</v>
      </c>
      <c r="Q812" s="322">
        <v>145000</v>
      </c>
      <c r="R812" s="322">
        <v>50500</v>
      </c>
      <c r="S812" s="322">
        <v>500000</v>
      </c>
      <c r="T812" s="322">
        <v>350000</v>
      </c>
      <c r="U812" s="322">
        <f t="shared" si="62"/>
        <v>150000</v>
      </c>
      <c r="W812" s="321">
        <f t="shared" si="63"/>
        <v>584</v>
      </c>
      <c r="X812" s="321">
        <f t="shared" si="64"/>
        <v>618000</v>
      </c>
      <c r="Y812" s="321">
        <v>1</v>
      </c>
      <c r="AA812" s="321" t="s">
        <v>5352</v>
      </c>
    </row>
    <row r="813" spans="1:27">
      <c r="A813" s="376">
        <v>511</v>
      </c>
      <c r="B813" s="377">
        <v>811000</v>
      </c>
      <c r="C813" s="391" t="s">
        <v>7010</v>
      </c>
      <c r="D813" s="379">
        <v>51</v>
      </c>
      <c r="E813" s="380">
        <v>51</v>
      </c>
      <c r="F813" s="380">
        <v>51</v>
      </c>
      <c r="H813" s="351">
        <f t="shared" si="65"/>
        <v>51000</v>
      </c>
      <c r="I813" s="351">
        <f t="shared" si="66"/>
        <v>51000</v>
      </c>
      <c r="M813" s="321">
        <v>1618000585</v>
      </c>
      <c r="N813" s="321">
        <v>61</v>
      </c>
      <c r="O813" s="321" t="s">
        <v>5353</v>
      </c>
      <c r="P813" s="321">
        <v>1618000</v>
      </c>
      <c r="Q813" s="322">
        <v>0</v>
      </c>
      <c r="R813" s="322">
        <v>0</v>
      </c>
      <c r="S813" s="322">
        <v>0</v>
      </c>
      <c r="T813" s="322">
        <v>0</v>
      </c>
      <c r="U813" s="322">
        <f t="shared" si="62"/>
        <v>0</v>
      </c>
      <c r="W813" s="321">
        <f t="shared" si="63"/>
        <v>585</v>
      </c>
      <c r="X813" s="321">
        <f t="shared" si="64"/>
        <v>618000</v>
      </c>
      <c r="Y813" s="321">
        <v>1</v>
      </c>
      <c r="AA813" s="321" t="s">
        <v>5353</v>
      </c>
    </row>
    <row r="814" spans="1:27">
      <c r="A814" s="376">
        <v>521</v>
      </c>
      <c r="B814" s="377">
        <v>811000</v>
      </c>
      <c r="C814" s="391" t="s">
        <v>7011</v>
      </c>
      <c r="D814" s="379">
        <v>67</v>
      </c>
      <c r="E814" s="380">
        <v>117</v>
      </c>
      <c r="F814" s="380">
        <v>117</v>
      </c>
      <c r="H814" s="351">
        <f t="shared" si="65"/>
        <v>67000</v>
      </c>
      <c r="I814" s="351">
        <f t="shared" si="66"/>
        <v>117000</v>
      </c>
      <c r="M814" s="321">
        <v>1618000586</v>
      </c>
      <c r="N814" s="321">
        <v>61</v>
      </c>
      <c r="O814" s="321" t="s">
        <v>5322</v>
      </c>
      <c r="P814" s="321">
        <v>1618000</v>
      </c>
      <c r="Q814" s="322">
        <v>0</v>
      </c>
      <c r="R814" s="322">
        <v>0</v>
      </c>
      <c r="S814" s="322">
        <v>0</v>
      </c>
      <c r="T814" s="322">
        <v>0</v>
      </c>
      <c r="U814" s="322">
        <f t="shared" si="62"/>
        <v>0</v>
      </c>
      <c r="W814" s="321">
        <f t="shared" si="63"/>
        <v>586</v>
      </c>
      <c r="X814" s="321">
        <f t="shared" si="64"/>
        <v>618000</v>
      </c>
      <c r="Y814" s="321">
        <v>1</v>
      </c>
      <c r="AA814" s="321" t="s">
        <v>5322</v>
      </c>
    </row>
    <row r="815" spans="1:27">
      <c r="A815" s="376">
        <v>522</v>
      </c>
      <c r="B815" s="377">
        <v>811000</v>
      </c>
      <c r="C815" s="391" t="s">
        <v>6771</v>
      </c>
      <c r="D815" s="379">
        <v>5</v>
      </c>
      <c r="E815" s="380">
        <v>5</v>
      </c>
      <c r="F815" s="380">
        <v>5</v>
      </c>
      <c r="H815" s="351">
        <f t="shared" si="65"/>
        <v>5000</v>
      </c>
      <c r="I815" s="351">
        <f t="shared" si="66"/>
        <v>5000</v>
      </c>
      <c r="M815" s="321">
        <v>1618000750</v>
      </c>
      <c r="N815" s="321">
        <v>61</v>
      </c>
      <c r="O815" s="321" t="s">
        <v>2707</v>
      </c>
      <c r="P815" s="321">
        <v>1618000</v>
      </c>
      <c r="Q815" s="322">
        <v>300000</v>
      </c>
      <c r="R815" s="322">
        <v>163000</v>
      </c>
      <c r="S815" s="322">
        <v>368000</v>
      </c>
      <c r="T815" s="322">
        <v>300000</v>
      </c>
      <c r="U815" s="322">
        <f t="shared" si="62"/>
        <v>68000</v>
      </c>
      <c r="W815" s="321">
        <f t="shared" si="63"/>
        <v>750</v>
      </c>
      <c r="X815" s="321">
        <f t="shared" si="64"/>
        <v>618000</v>
      </c>
      <c r="Y815" s="321">
        <v>1</v>
      </c>
      <c r="AA815" s="321" t="s">
        <v>2707</v>
      </c>
    </row>
    <row r="816" spans="1:27">
      <c r="A816" s="376">
        <v>523</v>
      </c>
      <c r="B816" s="377">
        <v>811000</v>
      </c>
      <c r="C816" s="381" t="s">
        <v>7012</v>
      </c>
      <c r="D816" s="379">
        <v>390</v>
      </c>
      <c r="E816" s="380">
        <v>390</v>
      </c>
      <c r="F816" s="380">
        <v>390</v>
      </c>
      <c r="H816" s="351">
        <f t="shared" si="65"/>
        <v>390000</v>
      </c>
      <c r="I816" s="351">
        <f t="shared" si="66"/>
        <v>390000</v>
      </c>
      <c r="M816" s="321">
        <v>1618000760</v>
      </c>
      <c r="N816" s="321">
        <v>61</v>
      </c>
      <c r="O816" s="321" t="s">
        <v>5354</v>
      </c>
      <c r="P816" s="321">
        <v>1618000</v>
      </c>
      <c r="Q816" s="322">
        <v>20000</v>
      </c>
      <c r="R816" s="322">
        <v>12600</v>
      </c>
      <c r="S816" s="322">
        <v>20000</v>
      </c>
      <c r="T816" s="322">
        <v>20000</v>
      </c>
      <c r="U816" s="322">
        <f t="shared" si="62"/>
        <v>0</v>
      </c>
      <c r="W816" s="321">
        <f t="shared" si="63"/>
        <v>760</v>
      </c>
      <c r="X816" s="321">
        <f t="shared" si="64"/>
        <v>618000</v>
      </c>
      <c r="Y816" s="321">
        <v>1</v>
      </c>
      <c r="AA816" s="321" t="s">
        <v>5354</v>
      </c>
    </row>
    <row r="817" spans="1:27">
      <c r="A817" s="376">
        <v>530</v>
      </c>
      <c r="B817" s="377">
        <v>811000</v>
      </c>
      <c r="C817" s="381" t="s">
        <v>6791</v>
      </c>
      <c r="D817" s="379">
        <v>79</v>
      </c>
      <c r="E817" s="380">
        <v>80</v>
      </c>
      <c r="F817" s="380">
        <v>85</v>
      </c>
      <c r="H817" s="351">
        <f t="shared" si="65"/>
        <v>79000</v>
      </c>
      <c r="I817" s="351">
        <f t="shared" si="66"/>
        <v>85000</v>
      </c>
      <c r="M817" s="321">
        <v>1618000761</v>
      </c>
      <c r="N817" s="321">
        <v>61</v>
      </c>
      <c r="O817" s="321" t="s">
        <v>5355</v>
      </c>
      <c r="P817" s="321">
        <v>1618000</v>
      </c>
      <c r="Q817" s="322">
        <v>90000</v>
      </c>
      <c r="R817" s="322">
        <v>500</v>
      </c>
      <c r="S817" s="322">
        <v>90000</v>
      </c>
      <c r="T817" s="322">
        <v>60000</v>
      </c>
      <c r="U817" s="322">
        <f t="shared" si="62"/>
        <v>30000</v>
      </c>
      <c r="W817" s="321">
        <f t="shared" si="63"/>
        <v>761</v>
      </c>
      <c r="X817" s="321">
        <f t="shared" si="64"/>
        <v>618000</v>
      </c>
      <c r="Y817" s="321">
        <v>1</v>
      </c>
      <c r="AA817" s="321" t="s">
        <v>5355</v>
      </c>
    </row>
    <row r="818" spans="1:27">
      <c r="A818" s="376">
        <v>540</v>
      </c>
      <c r="B818" s="377">
        <v>811000</v>
      </c>
      <c r="C818" s="391" t="s">
        <v>6752</v>
      </c>
      <c r="D818" s="379">
        <v>160</v>
      </c>
      <c r="E818" s="380">
        <v>160</v>
      </c>
      <c r="F818" s="380">
        <v>160</v>
      </c>
      <c r="H818" s="351">
        <f t="shared" si="65"/>
        <v>160000</v>
      </c>
      <c r="I818" s="351">
        <f t="shared" si="66"/>
        <v>160000</v>
      </c>
      <c r="M818" s="321">
        <v>1618000981</v>
      </c>
      <c r="N818" s="321">
        <v>61</v>
      </c>
      <c r="O818" s="321" t="s">
        <v>5356</v>
      </c>
      <c r="P818" s="321">
        <v>1618000</v>
      </c>
      <c r="Q818" s="322">
        <v>0</v>
      </c>
      <c r="R818" s="322">
        <v>0</v>
      </c>
      <c r="S818" s="322">
        <v>0</v>
      </c>
      <c r="T818" s="322">
        <v>0</v>
      </c>
      <c r="U818" s="322">
        <f t="shared" si="62"/>
        <v>0</v>
      </c>
      <c r="W818" s="321">
        <f t="shared" si="63"/>
        <v>981</v>
      </c>
      <c r="X818" s="321">
        <f t="shared" si="64"/>
        <v>618000</v>
      </c>
      <c r="Y818" s="321">
        <v>1</v>
      </c>
      <c r="AA818" s="321" t="s">
        <v>5356</v>
      </c>
    </row>
    <row r="819" spans="1:27">
      <c r="A819" s="376">
        <v>550</v>
      </c>
      <c r="B819" s="377">
        <v>811000</v>
      </c>
      <c r="C819" s="382" t="s">
        <v>6737</v>
      </c>
      <c r="D819" s="379">
        <v>100</v>
      </c>
      <c r="E819" s="380">
        <v>100</v>
      </c>
      <c r="F819" s="380">
        <v>100</v>
      </c>
      <c r="H819" s="351">
        <f t="shared" si="65"/>
        <v>100000</v>
      </c>
      <c r="I819" s="351">
        <f t="shared" si="66"/>
        <v>100000</v>
      </c>
      <c r="M819" s="321">
        <v>1619000580</v>
      </c>
      <c r="N819" s="321">
        <v>61</v>
      </c>
      <c r="O819" s="321" t="s">
        <v>5357</v>
      </c>
      <c r="P819" s="321">
        <v>1610000</v>
      </c>
      <c r="Q819" s="322">
        <v>0</v>
      </c>
      <c r="R819" s="322">
        <v>0</v>
      </c>
      <c r="S819" s="322">
        <v>0</v>
      </c>
      <c r="T819" s="322">
        <v>0</v>
      </c>
      <c r="U819" s="322">
        <f t="shared" si="62"/>
        <v>0</v>
      </c>
      <c r="W819" s="321">
        <f t="shared" si="63"/>
        <v>580</v>
      </c>
      <c r="X819" s="321">
        <f t="shared" si="64"/>
        <v>619000</v>
      </c>
      <c r="Y819" s="321">
        <v>1</v>
      </c>
      <c r="AA819" s="321" t="s">
        <v>5357</v>
      </c>
    </row>
    <row r="820" spans="1:27">
      <c r="A820" s="376">
        <v>570</v>
      </c>
      <c r="B820" s="377">
        <v>811000</v>
      </c>
      <c r="C820" s="382" t="s">
        <v>6739</v>
      </c>
      <c r="D820" s="379">
        <v>87</v>
      </c>
      <c r="E820" s="380">
        <v>87</v>
      </c>
      <c r="F820" s="380">
        <v>87</v>
      </c>
      <c r="H820" s="351">
        <f t="shared" si="65"/>
        <v>87000</v>
      </c>
      <c r="I820" s="351">
        <f t="shared" si="66"/>
        <v>87000</v>
      </c>
      <c r="M820" s="321">
        <v>1621100110</v>
      </c>
      <c r="N820" s="321">
        <v>62</v>
      </c>
      <c r="O820" s="321" t="s">
        <v>5205</v>
      </c>
      <c r="P820" s="321">
        <v>2621100</v>
      </c>
      <c r="Q820" s="322">
        <v>671000</v>
      </c>
      <c r="R820" s="322">
        <v>555400</v>
      </c>
      <c r="S820" s="322">
        <v>795000</v>
      </c>
      <c r="T820" s="322">
        <v>795000</v>
      </c>
      <c r="U820" s="322">
        <f t="shared" si="62"/>
        <v>0</v>
      </c>
      <c r="W820" s="321">
        <f t="shared" si="63"/>
        <v>110</v>
      </c>
      <c r="X820" s="321">
        <f t="shared" si="64"/>
        <v>621100</v>
      </c>
      <c r="Y820" s="321">
        <v>1</v>
      </c>
      <c r="AA820" s="321" t="s">
        <v>5205</v>
      </c>
    </row>
    <row r="821" spans="1:27">
      <c r="A821" s="376">
        <v>730</v>
      </c>
      <c r="B821" s="377">
        <v>811000</v>
      </c>
      <c r="C821" s="381" t="s">
        <v>7013</v>
      </c>
      <c r="D821" s="379">
        <v>35</v>
      </c>
      <c r="E821" s="380">
        <v>42</v>
      </c>
      <c r="F821" s="380">
        <v>40</v>
      </c>
      <c r="H821" s="351">
        <f t="shared" si="65"/>
        <v>35000</v>
      </c>
      <c r="I821" s="351">
        <f t="shared" si="66"/>
        <v>40000</v>
      </c>
      <c r="M821" s="321">
        <v>1621100120</v>
      </c>
      <c r="N821" s="321">
        <v>62</v>
      </c>
      <c r="O821" s="321" t="s">
        <v>5206</v>
      </c>
      <c r="P821" s="321">
        <v>2621100</v>
      </c>
      <c r="Q821" s="322">
        <v>50000</v>
      </c>
      <c r="R821" s="322">
        <v>35500</v>
      </c>
      <c r="S821" s="322">
        <v>41000</v>
      </c>
      <c r="T821" s="322">
        <v>41000</v>
      </c>
      <c r="U821" s="322">
        <f t="shared" si="62"/>
        <v>0</v>
      </c>
      <c r="W821" s="321">
        <f t="shared" si="63"/>
        <v>120</v>
      </c>
      <c r="X821" s="321">
        <f t="shared" si="64"/>
        <v>621100</v>
      </c>
      <c r="Y821" s="321">
        <v>1</v>
      </c>
      <c r="AA821" s="321" t="s">
        <v>5206</v>
      </c>
    </row>
    <row r="822" spans="1:27">
      <c r="A822" s="376">
        <v>742</v>
      </c>
      <c r="B822" s="377">
        <v>811000</v>
      </c>
      <c r="C822" s="397" t="s">
        <v>7014</v>
      </c>
      <c r="D822" s="379">
        <v>11</v>
      </c>
      <c r="E822" s="380">
        <v>11</v>
      </c>
      <c r="F822" s="380">
        <v>11</v>
      </c>
      <c r="H822" s="351">
        <f t="shared" si="65"/>
        <v>11000</v>
      </c>
      <c r="I822" s="351">
        <f t="shared" si="66"/>
        <v>11000</v>
      </c>
      <c r="M822" s="321">
        <v>1621100130</v>
      </c>
      <c r="N822" s="321">
        <v>62</v>
      </c>
      <c r="O822" s="321" t="s">
        <v>2576</v>
      </c>
      <c r="P822" s="321">
        <v>2621100</v>
      </c>
      <c r="Q822" s="322">
        <v>14000</v>
      </c>
      <c r="R822" s="322">
        <v>13600</v>
      </c>
      <c r="S822" s="322">
        <v>19000</v>
      </c>
      <c r="T822" s="322">
        <v>17100</v>
      </c>
      <c r="U822" s="322">
        <f t="shared" si="62"/>
        <v>1900</v>
      </c>
      <c r="W822" s="321">
        <f t="shared" si="63"/>
        <v>130</v>
      </c>
      <c r="X822" s="321">
        <f t="shared" si="64"/>
        <v>621100</v>
      </c>
      <c r="Y822" s="321">
        <v>1</v>
      </c>
      <c r="AA822" s="321" t="s">
        <v>2576</v>
      </c>
    </row>
    <row r="823" spans="1:27">
      <c r="A823" s="376">
        <v>747</v>
      </c>
      <c r="B823" s="377">
        <v>811000</v>
      </c>
      <c r="C823" s="387" t="s">
        <v>7015</v>
      </c>
      <c r="D823" s="379">
        <v>119</v>
      </c>
      <c r="E823" s="380">
        <v>120</v>
      </c>
      <c r="F823" s="380">
        <v>120</v>
      </c>
      <c r="H823" s="351">
        <f t="shared" si="65"/>
        <v>119000</v>
      </c>
      <c r="I823" s="351">
        <f t="shared" si="66"/>
        <v>120000</v>
      </c>
      <c r="M823" s="321">
        <v>1621100140</v>
      </c>
      <c r="N823" s="321">
        <v>62</v>
      </c>
      <c r="O823" s="321" t="s">
        <v>5207</v>
      </c>
      <c r="P823" s="321">
        <v>2621100</v>
      </c>
      <c r="Q823" s="322">
        <v>50000</v>
      </c>
      <c r="R823" s="322">
        <v>51300</v>
      </c>
      <c r="S823" s="322">
        <v>74000</v>
      </c>
      <c r="T823" s="322">
        <v>74000</v>
      </c>
      <c r="U823" s="322">
        <f t="shared" si="62"/>
        <v>0</v>
      </c>
      <c r="W823" s="321">
        <f t="shared" si="63"/>
        <v>140</v>
      </c>
      <c r="X823" s="321">
        <f t="shared" si="64"/>
        <v>621100</v>
      </c>
      <c r="Y823" s="321">
        <v>1</v>
      </c>
      <c r="AA823" s="321" t="s">
        <v>5207</v>
      </c>
    </row>
    <row r="824" spans="1:27">
      <c r="A824" s="398">
        <v>750</v>
      </c>
      <c r="B824" s="377">
        <v>811000</v>
      </c>
      <c r="C824" s="385" t="s">
        <v>6945</v>
      </c>
      <c r="D824" s="379">
        <v>339</v>
      </c>
      <c r="E824" s="380">
        <v>330</v>
      </c>
      <c r="F824" s="380">
        <v>332</v>
      </c>
      <c r="H824" s="351">
        <f t="shared" si="65"/>
        <v>339000</v>
      </c>
      <c r="I824" s="351">
        <f t="shared" si="66"/>
        <v>332000</v>
      </c>
      <c r="M824" s="321">
        <v>1621100141</v>
      </c>
      <c r="N824" s="321">
        <v>62</v>
      </c>
      <c r="O824" s="321" t="s">
        <v>5208</v>
      </c>
      <c r="P824" s="321">
        <v>2621100</v>
      </c>
      <c r="Q824" s="322">
        <v>16000</v>
      </c>
      <c r="R824" s="322">
        <v>21900</v>
      </c>
      <c r="S824" s="322">
        <v>31000</v>
      </c>
      <c r="T824" s="322">
        <v>31000</v>
      </c>
      <c r="U824" s="322">
        <f t="shared" si="62"/>
        <v>0</v>
      </c>
      <c r="W824" s="321">
        <f t="shared" si="63"/>
        <v>141</v>
      </c>
      <c r="X824" s="321">
        <f t="shared" si="64"/>
        <v>621100</v>
      </c>
      <c r="Y824" s="321">
        <v>1</v>
      </c>
      <c r="AA824" s="321" t="s">
        <v>5208</v>
      </c>
    </row>
    <row r="825" spans="1:27">
      <c r="A825" s="398">
        <v>751</v>
      </c>
      <c r="B825" s="377">
        <v>811000</v>
      </c>
      <c r="C825" s="385" t="s">
        <v>6821</v>
      </c>
      <c r="D825" s="379">
        <v>337</v>
      </c>
      <c r="E825" s="380">
        <v>331</v>
      </c>
      <c r="F825" s="380">
        <v>331</v>
      </c>
      <c r="H825" s="351">
        <f t="shared" si="65"/>
        <v>337000</v>
      </c>
      <c r="I825" s="351">
        <f t="shared" si="66"/>
        <v>331000</v>
      </c>
      <c r="M825" s="321">
        <v>1621100181</v>
      </c>
      <c r="N825" s="321">
        <v>62</v>
      </c>
      <c r="O825" s="321" t="s">
        <v>2580</v>
      </c>
      <c r="P825" s="321">
        <v>2621100</v>
      </c>
      <c r="Q825" s="322">
        <v>74000</v>
      </c>
      <c r="R825" s="322">
        <v>71500</v>
      </c>
      <c r="S825" s="322">
        <v>102000</v>
      </c>
      <c r="T825" s="322">
        <v>102000</v>
      </c>
      <c r="U825" s="322">
        <f t="shared" si="62"/>
        <v>0</v>
      </c>
      <c r="W825" s="321">
        <f t="shared" si="63"/>
        <v>181</v>
      </c>
      <c r="X825" s="321">
        <f t="shared" si="64"/>
        <v>621100</v>
      </c>
      <c r="Y825" s="321">
        <v>1</v>
      </c>
      <c r="AA825" s="321" t="s">
        <v>2580</v>
      </c>
    </row>
    <row r="826" spans="1:27">
      <c r="A826" s="398">
        <v>752</v>
      </c>
      <c r="B826" s="377">
        <v>811000</v>
      </c>
      <c r="C826" s="385" t="s">
        <v>7016</v>
      </c>
      <c r="D826" s="379">
        <v>90</v>
      </c>
      <c r="E826" s="380">
        <v>117</v>
      </c>
      <c r="F826" s="380">
        <v>117</v>
      </c>
      <c r="H826" s="351">
        <f t="shared" si="65"/>
        <v>90000</v>
      </c>
      <c r="I826" s="351">
        <f t="shared" si="66"/>
        <v>117000</v>
      </c>
      <c r="M826" s="321">
        <v>1621100182</v>
      </c>
      <c r="N826" s="321">
        <v>62</v>
      </c>
      <c r="O826" s="321" t="s">
        <v>2582</v>
      </c>
      <c r="P826" s="321">
        <v>2621100</v>
      </c>
      <c r="Q826" s="322">
        <v>118000</v>
      </c>
      <c r="R826" s="322">
        <v>99900</v>
      </c>
      <c r="S826" s="322">
        <v>145000</v>
      </c>
      <c r="T826" s="322">
        <v>145000</v>
      </c>
      <c r="U826" s="322">
        <f t="shared" si="62"/>
        <v>0</v>
      </c>
      <c r="W826" s="321">
        <f t="shared" si="63"/>
        <v>182</v>
      </c>
      <c r="X826" s="321">
        <f t="shared" si="64"/>
        <v>621100</v>
      </c>
      <c r="Y826" s="321">
        <v>1</v>
      </c>
      <c r="AA826" s="321" t="s">
        <v>2582</v>
      </c>
    </row>
    <row r="827" spans="1:27">
      <c r="A827" s="398">
        <v>753</v>
      </c>
      <c r="B827" s="377">
        <v>811000</v>
      </c>
      <c r="C827" s="385" t="s">
        <v>7017</v>
      </c>
      <c r="D827" s="379">
        <v>13</v>
      </c>
      <c r="E827" s="380">
        <v>13</v>
      </c>
      <c r="F827" s="380">
        <v>13</v>
      </c>
      <c r="H827" s="351">
        <f t="shared" si="65"/>
        <v>13000</v>
      </c>
      <c r="I827" s="351">
        <f t="shared" si="66"/>
        <v>13000</v>
      </c>
      <c r="M827" s="321">
        <v>1621100210</v>
      </c>
      <c r="N827" s="321">
        <v>62</v>
      </c>
      <c r="O827" s="321" t="s">
        <v>5211</v>
      </c>
      <c r="P827" s="321">
        <v>2621100</v>
      </c>
      <c r="Q827" s="322">
        <v>130000</v>
      </c>
      <c r="R827" s="322">
        <v>32100</v>
      </c>
      <c r="S827" s="322">
        <v>0</v>
      </c>
      <c r="T827" s="322">
        <v>0</v>
      </c>
      <c r="U827" s="322">
        <f t="shared" si="62"/>
        <v>0</v>
      </c>
      <c r="W827" s="321">
        <f t="shared" si="63"/>
        <v>210</v>
      </c>
      <c r="X827" s="321">
        <f t="shared" si="64"/>
        <v>621100</v>
      </c>
      <c r="Y827" s="321">
        <v>1</v>
      </c>
      <c r="AA827" s="321" t="s">
        <v>5211</v>
      </c>
    </row>
    <row r="828" spans="1:27">
      <c r="A828" s="398">
        <v>755</v>
      </c>
      <c r="B828" s="377">
        <v>811000</v>
      </c>
      <c r="C828" s="385" t="s">
        <v>6777</v>
      </c>
      <c r="D828" s="379">
        <v>0</v>
      </c>
      <c r="E828" s="380">
        <v>0</v>
      </c>
      <c r="F828" s="380">
        <v>0</v>
      </c>
      <c r="H828" s="351">
        <f t="shared" si="65"/>
        <v>0</v>
      </c>
      <c r="I828" s="351">
        <f t="shared" si="66"/>
        <v>0</v>
      </c>
      <c r="M828" s="321">
        <v>1621100470</v>
      </c>
      <c r="N828" s="321">
        <v>62</v>
      </c>
      <c r="O828" s="321" t="s">
        <v>5358</v>
      </c>
      <c r="P828" s="321">
        <v>2621100</v>
      </c>
      <c r="Q828" s="322">
        <v>6000</v>
      </c>
      <c r="R828" s="322">
        <v>5900</v>
      </c>
      <c r="S828" s="322">
        <v>6000</v>
      </c>
      <c r="T828" s="322">
        <v>6000</v>
      </c>
      <c r="U828" s="322">
        <f t="shared" si="62"/>
        <v>0</v>
      </c>
      <c r="W828" s="321">
        <f t="shared" si="63"/>
        <v>470</v>
      </c>
      <c r="X828" s="321">
        <f t="shared" si="64"/>
        <v>621100</v>
      </c>
      <c r="Y828" s="321">
        <v>1</v>
      </c>
      <c r="AA828" s="321" t="s">
        <v>5358</v>
      </c>
    </row>
    <row r="829" spans="1:27">
      <c r="A829" s="376">
        <v>780</v>
      </c>
      <c r="B829" s="377">
        <v>811000</v>
      </c>
      <c r="C829" s="391" t="s">
        <v>7018</v>
      </c>
      <c r="D829" s="379">
        <v>16</v>
      </c>
      <c r="E829" s="380">
        <v>16</v>
      </c>
      <c r="F829" s="380">
        <v>16</v>
      </c>
      <c r="H829" s="351">
        <f t="shared" si="65"/>
        <v>16000</v>
      </c>
      <c r="I829" s="351">
        <f t="shared" si="66"/>
        <v>16000</v>
      </c>
      <c r="M829" s="321">
        <v>1621100471</v>
      </c>
      <c r="N829" s="321">
        <v>62</v>
      </c>
      <c r="O829" s="321" t="s">
        <v>5212</v>
      </c>
      <c r="P829" s="321">
        <v>2621100</v>
      </c>
      <c r="Q829" s="322">
        <v>5000</v>
      </c>
      <c r="R829" s="322">
        <v>3500</v>
      </c>
      <c r="S829" s="322">
        <v>5400</v>
      </c>
      <c r="T829" s="322">
        <v>5400</v>
      </c>
      <c r="U829" s="322">
        <f t="shared" si="62"/>
        <v>0</v>
      </c>
      <c r="W829" s="321">
        <f t="shared" si="63"/>
        <v>471</v>
      </c>
      <c r="X829" s="321">
        <f t="shared" si="64"/>
        <v>621100</v>
      </c>
      <c r="Y829" s="321">
        <v>1</v>
      </c>
      <c r="AA829" s="321" t="s">
        <v>5212</v>
      </c>
    </row>
    <row r="830" spans="1:27">
      <c r="A830" s="376">
        <v>781</v>
      </c>
      <c r="B830" s="377">
        <v>811000</v>
      </c>
      <c r="C830" s="391" t="s">
        <v>7019</v>
      </c>
      <c r="D830" s="379">
        <v>28</v>
      </c>
      <c r="E830" s="380">
        <v>28</v>
      </c>
      <c r="F830" s="380">
        <v>28</v>
      </c>
      <c r="H830" s="351">
        <f t="shared" si="65"/>
        <v>28000</v>
      </c>
      <c r="I830" s="351">
        <f t="shared" si="66"/>
        <v>28000</v>
      </c>
      <c r="M830" s="321">
        <v>1621100510</v>
      </c>
      <c r="N830" s="321">
        <v>62</v>
      </c>
      <c r="O830" s="321" t="s">
        <v>5359</v>
      </c>
      <c r="P830" s="321">
        <v>2621100</v>
      </c>
      <c r="Q830" s="322">
        <v>5000</v>
      </c>
      <c r="R830" s="322">
        <v>5200</v>
      </c>
      <c r="S830" s="322">
        <v>5000</v>
      </c>
      <c r="T830" s="322">
        <v>5000</v>
      </c>
      <c r="U830" s="322">
        <f t="shared" si="62"/>
        <v>0</v>
      </c>
      <c r="W830" s="321">
        <f t="shared" si="63"/>
        <v>510</v>
      </c>
      <c r="X830" s="321">
        <f t="shared" si="64"/>
        <v>621100</v>
      </c>
      <c r="Y830" s="321">
        <v>1</v>
      </c>
      <c r="AA830" s="321" t="s">
        <v>5359</v>
      </c>
    </row>
    <row r="831" spans="1:27">
      <c r="A831" s="376">
        <v>784</v>
      </c>
      <c r="B831" s="377">
        <v>811000</v>
      </c>
      <c r="C831" s="388" t="s">
        <v>7020</v>
      </c>
      <c r="D831" s="379">
        <v>3067</v>
      </c>
      <c r="E831" s="380">
        <v>0</v>
      </c>
      <c r="F831" s="380">
        <v>0</v>
      </c>
      <c r="H831" s="351">
        <f t="shared" si="65"/>
        <v>3067000</v>
      </c>
      <c r="I831" s="351">
        <f t="shared" si="66"/>
        <v>0</v>
      </c>
      <c r="M831" s="321">
        <v>1621100521</v>
      </c>
      <c r="N831" s="321">
        <v>62</v>
      </c>
      <c r="O831" s="321" t="s">
        <v>2734</v>
      </c>
      <c r="P831" s="321">
        <v>2621100</v>
      </c>
      <c r="Q831" s="322">
        <v>10000</v>
      </c>
      <c r="R831" s="322">
        <v>700</v>
      </c>
      <c r="S831" s="322">
        <v>10000</v>
      </c>
      <c r="T831" s="322">
        <v>10000</v>
      </c>
      <c r="U831" s="322">
        <f t="shared" si="62"/>
        <v>0</v>
      </c>
      <c r="W831" s="321">
        <f t="shared" si="63"/>
        <v>521</v>
      </c>
      <c r="X831" s="321">
        <f t="shared" si="64"/>
        <v>621100</v>
      </c>
      <c r="Y831" s="321">
        <v>1</v>
      </c>
      <c r="AA831" s="321" t="s">
        <v>2734</v>
      </c>
    </row>
    <row r="832" spans="1:27">
      <c r="A832" s="376">
        <v>930</v>
      </c>
      <c r="B832" s="377">
        <v>811000</v>
      </c>
      <c r="C832" s="391" t="s">
        <v>164</v>
      </c>
      <c r="D832" s="379">
        <v>13</v>
      </c>
      <c r="E832" s="380">
        <v>25</v>
      </c>
      <c r="F832" s="380">
        <v>25</v>
      </c>
      <c r="H832" s="351">
        <f t="shared" si="65"/>
        <v>13000</v>
      </c>
      <c r="I832" s="351">
        <f t="shared" si="66"/>
        <v>25000</v>
      </c>
      <c r="M832" s="321">
        <v>1621100522</v>
      </c>
      <c r="N832" s="321">
        <v>62</v>
      </c>
      <c r="O832" s="321" t="s">
        <v>5214</v>
      </c>
      <c r="P832" s="321">
        <v>2621100</v>
      </c>
      <c r="Q832" s="322">
        <v>8000</v>
      </c>
      <c r="R832" s="322">
        <v>3600</v>
      </c>
      <c r="S832" s="322">
        <v>8000</v>
      </c>
      <c r="T832" s="322">
        <v>8000</v>
      </c>
      <c r="U832" s="322">
        <f t="shared" si="62"/>
        <v>0</v>
      </c>
      <c r="W832" s="321">
        <f t="shared" si="63"/>
        <v>522</v>
      </c>
      <c r="X832" s="321">
        <f t="shared" si="64"/>
        <v>621100</v>
      </c>
      <c r="Y832" s="321">
        <v>1</v>
      </c>
      <c r="AA832" s="321" t="s">
        <v>5214</v>
      </c>
    </row>
    <row r="833" spans="1:27">
      <c r="A833" s="376">
        <v>950</v>
      </c>
      <c r="B833" s="377">
        <v>811000</v>
      </c>
      <c r="C833" s="391" t="s">
        <v>7021</v>
      </c>
      <c r="D833" s="379">
        <v>110</v>
      </c>
      <c r="E833" s="380">
        <v>110</v>
      </c>
      <c r="F833" s="380">
        <v>110</v>
      </c>
      <c r="H833" s="351">
        <f t="shared" si="65"/>
        <v>110000</v>
      </c>
      <c r="I833" s="351">
        <f t="shared" si="66"/>
        <v>110000</v>
      </c>
      <c r="M833" s="321">
        <v>1621100523</v>
      </c>
      <c r="N833" s="321">
        <v>62</v>
      </c>
      <c r="O833" s="321" t="s">
        <v>2646</v>
      </c>
      <c r="P833" s="321">
        <v>2621100</v>
      </c>
      <c r="Q833" s="322">
        <v>3000</v>
      </c>
      <c r="R833" s="322">
        <v>1200</v>
      </c>
      <c r="S833" s="322">
        <v>3000</v>
      </c>
      <c r="T833" s="322">
        <v>3000</v>
      </c>
      <c r="U833" s="322">
        <f t="shared" si="62"/>
        <v>0</v>
      </c>
      <c r="W833" s="321">
        <f t="shared" si="63"/>
        <v>523</v>
      </c>
      <c r="X833" s="321">
        <f t="shared" si="64"/>
        <v>621100</v>
      </c>
      <c r="Y833" s="321">
        <v>1</v>
      </c>
      <c r="AA833" s="321" t="s">
        <v>2646</v>
      </c>
    </row>
    <row r="834" spans="1:27">
      <c r="A834" s="376">
        <v>960</v>
      </c>
      <c r="B834" s="377">
        <v>811000</v>
      </c>
      <c r="C834" s="391" t="s">
        <v>7022</v>
      </c>
      <c r="D834" s="379">
        <v>320</v>
      </c>
      <c r="E834" s="380">
        <v>324</v>
      </c>
      <c r="F834" s="380">
        <v>324</v>
      </c>
      <c r="H834" s="351">
        <f t="shared" si="65"/>
        <v>320000</v>
      </c>
      <c r="I834" s="351">
        <f t="shared" si="66"/>
        <v>324000</v>
      </c>
      <c r="M834" s="321">
        <v>1621100530</v>
      </c>
      <c r="N834" s="321">
        <v>62</v>
      </c>
      <c r="O834" s="321" t="s">
        <v>5360</v>
      </c>
      <c r="P834" s="321">
        <v>2621100</v>
      </c>
      <c r="Q834" s="322">
        <v>60000</v>
      </c>
      <c r="R834" s="322">
        <v>39300</v>
      </c>
      <c r="S834" s="322">
        <v>46000</v>
      </c>
      <c r="T834" s="322">
        <v>46000</v>
      </c>
      <c r="U834" s="322">
        <f t="shared" ref="U834:U897" si="67">S834-T834</f>
        <v>0</v>
      </c>
      <c r="W834" s="321">
        <f t="shared" si="63"/>
        <v>530</v>
      </c>
      <c r="X834" s="321">
        <f t="shared" si="64"/>
        <v>621100</v>
      </c>
      <c r="Y834" s="321">
        <v>1</v>
      </c>
      <c r="AA834" s="321" t="s">
        <v>5360</v>
      </c>
    </row>
    <row r="835" spans="1:27">
      <c r="A835" s="376">
        <v>961</v>
      </c>
      <c r="B835" s="377">
        <v>811000</v>
      </c>
      <c r="C835" s="399" t="s">
        <v>7023</v>
      </c>
      <c r="D835" s="379">
        <v>50</v>
      </c>
      <c r="E835" s="380">
        <v>50</v>
      </c>
      <c r="F835" s="380">
        <v>50</v>
      </c>
      <c r="H835" s="351">
        <f t="shared" si="65"/>
        <v>50000</v>
      </c>
      <c r="I835" s="351">
        <f t="shared" si="66"/>
        <v>50000</v>
      </c>
      <c r="M835" s="321">
        <v>1621100540</v>
      </c>
      <c r="N835" s="321">
        <v>62</v>
      </c>
      <c r="O835" s="321" t="s">
        <v>5216</v>
      </c>
      <c r="P835" s="321">
        <v>2621100</v>
      </c>
      <c r="Q835" s="322">
        <v>3000</v>
      </c>
      <c r="R835" s="322">
        <v>1200</v>
      </c>
      <c r="S835" s="322">
        <v>2000</v>
      </c>
      <c r="T835" s="322">
        <v>2000</v>
      </c>
      <c r="U835" s="322">
        <f t="shared" si="67"/>
        <v>0</v>
      </c>
      <c r="W835" s="321">
        <f t="shared" ref="W835:W898" si="68">M835-1000000000-X835*1000</f>
        <v>540</v>
      </c>
      <c r="X835" s="321">
        <f t="shared" ref="X835:X898" si="69">ROUNDDOWN((M835-1000000000)/1000,0)</f>
        <v>621100</v>
      </c>
      <c r="Y835" s="321">
        <v>1</v>
      </c>
      <c r="AA835" s="321" t="s">
        <v>5216</v>
      </c>
    </row>
    <row r="836" spans="1:27">
      <c r="A836" s="376">
        <v>310</v>
      </c>
      <c r="B836" s="377">
        <v>811900</v>
      </c>
      <c r="C836" s="391" t="s">
        <v>7024</v>
      </c>
      <c r="D836" s="379">
        <v>17910</v>
      </c>
      <c r="E836" s="380">
        <v>16500</v>
      </c>
      <c r="F836" s="380">
        <v>17180</v>
      </c>
      <c r="H836" s="351">
        <f t="shared" si="65"/>
        <v>17910000</v>
      </c>
      <c r="I836" s="351">
        <f t="shared" si="66"/>
        <v>17180000</v>
      </c>
      <c r="M836" s="321">
        <v>1621100541</v>
      </c>
      <c r="N836" s="321">
        <v>62</v>
      </c>
      <c r="O836" s="321" t="s">
        <v>5361</v>
      </c>
      <c r="P836" s="321">
        <v>2621100</v>
      </c>
      <c r="Q836" s="322">
        <v>1000</v>
      </c>
      <c r="R836" s="322">
        <v>0</v>
      </c>
      <c r="S836" s="322">
        <v>1000</v>
      </c>
      <c r="T836" s="322">
        <v>1000</v>
      </c>
      <c r="U836" s="322">
        <f t="shared" si="67"/>
        <v>0</v>
      </c>
      <c r="W836" s="321">
        <f t="shared" si="68"/>
        <v>541</v>
      </c>
      <c r="X836" s="321">
        <f t="shared" si="69"/>
        <v>621100</v>
      </c>
      <c r="Y836" s="321">
        <v>1</v>
      </c>
      <c r="AA836" s="321" t="s">
        <v>5361</v>
      </c>
    </row>
    <row r="837" spans="1:27">
      <c r="A837" s="376">
        <v>320</v>
      </c>
      <c r="B837" s="377">
        <v>811900</v>
      </c>
      <c r="C837" s="391" t="s">
        <v>7025</v>
      </c>
      <c r="D837" s="379">
        <v>3483</v>
      </c>
      <c r="E837" s="380">
        <v>3200</v>
      </c>
      <c r="F837" s="380">
        <v>3500</v>
      </c>
      <c r="H837" s="351">
        <f t="shared" si="65"/>
        <v>3483000</v>
      </c>
      <c r="I837" s="351">
        <f t="shared" si="66"/>
        <v>3500000</v>
      </c>
      <c r="M837" s="321">
        <v>1621100542</v>
      </c>
      <c r="N837" s="321">
        <v>62</v>
      </c>
      <c r="O837" s="321" t="s">
        <v>5362</v>
      </c>
      <c r="P837" s="321">
        <v>2621100</v>
      </c>
      <c r="Q837" s="322">
        <v>6000</v>
      </c>
      <c r="R837" s="322">
        <v>5200</v>
      </c>
      <c r="S837" s="322">
        <v>9000</v>
      </c>
      <c r="T837" s="322">
        <v>9000</v>
      </c>
      <c r="U837" s="322">
        <f t="shared" si="67"/>
        <v>0</v>
      </c>
      <c r="W837" s="321">
        <f t="shared" si="68"/>
        <v>542</v>
      </c>
      <c r="X837" s="321">
        <f t="shared" si="69"/>
        <v>621100</v>
      </c>
      <c r="Y837" s="321">
        <v>1</v>
      </c>
      <c r="AA837" s="321" t="s">
        <v>5362</v>
      </c>
    </row>
    <row r="838" spans="1:27">
      <c r="A838" s="376">
        <v>100</v>
      </c>
      <c r="B838" s="377">
        <v>812000</v>
      </c>
      <c r="C838" s="391" t="s">
        <v>7026</v>
      </c>
      <c r="D838" s="379">
        <v>16119</v>
      </c>
      <c r="E838" s="380">
        <v>15400</v>
      </c>
      <c r="F838" s="380">
        <v>15742</v>
      </c>
      <c r="H838" s="351">
        <f t="shared" si="65"/>
        <v>16119000</v>
      </c>
      <c r="I838" s="351">
        <f t="shared" si="66"/>
        <v>15742000</v>
      </c>
      <c r="M838" s="321">
        <v>1621100580</v>
      </c>
      <c r="N838" s="321">
        <v>62</v>
      </c>
      <c r="O838" s="321" t="s">
        <v>5363</v>
      </c>
      <c r="P838" s="321">
        <v>2621100</v>
      </c>
      <c r="Q838" s="322">
        <v>100000</v>
      </c>
      <c r="R838" s="322">
        <v>54700</v>
      </c>
      <c r="S838" s="322">
        <v>100000</v>
      </c>
      <c r="T838" s="322">
        <v>60000</v>
      </c>
      <c r="U838" s="322">
        <f t="shared" si="67"/>
        <v>40000</v>
      </c>
      <c r="W838" s="321">
        <f t="shared" si="68"/>
        <v>580</v>
      </c>
      <c r="X838" s="321">
        <f t="shared" si="69"/>
        <v>621100</v>
      </c>
      <c r="Y838" s="321">
        <v>1</v>
      </c>
      <c r="AA838" s="321" t="s">
        <v>5363</v>
      </c>
    </row>
    <row r="839" spans="1:27">
      <c r="A839" s="376">
        <v>101</v>
      </c>
      <c r="B839" s="377">
        <v>812000</v>
      </c>
      <c r="C839" s="391" t="s">
        <v>7027</v>
      </c>
      <c r="D839" s="379">
        <v>831</v>
      </c>
      <c r="E839" s="380">
        <v>770</v>
      </c>
      <c r="F839" s="380">
        <v>805</v>
      </c>
      <c r="H839" s="351">
        <f t="shared" si="65"/>
        <v>831000</v>
      </c>
      <c r="I839" s="351">
        <f t="shared" si="66"/>
        <v>805000</v>
      </c>
      <c r="M839" s="321">
        <v>1621100581</v>
      </c>
      <c r="N839" s="321">
        <v>62</v>
      </c>
      <c r="O839" s="321" t="s">
        <v>5364</v>
      </c>
      <c r="P839" s="321">
        <v>2621100</v>
      </c>
      <c r="Q839" s="322">
        <v>150000</v>
      </c>
      <c r="R839" s="322">
        <v>77100</v>
      </c>
      <c r="S839" s="322">
        <v>150000</v>
      </c>
      <c r="T839" s="322">
        <v>100000</v>
      </c>
      <c r="U839" s="322">
        <f t="shared" si="67"/>
        <v>50000</v>
      </c>
      <c r="W839" s="321">
        <f t="shared" si="68"/>
        <v>581</v>
      </c>
      <c r="X839" s="321">
        <f t="shared" si="69"/>
        <v>621100</v>
      </c>
      <c r="Y839" s="321">
        <v>1</v>
      </c>
      <c r="AA839" s="321" t="s">
        <v>5364</v>
      </c>
    </row>
    <row r="840" spans="1:27">
      <c r="A840" s="376">
        <v>102</v>
      </c>
      <c r="B840" s="377">
        <v>812000</v>
      </c>
      <c r="C840" s="382" t="s">
        <v>7028</v>
      </c>
      <c r="D840" s="379">
        <v>2363</v>
      </c>
      <c r="E840" s="380">
        <v>2180</v>
      </c>
      <c r="F840" s="380">
        <v>2185</v>
      </c>
      <c r="H840" s="351">
        <f t="shared" si="65"/>
        <v>2363000</v>
      </c>
      <c r="I840" s="351">
        <f t="shared" si="66"/>
        <v>2185000</v>
      </c>
      <c r="M840" s="321">
        <v>1621100582</v>
      </c>
      <c r="N840" s="321">
        <v>62</v>
      </c>
      <c r="O840" s="321" t="s">
        <v>5365</v>
      </c>
      <c r="P840" s="321">
        <v>2621100</v>
      </c>
      <c r="Q840" s="322">
        <v>0</v>
      </c>
      <c r="R840" s="322">
        <v>0</v>
      </c>
      <c r="S840" s="322">
        <v>100000</v>
      </c>
      <c r="T840" s="322">
        <v>50000</v>
      </c>
      <c r="U840" s="322">
        <f t="shared" si="67"/>
        <v>50000</v>
      </c>
      <c r="W840" s="321">
        <f t="shared" si="68"/>
        <v>582</v>
      </c>
      <c r="X840" s="321">
        <f t="shared" si="69"/>
        <v>621100</v>
      </c>
      <c r="Y840" s="321">
        <v>1</v>
      </c>
      <c r="AA840" s="321" t="s">
        <v>5365</v>
      </c>
    </row>
    <row r="841" spans="1:27">
      <c r="A841" s="376">
        <v>103</v>
      </c>
      <c r="B841" s="377">
        <v>812000</v>
      </c>
      <c r="C841" s="382" t="s">
        <v>7029</v>
      </c>
      <c r="D841" s="379">
        <v>1254</v>
      </c>
      <c r="E841" s="380">
        <v>2090</v>
      </c>
      <c r="F841" s="380">
        <v>2090</v>
      </c>
      <c r="H841" s="351">
        <f t="shared" si="65"/>
        <v>1254000</v>
      </c>
      <c r="I841" s="351">
        <f t="shared" si="66"/>
        <v>2090000</v>
      </c>
      <c r="M841" s="321">
        <v>1621100760</v>
      </c>
      <c r="N841" s="321">
        <v>62</v>
      </c>
      <c r="O841" s="321" t="s">
        <v>5366</v>
      </c>
      <c r="P841" s="321">
        <v>2621100</v>
      </c>
      <c r="Q841" s="322">
        <v>20000</v>
      </c>
      <c r="R841" s="322">
        <v>2400</v>
      </c>
      <c r="S841" s="322">
        <v>20000</v>
      </c>
      <c r="T841" s="322">
        <v>20000</v>
      </c>
      <c r="U841" s="322">
        <f t="shared" si="67"/>
        <v>0</v>
      </c>
      <c r="W841" s="321">
        <f t="shared" si="68"/>
        <v>760</v>
      </c>
      <c r="X841" s="321">
        <f t="shared" si="69"/>
        <v>621100</v>
      </c>
      <c r="Y841" s="321">
        <v>1</v>
      </c>
      <c r="AA841" s="321" t="s">
        <v>5366</v>
      </c>
    </row>
    <row r="842" spans="1:27">
      <c r="A842" s="376">
        <v>104</v>
      </c>
      <c r="B842" s="377">
        <v>812000</v>
      </c>
      <c r="C842" s="382" t="s">
        <v>7030</v>
      </c>
      <c r="D842" s="379">
        <v>3119</v>
      </c>
      <c r="E842" s="380">
        <v>1045</v>
      </c>
      <c r="F842" s="380">
        <v>1045</v>
      </c>
      <c r="H842" s="351">
        <f t="shared" si="65"/>
        <v>3119000</v>
      </c>
      <c r="I842" s="351">
        <f t="shared" si="66"/>
        <v>1045000</v>
      </c>
      <c r="M842" s="321">
        <v>1621200110</v>
      </c>
      <c r="N842" s="321">
        <v>62</v>
      </c>
      <c r="O842" s="321" t="s">
        <v>5231</v>
      </c>
      <c r="P842" s="321">
        <v>2621200</v>
      </c>
      <c r="Q842" s="322">
        <v>790000</v>
      </c>
      <c r="R842" s="322">
        <v>589200</v>
      </c>
      <c r="S842" s="322">
        <v>812000</v>
      </c>
      <c r="T842" s="322">
        <v>812000</v>
      </c>
      <c r="U842" s="322">
        <f t="shared" si="67"/>
        <v>0</v>
      </c>
      <c r="W842" s="321">
        <f t="shared" si="68"/>
        <v>110</v>
      </c>
      <c r="X842" s="321">
        <f t="shared" si="69"/>
        <v>621200</v>
      </c>
      <c r="Y842" s="321">
        <v>1</v>
      </c>
      <c r="AA842" s="321" t="s">
        <v>5231</v>
      </c>
    </row>
    <row r="843" spans="1:27">
      <c r="A843" s="376">
        <v>106</v>
      </c>
      <c r="B843" s="377">
        <v>812000</v>
      </c>
      <c r="C843" s="382" t="s">
        <v>7031</v>
      </c>
      <c r="D843" s="379">
        <v>1667</v>
      </c>
      <c r="E843" s="380">
        <v>1380</v>
      </c>
      <c r="F843" s="380">
        <v>1380</v>
      </c>
      <c r="H843" s="351">
        <f t="shared" si="65"/>
        <v>1667000</v>
      </c>
      <c r="I843" s="351">
        <f t="shared" si="66"/>
        <v>1380000</v>
      </c>
      <c r="M843" s="321">
        <v>1621200120</v>
      </c>
      <c r="N843" s="321">
        <v>62</v>
      </c>
      <c r="O843" s="321" t="s">
        <v>5367</v>
      </c>
      <c r="P843" s="321">
        <v>2621200</v>
      </c>
      <c r="Q843" s="322">
        <v>428000</v>
      </c>
      <c r="R843" s="322">
        <v>349100</v>
      </c>
      <c r="S843" s="322">
        <v>446000</v>
      </c>
      <c r="T843" s="322">
        <v>446000</v>
      </c>
      <c r="U843" s="322">
        <f t="shared" si="67"/>
        <v>0</v>
      </c>
      <c r="W843" s="321">
        <f t="shared" si="68"/>
        <v>120</v>
      </c>
      <c r="X843" s="321">
        <f t="shared" si="69"/>
        <v>621200</v>
      </c>
      <c r="Y843" s="321">
        <v>1</v>
      </c>
      <c r="AA843" s="321" t="s">
        <v>5367</v>
      </c>
    </row>
    <row r="844" spans="1:27">
      <c r="A844" s="376">
        <v>107</v>
      </c>
      <c r="B844" s="377">
        <v>812000</v>
      </c>
      <c r="C844" s="400" t="s">
        <v>7032</v>
      </c>
      <c r="D844" s="379">
        <v>510</v>
      </c>
      <c r="E844" s="380">
        <v>597</v>
      </c>
      <c r="F844" s="380">
        <v>597</v>
      </c>
      <c r="H844" s="351">
        <f t="shared" si="65"/>
        <v>510000</v>
      </c>
      <c r="I844" s="351">
        <f t="shared" si="66"/>
        <v>597000</v>
      </c>
      <c r="M844" s="321">
        <v>1621200130</v>
      </c>
      <c r="N844" s="321">
        <v>62</v>
      </c>
      <c r="O844" s="321" t="s">
        <v>2576</v>
      </c>
      <c r="P844" s="321">
        <v>2621200</v>
      </c>
      <c r="Q844" s="322">
        <v>0</v>
      </c>
      <c r="R844" s="322">
        <v>200</v>
      </c>
      <c r="S844" s="322">
        <v>1000</v>
      </c>
      <c r="T844" s="322">
        <v>900</v>
      </c>
      <c r="U844" s="322">
        <f t="shared" si="67"/>
        <v>100</v>
      </c>
      <c r="W844" s="321">
        <f t="shared" si="68"/>
        <v>130</v>
      </c>
      <c r="X844" s="321">
        <f t="shared" si="69"/>
        <v>621200</v>
      </c>
      <c r="Y844" s="321">
        <v>1</v>
      </c>
      <c r="AA844" s="321" t="s">
        <v>2576</v>
      </c>
    </row>
    <row r="845" spans="1:27">
      <c r="A845" s="376">
        <v>430</v>
      </c>
      <c r="B845" s="377">
        <v>812000</v>
      </c>
      <c r="C845" s="391" t="s">
        <v>6798</v>
      </c>
      <c r="D845" s="379">
        <v>823</v>
      </c>
      <c r="E845" s="380">
        <v>815</v>
      </c>
      <c r="F845" s="380">
        <v>815</v>
      </c>
      <c r="H845" s="351">
        <f t="shared" si="65"/>
        <v>823000</v>
      </c>
      <c r="I845" s="351">
        <f t="shared" si="66"/>
        <v>815000</v>
      </c>
      <c r="M845" s="321">
        <v>1621200140</v>
      </c>
      <c r="N845" s="321">
        <v>62</v>
      </c>
      <c r="O845" s="321" t="s">
        <v>5207</v>
      </c>
      <c r="P845" s="321">
        <v>2621200</v>
      </c>
      <c r="Q845" s="322">
        <v>117000</v>
      </c>
      <c r="R845" s="322">
        <v>103200</v>
      </c>
      <c r="S845" s="322">
        <v>133000</v>
      </c>
      <c r="T845" s="322">
        <v>133000</v>
      </c>
      <c r="U845" s="322">
        <f t="shared" si="67"/>
        <v>0</v>
      </c>
      <c r="W845" s="321">
        <f t="shared" si="68"/>
        <v>140</v>
      </c>
      <c r="X845" s="321">
        <f t="shared" si="69"/>
        <v>621200</v>
      </c>
      <c r="Y845" s="321">
        <v>1</v>
      </c>
      <c r="AA845" s="321" t="s">
        <v>5207</v>
      </c>
    </row>
    <row r="846" spans="1:27">
      <c r="A846" s="376">
        <v>432</v>
      </c>
      <c r="B846" s="377">
        <v>812000</v>
      </c>
      <c r="C846" s="391" t="s">
        <v>6887</v>
      </c>
      <c r="D846" s="379">
        <v>535</v>
      </c>
      <c r="E846" s="380">
        <v>540</v>
      </c>
      <c r="F846" s="380">
        <v>540</v>
      </c>
      <c r="H846" s="351">
        <f t="shared" si="65"/>
        <v>535000</v>
      </c>
      <c r="I846" s="351">
        <f t="shared" si="66"/>
        <v>540000</v>
      </c>
      <c r="M846" s="321">
        <v>1621200141</v>
      </c>
      <c r="N846" s="321">
        <v>62</v>
      </c>
      <c r="O846" s="321" t="s">
        <v>5208</v>
      </c>
      <c r="P846" s="321">
        <v>2621200</v>
      </c>
      <c r="Q846" s="322">
        <v>22000</v>
      </c>
      <c r="R846" s="322">
        <v>19800</v>
      </c>
      <c r="S846" s="322">
        <v>27000</v>
      </c>
      <c r="T846" s="322">
        <v>27000</v>
      </c>
      <c r="U846" s="322">
        <f t="shared" si="67"/>
        <v>0</v>
      </c>
      <c r="W846" s="321">
        <f t="shared" si="68"/>
        <v>141</v>
      </c>
      <c r="X846" s="321">
        <f t="shared" si="69"/>
        <v>621200</v>
      </c>
      <c r="Y846" s="321">
        <v>1</v>
      </c>
      <c r="AA846" s="321" t="s">
        <v>5208</v>
      </c>
    </row>
    <row r="847" spans="1:27">
      <c r="A847" s="376">
        <v>511</v>
      </c>
      <c r="B847" s="377">
        <v>812000</v>
      </c>
      <c r="C847" s="391" t="s">
        <v>6864</v>
      </c>
      <c r="D847" s="379">
        <v>28</v>
      </c>
      <c r="E847" s="380">
        <v>24</v>
      </c>
      <c r="F847" s="380">
        <v>24</v>
      </c>
      <c r="H847" s="351">
        <f t="shared" si="65"/>
        <v>28000</v>
      </c>
      <c r="I847" s="351">
        <f t="shared" si="66"/>
        <v>24000</v>
      </c>
      <c r="M847" s="321">
        <v>1621200181</v>
      </c>
      <c r="N847" s="321">
        <v>62</v>
      </c>
      <c r="O847" s="321" t="s">
        <v>2580</v>
      </c>
      <c r="P847" s="321">
        <v>2621200</v>
      </c>
      <c r="Q847" s="322">
        <v>130000</v>
      </c>
      <c r="R847" s="322">
        <v>101800</v>
      </c>
      <c r="S847" s="322">
        <v>137000</v>
      </c>
      <c r="T847" s="322">
        <v>137000</v>
      </c>
      <c r="U847" s="322">
        <f t="shared" si="67"/>
        <v>0</v>
      </c>
      <c r="W847" s="321">
        <f t="shared" si="68"/>
        <v>181</v>
      </c>
      <c r="X847" s="321">
        <f t="shared" si="69"/>
        <v>621200</v>
      </c>
      <c r="Y847" s="321">
        <v>1</v>
      </c>
      <c r="AA847" s="321" t="s">
        <v>2580</v>
      </c>
    </row>
    <row r="848" spans="1:27">
      <c r="A848" s="376">
        <v>540</v>
      </c>
      <c r="B848" s="377">
        <v>812000</v>
      </c>
      <c r="C848" s="391" t="s">
        <v>6752</v>
      </c>
      <c r="D848" s="379">
        <v>265</v>
      </c>
      <c r="E848" s="380">
        <v>265</v>
      </c>
      <c r="F848" s="380">
        <v>265</v>
      </c>
      <c r="H848" s="351">
        <f t="shared" si="65"/>
        <v>265000</v>
      </c>
      <c r="I848" s="351">
        <f t="shared" si="66"/>
        <v>265000</v>
      </c>
      <c r="M848" s="321">
        <v>1621200182</v>
      </c>
      <c r="N848" s="321">
        <v>62</v>
      </c>
      <c r="O848" s="321" t="s">
        <v>2582</v>
      </c>
      <c r="P848" s="321">
        <v>2621200</v>
      </c>
      <c r="Q848" s="322">
        <v>189000</v>
      </c>
      <c r="R848" s="322">
        <v>149200</v>
      </c>
      <c r="S848" s="322">
        <v>206000</v>
      </c>
      <c r="T848" s="322">
        <v>206000</v>
      </c>
      <c r="U848" s="322">
        <f t="shared" si="67"/>
        <v>0</v>
      </c>
      <c r="W848" s="321">
        <f t="shared" si="68"/>
        <v>182</v>
      </c>
      <c r="X848" s="321">
        <f t="shared" si="69"/>
        <v>621200</v>
      </c>
      <c r="Y848" s="321">
        <v>1</v>
      </c>
      <c r="AA848" s="321" t="s">
        <v>2582</v>
      </c>
    </row>
    <row r="849" spans="1:27">
      <c r="A849" s="376">
        <v>550</v>
      </c>
      <c r="B849" s="377">
        <v>812000</v>
      </c>
      <c r="C849" s="382" t="s">
        <v>6737</v>
      </c>
      <c r="D849" s="379">
        <v>50</v>
      </c>
      <c r="E849" s="380">
        <v>50</v>
      </c>
      <c r="F849" s="380">
        <v>50</v>
      </c>
      <c r="H849" s="351">
        <f t="shared" si="65"/>
        <v>50000</v>
      </c>
      <c r="I849" s="351">
        <f t="shared" si="66"/>
        <v>50000</v>
      </c>
      <c r="M849" s="321">
        <v>1621200210</v>
      </c>
      <c r="N849" s="321">
        <v>62</v>
      </c>
      <c r="O849" s="321" t="s">
        <v>5211</v>
      </c>
      <c r="P849" s="321">
        <v>2621200</v>
      </c>
      <c r="Q849" s="322">
        <v>0</v>
      </c>
      <c r="R849" s="322">
        <v>0</v>
      </c>
      <c r="S849" s="322">
        <v>0</v>
      </c>
      <c r="T849" s="322">
        <v>0</v>
      </c>
      <c r="U849" s="322">
        <f t="shared" si="67"/>
        <v>0</v>
      </c>
      <c r="W849" s="321">
        <f t="shared" si="68"/>
        <v>210</v>
      </c>
      <c r="X849" s="321">
        <f t="shared" si="69"/>
        <v>621200</v>
      </c>
      <c r="Y849" s="321">
        <v>1</v>
      </c>
      <c r="AA849" s="321" t="s">
        <v>5211</v>
      </c>
    </row>
    <row r="850" spans="1:27">
      <c r="A850" s="376">
        <v>570</v>
      </c>
      <c r="B850" s="377">
        <v>812000</v>
      </c>
      <c r="C850" s="382" t="s">
        <v>6739</v>
      </c>
      <c r="D850" s="379">
        <v>109</v>
      </c>
      <c r="E850" s="380">
        <v>106</v>
      </c>
      <c r="F850" s="380">
        <v>106</v>
      </c>
      <c r="H850" s="351">
        <f t="shared" ref="H850:H913" si="70">D850*1000</f>
        <v>109000</v>
      </c>
      <c r="I850" s="351">
        <f t="shared" ref="I850:I913" si="71">F850*1000</f>
        <v>106000</v>
      </c>
      <c r="M850" s="321">
        <v>1621200470</v>
      </c>
      <c r="N850" s="321">
        <v>62</v>
      </c>
      <c r="O850" s="321" t="s">
        <v>2830</v>
      </c>
      <c r="P850" s="321">
        <v>2621200</v>
      </c>
      <c r="Q850" s="322">
        <v>13000</v>
      </c>
      <c r="R850" s="322">
        <v>5800</v>
      </c>
      <c r="S850" s="322">
        <v>13000</v>
      </c>
      <c r="T850" s="322">
        <v>13000</v>
      </c>
      <c r="U850" s="322">
        <f t="shared" si="67"/>
        <v>0</v>
      </c>
      <c r="W850" s="321">
        <f t="shared" si="68"/>
        <v>470</v>
      </c>
      <c r="X850" s="321">
        <f t="shared" si="69"/>
        <v>621200</v>
      </c>
      <c r="Y850" s="321">
        <v>1</v>
      </c>
      <c r="AA850" s="321" t="s">
        <v>2830</v>
      </c>
    </row>
    <row r="851" spans="1:27">
      <c r="A851" s="376">
        <v>720</v>
      </c>
      <c r="B851" s="377">
        <v>812000</v>
      </c>
      <c r="C851" s="391" t="s">
        <v>7033</v>
      </c>
      <c r="D851" s="379">
        <f>743-50</f>
        <v>693</v>
      </c>
      <c r="E851" s="380">
        <v>661</v>
      </c>
      <c r="F851" s="380">
        <v>679</v>
      </c>
      <c r="H851" s="351">
        <f t="shared" si="70"/>
        <v>693000</v>
      </c>
      <c r="I851" s="351">
        <f t="shared" si="71"/>
        <v>679000</v>
      </c>
      <c r="M851" s="321">
        <v>1621200471</v>
      </c>
      <c r="N851" s="321">
        <v>62</v>
      </c>
      <c r="O851" s="321" t="s">
        <v>5303</v>
      </c>
      <c r="P851" s="321">
        <v>2621200</v>
      </c>
      <c r="Q851" s="322">
        <v>3500</v>
      </c>
      <c r="R851" s="322">
        <v>3500</v>
      </c>
      <c r="S851" s="322">
        <v>3700</v>
      </c>
      <c r="T851" s="322">
        <v>3700</v>
      </c>
      <c r="U851" s="322">
        <f t="shared" si="67"/>
        <v>0</v>
      </c>
      <c r="W851" s="321">
        <f t="shared" si="68"/>
        <v>471</v>
      </c>
      <c r="X851" s="321">
        <f t="shared" si="69"/>
        <v>621200</v>
      </c>
      <c r="Y851" s="321">
        <v>1</v>
      </c>
      <c r="AA851" s="321" t="s">
        <v>5303</v>
      </c>
    </row>
    <row r="852" spans="1:27">
      <c r="A852" s="376">
        <v>755</v>
      </c>
      <c r="B852" s="377">
        <v>812000</v>
      </c>
      <c r="C852" s="391" t="s">
        <v>6992</v>
      </c>
      <c r="D852" s="379">
        <v>0</v>
      </c>
      <c r="E852" s="380">
        <v>105</v>
      </c>
      <c r="F852" s="380">
        <v>115</v>
      </c>
      <c r="H852" s="351">
        <f t="shared" si="70"/>
        <v>0</v>
      </c>
      <c r="I852" s="351">
        <f t="shared" si="71"/>
        <v>115000</v>
      </c>
      <c r="M852" s="321">
        <v>1621200522</v>
      </c>
      <c r="N852" s="321">
        <v>62</v>
      </c>
      <c r="O852" s="321" t="s">
        <v>5214</v>
      </c>
      <c r="P852" s="321">
        <v>2621200</v>
      </c>
      <c r="Q852" s="322">
        <v>5000</v>
      </c>
      <c r="R852" s="322">
        <v>3100</v>
      </c>
      <c r="S852" s="322">
        <v>5000</v>
      </c>
      <c r="T852" s="322">
        <v>5000</v>
      </c>
      <c r="U852" s="322">
        <f t="shared" si="67"/>
        <v>0</v>
      </c>
      <c r="W852" s="321">
        <f t="shared" si="68"/>
        <v>522</v>
      </c>
      <c r="X852" s="321">
        <f t="shared" si="69"/>
        <v>621200</v>
      </c>
      <c r="Y852" s="321">
        <v>1</v>
      </c>
      <c r="AA852" s="321" t="s">
        <v>5214</v>
      </c>
    </row>
    <row r="853" spans="1:27" ht="30">
      <c r="A853" s="401">
        <v>760</v>
      </c>
      <c r="B853" s="402">
        <v>812000</v>
      </c>
      <c r="C853" s="391" t="s">
        <v>7034</v>
      </c>
      <c r="D853" s="403">
        <v>22440</v>
      </c>
      <c r="E853" s="404">
        <v>21800</v>
      </c>
      <c r="F853" s="404">
        <v>22010</v>
      </c>
      <c r="H853" s="351">
        <f t="shared" si="70"/>
        <v>22440000</v>
      </c>
      <c r="I853" s="351">
        <f t="shared" si="71"/>
        <v>22010000</v>
      </c>
      <c r="M853" s="321">
        <v>1621200530</v>
      </c>
      <c r="N853" s="321">
        <v>62</v>
      </c>
      <c r="O853" s="321" t="s">
        <v>5368</v>
      </c>
      <c r="P853" s="321">
        <v>2621200</v>
      </c>
      <c r="Q853" s="322">
        <v>40000</v>
      </c>
      <c r="R853" s="322">
        <v>18400</v>
      </c>
      <c r="S853" s="322">
        <v>30000</v>
      </c>
      <c r="T853" s="322">
        <v>30000</v>
      </c>
      <c r="U853" s="322">
        <f t="shared" si="67"/>
        <v>0</v>
      </c>
      <c r="W853" s="321">
        <f t="shared" si="68"/>
        <v>530</v>
      </c>
      <c r="X853" s="321">
        <f t="shared" si="69"/>
        <v>621200</v>
      </c>
      <c r="Y853" s="321">
        <v>1</v>
      </c>
      <c r="AA853" s="321" t="s">
        <v>5368</v>
      </c>
    </row>
    <row r="854" spans="1:27">
      <c r="A854" s="376">
        <v>784</v>
      </c>
      <c r="B854" s="377">
        <v>812000</v>
      </c>
      <c r="C854" s="385" t="s">
        <v>7035</v>
      </c>
      <c r="D854" s="379">
        <v>297</v>
      </c>
      <c r="E854" s="380">
        <v>578</v>
      </c>
      <c r="F854" s="380">
        <v>578</v>
      </c>
      <c r="H854" s="351">
        <f t="shared" si="70"/>
        <v>297000</v>
      </c>
      <c r="I854" s="351">
        <f t="shared" si="71"/>
        <v>578000</v>
      </c>
      <c r="M854" s="321">
        <v>1621200540</v>
      </c>
      <c r="N854" s="321">
        <v>62</v>
      </c>
      <c r="O854" s="321" t="s">
        <v>5216</v>
      </c>
      <c r="P854" s="321">
        <v>2621200</v>
      </c>
      <c r="Q854" s="322">
        <v>2000</v>
      </c>
      <c r="R854" s="322">
        <v>1700</v>
      </c>
      <c r="S854" s="322">
        <v>3000</v>
      </c>
      <c r="T854" s="322">
        <v>3000</v>
      </c>
      <c r="U854" s="322">
        <f t="shared" si="67"/>
        <v>0</v>
      </c>
      <c r="W854" s="321">
        <f t="shared" si="68"/>
        <v>540</v>
      </c>
      <c r="X854" s="321">
        <f t="shared" si="69"/>
        <v>621200</v>
      </c>
      <c r="Y854" s="321">
        <v>1</v>
      </c>
      <c r="AA854" s="321" t="s">
        <v>5216</v>
      </c>
    </row>
    <row r="855" spans="1:27">
      <c r="A855" s="376">
        <v>785</v>
      </c>
      <c r="B855" s="377">
        <v>812000</v>
      </c>
      <c r="C855" s="385" t="s">
        <v>7036</v>
      </c>
      <c r="D855" s="379">
        <v>450</v>
      </c>
      <c r="E855" s="380">
        <v>647</v>
      </c>
      <c r="F855" s="380">
        <v>647</v>
      </c>
      <c r="H855" s="351">
        <f t="shared" si="70"/>
        <v>450000</v>
      </c>
      <c r="I855" s="351">
        <f t="shared" si="71"/>
        <v>647000</v>
      </c>
      <c r="M855" s="321">
        <v>1621200541</v>
      </c>
      <c r="N855" s="321">
        <v>62</v>
      </c>
      <c r="O855" s="321" t="s">
        <v>5361</v>
      </c>
      <c r="P855" s="321">
        <v>2621200</v>
      </c>
      <c r="Q855" s="322">
        <v>0</v>
      </c>
      <c r="R855" s="322">
        <v>0</v>
      </c>
      <c r="S855" s="322">
        <v>0</v>
      </c>
      <c r="T855" s="322">
        <v>0</v>
      </c>
      <c r="U855" s="322">
        <f t="shared" si="67"/>
        <v>0</v>
      </c>
      <c r="W855" s="321">
        <f t="shared" si="68"/>
        <v>541</v>
      </c>
      <c r="X855" s="321">
        <f t="shared" si="69"/>
        <v>621200</v>
      </c>
      <c r="Y855" s="321">
        <v>1</v>
      </c>
      <c r="AA855" s="321" t="s">
        <v>5361</v>
      </c>
    </row>
    <row r="856" spans="1:27">
      <c r="A856" s="376">
        <v>780</v>
      </c>
      <c r="B856" s="377">
        <v>812100</v>
      </c>
      <c r="C856" s="391" t="s">
        <v>7037</v>
      </c>
      <c r="D856" s="379">
        <v>0</v>
      </c>
      <c r="E856" s="380">
        <v>0</v>
      </c>
      <c r="F856" s="380">
        <v>0</v>
      </c>
      <c r="H856" s="351">
        <f t="shared" si="70"/>
        <v>0</v>
      </c>
      <c r="I856" s="351">
        <f t="shared" si="71"/>
        <v>0</v>
      </c>
      <c r="M856" s="321">
        <v>1621200542</v>
      </c>
      <c r="N856" s="321">
        <v>62</v>
      </c>
      <c r="O856" s="321" t="s">
        <v>5369</v>
      </c>
      <c r="P856" s="321">
        <v>2621200</v>
      </c>
      <c r="Q856" s="322">
        <v>3800</v>
      </c>
      <c r="R856" s="322">
        <v>2500</v>
      </c>
      <c r="S856" s="322">
        <v>4000</v>
      </c>
      <c r="T856" s="322">
        <v>4000</v>
      </c>
      <c r="U856" s="322">
        <f t="shared" si="67"/>
        <v>0</v>
      </c>
      <c r="W856" s="321">
        <f t="shared" si="68"/>
        <v>542</v>
      </c>
      <c r="X856" s="321">
        <f t="shared" si="69"/>
        <v>621200</v>
      </c>
      <c r="Y856" s="321">
        <v>1</v>
      </c>
      <c r="AA856" s="321" t="s">
        <v>5369</v>
      </c>
    </row>
    <row r="857" spans="1:27">
      <c r="A857" s="376">
        <v>101</v>
      </c>
      <c r="B857" s="377">
        <v>813200</v>
      </c>
      <c r="C857" s="391" t="s">
        <v>7038</v>
      </c>
      <c r="D857" s="379">
        <v>2591</v>
      </c>
      <c r="E857" s="380">
        <v>2450</v>
      </c>
      <c r="F857" s="380">
        <v>2455</v>
      </c>
      <c r="H857" s="351">
        <f t="shared" si="70"/>
        <v>2591000</v>
      </c>
      <c r="I857" s="351">
        <f t="shared" si="71"/>
        <v>2455000</v>
      </c>
      <c r="M857" s="321">
        <v>1621200572</v>
      </c>
      <c r="N857" s="321">
        <v>62</v>
      </c>
      <c r="O857" s="321" t="s">
        <v>5253</v>
      </c>
      <c r="P857" s="321">
        <v>2621200</v>
      </c>
      <c r="Q857" s="322">
        <v>55000</v>
      </c>
      <c r="R857" s="322">
        <v>17700</v>
      </c>
      <c r="S857" s="322">
        <v>40000</v>
      </c>
      <c r="T857" s="322">
        <v>40000</v>
      </c>
      <c r="U857" s="322">
        <f t="shared" si="67"/>
        <v>0</v>
      </c>
      <c r="W857" s="321">
        <f t="shared" si="68"/>
        <v>572</v>
      </c>
      <c r="X857" s="321">
        <f t="shared" si="69"/>
        <v>621200</v>
      </c>
      <c r="Y857" s="321">
        <v>1</v>
      </c>
      <c r="AA857" s="321" t="s">
        <v>5253</v>
      </c>
    </row>
    <row r="858" spans="1:27">
      <c r="A858" s="376">
        <v>102</v>
      </c>
      <c r="B858" s="377">
        <v>813200</v>
      </c>
      <c r="C858" s="391" t="s">
        <v>7039</v>
      </c>
      <c r="D858" s="379">
        <v>1990</v>
      </c>
      <c r="E858" s="380">
        <v>1935</v>
      </c>
      <c r="F858" s="380">
        <v>1980</v>
      </c>
      <c r="H858" s="351">
        <f t="shared" si="70"/>
        <v>1990000</v>
      </c>
      <c r="I858" s="351">
        <f t="shared" si="71"/>
        <v>1980000</v>
      </c>
      <c r="M858" s="321">
        <v>1621200580</v>
      </c>
      <c r="N858" s="321">
        <v>62</v>
      </c>
      <c r="O858" s="321" t="s">
        <v>5370</v>
      </c>
      <c r="P858" s="321">
        <v>2621200</v>
      </c>
      <c r="Q858" s="322">
        <v>50000</v>
      </c>
      <c r="R858" s="322">
        <v>0</v>
      </c>
      <c r="S858" s="322">
        <v>50000</v>
      </c>
      <c r="T858" s="322">
        <v>30000</v>
      </c>
      <c r="U858" s="322">
        <f t="shared" si="67"/>
        <v>20000</v>
      </c>
      <c r="W858" s="321">
        <f t="shared" si="68"/>
        <v>580</v>
      </c>
      <c r="X858" s="321">
        <f t="shared" si="69"/>
        <v>621200</v>
      </c>
      <c r="Y858" s="321">
        <v>1</v>
      </c>
      <c r="AA858" s="321" t="s">
        <v>5370</v>
      </c>
    </row>
    <row r="859" spans="1:27">
      <c r="A859" s="376">
        <v>103</v>
      </c>
      <c r="B859" s="377">
        <v>813200</v>
      </c>
      <c r="C859" s="391" t="s">
        <v>7040</v>
      </c>
      <c r="D859" s="379">
        <v>1373</v>
      </c>
      <c r="E859" s="380">
        <v>1140</v>
      </c>
      <c r="F859" s="380">
        <v>1220</v>
      </c>
      <c r="H859" s="351">
        <f t="shared" si="70"/>
        <v>1373000</v>
      </c>
      <c r="I859" s="351">
        <f t="shared" si="71"/>
        <v>1220000</v>
      </c>
      <c r="M859" s="321">
        <v>1621200760</v>
      </c>
      <c r="N859" s="321">
        <v>62</v>
      </c>
      <c r="O859" s="321" t="s">
        <v>5371</v>
      </c>
      <c r="P859" s="321">
        <v>2621200</v>
      </c>
      <c r="Q859" s="322">
        <v>0</v>
      </c>
      <c r="R859" s="322">
        <v>0</v>
      </c>
      <c r="S859" s="322">
        <v>0</v>
      </c>
      <c r="T859" s="322">
        <v>0</v>
      </c>
      <c r="U859" s="322">
        <f t="shared" si="67"/>
        <v>0</v>
      </c>
      <c r="W859" s="321">
        <f t="shared" si="68"/>
        <v>760</v>
      </c>
      <c r="X859" s="321">
        <f t="shared" si="69"/>
        <v>621200</v>
      </c>
      <c r="Y859" s="321">
        <v>1</v>
      </c>
      <c r="AA859" s="321" t="s">
        <v>5371</v>
      </c>
    </row>
    <row r="860" spans="1:27">
      <c r="A860" s="376">
        <v>105</v>
      </c>
      <c r="B860" s="377">
        <v>813200</v>
      </c>
      <c r="C860" s="382" t="s">
        <v>7041</v>
      </c>
      <c r="D860" s="379">
        <v>482</v>
      </c>
      <c r="E860" s="380">
        <v>422</v>
      </c>
      <c r="F860" s="380">
        <v>445</v>
      </c>
      <c r="H860" s="351">
        <f t="shared" si="70"/>
        <v>482000</v>
      </c>
      <c r="I860" s="351">
        <f t="shared" si="71"/>
        <v>445000</v>
      </c>
      <c r="M860" s="321">
        <v>1621300110</v>
      </c>
      <c r="N860" s="321">
        <v>62</v>
      </c>
      <c r="O860" s="321" t="s">
        <v>5231</v>
      </c>
      <c r="P860" s="321">
        <v>2621300</v>
      </c>
      <c r="Q860" s="322">
        <v>981000</v>
      </c>
      <c r="R860" s="322">
        <v>747400</v>
      </c>
      <c r="S860" s="322">
        <v>957000</v>
      </c>
      <c r="T860" s="322">
        <v>957000</v>
      </c>
      <c r="U860" s="322">
        <f t="shared" si="67"/>
        <v>0</v>
      </c>
      <c r="W860" s="321">
        <f t="shared" si="68"/>
        <v>110</v>
      </c>
      <c r="X860" s="321">
        <f t="shared" si="69"/>
        <v>621300</v>
      </c>
      <c r="Y860" s="321">
        <v>1</v>
      </c>
      <c r="AA860" s="321" t="s">
        <v>5231</v>
      </c>
    </row>
    <row r="861" spans="1:27">
      <c r="A861" s="376">
        <v>106</v>
      </c>
      <c r="B861" s="377">
        <v>813200</v>
      </c>
      <c r="C861" s="391" t="s">
        <v>7042</v>
      </c>
      <c r="D861" s="379">
        <v>836</v>
      </c>
      <c r="E861" s="380">
        <v>550</v>
      </c>
      <c r="F861" s="380">
        <v>550</v>
      </c>
      <c r="H861" s="351">
        <f t="shared" si="70"/>
        <v>836000</v>
      </c>
      <c r="I861" s="351">
        <f t="shared" si="71"/>
        <v>550000</v>
      </c>
      <c r="M861" s="321">
        <v>1621300120</v>
      </c>
      <c r="N861" s="321">
        <v>62</v>
      </c>
      <c r="O861" s="321" t="s">
        <v>5206</v>
      </c>
      <c r="P861" s="321">
        <v>2621300</v>
      </c>
      <c r="Q861" s="322">
        <v>172000</v>
      </c>
      <c r="R861" s="322">
        <v>148600</v>
      </c>
      <c r="S861" s="322">
        <v>176000</v>
      </c>
      <c r="T861" s="322">
        <v>176000</v>
      </c>
      <c r="U861" s="322">
        <f t="shared" si="67"/>
        <v>0</v>
      </c>
      <c r="W861" s="321">
        <f t="shared" si="68"/>
        <v>120</v>
      </c>
      <c r="X861" s="321">
        <f t="shared" si="69"/>
        <v>621300</v>
      </c>
      <c r="Y861" s="321">
        <v>1</v>
      </c>
      <c r="AA861" s="321" t="s">
        <v>5206</v>
      </c>
    </row>
    <row r="862" spans="1:27">
      <c r="A862" s="376">
        <v>107</v>
      </c>
      <c r="B862" s="377">
        <v>813200</v>
      </c>
      <c r="C862" s="400" t="s">
        <v>7043</v>
      </c>
      <c r="D862" s="379">
        <f>1950-50</f>
        <v>1900</v>
      </c>
      <c r="E862" s="380">
        <v>2854</v>
      </c>
      <c r="F862" s="380">
        <v>2854</v>
      </c>
      <c r="H862" s="351">
        <f t="shared" si="70"/>
        <v>1900000</v>
      </c>
      <c r="I862" s="351">
        <f t="shared" si="71"/>
        <v>2854000</v>
      </c>
      <c r="M862" s="321">
        <v>1621300130</v>
      </c>
      <c r="N862" s="321">
        <v>62</v>
      </c>
      <c r="O862" s="321" t="s">
        <v>2576</v>
      </c>
      <c r="P862" s="321">
        <v>2621300</v>
      </c>
      <c r="Q862" s="322">
        <v>39000</v>
      </c>
      <c r="R862" s="322">
        <v>37000</v>
      </c>
      <c r="S862" s="322">
        <v>47000</v>
      </c>
      <c r="T862" s="322">
        <v>42300</v>
      </c>
      <c r="U862" s="322">
        <f t="shared" si="67"/>
        <v>4700</v>
      </c>
      <c r="W862" s="321">
        <f t="shared" si="68"/>
        <v>130</v>
      </c>
      <c r="X862" s="321">
        <f t="shared" si="69"/>
        <v>621300</v>
      </c>
      <c r="Y862" s="321">
        <v>1</v>
      </c>
      <c r="AA862" s="321" t="s">
        <v>2576</v>
      </c>
    </row>
    <row r="863" spans="1:27">
      <c r="A863" s="376">
        <v>108</v>
      </c>
      <c r="B863" s="377">
        <v>813200</v>
      </c>
      <c r="C863" s="382" t="s">
        <v>7044</v>
      </c>
      <c r="D863" s="379">
        <v>82</v>
      </c>
      <c r="E863" s="380">
        <v>118</v>
      </c>
      <c r="F863" s="380">
        <v>118</v>
      </c>
      <c r="H863" s="351">
        <f t="shared" si="70"/>
        <v>82000</v>
      </c>
      <c r="I863" s="351">
        <f t="shared" si="71"/>
        <v>118000</v>
      </c>
      <c r="M863" s="321">
        <v>1621300140</v>
      </c>
      <c r="N863" s="321">
        <v>62</v>
      </c>
      <c r="O863" s="321" t="s">
        <v>5207</v>
      </c>
      <c r="P863" s="321">
        <v>2621300</v>
      </c>
      <c r="Q863" s="322">
        <v>114000</v>
      </c>
      <c r="R863" s="322">
        <v>129200</v>
      </c>
      <c r="S863" s="322">
        <v>189000</v>
      </c>
      <c r="T863" s="322">
        <v>189000</v>
      </c>
      <c r="U863" s="322">
        <f t="shared" si="67"/>
        <v>0</v>
      </c>
      <c r="W863" s="321">
        <f t="shared" si="68"/>
        <v>140</v>
      </c>
      <c r="X863" s="321">
        <f t="shared" si="69"/>
        <v>621300</v>
      </c>
      <c r="Y863" s="321">
        <v>1</v>
      </c>
      <c r="AA863" s="321" t="s">
        <v>5207</v>
      </c>
    </row>
    <row r="864" spans="1:27">
      <c r="A864" s="376">
        <v>570</v>
      </c>
      <c r="B864" s="377">
        <v>813200</v>
      </c>
      <c r="C864" s="382" t="s">
        <v>6739</v>
      </c>
      <c r="D864" s="379">
        <v>470</v>
      </c>
      <c r="E864" s="380">
        <v>470</v>
      </c>
      <c r="F864" s="380">
        <v>470</v>
      </c>
      <c r="H864" s="351">
        <f t="shared" si="70"/>
        <v>470000</v>
      </c>
      <c r="I864" s="351">
        <f t="shared" si="71"/>
        <v>470000</v>
      </c>
      <c r="M864" s="321">
        <v>1621300141</v>
      </c>
      <c r="N864" s="321">
        <v>62</v>
      </c>
      <c r="O864" s="321" t="s">
        <v>5208</v>
      </c>
      <c r="P864" s="321">
        <v>2621300</v>
      </c>
      <c r="Q864" s="322">
        <v>54000</v>
      </c>
      <c r="R864" s="322">
        <v>46400</v>
      </c>
      <c r="S864" s="322">
        <v>52000</v>
      </c>
      <c r="T864" s="322">
        <v>52000</v>
      </c>
      <c r="U864" s="322">
        <f t="shared" si="67"/>
        <v>0</v>
      </c>
      <c r="W864" s="321">
        <f t="shared" si="68"/>
        <v>141</v>
      </c>
      <c r="X864" s="321">
        <f t="shared" si="69"/>
        <v>621300</v>
      </c>
      <c r="Y864" s="321">
        <v>1</v>
      </c>
      <c r="AA864" s="321" t="s">
        <v>5208</v>
      </c>
    </row>
    <row r="865" spans="1:27">
      <c r="A865" s="376">
        <v>750</v>
      </c>
      <c r="B865" s="377">
        <v>813200</v>
      </c>
      <c r="C865" s="391" t="s">
        <v>6804</v>
      </c>
      <c r="D865" s="379">
        <v>3381</v>
      </c>
      <c r="E865" s="380">
        <v>3330</v>
      </c>
      <c r="F865" s="380">
        <v>3365</v>
      </c>
      <c r="H865" s="351">
        <f t="shared" si="70"/>
        <v>3381000</v>
      </c>
      <c r="I865" s="351">
        <f t="shared" si="71"/>
        <v>3365000</v>
      </c>
      <c r="M865" s="321">
        <v>1621300181</v>
      </c>
      <c r="N865" s="321">
        <v>62</v>
      </c>
      <c r="O865" s="321" t="s">
        <v>2580</v>
      </c>
      <c r="P865" s="321">
        <v>2621300</v>
      </c>
      <c r="Q865" s="322">
        <v>207000</v>
      </c>
      <c r="R865" s="322">
        <v>139700</v>
      </c>
      <c r="S865" s="322">
        <v>191000</v>
      </c>
      <c r="T865" s="322">
        <v>191000</v>
      </c>
      <c r="U865" s="322">
        <f t="shared" si="67"/>
        <v>0</v>
      </c>
      <c r="W865" s="321">
        <f t="shared" si="68"/>
        <v>181</v>
      </c>
      <c r="X865" s="321">
        <f t="shared" si="69"/>
        <v>621300</v>
      </c>
      <c r="Y865" s="321">
        <v>1</v>
      </c>
      <c r="AA865" s="321" t="s">
        <v>2580</v>
      </c>
    </row>
    <row r="866" spans="1:27">
      <c r="A866" s="376">
        <v>755</v>
      </c>
      <c r="B866" s="377">
        <v>813200</v>
      </c>
      <c r="C866" s="382" t="s">
        <v>7045</v>
      </c>
      <c r="D866" s="379">
        <v>180</v>
      </c>
      <c r="E866" s="380">
        <v>210</v>
      </c>
      <c r="F866" s="380">
        <v>210</v>
      </c>
      <c r="H866" s="351">
        <f t="shared" si="70"/>
        <v>180000</v>
      </c>
      <c r="I866" s="351">
        <f t="shared" si="71"/>
        <v>210000</v>
      </c>
      <c r="M866" s="321">
        <v>1621300182</v>
      </c>
      <c r="N866" s="321">
        <v>62</v>
      </c>
      <c r="O866" s="321" t="s">
        <v>2582</v>
      </c>
      <c r="P866" s="321">
        <v>2621300</v>
      </c>
      <c r="Q866" s="322">
        <v>186000</v>
      </c>
      <c r="R866" s="322">
        <v>146900</v>
      </c>
      <c r="S866" s="322">
        <v>191000</v>
      </c>
      <c r="T866" s="322">
        <v>191000</v>
      </c>
      <c r="U866" s="322">
        <f t="shared" si="67"/>
        <v>0</v>
      </c>
      <c r="W866" s="321">
        <f t="shared" si="68"/>
        <v>182</v>
      </c>
      <c r="X866" s="321">
        <f t="shared" si="69"/>
        <v>621300</v>
      </c>
      <c r="Y866" s="321">
        <v>1</v>
      </c>
      <c r="AA866" s="321" t="s">
        <v>2582</v>
      </c>
    </row>
    <row r="867" spans="1:27">
      <c r="A867" s="376">
        <v>756</v>
      </c>
      <c r="B867" s="377">
        <v>813200</v>
      </c>
      <c r="C867" s="382" t="s">
        <v>7046</v>
      </c>
      <c r="D867" s="379">
        <v>50</v>
      </c>
      <c r="E867" s="380">
        <v>0</v>
      </c>
      <c r="F867" s="380">
        <v>0</v>
      </c>
      <c r="H867" s="351">
        <f t="shared" si="70"/>
        <v>50000</v>
      </c>
      <c r="I867" s="351">
        <f t="shared" si="71"/>
        <v>0</v>
      </c>
      <c r="M867" s="321">
        <v>1621300210</v>
      </c>
      <c r="N867" s="321">
        <v>62</v>
      </c>
      <c r="O867" s="321" t="s">
        <v>5372</v>
      </c>
      <c r="P867" s="321">
        <v>2621300</v>
      </c>
      <c r="Q867" s="322">
        <v>0</v>
      </c>
      <c r="R867" s="322">
        <v>0</v>
      </c>
      <c r="S867" s="322">
        <v>0</v>
      </c>
      <c r="T867" s="322">
        <v>0</v>
      </c>
      <c r="U867" s="322">
        <f t="shared" si="67"/>
        <v>0</v>
      </c>
      <c r="W867" s="321">
        <f t="shared" si="68"/>
        <v>210</v>
      </c>
      <c r="X867" s="321">
        <f t="shared" si="69"/>
        <v>621300</v>
      </c>
      <c r="Y867" s="321">
        <v>1</v>
      </c>
      <c r="AA867" s="321" t="s">
        <v>5372</v>
      </c>
    </row>
    <row r="868" spans="1:27">
      <c r="A868" s="376">
        <v>780</v>
      </c>
      <c r="B868" s="377">
        <v>813200</v>
      </c>
      <c r="C868" s="382" t="s">
        <v>7047</v>
      </c>
      <c r="D868" s="379">
        <v>1940</v>
      </c>
      <c r="E868" s="380">
        <v>3674</v>
      </c>
      <c r="F868" s="380">
        <v>3674</v>
      </c>
      <c r="H868" s="351">
        <f t="shared" si="70"/>
        <v>1940000</v>
      </c>
      <c r="I868" s="351">
        <f t="shared" si="71"/>
        <v>3674000</v>
      </c>
      <c r="M868" s="321">
        <v>1621300470</v>
      </c>
      <c r="N868" s="321">
        <v>62</v>
      </c>
      <c r="O868" s="321" t="s">
        <v>2660</v>
      </c>
      <c r="P868" s="321">
        <v>2621300</v>
      </c>
      <c r="Q868" s="322">
        <v>30000</v>
      </c>
      <c r="R868" s="322">
        <v>15100</v>
      </c>
      <c r="S868" s="322">
        <v>30000</v>
      </c>
      <c r="T868" s="322">
        <v>30000</v>
      </c>
      <c r="U868" s="322">
        <f t="shared" si="67"/>
        <v>0</v>
      </c>
      <c r="W868" s="321">
        <f t="shared" si="68"/>
        <v>470</v>
      </c>
      <c r="X868" s="321">
        <f t="shared" si="69"/>
        <v>621300</v>
      </c>
      <c r="Y868" s="321">
        <v>1</v>
      </c>
      <c r="AA868" s="321" t="s">
        <v>2660</v>
      </c>
    </row>
    <row r="869" spans="1:27">
      <c r="A869" s="376">
        <v>784</v>
      </c>
      <c r="B869" s="377">
        <v>813200</v>
      </c>
      <c r="C869" s="385" t="s">
        <v>7035</v>
      </c>
      <c r="D869" s="379">
        <v>1044</v>
      </c>
      <c r="E869" s="380">
        <v>1296</v>
      </c>
      <c r="F869" s="380">
        <v>1296</v>
      </c>
      <c r="H869" s="351">
        <f t="shared" si="70"/>
        <v>1044000</v>
      </c>
      <c r="I869" s="351">
        <f t="shared" si="71"/>
        <v>1296000</v>
      </c>
      <c r="M869" s="321">
        <v>1621300471</v>
      </c>
      <c r="N869" s="321">
        <v>62</v>
      </c>
      <c r="O869" s="321" t="s">
        <v>5373</v>
      </c>
      <c r="P869" s="321">
        <v>2621300</v>
      </c>
      <c r="Q869" s="322">
        <v>6500</v>
      </c>
      <c r="R869" s="322">
        <v>5600</v>
      </c>
      <c r="S869" s="322">
        <v>4800</v>
      </c>
      <c r="T869" s="322">
        <v>4800</v>
      </c>
      <c r="U869" s="322">
        <f t="shared" si="67"/>
        <v>0</v>
      </c>
      <c r="W869" s="321">
        <f t="shared" si="68"/>
        <v>471</v>
      </c>
      <c r="X869" s="321">
        <f t="shared" si="69"/>
        <v>621300</v>
      </c>
      <c r="Y869" s="321">
        <v>1</v>
      </c>
      <c r="AA869" s="321" t="s">
        <v>5373</v>
      </c>
    </row>
    <row r="870" spans="1:27">
      <c r="A870" s="376">
        <v>860</v>
      </c>
      <c r="B870" s="377">
        <v>813200</v>
      </c>
      <c r="C870" s="385" t="s">
        <v>7048</v>
      </c>
      <c r="D870" s="379">
        <v>60</v>
      </c>
      <c r="E870" s="380">
        <v>120</v>
      </c>
      <c r="F870" s="380">
        <v>120</v>
      </c>
      <c r="H870" s="351">
        <f t="shared" si="70"/>
        <v>60000</v>
      </c>
      <c r="I870" s="351">
        <f t="shared" si="71"/>
        <v>120000</v>
      </c>
      <c r="M870" s="321">
        <v>1621300522</v>
      </c>
      <c r="N870" s="321">
        <v>62</v>
      </c>
      <c r="O870" s="321" t="s">
        <v>5214</v>
      </c>
      <c r="P870" s="321">
        <v>2621300</v>
      </c>
      <c r="Q870" s="322">
        <v>5000</v>
      </c>
      <c r="R870" s="322">
        <v>3600</v>
      </c>
      <c r="S870" s="322">
        <v>5000</v>
      </c>
      <c r="T870" s="322">
        <v>5000</v>
      </c>
      <c r="U870" s="322">
        <f t="shared" si="67"/>
        <v>0</v>
      </c>
      <c r="W870" s="321">
        <f t="shared" si="68"/>
        <v>522</v>
      </c>
      <c r="X870" s="321">
        <f t="shared" si="69"/>
        <v>621300</v>
      </c>
      <c r="Y870" s="321">
        <v>1</v>
      </c>
      <c r="AA870" s="321" t="s">
        <v>5214</v>
      </c>
    </row>
    <row r="871" spans="1:27">
      <c r="A871" s="376">
        <v>870</v>
      </c>
      <c r="B871" s="377">
        <v>813200</v>
      </c>
      <c r="C871" s="391" t="s">
        <v>7049</v>
      </c>
      <c r="D871" s="379">
        <v>45</v>
      </c>
      <c r="E871" s="380">
        <v>47</v>
      </c>
      <c r="F871" s="380">
        <v>47</v>
      </c>
      <c r="H871" s="351">
        <f t="shared" si="70"/>
        <v>45000</v>
      </c>
      <c r="I871" s="351">
        <f t="shared" si="71"/>
        <v>47000</v>
      </c>
      <c r="M871" s="321">
        <v>1621300530</v>
      </c>
      <c r="N871" s="321">
        <v>62</v>
      </c>
      <c r="O871" s="321" t="s">
        <v>5374</v>
      </c>
      <c r="P871" s="321">
        <v>2621300</v>
      </c>
      <c r="Q871" s="322">
        <v>50000</v>
      </c>
      <c r="R871" s="322">
        <v>100</v>
      </c>
      <c r="S871" s="322">
        <v>0</v>
      </c>
      <c r="T871" s="322">
        <v>0</v>
      </c>
      <c r="U871" s="322">
        <f t="shared" si="67"/>
        <v>0</v>
      </c>
      <c r="W871" s="321">
        <f t="shared" si="68"/>
        <v>530</v>
      </c>
      <c r="X871" s="321">
        <f t="shared" si="69"/>
        <v>621300</v>
      </c>
      <c r="Y871" s="321">
        <v>1</v>
      </c>
      <c r="AA871" s="321" t="s">
        <v>5374</v>
      </c>
    </row>
    <row r="872" spans="1:27">
      <c r="A872" s="376">
        <v>873</v>
      </c>
      <c r="B872" s="377">
        <v>813200</v>
      </c>
      <c r="C872" s="391" t="s">
        <v>7050</v>
      </c>
      <c r="D872" s="379">
        <v>76</v>
      </c>
      <c r="E872" s="380">
        <v>76</v>
      </c>
      <c r="F872" s="380">
        <v>65</v>
      </c>
      <c r="H872" s="351">
        <f t="shared" si="70"/>
        <v>76000</v>
      </c>
      <c r="I872" s="351">
        <f t="shared" si="71"/>
        <v>65000</v>
      </c>
      <c r="M872" s="321">
        <v>1621300540</v>
      </c>
      <c r="N872" s="321">
        <v>62</v>
      </c>
      <c r="O872" s="321" t="s">
        <v>5216</v>
      </c>
      <c r="P872" s="321">
        <v>2621300</v>
      </c>
      <c r="Q872" s="322">
        <v>3000</v>
      </c>
      <c r="R872" s="322">
        <v>2000</v>
      </c>
      <c r="S872" s="322">
        <v>3000</v>
      </c>
      <c r="T872" s="322">
        <v>3000</v>
      </c>
      <c r="U872" s="322">
        <f t="shared" si="67"/>
        <v>0</v>
      </c>
      <c r="W872" s="321">
        <f t="shared" si="68"/>
        <v>540</v>
      </c>
      <c r="X872" s="321">
        <f t="shared" si="69"/>
        <v>621300</v>
      </c>
      <c r="Y872" s="321">
        <v>1</v>
      </c>
      <c r="AA872" s="321" t="s">
        <v>5216</v>
      </c>
    </row>
    <row r="873" spans="1:27">
      <c r="A873" s="376">
        <v>876</v>
      </c>
      <c r="B873" s="377">
        <v>813200</v>
      </c>
      <c r="C873" s="382" t="s">
        <v>7051</v>
      </c>
      <c r="D873" s="379">
        <v>345</v>
      </c>
      <c r="E873" s="380">
        <v>325</v>
      </c>
      <c r="F873" s="380">
        <v>325</v>
      </c>
      <c r="H873" s="351">
        <f t="shared" si="70"/>
        <v>345000</v>
      </c>
      <c r="I873" s="351">
        <f t="shared" si="71"/>
        <v>325000</v>
      </c>
      <c r="M873" s="321">
        <v>1621300541</v>
      </c>
      <c r="N873" s="321">
        <v>62</v>
      </c>
      <c r="O873" s="321" t="s">
        <v>5361</v>
      </c>
      <c r="P873" s="321">
        <v>2621300</v>
      </c>
      <c r="Q873" s="322">
        <v>0</v>
      </c>
      <c r="R873" s="322">
        <v>0</v>
      </c>
      <c r="S873" s="322">
        <v>0</v>
      </c>
      <c r="T873" s="322">
        <v>0</v>
      </c>
      <c r="U873" s="322">
        <f t="shared" si="67"/>
        <v>0</v>
      </c>
      <c r="W873" s="321">
        <f t="shared" si="68"/>
        <v>541</v>
      </c>
      <c r="X873" s="321">
        <f t="shared" si="69"/>
        <v>621300</v>
      </c>
      <c r="Y873" s="321">
        <v>1</v>
      </c>
      <c r="AA873" s="321" t="s">
        <v>5361</v>
      </c>
    </row>
    <row r="874" spans="1:27">
      <c r="A874" s="376">
        <v>877</v>
      </c>
      <c r="B874" s="377">
        <v>813200</v>
      </c>
      <c r="C874" s="382" t="s">
        <v>7052</v>
      </c>
      <c r="D874" s="379">
        <v>413</v>
      </c>
      <c r="E874" s="380">
        <v>525</v>
      </c>
      <c r="F874" s="380">
        <v>490</v>
      </c>
      <c r="H874" s="351">
        <f t="shared" si="70"/>
        <v>413000</v>
      </c>
      <c r="I874" s="351">
        <f t="shared" si="71"/>
        <v>490000</v>
      </c>
      <c r="M874" s="321">
        <v>1621300542</v>
      </c>
      <c r="N874" s="321">
        <v>62</v>
      </c>
      <c r="O874" s="321" t="s">
        <v>5369</v>
      </c>
      <c r="P874" s="321">
        <v>2621300</v>
      </c>
      <c r="Q874" s="322">
        <v>2500</v>
      </c>
      <c r="R874" s="322">
        <v>3300</v>
      </c>
      <c r="S874" s="322">
        <v>3000</v>
      </c>
      <c r="T874" s="322">
        <v>3000</v>
      </c>
      <c r="U874" s="322">
        <f t="shared" si="67"/>
        <v>0</v>
      </c>
      <c r="W874" s="321">
        <f t="shared" si="68"/>
        <v>542</v>
      </c>
      <c r="X874" s="321">
        <f t="shared" si="69"/>
        <v>621300</v>
      </c>
      <c r="Y874" s="321">
        <v>1</v>
      </c>
      <c r="AA874" s="321" t="s">
        <v>5369</v>
      </c>
    </row>
    <row r="875" spans="1:27">
      <c r="A875" s="376">
        <v>878</v>
      </c>
      <c r="B875" s="377">
        <v>813200</v>
      </c>
      <c r="C875" s="382" t="s">
        <v>7053</v>
      </c>
      <c r="D875" s="379">
        <v>4085</v>
      </c>
      <c r="E875" s="380">
        <v>3985</v>
      </c>
      <c r="F875" s="380">
        <v>3945</v>
      </c>
      <c r="H875" s="351">
        <f t="shared" si="70"/>
        <v>4085000</v>
      </c>
      <c r="I875" s="351">
        <f t="shared" si="71"/>
        <v>3945000</v>
      </c>
      <c r="M875" s="321">
        <v>1621300572</v>
      </c>
      <c r="N875" s="321">
        <v>62</v>
      </c>
      <c r="O875" s="321" t="s">
        <v>5253</v>
      </c>
      <c r="P875" s="321">
        <v>2621300</v>
      </c>
      <c r="Q875" s="322">
        <v>166000</v>
      </c>
      <c r="R875" s="322">
        <v>87300</v>
      </c>
      <c r="S875" s="322">
        <v>170000</v>
      </c>
      <c r="T875" s="322">
        <v>140000</v>
      </c>
      <c r="U875" s="322">
        <f t="shared" si="67"/>
        <v>30000</v>
      </c>
      <c r="W875" s="321">
        <f t="shared" si="68"/>
        <v>572</v>
      </c>
      <c r="X875" s="321">
        <f t="shared" si="69"/>
        <v>621300</v>
      </c>
      <c r="Y875" s="321">
        <v>1</v>
      </c>
      <c r="AA875" s="321" t="s">
        <v>5253</v>
      </c>
    </row>
    <row r="876" spans="1:27">
      <c r="A876" s="376">
        <v>100</v>
      </c>
      <c r="B876" s="377">
        <v>813210</v>
      </c>
      <c r="C876" s="391" t="s">
        <v>6711</v>
      </c>
      <c r="D876" s="379">
        <v>204</v>
      </c>
      <c r="E876" s="380">
        <v>250</v>
      </c>
      <c r="F876" s="380">
        <v>270</v>
      </c>
      <c r="H876" s="351">
        <f t="shared" si="70"/>
        <v>204000</v>
      </c>
      <c r="I876" s="351">
        <f t="shared" si="71"/>
        <v>270000</v>
      </c>
      <c r="M876" s="321">
        <v>1621300575</v>
      </c>
      <c r="N876" s="321">
        <v>62</v>
      </c>
      <c r="O876" s="321" t="s">
        <v>5375</v>
      </c>
      <c r="P876" s="321">
        <v>2621300</v>
      </c>
      <c r="Q876" s="322">
        <v>39000</v>
      </c>
      <c r="R876" s="322">
        <v>9100</v>
      </c>
      <c r="S876" s="322">
        <v>39000</v>
      </c>
      <c r="T876" s="322">
        <v>39000</v>
      </c>
      <c r="U876" s="322">
        <f t="shared" si="67"/>
        <v>0</v>
      </c>
      <c r="W876" s="321">
        <f t="shared" si="68"/>
        <v>575</v>
      </c>
      <c r="X876" s="321">
        <f t="shared" si="69"/>
        <v>621300</v>
      </c>
      <c r="Y876" s="321">
        <v>1</v>
      </c>
      <c r="AA876" s="321" t="s">
        <v>5375</v>
      </c>
    </row>
    <row r="877" spans="1:27">
      <c r="A877" s="376">
        <v>420</v>
      </c>
      <c r="B877" s="377">
        <v>813210</v>
      </c>
      <c r="C877" s="382" t="s">
        <v>7054</v>
      </c>
      <c r="D877" s="379">
        <v>9</v>
      </c>
      <c r="E877" s="380">
        <v>10</v>
      </c>
      <c r="F877" s="380">
        <v>10</v>
      </c>
      <c r="H877" s="351">
        <f t="shared" si="70"/>
        <v>9000</v>
      </c>
      <c r="I877" s="351">
        <f t="shared" si="71"/>
        <v>10000</v>
      </c>
      <c r="M877" s="321">
        <v>1621300580</v>
      </c>
      <c r="N877" s="321">
        <v>62</v>
      </c>
      <c r="O877" s="321" t="s">
        <v>5376</v>
      </c>
      <c r="P877" s="321">
        <v>2621300</v>
      </c>
      <c r="Q877" s="322">
        <v>50000</v>
      </c>
      <c r="R877" s="322">
        <v>23500</v>
      </c>
      <c r="S877" s="322">
        <v>50000</v>
      </c>
      <c r="T877" s="322">
        <v>30000</v>
      </c>
      <c r="U877" s="322">
        <f t="shared" si="67"/>
        <v>20000</v>
      </c>
      <c r="W877" s="321">
        <f t="shared" si="68"/>
        <v>580</v>
      </c>
      <c r="X877" s="321">
        <f t="shared" si="69"/>
        <v>621300</v>
      </c>
      <c r="Y877" s="321">
        <v>1</v>
      </c>
      <c r="AA877" s="321" t="s">
        <v>5376</v>
      </c>
    </row>
    <row r="878" spans="1:27">
      <c r="A878" s="376">
        <v>750</v>
      </c>
      <c r="B878" s="377">
        <v>813210</v>
      </c>
      <c r="C878" s="391" t="s">
        <v>6804</v>
      </c>
      <c r="D878" s="379">
        <v>95</v>
      </c>
      <c r="E878" s="380">
        <v>93</v>
      </c>
      <c r="F878" s="380">
        <f>101-6</f>
        <v>95</v>
      </c>
      <c r="H878" s="351">
        <f t="shared" si="70"/>
        <v>95000</v>
      </c>
      <c r="I878" s="351">
        <f t="shared" si="71"/>
        <v>95000</v>
      </c>
      <c r="M878" s="321">
        <v>1621300751</v>
      </c>
      <c r="N878" s="321">
        <v>62</v>
      </c>
      <c r="O878" s="321" t="s">
        <v>5377</v>
      </c>
      <c r="P878" s="321">
        <v>2621300</v>
      </c>
      <c r="Q878" s="322">
        <v>0</v>
      </c>
      <c r="R878" s="322">
        <v>0</v>
      </c>
      <c r="S878" s="322">
        <v>0</v>
      </c>
      <c r="T878" s="322">
        <v>0</v>
      </c>
      <c r="U878" s="322">
        <f t="shared" si="67"/>
        <v>0</v>
      </c>
      <c r="W878" s="321">
        <f t="shared" si="68"/>
        <v>751</v>
      </c>
      <c r="X878" s="321">
        <f t="shared" si="69"/>
        <v>621300</v>
      </c>
      <c r="Y878" s="321">
        <v>1</v>
      </c>
      <c r="AA878" s="321" t="s">
        <v>5377</v>
      </c>
    </row>
    <row r="879" spans="1:27">
      <c r="A879" s="376">
        <v>878</v>
      </c>
      <c r="B879" s="377">
        <v>813210</v>
      </c>
      <c r="C879" s="391" t="s">
        <v>7055</v>
      </c>
      <c r="D879" s="379">
        <v>124</v>
      </c>
      <c r="E879" s="380">
        <v>130</v>
      </c>
      <c r="F879" s="380">
        <v>130</v>
      </c>
      <c r="H879" s="351">
        <f t="shared" si="70"/>
        <v>124000</v>
      </c>
      <c r="I879" s="351">
        <f t="shared" si="71"/>
        <v>130000</v>
      </c>
      <c r="M879" s="321">
        <v>1621400110</v>
      </c>
      <c r="N879" s="321">
        <v>62</v>
      </c>
      <c r="O879" s="321" t="s">
        <v>5231</v>
      </c>
      <c r="P879" s="321">
        <v>2621400</v>
      </c>
      <c r="Q879" s="322">
        <v>462000</v>
      </c>
      <c r="R879" s="322">
        <v>312600</v>
      </c>
      <c r="S879" s="322">
        <v>496000</v>
      </c>
      <c r="T879" s="322">
        <v>496000</v>
      </c>
      <c r="U879" s="322">
        <f t="shared" si="67"/>
        <v>0</v>
      </c>
      <c r="W879" s="321">
        <f t="shared" si="68"/>
        <v>110</v>
      </c>
      <c r="X879" s="321">
        <f t="shared" si="69"/>
        <v>621400</v>
      </c>
      <c r="Y879" s="321">
        <v>1</v>
      </c>
      <c r="AA879" s="321" t="s">
        <v>5231</v>
      </c>
    </row>
    <row r="880" spans="1:27">
      <c r="A880" s="376">
        <v>780</v>
      </c>
      <c r="B880" s="377">
        <v>813220</v>
      </c>
      <c r="C880" s="382" t="s">
        <v>7056</v>
      </c>
      <c r="D880" s="379">
        <v>135</v>
      </c>
      <c r="E880" s="380">
        <v>135</v>
      </c>
      <c r="F880" s="380">
        <v>135</v>
      </c>
      <c r="H880" s="351">
        <f t="shared" si="70"/>
        <v>135000</v>
      </c>
      <c r="I880" s="351">
        <f t="shared" si="71"/>
        <v>135000</v>
      </c>
      <c r="M880" s="321">
        <v>1621400120</v>
      </c>
      <c r="N880" s="321">
        <v>62</v>
      </c>
      <c r="O880" s="321" t="s">
        <v>5206</v>
      </c>
      <c r="P880" s="321">
        <v>2621400</v>
      </c>
      <c r="Q880" s="322">
        <v>124000</v>
      </c>
      <c r="R880" s="322">
        <v>57000</v>
      </c>
      <c r="S880" s="322">
        <v>60000</v>
      </c>
      <c r="T880" s="322">
        <v>60000</v>
      </c>
      <c r="U880" s="322">
        <f t="shared" si="67"/>
        <v>0</v>
      </c>
      <c r="W880" s="321">
        <f t="shared" si="68"/>
        <v>120</v>
      </c>
      <c r="X880" s="321">
        <f t="shared" si="69"/>
        <v>621400</v>
      </c>
      <c r="Y880" s="321">
        <v>1</v>
      </c>
      <c r="AA880" s="321" t="s">
        <v>5206</v>
      </c>
    </row>
    <row r="881" spans="1:27">
      <c r="A881" s="376">
        <v>100</v>
      </c>
      <c r="B881" s="377">
        <v>813300</v>
      </c>
      <c r="C881" s="391" t="s">
        <v>7027</v>
      </c>
      <c r="D881" s="379">
        <v>627</v>
      </c>
      <c r="E881" s="380">
        <v>615</v>
      </c>
      <c r="F881" s="380">
        <v>600</v>
      </c>
      <c r="H881" s="351">
        <f t="shared" si="70"/>
        <v>627000</v>
      </c>
      <c r="I881" s="351">
        <f t="shared" si="71"/>
        <v>600000</v>
      </c>
      <c r="M881" s="321">
        <v>1621400130</v>
      </c>
      <c r="N881" s="321">
        <v>62</v>
      </c>
      <c r="O881" s="321" t="s">
        <v>2576</v>
      </c>
      <c r="P881" s="321">
        <v>2621400</v>
      </c>
      <c r="Q881" s="322">
        <v>96000</v>
      </c>
      <c r="R881" s="322">
        <v>86400</v>
      </c>
      <c r="S881" s="322">
        <v>126000</v>
      </c>
      <c r="T881" s="322">
        <v>113400</v>
      </c>
      <c r="U881" s="322">
        <f t="shared" si="67"/>
        <v>12600</v>
      </c>
      <c r="W881" s="321">
        <f t="shared" si="68"/>
        <v>130</v>
      </c>
      <c r="X881" s="321">
        <f t="shared" si="69"/>
        <v>621400</v>
      </c>
      <c r="Y881" s="321">
        <v>1</v>
      </c>
      <c r="AA881" s="321" t="s">
        <v>2576</v>
      </c>
    </row>
    <row r="882" spans="1:27">
      <c r="A882" s="376">
        <v>101</v>
      </c>
      <c r="B882" s="377">
        <v>813300</v>
      </c>
      <c r="C882" s="387" t="s">
        <v>7057</v>
      </c>
      <c r="D882" s="379">
        <v>423</v>
      </c>
      <c r="E882" s="380">
        <v>415</v>
      </c>
      <c r="F882" s="380">
        <v>455</v>
      </c>
      <c r="H882" s="351">
        <f t="shared" si="70"/>
        <v>423000</v>
      </c>
      <c r="I882" s="351">
        <f t="shared" si="71"/>
        <v>455000</v>
      </c>
      <c r="M882" s="321">
        <v>1621400140</v>
      </c>
      <c r="N882" s="321">
        <v>62</v>
      </c>
      <c r="O882" s="321" t="s">
        <v>5207</v>
      </c>
      <c r="P882" s="321">
        <v>2621400</v>
      </c>
      <c r="Q882" s="322">
        <v>135000</v>
      </c>
      <c r="R882" s="322">
        <v>74700</v>
      </c>
      <c r="S882" s="322">
        <v>80000</v>
      </c>
      <c r="T882" s="322">
        <v>80000</v>
      </c>
      <c r="U882" s="322">
        <f t="shared" si="67"/>
        <v>0</v>
      </c>
      <c r="W882" s="321">
        <f t="shared" si="68"/>
        <v>140</v>
      </c>
      <c r="X882" s="321">
        <f t="shared" si="69"/>
        <v>621400</v>
      </c>
      <c r="Y882" s="321">
        <v>1</v>
      </c>
      <c r="AA882" s="321" t="s">
        <v>5207</v>
      </c>
    </row>
    <row r="883" spans="1:27">
      <c r="A883" s="376">
        <v>102</v>
      </c>
      <c r="B883" s="377">
        <v>813300</v>
      </c>
      <c r="C883" s="391" t="s">
        <v>7058</v>
      </c>
      <c r="D883" s="379">
        <v>224</v>
      </c>
      <c r="E883" s="380">
        <v>218</v>
      </c>
      <c r="F883" s="380">
        <v>230</v>
      </c>
      <c r="H883" s="351">
        <f t="shared" si="70"/>
        <v>224000</v>
      </c>
      <c r="I883" s="351">
        <f t="shared" si="71"/>
        <v>230000</v>
      </c>
      <c r="M883" s="321">
        <v>1621400141</v>
      </c>
      <c r="N883" s="321">
        <v>62</v>
      </c>
      <c r="O883" s="321" t="s">
        <v>5208</v>
      </c>
      <c r="P883" s="321">
        <v>2621400</v>
      </c>
      <c r="Q883" s="322">
        <v>29000</v>
      </c>
      <c r="R883" s="322">
        <v>21700</v>
      </c>
      <c r="S883" s="322">
        <v>42000</v>
      </c>
      <c r="T883" s="322">
        <v>42000</v>
      </c>
      <c r="U883" s="322">
        <f t="shared" si="67"/>
        <v>0</v>
      </c>
      <c r="W883" s="321">
        <f t="shared" si="68"/>
        <v>141</v>
      </c>
      <c r="X883" s="321">
        <f t="shared" si="69"/>
        <v>621400</v>
      </c>
      <c r="Y883" s="321">
        <v>1</v>
      </c>
      <c r="AA883" s="321" t="s">
        <v>5208</v>
      </c>
    </row>
    <row r="884" spans="1:27">
      <c r="A884" s="376">
        <v>104</v>
      </c>
      <c r="B884" s="377">
        <v>813300</v>
      </c>
      <c r="C884" s="397" t="s">
        <v>7059</v>
      </c>
      <c r="D884" s="379">
        <f>19019+299</f>
        <v>19318</v>
      </c>
      <c r="E884" s="380">
        <v>16596</v>
      </c>
      <c r="F884" s="380">
        <v>16605</v>
      </c>
      <c r="H884" s="351">
        <f t="shared" si="70"/>
        <v>19318000</v>
      </c>
      <c r="I884" s="351">
        <f t="shared" si="71"/>
        <v>16605000</v>
      </c>
      <c r="M884" s="321">
        <v>1621400181</v>
      </c>
      <c r="N884" s="321">
        <v>62</v>
      </c>
      <c r="O884" s="321" t="s">
        <v>2580</v>
      </c>
      <c r="P884" s="321">
        <v>2621400</v>
      </c>
      <c r="Q884" s="322">
        <v>78000</v>
      </c>
      <c r="R884" s="322">
        <v>53600</v>
      </c>
      <c r="S884" s="322">
        <v>95000</v>
      </c>
      <c r="T884" s="322">
        <v>95000</v>
      </c>
      <c r="U884" s="322">
        <f t="shared" si="67"/>
        <v>0</v>
      </c>
      <c r="W884" s="321">
        <f t="shared" si="68"/>
        <v>181</v>
      </c>
      <c r="X884" s="321">
        <f t="shared" si="69"/>
        <v>621400</v>
      </c>
      <c r="Y884" s="321">
        <v>1</v>
      </c>
      <c r="AA884" s="321" t="s">
        <v>2580</v>
      </c>
    </row>
    <row r="885" spans="1:27">
      <c r="A885" s="376">
        <v>105</v>
      </c>
      <c r="B885" s="377">
        <v>813300</v>
      </c>
      <c r="C885" s="391" t="s">
        <v>7060</v>
      </c>
      <c r="D885" s="379">
        <v>85</v>
      </c>
      <c r="E885" s="380">
        <v>83</v>
      </c>
      <c r="F885" s="380">
        <v>67</v>
      </c>
      <c r="H885" s="351">
        <f t="shared" si="70"/>
        <v>85000</v>
      </c>
      <c r="I885" s="351">
        <f t="shared" si="71"/>
        <v>67000</v>
      </c>
      <c r="M885" s="321">
        <v>1621400182</v>
      </c>
      <c r="N885" s="321">
        <v>62</v>
      </c>
      <c r="O885" s="321" t="s">
        <v>2582</v>
      </c>
      <c r="P885" s="321">
        <v>2621400</v>
      </c>
      <c r="Q885" s="322">
        <v>113000</v>
      </c>
      <c r="R885" s="322">
        <v>72300</v>
      </c>
      <c r="S885" s="322">
        <v>109000</v>
      </c>
      <c r="T885" s="322">
        <v>109000</v>
      </c>
      <c r="U885" s="322">
        <f t="shared" si="67"/>
        <v>0</v>
      </c>
      <c r="W885" s="321">
        <f t="shared" si="68"/>
        <v>182</v>
      </c>
      <c r="X885" s="321">
        <f t="shared" si="69"/>
        <v>621400</v>
      </c>
      <c r="Y885" s="321">
        <v>1</v>
      </c>
      <c r="AA885" s="321" t="s">
        <v>2582</v>
      </c>
    </row>
    <row r="886" spans="1:27" ht="30">
      <c r="A886" s="376">
        <v>106</v>
      </c>
      <c r="B886" s="377">
        <v>813300</v>
      </c>
      <c r="C886" s="391" t="s">
        <v>7061</v>
      </c>
      <c r="D886" s="379">
        <v>0</v>
      </c>
      <c r="E886" s="380">
        <v>268</v>
      </c>
      <c r="F886" s="380">
        <v>320</v>
      </c>
      <c r="H886" s="351">
        <f t="shared" si="70"/>
        <v>0</v>
      </c>
      <c r="I886" s="351">
        <f t="shared" si="71"/>
        <v>320000</v>
      </c>
      <c r="M886" s="321">
        <v>1621400540</v>
      </c>
      <c r="N886" s="321">
        <v>62</v>
      </c>
      <c r="O886" s="321" t="s">
        <v>5216</v>
      </c>
      <c r="P886" s="321">
        <v>2621400</v>
      </c>
      <c r="Q886" s="322">
        <v>2000</v>
      </c>
      <c r="R886" s="322">
        <v>400</v>
      </c>
      <c r="S886" s="322">
        <v>1200</v>
      </c>
      <c r="T886" s="322">
        <v>1200</v>
      </c>
      <c r="U886" s="322">
        <f t="shared" si="67"/>
        <v>0</v>
      </c>
      <c r="W886" s="321">
        <f t="shared" si="68"/>
        <v>540</v>
      </c>
      <c r="X886" s="321">
        <f t="shared" si="69"/>
        <v>621400</v>
      </c>
      <c r="Y886" s="321">
        <v>1</v>
      </c>
      <c r="AA886" s="321" t="s">
        <v>5216</v>
      </c>
    </row>
    <row r="887" spans="1:27">
      <c r="A887" s="376">
        <v>107</v>
      </c>
      <c r="B887" s="377">
        <v>813300</v>
      </c>
      <c r="C887" s="382" t="s">
        <v>7062</v>
      </c>
      <c r="D887" s="379">
        <v>157</v>
      </c>
      <c r="E887" s="380">
        <v>227</v>
      </c>
      <c r="F887" s="380">
        <v>227</v>
      </c>
      <c r="H887" s="351">
        <f t="shared" si="70"/>
        <v>157000</v>
      </c>
      <c r="I887" s="351">
        <f t="shared" si="71"/>
        <v>227000</v>
      </c>
      <c r="M887" s="321">
        <v>1621500110</v>
      </c>
      <c r="N887" s="321">
        <v>62</v>
      </c>
      <c r="O887" s="321" t="s">
        <v>5231</v>
      </c>
      <c r="P887" s="321">
        <v>2621500</v>
      </c>
      <c r="Q887" s="322">
        <v>635000</v>
      </c>
      <c r="R887" s="322">
        <v>468800</v>
      </c>
      <c r="S887" s="322">
        <v>637000</v>
      </c>
      <c r="T887" s="322">
        <v>637000</v>
      </c>
      <c r="U887" s="322">
        <f t="shared" si="67"/>
        <v>0</v>
      </c>
      <c r="W887" s="321">
        <f t="shared" si="68"/>
        <v>110</v>
      </c>
      <c r="X887" s="321">
        <f t="shared" si="69"/>
        <v>621500</v>
      </c>
      <c r="Y887" s="321">
        <v>1</v>
      </c>
      <c r="AA887" s="321" t="s">
        <v>5231</v>
      </c>
    </row>
    <row r="888" spans="1:27">
      <c r="A888" s="376">
        <v>108</v>
      </c>
      <c r="B888" s="377">
        <v>813300</v>
      </c>
      <c r="C888" s="382" t="s">
        <v>7063</v>
      </c>
      <c r="D888" s="379">
        <v>144</v>
      </c>
      <c r="E888" s="380">
        <v>0</v>
      </c>
      <c r="F888" s="380">
        <v>0</v>
      </c>
      <c r="H888" s="351">
        <f t="shared" si="70"/>
        <v>144000</v>
      </c>
      <c r="I888" s="351">
        <f t="shared" si="71"/>
        <v>0</v>
      </c>
      <c r="M888" s="321">
        <v>1621500120</v>
      </c>
      <c r="N888" s="321">
        <v>62</v>
      </c>
      <c r="O888" s="321" t="s">
        <v>5206</v>
      </c>
      <c r="P888" s="321">
        <v>2621500</v>
      </c>
      <c r="Q888" s="322">
        <v>111000</v>
      </c>
      <c r="R888" s="322">
        <v>93800</v>
      </c>
      <c r="S888" s="322">
        <v>108000</v>
      </c>
      <c r="T888" s="322">
        <v>108000</v>
      </c>
      <c r="U888" s="322">
        <f t="shared" si="67"/>
        <v>0</v>
      </c>
      <c r="W888" s="321">
        <f t="shared" si="68"/>
        <v>120</v>
      </c>
      <c r="X888" s="321">
        <f t="shared" si="69"/>
        <v>621500</v>
      </c>
      <c r="Y888" s="321">
        <v>1</v>
      </c>
      <c r="AA888" s="321" t="s">
        <v>5206</v>
      </c>
    </row>
    <row r="889" spans="1:27">
      <c r="A889" s="376">
        <v>430</v>
      </c>
      <c r="B889" s="377">
        <v>813300</v>
      </c>
      <c r="C889" s="391" t="s">
        <v>6798</v>
      </c>
      <c r="D889" s="379">
        <v>140</v>
      </c>
      <c r="E889" s="380">
        <v>137</v>
      </c>
      <c r="F889" s="380">
        <v>137</v>
      </c>
      <c r="H889" s="351">
        <f t="shared" si="70"/>
        <v>140000</v>
      </c>
      <c r="I889" s="351">
        <f t="shared" si="71"/>
        <v>137000</v>
      </c>
      <c r="M889" s="321">
        <v>1621500130</v>
      </c>
      <c r="N889" s="321">
        <v>62</v>
      </c>
      <c r="O889" s="321" t="s">
        <v>2576</v>
      </c>
      <c r="P889" s="321">
        <v>2621500</v>
      </c>
      <c r="Q889" s="322">
        <v>59000</v>
      </c>
      <c r="R889" s="322">
        <v>45400</v>
      </c>
      <c r="S889" s="322">
        <v>64000</v>
      </c>
      <c r="T889" s="322">
        <v>57600</v>
      </c>
      <c r="U889" s="322">
        <f t="shared" si="67"/>
        <v>6400</v>
      </c>
      <c r="W889" s="321">
        <f t="shared" si="68"/>
        <v>130</v>
      </c>
      <c r="X889" s="321">
        <f t="shared" si="69"/>
        <v>621500</v>
      </c>
      <c r="Y889" s="321">
        <v>1</v>
      </c>
      <c r="AA889" s="321" t="s">
        <v>2576</v>
      </c>
    </row>
    <row r="890" spans="1:27">
      <c r="A890" s="376">
        <v>432</v>
      </c>
      <c r="B890" s="377">
        <v>813300</v>
      </c>
      <c r="C890" s="391" t="s">
        <v>6887</v>
      </c>
      <c r="D890" s="379">
        <v>107</v>
      </c>
      <c r="E890" s="380">
        <v>107</v>
      </c>
      <c r="F890" s="380">
        <v>107</v>
      </c>
      <c r="H890" s="351">
        <f t="shared" si="70"/>
        <v>107000</v>
      </c>
      <c r="I890" s="351">
        <f t="shared" si="71"/>
        <v>107000</v>
      </c>
      <c r="M890" s="321">
        <v>1621500140</v>
      </c>
      <c r="N890" s="321">
        <v>62</v>
      </c>
      <c r="O890" s="321" t="s">
        <v>5207</v>
      </c>
      <c r="P890" s="321">
        <v>2621500</v>
      </c>
      <c r="Q890" s="322">
        <v>174000</v>
      </c>
      <c r="R890" s="322">
        <v>145200</v>
      </c>
      <c r="S890" s="322">
        <v>203000</v>
      </c>
      <c r="T890" s="322">
        <v>203000</v>
      </c>
      <c r="U890" s="322">
        <f t="shared" si="67"/>
        <v>0</v>
      </c>
      <c r="W890" s="321">
        <f t="shared" si="68"/>
        <v>140</v>
      </c>
      <c r="X890" s="321">
        <f t="shared" si="69"/>
        <v>621500</v>
      </c>
      <c r="Y890" s="321">
        <v>1</v>
      </c>
      <c r="AA890" s="321" t="s">
        <v>5207</v>
      </c>
    </row>
    <row r="891" spans="1:27">
      <c r="A891" s="376">
        <v>511</v>
      </c>
      <c r="B891" s="377">
        <v>813300</v>
      </c>
      <c r="C891" s="391" t="s">
        <v>6864</v>
      </c>
      <c r="D891" s="379">
        <v>18</v>
      </c>
      <c r="E891" s="380">
        <v>15</v>
      </c>
      <c r="F891" s="380">
        <v>15</v>
      </c>
      <c r="H891" s="351">
        <f t="shared" si="70"/>
        <v>18000</v>
      </c>
      <c r="I891" s="351">
        <f t="shared" si="71"/>
        <v>15000</v>
      </c>
      <c r="M891" s="321">
        <v>1621500141</v>
      </c>
      <c r="N891" s="321">
        <v>62</v>
      </c>
      <c r="O891" s="321" t="s">
        <v>5208</v>
      </c>
      <c r="P891" s="321">
        <v>2621500</v>
      </c>
      <c r="Q891" s="322">
        <v>36000</v>
      </c>
      <c r="R891" s="322">
        <v>24200</v>
      </c>
      <c r="S891" s="322">
        <v>33000</v>
      </c>
      <c r="T891" s="322">
        <v>33000</v>
      </c>
      <c r="U891" s="322">
        <f t="shared" si="67"/>
        <v>0</v>
      </c>
      <c r="W891" s="321">
        <f t="shared" si="68"/>
        <v>141</v>
      </c>
      <c r="X891" s="321">
        <f t="shared" si="69"/>
        <v>621500</v>
      </c>
      <c r="Y891" s="321">
        <v>1</v>
      </c>
      <c r="AA891" s="321" t="s">
        <v>5208</v>
      </c>
    </row>
    <row r="892" spans="1:27">
      <c r="A892" s="376">
        <v>540</v>
      </c>
      <c r="B892" s="377">
        <v>813300</v>
      </c>
      <c r="C892" s="391" t="s">
        <v>6752</v>
      </c>
      <c r="D892" s="379">
        <v>28</v>
      </c>
      <c r="E892" s="380">
        <v>28</v>
      </c>
      <c r="F892" s="380">
        <v>31</v>
      </c>
      <c r="H892" s="351">
        <f t="shared" si="70"/>
        <v>28000</v>
      </c>
      <c r="I892" s="351">
        <f t="shared" si="71"/>
        <v>31000</v>
      </c>
      <c r="M892" s="321">
        <v>1621500181</v>
      </c>
      <c r="N892" s="321">
        <v>62</v>
      </c>
      <c r="O892" s="321" t="s">
        <v>2580</v>
      </c>
      <c r="P892" s="321">
        <v>2621500</v>
      </c>
      <c r="Q892" s="322">
        <v>158000</v>
      </c>
      <c r="R892" s="322">
        <v>119400</v>
      </c>
      <c r="S892" s="322">
        <v>161000</v>
      </c>
      <c r="T892" s="322">
        <v>161000</v>
      </c>
      <c r="U892" s="322">
        <f t="shared" si="67"/>
        <v>0</v>
      </c>
      <c r="W892" s="321">
        <f t="shared" si="68"/>
        <v>181</v>
      </c>
      <c r="X892" s="321">
        <f t="shared" si="69"/>
        <v>621500</v>
      </c>
      <c r="Y892" s="321">
        <v>1</v>
      </c>
      <c r="AA892" s="321" t="s">
        <v>2580</v>
      </c>
    </row>
    <row r="893" spans="1:27">
      <c r="A893" s="376">
        <v>570</v>
      </c>
      <c r="B893" s="377">
        <v>813300</v>
      </c>
      <c r="C893" s="382" t="s">
        <v>6739</v>
      </c>
      <c r="D893" s="379">
        <v>51</v>
      </c>
      <c r="E893" s="380">
        <v>50</v>
      </c>
      <c r="F893" s="380">
        <v>50</v>
      </c>
      <c r="H893" s="351">
        <f t="shared" si="70"/>
        <v>51000</v>
      </c>
      <c r="I893" s="351">
        <f t="shared" si="71"/>
        <v>50000</v>
      </c>
      <c r="M893" s="321">
        <v>1621500182</v>
      </c>
      <c r="N893" s="321">
        <v>62</v>
      </c>
      <c r="O893" s="321" t="s">
        <v>2582</v>
      </c>
      <c r="P893" s="321">
        <v>2621500</v>
      </c>
      <c r="Q893" s="322">
        <v>136000</v>
      </c>
      <c r="R893" s="322">
        <v>103600</v>
      </c>
      <c r="S893" s="322">
        <v>143000</v>
      </c>
      <c r="T893" s="322">
        <v>143000</v>
      </c>
      <c r="U893" s="322">
        <f t="shared" si="67"/>
        <v>0</v>
      </c>
      <c r="W893" s="321">
        <f t="shared" si="68"/>
        <v>182</v>
      </c>
      <c r="X893" s="321">
        <f t="shared" si="69"/>
        <v>621500</v>
      </c>
      <c r="Y893" s="321">
        <v>1</v>
      </c>
      <c r="AA893" s="321" t="s">
        <v>2582</v>
      </c>
    </row>
    <row r="894" spans="1:27">
      <c r="A894" s="376">
        <v>720</v>
      </c>
      <c r="B894" s="377">
        <v>813300</v>
      </c>
      <c r="C894" s="382" t="s">
        <v>7064</v>
      </c>
      <c r="D894" s="379">
        <v>792</v>
      </c>
      <c r="E894" s="380">
        <v>770</v>
      </c>
      <c r="F894" s="380">
        <v>770</v>
      </c>
      <c r="H894" s="351">
        <f t="shared" si="70"/>
        <v>792000</v>
      </c>
      <c r="I894" s="351">
        <f t="shared" si="71"/>
        <v>770000</v>
      </c>
      <c r="M894" s="321">
        <v>1621500210</v>
      </c>
      <c r="N894" s="321">
        <v>62</v>
      </c>
      <c r="O894" s="321" t="s">
        <v>5308</v>
      </c>
      <c r="P894" s="321">
        <v>2621500</v>
      </c>
      <c r="Q894" s="322">
        <v>220000</v>
      </c>
      <c r="R894" s="322">
        <v>116900</v>
      </c>
      <c r="S894" s="322">
        <v>220000</v>
      </c>
      <c r="T894" s="322">
        <v>220000</v>
      </c>
      <c r="U894" s="322">
        <f t="shared" si="67"/>
        <v>0</v>
      </c>
      <c r="W894" s="321">
        <f t="shared" si="68"/>
        <v>210</v>
      </c>
      <c r="X894" s="321">
        <f t="shared" si="69"/>
        <v>621500</v>
      </c>
      <c r="Y894" s="321">
        <v>1</v>
      </c>
      <c r="AA894" s="321" t="s">
        <v>5308</v>
      </c>
    </row>
    <row r="895" spans="1:27">
      <c r="A895" s="376">
        <v>742</v>
      </c>
      <c r="B895" s="377">
        <v>813300</v>
      </c>
      <c r="C895" s="391" t="s">
        <v>7065</v>
      </c>
      <c r="D895" s="379">
        <v>5</v>
      </c>
      <c r="E895" s="380">
        <v>5</v>
      </c>
      <c r="F895" s="380">
        <v>5</v>
      </c>
      <c r="H895" s="351">
        <f t="shared" si="70"/>
        <v>5000</v>
      </c>
      <c r="I895" s="351">
        <f t="shared" si="71"/>
        <v>5000</v>
      </c>
      <c r="M895" s="321">
        <v>1621500470</v>
      </c>
      <c r="N895" s="321">
        <v>62</v>
      </c>
      <c r="O895" s="321" t="s">
        <v>2660</v>
      </c>
      <c r="P895" s="321">
        <v>2621500</v>
      </c>
      <c r="Q895" s="322">
        <v>10000</v>
      </c>
      <c r="R895" s="322">
        <v>6400</v>
      </c>
      <c r="S895" s="322">
        <v>10000</v>
      </c>
      <c r="T895" s="322">
        <v>10000</v>
      </c>
      <c r="U895" s="322">
        <f t="shared" si="67"/>
        <v>0</v>
      </c>
      <c r="W895" s="321">
        <f t="shared" si="68"/>
        <v>470</v>
      </c>
      <c r="X895" s="321">
        <f t="shared" si="69"/>
        <v>621500</v>
      </c>
      <c r="Y895" s="321">
        <v>1</v>
      </c>
      <c r="AA895" s="321" t="s">
        <v>2660</v>
      </c>
    </row>
    <row r="896" spans="1:27">
      <c r="A896" s="376">
        <v>750</v>
      </c>
      <c r="B896" s="377">
        <v>813300</v>
      </c>
      <c r="C896" s="391" t="s">
        <v>6804</v>
      </c>
      <c r="D896" s="379">
        <v>359</v>
      </c>
      <c r="E896" s="380">
        <v>350</v>
      </c>
      <c r="F896" s="380">
        <f>478-21</f>
        <v>457</v>
      </c>
      <c r="H896" s="351">
        <f t="shared" si="70"/>
        <v>359000</v>
      </c>
      <c r="I896" s="351">
        <f t="shared" si="71"/>
        <v>457000</v>
      </c>
      <c r="M896" s="321">
        <v>1621500471</v>
      </c>
      <c r="N896" s="321">
        <v>62</v>
      </c>
      <c r="O896" s="321" t="s">
        <v>5378</v>
      </c>
      <c r="P896" s="321">
        <v>2621500</v>
      </c>
      <c r="Q896" s="322">
        <v>3500</v>
      </c>
      <c r="R896" s="322">
        <v>3500</v>
      </c>
      <c r="S896" s="322">
        <v>3700</v>
      </c>
      <c r="T896" s="322">
        <v>3700</v>
      </c>
      <c r="U896" s="322">
        <f t="shared" si="67"/>
        <v>0</v>
      </c>
      <c r="W896" s="321">
        <f t="shared" si="68"/>
        <v>471</v>
      </c>
      <c r="X896" s="321">
        <f t="shared" si="69"/>
        <v>621500</v>
      </c>
      <c r="Y896" s="321">
        <v>1</v>
      </c>
      <c r="AA896" s="321" t="s">
        <v>5378</v>
      </c>
    </row>
    <row r="897" spans="1:27">
      <c r="A897" s="376">
        <v>755</v>
      </c>
      <c r="B897" s="377">
        <v>813300</v>
      </c>
      <c r="C897" s="391" t="s">
        <v>6992</v>
      </c>
      <c r="D897" s="379">
        <v>63</v>
      </c>
      <c r="E897" s="380">
        <v>63</v>
      </c>
      <c r="F897" s="380">
        <v>63</v>
      </c>
      <c r="H897" s="351">
        <f t="shared" si="70"/>
        <v>63000</v>
      </c>
      <c r="I897" s="351">
        <f t="shared" si="71"/>
        <v>63000</v>
      </c>
      <c r="M897" s="321">
        <v>1621500540</v>
      </c>
      <c r="N897" s="321">
        <v>62</v>
      </c>
      <c r="O897" s="321" t="s">
        <v>5216</v>
      </c>
      <c r="P897" s="321">
        <v>2621500</v>
      </c>
      <c r="Q897" s="322">
        <v>25000</v>
      </c>
      <c r="R897" s="322">
        <v>17400</v>
      </c>
      <c r="S897" s="322">
        <v>27000</v>
      </c>
      <c r="T897" s="322">
        <v>27000</v>
      </c>
      <c r="U897" s="322">
        <f t="shared" si="67"/>
        <v>0</v>
      </c>
      <c r="W897" s="321">
        <f t="shared" si="68"/>
        <v>540</v>
      </c>
      <c r="X897" s="321">
        <f t="shared" si="69"/>
        <v>621500</v>
      </c>
      <c r="Y897" s="321">
        <v>1</v>
      </c>
      <c r="AA897" s="321" t="s">
        <v>5216</v>
      </c>
    </row>
    <row r="898" spans="1:27">
      <c r="A898" s="376">
        <v>780</v>
      </c>
      <c r="B898" s="377">
        <v>813300</v>
      </c>
      <c r="C898" s="382" t="s">
        <v>7066</v>
      </c>
      <c r="D898" s="379">
        <v>330</v>
      </c>
      <c r="E898" s="380">
        <v>300</v>
      </c>
      <c r="F898" s="380">
        <v>300</v>
      </c>
      <c r="H898" s="351">
        <f t="shared" si="70"/>
        <v>330000</v>
      </c>
      <c r="I898" s="351">
        <f t="shared" si="71"/>
        <v>300000</v>
      </c>
      <c r="M898" s="321">
        <v>1621500542</v>
      </c>
      <c r="N898" s="321">
        <v>62</v>
      </c>
      <c r="O898" s="321" t="s">
        <v>5369</v>
      </c>
      <c r="P898" s="321">
        <v>2621500</v>
      </c>
      <c r="Q898" s="322">
        <v>2500</v>
      </c>
      <c r="R898" s="322">
        <v>1800</v>
      </c>
      <c r="S898" s="322">
        <v>3000</v>
      </c>
      <c r="T898" s="322">
        <v>3000</v>
      </c>
      <c r="U898" s="322">
        <f t="shared" ref="U898:U961" si="72">S898-T898</f>
        <v>0</v>
      </c>
      <c r="W898" s="321">
        <f t="shared" si="68"/>
        <v>542</v>
      </c>
      <c r="X898" s="321">
        <f t="shared" si="69"/>
        <v>621500</v>
      </c>
      <c r="Y898" s="321">
        <v>1</v>
      </c>
      <c r="AA898" s="321" t="s">
        <v>5369</v>
      </c>
    </row>
    <row r="899" spans="1:27">
      <c r="A899" s="376">
        <v>784</v>
      </c>
      <c r="B899" s="377">
        <v>813300</v>
      </c>
      <c r="C899" s="385" t="s">
        <v>7035</v>
      </c>
      <c r="D899" s="379">
        <v>138</v>
      </c>
      <c r="E899" s="380">
        <v>214</v>
      </c>
      <c r="F899" s="380">
        <v>214</v>
      </c>
      <c r="H899" s="351">
        <f t="shared" si="70"/>
        <v>138000</v>
      </c>
      <c r="I899" s="351">
        <f t="shared" si="71"/>
        <v>214000</v>
      </c>
      <c r="M899" s="321">
        <v>1621500575</v>
      </c>
      <c r="N899" s="321">
        <v>62</v>
      </c>
      <c r="O899" s="321" t="s">
        <v>5375</v>
      </c>
      <c r="P899" s="321">
        <v>2621500</v>
      </c>
      <c r="Q899" s="322">
        <v>550000</v>
      </c>
      <c r="R899" s="322">
        <v>205600</v>
      </c>
      <c r="S899" s="322">
        <v>700000</v>
      </c>
      <c r="T899" s="322">
        <v>600000</v>
      </c>
      <c r="U899" s="322">
        <f t="shared" si="72"/>
        <v>100000</v>
      </c>
      <c r="W899" s="321">
        <f t="shared" ref="W899:W962" si="73">M899-1000000000-X899*1000</f>
        <v>575</v>
      </c>
      <c r="X899" s="321">
        <f t="shared" ref="X899:X962" si="74">ROUNDDOWN((M899-1000000000)/1000,0)</f>
        <v>621500</v>
      </c>
      <c r="Y899" s="321">
        <v>1</v>
      </c>
      <c r="AA899" s="321" t="s">
        <v>5375</v>
      </c>
    </row>
    <row r="900" spans="1:27">
      <c r="A900" s="376">
        <v>103</v>
      </c>
      <c r="B900" s="377">
        <v>813600</v>
      </c>
      <c r="C900" s="405" t="s">
        <v>7067</v>
      </c>
      <c r="D900" s="379">
        <v>194</v>
      </c>
      <c r="E900" s="380">
        <v>190</v>
      </c>
      <c r="F900" s="380">
        <v>205</v>
      </c>
      <c r="H900" s="351">
        <f t="shared" si="70"/>
        <v>194000</v>
      </c>
      <c r="I900" s="351">
        <f t="shared" si="71"/>
        <v>205000</v>
      </c>
      <c r="M900" s="321">
        <v>1621600110</v>
      </c>
      <c r="N900" s="321">
        <v>62</v>
      </c>
      <c r="O900" s="321" t="s">
        <v>5231</v>
      </c>
      <c r="P900" s="321">
        <v>2621600</v>
      </c>
      <c r="Q900" s="322">
        <v>231000</v>
      </c>
      <c r="R900" s="322">
        <v>142000</v>
      </c>
      <c r="S900" s="322">
        <v>298000</v>
      </c>
      <c r="T900" s="322">
        <v>298000</v>
      </c>
      <c r="U900" s="322">
        <f t="shared" si="72"/>
        <v>0</v>
      </c>
      <c r="W900" s="321">
        <f t="shared" si="73"/>
        <v>110</v>
      </c>
      <c r="X900" s="321">
        <f t="shared" si="74"/>
        <v>621600</v>
      </c>
      <c r="Y900" s="321">
        <v>1</v>
      </c>
      <c r="AA900" s="321" t="s">
        <v>5231</v>
      </c>
    </row>
    <row r="901" spans="1:27">
      <c r="A901" s="376">
        <v>105</v>
      </c>
      <c r="B901" s="377">
        <v>813600</v>
      </c>
      <c r="C901" s="382" t="s">
        <v>7068</v>
      </c>
      <c r="D901" s="379">
        <v>255</v>
      </c>
      <c r="E901" s="380">
        <v>256</v>
      </c>
      <c r="F901" s="380">
        <v>256</v>
      </c>
      <c r="H901" s="351">
        <f t="shared" si="70"/>
        <v>255000</v>
      </c>
      <c r="I901" s="351">
        <f t="shared" si="71"/>
        <v>256000</v>
      </c>
      <c r="M901" s="321">
        <v>1621600120</v>
      </c>
      <c r="N901" s="321">
        <v>62</v>
      </c>
      <c r="O901" s="321" t="s">
        <v>5206</v>
      </c>
      <c r="P901" s="321">
        <v>2621600</v>
      </c>
      <c r="Q901" s="322">
        <v>19000</v>
      </c>
      <c r="R901" s="322">
        <v>19700</v>
      </c>
      <c r="S901" s="322">
        <v>21000</v>
      </c>
      <c r="T901" s="322">
        <v>21000</v>
      </c>
      <c r="U901" s="322">
        <f t="shared" si="72"/>
        <v>0</v>
      </c>
      <c r="W901" s="321">
        <f t="shared" si="73"/>
        <v>120</v>
      </c>
      <c r="X901" s="321">
        <f t="shared" si="74"/>
        <v>621600</v>
      </c>
      <c r="Y901" s="321">
        <v>1</v>
      </c>
      <c r="AA901" s="321" t="s">
        <v>5206</v>
      </c>
    </row>
    <row r="902" spans="1:27">
      <c r="A902" s="406">
        <v>106</v>
      </c>
      <c r="B902" s="407">
        <v>813600</v>
      </c>
      <c r="C902" s="408" t="s">
        <v>7069</v>
      </c>
      <c r="D902" s="379">
        <v>450</v>
      </c>
      <c r="E902" s="380">
        <v>452</v>
      </c>
      <c r="F902" s="380">
        <v>452</v>
      </c>
      <c r="H902" s="351">
        <f t="shared" si="70"/>
        <v>450000</v>
      </c>
      <c r="I902" s="351">
        <f t="shared" si="71"/>
        <v>452000</v>
      </c>
      <c r="M902" s="321">
        <v>1621600130</v>
      </c>
      <c r="N902" s="321">
        <v>62</v>
      </c>
      <c r="O902" s="321" t="s">
        <v>2576</v>
      </c>
      <c r="P902" s="321">
        <v>2621600</v>
      </c>
      <c r="Q902" s="322">
        <v>17000</v>
      </c>
      <c r="R902" s="322">
        <v>7900</v>
      </c>
      <c r="S902" s="322">
        <v>17000</v>
      </c>
      <c r="T902" s="322">
        <v>15300</v>
      </c>
      <c r="U902" s="322">
        <f t="shared" si="72"/>
        <v>1700</v>
      </c>
      <c r="W902" s="321">
        <f t="shared" si="73"/>
        <v>130</v>
      </c>
      <c r="X902" s="321">
        <f t="shared" si="74"/>
        <v>621600</v>
      </c>
      <c r="Y902" s="321">
        <v>1</v>
      </c>
      <c r="AA902" s="321" t="s">
        <v>2576</v>
      </c>
    </row>
    <row r="903" spans="1:27">
      <c r="A903" s="406">
        <v>570</v>
      </c>
      <c r="B903" s="407">
        <v>813600</v>
      </c>
      <c r="C903" s="409" t="s">
        <v>7070</v>
      </c>
      <c r="D903" s="379">
        <v>500</v>
      </c>
      <c r="E903" s="380">
        <v>470</v>
      </c>
      <c r="F903" s="380">
        <v>470</v>
      </c>
      <c r="H903" s="351">
        <f t="shared" si="70"/>
        <v>500000</v>
      </c>
      <c r="I903" s="351">
        <f t="shared" si="71"/>
        <v>470000</v>
      </c>
      <c r="M903" s="321">
        <v>1621600140</v>
      </c>
      <c r="N903" s="321">
        <v>62</v>
      </c>
      <c r="O903" s="321" t="s">
        <v>5207</v>
      </c>
      <c r="P903" s="321">
        <v>2621600</v>
      </c>
      <c r="Q903" s="322">
        <v>56000</v>
      </c>
      <c r="R903" s="322">
        <v>27600</v>
      </c>
      <c r="S903" s="322">
        <v>58000</v>
      </c>
      <c r="T903" s="322">
        <v>58000</v>
      </c>
      <c r="U903" s="322">
        <f t="shared" si="72"/>
        <v>0</v>
      </c>
      <c r="W903" s="321">
        <f t="shared" si="73"/>
        <v>140</v>
      </c>
      <c r="X903" s="321">
        <f t="shared" si="74"/>
        <v>621600</v>
      </c>
      <c r="Y903" s="321">
        <v>1</v>
      </c>
      <c r="AA903" s="321" t="s">
        <v>5207</v>
      </c>
    </row>
    <row r="904" spans="1:27">
      <c r="A904" s="376">
        <v>750</v>
      </c>
      <c r="B904" s="377">
        <v>813600</v>
      </c>
      <c r="C904" s="405" t="s">
        <v>7071</v>
      </c>
      <c r="D904" s="379">
        <v>1484</v>
      </c>
      <c r="E904" s="380">
        <v>1514</v>
      </c>
      <c r="F904" s="380">
        <v>1514</v>
      </c>
      <c r="H904" s="351">
        <f t="shared" si="70"/>
        <v>1484000</v>
      </c>
      <c r="I904" s="351">
        <f t="shared" si="71"/>
        <v>1514000</v>
      </c>
      <c r="M904" s="321">
        <v>1621600141</v>
      </c>
      <c r="N904" s="321">
        <v>62</v>
      </c>
      <c r="O904" s="321" t="s">
        <v>5208</v>
      </c>
      <c r="P904" s="321">
        <v>2621600</v>
      </c>
      <c r="Q904" s="322">
        <v>18000</v>
      </c>
      <c r="R904" s="322">
        <v>12800</v>
      </c>
      <c r="S904" s="322">
        <v>21000</v>
      </c>
      <c r="T904" s="322">
        <v>21000</v>
      </c>
      <c r="U904" s="322">
        <f t="shared" si="72"/>
        <v>0</v>
      </c>
      <c r="W904" s="321">
        <f t="shared" si="73"/>
        <v>141</v>
      </c>
      <c r="X904" s="321">
        <f t="shared" si="74"/>
        <v>621600</v>
      </c>
      <c r="Y904" s="321">
        <v>1</v>
      </c>
      <c r="AA904" s="321" t="s">
        <v>5208</v>
      </c>
    </row>
    <row r="905" spans="1:27">
      <c r="A905" s="376">
        <v>780</v>
      </c>
      <c r="B905" s="377">
        <v>813600</v>
      </c>
      <c r="C905" s="405" t="s">
        <v>7072</v>
      </c>
      <c r="D905" s="379">
        <v>100</v>
      </c>
      <c r="E905" s="380">
        <v>100</v>
      </c>
      <c r="F905" s="380">
        <v>100</v>
      </c>
      <c r="H905" s="351">
        <f t="shared" si="70"/>
        <v>100000</v>
      </c>
      <c r="I905" s="351">
        <f t="shared" si="71"/>
        <v>100000</v>
      </c>
      <c r="M905" s="321">
        <v>1621600181</v>
      </c>
      <c r="N905" s="321">
        <v>62</v>
      </c>
      <c r="O905" s="321" t="s">
        <v>2580</v>
      </c>
      <c r="P905" s="321">
        <v>2621600</v>
      </c>
      <c r="Q905" s="322">
        <v>66000</v>
      </c>
      <c r="R905" s="322">
        <v>51700</v>
      </c>
      <c r="S905" s="322">
        <v>90000</v>
      </c>
      <c r="T905" s="322">
        <v>90000</v>
      </c>
      <c r="U905" s="322">
        <f t="shared" si="72"/>
        <v>0</v>
      </c>
      <c r="W905" s="321">
        <f t="shared" si="73"/>
        <v>181</v>
      </c>
      <c r="X905" s="321">
        <f t="shared" si="74"/>
        <v>621600</v>
      </c>
      <c r="Y905" s="321">
        <v>1</v>
      </c>
      <c r="AA905" s="321" t="s">
        <v>2580</v>
      </c>
    </row>
    <row r="906" spans="1:27">
      <c r="A906" s="376">
        <v>781</v>
      </c>
      <c r="B906" s="377">
        <v>813600</v>
      </c>
      <c r="C906" s="405" t="s">
        <v>7073</v>
      </c>
      <c r="D906" s="379">
        <v>150</v>
      </c>
      <c r="E906" s="380">
        <v>150</v>
      </c>
      <c r="F906" s="380">
        <v>150</v>
      </c>
      <c r="H906" s="351">
        <f t="shared" si="70"/>
        <v>150000</v>
      </c>
      <c r="I906" s="351">
        <f t="shared" si="71"/>
        <v>150000</v>
      </c>
      <c r="M906" s="321">
        <v>1621600182</v>
      </c>
      <c r="N906" s="321">
        <v>62</v>
      </c>
      <c r="O906" s="321" t="s">
        <v>2582</v>
      </c>
      <c r="P906" s="321">
        <v>2621600</v>
      </c>
      <c r="Q906" s="322">
        <v>46000</v>
      </c>
      <c r="R906" s="322">
        <v>28400</v>
      </c>
      <c r="S906" s="322">
        <v>57000</v>
      </c>
      <c r="T906" s="322">
        <v>57000</v>
      </c>
      <c r="U906" s="322">
        <f t="shared" si="72"/>
        <v>0</v>
      </c>
      <c r="W906" s="321">
        <f t="shared" si="73"/>
        <v>182</v>
      </c>
      <c r="X906" s="321">
        <f t="shared" si="74"/>
        <v>621600</v>
      </c>
      <c r="Y906" s="321">
        <v>1</v>
      </c>
      <c r="AA906" s="321" t="s">
        <v>2582</v>
      </c>
    </row>
    <row r="907" spans="1:27">
      <c r="A907" s="376">
        <v>782</v>
      </c>
      <c r="B907" s="377">
        <v>813600</v>
      </c>
      <c r="C907" s="405" t="s">
        <v>7074</v>
      </c>
      <c r="D907" s="379">
        <v>67</v>
      </c>
      <c r="E907" s="380">
        <v>96</v>
      </c>
      <c r="F907" s="380">
        <v>96</v>
      </c>
      <c r="H907" s="351">
        <f t="shared" si="70"/>
        <v>67000</v>
      </c>
      <c r="I907" s="351">
        <f t="shared" si="71"/>
        <v>96000</v>
      </c>
      <c r="M907" s="321">
        <v>1621600210</v>
      </c>
      <c r="N907" s="321">
        <v>62</v>
      </c>
      <c r="O907" s="321" t="s">
        <v>5308</v>
      </c>
      <c r="P907" s="321">
        <v>2621600</v>
      </c>
      <c r="Q907" s="322">
        <v>0</v>
      </c>
      <c r="R907" s="322">
        <v>0</v>
      </c>
      <c r="S907" s="322">
        <v>0</v>
      </c>
      <c r="T907" s="322">
        <v>0</v>
      </c>
      <c r="U907" s="322">
        <f t="shared" si="72"/>
        <v>0</v>
      </c>
      <c r="W907" s="321">
        <f t="shared" si="73"/>
        <v>210</v>
      </c>
      <c r="X907" s="321">
        <f t="shared" si="74"/>
        <v>621600</v>
      </c>
      <c r="Y907" s="321">
        <v>1</v>
      </c>
      <c r="AA907" s="321" t="s">
        <v>5308</v>
      </c>
    </row>
    <row r="908" spans="1:27">
      <c r="A908" s="376">
        <v>783</v>
      </c>
      <c r="B908" s="377">
        <v>813600</v>
      </c>
      <c r="C908" s="385" t="s">
        <v>7075</v>
      </c>
      <c r="D908" s="379">
        <v>93</v>
      </c>
      <c r="E908" s="380">
        <v>252</v>
      </c>
      <c r="F908" s="380">
        <v>252</v>
      </c>
      <c r="H908" s="351">
        <f t="shared" si="70"/>
        <v>93000</v>
      </c>
      <c r="I908" s="351">
        <f t="shared" si="71"/>
        <v>252000</v>
      </c>
      <c r="M908" s="321">
        <v>1621600540</v>
      </c>
      <c r="N908" s="321">
        <v>62</v>
      </c>
      <c r="O908" s="321" t="s">
        <v>5216</v>
      </c>
      <c r="P908" s="321">
        <v>2621600</v>
      </c>
      <c r="Q908" s="322">
        <v>4000</v>
      </c>
      <c r="R908" s="322">
        <v>0</v>
      </c>
      <c r="S908" s="322">
        <v>4000</v>
      </c>
      <c r="T908" s="322">
        <v>4000</v>
      </c>
      <c r="U908" s="322">
        <f t="shared" si="72"/>
        <v>0</v>
      </c>
      <c r="W908" s="321">
        <f t="shared" si="73"/>
        <v>540</v>
      </c>
      <c r="X908" s="321">
        <f t="shared" si="74"/>
        <v>621600</v>
      </c>
      <c r="Y908" s="321">
        <v>1</v>
      </c>
      <c r="AA908" s="321" t="s">
        <v>5216</v>
      </c>
    </row>
    <row r="909" spans="1:27">
      <c r="A909" s="376">
        <v>785</v>
      </c>
      <c r="B909" s="377">
        <v>813600</v>
      </c>
      <c r="C909" s="385" t="s">
        <v>7076</v>
      </c>
      <c r="D909" s="379">
        <v>713</v>
      </c>
      <c r="E909" s="380">
        <v>540</v>
      </c>
      <c r="F909" s="380">
        <v>540</v>
      </c>
      <c r="H909" s="351">
        <f t="shared" si="70"/>
        <v>713000</v>
      </c>
      <c r="I909" s="351">
        <f t="shared" si="71"/>
        <v>540000</v>
      </c>
      <c r="M909" s="321">
        <v>1621600542</v>
      </c>
      <c r="N909" s="321">
        <v>62</v>
      </c>
      <c r="O909" s="321" t="s">
        <v>5369</v>
      </c>
      <c r="P909" s="321">
        <v>2621600</v>
      </c>
      <c r="Q909" s="322">
        <v>0</v>
      </c>
      <c r="R909" s="322">
        <v>0</v>
      </c>
      <c r="S909" s="322">
        <v>2000</v>
      </c>
      <c r="T909" s="322">
        <v>2000</v>
      </c>
      <c r="U909" s="322">
        <f t="shared" si="72"/>
        <v>0</v>
      </c>
      <c r="W909" s="321">
        <f t="shared" si="73"/>
        <v>542</v>
      </c>
      <c r="X909" s="321">
        <f t="shared" si="74"/>
        <v>621600</v>
      </c>
      <c r="Y909" s="321">
        <v>1</v>
      </c>
      <c r="AA909" s="321" t="s">
        <v>5369</v>
      </c>
    </row>
    <row r="910" spans="1:27">
      <c r="A910" s="376">
        <v>786</v>
      </c>
      <c r="B910" s="377">
        <v>813600</v>
      </c>
      <c r="C910" s="385" t="s">
        <v>7077</v>
      </c>
      <c r="D910" s="379">
        <v>233</v>
      </c>
      <c r="E910" s="380">
        <v>233</v>
      </c>
      <c r="F910" s="380">
        <v>233</v>
      </c>
      <c r="H910" s="351">
        <f t="shared" si="70"/>
        <v>233000</v>
      </c>
      <c r="I910" s="351">
        <f t="shared" si="71"/>
        <v>233000</v>
      </c>
      <c r="M910" s="321">
        <v>1621600580</v>
      </c>
      <c r="N910" s="321">
        <v>62</v>
      </c>
      <c r="O910" s="321" t="s">
        <v>5379</v>
      </c>
      <c r="P910" s="321">
        <v>2621600</v>
      </c>
      <c r="Q910" s="322">
        <v>90000</v>
      </c>
      <c r="R910" s="322">
        <v>17800</v>
      </c>
      <c r="S910" s="322">
        <v>90000</v>
      </c>
      <c r="T910" s="322">
        <v>60000</v>
      </c>
      <c r="U910" s="322">
        <f t="shared" si="72"/>
        <v>30000</v>
      </c>
      <c r="W910" s="321">
        <f t="shared" si="73"/>
        <v>580</v>
      </c>
      <c r="X910" s="321">
        <f t="shared" si="74"/>
        <v>621600</v>
      </c>
      <c r="Y910" s="321">
        <v>1</v>
      </c>
      <c r="AA910" s="321" t="s">
        <v>5379</v>
      </c>
    </row>
    <row r="911" spans="1:27">
      <c r="A911" s="376">
        <v>788</v>
      </c>
      <c r="B911" s="377">
        <v>813600</v>
      </c>
      <c r="C911" s="385" t="s">
        <v>7078</v>
      </c>
      <c r="D911" s="379">
        <v>279</v>
      </c>
      <c r="E911" s="380">
        <v>279</v>
      </c>
      <c r="F911" s="380">
        <v>279</v>
      </c>
      <c r="H911" s="351">
        <f t="shared" si="70"/>
        <v>279000</v>
      </c>
      <c r="I911" s="351">
        <f t="shared" si="71"/>
        <v>279000</v>
      </c>
      <c r="M911" s="321">
        <v>1621701110</v>
      </c>
      <c r="N911" s="321">
        <v>62</v>
      </c>
      <c r="O911" s="321" t="s">
        <v>5231</v>
      </c>
      <c r="P911" s="321">
        <v>2621700</v>
      </c>
      <c r="Q911" s="322">
        <v>640000</v>
      </c>
      <c r="R911" s="322">
        <v>499300</v>
      </c>
      <c r="S911" s="322">
        <v>688000</v>
      </c>
      <c r="T911" s="322">
        <v>688000</v>
      </c>
      <c r="U911" s="322">
        <f t="shared" si="72"/>
        <v>0</v>
      </c>
      <c r="W911" s="321">
        <f t="shared" si="73"/>
        <v>110</v>
      </c>
      <c r="X911" s="321">
        <f t="shared" si="74"/>
        <v>621701</v>
      </c>
      <c r="Y911" s="321">
        <v>1</v>
      </c>
      <c r="AA911" s="321" t="s">
        <v>5231</v>
      </c>
    </row>
    <row r="912" spans="1:27">
      <c r="A912" s="376">
        <v>789</v>
      </c>
      <c r="B912" s="377">
        <v>813600</v>
      </c>
      <c r="C912" s="397" t="s">
        <v>7079</v>
      </c>
      <c r="D912" s="379">
        <v>255</v>
      </c>
      <c r="E912" s="380">
        <v>240</v>
      </c>
      <c r="F912" s="380">
        <v>240</v>
      </c>
      <c r="H912" s="351">
        <f t="shared" si="70"/>
        <v>255000</v>
      </c>
      <c r="I912" s="351">
        <f t="shared" si="71"/>
        <v>240000</v>
      </c>
      <c r="M912" s="321">
        <v>1621701120</v>
      </c>
      <c r="N912" s="321">
        <v>62</v>
      </c>
      <c r="O912" s="321" t="s">
        <v>5206</v>
      </c>
      <c r="P912" s="321">
        <v>2621700</v>
      </c>
      <c r="Q912" s="322">
        <v>166000</v>
      </c>
      <c r="R912" s="322">
        <v>139700</v>
      </c>
      <c r="S912" s="322">
        <v>158000</v>
      </c>
      <c r="T912" s="322">
        <v>158000</v>
      </c>
      <c r="U912" s="322">
        <f t="shared" si="72"/>
        <v>0</v>
      </c>
      <c r="W912" s="321">
        <f t="shared" si="73"/>
        <v>120</v>
      </c>
      <c r="X912" s="321">
        <f t="shared" si="74"/>
        <v>621701</v>
      </c>
      <c r="Y912" s="321">
        <v>1</v>
      </c>
      <c r="AA912" s="321" t="s">
        <v>5206</v>
      </c>
    </row>
    <row r="913" spans="1:27">
      <c r="A913" s="376">
        <v>871</v>
      </c>
      <c r="B913" s="377">
        <v>813600</v>
      </c>
      <c r="C913" s="385" t="s">
        <v>7080</v>
      </c>
      <c r="D913" s="379">
        <v>314</v>
      </c>
      <c r="E913" s="380">
        <v>330</v>
      </c>
      <c r="F913" s="380">
        <v>330</v>
      </c>
      <c r="H913" s="351">
        <f t="shared" si="70"/>
        <v>314000</v>
      </c>
      <c r="I913" s="351">
        <f t="shared" si="71"/>
        <v>330000</v>
      </c>
      <c r="M913" s="321">
        <v>1621701130</v>
      </c>
      <c r="N913" s="321">
        <v>62</v>
      </c>
      <c r="O913" s="321" t="s">
        <v>2576</v>
      </c>
      <c r="P913" s="321">
        <v>2621700</v>
      </c>
      <c r="Q913" s="322">
        <v>18000</v>
      </c>
      <c r="R913" s="322">
        <v>22000</v>
      </c>
      <c r="S913" s="322">
        <v>28000</v>
      </c>
      <c r="T913" s="322">
        <v>25200</v>
      </c>
      <c r="U913" s="322">
        <f t="shared" si="72"/>
        <v>2800</v>
      </c>
      <c r="W913" s="321">
        <f t="shared" si="73"/>
        <v>130</v>
      </c>
      <c r="X913" s="321">
        <f t="shared" si="74"/>
        <v>621701</v>
      </c>
      <c r="Y913" s="321">
        <v>1</v>
      </c>
      <c r="AA913" s="321" t="s">
        <v>2576</v>
      </c>
    </row>
    <row r="914" spans="1:27">
      <c r="A914" s="376">
        <v>873</v>
      </c>
      <c r="B914" s="377">
        <v>813600</v>
      </c>
      <c r="C914" s="385" t="s">
        <v>7081</v>
      </c>
      <c r="D914" s="379">
        <v>638</v>
      </c>
      <c r="E914" s="380">
        <v>502</v>
      </c>
      <c r="F914" s="380">
        <v>502</v>
      </c>
      <c r="H914" s="351">
        <f t="shared" ref="H914:H977" si="75">D914*1000</f>
        <v>638000</v>
      </c>
      <c r="I914" s="351">
        <f t="shared" ref="I914:I977" si="76">F914*1000</f>
        <v>502000</v>
      </c>
      <c r="M914" s="321">
        <v>1621701140</v>
      </c>
      <c r="N914" s="321">
        <v>62</v>
      </c>
      <c r="O914" s="321" t="s">
        <v>5207</v>
      </c>
      <c r="P914" s="321">
        <v>2621700</v>
      </c>
      <c r="Q914" s="322">
        <v>127000</v>
      </c>
      <c r="R914" s="322">
        <v>83200</v>
      </c>
      <c r="S914" s="322">
        <v>107000</v>
      </c>
      <c r="T914" s="322">
        <v>107000</v>
      </c>
      <c r="U914" s="322">
        <f t="shared" si="72"/>
        <v>0</v>
      </c>
      <c r="W914" s="321">
        <f t="shared" si="73"/>
        <v>140</v>
      </c>
      <c r="X914" s="321">
        <f t="shared" si="74"/>
        <v>621701</v>
      </c>
      <c r="Y914" s="321">
        <v>1</v>
      </c>
      <c r="AA914" s="321" t="s">
        <v>5207</v>
      </c>
    </row>
    <row r="915" spans="1:27">
      <c r="A915" s="376">
        <v>875</v>
      </c>
      <c r="B915" s="377">
        <v>813600</v>
      </c>
      <c r="C915" s="385" t="s">
        <v>7082</v>
      </c>
      <c r="D915" s="379">
        <v>86</v>
      </c>
      <c r="E915" s="380">
        <v>107</v>
      </c>
      <c r="F915" s="380">
        <v>107</v>
      </c>
      <c r="H915" s="351">
        <f t="shared" si="75"/>
        <v>86000</v>
      </c>
      <c r="I915" s="351">
        <f t="shared" si="76"/>
        <v>107000</v>
      </c>
      <c r="M915" s="321">
        <v>1621701141</v>
      </c>
      <c r="N915" s="321">
        <v>62</v>
      </c>
      <c r="O915" s="321" t="s">
        <v>5208</v>
      </c>
      <c r="P915" s="321">
        <v>2621700</v>
      </c>
      <c r="Q915" s="322">
        <v>22000</v>
      </c>
      <c r="R915" s="322">
        <v>17100</v>
      </c>
      <c r="S915" s="322">
        <v>23000</v>
      </c>
      <c r="T915" s="322">
        <v>23000</v>
      </c>
      <c r="U915" s="322">
        <f t="shared" si="72"/>
        <v>0</v>
      </c>
      <c r="W915" s="321">
        <f t="shared" si="73"/>
        <v>141</v>
      </c>
      <c r="X915" s="321">
        <f t="shared" si="74"/>
        <v>621701</v>
      </c>
      <c r="Y915" s="321">
        <v>1</v>
      </c>
      <c r="AA915" s="321" t="s">
        <v>5208</v>
      </c>
    </row>
    <row r="916" spans="1:27">
      <c r="A916" s="376">
        <v>877</v>
      </c>
      <c r="B916" s="377">
        <v>813600</v>
      </c>
      <c r="C916" s="385" t="s">
        <v>7083</v>
      </c>
      <c r="D916" s="379">
        <v>166</v>
      </c>
      <c r="E916" s="380">
        <v>175</v>
      </c>
      <c r="F916" s="380">
        <v>175</v>
      </c>
      <c r="H916" s="351">
        <f t="shared" si="75"/>
        <v>166000</v>
      </c>
      <c r="I916" s="351">
        <f t="shared" si="76"/>
        <v>175000</v>
      </c>
      <c r="M916" s="321">
        <v>1621701181</v>
      </c>
      <c r="N916" s="321">
        <v>62</v>
      </c>
      <c r="O916" s="321" t="s">
        <v>2580</v>
      </c>
      <c r="P916" s="321">
        <v>2621700</v>
      </c>
      <c r="Q916" s="322">
        <v>143000</v>
      </c>
      <c r="R916" s="322">
        <v>121700</v>
      </c>
      <c r="S916" s="322">
        <v>169000</v>
      </c>
      <c r="T916" s="322">
        <v>169000</v>
      </c>
      <c r="U916" s="322">
        <f t="shared" si="72"/>
        <v>0</v>
      </c>
      <c r="W916" s="321">
        <f t="shared" si="73"/>
        <v>181</v>
      </c>
      <c r="X916" s="321">
        <f t="shared" si="74"/>
        <v>621701</v>
      </c>
      <c r="Y916" s="321">
        <v>1</v>
      </c>
      <c r="AA916" s="321" t="s">
        <v>2580</v>
      </c>
    </row>
    <row r="917" spans="1:27">
      <c r="A917" s="376">
        <v>780</v>
      </c>
      <c r="B917" s="377">
        <v>813601</v>
      </c>
      <c r="C917" s="385" t="s">
        <v>7084</v>
      </c>
      <c r="D917" s="379">
        <v>274</v>
      </c>
      <c r="E917" s="380">
        <v>274</v>
      </c>
      <c r="F917" s="380">
        <v>274</v>
      </c>
      <c r="H917" s="351">
        <f t="shared" si="75"/>
        <v>274000</v>
      </c>
      <c r="I917" s="351">
        <f t="shared" si="76"/>
        <v>274000</v>
      </c>
      <c r="M917" s="321">
        <v>1621701182</v>
      </c>
      <c r="N917" s="321">
        <v>62</v>
      </c>
      <c r="O917" s="321" t="s">
        <v>2582</v>
      </c>
      <c r="P917" s="321">
        <v>2621700</v>
      </c>
      <c r="Q917" s="322">
        <v>131000</v>
      </c>
      <c r="R917" s="322">
        <v>101200</v>
      </c>
      <c r="S917" s="322">
        <v>139000</v>
      </c>
      <c r="T917" s="322">
        <v>139000</v>
      </c>
      <c r="U917" s="322">
        <f t="shared" si="72"/>
        <v>0</v>
      </c>
      <c r="W917" s="321">
        <f t="shared" si="73"/>
        <v>182</v>
      </c>
      <c r="X917" s="321">
        <f t="shared" si="74"/>
        <v>621701</v>
      </c>
      <c r="Y917" s="321">
        <v>1</v>
      </c>
      <c r="AA917" s="321" t="s">
        <v>2582</v>
      </c>
    </row>
    <row r="918" spans="1:27">
      <c r="A918" s="376">
        <v>781</v>
      </c>
      <c r="B918" s="377">
        <v>813601</v>
      </c>
      <c r="C918" s="385" t="s">
        <v>7085</v>
      </c>
      <c r="D918" s="379">
        <v>50</v>
      </c>
      <c r="E918" s="380">
        <v>0</v>
      </c>
      <c r="F918" s="380">
        <v>0</v>
      </c>
      <c r="H918" s="351">
        <f t="shared" si="75"/>
        <v>50000</v>
      </c>
      <c r="I918" s="351">
        <f t="shared" si="76"/>
        <v>0</v>
      </c>
      <c r="M918" s="321">
        <v>1621701210</v>
      </c>
      <c r="N918" s="321">
        <v>62</v>
      </c>
      <c r="O918" s="321" t="s">
        <v>5308</v>
      </c>
      <c r="P918" s="321">
        <v>2621700</v>
      </c>
      <c r="Q918" s="322">
        <v>200000</v>
      </c>
      <c r="R918" s="322">
        <v>91600</v>
      </c>
      <c r="S918" s="322">
        <v>100000</v>
      </c>
      <c r="T918" s="322">
        <v>100000</v>
      </c>
      <c r="U918" s="322">
        <f t="shared" si="72"/>
        <v>0</v>
      </c>
      <c r="W918" s="321">
        <f t="shared" si="73"/>
        <v>210</v>
      </c>
      <c r="X918" s="321">
        <f t="shared" si="74"/>
        <v>621701</v>
      </c>
      <c r="Y918" s="321">
        <v>1</v>
      </c>
      <c r="AA918" s="321" t="s">
        <v>5308</v>
      </c>
    </row>
    <row r="919" spans="1:27">
      <c r="A919" s="406">
        <v>784</v>
      </c>
      <c r="B919" s="377">
        <v>813601</v>
      </c>
      <c r="C919" s="410" t="s">
        <v>7086</v>
      </c>
      <c r="D919" s="411">
        <v>0</v>
      </c>
      <c r="E919" s="380">
        <v>0</v>
      </c>
      <c r="F919" s="412">
        <v>0</v>
      </c>
      <c r="H919" s="351">
        <f t="shared" si="75"/>
        <v>0</v>
      </c>
      <c r="I919" s="351">
        <f t="shared" si="76"/>
        <v>0</v>
      </c>
      <c r="M919" s="321">
        <v>1621701470</v>
      </c>
      <c r="N919" s="321">
        <v>62</v>
      </c>
      <c r="O919" s="321" t="s">
        <v>2830</v>
      </c>
      <c r="P919" s="321">
        <v>2621700</v>
      </c>
      <c r="Q919" s="322">
        <v>20000</v>
      </c>
      <c r="R919" s="322">
        <v>4100</v>
      </c>
      <c r="S919" s="322">
        <v>20000</v>
      </c>
      <c r="T919" s="322">
        <v>20000</v>
      </c>
      <c r="U919" s="322">
        <f t="shared" si="72"/>
        <v>0</v>
      </c>
      <c r="W919" s="321">
        <f t="shared" si="73"/>
        <v>470</v>
      </c>
      <c r="X919" s="321">
        <f t="shared" si="74"/>
        <v>621701</v>
      </c>
      <c r="Y919" s="321">
        <v>1</v>
      </c>
      <c r="AA919" s="321" t="s">
        <v>2830</v>
      </c>
    </row>
    <row r="920" spans="1:27">
      <c r="A920" s="376">
        <v>100</v>
      </c>
      <c r="B920" s="377">
        <v>813800</v>
      </c>
      <c r="C920" s="391" t="s">
        <v>6747</v>
      </c>
      <c r="D920" s="379">
        <v>54</v>
      </c>
      <c r="E920" s="380">
        <v>53</v>
      </c>
      <c r="F920" s="380">
        <v>53</v>
      </c>
      <c r="H920" s="351">
        <f t="shared" si="75"/>
        <v>54000</v>
      </c>
      <c r="I920" s="351">
        <f t="shared" si="76"/>
        <v>53000</v>
      </c>
      <c r="M920" s="321">
        <v>1621701471</v>
      </c>
      <c r="N920" s="321">
        <v>62</v>
      </c>
      <c r="O920" s="321" t="s">
        <v>5212</v>
      </c>
      <c r="P920" s="321">
        <v>2621700</v>
      </c>
      <c r="Q920" s="322">
        <v>10500</v>
      </c>
      <c r="R920" s="322">
        <v>8300</v>
      </c>
      <c r="S920" s="322">
        <v>11200</v>
      </c>
      <c r="T920" s="322">
        <v>11200</v>
      </c>
      <c r="U920" s="322">
        <f t="shared" si="72"/>
        <v>0</v>
      </c>
      <c r="W920" s="321">
        <f t="shared" si="73"/>
        <v>471</v>
      </c>
      <c r="X920" s="321">
        <f t="shared" si="74"/>
        <v>621701</v>
      </c>
      <c r="Y920" s="321">
        <v>1</v>
      </c>
      <c r="AA920" s="321" t="s">
        <v>5212</v>
      </c>
    </row>
    <row r="921" spans="1:27">
      <c r="A921" s="376">
        <v>101</v>
      </c>
      <c r="B921" s="377">
        <v>813800</v>
      </c>
      <c r="C921" s="391" t="s">
        <v>7042</v>
      </c>
      <c r="D921" s="379">
        <v>17</v>
      </c>
      <c r="E921" s="380">
        <v>17</v>
      </c>
      <c r="F921" s="380">
        <v>17</v>
      </c>
      <c r="H921" s="351">
        <f t="shared" si="75"/>
        <v>17000</v>
      </c>
      <c r="I921" s="351">
        <f t="shared" si="76"/>
        <v>17000</v>
      </c>
      <c r="M921" s="321">
        <v>1621701530</v>
      </c>
      <c r="N921" s="321">
        <v>62</v>
      </c>
      <c r="O921" s="321" t="s">
        <v>5380</v>
      </c>
      <c r="P921" s="321">
        <v>2621700</v>
      </c>
      <c r="Q921" s="322">
        <v>0</v>
      </c>
      <c r="R921" s="322">
        <v>0</v>
      </c>
      <c r="S921" s="322">
        <v>30000</v>
      </c>
      <c r="T921" s="322">
        <v>30000</v>
      </c>
      <c r="U921" s="322">
        <f t="shared" si="72"/>
        <v>0</v>
      </c>
      <c r="W921" s="321">
        <f t="shared" si="73"/>
        <v>530</v>
      </c>
      <c r="X921" s="321">
        <f t="shared" si="74"/>
        <v>621701</v>
      </c>
      <c r="Y921" s="321">
        <v>1</v>
      </c>
      <c r="AA921" s="321" t="s">
        <v>5380</v>
      </c>
    </row>
    <row r="922" spans="1:27">
      <c r="A922" s="376">
        <v>750</v>
      </c>
      <c r="B922" s="377">
        <v>813800</v>
      </c>
      <c r="C922" s="391" t="s">
        <v>6720</v>
      </c>
      <c r="D922" s="379">
        <v>85</v>
      </c>
      <c r="E922" s="380">
        <v>105</v>
      </c>
      <c r="F922" s="380">
        <v>105</v>
      </c>
      <c r="H922" s="351">
        <f t="shared" si="75"/>
        <v>85000</v>
      </c>
      <c r="I922" s="351">
        <f t="shared" si="76"/>
        <v>105000</v>
      </c>
      <c r="M922" s="321">
        <v>1621701540</v>
      </c>
      <c r="N922" s="321">
        <v>62</v>
      </c>
      <c r="O922" s="321" t="s">
        <v>5216</v>
      </c>
      <c r="P922" s="321">
        <v>2621700</v>
      </c>
      <c r="Q922" s="322">
        <v>4000</v>
      </c>
      <c r="R922" s="322">
        <v>2800</v>
      </c>
      <c r="S922" s="322">
        <v>4500</v>
      </c>
      <c r="T922" s="322">
        <v>4500</v>
      </c>
      <c r="U922" s="322">
        <f t="shared" si="72"/>
        <v>0</v>
      </c>
      <c r="W922" s="321">
        <f t="shared" si="73"/>
        <v>540</v>
      </c>
      <c r="X922" s="321">
        <f t="shared" si="74"/>
        <v>621701</v>
      </c>
      <c r="Y922" s="321">
        <v>1</v>
      </c>
      <c r="AA922" s="321" t="s">
        <v>5216</v>
      </c>
    </row>
    <row r="923" spans="1:27">
      <c r="A923" s="376">
        <v>751</v>
      </c>
      <c r="B923" s="377">
        <v>813800</v>
      </c>
      <c r="C923" s="382" t="s">
        <v>6945</v>
      </c>
      <c r="D923" s="379">
        <v>67</v>
      </c>
      <c r="E923" s="380">
        <v>67</v>
      </c>
      <c r="F923" s="380">
        <v>67</v>
      </c>
      <c r="H923" s="351">
        <f t="shared" si="75"/>
        <v>67000</v>
      </c>
      <c r="I923" s="351">
        <f t="shared" si="76"/>
        <v>67000</v>
      </c>
      <c r="M923" s="321">
        <v>1621701542</v>
      </c>
      <c r="N923" s="321">
        <v>62</v>
      </c>
      <c r="O923" s="321" t="s">
        <v>5381</v>
      </c>
      <c r="P923" s="321">
        <v>2621700</v>
      </c>
      <c r="Q923" s="322">
        <v>5000</v>
      </c>
      <c r="R923" s="322">
        <v>3400</v>
      </c>
      <c r="S923" s="322">
        <v>4000</v>
      </c>
      <c r="T923" s="322">
        <v>4000</v>
      </c>
      <c r="U923" s="322">
        <f t="shared" si="72"/>
        <v>0</v>
      </c>
      <c r="W923" s="321">
        <f t="shared" si="73"/>
        <v>542</v>
      </c>
      <c r="X923" s="321">
        <f t="shared" si="74"/>
        <v>621701</v>
      </c>
      <c r="Y923" s="321">
        <v>1</v>
      </c>
      <c r="AA923" s="321" t="s">
        <v>5381</v>
      </c>
    </row>
    <row r="924" spans="1:27">
      <c r="A924" s="376">
        <v>752</v>
      </c>
      <c r="B924" s="377">
        <v>813800</v>
      </c>
      <c r="C924" s="400" t="s">
        <v>7087</v>
      </c>
      <c r="D924" s="379">
        <v>72</v>
      </c>
      <c r="E924" s="380">
        <v>72</v>
      </c>
      <c r="F924" s="380">
        <v>72</v>
      </c>
      <c r="H924" s="351">
        <f t="shared" si="75"/>
        <v>72000</v>
      </c>
      <c r="I924" s="351">
        <f t="shared" si="76"/>
        <v>72000</v>
      </c>
      <c r="M924" s="321">
        <v>1621701572</v>
      </c>
      <c r="N924" s="321">
        <v>62</v>
      </c>
      <c r="O924" s="321" t="s">
        <v>5253</v>
      </c>
      <c r="P924" s="321">
        <v>2621700</v>
      </c>
      <c r="Q924" s="322">
        <v>18000</v>
      </c>
      <c r="R924" s="322">
        <v>8900</v>
      </c>
      <c r="S924" s="322">
        <v>18000</v>
      </c>
      <c r="T924" s="322">
        <v>18000</v>
      </c>
      <c r="U924" s="322">
        <f t="shared" si="72"/>
        <v>0</v>
      </c>
      <c r="W924" s="321">
        <f t="shared" si="73"/>
        <v>572</v>
      </c>
      <c r="X924" s="321">
        <f t="shared" si="74"/>
        <v>621701</v>
      </c>
      <c r="Y924" s="321">
        <v>1</v>
      </c>
      <c r="AA924" s="321" t="s">
        <v>5253</v>
      </c>
    </row>
    <row r="925" spans="1:27">
      <c r="A925" s="376">
        <v>780</v>
      </c>
      <c r="B925" s="377">
        <v>813800</v>
      </c>
      <c r="C925" s="391" t="s">
        <v>7088</v>
      </c>
      <c r="D925" s="379">
        <v>758</v>
      </c>
      <c r="E925" s="380">
        <v>786</v>
      </c>
      <c r="F925" s="380">
        <v>786</v>
      </c>
      <c r="H925" s="351">
        <f t="shared" si="75"/>
        <v>758000</v>
      </c>
      <c r="I925" s="351">
        <f t="shared" si="76"/>
        <v>786000</v>
      </c>
      <c r="M925" s="321">
        <v>1621701580</v>
      </c>
      <c r="N925" s="321">
        <v>62</v>
      </c>
      <c r="O925" s="321" t="s">
        <v>5370</v>
      </c>
      <c r="P925" s="321">
        <v>2621700</v>
      </c>
      <c r="Q925" s="322">
        <v>23000</v>
      </c>
      <c r="R925" s="322">
        <v>1000</v>
      </c>
      <c r="S925" s="322">
        <v>20000</v>
      </c>
      <c r="T925" s="322">
        <v>10000</v>
      </c>
      <c r="U925" s="322">
        <f t="shared" si="72"/>
        <v>10000</v>
      </c>
      <c r="W925" s="321">
        <f t="shared" si="73"/>
        <v>580</v>
      </c>
      <c r="X925" s="321">
        <f t="shared" si="74"/>
        <v>621701</v>
      </c>
      <c r="Y925" s="321">
        <v>1</v>
      </c>
      <c r="AA925" s="321" t="s">
        <v>5370</v>
      </c>
    </row>
    <row r="926" spans="1:27">
      <c r="A926" s="376">
        <v>860</v>
      </c>
      <c r="B926" s="377">
        <v>813800</v>
      </c>
      <c r="C926" s="391" t="s">
        <v>7089</v>
      </c>
      <c r="D926" s="379">
        <v>40</v>
      </c>
      <c r="E926" s="380">
        <v>50</v>
      </c>
      <c r="F926" s="380">
        <v>50</v>
      </c>
      <c r="H926" s="351">
        <f t="shared" si="75"/>
        <v>40000</v>
      </c>
      <c r="I926" s="351">
        <f t="shared" si="76"/>
        <v>50000</v>
      </c>
      <c r="M926" s="321">
        <v>1621701779</v>
      </c>
      <c r="N926" s="321">
        <v>62</v>
      </c>
      <c r="O926" s="321" t="s">
        <v>5382</v>
      </c>
      <c r="P926" s="321">
        <v>2621700</v>
      </c>
      <c r="Q926" s="322">
        <v>2000</v>
      </c>
      <c r="R926" s="322">
        <v>500</v>
      </c>
      <c r="S926" s="322">
        <v>2000</v>
      </c>
      <c r="T926" s="322">
        <v>2000</v>
      </c>
      <c r="U926" s="322">
        <f t="shared" si="72"/>
        <v>0</v>
      </c>
      <c r="W926" s="321">
        <f t="shared" si="73"/>
        <v>779</v>
      </c>
      <c r="X926" s="321">
        <f t="shared" si="74"/>
        <v>621701</v>
      </c>
      <c r="Y926" s="321">
        <v>1</v>
      </c>
      <c r="AA926" s="321" t="s">
        <v>5382</v>
      </c>
    </row>
    <row r="927" spans="1:27">
      <c r="A927" s="376">
        <v>870</v>
      </c>
      <c r="B927" s="377">
        <v>813800</v>
      </c>
      <c r="C927" s="391" t="s">
        <v>7090</v>
      </c>
      <c r="D927" s="379">
        <v>57</v>
      </c>
      <c r="E927" s="380">
        <v>90</v>
      </c>
      <c r="F927" s="380">
        <v>90</v>
      </c>
      <c r="H927" s="351">
        <f t="shared" si="75"/>
        <v>57000</v>
      </c>
      <c r="I927" s="351">
        <f t="shared" si="76"/>
        <v>90000</v>
      </c>
      <c r="M927" s="321">
        <v>1621701781</v>
      </c>
      <c r="N927" s="321">
        <v>62</v>
      </c>
      <c r="O927" s="321" t="s">
        <v>5383</v>
      </c>
      <c r="P927" s="321">
        <v>2621700</v>
      </c>
      <c r="Q927" s="322">
        <v>2000</v>
      </c>
      <c r="R927" s="322">
        <v>0</v>
      </c>
      <c r="S927" s="322">
        <v>0</v>
      </c>
      <c r="T927" s="322">
        <v>0</v>
      </c>
      <c r="U927" s="322">
        <f t="shared" si="72"/>
        <v>0</v>
      </c>
      <c r="W927" s="321">
        <f t="shared" si="73"/>
        <v>781</v>
      </c>
      <c r="X927" s="321">
        <f t="shared" si="74"/>
        <v>621701</v>
      </c>
      <c r="Y927" s="321">
        <v>1</v>
      </c>
      <c r="AA927" s="321" t="s">
        <v>5383</v>
      </c>
    </row>
    <row r="928" spans="1:27">
      <c r="A928" s="376">
        <v>100</v>
      </c>
      <c r="B928" s="377">
        <v>814000</v>
      </c>
      <c r="C928" s="382" t="s">
        <v>7091</v>
      </c>
      <c r="D928" s="379">
        <v>0</v>
      </c>
      <c r="E928" s="380">
        <v>0</v>
      </c>
      <c r="F928" s="380">
        <v>0</v>
      </c>
      <c r="H928" s="351">
        <f t="shared" si="75"/>
        <v>0</v>
      </c>
      <c r="I928" s="351">
        <f t="shared" si="76"/>
        <v>0</v>
      </c>
      <c r="M928" s="321">
        <v>1621702110</v>
      </c>
      <c r="N928" s="321">
        <v>62</v>
      </c>
      <c r="O928" s="321" t="s">
        <v>5205</v>
      </c>
      <c r="P928" s="321">
        <v>2621700</v>
      </c>
      <c r="Q928" s="322">
        <v>115000</v>
      </c>
      <c r="R928" s="322">
        <v>57600</v>
      </c>
      <c r="S928" s="322">
        <v>80000</v>
      </c>
      <c r="T928" s="322">
        <v>80000</v>
      </c>
      <c r="U928" s="322">
        <f t="shared" si="72"/>
        <v>0</v>
      </c>
      <c r="W928" s="321">
        <f t="shared" si="73"/>
        <v>110</v>
      </c>
      <c r="X928" s="321">
        <f t="shared" si="74"/>
        <v>621702</v>
      </c>
      <c r="Y928" s="321">
        <v>1</v>
      </c>
      <c r="AA928" s="321" t="s">
        <v>5205</v>
      </c>
    </row>
    <row r="929" spans="1:27">
      <c r="A929" s="376">
        <v>101</v>
      </c>
      <c r="B929" s="377">
        <v>814000</v>
      </c>
      <c r="C929" s="382" t="s">
        <v>7092</v>
      </c>
      <c r="D929" s="379">
        <v>1037</v>
      </c>
      <c r="E929" s="380">
        <v>953</v>
      </c>
      <c r="F929" s="380">
        <v>996</v>
      </c>
      <c r="H929" s="351">
        <f t="shared" si="75"/>
        <v>1037000</v>
      </c>
      <c r="I929" s="351">
        <f t="shared" si="76"/>
        <v>996000</v>
      </c>
      <c r="M929" s="321">
        <v>1621702120</v>
      </c>
      <c r="N929" s="321">
        <v>62</v>
      </c>
      <c r="O929" s="321" t="s">
        <v>5206</v>
      </c>
      <c r="P929" s="321">
        <v>2621700</v>
      </c>
      <c r="Q929" s="322">
        <v>43000</v>
      </c>
      <c r="R929" s="322">
        <v>27700</v>
      </c>
      <c r="S929" s="322">
        <v>36000</v>
      </c>
      <c r="T929" s="322">
        <v>36000</v>
      </c>
      <c r="U929" s="322">
        <f t="shared" si="72"/>
        <v>0</v>
      </c>
      <c r="W929" s="321">
        <f t="shared" si="73"/>
        <v>120</v>
      </c>
      <c r="X929" s="321">
        <f t="shared" si="74"/>
        <v>621702</v>
      </c>
      <c r="Y929" s="321">
        <v>1</v>
      </c>
      <c r="AA929" s="321" t="s">
        <v>5206</v>
      </c>
    </row>
    <row r="930" spans="1:27">
      <c r="A930" s="376">
        <v>102</v>
      </c>
      <c r="B930" s="377">
        <v>814000</v>
      </c>
      <c r="C930" s="382" t="s">
        <v>7093</v>
      </c>
      <c r="D930" s="379">
        <v>962</v>
      </c>
      <c r="E930" s="380">
        <v>835</v>
      </c>
      <c r="F930" s="380">
        <v>824</v>
      </c>
      <c r="H930" s="351">
        <f t="shared" si="75"/>
        <v>962000</v>
      </c>
      <c r="I930" s="351">
        <f t="shared" si="76"/>
        <v>824000</v>
      </c>
      <c r="M930" s="321">
        <v>1621702130</v>
      </c>
      <c r="N930" s="321">
        <v>62</v>
      </c>
      <c r="O930" s="321" t="s">
        <v>2576</v>
      </c>
      <c r="P930" s="321">
        <v>2621700</v>
      </c>
      <c r="Q930" s="322">
        <v>40000</v>
      </c>
      <c r="R930" s="322">
        <v>37900</v>
      </c>
      <c r="S930" s="322">
        <v>52000</v>
      </c>
      <c r="T930" s="322">
        <v>46800</v>
      </c>
      <c r="U930" s="322">
        <f t="shared" si="72"/>
        <v>5200</v>
      </c>
      <c r="W930" s="321">
        <f t="shared" si="73"/>
        <v>130</v>
      </c>
      <c r="X930" s="321">
        <f t="shared" si="74"/>
        <v>621702</v>
      </c>
      <c r="Y930" s="321">
        <v>1</v>
      </c>
      <c r="AA930" s="321" t="s">
        <v>2576</v>
      </c>
    </row>
    <row r="931" spans="1:27">
      <c r="A931" s="376">
        <v>103</v>
      </c>
      <c r="B931" s="377">
        <v>814000</v>
      </c>
      <c r="C931" s="382" t="s">
        <v>7094</v>
      </c>
      <c r="D931" s="379">
        <v>1144</v>
      </c>
      <c r="E931" s="380">
        <v>1042</v>
      </c>
      <c r="F931" s="380">
        <v>1066</v>
      </c>
      <c r="H931" s="351">
        <f t="shared" si="75"/>
        <v>1144000</v>
      </c>
      <c r="I931" s="351">
        <f t="shared" si="76"/>
        <v>1066000</v>
      </c>
      <c r="M931" s="321">
        <v>1621702140</v>
      </c>
      <c r="N931" s="321">
        <v>62</v>
      </c>
      <c r="O931" s="321" t="s">
        <v>5207</v>
      </c>
      <c r="P931" s="321">
        <v>2621700</v>
      </c>
      <c r="Q931" s="322">
        <v>56000</v>
      </c>
      <c r="R931" s="322">
        <v>34200</v>
      </c>
      <c r="S931" s="322">
        <v>43000</v>
      </c>
      <c r="T931" s="322">
        <v>43000</v>
      </c>
      <c r="U931" s="322">
        <f t="shared" si="72"/>
        <v>0</v>
      </c>
      <c r="W931" s="321">
        <f t="shared" si="73"/>
        <v>140</v>
      </c>
      <c r="X931" s="321">
        <f t="shared" si="74"/>
        <v>621702</v>
      </c>
      <c r="Y931" s="321">
        <v>1</v>
      </c>
      <c r="AA931" s="321" t="s">
        <v>5207</v>
      </c>
    </row>
    <row r="932" spans="1:27">
      <c r="A932" s="376">
        <v>104</v>
      </c>
      <c r="B932" s="377">
        <v>814000</v>
      </c>
      <c r="C932" s="382" t="s">
        <v>7095</v>
      </c>
      <c r="D932" s="379">
        <v>915</v>
      </c>
      <c r="E932" s="380">
        <v>857</v>
      </c>
      <c r="F932" s="380">
        <v>927</v>
      </c>
      <c r="H932" s="351">
        <f t="shared" si="75"/>
        <v>915000</v>
      </c>
      <c r="I932" s="351">
        <f t="shared" si="76"/>
        <v>927000</v>
      </c>
      <c r="M932" s="321">
        <v>1621702141</v>
      </c>
      <c r="N932" s="321">
        <v>62</v>
      </c>
      <c r="O932" s="321" t="s">
        <v>5208</v>
      </c>
      <c r="P932" s="321">
        <v>2621700</v>
      </c>
      <c r="Q932" s="322">
        <v>5000</v>
      </c>
      <c r="R932" s="322">
        <v>1800</v>
      </c>
      <c r="S932" s="322">
        <v>3000</v>
      </c>
      <c r="T932" s="322">
        <v>3000</v>
      </c>
      <c r="U932" s="322">
        <f t="shared" si="72"/>
        <v>0</v>
      </c>
      <c r="W932" s="321">
        <f t="shared" si="73"/>
        <v>141</v>
      </c>
      <c r="X932" s="321">
        <f t="shared" si="74"/>
        <v>621702</v>
      </c>
      <c r="Y932" s="321">
        <v>1</v>
      </c>
      <c r="AA932" s="321" t="s">
        <v>5208</v>
      </c>
    </row>
    <row r="933" spans="1:27">
      <c r="A933" s="376">
        <v>105</v>
      </c>
      <c r="B933" s="377">
        <v>814000</v>
      </c>
      <c r="C933" s="382" t="s">
        <v>7096</v>
      </c>
      <c r="D933" s="379">
        <v>965</v>
      </c>
      <c r="E933" s="380">
        <v>884</v>
      </c>
      <c r="F933" s="380">
        <v>988</v>
      </c>
      <c r="H933" s="351">
        <f t="shared" si="75"/>
        <v>965000</v>
      </c>
      <c r="I933" s="351">
        <f t="shared" si="76"/>
        <v>988000</v>
      </c>
      <c r="M933" s="321">
        <v>1621702181</v>
      </c>
      <c r="N933" s="321">
        <v>62</v>
      </c>
      <c r="O933" s="321" t="s">
        <v>2580</v>
      </c>
      <c r="P933" s="321">
        <v>2621700</v>
      </c>
      <c r="Q933" s="322">
        <v>36000</v>
      </c>
      <c r="R933" s="322">
        <v>23400</v>
      </c>
      <c r="S933" s="322">
        <v>32000</v>
      </c>
      <c r="T933" s="322">
        <v>32000</v>
      </c>
      <c r="U933" s="322">
        <f t="shared" si="72"/>
        <v>0</v>
      </c>
      <c r="W933" s="321">
        <f t="shared" si="73"/>
        <v>181</v>
      </c>
      <c r="X933" s="321">
        <f t="shared" si="74"/>
        <v>621702</v>
      </c>
      <c r="Y933" s="321">
        <v>1</v>
      </c>
      <c r="AA933" s="321" t="s">
        <v>2580</v>
      </c>
    </row>
    <row r="934" spans="1:27">
      <c r="A934" s="376">
        <v>106</v>
      </c>
      <c r="B934" s="377">
        <v>814000</v>
      </c>
      <c r="C934" s="382" t="s">
        <v>7097</v>
      </c>
      <c r="D934" s="379">
        <v>706</v>
      </c>
      <c r="E934" s="380">
        <v>728</v>
      </c>
      <c r="F934" s="380">
        <v>692</v>
      </c>
      <c r="H934" s="351">
        <f t="shared" si="75"/>
        <v>706000</v>
      </c>
      <c r="I934" s="351">
        <f t="shared" si="76"/>
        <v>692000</v>
      </c>
      <c r="M934" s="321">
        <v>1621702182</v>
      </c>
      <c r="N934" s="321">
        <v>62</v>
      </c>
      <c r="O934" s="321" t="s">
        <v>2582</v>
      </c>
      <c r="P934" s="321">
        <v>2621700</v>
      </c>
      <c r="Q934" s="322">
        <v>35000</v>
      </c>
      <c r="R934" s="322">
        <v>22000</v>
      </c>
      <c r="S934" s="322">
        <v>30000</v>
      </c>
      <c r="T934" s="322">
        <v>30000</v>
      </c>
      <c r="U934" s="322">
        <f t="shared" si="72"/>
        <v>0</v>
      </c>
      <c r="W934" s="321">
        <f t="shared" si="73"/>
        <v>182</v>
      </c>
      <c r="X934" s="321">
        <f t="shared" si="74"/>
        <v>621702</v>
      </c>
      <c r="Y934" s="321">
        <v>1</v>
      </c>
      <c r="AA934" s="321" t="s">
        <v>2582</v>
      </c>
    </row>
    <row r="935" spans="1:27">
      <c r="A935" s="376">
        <v>107</v>
      </c>
      <c r="B935" s="377">
        <v>814000</v>
      </c>
      <c r="C935" s="400" t="s">
        <v>7098</v>
      </c>
      <c r="D935" s="379">
        <v>778</v>
      </c>
      <c r="E935" s="380">
        <v>1263</v>
      </c>
      <c r="F935" s="380">
        <v>1263</v>
      </c>
      <c r="H935" s="351">
        <f t="shared" si="75"/>
        <v>778000</v>
      </c>
      <c r="I935" s="351">
        <f t="shared" si="76"/>
        <v>1263000</v>
      </c>
      <c r="M935" s="321">
        <v>1621702420</v>
      </c>
      <c r="N935" s="321">
        <v>62</v>
      </c>
      <c r="O935" s="321" t="s">
        <v>5384</v>
      </c>
      <c r="P935" s="321">
        <v>2621700</v>
      </c>
      <c r="Q935" s="322">
        <v>10000</v>
      </c>
      <c r="R935" s="322">
        <v>10000</v>
      </c>
      <c r="S935" s="322">
        <v>10000</v>
      </c>
      <c r="T935" s="322">
        <v>10000</v>
      </c>
      <c r="U935" s="322">
        <f t="shared" si="72"/>
        <v>0</v>
      </c>
      <c r="W935" s="321">
        <f t="shared" si="73"/>
        <v>420</v>
      </c>
      <c r="X935" s="321">
        <f t="shared" si="74"/>
        <v>621702</v>
      </c>
      <c r="Y935" s="321">
        <v>1</v>
      </c>
      <c r="AA935" s="321" t="s">
        <v>5384</v>
      </c>
    </row>
    <row r="936" spans="1:27">
      <c r="A936" s="376">
        <v>108</v>
      </c>
      <c r="B936" s="377">
        <v>814000</v>
      </c>
      <c r="C936" s="413" t="s">
        <v>7099</v>
      </c>
      <c r="D936" s="379">
        <v>498</v>
      </c>
      <c r="E936" s="380">
        <v>610</v>
      </c>
      <c r="F936" s="380">
        <v>610</v>
      </c>
      <c r="H936" s="351">
        <f t="shared" si="75"/>
        <v>498000</v>
      </c>
      <c r="I936" s="351">
        <f t="shared" si="76"/>
        <v>610000</v>
      </c>
      <c r="M936" s="321">
        <v>1621702422</v>
      </c>
      <c r="N936" s="321">
        <v>62</v>
      </c>
      <c r="O936" s="321" t="s">
        <v>5385</v>
      </c>
      <c r="P936" s="321">
        <v>2621700</v>
      </c>
      <c r="Q936" s="322">
        <v>2000</v>
      </c>
      <c r="R936" s="322">
        <v>0</v>
      </c>
      <c r="S936" s="322">
        <v>2000</v>
      </c>
      <c r="T936" s="322">
        <v>2000</v>
      </c>
      <c r="U936" s="322">
        <f t="shared" si="72"/>
        <v>0</v>
      </c>
      <c r="W936" s="321">
        <f t="shared" si="73"/>
        <v>422</v>
      </c>
      <c r="X936" s="321">
        <f t="shared" si="74"/>
        <v>621702</v>
      </c>
      <c r="Y936" s="321">
        <v>1</v>
      </c>
      <c r="AA936" s="321" t="s">
        <v>5385</v>
      </c>
    </row>
    <row r="937" spans="1:27">
      <c r="A937" s="376">
        <v>570</v>
      </c>
      <c r="B937" s="377">
        <v>814000</v>
      </c>
      <c r="C937" s="382" t="s">
        <v>6739</v>
      </c>
      <c r="D937" s="379">
        <v>212</v>
      </c>
      <c r="E937" s="380">
        <v>206</v>
      </c>
      <c r="F937" s="380">
        <v>206</v>
      </c>
      <c r="H937" s="351">
        <f t="shared" si="75"/>
        <v>212000</v>
      </c>
      <c r="I937" s="351">
        <f t="shared" si="76"/>
        <v>206000</v>
      </c>
      <c r="M937" s="321">
        <v>1621702433</v>
      </c>
      <c r="N937" s="321">
        <v>62</v>
      </c>
      <c r="O937" s="321" t="s">
        <v>2655</v>
      </c>
      <c r="P937" s="321">
        <v>2621700</v>
      </c>
      <c r="Q937" s="322">
        <v>3000</v>
      </c>
      <c r="R937" s="322">
        <v>0</v>
      </c>
      <c r="S937" s="322">
        <v>3000</v>
      </c>
      <c r="T937" s="322">
        <v>3000</v>
      </c>
      <c r="U937" s="322">
        <f t="shared" si="72"/>
        <v>0</v>
      </c>
      <c r="W937" s="321">
        <f t="shared" si="73"/>
        <v>433</v>
      </c>
      <c r="X937" s="321">
        <f t="shared" si="74"/>
        <v>621702</v>
      </c>
      <c r="Y937" s="321">
        <v>1</v>
      </c>
      <c r="AA937" s="321" t="s">
        <v>2655</v>
      </c>
    </row>
    <row r="938" spans="1:27">
      <c r="A938" s="376">
        <v>750</v>
      </c>
      <c r="B938" s="377">
        <v>814000</v>
      </c>
      <c r="C938" s="382" t="s">
        <v>6804</v>
      </c>
      <c r="D938" s="379">
        <v>1538</v>
      </c>
      <c r="E938" s="380">
        <v>1514</v>
      </c>
      <c r="F938" s="380">
        <f>1647-52-6</f>
        <v>1589</v>
      </c>
      <c r="H938" s="351">
        <f t="shared" si="75"/>
        <v>1538000</v>
      </c>
      <c r="I938" s="351">
        <f t="shared" si="76"/>
        <v>1589000</v>
      </c>
      <c r="M938" s="321">
        <v>1621702471</v>
      </c>
      <c r="N938" s="321">
        <v>62</v>
      </c>
      <c r="O938" s="321" t="s">
        <v>5212</v>
      </c>
      <c r="P938" s="321">
        <v>2621700</v>
      </c>
      <c r="Q938" s="322">
        <v>0</v>
      </c>
      <c r="R938" s="322">
        <v>0</v>
      </c>
      <c r="S938" s="322">
        <v>0</v>
      </c>
      <c r="T938" s="322">
        <v>0</v>
      </c>
      <c r="U938" s="322">
        <f t="shared" si="72"/>
        <v>0</v>
      </c>
      <c r="W938" s="321">
        <f t="shared" si="73"/>
        <v>471</v>
      </c>
      <c r="X938" s="321">
        <f t="shared" si="74"/>
        <v>621702</v>
      </c>
      <c r="Y938" s="321">
        <v>1</v>
      </c>
      <c r="AA938" s="321" t="s">
        <v>5212</v>
      </c>
    </row>
    <row r="939" spans="1:27">
      <c r="A939" s="376">
        <v>780</v>
      </c>
      <c r="B939" s="377">
        <v>814000</v>
      </c>
      <c r="C939" s="382" t="s">
        <v>7100</v>
      </c>
      <c r="D939" s="379">
        <v>32</v>
      </c>
      <c r="E939" s="380">
        <v>32</v>
      </c>
      <c r="F939" s="380">
        <v>32</v>
      </c>
      <c r="H939" s="351">
        <f t="shared" si="75"/>
        <v>32000</v>
      </c>
      <c r="I939" s="351">
        <f t="shared" si="76"/>
        <v>32000</v>
      </c>
      <c r="M939" s="321">
        <v>1621702540</v>
      </c>
      <c r="N939" s="321">
        <v>62</v>
      </c>
      <c r="O939" s="321" t="s">
        <v>5216</v>
      </c>
      <c r="P939" s="321">
        <v>2621700</v>
      </c>
      <c r="Q939" s="322">
        <v>1000</v>
      </c>
      <c r="R939" s="322">
        <v>300</v>
      </c>
      <c r="S939" s="322">
        <v>1000</v>
      </c>
      <c r="T939" s="322">
        <v>1000</v>
      </c>
      <c r="U939" s="322">
        <f t="shared" si="72"/>
        <v>0</v>
      </c>
      <c r="W939" s="321">
        <f t="shared" si="73"/>
        <v>540</v>
      </c>
      <c r="X939" s="321">
        <f t="shared" si="74"/>
        <v>621702</v>
      </c>
      <c r="Y939" s="321">
        <v>1</v>
      </c>
      <c r="AA939" s="321" t="s">
        <v>5216</v>
      </c>
    </row>
    <row r="940" spans="1:27">
      <c r="A940" s="376">
        <v>784</v>
      </c>
      <c r="B940" s="377">
        <v>814000</v>
      </c>
      <c r="C940" s="385" t="s">
        <v>7035</v>
      </c>
      <c r="D940" s="379">
        <v>699</v>
      </c>
      <c r="E940" s="380">
        <v>1126</v>
      </c>
      <c r="F940" s="380">
        <v>1126</v>
      </c>
      <c r="H940" s="351">
        <f t="shared" si="75"/>
        <v>699000</v>
      </c>
      <c r="I940" s="351">
        <f t="shared" si="76"/>
        <v>1126000</v>
      </c>
      <c r="M940" s="321">
        <v>1621702542</v>
      </c>
      <c r="N940" s="321">
        <v>62</v>
      </c>
      <c r="O940" s="321" t="s">
        <v>5362</v>
      </c>
      <c r="P940" s="321">
        <v>2621700</v>
      </c>
      <c r="Q940" s="322">
        <v>1300</v>
      </c>
      <c r="R940" s="322">
        <v>800</v>
      </c>
      <c r="S940" s="322">
        <v>3000</v>
      </c>
      <c r="T940" s="322">
        <v>3000</v>
      </c>
      <c r="U940" s="322">
        <f t="shared" si="72"/>
        <v>0</v>
      </c>
      <c r="W940" s="321">
        <f t="shared" si="73"/>
        <v>542</v>
      </c>
      <c r="X940" s="321">
        <f t="shared" si="74"/>
        <v>621702</v>
      </c>
      <c r="Y940" s="321">
        <v>1</v>
      </c>
      <c r="AA940" s="321" t="s">
        <v>5362</v>
      </c>
    </row>
    <row r="941" spans="1:27">
      <c r="A941" s="376">
        <v>871</v>
      </c>
      <c r="B941" s="377">
        <v>814000</v>
      </c>
      <c r="C941" s="382" t="s">
        <v>7101</v>
      </c>
      <c r="D941" s="379">
        <v>48</v>
      </c>
      <c r="E941" s="380">
        <v>50</v>
      </c>
      <c r="F941" s="380">
        <v>50</v>
      </c>
      <c r="H941" s="351">
        <f t="shared" si="75"/>
        <v>48000</v>
      </c>
      <c r="I941" s="351">
        <f t="shared" si="76"/>
        <v>50000</v>
      </c>
      <c r="M941" s="321">
        <v>1621702580</v>
      </c>
      <c r="N941" s="321">
        <v>62</v>
      </c>
      <c r="O941" s="321" t="s">
        <v>5386</v>
      </c>
      <c r="P941" s="321">
        <v>2621700</v>
      </c>
      <c r="Q941" s="322">
        <v>30000</v>
      </c>
      <c r="R941" s="322">
        <v>0</v>
      </c>
      <c r="S941" s="322">
        <v>30000</v>
      </c>
      <c r="T941" s="322">
        <v>20000</v>
      </c>
      <c r="U941" s="322">
        <f t="shared" si="72"/>
        <v>10000</v>
      </c>
      <c r="W941" s="321">
        <f t="shared" si="73"/>
        <v>580</v>
      </c>
      <c r="X941" s="321">
        <f t="shared" si="74"/>
        <v>621702</v>
      </c>
      <c r="Y941" s="321">
        <v>1</v>
      </c>
      <c r="AA941" s="321" t="s">
        <v>5386</v>
      </c>
    </row>
    <row r="942" spans="1:27">
      <c r="A942" s="376">
        <v>872</v>
      </c>
      <c r="B942" s="377">
        <v>814000</v>
      </c>
      <c r="C942" s="382" t="s">
        <v>7102</v>
      </c>
      <c r="D942" s="379">
        <v>48</v>
      </c>
      <c r="E942" s="380">
        <v>50</v>
      </c>
      <c r="F942" s="380">
        <v>50</v>
      </c>
      <c r="H942" s="351">
        <f t="shared" si="75"/>
        <v>48000</v>
      </c>
      <c r="I942" s="351">
        <f t="shared" si="76"/>
        <v>50000</v>
      </c>
      <c r="M942" s="321">
        <v>1621702743</v>
      </c>
      <c r="N942" s="321">
        <v>62</v>
      </c>
      <c r="O942" s="321" t="s">
        <v>5387</v>
      </c>
      <c r="P942" s="321">
        <v>2621700</v>
      </c>
      <c r="Q942" s="322">
        <v>2000</v>
      </c>
      <c r="R942" s="322">
        <v>0</v>
      </c>
      <c r="S942" s="322">
        <v>2000</v>
      </c>
      <c r="T942" s="322">
        <v>2000</v>
      </c>
      <c r="U942" s="322">
        <f t="shared" si="72"/>
        <v>0</v>
      </c>
      <c r="W942" s="321">
        <f t="shared" si="73"/>
        <v>743</v>
      </c>
      <c r="X942" s="321">
        <f t="shared" si="74"/>
        <v>621702</v>
      </c>
      <c r="Y942" s="321">
        <v>1</v>
      </c>
      <c r="AA942" s="321" t="s">
        <v>5387</v>
      </c>
    </row>
    <row r="943" spans="1:27">
      <c r="A943" s="376">
        <v>873</v>
      </c>
      <c r="B943" s="377">
        <v>814000</v>
      </c>
      <c r="C943" s="381" t="s">
        <v>7103</v>
      </c>
      <c r="D943" s="379">
        <v>80</v>
      </c>
      <c r="E943" s="380">
        <v>70</v>
      </c>
      <c r="F943" s="380">
        <v>80</v>
      </c>
      <c r="H943" s="351">
        <f t="shared" si="75"/>
        <v>80000</v>
      </c>
      <c r="I943" s="351">
        <f t="shared" si="76"/>
        <v>80000</v>
      </c>
      <c r="M943" s="321">
        <v>1621702781</v>
      </c>
      <c r="N943" s="321">
        <v>62</v>
      </c>
      <c r="O943" s="321" t="s">
        <v>5388</v>
      </c>
      <c r="P943" s="321">
        <v>2621700</v>
      </c>
      <c r="Q943" s="322">
        <v>2000</v>
      </c>
      <c r="R943" s="322">
        <v>0</v>
      </c>
      <c r="S943" s="322">
        <v>2000</v>
      </c>
      <c r="T943" s="322">
        <v>2000</v>
      </c>
      <c r="U943" s="322">
        <f t="shared" si="72"/>
        <v>0</v>
      </c>
      <c r="W943" s="321">
        <f t="shared" si="73"/>
        <v>781</v>
      </c>
      <c r="X943" s="321">
        <f t="shared" si="74"/>
        <v>621702</v>
      </c>
      <c r="Y943" s="321">
        <v>1</v>
      </c>
      <c r="AA943" s="321" t="s">
        <v>5388</v>
      </c>
    </row>
    <row r="944" spans="1:27">
      <c r="A944" s="406">
        <v>878</v>
      </c>
      <c r="B944" s="407">
        <v>814000</v>
      </c>
      <c r="C944" s="410" t="s">
        <v>7104</v>
      </c>
      <c r="D944" s="411">
        <v>1501</v>
      </c>
      <c r="E944" s="412">
        <v>1540</v>
      </c>
      <c r="F944" s="412">
        <v>1540</v>
      </c>
      <c r="H944" s="351">
        <f t="shared" si="75"/>
        <v>1501000</v>
      </c>
      <c r="I944" s="351">
        <f t="shared" si="76"/>
        <v>1540000</v>
      </c>
      <c r="M944" s="321">
        <v>1621702920</v>
      </c>
      <c r="N944" s="321">
        <v>62</v>
      </c>
      <c r="O944" s="321" t="s">
        <v>5389</v>
      </c>
      <c r="P944" s="321">
        <v>2621700</v>
      </c>
      <c r="Q944" s="322">
        <v>0</v>
      </c>
      <c r="R944" s="322">
        <v>0</v>
      </c>
      <c r="S944" s="322">
        <v>0</v>
      </c>
      <c r="T944" s="322">
        <v>0</v>
      </c>
      <c r="U944" s="322">
        <f t="shared" si="72"/>
        <v>0</v>
      </c>
      <c r="W944" s="321">
        <f t="shared" si="73"/>
        <v>920</v>
      </c>
      <c r="X944" s="321">
        <f t="shared" si="74"/>
        <v>621702</v>
      </c>
      <c r="Y944" s="321">
        <v>1</v>
      </c>
      <c r="AA944" s="321" t="s">
        <v>5389</v>
      </c>
    </row>
    <row r="945" spans="1:27">
      <c r="A945" s="376">
        <v>100</v>
      </c>
      <c r="B945" s="377">
        <v>814001</v>
      </c>
      <c r="C945" s="381" t="s">
        <v>7105</v>
      </c>
      <c r="D945" s="379">
        <v>746</v>
      </c>
      <c r="E945" s="380">
        <v>670</v>
      </c>
      <c r="F945" s="380">
        <v>583</v>
      </c>
      <c r="H945" s="351">
        <f t="shared" si="75"/>
        <v>746000</v>
      </c>
      <c r="I945" s="351">
        <f t="shared" si="76"/>
        <v>583000</v>
      </c>
      <c r="M945" s="321">
        <v>1621702930</v>
      </c>
      <c r="N945" s="321">
        <v>62</v>
      </c>
      <c r="O945" s="321" t="s">
        <v>5390</v>
      </c>
      <c r="P945" s="321">
        <v>2621700</v>
      </c>
      <c r="Q945" s="322">
        <v>3000</v>
      </c>
      <c r="R945" s="322">
        <v>0</v>
      </c>
      <c r="S945" s="322">
        <v>3000</v>
      </c>
      <c r="T945" s="322">
        <v>3000</v>
      </c>
      <c r="U945" s="322">
        <f t="shared" si="72"/>
        <v>0</v>
      </c>
      <c r="W945" s="321">
        <f t="shared" si="73"/>
        <v>930</v>
      </c>
      <c r="X945" s="321">
        <f t="shared" si="74"/>
        <v>621702</v>
      </c>
      <c r="Y945" s="321">
        <v>1</v>
      </c>
      <c r="AA945" s="321" t="s">
        <v>5390</v>
      </c>
    </row>
    <row r="946" spans="1:27">
      <c r="A946" s="406">
        <v>101</v>
      </c>
      <c r="B946" s="407">
        <v>814001</v>
      </c>
      <c r="C946" s="410" t="s">
        <v>7106</v>
      </c>
      <c r="D946" s="411">
        <v>219</v>
      </c>
      <c r="E946" s="412">
        <v>150</v>
      </c>
      <c r="F946" s="412">
        <v>173</v>
      </c>
      <c r="H946" s="351">
        <f t="shared" si="75"/>
        <v>219000</v>
      </c>
      <c r="I946" s="351">
        <f t="shared" si="76"/>
        <v>173000</v>
      </c>
      <c r="M946" s="321">
        <v>1621800110</v>
      </c>
      <c r="N946" s="321">
        <v>62</v>
      </c>
      <c r="O946" s="321" t="s">
        <v>5231</v>
      </c>
      <c r="P946" s="321">
        <v>2621800</v>
      </c>
      <c r="Q946" s="322">
        <v>240000</v>
      </c>
      <c r="R946" s="322">
        <v>178200</v>
      </c>
      <c r="S946" s="322">
        <v>243000</v>
      </c>
      <c r="T946" s="322">
        <v>243000</v>
      </c>
      <c r="U946" s="322">
        <f t="shared" si="72"/>
        <v>0</v>
      </c>
      <c r="W946" s="321">
        <f t="shared" si="73"/>
        <v>110</v>
      </c>
      <c r="X946" s="321">
        <f t="shared" si="74"/>
        <v>621800</v>
      </c>
      <c r="Y946" s="321">
        <v>1</v>
      </c>
      <c r="AA946" s="321" t="s">
        <v>5231</v>
      </c>
    </row>
    <row r="947" spans="1:27">
      <c r="A947" s="406">
        <v>750</v>
      </c>
      <c r="B947" s="407">
        <v>814001</v>
      </c>
      <c r="C947" s="410" t="s">
        <v>7107</v>
      </c>
      <c r="D947" s="379">
        <v>139</v>
      </c>
      <c r="E947" s="412">
        <v>135</v>
      </c>
      <c r="F947" s="412">
        <v>170</v>
      </c>
      <c r="H947" s="351">
        <f t="shared" si="75"/>
        <v>139000</v>
      </c>
      <c r="I947" s="351">
        <f t="shared" si="76"/>
        <v>170000</v>
      </c>
      <c r="M947" s="321">
        <v>1621800120</v>
      </c>
      <c r="N947" s="321">
        <v>62</v>
      </c>
      <c r="O947" s="321" t="s">
        <v>5206</v>
      </c>
      <c r="P947" s="321">
        <v>2621800</v>
      </c>
      <c r="Q947" s="322">
        <v>83000</v>
      </c>
      <c r="R947" s="322">
        <v>69500</v>
      </c>
      <c r="S947" s="322">
        <v>84000</v>
      </c>
      <c r="T947" s="322">
        <v>84000</v>
      </c>
      <c r="U947" s="322">
        <f t="shared" si="72"/>
        <v>0</v>
      </c>
      <c r="W947" s="321">
        <f t="shared" si="73"/>
        <v>120</v>
      </c>
      <c r="X947" s="321">
        <f t="shared" si="74"/>
        <v>621800</v>
      </c>
      <c r="Y947" s="321">
        <v>1</v>
      </c>
      <c r="AA947" s="321" t="s">
        <v>5206</v>
      </c>
    </row>
    <row r="948" spans="1:27">
      <c r="A948" s="406">
        <v>780</v>
      </c>
      <c r="B948" s="407">
        <v>814001</v>
      </c>
      <c r="C948" s="410" t="s">
        <v>7108</v>
      </c>
      <c r="D948" s="411">
        <v>177</v>
      </c>
      <c r="E948" s="412">
        <v>177</v>
      </c>
      <c r="F948" s="412">
        <v>177</v>
      </c>
      <c r="H948" s="351">
        <f t="shared" si="75"/>
        <v>177000</v>
      </c>
      <c r="I948" s="351">
        <f t="shared" si="76"/>
        <v>177000</v>
      </c>
      <c r="M948" s="321">
        <v>1621800130</v>
      </c>
      <c r="N948" s="321">
        <v>62</v>
      </c>
      <c r="O948" s="321" t="s">
        <v>2576</v>
      </c>
      <c r="P948" s="321">
        <v>2621800</v>
      </c>
      <c r="Q948" s="322">
        <v>14000</v>
      </c>
      <c r="R948" s="322">
        <v>10500</v>
      </c>
      <c r="S948" s="322">
        <v>13000</v>
      </c>
      <c r="T948" s="322">
        <v>11700</v>
      </c>
      <c r="U948" s="322">
        <f t="shared" si="72"/>
        <v>1300</v>
      </c>
      <c r="W948" s="321">
        <f t="shared" si="73"/>
        <v>130</v>
      </c>
      <c r="X948" s="321">
        <f t="shared" si="74"/>
        <v>621800</v>
      </c>
      <c r="Y948" s="321">
        <v>1</v>
      </c>
      <c r="AA948" s="321" t="s">
        <v>2576</v>
      </c>
    </row>
    <row r="949" spans="1:27">
      <c r="A949" s="376">
        <v>100</v>
      </c>
      <c r="B949" s="377">
        <v>814100</v>
      </c>
      <c r="C949" s="391" t="s">
        <v>6711</v>
      </c>
      <c r="D949" s="379">
        <v>479</v>
      </c>
      <c r="E949" s="380">
        <v>524</v>
      </c>
      <c r="F949" s="380">
        <v>558</v>
      </c>
      <c r="H949" s="351">
        <f t="shared" si="75"/>
        <v>479000</v>
      </c>
      <c r="I949" s="351">
        <f t="shared" si="76"/>
        <v>558000</v>
      </c>
      <c r="M949" s="321">
        <v>1621800140</v>
      </c>
      <c r="N949" s="321">
        <v>62</v>
      </c>
      <c r="O949" s="321" t="s">
        <v>5207</v>
      </c>
      <c r="P949" s="321">
        <v>2621800</v>
      </c>
      <c r="Q949" s="322">
        <v>63000</v>
      </c>
      <c r="R949" s="322">
        <v>50900</v>
      </c>
      <c r="S949" s="322">
        <v>64000</v>
      </c>
      <c r="T949" s="322">
        <v>64000</v>
      </c>
      <c r="U949" s="322">
        <f t="shared" si="72"/>
        <v>0</v>
      </c>
      <c r="W949" s="321">
        <f t="shared" si="73"/>
        <v>140</v>
      </c>
      <c r="X949" s="321">
        <f t="shared" si="74"/>
        <v>621800</v>
      </c>
      <c r="Y949" s="321">
        <v>1</v>
      </c>
      <c r="AA949" s="321" t="s">
        <v>5207</v>
      </c>
    </row>
    <row r="950" spans="1:27">
      <c r="A950" s="376">
        <v>750</v>
      </c>
      <c r="B950" s="377">
        <v>814100</v>
      </c>
      <c r="C950" s="382" t="s">
        <v>7109</v>
      </c>
      <c r="D950" s="379">
        <v>45</v>
      </c>
      <c r="E950" s="380">
        <v>50</v>
      </c>
      <c r="F950" s="380">
        <v>50</v>
      </c>
      <c r="H950" s="351">
        <f t="shared" si="75"/>
        <v>45000</v>
      </c>
      <c r="I950" s="351">
        <f t="shared" si="76"/>
        <v>50000</v>
      </c>
      <c r="M950" s="321">
        <v>1621800141</v>
      </c>
      <c r="N950" s="321">
        <v>62</v>
      </c>
      <c r="O950" s="321" t="s">
        <v>5208</v>
      </c>
      <c r="P950" s="321">
        <v>2621800</v>
      </c>
      <c r="Q950" s="322">
        <v>9000</v>
      </c>
      <c r="R950" s="322">
        <v>6200</v>
      </c>
      <c r="S950" s="322">
        <v>9000</v>
      </c>
      <c r="T950" s="322">
        <v>9000</v>
      </c>
      <c r="U950" s="322">
        <f t="shared" si="72"/>
        <v>0</v>
      </c>
      <c r="W950" s="321">
        <f t="shared" si="73"/>
        <v>141</v>
      </c>
      <c r="X950" s="321">
        <f t="shared" si="74"/>
        <v>621800</v>
      </c>
      <c r="Y950" s="321">
        <v>1</v>
      </c>
      <c r="AA950" s="321" t="s">
        <v>5208</v>
      </c>
    </row>
    <row r="951" spans="1:27">
      <c r="A951" s="376">
        <v>751</v>
      </c>
      <c r="B951" s="377">
        <v>814100</v>
      </c>
      <c r="C951" s="382" t="s">
        <v>7110</v>
      </c>
      <c r="D951" s="379">
        <v>12</v>
      </c>
      <c r="E951" s="380">
        <v>12</v>
      </c>
      <c r="F951" s="380">
        <v>12</v>
      </c>
      <c r="H951" s="351">
        <f t="shared" si="75"/>
        <v>12000</v>
      </c>
      <c r="I951" s="351">
        <f t="shared" si="76"/>
        <v>12000</v>
      </c>
      <c r="M951" s="321">
        <v>1621800181</v>
      </c>
      <c r="N951" s="321">
        <v>62</v>
      </c>
      <c r="O951" s="321" t="s">
        <v>2580</v>
      </c>
      <c r="P951" s="321">
        <v>2621800</v>
      </c>
      <c r="Q951" s="322">
        <v>33000</v>
      </c>
      <c r="R951" s="322">
        <v>24700</v>
      </c>
      <c r="S951" s="322">
        <v>33000</v>
      </c>
      <c r="T951" s="322">
        <v>33000</v>
      </c>
      <c r="U951" s="322">
        <f t="shared" si="72"/>
        <v>0</v>
      </c>
      <c r="W951" s="321">
        <f t="shared" si="73"/>
        <v>181</v>
      </c>
      <c r="X951" s="321">
        <f t="shared" si="74"/>
        <v>621800</v>
      </c>
      <c r="Y951" s="321">
        <v>1</v>
      </c>
      <c r="AA951" s="321" t="s">
        <v>2580</v>
      </c>
    </row>
    <row r="952" spans="1:27">
      <c r="A952" s="376">
        <v>870</v>
      </c>
      <c r="B952" s="377">
        <v>814100</v>
      </c>
      <c r="C952" s="381" t="s">
        <v>7111</v>
      </c>
      <c r="D952" s="379">
        <v>301</v>
      </c>
      <c r="E952" s="380">
        <v>317</v>
      </c>
      <c r="F952" s="380">
        <v>317</v>
      </c>
      <c r="H952" s="351">
        <f t="shared" si="75"/>
        <v>301000</v>
      </c>
      <c r="I952" s="351">
        <f t="shared" si="76"/>
        <v>317000</v>
      </c>
      <c r="M952" s="321">
        <v>1621800182</v>
      </c>
      <c r="N952" s="321">
        <v>62</v>
      </c>
      <c r="O952" s="321" t="s">
        <v>2582</v>
      </c>
      <c r="P952" s="321">
        <v>2621800</v>
      </c>
      <c r="Q952" s="322">
        <v>54000</v>
      </c>
      <c r="R952" s="322">
        <v>41100</v>
      </c>
      <c r="S952" s="322">
        <v>56000</v>
      </c>
      <c r="T952" s="322">
        <v>56000</v>
      </c>
      <c r="U952" s="322">
        <f t="shared" si="72"/>
        <v>0</v>
      </c>
      <c r="W952" s="321">
        <f t="shared" si="73"/>
        <v>182</v>
      </c>
      <c r="X952" s="321">
        <f t="shared" si="74"/>
        <v>621800</v>
      </c>
      <c r="Y952" s="321">
        <v>1</v>
      </c>
      <c r="AA952" s="321" t="s">
        <v>2582</v>
      </c>
    </row>
    <row r="953" spans="1:27">
      <c r="A953" s="376">
        <v>878</v>
      </c>
      <c r="B953" s="377">
        <v>814100</v>
      </c>
      <c r="C953" s="414" t="s">
        <v>7055</v>
      </c>
      <c r="D953" s="379">
        <v>264</v>
      </c>
      <c r="E953" s="380">
        <v>278</v>
      </c>
      <c r="F953" s="380">
        <v>278</v>
      </c>
      <c r="H953" s="351">
        <f t="shared" si="75"/>
        <v>264000</v>
      </c>
      <c r="I953" s="351">
        <f t="shared" si="76"/>
        <v>278000</v>
      </c>
      <c r="M953" s="321">
        <v>1623000110</v>
      </c>
      <c r="N953" s="321">
        <v>62</v>
      </c>
      <c r="O953" s="321" t="s">
        <v>5231</v>
      </c>
      <c r="P953" s="321">
        <v>2623000</v>
      </c>
      <c r="Q953" s="322">
        <v>1193000</v>
      </c>
      <c r="R953" s="322">
        <v>878500</v>
      </c>
      <c r="S953" s="322">
        <v>1223000</v>
      </c>
      <c r="T953" s="322">
        <v>1223000</v>
      </c>
      <c r="U953" s="322">
        <f t="shared" si="72"/>
        <v>0</v>
      </c>
      <c r="W953" s="321">
        <f t="shared" si="73"/>
        <v>110</v>
      </c>
      <c r="X953" s="321">
        <f t="shared" si="74"/>
        <v>623000</v>
      </c>
      <c r="Y953" s="321">
        <v>1</v>
      </c>
      <c r="AA953" s="321" t="s">
        <v>5231</v>
      </c>
    </row>
    <row r="954" spans="1:27">
      <c r="A954" s="376">
        <v>930</v>
      </c>
      <c r="B954" s="377">
        <v>814100</v>
      </c>
      <c r="C954" s="414" t="s">
        <v>7112</v>
      </c>
      <c r="D954" s="379">
        <v>50</v>
      </c>
      <c r="E954" s="380">
        <v>0</v>
      </c>
      <c r="F954" s="380">
        <v>0</v>
      </c>
      <c r="H954" s="351">
        <f t="shared" si="75"/>
        <v>50000</v>
      </c>
      <c r="I954" s="351">
        <f t="shared" si="76"/>
        <v>0</v>
      </c>
      <c r="M954" s="321">
        <v>1623000120</v>
      </c>
      <c r="N954" s="321">
        <v>62</v>
      </c>
      <c r="O954" s="321" t="s">
        <v>5206</v>
      </c>
      <c r="P954" s="321">
        <v>2623000</v>
      </c>
      <c r="Q954" s="322">
        <v>378000</v>
      </c>
      <c r="R954" s="322">
        <v>289900</v>
      </c>
      <c r="S954" s="322">
        <v>361000</v>
      </c>
      <c r="T954" s="322">
        <v>361000</v>
      </c>
      <c r="U954" s="322">
        <f t="shared" si="72"/>
        <v>0</v>
      </c>
      <c r="W954" s="321">
        <f t="shared" si="73"/>
        <v>120</v>
      </c>
      <c r="X954" s="321">
        <f t="shared" si="74"/>
        <v>623000</v>
      </c>
      <c r="Y954" s="321">
        <v>1</v>
      </c>
      <c r="AA954" s="321" t="s">
        <v>5206</v>
      </c>
    </row>
    <row r="955" spans="1:27">
      <c r="A955" s="376">
        <v>101</v>
      </c>
      <c r="B955" s="377">
        <v>815200</v>
      </c>
      <c r="C955" s="378" t="s">
        <v>7113</v>
      </c>
      <c r="D955" s="379">
        <v>19300</v>
      </c>
      <c r="E955" s="380">
        <v>20105</v>
      </c>
      <c r="F955" s="380">
        <v>20155</v>
      </c>
      <c r="H955" s="351">
        <f t="shared" si="75"/>
        <v>19300000</v>
      </c>
      <c r="I955" s="351">
        <f t="shared" si="76"/>
        <v>20155000</v>
      </c>
      <c r="M955" s="321">
        <v>1623000130</v>
      </c>
      <c r="N955" s="321">
        <v>62</v>
      </c>
      <c r="O955" s="321" t="s">
        <v>2576</v>
      </c>
      <c r="P955" s="321">
        <v>2623000</v>
      </c>
      <c r="Q955" s="322">
        <v>134000</v>
      </c>
      <c r="R955" s="322">
        <v>93400</v>
      </c>
      <c r="S955" s="322">
        <v>133000</v>
      </c>
      <c r="T955" s="322">
        <v>119700</v>
      </c>
      <c r="U955" s="322">
        <f t="shared" si="72"/>
        <v>13300</v>
      </c>
      <c r="W955" s="321">
        <f t="shared" si="73"/>
        <v>130</v>
      </c>
      <c r="X955" s="321">
        <f t="shared" si="74"/>
        <v>623000</v>
      </c>
      <c r="Y955" s="321">
        <v>1</v>
      </c>
      <c r="AA955" s="321" t="s">
        <v>2576</v>
      </c>
    </row>
    <row r="956" spans="1:27">
      <c r="A956" s="376">
        <v>102</v>
      </c>
      <c r="B956" s="377">
        <v>815200</v>
      </c>
      <c r="C956" s="378" t="s">
        <v>7114</v>
      </c>
      <c r="D956" s="379">
        <v>17100</v>
      </c>
      <c r="E956" s="380">
        <v>17120</v>
      </c>
      <c r="F956" s="380">
        <v>17101</v>
      </c>
      <c r="H956" s="351">
        <f t="shared" si="75"/>
        <v>17100000</v>
      </c>
      <c r="I956" s="351">
        <f t="shared" si="76"/>
        <v>17101000</v>
      </c>
      <c r="M956" s="321">
        <v>1623000140</v>
      </c>
      <c r="N956" s="321">
        <v>62</v>
      </c>
      <c r="O956" s="321" t="s">
        <v>5207</v>
      </c>
      <c r="P956" s="321">
        <v>2623000</v>
      </c>
      <c r="Q956" s="322">
        <v>292000</v>
      </c>
      <c r="R956" s="322">
        <v>214400</v>
      </c>
      <c r="S956" s="322">
        <v>296000</v>
      </c>
      <c r="T956" s="322">
        <v>296000</v>
      </c>
      <c r="U956" s="322">
        <f t="shared" si="72"/>
        <v>0</v>
      </c>
      <c r="W956" s="321">
        <f t="shared" si="73"/>
        <v>140</v>
      </c>
      <c r="X956" s="321">
        <f t="shared" si="74"/>
        <v>623000</v>
      </c>
      <c r="Y956" s="321">
        <v>1</v>
      </c>
      <c r="AA956" s="321" t="s">
        <v>5207</v>
      </c>
    </row>
    <row r="957" spans="1:27">
      <c r="A957" s="376">
        <v>103</v>
      </c>
      <c r="B957" s="377">
        <v>815200</v>
      </c>
      <c r="C957" s="378" t="s">
        <v>7115</v>
      </c>
      <c r="D957" s="379">
        <v>14600</v>
      </c>
      <c r="E957" s="380">
        <v>14290</v>
      </c>
      <c r="F957" s="380">
        <f>14327-30</f>
        <v>14297</v>
      </c>
      <c r="H957" s="351">
        <f t="shared" si="75"/>
        <v>14600000</v>
      </c>
      <c r="I957" s="351">
        <f t="shared" si="76"/>
        <v>14297000</v>
      </c>
      <c r="M957" s="321">
        <v>1623000141</v>
      </c>
      <c r="N957" s="321">
        <v>62</v>
      </c>
      <c r="O957" s="321" t="s">
        <v>5208</v>
      </c>
      <c r="P957" s="321">
        <v>2623000</v>
      </c>
      <c r="Q957" s="322">
        <v>78000</v>
      </c>
      <c r="R957" s="322">
        <v>56500</v>
      </c>
      <c r="S957" s="322">
        <v>75000</v>
      </c>
      <c r="T957" s="322">
        <v>75000</v>
      </c>
      <c r="U957" s="322">
        <f t="shared" si="72"/>
        <v>0</v>
      </c>
      <c r="W957" s="321">
        <f t="shared" si="73"/>
        <v>141</v>
      </c>
      <c r="X957" s="321">
        <f t="shared" si="74"/>
        <v>623000</v>
      </c>
      <c r="Y957" s="321">
        <v>1</v>
      </c>
      <c r="AA957" s="321" t="s">
        <v>5208</v>
      </c>
    </row>
    <row r="958" spans="1:27">
      <c r="A958" s="376">
        <v>105</v>
      </c>
      <c r="B958" s="377">
        <v>815200</v>
      </c>
      <c r="C958" s="382" t="s">
        <v>7116</v>
      </c>
      <c r="D958" s="379">
        <v>25</v>
      </c>
      <c r="E958" s="380">
        <v>25</v>
      </c>
      <c r="F958" s="380">
        <v>25</v>
      </c>
      <c r="H958" s="351">
        <f t="shared" si="75"/>
        <v>25000</v>
      </c>
      <c r="I958" s="351">
        <f t="shared" si="76"/>
        <v>25000</v>
      </c>
      <c r="M958" s="321">
        <v>1623000181</v>
      </c>
      <c r="N958" s="321">
        <v>62</v>
      </c>
      <c r="O958" s="321" t="s">
        <v>2580</v>
      </c>
      <c r="P958" s="321">
        <v>2623000</v>
      </c>
      <c r="Q958" s="322">
        <v>236000</v>
      </c>
      <c r="R958" s="322">
        <v>177800</v>
      </c>
      <c r="S958" s="322">
        <v>248000</v>
      </c>
      <c r="T958" s="322">
        <v>248000</v>
      </c>
      <c r="U958" s="322">
        <f t="shared" si="72"/>
        <v>0</v>
      </c>
      <c r="W958" s="321">
        <f t="shared" si="73"/>
        <v>181</v>
      </c>
      <c r="X958" s="321">
        <f t="shared" si="74"/>
        <v>623000</v>
      </c>
      <c r="Y958" s="321">
        <v>1</v>
      </c>
      <c r="AA958" s="321" t="s">
        <v>2580</v>
      </c>
    </row>
    <row r="959" spans="1:27">
      <c r="A959" s="376">
        <v>107</v>
      </c>
      <c r="B959" s="377">
        <v>815200</v>
      </c>
      <c r="C959" s="415" t="s">
        <v>7043</v>
      </c>
      <c r="D959" s="379">
        <v>714</v>
      </c>
      <c r="E959" s="380">
        <v>880</v>
      </c>
      <c r="F959" s="380">
        <v>880</v>
      </c>
      <c r="H959" s="351">
        <f t="shared" si="75"/>
        <v>714000</v>
      </c>
      <c r="I959" s="351">
        <f t="shared" si="76"/>
        <v>880000</v>
      </c>
      <c r="M959" s="321">
        <v>1623000182</v>
      </c>
      <c r="N959" s="321">
        <v>62</v>
      </c>
      <c r="O959" s="321" t="s">
        <v>5209</v>
      </c>
      <c r="P959" s="321">
        <v>2623000</v>
      </c>
      <c r="Q959" s="322">
        <v>282000</v>
      </c>
      <c r="R959" s="322">
        <v>207700</v>
      </c>
      <c r="S959" s="322">
        <v>292000</v>
      </c>
      <c r="T959" s="322">
        <v>292000</v>
      </c>
      <c r="U959" s="322">
        <f t="shared" si="72"/>
        <v>0</v>
      </c>
      <c r="W959" s="321">
        <f t="shared" si="73"/>
        <v>182</v>
      </c>
      <c r="X959" s="321">
        <f t="shared" si="74"/>
        <v>623000</v>
      </c>
      <c r="Y959" s="321">
        <v>1</v>
      </c>
      <c r="AA959" s="321" t="s">
        <v>5209</v>
      </c>
    </row>
    <row r="960" spans="1:27">
      <c r="A960" s="376">
        <v>110</v>
      </c>
      <c r="B960" s="377">
        <v>815200</v>
      </c>
      <c r="C960" s="413" t="s">
        <v>7117</v>
      </c>
      <c r="D960" s="379">
        <v>215</v>
      </c>
      <c r="E960" s="380">
        <v>182</v>
      </c>
      <c r="F960" s="380">
        <v>210</v>
      </c>
      <c r="H960" s="351">
        <f t="shared" si="75"/>
        <v>215000</v>
      </c>
      <c r="I960" s="351">
        <f t="shared" si="76"/>
        <v>210000</v>
      </c>
      <c r="M960" s="321">
        <v>1623000210</v>
      </c>
      <c r="N960" s="321">
        <v>62</v>
      </c>
      <c r="O960" s="321" t="s">
        <v>5285</v>
      </c>
      <c r="P960" s="321">
        <v>2623000</v>
      </c>
      <c r="Q960" s="322">
        <v>480000</v>
      </c>
      <c r="R960" s="322">
        <v>229100</v>
      </c>
      <c r="S960" s="322">
        <v>400000</v>
      </c>
      <c r="T960" s="322">
        <v>400000</v>
      </c>
      <c r="U960" s="322">
        <f t="shared" si="72"/>
        <v>0</v>
      </c>
      <c r="W960" s="321">
        <f t="shared" si="73"/>
        <v>210</v>
      </c>
      <c r="X960" s="321">
        <f t="shared" si="74"/>
        <v>623000</v>
      </c>
      <c r="Y960" s="321">
        <v>1</v>
      </c>
      <c r="AA960" s="321" t="s">
        <v>5285</v>
      </c>
    </row>
    <row r="961" spans="1:27">
      <c r="A961" s="376">
        <v>111</v>
      </c>
      <c r="B961" s="377">
        <v>815200</v>
      </c>
      <c r="C961" s="378" t="s">
        <v>7118</v>
      </c>
      <c r="D961" s="379">
        <v>2057</v>
      </c>
      <c r="E961" s="380">
        <v>2161</v>
      </c>
      <c r="F961" s="380">
        <v>2151</v>
      </c>
      <c r="H961" s="351">
        <f t="shared" si="75"/>
        <v>2057000</v>
      </c>
      <c r="I961" s="351">
        <f t="shared" si="76"/>
        <v>2151000</v>
      </c>
      <c r="M961" s="321">
        <v>1623000211</v>
      </c>
      <c r="N961" s="321">
        <v>62</v>
      </c>
      <c r="O961" s="321" t="s">
        <v>5391</v>
      </c>
      <c r="P961" s="321">
        <v>2623000</v>
      </c>
      <c r="Q961" s="322">
        <v>100000</v>
      </c>
      <c r="R961" s="322">
        <v>21200</v>
      </c>
      <c r="S961" s="322">
        <v>100000</v>
      </c>
      <c r="T961" s="322">
        <v>100000</v>
      </c>
      <c r="U961" s="322">
        <f t="shared" si="72"/>
        <v>0</v>
      </c>
      <c r="W961" s="321">
        <f t="shared" si="73"/>
        <v>211</v>
      </c>
      <c r="X961" s="321">
        <f t="shared" si="74"/>
        <v>623000</v>
      </c>
      <c r="Y961" s="321">
        <v>1</v>
      </c>
      <c r="AA961" s="321" t="s">
        <v>5391</v>
      </c>
    </row>
    <row r="962" spans="1:27">
      <c r="A962" s="376">
        <v>112</v>
      </c>
      <c r="B962" s="377">
        <v>815200</v>
      </c>
      <c r="C962" s="378" t="s">
        <v>7119</v>
      </c>
      <c r="D962" s="379">
        <v>2220</v>
      </c>
      <c r="E962" s="380">
        <v>2326</v>
      </c>
      <c r="F962" s="380">
        <v>2320</v>
      </c>
      <c r="H962" s="351">
        <f t="shared" si="75"/>
        <v>2220000</v>
      </c>
      <c r="I962" s="351">
        <f t="shared" si="76"/>
        <v>2320000</v>
      </c>
      <c r="M962" s="321">
        <v>1623000470</v>
      </c>
      <c r="N962" s="321">
        <v>62</v>
      </c>
      <c r="O962" s="321" t="s">
        <v>2660</v>
      </c>
      <c r="P962" s="321">
        <v>2623000</v>
      </c>
      <c r="Q962" s="322">
        <v>90000</v>
      </c>
      <c r="R962" s="322">
        <v>73200</v>
      </c>
      <c r="S962" s="322">
        <v>90000</v>
      </c>
      <c r="T962" s="322">
        <v>90000</v>
      </c>
      <c r="U962" s="322">
        <f t="shared" ref="U962:U1025" si="77">S962-T962</f>
        <v>0</v>
      </c>
      <c r="W962" s="321">
        <f t="shared" si="73"/>
        <v>470</v>
      </c>
      <c r="X962" s="321">
        <f t="shared" si="74"/>
        <v>623000</v>
      </c>
      <c r="Y962" s="321">
        <v>1</v>
      </c>
      <c r="AA962" s="321" t="s">
        <v>2660</v>
      </c>
    </row>
    <row r="963" spans="1:27">
      <c r="A963" s="376">
        <v>113</v>
      </c>
      <c r="B963" s="377">
        <v>815200</v>
      </c>
      <c r="C963" s="378" t="s">
        <v>7120</v>
      </c>
      <c r="D963" s="379">
        <v>1600</v>
      </c>
      <c r="E963" s="380">
        <v>1553</v>
      </c>
      <c r="F963" s="380">
        <v>1604</v>
      </c>
      <c r="H963" s="351">
        <f t="shared" si="75"/>
        <v>1600000</v>
      </c>
      <c r="I963" s="351">
        <f t="shared" si="76"/>
        <v>1604000</v>
      </c>
      <c r="M963" s="321">
        <v>1623000471</v>
      </c>
      <c r="N963" s="321">
        <v>62</v>
      </c>
      <c r="O963" s="321" t="s">
        <v>5212</v>
      </c>
      <c r="P963" s="321">
        <v>2623000</v>
      </c>
      <c r="Q963" s="322">
        <v>11600</v>
      </c>
      <c r="R963" s="322">
        <v>400</v>
      </c>
      <c r="S963" s="322">
        <v>12400</v>
      </c>
      <c r="T963" s="322">
        <v>12400</v>
      </c>
      <c r="U963" s="322">
        <f t="shared" si="77"/>
        <v>0</v>
      </c>
      <c r="W963" s="321">
        <f t="shared" ref="W963:W1026" si="78">M963-1000000000-X963*1000</f>
        <v>471</v>
      </c>
      <c r="X963" s="321">
        <f t="shared" ref="X963:X1026" si="79">ROUNDDOWN((M963-1000000000)/1000,0)</f>
        <v>623000</v>
      </c>
      <c r="Y963" s="321">
        <v>1</v>
      </c>
      <c r="AA963" s="321" t="s">
        <v>5212</v>
      </c>
    </row>
    <row r="964" spans="1:27">
      <c r="A964" s="376">
        <v>570</v>
      </c>
      <c r="B964" s="377">
        <v>815200</v>
      </c>
      <c r="C964" s="382" t="s">
        <v>6739</v>
      </c>
      <c r="D964" s="379">
        <v>160</v>
      </c>
      <c r="E964" s="380">
        <v>154</v>
      </c>
      <c r="F964" s="380">
        <v>154</v>
      </c>
      <c r="H964" s="351">
        <f t="shared" si="75"/>
        <v>160000</v>
      </c>
      <c r="I964" s="351">
        <f t="shared" si="76"/>
        <v>154000</v>
      </c>
      <c r="M964" s="321">
        <v>1623000522</v>
      </c>
      <c r="N964" s="321">
        <v>62</v>
      </c>
      <c r="O964" s="321" t="s">
        <v>2608</v>
      </c>
      <c r="P964" s="321">
        <v>2623000</v>
      </c>
      <c r="Q964" s="322">
        <v>2000</v>
      </c>
      <c r="R964" s="322">
        <v>600</v>
      </c>
      <c r="S964" s="322">
        <v>2000</v>
      </c>
      <c r="T964" s="322">
        <v>2000</v>
      </c>
      <c r="U964" s="322">
        <f t="shared" si="77"/>
        <v>0</v>
      </c>
      <c r="W964" s="321">
        <f t="shared" si="78"/>
        <v>522</v>
      </c>
      <c r="X964" s="321">
        <f t="shared" si="79"/>
        <v>623000</v>
      </c>
      <c r="Y964" s="321">
        <v>1</v>
      </c>
      <c r="AA964" s="321" t="s">
        <v>2608</v>
      </c>
    </row>
    <row r="965" spans="1:27">
      <c r="A965" s="376">
        <v>750</v>
      </c>
      <c r="B965" s="377">
        <v>815200</v>
      </c>
      <c r="C965" s="382" t="s">
        <v>6804</v>
      </c>
      <c r="D965" s="379">
        <v>960</v>
      </c>
      <c r="E965" s="380">
        <v>935</v>
      </c>
      <c r="F965" s="380">
        <f>967-21</f>
        <v>946</v>
      </c>
      <c r="H965" s="351">
        <f t="shared" si="75"/>
        <v>960000</v>
      </c>
      <c r="I965" s="351">
        <f t="shared" si="76"/>
        <v>946000</v>
      </c>
      <c r="M965" s="321">
        <v>1623000540</v>
      </c>
      <c r="N965" s="321">
        <v>62</v>
      </c>
      <c r="O965" s="321" t="s">
        <v>5216</v>
      </c>
      <c r="P965" s="321">
        <v>2623000</v>
      </c>
      <c r="Q965" s="322">
        <v>15000</v>
      </c>
      <c r="R965" s="322">
        <v>11600</v>
      </c>
      <c r="S965" s="322">
        <v>22000</v>
      </c>
      <c r="T965" s="322">
        <v>22000</v>
      </c>
      <c r="U965" s="322">
        <f t="shared" si="77"/>
        <v>0</v>
      </c>
      <c r="W965" s="321">
        <f t="shared" si="78"/>
        <v>540</v>
      </c>
      <c r="X965" s="321">
        <f t="shared" si="79"/>
        <v>623000</v>
      </c>
      <c r="Y965" s="321">
        <v>1</v>
      </c>
      <c r="AA965" s="321" t="s">
        <v>5216</v>
      </c>
    </row>
    <row r="966" spans="1:27">
      <c r="A966" s="376">
        <v>751</v>
      </c>
      <c r="B966" s="377">
        <v>815200</v>
      </c>
      <c r="C966" s="382" t="s">
        <v>7121</v>
      </c>
      <c r="D966" s="379">
        <v>20</v>
      </c>
      <c r="E966" s="380">
        <v>20</v>
      </c>
      <c r="F966" s="380">
        <v>20</v>
      </c>
      <c r="H966" s="351">
        <f t="shared" si="75"/>
        <v>20000</v>
      </c>
      <c r="I966" s="351">
        <f t="shared" si="76"/>
        <v>20000</v>
      </c>
      <c r="M966" s="321">
        <v>1623000541</v>
      </c>
      <c r="N966" s="321">
        <v>62</v>
      </c>
      <c r="O966" s="321" t="s">
        <v>5392</v>
      </c>
      <c r="P966" s="321">
        <v>2623000</v>
      </c>
      <c r="Q966" s="322">
        <v>150000</v>
      </c>
      <c r="R966" s="322">
        <v>65900</v>
      </c>
      <c r="S966" s="322">
        <v>150000</v>
      </c>
      <c r="T966" s="322">
        <v>150000</v>
      </c>
      <c r="U966" s="322">
        <f t="shared" si="77"/>
        <v>0</v>
      </c>
      <c r="W966" s="321">
        <f t="shared" si="78"/>
        <v>541</v>
      </c>
      <c r="X966" s="321">
        <f t="shared" si="79"/>
        <v>623000</v>
      </c>
      <c r="Y966" s="321">
        <v>1</v>
      </c>
      <c r="AA966" s="321" t="s">
        <v>5392</v>
      </c>
    </row>
    <row r="967" spans="1:27">
      <c r="A967" s="376">
        <v>755</v>
      </c>
      <c r="B967" s="377">
        <v>815200</v>
      </c>
      <c r="C967" s="382" t="s">
        <v>7122</v>
      </c>
      <c r="D967" s="379">
        <v>48</v>
      </c>
      <c r="E967" s="380">
        <v>48</v>
      </c>
      <c r="F967" s="380">
        <v>48</v>
      </c>
      <c r="H967" s="351">
        <f t="shared" si="75"/>
        <v>48000</v>
      </c>
      <c r="I967" s="351">
        <f t="shared" si="76"/>
        <v>48000</v>
      </c>
      <c r="M967" s="321">
        <v>1623000542</v>
      </c>
      <c r="N967" s="321">
        <v>62</v>
      </c>
      <c r="O967" s="321" t="s">
        <v>5362</v>
      </c>
      <c r="P967" s="321">
        <v>2623000</v>
      </c>
      <c r="Q967" s="322">
        <v>18100</v>
      </c>
      <c r="R967" s="322">
        <v>12700</v>
      </c>
      <c r="S967" s="322">
        <v>18000</v>
      </c>
      <c r="T967" s="322">
        <v>18000</v>
      </c>
      <c r="U967" s="322">
        <f t="shared" si="77"/>
        <v>0</v>
      </c>
      <c r="W967" s="321">
        <f t="shared" si="78"/>
        <v>542</v>
      </c>
      <c r="X967" s="321">
        <f t="shared" si="79"/>
        <v>623000</v>
      </c>
      <c r="Y967" s="321">
        <v>1</v>
      </c>
      <c r="AA967" s="321" t="s">
        <v>5362</v>
      </c>
    </row>
    <row r="968" spans="1:27">
      <c r="A968" s="376">
        <v>780</v>
      </c>
      <c r="B968" s="377">
        <v>815200</v>
      </c>
      <c r="C968" s="382" t="s">
        <v>7123</v>
      </c>
      <c r="D968" s="383">
        <v>300</v>
      </c>
      <c r="E968" s="380">
        <v>330</v>
      </c>
      <c r="F968" s="384">
        <v>330</v>
      </c>
      <c r="H968" s="351">
        <f t="shared" si="75"/>
        <v>300000</v>
      </c>
      <c r="I968" s="351">
        <f t="shared" si="76"/>
        <v>330000</v>
      </c>
      <c r="M968" s="321">
        <v>1623000550</v>
      </c>
      <c r="N968" s="321">
        <v>62</v>
      </c>
      <c r="O968" s="321" t="s">
        <v>5272</v>
      </c>
      <c r="P968" s="321">
        <v>2623000</v>
      </c>
      <c r="Q968" s="322">
        <v>45000</v>
      </c>
      <c r="R968" s="322">
        <v>0</v>
      </c>
      <c r="S968" s="322">
        <v>45000</v>
      </c>
      <c r="T968" s="322">
        <v>45000</v>
      </c>
      <c r="U968" s="322">
        <f t="shared" si="77"/>
        <v>0</v>
      </c>
      <c r="W968" s="321">
        <f t="shared" si="78"/>
        <v>550</v>
      </c>
      <c r="X968" s="321">
        <f t="shared" si="79"/>
        <v>623000</v>
      </c>
      <c r="Y968" s="321">
        <v>1</v>
      </c>
      <c r="AA968" s="321" t="s">
        <v>5272</v>
      </c>
    </row>
    <row r="969" spans="1:27">
      <c r="A969" s="376">
        <v>781</v>
      </c>
      <c r="B969" s="377">
        <v>815200</v>
      </c>
      <c r="C969" s="382" t="s">
        <v>7124</v>
      </c>
      <c r="D969" s="383">
        <v>35</v>
      </c>
      <c r="E969" s="380">
        <v>35</v>
      </c>
      <c r="F969" s="384">
        <v>35</v>
      </c>
      <c r="H969" s="351">
        <f t="shared" si="75"/>
        <v>35000</v>
      </c>
      <c r="I969" s="351">
        <f t="shared" si="76"/>
        <v>35000</v>
      </c>
      <c r="M969" s="321">
        <v>1623000561</v>
      </c>
      <c r="N969" s="321">
        <v>62</v>
      </c>
      <c r="O969" s="321" t="s">
        <v>5393</v>
      </c>
      <c r="P969" s="321">
        <v>2623000</v>
      </c>
      <c r="Q969" s="322">
        <v>180000</v>
      </c>
      <c r="R969" s="322">
        <v>44600</v>
      </c>
      <c r="S969" s="322">
        <v>180000</v>
      </c>
      <c r="T969" s="322">
        <v>150000</v>
      </c>
      <c r="U969" s="322">
        <f t="shared" si="77"/>
        <v>30000</v>
      </c>
      <c r="W969" s="321">
        <f t="shared" si="78"/>
        <v>561</v>
      </c>
      <c r="X969" s="321">
        <f t="shared" si="79"/>
        <v>623000</v>
      </c>
      <c r="Y969" s="321">
        <v>1</v>
      </c>
      <c r="AA969" s="321" t="s">
        <v>5393</v>
      </c>
    </row>
    <row r="970" spans="1:27">
      <c r="A970" s="376">
        <v>784</v>
      </c>
      <c r="B970" s="377">
        <v>815200</v>
      </c>
      <c r="C970" s="385" t="s">
        <v>7035</v>
      </c>
      <c r="D970" s="379">
        <f>528-50</f>
        <v>478</v>
      </c>
      <c r="E970" s="380">
        <v>807</v>
      </c>
      <c r="F970" s="384">
        <v>807</v>
      </c>
      <c r="H970" s="351">
        <f t="shared" si="75"/>
        <v>478000</v>
      </c>
      <c r="I970" s="351">
        <f t="shared" si="76"/>
        <v>807000</v>
      </c>
      <c r="M970" s="321">
        <v>1623000571</v>
      </c>
      <c r="N970" s="321">
        <v>62</v>
      </c>
      <c r="O970" s="321" t="s">
        <v>5255</v>
      </c>
      <c r="P970" s="321">
        <v>2623000</v>
      </c>
      <c r="Q970" s="322">
        <v>7000</v>
      </c>
      <c r="R970" s="322">
        <v>0</v>
      </c>
      <c r="S970" s="322">
        <v>7000</v>
      </c>
      <c r="T970" s="322">
        <v>7000</v>
      </c>
      <c r="U970" s="322">
        <f t="shared" si="77"/>
        <v>0</v>
      </c>
      <c r="W970" s="321">
        <f t="shared" si="78"/>
        <v>571</v>
      </c>
      <c r="X970" s="321">
        <f t="shared" si="79"/>
        <v>623000</v>
      </c>
      <c r="Y970" s="321">
        <v>1</v>
      </c>
      <c r="AA970" s="321" t="s">
        <v>5255</v>
      </c>
    </row>
    <row r="971" spans="1:27">
      <c r="A971" s="376">
        <v>785</v>
      </c>
      <c r="B971" s="377">
        <v>815200</v>
      </c>
      <c r="C971" s="385" t="s">
        <v>7125</v>
      </c>
      <c r="D971" s="379">
        <v>20</v>
      </c>
      <c r="E971" s="380">
        <v>30</v>
      </c>
      <c r="F971" s="384">
        <v>30</v>
      </c>
      <c r="H971" s="351">
        <f t="shared" si="75"/>
        <v>20000</v>
      </c>
      <c r="I971" s="351">
        <f t="shared" si="76"/>
        <v>30000</v>
      </c>
      <c r="M971" s="321">
        <v>1623000572</v>
      </c>
      <c r="N971" s="321">
        <v>62</v>
      </c>
      <c r="O971" s="321" t="s">
        <v>5394</v>
      </c>
      <c r="P971" s="321">
        <v>2623000</v>
      </c>
      <c r="Q971" s="322">
        <v>1100000</v>
      </c>
      <c r="R971" s="322">
        <v>732500</v>
      </c>
      <c r="S971" s="322">
        <v>1100000</v>
      </c>
      <c r="T971" s="322">
        <v>1100000</v>
      </c>
      <c r="U971" s="322">
        <f t="shared" si="77"/>
        <v>0</v>
      </c>
      <c r="W971" s="321">
        <f t="shared" si="78"/>
        <v>572</v>
      </c>
      <c r="X971" s="321">
        <f t="shared" si="79"/>
        <v>623000</v>
      </c>
      <c r="Y971" s="321">
        <v>1</v>
      </c>
      <c r="AA971" s="321" t="s">
        <v>5394</v>
      </c>
    </row>
    <row r="972" spans="1:27">
      <c r="A972" s="376">
        <v>873</v>
      </c>
      <c r="B972" s="377">
        <v>815200</v>
      </c>
      <c r="C972" s="382" t="s">
        <v>7126</v>
      </c>
      <c r="D972" s="379">
        <v>110</v>
      </c>
      <c r="E972" s="380">
        <v>103</v>
      </c>
      <c r="F972" s="380">
        <v>80</v>
      </c>
      <c r="H972" s="351">
        <f t="shared" si="75"/>
        <v>110000</v>
      </c>
      <c r="I972" s="351">
        <f t="shared" si="76"/>
        <v>80000</v>
      </c>
      <c r="M972" s="321">
        <v>1623000575</v>
      </c>
      <c r="N972" s="321">
        <v>62</v>
      </c>
      <c r="O972" s="321" t="s">
        <v>5375</v>
      </c>
      <c r="P972" s="321">
        <v>2623000</v>
      </c>
      <c r="Q972" s="322">
        <v>10000</v>
      </c>
      <c r="R972" s="322">
        <v>0</v>
      </c>
      <c r="S972" s="322">
        <v>10000</v>
      </c>
      <c r="T972" s="322">
        <v>10000</v>
      </c>
      <c r="U972" s="322">
        <f t="shared" si="77"/>
        <v>0</v>
      </c>
      <c r="W972" s="321">
        <f t="shared" si="78"/>
        <v>575</v>
      </c>
      <c r="X972" s="321">
        <f t="shared" si="79"/>
        <v>623000</v>
      </c>
      <c r="Y972" s="321">
        <v>1</v>
      </c>
      <c r="AA972" s="321" t="s">
        <v>5375</v>
      </c>
    </row>
    <row r="973" spans="1:27">
      <c r="A973" s="376">
        <v>878</v>
      </c>
      <c r="B973" s="377">
        <v>815200</v>
      </c>
      <c r="C973" s="410" t="s">
        <v>7127</v>
      </c>
      <c r="D973" s="379">
        <v>1761</v>
      </c>
      <c r="E973" s="380">
        <v>1854</v>
      </c>
      <c r="F973" s="380">
        <v>1854</v>
      </c>
      <c r="H973" s="351">
        <f t="shared" si="75"/>
        <v>1761000</v>
      </c>
      <c r="I973" s="351">
        <f t="shared" si="76"/>
        <v>1854000</v>
      </c>
      <c r="M973" s="321">
        <v>1623000577</v>
      </c>
      <c r="N973" s="321">
        <v>62</v>
      </c>
      <c r="O973" s="321" t="s">
        <v>2648</v>
      </c>
      <c r="P973" s="321">
        <v>2623000</v>
      </c>
      <c r="Q973" s="322">
        <v>7000</v>
      </c>
      <c r="R973" s="322">
        <v>2200</v>
      </c>
      <c r="S973" s="322">
        <v>7000</v>
      </c>
      <c r="T973" s="322">
        <v>7000</v>
      </c>
      <c r="U973" s="322">
        <f t="shared" si="77"/>
        <v>0</v>
      </c>
      <c r="W973" s="321">
        <f t="shared" si="78"/>
        <v>577</v>
      </c>
      <c r="X973" s="321">
        <f t="shared" si="79"/>
        <v>623000</v>
      </c>
      <c r="Y973" s="321">
        <v>1</v>
      </c>
      <c r="AA973" s="321" t="s">
        <v>2648</v>
      </c>
    </row>
    <row r="974" spans="1:27">
      <c r="A974" s="376">
        <v>100</v>
      </c>
      <c r="B974" s="377">
        <v>815210</v>
      </c>
      <c r="C974" s="391" t="s">
        <v>7128</v>
      </c>
      <c r="D974" s="379">
        <v>8656</v>
      </c>
      <c r="E974" s="380">
        <v>8343</v>
      </c>
      <c r="F974" s="380">
        <v>8271</v>
      </c>
      <c r="H974" s="351">
        <f t="shared" si="75"/>
        <v>8656000</v>
      </c>
      <c r="I974" s="351">
        <f t="shared" si="76"/>
        <v>8271000</v>
      </c>
      <c r="M974" s="321">
        <v>1623000579</v>
      </c>
      <c r="N974" s="321">
        <v>62</v>
      </c>
      <c r="O974" s="321" t="s">
        <v>5395</v>
      </c>
      <c r="P974" s="321">
        <v>2623000</v>
      </c>
      <c r="Q974" s="322">
        <v>50000</v>
      </c>
      <c r="R974" s="322">
        <v>36400</v>
      </c>
      <c r="S974" s="322">
        <v>50000</v>
      </c>
      <c r="T974" s="322">
        <v>50000</v>
      </c>
      <c r="U974" s="322">
        <f t="shared" si="77"/>
        <v>0</v>
      </c>
      <c r="W974" s="321">
        <f t="shared" si="78"/>
        <v>579</v>
      </c>
      <c r="X974" s="321">
        <f t="shared" si="79"/>
        <v>623000</v>
      </c>
      <c r="Y974" s="321">
        <v>1</v>
      </c>
      <c r="AA974" s="321" t="s">
        <v>5395</v>
      </c>
    </row>
    <row r="975" spans="1:27">
      <c r="A975" s="376">
        <v>104</v>
      </c>
      <c r="B975" s="377">
        <v>815210</v>
      </c>
      <c r="C975" s="391" t="s">
        <v>7129</v>
      </c>
      <c r="D975" s="379">
        <v>841</v>
      </c>
      <c r="E975" s="380">
        <v>746</v>
      </c>
      <c r="F975" s="380">
        <v>820</v>
      </c>
      <c r="H975" s="351">
        <f t="shared" si="75"/>
        <v>841000</v>
      </c>
      <c r="I975" s="351">
        <f t="shared" si="76"/>
        <v>820000</v>
      </c>
      <c r="M975" s="321">
        <v>1623000580</v>
      </c>
      <c r="N975" s="321">
        <v>62</v>
      </c>
      <c r="O975" s="321" t="s">
        <v>2601</v>
      </c>
      <c r="P975" s="321">
        <v>2623000</v>
      </c>
      <c r="Q975" s="322">
        <v>110000</v>
      </c>
      <c r="R975" s="322">
        <v>58600</v>
      </c>
      <c r="S975" s="322">
        <v>110000</v>
      </c>
      <c r="T975" s="322">
        <v>90000</v>
      </c>
      <c r="U975" s="322">
        <f t="shared" si="77"/>
        <v>20000</v>
      </c>
      <c r="W975" s="321">
        <f t="shared" si="78"/>
        <v>580</v>
      </c>
      <c r="X975" s="321">
        <f t="shared" si="79"/>
        <v>623000</v>
      </c>
      <c r="Y975" s="321">
        <v>1</v>
      </c>
      <c r="AA975" s="321" t="s">
        <v>2601</v>
      </c>
    </row>
    <row r="976" spans="1:27">
      <c r="A976" s="376">
        <v>430</v>
      </c>
      <c r="B976" s="377">
        <v>815210</v>
      </c>
      <c r="C976" s="391" t="s">
        <v>6798</v>
      </c>
      <c r="D976" s="379">
        <v>100</v>
      </c>
      <c r="E976" s="380">
        <v>0</v>
      </c>
      <c r="F976" s="380">
        <v>0</v>
      </c>
      <c r="H976" s="351">
        <f t="shared" si="75"/>
        <v>100000</v>
      </c>
      <c r="I976" s="351">
        <f t="shared" si="76"/>
        <v>0</v>
      </c>
      <c r="M976" s="321">
        <v>1623000730</v>
      </c>
      <c r="N976" s="321">
        <v>62</v>
      </c>
      <c r="O976" s="321" t="s">
        <v>5396</v>
      </c>
      <c r="P976" s="321">
        <v>2623000</v>
      </c>
      <c r="Q976" s="322">
        <v>20000</v>
      </c>
      <c r="R976" s="322">
        <v>15000</v>
      </c>
      <c r="S976" s="322">
        <v>20000</v>
      </c>
      <c r="T976" s="322">
        <v>20000</v>
      </c>
      <c r="U976" s="322">
        <f t="shared" si="77"/>
        <v>0</v>
      </c>
      <c r="W976" s="321">
        <f t="shared" si="78"/>
        <v>730</v>
      </c>
      <c r="X976" s="321">
        <f t="shared" si="79"/>
        <v>623000</v>
      </c>
      <c r="Y976" s="321">
        <v>1</v>
      </c>
      <c r="AA976" s="321" t="s">
        <v>5396</v>
      </c>
    </row>
    <row r="977" spans="1:27">
      <c r="A977" s="376">
        <v>432</v>
      </c>
      <c r="B977" s="377">
        <v>815210</v>
      </c>
      <c r="C977" s="391" t="s">
        <v>6887</v>
      </c>
      <c r="D977" s="379">
        <v>37</v>
      </c>
      <c r="E977" s="380">
        <v>0</v>
      </c>
      <c r="F977" s="380">
        <v>0</v>
      </c>
      <c r="H977" s="351">
        <f t="shared" si="75"/>
        <v>37000</v>
      </c>
      <c r="I977" s="351">
        <f t="shared" si="76"/>
        <v>0</v>
      </c>
      <c r="M977" s="321">
        <v>1623000731</v>
      </c>
      <c r="N977" s="321">
        <v>62</v>
      </c>
      <c r="O977" s="321" t="s">
        <v>5397</v>
      </c>
      <c r="P977" s="321">
        <v>2623000</v>
      </c>
      <c r="Q977" s="322">
        <v>30000</v>
      </c>
      <c r="R977" s="322">
        <v>10300</v>
      </c>
      <c r="S977" s="322">
        <v>30000</v>
      </c>
      <c r="T977" s="322">
        <v>30000</v>
      </c>
      <c r="U977" s="322">
        <f t="shared" si="77"/>
        <v>0</v>
      </c>
      <c r="W977" s="321">
        <f t="shared" si="78"/>
        <v>731</v>
      </c>
      <c r="X977" s="321">
        <f t="shared" si="79"/>
        <v>623000</v>
      </c>
      <c r="Y977" s="321">
        <v>1</v>
      </c>
      <c r="AA977" s="321" t="s">
        <v>5397</v>
      </c>
    </row>
    <row r="978" spans="1:27">
      <c r="A978" s="376">
        <v>750</v>
      </c>
      <c r="B978" s="377">
        <v>815210</v>
      </c>
      <c r="C978" s="382" t="s">
        <v>6804</v>
      </c>
      <c r="D978" s="379">
        <v>205</v>
      </c>
      <c r="E978" s="380">
        <v>0</v>
      </c>
      <c r="F978" s="380">
        <v>0</v>
      </c>
      <c r="H978" s="351">
        <f t="shared" ref="H978:H1041" si="80">D978*1000</f>
        <v>205000</v>
      </c>
      <c r="I978" s="351">
        <f t="shared" ref="I978:I1041" si="81">F978*1000</f>
        <v>0</v>
      </c>
      <c r="M978" s="321">
        <v>1623000732</v>
      </c>
      <c r="N978" s="321">
        <v>62</v>
      </c>
      <c r="O978" s="321" t="s">
        <v>5398</v>
      </c>
      <c r="P978" s="321">
        <v>2623000</v>
      </c>
      <c r="Q978" s="322">
        <v>20000</v>
      </c>
      <c r="R978" s="322">
        <v>6800</v>
      </c>
      <c r="S978" s="322">
        <v>20000</v>
      </c>
      <c r="T978" s="322">
        <v>20000</v>
      </c>
      <c r="U978" s="322">
        <f t="shared" si="77"/>
        <v>0</v>
      </c>
      <c r="W978" s="321">
        <f t="shared" si="78"/>
        <v>732</v>
      </c>
      <c r="X978" s="321">
        <f t="shared" si="79"/>
        <v>623000</v>
      </c>
      <c r="Y978" s="321">
        <v>1</v>
      </c>
      <c r="AA978" s="321" t="s">
        <v>5398</v>
      </c>
    </row>
    <row r="979" spans="1:27">
      <c r="A979" s="376">
        <v>780</v>
      </c>
      <c r="B979" s="377">
        <v>815210</v>
      </c>
      <c r="C979" s="391" t="s">
        <v>6881</v>
      </c>
      <c r="D979" s="379">
        <v>185</v>
      </c>
      <c r="E979" s="380">
        <v>185</v>
      </c>
      <c r="F979" s="380">
        <v>185</v>
      </c>
      <c r="H979" s="351">
        <f t="shared" si="80"/>
        <v>185000</v>
      </c>
      <c r="I979" s="351">
        <f t="shared" si="81"/>
        <v>185000</v>
      </c>
      <c r="M979" s="321">
        <v>1623000751</v>
      </c>
      <c r="N979" s="321">
        <v>62</v>
      </c>
      <c r="O979" s="321" t="s">
        <v>3258</v>
      </c>
      <c r="P979" s="321">
        <v>2623000</v>
      </c>
      <c r="Q979" s="322">
        <v>450000</v>
      </c>
      <c r="R979" s="322">
        <v>270600</v>
      </c>
      <c r="S979" s="322">
        <v>500000</v>
      </c>
      <c r="T979" s="322">
        <v>250000</v>
      </c>
      <c r="U979" s="322">
        <f t="shared" si="77"/>
        <v>250000</v>
      </c>
      <c r="W979" s="321">
        <f t="shared" si="78"/>
        <v>751</v>
      </c>
      <c r="X979" s="321">
        <f t="shared" si="79"/>
        <v>623000</v>
      </c>
      <c r="Y979" s="321">
        <v>1</v>
      </c>
      <c r="AA979" s="321" t="s">
        <v>3258</v>
      </c>
    </row>
    <row r="980" spans="1:27">
      <c r="A980" s="376">
        <v>100</v>
      </c>
      <c r="B980" s="377">
        <v>815900</v>
      </c>
      <c r="C980" s="391" t="s">
        <v>7130</v>
      </c>
      <c r="D980" s="379">
        <v>2460</v>
      </c>
      <c r="E980" s="380">
        <v>2605</v>
      </c>
      <c r="F980" s="380">
        <v>2560</v>
      </c>
      <c r="H980" s="351">
        <f t="shared" si="80"/>
        <v>2460000</v>
      </c>
      <c r="I980" s="351">
        <f t="shared" si="81"/>
        <v>2560000</v>
      </c>
      <c r="M980" s="321">
        <v>1623000752</v>
      </c>
      <c r="N980" s="321">
        <v>62</v>
      </c>
      <c r="O980" s="321" t="s">
        <v>5399</v>
      </c>
      <c r="P980" s="321">
        <v>2623000</v>
      </c>
      <c r="Q980" s="322">
        <v>20000</v>
      </c>
      <c r="R980" s="322">
        <v>10000</v>
      </c>
      <c r="S980" s="322">
        <v>20000</v>
      </c>
      <c r="T980" s="322">
        <v>20000</v>
      </c>
      <c r="U980" s="322">
        <f t="shared" si="77"/>
        <v>0</v>
      </c>
      <c r="W980" s="321">
        <f t="shared" si="78"/>
        <v>752</v>
      </c>
      <c r="X980" s="321">
        <f t="shared" si="79"/>
        <v>623000</v>
      </c>
      <c r="Y980" s="321">
        <v>1</v>
      </c>
      <c r="AA980" s="321" t="s">
        <v>5399</v>
      </c>
    </row>
    <row r="981" spans="1:27">
      <c r="A981" s="376">
        <v>101</v>
      </c>
      <c r="B981" s="377">
        <v>815900</v>
      </c>
      <c r="C981" s="391" t="s">
        <v>7131</v>
      </c>
      <c r="D981" s="379">
        <v>536</v>
      </c>
      <c r="E981" s="380">
        <v>517</v>
      </c>
      <c r="F981" s="380">
        <v>520</v>
      </c>
      <c r="H981" s="351">
        <f t="shared" si="80"/>
        <v>536000</v>
      </c>
      <c r="I981" s="351">
        <f t="shared" si="81"/>
        <v>520000</v>
      </c>
      <c r="M981" s="321">
        <v>1623000754</v>
      </c>
      <c r="N981" s="321">
        <v>62</v>
      </c>
      <c r="O981" s="321" t="s">
        <v>5400</v>
      </c>
      <c r="P981" s="321">
        <v>2623000</v>
      </c>
      <c r="Q981" s="322">
        <v>0</v>
      </c>
      <c r="R981" s="322">
        <v>0</v>
      </c>
      <c r="S981" s="322">
        <v>0</v>
      </c>
      <c r="T981" s="322">
        <v>0</v>
      </c>
      <c r="U981" s="322">
        <f t="shared" si="77"/>
        <v>0</v>
      </c>
      <c r="W981" s="321">
        <f t="shared" si="78"/>
        <v>754</v>
      </c>
      <c r="X981" s="321">
        <f t="shared" si="79"/>
        <v>623000</v>
      </c>
      <c r="Y981" s="321">
        <v>1</v>
      </c>
      <c r="AA981" s="321" t="s">
        <v>5400</v>
      </c>
    </row>
    <row r="982" spans="1:27">
      <c r="A982" s="376">
        <v>102</v>
      </c>
      <c r="B982" s="377">
        <v>815900</v>
      </c>
      <c r="C982" s="391" t="s">
        <v>7132</v>
      </c>
      <c r="D982" s="379">
        <v>717</v>
      </c>
      <c r="E982" s="380">
        <v>667</v>
      </c>
      <c r="F982" s="380">
        <v>717</v>
      </c>
      <c r="H982" s="351">
        <f t="shared" si="80"/>
        <v>717000</v>
      </c>
      <c r="I982" s="351">
        <f t="shared" si="81"/>
        <v>717000</v>
      </c>
      <c r="M982" s="321">
        <v>1623000758</v>
      </c>
      <c r="N982" s="321">
        <v>62</v>
      </c>
      <c r="O982" s="321" t="s">
        <v>5401</v>
      </c>
      <c r="P982" s="321">
        <v>2623000</v>
      </c>
      <c r="Q982" s="322">
        <v>460000</v>
      </c>
      <c r="R982" s="322">
        <v>240100</v>
      </c>
      <c r="S982" s="322">
        <v>460000</v>
      </c>
      <c r="T982" s="322">
        <v>460000</v>
      </c>
      <c r="U982" s="322">
        <f t="shared" si="77"/>
        <v>0</v>
      </c>
      <c r="W982" s="321">
        <f t="shared" si="78"/>
        <v>758</v>
      </c>
      <c r="X982" s="321">
        <f t="shared" si="79"/>
        <v>623000</v>
      </c>
      <c r="Y982" s="321">
        <v>1</v>
      </c>
      <c r="AA982" s="321" t="s">
        <v>5401</v>
      </c>
    </row>
    <row r="983" spans="1:27">
      <c r="A983" s="376">
        <v>430</v>
      </c>
      <c r="B983" s="377">
        <v>815900</v>
      </c>
      <c r="C983" s="391" t="s">
        <v>6904</v>
      </c>
      <c r="D983" s="379">
        <v>90</v>
      </c>
      <c r="E983" s="380">
        <v>88</v>
      </c>
      <c r="F983" s="380">
        <v>88</v>
      </c>
      <c r="H983" s="351">
        <f t="shared" si="80"/>
        <v>90000</v>
      </c>
      <c r="I983" s="351">
        <f t="shared" si="81"/>
        <v>88000</v>
      </c>
      <c r="M983" s="321">
        <v>1623000759</v>
      </c>
      <c r="N983" s="321">
        <v>62</v>
      </c>
      <c r="O983" s="321" t="s">
        <v>5402</v>
      </c>
      <c r="P983" s="321">
        <v>2623000</v>
      </c>
      <c r="Q983" s="322">
        <v>23000</v>
      </c>
      <c r="R983" s="322">
        <v>14800</v>
      </c>
      <c r="S983" s="322">
        <v>15000</v>
      </c>
      <c r="T983" s="322">
        <v>15000</v>
      </c>
      <c r="U983" s="322">
        <f t="shared" si="77"/>
        <v>0</v>
      </c>
      <c r="W983" s="321">
        <f t="shared" si="78"/>
        <v>759</v>
      </c>
      <c r="X983" s="321">
        <f t="shared" si="79"/>
        <v>623000</v>
      </c>
      <c r="Y983" s="321">
        <v>1</v>
      </c>
      <c r="AA983" s="321" t="s">
        <v>5402</v>
      </c>
    </row>
    <row r="984" spans="1:27">
      <c r="A984" s="376">
        <v>432</v>
      </c>
      <c r="B984" s="377">
        <v>815900</v>
      </c>
      <c r="C984" s="391" t="s">
        <v>6887</v>
      </c>
      <c r="D984" s="379">
        <v>76</v>
      </c>
      <c r="E984" s="380">
        <v>76</v>
      </c>
      <c r="F984" s="380">
        <v>76</v>
      </c>
      <c r="H984" s="351">
        <f t="shared" si="80"/>
        <v>76000</v>
      </c>
      <c r="I984" s="351">
        <f t="shared" si="81"/>
        <v>76000</v>
      </c>
      <c r="M984" s="321">
        <v>1623000778</v>
      </c>
      <c r="N984" s="321">
        <v>62</v>
      </c>
      <c r="O984" s="321" t="s">
        <v>5403</v>
      </c>
      <c r="P984" s="321">
        <v>2623000</v>
      </c>
      <c r="Q984" s="322">
        <v>30000</v>
      </c>
      <c r="R984" s="322">
        <v>21500</v>
      </c>
      <c r="S984" s="322">
        <v>30000</v>
      </c>
      <c r="T984" s="322">
        <v>30000</v>
      </c>
      <c r="U984" s="322">
        <f t="shared" si="77"/>
        <v>0</v>
      </c>
      <c r="W984" s="321">
        <f t="shared" si="78"/>
        <v>778</v>
      </c>
      <c r="X984" s="321">
        <f t="shared" si="79"/>
        <v>623000</v>
      </c>
      <c r="Y984" s="321">
        <v>1</v>
      </c>
      <c r="AA984" s="321" t="s">
        <v>5403</v>
      </c>
    </row>
    <row r="985" spans="1:27">
      <c r="A985" s="376">
        <v>511</v>
      </c>
      <c r="B985" s="377">
        <v>815900</v>
      </c>
      <c r="C985" s="391" t="s">
        <v>6864</v>
      </c>
      <c r="D985" s="379">
        <v>5</v>
      </c>
      <c r="E985" s="380">
        <v>5</v>
      </c>
      <c r="F985" s="380">
        <v>5</v>
      </c>
      <c r="H985" s="351">
        <f t="shared" si="80"/>
        <v>5000</v>
      </c>
      <c r="I985" s="351">
        <f t="shared" si="81"/>
        <v>5000</v>
      </c>
      <c r="M985" s="321">
        <v>1623001110</v>
      </c>
      <c r="N985" s="321">
        <v>62</v>
      </c>
      <c r="O985" s="321" t="s">
        <v>5205</v>
      </c>
      <c r="P985" s="321">
        <v>2623001</v>
      </c>
      <c r="Q985" s="322">
        <v>446000</v>
      </c>
      <c r="R985" s="322">
        <v>352400</v>
      </c>
      <c r="S985" s="322">
        <v>1045000</v>
      </c>
      <c r="T985" s="322">
        <v>1045000</v>
      </c>
      <c r="U985" s="322">
        <f t="shared" si="77"/>
        <v>0</v>
      </c>
      <c r="W985" s="321">
        <f t="shared" si="78"/>
        <v>110</v>
      </c>
      <c r="X985" s="321">
        <f t="shared" si="79"/>
        <v>623001</v>
      </c>
      <c r="Y985" s="321">
        <v>1</v>
      </c>
      <c r="AA985" s="321" t="s">
        <v>5205</v>
      </c>
    </row>
    <row r="986" spans="1:27">
      <c r="A986" s="376">
        <v>540</v>
      </c>
      <c r="B986" s="377">
        <v>815900</v>
      </c>
      <c r="C986" s="391" t="s">
        <v>6752</v>
      </c>
      <c r="D986" s="379">
        <v>12</v>
      </c>
      <c r="E986" s="380">
        <v>12</v>
      </c>
      <c r="F986" s="380">
        <v>12</v>
      </c>
      <c r="H986" s="351">
        <f t="shared" si="80"/>
        <v>12000</v>
      </c>
      <c r="I986" s="351">
        <f t="shared" si="81"/>
        <v>12000</v>
      </c>
      <c r="M986" s="321">
        <v>1623001120</v>
      </c>
      <c r="N986" s="321">
        <v>62</v>
      </c>
      <c r="O986" s="321" t="s">
        <v>5206</v>
      </c>
      <c r="P986" s="321">
        <v>2623001</v>
      </c>
      <c r="Q986" s="322">
        <v>78000</v>
      </c>
      <c r="R986" s="322">
        <v>43300</v>
      </c>
      <c r="S986" s="322">
        <v>45000</v>
      </c>
      <c r="T986" s="322">
        <v>45000</v>
      </c>
      <c r="U986" s="322">
        <f t="shared" si="77"/>
        <v>0</v>
      </c>
      <c r="W986" s="321">
        <f t="shared" si="78"/>
        <v>120</v>
      </c>
      <c r="X986" s="321">
        <f t="shared" si="79"/>
        <v>623001</v>
      </c>
      <c r="Y986" s="321">
        <v>1</v>
      </c>
      <c r="AA986" s="321" t="s">
        <v>5206</v>
      </c>
    </row>
    <row r="987" spans="1:27">
      <c r="A987" s="376">
        <v>720</v>
      </c>
      <c r="B987" s="377">
        <v>815900</v>
      </c>
      <c r="C987" s="391" t="s">
        <v>6881</v>
      </c>
      <c r="D987" s="379">
        <v>73</v>
      </c>
      <c r="E987" s="380">
        <v>73</v>
      </c>
      <c r="F987" s="380">
        <v>73</v>
      </c>
      <c r="H987" s="351">
        <f t="shared" si="80"/>
        <v>73000</v>
      </c>
      <c r="I987" s="351">
        <f t="shared" si="81"/>
        <v>73000</v>
      </c>
      <c r="M987" s="321">
        <v>1623001130</v>
      </c>
      <c r="N987" s="321">
        <v>62</v>
      </c>
      <c r="O987" s="321" t="s">
        <v>2576</v>
      </c>
      <c r="P987" s="321">
        <v>2623001</v>
      </c>
      <c r="Q987" s="322">
        <v>2000</v>
      </c>
      <c r="R987" s="322">
        <v>4300</v>
      </c>
      <c r="S987" s="322">
        <v>55000</v>
      </c>
      <c r="T987" s="322">
        <v>49500</v>
      </c>
      <c r="U987" s="322">
        <f t="shared" si="77"/>
        <v>5500</v>
      </c>
      <c r="W987" s="321">
        <f t="shared" si="78"/>
        <v>130</v>
      </c>
      <c r="X987" s="321">
        <f t="shared" si="79"/>
        <v>623001</v>
      </c>
      <c r="Y987" s="321">
        <v>1</v>
      </c>
      <c r="AA987" s="321" t="s">
        <v>2576</v>
      </c>
    </row>
    <row r="988" spans="1:27">
      <c r="A988" s="376">
        <v>740</v>
      </c>
      <c r="B988" s="377">
        <v>815900</v>
      </c>
      <c r="C988" s="391" t="s">
        <v>7133</v>
      </c>
      <c r="D988" s="379">
        <v>20</v>
      </c>
      <c r="E988" s="380">
        <v>20</v>
      </c>
      <c r="F988" s="380">
        <v>20</v>
      </c>
      <c r="H988" s="351">
        <f t="shared" si="80"/>
        <v>20000</v>
      </c>
      <c r="I988" s="351">
        <f t="shared" si="81"/>
        <v>20000</v>
      </c>
      <c r="M988" s="321">
        <v>1623001140</v>
      </c>
      <c r="N988" s="321">
        <v>62</v>
      </c>
      <c r="O988" s="321" t="s">
        <v>5404</v>
      </c>
      <c r="P988" s="321">
        <v>2623001</v>
      </c>
      <c r="Q988" s="322">
        <v>90000</v>
      </c>
      <c r="R988" s="322">
        <v>79500</v>
      </c>
      <c r="S988" s="322">
        <v>215000</v>
      </c>
      <c r="T988" s="322">
        <v>215000</v>
      </c>
      <c r="U988" s="322">
        <f t="shared" si="77"/>
        <v>0</v>
      </c>
      <c r="W988" s="321">
        <f t="shared" si="78"/>
        <v>140</v>
      </c>
      <c r="X988" s="321">
        <f t="shared" si="79"/>
        <v>623001</v>
      </c>
      <c r="Y988" s="321">
        <v>1</v>
      </c>
      <c r="AA988" s="321" t="s">
        <v>5404</v>
      </c>
    </row>
    <row r="989" spans="1:27">
      <c r="A989" s="376">
        <v>742</v>
      </c>
      <c r="B989" s="377">
        <v>815900</v>
      </c>
      <c r="C989" s="391" t="s">
        <v>6740</v>
      </c>
      <c r="D989" s="379">
        <v>9</v>
      </c>
      <c r="E989" s="380">
        <v>9</v>
      </c>
      <c r="F989" s="380">
        <v>9</v>
      </c>
      <c r="H989" s="351">
        <f t="shared" si="80"/>
        <v>9000</v>
      </c>
      <c r="I989" s="351">
        <f t="shared" si="81"/>
        <v>9000</v>
      </c>
      <c r="M989" s="321">
        <v>1623001141</v>
      </c>
      <c r="N989" s="321">
        <v>62</v>
      </c>
      <c r="O989" s="321" t="s">
        <v>5229</v>
      </c>
      <c r="P989" s="321">
        <v>2623001</v>
      </c>
      <c r="Q989" s="322">
        <v>46000</v>
      </c>
      <c r="R989" s="322">
        <v>33400</v>
      </c>
      <c r="S989" s="322">
        <v>57000</v>
      </c>
      <c r="T989" s="322">
        <v>57000</v>
      </c>
      <c r="U989" s="322">
        <f t="shared" si="77"/>
        <v>0</v>
      </c>
      <c r="W989" s="321">
        <f t="shared" si="78"/>
        <v>141</v>
      </c>
      <c r="X989" s="321">
        <f t="shared" si="79"/>
        <v>623001</v>
      </c>
      <c r="Y989" s="321">
        <v>1</v>
      </c>
      <c r="AA989" s="321" t="s">
        <v>5229</v>
      </c>
    </row>
    <row r="990" spans="1:27">
      <c r="A990" s="376">
        <v>750</v>
      </c>
      <c r="B990" s="377">
        <v>815900</v>
      </c>
      <c r="C990" s="391" t="s">
        <v>6804</v>
      </c>
      <c r="D990" s="379">
        <v>149</v>
      </c>
      <c r="E990" s="380">
        <v>145</v>
      </c>
      <c r="F990" s="380">
        <f>203-7</f>
        <v>196</v>
      </c>
      <c r="H990" s="351">
        <f t="shared" si="80"/>
        <v>149000</v>
      </c>
      <c r="I990" s="351">
        <f t="shared" si="81"/>
        <v>196000</v>
      </c>
      <c r="M990" s="321">
        <v>1623001181</v>
      </c>
      <c r="N990" s="321">
        <v>62</v>
      </c>
      <c r="O990" s="321" t="s">
        <v>2580</v>
      </c>
      <c r="P990" s="321">
        <v>2623001</v>
      </c>
      <c r="Q990" s="322">
        <v>113000</v>
      </c>
      <c r="R990" s="322">
        <v>100200</v>
      </c>
      <c r="S990" s="322">
        <v>216000</v>
      </c>
      <c r="T990" s="322">
        <v>216000</v>
      </c>
      <c r="U990" s="322">
        <f t="shared" si="77"/>
        <v>0</v>
      </c>
      <c r="W990" s="321">
        <f t="shared" si="78"/>
        <v>181</v>
      </c>
      <c r="X990" s="321">
        <f t="shared" si="79"/>
        <v>623001</v>
      </c>
      <c r="Y990" s="321">
        <v>1</v>
      </c>
      <c r="AA990" s="321" t="s">
        <v>2580</v>
      </c>
    </row>
    <row r="991" spans="1:27">
      <c r="A991" s="376">
        <v>780</v>
      </c>
      <c r="B991" s="377">
        <v>815900</v>
      </c>
      <c r="C991" s="381" t="s">
        <v>7134</v>
      </c>
      <c r="D991" s="379">
        <v>500</v>
      </c>
      <c r="E991" s="380">
        <v>500</v>
      </c>
      <c r="F991" s="380">
        <v>500</v>
      </c>
      <c r="H991" s="351">
        <f t="shared" si="80"/>
        <v>500000</v>
      </c>
      <c r="I991" s="351">
        <f t="shared" si="81"/>
        <v>500000</v>
      </c>
      <c r="M991" s="321">
        <v>1623001182</v>
      </c>
      <c r="N991" s="321">
        <v>62</v>
      </c>
      <c r="O991" s="321" t="s">
        <v>2582</v>
      </c>
      <c r="P991" s="321">
        <v>2623001</v>
      </c>
      <c r="Q991" s="322">
        <v>86000</v>
      </c>
      <c r="R991" s="322">
        <v>65900</v>
      </c>
      <c r="S991" s="322">
        <v>187000</v>
      </c>
      <c r="T991" s="322">
        <v>187000</v>
      </c>
      <c r="U991" s="322">
        <f t="shared" si="77"/>
        <v>0</v>
      </c>
      <c r="W991" s="321">
        <f t="shared" si="78"/>
        <v>182</v>
      </c>
      <c r="X991" s="321">
        <f t="shared" si="79"/>
        <v>623001</v>
      </c>
      <c r="Y991" s="321">
        <v>1</v>
      </c>
      <c r="AA991" s="321" t="s">
        <v>2582</v>
      </c>
    </row>
    <row r="992" spans="1:27">
      <c r="A992" s="376">
        <v>850</v>
      </c>
      <c r="B992" s="377">
        <v>816800</v>
      </c>
      <c r="C992" s="382" t="s">
        <v>7135</v>
      </c>
      <c r="D992" s="379">
        <v>300</v>
      </c>
      <c r="E992" s="380">
        <v>200</v>
      </c>
      <c r="F992" s="380">
        <v>200</v>
      </c>
      <c r="H992" s="351">
        <f t="shared" si="80"/>
        <v>300000</v>
      </c>
      <c r="I992" s="351">
        <f t="shared" si="81"/>
        <v>200000</v>
      </c>
      <c r="M992" s="321">
        <v>1623001212</v>
      </c>
      <c r="N992" s="321">
        <v>62</v>
      </c>
      <c r="O992" s="321" t="s">
        <v>5405</v>
      </c>
      <c r="P992" s="321">
        <v>2623000</v>
      </c>
      <c r="Q992" s="322">
        <v>50000</v>
      </c>
      <c r="R992" s="322">
        <v>0</v>
      </c>
      <c r="S992" s="322">
        <v>50000</v>
      </c>
      <c r="T992" s="322">
        <v>50000</v>
      </c>
      <c r="U992" s="322">
        <f t="shared" si="77"/>
        <v>0</v>
      </c>
      <c r="W992" s="321">
        <f t="shared" si="78"/>
        <v>212</v>
      </c>
      <c r="X992" s="321">
        <f t="shared" si="79"/>
        <v>623001</v>
      </c>
      <c r="Y992" s="321">
        <v>1</v>
      </c>
      <c r="AA992" s="321" t="s">
        <v>5405</v>
      </c>
    </row>
    <row r="993" spans="1:27">
      <c r="A993" s="376">
        <v>100</v>
      </c>
      <c r="B993" s="377">
        <v>817100</v>
      </c>
      <c r="C993" s="385" t="s">
        <v>7136</v>
      </c>
      <c r="D993" s="379">
        <v>428</v>
      </c>
      <c r="E993" s="380">
        <v>430</v>
      </c>
      <c r="F993" s="380">
        <v>430</v>
      </c>
      <c r="H993" s="351">
        <f t="shared" si="80"/>
        <v>428000</v>
      </c>
      <c r="I993" s="351">
        <f t="shared" si="81"/>
        <v>430000</v>
      </c>
      <c r="M993" s="321">
        <v>1623100110</v>
      </c>
      <c r="N993" s="321">
        <v>62</v>
      </c>
      <c r="O993" s="321" t="s">
        <v>5205</v>
      </c>
      <c r="P993" s="321">
        <v>2623100</v>
      </c>
      <c r="Q993" s="322">
        <v>1314000</v>
      </c>
      <c r="R993" s="322">
        <v>924400</v>
      </c>
      <c r="S993" s="322">
        <v>869000</v>
      </c>
      <c r="T993" s="322">
        <v>869000</v>
      </c>
      <c r="U993" s="322">
        <f t="shared" si="77"/>
        <v>0</v>
      </c>
      <c r="W993" s="321">
        <f t="shared" si="78"/>
        <v>110</v>
      </c>
      <c r="X993" s="321">
        <f t="shared" si="79"/>
        <v>623100</v>
      </c>
      <c r="Y993" s="321">
        <v>1</v>
      </c>
      <c r="AA993" s="321" t="s">
        <v>5205</v>
      </c>
    </row>
    <row r="994" spans="1:27">
      <c r="A994" s="376">
        <v>541</v>
      </c>
      <c r="B994" s="377">
        <v>817100</v>
      </c>
      <c r="C994" s="385" t="s">
        <v>7137</v>
      </c>
      <c r="D994" s="379">
        <v>110</v>
      </c>
      <c r="E994" s="380">
        <v>110</v>
      </c>
      <c r="F994" s="380">
        <v>110</v>
      </c>
      <c r="H994" s="351">
        <f t="shared" si="80"/>
        <v>110000</v>
      </c>
      <c r="I994" s="351">
        <f t="shared" si="81"/>
        <v>110000</v>
      </c>
      <c r="M994" s="321">
        <v>1623100120</v>
      </c>
      <c r="N994" s="321">
        <v>62</v>
      </c>
      <c r="O994" s="321" t="s">
        <v>5206</v>
      </c>
      <c r="P994" s="321">
        <v>2623100</v>
      </c>
      <c r="Q994" s="322">
        <v>225000</v>
      </c>
      <c r="R994" s="322">
        <v>200700</v>
      </c>
      <c r="S994" s="322">
        <v>231000</v>
      </c>
      <c r="T994" s="322">
        <v>231000</v>
      </c>
      <c r="U994" s="322">
        <f t="shared" si="77"/>
        <v>0</v>
      </c>
      <c r="W994" s="321">
        <f t="shared" si="78"/>
        <v>120</v>
      </c>
      <c r="X994" s="321">
        <f t="shared" si="79"/>
        <v>623100</v>
      </c>
      <c r="Y994" s="321">
        <v>1</v>
      </c>
      <c r="AA994" s="321" t="s">
        <v>5206</v>
      </c>
    </row>
    <row r="995" spans="1:27">
      <c r="A995" s="376">
        <v>720</v>
      </c>
      <c r="B995" s="377">
        <v>817100</v>
      </c>
      <c r="C995" s="416" t="s">
        <v>7138</v>
      </c>
      <c r="D995" s="379">
        <v>132</v>
      </c>
      <c r="E995" s="380">
        <v>200</v>
      </c>
      <c r="F995" s="380">
        <v>200</v>
      </c>
      <c r="H995" s="351">
        <f t="shared" si="80"/>
        <v>132000</v>
      </c>
      <c r="I995" s="351">
        <f t="shared" si="81"/>
        <v>200000</v>
      </c>
      <c r="M995" s="321">
        <v>1623100130</v>
      </c>
      <c r="N995" s="321">
        <v>62</v>
      </c>
      <c r="O995" s="321" t="s">
        <v>2576</v>
      </c>
      <c r="P995" s="321">
        <v>2623100</v>
      </c>
      <c r="Q995" s="322">
        <v>4000</v>
      </c>
      <c r="R995" s="322">
        <v>10000</v>
      </c>
      <c r="S995" s="322">
        <v>22000</v>
      </c>
      <c r="T995" s="322">
        <v>19800</v>
      </c>
      <c r="U995" s="322">
        <f t="shared" si="77"/>
        <v>2200</v>
      </c>
      <c r="W995" s="321">
        <f t="shared" si="78"/>
        <v>130</v>
      </c>
      <c r="X995" s="321">
        <f t="shared" si="79"/>
        <v>623100</v>
      </c>
      <c r="Y995" s="321">
        <v>1</v>
      </c>
      <c r="AA995" s="321" t="s">
        <v>2576</v>
      </c>
    </row>
    <row r="996" spans="1:27">
      <c r="A996" s="376">
        <v>730</v>
      </c>
      <c r="B996" s="377">
        <v>817100</v>
      </c>
      <c r="C996" s="385" t="s">
        <v>6866</v>
      </c>
      <c r="D996" s="379">
        <v>49</v>
      </c>
      <c r="E996" s="380">
        <v>49</v>
      </c>
      <c r="F996" s="380">
        <v>49</v>
      </c>
      <c r="H996" s="351">
        <f t="shared" si="80"/>
        <v>49000</v>
      </c>
      <c r="I996" s="351">
        <f t="shared" si="81"/>
        <v>49000</v>
      </c>
      <c r="M996" s="321">
        <v>1623100140</v>
      </c>
      <c r="N996" s="321">
        <v>62</v>
      </c>
      <c r="O996" s="321" t="s">
        <v>5207</v>
      </c>
      <c r="P996" s="321">
        <v>2623100</v>
      </c>
      <c r="Q996" s="322">
        <v>176000</v>
      </c>
      <c r="R996" s="322">
        <v>113700</v>
      </c>
      <c r="S996" s="322">
        <v>114000</v>
      </c>
      <c r="T996" s="322">
        <v>114000</v>
      </c>
      <c r="U996" s="322">
        <f t="shared" si="77"/>
        <v>0</v>
      </c>
      <c r="W996" s="321">
        <f t="shared" si="78"/>
        <v>140</v>
      </c>
      <c r="X996" s="321">
        <f t="shared" si="79"/>
        <v>623100</v>
      </c>
      <c r="Y996" s="321">
        <v>1</v>
      </c>
      <c r="AA996" s="321" t="s">
        <v>5207</v>
      </c>
    </row>
    <row r="997" spans="1:27">
      <c r="A997" s="376">
        <v>750</v>
      </c>
      <c r="B997" s="377">
        <v>817100</v>
      </c>
      <c r="C997" s="382" t="s">
        <v>7139</v>
      </c>
      <c r="D997" s="379">
        <v>4500</v>
      </c>
      <c r="E997" s="380">
        <v>4300</v>
      </c>
      <c r="F997" s="380">
        <v>4320</v>
      </c>
      <c r="H997" s="351">
        <f t="shared" si="80"/>
        <v>4500000</v>
      </c>
      <c r="I997" s="351">
        <f t="shared" si="81"/>
        <v>4320000</v>
      </c>
      <c r="M997" s="321">
        <v>1623100141</v>
      </c>
      <c r="N997" s="321">
        <v>62</v>
      </c>
      <c r="O997" s="321" t="s">
        <v>5406</v>
      </c>
      <c r="P997" s="321">
        <v>2623100</v>
      </c>
      <c r="Q997" s="322">
        <v>99000</v>
      </c>
      <c r="R997" s="322">
        <v>80900</v>
      </c>
      <c r="S997" s="322">
        <v>103000</v>
      </c>
      <c r="T997" s="322">
        <v>103000</v>
      </c>
      <c r="U997" s="322">
        <f t="shared" si="77"/>
        <v>0</v>
      </c>
      <c r="W997" s="321">
        <f t="shared" si="78"/>
        <v>141</v>
      </c>
      <c r="X997" s="321">
        <f t="shared" si="79"/>
        <v>623100</v>
      </c>
      <c r="Y997" s="321">
        <v>1</v>
      </c>
      <c r="AA997" s="321" t="s">
        <v>5406</v>
      </c>
    </row>
    <row r="998" spans="1:27">
      <c r="A998" s="376">
        <v>100</v>
      </c>
      <c r="B998" s="377">
        <v>817200</v>
      </c>
      <c r="C998" s="391" t="s">
        <v>6711</v>
      </c>
      <c r="D998" s="379">
        <v>543</v>
      </c>
      <c r="E998" s="380">
        <v>530</v>
      </c>
      <c r="F998" s="380">
        <v>526</v>
      </c>
      <c r="H998" s="351">
        <f t="shared" si="80"/>
        <v>543000</v>
      </c>
      <c r="I998" s="351">
        <f t="shared" si="81"/>
        <v>526000</v>
      </c>
      <c r="M998" s="321">
        <v>1623100181</v>
      </c>
      <c r="N998" s="321">
        <v>62</v>
      </c>
      <c r="O998" s="321" t="s">
        <v>2580</v>
      </c>
      <c r="P998" s="321">
        <v>2623100</v>
      </c>
      <c r="Q998" s="322">
        <v>285000</v>
      </c>
      <c r="R998" s="322">
        <v>210100</v>
      </c>
      <c r="S998" s="322">
        <v>204000</v>
      </c>
      <c r="T998" s="322">
        <v>204000</v>
      </c>
      <c r="U998" s="322">
        <f t="shared" si="77"/>
        <v>0</v>
      </c>
      <c r="W998" s="321">
        <f t="shared" si="78"/>
        <v>181</v>
      </c>
      <c r="X998" s="321">
        <f t="shared" si="79"/>
        <v>623100</v>
      </c>
      <c r="Y998" s="321">
        <v>1</v>
      </c>
      <c r="AA998" s="321" t="s">
        <v>2580</v>
      </c>
    </row>
    <row r="999" spans="1:27">
      <c r="A999" s="376">
        <v>420</v>
      </c>
      <c r="B999" s="377">
        <v>817200</v>
      </c>
      <c r="C999" s="382" t="s">
        <v>6987</v>
      </c>
      <c r="D999" s="379">
        <v>3</v>
      </c>
      <c r="E999" s="380">
        <v>3</v>
      </c>
      <c r="F999" s="380">
        <v>3</v>
      </c>
      <c r="H999" s="351">
        <f t="shared" si="80"/>
        <v>3000</v>
      </c>
      <c r="I999" s="351">
        <f t="shared" si="81"/>
        <v>3000</v>
      </c>
      <c r="M999" s="321">
        <v>1623100182</v>
      </c>
      <c r="N999" s="321">
        <v>62</v>
      </c>
      <c r="O999" s="321" t="s">
        <v>2582</v>
      </c>
      <c r="P999" s="321">
        <v>2623100</v>
      </c>
      <c r="Q999" s="322">
        <v>234000</v>
      </c>
      <c r="R999" s="322">
        <v>168800</v>
      </c>
      <c r="S999" s="322">
        <v>180000</v>
      </c>
      <c r="T999" s="322">
        <v>180000</v>
      </c>
      <c r="U999" s="322">
        <f t="shared" si="77"/>
        <v>0</v>
      </c>
      <c r="W999" s="321">
        <f t="shared" si="78"/>
        <v>182</v>
      </c>
      <c r="X999" s="321">
        <f t="shared" si="79"/>
        <v>623100</v>
      </c>
      <c r="Y999" s="321">
        <v>1</v>
      </c>
      <c r="AA999" s="321" t="s">
        <v>2582</v>
      </c>
    </row>
    <row r="1000" spans="1:27">
      <c r="A1000" s="376">
        <v>430</v>
      </c>
      <c r="B1000" s="377">
        <v>817200</v>
      </c>
      <c r="C1000" s="391" t="s">
        <v>7140</v>
      </c>
      <c r="D1000" s="379">
        <v>64</v>
      </c>
      <c r="E1000" s="380">
        <v>63</v>
      </c>
      <c r="F1000" s="380">
        <v>63</v>
      </c>
      <c r="H1000" s="351">
        <f t="shared" si="80"/>
        <v>64000</v>
      </c>
      <c r="I1000" s="351">
        <f t="shared" si="81"/>
        <v>63000</v>
      </c>
      <c r="M1000" s="321">
        <v>1623100757</v>
      </c>
      <c r="N1000" s="321">
        <v>62</v>
      </c>
      <c r="O1000" s="321" t="s">
        <v>4190</v>
      </c>
      <c r="P1000" s="321">
        <v>2623100</v>
      </c>
      <c r="Q1000" s="322">
        <v>200000</v>
      </c>
      <c r="R1000" s="322">
        <v>49500</v>
      </c>
      <c r="S1000" s="322">
        <v>150000</v>
      </c>
      <c r="T1000" s="322">
        <v>150000</v>
      </c>
      <c r="U1000" s="322">
        <f t="shared" si="77"/>
        <v>0</v>
      </c>
      <c r="W1000" s="321">
        <f t="shared" si="78"/>
        <v>757</v>
      </c>
      <c r="X1000" s="321">
        <f t="shared" si="79"/>
        <v>623100</v>
      </c>
      <c r="Y1000" s="321">
        <v>1</v>
      </c>
      <c r="AA1000" s="321" t="s">
        <v>4190</v>
      </c>
    </row>
    <row r="1001" spans="1:27">
      <c r="A1001" s="376">
        <v>432</v>
      </c>
      <c r="B1001" s="377">
        <v>817200</v>
      </c>
      <c r="C1001" s="391" t="s">
        <v>7141</v>
      </c>
      <c r="D1001" s="379">
        <v>30</v>
      </c>
      <c r="E1001" s="380">
        <v>30</v>
      </c>
      <c r="F1001" s="380">
        <v>30</v>
      </c>
      <c r="H1001" s="351">
        <f t="shared" si="80"/>
        <v>30000</v>
      </c>
      <c r="I1001" s="351">
        <f t="shared" si="81"/>
        <v>30000</v>
      </c>
      <c r="M1001" s="321">
        <v>1623101110</v>
      </c>
      <c r="N1001" s="321">
        <v>62</v>
      </c>
      <c r="O1001" s="321" t="s">
        <v>5231</v>
      </c>
      <c r="P1001" s="321">
        <v>2623101</v>
      </c>
      <c r="Q1001" s="322">
        <v>868000</v>
      </c>
      <c r="R1001" s="322">
        <v>636200</v>
      </c>
      <c r="S1001" s="322">
        <v>1090000</v>
      </c>
      <c r="T1001" s="322">
        <v>1090000</v>
      </c>
      <c r="U1001" s="322">
        <f t="shared" si="77"/>
        <v>0</v>
      </c>
      <c r="W1001" s="321">
        <f t="shared" si="78"/>
        <v>110</v>
      </c>
      <c r="X1001" s="321">
        <f t="shared" si="79"/>
        <v>623101</v>
      </c>
      <c r="Y1001" s="321">
        <v>1</v>
      </c>
      <c r="AA1001" s="321" t="s">
        <v>5231</v>
      </c>
    </row>
    <row r="1002" spans="1:27">
      <c r="A1002" s="376">
        <v>750</v>
      </c>
      <c r="B1002" s="377">
        <v>817200</v>
      </c>
      <c r="C1002" s="391" t="s">
        <v>6804</v>
      </c>
      <c r="D1002" s="379">
        <v>166</v>
      </c>
      <c r="E1002" s="380">
        <v>132</v>
      </c>
      <c r="F1002" s="380">
        <f>160-8</f>
        <v>152</v>
      </c>
      <c r="H1002" s="351">
        <f t="shared" si="80"/>
        <v>166000</v>
      </c>
      <c r="I1002" s="351">
        <f t="shared" si="81"/>
        <v>152000</v>
      </c>
      <c r="M1002" s="321">
        <v>1623101120</v>
      </c>
      <c r="N1002" s="321">
        <v>62</v>
      </c>
      <c r="O1002" s="321" t="s">
        <v>5206</v>
      </c>
      <c r="P1002" s="321">
        <v>2623101</v>
      </c>
      <c r="Q1002" s="322">
        <v>241000</v>
      </c>
      <c r="R1002" s="322">
        <v>191700</v>
      </c>
      <c r="S1002" s="322">
        <v>230000</v>
      </c>
      <c r="T1002" s="322">
        <v>230000</v>
      </c>
      <c r="U1002" s="322">
        <f t="shared" si="77"/>
        <v>0</v>
      </c>
      <c r="W1002" s="321">
        <f t="shared" si="78"/>
        <v>120</v>
      </c>
      <c r="X1002" s="321">
        <f t="shared" si="79"/>
        <v>623101</v>
      </c>
      <c r="Y1002" s="321">
        <v>1</v>
      </c>
      <c r="AA1002" s="321" t="s">
        <v>5206</v>
      </c>
    </row>
    <row r="1003" spans="1:27">
      <c r="A1003" s="376">
        <v>751</v>
      </c>
      <c r="B1003" s="377">
        <v>817200</v>
      </c>
      <c r="C1003" s="391" t="s">
        <v>7142</v>
      </c>
      <c r="D1003" s="379">
        <v>16</v>
      </c>
      <c r="E1003" s="380">
        <v>16</v>
      </c>
      <c r="F1003" s="380">
        <v>16</v>
      </c>
      <c r="H1003" s="351">
        <f t="shared" si="80"/>
        <v>16000</v>
      </c>
      <c r="I1003" s="351">
        <f t="shared" si="81"/>
        <v>16000</v>
      </c>
      <c r="M1003" s="321">
        <v>1623101130</v>
      </c>
      <c r="N1003" s="321">
        <v>62</v>
      </c>
      <c r="O1003" s="321" t="s">
        <v>2576</v>
      </c>
      <c r="P1003" s="321">
        <v>2623101</v>
      </c>
      <c r="Q1003" s="322">
        <v>96000</v>
      </c>
      <c r="R1003" s="322">
        <v>71400</v>
      </c>
      <c r="S1003" s="322">
        <v>103000</v>
      </c>
      <c r="T1003" s="322">
        <v>92700</v>
      </c>
      <c r="U1003" s="322">
        <f t="shared" si="77"/>
        <v>10300</v>
      </c>
      <c r="W1003" s="321">
        <f t="shared" si="78"/>
        <v>130</v>
      </c>
      <c r="X1003" s="321">
        <f t="shared" si="79"/>
        <v>623101</v>
      </c>
      <c r="Y1003" s="321">
        <v>1</v>
      </c>
      <c r="AA1003" s="321" t="s">
        <v>2576</v>
      </c>
    </row>
    <row r="1004" spans="1:27">
      <c r="A1004" s="376">
        <v>870</v>
      </c>
      <c r="B1004" s="377">
        <v>817200</v>
      </c>
      <c r="C1004" s="391" t="s">
        <v>7055</v>
      </c>
      <c r="D1004" s="379">
        <v>50</v>
      </c>
      <c r="E1004" s="380">
        <v>100</v>
      </c>
      <c r="F1004" s="380">
        <v>100</v>
      </c>
      <c r="H1004" s="351">
        <f t="shared" si="80"/>
        <v>50000</v>
      </c>
      <c r="I1004" s="351">
        <f t="shared" si="81"/>
        <v>100000</v>
      </c>
      <c r="M1004" s="321">
        <v>1623101140</v>
      </c>
      <c r="N1004" s="321">
        <v>62</v>
      </c>
      <c r="O1004" s="321" t="s">
        <v>5207</v>
      </c>
      <c r="P1004" s="321">
        <v>2623101</v>
      </c>
      <c r="Q1004" s="322">
        <v>202000</v>
      </c>
      <c r="R1004" s="322">
        <v>190600</v>
      </c>
      <c r="S1004" s="322">
        <v>238000</v>
      </c>
      <c r="T1004" s="322">
        <v>238000</v>
      </c>
      <c r="U1004" s="322">
        <f t="shared" si="77"/>
        <v>0</v>
      </c>
      <c r="W1004" s="321">
        <f t="shared" si="78"/>
        <v>140</v>
      </c>
      <c r="X1004" s="321">
        <f t="shared" si="79"/>
        <v>623101</v>
      </c>
      <c r="Y1004" s="321">
        <v>1</v>
      </c>
      <c r="AA1004" s="321" t="s">
        <v>5207</v>
      </c>
    </row>
    <row r="1005" spans="1:27">
      <c r="A1005" s="376">
        <v>100</v>
      </c>
      <c r="B1005" s="377">
        <v>817210</v>
      </c>
      <c r="C1005" s="382" t="s">
        <v>6711</v>
      </c>
      <c r="D1005" s="379">
        <v>1124</v>
      </c>
      <c r="E1005" s="380">
        <v>1100</v>
      </c>
      <c r="F1005" s="380">
        <v>1105</v>
      </c>
      <c r="H1005" s="351">
        <f t="shared" si="80"/>
        <v>1124000</v>
      </c>
      <c r="I1005" s="351">
        <f t="shared" si="81"/>
        <v>1105000</v>
      </c>
      <c r="M1005" s="321">
        <v>1623101141</v>
      </c>
      <c r="N1005" s="321">
        <v>62</v>
      </c>
      <c r="O1005" s="321" t="s">
        <v>5208</v>
      </c>
      <c r="P1005" s="321">
        <v>2623101</v>
      </c>
      <c r="Q1005" s="322">
        <v>58000</v>
      </c>
      <c r="R1005" s="322">
        <v>44300</v>
      </c>
      <c r="S1005" s="322">
        <v>71000</v>
      </c>
      <c r="T1005" s="322">
        <v>71000</v>
      </c>
      <c r="U1005" s="322">
        <f t="shared" si="77"/>
        <v>0</v>
      </c>
      <c r="W1005" s="321">
        <f t="shared" si="78"/>
        <v>141</v>
      </c>
      <c r="X1005" s="321">
        <f t="shared" si="79"/>
        <v>623101</v>
      </c>
      <c r="Y1005" s="321">
        <v>1</v>
      </c>
      <c r="AA1005" s="321" t="s">
        <v>5208</v>
      </c>
    </row>
    <row r="1006" spans="1:27">
      <c r="A1006" s="376">
        <v>102</v>
      </c>
      <c r="B1006" s="377">
        <v>817210</v>
      </c>
      <c r="C1006" s="382" t="s">
        <v>7143</v>
      </c>
      <c r="D1006" s="379">
        <v>483</v>
      </c>
      <c r="E1006" s="380">
        <v>485</v>
      </c>
      <c r="F1006" s="380">
        <v>485</v>
      </c>
      <c r="H1006" s="351">
        <f t="shared" si="80"/>
        <v>483000</v>
      </c>
      <c r="I1006" s="351">
        <f t="shared" si="81"/>
        <v>485000</v>
      </c>
      <c r="M1006" s="321">
        <v>1623101181</v>
      </c>
      <c r="N1006" s="321">
        <v>62</v>
      </c>
      <c r="O1006" s="321" t="s">
        <v>2580</v>
      </c>
      <c r="P1006" s="321">
        <v>2623101</v>
      </c>
      <c r="Q1006" s="322">
        <v>176000</v>
      </c>
      <c r="R1006" s="322">
        <v>144000</v>
      </c>
      <c r="S1006" s="322">
        <v>237000</v>
      </c>
      <c r="T1006" s="322">
        <v>237000</v>
      </c>
      <c r="U1006" s="322">
        <f t="shared" si="77"/>
        <v>0</v>
      </c>
      <c r="W1006" s="321">
        <f t="shared" si="78"/>
        <v>181</v>
      </c>
      <c r="X1006" s="321">
        <f t="shared" si="79"/>
        <v>623101</v>
      </c>
      <c r="Y1006" s="321">
        <v>1</v>
      </c>
      <c r="AA1006" s="321" t="s">
        <v>2580</v>
      </c>
    </row>
    <row r="1007" spans="1:27">
      <c r="A1007" s="376">
        <v>103</v>
      </c>
      <c r="B1007" s="377">
        <v>817210</v>
      </c>
      <c r="C1007" s="382" t="s">
        <v>7144</v>
      </c>
      <c r="D1007" s="379">
        <v>348</v>
      </c>
      <c r="E1007" s="380">
        <v>230</v>
      </c>
      <c r="F1007" s="380">
        <v>230</v>
      </c>
      <c r="H1007" s="351">
        <f t="shared" si="80"/>
        <v>348000</v>
      </c>
      <c r="I1007" s="351">
        <f t="shared" si="81"/>
        <v>230000</v>
      </c>
      <c r="M1007" s="321">
        <v>1623101182</v>
      </c>
      <c r="N1007" s="321">
        <v>62</v>
      </c>
      <c r="O1007" s="321" t="s">
        <v>2582</v>
      </c>
      <c r="P1007" s="321">
        <v>2623101</v>
      </c>
      <c r="Q1007" s="322">
        <v>193000</v>
      </c>
      <c r="R1007" s="322">
        <v>148500</v>
      </c>
      <c r="S1007" s="322">
        <v>232000</v>
      </c>
      <c r="T1007" s="322">
        <v>232000</v>
      </c>
      <c r="U1007" s="322">
        <f t="shared" si="77"/>
        <v>0</v>
      </c>
      <c r="W1007" s="321">
        <f t="shared" si="78"/>
        <v>182</v>
      </c>
      <c r="X1007" s="321">
        <f t="shared" si="79"/>
        <v>623101</v>
      </c>
      <c r="Y1007" s="321">
        <v>1</v>
      </c>
      <c r="AA1007" s="321" t="s">
        <v>2582</v>
      </c>
    </row>
    <row r="1008" spans="1:27" ht="30">
      <c r="A1008" s="376">
        <v>107</v>
      </c>
      <c r="B1008" s="377">
        <v>817210</v>
      </c>
      <c r="C1008" s="400" t="s">
        <v>7145</v>
      </c>
      <c r="D1008" s="379">
        <v>91</v>
      </c>
      <c r="E1008" s="380">
        <v>131</v>
      </c>
      <c r="F1008" s="380">
        <v>131</v>
      </c>
      <c r="H1008" s="351">
        <f t="shared" si="80"/>
        <v>91000</v>
      </c>
      <c r="I1008" s="351">
        <f t="shared" si="81"/>
        <v>131000</v>
      </c>
      <c r="M1008" s="321">
        <v>1623101779</v>
      </c>
      <c r="N1008" s="321">
        <v>62</v>
      </c>
      <c r="O1008" s="321" t="s">
        <v>5382</v>
      </c>
      <c r="P1008" s="321">
        <v>2623101</v>
      </c>
      <c r="Q1008" s="322">
        <v>3000</v>
      </c>
      <c r="R1008" s="322">
        <v>800</v>
      </c>
      <c r="S1008" s="322">
        <v>3000</v>
      </c>
      <c r="T1008" s="322">
        <v>3000</v>
      </c>
      <c r="U1008" s="322">
        <f t="shared" si="77"/>
        <v>0</v>
      </c>
      <c r="W1008" s="321">
        <f t="shared" si="78"/>
        <v>779</v>
      </c>
      <c r="X1008" s="321">
        <f t="shared" si="79"/>
        <v>623101</v>
      </c>
      <c r="Y1008" s="321">
        <v>1</v>
      </c>
      <c r="AA1008" s="321" t="s">
        <v>5382</v>
      </c>
    </row>
    <row r="1009" spans="1:27">
      <c r="A1009" s="376">
        <v>420</v>
      </c>
      <c r="B1009" s="377">
        <v>817210</v>
      </c>
      <c r="C1009" s="382" t="s">
        <v>6987</v>
      </c>
      <c r="D1009" s="379">
        <v>62</v>
      </c>
      <c r="E1009" s="380">
        <v>70</v>
      </c>
      <c r="F1009" s="380">
        <v>70</v>
      </c>
      <c r="H1009" s="351">
        <f t="shared" si="80"/>
        <v>62000</v>
      </c>
      <c r="I1009" s="351">
        <f t="shared" si="81"/>
        <v>70000</v>
      </c>
      <c r="M1009" s="321">
        <v>1623102110</v>
      </c>
      <c r="N1009" s="321">
        <v>62</v>
      </c>
      <c r="O1009" s="321" t="s">
        <v>5231</v>
      </c>
      <c r="P1009" s="321">
        <v>2623102</v>
      </c>
      <c r="Q1009" s="322">
        <v>929000</v>
      </c>
      <c r="R1009" s="322">
        <v>694100</v>
      </c>
      <c r="S1009" s="322">
        <v>1182000</v>
      </c>
      <c r="T1009" s="322">
        <v>1182000</v>
      </c>
      <c r="U1009" s="322">
        <f t="shared" si="77"/>
        <v>0</v>
      </c>
      <c r="W1009" s="321">
        <f t="shared" si="78"/>
        <v>110</v>
      </c>
      <c r="X1009" s="321">
        <f t="shared" si="79"/>
        <v>623102</v>
      </c>
      <c r="Y1009" s="321">
        <v>1</v>
      </c>
      <c r="AA1009" s="321" t="s">
        <v>5231</v>
      </c>
    </row>
    <row r="1010" spans="1:27">
      <c r="A1010" s="376">
        <v>430</v>
      </c>
      <c r="B1010" s="377">
        <v>817210</v>
      </c>
      <c r="C1010" s="391" t="s">
        <v>6798</v>
      </c>
      <c r="D1010" s="379">
        <v>70</v>
      </c>
      <c r="E1010" s="380">
        <v>140</v>
      </c>
      <c r="F1010" s="380">
        <v>140</v>
      </c>
      <c r="H1010" s="351">
        <f t="shared" si="80"/>
        <v>70000</v>
      </c>
      <c r="I1010" s="351">
        <f t="shared" si="81"/>
        <v>140000</v>
      </c>
      <c r="M1010" s="321">
        <v>1623102120</v>
      </c>
      <c r="N1010" s="321">
        <v>62</v>
      </c>
      <c r="O1010" s="321" t="s">
        <v>5206</v>
      </c>
      <c r="P1010" s="321">
        <v>2623102</v>
      </c>
      <c r="Q1010" s="322">
        <v>189000</v>
      </c>
      <c r="R1010" s="322">
        <v>170100</v>
      </c>
      <c r="S1010" s="322">
        <v>199000</v>
      </c>
      <c r="T1010" s="322">
        <v>199000</v>
      </c>
      <c r="U1010" s="322">
        <f t="shared" si="77"/>
        <v>0</v>
      </c>
      <c r="W1010" s="321">
        <f t="shared" si="78"/>
        <v>120</v>
      </c>
      <c r="X1010" s="321">
        <f t="shared" si="79"/>
        <v>623102</v>
      </c>
      <c r="Y1010" s="321">
        <v>1</v>
      </c>
      <c r="AA1010" s="321" t="s">
        <v>5206</v>
      </c>
    </row>
    <row r="1011" spans="1:27">
      <c r="A1011" s="376">
        <v>432</v>
      </c>
      <c r="B1011" s="377">
        <v>817210</v>
      </c>
      <c r="C1011" s="391" t="s">
        <v>6887</v>
      </c>
      <c r="D1011" s="379">
        <v>35</v>
      </c>
      <c r="E1011" s="380">
        <v>72</v>
      </c>
      <c r="F1011" s="380">
        <v>72</v>
      </c>
      <c r="H1011" s="351">
        <f t="shared" si="80"/>
        <v>35000</v>
      </c>
      <c r="I1011" s="351">
        <f t="shared" si="81"/>
        <v>72000</v>
      </c>
      <c r="M1011" s="321">
        <v>1623102130</v>
      </c>
      <c r="N1011" s="321">
        <v>62</v>
      </c>
      <c r="O1011" s="321" t="s">
        <v>2576</v>
      </c>
      <c r="P1011" s="321">
        <v>2623102</v>
      </c>
      <c r="Q1011" s="322">
        <v>40000</v>
      </c>
      <c r="R1011" s="322">
        <v>38400</v>
      </c>
      <c r="S1011" s="322">
        <v>51000</v>
      </c>
      <c r="T1011" s="322">
        <v>45900</v>
      </c>
      <c r="U1011" s="322">
        <f t="shared" si="77"/>
        <v>5100</v>
      </c>
      <c r="W1011" s="321">
        <f t="shared" si="78"/>
        <v>130</v>
      </c>
      <c r="X1011" s="321">
        <f t="shared" si="79"/>
        <v>623102</v>
      </c>
      <c r="Y1011" s="321">
        <v>1</v>
      </c>
      <c r="AA1011" s="321" t="s">
        <v>2576</v>
      </c>
    </row>
    <row r="1012" spans="1:27">
      <c r="A1012" s="376">
        <v>540</v>
      </c>
      <c r="B1012" s="377">
        <v>817210</v>
      </c>
      <c r="C1012" s="391" t="s">
        <v>6752</v>
      </c>
      <c r="D1012" s="379">
        <v>11</v>
      </c>
      <c r="E1012" s="380">
        <v>11</v>
      </c>
      <c r="F1012" s="380">
        <v>15</v>
      </c>
      <c r="H1012" s="351">
        <f t="shared" si="80"/>
        <v>11000</v>
      </c>
      <c r="I1012" s="351">
        <f t="shared" si="81"/>
        <v>15000</v>
      </c>
      <c r="M1012" s="321">
        <v>1623102140</v>
      </c>
      <c r="N1012" s="321">
        <v>62</v>
      </c>
      <c r="O1012" s="321" t="s">
        <v>5207</v>
      </c>
      <c r="P1012" s="321">
        <v>2623102</v>
      </c>
      <c r="Q1012" s="322">
        <v>188000</v>
      </c>
      <c r="R1012" s="322">
        <v>189000</v>
      </c>
      <c r="S1012" s="322">
        <v>314000</v>
      </c>
      <c r="T1012" s="322">
        <v>314000</v>
      </c>
      <c r="U1012" s="322">
        <f t="shared" si="77"/>
        <v>0</v>
      </c>
      <c r="W1012" s="321">
        <f t="shared" si="78"/>
        <v>140</v>
      </c>
      <c r="X1012" s="321">
        <f t="shared" si="79"/>
        <v>623102</v>
      </c>
      <c r="Y1012" s="321">
        <v>1</v>
      </c>
      <c r="AA1012" s="321" t="s">
        <v>5207</v>
      </c>
    </row>
    <row r="1013" spans="1:27">
      <c r="A1013" s="376">
        <v>570</v>
      </c>
      <c r="B1013" s="377">
        <v>817210</v>
      </c>
      <c r="C1013" s="382" t="s">
        <v>6739</v>
      </c>
      <c r="D1013" s="379">
        <v>100</v>
      </c>
      <c r="E1013" s="380">
        <v>98</v>
      </c>
      <c r="F1013" s="380">
        <v>98</v>
      </c>
      <c r="H1013" s="351">
        <f t="shared" si="80"/>
        <v>100000</v>
      </c>
      <c r="I1013" s="351">
        <f t="shared" si="81"/>
        <v>98000</v>
      </c>
      <c r="M1013" s="321">
        <v>1623102141</v>
      </c>
      <c r="N1013" s="321">
        <v>62</v>
      </c>
      <c r="O1013" s="321" t="s">
        <v>5208</v>
      </c>
      <c r="P1013" s="321">
        <v>2623102</v>
      </c>
      <c r="Q1013" s="322">
        <v>77000</v>
      </c>
      <c r="R1013" s="322">
        <v>60000</v>
      </c>
      <c r="S1013" s="322">
        <v>83000</v>
      </c>
      <c r="T1013" s="322">
        <v>83000</v>
      </c>
      <c r="U1013" s="322">
        <f t="shared" si="77"/>
        <v>0</v>
      </c>
      <c r="W1013" s="321">
        <f t="shared" si="78"/>
        <v>141</v>
      </c>
      <c r="X1013" s="321">
        <f t="shared" si="79"/>
        <v>623102</v>
      </c>
      <c r="Y1013" s="321">
        <v>1</v>
      </c>
      <c r="AA1013" s="321" t="s">
        <v>5208</v>
      </c>
    </row>
    <row r="1014" spans="1:27">
      <c r="A1014" s="376">
        <v>750</v>
      </c>
      <c r="B1014" s="377">
        <v>817210</v>
      </c>
      <c r="C1014" s="391" t="s">
        <v>6804</v>
      </c>
      <c r="D1014" s="379">
        <v>153</v>
      </c>
      <c r="E1014" s="380">
        <v>305</v>
      </c>
      <c r="F1014" s="380">
        <f>327-12</f>
        <v>315</v>
      </c>
      <c r="H1014" s="351">
        <f t="shared" si="80"/>
        <v>153000</v>
      </c>
      <c r="I1014" s="351">
        <f t="shared" si="81"/>
        <v>315000</v>
      </c>
      <c r="M1014" s="321">
        <v>1623102181</v>
      </c>
      <c r="N1014" s="321">
        <v>62</v>
      </c>
      <c r="O1014" s="321" t="s">
        <v>2580</v>
      </c>
      <c r="P1014" s="321">
        <v>2623102</v>
      </c>
      <c r="Q1014" s="322">
        <v>227000</v>
      </c>
      <c r="R1014" s="322">
        <v>185100</v>
      </c>
      <c r="S1014" s="322">
        <v>302000</v>
      </c>
      <c r="T1014" s="322">
        <v>302000</v>
      </c>
      <c r="U1014" s="322">
        <f t="shared" si="77"/>
        <v>0</v>
      </c>
      <c r="W1014" s="321">
        <f t="shared" si="78"/>
        <v>181</v>
      </c>
      <c r="X1014" s="321">
        <f t="shared" si="79"/>
        <v>623102</v>
      </c>
      <c r="Y1014" s="321">
        <v>1</v>
      </c>
      <c r="AA1014" s="321" t="s">
        <v>2580</v>
      </c>
    </row>
    <row r="1015" spans="1:27">
      <c r="A1015" s="376">
        <v>751</v>
      </c>
      <c r="B1015" s="377">
        <v>817210</v>
      </c>
      <c r="C1015" s="382" t="s">
        <v>7110</v>
      </c>
      <c r="D1015" s="379">
        <v>14</v>
      </c>
      <c r="E1015" s="380">
        <v>14</v>
      </c>
      <c r="F1015" s="380">
        <v>14</v>
      </c>
      <c r="H1015" s="351">
        <f t="shared" si="80"/>
        <v>14000</v>
      </c>
      <c r="I1015" s="351">
        <f t="shared" si="81"/>
        <v>14000</v>
      </c>
      <c r="M1015" s="321">
        <v>1623102182</v>
      </c>
      <c r="N1015" s="321">
        <v>62</v>
      </c>
      <c r="O1015" s="321" t="s">
        <v>2582</v>
      </c>
      <c r="P1015" s="321">
        <v>2623102</v>
      </c>
      <c r="Q1015" s="322">
        <v>188000</v>
      </c>
      <c r="R1015" s="322">
        <v>151600</v>
      </c>
      <c r="S1015" s="322">
        <v>249000</v>
      </c>
      <c r="T1015" s="322">
        <v>249000</v>
      </c>
      <c r="U1015" s="322">
        <f t="shared" si="77"/>
        <v>0</v>
      </c>
      <c r="W1015" s="321">
        <f t="shared" si="78"/>
        <v>182</v>
      </c>
      <c r="X1015" s="321">
        <f t="shared" si="79"/>
        <v>623102</v>
      </c>
      <c r="Y1015" s="321">
        <v>1</v>
      </c>
      <c r="AA1015" s="321" t="s">
        <v>2582</v>
      </c>
    </row>
    <row r="1016" spans="1:27">
      <c r="A1016" s="376">
        <v>780</v>
      </c>
      <c r="B1016" s="377">
        <v>817210</v>
      </c>
      <c r="C1016" s="382" t="s">
        <v>7146</v>
      </c>
      <c r="D1016" s="379">
        <v>313</v>
      </c>
      <c r="E1016" s="380">
        <v>323</v>
      </c>
      <c r="F1016" s="380">
        <v>323</v>
      </c>
      <c r="H1016" s="351">
        <f t="shared" si="80"/>
        <v>313000</v>
      </c>
      <c r="I1016" s="351">
        <f t="shared" si="81"/>
        <v>323000</v>
      </c>
      <c r="M1016" s="321">
        <v>1623102410</v>
      </c>
      <c r="N1016" s="321">
        <v>62</v>
      </c>
      <c r="O1016" s="321" t="s">
        <v>5407</v>
      </c>
      <c r="P1016" s="321">
        <v>2623102</v>
      </c>
      <c r="Q1016" s="322">
        <v>290000</v>
      </c>
      <c r="R1016" s="322">
        <v>121700</v>
      </c>
      <c r="S1016" s="322">
        <v>290000</v>
      </c>
      <c r="T1016" s="322">
        <v>250000</v>
      </c>
      <c r="U1016" s="322">
        <f t="shared" si="77"/>
        <v>40000</v>
      </c>
      <c r="W1016" s="321">
        <f t="shared" si="78"/>
        <v>410</v>
      </c>
      <c r="X1016" s="321">
        <f t="shared" si="79"/>
        <v>623102</v>
      </c>
      <c r="Y1016" s="321">
        <v>1</v>
      </c>
      <c r="AA1016" s="321" t="s">
        <v>5407</v>
      </c>
    </row>
    <row r="1017" spans="1:27">
      <c r="A1017" s="376">
        <v>781</v>
      </c>
      <c r="B1017" s="377">
        <v>817210</v>
      </c>
      <c r="C1017" s="382" t="s">
        <v>7147</v>
      </c>
      <c r="D1017" s="379">
        <v>250</v>
      </c>
      <c r="E1017" s="380">
        <v>210</v>
      </c>
      <c r="F1017" s="380">
        <v>210</v>
      </c>
      <c r="H1017" s="351">
        <f t="shared" si="80"/>
        <v>250000</v>
      </c>
      <c r="I1017" s="351">
        <f t="shared" si="81"/>
        <v>210000</v>
      </c>
      <c r="M1017" s="321">
        <v>1623102510</v>
      </c>
      <c r="N1017" s="321">
        <v>62</v>
      </c>
      <c r="O1017" s="321" t="s">
        <v>5408</v>
      </c>
      <c r="P1017" s="321">
        <v>2623102</v>
      </c>
      <c r="Q1017" s="322">
        <v>1000</v>
      </c>
      <c r="R1017" s="322">
        <v>200</v>
      </c>
      <c r="S1017" s="322">
        <v>1000</v>
      </c>
      <c r="T1017" s="322">
        <v>1000</v>
      </c>
      <c r="U1017" s="322">
        <f t="shared" si="77"/>
        <v>0</v>
      </c>
      <c r="W1017" s="321">
        <f t="shared" si="78"/>
        <v>510</v>
      </c>
      <c r="X1017" s="321">
        <f t="shared" si="79"/>
        <v>623102</v>
      </c>
      <c r="Y1017" s="321">
        <v>1</v>
      </c>
      <c r="AA1017" s="321" t="s">
        <v>5408</v>
      </c>
    </row>
    <row r="1018" spans="1:27">
      <c r="A1018" s="376">
        <v>784</v>
      </c>
      <c r="B1018" s="377">
        <v>817210</v>
      </c>
      <c r="C1018" s="382" t="s">
        <v>7148</v>
      </c>
      <c r="D1018" s="379">
        <v>0</v>
      </c>
      <c r="E1018" s="380">
        <v>0</v>
      </c>
      <c r="F1018" s="380">
        <v>0</v>
      </c>
      <c r="H1018" s="351">
        <f t="shared" si="80"/>
        <v>0</v>
      </c>
      <c r="I1018" s="351">
        <f t="shared" si="81"/>
        <v>0</v>
      </c>
      <c r="M1018" s="321">
        <v>1623102540</v>
      </c>
      <c r="N1018" s="321">
        <v>62</v>
      </c>
      <c r="O1018" s="321" t="s">
        <v>5216</v>
      </c>
      <c r="P1018" s="321">
        <v>2623102</v>
      </c>
      <c r="Q1018" s="322">
        <v>20000</v>
      </c>
      <c r="R1018" s="322">
        <v>13400</v>
      </c>
      <c r="S1018" s="322">
        <v>22000</v>
      </c>
      <c r="T1018" s="322">
        <v>22000</v>
      </c>
      <c r="U1018" s="322">
        <f t="shared" si="77"/>
        <v>0</v>
      </c>
      <c r="W1018" s="321">
        <f t="shared" si="78"/>
        <v>540</v>
      </c>
      <c r="X1018" s="321">
        <f t="shared" si="79"/>
        <v>623102</v>
      </c>
      <c r="Y1018" s="321">
        <v>1</v>
      </c>
      <c r="AA1018" s="321" t="s">
        <v>5216</v>
      </c>
    </row>
    <row r="1019" spans="1:27">
      <c r="A1019" s="376">
        <v>100</v>
      </c>
      <c r="B1019" s="377">
        <v>817300</v>
      </c>
      <c r="C1019" s="386" t="s">
        <v>7149</v>
      </c>
      <c r="D1019" s="379">
        <v>4895</v>
      </c>
      <c r="E1019" s="380">
        <v>4800</v>
      </c>
      <c r="F1019" s="380">
        <v>4900</v>
      </c>
      <c r="H1019" s="351">
        <f t="shared" si="80"/>
        <v>4895000</v>
      </c>
      <c r="I1019" s="351">
        <f t="shared" si="81"/>
        <v>4900000</v>
      </c>
      <c r="M1019" s="321">
        <v>1623102541</v>
      </c>
      <c r="N1019" s="321">
        <v>62</v>
      </c>
      <c r="O1019" s="321" t="s">
        <v>5260</v>
      </c>
      <c r="P1019" s="321">
        <v>2623102</v>
      </c>
      <c r="Q1019" s="322">
        <v>0</v>
      </c>
      <c r="R1019" s="322">
        <v>0</v>
      </c>
      <c r="S1019" s="322">
        <v>0</v>
      </c>
      <c r="T1019" s="322">
        <v>0</v>
      </c>
      <c r="U1019" s="322">
        <f t="shared" si="77"/>
        <v>0</v>
      </c>
      <c r="W1019" s="321">
        <f t="shared" si="78"/>
        <v>541</v>
      </c>
      <c r="X1019" s="321">
        <f t="shared" si="79"/>
        <v>623102</v>
      </c>
      <c r="Y1019" s="321">
        <v>1</v>
      </c>
      <c r="AA1019" s="321" t="s">
        <v>5260</v>
      </c>
    </row>
    <row r="1020" spans="1:27">
      <c r="A1020" s="376">
        <v>102</v>
      </c>
      <c r="B1020" s="377">
        <v>817300</v>
      </c>
      <c r="C1020" s="386" t="s">
        <v>7150</v>
      </c>
      <c r="D1020" s="379">
        <v>313</v>
      </c>
      <c r="E1020" s="380">
        <v>307</v>
      </c>
      <c r="F1020" s="380">
        <v>352</v>
      </c>
      <c r="H1020" s="351">
        <f t="shared" si="80"/>
        <v>313000</v>
      </c>
      <c r="I1020" s="351">
        <f t="shared" si="81"/>
        <v>352000</v>
      </c>
      <c r="M1020" s="321">
        <v>1623102542</v>
      </c>
      <c r="N1020" s="321">
        <v>62</v>
      </c>
      <c r="O1020" s="321" t="s">
        <v>5409</v>
      </c>
      <c r="P1020" s="321">
        <v>2623102</v>
      </c>
      <c r="Q1020" s="322">
        <v>5500</v>
      </c>
      <c r="R1020" s="322">
        <v>3400</v>
      </c>
      <c r="S1020" s="322">
        <v>10000</v>
      </c>
      <c r="T1020" s="322">
        <v>10000</v>
      </c>
      <c r="U1020" s="322">
        <f t="shared" si="77"/>
        <v>0</v>
      </c>
      <c r="W1020" s="321">
        <f t="shared" si="78"/>
        <v>542</v>
      </c>
      <c r="X1020" s="321">
        <f t="shared" si="79"/>
        <v>623102</v>
      </c>
      <c r="Y1020" s="321">
        <v>1</v>
      </c>
      <c r="AA1020" s="321" t="s">
        <v>5409</v>
      </c>
    </row>
    <row r="1021" spans="1:27">
      <c r="A1021" s="376">
        <v>103</v>
      </c>
      <c r="B1021" s="377">
        <v>817300</v>
      </c>
      <c r="C1021" s="386" t="s">
        <v>7151</v>
      </c>
      <c r="D1021" s="379">
        <v>154</v>
      </c>
      <c r="E1021" s="380">
        <v>150</v>
      </c>
      <c r="F1021" s="380">
        <v>150</v>
      </c>
      <c r="H1021" s="351">
        <f t="shared" si="80"/>
        <v>154000</v>
      </c>
      <c r="I1021" s="351">
        <f t="shared" si="81"/>
        <v>150000</v>
      </c>
      <c r="M1021" s="321">
        <v>1623102580</v>
      </c>
      <c r="N1021" s="321">
        <v>62</v>
      </c>
      <c r="O1021" s="321" t="s">
        <v>5410</v>
      </c>
      <c r="P1021" s="321">
        <v>2623102</v>
      </c>
      <c r="Q1021" s="322">
        <v>47000</v>
      </c>
      <c r="R1021" s="322">
        <v>19300</v>
      </c>
      <c r="S1021" s="322">
        <v>47000</v>
      </c>
      <c r="T1021" s="322">
        <v>30000</v>
      </c>
      <c r="U1021" s="322">
        <f t="shared" si="77"/>
        <v>17000</v>
      </c>
      <c r="W1021" s="321">
        <f t="shared" si="78"/>
        <v>580</v>
      </c>
      <c r="X1021" s="321">
        <f t="shared" si="79"/>
        <v>623102</v>
      </c>
      <c r="Y1021" s="321">
        <v>1</v>
      </c>
      <c r="AA1021" s="321" t="s">
        <v>5410</v>
      </c>
    </row>
    <row r="1022" spans="1:27">
      <c r="A1022" s="376">
        <v>107</v>
      </c>
      <c r="B1022" s="377">
        <v>817300</v>
      </c>
      <c r="C1022" s="400" t="s">
        <v>7043</v>
      </c>
      <c r="D1022" s="379">
        <v>61</v>
      </c>
      <c r="E1022" s="380">
        <v>91</v>
      </c>
      <c r="F1022" s="380">
        <v>91</v>
      </c>
      <c r="H1022" s="351">
        <f t="shared" si="80"/>
        <v>61000</v>
      </c>
      <c r="I1022" s="351">
        <f t="shared" si="81"/>
        <v>91000</v>
      </c>
      <c r="M1022" s="321">
        <v>1623102771</v>
      </c>
      <c r="N1022" s="321">
        <v>62</v>
      </c>
      <c r="O1022" s="321" t="s">
        <v>5411</v>
      </c>
      <c r="P1022" s="321">
        <v>2623102</v>
      </c>
      <c r="Q1022" s="322">
        <v>14000</v>
      </c>
      <c r="R1022" s="322">
        <v>0</v>
      </c>
      <c r="S1022" s="322">
        <v>14000</v>
      </c>
      <c r="T1022" s="322">
        <v>14000</v>
      </c>
      <c r="U1022" s="322">
        <f t="shared" si="77"/>
        <v>0</v>
      </c>
      <c r="W1022" s="321">
        <f t="shared" si="78"/>
        <v>771</v>
      </c>
      <c r="X1022" s="321">
        <f t="shared" si="79"/>
        <v>623102</v>
      </c>
      <c r="Y1022" s="321">
        <v>1</v>
      </c>
      <c r="AA1022" s="321" t="s">
        <v>5411</v>
      </c>
    </row>
    <row r="1023" spans="1:27">
      <c r="A1023" s="376">
        <v>220</v>
      </c>
      <c r="B1023" s="377">
        <v>817300</v>
      </c>
      <c r="C1023" s="400" t="s">
        <v>7152</v>
      </c>
      <c r="D1023" s="379">
        <v>100</v>
      </c>
      <c r="E1023" s="380">
        <v>100</v>
      </c>
      <c r="F1023" s="380">
        <v>100</v>
      </c>
      <c r="H1023" s="351">
        <f t="shared" si="80"/>
        <v>100000</v>
      </c>
      <c r="I1023" s="351">
        <f t="shared" si="81"/>
        <v>100000</v>
      </c>
      <c r="M1023" s="321">
        <v>1623500110</v>
      </c>
      <c r="N1023" s="321">
        <v>62</v>
      </c>
      <c r="O1023" s="321" t="s">
        <v>5205</v>
      </c>
      <c r="P1023" s="321">
        <v>2623500</v>
      </c>
      <c r="Q1023" s="322">
        <v>719000</v>
      </c>
      <c r="R1023" s="322">
        <v>613400</v>
      </c>
      <c r="S1023" s="322">
        <v>426000</v>
      </c>
      <c r="T1023" s="322">
        <v>426000</v>
      </c>
      <c r="U1023" s="322">
        <f t="shared" si="77"/>
        <v>0</v>
      </c>
      <c r="W1023" s="321">
        <f t="shared" si="78"/>
        <v>110</v>
      </c>
      <c r="X1023" s="321">
        <f t="shared" si="79"/>
        <v>623500</v>
      </c>
      <c r="Y1023" s="321">
        <v>1</v>
      </c>
      <c r="AA1023" s="321" t="s">
        <v>5205</v>
      </c>
    </row>
    <row r="1024" spans="1:27">
      <c r="A1024" s="376">
        <v>221</v>
      </c>
      <c r="B1024" s="377">
        <v>817300</v>
      </c>
      <c r="C1024" s="400" t="s">
        <v>7153</v>
      </c>
      <c r="D1024" s="379">
        <v>50</v>
      </c>
      <c r="E1024" s="380">
        <v>50</v>
      </c>
      <c r="F1024" s="380">
        <v>50</v>
      </c>
      <c r="H1024" s="351">
        <f t="shared" si="80"/>
        <v>50000</v>
      </c>
      <c r="I1024" s="351">
        <f t="shared" si="81"/>
        <v>50000</v>
      </c>
      <c r="M1024" s="321">
        <v>1623500120</v>
      </c>
      <c r="N1024" s="321">
        <v>62</v>
      </c>
      <c r="O1024" s="321" t="s">
        <v>5206</v>
      </c>
      <c r="P1024" s="321">
        <v>2623500</v>
      </c>
      <c r="Q1024" s="322">
        <v>192000</v>
      </c>
      <c r="R1024" s="322">
        <v>176600</v>
      </c>
      <c r="S1024" s="322">
        <v>208000</v>
      </c>
      <c r="T1024" s="322">
        <v>208000</v>
      </c>
      <c r="U1024" s="322">
        <f t="shared" si="77"/>
        <v>0</v>
      </c>
      <c r="W1024" s="321">
        <f t="shared" si="78"/>
        <v>120</v>
      </c>
      <c r="X1024" s="321">
        <f t="shared" si="79"/>
        <v>623500</v>
      </c>
      <c r="Y1024" s="321">
        <v>1</v>
      </c>
      <c r="AA1024" s="321" t="s">
        <v>5206</v>
      </c>
    </row>
    <row r="1025" spans="1:27">
      <c r="A1025" s="376">
        <v>420</v>
      </c>
      <c r="B1025" s="377">
        <v>817300</v>
      </c>
      <c r="C1025" s="382" t="s">
        <v>6987</v>
      </c>
      <c r="D1025" s="379">
        <v>5</v>
      </c>
      <c r="E1025" s="380">
        <v>5</v>
      </c>
      <c r="F1025" s="380">
        <v>5</v>
      </c>
      <c r="H1025" s="351">
        <f t="shared" si="80"/>
        <v>5000</v>
      </c>
      <c r="I1025" s="351">
        <f t="shared" si="81"/>
        <v>5000</v>
      </c>
      <c r="M1025" s="321">
        <v>1623500130</v>
      </c>
      <c r="N1025" s="321">
        <v>62</v>
      </c>
      <c r="O1025" s="321" t="s">
        <v>2576</v>
      </c>
      <c r="P1025" s="321">
        <v>2623500</v>
      </c>
      <c r="Q1025" s="322">
        <v>7000</v>
      </c>
      <c r="R1025" s="322">
        <v>19600</v>
      </c>
      <c r="S1025" s="322">
        <v>22000</v>
      </c>
      <c r="T1025" s="322">
        <v>19800</v>
      </c>
      <c r="U1025" s="322">
        <f t="shared" si="77"/>
        <v>2200</v>
      </c>
      <c r="W1025" s="321">
        <f t="shared" si="78"/>
        <v>130</v>
      </c>
      <c r="X1025" s="321">
        <f t="shared" si="79"/>
        <v>623500</v>
      </c>
      <c r="Y1025" s="321">
        <v>1</v>
      </c>
      <c r="AA1025" s="321" t="s">
        <v>2576</v>
      </c>
    </row>
    <row r="1026" spans="1:27">
      <c r="A1026" s="376">
        <v>430</v>
      </c>
      <c r="B1026" s="377">
        <v>817300</v>
      </c>
      <c r="C1026" s="391" t="s">
        <v>6798</v>
      </c>
      <c r="D1026" s="379">
        <v>31</v>
      </c>
      <c r="E1026" s="380">
        <v>30</v>
      </c>
      <c r="F1026" s="380">
        <v>30</v>
      </c>
      <c r="H1026" s="351">
        <f t="shared" si="80"/>
        <v>31000</v>
      </c>
      <c r="I1026" s="351">
        <f t="shared" si="81"/>
        <v>30000</v>
      </c>
      <c r="M1026" s="321">
        <v>1623500140</v>
      </c>
      <c r="N1026" s="321">
        <v>62</v>
      </c>
      <c r="O1026" s="321" t="s">
        <v>5207</v>
      </c>
      <c r="P1026" s="321">
        <v>2623500</v>
      </c>
      <c r="Q1026" s="322">
        <v>128000</v>
      </c>
      <c r="R1026" s="322">
        <v>127200</v>
      </c>
      <c r="S1026" s="322">
        <v>119000</v>
      </c>
      <c r="T1026" s="322">
        <v>119000</v>
      </c>
      <c r="U1026" s="322">
        <f t="shared" ref="U1026:U1089" si="82">S1026-T1026</f>
        <v>0</v>
      </c>
      <c r="W1026" s="321">
        <f t="shared" si="78"/>
        <v>140</v>
      </c>
      <c r="X1026" s="321">
        <f t="shared" si="79"/>
        <v>623500</v>
      </c>
      <c r="Y1026" s="321">
        <v>1</v>
      </c>
      <c r="AA1026" s="321" t="s">
        <v>5207</v>
      </c>
    </row>
    <row r="1027" spans="1:27">
      <c r="A1027" s="376">
        <v>432</v>
      </c>
      <c r="B1027" s="377">
        <v>817300</v>
      </c>
      <c r="C1027" s="391" t="s">
        <v>6887</v>
      </c>
      <c r="D1027" s="379">
        <v>11</v>
      </c>
      <c r="E1027" s="380">
        <v>11</v>
      </c>
      <c r="F1027" s="380">
        <v>11</v>
      </c>
      <c r="H1027" s="351">
        <f t="shared" si="80"/>
        <v>11000</v>
      </c>
      <c r="I1027" s="351">
        <f t="shared" si="81"/>
        <v>11000</v>
      </c>
      <c r="M1027" s="321">
        <v>1623500141</v>
      </c>
      <c r="N1027" s="321">
        <v>62</v>
      </c>
      <c r="O1027" s="321" t="s">
        <v>5208</v>
      </c>
      <c r="P1027" s="321">
        <v>2623500</v>
      </c>
      <c r="Q1027" s="322">
        <v>58000</v>
      </c>
      <c r="R1027" s="322">
        <v>57000</v>
      </c>
      <c r="S1027" s="322">
        <v>70000</v>
      </c>
      <c r="T1027" s="322">
        <v>70000</v>
      </c>
      <c r="U1027" s="322">
        <f t="shared" si="82"/>
        <v>0</v>
      </c>
      <c r="W1027" s="321">
        <f t="shared" ref="W1027:W1090" si="83">M1027-1000000000-X1027*1000</f>
        <v>141</v>
      </c>
      <c r="X1027" s="321">
        <f t="shared" ref="X1027:X1090" si="84">ROUNDDOWN((M1027-1000000000)/1000,0)</f>
        <v>623500</v>
      </c>
      <c r="Y1027" s="321">
        <v>1</v>
      </c>
      <c r="AA1027" s="321" t="s">
        <v>5208</v>
      </c>
    </row>
    <row r="1028" spans="1:27">
      <c r="A1028" s="376">
        <v>521</v>
      </c>
      <c r="B1028" s="377">
        <v>817300</v>
      </c>
      <c r="C1028" s="382" t="s">
        <v>7154</v>
      </c>
      <c r="D1028" s="379">
        <v>97</v>
      </c>
      <c r="E1028" s="380">
        <v>94</v>
      </c>
      <c r="F1028" s="380">
        <v>94</v>
      </c>
      <c r="H1028" s="351">
        <f t="shared" si="80"/>
        <v>97000</v>
      </c>
      <c r="I1028" s="351">
        <f t="shared" si="81"/>
        <v>94000</v>
      </c>
      <c r="M1028" s="321">
        <v>1623500181</v>
      </c>
      <c r="N1028" s="321">
        <v>62</v>
      </c>
      <c r="O1028" s="321" t="s">
        <v>2580</v>
      </c>
      <c r="P1028" s="321">
        <v>2623500</v>
      </c>
      <c r="Q1028" s="322">
        <v>134000</v>
      </c>
      <c r="R1028" s="322">
        <v>148500</v>
      </c>
      <c r="S1028" s="322">
        <v>134000</v>
      </c>
      <c r="T1028" s="322">
        <v>134000</v>
      </c>
      <c r="U1028" s="322">
        <f t="shared" si="82"/>
        <v>0</v>
      </c>
      <c r="W1028" s="321">
        <f t="shared" si="83"/>
        <v>181</v>
      </c>
      <c r="X1028" s="321">
        <f t="shared" si="84"/>
        <v>623500</v>
      </c>
      <c r="Y1028" s="321">
        <v>1</v>
      </c>
      <c r="AA1028" s="321" t="s">
        <v>2580</v>
      </c>
    </row>
    <row r="1029" spans="1:27">
      <c r="A1029" s="376">
        <v>540</v>
      </c>
      <c r="B1029" s="377">
        <v>817300</v>
      </c>
      <c r="C1029" s="391" t="s">
        <v>6752</v>
      </c>
      <c r="D1029" s="379">
        <v>15</v>
      </c>
      <c r="E1029" s="380">
        <v>15</v>
      </c>
      <c r="F1029" s="380">
        <v>15</v>
      </c>
      <c r="H1029" s="351">
        <f t="shared" si="80"/>
        <v>15000</v>
      </c>
      <c r="I1029" s="351">
        <f t="shared" si="81"/>
        <v>15000</v>
      </c>
      <c r="M1029" s="321">
        <v>1623500182</v>
      </c>
      <c r="N1029" s="321">
        <v>62</v>
      </c>
      <c r="O1029" s="321" t="s">
        <v>5412</v>
      </c>
      <c r="P1029" s="321">
        <v>2623500</v>
      </c>
      <c r="Q1029" s="322">
        <v>139000</v>
      </c>
      <c r="R1029" s="322">
        <v>126600</v>
      </c>
      <c r="S1029" s="322">
        <v>112000</v>
      </c>
      <c r="T1029" s="322">
        <v>112000</v>
      </c>
      <c r="U1029" s="322">
        <f t="shared" si="82"/>
        <v>0</v>
      </c>
      <c r="W1029" s="321">
        <f t="shared" si="83"/>
        <v>182</v>
      </c>
      <c r="X1029" s="321">
        <f t="shared" si="84"/>
        <v>623500</v>
      </c>
      <c r="Y1029" s="321">
        <v>1</v>
      </c>
      <c r="AA1029" s="321" t="s">
        <v>5412</v>
      </c>
    </row>
    <row r="1030" spans="1:27">
      <c r="A1030" s="376">
        <v>720</v>
      </c>
      <c r="B1030" s="377">
        <v>817300</v>
      </c>
      <c r="C1030" s="382" t="s">
        <v>7155</v>
      </c>
      <c r="D1030" s="379">
        <v>60</v>
      </c>
      <c r="E1030" s="380">
        <v>60</v>
      </c>
      <c r="F1030" s="380">
        <v>60</v>
      </c>
      <c r="H1030" s="351">
        <f t="shared" si="80"/>
        <v>60000</v>
      </c>
      <c r="I1030" s="351">
        <f t="shared" si="81"/>
        <v>60000</v>
      </c>
      <c r="M1030" s="321">
        <v>1623501756</v>
      </c>
      <c r="N1030" s="321">
        <v>62</v>
      </c>
      <c r="O1030" s="321" t="s">
        <v>5413</v>
      </c>
      <c r="P1030" s="321">
        <v>2623500</v>
      </c>
      <c r="Q1030" s="322">
        <v>4700000</v>
      </c>
      <c r="R1030" s="322">
        <v>2814900</v>
      </c>
      <c r="S1030" s="322">
        <v>4700000</v>
      </c>
      <c r="T1030" s="322">
        <v>4200000</v>
      </c>
      <c r="U1030" s="322">
        <f t="shared" si="82"/>
        <v>500000</v>
      </c>
      <c r="W1030" s="321">
        <f t="shared" si="83"/>
        <v>756</v>
      </c>
      <c r="X1030" s="321">
        <f t="shared" si="84"/>
        <v>623501</v>
      </c>
      <c r="Y1030" s="321">
        <v>1</v>
      </c>
      <c r="AA1030" s="321" t="s">
        <v>5413</v>
      </c>
    </row>
    <row r="1031" spans="1:27">
      <c r="A1031" s="376">
        <v>742</v>
      </c>
      <c r="B1031" s="377">
        <v>817300</v>
      </c>
      <c r="C1031" s="397" t="s">
        <v>6740</v>
      </c>
      <c r="D1031" s="379">
        <v>3</v>
      </c>
      <c r="E1031" s="380">
        <v>3</v>
      </c>
      <c r="F1031" s="380">
        <v>3</v>
      </c>
      <c r="H1031" s="351">
        <f t="shared" si="80"/>
        <v>3000</v>
      </c>
      <c r="I1031" s="351">
        <f t="shared" si="81"/>
        <v>3000</v>
      </c>
      <c r="M1031" s="321">
        <v>1623501757</v>
      </c>
      <c r="N1031" s="321">
        <v>62</v>
      </c>
      <c r="O1031" s="321" t="s">
        <v>5414</v>
      </c>
      <c r="P1031" s="321">
        <v>2623500</v>
      </c>
      <c r="Q1031" s="322">
        <v>70000</v>
      </c>
      <c r="R1031" s="322">
        <v>63300</v>
      </c>
      <c r="S1031" s="322">
        <v>116000</v>
      </c>
      <c r="T1031" s="322">
        <v>116000</v>
      </c>
      <c r="U1031" s="322">
        <f t="shared" si="82"/>
        <v>0</v>
      </c>
      <c r="W1031" s="321">
        <f t="shared" si="83"/>
        <v>757</v>
      </c>
      <c r="X1031" s="321">
        <f t="shared" si="84"/>
        <v>623501</v>
      </c>
      <c r="Y1031" s="321">
        <v>1</v>
      </c>
      <c r="AA1031" s="321" t="s">
        <v>5414</v>
      </c>
    </row>
    <row r="1032" spans="1:27">
      <c r="A1032" s="376">
        <v>750</v>
      </c>
      <c r="B1032" s="377">
        <v>817300</v>
      </c>
      <c r="C1032" s="385" t="s">
        <v>6804</v>
      </c>
      <c r="D1032" s="379">
        <v>99</v>
      </c>
      <c r="E1032" s="380">
        <v>90</v>
      </c>
      <c r="F1032" s="380">
        <v>90</v>
      </c>
      <c r="H1032" s="351">
        <f t="shared" si="80"/>
        <v>99000</v>
      </c>
      <c r="I1032" s="351">
        <f t="shared" si="81"/>
        <v>90000</v>
      </c>
      <c r="M1032" s="321">
        <v>1623502750</v>
      </c>
      <c r="N1032" s="321">
        <v>62</v>
      </c>
      <c r="O1032" s="321" t="s">
        <v>5415</v>
      </c>
      <c r="P1032" s="321">
        <v>2623500</v>
      </c>
      <c r="Q1032" s="322">
        <v>600000</v>
      </c>
      <c r="R1032" s="322">
        <v>285900</v>
      </c>
      <c r="S1032" s="322">
        <v>600000</v>
      </c>
      <c r="T1032" s="322">
        <v>500000</v>
      </c>
      <c r="U1032" s="322">
        <f t="shared" si="82"/>
        <v>100000</v>
      </c>
      <c r="W1032" s="321">
        <f t="shared" si="83"/>
        <v>750</v>
      </c>
      <c r="X1032" s="321">
        <f t="shared" si="84"/>
        <v>623502</v>
      </c>
      <c r="Y1032" s="321">
        <v>1</v>
      </c>
      <c r="AA1032" s="321" t="s">
        <v>5415</v>
      </c>
    </row>
    <row r="1033" spans="1:27">
      <c r="A1033" s="376">
        <v>780</v>
      </c>
      <c r="B1033" s="377">
        <v>817300</v>
      </c>
      <c r="C1033" s="386" t="s">
        <v>7156</v>
      </c>
      <c r="D1033" s="379">
        <v>0</v>
      </c>
      <c r="E1033" s="380">
        <v>20</v>
      </c>
      <c r="F1033" s="380">
        <v>20</v>
      </c>
      <c r="H1033" s="351">
        <f t="shared" si="80"/>
        <v>0</v>
      </c>
      <c r="I1033" s="351">
        <f t="shared" si="81"/>
        <v>20000</v>
      </c>
      <c r="M1033" s="321">
        <v>1623502751</v>
      </c>
      <c r="N1033" s="321">
        <v>62</v>
      </c>
      <c r="O1033" s="321" t="s">
        <v>5416</v>
      </c>
      <c r="P1033" s="321">
        <v>2623500</v>
      </c>
      <c r="Q1033" s="322">
        <v>1000000</v>
      </c>
      <c r="R1033" s="322">
        <v>327300</v>
      </c>
      <c r="S1033" s="322">
        <v>1000000</v>
      </c>
      <c r="T1033" s="322">
        <v>900000</v>
      </c>
      <c r="U1033" s="322">
        <f t="shared" si="82"/>
        <v>100000</v>
      </c>
      <c r="W1033" s="321">
        <f t="shared" si="83"/>
        <v>751</v>
      </c>
      <c r="X1033" s="321">
        <f t="shared" si="84"/>
        <v>623502</v>
      </c>
      <c r="Y1033" s="321">
        <v>1</v>
      </c>
      <c r="AA1033" s="321" t="s">
        <v>5416</v>
      </c>
    </row>
    <row r="1034" spans="1:27">
      <c r="A1034" s="376">
        <v>751</v>
      </c>
      <c r="B1034" s="377">
        <v>817410</v>
      </c>
      <c r="C1034" s="391" t="s">
        <v>7157</v>
      </c>
      <c r="D1034" s="379">
        <v>110</v>
      </c>
      <c r="E1034" s="380">
        <v>160</v>
      </c>
      <c r="F1034" s="380">
        <v>180</v>
      </c>
      <c r="H1034" s="351">
        <f t="shared" si="80"/>
        <v>110000</v>
      </c>
      <c r="I1034" s="351">
        <f t="shared" si="81"/>
        <v>180000</v>
      </c>
      <c r="M1034" s="321">
        <v>1623502752</v>
      </c>
      <c r="N1034" s="321">
        <v>62</v>
      </c>
      <c r="O1034" s="321" t="s">
        <v>5417</v>
      </c>
      <c r="P1034" s="321">
        <v>2623500</v>
      </c>
      <c r="Q1034" s="322">
        <v>120000</v>
      </c>
      <c r="R1034" s="322">
        <v>10000</v>
      </c>
      <c r="S1034" s="322">
        <v>80000</v>
      </c>
      <c r="T1034" s="322">
        <v>80000</v>
      </c>
      <c r="U1034" s="322">
        <f t="shared" si="82"/>
        <v>0</v>
      </c>
      <c r="W1034" s="321">
        <f t="shared" si="83"/>
        <v>752</v>
      </c>
      <c r="X1034" s="321">
        <f t="shared" si="84"/>
        <v>623502</v>
      </c>
      <c r="Y1034" s="321">
        <v>1</v>
      </c>
      <c r="AA1034" s="321" t="s">
        <v>5417</v>
      </c>
    </row>
    <row r="1035" spans="1:27">
      <c r="A1035" s="376">
        <v>755</v>
      </c>
      <c r="B1035" s="377">
        <v>817410</v>
      </c>
      <c r="C1035" s="382" t="s">
        <v>7158</v>
      </c>
      <c r="D1035" s="379">
        <v>190</v>
      </c>
      <c r="E1035" s="380">
        <v>190</v>
      </c>
      <c r="F1035" s="380">
        <v>190</v>
      </c>
      <c r="H1035" s="351">
        <f t="shared" si="80"/>
        <v>190000</v>
      </c>
      <c r="I1035" s="351">
        <f t="shared" si="81"/>
        <v>190000</v>
      </c>
      <c r="M1035" s="321">
        <v>1631000610</v>
      </c>
      <c r="N1035" s="321">
        <v>63</v>
      </c>
      <c r="O1035" s="321" t="s">
        <v>5418</v>
      </c>
      <c r="P1035" s="321">
        <v>2630000</v>
      </c>
      <c r="Q1035" s="322">
        <v>3144000</v>
      </c>
      <c r="R1035" s="322">
        <v>2366100</v>
      </c>
      <c r="S1035" s="322">
        <v>3144000</v>
      </c>
      <c r="T1035" s="322">
        <v>3144000</v>
      </c>
      <c r="U1035" s="322">
        <f t="shared" si="82"/>
        <v>0</v>
      </c>
      <c r="W1035" s="321">
        <f t="shared" si="83"/>
        <v>610</v>
      </c>
      <c r="X1035" s="321">
        <f t="shared" si="84"/>
        <v>631000</v>
      </c>
      <c r="Y1035" s="321">
        <v>1</v>
      </c>
      <c r="AA1035" s="321" t="s">
        <v>5418</v>
      </c>
    </row>
    <row r="1036" spans="1:27">
      <c r="A1036" s="376">
        <v>850</v>
      </c>
      <c r="B1036" s="377">
        <v>817410</v>
      </c>
      <c r="C1036" s="414" t="s">
        <v>7159</v>
      </c>
      <c r="D1036" s="379">
        <v>50</v>
      </c>
      <c r="E1036" s="380">
        <v>30</v>
      </c>
      <c r="F1036" s="380">
        <v>80</v>
      </c>
      <c r="H1036" s="351">
        <f t="shared" si="80"/>
        <v>50000</v>
      </c>
      <c r="I1036" s="351">
        <f t="shared" si="81"/>
        <v>80000</v>
      </c>
      <c r="M1036" s="321">
        <v>1631000611</v>
      </c>
      <c r="N1036" s="321">
        <v>63</v>
      </c>
      <c r="O1036" s="321" t="s">
        <v>5419</v>
      </c>
      <c r="P1036" s="321">
        <v>2630000</v>
      </c>
      <c r="Q1036" s="322">
        <v>270000</v>
      </c>
      <c r="R1036" s="322">
        <v>32000</v>
      </c>
      <c r="S1036" s="322">
        <v>270000</v>
      </c>
      <c r="T1036" s="322">
        <v>270000</v>
      </c>
      <c r="U1036" s="322">
        <f t="shared" si="82"/>
        <v>0</v>
      </c>
      <c r="W1036" s="321">
        <f t="shared" si="83"/>
        <v>611</v>
      </c>
      <c r="X1036" s="321">
        <f t="shared" si="84"/>
        <v>631000</v>
      </c>
      <c r="Y1036" s="321">
        <v>1</v>
      </c>
      <c r="AA1036" s="321" t="s">
        <v>5419</v>
      </c>
    </row>
    <row r="1037" spans="1:27">
      <c r="A1037" s="376">
        <v>440</v>
      </c>
      <c r="B1037" s="377">
        <v>817500</v>
      </c>
      <c r="C1037" s="417" t="s">
        <v>7160</v>
      </c>
      <c r="D1037" s="379">
        <v>1100</v>
      </c>
      <c r="E1037" s="380">
        <v>1080</v>
      </c>
      <c r="F1037" s="380">
        <v>708</v>
      </c>
      <c r="H1037" s="351">
        <f t="shared" si="80"/>
        <v>1100000</v>
      </c>
      <c r="I1037" s="351">
        <f t="shared" si="81"/>
        <v>708000</v>
      </c>
      <c r="M1037" s="321">
        <v>1632000620</v>
      </c>
      <c r="N1037" s="321">
        <v>63</v>
      </c>
      <c r="O1037" s="321" t="s">
        <v>5420</v>
      </c>
      <c r="P1037" s="321">
        <v>2630000</v>
      </c>
      <c r="Q1037" s="322">
        <v>100000</v>
      </c>
      <c r="R1037" s="322">
        <v>3100</v>
      </c>
      <c r="S1037" s="322">
        <v>100000</v>
      </c>
      <c r="T1037" s="322">
        <v>100000</v>
      </c>
      <c r="U1037" s="322">
        <f t="shared" si="82"/>
        <v>0</v>
      </c>
      <c r="W1037" s="321">
        <f t="shared" si="83"/>
        <v>620</v>
      </c>
      <c r="X1037" s="321">
        <f t="shared" si="84"/>
        <v>632000</v>
      </c>
      <c r="Y1037" s="321">
        <v>1</v>
      </c>
      <c r="AA1037" s="321" t="s">
        <v>5420</v>
      </c>
    </row>
    <row r="1038" spans="1:27">
      <c r="A1038" s="376">
        <v>100</v>
      </c>
      <c r="B1038" s="377">
        <v>817700</v>
      </c>
      <c r="C1038" s="391" t="s">
        <v>6711</v>
      </c>
      <c r="D1038" s="379">
        <v>642</v>
      </c>
      <c r="E1038" s="380">
        <v>590</v>
      </c>
      <c r="F1038" s="380">
        <v>593</v>
      </c>
      <c r="H1038" s="351">
        <f t="shared" si="80"/>
        <v>642000</v>
      </c>
      <c r="I1038" s="351">
        <f t="shared" si="81"/>
        <v>593000</v>
      </c>
      <c r="M1038" s="321">
        <v>1632000640</v>
      </c>
      <c r="N1038" s="321">
        <v>63</v>
      </c>
      <c r="O1038" s="321" t="s">
        <v>5421</v>
      </c>
      <c r="P1038" s="321">
        <v>2630000</v>
      </c>
      <c r="Q1038" s="322">
        <v>20000</v>
      </c>
      <c r="R1038" s="322">
        <v>0</v>
      </c>
      <c r="S1038" s="322">
        <v>20000</v>
      </c>
      <c r="T1038" s="322">
        <v>20000</v>
      </c>
      <c r="U1038" s="322">
        <f t="shared" si="82"/>
        <v>0</v>
      </c>
      <c r="W1038" s="321">
        <f t="shared" si="83"/>
        <v>640</v>
      </c>
      <c r="X1038" s="321">
        <f t="shared" si="84"/>
        <v>632000</v>
      </c>
      <c r="Y1038" s="321">
        <v>1</v>
      </c>
      <c r="AA1038" s="321" t="s">
        <v>5421</v>
      </c>
    </row>
    <row r="1039" spans="1:27">
      <c r="A1039" s="376">
        <v>750</v>
      </c>
      <c r="B1039" s="377">
        <v>817800</v>
      </c>
      <c r="C1039" s="391" t="s">
        <v>7161</v>
      </c>
      <c r="D1039" s="379">
        <v>7448</v>
      </c>
      <c r="E1039" s="380">
        <v>7921</v>
      </c>
      <c r="F1039" s="380">
        <v>7736</v>
      </c>
      <c r="H1039" s="351">
        <f t="shared" si="80"/>
        <v>7448000</v>
      </c>
      <c r="I1039" s="351">
        <f t="shared" si="81"/>
        <v>7736000</v>
      </c>
      <c r="M1039" s="321">
        <v>1648000691</v>
      </c>
      <c r="N1039" s="321">
        <v>64</v>
      </c>
      <c r="O1039" s="321" t="s">
        <v>5422</v>
      </c>
      <c r="P1039" s="321">
        <v>2640000</v>
      </c>
      <c r="Q1039" s="322">
        <v>9182000</v>
      </c>
      <c r="R1039" s="322">
        <v>8240300</v>
      </c>
      <c r="S1039" s="322">
        <v>12990000</v>
      </c>
      <c r="T1039" s="322">
        <v>12990000</v>
      </c>
      <c r="U1039" s="322">
        <f t="shared" si="82"/>
        <v>0</v>
      </c>
      <c r="W1039" s="321">
        <f t="shared" si="83"/>
        <v>691</v>
      </c>
      <c r="X1039" s="321">
        <f t="shared" si="84"/>
        <v>648000</v>
      </c>
      <c r="Y1039" s="321">
        <v>1</v>
      </c>
      <c r="AA1039" s="321" t="s">
        <v>5422</v>
      </c>
    </row>
    <row r="1040" spans="1:27">
      <c r="A1040" s="376">
        <v>751</v>
      </c>
      <c r="B1040" s="377">
        <v>817800</v>
      </c>
      <c r="C1040" s="381" t="s">
        <v>7162</v>
      </c>
      <c r="D1040" s="379">
        <v>3509</v>
      </c>
      <c r="E1040" s="380">
        <v>3025</v>
      </c>
      <c r="F1040" s="380">
        <v>3043</v>
      </c>
      <c r="H1040" s="351">
        <f t="shared" si="80"/>
        <v>3509000</v>
      </c>
      <c r="I1040" s="351">
        <f t="shared" si="81"/>
        <v>3043000</v>
      </c>
      <c r="M1040" s="321">
        <v>1648000692</v>
      </c>
      <c r="N1040" s="321">
        <v>64</v>
      </c>
      <c r="O1040" s="321" t="s">
        <v>5423</v>
      </c>
      <c r="P1040" s="321">
        <v>2640000</v>
      </c>
      <c r="Q1040" s="322">
        <v>1663000</v>
      </c>
      <c r="R1040" s="322">
        <v>1270600</v>
      </c>
      <c r="S1040" s="322">
        <v>1568000</v>
      </c>
      <c r="T1040" s="322">
        <v>1568000</v>
      </c>
      <c r="U1040" s="322">
        <f t="shared" si="82"/>
        <v>0</v>
      </c>
      <c r="W1040" s="321">
        <f t="shared" si="83"/>
        <v>692</v>
      </c>
      <c r="X1040" s="321">
        <f t="shared" si="84"/>
        <v>648000</v>
      </c>
      <c r="Y1040" s="321">
        <v>1</v>
      </c>
      <c r="AA1040" s="321" t="s">
        <v>5423</v>
      </c>
    </row>
    <row r="1041" spans="1:27">
      <c r="A1041" s="376">
        <v>752</v>
      </c>
      <c r="B1041" s="377">
        <v>817800</v>
      </c>
      <c r="C1041" s="391" t="s">
        <v>7163</v>
      </c>
      <c r="D1041" s="379">
        <v>5038</v>
      </c>
      <c r="E1041" s="380">
        <v>4557</v>
      </c>
      <c r="F1041" s="380">
        <v>4732</v>
      </c>
      <c r="H1041" s="351">
        <f t="shared" si="80"/>
        <v>5038000</v>
      </c>
      <c r="I1041" s="351">
        <f t="shared" si="81"/>
        <v>4732000</v>
      </c>
      <c r="M1041" s="321">
        <v>1648000693</v>
      </c>
      <c r="N1041" s="321">
        <v>64</v>
      </c>
      <c r="O1041" s="321" t="s">
        <v>5424</v>
      </c>
      <c r="P1041" s="321">
        <v>2640000</v>
      </c>
      <c r="Q1041" s="322">
        <v>1996000</v>
      </c>
      <c r="R1041" s="322">
        <v>1382600</v>
      </c>
      <c r="S1041" s="322">
        <v>2014000</v>
      </c>
      <c r="T1041" s="322">
        <v>2014000</v>
      </c>
      <c r="U1041" s="322">
        <f t="shared" si="82"/>
        <v>0</v>
      </c>
      <c r="W1041" s="321">
        <f t="shared" si="83"/>
        <v>693</v>
      </c>
      <c r="X1041" s="321">
        <f t="shared" si="84"/>
        <v>648000</v>
      </c>
      <c r="Y1041" s="321">
        <v>1</v>
      </c>
      <c r="AA1041" s="321" t="s">
        <v>5424</v>
      </c>
    </row>
    <row r="1042" spans="1:27">
      <c r="A1042" s="376">
        <v>780</v>
      </c>
      <c r="B1042" s="377">
        <v>817800</v>
      </c>
      <c r="C1042" s="391" t="s">
        <v>7164</v>
      </c>
      <c r="D1042" s="379">
        <v>300</v>
      </c>
      <c r="E1042" s="380">
        <v>0</v>
      </c>
      <c r="F1042" s="380">
        <v>0</v>
      </c>
      <c r="H1042" s="351">
        <f t="shared" ref="H1042:H1105" si="85">D1042*1000</f>
        <v>300000</v>
      </c>
      <c r="I1042" s="351">
        <f t="shared" ref="I1042:I1105" si="86">F1042*1000</f>
        <v>0</v>
      </c>
      <c r="M1042" s="321">
        <v>1648001691</v>
      </c>
      <c r="N1042" s="321">
        <v>64</v>
      </c>
      <c r="O1042" s="321" t="s">
        <v>5425</v>
      </c>
      <c r="P1042" s="321">
        <v>2640000</v>
      </c>
      <c r="Q1042" s="322">
        <v>1350000</v>
      </c>
      <c r="R1042" s="322">
        <v>675000</v>
      </c>
      <c r="S1042" s="322">
        <v>1350000</v>
      </c>
      <c r="T1042" s="322">
        <v>1350000</v>
      </c>
      <c r="U1042" s="322">
        <f t="shared" si="82"/>
        <v>0</v>
      </c>
      <c r="W1042" s="321">
        <f t="shared" si="83"/>
        <v>691</v>
      </c>
      <c r="X1042" s="321">
        <f t="shared" si="84"/>
        <v>648001</v>
      </c>
      <c r="Y1042" s="321">
        <v>1</v>
      </c>
      <c r="AA1042" s="321" t="s">
        <v>5425</v>
      </c>
    </row>
    <row r="1043" spans="1:27">
      <c r="A1043" s="376">
        <v>781</v>
      </c>
      <c r="B1043" s="377">
        <v>817800</v>
      </c>
      <c r="C1043" s="391" t="s">
        <v>7165</v>
      </c>
      <c r="D1043" s="379">
        <v>300</v>
      </c>
      <c r="E1043" s="380">
        <v>0</v>
      </c>
      <c r="F1043" s="380">
        <v>0</v>
      </c>
      <c r="H1043" s="351">
        <f t="shared" si="85"/>
        <v>300000</v>
      </c>
      <c r="I1043" s="351">
        <f t="shared" si="86"/>
        <v>0</v>
      </c>
      <c r="M1043" s="321">
        <v>1648001692</v>
      </c>
      <c r="N1043" s="321">
        <v>64</v>
      </c>
      <c r="O1043" s="321" t="s">
        <v>5426</v>
      </c>
      <c r="P1043" s="321">
        <v>2640000</v>
      </c>
      <c r="Q1043" s="322">
        <v>452000</v>
      </c>
      <c r="R1043" s="322">
        <v>345700</v>
      </c>
      <c r="S1043" s="322">
        <v>382000</v>
      </c>
      <c r="T1043" s="322">
        <v>382000</v>
      </c>
      <c r="U1043" s="322">
        <f t="shared" si="82"/>
        <v>0</v>
      </c>
      <c r="W1043" s="321">
        <f t="shared" si="83"/>
        <v>692</v>
      </c>
      <c r="X1043" s="321">
        <f t="shared" si="84"/>
        <v>648001</v>
      </c>
      <c r="Y1043" s="321">
        <v>1</v>
      </c>
      <c r="AA1043" s="321" t="s">
        <v>5426</v>
      </c>
    </row>
    <row r="1044" spans="1:27">
      <c r="A1044" s="376">
        <v>100</v>
      </c>
      <c r="B1044" s="377">
        <v>817900</v>
      </c>
      <c r="C1044" s="391" t="s">
        <v>7166</v>
      </c>
      <c r="D1044" s="379">
        <v>1512</v>
      </c>
      <c r="E1044" s="380">
        <v>1250</v>
      </c>
      <c r="F1044" s="380">
        <v>1230</v>
      </c>
      <c r="H1044" s="351">
        <f t="shared" si="85"/>
        <v>1512000</v>
      </c>
      <c r="I1044" s="351">
        <f t="shared" si="86"/>
        <v>1230000</v>
      </c>
      <c r="M1044" s="321">
        <v>1648001693</v>
      </c>
      <c r="N1044" s="321">
        <v>64</v>
      </c>
      <c r="O1044" s="321" t="s">
        <v>5427</v>
      </c>
      <c r="P1044" s="321">
        <v>2640000</v>
      </c>
      <c r="Q1044" s="322">
        <v>382000</v>
      </c>
      <c r="R1044" s="322">
        <v>597400</v>
      </c>
      <c r="S1044" s="322">
        <v>382000</v>
      </c>
      <c r="T1044" s="322">
        <v>382000</v>
      </c>
      <c r="U1044" s="322">
        <f t="shared" si="82"/>
        <v>0</v>
      </c>
      <c r="W1044" s="321">
        <f t="shared" si="83"/>
        <v>693</v>
      </c>
      <c r="X1044" s="321">
        <f t="shared" si="84"/>
        <v>648001</v>
      </c>
      <c r="Y1044" s="321">
        <v>1</v>
      </c>
      <c r="AA1044" s="321" t="s">
        <v>5427</v>
      </c>
    </row>
    <row r="1045" spans="1:27">
      <c r="A1045" s="376">
        <v>101</v>
      </c>
      <c r="B1045" s="377">
        <v>817900</v>
      </c>
      <c r="C1045" s="414" t="s">
        <v>7167</v>
      </c>
      <c r="D1045" s="379">
        <v>149</v>
      </c>
      <c r="E1045" s="380">
        <v>153</v>
      </c>
      <c r="F1045" s="380">
        <v>150</v>
      </c>
      <c r="H1045" s="351">
        <f t="shared" si="85"/>
        <v>149000</v>
      </c>
      <c r="I1045" s="351">
        <f t="shared" si="86"/>
        <v>150000</v>
      </c>
      <c r="M1045" s="321">
        <v>1648002691</v>
      </c>
      <c r="N1045" s="321">
        <v>64</v>
      </c>
      <c r="O1045" s="321" t="s">
        <v>5428</v>
      </c>
      <c r="P1045" s="321">
        <v>2640000</v>
      </c>
      <c r="Q1045" s="322">
        <v>41681000</v>
      </c>
      <c r="R1045" s="322">
        <v>28076600</v>
      </c>
      <c r="S1045" s="322">
        <v>47082000</v>
      </c>
      <c r="T1045" s="322">
        <v>45082000</v>
      </c>
      <c r="U1045" s="322">
        <f t="shared" si="82"/>
        <v>2000000</v>
      </c>
      <c r="W1045" s="321">
        <f t="shared" si="83"/>
        <v>691</v>
      </c>
      <c r="X1045" s="321">
        <f t="shared" si="84"/>
        <v>648002</v>
      </c>
      <c r="Y1045" s="321">
        <v>1</v>
      </c>
      <c r="AA1045" s="321" t="s">
        <v>5428</v>
      </c>
    </row>
    <row r="1046" spans="1:27">
      <c r="A1046" s="376">
        <v>102</v>
      </c>
      <c r="B1046" s="377">
        <v>817900</v>
      </c>
      <c r="C1046" s="391" t="s">
        <v>7168</v>
      </c>
      <c r="D1046" s="379">
        <v>460</v>
      </c>
      <c r="E1046" s="380">
        <v>420</v>
      </c>
      <c r="F1046" s="380">
        <v>423</v>
      </c>
      <c r="H1046" s="351">
        <f t="shared" si="85"/>
        <v>460000</v>
      </c>
      <c r="I1046" s="351">
        <f t="shared" si="86"/>
        <v>423000</v>
      </c>
      <c r="M1046" s="321">
        <v>1648002692</v>
      </c>
      <c r="N1046" s="321">
        <v>64</v>
      </c>
      <c r="O1046" s="321" t="s">
        <v>5429</v>
      </c>
      <c r="P1046" s="321">
        <v>2640000</v>
      </c>
      <c r="Q1046" s="322">
        <v>5569000</v>
      </c>
      <c r="R1046" s="322">
        <v>3542100</v>
      </c>
      <c r="S1046" s="322">
        <v>5586000</v>
      </c>
      <c r="T1046" s="322">
        <v>5586000</v>
      </c>
      <c r="U1046" s="322">
        <f t="shared" si="82"/>
        <v>0</v>
      </c>
      <c r="W1046" s="321">
        <f t="shared" si="83"/>
        <v>692</v>
      </c>
      <c r="X1046" s="321">
        <f t="shared" si="84"/>
        <v>648002</v>
      </c>
      <c r="Y1046" s="321">
        <v>1</v>
      </c>
      <c r="AA1046" s="321" t="s">
        <v>5429</v>
      </c>
    </row>
    <row r="1047" spans="1:27">
      <c r="A1047" s="376">
        <v>103</v>
      </c>
      <c r="B1047" s="377">
        <v>817900</v>
      </c>
      <c r="C1047" s="391" t="s">
        <v>7169</v>
      </c>
      <c r="D1047" s="379">
        <v>134</v>
      </c>
      <c r="E1047" s="380">
        <v>135</v>
      </c>
      <c r="F1047" s="380">
        <v>135</v>
      </c>
      <c r="H1047" s="351">
        <f t="shared" si="85"/>
        <v>134000</v>
      </c>
      <c r="I1047" s="351">
        <f t="shared" si="86"/>
        <v>135000</v>
      </c>
      <c r="M1047" s="321">
        <v>1648002693</v>
      </c>
      <c r="N1047" s="321">
        <v>64</v>
      </c>
      <c r="O1047" s="321" t="s">
        <v>5430</v>
      </c>
      <c r="P1047" s="321">
        <v>2640000</v>
      </c>
      <c r="Q1047" s="322">
        <v>3056000</v>
      </c>
      <c r="R1047" s="322">
        <v>1755600</v>
      </c>
      <c r="S1047" s="322">
        <v>3833000</v>
      </c>
      <c r="T1047" s="322">
        <v>3833000</v>
      </c>
      <c r="U1047" s="322">
        <f t="shared" si="82"/>
        <v>0</v>
      </c>
      <c r="W1047" s="321">
        <f t="shared" si="83"/>
        <v>693</v>
      </c>
      <c r="X1047" s="321">
        <f t="shared" si="84"/>
        <v>648002</v>
      </c>
      <c r="Y1047" s="321">
        <v>1</v>
      </c>
      <c r="AA1047" s="321" t="s">
        <v>5430</v>
      </c>
    </row>
    <row r="1048" spans="1:27">
      <c r="A1048" s="376">
        <v>410</v>
      </c>
      <c r="B1048" s="377">
        <v>817900</v>
      </c>
      <c r="C1048" s="382" t="s">
        <v>6715</v>
      </c>
      <c r="D1048" s="379">
        <v>250</v>
      </c>
      <c r="E1048" s="380">
        <v>245</v>
      </c>
      <c r="F1048" s="380">
        <v>275</v>
      </c>
      <c r="H1048" s="351">
        <f t="shared" si="85"/>
        <v>250000</v>
      </c>
      <c r="I1048" s="351">
        <f t="shared" si="86"/>
        <v>275000</v>
      </c>
      <c r="M1048" s="321">
        <v>1648003691</v>
      </c>
      <c r="N1048" s="321">
        <v>64</v>
      </c>
      <c r="O1048" s="321" t="s">
        <v>5431</v>
      </c>
      <c r="P1048" s="321">
        <v>2640000</v>
      </c>
      <c r="Q1048" s="322">
        <v>1941000</v>
      </c>
      <c r="R1048" s="322">
        <v>1490600</v>
      </c>
      <c r="S1048" s="322">
        <v>1978000</v>
      </c>
      <c r="T1048" s="322">
        <v>1978000</v>
      </c>
      <c r="U1048" s="322">
        <f t="shared" si="82"/>
        <v>0</v>
      </c>
      <c r="W1048" s="321">
        <f t="shared" si="83"/>
        <v>691</v>
      </c>
      <c r="X1048" s="321">
        <f t="shared" si="84"/>
        <v>648003</v>
      </c>
      <c r="Y1048" s="321">
        <v>1</v>
      </c>
      <c r="AA1048" s="321" t="s">
        <v>5431</v>
      </c>
    </row>
    <row r="1049" spans="1:27">
      <c r="A1049" s="376">
        <v>420</v>
      </c>
      <c r="B1049" s="377">
        <v>817900</v>
      </c>
      <c r="C1049" s="382" t="s">
        <v>6987</v>
      </c>
      <c r="D1049" s="379">
        <v>4</v>
      </c>
      <c r="E1049" s="380">
        <v>4</v>
      </c>
      <c r="F1049" s="380">
        <v>4</v>
      </c>
      <c r="H1049" s="351">
        <f t="shared" si="85"/>
        <v>4000</v>
      </c>
      <c r="I1049" s="351">
        <f t="shared" si="86"/>
        <v>4000</v>
      </c>
      <c r="M1049" s="321">
        <v>1648003692</v>
      </c>
      <c r="N1049" s="321">
        <v>64</v>
      </c>
      <c r="O1049" s="321" t="s">
        <v>5432</v>
      </c>
      <c r="P1049" s="321">
        <v>2640000</v>
      </c>
      <c r="Q1049" s="322">
        <v>357000</v>
      </c>
      <c r="R1049" s="322">
        <v>181100</v>
      </c>
      <c r="S1049" s="322">
        <v>320000</v>
      </c>
      <c r="T1049" s="322">
        <v>320000</v>
      </c>
      <c r="U1049" s="322">
        <f t="shared" si="82"/>
        <v>0</v>
      </c>
      <c r="W1049" s="321">
        <f t="shared" si="83"/>
        <v>692</v>
      </c>
      <c r="X1049" s="321">
        <f t="shared" si="84"/>
        <v>648003</v>
      </c>
      <c r="Y1049" s="321">
        <v>1</v>
      </c>
      <c r="AA1049" s="321" t="s">
        <v>5432</v>
      </c>
    </row>
    <row r="1050" spans="1:27">
      <c r="A1050" s="376">
        <v>430</v>
      </c>
      <c r="B1050" s="377">
        <v>817900</v>
      </c>
      <c r="C1050" s="391" t="s">
        <v>6798</v>
      </c>
      <c r="D1050" s="379">
        <v>18</v>
      </c>
      <c r="E1050" s="380">
        <v>18</v>
      </c>
      <c r="F1050" s="380">
        <v>18</v>
      </c>
      <c r="H1050" s="351">
        <f t="shared" si="85"/>
        <v>18000</v>
      </c>
      <c r="I1050" s="351">
        <f t="shared" si="86"/>
        <v>18000</v>
      </c>
      <c r="M1050" s="321">
        <v>1648003693</v>
      </c>
      <c r="N1050" s="321">
        <v>64</v>
      </c>
      <c r="O1050" s="321" t="s">
        <v>5433</v>
      </c>
      <c r="P1050" s="321">
        <v>2640000</v>
      </c>
      <c r="Q1050" s="322">
        <v>0</v>
      </c>
      <c r="R1050" s="322">
        <v>0</v>
      </c>
      <c r="S1050" s="322">
        <v>0</v>
      </c>
      <c r="T1050" s="322">
        <v>0</v>
      </c>
      <c r="U1050" s="322">
        <f t="shared" si="82"/>
        <v>0</v>
      </c>
      <c r="W1050" s="321">
        <f t="shared" si="83"/>
        <v>693</v>
      </c>
      <c r="X1050" s="321">
        <f t="shared" si="84"/>
        <v>648003</v>
      </c>
      <c r="Y1050" s="321">
        <v>1</v>
      </c>
      <c r="AA1050" s="321" t="s">
        <v>5433</v>
      </c>
    </row>
    <row r="1051" spans="1:27">
      <c r="A1051" s="376">
        <v>470</v>
      </c>
      <c r="B1051" s="377">
        <v>817900</v>
      </c>
      <c r="C1051" s="391" t="s">
        <v>6769</v>
      </c>
      <c r="D1051" s="383">
        <v>10</v>
      </c>
      <c r="E1051" s="380">
        <v>10</v>
      </c>
      <c r="F1051" s="384">
        <v>10</v>
      </c>
      <c r="H1051" s="351">
        <f t="shared" si="85"/>
        <v>10000</v>
      </c>
      <c r="I1051" s="351">
        <f t="shared" si="86"/>
        <v>10000</v>
      </c>
      <c r="M1051" s="321">
        <v>1710000110</v>
      </c>
      <c r="N1051" s="321">
        <v>71</v>
      </c>
      <c r="O1051" s="321" t="s">
        <v>5205</v>
      </c>
      <c r="P1051" s="321">
        <v>6710000</v>
      </c>
      <c r="Q1051" s="322">
        <v>892000</v>
      </c>
      <c r="R1051" s="322">
        <v>734100</v>
      </c>
      <c r="S1051" s="322">
        <v>566000</v>
      </c>
      <c r="T1051" s="322">
        <v>566000</v>
      </c>
      <c r="U1051" s="322">
        <f t="shared" si="82"/>
        <v>0</v>
      </c>
      <c r="W1051" s="321">
        <f t="shared" si="83"/>
        <v>110</v>
      </c>
      <c r="X1051" s="321">
        <f t="shared" si="84"/>
        <v>710000</v>
      </c>
      <c r="Y1051" s="321">
        <v>1</v>
      </c>
      <c r="AA1051" s="321" t="s">
        <v>5205</v>
      </c>
    </row>
    <row r="1052" spans="1:27">
      <c r="A1052" s="376">
        <v>540</v>
      </c>
      <c r="B1052" s="377">
        <v>817900</v>
      </c>
      <c r="C1052" s="391" t="s">
        <v>6752</v>
      </c>
      <c r="D1052" s="379">
        <v>5</v>
      </c>
      <c r="E1052" s="380">
        <v>5</v>
      </c>
      <c r="F1052" s="380">
        <v>5</v>
      </c>
      <c r="H1052" s="351">
        <f t="shared" si="85"/>
        <v>5000</v>
      </c>
      <c r="I1052" s="351">
        <f t="shared" si="86"/>
        <v>5000</v>
      </c>
      <c r="M1052" s="321">
        <v>1710000120</v>
      </c>
      <c r="N1052" s="321">
        <v>71</v>
      </c>
      <c r="O1052" s="321" t="s">
        <v>5434</v>
      </c>
      <c r="P1052" s="321">
        <v>6710000</v>
      </c>
      <c r="Q1052" s="322">
        <v>189000</v>
      </c>
      <c r="R1052" s="322">
        <v>49500</v>
      </c>
      <c r="S1052" s="322">
        <v>56000</v>
      </c>
      <c r="T1052" s="322">
        <v>56000</v>
      </c>
      <c r="U1052" s="322">
        <f t="shared" si="82"/>
        <v>0</v>
      </c>
      <c r="W1052" s="321">
        <f t="shared" si="83"/>
        <v>120</v>
      </c>
      <c r="X1052" s="321">
        <f t="shared" si="84"/>
        <v>710000</v>
      </c>
      <c r="Y1052" s="321">
        <v>1</v>
      </c>
      <c r="AA1052" s="321" t="s">
        <v>5434</v>
      </c>
    </row>
    <row r="1053" spans="1:27">
      <c r="A1053" s="376">
        <v>742</v>
      </c>
      <c r="B1053" s="377">
        <v>817900</v>
      </c>
      <c r="C1053" s="397" t="s">
        <v>6740</v>
      </c>
      <c r="D1053" s="379">
        <v>5</v>
      </c>
      <c r="E1053" s="380">
        <v>5</v>
      </c>
      <c r="F1053" s="380">
        <v>5</v>
      </c>
      <c r="H1053" s="351">
        <f t="shared" si="85"/>
        <v>5000</v>
      </c>
      <c r="I1053" s="351">
        <f t="shared" si="86"/>
        <v>5000</v>
      </c>
      <c r="M1053" s="321">
        <v>1710000130</v>
      </c>
      <c r="N1053" s="321">
        <v>71</v>
      </c>
      <c r="O1053" s="321" t="s">
        <v>2576</v>
      </c>
      <c r="P1053" s="321">
        <v>6710000</v>
      </c>
      <c r="Q1053" s="322">
        <v>68000</v>
      </c>
      <c r="R1053" s="322">
        <v>56300</v>
      </c>
      <c r="S1053" s="322">
        <v>23000</v>
      </c>
      <c r="T1053" s="322">
        <v>20700</v>
      </c>
      <c r="U1053" s="322">
        <f t="shared" si="82"/>
        <v>2300</v>
      </c>
      <c r="W1053" s="321">
        <f t="shared" si="83"/>
        <v>130</v>
      </c>
      <c r="X1053" s="321">
        <f t="shared" si="84"/>
        <v>710000</v>
      </c>
      <c r="Y1053" s="321">
        <v>1</v>
      </c>
      <c r="AA1053" s="321" t="s">
        <v>2576</v>
      </c>
    </row>
    <row r="1054" spans="1:27">
      <c r="A1054" s="376">
        <v>750</v>
      </c>
      <c r="B1054" s="377">
        <v>817900</v>
      </c>
      <c r="C1054" s="382" t="s">
        <v>7170</v>
      </c>
      <c r="D1054" s="379">
        <v>49</v>
      </c>
      <c r="E1054" s="380">
        <v>49</v>
      </c>
      <c r="F1054" s="380">
        <v>47</v>
      </c>
      <c r="H1054" s="351">
        <f t="shared" si="85"/>
        <v>49000</v>
      </c>
      <c r="I1054" s="351">
        <f t="shared" si="86"/>
        <v>47000</v>
      </c>
      <c r="M1054" s="321">
        <v>1710000140</v>
      </c>
      <c r="N1054" s="321">
        <v>71</v>
      </c>
      <c r="O1054" s="321" t="s">
        <v>2578</v>
      </c>
      <c r="P1054" s="321">
        <v>6710000</v>
      </c>
      <c r="Q1054" s="322">
        <v>48000</v>
      </c>
      <c r="R1054" s="322">
        <v>126000</v>
      </c>
      <c r="S1054" s="322">
        <v>75000</v>
      </c>
      <c r="T1054" s="322">
        <v>75000</v>
      </c>
      <c r="U1054" s="322">
        <f t="shared" si="82"/>
        <v>0</v>
      </c>
      <c r="W1054" s="321">
        <f t="shared" si="83"/>
        <v>140</v>
      </c>
      <c r="X1054" s="321">
        <f t="shared" si="84"/>
        <v>710000</v>
      </c>
      <c r="Y1054" s="321">
        <v>1</v>
      </c>
      <c r="AA1054" s="321" t="s">
        <v>2578</v>
      </c>
    </row>
    <row r="1055" spans="1:27">
      <c r="A1055" s="376">
        <v>751</v>
      </c>
      <c r="B1055" s="377">
        <v>817900</v>
      </c>
      <c r="C1055" s="382" t="s">
        <v>7171</v>
      </c>
      <c r="D1055" s="379">
        <v>149</v>
      </c>
      <c r="E1055" s="380">
        <v>150</v>
      </c>
      <c r="F1055" s="380">
        <v>150</v>
      </c>
      <c r="H1055" s="351">
        <f t="shared" si="85"/>
        <v>149000</v>
      </c>
      <c r="I1055" s="351">
        <f t="shared" si="86"/>
        <v>150000</v>
      </c>
      <c r="M1055" s="321">
        <v>1710000141</v>
      </c>
      <c r="N1055" s="321">
        <v>71</v>
      </c>
      <c r="O1055" s="321" t="s">
        <v>5208</v>
      </c>
      <c r="P1055" s="321">
        <v>6710000</v>
      </c>
      <c r="Q1055" s="322">
        <v>53000</v>
      </c>
      <c r="R1055" s="322">
        <v>39000</v>
      </c>
      <c r="S1055" s="322">
        <v>40000</v>
      </c>
      <c r="T1055" s="322">
        <v>40000</v>
      </c>
      <c r="U1055" s="322">
        <f t="shared" si="82"/>
        <v>0</v>
      </c>
      <c r="W1055" s="321">
        <f t="shared" si="83"/>
        <v>141</v>
      </c>
      <c r="X1055" s="321">
        <f t="shared" si="84"/>
        <v>710000</v>
      </c>
      <c r="Y1055" s="321">
        <v>1</v>
      </c>
      <c r="AA1055" s="321" t="s">
        <v>5208</v>
      </c>
    </row>
    <row r="1056" spans="1:27">
      <c r="A1056" s="376">
        <v>755</v>
      </c>
      <c r="B1056" s="377">
        <v>817900</v>
      </c>
      <c r="C1056" s="391" t="s">
        <v>6744</v>
      </c>
      <c r="D1056" s="379">
        <v>50</v>
      </c>
      <c r="E1056" s="380">
        <v>50</v>
      </c>
      <c r="F1056" s="380">
        <v>50</v>
      </c>
      <c r="H1056" s="351">
        <f t="shared" si="85"/>
        <v>50000</v>
      </c>
      <c r="I1056" s="351">
        <f t="shared" si="86"/>
        <v>50000</v>
      </c>
      <c r="M1056" s="321">
        <v>1710000181</v>
      </c>
      <c r="N1056" s="321">
        <v>71</v>
      </c>
      <c r="O1056" s="321" t="s">
        <v>2580</v>
      </c>
      <c r="P1056" s="321">
        <v>6710000</v>
      </c>
      <c r="Q1056" s="322">
        <v>198000</v>
      </c>
      <c r="R1056" s="322">
        <v>189600</v>
      </c>
      <c r="S1056" s="322">
        <v>144000</v>
      </c>
      <c r="T1056" s="322">
        <v>144000</v>
      </c>
      <c r="U1056" s="322">
        <f t="shared" si="82"/>
        <v>0</v>
      </c>
      <c r="W1056" s="321">
        <f t="shared" si="83"/>
        <v>181</v>
      </c>
      <c r="X1056" s="321">
        <f t="shared" si="84"/>
        <v>710000</v>
      </c>
      <c r="Y1056" s="321">
        <v>1</v>
      </c>
      <c r="AA1056" s="321" t="s">
        <v>2580</v>
      </c>
    </row>
    <row r="1057" spans="1:27">
      <c r="A1057" s="376">
        <v>780</v>
      </c>
      <c r="B1057" s="377">
        <v>817900</v>
      </c>
      <c r="C1057" s="391" t="s">
        <v>7172</v>
      </c>
      <c r="D1057" s="379">
        <v>65</v>
      </c>
      <c r="E1057" s="380">
        <v>60</v>
      </c>
      <c r="F1057" s="380">
        <v>60</v>
      </c>
      <c r="H1057" s="351">
        <f t="shared" si="85"/>
        <v>65000</v>
      </c>
      <c r="I1057" s="351">
        <f t="shared" si="86"/>
        <v>60000</v>
      </c>
      <c r="M1057" s="321">
        <v>1710000182</v>
      </c>
      <c r="N1057" s="321">
        <v>71</v>
      </c>
      <c r="O1057" s="321" t="s">
        <v>2582</v>
      </c>
      <c r="P1057" s="321">
        <v>6710000</v>
      </c>
      <c r="Q1057" s="322">
        <v>185000</v>
      </c>
      <c r="R1057" s="322">
        <v>134200</v>
      </c>
      <c r="S1057" s="322">
        <v>114000</v>
      </c>
      <c r="T1057" s="322">
        <v>114000</v>
      </c>
      <c r="U1057" s="322">
        <f t="shared" si="82"/>
        <v>0</v>
      </c>
      <c r="W1057" s="321">
        <f t="shared" si="83"/>
        <v>182</v>
      </c>
      <c r="X1057" s="321">
        <f t="shared" si="84"/>
        <v>710000</v>
      </c>
      <c r="Y1057" s="321">
        <v>1</v>
      </c>
      <c r="AA1057" s="321" t="s">
        <v>2582</v>
      </c>
    </row>
    <row r="1058" spans="1:27">
      <c r="A1058" s="376">
        <v>850</v>
      </c>
      <c r="B1058" s="377">
        <v>817900</v>
      </c>
      <c r="C1058" s="391" t="s">
        <v>7173</v>
      </c>
      <c r="D1058" s="379">
        <v>110</v>
      </c>
      <c r="E1058" s="380">
        <v>100</v>
      </c>
      <c r="F1058" s="380">
        <v>100</v>
      </c>
      <c r="H1058" s="351">
        <f t="shared" si="85"/>
        <v>110000</v>
      </c>
      <c r="I1058" s="351">
        <f t="shared" si="86"/>
        <v>100000</v>
      </c>
      <c r="M1058" s="321">
        <v>1710000470</v>
      </c>
      <c r="N1058" s="321">
        <v>71</v>
      </c>
      <c r="O1058" s="321" t="s">
        <v>2830</v>
      </c>
      <c r="P1058" s="321">
        <v>6710000</v>
      </c>
      <c r="Q1058" s="322">
        <v>11000</v>
      </c>
      <c r="R1058" s="322">
        <v>5600</v>
      </c>
      <c r="S1058" s="322">
        <v>11000</v>
      </c>
      <c r="T1058" s="322">
        <v>11000</v>
      </c>
      <c r="U1058" s="322">
        <f t="shared" si="82"/>
        <v>0</v>
      </c>
      <c r="W1058" s="321">
        <f t="shared" si="83"/>
        <v>470</v>
      </c>
      <c r="X1058" s="321">
        <f t="shared" si="84"/>
        <v>710000</v>
      </c>
      <c r="Y1058" s="321">
        <v>1</v>
      </c>
      <c r="AA1058" s="321" t="s">
        <v>2830</v>
      </c>
    </row>
    <row r="1059" spans="1:27">
      <c r="A1059" s="376">
        <v>860</v>
      </c>
      <c r="B1059" s="377">
        <v>817900</v>
      </c>
      <c r="C1059" s="391" t="s">
        <v>7174</v>
      </c>
      <c r="D1059" s="379">
        <v>100</v>
      </c>
      <c r="E1059" s="380">
        <v>100</v>
      </c>
      <c r="F1059" s="380">
        <v>100</v>
      </c>
      <c r="H1059" s="351">
        <f t="shared" si="85"/>
        <v>100000</v>
      </c>
      <c r="I1059" s="351">
        <f t="shared" si="86"/>
        <v>100000</v>
      </c>
      <c r="M1059" s="321">
        <v>1710000471</v>
      </c>
      <c r="N1059" s="321">
        <v>71</v>
      </c>
      <c r="O1059" s="321" t="s">
        <v>5212</v>
      </c>
      <c r="P1059" s="321">
        <v>6710000</v>
      </c>
      <c r="Q1059" s="322">
        <v>3500</v>
      </c>
      <c r="R1059" s="322">
        <v>3500</v>
      </c>
      <c r="S1059" s="322">
        <v>3700</v>
      </c>
      <c r="T1059" s="322">
        <v>3700</v>
      </c>
      <c r="U1059" s="322">
        <f t="shared" si="82"/>
        <v>0</v>
      </c>
      <c r="W1059" s="321">
        <f t="shared" si="83"/>
        <v>471</v>
      </c>
      <c r="X1059" s="321">
        <f t="shared" si="84"/>
        <v>710000</v>
      </c>
      <c r="Y1059" s="321">
        <v>1</v>
      </c>
      <c r="AA1059" s="321" t="s">
        <v>5212</v>
      </c>
    </row>
    <row r="1060" spans="1:27">
      <c r="A1060" s="376">
        <v>930</v>
      </c>
      <c r="B1060" s="377">
        <v>817900</v>
      </c>
      <c r="C1060" s="391" t="s">
        <v>164</v>
      </c>
      <c r="D1060" s="379">
        <v>10</v>
      </c>
      <c r="E1060" s="380">
        <v>20</v>
      </c>
      <c r="F1060" s="380">
        <v>20</v>
      </c>
      <c r="H1060" s="351">
        <f t="shared" si="85"/>
        <v>10000</v>
      </c>
      <c r="I1060" s="351">
        <f t="shared" si="86"/>
        <v>20000</v>
      </c>
      <c r="M1060" s="321">
        <v>1710000510</v>
      </c>
      <c r="N1060" s="321">
        <v>71</v>
      </c>
      <c r="O1060" s="321" t="s">
        <v>5359</v>
      </c>
      <c r="P1060" s="321">
        <v>6710000</v>
      </c>
      <c r="Q1060" s="322">
        <v>4000</v>
      </c>
      <c r="R1060" s="322">
        <v>2200</v>
      </c>
      <c r="S1060" s="322">
        <v>4000</v>
      </c>
      <c r="T1060" s="322">
        <v>4000</v>
      </c>
      <c r="U1060" s="322">
        <f t="shared" si="82"/>
        <v>0</v>
      </c>
      <c r="W1060" s="321">
        <f t="shared" si="83"/>
        <v>510</v>
      </c>
      <c r="X1060" s="321">
        <f t="shared" si="84"/>
        <v>710000</v>
      </c>
      <c r="Y1060" s="321">
        <v>1</v>
      </c>
      <c r="AA1060" s="321" t="s">
        <v>5359</v>
      </c>
    </row>
    <row r="1061" spans="1:27">
      <c r="A1061" s="376">
        <v>760</v>
      </c>
      <c r="B1061" s="377">
        <v>817910</v>
      </c>
      <c r="C1061" s="391" t="s">
        <v>7175</v>
      </c>
      <c r="D1061" s="379">
        <v>300</v>
      </c>
      <c r="E1061" s="380">
        <v>260</v>
      </c>
      <c r="F1061" s="380">
        <v>260</v>
      </c>
      <c r="H1061" s="351">
        <f t="shared" si="85"/>
        <v>300000</v>
      </c>
      <c r="I1061" s="351">
        <f t="shared" si="86"/>
        <v>260000</v>
      </c>
      <c r="M1061" s="321">
        <v>1710000521</v>
      </c>
      <c r="N1061" s="321">
        <v>71</v>
      </c>
      <c r="O1061" s="321" t="s">
        <v>2734</v>
      </c>
      <c r="P1061" s="321">
        <v>6710000</v>
      </c>
      <c r="Q1061" s="322">
        <v>8000</v>
      </c>
      <c r="R1061" s="322">
        <v>0</v>
      </c>
      <c r="S1061" s="322">
        <v>8000</v>
      </c>
      <c r="T1061" s="322">
        <v>8000</v>
      </c>
      <c r="U1061" s="322">
        <f t="shared" si="82"/>
        <v>0</v>
      </c>
      <c r="W1061" s="321">
        <f t="shared" si="83"/>
        <v>521</v>
      </c>
      <c r="X1061" s="321">
        <f t="shared" si="84"/>
        <v>710000</v>
      </c>
      <c r="Y1061" s="321">
        <v>1</v>
      </c>
      <c r="AA1061" s="321" t="s">
        <v>2734</v>
      </c>
    </row>
    <row r="1062" spans="1:27">
      <c r="A1062" s="376">
        <v>761</v>
      </c>
      <c r="B1062" s="377">
        <v>817910</v>
      </c>
      <c r="C1062" s="391" t="s">
        <v>7176</v>
      </c>
      <c r="D1062" s="379">
        <v>1620</v>
      </c>
      <c r="E1062" s="380">
        <v>1600</v>
      </c>
      <c r="F1062" s="380">
        <v>1600</v>
      </c>
      <c r="H1062" s="351">
        <f t="shared" si="85"/>
        <v>1620000</v>
      </c>
      <c r="I1062" s="351">
        <f t="shared" si="86"/>
        <v>1600000</v>
      </c>
      <c r="M1062" s="321">
        <v>1710000522</v>
      </c>
      <c r="N1062" s="321">
        <v>71</v>
      </c>
      <c r="O1062" s="321" t="s">
        <v>2608</v>
      </c>
      <c r="P1062" s="321">
        <v>6710000</v>
      </c>
      <c r="Q1062" s="322">
        <v>5000</v>
      </c>
      <c r="R1062" s="322">
        <v>0</v>
      </c>
      <c r="S1062" s="322">
        <v>5000</v>
      </c>
      <c r="T1062" s="322">
        <v>5000</v>
      </c>
      <c r="U1062" s="322">
        <f t="shared" si="82"/>
        <v>0</v>
      </c>
      <c r="W1062" s="321">
        <f t="shared" si="83"/>
        <v>522</v>
      </c>
      <c r="X1062" s="321">
        <f t="shared" si="84"/>
        <v>710000</v>
      </c>
      <c r="Y1062" s="321">
        <v>1</v>
      </c>
      <c r="AA1062" s="321" t="s">
        <v>2608</v>
      </c>
    </row>
    <row r="1063" spans="1:27">
      <c r="A1063" s="376">
        <v>100</v>
      </c>
      <c r="B1063" s="377">
        <v>817920</v>
      </c>
      <c r="C1063" s="382" t="s">
        <v>7177</v>
      </c>
      <c r="D1063" s="379">
        <v>93</v>
      </c>
      <c r="E1063" s="380">
        <v>86</v>
      </c>
      <c r="F1063" s="380">
        <v>90</v>
      </c>
      <c r="H1063" s="351">
        <f t="shared" si="85"/>
        <v>93000</v>
      </c>
      <c r="I1063" s="351">
        <f t="shared" si="86"/>
        <v>90000</v>
      </c>
      <c r="M1063" s="321">
        <v>1710000530</v>
      </c>
      <c r="N1063" s="321">
        <v>71</v>
      </c>
      <c r="O1063" s="321" t="s">
        <v>5435</v>
      </c>
      <c r="P1063" s="321">
        <v>6710000</v>
      </c>
      <c r="Q1063" s="322">
        <v>50000</v>
      </c>
      <c r="R1063" s="322">
        <v>59700</v>
      </c>
      <c r="S1063" s="322">
        <v>44000</v>
      </c>
      <c r="T1063" s="322">
        <v>44000</v>
      </c>
      <c r="U1063" s="322">
        <f t="shared" si="82"/>
        <v>0</v>
      </c>
      <c r="W1063" s="321">
        <f t="shared" si="83"/>
        <v>530</v>
      </c>
      <c r="X1063" s="321">
        <f t="shared" si="84"/>
        <v>710000</v>
      </c>
      <c r="Y1063" s="321">
        <v>1</v>
      </c>
      <c r="AA1063" s="321" t="s">
        <v>5435</v>
      </c>
    </row>
    <row r="1064" spans="1:27">
      <c r="A1064" s="376">
        <v>101</v>
      </c>
      <c r="B1064" s="377">
        <v>817920</v>
      </c>
      <c r="C1064" s="382" t="s">
        <v>7178</v>
      </c>
      <c r="D1064" s="379">
        <v>239</v>
      </c>
      <c r="E1064" s="380">
        <v>0</v>
      </c>
      <c r="F1064" s="380">
        <v>0</v>
      </c>
      <c r="H1064" s="351">
        <f t="shared" si="85"/>
        <v>239000</v>
      </c>
      <c r="I1064" s="351">
        <f t="shared" si="86"/>
        <v>0</v>
      </c>
      <c r="M1064" s="321">
        <v>1710000531</v>
      </c>
      <c r="N1064" s="321">
        <v>71</v>
      </c>
      <c r="O1064" s="321" t="s">
        <v>5222</v>
      </c>
      <c r="P1064" s="321">
        <v>6710000</v>
      </c>
      <c r="Q1064" s="322">
        <v>45000</v>
      </c>
      <c r="R1064" s="322">
        <v>29900</v>
      </c>
      <c r="S1064" s="322">
        <v>0</v>
      </c>
      <c r="T1064" s="322">
        <v>0</v>
      </c>
      <c r="U1064" s="322">
        <f t="shared" si="82"/>
        <v>0</v>
      </c>
      <c r="W1064" s="321">
        <f t="shared" si="83"/>
        <v>531</v>
      </c>
      <c r="X1064" s="321">
        <f t="shared" si="84"/>
        <v>710000</v>
      </c>
      <c r="Y1064" s="321">
        <v>1</v>
      </c>
      <c r="AA1064" s="321" t="s">
        <v>5222</v>
      </c>
    </row>
    <row r="1065" spans="1:27">
      <c r="A1065" s="376">
        <v>750</v>
      </c>
      <c r="B1065" s="377">
        <v>817920</v>
      </c>
      <c r="C1065" s="381" t="s">
        <v>7179</v>
      </c>
      <c r="D1065" s="379">
        <v>0</v>
      </c>
      <c r="E1065" s="380">
        <v>0</v>
      </c>
      <c r="F1065" s="380">
        <v>0</v>
      </c>
      <c r="H1065" s="351">
        <f t="shared" si="85"/>
        <v>0</v>
      </c>
      <c r="I1065" s="351">
        <f t="shared" si="86"/>
        <v>0</v>
      </c>
      <c r="M1065" s="321">
        <v>1710000540</v>
      </c>
      <c r="N1065" s="321">
        <v>71</v>
      </c>
      <c r="O1065" s="321" t="s">
        <v>5216</v>
      </c>
      <c r="P1065" s="321">
        <v>6710000</v>
      </c>
      <c r="Q1065" s="322">
        <v>5000</v>
      </c>
      <c r="R1065" s="322">
        <v>3900</v>
      </c>
      <c r="S1065" s="322">
        <v>4000</v>
      </c>
      <c r="T1065" s="322">
        <v>4000</v>
      </c>
      <c r="U1065" s="322">
        <f t="shared" si="82"/>
        <v>0</v>
      </c>
      <c r="W1065" s="321">
        <f t="shared" si="83"/>
        <v>540</v>
      </c>
      <c r="X1065" s="321">
        <f t="shared" si="84"/>
        <v>710000</v>
      </c>
      <c r="Y1065" s="321">
        <v>1</v>
      </c>
      <c r="AA1065" s="321" t="s">
        <v>5216</v>
      </c>
    </row>
    <row r="1066" spans="1:27">
      <c r="A1066" s="376">
        <v>751</v>
      </c>
      <c r="B1066" s="377">
        <v>817920</v>
      </c>
      <c r="C1066" s="382" t="s">
        <v>7180</v>
      </c>
      <c r="D1066" s="379">
        <v>0</v>
      </c>
      <c r="E1066" s="380">
        <v>105</v>
      </c>
      <c r="F1066" s="380">
        <v>105</v>
      </c>
      <c r="H1066" s="351">
        <f t="shared" si="85"/>
        <v>0</v>
      </c>
      <c r="I1066" s="351">
        <f t="shared" si="86"/>
        <v>105000</v>
      </c>
      <c r="M1066" s="321">
        <v>1710000542</v>
      </c>
      <c r="N1066" s="321">
        <v>71</v>
      </c>
      <c r="O1066" s="321" t="s">
        <v>5436</v>
      </c>
      <c r="P1066" s="321">
        <v>6710000</v>
      </c>
      <c r="Q1066" s="322">
        <v>6300</v>
      </c>
      <c r="R1066" s="322">
        <v>4000</v>
      </c>
      <c r="S1066" s="322">
        <v>5000</v>
      </c>
      <c r="T1066" s="322">
        <v>5000</v>
      </c>
      <c r="U1066" s="322">
        <f t="shared" si="82"/>
        <v>0</v>
      </c>
      <c r="W1066" s="321">
        <f t="shared" si="83"/>
        <v>542</v>
      </c>
      <c r="X1066" s="321">
        <f t="shared" si="84"/>
        <v>710000</v>
      </c>
      <c r="Y1066" s="321">
        <v>1</v>
      </c>
      <c r="AA1066" s="321" t="s">
        <v>5436</v>
      </c>
    </row>
    <row r="1067" spans="1:27">
      <c r="A1067" s="376">
        <v>752</v>
      </c>
      <c r="B1067" s="377">
        <v>817920</v>
      </c>
      <c r="C1067" s="382" t="s">
        <v>7181</v>
      </c>
      <c r="D1067" s="379">
        <v>200</v>
      </c>
      <c r="E1067" s="380">
        <v>200</v>
      </c>
      <c r="F1067" s="380">
        <v>200</v>
      </c>
      <c r="H1067" s="351">
        <f t="shared" si="85"/>
        <v>200000</v>
      </c>
      <c r="I1067" s="351">
        <f t="shared" si="86"/>
        <v>200000</v>
      </c>
      <c r="M1067" s="321">
        <v>1710000580</v>
      </c>
      <c r="N1067" s="321">
        <v>71</v>
      </c>
      <c r="O1067" s="321" t="s">
        <v>5437</v>
      </c>
      <c r="P1067" s="321">
        <v>6710000</v>
      </c>
      <c r="Q1067" s="322">
        <v>160000</v>
      </c>
      <c r="R1067" s="322">
        <v>48800</v>
      </c>
      <c r="S1067" s="322">
        <v>160000</v>
      </c>
      <c r="T1067" s="322">
        <v>100000</v>
      </c>
      <c r="U1067" s="322">
        <f t="shared" si="82"/>
        <v>60000</v>
      </c>
      <c r="W1067" s="321">
        <f t="shared" si="83"/>
        <v>580</v>
      </c>
      <c r="X1067" s="321">
        <f t="shared" si="84"/>
        <v>710000</v>
      </c>
      <c r="Y1067" s="321">
        <v>1</v>
      </c>
      <c r="AA1067" s="321" t="s">
        <v>5437</v>
      </c>
    </row>
    <row r="1068" spans="1:27">
      <c r="A1068" s="376">
        <v>782</v>
      </c>
      <c r="B1068" s="377">
        <v>817920</v>
      </c>
      <c r="C1068" s="382" t="s">
        <v>7182</v>
      </c>
      <c r="D1068" s="379">
        <v>0</v>
      </c>
      <c r="E1068" s="380">
        <v>70</v>
      </c>
      <c r="F1068" s="380">
        <v>70</v>
      </c>
      <c r="H1068" s="351">
        <f t="shared" si="85"/>
        <v>0</v>
      </c>
      <c r="I1068" s="351">
        <f t="shared" si="86"/>
        <v>70000</v>
      </c>
      <c r="M1068" s="321">
        <v>1710000730</v>
      </c>
      <c r="N1068" s="321">
        <v>71</v>
      </c>
      <c r="O1068" s="321" t="s">
        <v>5438</v>
      </c>
      <c r="P1068" s="321">
        <v>6710000</v>
      </c>
      <c r="Q1068" s="322">
        <v>30000</v>
      </c>
      <c r="R1068" s="322">
        <v>3600</v>
      </c>
      <c r="S1068" s="322">
        <v>30000</v>
      </c>
      <c r="T1068" s="322">
        <v>30000</v>
      </c>
      <c r="U1068" s="322">
        <f t="shared" si="82"/>
        <v>0</v>
      </c>
      <c r="W1068" s="321">
        <f t="shared" si="83"/>
        <v>730</v>
      </c>
      <c r="X1068" s="321">
        <f t="shared" si="84"/>
        <v>710000</v>
      </c>
      <c r="Y1068" s="321">
        <v>1</v>
      </c>
      <c r="AA1068" s="321" t="s">
        <v>5438</v>
      </c>
    </row>
    <row r="1069" spans="1:27">
      <c r="A1069" s="376">
        <v>783</v>
      </c>
      <c r="B1069" s="377">
        <v>817920</v>
      </c>
      <c r="C1069" s="382" t="s">
        <v>7183</v>
      </c>
      <c r="D1069" s="379">
        <v>120</v>
      </c>
      <c r="E1069" s="380">
        <v>170</v>
      </c>
      <c r="F1069" s="380">
        <v>170</v>
      </c>
      <c r="H1069" s="351">
        <f t="shared" si="85"/>
        <v>120000</v>
      </c>
      <c r="I1069" s="351">
        <f t="shared" si="86"/>
        <v>170000</v>
      </c>
      <c r="M1069" s="321">
        <v>1710000750</v>
      </c>
      <c r="N1069" s="321">
        <v>71</v>
      </c>
      <c r="O1069" s="321" t="s">
        <v>5439</v>
      </c>
      <c r="P1069" s="321">
        <v>6710000</v>
      </c>
      <c r="Q1069" s="322">
        <v>200000</v>
      </c>
      <c r="R1069" s="322">
        <v>88200</v>
      </c>
      <c r="S1069" s="322">
        <v>200000</v>
      </c>
      <c r="T1069" s="322">
        <v>0</v>
      </c>
      <c r="U1069" s="322">
        <f t="shared" si="82"/>
        <v>200000</v>
      </c>
      <c r="W1069" s="321">
        <f t="shared" si="83"/>
        <v>750</v>
      </c>
      <c r="X1069" s="321">
        <f t="shared" si="84"/>
        <v>710000</v>
      </c>
      <c r="Y1069" s="321">
        <v>1</v>
      </c>
      <c r="AA1069" s="321" t="s">
        <v>5439</v>
      </c>
    </row>
    <row r="1070" spans="1:27">
      <c r="A1070" s="376">
        <v>784</v>
      </c>
      <c r="B1070" s="377">
        <v>817920</v>
      </c>
      <c r="C1070" s="382" t="s">
        <v>7184</v>
      </c>
      <c r="D1070" s="379">
        <v>0</v>
      </c>
      <c r="E1070" s="380">
        <v>604</v>
      </c>
      <c r="F1070" s="380">
        <v>604</v>
      </c>
      <c r="H1070" s="351">
        <f t="shared" si="85"/>
        <v>0</v>
      </c>
      <c r="I1070" s="351">
        <f t="shared" si="86"/>
        <v>604000</v>
      </c>
      <c r="M1070" s="321">
        <v>1710000751</v>
      </c>
      <c r="N1070" s="321">
        <v>71</v>
      </c>
      <c r="O1070" s="321" t="s">
        <v>5440</v>
      </c>
      <c r="P1070" s="321">
        <v>6710000</v>
      </c>
      <c r="Q1070" s="322">
        <v>0</v>
      </c>
      <c r="R1070" s="322">
        <v>0</v>
      </c>
      <c r="S1070" s="322">
        <v>0</v>
      </c>
      <c r="T1070" s="322">
        <v>0</v>
      </c>
      <c r="U1070" s="322">
        <f t="shared" si="82"/>
        <v>0</v>
      </c>
      <c r="W1070" s="321">
        <f t="shared" si="83"/>
        <v>751</v>
      </c>
      <c r="X1070" s="321">
        <f t="shared" si="84"/>
        <v>710000</v>
      </c>
      <c r="Y1070" s="321">
        <v>1</v>
      </c>
      <c r="AA1070" s="321" t="s">
        <v>5440</v>
      </c>
    </row>
    <row r="1071" spans="1:27">
      <c r="A1071" s="376">
        <v>785</v>
      </c>
      <c r="B1071" s="377">
        <v>817920</v>
      </c>
      <c r="C1071" s="382" t="s">
        <v>7185</v>
      </c>
      <c r="D1071" s="379">
        <v>20</v>
      </c>
      <c r="E1071" s="380">
        <v>20</v>
      </c>
      <c r="F1071" s="380">
        <v>20</v>
      </c>
      <c r="H1071" s="351">
        <f t="shared" si="85"/>
        <v>20000</v>
      </c>
      <c r="I1071" s="351">
        <f t="shared" si="86"/>
        <v>20000</v>
      </c>
      <c r="M1071" s="321">
        <v>1710000780</v>
      </c>
      <c r="N1071" s="321">
        <v>71</v>
      </c>
      <c r="O1071" s="321" t="s">
        <v>5441</v>
      </c>
      <c r="P1071" s="321">
        <v>6710000</v>
      </c>
      <c r="Q1071" s="322">
        <v>600000</v>
      </c>
      <c r="R1071" s="322">
        <v>53900</v>
      </c>
      <c r="S1071" s="322">
        <v>600000</v>
      </c>
      <c r="T1071" s="322">
        <v>400000</v>
      </c>
      <c r="U1071" s="322">
        <f t="shared" si="82"/>
        <v>200000</v>
      </c>
      <c r="W1071" s="321">
        <f t="shared" si="83"/>
        <v>780</v>
      </c>
      <c r="X1071" s="321">
        <f t="shared" si="84"/>
        <v>710000</v>
      </c>
      <c r="Y1071" s="321">
        <v>1</v>
      </c>
      <c r="AA1071" s="321" t="s">
        <v>5441</v>
      </c>
    </row>
    <row r="1072" spans="1:27">
      <c r="A1072" s="376">
        <v>786</v>
      </c>
      <c r="B1072" s="377">
        <v>817920</v>
      </c>
      <c r="C1072" s="382" t="s">
        <v>7186</v>
      </c>
      <c r="D1072" s="379">
        <v>212</v>
      </c>
      <c r="E1072" s="380">
        <v>0</v>
      </c>
      <c r="F1072" s="380">
        <v>0</v>
      </c>
      <c r="H1072" s="351">
        <f t="shared" si="85"/>
        <v>212000</v>
      </c>
      <c r="I1072" s="351">
        <f t="shared" si="86"/>
        <v>0</v>
      </c>
      <c r="M1072" s="321">
        <v>1710000920</v>
      </c>
      <c r="N1072" s="321">
        <v>71</v>
      </c>
      <c r="O1072" s="321" t="s">
        <v>5442</v>
      </c>
      <c r="P1072" s="321">
        <v>6710000</v>
      </c>
      <c r="Q1072" s="322">
        <v>350000</v>
      </c>
      <c r="R1072" s="322">
        <v>55800</v>
      </c>
      <c r="S1072" s="322">
        <v>255000</v>
      </c>
      <c r="T1072" s="322">
        <v>55000</v>
      </c>
      <c r="U1072" s="322">
        <f t="shared" si="82"/>
        <v>200000</v>
      </c>
      <c r="W1072" s="321">
        <f t="shared" si="83"/>
        <v>920</v>
      </c>
      <c r="X1072" s="321">
        <f t="shared" si="84"/>
        <v>710000</v>
      </c>
      <c r="Y1072" s="321">
        <v>1</v>
      </c>
      <c r="AA1072" s="321" t="s">
        <v>5442</v>
      </c>
    </row>
    <row r="1073" spans="1:27">
      <c r="A1073" s="376">
        <v>787</v>
      </c>
      <c r="B1073" s="377">
        <v>817920</v>
      </c>
      <c r="C1073" s="382" t="s">
        <v>7187</v>
      </c>
      <c r="D1073" s="379">
        <v>165</v>
      </c>
      <c r="E1073" s="380">
        <v>0</v>
      </c>
      <c r="F1073" s="380">
        <v>0</v>
      </c>
      <c r="H1073" s="351">
        <f t="shared" si="85"/>
        <v>165000</v>
      </c>
      <c r="I1073" s="351">
        <f t="shared" si="86"/>
        <v>0</v>
      </c>
      <c r="M1073" s="321">
        <v>1711000110</v>
      </c>
      <c r="N1073" s="321">
        <v>71</v>
      </c>
      <c r="O1073" s="321" t="s">
        <v>5205</v>
      </c>
      <c r="P1073" s="321">
        <v>6711000</v>
      </c>
      <c r="Q1073" s="322">
        <v>575000</v>
      </c>
      <c r="R1073" s="322">
        <v>479400</v>
      </c>
      <c r="S1073" s="322">
        <v>648000</v>
      </c>
      <c r="T1073" s="322">
        <v>648000</v>
      </c>
      <c r="U1073" s="322">
        <f t="shared" si="82"/>
        <v>0</v>
      </c>
      <c r="W1073" s="321">
        <f t="shared" si="83"/>
        <v>110</v>
      </c>
      <c r="X1073" s="321">
        <f t="shared" si="84"/>
        <v>711000</v>
      </c>
      <c r="Y1073" s="321">
        <v>1</v>
      </c>
      <c r="AA1073" s="321" t="s">
        <v>5205</v>
      </c>
    </row>
    <row r="1074" spans="1:27">
      <c r="A1074" s="376">
        <v>788</v>
      </c>
      <c r="B1074" s="377">
        <v>817920</v>
      </c>
      <c r="C1074" s="382" t="s">
        <v>7188</v>
      </c>
      <c r="D1074" s="379">
        <v>713</v>
      </c>
      <c r="E1074" s="380">
        <v>0</v>
      </c>
      <c r="F1074" s="380">
        <v>0</v>
      </c>
      <c r="H1074" s="351">
        <f t="shared" si="85"/>
        <v>713000</v>
      </c>
      <c r="I1074" s="351">
        <f t="shared" si="86"/>
        <v>0</v>
      </c>
      <c r="M1074" s="321">
        <v>1711000120</v>
      </c>
      <c r="N1074" s="321">
        <v>71</v>
      </c>
      <c r="O1074" s="321" t="s">
        <v>5206</v>
      </c>
      <c r="P1074" s="321">
        <v>6711000</v>
      </c>
      <c r="Q1074" s="322">
        <v>57000</v>
      </c>
      <c r="R1074" s="322">
        <v>70200</v>
      </c>
      <c r="S1074" s="322">
        <v>85000</v>
      </c>
      <c r="T1074" s="322">
        <v>85000</v>
      </c>
      <c r="U1074" s="322">
        <f t="shared" si="82"/>
        <v>0</v>
      </c>
      <c r="W1074" s="321">
        <f t="shared" si="83"/>
        <v>120</v>
      </c>
      <c r="X1074" s="321">
        <f t="shared" si="84"/>
        <v>711000</v>
      </c>
      <c r="Y1074" s="321">
        <v>1</v>
      </c>
      <c r="AA1074" s="321" t="s">
        <v>5206</v>
      </c>
    </row>
    <row r="1075" spans="1:27">
      <c r="A1075" s="376">
        <v>870</v>
      </c>
      <c r="B1075" s="377">
        <v>817920</v>
      </c>
      <c r="C1075" s="382" t="s">
        <v>7189</v>
      </c>
      <c r="D1075" s="379">
        <v>0</v>
      </c>
      <c r="E1075" s="380">
        <v>750</v>
      </c>
      <c r="F1075" s="380">
        <v>750</v>
      </c>
      <c r="H1075" s="351">
        <f t="shared" si="85"/>
        <v>0</v>
      </c>
      <c r="I1075" s="351">
        <f t="shared" si="86"/>
        <v>750000</v>
      </c>
      <c r="M1075" s="321">
        <v>1711000130</v>
      </c>
      <c r="N1075" s="321">
        <v>71</v>
      </c>
      <c r="O1075" s="321" t="s">
        <v>2576</v>
      </c>
      <c r="P1075" s="321">
        <v>6711000</v>
      </c>
      <c r="Q1075" s="322">
        <v>53000</v>
      </c>
      <c r="R1075" s="322">
        <v>53900</v>
      </c>
      <c r="S1075" s="322">
        <v>70000</v>
      </c>
      <c r="T1075" s="322">
        <v>63000</v>
      </c>
      <c r="U1075" s="322">
        <f t="shared" si="82"/>
        <v>7000</v>
      </c>
      <c r="W1075" s="321">
        <f t="shared" si="83"/>
        <v>130</v>
      </c>
      <c r="X1075" s="321">
        <f t="shared" si="84"/>
        <v>711000</v>
      </c>
      <c r="Y1075" s="321">
        <v>1</v>
      </c>
      <c r="AA1075" s="321" t="s">
        <v>2576</v>
      </c>
    </row>
    <row r="1076" spans="1:27">
      <c r="A1076" s="376">
        <v>850</v>
      </c>
      <c r="B1076" s="377">
        <v>817930</v>
      </c>
      <c r="C1076" s="382" t="s">
        <v>7190</v>
      </c>
      <c r="D1076" s="379">
        <v>166</v>
      </c>
      <c r="E1076" s="380">
        <v>186</v>
      </c>
      <c r="F1076" s="380">
        <v>186</v>
      </c>
      <c r="H1076" s="351">
        <f t="shared" si="85"/>
        <v>166000</v>
      </c>
      <c r="I1076" s="351">
        <f t="shared" si="86"/>
        <v>186000</v>
      </c>
      <c r="M1076" s="321">
        <v>1711000140</v>
      </c>
      <c r="N1076" s="321">
        <v>71</v>
      </c>
      <c r="O1076" s="321" t="s">
        <v>5207</v>
      </c>
      <c r="P1076" s="321">
        <v>6711000</v>
      </c>
      <c r="Q1076" s="322">
        <v>84000</v>
      </c>
      <c r="R1076" s="322">
        <v>78900</v>
      </c>
      <c r="S1076" s="322">
        <v>101000</v>
      </c>
      <c r="T1076" s="322">
        <v>101000</v>
      </c>
      <c r="U1076" s="322">
        <f t="shared" si="82"/>
        <v>0</v>
      </c>
      <c r="W1076" s="321">
        <f t="shared" si="83"/>
        <v>140</v>
      </c>
      <c r="X1076" s="321">
        <f t="shared" si="84"/>
        <v>711000</v>
      </c>
      <c r="Y1076" s="321">
        <v>1</v>
      </c>
      <c r="AA1076" s="321" t="s">
        <v>5207</v>
      </c>
    </row>
    <row r="1077" spans="1:27">
      <c r="A1077" s="376">
        <v>855</v>
      </c>
      <c r="B1077" s="377">
        <v>817930</v>
      </c>
      <c r="C1077" s="382" t="s">
        <v>7191</v>
      </c>
      <c r="D1077" s="379">
        <v>478</v>
      </c>
      <c r="E1077" s="380">
        <v>478</v>
      </c>
      <c r="F1077" s="380">
        <v>478</v>
      </c>
      <c r="H1077" s="351">
        <f t="shared" si="85"/>
        <v>478000</v>
      </c>
      <c r="I1077" s="351">
        <f t="shared" si="86"/>
        <v>478000</v>
      </c>
      <c r="M1077" s="321">
        <v>1711000141</v>
      </c>
      <c r="N1077" s="321">
        <v>71</v>
      </c>
      <c r="O1077" s="321" t="s">
        <v>5208</v>
      </c>
      <c r="P1077" s="321">
        <v>6711000</v>
      </c>
      <c r="Q1077" s="322">
        <v>22000</v>
      </c>
      <c r="R1077" s="322">
        <v>17000</v>
      </c>
      <c r="S1077" s="322">
        <v>26000</v>
      </c>
      <c r="T1077" s="322">
        <v>26000</v>
      </c>
      <c r="U1077" s="322">
        <f t="shared" si="82"/>
        <v>0</v>
      </c>
      <c r="W1077" s="321">
        <f t="shared" si="83"/>
        <v>141</v>
      </c>
      <c r="X1077" s="321">
        <f t="shared" si="84"/>
        <v>711000</v>
      </c>
      <c r="Y1077" s="321">
        <v>1</v>
      </c>
      <c r="AA1077" s="321" t="s">
        <v>5208</v>
      </c>
    </row>
    <row r="1078" spans="1:27">
      <c r="A1078" s="376">
        <v>856</v>
      </c>
      <c r="B1078" s="377">
        <v>817930</v>
      </c>
      <c r="C1078" s="382" t="s">
        <v>7192</v>
      </c>
      <c r="D1078" s="379">
        <v>20</v>
      </c>
      <c r="E1078" s="380">
        <v>20</v>
      </c>
      <c r="F1078" s="380">
        <v>20</v>
      </c>
      <c r="H1078" s="351">
        <f t="shared" si="85"/>
        <v>20000</v>
      </c>
      <c r="I1078" s="351">
        <f t="shared" si="86"/>
        <v>20000</v>
      </c>
      <c r="M1078" s="321">
        <v>1711000181</v>
      </c>
      <c r="N1078" s="321">
        <v>71</v>
      </c>
      <c r="O1078" s="321" t="s">
        <v>2580</v>
      </c>
      <c r="P1078" s="321">
        <v>6711000</v>
      </c>
      <c r="Q1078" s="322">
        <v>129000</v>
      </c>
      <c r="R1078" s="322">
        <v>109800</v>
      </c>
      <c r="S1078" s="322">
        <v>147000</v>
      </c>
      <c r="T1078" s="322">
        <v>147000</v>
      </c>
      <c r="U1078" s="322">
        <f t="shared" si="82"/>
        <v>0</v>
      </c>
      <c r="W1078" s="321">
        <f t="shared" si="83"/>
        <v>181</v>
      </c>
      <c r="X1078" s="321">
        <f t="shared" si="84"/>
        <v>711000</v>
      </c>
      <c r="Y1078" s="321">
        <v>1</v>
      </c>
      <c r="AA1078" s="321" t="s">
        <v>2580</v>
      </c>
    </row>
    <row r="1079" spans="1:27">
      <c r="A1079" s="376">
        <v>860</v>
      </c>
      <c r="B1079" s="377">
        <v>817930</v>
      </c>
      <c r="C1079" s="387" t="s">
        <v>7193</v>
      </c>
      <c r="D1079" s="379">
        <v>98</v>
      </c>
      <c r="E1079" s="380">
        <v>98</v>
      </c>
      <c r="F1079" s="380">
        <v>98</v>
      </c>
      <c r="H1079" s="351">
        <f t="shared" si="85"/>
        <v>98000</v>
      </c>
      <c r="I1079" s="351">
        <f t="shared" si="86"/>
        <v>98000</v>
      </c>
      <c r="M1079" s="321">
        <v>1711000182</v>
      </c>
      <c r="N1079" s="321">
        <v>71</v>
      </c>
      <c r="O1079" s="321" t="s">
        <v>2582</v>
      </c>
      <c r="P1079" s="321">
        <v>6711000</v>
      </c>
      <c r="Q1079" s="322">
        <v>117000</v>
      </c>
      <c r="R1079" s="322">
        <v>99700</v>
      </c>
      <c r="S1079" s="322">
        <v>135000</v>
      </c>
      <c r="T1079" s="322">
        <v>135000</v>
      </c>
      <c r="U1079" s="322">
        <f t="shared" si="82"/>
        <v>0</v>
      </c>
      <c r="W1079" s="321">
        <f t="shared" si="83"/>
        <v>182</v>
      </c>
      <c r="X1079" s="321">
        <f t="shared" si="84"/>
        <v>711000</v>
      </c>
      <c r="Y1079" s="321">
        <v>1</v>
      </c>
      <c r="AA1079" s="321" t="s">
        <v>2582</v>
      </c>
    </row>
    <row r="1080" spans="1:27">
      <c r="A1080" s="376">
        <v>861</v>
      </c>
      <c r="B1080" s="377">
        <v>817930</v>
      </c>
      <c r="C1080" s="387" t="s">
        <v>7194</v>
      </c>
      <c r="D1080" s="379">
        <v>120</v>
      </c>
      <c r="E1080" s="380">
        <v>120</v>
      </c>
      <c r="F1080" s="380">
        <v>115</v>
      </c>
      <c r="H1080" s="351">
        <f t="shared" si="85"/>
        <v>120000</v>
      </c>
      <c r="I1080" s="351">
        <f t="shared" si="86"/>
        <v>115000</v>
      </c>
      <c r="M1080" s="321">
        <v>1711000210</v>
      </c>
      <c r="N1080" s="321">
        <v>71</v>
      </c>
      <c r="O1080" s="321" t="s">
        <v>5443</v>
      </c>
      <c r="P1080" s="321">
        <v>6711000</v>
      </c>
      <c r="Q1080" s="322">
        <v>100000</v>
      </c>
      <c r="R1080" s="322">
        <v>60200</v>
      </c>
      <c r="S1080" s="322">
        <v>200000</v>
      </c>
      <c r="T1080" s="322">
        <v>200000</v>
      </c>
      <c r="U1080" s="322">
        <f t="shared" si="82"/>
        <v>0</v>
      </c>
      <c r="W1080" s="321">
        <f t="shared" si="83"/>
        <v>210</v>
      </c>
      <c r="X1080" s="321">
        <f t="shared" si="84"/>
        <v>711000</v>
      </c>
      <c r="Y1080" s="321">
        <v>1</v>
      </c>
      <c r="AA1080" s="321" t="s">
        <v>5443</v>
      </c>
    </row>
    <row r="1081" spans="1:27">
      <c r="A1081" s="376">
        <v>781</v>
      </c>
      <c r="B1081" s="377">
        <v>817950</v>
      </c>
      <c r="C1081" s="382" t="s">
        <v>7195</v>
      </c>
      <c r="D1081" s="379">
        <v>250</v>
      </c>
      <c r="E1081" s="380">
        <v>250</v>
      </c>
      <c r="F1081" s="380">
        <v>250</v>
      </c>
      <c r="H1081" s="351">
        <f t="shared" si="85"/>
        <v>250000</v>
      </c>
      <c r="I1081" s="351">
        <f t="shared" si="86"/>
        <v>250000</v>
      </c>
      <c r="M1081" s="321">
        <v>1711000420</v>
      </c>
      <c r="N1081" s="321">
        <v>71</v>
      </c>
      <c r="O1081" s="321" t="s">
        <v>5444</v>
      </c>
      <c r="P1081" s="321">
        <v>6711000</v>
      </c>
      <c r="Q1081" s="322">
        <v>28100</v>
      </c>
      <c r="R1081" s="322">
        <v>10900</v>
      </c>
      <c r="S1081" s="322">
        <v>50000</v>
      </c>
      <c r="T1081" s="322">
        <v>50000</v>
      </c>
      <c r="U1081" s="322">
        <f t="shared" si="82"/>
        <v>0</v>
      </c>
      <c r="W1081" s="321">
        <f t="shared" si="83"/>
        <v>420</v>
      </c>
      <c r="X1081" s="321">
        <f t="shared" si="84"/>
        <v>711000</v>
      </c>
      <c r="Y1081" s="321">
        <v>1</v>
      </c>
      <c r="AA1081" s="321" t="s">
        <v>5444</v>
      </c>
    </row>
    <row r="1082" spans="1:27">
      <c r="A1082" s="376">
        <v>755</v>
      </c>
      <c r="B1082" s="377">
        <v>817951</v>
      </c>
      <c r="C1082" s="382" t="s">
        <v>7196</v>
      </c>
      <c r="D1082" s="379">
        <v>250</v>
      </c>
      <c r="E1082" s="380">
        <v>253</v>
      </c>
      <c r="F1082" s="380">
        <v>253</v>
      </c>
      <c r="H1082" s="351">
        <f t="shared" si="85"/>
        <v>250000</v>
      </c>
      <c r="I1082" s="351">
        <f t="shared" si="86"/>
        <v>253000</v>
      </c>
      <c r="M1082" s="321">
        <v>1711000422</v>
      </c>
      <c r="N1082" s="321">
        <v>71</v>
      </c>
      <c r="O1082" s="321" t="s">
        <v>5445</v>
      </c>
      <c r="P1082" s="321">
        <v>6711000</v>
      </c>
      <c r="Q1082" s="322">
        <v>99000</v>
      </c>
      <c r="R1082" s="322">
        <v>61100</v>
      </c>
      <c r="S1082" s="322">
        <v>103000</v>
      </c>
      <c r="T1082" s="322">
        <v>103000</v>
      </c>
      <c r="U1082" s="322">
        <f t="shared" si="82"/>
        <v>0</v>
      </c>
      <c r="W1082" s="321">
        <f t="shared" si="83"/>
        <v>422</v>
      </c>
      <c r="X1082" s="321">
        <f t="shared" si="84"/>
        <v>711000</v>
      </c>
      <c r="Y1082" s="321">
        <v>1</v>
      </c>
      <c r="AA1082" s="321" t="s">
        <v>5445</v>
      </c>
    </row>
    <row r="1083" spans="1:27" ht="30">
      <c r="A1083" s="376">
        <v>100</v>
      </c>
      <c r="B1083" s="377">
        <v>817960</v>
      </c>
      <c r="C1083" s="386" t="s">
        <v>7197</v>
      </c>
      <c r="D1083" s="379">
        <v>1022</v>
      </c>
      <c r="E1083" s="380">
        <v>970</v>
      </c>
      <c r="F1083" s="380">
        <v>970</v>
      </c>
      <c r="H1083" s="351">
        <f t="shared" si="85"/>
        <v>1022000</v>
      </c>
      <c r="I1083" s="351">
        <f t="shared" si="86"/>
        <v>970000</v>
      </c>
      <c r="M1083" s="321">
        <v>1711000470</v>
      </c>
      <c r="N1083" s="321">
        <v>71</v>
      </c>
      <c r="O1083" s="321" t="s">
        <v>2830</v>
      </c>
      <c r="P1083" s="321">
        <v>6711000</v>
      </c>
      <c r="Q1083" s="322">
        <v>6000</v>
      </c>
      <c r="R1083" s="322">
        <v>4700</v>
      </c>
      <c r="S1083" s="322">
        <v>6000</v>
      </c>
      <c r="T1083" s="322">
        <v>6000</v>
      </c>
      <c r="U1083" s="322">
        <f t="shared" si="82"/>
        <v>0</v>
      </c>
      <c r="W1083" s="321">
        <f t="shared" si="83"/>
        <v>470</v>
      </c>
      <c r="X1083" s="321">
        <f t="shared" si="84"/>
        <v>711000</v>
      </c>
      <c r="Y1083" s="321">
        <v>1</v>
      </c>
      <c r="AA1083" s="321" t="s">
        <v>2830</v>
      </c>
    </row>
    <row r="1084" spans="1:27">
      <c r="A1084" s="376">
        <v>420</v>
      </c>
      <c r="B1084" s="377">
        <v>817960</v>
      </c>
      <c r="C1084" s="386" t="s">
        <v>7198</v>
      </c>
      <c r="D1084" s="379">
        <v>700</v>
      </c>
      <c r="E1084" s="380">
        <v>900</v>
      </c>
      <c r="F1084" s="380">
        <v>900</v>
      </c>
      <c r="H1084" s="351">
        <f t="shared" si="85"/>
        <v>700000</v>
      </c>
      <c r="I1084" s="351">
        <f t="shared" si="86"/>
        <v>900000</v>
      </c>
      <c r="M1084" s="321">
        <v>1711000471</v>
      </c>
      <c r="N1084" s="321">
        <v>71</v>
      </c>
      <c r="O1084" s="321" t="s">
        <v>5212</v>
      </c>
      <c r="P1084" s="321">
        <v>6711000</v>
      </c>
      <c r="Q1084" s="322">
        <v>3500</v>
      </c>
      <c r="R1084" s="322">
        <v>3500</v>
      </c>
      <c r="S1084" s="322">
        <v>3700</v>
      </c>
      <c r="T1084" s="322">
        <v>3700</v>
      </c>
      <c r="U1084" s="322">
        <f t="shared" si="82"/>
        <v>0</v>
      </c>
      <c r="W1084" s="321">
        <f t="shared" si="83"/>
        <v>471</v>
      </c>
      <c r="X1084" s="321">
        <f t="shared" si="84"/>
        <v>711000</v>
      </c>
      <c r="Y1084" s="321">
        <v>1</v>
      </c>
      <c r="AA1084" s="321" t="s">
        <v>5212</v>
      </c>
    </row>
    <row r="1085" spans="1:27">
      <c r="A1085" s="376">
        <v>421</v>
      </c>
      <c r="B1085" s="377">
        <v>817960</v>
      </c>
      <c r="C1085" s="381" t="s">
        <v>7199</v>
      </c>
      <c r="D1085" s="379">
        <v>71</v>
      </c>
      <c r="E1085" s="380">
        <v>80</v>
      </c>
      <c r="F1085" s="380">
        <v>80</v>
      </c>
      <c r="H1085" s="351">
        <f t="shared" si="85"/>
        <v>71000</v>
      </c>
      <c r="I1085" s="351">
        <f t="shared" si="86"/>
        <v>80000</v>
      </c>
      <c r="M1085" s="321">
        <v>1711000510</v>
      </c>
      <c r="N1085" s="321">
        <v>71</v>
      </c>
      <c r="O1085" s="321" t="s">
        <v>2805</v>
      </c>
      <c r="P1085" s="321">
        <v>6711000</v>
      </c>
      <c r="Q1085" s="322">
        <v>3000</v>
      </c>
      <c r="R1085" s="322">
        <v>2300</v>
      </c>
      <c r="S1085" s="322">
        <v>3000</v>
      </c>
      <c r="T1085" s="322">
        <v>3000</v>
      </c>
      <c r="U1085" s="322">
        <f t="shared" si="82"/>
        <v>0</v>
      </c>
      <c r="W1085" s="321">
        <f t="shared" si="83"/>
        <v>510</v>
      </c>
      <c r="X1085" s="321">
        <f t="shared" si="84"/>
        <v>711000</v>
      </c>
      <c r="Y1085" s="321">
        <v>1</v>
      </c>
      <c r="AA1085" s="321" t="s">
        <v>2805</v>
      </c>
    </row>
    <row r="1086" spans="1:27">
      <c r="A1086" s="376">
        <v>423</v>
      </c>
      <c r="B1086" s="377">
        <v>817960</v>
      </c>
      <c r="C1086" s="355" t="s">
        <v>7200</v>
      </c>
      <c r="D1086" s="379">
        <v>80</v>
      </c>
      <c r="E1086" s="380">
        <v>100</v>
      </c>
      <c r="F1086" s="380">
        <v>100</v>
      </c>
      <c r="H1086" s="351">
        <f t="shared" si="85"/>
        <v>80000</v>
      </c>
      <c r="I1086" s="351">
        <f t="shared" si="86"/>
        <v>100000</v>
      </c>
      <c r="M1086" s="321">
        <v>1711000523</v>
      </c>
      <c r="N1086" s="321">
        <v>71</v>
      </c>
      <c r="O1086" s="321" t="s">
        <v>2615</v>
      </c>
      <c r="P1086" s="321">
        <v>6711000</v>
      </c>
      <c r="Q1086" s="322">
        <v>1000</v>
      </c>
      <c r="R1086" s="322">
        <v>500</v>
      </c>
      <c r="S1086" s="322">
        <v>1000</v>
      </c>
      <c r="T1086" s="322">
        <v>1000</v>
      </c>
      <c r="U1086" s="322">
        <f t="shared" si="82"/>
        <v>0</v>
      </c>
      <c r="W1086" s="321">
        <f t="shared" si="83"/>
        <v>523</v>
      </c>
      <c r="X1086" s="321">
        <f t="shared" si="84"/>
        <v>711000</v>
      </c>
      <c r="Y1086" s="321">
        <v>1</v>
      </c>
      <c r="AA1086" s="321" t="s">
        <v>2615</v>
      </c>
    </row>
    <row r="1087" spans="1:27">
      <c r="A1087" s="376">
        <v>425</v>
      </c>
      <c r="B1087" s="377">
        <v>817960</v>
      </c>
      <c r="C1087" s="381" t="s">
        <v>7201</v>
      </c>
      <c r="D1087" s="379">
        <v>260</v>
      </c>
      <c r="E1087" s="380">
        <v>240</v>
      </c>
      <c r="F1087" s="380">
        <v>240</v>
      </c>
      <c r="H1087" s="351">
        <f t="shared" si="85"/>
        <v>260000</v>
      </c>
      <c r="I1087" s="351">
        <f t="shared" si="86"/>
        <v>240000</v>
      </c>
      <c r="M1087" s="321">
        <v>1711000530</v>
      </c>
      <c r="N1087" s="321">
        <v>71</v>
      </c>
      <c r="O1087" s="321" t="s">
        <v>5446</v>
      </c>
      <c r="P1087" s="321">
        <v>6711000</v>
      </c>
      <c r="Q1087" s="322">
        <v>50000</v>
      </c>
      <c r="R1087" s="322">
        <v>47100</v>
      </c>
      <c r="S1087" s="322">
        <v>65000</v>
      </c>
      <c r="T1087" s="322">
        <v>65000</v>
      </c>
      <c r="U1087" s="322">
        <f t="shared" si="82"/>
        <v>0</v>
      </c>
      <c r="W1087" s="321">
        <f t="shared" si="83"/>
        <v>530</v>
      </c>
      <c r="X1087" s="321">
        <f t="shared" si="84"/>
        <v>711000</v>
      </c>
      <c r="Y1087" s="321">
        <v>1</v>
      </c>
      <c r="AA1087" s="321" t="s">
        <v>5446</v>
      </c>
    </row>
    <row r="1088" spans="1:27">
      <c r="A1088" s="376">
        <v>426</v>
      </c>
      <c r="B1088" s="377">
        <v>817960</v>
      </c>
      <c r="C1088" s="381" t="s">
        <v>7202</v>
      </c>
      <c r="D1088" s="379">
        <v>70</v>
      </c>
      <c r="E1088" s="380">
        <v>68</v>
      </c>
      <c r="F1088" s="380">
        <v>70</v>
      </c>
      <c r="H1088" s="351">
        <f t="shared" si="85"/>
        <v>70000</v>
      </c>
      <c r="I1088" s="351">
        <f t="shared" si="86"/>
        <v>70000</v>
      </c>
      <c r="M1088" s="321">
        <v>1711000540</v>
      </c>
      <c r="N1088" s="321">
        <v>71</v>
      </c>
      <c r="O1088" s="321" t="s">
        <v>5216</v>
      </c>
      <c r="P1088" s="321">
        <v>6711000</v>
      </c>
      <c r="Q1088" s="322">
        <v>5000</v>
      </c>
      <c r="R1088" s="322">
        <v>3500</v>
      </c>
      <c r="S1088" s="322">
        <v>5000</v>
      </c>
      <c r="T1088" s="322">
        <v>5000</v>
      </c>
      <c r="U1088" s="322">
        <f t="shared" si="82"/>
        <v>0</v>
      </c>
      <c r="W1088" s="321">
        <f t="shared" si="83"/>
        <v>540</v>
      </c>
      <c r="X1088" s="321">
        <f t="shared" si="84"/>
        <v>711000</v>
      </c>
      <c r="Y1088" s="321">
        <v>1</v>
      </c>
      <c r="AA1088" s="321" t="s">
        <v>5216</v>
      </c>
    </row>
    <row r="1089" spans="1:27">
      <c r="A1089" s="376">
        <v>432</v>
      </c>
      <c r="B1089" s="377">
        <v>817960</v>
      </c>
      <c r="C1089" s="391" t="s">
        <v>7203</v>
      </c>
      <c r="D1089" s="379">
        <v>77</v>
      </c>
      <c r="E1089" s="380">
        <v>77</v>
      </c>
      <c r="F1089" s="380">
        <v>77</v>
      </c>
      <c r="H1089" s="351">
        <f t="shared" si="85"/>
        <v>77000</v>
      </c>
      <c r="I1089" s="351">
        <f t="shared" si="86"/>
        <v>77000</v>
      </c>
      <c r="M1089" s="321">
        <v>1711000542</v>
      </c>
      <c r="N1089" s="321">
        <v>71</v>
      </c>
      <c r="O1089" s="321" t="s">
        <v>5362</v>
      </c>
      <c r="P1089" s="321">
        <v>6711000</v>
      </c>
      <c r="Q1089" s="322">
        <v>10000</v>
      </c>
      <c r="R1089" s="322">
        <v>1400</v>
      </c>
      <c r="S1089" s="322">
        <v>9000</v>
      </c>
      <c r="T1089" s="322">
        <v>9000</v>
      </c>
      <c r="U1089" s="322">
        <f t="shared" si="82"/>
        <v>0</v>
      </c>
      <c r="W1089" s="321">
        <f t="shared" si="83"/>
        <v>542</v>
      </c>
      <c r="X1089" s="321">
        <f t="shared" si="84"/>
        <v>711000</v>
      </c>
      <c r="Y1089" s="321">
        <v>1</v>
      </c>
      <c r="AA1089" s="321" t="s">
        <v>5362</v>
      </c>
    </row>
    <row r="1090" spans="1:27">
      <c r="A1090" s="376">
        <v>720</v>
      </c>
      <c r="B1090" s="377">
        <v>817960</v>
      </c>
      <c r="C1090" s="382" t="s">
        <v>7204</v>
      </c>
      <c r="D1090" s="379">
        <v>100</v>
      </c>
      <c r="E1090" s="380">
        <v>120</v>
      </c>
      <c r="F1090" s="380">
        <v>120</v>
      </c>
      <c r="H1090" s="351">
        <f t="shared" si="85"/>
        <v>100000</v>
      </c>
      <c r="I1090" s="351">
        <f t="shared" si="86"/>
        <v>120000</v>
      </c>
      <c r="M1090" s="321">
        <v>1711000550</v>
      </c>
      <c r="N1090" s="321">
        <v>71</v>
      </c>
      <c r="O1090" s="321" t="s">
        <v>5447</v>
      </c>
      <c r="P1090" s="321">
        <v>6711000</v>
      </c>
      <c r="Q1090" s="322">
        <v>43000</v>
      </c>
      <c r="R1090" s="322">
        <v>0</v>
      </c>
      <c r="S1090" s="322">
        <v>43000</v>
      </c>
      <c r="T1090" s="322">
        <v>43000</v>
      </c>
      <c r="U1090" s="322">
        <f t="shared" ref="U1090:U1153" si="87">S1090-T1090</f>
        <v>0</v>
      </c>
      <c r="W1090" s="321">
        <f t="shared" si="83"/>
        <v>550</v>
      </c>
      <c r="X1090" s="321">
        <f t="shared" si="84"/>
        <v>711000</v>
      </c>
      <c r="Y1090" s="321">
        <v>1</v>
      </c>
      <c r="AA1090" s="321" t="s">
        <v>5447</v>
      </c>
    </row>
    <row r="1091" spans="1:27">
      <c r="A1091" s="376">
        <v>740</v>
      </c>
      <c r="B1091" s="377">
        <v>817960</v>
      </c>
      <c r="C1091" s="382" t="s">
        <v>6867</v>
      </c>
      <c r="D1091" s="379">
        <v>122</v>
      </c>
      <c r="E1091" s="380">
        <v>152</v>
      </c>
      <c r="F1091" s="380">
        <v>152</v>
      </c>
      <c r="H1091" s="351">
        <f t="shared" si="85"/>
        <v>122000</v>
      </c>
      <c r="I1091" s="351">
        <f t="shared" si="86"/>
        <v>152000</v>
      </c>
      <c r="M1091" s="321">
        <v>1711000730</v>
      </c>
      <c r="N1091" s="321">
        <v>71</v>
      </c>
      <c r="O1091" s="321" t="s">
        <v>5448</v>
      </c>
      <c r="P1091" s="321">
        <v>6711000</v>
      </c>
      <c r="Q1091" s="322">
        <v>35000</v>
      </c>
      <c r="R1091" s="322">
        <v>26100</v>
      </c>
      <c r="S1091" s="322">
        <v>35000</v>
      </c>
      <c r="T1091" s="322">
        <v>35000</v>
      </c>
      <c r="U1091" s="322">
        <f t="shared" si="87"/>
        <v>0</v>
      </c>
      <c r="W1091" s="321">
        <f t="shared" ref="W1091:W1154" si="88">M1091-1000000000-X1091*1000</f>
        <v>730</v>
      </c>
      <c r="X1091" s="321">
        <f t="shared" ref="X1091:X1154" si="89">ROUNDDOWN((M1091-1000000000)/1000,0)</f>
        <v>711000</v>
      </c>
      <c r="Y1091" s="321">
        <v>1</v>
      </c>
      <c r="AA1091" s="321" t="s">
        <v>5448</v>
      </c>
    </row>
    <row r="1092" spans="1:27">
      <c r="A1092" s="376">
        <v>747</v>
      </c>
      <c r="B1092" s="377">
        <v>817960</v>
      </c>
      <c r="C1092" s="382" t="s">
        <v>7205</v>
      </c>
      <c r="D1092" s="379">
        <v>600</v>
      </c>
      <c r="E1092" s="380">
        <v>580</v>
      </c>
      <c r="F1092" s="380">
        <v>580</v>
      </c>
      <c r="H1092" s="351">
        <f t="shared" si="85"/>
        <v>600000</v>
      </c>
      <c r="I1092" s="351">
        <f t="shared" si="86"/>
        <v>580000</v>
      </c>
      <c r="M1092" s="321">
        <v>1711000750</v>
      </c>
      <c r="N1092" s="321">
        <v>71</v>
      </c>
      <c r="O1092" s="321" t="s">
        <v>5449</v>
      </c>
      <c r="P1092" s="321">
        <v>6711000</v>
      </c>
      <c r="Q1092" s="322">
        <v>10000</v>
      </c>
      <c r="R1092" s="322">
        <v>0</v>
      </c>
      <c r="S1092" s="322">
        <v>10000</v>
      </c>
      <c r="T1092" s="322">
        <v>10000</v>
      </c>
      <c r="U1092" s="322">
        <f t="shared" si="87"/>
        <v>0</v>
      </c>
      <c r="W1092" s="321">
        <f t="shared" si="88"/>
        <v>750</v>
      </c>
      <c r="X1092" s="321">
        <f t="shared" si="89"/>
        <v>711000</v>
      </c>
      <c r="Y1092" s="321">
        <v>1</v>
      </c>
      <c r="AA1092" s="321" t="s">
        <v>5449</v>
      </c>
    </row>
    <row r="1093" spans="1:27">
      <c r="A1093" s="376">
        <v>750</v>
      </c>
      <c r="B1093" s="377">
        <v>817960</v>
      </c>
      <c r="C1093" s="381" t="s">
        <v>7206</v>
      </c>
      <c r="D1093" s="379">
        <v>673</v>
      </c>
      <c r="E1093" s="380">
        <v>641</v>
      </c>
      <c r="F1093" s="380">
        <v>641</v>
      </c>
      <c r="H1093" s="351">
        <f t="shared" si="85"/>
        <v>673000</v>
      </c>
      <c r="I1093" s="351">
        <f t="shared" si="86"/>
        <v>641000</v>
      </c>
      <c r="M1093" s="321">
        <v>1711000771</v>
      </c>
      <c r="N1093" s="321">
        <v>71</v>
      </c>
      <c r="O1093" s="321" t="s">
        <v>3188</v>
      </c>
      <c r="P1093" s="321">
        <v>6711000</v>
      </c>
      <c r="Q1093" s="322">
        <v>37000</v>
      </c>
      <c r="R1093" s="322">
        <v>24000</v>
      </c>
      <c r="S1093" s="322">
        <v>37000</v>
      </c>
      <c r="T1093" s="322">
        <v>37000</v>
      </c>
      <c r="U1093" s="322">
        <f t="shared" si="87"/>
        <v>0</v>
      </c>
      <c r="W1093" s="321">
        <f t="shared" si="88"/>
        <v>771</v>
      </c>
      <c r="X1093" s="321">
        <f t="shared" si="89"/>
        <v>711000</v>
      </c>
      <c r="Y1093" s="321">
        <v>1</v>
      </c>
      <c r="AA1093" s="321" t="s">
        <v>3188</v>
      </c>
    </row>
    <row r="1094" spans="1:27">
      <c r="A1094" s="376">
        <v>780</v>
      </c>
      <c r="B1094" s="377">
        <v>817960</v>
      </c>
      <c r="C1094" s="382" t="s">
        <v>7207</v>
      </c>
      <c r="D1094" s="379">
        <v>265</v>
      </c>
      <c r="E1094" s="380">
        <v>263</v>
      </c>
      <c r="F1094" s="380">
        <v>263</v>
      </c>
      <c r="H1094" s="351">
        <f t="shared" si="85"/>
        <v>265000</v>
      </c>
      <c r="I1094" s="351">
        <f t="shared" si="86"/>
        <v>263000</v>
      </c>
      <c r="M1094" s="321">
        <v>1711000779</v>
      </c>
      <c r="N1094" s="321">
        <v>71</v>
      </c>
      <c r="O1094" s="321" t="s">
        <v>5382</v>
      </c>
      <c r="P1094" s="321">
        <v>6711000</v>
      </c>
      <c r="Q1094" s="322">
        <v>0</v>
      </c>
      <c r="R1094" s="322">
        <v>0</v>
      </c>
      <c r="S1094" s="322">
        <v>0</v>
      </c>
      <c r="T1094" s="322">
        <v>0</v>
      </c>
      <c r="U1094" s="322">
        <f t="shared" si="87"/>
        <v>0</v>
      </c>
      <c r="W1094" s="321">
        <f t="shared" si="88"/>
        <v>779</v>
      </c>
      <c r="X1094" s="321">
        <f t="shared" si="89"/>
        <v>711000</v>
      </c>
      <c r="Y1094" s="321">
        <v>1</v>
      </c>
      <c r="AA1094" s="321" t="s">
        <v>5382</v>
      </c>
    </row>
    <row r="1095" spans="1:27">
      <c r="A1095" s="376">
        <v>781</v>
      </c>
      <c r="B1095" s="377">
        <v>817960</v>
      </c>
      <c r="C1095" s="382" t="s">
        <v>7208</v>
      </c>
      <c r="D1095" s="379">
        <v>550</v>
      </c>
      <c r="E1095" s="380">
        <v>650</v>
      </c>
      <c r="F1095" s="380">
        <v>650</v>
      </c>
      <c r="H1095" s="351">
        <f t="shared" si="85"/>
        <v>550000</v>
      </c>
      <c r="I1095" s="351">
        <f t="shared" si="86"/>
        <v>650000</v>
      </c>
      <c r="M1095" s="321">
        <v>1711000781</v>
      </c>
      <c r="N1095" s="321">
        <v>71</v>
      </c>
      <c r="O1095" s="321" t="s">
        <v>5450</v>
      </c>
      <c r="P1095" s="321">
        <v>6711000</v>
      </c>
      <c r="Q1095" s="322">
        <v>8000</v>
      </c>
      <c r="R1095" s="322">
        <v>5100</v>
      </c>
      <c r="S1095" s="322">
        <v>8000</v>
      </c>
      <c r="T1095" s="322">
        <v>8000</v>
      </c>
      <c r="U1095" s="322">
        <f t="shared" si="87"/>
        <v>0</v>
      </c>
      <c r="W1095" s="321">
        <f t="shared" si="88"/>
        <v>781</v>
      </c>
      <c r="X1095" s="321">
        <f t="shared" si="89"/>
        <v>711000</v>
      </c>
      <c r="Y1095" s="321">
        <v>1</v>
      </c>
      <c r="AA1095" s="321" t="s">
        <v>5450</v>
      </c>
    </row>
    <row r="1096" spans="1:27">
      <c r="A1096" s="376">
        <v>782</v>
      </c>
      <c r="B1096" s="377">
        <v>817960</v>
      </c>
      <c r="C1096" s="382" t="s">
        <v>7209</v>
      </c>
      <c r="D1096" s="379">
        <v>330</v>
      </c>
      <c r="E1096" s="380">
        <v>400</v>
      </c>
      <c r="F1096" s="380">
        <v>400</v>
      </c>
      <c r="H1096" s="351">
        <f t="shared" si="85"/>
        <v>330000</v>
      </c>
      <c r="I1096" s="351">
        <f t="shared" si="86"/>
        <v>400000</v>
      </c>
      <c r="M1096" s="321">
        <v>1711000930</v>
      </c>
      <c r="N1096" s="321">
        <v>71</v>
      </c>
      <c r="O1096" s="321" t="s">
        <v>5390</v>
      </c>
      <c r="P1096" s="321">
        <v>6711000</v>
      </c>
      <c r="Q1096" s="322">
        <v>68000</v>
      </c>
      <c r="R1096" s="322">
        <v>16700</v>
      </c>
      <c r="S1096" s="322">
        <v>68000</v>
      </c>
      <c r="T1096" s="322">
        <v>30000</v>
      </c>
      <c r="U1096" s="322">
        <f t="shared" si="87"/>
        <v>38000</v>
      </c>
      <c r="W1096" s="321">
        <f t="shared" si="88"/>
        <v>930</v>
      </c>
      <c r="X1096" s="321">
        <f t="shared" si="89"/>
        <v>711000</v>
      </c>
      <c r="Y1096" s="321">
        <v>1</v>
      </c>
      <c r="AA1096" s="321" t="s">
        <v>5390</v>
      </c>
    </row>
    <row r="1097" spans="1:27">
      <c r="A1097" s="346">
        <v>783</v>
      </c>
      <c r="B1097" s="347">
        <v>817960</v>
      </c>
      <c r="C1097" s="348" t="s">
        <v>7210</v>
      </c>
      <c r="D1097" s="379">
        <v>240</v>
      </c>
      <c r="E1097" s="380">
        <v>240</v>
      </c>
      <c r="F1097" s="380">
        <v>240</v>
      </c>
      <c r="H1097" s="351">
        <f t="shared" si="85"/>
        <v>240000</v>
      </c>
      <c r="I1097" s="351">
        <f t="shared" si="86"/>
        <v>240000</v>
      </c>
      <c r="M1097" s="321">
        <v>1712200110</v>
      </c>
      <c r="N1097" s="321">
        <v>71</v>
      </c>
      <c r="O1097" s="321" t="s">
        <v>5231</v>
      </c>
      <c r="P1097" s="321">
        <v>6712200</v>
      </c>
      <c r="Q1097" s="322">
        <v>2988000</v>
      </c>
      <c r="R1097" s="322">
        <v>2007000</v>
      </c>
      <c r="S1097" s="322">
        <v>2863000</v>
      </c>
      <c r="T1097" s="322">
        <v>2611000</v>
      </c>
      <c r="U1097" s="322">
        <f t="shared" si="87"/>
        <v>252000</v>
      </c>
      <c r="W1097" s="321">
        <f t="shared" si="88"/>
        <v>110</v>
      </c>
      <c r="X1097" s="321">
        <f t="shared" si="89"/>
        <v>712200</v>
      </c>
      <c r="Y1097" s="321">
        <v>1</v>
      </c>
      <c r="AA1097" s="321" t="s">
        <v>5231</v>
      </c>
    </row>
    <row r="1098" spans="1:27">
      <c r="A1098" s="376">
        <v>930</v>
      </c>
      <c r="B1098" s="377">
        <v>817960</v>
      </c>
      <c r="C1098" s="382" t="s">
        <v>7211</v>
      </c>
      <c r="D1098" s="379">
        <v>350</v>
      </c>
      <c r="E1098" s="380">
        <v>235</v>
      </c>
      <c r="F1098" s="380">
        <v>235</v>
      </c>
      <c r="H1098" s="351">
        <f t="shared" si="85"/>
        <v>350000</v>
      </c>
      <c r="I1098" s="351">
        <f t="shared" si="86"/>
        <v>235000</v>
      </c>
      <c r="M1098" s="321">
        <v>1712200120</v>
      </c>
      <c r="N1098" s="321">
        <v>71</v>
      </c>
      <c r="O1098" s="321" t="s">
        <v>5206</v>
      </c>
      <c r="P1098" s="321">
        <v>6712200</v>
      </c>
      <c r="Q1098" s="322">
        <v>688000</v>
      </c>
      <c r="R1098" s="322">
        <v>555200</v>
      </c>
      <c r="S1098" s="322">
        <v>686000</v>
      </c>
      <c r="T1098" s="322">
        <v>686000</v>
      </c>
      <c r="U1098" s="322">
        <f t="shared" si="87"/>
        <v>0</v>
      </c>
      <c r="W1098" s="321">
        <f t="shared" si="88"/>
        <v>120</v>
      </c>
      <c r="X1098" s="321">
        <f t="shared" si="89"/>
        <v>712200</v>
      </c>
      <c r="Y1098" s="321">
        <v>1</v>
      </c>
      <c r="AA1098" s="321" t="s">
        <v>5206</v>
      </c>
    </row>
    <row r="1099" spans="1:27">
      <c r="A1099" s="376">
        <v>931</v>
      </c>
      <c r="B1099" s="377">
        <v>817960</v>
      </c>
      <c r="C1099" s="382" t="s">
        <v>7212</v>
      </c>
      <c r="D1099" s="379">
        <v>200</v>
      </c>
      <c r="E1099" s="380">
        <v>250</v>
      </c>
      <c r="F1099" s="380">
        <v>250</v>
      </c>
      <c r="H1099" s="351">
        <f t="shared" si="85"/>
        <v>200000</v>
      </c>
      <c r="I1099" s="351">
        <f t="shared" si="86"/>
        <v>250000</v>
      </c>
      <c r="M1099" s="321">
        <v>1712200130</v>
      </c>
      <c r="N1099" s="321">
        <v>71</v>
      </c>
      <c r="O1099" s="321" t="s">
        <v>2576</v>
      </c>
      <c r="P1099" s="321">
        <v>6712200</v>
      </c>
      <c r="Q1099" s="322">
        <v>443000</v>
      </c>
      <c r="R1099" s="322">
        <v>369500</v>
      </c>
      <c r="S1099" s="322">
        <v>566000</v>
      </c>
      <c r="T1099" s="322">
        <v>509400</v>
      </c>
      <c r="U1099" s="322">
        <f t="shared" si="87"/>
        <v>56600</v>
      </c>
      <c r="W1099" s="321">
        <f t="shared" si="88"/>
        <v>130</v>
      </c>
      <c r="X1099" s="321">
        <f t="shared" si="89"/>
        <v>712200</v>
      </c>
      <c r="Y1099" s="321">
        <v>1</v>
      </c>
      <c r="AA1099" s="321" t="s">
        <v>2576</v>
      </c>
    </row>
    <row r="1100" spans="1:27">
      <c r="A1100" s="376">
        <v>932</v>
      </c>
      <c r="B1100" s="377">
        <v>817960</v>
      </c>
      <c r="C1100" s="382" t="s">
        <v>7213</v>
      </c>
      <c r="D1100" s="379">
        <v>36</v>
      </c>
      <c r="E1100" s="380">
        <v>36</v>
      </c>
      <c r="F1100" s="380">
        <v>36</v>
      </c>
      <c r="H1100" s="351">
        <f t="shared" si="85"/>
        <v>36000</v>
      </c>
      <c r="I1100" s="351">
        <f t="shared" si="86"/>
        <v>36000</v>
      </c>
      <c r="M1100" s="321">
        <v>1712200140</v>
      </c>
      <c r="N1100" s="321">
        <v>71</v>
      </c>
      <c r="O1100" s="321" t="s">
        <v>5207</v>
      </c>
      <c r="P1100" s="321">
        <v>6712200</v>
      </c>
      <c r="Q1100" s="322">
        <v>540000</v>
      </c>
      <c r="R1100" s="322">
        <v>347300</v>
      </c>
      <c r="S1100" s="322">
        <v>580000</v>
      </c>
      <c r="T1100" s="322">
        <v>580000</v>
      </c>
      <c r="U1100" s="322">
        <f t="shared" si="87"/>
        <v>0</v>
      </c>
      <c r="W1100" s="321">
        <f t="shared" si="88"/>
        <v>140</v>
      </c>
      <c r="X1100" s="321">
        <f t="shared" si="89"/>
        <v>712200</v>
      </c>
      <c r="Y1100" s="321">
        <v>1</v>
      </c>
      <c r="AA1100" s="321" t="s">
        <v>5207</v>
      </c>
    </row>
    <row r="1101" spans="1:27">
      <c r="A1101" s="376">
        <v>100</v>
      </c>
      <c r="B1101" s="377">
        <v>817970</v>
      </c>
      <c r="C1101" s="397" t="s">
        <v>6711</v>
      </c>
      <c r="D1101" s="379">
        <v>920</v>
      </c>
      <c r="E1101" s="380">
        <v>1070</v>
      </c>
      <c r="F1101" s="380">
        <v>1123</v>
      </c>
      <c r="H1101" s="351">
        <f t="shared" si="85"/>
        <v>920000</v>
      </c>
      <c r="I1101" s="351">
        <f t="shared" si="86"/>
        <v>1123000</v>
      </c>
      <c r="M1101" s="321">
        <v>1712200141</v>
      </c>
      <c r="N1101" s="321">
        <v>71</v>
      </c>
      <c r="O1101" s="321" t="s">
        <v>5208</v>
      </c>
      <c r="P1101" s="321">
        <v>6712200</v>
      </c>
      <c r="Q1101" s="322">
        <v>189000</v>
      </c>
      <c r="R1101" s="322">
        <v>144800</v>
      </c>
      <c r="S1101" s="322">
        <v>201000</v>
      </c>
      <c r="T1101" s="322">
        <v>201000</v>
      </c>
      <c r="U1101" s="322">
        <f t="shared" si="87"/>
        <v>0</v>
      </c>
      <c r="W1101" s="321">
        <f t="shared" si="88"/>
        <v>141</v>
      </c>
      <c r="X1101" s="321">
        <f t="shared" si="89"/>
        <v>712200</v>
      </c>
      <c r="Y1101" s="321">
        <v>1</v>
      </c>
      <c r="AA1101" s="321" t="s">
        <v>5208</v>
      </c>
    </row>
    <row r="1102" spans="1:27">
      <c r="A1102" s="376">
        <v>430</v>
      </c>
      <c r="B1102" s="377">
        <v>817970</v>
      </c>
      <c r="C1102" s="397" t="s">
        <v>6798</v>
      </c>
      <c r="D1102" s="379">
        <v>8</v>
      </c>
      <c r="E1102" s="380">
        <v>8</v>
      </c>
      <c r="F1102" s="380">
        <v>8</v>
      </c>
      <c r="H1102" s="351">
        <f t="shared" si="85"/>
        <v>8000</v>
      </c>
      <c r="I1102" s="351">
        <f t="shared" si="86"/>
        <v>8000</v>
      </c>
      <c r="M1102" s="321">
        <v>1712200181</v>
      </c>
      <c r="N1102" s="321">
        <v>71</v>
      </c>
      <c r="O1102" s="321" t="s">
        <v>2580</v>
      </c>
      <c r="P1102" s="321">
        <v>6712200</v>
      </c>
      <c r="Q1102" s="322">
        <v>508000</v>
      </c>
      <c r="R1102" s="322">
        <v>365500</v>
      </c>
      <c r="S1102" s="322">
        <v>517000</v>
      </c>
      <c r="T1102" s="322">
        <v>517000</v>
      </c>
      <c r="U1102" s="322">
        <f t="shared" si="87"/>
        <v>0</v>
      </c>
      <c r="W1102" s="321">
        <f t="shared" si="88"/>
        <v>181</v>
      </c>
      <c r="X1102" s="321">
        <f t="shared" si="89"/>
        <v>712200</v>
      </c>
      <c r="Y1102" s="321">
        <v>1</v>
      </c>
      <c r="AA1102" s="321" t="s">
        <v>2580</v>
      </c>
    </row>
    <row r="1103" spans="1:27">
      <c r="A1103" s="376">
        <v>432</v>
      </c>
      <c r="B1103" s="377">
        <v>817970</v>
      </c>
      <c r="C1103" s="397" t="s">
        <v>6887</v>
      </c>
      <c r="D1103" s="379">
        <v>3</v>
      </c>
      <c r="E1103" s="380">
        <v>3</v>
      </c>
      <c r="F1103" s="380">
        <v>3</v>
      </c>
      <c r="H1103" s="351">
        <f t="shared" si="85"/>
        <v>3000</v>
      </c>
      <c r="I1103" s="351">
        <f t="shared" si="86"/>
        <v>3000</v>
      </c>
      <c r="M1103" s="321">
        <v>1712200182</v>
      </c>
      <c r="N1103" s="321">
        <v>71</v>
      </c>
      <c r="O1103" s="321" t="s">
        <v>2582</v>
      </c>
      <c r="P1103" s="321">
        <v>6712200</v>
      </c>
      <c r="Q1103" s="322">
        <v>644000</v>
      </c>
      <c r="R1103" s="322">
        <v>444500</v>
      </c>
      <c r="S1103" s="322">
        <v>668000</v>
      </c>
      <c r="T1103" s="322">
        <v>668000</v>
      </c>
      <c r="U1103" s="322">
        <f t="shared" si="87"/>
        <v>0</v>
      </c>
      <c r="W1103" s="321">
        <f t="shared" si="88"/>
        <v>182</v>
      </c>
      <c r="X1103" s="321">
        <f t="shared" si="89"/>
        <v>712200</v>
      </c>
      <c r="Y1103" s="321">
        <v>1</v>
      </c>
      <c r="AA1103" s="321" t="s">
        <v>2582</v>
      </c>
    </row>
    <row r="1104" spans="1:27">
      <c r="A1104" s="376">
        <v>540</v>
      </c>
      <c r="B1104" s="377">
        <v>817970</v>
      </c>
      <c r="C1104" s="391" t="s">
        <v>6752</v>
      </c>
      <c r="D1104" s="383">
        <v>10</v>
      </c>
      <c r="E1104" s="384">
        <v>10</v>
      </c>
      <c r="F1104" s="384">
        <v>12</v>
      </c>
      <c r="H1104" s="351">
        <f t="shared" si="85"/>
        <v>10000</v>
      </c>
      <c r="I1104" s="351">
        <f t="shared" si="86"/>
        <v>12000</v>
      </c>
      <c r="M1104" s="321">
        <v>1712200470</v>
      </c>
      <c r="N1104" s="321">
        <v>71</v>
      </c>
      <c r="O1104" s="321" t="s">
        <v>2660</v>
      </c>
      <c r="P1104" s="321">
        <v>6712200</v>
      </c>
      <c r="Q1104" s="322">
        <v>3400</v>
      </c>
      <c r="R1104" s="322">
        <v>3100</v>
      </c>
      <c r="S1104" s="322">
        <v>3400</v>
      </c>
      <c r="T1104" s="322">
        <v>3400</v>
      </c>
      <c r="U1104" s="322">
        <f t="shared" si="87"/>
        <v>0</v>
      </c>
      <c r="W1104" s="321">
        <f t="shared" si="88"/>
        <v>470</v>
      </c>
      <c r="X1104" s="321">
        <f t="shared" si="89"/>
        <v>712200</v>
      </c>
      <c r="Y1104" s="321">
        <v>1</v>
      </c>
      <c r="AA1104" s="321" t="s">
        <v>2660</v>
      </c>
    </row>
    <row r="1105" spans="1:27">
      <c r="A1105" s="376">
        <v>550</v>
      </c>
      <c r="B1105" s="377">
        <v>817970</v>
      </c>
      <c r="C1105" s="382" t="s">
        <v>6737</v>
      </c>
      <c r="D1105" s="379">
        <v>2</v>
      </c>
      <c r="E1105" s="380">
        <v>2</v>
      </c>
      <c r="F1105" s="380">
        <v>2</v>
      </c>
      <c r="H1105" s="351">
        <f t="shared" si="85"/>
        <v>2000</v>
      </c>
      <c r="I1105" s="351">
        <f t="shared" si="86"/>
        <v>2000</v>
      </c>
      <c r="M1105" s="321">
        <v>1712200471</v>
      </c>
      <c r="N1105" s="321">
        <v>71</v>
      </c>
      <c r="O1105" s="321" t="s">
        <v>5451</v>
      </c>
      <c r="P1105" s="321">
        <v>6712200</v>
      </c>
      <c r="Q1105" s="322">
        <v>5000</v>
      </c>
      <c r="R1105" s="322">
        <v>5000</v>
      </c>
      <c r="S1105" s="322">
        <v>5400</v>
      </c>
      <c r="T1105" s="322">
        <v>5400</v>
      </c>
      <c r="U1105" s="322">
        <f t="shared" si="87"/>
        <v>0</v>
      </c>
      <c r="W1105" s="321">
        <f t="shared" si="88"/>
        <v>471</v>
      </c>
      <c r="X1105" s="321">
        <f t="shared" si="89"/>
        <v>712200</v>
      </c>
      <c r="Y1105" s="321">
        <v>1</v>
      </c>
      <c r="AA1105" s="321" t="s">
        <v>5451</v>
      </c>
    </row>
    <row r="1106" spans="1:27">
      <c r="A1106" s="376">
        <v>750</v>
      </c>
      <c r="B1106" s="377">
        <v>817970</v>
      </c>
      <c r="C1106" s="382" t="s">
        <v>7214</v>
      </c>
      <c r="D1106" s="379">
        <v>20</v>
      </c>
      <c r="E1106" s="380">
        <v>20</v>
      </c>
      <c r="F1106" s="380">
        <v>20</v>
      </c>
      <c r="H1106" s="351">
        <f t="shared" ref="H1106:H1169" si="90">D1106*1000</f>
        <v>20000</v>
      </c>
      <c r="I1106" s="351">
        <f t="shared" ref="I1106:I1169" si="91">F1106*1000</f>
        <v>20000</v>
      </c>
      <c r="M1106" s="321">
        <v>1712200510</v>
      </c>
      <c r="N1106" s="321">
        <v>71</v>
      </c>
      <c r="O1106" s="321" t="s">
        <v>2805</v>
      </c>
      <c r="P1106" s="321">
        <v>6712200</v>
      </c>
      <c r="Q1106" s="322">
        <v>1000</v>
      </c>
      <c r="R1106" s="322">
        <v>600</v>
      </c>
      <c r="S1106" s="322">
        <v>1000</v>
      </c>
      <c r="T1106" s="322">
        <v>1000</v>
      </c>
      <c r="U1106" s="322">
        <f t="shared" si="87"/>
        <v>0</v>
      </c>
      <c r="W1106" s="321">
        <f t="shared" si="88"/>
        <v>510</v>
      </c>
      <c r="X1106" s="321">
        <f t="shared" si="89"/>
        <v>712200</v>
      </c>
      <c r="Y1106" s="321">
        <v>1</v>
      </c>
      <c r="AA1106" s="321" t="s">
        <v>2805</v>
      </c>
    </row>
    <row r="1107" spans="1:27">
      <c r="A1107" s="376">
        <v>780</v>
      </c>
      <c r="B1107" s="377">
        <v>817970</v>
      </c>
      <c r="C1107" s="391" t="s">
        <v>6745</v>
      </c>
      <c r="D1107" s="379">
        <v>100</v>
      </c>
      <c r="E1107" s="380">
        <v>84</v>
      </c>
      <c r="F1107" s="380">
        <v>84</v>
      </c>
      <c r="H1107" s="351">
        <f t="shared" si="90"/>
        <v>100000</v>
      </c>
      <c r="I1107" s="351">
        <f t="shared" si="91"/>
        <v>84000</v>
      </c>
      <c r="M1107" s="321">
        <v>1712200530</v>
      </c>
      <c r="N1107" s="321">
        <v>71</v>
      </c>
      <c r="O1107" s="321" t="s">
        <v>5452</v>
      </c>
      <c r="P1107" s="321">
        <v>6712200</v>
      </c>
      <c r="Q1107" s="322">
        <v>35000</v>
      </c>
      <c r="R1107" s="322">
        <v>19600</v>
      </c>
      <c r="S1107" s="322">
        <v>0</v>
      </c>
      <c r="T1107" s="322">
        <v>0</v>
      </c>
      <c r="U1107" s="322">
        <f t="shared" si="87"/>
        <v>0</v>
      </c>
      <c r="W1107" s="321">
        <f t="shared" si="88"/>
        <v>530</v>
      </c>
      <c r="X1107" s="321">
        <f t="shared" si="89"/>
        <v>712200</v>
      </c>
      <c r="Y1107" s="321">
        <v>1</v>
      </c>
      <c r="AA1107" s="321" t="s">
        <v>5452</v>
      </c>
    </row>
    <row r="1108" spans="1:27">
      <c r="A1108" s="376">
        <v>100</v>
      </c>
      <c r="B1108" s="377">
        <v>818000</v>
      </c>
      <c r="C1108" s="391" t="s">
        <v>7215</v>
      </c>
      <c r="D1108" s="379">
        <v>0</v>
      </c>
      <c r="E1108" s="380">
        <v>0</v>
      </c>
      <c r="F1108" s="380">
        <v>0</v>
      </c>
      <c r="H1108" s="351">
        <f t="shared" si="90"/>
        <v>0</v>
      </c>
      <c r="I1108" s="351">
        <f t="shared" si="91"/>
        <v>0</v>
      </c>
      <c r="M1108" s="321">
        <v>1712200540</v>
      </c>
      <c r="N1108" s="321">
        <v>71</v>
      </c>
      <c r="O1108" s="321" t="s">
        <v>5216</v>
      </c>
      <c r="P1108" s="321">
        <v>6712200</v>
      </c>
      <c r="Q1108" s="322">
        <v>5000</v>
      </c>
      <c r="R1108" s="322">
        <v>3000</v>
      </c>
      <c r="S1108" s="322">
        <v>5000</v>
      </c>
      <c r="T1108" s="322">
        <v>5000</v>
      </c>
      <c r="U1108" s="322">
        <f t="shared" si="87"/>
        <v>0</v>
      </c>
      <c r="W1108" s="321">
        <f t="shared" si="88"/>
        <v>540</v>
      </c>
      <c r="X1108" s="321">
        <f t="shared" si="89"/>
        <v>712200</v>
      </c>
      <c r="Y1108" s="321">
        <v>1</v>
      </c>
      <c r="AA1108" s="321" t="s">
        <v>5216</v>
      </c>
    </row>
    <row r="1109" spans="1:27">
      <c r="A1109" s="376">
        <v>540</v>
      </c>
      <c r="B1109" s="377">
        <v>818000</v>
      </c>
      <c r="C1109" s="391" t="s">
        <v>6752</v>
      </c>
      <c r="D1109" s="379">
        <v>3</v>
      </c>
      <c r="E1109" s="380">
        <v>3</v>
      </c>
      <c r="F1109" s="380">
        <v>3</v>
      </c>
      <c r="H1109" s="351">
        <f t="shared" si="90"/>
        <v>3000</v>
      </c>
      <c r="I1109" s="351">
        <f t="shared" si="91"/>
        <v>3000</v>
      </c>
      <c r="M1109" s="321">
        <v>1712200542</v>
      </c>
      <c r="N1109" s="321">
        <v>71</v>
      </c>
      <c r="O1109" s="321" t="s">
        <v>5362</v>
      </c>
      <c r="P1109" s="321">
        <v>6712200</v>
      </c>
      <c r="Q1109" s="322">
        <v>32400</v>
      </c>
      <c r="R1109" s="322">
        <v>18100</v>
      </c>
      <c r="S1109" s="322">
        <v>28000</v>
      </c>
      <c r="T1109" s="322">
        <v>28000</v>
      </c>
      <c r="U1109" s="322">
        <f t="shared" si="87"/>
        <v>0</v>
      </c>
      <c r="W1109" s="321">
        <f t="shared" si="88"/>
        <v>542</v>
      </c>
      <c r="X1109" s="321">
        <f t="shared" si="89"/>
        <v>712200</v>
      </c>
      <c r="Y1109" s="321">
        <v>1</v>
      </c>
      <c r="AA1109" s="321" t="s">
        <v>5362</v>
      </c>
    </row>
    <row r="1110" spans="1:27">
      <c r="A1110" s="376">
        <v>550</v>
      </c>
      <c r="B1110" s="377">
        <v>818000</v>
      </c>
      <c r="C1110" s="382" t="s">
        <v>6737</v>
      </c>
      <c r="D1110" s="379">
        <v>5</v>
      </c>
      <c r="E1110" s="380">
        <v>5</v>
      </c>
      <c r="F1110" s="380">
        <v>5</v>
      </c>
      <c r="H1110" s="351">
        <f t="shared" si="90"/>
        <v>5000</v>
      </c>
      <c r="I1110" s="351">
        <f t="shared" si="91"/>
        <v>5000</v>
      </c>
      <c r="M1110" s="321">
        <v>1712200730</v>
      </c>
      <c r="N1110" s="321">
        <v>71</v>
      </c>
      <c r="O1110" s="321" t="s">
        <v>5453</v>
      </c>
      <c r="P1110" s="321">
        <v>6712200</v>
      </c>
      <c r="Q1110" s="322">
        <v>35000</v>
      </c>
      <c r="R1110" s="322">
        <v>5200</v>
      </c>
      <c r="S1110" s="322">
        <v>35000</v>
      </c>
      <c r="T1110" s="322">
        <v>35000</v>
      </c>
      <c r="U1110" s="322">
        <f t="shared" si="87"/>
        <v>0</v>
      </c>
      <c r="W1110" s="321">
        <f t="shared" si="88"/>
        <v>730</v>
      </c>
      <c r="X1110" s="321">
        <f t="shared" si="89"/>
        <v>712200</v>
      </c>
      <c r="Y1110" s="321">
        <v>1</v>
      </c>
      <c r="AA1110" s="321" t="s">
        <v>5453</v>
      </c>
    </row>
    <row r="1111" spans="1:27">
      <c r="A1111" s="376">
        <v>781</v>
      </c>
      <c r="B1111" s="377">
        <v>818000</v>
      </c>
      <c r="C1111" s="378" t="s">
        <v>7216</v>
      </c>
      <c r="D1111" s="379">
        <v>0</v>
      </c>
      <c r="E1111" s="380">
        <v>50</v>
      </c>
      <c r="F1111" s="380">
        <v>50</v>
      </c>
      <c r="H1111" s="351">
        <f t="shared" si="90"/>
        <v>0</v>
      </c>
      <c r="I1111" s="351">
        <f t="shared" si="91"/>
        <v>50000</v>
      </c>
      <c r="M1111" s="321">
        <v>1712200731</v>
      </c>
      <c r="N1111" s="321">
        <v>71</v>
      </c>
      <c r="O1111" s="321" t="s">
        <v>5454</v>
      </c>
      <c r="P1111" s="321">
        <v>6712200</v>
      </c>
      <c r="Q1111" s="322">
        <v>40000</v>
      </c>
      <c r="R1111" s="322">
        <v>35800</v>
      </c>
      <c r="S1111" s="322">
        <v>40000</v>
      </c>
      <c r="T1111" s="322">
        <v>40000</v>
      </c>
      <c r="U1111" s="322">
        <f t="shared" si="87"/>
        <v>0</v>
      </c>
      <c r="W1111" s="321">
        <f t="shared" si="88"/>
        <v>731</v>
      </c>
      <c r="X1111" s="321">
        <f t="shared" si="89"/>
        <v>712200</v>
      </c>
      <c r="Y1111" s="321">
        <v>1</v>
      </c>
      <c r="AA1111" s="321" t="s">
        <v>5454</v>
      </c>
    </row>
    <row r="1112" spans="1:27">
      <c r="A1112" s="376">
        <v>870</v>
      </c>
      <c r="B1112" s="377">
        <v>818000</v>
      </c>
      <c r="C1112" s="378" t="s">
        <v>7217</v>
      </c>
      <c r="D1112" s="379">
        <v>130</v>
      </c>
      <c r="E1112" s="380">
        <v>0</v>
      </c>
      <c r="F1112" s="380">
        <v>0</v>
      </c>
      <c r="H1112" s="351">
        <f t="shared" si="90"/>
        <v>130000</v>
      </c>
      <c r="I1112" s="351">
        <f t="shared" si="91"/>
        <v>0</v>
      </c>
      <c r="M1112" s="321">
        <v>1712200732</v>
      </c>
      <c r="N1112" s="321">
        <v>71</v>
      </c>
      <c r="O1112" s="321" t="s">
        <v>5455</v>
      </c>
      <c r="P1112" s="321">
        <v>6712200</v>
      </c>
      <c r="Q1112" s="322">
        <v>30000</v>
      </c>
      <c r="R1112" s="322">
        <v>10600</v>
      </c>
      <c r="S1112" s="322">
        <v>30000</v>
      </c>
      <c r="T1112" s="322">
        <v>30000</v>
      </c>
      <c r="U1112" s="322">
        <f t="shared" si="87"/>
        <v>0</v>
      </c>
      <c r="W1112" s="321">
        <f t="shared" si="88"/>
        <v>732</v>
      </c>
      <c r="X1112" s="321">
        <f t="shared" si="89"/>
        <v>712200</v>
      </c>
      <c r="Y1112" s="321">
        <v>1</v>
      </c>
      <c r="AA1112" s="321" t="s">
        <v>5455</v>
      </c>
    </row>
    <row r="1113" spans="1:27">
      <c r="A1113" s="376">
        <v>871</v>
      </c>
      <c r="B1113" s="377">
        <v>818000</v>
      </c>
      <c r="C1113" s="382" t="s">
        <v>7218</v>
      </c>
      <c r="D1113" s="379">
        <v>71</v>
      </c>
      <c r="E1113" s="380">
        <v>75</v>
      </c>
      <c r="F1113" s="380">
        <v>75</v>
      </c>
      <c r="H1113" s="351">
        <f t="shared" si="90"/>
        <v>71000</v>
      </c>
      <c r="I1113" s="351">
        <f t="shared" si="91"/>
        <v>75000</v>
      </c>
      <c r="M1113" s="321">
        <v>1712200733</v>
      </c>
      <c r="N1113" s="321">
        <v>71</v>
      </c>
      <c r="O1113" s="321" t="s">
        <v>5456</v>
      </c>
      <c r="P1113" s="321">
        <v>6712200</v>
      </c>
      <c r="Q1113" s="322">
        <v>50000</v>
      </c>
      <c r="R1113" s="322">
        <v>34100</v>
      </c>
      <c r="S1113" s="322">
        <v>50000</v>
      </c>
      <c r="T1113" s="322">
        <v>50000</v>
      </c>
      <c r="U1113" s="322">
        <f t="shared" si="87"/>
        <v>0</v>
      </c>
      <c r="W1113" s="321">
        <f t="shared" si="88"/>
        <v>733</v>
      </c>
      <c r="X1113" s="321">
        <f t="shared" si="89"/>
        <v>712200</v>
      </c>
      <c r="Y1113" s="321">
        <v>1</v>
      </c>
      <c r="AA1113" s="321" t="s">
        <v>5456</v>
      </c>
    </row>
    <row r="1114" spans="1:27">
      <c r="A1114" s="376">
        <v>100</v>
      </c>
      <c r="B1114" s="377">
        <v>821000</v>
      </c>
      <c r="C1114" s="391" t="s">
        <v>6747</v>
      </c>
      <c r="D1114" s="379">
        <v>408</v>
      </c>
      <c r="E1114" s="380">
        <v>400</v>
      </c>
      <c r="F1114" s="380">
        <v>264</v>
      </c>
      <c r="H1114" s="351">
        <f t="shared" si="90"/>
        <v>408000</v>
      </c>
      <c r="I1114" s="351">
        <f t="shared" si="91"/>
        <v>264000</v>
      </c>
      <c r="M1114" s="321">
        <v>1712200734</v>
      </c>
      <c r="N1114" s="321">
        <v>71</v>
      </c>
      <c r="O1114" s="321" t="s">
        <v>5457</v>
      </c>
      <c r="P1114" s="321">
        <v>6712200</v>
      </c>
      <c r="Q1114" s="322">
        <v>30000</v>
      </c>
      <c r="R1114" s="322">
        <v>7500</v>
      </c>
      <c r="S1114" s="322">
        <v>50000</v>
      </c>
      <c r="T1114" s="322">
        <v>50000</v>
      </c>
      <c r="U1114" s="322">
        <f t="shared" si="87"/>
        <v>0</v>
      </c>
      <c r="W1114" s="321">
        <f t="shared" si="88"/>
        <v>734</v>
      </c>
      <c r="X1114" s="321">
        <f t="shared" si="89"/>
        <v>712200</v>
      </c>
      <c r="Y1114" s="321">
        <v>1</v>
      </c>
      <c r="AA1114" s="321" t="s">
        <v>5457</v>
      </c>
    </row>
    <row r="1115" spans="1:27">
      <c r="A1115" s="376">
        <v>102</v>
      </c>
      <c r="B1115" s="377">
        <v>821000</v>
      </c>
      <c r="C1115" s="382" t="s">
        <v>7219</v>
      </c>
      <c r="D1115" s="379">
        <v>398</v>
      </c>
      <c r="E1115" s="380">
        <v>200</v>
      </c>
      <c r="F1115" s="380">
        <v>200</v>
      </c>
      <c r="H1115" s="351">
        <f t="shared" si="90"/>
        <v>398000</v>
      </c>
      <c r="I1115" s="351">
        <f t="shared" si="91"/>
        <v>200000</v>
      </c>
      <c r="M1115" s="321">
        <v>1712200735</v>
      </c>
      <c r="N1115" s="321">
        <v>71</v>
      </c>
      <c r="O1115" s="321" t="s">
        <v>5458</v>
      </c>
      <c r="P1115" s="321">
        <v>6712200</v>
      </c>
      <c r="Q1115" s="322">
        <v>50000</v>
      </c>
      <c r="R1115" s="322">
        <v>45700</v>
      </c>
      <c r="S1115" s="322">
        <v>50000</v>
      </c>
      <c r="T1115" s="322">
        <v>50000</v>
      </c>
      <c r="U1115" s="322">
        <f t="shared" si="87"/>
        <v>0</v>
      </c>
      <c r="W1115" s="321">
        <f t="shared" si="88"/>
        <v>735</v>
      </c>
      <c r="X1115" s="321">
        <f t="shared" si="89"/>
        <v>712200</v>
      </c>
      <c r="Y1115" s="321">
        <v>1</v>
      </c>
      <c r="AA1115" s="321" t="s">
        <v>5458</v>
      </c>
    </row>
    <row r="1116" spans="1:27">
      <c r="A1116" s="376">
        <v>430</v>
      </c>
      <c r="B1116" s="377">
        <v>821000</v>
      </c>
      <c r="C1116" s="382" t="s">
        <v>6904</v>
      </c>
      <c r="D1116" s="379">
        <v>26</v>
      </c>
      <c r="E1116" s="380">
        <v>25</v>
      </c>
      <c r="F1116" s="380">
        <v>25</v>
      </c>
      <c r="H1116" s="351">
        <f t="shared" si="90"/>
        <v>26000</v>
      </c>
      <c r="I1116" s="351">
        <f t="shared" si="91"/>
        <v>25000</v>
      </c>
      <c r="M1116" s="321">
        <v>1712200736</v>
      </c>
      <c r="N1116" s="321">
        <v>71</v>
      </c>
      <c r="O1116" s="321" t="s">
        <v>5459</v>
      </c>
      <c r="P1116" s="321">
        <v>6712200</v>
      </c>
      <c r="Q1116" s="322">
        <v>50000</v>
      </c>
      <c r="R1116" s="322">
        <v>30000</v>
      </c>
      <c r="S1116" s="322">
        <v>0</v>
      </c>
      <c r="T1116" s="322">
        <v>0</v>
      </c>
      <c r="U1116" s="322">
        <f t="shared" si="87"/>
        <v>0</v>
      </c>
      <c r="W1116" s="321">
        <f t="shared" si="88"/>
        <v>736</v>
      </c>
      <c r="X1116" s="321">
        <f t="shared" si="89"/>
        <v>712200</v>
      </c>
      <c r="Y1116" s="321">
        <v>1</v>
      </c>
      <c r="AA1116" s="321" t="s">
        <v>5459</v>
      </c>
    </row>
    <row r="1117" spans="1:27">
      <c r="A1117" s="376">
        <v>470</v>
      </c>
      <c r="B1117" s="377">
        <v>821000</v>
      </c>
      <c r="C1117" s="386" t="s">
        <v>6716</v>
      </c>
      <c r="D1117" s="379">
        <v>30</v>
      </c>
      <c r="E1117" s="380">
        <v>45</v>
      </c>
      <c r="F1117" s="380">
        <v>45</v>
      </c>
      <c r="H1117" s="351">
        <f t="shared" si="90"/>
        <v>30000</v>
      </c>
      <c r="I1117" s="351">
        <f t="shared" si="91"/>
        <v>45000</v>
      </c>
      <c r="M1117" s="321">
        <v>1712200737</v>
      </c>
      <c r="N1117" s="321">
        <v>71</v>
      </c>
      <c r="O1117" s="321" t="s">
        <v>5460</v>
      </c>
      <c r="P1117" s="321">
        <v>6712200</v>
      </c>
      <c r="Q1117" s="322">
        <v>50000</v>
      </c>
      <c r="R1117" s="322">
        <v>29400</v>
      </c>
      <c r="S1117" s="322">
        <v>50000</v>
      </c>
      <c r="T1117" s="322">
        <v>50000</v>
      </c>
      <c r="U1117" s="322">
        <f t="shared" si="87"/>
        <v>0</v>
      </c>
      <c r="W1117" s="321">
        <f t="shared" si="88"/>
        <v>737</v>
      </c>
      <c r="X1117" s="321">
        <f t="shared" si="89"/>
        <v>712200</v>
      </c>
      <c r="Y1117" s="321">
        <v>1</v>
      </c>
      <c r="AA1117" s="321" t="s">
        <v>5460</v>
      </c>
    </row>
    <row r="1118" spans="1:27">
      <c r="A1118" s="376">
        <v>511</v>
      </c>
      <c r="B1118" s="377">
        <v>821000</v>
      </c>
      <c r="C1118" s="386" t="s">
        <v>7220</v>
      </c>
      <c r="D1118" s="379">
        <v>36</v>
      </c>
      <c r="E1118" s="380">
        <v>36</v>
      </c>
      <c r="F1118" s="380">
        <v>36</v>
      </c>
      <c r="H1118" s="351">
        <f t="shared" si="90"/>
        <v>36000</v>
      </c>
      <c r="I1118" s="351">
        <f t="shared" si="91"/>
        <v>36000</v>
      </c>
      <c r="M1118" s="321">
        <v>1712200738</v>
      </c>
      <c r="N1118" s="321">
        <v>71</v>
      </c>
      <c r="O1118" s="321" t="s">
        <v>5461</v>
      </c>
      <c r="P1118" s="321">
        <v>6712200</v>
      </c>
      <c r="Q1118" s="322">
        <v>80000</v>
      </c>
      <c r="R1118" s="322">
        <v>50400</v>
      </c>
      <c r="S1118" s="322">
        <v>80000</v>
      </c>
      <c r="T1118" s="322">
        <v>80000</v>
      </c>
      <c r="U1118" s="322">
        <f t="shared" si="87"/>
        <v>0</v>
      </c>
      <c r="W1118" s="321">
        <f t="shared" si="88"/>
        <v>738</v>
      </c>
      <c r="X1118" s="321">
        <f t="shared" si="89"/>
        <v>712200</v>
      </c>
      <c r="Y1118" s="321">
        <v>1</v>
      </c>
      <c r="AA1118" s="321" t="s">
        <v>5461</v>
      </c>
    </row>
    <row r="1119" spans="1:27">
      <c r="A1119" s="376">
        <v>540</v>
      </c>
      <c r="B1119" s="377">
        <v>821000</v>
      </c>
      <c r="C1119" s="391" t="s">
        <v>6764</v>
      </c>
      <c r="D1119" s="379">
        <v>21</v>
      </c>
      <c r="E1119" s="380">
        <v>22</v>
      </c>
      <c r="F1119" s="380">
        <v>20</v>
      </c>
      <c r="H1119" s="351">
        <f t="shared" si="90"/>
        <v>21000</v>
      </c>
      <c r="I1119" s="351">
        <f t="shared" si="91"/>
        <v>20000</v>
      </c>
      <c r="M1119" s="321">
        <v>1712200739</v>
      </c>
      <c r="N1119" s="321">
        <v>71</v>
      </c>
      <c r="O1119" s="321" t="s">
        <v>5462</v>
      </c>
      <c r="P1119" s="321">
        <v>6712200</v>
      </c>
      <c r="Q1119" s="322">
        <v>40000</v>
      </c>
      <c r="R1119" s="322">
        <v>39200</v>
      </c>
      <c r="S1119" s="322">
        <v>100000</v>
      </c>
      <c r="T1119" s="322">
        <v>100000</v>
      </c>
      <c r="U1119" s="322">
        <f t="shared" si="87"/>
        <v>0</v>
      </c>
      <c r="W1119" s="321">
        <f t="shared" si="88"/>
        <v>739</v>
      </c>
      <c r="X1119" s="321">
        <f t="shared" si="89"/>
        <v>712200</v>
      </c>
      <c r="Y1119" s="321">
        <v>1</v>
      </c>
      <c r="AA1119" s="321" t="s">
        <v>5462</v>
      </c>
    </row>
    <row r="1120" spans="1:27">
      <c r="A1120" s="376">
        <v>755</v>
      </c>
      <c r="B1120" s="377">
        <v>821000</v>
      </c>
      <c r="C1120" s="382" t="s">
        <v>7221</v>
      </c>
      <c r="D1120" s="379">
        <v>25</v>
      </c>
      <c r="E1120" s="380">
        <v>25</v>
      </c>
      <c r="F1120" s="380">
        <v>25</v>
      </c>
      <c r="H1120" s="351">
        <f t="shared" si="90"/>
        <v>25000</v>
      </c>
      <c r="I1120" s="351">
        <f t="shared" si="91"/>
        <v>25000</v>
      </c>
      <c r="M1120" s="321">
        <v>1712200742</v>
      </c>
      <c r="N1120" s="321">
        <v>71</v>
      </c>
      <c r="O1120" s="321" t="s">
        <v>5463</v>
      </c>
      <c r="P1120" s="321">
        <v>6712200</v>
      </c>
      <c r="Q1120" s="322">
        <v>7000</v>
      </c>
      <c r="R1120" s="322">
        <v>5400</v>
      </c>
      <c r="S1120" s="322">
        <v>7000</v>
      </c>
      <c r="T1120" s="322">
        <v>7000</v>
      </c>
      <c r="U1120" s="322">
        <f t="shared" si="87"/>
        <v>0</v>
      </c>
      <c r="W1120" s="321">
        <f t="shared" si="88"/>
        <v>742</v>
      </c>
      <c r="X1120" s="321">
        <f t="shared" si="89"/>
        <v>712200</v>
      </c>
      <c r="Y1120" s="321">
        <v>1</v>
      </c>
      <c r="AA1120" s="321" t="s">
        <v>5463</v>
      </c>
    </row>
    <row r="1121" spans="1:27">
      <c r="A1121" s="376">
        <v>780</v>
      </c>
      <c r="B1121" s="377">
        <v>821000</v>
      </c>
      <c r="C1121" s="391" t="s">
        <v>7222</v>
      </c>
      <c r="D1121" s="379">
        <v>0</v>
      </c>
      <c r="E1121" s="380">
        <v>0</v>
      </c>
      <c r="F1121" s="380">
        <v>0</v>
      </c>
      <c r="H1121" s="351">
        <f t="shared" si="90"/>
        <v>0</v>
      </c>
      <c r="I1121" s="351">
        <f t="shared" si="91"/>
        <v>0</v>
      </c>
      <c r="M1121" s="321">
        <v>1712200743</v>
      </c>
      <c r="N1121" s="321">
        <v>71</v>
      </c>
      <c r="O1121" s="321" t="s">
        <v>2622</v>
      </c>
      <c r="P1121" s="321">
        <v>6712200</v>
      </c>
      <c r="Q1121" s="322">
        <v>30000</v>
      </c>
      <c r="R1121" s="322">
        <v>12400</v>
      </c>
      <c r="S1121" s="322">
        <v>30000</v>
      </c>
      <c r="T1121" s="322">
        <v>30000</v>
      </c>
      <c r="U1121" s="322">
        <f t="shared" si="87"/>
        <v>0</v>
      </c>
      <c r="W1121" s="321">
        <f t="shared" si="88"/>
        <v>743</v>
      </c>
      <c r="X1121" s="321">
        <f t="shared" si="89"/>
        <v>712200</v>
      </c>
      <c r="Y1121" s="321">
        <v>1</v>
      </c>
      <c r="AA1121" s="321" t="s">
        <v>2622</v>
      </c>
    </row>
    <row r="1122" spans="1:27">
      <c r="A1122" s="376">
        <v>930</v>
      </c>
      <c r="B1122" s="377">
        <v>821000</v>
      </c>
      <c r="C1122" s="391" t="s">
        <v>7223</v>
      </c>
      <c r="D1122" s="379">
        <v>100</v>
      </c>
      <c r="E1122" s="380">
        <v>0</v>
      </c>
      <c r="F1122" s="380">
        <v>0</v>
      </c>
      <c r="H1122" s="351">
        <f t="shared" si="90"/>
        <v>100000</v>
      </c>
      <c r="I1122" s="351">
        <f t="shared" si="91"/>
        <v>0</v>
      </c>
      <c r="M1122" s="321">
        <v>1712200750</v>
      </c>
      <c r="N1122" s="321">
        <v>71</v>
      </c>
      <c r="O1122" s="321" t="s">
        <v>5464</v>
      </c>
      <c r="P1122" s="321">
        <v>6712200</v>
      </c>
      <c r="Q1122" s="322">
        <v>3300000</v>
      </c>
      <c r="R1122" s="322">
        <v>1193600</v>
      </c>
      <c r="S1122" s="322">
        <v>3176000</v>
      </c>
      <c r="T1122" s="322">
        <v>3176000</v>
      </c>
      <c r="U1122" s="322">
        <f t="shared" si="87"/>
        <v>0</v>
      </c>
      <c r="W1122" s="321">
        <f t="shared" si="88"/>
        <v>750</v>
      </c>
      <c r="X1122" s="321">
        <f t="shared" si="89"/>
        <v>712200</v>
      </c>
      <c r="Y1122" s="321">
        <v>1</v>
      </c>
      <c r="AA1122" s="321" t="s">
        <v>5464</v>
      </c>
    </row>
    <row r="1123" spans="1:27">
      <c r="A1123" s="376">
        <v>100</v>
      </c>
      <c r="B1123" s="377">
        <v>822000</v>
      </c>
      <c r="C1123" s="391" t="s">
        <v>6711</v>
      </c>
      <c r="D1123" s="379">
        <f>736+120</f>
        <v>856</v>
      </c>
      <c r="E1123" s="380">
        <v>660</v>
      </c>
      <c r="F1123" s="380">
        <v>860</v>
      </c>
      <c r="H1123" s="351">
        <f t="shared" si="90"/>
        <v>856000</v>
      </c>
      <c r="I1123" s="351">
        <f t="shared" si="91"/>
        <v>860000</v>
      </c>
      <c r="M1123" s="321">
        <v>1712200751</v>
      </c>
      <c r="N1123" s="321">
        <v>71</v>
      </c>
      <c r="O1123" s="321" t="s">
        <v>5465</v>
      </c>
      <c r="P1123" s="321">
        <v>6712200</v>
      </c>
      <c r="Q1123" s="322">
        <v>125000</v>
      </c>
      <c r="R1123" s="322">
        <v>59900</v>
      </c>
      <c r="S1123" s="322">
        <v>125000</v>
      </c>
      <c r="T1123" s="322">
        <v>125000</v>
      </c>
      <c r="U1123" s="322">
        <f t="shared" si="87"/>
        <v>0</v>
      </c>
      <c r="W1123" s="321">
        <f t="shared" si="88"/>
        <v>751</v>
      </c>
      <c r="X1123" s="321">
        <f t="shared" si="89"/>
        <v>712200</v>
      </c>
      <c r="Y1123" s="321">
        <v>1</v>
      </c>
      <c r="AA1123" s="321" t="s">
        <v>5465</v>
      </c>
    </row>
    <row r="1124" spans="1:27">
      <c r="A1124" s="346">
        <v>420</v>
      </c>
      <c r="B1124" s="347">
        <v>822000</v>
      </c>
      <c r="C1124" s="353" t="s">
        <v>7224</v>
      </c>
      <c r="D1124" s="379">
        <v>11</v>
      </c>
      <c r="E1124" s="380">
        <v>11</v>
      </c>
      <c r="F1124" s="380">
        <v>11</v>
      </c>
      <c r="H1124" s="351">
        <f t="shared" si="90"/>
        <v>11000</v>
      </c>
      <c r="I1124" s="351">
        <f t="shared" si="91"/>
        <v>11000</v>
      </c>
      <c r="M1124" s="321">
        <v>1712200752</v>
      </c>
      <c r="N1124" s="321">
        <v>71</v>
      </c>
      <c r="O1124" s="321" t="s">
        <v>5466</v>
      </c>
      <c r="P1124" s="321">
        <v>6712200</v>
      </c>
      <c r="Q1124" s="322">
        <v>12587000</v>
      </c>
      <c r="R1124" s="322">
        <v>9379100</v>
      </c>
      <c r="S1124" s="322">
        <v>14900000</v>
      </c>
      <c r="T1124" s="322">
        <v>14400000</v>
      </c>
      <c r="U1124" s="322">
        <f t="shared" si="87"/>
        <v>500000</v>
      </c>
      <c r="W1124" s="321">
        <f t="shared" si="88"/>
        <v>752</v>
      </c>
      <c r="X1124" s="321">
        <f t="shared" si="89"/>
        <v>712200</v>
      </c>
      <c r="Y1124" s="321">
        <v>1</v>
      </c>
      <c r="AA1124" s="321" t="s">
        <v>5466</v>
      </c>
    </row>
    <row r="1125" spans="1:27">
      <c r="A1125" s="376">
        <v>550</v>
      </c>
      <c r="B1125" s="377">
        <v>822000</v>
      </c>
      <c r="C1125" s="382" t="s">
        <v>6853</v>
      </c>
      <c r="D1125" s="379">
        <v>130</v>
      </c>
      <c r="E1125" s="380">
        <v>130</v>
      </c>
      <c r="F1125" s="380">
        <v>130</v>
      </c>
      <c r="H1125" s="351">
        <f t="shared" si="90"/>
        <v>130000</v>
      </c>
      <c r="I1125" s="351">
        <f t="shared" si="91"/>
        <v>130000</v>
      </c>
      <c r="M1125" s="321">
        <v>1712200753</v>
      </c>
      <c r="N1125" s="321">
        <v>71</v>
      </c>
      <c r="O1125" s="321" t="s">
        <v>5467</v>
      </c>
      <c r="P1125" s="321">
        <v>6712200</v>
      </c>
      <c r="Q1125" s="322">
        <v>4700000</v>
      </c>
      <c r="R1125" s="322">
        <v>2986200</v>
      </c>
      <c r="S1125" s="322">
        <v>4793000</v>
      </c>
      <c r="T1125" s="322">
        <v>4793000</v>
      </c>
      <c r="U1125" s="322">
        <f t="shared" si="87"/>
        <v>0</v>
      </c>
      <c r="W1125" s="321">
        <f t="shared" si="88"/>
        <v>753</v>
      </c>
      <c r="X1125" s="321">
        <f t="shared" si="89"/>
        <v>712200</v>
      </c>
      <c r="Y1125" s="321">
        <v>1</v>
      </c>
      <c r="AA1125" s="321" t="s">
        <v>5467</v>
      </c>
    </row>
    <row r="1126" spans="1:27">
      <c r="A1126" s="376">
        <v>551</v>
      </c>
      <c r="B1126" s="377">
        <v>822000</v>
      </c>
      <c r="C1126" s="382" t="s">
        <v>7225</v>
      </c>
      <c r="D1126" s="379">
        <v>100</v>
      </c>
      <c r="E1126" s="380">
        <v>99</v>
      </c>
      <c r="F1126" s="380">
        <v>100</v>
      </c>
      <c r="H1126" s="351">
        <f t="shared" si="90"/>
        <v>100000</v>
      </c>
      <c r="I1126" s="351">
        <f t="shared" si="91"/>
        <v>100000</v>
      </c>
      <c r="M1126" s="321">
        <v>1712200756</v>
      </c>
      <c r="N1126" s="321">
        <v>71</v>
      </c>
      <c r="O1126" s="321" t="s">
        <v>5468</v>
      </c>
      <c r="P1126" s="321">
        <v>6712200</v>
      </c>
      <c r="Q1126" s="322">
        <v>0</v>
      </c>
      <c r="R1126" s="322">
        <v>0</v>
      </c>
      <c r="S1126" s="322">
        <v>0</v>
      </c>
      <c r="T1126" s="322">
        <v>0</v>
      </c>
      <c r="U1126" s="322">
        <f t="shared" si="87"/>
        <v>0</v>
      </c>
      <c r="W1126" s="321">
        <f t="shared" si="88"/>
        <v>756</v>
      </c>
      <c r="X1126" s="321">
        <f t="shared" si="89"/>
        <v>712200</v>
      </c>
      <c r="Y1126" s="321">
        <v>1</v>
      </c>
      <c r="AA1126" s="321" t="s">
        <v>5468</v>
      </c>
    </row>
    <row r="1127" spans="1:27">
      <c r="A1127" s="376">
        <v>720</v>
      </c>
      <c r="B1127" s="377">
        <v>822000</v>
      </c>
      <c r="C1127" s="382" t="s">
        <v>7226</v>
      </c>
      <c r="D1127" s="379">
        <v>60</v>
      </c>
      <c r="E1127" s="380">
        <v>60</v>
      </c>
      <c r="F1127" s="380">
        <v>60</v>
      </c>
      <c r="H1127" s="351">
        <f t="shared" si="90"/>
        <v>60000</v>
      </c>
      <c r="I1127" s="351">
        <f t="shared" si="91"/>
        <v>60000</v>
      </c>
      <c r="M1127" s="321">
        <v>1712200772</v>
      </c>
      <c r="N1127" s="321">
        <v>71</v>
      </c>
      <c r="O1127" s="321" t="s">
        <v>5469</v>
      </c>
      <c r="P1127" s="321">
        <v>6712200</v>
      </c>
      <c r="Q1127" s="322">
        <v>61000</v>
      </c>
      <c r="R1127" s="322">
        <v>22300</v>
      </c>
      <c r="S1127" s="322">
        <v>35000</v>
      </c>
      <c r="T1127" s="322">
        <v>35000</v>
      </c>
      <c r="U1127" s="322">
        <f t="shared" si="87"/>
        <v>0</v>
      </c>
      <c r="W1127" s="321">
        <f t="shared" si="88"/>
        <v>772</v>
      </c>
      <c r="X1127" s="321">
        <f t="shared" si="89"/>
        <v>712200</v>
      </c>
      <c r="Y1127" s="321">
        <v>1</v>
      </c>
      <c r="AA1127" s="321" t="s">
        <v>5469</v>
      </c>
    </row>
    <row r="1128" spans="1:27">
      <c r="A1128" s="376">
        <v>750</v>
      </c>
      <c r="B1128" s="377">
        <v>822000</v>
      </c>
      <c r="C1128" s="382" t="s">
        <v>7227</v>
      </c>
      <c r="D1128" s="379">
        <v>235</v>
      </c>
      <c r="E1128" s="380">
        <v>450</v>
      </c>
      <c r="F1128" s="380">
        <v>500</v>
      </c>
      <c r="H1128" s="351">
        <f t="shared" si="90"/>
        <v>235000</v>
      </c>
      <c r="I1128" s="351">
        <f t="shared" si="91"/>
        <v>500000</v>
      </c>
      <c r="M1128" s="321">
        <v>1712200779</v>
      </c>
      <c r="N1128" s="321">
        <v>71</v>
      </c>
      <c r="O1128" s="321" t="s">
        <v>5382</v>
      </c>
      <c r="P1128" s="321">
        <v>6712200</v>
      </c>
      <c r="Q1128" s="322">
        <v>22000</v>
      </c>
      <c r="R1128" s="322">
        <v>10100</v>
      </c>
      <c r="S1128" s="322">
        <v>22000</v>
      </c>
      <c r="T1128" s="322">
        <v>22000</v>
      </c>
      <c r="U1128" s="322">
        <f t="shared" si="87"/>
        <v>0</v>
      </c>
      <c r="W1128" s="321">
        <f t="shared" si="88"/>
        <v>779</v>
      </c>
      <c r="X1128" s="321">
        <f t="shared" si="89"/>
        <v>712200</v>
      </c>
      <c r="Y1128" s="321">
        <v>1</v>
      </c>
      <c r="AA1128" s="321" t="s">
        <v>5382</v>
      </c>
    </row>
    <row r="1129" spans="1:27">
      <c r="A1129" s="376">
        <v>751</v>
      </c>
      <c r="B1129" s="377">
        <v>822000</v>
      </c>
      <c r="C1129" s="382" t="s">
        <v>7228</v>
      </c>
      <c r="D1129" s="379">
        <v>220</v>
      </c>
      <c r="E1129" s="380">
        <v>0</v>
      </c>
      <c r="F1129" s="380">
        <v>0</v>
      </c>
      <c r="H1129" s="351">
        <f t="shared" si="90"/>
        <v>220000</v>
      </c>
      <c r="I1129" s="351">
        <f t="shared" si="91"/>
        <v>0</v>
      </c>
      <c r="M1129" s="321">
        <v>1712200930</v>
      </c>
      <c r="N1129" s="321">
        <v>71</v>
      </c>
      <c r="O1129" s="321" t="s">
        <v>5470</v>
      </c>
      <c r="P1129" s="321">
        <v>6712200</v>
      </c>
      <c r="Q1129" s="322">
        <v>15000</v>
      </c>
      <c r="R1129" s="322">
        <v>4800</v>
      </c>
      <c r="S1129" s="322">
        <v>15000</v>
      </c>
      <c r="T1129" s="322">
        <v>15000</v>
      </c>
      <c r="U1129" s="322">
        <f t="shared" si="87"/>
        <v>0</v>
      </c>
      <c r="W1129" s="321">
        <f t="shared" si="88"/>
        <v>930</v>
      </c>
      <c r="X1129" s="321">
        <f t="shared" si="89"/>
        <v>712200</v>
      </c>
      <c r="Y1129" s="321">
        <v>1</v>
      </c>
      <c r="AA1129" s="321" t="s">
        <v>5470</v>
      </c>
    </row>
    <row r="1130" spans="1:27">
      <c r="A1130" s="376">
        <v>783</v>
      </c>
      <c r="B1130" s="377">
        <v>822000</v>
      </c>
      <c r="C1130" s="382" t="s">
        <v>7229</v>
      </c>
      <c r="D1130" s="379">
        <v>620</v>
      </c>
      <c r="E1130" s="380">
        <v>613</v>
      </c>
      <c r="F1130" s="380">
        <v>613</v>
      </c>
      <c r="H1130" s="351">
        <f t="shared" si="90"/>
        <v>620000</v>
      </c>
      <c r="I1130" s="351">
        <f t="shared" si="91"/>
        <v>613000</v>
      </c>
      <c r="M1130" s="321">
        <v>1712201110</v>
      </c>
      <c r="N1130" s="321">
        <v>71</v>
      </c>
      <c r="O1130" s="321" t="s">
        <v>2573</v>
      </c>
      <c r="P1130" s="321">
        <v>6712200</v>
      </c>
      <c r="Q1130" s="322">
        <v>216000</v>
      </c>
      <c r="R1130" s="322">
        <v>157700</v>
      </c>
      <c r="S1130" s="322">
        <v>217000</v>
      </c>
      <c r="T1130" s="322">
        <v>217000</v>
      </c>
      <c r="U1130" s="322">
        <f t="shared" si="87"/>
        <v>0</v>
      </c>
      <c r="W1130" s="321">
        <f t="shared" si="88"/>
        <v>110</v>
      </c>
      <c r="X1130" s="321">
        <f t="shared" si="89"/>
        <v>712201</v>
      </c>
      <c r="Y1130" s="321">
        <v>1</v>
      </c>
      <c r="AA1130" s="321" t="s">
        <v>2573</v>
      </c>
    </row>
    <row r="1131" spans="1:27">
      <c r="A1131" s="376">
        <v>784</v>
      </c>
      <c r="B1131" s="377">
        <v>822000</v>
      </c>
      <c r="C1131" s="387" t="s">
        <v>7230</v>
      </c>
      <c r="D1131" s="379">
        <v>63</v>
      </c>
      <c r="E1131" s="380">
        <v>63</v>
      </c>
      <c r="F1131" s="380">
        <v>63</v>
      </c>
      <c r="H1131" s="351">
        <f t="shared" si="90"/>
        <v>63000</v>
      </c>
      <c r="I1131" s="351">
        <f t="shared" si="91"/>
        <v>63000</v>
      </c>
      <c r="M1131" s="321">
        <v>1712201120</v>
      </c>
      <c r="N1131" s="321">
        <v>71</v>
      </c>
      <c r="O1131" s="321" t="s">
        <v>5471</v>
      </c>
      <c r="P1131" s="321">
        <v>6712200</v>
      </c>
      <c r="Q1131" s="322">
        <v>116000</v>
      </c>
      <c r="R1131" s="322">
        <v>104800</v>
      </c>
      <c r="S1131" s="322">
        <v>136000</v>
      </c>
      <c r="T1131" s="322">
        <v>136000</v>
      </c>
      <c r="U1131" s="322">
        <f t="shared" si="87"/>
        <v>0</v>
      </c>
      <c r="W1131" s="321">
        <f t="shared" si="88"/>
        <v>120</v>
      </c>
      <c r="X1131" s="321">
        <f t="shared" si="89"/>
        <v>712201</v>
      </c>
      <c r="Y1131" s="321">
        <v>1</v>
      </c>
      <c r="AA1131" s="321" t="s">
        <v>5471</v>
      </c>
    </row>
    <row r="1132" spans="1:27">
      <c r="A1132" s="376">
        <v>785</v>
      </c>
      <c r="B1132" s="377">
        <v>822000</v>
      </c>
      <c r="C1132" s="382" t="s">
        <v>7231</v>
      </c>
      <c r="D1132" s="379">
        <v>200</v>
      </c>
      <c r="E1132" s="380">
        <v>200</v>
      </c>
      <c r="F1132" s="380">
        <v>200</v>
      </c>
      <c r="H1132" s="351">
        <f t="shared" si="90"/>
        <v>200000</v>
      </c>
      <c r="I1132" s="351">
        <f t="shared" si="91"/>
        <v>200000</v>
      </c>
      <c r="M1132" s="321">
        <v>1712201130</v>
      </c>
      <c r="N1132" s="321">
        <v>71</v>
      </c>
      <c r="O1132" s="321" t="s">
        <v>2576</v>
      </c>
      <c r="P1132" s="321">
        <v>6712200</v>
      </c>
      <c r="Q1132" s="322">
        <v>32000</v>
      </c>
      <c r="R1132" s="322">
        <v>31400</v>
      </c>
      <c r="S1132" s="322">
        <v>41000</v>
      </c>
      <c r="T1132" s="322">
        <v>36900</v>
      </c>
      <c r="U1132" s="322">
        <f t="shared" si="87"/>
        <v>4100</v>
      </c>
      <c r="W1132" s="321">
        <f t="shared" si="88"/>
        <v>130</v>
      </c>
      <c r="X1132" s="321">
        <f t="shared" si="89"/>
        <v>712201</v>
      </c>
      <c r="Y1132" s="321">
        <v>1</v>
      </c>
      <c r="AA1132" s="321" t="s">
        <v>2576</v>
      </c>
    </row>
    <row r="1133" spans="1:27">
      <c r="A1133" s="376">
        <v>786</v>
      </c>
      <c r="B1133" s="377">
        <v>822000</v>
      </c>
      <c r="C1133" s="382" t="s">
        <v>7232</v>
      </c>
      <c r="D1133" s="379">
        <v>180</v>
      </c>
      <c r="E1133" s="380">
        <v>180</v>
      </c>
      <c r="F1133" s="380">
        <v>180</v>
      </c>
      <c r="H1133" s="351">
        <f t="shared" si="90"/>
        <v>180000</v>
      </c>
      <c r="I1133" s="351">
        <f t="shared" si="91"/>
        <v>180000</v>
      </c>
      <c r="M1133" s="321">
        <v>1712201140</v>
      </c>
      <c r="N1133" s="321">
        <v>71</v>
      </c>
      <c r="O1133" s="321" t="s">
        <v>2578</v>
      </c>
      <c r="P1133" s="321">
        <v>6712200</v>
      </c>
      <c r="Q1133" s="322">
        <v>60000</v>
      </c>
      <c r="R1133" s="322">
        <v>25400</v>
      </c>
      <c r="S1133" s="322">
        <v>68000</v>
      </c>
      <c r="T1133" s="322">
        <v>68000</v>
      </c>
      <c r="U1133" s="322">
        <f t="shared" si="87"/>
        <v>0</v>
      </c>
      <c r="W1133" s="321">
        <f t="shared" si="88"/>
        <v>140</v>
      </c>
      <c r="X1133" s="321">
        <f t="shared" si="89"/>
        <v>712201</v>
      </c>
      <c r="Y1133" s="321">
        <v>1</v>
      </c>
      <c r="AA1133" s="321" t="s">
        <v>2578</v>
      </c>
    </row>
    <row r="1134" spans="1:27">
      <c r="A1134" s="376">
        <v>788</v>
      </c>
      <c r="B1134" s="377">
        <v>822000</v>
      </c>
      <c r="C1134" s="382" t="s">
        <v>7233</v>
      </c>
      <c r="D1134" s="379">
        <v>1000</v>
      </c>
      <c r="E1134" s="380">
        <v>1000</v>
      </c>
      <c r="F1134" s="380">
        <v>1000</v>
      </c>
      <c r="H1134" s="351">
        <f t="shared" si="90"/>
        <v>1000000</v>
      </c>
      <c r="I1134" s="351">
        <f t="shared" si="91"/>
        <v>1000000</v>
      </c>
      <c r="M1134" s="321">
        <v>1712201141</v>
      </c>
      <c r="N1134" s="321">
        <v>71</v>
      </c>
      <c r="O1134" s="321" t="s">
        <v>5208</v>
      </c>
      <c r="P1134" s="321">
        <v>6712200</v>
      </c>
      <c r="Q1134" s="322">
        <v>10000</v>
      </c>
      <c r="R1134" s="322">
        <v>6200</v>
      </c>
      <c r="S1134" s="322">
        <v>9000</v>
      </c>
      <c r="T1134" s="322">
        <v>9000</v>
      </c>
      <c r="U1134" s="322">
        <f t="shared" si="87"/>
        <v>0</v>
      </c>
      <c r="W1134" s="321">
        <f t="shared" si="88"/>
        <v>141</v>
      </c>
      <c r="X1134" s="321">
        <f t="shared" si="89"/>
        <v>712201</v>
      </c>
      <c r="Y1134" s="321">
        <v>1</v>
      </c>
      <c r="AA1134" s="321" t="s">
        <v>5208</v>
      </c>
    </row>
    <row r="1135" spans="1:27">
      <c r="A1135" s="376">
        <v>789</v>
      </c>
      <c r="B1135" s="377">
        <v>822000</v>
      </c>
      <c r="C1135" s="391" t="s">
        <v>7234</v>
      </c>
      <c r="D1135" s="379">
        <v>650</v>
      </c>
      <c r="E1135" s="380">
        <v>650</v>
      </c>
      <c r="F1135" s="380">
        <v>650</v>
      </c>
      <c r="H1135" s="351">
        <f t="shared" si="90"/>
        <v>650000</v>
      </c>
      <c r="I1135" s="351">
        <f t="shared" si="91"/>
        <v>650000</v>
      </c>
      <c r="M1135" s="321">
        <v>1712201181</v>
      </c>
      <c r="N1135" s="321">
        <v>71</v>
      </c>
      <c r="O1135" s="321" t="s">
        <v>2580</v>
      </c>
      <c r="P1135" s="321">
        <v>6712200</v>
      </c>
      <c r="Q1135" s="322">
        <v>44000</v>
      </c>
      <c r="R1135" s="322">
        <v>35400</v>
      </c>
      <c r="S1135" s="322">
        <v>49000</v>
      </c>
      <c r="T1135" s="322">
        <v>49000</v>
      </c>
      <c r="U1135" s="322">
        <f t="shared" si="87"/>
        <v>0</v>
      </c>
      <c r="W1135" s="321">
        <f t="shared" si="88"/>
        <v>181</v>
      </c>
      <c r="X1135" s="321">
        <f t="shared" si="89"/>
        <v>712201</v>
      </c>
      <c r="Y1135" s="321">
        <v>1</v>
      </c>
      <c r="AA1135" s="321" t="s">
        <v>2580</v>
      </c>
    </row>
    <row r="1136" spans="1:27">
      <c r="A1136" s="376">
        <v>780</v>
      </c>
      <c r="B1136" s="377">
        <v>822001</v>
      </c>
      <c r="C1136" s="386" t="s">
        <v>7235</v>
      </c>
      <c r="D1136" s="379">
        <v>56</v>
      </c>
      <c r="E1136" s="380">
        <v>56</v>
      </c>
      <c r="F1136" s="380">
        <v>56</v>
      </c>
      <c r="H1136" s="351">
        <f t="shared" si="90"/>
        <v>56000</v>
      </c>
      <c r="I1136" s="351">
        <f t="shared" si="91"/>
        <v>56000</v>
      </c>
      <c r="M1136" s="321">
        <v>1712201182</v>
      </c>
      <c r="N1136" s="321">
        <v>71</v>
      </c>
      <c r="O1136" s="321" t="s">
        <v>2582</v>
      </c>
      <c r="P1136" s="321">
        <v>6712200</v>
      </c>
      <c r="Q1136" s="322">
        <v>59000</v>
      </c>
      <c r="R1136" s="322">
        <v>45900</v>
      </c>
      <c r="S1136" s="322">
        <v>68000</v>
      </c>
      <c r="T1136" s="322">
        <v>68000</v>
      </c>
      <c r="U1136" s="322">
        <f t="shared" si="87"/>
        <v>0</v>
      </c>
      <c r="W1136" s="321">
        <f t="shared" si="88"/>
        <v>182</v>
      </c>
      <c r="X1136" s="321">
        <f t="shared" si="89"/>
        <v>712201</v>
      </c>
      <c r="Y1136" s="321">
        <v>1</v>
      </c>
      <c r="AA1136" s="321" t="s">
        <v>2582</v>
      </c>
    </row>
    <row r="1137" spans="1:27">
      <c r="A1137" s="376">
        <v>781</v>
      </c>
      <c r="B1137" s="377">
        <v>822001</v>
      </c>
      <c r="C1137" s="391" t="s">
        <v>7236</v>
      </c>
      <c r="D1137" s="379">
        <v>80</v>
      </c>
      <c r="E1137" s="380">
        <v>100</v>
      </c>
      <c r="F1137" s="380">
        <v>100</v>
      </c>
      <c r="H1137" s="351">
        <f t="shared" si="90"/>
        <v>80000</v>
      </c>
      <c r="I1137" s="351">
        <f t="shared" si="91"/>
        <v>100000</v>
      </c>
      <c r="M1137" s="321">
        <v>1712201730</v>
      </c>
      <c r="N1137" s="321">
        <v>71</v>
      </c>
      <c r="O1137" s="321" t="s">
        <v>5472</v>
      </c>
      <c r="P1137" s="321">
        <v>6712200</v>
      </c>
      <c r="Q1137" s="322">
        <v>50000</v>
      </c>
      <c r="R1137" s="322">
        <v>14800</v>
      </c>
      <c r="S1137" s="322">
        <v>50000</v>
      </c>
      <c r="T1137" s="322">
        <v>50000</v>
      </c>
      <c r="U1137" s="322">
        <f t="shared" si="87"/>
        <v>0</v>
      </c>
      <c r="W1137" s="321">
        <f t="shared" si="88"/>
        <v>730</v>
      </c>
      <c r="X1137" s="321">
        <f t="shared" si="89"/>
        <v>712201</v>
      </c>
      <c r="Y1137" s="321">
        <v>1</v>
      </c>
      <c r="AA1137" s="321" t="s">
        <v>5472</v>
      </c>
    </row>
    <row r="1138" spans="1:27">
      <c r="A1138" s="376">
        <v>782</v>
      </c>
      <c r="B1138" s="377">
        <v>822001</v>
      </c>
      <c r="C1138" s="391" t="s">
        <v>7237</v>
      </c>
      <c r="D1138" s="379">
        <v>80</v>
      </c>
      <c r="E1138" s="380">
        <v>0</v>
      </c>
      <c r="F1138" s="380">
        <v>0</v>
      </c>
      <c r="H1138" s="351">
        <f t="shared" si="90"/>
        <v>80000</v>
      </c>
      <c r="I1138" s="351">
        <f t="shared" si="91"/>
        <v>0</v>
      </c>
      <c r="M1138" s="321">
        <v>1712201732</v>
      </c>
      <c r="N1138" s="321">
        <v>71</v>
      </c>
      <c r="O1138" s="321" t="s">
        <v>5473</v>
      </c>
      <c r="P1138" s="321">
        <v>6712200</v>
      </c>
      <c r="Q1138" s="322">
        <v>5000</v>
      </c>
      <c r="R1138" s="322">
        <v>1700</v>
      </c>
      <c r="S1138" s="322">
        <v>5000</v>
      </c>
      <c r="T1138" s="322">
        <v>5000</v>
      </c>
      <c r="U1138" s="322">
        <f t="shared" si="87"/>
        <v>0</v>
      </c>
      <c r="W1138" s="321">
        <f t="shared" si="88"/>
        <v>732</v>
      </c>
      <c r="X1138" s="321">
        <f t="shared" si="89"/>
        <v>712201</v>
      </c>
      <c r="Y1138" s="321">
        <v>1</v>
      </c>
      <c r="AA1138" s="321" t="s">
        <v>5473</v>
      </c>
    </row>
    <row r="1139" spans="1:27">
      <c r="A1139" s="376">
        <v>960</v>
      </c>
      <c r="B1139" s="377">
        <v>822001</v>
      </c>
      <c r="C1139" s="386" t="s">
        <v>7238</v>
      </c>
      <c r="D1139" s="379">
        <v>100</v>
      </c>
      <c r="E1139" s="380">
        <v>100</v>
      </c>
      <c r="F1139" s="380">
        <v>100</v>
      </c>
      <c r="H1139" s="351">
        <f t="shared" si="90"/>
        <v>100000</v>
      </c>
      <c r="I1139" s="351">
        <f t="shared" si="91"/>
        <v>100000</v>
      </c>
      <c r="M1139" s="321">
        <v>1712201750</v>
      </c>
      <c r="N1139" s="321">
        <v>71</v>
      </c>
      <c r="O1139" s="321" t="s">
        <v>5474</v>
      </c>
      <c r="P1139" s="321">
        <v>6712200</v>
      </c>
      <c r="Q1139" s="322">
        <v>1338000</v>
      </c>
      <c r="R1139" s="322">
        <v>555100</v>
      </c>
      <c r="S1139" s="322">
        <v>1310000</v>
      </c>
      <c r="T1139" s="322">
        <v>1310000</v>
      </c>
      <c r="U1139" s="322">
        <f t="shared" si="87"/>
        <v>0</v>
      </c>
      <c r="W1139" s="321">
        <f t="shared" si="88"/>
        <v>750</v>
      </c>
      <c r="X1139" s="321">
        <f t="shared" si="89"/>
        <v>712201</v>
      </c>
      <c r="Y1139" s="321">
        <v>1</v>
      </c>
      <c r="AA1139" s="321" t="s">
        <v>5474</v>
      </c>
    </row>
    <row r="1140" spans="1:27">
      <c r="A1140" s="376">
        <v>100</v>
      </c>
      <c r="B1140" s="377">
        <v>822100</v>
      </c>
      <c r="C1140" s="382" t="s">
        <v>6747</v>
      </c>
      <c r="D1140" s="379">
        <v>368</v>
      </c>
      <c r="E1140" s="380">
        <v>360</v>
      </c>
      <c r="F1140" s="380">
        <v>390</v>
      </c>
      <c r="H1140" s="351">
        <f t="shared" si="90"/>
        <v>368000</v>
      </c>
      <c r="I1140" s="351">
        <f t="shared" si="91"/>
        <v>390000</v>
      </c>
      <c r="M1140" s="321">
        <v>1712300110</v>
      </c>
      <c r="N1140" s="321">
        <v>71</v>
      </c>
      <c r="O1140" s="321" t="s">
        <v>5205</v>
      </c>
      <c r="P1140" s="321">
        <v>6712300</v>
      </c>
      <c r="Q1140" s="322">
        <v>512000</v>
      </c>
      <c r="R1140" s="322">
        <v>358300</v>
      </c>
      <c r="S1140" s="322">
        <v>474000</v>
      </c>
      <c r="T1140" s="322">
        <v>474000</v>
      </c>
      <c r="U1140" s="322">
        <f t="shared" si="87"/>
        <v>0</v>
      </c>
      <c r="W1140" s="321">
        <f t="shared" si="88"/>
        <v>110</v>
      </c>
      <c r="X1140" s="321">
        <f t="shared" si="89"/>
        <v>712300</v>
      </c>
      <c r="Y1140" s="321">
        <v>1</v>
      </c>
      <c r="AA1140" s="321" t="s">
        <v>5205</v>
      </c>
    </row>
    <row r="1141" spans="1:27">
      <c r="A1141" s="376">
        <v>410</v>
      </c>
      <c r="B1141" s="377">
        <v>822100</v>
      </c>
      <c r="C1141" s="382" t="s">
        <v>6715</v>
      </c>
      <c r="D1141" s="379">
        <v>27</v>
      </c>
      <c r="E1141" s="380">
        <v>12</v>
      </c>
      <c r="F1141" s="380">
        <v>16</v>
      </c>
      <c r="H1141" s="351">
        <f t="shared" si="90"/>
        <v>27000</v>
      </c>
      <c r="I1141" s="351">
        <f t="shared" si="91"/>
        <v>16000</v>
      </c>
      <c r="M1141" s="321">
        <v>1712300120</v>
      </c>
      <c r="N1141" s="321">
        <v>71</v>
      </c>
      <c r="O1141" s="321" t="s">
        <v>5206</v>
      </c>
      <c r="P1141" s="321">
        <v>6712300</v>
      </c>
      <c r="Q1141" s="322">
        <v>121000</v>
      </c>
      <c r="R1141" s="322">
        <v>106000</v>
      </c>
      <c r="S1141" s="322">
        <v>125000</v>
      </c>
      <c r="T1141" s="322">
        <v>125000</v>
      </c>
      <c r="U1141" s="322">
        <f t="shared" si="87"/>
        <v>0</v>
      </c>
      <c r="W1141" s="321">
        <f t="shared" si="88"/>
        <v>120</v>
      </c>
      <c r="X1141" s="321">
        <f t="shared" si="89"/>
        <v>712300</v>
      </c>
      <c r="Y1141" s="321">
        <v>1</v>
      </c>
      <c r="AA1141" s="321" t="s">
        <v>5206</v>
      </c>
    </row>
    <row r="1142" spans="1:27">
      <c r="A1142" s="376">
        <v>550</v>
      </c>
      <c r="B1142" s="377">
        <v>822100</v>
      </c>
      <c r="C1142" s="382" t="s">
        <v>6737</v>
      </c>
      <c r="D1142" s="379">
        <v>80</v>
      </c>
      <c r="E1142" s="380">
        <v>100</v>
      </c>
      <c r="F1142" s="380">
        <v>100</v>
      </c>
      <c r="H1142" s="351">
        <f t="shared" si="90"/>
        <v>80000</v>
      </c>
      <c r="I1142" s="351">
        <f t="shared" si="91"/>
        <v>100000</v>
      </c>
      <c r="M1142" s="321">
        <v>1712300130</v>
      </c>
      <c r="N1142" s="321">
        <v>71</v>
      </c>
      <c r="O1142" s="321" t="s">
        <v>2576</v>
      </c>
      <c r="P1142" s="321">
        <v>6712300</v>
      </c>
      <c r="Q1142" s="322">
        <v>131000</v>
      </c>
      <c r="R1142" s="322">
        <v>99300</v>
      </c>
      <c r="S1142" s="322">
        <v>137000</v>
      </c>
      <c r="T1142" s="322">
        <v>123300</v>
      </c>
      <c r="U1142" s="322">
        <f t="shared" si="87"/>
        <v>13700</v>
      </c>
      <c r="W1142" s="321">
        <f t="shared" si="88"/>
        <v>130</v>
      </c>
      <c r="X1142" s="321">
        <f t="shared" si="89"/>
        <v>712300</v>
      </c>
      <c r="Y1142" s="321">
        <v>1</v>
      </c>
      <c r="AA1142" s="321" t="s">
        <v>2576</v>
      </c>
    </row>
    <row r="1143" spans="1:27">
      <c r="A1143" s="376">
        <v>755</v>
      </c>
      <c r="B1143" s="377">
        <v>822100</v>
      </c>
      <c r="C1143" s="382" t="s">
        <v>6777</v>
      </c>
      <c r="D1143" s="379">
        <v>0</v>
      </c>
      <c r="E1143" s="380">
        <v>0</v>
      </c>
      <c r="F1143" s="380">
        <v>0</v>
      </c>
      <c r="H1143" s="351">
        <f t="shared" si="90"/>
        <v>0</v>
      </c>
      <c r="I1143" s="351">
        <f t="shared" si="91"/>
        <v>0</v>
      </c>
      <c r="M1143" s="321">
        <v>1712300140</v>
      </c>
      <c r="N1143" s="321">
        <v>71</v>
      </c>
      <c r="O1143" s="321" t="s">
        <v>5207</v>
      </c>
      <c r="P1143" s="321">
        <v>6712300</v>
      </c>
      <c r="Q1143" s="322">
        <v>145000</v>
      </c>
      <c r="R1143" s="322">
        <v>73800</v>
      </c>
      <c r="S1143" s="322">
        <v>114000</v>
      </c>
      <c r="T1143" s="322">
        <v>114000</v>
      </c>
      <c r="U1143" s="322">
        <f t="shared" si="87"/>
        <v>0</v>
      </c>
      <c r="W1143" s="321">
        <f t="shared" si="88"/>
        <v>140</v>
      </c>
      <c r="X1143" s="321">
        <f t="shared" si="89"/>
        <v>712300</v>
      </c>
      <c r="Y1143" s="321">
        <v>1</v>
      </c>
      <c r="AA1143" s="321" t="s">
        <v>5207</v>
      </c>
    </row>
    <row r="1144" spans="1:27">
      <c r="A1144" s="376">
        <v>780</v>
      </c>
      <c r="B1144" s="377">
        <v>822100</v>
      </c>
      <c r="C1144" s="382" t="s">
        <v>7239</v>
      </c>
      <c r="D1144" s="379">
        <v>400</v>
      </c>
      <c r="E1144" s="380">
        <v>400</v>
      </c>
      <c r="F1144" s="380">
        <v>400</v>
      </c>
      <c r="H1144" s="351">
        <f t="shared" si="90"/>
        <v>400000</v>
      </c>
      <c r="I1144" s="351">
        <f t="shared" si="91"/>
        <v>400000</v>
      </c>
      <c r="M1144" s="321">
        <v>1712300141</v>
      </c>
      <c r="N1144" s="321">
        <v>71</v>
      </c>
      <c r="O1144" s="321" t="s">
        <v>5208</v>
      </c>
      <c r="P1144" s="321">
        <v>6712300</v>
      </c>
      <c r="Q1144" s="322">
        <v>34000</v>
      </c>
      <c r="R1144" s="322">
        <v>26200</v>
      </c>
      <c r="S1144" s="322">
        <v>35000</v>
      </c>
      <c r="T1144" s="322">
        <v>35000</v>
      </c>
      <c r="U1144" s="322">
        <f t="shared" si="87"/>
        <v>0</v>
      </c>
      <c r="W1144" s="321">
        <f t="shared" si="88"/>
        <v>141</v>
      </c>
      <c r="X1144" s="321">
        <f t="shared" si="89"/>
        <v>712300</v>
      </c>
      <c r="Y1144" s="321">
        <v>1</v>
      </c>
      <c r="AA1144" s="321" t="s">
        <v>5208</v>
      </c>
    </row>
    <row r="1145" spans="1:27">
      <c r="A1145" s="376">
        <v>781</v>
      </c>
      <c r="B1145" s="377">
        <v>822100</v>
      </c>
      <c r="C1145" s="382" t="s">
        <v>7240</v>
      </c>
      <c r="D1145" s="379">
        <v>400</v>
      </c>
      <c r="E1145" s="380">
        <v>0</v>
      </c>
      <c r="F1145" s="380">
        <v>0</v>
      </c>
      <c r="H1145" s="351">
        <f t="shared" si="90"/>
        <v>400000</v>
      </c>
      <c r="I1145" s="351">
        <f t="shared" si="91"/>
        <v>0</v>
      </c>
      <c r="M1145" s="321">
        <v>1712300181</v>
      </c>
      <c r="N1145" s="321">
        <v>71</v>
      </c>
      <c r="O1145" s="321" t="s">
        <v>2580</v>
      </c>
      <c r="P1145" s="321">
        <v>6712300</v>
      </c>
      <c r="Q1145" s="322">
        <v>130000</v>
      </c>
      <c r="R1145" s="322">
        <v>99600</v>
      </c>
      <c r="S1145" s="322">
        <v>134000</v>
      </c>
      <c r="T1145" s="322">
        <v>134000</v>
      </c>
      <c r="U1145" s="322">
        <f t="shared" si="87"/>
        <v>0</v>
      </c>
      <c r="W1145" s="321">
        <f t="shared" si="88"/>
        <v>181</v>
      </c>
      <c r="X1145" s="321">
        <f t="shared" si="89"/>
        <v>712300</v>
      </c>
      <c r="Y1145" s="321">
        <v>1</v>
      </c>
      <c r="AA1145" s="321" t="s">
        <v>2580</v>
      </c>
    </row>
    <row r="1146" spans="1:27">
      <c r="A1146" s="376">
        <v>100</v>
      </c>
      <c r="B1146" s="377">
        <v>823000</v>
      </c>
      <c r="C1146" s="391" t="s">
        <v>6747</v>
      </c>
      <c r="D1146" s="379">
        <v>2488</v>
      </c>
      <c r="E1146" s="380">
        <v>2400</v>
      </c>
      <c r="F1146" s="380">
        <v>2500</v>
      </c>
      <c r="H1146" s="351">
        <f t="shared" si="90"/>
        <v>2488000</v>
      </c>
      <c r="I1146" s="351">
        <f t="shared" si="91"/>
        <v>2500000</v>
      </c>
      <c r="M1146" s="321">
        <v>1712300182</v>
      </c>
      <c r="N1146" s="321">
        <v>71</v>
      </c>
      <c r="O1146" s="321" t="s">
        <v>2582</v>
      </c>
      <c r="P1146" s="321">
        <v>6712300</v>
      </c>
      <c r="Q1146" s="322">
        <v>134000</v>
      </c>
      <c r="R1146" s="322">
        <v>94100</v>
      </c>
      <c r="S1146" s="322">
        <v>130000</v>
      </c>
      <c r="T1146" s="322">
        <v>130000</v>
      </c>
      <c r="U1146" s="322">
        <f t="shared" si="87"/>
        <v>0</v>
      </c>
      <c r="W1146" s="321">
        <f t="shared" si="88"/>
        <v>182</v>
      </c>
      <c r="X1146" s="321">
        <f t="shared" si="89"/>
        <v>712300</v>
      </c>
      <c r="Y1146" s="321">
        <v>1</v>
      </c>
      <c r="AA1146" s="321" t="s">
        <v>2582</v>
      </c>
    </row>
    <row r="1147" spans="1:27">
      <c r="A1147" s="376">
        <v>420</v>
      </c>
      <c r="B1147" s="377">
        <v>823000</v>
      </c>
      <c r="C1147" s="382" t="s">
        <v>6987</v>
      </c>
      <c r="D1147" s="379">
        <v>7</v>
      </c>
      <c r="E1147" s="380">
        <v>7</v>
      </c>
      <c r="F1147" s="380">
        <v>7</v>
      </c>
      <c r="H1147" s="351">
        <f t="shared" si="90"/>
        <v>7000</v>
      </c>
      <c r="I1147" s="351">
        <f t="shared" si="91"/>
        <v>7000</v>
      </c>
      <c r="M1147" s="321">
        <v>1712300470</v>
      </c>
      <c r="N1147" s="321">
        <v>71</v>
      </c>
      <c r="O1147" s="321" t="s">
        <v>2830</v>
      </c>
      <c r="P1147" s="321">
        <v>6712300</v>
      </c>
      <c r="Q1147" s="322">
        <v>4000</v>
      </c>
      <c r="R1147" s="322">
        <v>2000</v>
      </c>
      <c r="S1147" s="322">
        <v>2000</v>
      </c>
      <c r="T1147" s="322">
        <v>2000</v>
      </c>
      <c r="U1147" s="322">
        <f t="shared" si="87"/>
        <v>0</v>
      </c>
      <c r="W1147" s="321">
        <f t="shared" si="88"/>
        <v>470</v>
      </c>
      <c r="X1147" s="321">
        <f t="shared" si="89"/>
        <v>712300</v>
      </c>
      <c r="Y1147" s="321">
        <v>1</v>
      </c>
      <c r="AA1147" s="321" t="s">
        <v>2830</v>
      </c>
    </row>
    <row r="1148" spans="1:27">
      <c r="A1148" s="376">
        <v>429</v>
      </c>
      <c r="B1148" s="377">
        <v>823000</v>
      </c>
      <c r="C1148" s="382" t="s">
        <v>7241</v>
      </c>
      <c r="D1148" s="379">
        <v>12</v>
      </c>
      <c r="E1148" s="380">
        <v>9</v>
      </c>
      <c r="F1148" s="380">
        <v>12</v>
      </c>
      <c r="H1148" s="351">
        <f t="shared" si="90"/>
        <v>12000</v>
      </c>
      <c r="I1148" s="351">
        <f t="shared" si="91"/>
        <v>12000</v>
      </c>
      <c r="M1148" s="321">
        <v>1712300471</v>
      </c>
      <c r="N1148" s="321">
        <v>71</v>
      </c>
      <c r="O1148" s="321" t="s">
        <v>5475</v>
      </c>
      <c r="P1148" s="321">
        <v>6712300</v>
      </c>
      <c r="Q1148" s="322">
        <v>3500</v>
      </c>
      <c r="R1148" s="322">
        <v>3500</v>
      </c>
      <c r="S1148" s="322">
        <v>3700</v>
      </c>
      <c r="T1148" s="322">
        <v>3700</v>
      </c>
      <c r="U1148" s="322">
        <f t="shared" si="87"/>
        <v>0</v>
      </c>
      <c r="W1148" s="321">
        <f t="shared" si="88"/>
        <v>471</v>
      </c>
      <c r="X1148" s="321">
        <f t="shared" si="89"/>
        <v>712300</v>
      </c>
      <c r="Y1148" s="321">
        <v>1</v>
      </c>
      <c r="AA1148" s="321" t="s">
        <v>5475</v>
      </c>
    </row>
    <row r="1149" spans="1:27">
      <c r="A1149" s="376">
        <v>430</v>
      </c>
      <c r="B1149" s="377">
        <v>823000</v>
      </c>
      <c r="C1149" s="391" t="s">
        <v>6798</v>
      </c>
      <c r="D1149" s="379">
        <v>78</v>
      </c>
      <c r="E1149" s="380">
        <v>76</v>
      </c>
      <c r="F1149" s="380">
        <v>76</v>
      </c>
      <c r="H1149" s="351">
        <f t="shared" si="90"/>
        <v>78000</v>
      </c>
      <c r="I1149" s="351">
        <f t="shared" si="91"/>
        <v>76000</v>
      </c>
      <c r="M1149" s="321">
        <v>1712300510</v>
      </c>
      <c r="N1149" s="321">
        <v>71</v>
      </c>
      <c r="O1149" s="321" t="s">
        <v>2805</v>
      </c>
      <c r="P1149" s="321">
        <v>6712300</v>
      </c>
      <c r="Q1149" s="322">
        <v>1000</v>
      </c>
      <c r="R1149" s="322">
        <v>700</v>
      </c>
      <c r="S1149" s="322">
        <v>1000</v>
      </c>
      <c r="T1149" s="322">
        <v>1000</v>
      </c>
      <c r="U1149" s="322">
        <f t="shared" si="87"/>
        <v>0</v>
      </c>
      <c r="W1149" s="321">
        <f t="shared" si="88"/>
        <v>510</v>
      </c>
      <c r="X1149" s="321">
        <f t="shared" si="89"/>
        <v>712300</v>
      </c>
      <c r="Y1149" s="321">
        <v>1</v>
      </c>
      <c r="AA1149" s="321" t="s">
        <v>2805</v>
      </c>
    </row>
    <row r="1150" spans="1:27">
      <c r="A1150" s="376">
        <v>450</v>
      </c>
      <c r="B1150" s="377">
        <v>823000</v>
      </c>
      <c r="C1150" s="391" t="s">
        <v>7242</v>
      </c>
      <c r="D1150" s="379">
        <v>20</v>
      </c>
      <c r="E1150" s="380">
        <v>20</v>
      </c>
      <c r="F1150" s="380">
        <v>20</v>
      </c>
      <c r="H1150" s="351">
        <f t="shared" si="90"/>
        <v>20000</v>
      </c>
      <c r="I1150" s="351">
        <f t="shared" si="91"/>
        <v>20000</v>
      </c>
      <c r="M1150" s="321">
        <v>1712300530</v>
      </c>
      <c r="N1150" s="321">
        <v>71</v>
      </c>
      <c r="O1150" s="321" t="s">
        <v>5476</v>
      </c>
      <c r="P1150" s="321">
        <v>6712300</v>
      </c>
      <c r="Q1150" s="322">
        <v>35000</v>
      </c>
      <c r="R1150" s="322">
        <v>22300</v>
      </c>
      <c r="S1150" s="322">
        <v>35000</v>
      </c>
      <c r="T1150" s="322">
        <v>35000</v>
      </c>
      <c r="U1150" s="322">
        <f t="shared" si="87"/>
        <v>0</v>
      </c>
      <c r="W1150" s="321">
        <f t="shared" si="88"/>
        <v>530</v>
      </c>
      <c r="X1150" s="321">
        <f t="shared" si="89"/>
        <v>712300</v>
      </c>
      <c r="Y1150" s="321">
        <v>1</v>
      </c>
      <c r="AA1150" s="321" t="s">
        <v>5476</v>
      </c>
    </row>
    <row r="1151" spans="1:27">
      <c r="A1151" s="376">
        <v>470</v>
      </c>
      <c r="B1151" s="377">
        <v>823000</v>
      </c>
      <c r="C1151" s="391" t="s">
        <v>6769</v>
      </c>
      <c r="D1151" s="379">
        <v>28</v>
      </c>
      <c r="E1151" s="380">
        <v>35</v>
      </c>
      <c r="F1151" s="380">
        <v>35</v>
      </c>
      <c r="H1151" s="351">
        <f t="shared" si="90"/>
        <v>28000</v>
      </c>
      <c r="I1151" s="351">
        <f t="shared" si="91"/>
        <v>35000</v>
      </c>
      <c r="M1151" s="321">
        <v>1712300540</v>
      </c>
      <c r="N1151" s="321">
        <v>71</v>
      </c>
      <c r="O1151" s="321" t="s">
        <v>5216</v>
      </c>
      <c r="P1151" s="321">
        <v>6712300</v>
      </c>
      <c r="Q1151" s="322">
        <v>1000</v>
      </c>
      <c r="R1151" s="322">
        <v>600</v>
      </c>
      <c r="S1151" s="322">
        <v>1000</v>
      </c>
      <c r="T1151" s="322">
        <v>1000</v>
      </c>
      <c r="U1151" s="322">
        <f t="shared" si="87"/>
        <v>0</v>
      </c>
      <c r="W1151" s="321">
        <f t="shared" si="88"/>
        <v>540</v>
      </c>
      <c r="X1151" s="321">
        <f t="shared" si="89"/>
        <v>712300</v>
      </c>
      <c r="Y1151" s="321">
        <v>1</v>
      </c>
      <c r="AA1151" s="321" t="s">
        <v>5216</v>
      </c>
    </row>
    <row r="1152" spans="1:27">
      <c r="A1152" s="376">
        <v>522</v>
      </c>
      <c r="B1152" s="377">
        <v>823000</v>
      </c>
      <c r="C1152" s="391" t="s">
        <v>7243</v>
      </c>
      <c r="D1152" s="379">
        <v>25</v>
      </c>
      <c r="E1152" s="380">
        <v>25</v>
      </c>
      <c r="F1152" s="380">
        <v>25</v>
      </c>
      <c r="H1152" s="351">
        <f t="shared" si="90"/>
        <v>25000</v>
      </c>
      <c r="I1152" s="351">
        <f t="shared" si="91"/>
        <v>25000</v>
      </c>
      <c r="M1152" s="321">
        <v>1712300542</v>
      </c>
      <c r="N1152" s="321">
        <v>71</v>
      </c>
      <c r="O1152" s="321" t="s">
        <v>5362</v>
      </c>
      <c r="P1152" s="321">
        <v>6712300</v>
      </c>
      <c r="Q1152" s="322">
        <v>7600</v>
      </c>
      <c r="R1152" s="322">
        <v>4800</v>
      </c>
      <c r="S1152" s="322">
        <v>6000</v>
      </c>
      <c r="T1152" s="322">
        <v>6000</v>
      </c>
      <c r="U1152" s="322">
        <f t="shared" si="87"/>
        <v>0</v>
      </c>
      <c r="W1152" s="321">
        <f t="shared" si="88"/>
        <v>542</v>
      </c>
      <c r="X1152" s="321">
        <f t="shared" si="89"/>
        <v>712300</v>
      </c>
      <c r="Y1152" s="321">
        <v>1</v>
      </c>
      <c r="AA1152" s="321" t="s">
        <v>5362</v>
      </c>
    </row>
    <row r="1153" spans="1:27">
      <c r="A1153" s="376">
        <v>540</v>
      </c>
      <c r="B1153" s="377">
        <v>823000</v>
      </c>
      <c r="C1153" s="391" t="s">
        <v>6752</v>
      </c>
      <c r="D1153" s="379">
        <v>20</v>
      </c>
      <c r="E1153" s="380">
        <v>20</v>
      </c>
      <c r="F1153" s="380">
        <v>25</v>
      </c>
      <c r="H1153" s="351">
        <f t="shared" si="90"/>
        <v>20000</v>
      </c>
      <c r="I1153" s="351">
        <f t="shared" si="91"/>
        <v>25000</v>
      </c>
      <c r="M1153" s="321">
        <v>1712300550</v>
      </c>
      <c r="N1153" s="321">
        <v>71</v>
      </c>
      <c r="O1153" s="321" t="s">
        <v>5477</v>
      </c>
      <c r="P1153" s="321">
        <v>6712300</v>
      </c>
      <c r="Q1153" s="322">
        <v>0</v>
      </c>
      <c r="R1153" s="322">
        <v>0</v>
      </c>
      <c r="S1153" s="322">
        <v>0</v>
      </c>
      <c r="T1153" s="322">
        <v>0</v>
      </c>
      <c r="U1153" s="322">
        <f t="shared" si="87"/>
        <v>0</v>
      </c>
      <c r="W1153" s="321">
        <f t="shared" si="88"/>
        <v>550</v>
      </c>
      <c r="X1153" s="321">
        <f t="shared" si="89"/>
        <v>712300</v>
      </c>
      <c r="Y1153" s="321">
        <v>1</v>
      </c>
      <c r="AA1153" s="321" t="s">
        <v>5477</v>
      </c>
    </row>
    <row r="1154" spans="1:27">
      <c r="A1154" s="376">
        <v>550</v>
      </c>
      <c r="B1154" s="377">
        <v>823000</v>
      </c>
      <c r="C1154" s="382" t="s">
        <v>6737</v>
      </c>
      <c r="D1154" s="379">
        <v>30</v>
      </c>
      <c r="E1154" s="380">
        <v>29</v>
      </c>
      <c r="F1154" s="380">
        <v>29</v>
      </c>
      <c r="H1154" s="351">
        <f t="shared" si="90"/>
        <v>30000</v>
      </c>
      <c r="I1154" s="351">
        <f t="shared" si="91"/>
        <v>29000</v>
      </c>
      <c r="M1154" s="321">
        <v>1712300730</v>
      </c>
      <c r="N1154" s="321">
        <v>71</v>
      </c>
      <c r="O1154" s="321" t="s">
        <v>5478</v>
      </c>
      <c r="P1154" s="321">
        <v>6712300</v>
      </c>
      <c r="Q1154" s="322">
        <v>0</v>
      </c>
      <c r="R1154" s="322">
        <v>20700</v>
      </c>
      <c r="S1154" s="322">
        <v>35000</v>
      </c>
      <c r="T1154" s="322">
        <v>35000</v>
      </c>
      <c r="U1154" s="322">
        <f t="shared" ref="U1154:U1217" si="92">S1154-T1154</f>
        <v>0</v>
      </c>
      <c r="W1154" s="321">
        <f t="shared" si="88"/>
        <v>730</v>
      </c>
      <c r="X1154" s="321">
        <f t="shared" si="89"/>
        <v>712300</v>
      </c>
      <c r="Y1154" s="321">
        <v>1</v>
      </c>
      <c r="AA1154" s="321" t="s">
        <v>5478</v>
      </c>
    </row>
    <row r="1155" spans="1:27">
      <c r="A1155" s="376">
        <v>570</v>
      </c>
      <c r="B1155" s="377">
        <v>823000</v>
      </c>
      <c r="C1155" s="382" t="s">
        <v>7244</v>
      </c>
      <c r="D1155" s="379">
        <v>179</v>
      </c>
      <c r="E1155" s="380">
        <v>178</v>
      </c>
      <c r="F1155" s="380">
        <v>178</v>
      </c>
      <c r="H1155" s="351">
        <f t="shared" si="90"/>
        <v>179000</v>
      </c>
      <c r="I1155" s="351">
        <f t="shared" si="91"/>
        <v>178000</v>
      </c>
      <c r="M1155" s="321">
        <v>1712300731</v>
      </c>
      <c r="N1155" s="321">
        <v>71</v>
      </c>
      <c r="O1155" s="321" t="s">
        <v>5479</v>
      </c>
      <c r="P1155" s="321">
        <v>6712300</v>
      </c>
      <c r="Q1155" s="322">
        <v>20000</v>
      </c>
      <c r="R1155" s="322">
        <v>800</v>
      </c>
      <c r="S1155" s="322">
        <v>20000</v>
      </c>
      <c r="T1155" s="322">
        <v>20000</v>
      </c>
      <c r="U1155" s="322">
        <f t="shared" si="92"/>
        <v>0</v>
      </c>
      <c r="W1155" s="321">
        <f t="shared" ref="W1155:W1218" si="93">M1155-1000000000-X1155*1000</f>
        <v>731</v>
      </c>
      <c r="X1155" s="321">
        <f t="shared" ref="X1155:X1218" si="94">ROUNDDOWN((M1155-1000000000)/1000,0)</f>
        <v>712300</v>
      </c>
      <c r="Y1155" s="321">
        <v>1</v>
      </c>
      <c r="AA1155" s="321" t="s">
        <v>5479</v>
      </c>
    </row>
    <row r="1156" spans="1:27">
      <c r="A1156" s="376">
        <v>720</v>
      </c>
      <c r="B1156" s="377">
        <v>823000</v>
      </c>
      <c r="C1156" s="381" t="s">
        <v>7245</v>
      </c>
      <c r="D1156" s="379">
        <v>40</v>
      </c>
      <c r="E1156" s="380">
        <v>50</v>
      </c>
      <c r="F1156" s="380">
        <v>30</v>
      </c>
      <c r="H1156" s="351">
        <f t="shared" si="90"/>
        <v>40000</v>
      </c>
      <c r="I1156" s="351">
        <f t="shared" si="91"/>
        <v>30000</v>
      </c>
      <c r="M1156" s="321">
        <v>1712300732</v>
      </c>
      <c r="N1156" s="321">
        <v>71</v>
      </c>
      <c r="O1156" s="321" t="s">
        <v>5480</v>
      </c>
      <c r="P1156" s="321">
        <v>6712300</v>
      </c>
      <c r="Q1156" s="322">
        <v>40000</v>
      </c>
      <c r="R1156" s="322">
        <v>21800</v>
      </c>
      <c r="S1156" s="322">
        <v>40000</v>
      </c>
      <c r="T1156" s="322">
        <v>40000</v>
      </c>
      <c r="U1156" s="322">
        <f t="shared" si="92"/>
        <v>0</v>
      </c>
      <c r="W1156" s="321">
        <f t="shared" si="93"/>
        <v>732</v>
      </c>
      <c r="X1156" s="321">
        <f t="shared" si="94"/>
        <v>712300</v>
      </c>
      <c r="Y1156" s="321">
        <v>1</v>
      </c>
      <c r="AA1156" s="321" t="s">
        <v>5480</v>
      </c>
    </row>
    <row r="1157" spans="1:27">
      <c r="A1157" s="376">
        <v>721</v>
      </c>
      <c r="B1157" s="377">
        <v>823000</v>
      </c>
      <c r="C1157" s="391" t="s">
        <v>7246</v>
      </c>
      <c r="D1157" s="379">
        <v>60</v>
      </c>
      <c r="E1157" s="380">
        <v>50</v>
      </c>
      <c r="F1157" s="380">
        <v>50</v>
      </c>
      <c r="H1157" s="351">
        <f t="shared" si="90"/>
        <v>60000</v>
      </c>
      <c r="I1157" s="351">
        <f t="shared" si="91"/>
        <v>50000</v>
      </c>
      <c r="M1157" s="321">
        <v>1712300733</v>
      </c>
      <c r="N1157" s="321">
        <v>71</v>
      </c>
      <c r="O1157" s="321" t="s">
        <v>5481</v>
      </c>
      <c r="P1157" s="321">
        <v>6712300</v>
      </c>
      <c r="Q1157" s="322">
        <v>50000</v>
      </c>
      <c r="R1157" s="322">
        <v>27100</v>
      </c>
      <c r="S1157" s="322">
        <v>60000</v>
      </c>
      <c r="T1157" s="322">
        <v>60000</v>
      </c>
      <c r="U1157" s="322">
        <f t="shared" si="92"/>
        <v>0</v>
      </c>
      <c r="W1157" s="321">
        <f t="shared" si="93"/>
        <v>733</v>
      </c>
      <c r="X1157" s="321">
        <f t="shared" si="94"/>
        <v>712300</v>
      </c>
      <c r="Y1157" s="321">
        <v>1</v>
      </c>
      <c r="AA1157" s="321" t="s">
        <v>5481</v>
      </c>
    </row>
    <row r="1158" spans="1:27">
      <c r="A1158" s="376">
        <v>750</v>
      </c>
      <c r="B1158" s="377">
        <v>823000</v>
      </c>
      <c r="C1158" s="382" t="s">
        <v>6804</v>
      </c>
      <c r="D1158" s="379">
        <v>91</v>
      </c>
      <c r="E1158" s="380">
        <v>90</v>
      </c>
      <c r="F1158" s="380">
        <v>90</v>
      </c>
      <c r="H1158" s="351">
        <f t="shared" si="90"/>
        <v>91000</v>
      </c>
      <c r="I1158" s="351">
        <f t="shared" si="91"/>
        <v>90000</v>
      </c>
      <c r="M1158" s="321">
        <v>1712300734</v>
      </c>
      <c r="N1158" s="321">
        <v>71</v>
      </c>
      <c r="O1158" s="321" t="s">
        <v>5482</v>
      </c>
      <c r="P1158" s="321">
        <v>6712300</v>
      </c>
      <c r="Q1158" s="322">
        <v>40000</v>
      </c>
      <c r="R1158" s="322">
        <v>16000</v>
      </c>
      <c r="S1158" s="322">
        <v>40000</v>
      </c>
      <c r="T1158" s="322">
        <v>40000</v>
      </c>
      <c r="U1158" s="322">
        <f t="shared" si="92"/>
        <v>0</v>
      </c>
      <c r="W1158" s="321">
        <f t="shared" si="93"/>
        <v>734</v>
      </c>
      <c r="X1158" s="321">
        <f t="shared" si="94"/>
        <v>712300</v>
      </c>
      <c r="Y1158" s="321">
        <v>1</v>
      </c>
      <c r="AA1158" s="321" t="s">
        <v>5482</v>
      </c>
    </row>
    <row r="1159" spans="1:27">
      <c r="A1159" s="376">
        <v>751</v>
      </c>
      <c r="B1159" s="377">
        <v>823000</v>
      </c>
      <c r="C1159" s="382" t="s">
        <v>6819</v>
      </c>
      <c r="D1159" s="379">
        <v>122</v>
      </c>
      <c r="E1159" s="380">
        <v>116</v>
      </c>
      <c r="F1159" s="380">
        <v>116</v>
      </c>
      <c r="H1159" s="351">
        <f t="shared" si="90"/>
        <v>122000</v>
      </c>
      <c r="I1159" s="351">
        <f t="shared" si="91"/>
        <v>116000</v>
      </c>
      <c r="M1159" s="321">
        <v>1712300750</v>
      </c>
      <c r="N1159" s="321">
        <v>71</v>
      </c>
      <c r="O1159" s="321" t="s">
        <v>5483</v>
      </c>
      <c r="P1159" s="321">
        <v>6712300</v>
      </c>
      <c r="Q1159" s="322">
        <v>9200000</v>
      </c>
      <c r="R1159" s="322">
        <v>5917400</v>
      </c>
      <c r="S1159" s="322">
        <v>9200000</v>
      </c>
      <c r="T1159" s="322">
        <v>9100000</v>
      </c>
      <c r="U1159" s="322">
        <f t="shared" si="92"/>
        <v>100000</v>
      </c>
      <c r="W1159" s="321">
        <f t="shared" si="93"/>
        <v>750</v>
      </c>
      <c r="X1159" s="321">
        <f t="shared" si="94"/>
        <v>712300</v>
      </c>
      <c r="Y1159" s="321">
        <v>1</v>
      </c>
      <c r="AA1159" s="321" t="s">
        <v>5483</v>
      </c>
    </row>
    <row r="1160" spans="1:27">
      <c r="A1160" s="376">
        <v>752</v>
      </c>
      <c r="B1160" s="377">
        <v>823000</v>
      </c>
      <c r="C1160" s="382" t="s">
        <v>7142</v>
      </c>
      <c r="D1160" s="379">
        <v>21</v>
      </c>
      <c r="E1160" s="380">
        <v>31</v>
      </c>
      <c r="F1160" s="380">
        <v>31</v>
      </c>
      <c r="H1160" s="351">
        <f t="shared" si="90"/>
        <v>21000</v>
      </c>
      <c r="I1160" s="351">
        <f t="shared" si="91"/>
        <v>31000</v>
      </c>
      <c r="M1160" s="321">
        <v>1712300753</v>
      </c>
      <c r="N1160" s="321">
        <v>71</v>
      </c>
      <c r="O1160" s="321" t="s">
        <v>5484</v>
      </c>
      <c r="P1160" s="321">
        <v>6712300</v>
      </c>
      <c r="Q1160" s="322">
        <v>485400</v>
      </c>
      <c r="R1160" s="322">
        <v>251400</v>
      </c>
      <c r="S1160" s="322">
        <v>750400</v>
      </c>
      <c r="T1160" s="322">
        <v>750400</v>
      </c>
      <c r="U1160" s="322">
        <f t="shared" si="92"/>
        <v>0</v>
      </c>
      <c r="W1160" s="321">
        <f t="shared" si="93"/>
        <v>753</v>
      </c>
      <c r="X1160" s="321">
        <f t="shared" si="94"/>
        <v>712300</v>
      </c>
      <c r="Y1160" s="321">
        <v>1</v>
      </c>
      <c r="AA1160" s="321" t="s">
        <v>5484</v>
      </c>
    </row>
    <row r="1161" spans="1:27">
      <c r="A1161" s="376">
        <v>780</v>
      </c>
      <c r="B1161" s="377">
        <v>823000</v>
      </c>
      <c r="C1161" s="391" t="s">
        <v>169</v>
      </c>
      <c r="D1161" s="379">
        <v>30</v>
      </c>
      <c r="E1161" s="380">
        <v>30</v>
      </c>
      <c r="F1161" s="380">
        <v>30</v>
      </c>
      <c r="H1161" s="351">
        <f t="shared" si="90"/>
        <v>30000</v>
      </c>
      <c r="I1161" s="351">
        <f t="shared" si="91"/>
        <v>30000</v>
      </c>
      <c r="M1161" s="321">
        <v>1712300754</v>
      </c>
      <c r="N1161" s="321">
        <v>71</v>
      </c>
      <c r="O1161" s="321" t="s">
        <v>5485</v>
      </c>
      <c r="P1161" s="321">
        <v>6712300</v>
      </c>
      <c r="Q1161" s="322">
        <v>9200000</v>
      </c>
      <c r="R1161" s="322">
        <v>6493100</v>
      </c>
      <c r="S1161" s="322">
        <v>9200000</v>
      </c>
      <c r="T1161" s="322">
        <v>9100000</v>
      </c>
      <c r="U1161" s="322">
        <f t="shared" si="92"/>
        <v>100000</v>
      </c>
      <c r="W1161" s="321">
        <f t="shared" si="93"/>
        <v>754</v>
      </c>
      <c r="X1161" s="321">
        <f t="shared" si="94"/>
        <v>712300</v>
      </c>
      <c r="Y1161" s="321">
        <v>1</v>
      </c>
      <c r="AA1161" s="321" t="s">
        <v>5485</v>
      </c>
    </row>
    <row r="1162" spans="1:27">
      <c r="A1162" s="376">
        <v>781</v>
      </c>
      <c r="B1162" s="377">
        <v>823000</v>
      </c>
      <c r="C1162" s="391" t="s">
        <v>7247</v>
      </c>
      <c r="D1162" s="379">
        <v>90</v>
      </c>
      <c r="E1162" s="380">
        <v>90</v>
      </c>
      <c r="F1162" s="380">
        <v>80</v>
      </c>
      <c r="H1162" s="351">
        <f t="shared" si="90"/>
        <v>90000</v>
      </c>
      <c r="I1162" s="351">
        <f t="shared" si="91"/>
        <v>80000</v>
      </c>
      <c r="M1162" s="321">
        <v>1712300757</v>
      </c>
      <c r="N1162" s="321">
        <v>71</v>
      </c>
      <c r="O1162" s="321" t="s">
        <v>5486</v>
      </c>
      <c r="P1162" s="321">
        <v>6712300</v>
      </c>
      <c r="Q1162" s="322">
        <v>0</v>
      </c>
      <c r="R1162" s="322">
        <v>2900</v>
      </c>
      <c r="S1162" s="322">
        <v>3000</v>
      </c>
      <c r="T1162" s="322">
        <v>3000</v>
      </c>
      <c r="U1162" s="322">
        <f t="shared" si="92"/>
        <v>0</v>
      </c>
      <c r="W1162" s="321">
        <f t="shared" si="93"/>
        <v>757</v>
      </c>
      <c r="X1162" s="321">
        <f t="shared" si="94"/>
        <v>712300</v>
      </c>
      <c r="Y1162" s="321">
        <v>1</v>
      </c>
      <c r="AA1162" s="321" t="s">
        <v>5486</v>
      </c>
    </row>
    <row r="1163" spans="1:27">
      <c r="A1163" s="376">
        <v>783</v>
      </c>
      <c r="B1163" s="377">
        <v>823000</v>
      </c>
      <c r="C1163" s="391" t="s">
        <v>7248</v>
      </c>
      <c r="D1163" s="379">
        <v>50</v>
      </c>
      <c r="E1163" s="380">
        <v>50</v>
      </c>
      <c r="F1163" s="380">
        <v>50</v>
      </c>
      <c r="H1163" s="351">
        <f t="shared" si="90"/>
        <v>50000</v>
      </c>
      <c r="I1163" s="351">
        <f t="shared" si="91"/>
        <v>50000</v>
      </c>
      <c r="M1163" s="321">
        <v>1712300758</v>
      </c>
      <c r="N1163" s="321">
        <v>71</v>
      </c>
      <c r="O1163" s="321" t="s">
        <v>5487</v>
      </c>
      <c r="P1163" s="321">
        <v>6712300</v>
      </c>
      <c r="Q1163" s="322">
        <v>0</v>
      </c>
      <c r="R1163" s="322">
        <v>0</v>
      </c>
      <c r="S1163" s="322">
        <v>0</v>
      </c>
      <c r="T1163" s="322">
        <v>0</v>
      </c>
      <c r="U1163" s="322">
        <f t="shared" si="92"/>
        <v>0</v>
      </c>
      <c r="W1163" s="321">
        <f t="shared" si="93"/>
        <v>758</v>
      </c>
      <c r="X1163" s="321">
        <f t="shared" si="94"/>
        <v>712300</v>
      </c>
      <c r="Y1163" s="321">
        <v>1</v>
      </c>
      <c r="AA1163" s="321" t="s">
        <v>5487</v>
      </c>
    </row>
    <row r="1164" spans="1:27">
      <c r="A1164" s="376">
        <v>100</v>
      </c>
      <c r="B1164" s="377">
        <v>823100</v>
      </c>
      <c r="C1164" s="391" t="s">
        <v>7249</v>
      </c>
      <c r="D1164" s="379">
        <v>78</v>
      </c>
      <c r="E1164" s="380">
        <v>76</v>
      </c>
      <c r="F1164" s="380">
        <v>57</v>
      </c>
      <c r="H1164" s="351">
        <f t="shared" si="90"/>
        <v>78000</v>
      </c>
      <c r="I1164" s="351">
        <f t="shared" si="91"/>
        <v>57000</v>
      </c>
      <c r="M1164" s="321">
        <v>1712300760</v>
      </c>
      <c r="N1164" s="321">
        <v>71</v>
      </c>
      <c r="O1164" s="321" t="s">
        <v>5488</v>
      </c>
      <c r="P1164" s="321">
        <v>6712300</v>
      </c>
      <c r="Q1164" s="322">
        <v>6100000</v>
      </c>
      <c r="R1164" s="322">
        <v>4354300</v>
      </c>
      <c r="S1164" s="322">
        <v>25966000</v>
      </c>
      <c r="T1164" s="322">
        <v>24966000</v>
      </c>
      <c r="U1164" s="322">
        <f t="shared" si="92"/>
        <v>1000000</v>
      </c>
      <c r="W1164" s="321">
        <f t="shared" si="93"/>
        <v>760</v>
      </c>
      <c r="X1164" s="321">
        <f t="shared" si="94"/>
        <v>712300</v>
      </c>
      <c r="Y1164" s="321">
        <v>1</v>
      </c>
      <c r="AA1164" s="321" t="s">
        <v>5488</v>
      </c>
    </row>
    <row r="1165" spans="1:27">
      <c r="A1165" s="376">
        <v>100</v>
      </c>
      <c r="B1165" s="377">
        <v>823200</v>
      </c>
      <c r="C1165" s="414" t="s">
        <v>7250</v>
      </c>
      <c r="D1165" s="379">
        <v>132</v>
      </c>
      <c r="E1165" s="380">
        <v>130</v>
      </c>
      <c r="F1165" s="380">
        <v>138</v>
      </c>
      <c r="H1165" s="351">
        <f t="shared" si="90"/>
        <v>132000</v>
      </c>
      <c r="I1165" s="351">
        <f t="shared" si="91"/>
        <v>138000</v>
      </c>
      <c r="M1165" s="321">
        <v>1712300761</v>
      </c>
      <c r="N1165" s="321">
        <v>71</v>
      </c>
      <c r="O1165" s="321" t="s">
        <v>5489</v>
      </c>
      <c r="P1165" s="321">
        <v>6712300</v>
      </c>
      <c r="Q1165" s="322">
        <v>10200000</v>
      </c>
      <c r="R1165" s="322">
        <v>6127600</v>
      </c>
      <c r="S1165" s="322">
        <v>10635000</v>
      </c>
      <c r="T1165" s="322">
        <v>10635000</v>
      </c>
      <c r="U1165" s="322">
        <f t="shared" si="92"/>
        <v>0</v>
      </c>
      <c r="W1165" s="321">
        <f t="shared" si="93"/>
        <v>761</v>
      </c>
      <c r="X1165" s="321">
        <f t="shared" si="94"/>
        <v>712300</v>
      </c>
      <c r="Y1165" s="321">
        <v>1</v>
      </c>
      <c r="AA1165" s="321" t="s">
        <v>5489</v>
      </c>
    </row>
    <row r="1166" spans="1:27">
      <c r="A1166" s="376">
        <v>870</v>
      </c>
      <c r="B1166" s="377">
        <v>823200</v>
      </c>
      <c r="C1166" s="397" t="s">
        <v>7251</v>
      </c>
      <c r="D1166" s="379">
        <v>159</v>
      </c>
      <c r="E1166" s="380">
        <v>167</v>
      </c>
      <c r="F1166" s="380">
        <v>167</v>
      </c>
      <c r="H1166" s="351">
        <f t="shared" si="90"/>
        <v>159000</v>
      </c>
      <c r="I1166" s="351">
        <f t="shared" si="91"/>
        <v>167000</v>
      </c>
      <c r="M1166" s="321">
        <v>1712300762</v>
      </c>
      <c r="N1166" s="321">
        <v>71</v>
      </c>
      <c r="O1166" s="321" t="s">
        <v>5490</v>
      </c>
      <c r="P1166" s="321">
        <v>6712300</v>
      </c>
      <c r="Q1166" s="322">
        <v>16000000</v>
      </c>
      <c r="R1166" s="322">
        <v>11187900</v>
      </c>
      <c r="S1166" s="322">
        <v>0</v>
      </c>
      <c r="T1166" s="322">
        <v>0</v>
      </c>
      <c r="U1166" s="322">
        <f t="shared" si="92"/>
        <v>0</v>
      </c>
      <c r="W1166" s="321">
        <f t="shared" si="93"/>
        <v>762</v>
      </c>
      <c r="X1166" s="321">
        <f t="shared" si="94"/>
        <v>712300</v>
      </c>
      <c r="Y1166" s="321">
        <v>1</v>
      </c>
      <c r="AA1166" s="321" t="s">
        <v>5490</v>
      </c>
    </row>
    <row r="1167" spans="1:27">
      <c r="A1167" s="376">
        <v>870</v>
      </c>
      <c r="B1167" s="377">
        <v>823300</v>
      </c>
      <c r="C1167" s="385" t="s">
        <v>7252</v>
      </c>
      <c r="D1167" s="379">
        <v>162</v>
      </c>
      <c r="E1167" s="380">
        <v>162</v>
      </c>
      <c r="F1167" s="380">
        <v>162</v>
      </c>
      <c r="H1167" s="351">
        <f t="shared" si="90"/>
        <v>162000</v>
      </c>
      <c r="I1167" s="351">
        <f t="shared" si="91"/>
        <v>162000</v>
      </c>
      <c r="M1167" s="321">
        <v>1712300779</v>
      </c>
      <c r="N1167" s="321">
        <v>71</v>
      </c>
      <c r="O1167" s="321" t="s">
        <v>5382</v>
      </c>
      <c r="P1167" s="321">
        <v>6712300</v>
      </c>
      <c r="Q1167" s="322">
        <v>3000</v>
      </c>
      <c r="R1167" s="322">
        <v>1500</v>
      </c>
      <c r="S1167" s="322">
        <v>3000</v>
      </c>
      <c r="T1167" s="322">
        <v>3000</v>
      </c>
      <c r="U1167" s="322">
        <f t="shared" si="92"/>
        <v>0</v>
      </c>
      <c r="W1167" s="321">
        <f t="shared" si="93"/>
        <v>779</v>
      </c>
      <c r="X1167" s="321">
        <f t="shared" si="94"/>
        <v>712300</v>
      </c>
      <c r="Y1167" s="321">
        <v>1</v>
      </c>
      <c r="AA1167" s="321" t="s">
        <v>5382</v>
      </c>
    </row>
    <row r="1168" spans="1:27">
      <c r="A1168" s="376">
        <v>100</v>
      </c>
      <c r="B1168" s="377">
        <v>823400</v>
      </c>
      <c r="C1168" s="382" t="s">
        <v>6732</v>
      </c>
      <c r="D1168" s="379">
        <v>134</v>
      </c>
      <c r="E1168" s="380">
        <v>132</v>
      </c>
      <c r="F1168" s="380">
        <v>150</v>
      </c>
      <c r="H1168" s="351">
        <f t="shared" si="90"/>
        <v>134000</v>
      </c>
      <c r="I1168" s="351">
        <f t="shared" si="91"/>
        <v>150000</v>
      </c>
      <c r="M1168" s="321">
        <v>1712300930</v>
      </c>
      <c r="N1168" s="321">
        <v>71</v>
      </c>
      <c r="O1168" s="321" t="s">
        <v>5390</v>
      </c>
      <c r="P1168" s="321">
        <v>6712300</v>
      </c>
      <c r="Q1168" s="322">
        <v>0</v>
      </c>
      <c r="R1168" s="322">
        <v>0</v>
      </c>
      <c r="S1168" s="322">
        <v>0</v>
      </c>
      <c r="T1168" s="322">
        <v>0</v>
      </c>
      <c r="U1168" s="322">
        <f t="shared" si="92"/>
        <v>0</v>
      </c>
      <c r="W1168" s="321">
        <f t="shared" si="93"/>
        <v>930</v>
      </c>
      <c r="X1168" s="321">
        <f t="shared" si="94"/>
        <v>712300</v>
      </c>
      <c r="Y1168" s="321">
        <v>1</v>
      </c>
      <c r="AA1168" s="321" t="s">
        <v>5390</v>
      </c>
    </row>
    <row r="1169" spans="1:27">
      <c r="A1169" s="376">
        <v>540</v>
      </c>
      <c r="B1169" s="377">
        <v>823400</v>
      </c>
      <c r="C1169" s="391" t="s">
        <v>6752</v>
      </c>
      <c r="D1169" s="379">
        <v>2</v>
      </c>
      <c r="E1169" s="380">
        <v>2</v>
      </c>
      <c r="F1169" s="380">
        <v>3</v>
      </c>
      <c r="H1169" s="351">
        <f t="shared" si="90"/>
        <v>2000</v>
      </c>
      <c r="I1169" s="351">
        <f t="shared" si="91"/>
        <v>3000</v>
      </c>
      <c r="M1169" s="321">
        <v>1712500420</v>
      </c>
      <c r="N1169" s="321">
        <v>71</v>
      </c>
      <c r="O1169" s="321" t="s">
        <v>5491</v>
      </c>
      <c r="P1169" s="321">
        <v>6712500</v>
      </c>
      <c r="Q1169" s="322">
        <v>17000</v>
      </c>
      <c r="R1169" s="322">
        <v>400</v>
      </c>
      <c r="S1169" s="322">
        <v>17000</v>
      </c>
      <c r="T1169" s="322">
        <v>17000</v>
      </c>
      <c r="U1169" s="322">
        <f t="shared" si="92"/>
        <v>0</v>
      </c>
      <c r="W1169" s="321">
        <f t="shared" si="93"/>
        <v>420</v>
      </c>
      <c r="X1169" s="321">
        <f t="shared" si="94"/>
        <v>712500</v>
      </c>
      <c r="Y1169" s="321">
        <v>1</v>
      </c>
      <c r="AA1169" s="321" t="s">
        <v>5491</v>
      </c>
    </row>
    <row r="1170" spans="1:27">
      <c r="A1170" s="376">
        <v>780</v>
      </c>
      <c r="B1170" s="377">
        <v>823400</v>
      </c>
      <c r="C1170" s="391" t="s">
        <v>7253</v>
      </c>
      <c r="D1170" s="379">
        <v>20</v>
      </c>
      <c r="E1170" s="380">
        <v>20</v>
      </c>
      <c r="F1170" s="380">
        <v>20</v>
      </c>
      <c r="H1170" s="351">
        <f t="shared" ref="H1170:H1233" si="95">D1170*1000</f>
        <v>20000</v>
      </c>
      <c r="I1170" s="351">
        <f t="shared" ref="I1170:I1233" si="96">F1170*1000</f>
        <v>20000</v>
      </c>
      <c r="M1170" s="321">
        <v>1712500720</v>
      </c>
      <c r="N1170" s="321">
        <v>71</v>
      </c>
      <c r="O1170" s="321" t="s">
        <v>5492</v>
      </c>
      <c r="P1170" s="321">
        <v>6712500</v>
      </c>
      <c r="Q1170" s="322">
        <v>53000</v>
      </c>
      <c r="R1170" s="322">
        <v>300</v>
      </c>
      <c r="S1170" s="322">
        <v>53000</v>
      </c>
      <c r="T1170" s="322">
        <v>53000</v>
      </c>
      <c r="U1170" s="322">
        <f t="shared" si="92"/>
        <v>0</v>
      </c>
      <c r="W1170" s="321">
        <f t="shared" si="93"/>
        <v>720</v>
      </c>
      <c r="X1170" s="321">
        <f t="shared" si="94"/>
        <v>712500</v>
      </c>
      <c r="Y1170" s="321">
        <v>1</v>
      </c>
      <c r="AA1170" s="321" t="s">
        <v>5492</v>
      </c>
    </row>
    <row r="1171" spans="1:27">
      <c r="A1171" s="376">
        <v>781</v>
      </c>
      <c r="B1171" s="377">
        <v>824100</v>
      </c>
      <c r="C1171" s="381" t="s">
        <v>7254</v>
      </c>
      <c r="D1171" s="379">
        <v>95</v>
      </c>
      <c r="E1171" s="380">
        <v>0</v>
      </c>
      <c r="F1171" s="380">
        <v>0</v>
      </c>
      <c r="H1171" s="351">
        <f t="shared" si="95"/>
        <v>95000</v>
      </c>
      <c r="I1171" s="351">
        <f t="shared" si="96"/>
        <v>0</v>
      </c>
      <c r="M1171" s="321">
        <v>1712500750</v>
      </c>
      <c r="N1171" s="321">
        <v>71</v>
      </c>
      <c r="O1171" s="321" t="s">
        <v>5493</v>
      </c>
      <c r="P1171" s="321">
        <v>6712500</v>
      </c>
      <c r="Q1171" s="322">
        <v>150000</v>
      </c>
      <c r="R1171" s="322">
        <v>59200</v>
      </c>
      <c r="S1171" s="322">
        <v>145000</v>
      </c>
      <c r="T1171" s="322">
        <v>145000</v>
      </c>
      <c r="U1171" s="322">
        <f t="shared" si="92"/>
        <v>0</v>
      </c>
      <c r="W1171" s="321">
        <f t="shared" si="93"/>
        <v>750</v>
      </c>
      <c r="X1171" s="321">
        <f t="shared" si="94"/>
        <v>712500</v>
      </c>
      <c r="Y1171" s="321">
        <v>1</v>
      </c>
      <c r="AA1171" s="321" t="s">
        <v>5493</v>
      </c>
    </row>
    <row r="1172" spans="1:27" ht="30">
      <c r="A1172" s="376">
        <v>782</v>
      </c>
      <c r="B1172" s="377">
        <v>824100</v>
      </c>
      <c r="C1172" s="386" t="s">
        <v>7255</v>
      </c>
      <c r="D1172" s="379">
        <v>114</v>
      </c>
      <c r="E1172" s="380">
        <v>0</v>
      </c>
      <c r="F1172" s="380">
        <v>0</v>
      </c>
      <c r="H1172" s="351">
        <f t="shared" si="95"/>
        <v>114000</v>
      </c>
      <c r="I1172" s="351">
        <f t="shared" si="96"/>
        <v>0</v>
      </c>
      <c r="M1172" s="321">
        <v>1712500771</v>
      </c>
      <c r="N1172" s="321">
        <v>71</v>
      </c>
      <c r="O1172" s="321" t="s">
        <v>3188</v>
      </c>
      <c r="P1172" s="321">
        <v>6712500</v>
      </c>
      <c r="Q1172" s="322">
        <v>8000</v>
      </c>
      <c r="R1172" s="322">
        <v>5400</v>
      </c>
      <c r="S1172" s="322">
        <v>8000</v>
      </c>
      <c r="T1172" s="322">
        <v>8000</v>
      </c>
      <c r="U1172" s="322">
        <f t="shared" si="92"/>
        <v>0</v>
      </c>
      <c r="W1172" s="321">
        <f t="shared" si="93"/>
        <v>771</v>
      </c>
      <c r="X1172" s="321">
        <f t="shared" si="94"/>
        <v>712500</v>
      </c>
      <c r="Y1172" s="321">
        <v>1</v>
      </c>
      <c r="AA1172" s="321" t="s">
        <v>3188</v>
      </c>
    </row>
    <row r="1173" spans="1:27" ht="30">
      <c r="A1173" s="376">
        <v>783</v>
      </c>
      <c r="B1173" s="377">
        <v>824100</v>
      </c>
      <c r="C1173" s="386" t="s">
        <v>7256</v>
      </c>
      <c r="D1173" s="379">
        <v>114</v>
      </c>
      <c r="E1173" s="380">
        <v>0</v>
      </c>
      <c r="F1173" s="380">
        <v>0</v>
      </c>
      <c r="H1173" s="351">
        <f t="shared" si="95"/>
        <v>114000</v>
      </c>
      <c r="I1173" s="351">
        <f t="shared" si="96"/>
        <v>0</v>
      </c>
      <c r="M1173" s="321">
        <v>1712500780</v>
      </c>
      <c r="N1173" s="321">
        <v>71</v>
      </c>
      <c r="O1173" s="321" t="s">
        <v>5494</v>
      </c>
      <c r="P1173" s="321">
        <v>6712500</v>
      </c>
      <c r="Q1173" s="322">
        <v>100000</v>
      </c>
      <c r="R1173" s="322">
        <v>72700</v>
      </c>
      <c r="S1173" s="322">
        <v>100000</v>
      </c>
      <c r="T1173" s="322">
        <v>100000</v>
      </c>
      <c r="U1173" s="322">
        <f t="shared" si="92"/>
        <v>0</v>
      </c>
      <c r="W1173" s="321">
        <f t="shared" si="93"/>
        <v>780</v>
      </c>
      <c r="X1173" s="321">
        <f t="shared" si="94"/>
        <v>712500</v>
      </c>
      <c r="Y1173" s="321">
        <v>1</v>
      </c>
      <c r="AA1173" s="321" t="s">
        <v>5494</v>
      </c>
    </row>
    <row r="1174" spans="1:27">
      <c r="A1174" s="376">
        <v>784</v>
      </c>
      <c r="B1174" s="377">
        <v>824100</v>
      </c>
      <c r="C1174" s="386" t="s">
        <v>7257</v>
      </c>
      <c r="D1174" s="379">
        <v>57</v>
      </c>
      <c r="E1174" s="380">
        <v>0</v>
      </c>
      <c r="F1174" s="380">
        <v>0</v>
      </c>
      <c r="H1174" s="351">
        <f t="shared" si="95"/>
        <v>57000</v>
      </c>
      <c r="I1174" s="351">
        <f t="shared" si="96"/>
        <v>0</v>
      </c>
      <c r="M1174" s="321">
        <v>1713300110</v>
      </c>
      <c r="N1174" s="321">
        <v>71</v>
      </c>
      <c r="O1174" s="321" t="s">
        <v>5205</v>
      </c>
      <c r="P1174" s="321">
        <v>6713300</v>
      </c>
      <c r="Q1174" s="322">
        <v>1476000</v>
      </c>
      <c r="R1174" s="322">
        <v>996700</v>
      </c>
      <c r="S1174" s="322">
        <v>1417000</v>
      </c>
      <c r="T1174" s="322">
        <v>1417000</v>
      </c>
      <c r="U1174" s="322">
        <f t="shared" si="92"/>
        <v>0</v>
      </c>
      <c r="W1174" s="321">
        <f t="shared" si="93"/>
        <v>110</v>
      </c>
      <c r="X1174" s="321">
        <f t="shared" si="94"/>
        <v>713300</v>
      </c>
      <c r="Y1174" s="321">
        <v>1</v>
      </c>
      <c r="AA1174" s="321" t="s">
        <v>5205</v>
      </c>
    </row>
    <row r="1175" spans="1:27">
      <c r="A1175" s="376">
        <v>870</v>
      </c>
      <c r="B1175" s="377">
        <v>824100</v>
      </c>
      <c r="C1175" s="381" t="s">
        <v>7258</v>
      </c>
      <c r="D1175" s="379">
        <v>1273</v>
      </c>
      <c r="E1175" s="380">
        <v>1340</v>
      </c>
      <c r="F1175" s="380">
        <v>1340</v>
      </c>
      <c r="H1175" s="351">
        <f t="shared" si="95"/>
        <v>1273000</v>
      </c>
      <c r="I1175" s="351">
        <f t="shared" si="96"/>
        <v>1340000</v>
      </c>
      <c r="M1175" s="321">
        <v>1713300120</v>
      </c>
      <c r="N1175" s="321">
        <v>71</v>
      </c>
      <c r="O1175" s="321" t="s">
        <v>5206</v>
      </c>
      <c r="P1175" s="321">
        <v>6713300</v>
      </c>
      <c r="Q1175" s="322">
        <v>264000</v>
      </c>
      <c r="R1175" s="322">
        <v>181700</v>
      </c>
      <c r="S1175" s="322">
        <v>210000</v>
      </c>
      <c r="T1175" s="322">
        <v>210000</v>
      </c>
      <c r="U1175" s="322">
        <f t="shared" si="92"/>
        <v>0</v>
      </c>
      <c r="W1175" s="321">
        <f t="shared" si="93"/>
        <v>120</v>
      </c>
      <c r="X1175" s="321">
        <f t="shared" si="94"/>
        <v>713300</v>
      </c>
      <c r="Y1175" s="321">
        <v>1</v>
      </c>
      <c r="AA1175" s="321" t="s">
        <v>5206</v>
      </c>
    </row>
    <row r="1176" spans="1:27">
      <c r="A1176" s="376">
        <v>871</v>
      </c>
      <c r="B1176" s="377">
        <v>824100</v>
      </c>
      <c r="C1176" s="381" t="s">
        <v>7259</v>
      </c>
      <c r="D1176" s="379">
        <v>0</v>
      </c>
      <c r="E1176" s="380">
        <v>100</v>
      </c>
      <c r="F1176" s="380">
        <v>100</v>
      </c>
      <c r="H1176" s="351">
        <f t="shared" si="95"/>
        <v>0</v>
      </c>
      <c r="I1176" s="351">
        <f t="shared" si="96"/>
        <v>100000</v>
      </c>
      <c r="M1176" s="321">
        <v>1713300130</v>
      </c>
      <c r="N1176" s="321">
        <v>71</v>
      </c>
      <c r="O1176" s="321" t="s">
        <v>2576</v>
      </c>
      <c r="P1176" s="321">
        <v>6713300</v>
      </c>
      <c r="Q1176" s="322">
        <v>231000</v>
      </c>
      <c r="R1176" s="322">
        <v>158800</v>
      </c>
      <c r="S1176" s="322">
        <v>213000</v>
      </c>
      <c r="T1176" s="322">
        <v>191700</v>
      </c>
      <c r="U1176" s="322">
        <f t="shared" si="92"/>
        <v>21300</v>
      </c>
      <c r="W1176" s="321">
        <f t="shared" si="93"/>
        <v>130</v>
      </c>
      <c r="X1176" s="321">
        <f t="shared" si="94"/>
        <v>713300</v>
      </c>
      <c r="Y1176" s="321">
        <v>1</v>
      </c>
      <c r="AA1176" s="321" t="s">
        <v>2576</v>
      </c>
    </row>
    <row r="1177" spans="1:27" ht="30">
      <c r="A1177" s="376">
        <v>872</v>
      </c>
      <c r="B1177" s="377">
        <v>824100</v>
      </c>
      <c r="C1177" s="386" t="s">
        <v>7260</v>
      </c>
      <c r="D1177" s="379">
        <v>0</v>
      </c>
      <c r="E1177" s="380">
        <v>120</v>
      </c>
      <c r="F1177" s="380">
        <v>120</v>
      </c>
      <c r="H1177" s="351">
        <f t="shared" si="95"/>
        <v>0</v>
      </c>
      <c r="I1177" s="351">
        <f t="shared" si="96"/>
        <v>120000</v>
      </c>
      <c r="M1177" s="321">
        <v>1713300140</v>
      </c>
      <c r="N1177" s="321">
        <v>71</v>
      </c>
      <c r="O1177" s="321" t="s">
        <v>5207</v>
      </c>
      <c r="P1177" s="321">
        <v>6713300</v>
      </c>
      <c r="Q1177" s="322">
        <v>363000</v>
      </c>
      <c r="R1177" s="322">
        <v>269100</v>
      </c>
      <c r="S1177" s="322">
        <v>364000</v>
      </c>
      <c r="T1177" s="322">
        <v>364000</v>
      </c>
      <c r="U1177" s="322">
        <f t="shared" si="92"/>
        <v>0</v>
      </c>
      <c r="W1177" s="321">
        <f t="shared" si="93"/>
        <v>140</v>
      </c>
      <c r="X1177" s="321">
        <f t="shared" si="94"/>
        <v>713300</v>
      </c>
      <c r="Y1177" s="321">
        <v>1</v>
      </c>
      <c r="AA1177" s="321" t="s">
        <v>5207</v>
      </c>
    </row>
    <row r="1178" spans="1:27" ht="30">
      <c r="A1178" s="376">
        <v>873</v>
      </c>
      <c r="B1178" s="377">
        <v>824100</v>
      </c>
      <c r="C1178" s="386" t="s">
        <v>7261</v>
      </c>
      <c r="D1178" s="379">
        <v>0</v>
      </c>
      <c r="E1178" s="380">
        <v>120</v>
      </c>
      <c r="F1178" s="380">
        <v>120</v>
      </c>
      <c r="H1178" s="351">
        <f t="shared" si="95"/>
        <v>0</v>
      </c>
      <c r="I1178" s="351">
        <f t="shared" si="96"/>
        <v>120000</v>
      </c>
      <c r="M1178" s="321">
        <v>1713300141</v>
      </c>
      <c r="N1178" s="321">
        <v>71</v>
      </c>
      <c r="O1178" s="321" t="s">
        <v>5208</v>
      </c>
      <c r="P1178" s="321">
        <v>6713300</v>
      </c>
      <c r="Q1178" s="322">
        <v>67000</v>
      </c>
      <c r="R1178" s="322">
        <v>52800</v>
      </c>
      <c r="S1178" s="322">
        <v>72000</v>
      </c>
      <c r="T1178" s="322">
        <v>72000</v>
      </c>
      <c r="U1178" s="322">
        <f t="shared" si="92"/>
        <v>0</v>
      </c>
      <c r="W1178" s="321">
        <f t="shared" si="93"/>
        <v>141</v>
      </c>
      <c r="X1178" s="321">
        <f t="shared" si="94"/>
        <v>713300</v>
      </c>
      <c r="Y1178" s="321">
        <v>1</v>
      </c>
      <c r="AA1178" s="321" t="s">
        <v>5208</v>
      </c>
    </row>
    <row r="1179" spans="1:27">
      <c r="A1179" s="376">
        <v>875</v>
      </c>
      <c r="B1179" s="377">
        <v>824100</v>
      </c>
      <c r="C1179" s="381" t="s">
        <v>7262</v>
      </c>
      <c r="D1179" s="379">
        <v>62</v>
      </c>
      <c r="E1179" s="380">
        <v>0</v>
      </c>
      <c r="F1179" s="380">
        <v>0</v>
      </c>
      <c r="H1179" s="351">
        <f t="shared" si="95"/>
        <v>62000</v>
      </c>
      <c r="I1179" s="351">
        <f t="shared" si="96"/>
        <v>0</v>
      </c>
      <c r="M1179" s="321">
        <v>1713300181</v>
      </c>
      <c r="N1179" s="321">
        <v>71</v>
      </c>
      <c r="O1179" s="321" t="s">
        <v>2580</v>
      </c>
      <c r="P1179" s="321">
        <v>6713300</v>
      </c>
      <c r="Q1179" s="322">
        <v>300000</v>
      </c>
      <c r="R1179" s="322">
        <v>225500</v>
      </c>
      <c r="S1179" s="322">
        <v>311000</v>
      </c>
      <c r="T1179" s="322">
        <v>311000</v>
      </c>
      <c r="U1179" s="322">
        <f t="shared" si="92"/>
        <v>0</v>
      </c>
      <c r="W1179" s="321">
        <f t="shared" si="93"/>
        <v>181</v>
      </c>
      <c r="X1179" s="321">
        <f t="shared" si="94"/>
        <v>713300</v>
      </c>
      <c r="Y1179" s="321">
        <v>1</v>
      </c>
      <c r="AA1179" s="321" t="s">
        <v>2580</v>
      </c>
    </row>
    <row r="1180" spans="1:27">
      <c r="A1180" s="376">
        <v>101</v>
      </c>
      <c r="B1180" s="377">
        <v>824200</v>
      </c>
      <c r="C1180" s="391" t="s">
        <v>7263</v>
      </c>
      <c r="D1180" s="379">
        <v>137</v>
      </c>
      <c r="E1180" s="380">
        <v>135</v>
      </c>
      <c r="F1180" s="380">
        <v>143</v>
      </c>
      <c r="H1180" s="351">
        <f t="shared" si="95"/>
        <v>137000</v>
      </c>
      <c r="I1180" s="351">
        <f t="shared" si="96"/>
        <v>143000</v>
      </c>
      <c r="M1180" s="321">
        <v>1713300182</v>
      </c>
      <c r="N1180" s="321">
        <v>71</v>
      </c>
      <c r="O1180" s="321" t="s">
        <v>2582</v>
      </c>
      <c r="P1180" s="321">
        <v>6713300</v>
      </c>
      <c r="Q1180" s="322">
        <v>329000</v>
      </c>
      <c r="R1180" s="322">
        <v>228600</v>
      </c>
      <c r="S1180" s="322">
        <v>324000</v>
      </c>
      <c r="T1180" s="322">
        <v>324000</v>
      </c>
      <c r="U1180" s="322">
        <f t="shared" si="92"/>
        <v>0</v>
      </c>
      <c r="W1180" s="321">
        <f t="shared" si="93"/>
        <v>182</v>
      </c>
      <c r="X1180" s="321">
        <f t="shared" si="94"/>
        <v>713300</v>
      </c>
      <c r="Y1180" s="321">
        <v>1</v>
      </c>
      <c r="AA1180" s="321" t="s">
        <v>2582</v>
      </c>
    </row>
    <row r="1181" spans="1:27">
      <c r="A1181" s="376">
        <v>780</v>
      </c>
      <c r="B1181" s="377">
        <v>824200</v>
      </c>
      <c r="C1181" s="381" t="s">
        <v>7264</v>
      </c>
      <c r="D1181" s="379">
        <v>80</v>
      </c>
      <c r="E1181" s="380">
        <v>0</v>
      </c>
      <c r="F1181" s="380">
        <v>0</v>
      </c>
      <c r="H1181" s="351">
        <f t="shared" si="95"/>
        <v>80000</v>
      </c>
      <c r="I1181" s="351">
        <f t="shared" si="96"/>
        <v>0</v>
      </c>
      <c r="M1181" s="321">
        <v>1713300470</v>
      </c>
      <c r="N1181" s="321">
        <v>71</v>
      </c>
      <c r="O1181" s="321" t="s">
        <v>2830</v>
      </c>
      <c r="P1181" s="321">
        <v>6713300</v>
      </c>
      <c r="Q1181" s="322">
        <v>8000</v>
      </c>
      <c r="R1181" s="322">
        <v>6700</v>
      </c>
      <c r="S1181" s="322">
        <v>8000</v>
      </c>
      <c r="T1181" s="322">
        <v>8000</v>
      </c>
      <c r="U1181" s="322">
        <f t="shared" si="92"/>
        <v>0</v>
      </c>
      <c r="W1181" s="321">
        <f t="shared" si="93"/>
        <v>470</v>
      </c>
      <c r="X1181" s="321">
        <f t="shared" si="94"/>
        <v>713300</v>
      </c>
      <c r="Y1181" s="321">
        <v>1</v>
      </c>
      <c r="AA1181" s="321" t="s">
        <v>2830</v>
      </c>
    </row>
    <row r="1182" spans="1:27">
      <c r="A1182" s="376">
        <v>870</v>
      </c>
      <c r="B1182" s="377">
        <v>824200</v>
      </c>
      <c r="C1182" s="381" t="s">
        <v>7258</v>
      </c>
      <c r="D1182" s="379">
        <v>1022</v>
      </c>
      <c r="E1182" s="380">
        <v>1076</v>
      </c>
      <c r="F1182" s="380">
        <v>1076</v>
      </c>
      <c r="H1182" s="351">
        <f t="shared" si="95"/>
        <v>1022000</v>
      </c>
      <c r="I1182" s="351">
        <f t="shared" si="96"/>
        <v>1076000</v>
      </c>
      <c r="M1182" s="321">
        <v>1713300471</v>
      </c>
      <c r="N1182" s="321">
        <v>71</v>
      </c>
      <c r="O1182" s="321" t="s">
        <v>5495</v>
      </c>
      <c r="P1182" s="321">
        <v>6713300</v>
      </c>
      <c r="Q1182" s="322">
        <v>3500</v>
      </c>
      <c r="R1182" s="322">
        <v>3500</v>
      </c>
      <c r="S1182" s="322">
        <v>3700</v>
      </c>
      <c r="T1182" s="322">
        <v>3700</v>
      </c>
      <c r="U1182" s="322">
        <f t="shared" si="92"/>
        <v>0</v>
      </c>
      <c r="W1182" s="321">
        <f t="shared" si="93"/>
        <v>471</v>
      </c>
      <c r="X1182" s="321">
        <f t="shared" si="94"/>
        <v>713300</v>
      </c>
      <c r="Y1182" s="321">
        <v>1</v>
      </c>
      <c r="AA1182" s="321" t="s">
        <v>5495</v>
      </c>
    </row>
    <row r="1183" spans="1:27">
      <c r="A1183" s="376">
        <v>870</v>
      </c>
      <c r="B1183" s="377">
        <v>824300</v>
      </c>
      <c r="C1183" s="387" t="s">
        <v>7265</v>
      </c>
      <c r="D1183" s="379">
        <v>1283</v>
      </c>
      <c r="E1183" s="380">
        <v>1320</v>
      </c>
      <c r="F1183" s="380">
        <v>1320</v>
      </c>
      <c r="H1183" s="351">
        <f t="shared" si="95"/>
        <v>1283000</v>
      </c>
      <c r="I1183" s="351">
        <f t="shared" si="96"/>
        <v>1320000</v>
      </c>
      <c r="M1183" s="321">
        <v>1713300521</v>
      </c>
      <c r="N1183" s="321">
        <v>71</v>
      </c>
      <c r="O1183" s="321" t="s">
        <v>5496</v>
      </c>
      <c r="P1183" s="321">
        <v>6713300</v>
      </c>
      <c r="Q1183" s="322">
        <v>7000</v>
      </c>
      <c r="R1183" s="322">
        <v>3500</v>
      </c>
      <c r="S1183" s="322">
        <v>7000</v>
      </c>
      <c r="T1183" s="322">
        <v>7000</v>
      </c>
      <c r="U1183" s="322">
        <f t="shared" si="92"/>
        <v>0</v>
      </c>
      <c r="W1183" s="321">
        <f t="shared" si="93"/>
        <v>521</v>
      </c>
      <c r="X1183" s="321">
        <f t="shared" si="94"/>
        <v>713300</v>
      </c>
      <c r="Y1183" s="321">
        <v>1</v>
      </c>
      <c r="AA1183" s="321" t="s">
        <v>5496</v>
      </c>
    </row>
    <row r="1184" spans="1:27">
      <c r="A1184" s="376">
        <v>101</v>
      </c>
      <c r="B1184" s="377">
        <v>824510</v>
      </c>
      <c r="C1184" s="391" t="s">
        <v>7266</v>
      </c>
      <c r="D1184" s="379">
        <v>184</v>
      </c>
      <c r="E1184" s="380">
        <v>184</v>
      </c>
      <c r="F1184" s="380">
        <v>180</v>
      </c>
      <c r="H1184" s="351">
        <f t="shared" si="95"/>
        <v>184000</v>
      </c>
      <c r="I1184" s="351">
        <f t="shared" si="96"/>
        <v>180000</v>
      </c>
      <c r="M1184" s="321">
        <v>1713300530</v>
      </c>
      <c r="N1184" s="321">
        <v>71</v>
      </c>
      <c r="O1184" s="321" t="s">
        <v>5497</v>
      </c>
      <c r="P1184" s="321">
        <v>6713300</v>
      </c>
      <c r="Q1184" s="322">
        <v>35000</v>
      </c>
      <c r="R1184" s="322">
        <v>13600</v>
      </c>
      <c r="S1184" s="322">
        <v>35000</v>
      </c>
      <c r="T1184" s="322">
        <v>35000</v>
      </c>
      <c r="U1184" s="322">
        <f t="shared" si="92"/>
        <v>0</v>
      </c>
      <c r="W1184" s="321">
        <f t="shared" si="93"/>
        <v>530</v>
      </c>
      <c r="X1184" s="321">
        <f t="shared" si="94"/>
        <v>713300</v>
      </c>
      <c r="Y1184" s="321">
        <v>1</v>
      </c>
      <c r="AA1184" s="321" t="s">
        <v>5497</v>
      </c>
    </row>
    <row r="1185" spans="1:27">
      <c r="A1185" s="376">
        <v>870</v>
      </c>
      <c r="B1185" s="377">
        <v>824510</v>
      </c>
      <c r="C1185" s="386" t="s">
        <v>7267</v>
      </c>
      <c r="D1185" s="379">
        <v>779</v>
      </c>
      <c r="E1185" s="380">
        <v>812</v>
      </c>
      <c r="F1185" s="380">
        <v>812</v>
      </c>
      <c r="H1185" s="351">
        <f t="shared" si="95"/>
        <v>779000</v>
      </c>
      <c r="I1185" s="351">
        <f t="shared" si="96"/>
        <v>812000</v>
      </c>
      <c r="M1185" s="321">
        <v>1713300540</v>
      </c>
      <c r="N1185" s="321">
        <v>71</v>
      </c>
      <c r="O1185" s="321" t="s">
        <v>5216</v>
      </c>
      <c r="P1185" s="321">
        <v>6713300</v>
      </c>
      <c r="Q1185" s="322">
        <v>4500</v>
      </c>
      <c r="R1185" s="322">
        <v>3400</v>
      </c>
      <c r="S1185" s="322">
        <v>6000</v>
      </c>
      <c r="T1185" s="322">
        <v>6000</v>
      </c>
      <c r="U1185" s="322">
        <f t="shared" si="92"/>
        <v>0</v>
      </c>
      <c r="W1185" s="321">
        <f t="shared" si="93"/>
        <v>540</v>
      </c>
      <c r="X1185" s="321">
        <f t="shared" si="94"/>
        <v>713300</v>
      </c>
      <c r="Y1185" s="321">
        <v>1</v>
      </c>
      <c r="AA1185" s="321" t="s">
        <v>5216</v>
      </c>
    </row>
    <row r="1186" spans="1:27">
      <c r="A1186" s="376">
        <v>871</v>
      </c>
      <c r="B1186" s="377">
        <v>824510</v>
      </c>
      <c r="C1186" s="386" t="s">
        <v>7268</v>
      </c>
      <c r="D1186" s="379">
        <v>88</v>
      </c>
      <c r="E1186" s="380">
        <v>0</v>
      </c>
      <c r="F1186" s="380">
        <v>0</v>
      </c>
      <c r="H1186" s="351">
        <f t="shared" si="95"/>
        <v>88000</v>
      </c>
      <c r="I1186" s="351">
        <f t="shared" si="96"/>
        <v>0</v>
      </c>
      <c r="M1186" s="321">
        <v>1713300541</v>
      </c>
      <c r="N1186" s="321">
        <v>71</v>
      </c>
      <c r="O1186" s="321" t="s">
        <v>5498</v>
      </c>
      <c r="P1186" s="321">
        <v>6713300</v>
      </c>
      <c r="Q1186" s="322">
        <v>0</v>
      </c>
      <c r="R1186" s="322">
        <v>0</v>
      </c>
      <c r="S1186" s="322">
        <v>0</v>
      </c>
      <c r="T1186" s="322">
        <v>0</v>
      </c>
      <c r="U1186" s="322">
        <f t="shared" si="92"/>
        <v>0</v>
      </c>
      <c r="W1186" s="321">
        <f t="shared" si="93"/>
        <v>541</v>
      </c>
      <c r="X1186" s="321">
        <f t="shared" si="94"/>
        <v>713300</v>
      </c>
      <c r="Y1186" s="321">
        <v>1</v>
      </c>
      <c r="AA1186" s="321" t="s">
        <v>5498</v>
      </c>
    </row>
    <row r="1187" spans="1:27">
      <c r="A1187" s="376">
        <v>102</v>
      </c>
      <c r="B1187" s="377">
        <v>824530</v>
      </c>
      <c r="C1187" s="391" t="s">
        <v>7269</v>
      </c>
      <c r="D1187" s="379">
        <v>112</v>
      </c>
      <c r="E1187" s="380">
        <v>110</v>
      </c>
      <c r="F1187" s="380">
        <v>110</v>
      </c>
      <c r="H1187" s="351">
        <f t="shared" si="95"/>
        <v>112000</v>
      </c>
      <c r="I1187" s="351">
        <f t="shared" si="96"/>
        <v>110000</v>
      </c>
      <c r="M1187" s="321">
        <v>1713300542</v>
      </c>
      <c r="N1187" s="321">
        <v>71</v>
      </c>
      <c r="O1187" s="321" t="s">
        <v>5362</v>
      </c>
      <c r="P1187" s="321">
        <v>6713300</v>
      </c>
      <c r="Q1187" s="322">
        <v>16600</v>
      </c>
      <c r="R1187" s="322">
        <v>10500</v>
      </c>
      <c r="S1187" s="322">
        <v>20000</v>
      </c>
      <c r="T1187" s="322">
        <v>20000</v>
      </c>
      <c r="U1187" s="322">
        <f t="shared" si="92"/>
        <v>0</v>
      </c>
      <c r="W1187" s="321">
        <f t="shared" si="93"/>
        <v>542</v>
      </c>
      <c r="X1187" s="321">
        <f t="shared" si="94"/>
        <v>713300</v>
      </c>
      <c r="Y1187" s="321">
        <v>1</v>
      </c>
      <c r="AA1187" s="321" t="s">
        <v>5362</v>
      </c>
    </row>
    <row r="1188" spans="1:27">
      <c r="A1188" s="376">
        <v>103</v>
      </c>
      <c r="B1188" s="377">
        <v>824530</v>
      </c>
      <c r="C1188" s="391" t="s">
        <v>7270</v>
      </c>
      <c r="D1188" s="379">
        <v>60</v>
      </c>
      <c r="E1188" s="380">
        <v>59</v>
      </c>
      <c r="F1188" s="380">
        <v>59</v>
      </c>
      <c r="H1188" s="351">
        <f t="shared" si="95"/>
        <v>60000</v>
      </c>
      <c r="I1188" s="351">
        <f t="shared" si="96"/>
        <v>59000</v>
      </c>
      <c r="M1188" s="321">
        <v>1713300551</v>
      </c>
      <c r="N1188" s="321">
        <v>71</v>
      </c>
      <c r="O1188" s="321" t="s">
        <v>5499</v>
      </c>
      <c r="P1188" s="321">
        <v>6713300</v>
      </c>
      <c r="Q1188" s="322">
        <v>0</v>
      </c>
      <c r="R1188" s="322">
        <v>0</v>
      </c>
      <c r="S1188" s="322">
        <v>0</v>
      </c>
      <c r="T1188" s="322">
        <v>0</v>
      </c>
      <c r="U1188" s="322">
        <f t="shared" si="92"/>
        <v>0</v>
      </c>
      <c r="W1188" s="321">
        <f t="shared" si="93"/>
        <v>551</v>
      </c>
      <c r="X1188" s="321">
        <f t="shared" si="94"/>
        <v>713300</v>
      </c>
      <c r="Y1188" s="321">
        <v>1</v>
      </c>
      <c r="AA1188" s="321" t="s">
        <v>5499</v>
      </c>
    </row>
    <row r="1189" spans="1:27">
      <c r="A1189" s="376">
        <v>780</v>
      </c>
      <c r="B1189" s="377">
        <v>824530</v>
      </c>
      <c r="C1189" s="391" t="s">
        <v>7271</v>
      </c>
      <c r="D1189" s="379">
        <v>35</v>
      </c>
      <c r="E1189" s="380">
        <v>0</v>
      </c>
      <c r="F1189" s="380">
        <v>0</v>
      </c>
      <c r="H1189" s="351">
        <f t="shared" si="95"/>
        <v>35000</v>
      </c>
      <c r="I1189" s="351">
        <f t="shared" si="96"/>
        <v>0</v>
      </c>
      <c r="M1189" s="321">
        <v>1713300572</v>
      </c>
      <c r="N1189" s="321">
        <v>71</v>
      </c>
      <c r="O1189" s="321" t="s">
        <v>5500</v>
      </c>
      <c r="P1189" s="321">
        <v>6713300</v>
      </c>
      <c r="Q1189" s="322">
        <v>45000</v>
      </c>
      <c r="R1189" s="322">
        <v>10900</v>
      </c>
      <c r="S1189" s="322">
        <v>70000</v>
      </c>
      <c r="T1189" s="322">
        <v>70000</v>
      </c>
      <c r="U1189" s="322">
        <f t="shared" si="92"/>
        <v>0</v>
      </c>
      <c r="W1189" s="321">
        <f t="shared" si="93"/>
        <v>572</v>
      </c>
      <c r="X1189" s="321">
        <f t="shared" si="94"/>
        <v>713300</v>
      </c>
      <c r="Y1189" s="321">
        <v>1</v>
      </c>
      <c r="AA1189" s="321" t="s">
        <v>5500</v>
      </c>
    </row>
    <row r="1190" spans="1:27">
      <c r="A1190" s="376">
        <v>870</v>
      </c>
      <c r="B1190" s="377">
        <v>824530</v>
      </c>
      <c r="C1190" s="382" t="s">
        <v>7272</v>
      </c>
      <c r="D1190" s="379">
        <v>475</v>
      </c>
      <c r="E1190" s="380">
        <v>475</v>
      </c>
      <c r="F1190" s="380">
        <v>475</v>
      </c>
      <c r="H1190" s="351">
        <f t="shared" si="95"/>
        <v>475000</v>
      </c>
      <c r="I1190" s="351">
        <f t="shared" si="96"/>
        <v>475000</v>
      </c>
      <c r="M1190" s="321">
        <v>1713300720</v>
      </c>
      <c r="N1190" s="321">
        <v>71</v>
      </c>
      <c r="O1190" s="321" t="s">
        <v>2705</v>
      </c>
      <c r="P1190" s="321">
        <v>6713300</v>
      </c>
      <c r="Q1190" s="322">
        <v>1000</v>
      </c>
      <c r="R1190" s="322">
        <v>700</v>
      </c>
      <c r="S1190" s="322">
        <v>1000</v>
      </c>
      <c r="T1190" s="322">
        <v>1000</v>
      </c>
      <c r="U1190" s="322">
        <f t="shared" si="92"/>
        <v>0</v>
      </c>
      <c r="W1190" s="321">
        <f t="shared" si="93"/>
        <v>720</v>
      </c>
      <c r="X1190" s="321">
        <f t="shared" si="94"/>
        <v>713300</v>
      </c>
      <c r="Y1190" s="321">
        <v>1</v>
      </c>
      <c r="AA1190" s="321" t="s">
        <v>2705</v>
      </c>
    </row>
    <row r="1191" spans="1:27">
      <c r="A1191" s="376">
        <v>100</v>
      </c>
      <c r="B1191" s="377">
        <v>824570</v>
      </c>
      <c r="C1191" s="382" t="s">
        <v>7273</v>
      </c>
      <c r="D1191" s="379">
        <v>132</v>
      </c>
      <c r="E1191" s="380">
        <v>130</v>
      </c>
      <c r="F1191" s="380">
        <v>155</v>
      </c>
      <c r="H1191" s="351">
        <f t="shared" si="95"/>
        <v>132000</v>
      </c>
      <c r="I1191" s="351">
        <f t="shared" si="96"/>
        <v>155000</v>
      </c>
      <c r="M1191" s="321">
        <v>1713300742</v>
      </c>
      <c r="N1191" s="321">
        <v>71</v>
      </c>
      <c r="O1191" s="321" t="s">
        <v>2668</v>
      </c>
      <c r="P1191" s="321">
        <v>6713300</v>
      </c>
      <c r="Q1191" s="322">
        <v>2000</v>
      </c>
      <c r="R1191" s="322">
        <v>0</v>
      </c>
      <c r="S1191" s="322">
        <v>2000</v>
      </c>
      <c r="T1191" s="322">
        <v>2000</v>
      </c>
      <c r="U1191" s="322">
        <f t="shared" si="92"/>
        <v>0</v>
      </c>
      <c r="W1191" s="321">
        <f t="shared" si="93"/>
        <v>742</v>
      </c>
      <c r="X1191" s="321">
        <f t="shared" si="94"/>
        <v>713300</v>
      </c>
      <c r="Y1191" s="321">
        <v>1</v>
      </c>
      <c r="AA1191" s="321" t="s">
        <v>2668</v>
      </c>
    </row>
    <row r="1192" spans="1:27">
      <c r="A1192" s="376">
        <v>870</v>
      </c>
      <c r="B1192" s="377">
        <v>824570</v>
      </c>
      <c r="C1192" s="397" t="s">
        <v>7274</v>
      </c>
      <c r="D1192" s="379">
        <v>591</v>
      </c>
      <c r="E1192" s="380">
        <v>597</v>
      </c>
      <c r="F1192" s="380">
        <v>597</v>
      </c>
      <c r="H1192" s="351">
        <f t="shared" si="95"/>
        <v>591000</v>
      </c>
      <c r="I1192" s="351">
        <f t="shared" si="96"/>
        <v>597000</v>
      </c>
      <c r="M1192" s="321">
        <v>1713300743</v>
      </c>
      <c r="N1192" s="321">
        <v>71</v>
      </c>
      <c r="O1192" s="321" t="s">
        <v>2622</v>
      </c>
      <c r="P1192" s="321">
        <v>6713300</v>
      </c>
      <c r="Q1192" s="322">
        <v>3000</v>
      </c>
      <c r="R1192" s="322">
        <v>1200</v>
      </c>
      <c r="S1192" s="322">
        <v>3000</v>
      </c>
      <c r="T1192" s="322">
        <v>3000</v>
      </c>
      <c r="U1192" s="322">
        <f t="shared" si="92"/>
        <v>0</v>
      </c>
      <c r="W1192" s="321">
        <f t="shared" si="93"/>
        <v>743</v>
      </c>
      <c r="X1192" s="321">
        <f t="shared" si="94"/>
        <v>713300</v>
      </c>
      <c r="Y1192" s="321">
        <v>1</v>
      </c>
      <c r="AA1192" s="321" t="s">
        <v>2622</v>
      </c>
    </row>
    <row r="1193" spans="1:27">
      <c r="A1193" s="376">
        <v>780</v>
      </c>
      <c r="B1193" s="377">
        <v>824580</v>
      </c>
      <c r="C1193" s="391" t="s">
        <v>7275</v>
      </c>
      <c r="D1193" s="379">
        <v>60</v>
      </c>
      <c r="E1193" s="380">
        <v>60</v>
      </c>
      <c r="F1193" s="380">
        <v>60</v>
      </c>
      <c r="H1193" s="351">
        <f t="shared" si="95"/>
        <v>60000</v>
      </c>
      <c r="I1193" s="351">
        <f t="shared" si="96"/>
        <v>60000</v>
      </c>
      <c r="M1193" s="321">
        <v>1713300750</v>
      </c>
      <c r="N1193" s="321">
        <v>71</v>
      </c>
      <c r="O1193" s="321" t="s">
        <v>5501</v>
      </c>
      <c r="P1193" s="321">
        <v>6713300</v>
      </c>
      <c r="Q1193" s="322">
        <v>46000</v>
      </c>
      <c r="R1193" s="322">
        <v>0</v>
      </c>
      <c r="S1193" s="322">
        <v>46000</v>
      </c>
      <c r="T1193" s="322">
        <v>46000</v>
      </c>
      <c r="U1193" s="322">
        <f t="shared" si="92"/>
        <v>0</v>
      </c>
      <c r="W1193" s="321">
        <f t="shared" si="93"/>
        <v>750</v>
      </c>
      <c r="X1193" s="321">
        <f t="shared" si="94"/>
        <v>713300</v>
      </c>
      <c r="Y1193" s="321">
        <v>1</v>
      </c>
      <c r="AA1193" s="321" t="s">
        <v>5501</v>
      </c>
    </row>
    <row r="1194" spans="1:27">
      <c r="A1194" s="376">
        <v>432</v>
      </c>
      <c r="B1194" s="377">
        <v>825100</v>
      </c>
      <c r="C1194" s="391" t="s">
        <v>6887</v>
      </c>
      <c r="D1194" s="379">
        <v>16</v>
      </c>
      <c r="E1194" s="380">
        <v>16</v>
      </c>
      <c r="F1194" s="380">
        <v>16</v>
      </c>
      <c r="H1194" s="351">
        <f t="shared" si="95"/>
        <v>16000</v>
      </c>
      <c r="I1194" s="351">
        <f t="shared" si="96"/>
        <v>16000</v>
      </c>
      <c r="M1194" s="321">
        <v>1713300752</v>
      </c>
      <c r="N1194" s="321">
        <v>71</v>
      </c>
      <c r="O1194" s="321" t="s">
        <v>5502</v>
      </c>
      <c r="P1194" s="321">
        <v>6713300</v>
      </c>
      <c r="Q1194" s="322">
        <v>50000</v>
      </c>
      <c r="R1194" s="322">
        <v>19100</v>
      </c>
      <c r="S1194" s="322">
        <v>50000</v>
      </c>
      <c r="T1194" s="322">
        <v>50000</v>
      </c>
      <c r="U1194" s="322">
        <f t="shared" si="92"/>
        <v>0</v>
      </c>
      <c r="W1194" s="321">
        <f t="shared" si="93"/>
        <v>752</v>
      </c>
      <c r="X1194" s="321">
        <f t="shared" si="94"/>
        <v>713300</v>
      </c>
      <c r="Y1194" s="321">
        <v>1</v>
      </c>
      <c r="AA1194" s="321" t="s">
        <v>5502</v>
      </c>
    </row>
    <row r="1195" spans="1:27">
      <c r="A1195" s="376">
        <v>550</v>
      </c>
      <c r="B1195" s="377">
        <v>825100</v>
      </c>
      <c r="C1195" s="382" t="s">
        <v>6737</v>
      </c>
      <c r="D1195" s="379">
        <v>22</v>
      </c>
      <c r="E1195" s="380">
        <v>22</v>
      </c>
      <c r="F1195" s="380">
        <v>22</v>
      </c>
      <c r="H1195" s="351">
        <f t="shared" si="95"/>
        <v>22000</v>
      </c>
      <c r="I1195" s="351">
        <f t="shared" si="96"/>
        <v>22000</v>
      </c>
      <c r="M1195" s="321">
        <v>1713300760</v>
      </c>
      <c r="N1195" s="321">
        <v>71</v>
      </c>
      <c r="O1195" s="321" t="s">
        <v>5503</v>
      </c>
      <c r="P1195" s="321">
        <v>6713300</v>
      </c>
      <c r="Q1195" s="322">
        <v>0</v>
      </c>
      <c r="R1195" s="322">
        <v>0</v>
      </c>
      <c r="S1195" s="322">
        <v>0</v>
      </c>
      <c r="T1195" s="322">
        <v>0</v>
      </c>
      <c r="U1195" s="322">
        <f t="shared" si="92"/>
        <v>0</v>
      </c>
      <c r="W1195" s="321">
        <f t="shared" si="93"/>
        <v>760</v>
      </c>
      <c r="X1195" s="321">
        <f t="shared" si="94"/>
        <v>713300</v>
      </c>
      <c r="Y1195" s="321">
        <v>1</v>
      </c>
      <c r="AA1195" s="321" t="s">
        <v>5503</v>
      </c>
    </row>
    <row r="1196" spans="1:27">
      <c r="A1196" s="376">
        <v>750</v>
      </c>
      <c r="B1196" s="377">
        <v>825100</v>
      </c>
      <c r="C1196" s="382" t="s">
        <v>7276</v>
      </c>
      <c r="D1196" s="379">
        <v>18</v>
      </c>
      <c r="E1196" s="380">
        <v>18</v>
      </c>
      <c r="F1196" s="380">
        <v>18</v>
      </c>
      <c r="H1196" s="351">
        <f t="shared" si="95"/>
        <v>18000</v>
      </c>
      <c r="I1196" s="351">
        <f t="shared" si="96"/>
        <v>18000</v>
      </c>
      <c r="M1196" s="321">
        <v>1713300776</v>
      </c>
      <c r="N1196" s="321">
        <v>71</v>
      </c>
      <c r="O1196" s="321" t="s">
        <v>5504</v>
      </c>
      <c r="P1196" s="321">
        <v>6713300</v>
      </c>
      <c r="Q1196" s="322">
        <v>3000</v>
      </c>
      <c r="R1196" s="322">
        <v>0</v>
      </c>
      <c r="S1196" s="322">
        <v>2000</v>
      </c>
      <c r="T1196" s="322">
        <v>2000</v>
      </c>
      <c r="U1196" s="322">
        <f t="shared" si="92"/>
        <v>0</v>
      </c>
      <c r="W1196" s="321">
        <f t="shared" si="93"/>
        <v>776</v>
      </c>
      <c r="X1196" s="321">
        <f t="shared" si="94"/>
        <v>713300</v>
      </c>
      <c r="Y1196" s="321">
        <v>1</v>
      </c>
      <c r="AA1196" s="321" t="s">
        <v>5504</v>
      </c>
    </row>
    <row r="1197" spans="1:27">
      <c r="A1197" s="376">
        <v>850</v>
      </c>
      <c r="B1197" s="377">
        <v>825100</v>
      </c>
      <c r="C1197" s="382" t="s">
        <v>7277</v>
      </c>
      <c r="D1197" s="379">
        <v>20</v>
      </c>
      <c r="E1197" s="380">
        <v>20</v>
      </c>
      <c r="F1197" s="380">
        <v>20</v>
      </c>
      <c r="H1197" s="351">
        <f t="shared" si="95"/>
        <v>20000</v>
      </c>
      <c r="I1197" s="351">
        <f t="shared" si="96"/>
        <v>20000</v>
      </c>
      <c r="M1197" s="321">
        <v>1713300777</v>
      </c>
      <c r="N1197" s="321">
        <v>71</v>
      </c>
      <c r="O1197" s="321" t="s">
        <v>5505</v>
      </c>
      <c r="P1197" s="321">
        <v>6713300</v>
      </c>
      <c r="Q1197" s="322">
        <v>3000</v>
      </c>
      <c r="R1197" s="322">
        <v>100</v>
      </c>
      <c r="S1197" s="322">
        <v>2000</v>
      </c>
      <c r="T1197" s="322">
        <v>2000</v>
      </c>
      <c r="U1197" s="322">
        <f t="shared" si="92"/>
        <v>0</v>
      </c>
      <c r="W1197" s="321">
        <f t="shared" si="93"/>
        <v>777</v>
      </c>
      <c r="X1197" s="321">
        <f t="shared" si="94"/>
        <v>713300</v>
      </c>
      <c r="Y1197" s="321">
        <v>1</v>
      </c>
      <c r="AA1197" s="321" t="s">
        <v>5505</v>
      </c>
    </row>
    <row r="1198" spans="1:27">
      <c r="A1198" s="376">
        <v>860</v>
      </c>
      <c r="B1198" s="377">
        <v>825100</v>
      </c>
      <c r="C1198" s="386" t="s">
        <v>7278</v>
      </c>
      <c r="D1198" s="379">
        <v>200</v>
      </c>
      <c r="E1198" s="380">
        <v>200</v>
      </c>
      <c r="F1198" s="380">
        <v>200</v>
      </c>
      <c r="H1198" s="351">
        <f t="shared" si="95"/>
        <v>200000</v>
      </c>
      <c r="I1198" s="351">
        <f t="shared" si="96"/>
        <v>200000</v>
      </c>
      <c r="M1198" s="321">
        <v>1713300778</v>
      </c>
      <c r="N1198" s="321">
        <v>71</v>
      </c>
      <c r="O1198" s="321" t="s">
        <v>5403</v>
      </c>
      <c r="P1198" s="321">
        <v>6713300</v>
      </c>
      <c r="Q1198" s="322">
        <v>6000</v>
      </c>
      <c r="R1198" s="322">
        <v>2600</v>
      </c>
      <c r="S1198" s="322">
        <v>6000</v>
      </c>
      <c r="T1198" s="322">
        <v>6000</v>
      </c>
      <c r="U1198" s="322">
        <f t="shared" si="92"/>
        <v>0</v>
      </c>
      <c r="W1198" s="321">
        <f t="shared" si="93"/>
        <v>778</v>
      </c>
      <c r="X1198" s="321">
        <f t="shared" si="94"/>
        <v>713300</v>
      </c>
      <c r="Y1198" s="321">
        <v>1</v>
      </c>
      <c r="AA1198" s="321" t="s">
        <v>5403</v>
      </c>
    </row>
    <row r="1199" spans="1:27">
      <c r="A1199" s="376">
        <v>870</v>
      </c>
      <c r="B1199" s="377">
        <v>825100</v>
      </c>
      <c r="C1199" s="381" t="s">
        <v>7279</v>
      </c>
      <c r="D1199" s="379">
        <v>637</v>
      </c>
      <c r="E1199" s="380">
        <v>670</v>
      </c>
      <c r="F1199" s="380">
        <v>670</v>
      </c>
      <c r="H1199" s="351">
        <f t="shared" si="95"/>
        <v>637000</v>
      </c>
      <c r="I1199" s="351">
        <f t="shared" si="96"/>
        <v>670000</v>
      </c>
      <c r="M1199" s="321">
        <v>1713300779</v>
      </c>
      <c r="N1199" s="321">
        <v>71</v>
      </c>
      <c r="O1199" s="321" t="s">
        <v>5382</v>
      </c>
      <c r="P1199" s="321">
        <v>6713300</v>
      </c>
      <c r="Q1199" s="322">
        <v>3000</v>
      </c>
      <c r="R1199" s="322">
        <v>1400</v>
      </c>
      <c r="S1199" s="322">
        <v>4000</v>
      </c>
      <c r="T1199" s="322">
        <v>4000</v>
      </c>
      <c r="U1199" s="322">
        <f t="shared" si="92"/>
        <v>0</v>
      </c>
      <c r="W1199" s="321">
        <f t="shared" si="93"/>
        <v>779</v>
      </c>
      <c r="X1199" s="321">
        <f t="shared" si="94"/>
        <v>713300</v>
      </c>
      <c r="Y1199" s="321">
        <v>1</v>
      </c>
      <c r="AA1199" s="321" t="s">
        <v>5382</v>
      </c>
    </row>
    <row r="1200" spans="1:27">
      <c r="A1200" s="376">
        <v>871</v>
      </c>
      <c r="B1200" s="377">
        <v>825100</v>
      </c>
      <c r="C1200" s="386" t="s">
        <v>7280</v>
      </c>
      <c r="D1200" s="379">
        <v>451</v>
      </c>
      <c r="E1200" s="380">
        <v>475</v>
      </c>
      <c r="F1200" s="380">
        <v>475</v>
      </c>
      <c r="H1200" s="351">
        <f t="shared" si="95"/>
        <v>451000</v>
      </c>
      <c r="I1200" s="351">
        <f t="shared" si="96"/>
        <v>475000</v>
      </c>
      <c r="M1200" s="321">
        <v>1713300930</v>
      </c>
      <c r="N1200" s="321">
        <v>71</v>
      </c>
      <c r="O1200" s="321" t="s">
        <v>2834</v>
      </c>
      <c r="P1200" s="321">
        <v>6713300</v>
      </c>
      <c r="Q1200" s="322">
        <v>10000</v>
      </c>
      <c r="R1200" s="322">
        <v>7400</v>
      </c>
      <c r="S1200" s="322">
        <v>10000</v>
      </c>
      <c r="T1200" s="322">
        <v>10000</v>
      </c>
      <c r="U1200" s="322">
        <f t="shared" si="92"/>
        <v>0</v>
      </c>
      <c r="W1200" s="321">
        <f t="shared" si="93"/>
        <v>930</v>
      </c>
      <c r="X1200" s="321">
        <f t="shared" si="94"/>
        <v>713300</v>
      </c>
      <c r="Y1200" s="321">
        <v>1</v>
      </c>
      <c r="AA1200" s="321" t="s">
        <v>2834</v>
      </c>
    </row>
    <row r="1201" spans="1:27">
      <c r="A1201" s="376">
        <v>872</v>
      </c>
      <c r="B1201" s="377">
        <v>825100</v>
      </c>
      <c r="C1201" s="414" t="s">
        <v>7281</v>
      </c>
      <c r="D1201" s="379">
        <v>99</v>
      </c>
      <c r="E1201" s="380">
        <v>104</v>
      </c>
      <c r="F1201" s="380">
        <v>104</v>
      </c>
      <c r="H1201" s="351">
        <f t="shared" si="95"/>
        <v>99000</v>
      </c>
      <c r="I1201" s="351">
        <f t="shared" si="96"/>
        <v>104000</v>
      </c>
      <c r="M1201" s="321">
        <v>1714000771</v>
      </c>
      <c r="N1201" s="321">
        <v>71</v>
      </c>
      <c r="O1201" s="321" t="s">
        <v>3188</v>
      </c>
      <c r="P1201" s="321">
        <v>6714200</v>
      </c>
      <c r="Q1201" s="322">
        <v>0</v>
      </c>
      <c r="R1201" s="322">
        <v>0</v>
      </c>
      <c r="S1201" s="322">
        <v>0</v>
      </c>
      <c r="T1201" s="322">
        <v>0</v>
      </c>
      <c r="U1201" s="322">
        <f t="shared" si="92"/>
        <v>0</v>
      </c>
      <c r="W1201" s="321">
        <f t="shared" si="93"/>
        <v>771</v>
      </c>
      <c r="X1201" s="321">
        <f t="shared" si="94"/>
        <v>714000</v>
      </c>
      <c r="Y1201" s="321">
        <v>1</v>
      </c>
      <c r="AA1201" s="321" t="s">
        <v>3188</v>
      </c>
    </row>
    <row r="1202" spans="1:27">
      <c r="A1202" s="376">
        <v>873</v>
      </c>
      <c r="B1202" s="377">
        <v>825100</v>
      </c>
      <c r="C1202" s="386" t="s">
        <v>7282</v>
      </c>
      <c r="D1202" s="379">
        <v>0</v>
      </c>
      <c r="E1202" s="380">
        <v>41</v>
      </c>
      <c r="F1202" s="380">
        <v>41</v>
      </c>
      <c r="H1202" s="351">
        <f t="shared" si="95"/>
        <v>0</v>
      </c>
      <c r="I1202" s="351">
        <f t="shared" si="96"/>
        <v>41000</v>
      </c>
      <c r="M1202" s="321">
        <v>1714200110</v>
      </c>
      <c r="N1202" s="321">
        <v>71</v>
      </c>
      <c r="O1202" s="321" t="s">
        <v>5205</v>
      </c>
      <c r="P1202" s="321">
        <v>6714200</v>
      </c>
      <c r="Q1202" s="322">
        <v>1344000</v>
      </c>
      <c r="R1202" s="322">
        <v>839400</v>
      </c>
      <c r="S1202" s="322">
        <v>1484000</v>
      </c>
      <c r="T1202" s="322">
        <v>1117000</v>
      </c>
      <c r="U1202" s="322">
        <f t="shared" si="92"/>
        <v>367000</v>
      </c>
      <c r="W1202" s="321">
        <f t="shared" si="93"/>
        <v>110</v>
      </c>
      <c r="X1202" s="321">
        <f t="shared" si="94"/>
        <v>714200</v>
      </c>
      <c r="Y1202" s="321">
        <v>1</v>
      </c>
      <c r="AA1202" s="321" t="s">
        <v>5205</v>
      </c>
    </row>
    <row r="1203" spans="1:27">
      <c r="A1203" s="376">
        <v>100</v>
      </c>
      <c r="B1203" s="377">
        <v>825400</v>
      </c>
      <c r="C1203" s="391" t="s">
        <v>6747</v>
      </c>
      <c r="D1203" s="379">
        <v>266</v>
      </c>
      <c r="E1203" s="380">
        <v>260</v>
      </c>
      <c r="F1203" s="380">
        <v>270</v>
      </c>
      <c r="H1203" s="351">
        <f t="shared" si="95"/>
        <v>266000</v>
      </c>
      <c r="I1203" s="351">
        <f t="shared" si="96"/>
        <v>270000</v>
      </c>
      <c r="M1203" s="321">
        <v>1714200120</v>
      </c>
      <c r="N1203" s="321">
        <v>71</v>
      </c>
      <c r="O1203" s="321" t="s">
        <v>5206</v>
      </c>
      <c r="P1203" s="321">
        <v>6714200</v>
      </c>
      <c r="Q1203" s="322">
        <v>127000</v>
      </c>
      <c r="R1203" s="322">
        <v>88300</v>
      </c>
      <c r="S1203" s="322">
        <v>117000</v>
      </c>
      <c r="T1203" s="322">
        <v>117000</v>
      </c>
      <c r="U1203" s="322">
        <f t="shared" si="92"/>
        <v>0</v>
      </c>
      <c r="W1203" s="321">
        <f t="shared" si="93"/>
        <v>120</v>
      </c>
      <c r="X1203" s="321">
        <f t="shared" si="94"/>
        <v>714200</v>
      </c>
      <c r="Y1203" s="321">
        <v>1</v>
      </c>
      <c r="AA1203" s="321" t="s">
        <v>5206</v>
      </c>
    </row>
    <row r="1204" spans="1:27">
      <c r="A1204" s="376">
        <v>550</v>
      </c>
      <c r="B1204" s="377">
        <v>825400</v>
      </c>
      <c r="C1204" s="382" t="s">
        <v>6737</v>
      </c>
      <c r="D1204" s="379">
        <v>25</v>
      </c>
      <c r="E1204" s="380">
        <v>24</v>
      </c>
      <c r="F1204" s="380">
        <v>24</v>
      </c>
      <c r="H1204" s="351">
        <f t="shared" si="95"/>
        <v>25000</v>
      </c>
      <c r="I1204" s="351">
        <f t="shared" si="96"/>
        <v>24000</v>
      </c>
      <c r="M1204" s="321">
        <v>1714200130</v>
      </c>
      <c r="N1204" s="321">
        <v>71</v>
      </c>
      <c r="O1204" s="321" t="s">
        <v>2576</v>
      </c>
      <c r="P1204" s="321">
        <v>6714200</v>
      </c>
      <c r="Q1204" s="322">
        <v>153000</v>
      </c>
      <c r="R1204" s="322">
        <v>107000</v>
      </c>
      <c r="S1204" s="322">
        <v>188000</v>
      </c>
      <c r="T1204" s="322">
        <v>169200</v>
      </c>
      <c r="U1204" s="322">
        <f t="shared" si="92"/>
        <v>18800</v>
      </c>
      <c r="W1204" s="321">
        <f t="shared" si="93"/>
        <v>130</v>
      </c>
      <c r="X1204" s="321">
        <f t="shared" si="94"/>
        <v>714200</v>
      </c>
      <c r="Y1204" s="321">
        <v>1</v>
      </c>
      <c r="AA1204" s="321" t="s">
        <v>2576</v>
      </c>
    </row>
    <row r="1205" spans="1:27">
      <c r="A1205" s="376">
        <v>750</v>
      </c>
      <c r="B1205" s="377">
        <v>825400</v>
      </c>
      <c r="C1205" s="399" t="s">
        <v>7283</v>
      </c>
      <c r="D1205" s="379">
        <v>58</v>
      </c>
      <c r="E1205" s="380">
        <v>58</v>
      </c>
      <c r="F1205" s="380">
        <v>58</v>
      </c>
      <c r="H1205" s="351">
        <f t="shared" si="95"/>
        <v>58000</v>
      </c>
      <c r="I1205" s="351">
        <f t="shared" si="96"/>
        <v>58000</v>
      </c>
      <c r="M1205" s="321">
        <v>1714200140</v>
      </c>
      <c r="N1205" s="321">
        <v>71</v>
      </c>
      <c r="O1205" s="321" t="s">
        <v>5207</v>
      </c>
      <c r="P1205" s="321">
        <v>6714200</v>
      </c>
      <c r="Q1205" s="322">
        <v>151000</v>
      </c>
      <c r="R1205" s="322">
        <v>97100</v>
      </c>
      <c r="S1205" s="322">
        <v>183000</v>
      </c>
      <c r="T1205" s="322">
        <v>183000</v>
      </c>
      <c r="U1205" s="322">
        <f t="shared" si="92"/>
        <v>0</v>
      </c>
      <c r="W1205" s="321">
        <f t="shared" si="93"/>
        <v>140</v>
      </c>
      <c r="X1205" s="321">
        <f t="shared" si="94"/>
        <v>714200</v>
      </c>
      <c r="Y1205" s="321">
        <v>1</v>
      </c>
      <c r="AA1205" s="321" t="s">
        <v>5207</v>
      </c>
    </row>
    <row r="1206" spans="1:27">
      <c r="A1206" s="376">
        <v>751</v>
      </c>
      <c r="B1206" s="377">
        <v>825400</v>
      </c>
      <c r="C1206" s="399" t="s">
        <v>7284</v>
      </c>
      <c r="D1206" s="379">
        <v>51</v>
      </c>
      <c r="E1206" s="380">
        <v>51</v>
      </c>
      <c r="F1206" s="380">
        <v>51</v>
      </c>
      <c r="H1206" s="351">
        <f t="shared" si="95"/>
        <v>51000</v>
      </c>
      <c r="I1206" s="351">
        <f t="shared" si="96"/>
        <v>51000</v>
      </c>
      <c r="M1206" s="321">
        <v>1714200141</v>
      </c>
      <c r="N1206" s="321">
        <v>71</v>
      </c>
      <c r="O1206" s="321" t="s">
        <v>5208</v>
      </c>
      <c r="P1206" s="321">
        <v>6714200</v>
      </c>
      <c r="Q1206" s="322">
        <v>53000</v>
      </c>
      <c r="R1206" s="322">
        <v>39700</v>
      </c>
      <c r="S1206" s="322">
        <v>70000</v>
      </c>
      <c r="T1206" s="322">
        <v>70000</v>
      </c>
      <c r="U1206" s="322">
        <f t="shared" si="92"/>
        <v>0</v>
      </c>
      <c r="W1206" s="321">
        <f t="shared" si="93"/>
        <v>141</v>
      </c>
      <c r="X1206" s="321">
        <f t="shared" si="94"/>
        <v>714200</v>
      </c>
      <c r="Y1206" s="321">
        <v>1</v>
      </c>
      <c r="AA1206" s="321" t="s">
        <v>5208</v>
      </c>
    </row>
    <row r="1207" spans="1:27">
      <c r="A1207" s="376">
        <v>780</v>
      </c>
      <c r="B1207" s="377">
        <v>825400</v>
      </c>
      <c r="C1207" s="391" t="s">
        <v>129</v>
      </c>
      <c r="D1207" s="379">
        <v>80</v>
      </c>
      <c r="E1207" s="380">
        <v>80</v>
      </c>
      <c r="F1207" s="380">
        <v>80</v>
      </c>
      <c r="H1207" s="351">
        <f t="shared" si="95"/>
        <v>80000</v>
      </c>
      <c r="I1207" s="351">
        <f t="shared" si="96"/>
        <v>80000</v>
      </c>
      <c r="M1207" s="321">
        <v>1714200181</v>
      </c>
      <c r="N1207" s="321">
        <v>71</v>
      </c>
      <c r="O1207" s="321" t="s">
        <v>2580</v>
      </c>
      <c r="P1207" s="321">
        <v>6714200</v>
      </c>
      <c r="Q1207" s="322">
        <v>204000</v>
      </c>
      <c r="R1207" s="322">
        <v>149700</v>
      </c>
      <c r="S1207" s="322">
        <v>266000</v>
      </c>
      <c r="T1207" s="322">
        <v>266000</v>
      </c>
      <c r="U1207" s="322">
        <f t="shared" si="92"/>
        <v>0</v>
      </c>
      <c r="W1207" s="321">
        <f t="shared" si="93"/>
        <v>181</v>
      </c>
      <c r="X1207" s="321">
        <f t="shared" si="94"/>
        <v>714200</v>
      </c>
      <c r="Y1207" s="321">
        <v>1</v>
      </c>
      <c r="AA1207" s="321" t="s">
        <v>2580</v>
      </c>
    </row>
    <row r="1208" spans="1:27">
      <c r="A1208" s="376">
        <v>781</v>
      </c>
      <c r="B1208" s="377">
        <v>825400</v>
      </c>
      <c r="C1208" s="399" t="s">
        <v>7285</v>
      </c>
      <c r="D1208" s="379">
        <v>160</v>
      </c>
      <c r="E1208" s="380">
        <v>160</v>
      </c>
      <c r="F1208" s="380">
        <v>160</v>
      </c>
      <c r="H1208" s="351">
        <f t="shared" si="95"/>
        <v>160000</v>
      </c>
      <c r="I1208" s="351">
        <f t="shared" si="96"/>
        <v>160000</v>
      </c>
      <c r="M1208" s="321">
        <v>1714200182</v>
      </c>
      <c r="N1208" s="321">
        <v>71</v>
      </c>
      <c r="O1208" s="321" t="s">
        <v>2582</v>
      </c>
      <c r="P1208" s="321">
        <v>6714200</v>
      </c>
      <c r="Q1208" s="322">
        <v>249000</v>
      </c>
      <c r="R1208" s="322">
        <v>154000</v>
      </c>
      <c r="S1208" s="322">
        <v>276000</v>
      </c>
      <c r="T1208" s="322">
        <v>276000</v>
      </c>
      <c r="U1208" s="322">
        <f t="shared" si="92"/>
        <v>0</v>
      </c>
      <c r="W1208" s="321">
        <f t="shared" si="93"/>
        <v>182</v>
      </c>
      <c r="X1208" s="321">
        <f t="shared" si="94"/>
        <v>714200</v>
      </c>
      <c r="Y1208" s="321">
        <v>1</v>
      </c>
      <c r="AA1208" s="321" t="s">
        <v>2582</v>
      </c>
    </row>
    <row r="1209" spans="1:27">
      <c r="A1209" s="376">
        <v>870</v>
      </c>
      <c r="B1209" s="377">
        <v>825400</v>
      </c>
      <c r="C1209" s="391" t="s">
        <v>7286</v>
      </c>
      <c r="D1209" s="379">
        <v>29</v>
      </c>
      <c r="E1209" s="380">
        <v>30</v>
      </c>
      <c r="F1209" s="380">
        <v>30</v>
      </c>
      <c r="H1209" s="351">
        <f t="shared" si="95"/>
        <v>29000</v>
      </c>
      <c r="I1209" s="351">
        <f t="shared" si="96"/>
        <v>30000</v>
      </c>
      <c r="M1209" s="321">
        <v>1714200211</v>
      </c>
      <c r="N1209" s="321">
        <v>71</v>
      </c>
      <c r="O1209" s="321" t="s">
        <v>2572</v>
      </c>
      <c r="P1209" s="321">
        <v>6714200</v>
      </c>
      <c r="Q1209" s="322">
        <v>100000</v>
      </c>
      <c r="R1209" s="322">
        <v>26700</v>
      </c>
      <c r="S1209" s="322">
        <v>0</v>
      </c>
      <c r="T1209" s="322">
        <v>0</v>
      </c>
      <c r="U1209" s="322">
        <f t="shared" si="92"/>
        <v>0</v>
      </c>
      <c r="W1209" s="321">
        <f t="shared" si="93"/>
        <v>211</v>
      </c>
      <c r="X1209" s="321">
        <f t="shared" si="94"/>
        <v>714200</v>
      </c>
      <c r="Y1209" s="321">
        <v>1</v>
      </c>
      <c r="AA1209" s="321" t="s">
        <v>2572</v>
      </c>
    </row>
    <row r="1210" spans="1:27">
      <c r="A1210" s="376">
        <v>980</v>
      </c>
      <c r="B1210" s="377">
        <v>825400</v>
      </c>
      <c r="C1210" s="382" t="s">
        <v>7287</v>
      </c>
      <c r="D1210" s="379">
        <v>160</v>
      </c>
      <c r="E1210" s="380">
        <v>160</v>
      </c>
      <c r="F1210" s="380">
        <v>160</v>
      </c>
      <c r="H1210" s="351">
        <f t="shared" si="95"/>
        <v>160000</v>
      </c>
      <c r="I1210" s="351">
        <f t="shared" si="96"/>
        <v>160000</v>
      </c>
      <c r="M1210" s="321">
        <v>1714200470</v>
      </c>
      <c r="N1210" s="321">
        <v>71</v>
      </c>
      <c r="O1210" s="321" t="s">
        <v>2830</v>
      </c>
      <c r="P1210" s="321">
        <v>6714200</v>
      </c>
      <c r="Q1210" s="322">
        <v>10000</v>
      </c>
      <c r="R1210" s="322">
        <v>4600</v>
      </c>
      <c r="S1210" s="322">
        <v>10000</v>
      </c>
      <c r="T1210" s="322">
        <v>10000</v>
      </c>
      <c r="U1210" s="322">
        <f t="shared" si="92"/>
        <v>0</v>
      </c>
      <c r="W1210" s="321">
        <f t="shared" si="93"/>
        <v>470</v>
      </c>
      <c r="X1210" s="321">
        <f t="shared" si="94"/>
        <v>714200</v>
      </c>
      <c r="Y1210" s="321">
        <v>1</v>
      </c>
      <c r="AA1210" s="321" t="s">
        <v>2830</v>
      </c>
    </row>
    <row r="1211" spans="1:27">
      <c r="A1211" s="376">
        <v>100</v>
      </c>
      <c r="B1211" s="377">
        <v>826200</v>
      </c>
      <c r="C1211" s="382" t="s">
        <v>6711</v>
      </c>
      <c r="D1211" s="379">
        <v>456</v>
      </c>
      <c r="E1211" s="380">
        <v>535</v>
      </c>
      <c r="F1211" s="380">
        <v>535</v>
      </c>
      <c r="H1211" s="351">
        <f t="shared" si="95"/>
        <v>456000</v>
      </c>
      <c r="I1211" s="351">
        <f t="shared" si="96"/>
        <v>535000</v>
      </c>
      <c r="M1211" s="321">
        <v>1714200471</v>
      </c>
      <c r="N1211" s="321">
        <v>71</v>
      </c>
      <c r="O1211" s="321" t="s">
        <v>5475</v>
      </c>
      <c r="P1211" s="321">
        <v>6714200</v>
      </c>
      <c r="Q1211" s="322">
        <v>2400</v>
      </c>
      <c r="R1211" s="322">
        <v>2400</v>
      </c>
      <c r="S1211" s="322">
        <v>2600</v>
      </c>
      <c r="T1211" s="322">
        <v>2600</v>
      </c>
      <c r="U1211" s="322">
        <f t="shared" si="92"/>
        <v>0</v>
      </c>
      <c r="W1211" s="321">
        <f t="shared" si="93"/>
        <v>471</v>
      </c>
      <c r="X1211" s="321">
        <f t="shared" si="94"/>
        <v>714200</v>
      </c>
      <c r="Y1211" s="321">
        <v>1</v>
      </c>
      <c r="AA1211" s="321" t="s">
        <v>5475</v>
      </c>
    </row>
    <row r="1212" spans="1:27">
      <c r="A1212" s="376">
        <v>420</v>
      </c>
      <c r="B1212" s="377">
        <v>826200</v>
      </c>
      <c r="C1212" s="382" t="s">
        <v>7288</v>
      </c>
      <c r="D1212" s="379">
        <v>108</v>
      </c>
      <c r="E1212" s="380">
        <v>11</v>
      </c>
      <c r="F1212" s="380">
        <v>11</v>
      </c>
      <c r="H1212" s="351">
        <f t="shared" si="95"/>
        <v>108000</v>
      </c>
      <c r="I1212" s="351">
        <f t="shared" si="96"/>
        <v>11000</v>
      </c>
      <c r="M1212" s="321">
        <v>1714200510</v>
      </c>
      <c r="N1212" s="321">
        <v>71</v>
      </c>
      <c r="O1212" s="321" t="s">
        <v>2805</v>
      </c>
      <c r="P1212" s="321">
        <v>6714200</v>
      </c>
      <c r="Q1212" s="322">
        <v>1000</v>
      </c>
      <c r="R1212" s="322">
        <v>700</v>
      </c>
      <c r="S1212" s="322">
        <v>1000</v>
      </c>
      <c r="T1212" s="322">
        <v>1000</v>
      </c>
      <c r="U1212" s="322">
        <f t="shared" si="92"/>
        <v>0</v>
      </c>
      <c r="W1212" s="321">
        <f t="shared" si="93"/>
        <v>510</v>
      </c>
      <c r="X1212" s="321">
        <f t="shared" si="94"/>
        <v>714200</v>
      </c>
      <c r="Y1212" s="321">
        <v>1</v>
      </c>
      <c r="AA1212" s="321" t="s">
        <v>2805</v>
      </c>
    </row>
    <row r="1213" spans="1:27">
      <c r="A1213" s="376">
        <v>430</v>
      </c>
      <c r="B1213" s="377">
        <v>826200</v>
      </c>
      <c r="C1213" s="382" t="s">
        <v>6798</v>
      </c>
      <c r="D1213" s="379">
        <v>0</v>
      </c>
      <c r="E1213" s="380">
        <v>0</v>
      </c>
      <c r="F1213" s="380">
        <v>0</v>
      </c>
      <c r="H1213" s="351">
        <f t="shared" si="95"/>
        <v>0</v>
      </c>
      <c r="I1213" s="351">
        <f t="shared" si="96"/>
        <v>0</v>
      </c>
      <c r="M1213" s="321">
        <v>1714200540</v>
      </c>
      <c r="N1213" s="321">
        <v>71</v>
      </c>
      <c r="O1213" s="321" t="s">
        <v>5216</v>
      </c>
      <c r="P1213" s="321">
        <v>6714200</v>
      </c>
      <c r="Q1213" s="322">
        <v>36000</v>
      </c>
      <c r="R1213" s="322">
        <v>13200</v>
      </c>
      <c r="S1213" s="322">
        <v>22000</v>
      </c>
      <c r="T1213" s="322">
        <v>22000</v>
      </c>
      <c r="U1213" s="322">
        <f t="shared" si="92"/>
        <v>0</v>
      </c>
      <c r="W1213" s="321">
        <f t="shared" si="93"/>
        <v>540</v>
      </c>
      <c r="X1213" s="321">
        <f t="shared" si="94"/>
        <v>714200</v>
      </c>
      <c r="Y1213" s="321">
        <v>1</v>
      </c>
      <c r="AA1213" s="321" t="s">
        <v>5216</v>
      </c>
    </row>
    <row r="1214" spans="1:27">
      <c r="A1214" s="376">
        <v>440</v>
      </c>
      <c r="B1214" s="377">
        <v>826200</v>
      </c>
      <c r="C1214" s="382" t="s">
        <v>18</v>
      </c>
      <c r="D1214" s="379">
        <v>280</v>
      </c>
      <c r="E1214" s="380">
        <v>280</v>
      </c>
      <c r="F1214" s="380">
        <v>280</v>
      </c>
      <c r="H1214" s="351">
        <f t="shared" si="95"/>
        <v>280000</v>
      </c>
      <c r="I1214" s="351">
        <f t="shared" si="96"/>
        <v>280000</v>
      </c>
      <c r="M1214" s="321">
        <v>1714200542</v>
      </c>
      <c r="N1214" s="321">
        <v>71</v>
      </c>
      <c r="O1214" s="321" t="s">
        <v>5362</v>
      </c>
      <c r="P1214" s="321">
        <v>6714200</v>
      </c>
      <c r="Q1214" s="322">
        <v>4400</v>
      </c>
      <c r="R1214" s="322">
        <v>5100</v>
      </c>
      <c r="S1214" s="322">
        <v>12000</v>
      </c>
      <c r="T1214" s="322">
        <v>12000</v>
      </c>
      <c r="U1214" s="322">
        <f t="shared" si="92"/>
        <v>0</v>
      </c>
      <c r="W1214" s="321">
        <f t="shared" si="93"/>
        <v>542</v>
      </c>
      <c r="X1214" s="321">
        <f t="shared" si="94"/>
        <v>714200</v>
      </c>
      <c r="Y1214" s="321">
        <v>1</v>
      </c>
      <c r="AA1214" s="321" t="s">
        <v>5362</v>
      </c>
    </row>
    <row r="1215" spans="1:27">
      <c r="A1215" s="376">
        <v>540</v>
      </c>
      <c r="B1215" s="377">
        <v>826200</v>
      </c>
      <c r="C1215" s="382" t="s">
        <v>6752</v>
      </c>
      <c r="D1215" s="379">
        <v>0</v>
      </c>
      <c r="E1215" s="380">
        <v>0</v>
      </c>
      <c r="F1215" s="380">
        <v>0</v>
      </c>
      <c r="H1215" s="351">
        <f t="shared" si="95"/>
        <v>0</v>
      </c>
      <c r="I1215" s="351">
        <f t="shared" si="96"/>
        <v>0</v>
      </c>
      <c r="M1215" s="321">
        <v>1714200572</v>
      </c>
      <c r="N1215" s="321">
        <v>71</v>
      </c>
      <c r="O1215" s="321" t="s">
        <v>5506</v>
      </c>
      <c r="P1215" s="321">
        <v>6714200</v>
      </c>
      <c r="Q1215" s="322">
        <v>12000</v>
      </c>
      <c r="R1215" s="322">
        <v>11800</v>
      </c>
      <c r="S1215" s="322">
        <v>15000</v>
      </c>
      <c r="T1215" s="322">
        <v>15000</v>
      </c>
      <c r="U1215" s="322">
        <f t="shared" si="92"/>
        <v>0</v>
      </c>
      <c r="W1215" s="321">
        <f t="shared" si="93"/>
        <v>572</v>
      </c>
      <c r="X1215" s="321">
        <f t="shared" si="94"/>
        <v>714200</v>
      </c>
      <c r="Y1215" s="321">
        <v>1</v>
      </c>
      <c r="AA1215" s="321" t="s">
        <v>5506</v>
      </c>
    </row>
    <row r="1216" spans="1:27">
      <c r="A1216" s="376">
        <v>550</v>
      </c>
      <c r="B1216" s="377">
        <v>826200</v>
      </c>
      <c r="C1216" s="382" t="s">
        <v>7289</v>
      </c>
      <c r="D1216" s="379">
        <v>0</v>
      </c>
      <c r="E1216" s="380">
        <v>0</v>
      </c>
      <c r="F1216" s="380">
        <v>0</v>
      </c>
      <c r="H1216" s="351">
        <f t="shared" si="95"/>
        <v>0</v>
      </c>
      <c r="I1216" s="351">
        <f t="shared" si="96"/>
        <v>0</v>
      </c>
      <c r="M1216" s="321">
        <v>1714200720</v>
      </c>
      <c r="N1216" s="321">
        <v>71</v>
      </c>
      <c r="O1216" s="321" t="s">
        <v>2705</v>
      </c>
      <c r="P1216" s="321">
        <v>6714200</v>
      </c>
      <c r="Q1216" s="322">
        <v>10000</v>
      </c>
      <c r="R1216" s="322">
        <v>9400</v>
      </c>
      <c r="S1216" s="322">
        <v>10000</v>
      </c>
      <c r="T1216" s="322">
        <v>10000</v>
      </c>
      <c r="U1216" s="322">
        <f t="shared" si="92"/>
        <v>0</v>
      </c>
      <c r="W1216" s="321">
        <f t="shared" si="93"/>
        <v>720</v>
      </c>
      <c r="X1216" s="321">
        <f t="shared" si="94"/>
        <v>714200</v>
      </c>
      <c r="Y1216" s="321">
        <v>1</v>
      </c>
      <c r="AA1216" s="321" t="s">
        <v>2705</v>
      </c>
    </row>
    <row r="1217" spans="1:27">
      <c r="A1217" s="376">
        <v>710</v>
      </c>
      <c r="B1217" s="377">
        <v>826200</v>
      </c>
      <c r="C1217" s="382" t="s">
        <v>7290</v>
      </c>
      <c r="D1217" s="379">
        <v>0</v>
      </c>
      <c r="E1217" s="380">
        <v>0</v>
      </c>
      <c r="F1217" s="380">
        <v>0</v>
      </c>
      <c r="H1217" s="351">
        <f t="shared" si="95"/>
        <v>0</v>
      </c>
      <c r="I1217" s="351">
        <f t="shared" si="96"/>
        <v>0</v>
      </c>
      <c r="M1217" s="321">
        <v>1714200730</v>
      </c>
      <c r="N1217" s="321">
        <v>71</v>
      </c>
      <c r="O1217" s="321" t="s">
        <v>5507</v>
      </c>
      <c r="P1217" s="321">
        <v>6714200</v>
      </c>
      <c r="Q1217" s="322">
        <v>50000</v>
      </c>
      <c r="R1217" s="322">
        <v>28400</v>
      </c>
      <c r="S1217" s="322">
        <v>50000</v>
      </c>
      <c r="T1217" s="322">
        <v>50000</v>
      </c>
      <c r="U1217" s="322">
        <f t="shared" si="92"/>
        <v>0</v>
      </c>
      <c r="W1217" s="321">
        <f t="shared" si="93"/>
        <v>730</v>
      </c>
      <c r="X1217" s="321">
        <f t="shared" si="94"/>
        <v>714200</v>
      </c>
      <c r="Y1217" s="321">
        <v>1</v>
      </c>
      <c r="AA1217" s="321" t="s">
        <v>5507</v>
      </c>
    </row>
    <row r="1218" spans="1:27">
      <c r="A1218" s="376">
        <v>750</v>
      </c>
      <c r="B1218" s="377">
        <v>826200</v>
      </c>
      <c r="C1218" s="382" t="s">
        <v>6819</v>
      </c>
      <c r="D1218" s="379">
        <v>0</v>
      </c>
      <c r="E1218" s="380">
        <v>0</v>
      </c>
      <c r="F1218" s="380">
        <v>0</v>
      </c>
      <c r="H1218" s="351">
        <f t="shared" si="95"/>
        <v>0</v>
      </c>
      <c r="I1218" s="351">
        <f t="shared" si="96"/>
        <v>0</v>
      </c>
      <c r="M1218" s="321">
        <v>1714200742</v>
      </c>
      <c r="N1218" s="321">
        <v>71</v>
      </c>
      <c r="O1218" s="321" t="s">
        <v>2668</v>
      </c>
      <c r="P1218" s="321">
        <v>6714200</v>
      </c>
      <c r="Q1218" s="322">
        <v>1000</v>
      </c>
      <c r="R1218" s="322">
        <v>0</v>
      </c>
      <c r="S1218" s="322">
        <v>1000</v>
      </c>
      <c r="T1218" s="322">
        <v>1000</v>
      </c>
      <c r="U1218" s="322">
        <f t="shared" ref="U1218:U1281" si="97">S1218-T1218</f>
        <v>0</v>
      </c>
      <c r="W1218" s="321">
        <f t="shared" si="93"/>
        <v>742</v>
      </c>
      <c r="X1218" s="321">
        <f t="shared" si="94"/>
        <v>714200</v>
      </c>
      <c r="Y1218" s="321">
        <v>1</v>
      </c>
      <c r="AA1218" s="321" t="s">
        <v>2668</v>
      </c>
    </row>
    <row r="1219" spans="1:27">
      <c r="A1219" s="376">
        <v>751</v>
      </c>
      <c r="B1219" s="377">
        <v>826200</v>
      </c>
      <c r="C1219" s="381" t="s">
        <v>7291</v>
      </c>
      <c r="D1219" s="379">
        <v>0</v>
      </c>
      <c r="E1219" s="380">
        <v>110</v>
      </c>
      <c r="F1219" s="380">
        <v>110</v>
      </c>
      <c r="H1219" s="351">
        <f t="shared" si="95"/>
        <v>0</v>
      </c>
      <c r="I1219" s="351">
        <f t="shared" si="96"/>
        <v>110000</v>
      </c>
      <c r="M1219" s="321">
        <v>1714200743</v>
      </c>
      <c r="N1219" s="321">
        <v>71</v>
      </c>
      <c r="O1219" s="321" t="s">
        <v>2622</v>
      </c>
      <c r="P1219" s="321">
        <v>6714200</v>
      </c>
      <c r="Q1219" s="322">
        <v>89700</v>
      </c>
      <c r="R1219" s="322">
        <v>83100</v>
      </c>
      <c r="S1219" s="322">
        <v>90000</v>
      </c>
      <c r="T1219" s="322">
        <v>90000</v>
      </c>
      <c r="U1219" s="322">
        <f t="shared" si="97"/>
        <v>0</v>
      </c>
      <c r="W1219" s="321">
        <f t="shared" ref="W1219:W1282" si="98">M1219-1000000000-X1219*1000</f>
        <v>743</v>
      </c>
      <c r="X1219" s="321">
        <f t="shared" ref="X1219:X1282" si="99">ROUNDDOWN((M1219-1000000000)/1000,0)</f>
        <v>714200</v>
      </c>
      <c r="Y1219" s="321">
        <v>1</v>
      </c>
      <c r="AA1219" s="321" t="s">
        <v>2622</v>
      </c>
    </row>
    <row r="1220" spans="1:27">
      <c r="A1220" s="376">
        <v>752</v>
      </c>
      <c r="B1220" s="377">
        <v>826200</v>
      </c>
      <c r="C1220" s="381" t="s">
        <v>7292</v>
      </c>
      <c r="D1220" s="379">
        <v>0</v>
      </c>
      <c r="E1220" s="380">
        <v>0</v>
      </c>
      <c r="F1220" s="380">
        <v>0</v>
      </c>
      <c r="H1220" s="351">
        <f t="shared" si="95"/>
        <v>0</v>
      </c>
      <c r="I1220" s="351">
        <f t="shared" si="96"/>
        <v>0</v>
      </c>
      <c r="M1220" s="321">
        <v>1714200744</v>
      </c>
      <c r="N1220" s="321">
        <v>71</v>
      </c>
      <c r="O1220" s="321" t="s">
        <v>5508</v>
      </c>
      <c r="P1220" s="321">
        <v>6714200</v>
      </c>
      <c r="Q1220" s="322">
        <v>50000</v>
      </c>
      <c r="R1220" s="322">
        <v>0</v>
      </c>
      <c r="S1220" s="322">
        <v>100000</v>
      </c>
      <c r="T1220" s="322">
        <v>100000</v>
      </c>
      <c r="U1220" s="322">
        <f t="shared" si="97"/>
        <v>0</v>
      </c>
      <c r="W1220" s="321">
        <f t="shared" si="98"/>
        <v>744</v>
      </c>
      <c r="X1220" s="321">
        <f t="shared" si="99"/>
        <v>714200</v>
      </c>
      <c r="Y1220" s="321">
        <v>1</v>
      </c>
      <c r="AA1220" s="321" t="s">
        <v>5508</v>
      </c>
    </row>
    <row r="1221" spans="1:27">
      <c r="A1221" s="376">
        <v>753</v>
      </c>
      <c r="B1221" s="377">
        <v>826200</v>
      </c>
      <c r="C1221" s="381" t="s">
        <v>6821</v>
      </c>
      <c r="D1221" s="379">
        <v>0</v>
      </c>
      <c r="E1221" s="380">
        <v>0</v>
      </c>
      <c r="F1221" s="380">
        <v>0</v>
      </c>
      <c r="H1221" s="351">
        <f t="shared" si="95"/>
        <v>0</v>
      </c>
      <c r="I1221" s="351">
        <f t="shared" si="96"/>
        <v>0</v>
      </c>
      <c r="M1221" s="321">
        <v>1714200750</v>
      </c>
      <c r="N1221" s="321">
        <v>71</v>
      </c>
      <c r="O1221" s="321" t="s">
        <v>5509</v>
      </c>
      <c r="P1221" s="321">
        <v>6714200</v>
      </c>
      <c r="Q1221" s="322">
        <v>330000</v>
      </c>
      <c r="R1221" s="322">
        <v>60700</v>
      </c>
      <c r="S1221" s="322">
        <v>330000</v>
      </c>
      <c r="T1221" s="322">
        <v>250000</v>
      </c>
      <c r="U1221" s="322">
        <f t="shared" si="97"/>
        <v>80000</v>
      </c>
      <c r="W1221" s="321">
        <f t="shared" si="98"/>
        <v>750</v>
      </c>
      <c r="X1221" s="321">
        <f t="shared" si="99"/>
        <v>714200</v>
      </c>
      <c r="Y1221" s="321">
        <v>1</v>
      </c>
      <c r="AA1221" s="321" t="s">
        <v>5509</v>
      </c>
    </row>
    <row r="1222" spans="1:27">
      <c r="A1222" s="376">
        <v>781</v>
      </c>
      <c r="B1222" s="377">
        <v>826200</v>
      </c>
      <c r="C1222" s="382" t="s">
        <v>7293</v>
      </c>
      <c r="D1222" s="379">
        <v>0</v>
      </c>
      <c r="E1222" s="380">
        <v>0</v>
      </c>
      <c r="F1222" s="380">
        <v>0</v>
      </c>
      <c r="H1222" s="351">
        <f t="shared" si="95"/>
        <v>0</v>
      </c>
      <c r="I1222" s="351">
        <f t="shared" si="96"/>
        <v>0</v>
      </c>
      <c r="M1222" s="321">
        <v>1714200753</v>
      </c>
      <c r="N1222" s="321">
        <v>71</v>
      </c>
      <c r="O1222" s="321" t="s">
        <v>2707</v>
      </c>
      <c r="P1222" s="321">
        <v>6714200</v>
      </c>
      <c r="Q1222" s="322">
        <v>3000</v>
      </c>
      <c r="R1222" s="322">
        <v>0</v>
      </c>
      <c r="S1222" s="322">
        <v>3000</v>
      </c>
      <c r="T1222" s="322">
        <v>3000</v>
      </c>
      <c r="U1222" s="322">
        <f t="shared" si="97"/>
        <v>0</v>
      </c>
      <c r="W1222" s="321">
        <f t="shared" si="98"/>
        <v>753</v>
      </c>
      <c r="X1222" s="321">
        <f t="shared" si="99"/>
        <v>714200</v>
      </c>
      <c r="Y1222" s="321">
        <v>1</v>
      </c>
      <c r="AA1222" s="321" t="s">
        <v>2707</v>
      </c>
    </row>
    <row r="1223" spans="1:27">
      <c r="A1223" s="376">
        <v>782</v>
      </c>
      <c r="B1223" s="377">
        <v>826200</v>
      </c>
      <c r="C1223" s="387" t="s">
        <v>7294</v>
      </c>
      <c r="D1223" s="379">
        <v>0</v>
      </c>
      <c r="E1223" s="380">
        <v>0</v>
      </c>
      <c r="F1223" s="380">
        <v>0</v>
      </c>
      <c r="H1223" s="351">
        <f t="shared" si="95"/>
        <v>0</v>
      </c>
      <c r="I1223" s="351">
        <f t="shared" si="96"/>
        <v>0</v>
      </c>
      <c r="M1223" s="321">
        <v>1714200760</v>
      </c>
      <c r="N1223" s="321">
        <v>71</v>
      </c>
      <c r="O1223" s="321" t="s">
        <v>5218</v>
      </c>
      <c r="P1223" s="321">
        <v>6714200</v>
      </c>
      <c r="Q1223" s="322">
        <v>30000</v>
      </c>
      <c r="R1223" s="322">
        <v>14200</v>
      </c>
      <c r="S1223" s="322">
        <v>30000</v>
      </c>
      <c r="T1223" s="322">
        <v>30000</v>
      </c>
      <c r="U1223" s="322">
        <f t="shared" si="97"/>
        <v>0</v>
      </c>
      <c r="W1223" s="321">
        <f t="shared" si="98"/>
        <v>760</v>
      </c>
      <c r="X1223" s="321">
        <f t="shared" si="99"/>
        <v>714200</v>
      </c>
      <c r="Y1223" s="321">
        <v>1</v>
      </c>
      <c r="AA1223" s="321" t="s">
        <v>5218</v>
      </c>
    </row>
    <row r="1224" spans="1:27">
      <c r="A1224" s="376">
        <v>783</v>
      </c>
      <c r="B1224" s="377">
        <v>826200</v>
      </c>
      <c r="C1224" s="382" t="s">
        <v>7295</v>
      </c>
      <c r="D1224" s="379">
        <v>0</v>
      </c>
      <c r="E1224" s="380">
        <v>0</v>
      </c>
      <c r="F1224" s="380">
        <v>0</v>
      </c>
      <c r="H1224" s="351">
        <f t="shared" si="95"/>
        <v>0</v>
      </c>
      <c r="I1224" s="351">
        <f t="shared" si="96"/>
        <v>0</v>
      </c>
      <c r="M1224" s="321">
        <v>1714200761</v>
      </c>
      <c r="N1224" s="321">
        <v>71</v>
      </c>
      <c r="O1224" s="321" t="s">
        <v>5510</v>
      </c>
      <c r="P1224" s="321">
        <v>6714200</v>
      </c>
      <c r="Q1224" s="322">
        <v>60000</v>
      </c>
      <c r="R1224" s="322">
        <v>55900</v>
      </c>
      <c r="S1224" s="322">
        <v>30000</v>
      </c>
      <c r="T1224" s="322">
        <v>30000</v>
      </c>
      <c r="U1224" s="322">
        <f t="shared" si="97"/>
        <v>0</v>
      </c>
      <c r="W1224" s="321">
        <f t="shared" si="98"/>
        <v>761</v>
      </c>
      <c r="X1224" s="321">
        <f t="shared" si="99"/>
        <v>714200</v>
      </c>
      <c r="Y1224" s="321">
        <v>1</v>
      </c>
      <c r="AA1224" s="321" t="s">
        <v>5510</v>
      </c>
    </row>
    <row r="1225" spans="1:27">
      <c r="A1225" s="376">
        <v>980</v>
      </c>
      <c r="B1225" s="377">
        <v>826200</v>
      </c>
      <c r="C1225" s="382" t="s">
        <v>7296</v>
      </c>
      <c r="D1225" s="379">
        <v>0</v>
      </c>
      <c r="E1225" s="380">
        <v>0</v>
      </c>
      <c r="F1225" s="380">
        <v>0</v>
      </c>
      <c r="H1225" s="351">
        <f t="shared" si="95"/>
        <v>0</v>
      </c>
      <c r="I1225" s="351">
        <f t="shared" si="96"/>
        <v>0</v>
      </c>
      <c r="M1225" s="321">
        <v>1714200771</v>
      </c>
      <c r="N1225" s="321">
        <v>71</v>
      </c>
      <c r="O1225" s="321" t="s">
        <v>5511</v>
      </c>
      <c r="P1225" s="321">
        <v>6714200</v>
      </c>
      <c r="Q1225" s="322">
        <v>35000</v>
      </c>
      <c r="R1225" s="322">
        <v>23900</v>
      </c>
      <c r="S1225" s="322">
        <v>35000</v>
      </c>
      <c r="T1225" s="322">
        <v>35000</v>
      </c>
      <c r="U1225" s="322">
        <f t="shared" si="97"/>
        <v>0</v>
      </c>
      <c r="W1225" s="321">
        <f t="shared" si="98"/>
        <v>771</v>
      </c>
      <c r="X1225" s="321">
        <f t="shared" si="99"/>
        <v>714200</v>
      </c>
      <c r="Y1225" s="321">
        <v>1</v>
      </c>
      <c r="AA1225" s="321" t="s">
        <v>5511</v>
      </c>
    </row>
    <row r="1226" spans="1:27">
      <c r="A1226" s="376">
        <v>100</v>
      </c>
      <c r="B1226" s="377">
        <v>826210</v>
      </c>
      <c r="C1226" s="391" t="s">
        <v>6747</v>
      </c>
      <c r="D1226" s="379">
        <v>527</v>
      </c>
      <c r="E1226" s="380">
        <v>518</v>
      </c>
      <c r="F1226" s="380">
        <v>518</v>
      </c>
      <c r="H1226" s="351">
        <f t="shared" si="95"/>
        <v>527000</v>
      </c>
      <c r="I1226" s="351">
        <f t="shared" si="96"/>
        <v>518000</v>
      </c>
      <c r="M1226" s="321">
        <v>1714200772</v>
      </c>
      <c r="N1226" s="321">
        <v>71</v>
      </c>
      <c r="O1226" s="321" t="s">
        <v>5512</v>
      </c>
      <c r="P1226" s="321">
        <v>6714200</v>
      </c>
      <c r="Q1226" s="322">
        <v>0</v>
      </c>
      <c r="R1226" s="322">
        <v>0</v>
      </c>
      <c r="S1226" s="322">
        <v>0</v>
      </c>
      <c r="T1226" s="322">
        <v>0</v>
      </c>
      <c r="U1226" s="322">
        <f t="shared" si="97"/>
        <v>0</v>
      </c>
      <c r="W1226" s="321">
        <f t="shared" si="98"/>
        <v>772</v>
      </c>
      <c r="X1226" s="321">
        <f t="shared" si="99"/>
        <v>714200</v>
      </c>
      <c r="Y1226" s="321">
        <v>1</v>
      </c>
      <c r="AA1226" s="321" t="s">
        <v>5512</v>
      </c>
    </row>
    <row r="1227" spans="1:27">
      <c r="A1227" s="376">
        <v>420</v>
      </c>
      <c r="B1227" s="377">
        <v>826210</v>
      </c>
      <c r="C1227" s="382" t="s">
        <v>6987</v>
      </c>
      <c r="D1227" s="379">
        <v>4</v>
      </c>
      <c r="E1227" s="380">
        <v>4</v>
      </c>
      <c r="F1227" s="380">
        <v>4</v>
      </c>
      <c r="H1227" s="351">
        <f t="shared" si="95"/>
        <v>4000</v>
      </c>
      <c r="I1227" s="351">
        <f t="shared" si="96"/>
        <v>4000</v>
      </c>
      <c r="M1227" s="321">
        <v>1714200778</v>
      </c>
      <c r="N1227" s="321">
        <v>71</v>
      </c>
      <c r="O1227" s="321" t="s">
        <v>5513</v>
      </c>
      <c r="P1227" s="321">
        <v>6714200</v>
      </c>
      <c r="Q1227" s="322">
        <v>10000</v>
      </c>
      <c r="R1227" s="322">
        <v>8900</v>
      </c>
      <c r="S1227" s="322">
        <v>38000</v>
      </c>
      <c r="T1227" s="322">
        <v>38000</v>
      </c>
      <c r="U1227" s="322">
        <f t="shared" si="97"/>
        <v>0</v>
      </c>
      <c r="W1227" s="321">
        <f t="shared" si="98"/>
        <v>778</v>
      </c>
      <c r="X1227" s="321">
        <f t="shared" si="99"/>
        <v>714200</v>
      </c>
      <c r="Y1227" s="321">
        <v>1</v>
      </c>
      <c r="AA1227" s="321" t="s">
        <v>5513</v>
      </c>
    </row>
    <row r="1228" spans="1:27">
      <c r="A1228" s="376">
        <v>430</v>
      </c>
      <c r="B1228" s="377">
        <v>826210</v>
      </c>
      <c r="C1228" s="391" t="s">
        <v>6798</v>
      </c>
      <c r="D1228" s="379">
        <v>21</v>
      </c>
      <c r="E1228" s="380">
        <v>21</v>
      </c>
      <c r="F1228" s="380">
        <v>21</v>
      </c>
      <c r="H1228" s="351">
        <f t="shared" si="95"/>
        <v>21000</v>
      </c>
      <c r="I1228" s="351">
        <f t="shared" si="96"/>
        <v>21000</v>
      </c>
      <c r="M1228" s="321">
        <v>1714200779</v>
      </c>
      <c r="N1228" s="321">
        <v>71</v>
      </c>
      <c r="O1228" s="321" t="s">
        <v>5382</v>
      </c>
      <c r="P1228" s="321">
        <v>6714200</v>
      </c>
      <c r="Q1228" s="322">
        <v>3000</v>
      </c>
      <c r="R1228" s="322">
        <v>2000</v>
      </c>
      <c r="S1228" s="322">
        <v>3000</v>
      </c>
      <c r="T1228" s="322">
        <v>3000</v>
      </c>
      <c r="U1228" s="322">
        <f t="shared" si="97"/>
        <v>0</v>
      </c>
      <c r="W1228" s="321">
        <f t="shared" si="98"/>
        <v>779</v>
      </c>
      <c r="X1228" s="321">
        <f t="shared" si="99"/>
        <v>714200</v>
      </c>
      <c r="Y1228" s="321">
        <v>1</v>
      </c>
      <c r="AA1228" s="321" t="s">
        <v>5382</v>
      </c>
    </row>
    <row r="1229" spans="1:27">
      <c r="A1229" s="376">
        <v>540</v>
      </c>
      <c r="B1229" s="377">
        <v>826210</v>
      </c>
      <c r="C1229" s="391" t="s">
        <v>6752</v>
      </c>
      <c r="D1229" s="379">
        <v>5</v>
      </c>
      <c r="E1229" s="380">
        <v>5</v>
      </c>
      <c r="F1229" s="380">
        <v>5</v>
      </c>
      <c r="H1229" s="351">
        <f t="shared" si="95"/>
        <v>5000</v>
      </c>
      <c r="I1229" s="351">
        <f t="shared" si="96"/>
        <v>5000</v>
      </c>
      <c r="M1229" s="321">
        <v>1714200780</v>
      </c>
      <c r="N1229" s="321">
        <v>71</v>
      </c>
      <c r="O1229" s="321" t="s">
        <v>5514</v>
      </c>
      <c r="P1229" s="321">
        <v>6714200</v>
      </c>
      <c r="Q1229" s="322">
        <v>15000</v>
      </c>
      <c r="R1229" s="322">
        <v>2400</v>
      </c>
      <c r="S1229" s="322">
        <v>15000</v>
      </c>
      <c r="T1229" s="322">
        <v>15000</v>
      </c>
      <c r="U1229" s="322">
        <f t="shared" si="97"/>
        <v>0</v>
      </c>
      <c r="W1229" s="321">
        <f t="shared" si="98"/>
        <v>780</v>
      </c>
      <c r="X1229" s="321">
        <f t="shared" si="99"/>
        <v>714200</v>
      </c>
      <c r="Y1229" s="321">
        <v>1</v>
      </c>
      <c r="AA1229" s="321" t="s">
        <v>5514</v>
      </c>
    </row>
    <row r="1230" spans="1:27">
      <c r="A1230" s="376">
        <v>550</v>
      </c>
      <c r="B1230" s="377">
        <v>826210</v>
      </c>
      <c r="C1230" s="382" t="s">
        <v>6737</v>
      </c>
      <c r="D1230" s="379">
        <v>20</v>
      </c>
      <c r="E1230" s="380">
        <v>28</v>
      </c>
      <c r="F1230" s="380">
        <v>28</v>
      </c>
      <c r="H1230" s="351">
        <f t="shared" si="95"/>
        <v>20000</v>
      </c>
      <c r="I1230" s="351">
        <f t="shared" si="96"/>
        <v>28000</v>
      </c>
      <c r="M1230" s="321">
        <v>1714200781</v>
      </c>
      <c r="N1230" s="321">
        <v>71</v>
      </c>
      <c r="O1230" s="321" t="s">
        <v>5383</v>
      </c>
      <c r="P1230" s="321">
        <v>6714200</v>
      </c>
      <c r="Q1230" s="322">
        <v>2000</v>
      </c>
      <c r="R1230" s="322">
        <v>400</v>
      </c>
      <c r="S1230" s="322">
        <v>2000</v>
      </c>
      <c r="T1230" s="322">
        <v>2000</v>
      </c>
      <c r="U1230" s="322">
        <f t="shared" si="97"/>
        <v>0</v>
      </c>
      <c r="W1230" s="321">
        <f t="shared" si="98"/>
        <v>781</v>
      </c>
      <c r="X1230" s="321">
        <f t="shared" si="99"/>
        <v>714200</v>
      </c>
      <c r="Y1230" s="321">
        <v>1</v>
      </c>
      <c r="AA1230" s="321" t="s">
        <v>5383</v>
      </c>
    </row>
    <row r="1231" spans="1:27">
      <c r="A1231" s="376">
        <v>750</v>
      </c>
      <c r="B1231" s="377">
        <v>826210</v>
      </c>
      <c r="C1231" s="382" t="s">
        <v>6819</v>
      </c>
      <c r="D1231" s="379">
        <v>141</v>
      </c>
      <c r="E1231" s="380">
        <v>137</v>
      </c>
      <c r="F1231" s="380">
        <v>139</v>
      </c>
      <c r="H1231" s="351">
        <f t="shared" si="95"/>
        <v>141000</v>
      </c>
      <c r="I1231" s="351">
        <f t="shared" si="96"/>
        <v>139000</v>
      </c>
      <c r="M1231" s="321">
        <v>1714201470</v>
      </c>
      <c r="N1231" s="321">
        <v>71</v>
      </c>
      <c r="O1231" s="321" t="s">
        <v>2830</v>
      </c>
      <c r="P1231" s="321">
        <v>6714201</v>
      </c>
      <c r="Q1231" s="322">
        <v>0</v>
      </c>
      <c r="R1231" s="322">
        <v>0</v>
      </c>
      <c r="S1231" s="322">
        <v>0</v>
      </c>
      <c r="T1231" s="322">
        <v>0</v>
      </c>
      <c r="U1231" s="322">
        <f t="shared" si="97"/>
        <v>0</v>
      </c>
      <c r="W1231" s="321">
        <f t="shared" si="98"/>
        <v>470</v>
      </c>
      <c r="X1231" s="321">
        <f t="shared" si="99"/>
        <v>714201</v>
      </c>
      <c r="Y1231" s="321">
        <v>1</v>
      </c>
      <c r="AA1231" s="321" t="s">
        <v>2830</v>
      </c>
    </row>
    <row r="1232" spans="1:27">
      <c r="A1232" s="376">
        <v>751</v>
      </c>
      <c r="B1232" s="377">
        <v>826210</v>
      </c>
      <c r="C1232" s="382" t="s">
        <v>6821</v>
      </c>
      <c r="D1232" s="379">
        <v>47</v>
      </c>
      <c r="E1232" s="380">
        <v>47</v>
      </c>
      <c r="F1232" s="380">
        <v>47</v>
      </c>
      <c r="H1232" s="351">
        <f t="shared" si="95"/>
        <v>47000</v>
      </c>
      <c r="I1232" s="351">
        <f t="shared" si="96"/>
        <v>47000</v>
      </c>
      <c r="M1232" s="321">
        <v>1714201720</v>
      </c>
      <c r="N1232" s="321">
        <v>71</v>
      </c>
      <c r="O1232" s="321" t="s">
        <v>2705</v>
      </c>
      <c r="P1232" s="321">
        <v>6714201</v>
      </c>
      <c r="Q1232" s="322">
        <v>0</v>
      </c>
      <c r="R1232" s="322">
        <v>0</v>
      </c>
      <c r="S1232" s="322">
        <v>0</v>
      </c>
      <c r="T1232" s="322">
        <v>0</v>
      </c>
      <c r="U1232" s="322">
        <f t="shared" si="97"/>
        <v>0</v>
      </c>
      <c r="W1232" s="321">
        <f t="shared" si="98"/>
        <v>720</v>
      </c>
      <c r="X1232" s="321">
        <f t="shared" si="99"/>
        <v>714201</v>
      </c>
      <c r="Y1232" s="321">
        <v>1</v>
      </c>
      <c r="AA1232" s="321" t="s">
        <v>2705</v>
      </c>
    </row>
    <row r="1233" spans="1:27">
      <c r="A1233" s="376">
        <v>780</v>
      </c>
      <c r="B1233" s="377">
        <v>826210</v>
      </c>
      <c r="C1233" s="391" t="s">
        <v>7297</v>
      </c>
      <c r="D1233" s="379">
        <v>80</v>
      </c>
      <c r="E1233" s="380">
        <v>80</v>
      </c>
      <c r="F1233" s="380">
        <v>80</v>
      </c>
      <c r="H1233" s="351">
        <f t="shared" si="95"/>
        <v>80000</v>
      </c>
      <c r="I1233" s="351">
        <f t="shared" si="96"/>
        <v>80000</v>
      </c>
      <c r="M1233" s="321">
        <v>1714201744</v>
      </c>
      <c r="N1233" s="321">
        <v>71</v>
      </c>
      <c r="O1233" s="321" t="s">
        <v>5515</v>
      </c>
      <c r="P1233" s="321">
        <v>6714201</v>
      </c>
      <c r="Q1233" s="322">
        <v>0</v>
      </c>
      <c r="R1233" s="322">
        <v>0</v>
      </c>
      <c r="S1233" s="322">
        <v>0</v>
      </c>
      <c r="T1233" s="322">
        <v>0</v>
      </c>
      <c r="U1233" s="322">
        <f t="shared" si="97"/>
        <v>0</v>
      </c>
      <c r="W1233" s="321">
        <f t="shared" si="98"/>
        <v>744</v>
      </c>
      <c r="X1233" s="321">
        <f t="shared" si="99"/>
        <v>714201</v>
      </c>
      <c r="Y1233" s="321">
        <v>1</v>
      </c>
      <c r="AA1233" s="321" t="s">
        <v>5515</v>
      </c>
    </row>
    <row r="1234" spans="1:27">
      <c r="A1234" s="376">
        <v>410</v>
      </c>
      <c r="B1234" s="377">
        <v>826400</v>
      </c>
      <c r="C1234" s="382" t="s">
        <v>7298</v>
      </c>
      <c r="D1234" s="379">
        <v>350</v>
      </c>
      <c r="E1234" s="380">
        <v>340</v>
      </c>
      <c r="F1234" s="380">
        <v>375</v>
      </c>
      <c r="H1234" s="351">
        <f t="shared" ref="H1234:H1297" si="100">D1234*1000</f>
        <v>350000</v>
      </c>
      <c r="I1234" s="351">
        <f t="shared" ref="I1234:I1297" si="101">F1234*1000</f>
        <v>375000</v>
      </c>
      <c r="M1234" s="321">
        <v>1715300110</v>
      </c>
      <c r="N1234" s="321">
        <v>71</v>
      </c>
      <c r="O1234" s="321" t="s">
        <v>5205</v>
      </c>
      <c r="P1234" s="321">
        <v>6715300</v>
      </c>
      <c r="Q1234" s="322">
        <v>682000</v>
      </c>
      <c r="R1234" s="322">
        <v>463400</v>
      </c>
      <c r="S1234" s="322">
        <v>653000</v>
      </c>
      <c r="T1234" s="322">
        <v>653000</v>
      </c>
      <c r="U1234" s="322">
        <f t="shared" si="97"/>
        <v>0</v>
      </c>
      <c r="W1234" s="321">
        <f t="shared" si="98"/>
        <v>110</v>
      </c>
      <c r="X1234" s="321">
        <f t="shared" si="99"/>
        <v>715300</v>
      </c>
      <c r="Y1234" s="321">
        <v>1</v>
      </c>
      <c r="AA1234" s="321" t="s">
        <v>5205</v>
      </c>
    </row>
    <row r="1235" spans="1:27">
      <c r="A1235" s="376">
        <v>411</v>
      </c>
      <c r="B1235" s="377">
        <v>826400</v>
      </c>
      <c r="C1235" s="382" t="s">
        <v>7299</v>
      </c>
      <c r="D1235" s="379">
        <v>650</v>
      </c>
      <c r="E1235" s="380">
        <v>300</v>
      </c>
      <c r="F1235" s="380">
        <v>410</v>
      </c>
      <c r="H1235" s="351">
        <f t="shared" si="100"/>
        <v>650000</v>
      </c>
      <c r="I1235" s="351">
        <f t="shared" si="101"/>
        <v>410000</v>
      </c>
      <c r="M1235" s="321">
        <v>1715300120</v>
      </c>
      <c r="N1235" s="321">
        <v>71</v>
      </c>
      <c r="O1235" s="321" t="s">
        <v>5206</v>
      </c>
      <c r="P1235" s="321">
        <v>6715300</v>
      </c>
      <c r="Q1235" s="322">
        <v>200000</v>
      </c>
      <c r="R1235" s="322">
        <v>134400</v>
      </c>
      <c r="S1235" s="322">
        <v>161000</v>
      </c>
      <c r="T1235" s="322">
        <v>161000</v>
      </c>
      <c r="U1235" s="322">
        <f t="shared" si="97"/>
        <v>0</v>
      </c>
      <c r="W1235" s="321">
        <f t="shared" si="98"/>
        <v>120</v>
      </c>
      <c r="X1235" s="321">
        <f t="shared" si="99"/>
        <v>715300</v>
      </c>
      <c r="Y1235" s="321">
        <v>1</v>
      </c>
      <c r="AA1235" s="321" t="s">
        <v>5206</v>
      </c>
    </row>
    <row r="1236" spans="1:27">
      <c r="A1236" s="376">
        <v>870</v>
      </c>
      <c r="B1236" s="377">
        <v>826400</v>
      </c>
      <c r="C1236" s="382" t="s">
        <v>7300</v>
      </c>
      <c r="D1236" s="379">
        <v>1895</v>
      </c>
      <c r="E1236" s="380">
        <v>2070</v>
      </c>
      <c r="F1236" s="380">
        <v>2070</v>
      </c>
      <c r="H1236" s="351">
        <f t="shared" si="100"/>
        <v>1895000</v>
      </c>
      <c r="I1236" s="351">
        <f t="shared" si="101"/>
        <v>2070000</v>
      </c>
      <c r="M1236" s="321">
        <v>1715300130</v>
      </c>
      <c r="N1236" s="321">
        <v>71</v>
      </c>
      <c r="O1236" s="321" t="s">
        <v>2576</v>
      </c>
      <c r="P1236" s="321">
        <v>6715300</v>
      </c>
      <c r="Q1236" s="322">
        <v>89000</v>
      </c>
      <c r="R1236" s="322">
        <v>70800</v>
      </c>
      <c r="S1236" s="322">
        <v>101000</v>
      </c>
      <c r="T1236" s="322">
        <v>90900</v>
      </c>
      <c r="U1236" s="322">
        <f t="shared" si="97"/>
        <v>10100</v>
      </c>
      <c r="W1236" s="321">
        <f t="shared" si="98"/>
        <v>130</v>
      </c>
      <c r="X1236" s="321">
        <f t="shared" si="99"/>
        <v>715300</v>
      </c>
      <c r="Y1236" s="321">
        <v>1</v>
      </c>
      <c r="AA1236" s="321" t="s">
        <v>2576</v>
      </c>
    </row>
    <row r="1237" spans="1:27">
      <c r="A1237" s="376">
        <v>871</v>
      </c>
      <c r="B1237" s="377">
        <v>826400</v>
      </c>
      <c r="C1237" s="382" t="s">
        <v>7301</v>
      </c>
      <c r="D1237" s="379">
        <v>447</v>
      </c>
      <c r="E1237" s="380">
        <v>440</v>
      </c>
      <c r="F1237" s="380">
        <v>440</v>
      </c>
      <c r="H1237" s="351">
        <f t="shared" si="100"/>
        <v>447000</v>
      </c>
      <c r="I1237" s="351">
        <f t="shared" si="101"/>
        <v>440000</v>
      </c>
      <c r="M1237" s="321">
        <v>1715300140</v>
      </c>
      <c r="N1237" s="321">
        <v>71</v>
      </c>
      <c r="O1237" s="321" t="s">
        <v>5207</v>
      </c>
      <c r="P1237" s="321">
        <v>6715300</v>
      </c>
      <c r="Q1237" s="322">
        <v>153000</v>
      </c>
      <c r="R1237" s="322">
        <v>103800</v>
      </c>
      <c r="S1237" s="322">
        <v>161000</v>
      </c>
      <c r="T1237" s="322">
        <v>161000</v>
      </c>
      <c r="U1237" s="322">
        <f t="shared" si="97"/>
        <v>0</v>
      </c>
      <c r="W1237" s="321">
        <f t="shared" si="98"/>
        <v>140</v>
      </c>
      <c r="X1237" s="321">
        <f t="shared" si="99"/>
        <v>715300</v>
      </c>
      <c r="Y1237" s="321">
        <v>1</v>
      </c>
      <c r="AA1237" s="321" t="s">
        <v>5207</v>
      </c>
    </row>
    <row r="1238" spans="1:27">
      <c r="A1238" s="376">
        <v>872</v>
      </c>
      <c r="B1238" s="377">
        <v>826400</v>
      </c>
      <c r="C1238" s="382" t="s">
        <v>7302</v>
      </c>
      <c r="D1238" s="379">
        <v>1234</v>
      </c>
      <c r="E1238" s="380">
        <v>1250</v>
      </c>
      <c r="F1238" s="380">
        <v>1250</v>
      </c>
      <c r="H1238" s="351">
        <f t="shared" si="100"/>
        <v>1234000</v>
      </c>
      <c r="I1238" s="351">
        <f t="shared" si="101"/>
        <v>1250000</v>
      </c>
      <c r="M1238" s="321">
        <v>1715300141</v>
      </c>
      <c r="N1238" s="321">
        <v>71</v>
      </c>
      <c r="O1238" s="321" t="s">
        <v>5208</v>
      </c>
      <c r="P1238" s="321">
        <v>6715300</v>
      </c>
      <c r="Q1238" s="322">
        <v>48000</v>
      </c>
      <c r="R1238" s="322">
        <v>32000</v>
      </c>
      <c r="S1238" s="322">
        <v>44000</v>
      </c>
      <c r="T1238" s="322">
        <v>44000</v>
      </c>
      <c r="U1238" s="322">
        <f t="shared" si="97"/>
        <v>0</v>
      </c>
      <c r="W1238" s="321">
        <f t="shared" si="98"/>
        <v>141</v>
      </c>
      <c r="X1238" s="321">
        <f t="shared" si="99"/>
        <v>715300</v>
      </c>
      <c r="Y1238" s="321">
        <v>1</v>
      </c>
      <c r="AA1238" s="321" t="s">
        <v>5208</v>
      </c>
    </row>
    <row r="1239" spans="1:27">
      <c r="A1239" s="376">
        <v>873</v>
      </c>
      <c r="B1239" s="377">
        <v>826400</v>
      </c>
      <c r="C1239" s="391" t="s">
        <v>7303</v>
      </c>
      <c r="D1239" s="379">
        <v>105</v>
      </c>
      <c r="E1239" s="380">
        <v>110</v>
      </c>
      <c r="F1239" s="380">
        <v>110</v>
      </c>
      <c r="H1239" s="351">
        <f t="shared" si="100"/>
        <v>105000</v>
      </c>
      <c r="I1239" s="351">
        <f t="shared" si="101"/>
        <v>110000</v>
      </c>
      <c r="M1239" s="321">
        <v>1715300181</v>
      </c>
      <c r="N1239" s="321">
        <v>71</v>
      </c>
      <c r="O1239" s="321" t="s">
        <v>2580</v>
      </c>
      <c r="P1239" s="321">
        <v>6715300</v>
      </c>
      <c r="Q1239" s="322">
        <v>114000</v>
      </c>
      <c r="R1239" s="322">
        <v>87300</v>
      </c>
      <c r="S1239" s="322">
        <v>124000</v>
      </c>
      <c r="T1239" s="322">
        <v>124000</v>
      </c>
      <c r="U1239" s="322">
        <f t="shared" si="97"/>
        <v>0</v>
      </c>
      <c r="W1239" s="321">
        <f t="shared" si="98"/>
        <v>181</v>
      </c>
      <c r="X1239" s="321">
        <f t="shared" si="99"/>
        <v>715300</v>
      </c>
      <c r="Y1239" s="321">
        <v>1</v>
      </c>
      <c r="AA1239" s="321" t="s">
        <v>2580</v>
      </c>
    </row>
    <row r="1240" spans="1:27">
      <c r="A1240" s="376">
        <v>874</v>
      </c>
      <c r="B1240" s="377">
        <v>826400</v>
      </c>
      <c r="C1240" s="391" t="s">
        <v>7304</v>
      </c>
      <c r="D1240" s="379">
        <v>1482</v>
      </c>
      <c r="E1240" s="380">
        <v>1523</v>
      </c>
      <c r="F1240" s="380">
        <v>1523</v>
      </c>
      <c r="H1240" s="351">
        <f t="shared" si="100"/>
        <v>1482000</v>
      </c>
      <c r="I1240" s="351">
        <f t="shared" si="101"/>
        <v>1523000</v>
      </c>
      <c r="M1240" s="321">
        <v>1715300182</v>
      </c>
      <c r="N1240" s="321">
        <v>71</v>
      </c>
      <c r="O1240" s="321" t="s">
        <v>2582</v>
      </c>
      <c r="P1240" s="321">
        <v>6715300</v>
      </c>
      <c r="Q1240" s="322">
        <v>158000</v>
      </c>
      <c r="R1240" s="322">
        <v>108500</v>
      </c>
      <c r="S1240" s="322">
        <v>156000</v>
      </c>
      <c r="T1240" s="322">
        <v>156000</v>
      </c>
      <c r="U1240" s="322">
        <f t="shared" si="97"/>
        <v>0</v>
      </c>
      <c r="W1240" s="321">
        <f t="shared" si="98"/>
        <v>182</v>
      </c>
      <c r="X1240" s="321">
        <f t="shared" si="99"/>
        <v>715300</v>
      </c>
      <c r="Y1240" s="321">
        <v>1</v>
      </c>
      <c r="AA1240" s="321" t="s">
        <v>2582</v>
      </c>
    </row>
    <row r="1241" spans="1:27" ht="30">
      <c r="A1241" s="376">
        <v>875</v>
      </c>
      <c r="B1241" s="377">
        <v>826400</v>
      </c>
      <c r="C1241" s="391" t="s">
        <v>7305</v>
      </c>
      <c r="D1241" s="379">
        <v>259</v>
      </c>
      <c r="E1241" s="380">
        <v>0</v>
      </c>
      <c r="F1241" s="380">
        <v>0</v>
      </c>
      <c r="H1241" s="351">
        <f t="shared" si="100"/>
        <v>259000</v>
      </c>
      <c r="I1241" s="351">
        <f t="shared" si="101"/>
        <v>0</v>
      </c>
      <c r="M1241" s="321">
        <v>1715300420</v>
      </c>
      <c r="N1241" s="321">
        <v>71</v>
      </c>
      <c r="O1241" s="321" t="s">
        <v>5516</v>
      </c>
      <c r="P1241" s="321">
        <v>6715300</v>
      </c>
      <c r="Q1241" s="322">
        <v>0</v>
      </c>
      <c r="R1241" s="322">
        <v>0</v>
      </c>
      <c r="S1241" s="322">
        <v>0</v>
      </c>
      <c r="T1241" s="322">
        <v>0</v>
      </c>
      <c r="U1241" s="322">
        <f t="shared" si="97"/>
        <v>0</v>
      </c>
      <c r="W1241" s="321">
        <f t="shared" si="98"/>
        <v>420</v>
      </c>
      <c r="X1241" s="321">
        <f t="shared" si="99"/>
        <v>715300</v>
      </c>
      <c r="Y1241" s="321">
        <v>1</v>
      </c>
      <c r="AA1241" s="321" t="s">
        <v>5516</v>
      </c>
    </row>
    <row r="1242" spans="1:27">
      <c r="A1242" s="376">
        <v>876</v>
      </c>
      <c r="B1242" s="377">
        <v>826400</v>
      </c>
      <c r="C1242" s="391" t="s">
        <v>7306</v>
      </c>
      <c r="D1242" s="379">
        <v>855</v>
      </c>
      <c r="E1242" s="380">
        <v>861</v>
      </c>
      <c r="F1242" s="380">
        <v>861</v>
      </c>
      <c r="H1242" s="351">
        <f t="shared" si="100"/>
        <v>855000</v>
      </c>
      <c r="I1242" s="351">
        <f t="shared" si="101"/>
        <v>861000</v>
      </c>
      <c r="M1242" s="321">
        <v>1715300422</v>
      </c>
      <c r="N1242" s="321">
        <v>71</v>
      </c>
      <c r="O1242" s="321" t="s">
        <v>5517</v>
      </c>
      <c r="P1242" s="321">
        <v>6715300</v>
      </c>
      <c r="Q1242" s="322">
        <v>2000</v>
      </c>
      <c r="R1242" s="322">
        <v>0</v>
      </c>
      <c r="S1242" s="322">
        <v>2000</v>
      </c>
      <c r="T1242" s="322">
        <v>2000</v>
      </c>
      <c r="U1242" s="322">
        <f t="shared" si="97"/>
        <v>0</v>
      </c>
      <c r="W1242" s="321">
        <f t="shared" si="98"/>
        <v>422</v>
      </c>
      <c r="X1242" s="321">
        <f t="shared" si="99"/>
        <v>715300</v>
      </c>
      <c r="Y1242" s="321">
        <v>1</v>
      </c>
      <c r="AA1242" s="321" t="s">
        <v>5517</v>
      </c>
    </row>
    <row r="1243" spans="1:27">
      <c r="A1243" s="376">
        <v>878</v>
      </c>
      <c r="B1243" s="377">
        <v>826400</v>
      </c>
      <c r="C1243" s="391" t="s">
        <v>7307</v>
      </c>
      <c r="D1243" s="379">
        <v>283</v>
      </c>
      <c r="E1243" s="380">
        <v>182</v>
      </c>
      <c r="F1243" s="380">
        <v>182</v>
      </c>
      <c r="H1243" s="351">
        <f t="shared" si="100"/>
        <v>283000</v>
      </c>
      <c r="I1243" s="351">
        <f t="shared" si="101"/>
        <v>182000</v>
      </c>
      <c r="M1243" s="321">
        <v>1715300470</v>
      </c>
      <c r="N1243" s="321">
        <v>71</v>
      </c>
      <c r="O1243" s="321" t="s">
        <v>2830</v>
      </c>
      <c r="P1243" s="321">
        <v>6715300</v>
      </c>
      <c r="Q1243" s="322">
        <v>900</v>
      </c>
      <c r="R1243" s="322">
        <v>600</v>
      </c>
      <c r="S1243" s="322">
        <v>1000</v>
      </c>
      <c r="T1243" s="322">
        <v>1000</v>
      </c>
      <c r="U1243" s="322">
        <f t="shared" si="97"/>
        <v>0</v>
      </c>
      <c r="W1243" s="321">
        <f t="shared" si="98"/>
        <v>470</v>
      </c>
      <c r="X1243" s="321">
        <f t="shared" si="99"/>
        <v>715300</v>
      </c>
      <c r="Y1243" s="321">
        <v>1</v>
      </c>
      <c r="AA1243" s="321" t="s">
        <v>2830</v>
      </c>
    </row>
    <row r="1244" spans="1:27">
      <c r="A1244" s="376">
        <v>879</v>
      </c>
      <c r="B1244" s="377">
        <v>826400</v>
      </c>
      <c r="C1244" s="391" t="s">
        <v>7308</v>
      </c>
      <c r="D1244" s="379">
        <v>2033</v>
      </c>
      <c r="E1244" s="380">
        <v>2044</v>
      </c>
      <c r="F1244" s="380">
        <v>2044</v>
      </c>
      <c r="H1244" s="351">
        <f t="shared" si="100"/>
        <v>2033000</v>
      </c>
      <c r="I1244" s="351">
        <f t="shared" si="101"/>
        <v>2044000</v>
      </c>
      <c r="M1244" s="321">
        <v>1715300510</v>
      </c>
      <c r="N1244" s="321">
        <v>71</v>
      </c>
      <c r="O1244" s="321" t="s">
        <v>2805</v>
      </c>
      <c r="P1244" s="321">
        <v>6715300</v>
      </c>
      <c r="Q1244" s="322">
        <v>1000</v>
      </c>
      <c r="R1244" s="322">
        <v>0</v>
      </c>
      <c r="S1244" s="322">
        <v>1000</v>
      </c>
      <c r="T1244" s="322">
        <v>1000</v>
      </c>
      <c r="U1244" s="322">
        <f t="shared" si="97"/>
        <v>0</v>
      </c>
      <c r="W1244" s="321">
        <f t="shared" si="98"/>
        <v>510</v>
      </c>
      <c r="X1244" s="321">
        <f t="shared" si="99"/>
        <v>715300</v>
      </c>
      <c r="Y1244" s="321">
        <v>1</v>
      </c>
      <c r="AA1244" s="321" t="s">
        <v>2805</v>
      </c>
    </row>
    <row r="1245" spans="1:27">
      <c r="A1245" s="376">
        <v>100</v>
      </c>
      <c r="B1245" s="377">
        <v>826410</v>
      </c>
      <c r="C1245" s="391" t="s">
        <v>7309</v>
      </c>
      <c r="D1245" s="379">
        <v>65</v>
      </c>
      <c r="E1245" s="380">
        <v>200</v>
      </c>
      <c r="F1245" s="380">
        <v>248</v>
      </c>
      <c r="H1245" s="351">
        <f t="shared" si="100"/>
        <v>65000</v>
      </c>
      <c r="I1245" s="351">
        <f t="shared" si="101"/>
        <v>248000</v>
      </c>
      <c r="M1245" s="321">
        <v>1715300540</v>
      </c>
      <c r="N1245" s="321">
        <v>71</v>
      </c>
      <c r="O1245" s="321" t="s">
        <v>5216</v>
      </c>
      <c r="P1245" s="321">
        <v>6715300</v>
      </c>
      <c r="Q1245" s="322">
        <v>3500</v>
      </c>
      <c r="R1245" s="322">
        <v>2200</v>
      </c>
      <c r="S1245" s="322">
        <v>3500</v>
      </c>
      <c r="T1245" s="322">
        <v>3500</v>
      </c>
      <c r="U1245" s="322">
        <f t="shared" si="97"/>
        <v>0</v>
      </c>
      <c r="W1245" s="321">
        <f t="shared" si="98"/>
        <v>540</v>
      </c>
      <c r="X1245" s="321">
        <f t="shared" si="99"/>
        <v>715300</v>
      </c>
      <c r="Y1245" s="321">
        <v>1</v>
      </c>
      <c r="AA1245" s="321" t="s">
        <v>5216</v>
      </c>
    </row>
    <row r="1246" spans="1:27">
      <c r="A1246" s="376">
        <v>420</v>
      </c>
      <c r="B1246" s="377">
        <v>826410</v>
      </c>
      <c r="C1246" s="382" t="s">
        <v>7310</v>
      </c>
      <c r="D1246" s="379">
        <v>3</v>
      </c>
      <c r="E1246" s="380">
        <v>3</v>
      </c>
      <c r="F1246" s="380">
        <v>3</v>
      </c>
      <c r="H1246" s="351">
        <f t="shared" si="100"/>
        <v>3000</v>
      </c>
      <c r="I1246" s="351">
        <f t="shared" si="101"/>
        <v>3000</v>
      </c>
      <c r="M1246" s="321">
        <v>1715300542</v>
      </c>
      <c r="N1246" s="321">
        <v>71</v>
      </c>
      <c r="O1246" s="321" t="s">
        <v>5362</v>
      </c>
      <c r="P1246" s="321">
        <v>6715300</v>
      </c>
      <c r="Q1246" s="322">
        <v>5000</v>
      </c>
      <c r="R1246" s="322">
        <v>3400</v>
      </c>
      <c r="S1246" s="322">
        <v>5000</v>
      </c>
      <c r="T1246" s="322">
        <v>5000</v>
      </c>
      <c r="U1246" s="322">
        <f t="shared" si="97"/>
        <v>0</v>
      </c>
      <c r="W1246" s="321">
        <f t="shared" si="98"/>
        <v>542</v>
      </c>
      <c r="X1246" s="321">
        <f t="shared" si="99"/>
        <v>715300</v>
      </c>
      <c r="Y1246" s="321">
        <v>1</v>
      </c>
      <c r="AA1246" s="321" t="s">
        <v>5362</v>
      </c>
    </row>
    <row r="1247" spans="1:27">
      <c r="A1247" s="376">
        <v>430</v>
      </c>
      <c r="B1247" s="377">
        <v>826410</v>
      </c>
      <c r="C1247" s="391" t="s">
        <v>6798</v>
      </c>
      <c r="D1247" s="379">
        <v>25</v>
      </c>
      <c r="E1247" s="380">
        <v>20</v>
      </c>
      <c r="F1247" s="380">
        <v>30</v>
      </c>
      <c r="H1247" s="351">
        <f t="shared" si="100"/>
        <v>25000</v>
      </c>
      <c r="I1247" s="351">
        <f t="shared" si="101"/>
        <v>30000</v>
      </c>
      <c r="M1247" s="321">
        <v>1715300720</v>
      </c>
      <c r="N1247" s="321">
        <v>71</v>
      </c>
      <c r="O1247" s="321" t="s">
        <v>2705</v>
      </c>
      <c r="P1247" s="321">
        <v>6715300</v>
      </c>
      <c r="Q1247" s="322">
        <v>69000</v>
      </c>
      <c r="R1247" s="322">
        <v>35400</v>
      </c>
      <c r="S1247" s="322">
        <v>69000</v>
      </c>
      <c r="T1247" s="322">
        <v>69000</v>
      </c>
      <c r="U1247" s="322">
        <f t="shared" si="97"/>
        <v>0</v>
      </c>
      <c r="W1247" s="321">
        <f t="shared" si="98"/>
        <v>720</v>
      </c>
      <c r="X1247" s="321">
        <f t="shared" si="99"/>
        <v>715300</v>
      </c>
      <c r="Y1247" s="321">
        <v>1</v>
      </c>
      <c r="AA1247" s="321" t="s">
        <v>2705</v>
      </c>
    </row>
    <row r="1248" spans="1:27">
      <c r="A1248" s="376">
        <v>540</v>
      </c>
      <c r="B1248" s="377">
        <v>826410</v>
      </c>
      <c r="C1248" s="391" t="s">
        <v>6752</v>
      </c>
      <c r="D1248" s="379">
        <v>8</v>
      </c>
      <c r="E1248" s="380">
        <v>8</v>
      </c>
      <c r="F1248" s="380">
        <v>8</v>
      </c>
      <c r="H1248" s="351">
        <f t="shared" si="100"/>
        <v>8000</v>
      </c>
      <c r="I1248" s="351">
        <f t="shared" si="101"/>
        <v>8000</v>
      </c>
      <c r="M1248" s="321">
        <v>1715300730</v>
      </c>
      <c r="N1248" s="321">
        <v>71</v>
      </c>
      <c r="O1248" s="321" t="s">
        <v>5518</v>
      </c>
      <c r="P1248" s="321">
        <v>6715300</v>
      </c>
      <c r="Q1248" s="322">
        <v>50000</v>
      </c>
      <c r="R1248" s="322">
        <v>29000</v>
      </c>
      <c r="S1248" s="322">
        <v>50000</v>
      </c>
      <c r="T1248" s="322">
        <v>50000</v>
      </c>
      <c r="U1248" s="322">
        <f t="shared" si="97"/>
        <v>0</v>
      </c>
      <c r="W1248" s="321">
        <f t="shared" si="98"/>
        <v>730</v>
      </c>
      <c r="X1248" s="321">
        <f t="shared" si="99"/>
        <v>715300</v>
      </c>
      <c r="Y1248" s="321">
        <v>1</v>
      </c>
      <c r="AA1248" s="321" t="s">
        <v>5518</v>
      </c>
    </row>
    <row r="1249" spans="1:27">
      <c r="A1249" s="376">
        <v>550</v>
      </c>
      <c r="B1249" s="377">
        <v>826410</v>
      </c>
      <c r="C1249" s="385" t="s">
        <v>6737</v>
      </c>
      <c r="D1249" s="379">
        <v>22</v>
      </c>
      <c r="E1249" s="380">
        <v>22</v>
      </c>
      <c r="F1249" s="380">
        <v>22</v>
      </c>
      <c r="H1249" s="351">
        <f t="shared" si="100"/>
        <v>22000</v>
      </c>
      <c r="I1249" s="351">
        <f t="shared" si="101"/>
        <v>22000</v>
      </c>
      <c r="M1249" s="321">
        <v>1715300731</v>
      </c>
      <c r="N1249" s="321">
        <v>71</v>
      </c>
      <c r="O1249" s="321" t="s">
        <v>5519</v>
      </c>
      <c r="P1249" s="321">
        <v>6715300</v>
      </c>
      <c r="Q1249" s="322">
        <v>5000</v>
      </c>
      <c r="R1249" s="322">
        <v>2400</v>
      </c>
      <c r="S1249" s="322">
        <v>5000</v>
      </c>
      <c r="T1249" s="322">
        <v>5000</v>
      </c>
      <c r="U1249" s="322">
        <f t="shared" si="97"/>
        <v>0</v>
      </c>
      <c r="W1249" s="321">
        <f t="shared" si="98"/>
        <v>731</v>
      </c>
      <c r="X1249" s="321">
        <f t="shared" si="99"/>
        <v>715300</v>
      </c>
      <c r="Y1249" s="321">
        <v>1</v>
      </c>
      <c r="AA1249" s="321" t="s">
        <v>5519</v>
      </c>
    </row>
    <row r="1250" spans="1:27">
      <c r="A1250" s="376">
        <v>750</v>
      </c>
      <c r="B1250" s="377">
        <v>826410</v>
      </c>
      <c r="C1250" s="382" t="s">
        <v>6804</v>
      </c>
      <c r="D1250" s="379">
        <v>36</v>
      </c>
      <c r="E1250" s="380">
        <v>36</v>
      </c>
      <c r="F1250" s="380">
        <v>36</v>
      </c>
      <c r="H1250" s="351">
        <f t="shared" si="100"/>
        <v>36000</v>
      </c>
      <c r="I1250" s="351">
        <f t="shared" si="101"/>
        <v>36000</v>
      </c>
      <c r="M1250" s="321">
        <v>1715300742</v>
      </c>
      <c r="N1250" s="321">
        <v>71</v>
      </c>
      <c r="O1250" s="321" t="s">
        <v>2668</v>
      </c>
      <c r="P1250" s="321">
        <v>6715300</v>
      </c>
      <c r="Q1250" s="322">
        <v>6000</v>
      </c>
      <c r="R1250" s="322">
        <v>0</v>
      </c>
      <c r="S1250" s="322">
        <v>6000</v>
      </c>
      <c r="T1250" s="322">
        <v>6000</v>
      </c>
      <c r="U1250" s="322">
        <f t="shared" si="97"/>
        <v>0</v>
      </c>
      <c r="W1250" s="321">
        <f t="shared" si="98"/>
        <v>742</v>
      </c>
      <c r="X1250" s="321">
        <f t="shared" si="99"/>
        <v>715300</v>
      </c>
      <c r="Y1250" s="321">
        <v>1</v>
      </c>
      <c r="AA1250" s="321" t="s">
        <v>2668</v>
      </c>
    </row>
    <row r="1251" spans="1:27">
      <c r="A1251" s="376">
        <v>780</v>
      </c>
      <c r="B1251" s="377">
        <v>826410</v>
      </c>
      <c r="C1251" s="397" t="s">
        <v>7311</v>
      </c>
      <c r="D1251" s="379">
        <v>0</v>
      </c>
      <c r="E1251" s="380">
        <v>75</v>
      </c>
      <c r="F1251" s="380">
        <v>75</v>
      </c>
      <c r="H1251" s="351">
        <f t="shared" si="100"/>
        <v>0</v>
      </c>
      <c r="I1251" s="351">
        <f t="shared" si="101"/>
        <v>75000</v>
      </c>
      <c r="M1251" s="321">
        <v>1715300743</v>
      </c>
      <c r="N1251" s="321">
        <v>71</v>
      </c>
      <c r="O1251" s="321" t="s">
        <v>2622</v>
      </c>
      <c r="P1251" s="321">
        <v>6715300</v>
      </c>
      <c r="Q1251" s="322">
        <v>10000</v>
      </c>
      <c r="R1251" s="322">
        <v>1100</v>
      </c>
      <c r="S1251" s="322">
        <v>10000</v>
      </c>
      <c r="T1251" s="322">
        <v>10000</v>
      </c>
      <c r="U1251" s="322">
        <f t="shared" si="97"/>
        <v>0</v>
      </c>
      <c r="W1251" s="321">
        <f t="shared" si="98"/>
        <v>743</v>
      </c>
      <c r="X1251" s="321">
        <f t="shared" si="99"/>
        <v>715300</v>
      </c>
      <c r="Y1251" s="321">
        <v>1</v>
      </c>
      <c r="AA1251" s="321" t="s">
        <v>2622</v>
      </c>
    </row>
    <row r="1252" spans="1:27">
      <c r="A1252" s="376">
        <v>410</v>
      </c>
      <c r="B1252" s="377">
        <v>826420</v>
      </c>
      <c r="C1252" s="385" t="s">
        <v>7312</v>
      </c>
      <c r="D1252" s="379">
        <v>166</v>
      </c>
      <c r="E1252" s="380">
        <v>160</v>
      </c>
      <c r="F1252" s="380">
        <v>176</v>
      </c>
      <c r="H1252" s="351">
        <f t="shared" si="100"/>
        <v>166000</v>
      </c>
      <c r="I1252" s="351">
        <f t="shared" si="101"/>
        <v>176000</v>
      </c>
      <c r="M1252" s="321">
        <v>1715300750</v>
      </c>
      <c r="N1252" s="321">
        <v>71</v>
      </c>
      <c r="O1252" s="321" t="s">
        <v>5520</v>
      </c>
      <c r="P1252" s="321">
        <v>6715300</v>
      </c>
      <c r="Q1252" s="322">
        <v>5000</v>
      </c>
      <c r="R1252" s="322">
        <v>0</v>
      </c>
      <c r="S1252" s="322">
        <v>25000</v>
      </c>
      <c r="T1252" s="322">
        <v>25000</v>
      </c>
      <c r="U1252" s="322">
        <f t="shared" si="97"/>
        <v>0</v>
      </c>
      <c r="W1252" s="321">
        <f t="shared" si="98"/>
        <v>750</v>
      </c>
      <c r="X1252" s="321">
        <f t="shared" si="99"/>
        <v>715300</v>
      </c>
      <c r="Y1252" s="321">
        <v>1</v>
      </c>
      <c r="AA1252" s="321" t="s">
        <v>5520</v>
      </c>
    </row>
    <row r="1253" spans="1:27">
      <c r="A1253" s="376">
        <v>100</v>
      </c>
      <c r="B1253" s="377">
        <v>827000</v>
      </c>
      <c r="C1253" s="382" t="s">
        <v>7027</v>
      </c>
      <c r="D1253" s="379">
        <v>204</v>
      </c>
      <c r="E1253" s="380">
        <v>200</v>
      </c>
      <c r="F1253" s="380">
        <v>200</v>
      </c>
      <c r="H1253" s="351">
        <f t="shared" si="100"/>
        <v>204000</v>
      </c>
      <c r="I1253" s="351">
        <f t="shared" si="101"/>
        <v>200000</v>
      </c>
      <c r="M1253" s="321">
        <v>1715300760</v>
      </c>
      <c r="N1253" s="321">
        <v>71</v>
      </c>
      <c r="O1253" s="321" t="s">
        <v>5521</v>
      </c>
      <c r="P1253" s="321">
        <v>6715300</v>
      </c>
      <c r="Q1253" s="322">
        <v>28000</v>
      </c>
      <c r="R1253" s="322">
        <v>16800</v>
      </c>
      <c r="S1253" s="322">
        <v>33000</v>
      </c>
      <c r="T1253" s="322">
        <v>33000</v>
      </c>
      <c r="U1253" s="322">
        <f t="shared" si="97"/>
        <v>0</v>
      </c>
      <c r="W1253" s="321">
        <f t="shared" si="98"/>
        <v>760</v>
      </c>
      <c r="X1253" s="321">
        <f t="shared" si="99"/>
        <v>715300</v>
      </c>
      <c r="Y1253" s="321">
        <v>1</v>
      </c>
      <c r="AA1253" s="321" t="s">
        <v>5521</v>
      </c>
    </row>
    <row r="1254" spans="1:27">
      <c r="A1254" s="376">
        <v>410</v>
      </c>
      <c r="B1254" s="377">
        <v>827000</v>
      </c>
      <c r="C1254" s="382" t="s">
        <v>7313</v>
      </c>
      <c r="D1254" s="379">
        <v>50</v>
      </c>
      <c r="E1254" s="380">
        <v>45</v>
      </c>
      <c r="F1254" s="380">
        <v>50</v>
      </c>
      <c r="H1254" s="351">
        <f t="shared" si="100"/>
        <v>50000</v>
      </c>
      <c r="I1254" s="351">
        <f t="shared" si="101"/>
        <v>50000</v>
      </c>
      <c r="M1254" s="321">
        <v>1715300771</v>
      </c>
      <c r="N1254" s="321">
        <v>71</v>
      </c>
      <c r="O1254" s="321" t="s">
        <v>3188</v>
      </c>
      <c r="P1254" s="321">
        <v>6715300</v>
      </c>
      <c r="Q1254" s="322">
        <v>0</v>
      </c>
      <c r="R1254" s="322">
        <v>0</v>
      </c>
      <c r="S1254" s="322">
        <v>0</v>
      </c>
      <c r="T1254" s="322">
        <v>0</v>
      </c>
      <c r="U1254" s="322">
        <f t="shared" si="97"/>
        <v>0</v>
      </c>
      <c r="W1254" s="321">
        <f t="shared" si="98"/>
        <v>771</v>
      </c>
      <c r="X1254" s="321">
        <f t="shared" si="99"/>
        <v>715300</v>
      </c>
      <c r="Y1254" s="321">
        <v>1</v>
      </c>
      <c r="AA1254" s="321" t="s">
        <v>3188</v>
      </c>
    </row>
    <row r="1255" spans="1:27">
      <c r="A1255" s="376">
        <v>560</v>
      </c>
      <c r="B1255" s="377">
        <v>827000</v>
      </c>
      <c r="C1255" s="382" t="s">
        <v>7314</v>
      </c>
      <c r="D1255" s="379">
        <v>30</v>
      </c>
      <c r="E1255" s="380">
        <v>30</v>
      </c>
      <c r="F1255" s="380">
        <v>30</v>
      </c>
      <c r="H1255" s="351">
        <f t="shared" si="100"/>
        <v>30000</v>
      </c>
      <c r="I1255" s="351">
        <f t="shared" si="101"/>
        <v>30000</v>
      </c>
      <c r="M1255" s="321">
        <v>1715300779</v>
      </c>
      <c r="N1255" s="321">
        <v>71</v>
      </c>
      <c r="O1255" s="321" t="s">
        <v>5382</v>
      </c>
      <c r="P1255" s="321">
        <v>6715300</v>
      </c>
      <c r="Q1255" s="322">
        <v>6000</v>
      </c>
      <c r="R1255" s="322">
        <v>3900</v>
      </c>
      <c r="S1255" s="322">
        <v>6000</v>
      </c>
      <c r="T1255" s="322">
        <v>6000</v>
      </c>
      <c r="U1255" s="322">
        <f t="shared" si="97"/>
        <v>0</v>
      </c>
      <c r="W1255" s="321">
        <f t="shared" si="98"/>
        <v>779</v>
      </c>
      <c r="X1255" s="321">
        <f t="shared" si="99"/>
        <v>715300</v>
      </c>
      <c r="Y1255" s="321">
        <v>1</v>
      </c>
      <c r="AA1255" s="321" t="s">
        <v>5382</v>
      </c>
    </row>
    <row r="1256" spans="1:27">
      <c r="A1256" s="376">
        <v>780</v>
      </c>
      <c r="B1256" s="377">
        <v>827000</v>
      </c>
      <c r="C1256" s="382" t="s">
        <v>7315</v>
      </c>
      <c r="D1256" s="379">
        <v>650</v>
      </c>
      <c r="E1256" s="380">
        <v>650</v>
      </c>
      <c r="F1256" s="380">
        <v>650</v>
      </c>
      <c r="H1256" s="351">
        <f t="shared" si="100"/>
        <v>650000</v>
      </c>
      <c r="I1256" s="351">
        <f t="shared" si="101"/>
        <v>650000</v>
      </c>
      <c r="M1256" s="321">
        <v>1715300781</v>
      </c>
      <c r="N1256" s="321">
        <v>71</v>
      </c>
      <c r="O1256" s="321" t="s">
        <v>5383</v>
      </c>
      <c r="P1256" s="321">
        <v>6715300</v>
      </c>
      <c r="Q1256" s="322">
        <v>2000</v>
      </c>
      <c r="R1256" s="322">
        <v>0</v>
      </c>
      <c r="S1256" s="322">
        <v>2000</v>
      </c>
      <c r="T1256" s="322">
        <v>2000</v>
      </c>
      <c r="U1256" s="322">
        <f t="shared" si="97"/>
        <v>0</v>
      </c>
      <c r="W1256" s="321">
        <f t="shared" si="98"/>
        <v>781</v>
      </c>
      <c r="X1256" s="321">
        <f t="shared" si="99"/>
        <v>715300</v>
      </c>
      <c r="Y1256" s="321">
        <v>1</v>
      </c>
      <c r="AA1256" s="321" t="s">
        <v>5383</v>
      </c>
    </row>
    <row r="1257" spans="1:27">
      <c r="A1257" s="376">
        <v>820</v>
      </c>
      <c r="B1257" s="377">
        <v>827000</v>
      </c>
      <c r="C1257" s="382" t="s">
        <v>7316</v>
      </c>
      <c r="D1257" s="379">
        <v>70</v>
      </c>
      <c r="E1257" s="380">
        <v>70</v>
      </c>
      <c r="F1257" s="380">
        <v>70</v>
      </c>
      <c r="H1257" s="351">
        <f t="shared" si="100"/>
        <v>70000</v>
      </c>
      <c r="I1257" s="351">
        <f t="shared" si="101"/>
        <v>70000</v>
      </c>
      <c r="M1257" s="321">
        <v>1721000110</v>
      </c>
      <c r="N1257" s="321">
        <v>72</v>
      </c>
      <c r="O1257" s="321" t="s">
        <v>5231</v>
      </c>
      <c r="P1257" s="321">
        <v>1721000</v>
      </c>
      <c r="Q1257" s="322">
        <v>853000</v>
      </c>
      <c r="R1257" s="322">
        <v>690300</v>
      </c>
      <c r="S1257" s="322">
        <v>945000</v>
      </c>
      <c r="T1257" s="322">
        <v>945000</v>
      </c>
      <c r="U1257" s="322">
        <f t="shared" si="97"/>
        <v>0</v>
      </c>
      <c r="W1257" s="321">
        <f t="shared" si="98"/>
        <v>110</v>
      </c>
      <c r="X1257" s="321">
        <f t="shared" si="99"/>
        <v>721000</v>
      </c>
      <c r="Y1257" s="321">
        <v>1</v>
      </c>
      <c r="AA1257" s="321" t="s">
        <v>5231</v>
      </c>
    </row>
    <row r="1258" spans="1:27">
      <c r="A1258" s="376">
        <v>100</v>
      </c>
      <c r="B1258" s="377">
        <v>828100</v>
      </c>
      <c r="C1258" s="382" t="s">
        <v>7317</v>
      </c>
      <c r="D1258" s="379">
        <v>724</v>
      </c>
      <c r="E1258" s="380">
        <v>710</v>
      </c>
      <c r="F1258" s="380">
        <v>710</v>
      </c>
      <c r="H1258" s="351">
        <f t="shared" si="100"/>
        <v>724000</v>
      </c>
      <c r="I1258" s="351">
        <f t="shared" si="101"/>
        <v>710000</v>
      </c>
      <c r="M1258" s="321">
        <v>1721000120</v>
      </c>
      <c r="N1258" s="321">
        <v>72</v>
      </c>
      <c r="O1258" s="321" t="s">
        <v>5206</v>
      </c>
      <c r="P1258" s="321">
        <v>1721000</v>
      </c>
      <c r="Q1258" s="322">
        <v>77000</v>
      </c>
      <c r="R1258" s="322">
        <v>86300</v>
      </c>
      <c r="S1258" s="322">
        <v>94000</v>
      </c>
      <c r="T1258" s="322">
        <v>94000</v>
      </c>
      <c r="U1258" s="322">
        <f t="shared" si="97"/>
        <v>0</v>
      </c>
      <c r="W1258" s="321">
        <f t="shared" si="98"/>
        <v>120</v>
      </c>
      <c r="X1258" s="321">
        <f t="shared" si="99"/>
        <v>721000</v>
      </c>
      <c r="Y1258" s="321">
        <v>1</v>
      </c>
      <c r="AA1258" s="321" t="s">
        <v>5206</v>
      </c>
    </row>
    <row r="1259" spans="1:27">
      <c r="A1259" s="376">
        <v>540</v>
      </c>
      <c r="B1259" s="377">
        <v>828100</v>
      </c>
      <c r="C1259" s="382" t="s">
        <v>6752</v>
      </c>
      <c r="D1259" s="379">
        <v>1</v>
      </c>
      <c r="E1259" s="380">
        <v>1</v>
      </c>
      <c r="F1259" s="380">
        <v>3</v>
      </c>
      <c r="H1259" s="351">
        <f t="shared" si="100"/>
        <v>1000</v>
      </c>
      <c r="I1259" s="351">
        <f t="shared" si="101"/>
        <v>3000</v>
      </c>
      <c r="M1259" s="321">
        <v>1721000130</v>
      </c>
      <c r="N1259" s="321">
        <v>72</v>
      </c>
      <c r="O1259" s="321" t="s">
        <v>2576</v>
      </c>
      <c r="P1259" s="321">
        <v>1721000</v>
      </c>
      <c r="Q1259" s="322">
        <v>202000</v>
      </c>
      <c r="R1259" s="322">
        <v>139100</v>
      </c>
      <c r="S1259" s="322">
        <v>191000</v>
      </c>
      <c r="T1259" s="322">
        <v>171900</v>
      </c>
      <c r="U1259" s="322">
        <f t="shared" si="97"/>
        <v>19100</v>
      </c>
      <c r="W1259" s="321">
        <f t="shared" si="98"/>
        <v>130</v>
      </c>
      <c r="X1259" s="321">
        <f t="shared" si="99"/>
        <v>721000</v>
      </c>
      <c r="Y1259" s="321">
        <v>1</v>
      </c>
      <c r="AA1259" s="321" t="s">
        <v>2576</v>
      </c>
    </row>
    <row r="1260" spans="1:27">
      <c r="A1260" s="376">
        <v>781</v>
      </c>
      <c r="B1260" s="377">
        <v>828100</v>
      </c>
      <c r="C1260" s="382" t="s">
        <v>7318</v>
      </c>
      <c r="D1260" s="379">
        <v>0</v>
      </c>
      <c r="E1260" s="380">
        <v>0</v>
      </c>
      <c r="F1260" s="380">
        <v>0</v>
      </c>
      <c r="H1260" s="351">
        <f t="shared" si="100"/>
        <v>0</v>
      </c>
      <c r="I1260" s="351">
        <f t="shared" si="101"/>
        <v>0</v>
      </c>
      <c r="M1260" s="321">
        <v>1721000140</v>
      </c>
      <c r="N1260" s="321">
        <v>72</v>
      </c>
      <c r="O1260" s="321" t="s">
        <v>5207</v>
      </c>
      <c r="P1260" s="321">
        <v>1721000</v>
      </c>
      <c r="Q1260" s="322">
        <v>165000</v>
      </c>
      <c r="R1260" s="322">
        <v>174400</v>
      </c>
      <c r="S1260" s="322">
        <v>190000</v>
      </c>
      <c r="T1260" s="322">
        <v>190000</v>
      </c>
      <c r="U1260" s="322">
        <f t="shared" si="97"/>
        <v>0</v>
      </c>
      <c r="W1260" s="321">
        <f t="shared" si="98"/>
        <v>140</v>
      </c>
      <c r="X1260" s="321">
        <f t="shared" si="99"/>
        <v>721000</v>
      </c>
      <c r="Y1260" s="321">
        <v>1</v>
      </c>
      <c r="AA1260" s="321" t="s">
        <v>5207</v>
      </c>
    </row>
    <row r="1261" spans="1:27">
      <c r="A1261" s="376">
        <v>782</v>
      </c>
      <c r="B1261" s="377">
        <v>828100</v>
      </c>
      <c r="C1261" s="382" t="s">
        <v>7319</v>
      </c>
      <c r="D1261" s="379">
        <v>70</v>
      </c>
      <c r="E1261" s="380">
        <v>70</v>
      </c>
      <c r="F1261" s="380">
        <v>70</v>
      </c>
      <c r="H1261" s="351">
        <f t="shared" si="100"/>
        <v>70000</v>
      </c>
      <c r="I1261" s="351">
        <f t="shared" si="101"/>
        <v>70000</v>
      </c>
      <c r="M1261" s="321">
        <v>1721000141</v>
      </c>
      <c r="N1261" s="321">
        <v>72</v>
      </c>
      <c r="O1261" s="321" t="s">
        <v>5208</v>
      </c>
      <c r="P1261" s="321">
        <v>1721000</v>
      </c>
      <c r="Q1261" s="322">
        <v>50000</v>
      </c>
      <c r="R1261" s="322">
        <v>42900</v>
      </c>
      <c r="S1261" s="322">
        <v>56000</v>
      </c>
      <c r="T1261" s="322">
        <v>56000</v>
      </c>
      <c r="U1261" s="322">
        <f t="shared" si="97"/>
        <v>0</v>
      </c>
      <c r="W1261" s="321">
        <f t="shared" si="98"/>
        <v>141</v>
      </c>
      <c r="X1261" s="321">
        <f t="shared" si="99"/>
        <v>721000</v>
      </c>
      <c r="Y1261" s="321">
        <v>1</v>
      </c>
      <c r="AA1261" s="321" t="s">
        <v>5208</v>
      </c>
    </row>
    <row r="1262" spans="1:27">
      <c r="A1262" s="376">
        <v>783</v>
      </c>
      <c r="B1262" s="377">
        <v>828100</v>
      </c>
      <c r="C1262" s="382" t="s">
        <v>7320</v>
      </c>
      <c r="D1262" s="379">
        <v>130</v>
      </c>
      <c r="E1262" s="380">
        <v>110</v>
      </c>
      <c r="F1262" s="380">
        <v>110</v>
      </c>
      <c r="H1262" s="351">
        <f t="shared" si="100"/>
        <v>130000</v>
      </c>
      <c r="I1262" s="351">
        <f t="shared" si="101"/>
        <v>110000</v>
      </c>
      <c r="M1262" s="321">
        <v>1721000181</v>
      </c>
      <c r="N1262" s="321">
        <v>72</v>
      </c>
      <c r="O1262" s="321" t="s">
        <v>2580</v>
      </c>
      <c r="P1262" s="321">
        <v>1721000</v>
      </c>
      <c r="Q1262" s="322">
        <v>224000</v>
      </c>
      <c r="R1262" s="322">
        <v>200100</v>
      </c>
      <c r="S1262" s="322">
        <v>257000</v>
      </c>
      <c r="T1262" s="322">
        <v>257000</v>
      </c>
      <c r="U1262" s="322">
        <f t="shared" si="97"/>
        <v>0</v>
      </c>
      <c r="W1262" s="321">
        <f t="shared" si="98"/>
        <v>181</v>
      </c>
      <c r="X1262" s="321">
        <f t="shared" si="99"/>
        <v>721000</v>
      </c>
      <c r="Y1262" s="321">
        <v>1</v>
      </c>
      <c r="AA1262" s="321" t="s">
        <v>2580</v>
      </c>
    </row>
    <row r="1263" spans="1:27">
      <c r="A1263" s="376">
        <v>784</v>
      </c>
      <c r="B1263" s="377">
        <v>828100</v>
      </c>
      <c r="C1263" s="382" t="s">
        <v>7321</v>
      </c>
      <c r="D1263" s="379">
        <v>199</v>
      </c>
      <c r="E1263" s="380">
        <v>199</v>
      </c>
      <c r="F1263" s="380">
        <v>199</v>
      </c>
      <c r="H1263" s="351">
        <f t="shared" si="100"/>
        <v>199000</v>
      </c>
      <c r="I1263" s="351">
        <f t="shared" si="101"/>
        <v>199000</v>
      </c>
      <c r="M1263" s="321">
        <v>1721000182</v>
      </c>
      <c r="N1263" s="321">
        <v>72</v>
      </c>
      <c r="O1263" s="321" t="s">
        <v>5412</v>
      </c>
      <c r="P1263" s="321">
        <v>1721000</v>
      </c>
      <c r="Q1263" s="322">
        <v>188000</v>
      </c>
      <c r="R1263" s="322">
        <v>153100</v>
      </c>
      <c r="S1263" s="322">
        <v>204000</v>
      </c>
      <c r="T1263" s="322">
        <v>204000</v>
      </c>
      <c r="U1263" s="322">
        <f t="shared" si="97"/>
        <v>0</v>
      </c>
      <c r="W1263" s="321">
        <f t="shared" si="98"/>
        <v>182</v>
      </c>
      <c r="X1263" s="321">
        <f t="shared" si="99"/>
        <v>721000</v>
      </c>
      <c r="Y1263" s="321">
        <v>1</v>
      </c>
      <c r="AA1263" s="321" t="s">
        <v>5412</v>
      </c>
    </row>
    <row r="1264" spans="1:27">
      <c r="A1264" s="376">
        <v>785</v>
      </c>
      <c r="B1264" s="377">
        <v>828100</v>
      </c>
      <c r="C1264" s="382" t="s">
        <v>7322</v>
      </c>
      <c r="D1264" s="379">
        <v>220</v>
      </c>
      <c r="E1264" s="380">
        <v>220</v>
      </c>
      <c r="F1264" s="380">
        <v>220</v>
      </c>
      <c r="H1264" s="351">
        <f t="shared" si="100"/>
        <v>220000</v>
      </c>
      <c r="I1264" s="351">
        <f t="shared" si="101"/>
        <v>220000</v>
      </c>
      <c r="M1264" s="321">
        <v>1721000210</v>
      </c>
      <c r="N1264" s="321">
        <v>72</v>
      </c>
      <c r="O1264" s="321" t="s">
        <v>5522</v>
      </c>
      <c r="P1264" s="321">
        <v>1721000</v>
      </c>
      <c r="Q1264" s="322">
        <v>400000</v>
      </c>
      <c r="R1264" s="322">
        <v>315800</v>
      </c>
      <c r="S1264" s="322">
        <v>400000</v>
      </c>
      <c r="T1264" s="322">
        <v>400000</v>
      </c>
      <c r="U1264" s="322">
        <f t="shared" si="97"/>
        <v>0</v>
      </c>
      <c r="W1264" s="321">
        <f t="shared" si="98"/>
        <v>210</v>
      </c>
      <c r="X1264" s="321">
        <f t="shared" si="99"/>
        <v>721000</v>
      </c>
      <c r="Y1264" s="321">
        <v>1</v>
      </c>
      <c r="AA1264" s="321" t="s">
        <v>5522</v>
      </c>
    </row>
    <row r="1265" spans="1:27">
      <c r="A1265" s="376">
        <v>786</v>
      </c>
      <c r="B1265" s="377">
        <v>828100</v>
      </c>
      <c r="C1265" s="382" t="s">
        <v>7323</v>
      </c>
      <c r="D1265" s="379">
        <v>200</v>
      </c>
      <c r="E1265" s="380">
        <v>200</v>
      </c>
      <c r="F1265" s="380">
        <v>200</v>
      </c>
      <c r="H1265" s="351">
        <f t="shared" si="100"/>
        <v>200000</v>
      </c>
      <c r="I1265" s="351">
        <f t="shared" si="101"/>
        <v>200000</v>
      </c>
      <c r="M1265" s="321">
        <v>1721000420</v>
      </c>
      <c r="N1265" s="321">
        <v>72</v>
      </c>
      <c r="O1265" s="321" t="s">
        <v>5523</v>
      </c>
      <c r="P1265" s="321">
        <v>1721000</v>
      </c>
      <c r="Q1265" s="322">
        <v>73000</v>
      </c>
      <c r="R1265" s="322">
        <v>52500</v>
      </c>
      <c r="S1265" s="322">
        <v>73000</v>
      </c>
      <c r="T1265" s="322">
        <v>73000</v>
      </c>
      <c r="U1265" s="322">
        <f t="shared" si="97"/>
        <v>0</v>
      </c>
      <c r="W1265" s="321">
        <f t="shared" si="98"/>
        <v>420</v>
      </c>
      <c r="X1265" s="321">
        <f t="shared" si="99"/>
        <v>721000</v>
      </c>
      <c r="Y1265" s="321">
        <v>1</v>
      </c>
      <c r="AA1265" s="321" t="s">
        <v>5523</v>
      </c>
    </row>
    <row r="1266" spans="1:27">
      <c r="A1266" s="376">
        <v>787</v>
      </c>
      <c r="B1266" s="377">
        <v>828100</v>
      </c>
      <c r="C1266" s="382" t="s">
        <v>7324</v>
      </c>
      <c r="D1266" s="379">
        <v>150</v>
      </c>
      <c r="E1266" s="380">
        <v>0</v>
      </c>
      <c r="F1266" s="380">
        <v>0</v>
      </c>
      <c r="H1266" s="351">
        <f t="shared" si="100"/>
        <v>150000</v>
      </c>
      <c r="I1266" s="351">
        <f t="shared" si="101"/>
        <v>0</v>
      </c>
      <c r="M1266" s="321">
        <v>1721000470</v>
      </c>
      <c r="N1266" s="321">
        <v>72</v>
      </c>
      <c r="O1266" s="321" t="s">
        <v>2830</v>
      </c>
      <c r="P1266" s="321">
        <v>1721000</v>
      </c>
      <c r="Q1266" s="322">
        <v>5000</v>
      </c>
      <c r="R1266" s="322">
        <v>3400</v>
      </c>
      <c r="S1266" s="322">
        <v>5000</v>
      </c>
      <c r="T1266" s="322">
        <v>5000</v>
      </c>
      <c r="U1266" s="322">
        <f t="shared" si="97"/>
        <v>0</v>
      </c>
      <c r="W1266" s="321">
        <f t="shared" si="98"/>
        <v>470</v>
      </c>
      <c r="X1266" s="321">
        <f t="shared" si="99"/>
        <v>721000</v>
      </c>
      <c r="Y1266" s="321">
        <v>1</v>
      </c>
      <c r="AA1266" s="321" t="s">
        <v>2830</v>
      </c>
    </row>
    <row r="1267" spans="1:27">
      <c r="A1267" s="376">
        <v>870</v>
      </c>
      <c r="B1267" s="377">
        <v>828100</v>
      </c>
      <c r="C1267" s="378" t="s">
        <v>7325</v>
      </c>
      <c r="D1267" s="379">
        <v>146</v>
      </c>
      <c r="E1267" s="380">
        <v>154</v>
      </c>
      <c r="F1267" s="380">
        <v>154</v>
      </c>
      <c r="H1267" s="351">
        <f t="shared" si="100"/>
        <v>146000</v>
      </c>
      <c r="I1267" s="351">
        <f t="shared" si="101"/>
        <v>154000</v>
      </c>
      <c r="M1267" s="321">
        <v>1721000471</v>
      </c>
      <c r="N1267" s="321">
        <v>72</v>
      </c>
      <c r="O1267" s="321" t="s">
        <v>5212</v>
      </c>
      <c r="P1267" s="321">
        <v>1721000</v>
      </c>
      <c r="Q1267" s="322">
        <v>5800</v>
      </c>
      <c r="R1267" s="322">
        <v>5800</v>
      </c>
      <c r="S1267" s="322">
        <v>6200</v>
      </c>
      <c r="T1267" s="322">
        <v>6200</v>
      </c>
      <c r="U1267" s="322">
        <f t="shared" si="97"/>
        <v>0</v>
      </c>
      <c r="W1267" s="321">
        <f t="shared" si="98"/>
        <v>471</v>
      </c>
      <c r="X1267" s="321">
        <f t="shared" si="99"/>
        <v>721000</v>
      </c>
      <c r="Y1267" s="321">
        <v>1</v>
      </c>
      <c r="AA1267" s="321" t="s">
        <v>5212</v>
      </c>
    </row>
    <row r="1268" spans="1:27">
      <c r="A1268" s="376">
        <v>420</v>
      </c>
      <c r="B1268" s="377">
        <v>828200</v>
      </c>
      <c r="C1268" s="385" t="s">
        <v>7326</v>
      </c>
      <c r="D1268" s="379">
        <v>45</v>
      </c>
      <c r="E1268" s="380">
        <v>50</v>
      </c>
      <c r="F1268" s="380">
        <v>50</v>
      </c>
      <c r="H1268" s="351">
        <f t="shared" si="100"/>
        <v>45000</v>
      </c>
      <c r="I1268" s="351">
        <f t="shared" si="101"/>
        <v>50000</v>
      </c>
      <c r="M1268" s="321">
        <v>1721000531</v>
      </c>
      <c r="N1268" s="321">
        <v>72</v>
      </c>
      <c r="O1268" s="321" t="s">
        <v>5524</v>
      </c>
      <c r="P1268" s="321">
        <v>1721000</v>
      </c>
      <c r="Q1268" s="322">
        <v>100000</v>
      </c>
      <c r="R1268" s="322">
        <v>78500</v>
      </c>
      <c r="S1268" s="322">
        <v>113000</v>
      </c>
      <c r="T1268" s="322">
        <v>113000</v>
      </c>
      <c r="U1268" s="322">
        <f t="shared" si="97"/>
        <v>0</v>
      </c>
      <c r="W1268" s="321">
        <f t="shared" si="98"/>
        <v>531</v>
      </c>
      <c r="X1268" s="321">
        <f t="shared" si="99"/>
        <v>721000</v>
      </c>
      <c r="Y1268" s="321">
        <v>1</v>
      </c>
      <c r="AA1268" s="321" t="s">
        <v>5524</v>
      </c>
    </row>
    <row r="1269" spans="1:27">
      <c r="A1269" s="376">
        <v>870</v>
      </c>
      <c r="B1269" s="377">
        <v>828200</v>
      </c>
      <c r="C1269" s="385" t="s">
        <v>7327</v>
      </c>
      <c r="D1269" s="379">
        <v>1530</v>
      </c>
      <c r="E1269" s="380">
        <v>1590</v>
      </c>
      <c r="F1269" s="380">
        <v>1590</v>
      </c>
      <c r="H1269" s="351">
        <f t="shared" si="100"/>
        <v>1530000</v>
      </c>
      <c r="I1269" s="351">
        <f t="shared" si="101"/>
        <v>1590000</v>
      </c>
      <c r="M1269" s="321">
        <v>1721000540</v>
      </c>
      <c r="N1269" s="321">
        <v>72</v>
      </c>
      <c r="O1269" s="321" t="s">
        <v>5216</v>
      </c>
      <c r="P1269" s="321">
        <v>1721000</v>
      </c>
      <c r="Q1269" s="322">
        <v>300000</v>
      </c>
      <c r="R1269" s="322">
        <v>161700</v>
      </c>
      <c r="S1269" s="322">
        <v>260000</v>
      </c>
      <c r="T1269" s="322">
        <v>260000</v>
      </c>
      <c r="U1269" s="322">
        <f t="shared" si="97"/>
        <v>0</v>
      </c>
      <c r="W1269" s="321">
        <f t="shared" si="98"/>
        <v>540</v>
      </c>
      <c r="X1269" s="321">
        <f t="shared" si="99"/>
        <v>721000</v>
      </c>
      <c r="Y1269" s="321">
        <v>1</v>
      </c>
      <c r="AA1269" s="321" t="s">
        <v>5216</v>
      </c>
    </row>
    <row r="1270" spans="1:27">
      <c r="A1270" s="376">
        <v>100</v>
      </c>
      <c r="B1270" s="377">
        <v>828900</v>
      </c>
      <c r="C1270" s="382" t="s">
        <v>6747</v>
      </c>
      <c r="D1270" s="379">
        <v>697</v>
      </c>
      <c r="E1270" s="380">
        <v>600</v>
      </c>
      <c r="F1270" s="380">
        <v>500</v>
      </c>
      <c r="H1270" s="351">
        <f t="shared" si="100"/>
        <v>697000</v>
      </c>
      <c r="I1270" s="351">
        <f t="shared" si="101"/>
        <v>500000</v>
      </c>
      <c r="M1270" s="321">
        <v>1721000542</v>
      </c>
      <c r="N1270" s="321">
        <v>72</v>
      </c>
      <c r="O1270" s="321" t="s">
        <v>5217</v>
      </c>
      <c r="P1270" s="321">
        <v>1721000</v>
      </c>
      <c r="Q1270" s="322">
        <v>242700</v>
      </c>
      <c r="R1270" s="322">
        <v>150200</v>
      </c>
      <c r="S1270" s="322">
        <v>176000</v>
      </c>
      <c r="T1270" s="322">
        <v>176000</v>
      </c>
      <c r="U1270" s="322">
        <f t="shared" si="97"/>
        <v>0</v>
      </c>
      <c r="W1270" s="321">
        <f t="shared" si="98"/>
        <v>542</v>
      </c>
      <c r="X1270" s="321">
        <f t="shared" si="99"/>
        <v>721000</v>
      </c>
      <c r="Y1270" s="321">
        <v>1</v>
      </c>
      <c r="AA1270" s="321" t="s">
        <v>5217</v>
      </c>
    </row>
    <row r="1271" spans="1:27">
      <c r="A1271" s="376">
        <v>410</v>
      </c>
      <c r="B1271" s="377">
        <v>828900</v>
      </c>
      <c r="C1271" s="382" t="s">
        <v>6715</v>
      </c>
      <c r="D1271" s="379">
        <v>80</v>
      </c>
      <c r="E1271" s="380">
        <v>70</v>
      </c>
      <c r="F1271" s="380">
        <v>80</v>
      </c>
      <c r="H1271" s="351">
        <f t="shared" si="100"/>
        <v>80000</v>
      </c>
      <c r="I1271" s="351">
        <f t="shared" si="101"/>
        <v>80000</v>
      </c>
      <c r="M1271" s="321">
        <v>1721000730</v>
      </c>
      <c r="N1271" s="321">
        <v>72</v>
      </c>
      <c r="O1271" s="321" t="s">
        <v>5525</v>
      </c>
      <c r="P1271" s="321">
        <v>1721000</v>
      </c>
      <c r="Q1271" s="322">
        <v>0</v>
      </c>
      <c r="R1271" s="322">
        <v>0</v>
      </c>
      <c r="S1271" s="322">
        <v>0</v>
      </c>
      <c r="T1271" s="322">
        <v>0</v>
      </c>
      <c r="U1271" s="322">
        <f t="shared" si="97"/>
        <v>0</v>
      </c>
      <c r="W1271" s="321">
        <f t="shared" si="98"/>
        <v>730</v>
      </c>
      <c r="X1271" s="321">
        <f t="shared" si="99"/>
        <v>721000</v>
      </c>
      <c r="Y1271" s="321">
        <v>1</v>
      </c>
      <c r="AA1271" s="321" t="s">
        <v>5525</v>
      </c>
    </row>
    <row r="1272" spans="1:27">
      <c r="A1272" s="376">
        <v>420</v>
      </c>
      <c r="B1272" s="377">
        <v>828900</v>
      </c>
      <c r="C1272" s="382" t="s">
        <v>6987</v>
      </c>
      <c r="D1272" s="379">
        <v>27</v>
      </c>
      <c r="E1272" s="380">
        <v>30</v>
      </c>
      <c r="F1272" s="380">
        <v>30</v>
      </c>
      <c r="H1272" s="351">
        <f t="shared" si="100"/>
        <v>27000</v>
      </c>
      <c r="I1272" s="351">
        <f t="shared" si="101"/>
        <v>30000</v>
      </c>
      <c r="M1272" s="321">
        <v>1721000731</v>
      </c>
      <c r="N1272" s="321">
        <v>72</v>
      </c>
      <c r="O1272" s="321" t="s">
        <v>5526</v>
      </c>
      <c r="P1272" s="321">
        <v>1721000</v>
      </c>
      <c r="Q1272" s="322">
        <v>140000</v>
      </c>
      <c r="R1272" s="322">
        <v>85500</v>
      </c>
      <c r="S1272" s="322">
        <v>140000</v>
      </c>
      <c r="T1272" s="322">
        <v>140000</v>
      </c>
      <c r="U1272" s="322">
        <f t="shared" si="97"/>
        <v>0</v>
      </c>
      <c r="W1272" s="321">
        <f t="shared" si="98"/>
        <v>731</v>
      </c>
      <c r="X1272" s="321">
        <f t="shared" si="99"/>
        <v>721000</v>
      </c>
      <c r="Y1272" s="321">
        <v>1</v>
      </c>
      <c r="AA1272" s="321" t="s">
        <v>5526</v>
      </c>
    </row>
    <row r="1273" spans="1:27">
      <c r="A1273" s="376">
        <v>430</v>
      </c>
      <c r="B1273" s="377">
        <v>828900</v>
      </c>
      <c r="C1273" s="382" t="s">
        <v>6798</v>
      </c>
      <c r="D1273" s="379">
        <v>0</v>
      </c>
      <c r="E1273" s="380">
        <v>0</v>
      </c>
      <c r="F1273" s="380">
        <v>4</v>
      </c>
      <c r="H1273" s="351">
        <f t="shared" si="100"/>
        <v>0</v>
      </c>
      <c r="I1273" s="351">
        <f t="shared" si="101"/>
        <v>4000</v>
      </c>
      <c r="M1273" s="321">
        <v>1721000732</v>
      </c>
      <c r="N1273" s="321">
        <v>72</v>
      </c>
      <c r="O1273" s="321" t="s">
        <v>5527</v>
      </c>
      <c r="P1273" s="321">
        <v>1721000</v>
      </c>
      <c r="Q1273" s="322">
        <v>45000</v>
      </c>
      <c r="R1273" s="322">
        <v>35300</v>
      </c>
      <c r="S1273" s="322">
        <v>45000</v>
      </c>
      <c r="T1273" s="322">
        <v>45000</v>
      </c>
      <c r="U1273" s="322">
        <f t="shared" si="97"/>
        <v>0</v>
      </c>
      <c r="W1273" s="321">
        <f t="shared" si="98"/>
        <v>732</v>
      </c>
      <c r="X1273" s="321">
        <f t="shared" si="99"/>
        <v>721000</v>
      </c>
      <c r="Y1273" s="321">
        <v>1</v>
      </c>
      <c r="AA1273" s="321" t="s">
        <v>5527</v>
      </c>
    </row>
    <row r="1274" spans="1:27">
      <c r="A1274" s="376">
        <v>755</v>
      </c>
      <c r="B1274" s="377">
        <v>828900</v>
      </c>
      <c r="C1274" s="382" t="s">
        <v>7328</v>
      </c>
      <c r="D1274" s="379">
        <v>0</v>
      </c>
      <c r="E1274" s="380">
        <v>0</v>
      </c>
      <c r="F1274" s="380">
        <v>0</v>
      </c>
      <c r="H1274" s="351">
        <f t="shared" si="100"/>
        <v>0</v>
      </c>
      <c r="I1274" s="351">
        <f t="shared" si="101"/>
        <v>0</v>
      </c>
      <c r="M1274" s="321">
        <v>1721000741</v>
      </c>
      <c r="N1274" s="321">
        <v>72</v>
      </c>
      <c r="O1274" s="321" t="s">
        <v>5528</v>
      </c>
      <c r="P1274" s="321">
        <v>1721000</v>
      </c>
      <c r="Q1274" s="322">
        <v>0</v>
      </c>
      <c r="R1274" s="322">
        <v>100</v>
      </c>
      <c r="S1274" s="322">
        <v>0</v>
      </c>
      <c r="T1274" s="322">
        <v>0</v>
      </c>
      <c r="U1274" s="322">
        <f t="shared" si="97"/>
        <v>0</v>
      </c>
      <c r="W1274" s="321">
        <f t="shared" si="98"/>
        <v>741</v>
      </c>
      <c r="X1274" s="321">
        <f t="shared" si="99"/>
        <v>721000</v>
      </c>
      <c r="Y1274" s="321">
        <v>1</v>
      </c>
      <c r="AA1274" s="321" t="s">
        <v>5528</v>
      </c>
    </row>
    <row r="1275" spans="1:27">
      <c r="A1275" s="376">
        <v>780</v>
      </c>
      <c r="B1275" s="377">
        <v>828900</v>
      </c>
      <c r="C1275" s="382" t="s">
        <v>7146</v>
      </c>
      <c r="D1275" s="379">
        <v>100</v>
      </c>
      <c r="E1275" s="380">
        <v>85</v>
      </c>
      <c r="F1275" s="380">
        <v>85</v>
      </c>
      <c r="H1275" s="351">
        <f t="shared" si="100"/>
        <v>100000</v>
      </c>
      <c r="I1275" s="351">
        <f t="shared" si="101"/>
        <v>85000</v>
      </c>
      <c r="M1275" s="321">
        <v>1721000743</v>
      </c>
      <c r="N1275" s="321">
        <v>72</v>
      </c>
      <c r="O1275" s="321" t="s">
        <v>5529</v>
      </c>
      <c r="P1275" s="321">
        <v>1721000</v>
      </c>
      <c r="Q1275" s="322">
        <v>25000</v>
      </c>
      <c r="R1275" s="322">
        <v>7000</v>
      </c>
      <c r="S1275" s="322">
        <v>25000</v>
      </c>
      <c r="T1275" s="322">
        <v>25000</v>
      </c>
      <c r="U1275" s="322">
        <f t="shared" si="97"/>
        <v>0</v>
      </c>
      <c r="W1275" s="321">
        <f t="shared" si="98"/>
        <v>743</v>
      </c>
      <c r="X1275" s="321">
        <f t="shared" si="99"/>
        <v>721000</v>
      </c>
      <c r="Y1275" s="321">
        <v>1</v>
      </c>
      <c r="AA1275" s="321" t="s">
        <v>5529</v>
      </c>
    </row>
    <row r="1276" spans="1:27">
      <c r="A1276" s="376">
        <v>781</v>
      </c>
      <c r="B1276" s="377">
        <v>828900</v>
      </c>
      <c r="C1276" s="382" t="s">
        <v>7329</v>
      </c>
      <c r="D1276" s="379">
        <v>60</v>
      </c>
      <c r="E1276" s="380">
        <v>50</v>
      </c>
      <c r="F1276" s="380">
        <v>50</v>
      </c>
      <c r="H1276" s="351">
        <f t="shared" si="100"/>
        <v>60000</v>
      </c>
      <c r="I1276" s="351">
        <f t="shared" si="101"/>
        <v>50000</v>
      </c>
      <c r="M1276" s="321">
        <v>1721000750</v>
      </c>
      <c r="N1276" s="321">
        <v>72</v>
      </c>
      <c r="O1276" s="321" t="s">
        <v>2707</v>
      </c>
      <c r="P1276" s="321">
        <v>1721000</v>
      </c>
      <c r="Q1276" s="322">
        <v>540000</v>
      </c>
      <c r="R1276" s="322">
        <v>174400</v>
      </c>
      <c r="S1276" s="322">
        <v>540000</v>
      </c>
      <c r="T1276" s="322">
        <v>540000</v>
      </c>
      <c r="U1276" s="322">
        <f t="shared" si="97"/>
        <v>0</v>
      </c>
      <c r="W1276" s="321">
        <f t="shared" si="98"/>
        <v>750</v>
      </c>
      <c r="X1276" s="321">
        <f t="shared" si="99"/>
        <v>721000</v>
      </c>
      <c r="Y1276" s="321">
        <v>1</v>
      </c>
      <c r="AA1276" s="321" t="s">
        <v>2707</v>
      </c>
    </row>
    <row r="1277" spans="1:27">
      <c r="A1277" s="376">
        <v>820</v>
      </c>
      <c r="B1277" s="377">
        <v>828900</v>
      </c>
      <c r="C1277" s="381" t="s">
        <v>7330</v>
      </c>
      <c r="D1277" s="379">
        <v>1400</v>
      </c>
      <c r="E1277" s="380">
        <v>1400</v>
      </c>
      <c r="F1277" s="380">
        <v>1400</v>
      </c>
      <c r="H1277" s="351">
        <f t="shared" si="100"/>
        <v>1400000</v>
      </c>
      <c r="I1277" s="351">
        <f t="shared" si="101"/>
        <v>1400000</v>
      </c>
      <c r="M1277" s="321">
        <v>1721000751</v>
      </c>
      <c r="N1277" s="321">
        <v>72</v>
      </c>
      <c r="O1277" s="321" t="s">
        <v>5530</v>
      </c>
      <c r="P1277" s="321">
        <v>1721000</v>
      </c>
      <c r="Q1277" s="322">
        <v>200000</v>
      </c>
      <c r="R1277" s="322">
        <v>142400</v>
      </c>
      <c r="S1277" s="322">
        <v>200000</v>
      </c>
      <c r="T1277" s="322">
        <v>200000</v>
      </c>
      <c r="U1277" s="322">
        <f t="shared" si="97"/>
        <v>0</v>
      </c>
      <c r="W1277" s="321">
        <f t="shared" si="98"/>
        <v>751</v>
      </c>
      <c r="X1277" s="321">
        <f t="shared" si="99"/>
        <v>721000</v>
      </c>
      <c r="Y1277" s="321">
        <v>1</v>
      </c>
      <c r="AA1277" s="321" t="s">
        <v>5530</v>
      </c>
    </row>
    <row r="1278" spans="1:27">
      <c r="A1278" s="376">
        <v>100</v>
      </c>
      <c r="B1278" s="377">
        <v>829100</v>
      </c>
      <c r="C1278" s="382" t="s">
        <v>7331</v>
      </c>
      <c r="D1278" s="379">
        <v>1284</v>
      </c>
      <c r="E1278" s="380">
        <v>1258</v>
      </c>
      <c r="F1278" s="380">
        <v>1258</v>
      </c>
      <c r="H1278" s="351">
        <f t="shared" si="100"/>
        <v>1284000</v>
      </c>
      <c r="I1278" s="351">
        <f t="shared" si="101"/>
        <v>1258000</v>
      </c>
      <c r="M1278" s="321">
        <v>1721000752</v>
      </c>
      <c r="N1278" s="321">
        <v>72</v>
      </c>
      <c r="O1278" s="321" t="s">
        <v>5531</v>
      </c>
      <c r="P1278" s="321">
        <v>1721000</v>
      </c>
      <c r="Q1278" s="322">
        <v>0</v>
      </c>
      <c r="R1278" s="322">
        <v>0</v>
      </c>
      <c r="S1278" s="322">
        <v>0</v>
      </c>
      <c r="T1278" s="322">
        <v>0</v>
      </c>
      <c r="U1278" s="322">
        <f t="shared" si="97"/>
        <v>0</v>
      </c>
      <c r="W1278" s="321">
        <f t="shared" si="98"/>
        <v>752</v>
      </c>
      <c r="X1278" s="321">
        <f t="shared" si="99"/>
        <v>721000</v>
      </c>
      <c r="Y1278" s="321">
        <v>1</v>
      </c>
      <c r="AA1278" s="321" t="s">
        <v>5531</v>
      </c>
    </row>
    <row r="1279" spans="1:27">
      <c r="A1279" s="376">
        <v>410</v>
      </c>
      <c r="B1279" s="377">
        <v>829100</v>
      </c>
      <c r="C1279" s="382" t="s">
        <v>2752</v>
      </c>
      <c r="D1279" s="379">
        <v>30</v>
      </c>
      <c r="E1279" s="380">
        <v>25</v>
      </c>
      <c r="F1279" s="380">
        <v>26</v>
      </c>
      <c r="H1279" s="351">
        <f t="shared" si="100"/>
        <v>30000</v>
      </c>
      <c r="I1279" s="351">
        <f t="shared" si="101"/>
        <v>26000</v>
      </c>
      <c r="M1279" s="321">
        <v>1721000753</v>
      </c>
      <c r="N1279" s="321">
        <v>72</v>
      </c>
      <c r="O1279" s="321" t="s">
        <v>5532</v>
      </c>
      <c r="P1279" s="321">
        <v>1721000</v>
      </c>
      <c r="Q1279" s="322">
        <v>0</v>
      </c>
      <c r="R1279" s="322">
        <v>0</v>
      </c>
      <c r="S1279" s="322">
        <v>0</v>
      </c>
      <c r="T1279" s="322">
        <v>0</v>
      </c>
      <c r="U1279" s="322">
        <f t="shared" si="97"/>
        <v>0</v>
      </c>
      <c r="W1279" s="321">
        <f t="shared" si="98"/>
        <v>753</v>
      </c>
      <c r="X1279" s="321">
        <f t="shared" si="99"/>
        <v>721000</v>
      </c>
      <c r="Y1279" s="321">
        <v>1</v>
      </c>
      <c r="AA1279" s="321" t="s">
        <v>5532</v>
      </c>
    </row>
    <row r="1280" spans="1:27">
      <c r="A1280" s="376">
        <v>420</v>
      </c>
      <c r="B1280" s="377">
        <v>829100</v>
      </c>
      <c r="C1280" s="382" t="s">
        <v>7332</v>
      </c>
      <c r="D1280" s="379">
        <v>850</v>
      </c>
      <c r="E1280" s="380">
        <v>750</v>
      </c>
      <c r="F1280" s="380">
        <v>750</v>
      </c>
      <c r="H1280" s="351">
        <f t="shared" si="100"/>
        <v>850000</v>
      </c>
      <c r="I1280" s="351">
        <f t="shared" si="101"/>
        <v>750000</v>
      </c>
      <c r="M1280" s="321">
        <v>1721000754</v>
      </c>
      <c r="N1280" s="321">
        <v>72</v>
      </c>
      <c r="O1280" s="321" t="s">
        <v>5533</v>
      </c>
      <c r="P1280" s="321">
        <v>1721000</v>
      </c>
      <c r="Q1280" s="322">
        <v>370000</v>
      </c>
      <c r="R1280" s="322">
        <v>253000</v>
      </c>
      <c r="S1280" s="322">
        <v>430000</v>
      </c>
      <c r="T1280" s="322">
        <v>430000</v>
      </c>
      <c r="U1280" s="322">
        <f t="shared" si="97"/>
        <v>0</v>
      </c>
      <c r="W1280" s="321">
        <f t="shared" si="98"/>
        <v>754</v>
      </c>
      <c r="X1280" s="321">
        <f t="shared" si="99"/>
        <v>721000</v>
      </c>
      <c r="Y1280" s="321">
        <v>1</v>
      </c>
      <c r="AA1280" s="321" t="s">
        <v>5533</v>
      </c>
    </row>
    <row r="1281" spans="1:27">
      <c r="A1281" s="376">
        <v>421</v>
      </c>
      <c r="B1281" s="377">
        <v>829100</v>
      </c>
      <c r="C1281" s="382" t="s">
        <v>7333</v>
      </c>
      <c r="D1281" s="379">
        <v>70</v>
      </c>
      <c r="E1281" s="380">
        <v>70</v>
      </c>
      <c r="F1281" s="380">
        <v>80</v>
      </c>
      <c r="H1281" s="351">
        <f t="shared" si="100"/>
        <v>70000</v>
      </c>
      <c r="I1281" s="351">
        <f t="shared" si="101"/>
        <v>80000</v>
      </c>
      <c r="M1281" s="321">
        <v>1721000755</v>
      </c>
      <c r="N1281" s="321">
        <v>72</v>
      </c>
      <c r="O1281" s="321" t="s">
        <v>5534</v>
      </c>
      <c r="P1281" s="321">
        <v>1721000</v>
      </c>
      <c r="Q1281" s="322">
        <v>0</v>
      </c>
      <c r="R1281" s="322">
        <v>0</v>
      </c>
      <c r="S1281" s="322">
        <v>0</v>
      </c>
      <c r="T1281" s="322">
        <v>0</v>
      </c>
      <c r="U1281" s="322">
        <f t="shared" si="97"/>
        <v>0</v>
      </c>
      <c r="W1281" s="321">
        <f t="shared" si="98"/>
        <v>755</v>
      </c>
      <c r="X1281" s="321">
        <f t="shared" si="99"/>
        <v>721000</v>
      </c>
      <c r="Y1281" s="321">
        <v>1</v>
      </c>
      <c r="AA1281" s="321" t="s">
        <v>5534</v>
      </c>
    </row>
    <row r="1282" spans="1:27">
      <c r="A1282" s="376">
        <v>550</v>
      </c>
      <c r="B1282" s="377">
        <v>829100</v>
      </c>
      <c r="C1282" s="382" t="s">
        <v>6737</v>
      </c>
      <c r="D1282" s="379">
        <v>60</v>
      </c>
      <c r="E1282" s="380">
        <v>60</v>
      </c>
      <c r="F1282" s="380">
        <v>60</v>
      </c>
      <c r="H1282" s="351">
        <f t="shared" si="100"/>
        <v>60000</v>
      </c>
      <c r="I1282" s="351">
        <f t="shared" si="101"/>
        <v>60000</v>
      </c>
      <c r="M1282" s="321">
        <v>1721000771</v>
      </c>
      <c r="N1282" s="321">
        <v>72</v>
      </c>
      <c r="O1282" s="321" t="s">
        <v>5535</v>
      </c>
      <c r="P1282" s="321">
        <v>1721000</v>
      </c>
      <c r="Q1282" s="322">
        <v>55000</v>
      </c>
      <c r="R1282" s="322">
        <v>40300</v>
      </c>
      <c r="S1282" s="322">
        <v>55000</v>
      </c>
      <c r="T1282" s="322">
        <v>55000</v>
      </c>
      <c r="U1282" s="322">
        <f t="shared" ref="U1282:U1345" si="102">S1282-T1282</f>
        <v>0</v>
      </c>
      <c r="W1282" s="321">
        <f t="shared" si="98"/>
        <v>771</v>
      </c>
      <c r="X1282" s="321">
        <f t="shared" si="99"/>
        <v>721000</v>
      </c>
      <c r="Y1282" s="321">
        <v>1</v>
      </c>
      <c r="AA1282" s="321" t="s">
        <v>5535</v>
      </c>
    </row>
    <row r="1283" spans="1:27">
      <c r="A1283" s="376">
        <v>755</v>
      </c>
      <c r="B1283" s="377">
        <v>829100</v>
      </c>
      <c r="C1283" s="382" t="s">
        <v>6744</v>
      </c>
      <c r="D1283" s="379">
        <v>0</v>
      </c>
      <c r="E1283" s="380">
        <v>10</v>
      </c>
      <c r="F1283" s="380">
        <v>7</v>
      </c>
      <c r="H1283" s="351">
        <f t="shared" si="100"/>
        <v>0</v>
      </c>
      <c r="I1283" s="351">
        <f t="shared" si="101"/>
        <v>7000</v>
      </c>
      <c r="M1283" s="321">
        <v>1721000779</v>
      </c>
      <c r="N1283" s="321">
        <v>72</v>
      </c>
      <c r="O1283" s="321" t="s">
        <v>5382</v>
      </c>
      <c r="P1283" s="321">
        <v>1721000</v>
      </c>
      <c r="Q1283" s="322">
        <v>8000</v>
      </c>
      <c r="R1283" s="322">
        <v>2700</v>
      </c>
      <c r="S1283" s="322">
        <v>8000</v>
      </c>
      <c r="T1283" s="322">
        <v>8000</v>
      </c>
      <c r="U1283" s="322">
        <f t="shared" si="102"/>
        <v>0</v>
      </c>
      <c r="W1283" s="321">
        <f t="shared" ref="W1283:W1346" si="103">M1283-1000000000-X1283*1000</f>
        <v>779</v>
      </c>
      <c r="X1283" s="321">
        <f t="shared" ref="X1283:X1346" si="104">ROUNDDOWN((M1283-1000000000)/1000,0)</f>
        <v>721000</v>
      </c>
      <c r="Y1283" s="321">
        <v>1</v>
      </c>
      <c r="AA1283" s="321" t="s">
        <v>5382</v>
      </c>
    </row>
    <row r="1284" spans="1:27">
      <c r="A1284" s="376">
        <v>780</v>
      </c>
      <c r="B1284" s="377">
        <v>829100</v>
      </c>
      <c r="C1284" s="382" t="s">
        <v>7334</v>
      </c>
      <c r="D1284" s="379">
        <v>75</v>
      </c>
      <c r="E1284" s="380">
        <v>75</v>
      </c>
      <c r="F1284" s="380">
        <v>75</v>
      </c>
      <c r="H1284" s="351">
        <f t="shared" si="100"/>
        <v>75000</v>
      </c>
      <c r="I1284" s="351">
        <f t="shared" si="101"/>
        <v>75000</v>
      </c>
      <c r="M1284" s="321">
        <v>1721000930</v>
      </c>
      <c r="N1284" s="321">
        <v>72</v>
      </c>
      <c r="O1284" s="321" t="s">
        <v>5536</v>
      </c>
      <c r="P1284" s="321">
        <v>1721000</v>
      </c>
      <c r="Q1284" s="322">
        <v>0</v>
      </c>
      <c r="R1284" s="322">
        <v>0</v>
      </c>
      <c r="S1284" s="322">
        <v>0</v>
      </c>
      <c r="T1284" s="322">
        <v>0</v>
      </c>
      <c r="U1284" s="322">
        <f t="shared" si="102"/>
        <v>0</v>
      </c>
      <c r="W1284" s="321">
        <f t="shared" si="103"/>
        <v>930</v>
      </c>
      <c r="X1284" s="321">
        <f t="shared" si="104"/>
        <v>721000</v>
      </c>
      <c r="Y1284" s="321">
        <v>1</v>
      </c>
      <c r="AA1284" s="321" t="s">
        <v>5536</v>
      </c>
    </row>
    <row r="1285" spans="1:27">
      <c r="A1285" s="376">
        <v>781</v>
      </c>
      <c r="B1285" s="377">
        <v>829100</v>
      </c>
      <c r="C1285" s="382" t="s">
        <v>7335</v>
      </c>
      <c r="D1285" s="379">
        <v>700</v>
      </c>
      <c r="E1285" s="380">
        <v>700</v>
      </c>
      <c r="F1285" s="380">
        <v>700</v>
      </c>
      <c r="H1285" s="351">
        <f t="shared" si="100"/>
        <v>700000</v>
      </c>
      <c r="I1285" s="351">
        <f t="shared" si="101"/>
        <v>700000</v>
      </c>
      <c r="M1285" s="321">
        <v>1721000981</v>
      </c>
      <c r="N1285" s="321">
        <v>72</v>
      </c>
      <c r="O1285" s="321" t="s">
        <v>5537</v>
      </c>
      <c r="P1285" s="321">
        <v>1726000</v>
      </c>
      <c r="Q1285" s="322">
        <v>0</v>
      </c>
      <c r="R1285" s="322">
        <v>0</v>
      </c>
      <c r="S1285" s="322">
        <v>0</v>
      </c>
      <c r="T1285" s="322">
        <v>0</v>
      </c>
      <c r="U1285" s="322">
        <f t="shared" si="102"/>
        <v>0</v>
      </c>
      <c r="W1285" s="321">
        <f t="shared" si="103"/>
        <v>981</v>
      </c>
      <c r="X1285" s="321">
        <f t="shared" si="104"/>
        <v>721000</v>
      </c>
      <c r="Y1285" s="321">
        <v>1</v>
      </c>
      <c r="AA1285" s="321" t="s">
        <v>5537</v>
      </c>
    </row>
    <row r="1286" spans="1:27">
      <c r="A1286" s="376">
        <v>782</v>
      </c>
      <c r="B1286" s="377">
        <v>829100</v>
      </c>
      <c r="C1286" s="382" t="s">
        <v>7336</v>
      </c>
      <c r="D1286" s="379">
        <v>500</v>
      </c>
      <c r="E1286" s="380">
        <v>500</v>
      </c>
      <c r="F1286" s="380">
        <v>500</v>
      </c>
      <c r="H1286" s="351">
        <f t="shared" si="100"/>
        <v>500000</v>
      </c>
      <c r="I1286" s="351">
        <f t="shared" si="101"/>
        <v>500000</v>
      </c>
      <c r="M1286" s="321">
        <v>1721001110</v>
      </c>
      <c r="N1286" s="321">
        <v>72</v>
      </c>
      <c r="O1286" s="321" t="s">
        <v>5205</v>
      </c>
      <c r="P1286" s="321">
        <v>1721000</v>
      </c>
      <c r="Q1286" s="322">
        <v>0</v>
      </c>
      <c r="R1286" s="322">
        <v>0</v>
      </c>
      <c r="S1286" s="322">
        <v>0</v>
      </c>
      <c r="T1286" s="322">
        <v>0</v>
      </c>
      <c r="U1286" s="322">
        <f t="shared" si="102"/>
        <v>0</v>
      </c>
      <c r="W1286" s="321">
        <f t="shared" si="103"/>
        <v>110</v>
      </c>
      <c r="X1286" s="321">
        <f t="shared" si="104"/>
        <v>721001</v>
      </c>
      <c r="Y1286" s="321">
        <v>1</v>
      </c>
      <c r="AA1286" s="321" t="s">
        <v>5205</v>
      </c>
    </row>
    <row r="1287" spans="1:27">
      <c r="A1287" s="376">
        <v>783</v>
      </c>
      <c r="B1287" s="377">
        <v>829100</v>
      </c>
      <c r="C1287" s="382" t="s">
        <v>7337</v>
      </c>
      <c r="D1287" s="379">
        <v>335</v>
      </c>
      <c r="E1287" s="380">
        <v>335</v>
      </c>
      <c r="F1287" s="380">
        <v>335</v>
      </c>
      <c r="H1287" s="351">
        <f t="shared" si="100"/>
        <v>335000</v>
      </c>
      <c r="I1287" s="351">
        <f t="shared" si="101"/>
        <v>335000</v>
      </c>
      <c r="M1287" s="321">
        <v>1721001120</v>
      </c>
      <c r="N1287" s="321">
        <v>72</v>
      </c>
      <c r="O1287" s="321" t="s">
        <v>5206</v>
      </c>
      <c r="P1287" s="321">
        <v>1721000</v>
      </c>
      <c r="Q1287" s="322">
        <v>0</v>
      </c>
      <c r="R1287" s="322">
        <v>0</v>
      </c>
      <c r="S1287" s="322">
        <v>0</v>
      </c>
      <c r="T1287" s="322">
        <v>0</v>
      </c>
      <c r="U1287" s="322">
        <f t="shared" si="102"/>
        <v>0</v>
      </c>
      <c r="W1287" s="321">
        <f t="shared" si="103"/>
        <v>120</v>
      </c>
      <c r="X1287" s="321">
        <f t="shared" si="104"/>
        <v>721001</v>
      </c>
      <c r="Y1287" s="321">
        <v>1</v>
      </c>
      <c r="AA1287" s="321" t="s">
        <v>5206</v>
      </c>
    </row>
    <row r="1288" spans="1:27">
      <c r="A1288" s="376">
        <v>784</v>
      </c>
      <c r="B1288" s="377">
        <v>829100</v>
      </c>
      <c r="C1288" s="382" t="s">
        <v>7338</v>
      </c>
      <c r="D1288" s="379">
        <v>190</v>
      </c>
      <c r="E1288" s="380">
        <v>190</v>
      </c>
      <c r="F1288" s="380">
        <v>190</v>
      </c>
      <c r="H1288" s="351">
        <f t="shared" si="100"/>
        <v>190000</v>
      </c>
      <c r="I1288" s="351">
        <f t="shared" si="101"/>
        <v>190000</v>
      </c>
      <c r="M1288" s="321">
        <v>1721001130</v>
      </c>
      <c r="N1288" s="321">
        <v>72</v>
      </c>
      <c r="O1288" s="321" t="s">
        <v>2576</v>
      </c>
      <c r="P1288" s="321">
        <v>1721000</v>
      </c>
      <c r="Q1288" s="322">
        <v>0</v>
      </c>
      <c r="R1288" s="322">
        <v>0</v>
      </c>
      <c r="S1288" s="322">
        <v>0</v>
      </c>
      <c r="T1288" s="322">
        <v>0</v>
      </c>
      <c r="U1288" s="322">
        <f t="shared" si="102"/>
        <v>0</v>
      </c>
      <c r="W1288" s="321">
        <f t="shared" si="103"/>
        <v>130</v>
      </c>
      <c r="X1288" s="321">
        <f t="shared" si="104"/>
        <v>721001</v>
      </c>
      <c r="Y1288" s="321">
        <v>1</v>
      </c>
      <c r="AA1288" s="321" t="s">
        <v>2576</v>
      </c>
    </row>
    <row r="1289" spans="1:27">
      <c r="A1289" s="376">
        <v>785</v>
      </c>
      <c r="B1289" s="377">
        <v>829100</v>
      </c>
      <c r="C1289" s="381" t="s">
        <v>7339</v>
      </c>
      <c r="D1289" s="379">
        <v>80</v>
      </c>
      <c r="E1289" s="380">
        <v>80</v>
      </c>
      <c r="F1289" s="380">
        <v>80</v>
      </c>
      <c r="H1289" s="351">
        <f t="shared" si="100"/>
        <v>80000</v>
      </c>
      <c r="I1289" s="351">
        <f t="shared" si="101"/>
        <v>80000</v>
      </c>
      <c r="M1289" s="321">
        <v>1721001140</v>
      </c>
      <c r="N1289" s="321">
        <v>72</v>
      </c>
      <c r="O1289" s="321" t="s">
        <v>5207</v>
      </c>
      <c r="P1289" s="321">
        <v>1721000</v>
      </c>
      <c r="Q1289" s="322">
        <v>0</v>
      </c>
      <c r="R1289" s="322">
        <v>0</v>
      </c>
      <c r="S1289" s="322">
        <v>0</v>
      </c>
      <c r="T1289" s="322">
        <v>0</v>
      </c>
      <c r="U1289" s="322">
        <f t="shared" si="102"/>
        <v>0</v>
      </c>
      <c r="W1289" s="321">
        <f t="shared" si="103"/>
        <v>140</v>
      </c>
      <c r="X1289" s="321">
        <f t="shared" si="104"/>
        <v>721001</v>
      </c>
      <c r="Y1289" s="321">
        <v>1</v>
      </c>
      <c r="AA1289" s="321" t="s">
        <v>5207</v>
      </c>
    </row>
    <row r="1290" spans="1:27">
      <c r="A1290" s="376">
        <v>981</v>
      </c>
      <c r="B1290" s="377">
        <v>829100</v>
      </c>
      <c r="C1290" s="381" t="s">
        <v>7340</v>
      </c>
      <c r="D1290" s="379">
        <v>200</v>
      </c>
      <c r="E1290" s="380">
        <v>200</v>
      </c>
      <c r="F1290" s="380">
        <v>200</v>
      </c>
      <c r="H1290" s="351">
        <f t="shared" si="100"/>
        <v>200000</v>
      </c>
      <c r="I1290" s="351">
        <f t="shared" si="101"/>
        <v>200000</v>
      </c>
      <c r="M1290" s="321">
        <v>1721001141</v>
      </c>
      <c r="N1290" s="321">
        <v>72</v>
      </c>
      <c r="O1290" s="321" t="s">
        <v>5208</v>
      </c>
      <c r="P1290" s="321">
        <v>1721000</v>
      </c>
      <c r="Q1290" s="322">
        <v>0</v>
      </c>
      <c r="R1290" s="322">
        <v>0</v>
      </c>
      <c r="S1290" s="322">
        <v>0</v>
      </c>
      <c r="T1290" s="322">
        <v>0</v>
      </c>
      <c r="U1290" s="322">
        <f t="shared" si="102"/>
        <v>0</v>
      </c>
      <c r="W1290" s="321">
        <f t="shared" si="103"/>
        <v>141</v>
      </c>
      <c r="X1290" s="321">
        <f t="shared" si="104"/>
        <v>721001</v>
      </c>
      <c r="Y1290" s="321">
        <v>1</v>
      </c>
      <c r="AA1290" s="321" t="s">
        <v>5208</v>
      </c>
    </row>
    <row r="1291" spans="1:27">
      <c r="A1291" s="376">
        <v>100</v>
      </c>
      <c r="B1291" s="377">
        <v>829200</v>
      </c>
      <c r="C1291" s="382" t="s">
        <v>6747</v>
      </c>
      <c r="D1291" s="379">
        <v>438</v>
      </c>
      <c r="E1291" s="380">
        <v>420</v>
      </c>
      <c r="F1291" s="380">
        <v>420</v>
      </c>
      <c r="H1291" s="351">
        <f t="shared" si="100"/>
        <v>438000</v>
      </c>
      <c r="I1291" s="351">
        <f t="shared" si="101"/>
        <v>420000</v>
      </c>
      <c r="M1291" s="321">
        <v>1721001181</v>
      </c>
      <c r="N1291" s="321">
        <v>72</v>
      </c>
      <c r="O1291" s="321" t="s">
        <v>2580</v>
      </c>
      <c r="P1291" s="321">
        <v>1721000</v>
      </c>
      <c r="Q1291" s="322">
        <v>0</v>
      </c>
      <c r="R1291" s="322">
        <v>0</v>
      </c>
      <c r="S1291" s="322">
        <v>0</v>
      </c>
      <c r="T1291" s="322">
        <v>0</v>
      </c>
      <c r="U1291" s="322">
        <f t="shared" si="102"/>
        <v>0</v>
      </c>
      <c r="W1291" s="321">
        <f t="shared" si="103"/>
        <v>181</v>
      </c>
      <c r="X1291" s="321">
        <f t="shared" si="104"/>
        <v>721001</v>
      </c>
      <c r="Y1291" s="321">
        <v>1</v>
      </c>
      <c r="AA1291" s="321" t="s">
        <v>2580</v>
      </c>
    </row>
    <row r="1292" spans="1:27">
      <c r="A1292" s="376">
        <v>420</v>
      </c>
      <c r="B1292" s="377">
        <v>829200</v>
      </c>
      <c r="C1292" s="382" t="s">
        <v>6987</v>
      </c>
      <c r="D1292" s="379">
        <v>185</v>
      </c>
      <c r="E1292" s="380">
        <v>183</v>
      </c>
      <c r="F1292" s="380">
        <v>183</v>
      </c>
      <c r="H1292" s="351">
        <f t="shared" si="100"/>
        <v>185000</v>
      </c>
      <c r="I1292" s="351">
        <f t="shared" si="101"/>
        <v>183000</v>
      </c>
      <c r="M1292" s="321">
        <v>1721001182</v>
      </c>
      <c r="N1292" s="321">
        <v>72</v>
      </c>
      <c r="O1292" s="321" t="s">
        <v>2582</v>
      </c>
      <c r="P1292" s="321">
        <v>1721000</v>
      </c>
      <c r="Q1292" s="322">
        <v>0</v>
      </c>
      <c r="R1292" s="322">
        <v>0</v>
      </c>
      <c r="S1292" s="322">
        <v>0</v>
      </c>
      <c r="T1292" s="322">
        <v>0</v>
      </c>
      <c r="U1292" s="322">
        <f t="shared" si="102"/>
        <v>0</v>
      </c>
      <c r="W1292" s="321">
        <f t="shared" si="103"/>
        <v>182</v>
      </c>
      <c r="X1292" s="321">
        <f t="shared" si="104"/>
        <v>721001</v>
      </c>
      <c r="Y1292" s="321">
        <v>1</v>
      </c>
      <c r="AA1292" s="321" t="s">
        <v>2582</v>
      </c>
    </row>
    <row r="1293" spans="1:27">
      <c r="A1293" s="376">
        <v>430</v>
      </c>
      <c r="B1293" s="377">
        <v>829200</v>
      </c>
      <c r="C1293" s="382" t="s">
        <v>6798</v>
      </c>
      <c r="D1293" s="379">
        <v>360</v>
      </c>
      <c r="E1293" s="380">
        <v>350</v>
      </c>
      <c r="F1293" s="380">
        <v>361</v>
      </c>
      <c r="H1293" s="351">
        <f t="shared" si="100"/>
        <v>360000</v>
      </c>
      <c r="I1293" s="351">
        <f t="shared" si="101"/>
        <v>361000</v>
      </c>
      <c r="M1293" s="321">
        <v>1722100110</v>
      </c>
      <c r="N1293" s="321">
        <v>72</v>
      </c>
      <c r="O1293" s="321" t="s">
        <v>5205</v>
      </c>
      <c r="P1293" s="321">
        <v>1722100</v>
      </c>
      <c r="Q1293" s="322">
        <v>47000</v>
      </c>
      <c r="R1293" s="322">
        <v>12300</v>
      </c>
      <c r="S1293" s="322">
        <v>0</v>
      </c>
      <c r="T1293" s="322">
        <v>0</v>
      </c>
      <c r="U1293" s="322">
        <f t="shared" si="102"/>
        <v>0</v>
      </c>
      <c r="W1293" s="321">
        <f t="shared" si="103"/>
        <v>110</v>
      </c>
      <c r="X1293" s="321">
        <f t="shared" si="104"/>
        <v>722100</v>
      </c>
      <c r="Y1293" s="321">
        <v>1</v>
      </c>
      <c r="AA1293" s="321" t="s">
        <v>5205</v>
      </c>
    </row>
    <row r="1294" spans="1:27">
      <c r="A1294" s="376">
        <v>432</v>
      </c>
      <c r="B1294" s="377">
        <v>829200</v>
      </c>
      <c r="C1294" s="382" t="s">
        <v>6887</v>
      </c>
      <c r="D1294" s="379">
        <v>700</v>
      </c>
      <c r="E1294" s="380">
        <v>700</v>
      </c>
      <c r="F1294" s="380">
        <v>740</v>
      </c>
      <c r="H1294" s="351">
        <f t="shared" si="100"/>
        <v>700000</v>
      </c>
      <c r="I1294" s="351">
        <f t="shared" si="101"/>
        <v>740000</v>
      </c>
      <c r="M1294" s="321">
        <v>1722100120</v>
      </c>
      <c r="N1294" s="321">
        <v>72</v>
      </c>
      <c r="O1294" s="321" t="s">
        <v>5538</v>
      </c>
      <c r="P1294" s="321">
        <v>1722100</v>
      </c>
      <c r="Q1294" s="322">
        <v>9000</v>
      </c>
      <c r="R1294" s="322">
        <v>7400</v>
      </c>
      <c r="S1294" s="322">
        <v>0</v>
      </c>
      <c r="T1294" s="322">
        <v>0</v>
      </c>
      <c r="U1294" s="322">
        <f t="shared" si="102"/>
        <v>0</v>
      </c>
      <c r="W1294" s="321">
        <f t="shared" si="103"/>
        <v>120</v>
      </c>
      <c r="X1294" s="321">
        <f t="shared" si="104"/>
        <v>722100</v>
      </c>
      <c r="Y1294" s="321">
        <v>1</v>
      </c>
      <c r="AA1294" s="321" t="s">
        <v>5538</v>
      </c>
    </row>
    <row r="1295" spans="1:27">
      <c r="A1295" s="376">
        <v>540</v>
      </c>
      <c r="B1295" s="377">
        <v>829200</v>
      </c>
      <c r="C1295" s="382" t="s">
        <v>6752</v>
      </c>
      <c r="D1295" s="379">
        <v>10</v>
      </c>
      <c r="E1295" s="380">
        <v>10</v>
      </c>
      <c r="F1295" s="380">
        <v>7</v>
      </c>
      <c r="H1295" s="351">
        <f t="shared" si="100"/>
        <v>10000</v>
      </c>
      <c r="I1295" s="351">
        <f t="shared" si="101"/>
        <v>7000</v>
      </c>
      <c r="M1295" s="321">
        <v>1722100130</v>
      </c>
      <c r="N1295" s="321">
        <v>72</v>
      </c>
      <c r="O1295" s="321" t="s">
        <v>2576</v>
      </c>
      <c r="P1295" s="321">
        <v>1722100</v>
      </c>
      <c r="Q1295" s="322">
        <v>0</v>
      </c>
      <c r="R1295" s="322">
        <v>0</v>
      </c>
      <c r="S1295" s="322">
        <v>0</v>
      </c>
      <c r="T1295" s="322">
        <v>0</v>
      </c>
      <c r="U1295" s="322">
        <f t="shared" si="102"/>
        <v>0</v>
      </c>
      <c r="W1295" s="321">
        <f t="shared" si="103"/>
        <v>130</v>
      </c>
      <c r="X1295" s="321">
        <f t="shared" si="104"/>
        <v>722100</v>
      </c>
      <c r="Y1295" s="321">
        <v>1</v>
      </c>
      <c r="AA1295" s="321" t="s">
        <v>2576</v>
      </c>
    </row>
    <row r="1296" spans="1:27">
      <c r="A1296" s="376">
        <v>720</v>
      </c>
      <c r="B1296" s="377">
        <v>829200</v>
      </c>
      <c r="C1296" s="382" t="s">
        <v>7341</v>
      </c>
      <c r="D1296" s="379">
        <v>200</v>
      </c>
      <c r="E1296" s="380">
        <v>200</v>
      </c>
      <c r="F1296" s="380">
        <v>200</v>
      </c>
      <c r="H1296" s="351">
        <f t="shared" si="100"/>
        <v>200000</v>
      </c>
      <c r="I1296" s="351">
        <f t="shared" si="101"/>
        <v>200000</v>
      </c>
      <c r="M1296" s="321">
        <v>1722100141</v>
      </c>
      <c r="N1296" s="321">
        <v>72</v>
      </c>
      <c r="O1296" s="321" t="s">
        <v>5208</v>
      </c>
      <c r="P1296" s="321">
        <v>1722100</v>
      </c>
      <c r="Q1296" s="322">
        <v>2000</v>
      </c>
      <c r="R1296" s="322">
        <v>1000</v>
      </c>
      <c r="S1296" s="322">
        <v>0</v>
      </c>
      <c r="T1296" s="322">
        <v>0</v>
      </c>
      <c r="U1296" s="322">
        <f t="shared" si="102"/>
        <v>0</v>
      </c>
      <c r="W1296" s="321">
        <f t="shared" si="103"/>
        <v>141</v>
      </c>
      <c r="X1296" s="321">
        <f t="shared" si="104"/>
        <v>722100</v>
      </c>
      <c r="Y1296" s="321">
        <v>1</v>
      </c>
      <c r="AA1296" s="321" t="s">
        <v>5208</v>
      </c>
    </row>
    <row r="1297" spans="1:27">
      <c r="A1297" s="376">
        <v>750</v>
      </c>
      <c r="B1297" s="377">
        <v>829200</v>
      </c>
      <c r="C1297" s="382" t="s">
        <v>7342</v>
      </c>
      <c r="D1297" s="379">
        <v>530</v>
      </c>
      <c r="E1297" s="380">
        <v>500</v>
      </c>
      <c r="F1297" s="380">
        <v>530</v>
      </c>
      <c r="H1297" s="351">
        <f t="shared" si="100"/>
        <v>530000</v>
      </c>
      <c r="I1297" s="351">
        <f t="shared" si="101"/>
        <v>530000</v>
      </c>
      <c r="M1297" s="321">
        <v>1722100181</v>
      </c>
      <c r="N1297" s="321">
        <v>72</v>
      </c>
      <c r="O1297" s="321" t="s">
        <v>2580</v>
      </c>
      <c r="P1297" s="321">
        <v>1722100</v>
      </c>
      <c r="Q1297" s="322">
        <v>6000</v>
      </c>
      <c r="R1297" s="322">
        <v>1800</v>
      </c>
      <c r="S1297" s="322">
        <v>0</v>
      </c>
      <c r="T1297" s="322">
        <v>0</v>
      </c>
      <c r="U1297" s="322">
        <f t="shared" si="102"/>
        <v>0</v>
      </c>
      <c r="W1297" s="321">
        <f t="shared" si="103"/>
        <v>181</v>
      </c>
      <c r="X1297" s="321">
        <f t="shared" si="104"/>
        <v>722100</v>
      </c>
      <c r="Y1297" s="321">
        <v>1</v>
      </c>
      <c r="AA1297" s="321" t="s">
        <v>2580</v>
      </c>
    </row>
    <row r="1298" spans="1:27">
      <c r="A1298" s="376">
        <v>751</v>
      </c>
      <c r="B1298" s="377">
        <v>829200</v>
      </c>
      <c r="C1298" s="382" t="s">
        <v>7110</v>
      </c>
      <c r="D1298" s="379">
        <v>19</v>
      </c>
      <c r="E1298" s="380">
        <v>19</v>
      </c>
      <c r="F1298" s="380">
        <v>19</v>
      </c>
      <c r="H1298" s="351">
        <f t="shared" ref="H1298:H1361" si="105">D1298*1000</f>
        <v>19000</v>
      </c>
      <c r="I1298" s="351">
        <f t="shared" ref="I1298:I1361" si="106">F1298*1000</f>
        <v>19000</v>
      </c>
      <c r="M1298" s="321">
        <v>1722100182</v>
      </c>
      <c r="N1298" s="321">
        <v>72</v>
      </c>
      <c r="O1298" s="321" t="s">
        <v>2582</v>
      </c>
      <c r="P1298" s="321">
        <v>1722100</v>
      </c>
      <c r="Q1298" s="322">
        <v>9000</v>
      </c>
      <c r="R1298" s="322">
        <v>2500</v>
      </c>
      <c r="S1298" s="322">
        <v>0</v>
      </c>
      <c r="T1298" s="322">
        <v>0</v>
      </c>
      <c r="U1298" s="322">
        <f t="shared" si="102"/>
        <v>0</v>
      </c>
      <c r="W1298" s="321">
        <f t="shared" si="103"/>
        <v>182</v>
      </c>
      <c r="X1298" s="321">
        <f t="shared" si="104"/>
        <v>722100</v>
      </c>
      <c r="Y1298" s="321">
        <v>1</v>
      </c>
      <c r="AA1298" s="321" t="s">
        <v>2582</v>
      </c>
    </row>
    <row r="1299" spans="1:27">
      <c r="A1299" s="376">
        <v>755</v>
      </c>
      <c r="B1299" s="377">
        <v>829200</v>
      </c>
      <c r="C1299" s="382" t="s">
        <v>7343</v>
      </c>
      <c r="D1299" s="379">
        <v>0</v>
      </c>
      <c r="E1299" s="380">
        <v>90</v>
      </c>
      <c r="F1299" s="380">
        <v>90</v>
      </c>
      <c r="H1299" s="351">
        <f t="shared" si="105"/>
        <v>0</v>
      </c>
      <c r="I1299" s="351">
        <f t="shared" si="106"/>
        <v>90000</v>
      </c>
      <c r="M1299" s="321">
        <v>1722100420</v>
      </c>
      <c r="N1299" s="321">
        <v>72</v>
      </c>
      <c r="O1299" s="321" t="s">
        <v>5539</v>
      </c>
      <c r="P1299" s="321">
        <v>1722100</v>
      </c>
      <c r="Q1299" s="322">
        <v>24000</v>
      </c>
      <c r="R1299" s="322">
        <v>7900</v>
      </c>
      <c r="S1299" s="322">
        <v>24000</v>
      </c>
      <c r="T1299" s="322">
        <v>24000</v>
      </c>
      <c r="U1299" s="322">
        <f t="shared" si="102"/>
        <v>0</v>
      </c>
      <c r="W1299" s="321">
        <f t="shared" si="103"/>
        <v>420</v>
      </c>
      <c r="X1299" s="321">
        <f t="shared" si="104"/>
        <v>722100</v>
      </c>
      <c r="Y1299" s="321">
        <v>1</v>
      </c>
      <c r="AA1299" s="321" t="s">
        <v>5539</v>
      </c>
    </row>
    <row r="1300" spans="1:27">
      <c r="A1300" s="376">
        <v>780</v>
      </c>
      <c r="B1300" s="377">
        <v>829200</v>
      </c>
      <c r="C1300" s="382" t="s">
        <v>7344</v>
      </c>
      <c r="D1300" s="379">
        <v>105</v>
      </c>
      <c r="E1300" s="380">
        <v>105</v>
      </c>
      <c r="F1300" s="380">
        <v>105</v>
      </c>
      <c r="H1300" s="351">
        <f t="shared" si="105"/>
        <v>105000</v>
      </c>
      <c r="I1300" s="351">
        <f t="shared" si="106"/>
        <v>105000</v>
      </c>
      <c r="M1300" s="321">
        <v>1722100470</v>
      </c>
      <c r="N1300" s="321">
        <v>72</v>
      </c>
      <c r="O1300" s="321" t="s">
        <v>2660</v>
      </c>
      <c r="P1300" s="321">
        <v>1722100</v>
      </c>
      <c r="Q1300" s="322">
        <v>4000</v>
      </c>
      <c r="R1300" s="322">
        <v>2000</v>
      </c>
      <c r="S1300" s="322">
        <v>4000</v>
      </c>
      <c r="T1300" s="322">
        <v>4000</v>
      </c>
      <c r="U1300" s="322">
        <f t="shared" si="102"/>
        <v>0</v>
      </c>
      <c r="W1300" s="321">
        <f t="shared" si="103"/>
        <v>470</v>
      </c>
      <c r="X1300" s="321">
        <f t="shared" si="104"/>
        <v>722100</v>
      </c>
      <c r="Y1300" s="321">
        <v>1</v>
      </c>
      <c r="AA1300" s="321" t="s">
        <v>2660</v>
      </c>
    </row>
    <row r="1301" spans="1:27">
      <c r="A1301" s="376">
        <v>920</v>
      </c>
      <c r="B1301" s="377">
        <v>829200</v>
      </c>
      <c r="C1301" s="382" t="s">
        <v>7345</v>
      </c>
      <c r="D1301" s="379">
        <v>0</v>
      </c>
      <c r="E1301" s="380">
        <v>100</v>
      </c>
      <c r="F1301" s="380">
        <v>100</v>
      </c>
      <c r="H1301" s="351">
        <f t="shared" si="105"/>
        <v>0</v>
      </c>
      <c r="I1301" s="351">
        <f t="shared" si="106"/>
        <v>100000</v>
      </c>
      <c r="M1301" s="321">
        <v>1722100471</v>
      </c>
      <c r="N1301" s="321">
        <v>72</v>
      </c>
      <c r="O1301" s="321" t="s">
        <v>5212</v>
      </c>
      <c r="P1301" s="321">
        <v>1722100</v>
      </c>
      <c r="Q1301" s="322">
        <v>12000</v>
      </c>
      <c r="R1301" s="322">
        <v>9500</v>
      </c>
      <c r="S1301" s="322">
        <v>12800</v>
      </c>
      <c r="T1301" s="322">
        <v>12800</v>
      </c>
      <c r="U1301" s="322">
        <f t="shared" si="102"/>
        <v>0</v>
      </c>
      <c r="W1301" s="321">
        <f t="shared" si="103"/>
        <v>471</v>
      </c>
      <c r="X1301" s="321">
        <f t="shared" si="104"/>
        <v>722100</v>
      </c>
      <c r="Y1301" s="321">
        <v>1</v>
      </c>
      <c r="AA1301" s="321" t="s">
        <v>5212</v>
      </c>
    </row>
    <row r="1302" spans="1:27">
      <c r="A1302" s="376">
        <v>100</v>
      </c>
      <c r="B1302" s="377">
        <v>829210</v>
      </c>
      <c r="C1302" s="391" t="s">
        <v>7346</v>
      </c>
      <c r="D1302" s="379">
        <v>1020</v>
      </c>
      <c r="E1302" s="380">
        <v>1000</v>
      </c>
      <c r="F1302" s="380">
        <v>1000</v>
      </c>
      <c r="H1302" s="351">
        <f t="shared" si="105"/>
        <v>1020000</v>
      </c>
      <c r="I1302" s="351">
        <f t="shared" si="106"/>
        <v>1000000</v>
      </c>
      <c r="M1302" s="321">
        <v>1722100510</v>
      </c>
      <c r="N1302" s="321">
        <v>72</v>
      </c>
      <c r="O1302" s="321" t="s">
        <v>5213</v>
      </c>
      <c r="P1302" s="321">
        <v>1722100</v>
      </c>
      <c r="Q1302" s="322">
        <v>14000</v>
      </c>
      <c r="R1302" s="322">
        <v>10400</v>
      </c>
      <c r="S1302" s="322">
        <v>14000</v>
      </c>
      <c r="T1302" s="322">
        <v>14000</v>
      </c>
      <c r="U1302" s="322">
        <f t="shared" si="102"/>
        <v>0</v>
      </c>
      <c r="W1302" s="321">
        <f t="shared" si="103"/>
        <v>510</v>
      </c>
      <c r="X1302" s="321">
        <f t="shared" si="104"/>
        <v>722100</v>
      </c>
      <c r="Y1302" s="321">
        <v>1</v>
      </c>
      <c r="AA1302" s="321" t="s">
        <v>5213</v>
      </c>
    </row>
    <row r="1303" spans="1:27">
      <c r="A1303" s="376">
        <v>430</v>
      </c>
      <c r="B1303" s="377">
        <v>829210</v>
      </c>
      <c r="C1303" s="397" t="s">
        <v>6798</v>
      </c>
      <c r="D1303" s="379">
        <v>580</v>
      </c>
      <c r="E1303" s="380">
        <v>570</v>
      </c>
      <c r="F1303" s="380">
        <v>613</v>
      </c>
      <c r="H1303" s="351">
        <f t="shared" si="105"/>
        <v>580000</v>
      </c>
      <c r="I1303" s="351">
        <f t="shared" si="106"/>
        <v>613000</v>
      </c>
      <c r="M1303" s="321">
        <v>1722100550</v>
      </c>
      <c r="N1303" s="321">
        <v>72</v>
      </c>
      <c r="O1303" s="321" t="s">
        <v>5272</v>
      </c>
      <c r="P1303" s="321">
        <v>1722100</v>
      </c>
      <c r="Q1303" s="322">
        <v>45000</v>
      </c>
      <c r="R1303" s="322">
        <v>3500</v>
      </c>
      <c r="S1303" s="322">
        <v>45000</v>
      </c>
      <c r="T1303" s="322">
        <v>45000</v>
      </c>
      <c r="U1303" s="322">
        <f t="shared" si="102"/>
        <v>0</v>
      </c>
      <c r="W1303" s="321">
        <f t="shared" si="103"/>
        <v>550</v>
      </c>
      <c r="X1303" s="321">
        <f t="shared" si="104"/>
        <v>722100</v>
      </c>
      <c r="Y1303" s="321">
        <v>1</v>
      </c>
      <c r="AA1303" s="321" t="s">
        <v>5272</v>
      </c>
    </row>
    <row r="1304" spans="1:27">
      <c r="A1304" s="376">
        <v>432</v>
      </c>
      <c r="B1304" s="377">
        <v>829210</v>
      </c>
      <c r="C1304" s="397" t="s">
        <v>7347</v>
      </c>
      <c r="D1304" s="379">
        <v>100</v>
      </c>
      <c r="E1304" s="380">
        <v>100</v>
      </c>
      <c r="F1304" s="380">
        <v>133</v>
      </c>
      <c r="H1304" s="351">
        <f t="shared" si="105"/>
        <v>100000</v>
      </c>
      <c r="I1304" s="351">
        <f t="shared" si="106"/>
        <v>133000</v>
      </c>
      <c r="M1304" s="321">
        <v>1722200110</v>
      </c>
      <c r="N1304" s="321">
        <v>72</v>
      </c>
      <c r="O1304" s="321" t="s">
        <v>5231</v>
      </c>
      <c r="P1304" s="321">
        <v>1722200</v>
      </c>
      <c r="Q1304" s="322">
        <v>961000</v>
      </c>
      <c r="R1304" s="322">
        <v>842400</v>
      </c>
      <c r="S1304" s="322">
        <v>917000</v>
      </c>
      <c r="T1304" s="322">
        <v>917000</v>
      </c>
      <c r="U1304" s="322">
        <f t="shared" si="102"/>
        <v>0</v>
      </c>
      <c r="W1304" s="321">
        <f t="shared" si="103"/>
        <v>110</v>
      </c>
      <c r="X1304" s="321">
        <f t="shared" si="104"/>
        <v>722200</v>
      </c>
      <c r="Y1304" s="321">
        <v>1</v>
      </c>
      <c r="AA1304" s="321" t="s">
        <v>5231</v>
      </c>
    </row>
    <row r="1305" spans="1:27">
      <c r="A1305" s="376">
        <v>540</v>
      </c>
      <c r="B1305" s="377">
        <v>829210</v>
      </c>
      <c r="C1305" s="397" t="s">
        <v>6752</v>
      </c>
      <c r="D1305" s="379">
        <v>25</v>
      </c>
      <c r="E1305" s="380">
        <v>25</v>
      </c>
      <c r="F1305" s="380">
        <v>13</v>
      </c>
      <c r="H1305" s="351">
        <f t="shared" si="105"/>
        <v>25000</v>
      </c>
      <c r="I1305" s="351">
        <f t="shared" si="106"/>
        <v>13000</v>
      </c>
      <c r="M1305" s="321">
        <v>1722200120</v>
      </c>
      <c r="N1305" s="321">
        <v>72</v>
      </c>
      <c r="O1305" s="321" t="s">
        <v>5206</v>
      </c>
      <c r="P1305" s="321">
        <v>1722200</v>
      </c>
      <c r="Q1305" s="322">
        <v>110000</v>
      </c>
      <c r="R1305" s="322">
        <v>145300</v>
      </c>
      <c r="S1305" s="322">
        <v>177000</v>
      </c>
      <c r="T1305" s="322">
        <v>177000</v>
      </c>
      <c r="U1305" s="322">
        <f t="shared" si="102"/>
        <v>0</v>
      </c>
      <c r="W1305" s="321">
        <f t="shared" si="103"/>
        <v>120</v>
      </c>
      <c r="X1305" s="321">
        <f t="shared" si="104"/>
        <v>722200</v>
      </c>
      <c r="Y1305" s="321">
        <v>1</v>
      </c>
      <c r="AA1305" s="321" t="s">
        <v>5206</v>
      </c>
    </row>
    <row r="1306" spans="1:27">
      <c r="A1306" s="376">
        <v>747</v>
      </c>
      <c r="B1306" s="377">
        <v>829210</v>
      </c>
      <c r="C1306" s="397" t="s">
        <v>7348</v>
      </c>
      <c r="D1306" s="379">
        <v>95</v>
      </c>
      <c r="E1306" s="380">
        <v>0</v>
      </c>
      <c r="F1306" s="380">
        <v>0</v>
      </c>
      <c r="H1306" s="351">
        <f t="shared" si="105"/>
        <v>95000</v>
      </c>
      <c r="I1306" s="351">
        <f t="shared" si="106"/>
        <v>0</v>
      </c>
      <c r="M1306" s="321">
        <v>1722200130</v>
      </c>
      <c r="N1306" s="321">
        <v>72</v>
      </c>
      <c r="O1306" s="321" t="s">
        <v>2576</v>
      </c>
      <c r="P1306" s="321">
        <v>1722200</v>
      </c>
      <c r="Q1306" s="322">
        <v>462000</v>
      </c>
      <c r="R1306" s="322">
        <v>361400</v>
      </c>
      <c r="S1306" s="322">
        <v>415000</v>
      </c>
      <c r="T1306" s="322">
        <v>373500</v>
      </c>
      <c r="U1306" s="322">
        <f t="shared" si="102"/>
        <v>41500</v>
      </c>
      <c r="W1306" s="321">
        <f t="shared" si="103"/>
        <v>130</v>
      </c>
      <c r="X1306" s="321">
        <f t="shared" si="104"/>
        <v>722200</v>
      </c>
      <c r="Y1306" s="321">
        <v>1</v>
      </c>
      <c r="AA1306" s="321" t="s">
        <v>2576</v>
      </c>
    </row>
    <row r="1307" spans="1:27">
      <c r="A1307" s="376">
        <v>750</v>
      </c>
      <c r="B1307" s="377">
        <v>829210</v>
      </c>
      <c r="C1307" s="397" t="s">
        <v>6804</v>
      </c>
      <c r="D1307" s="379">
        <v>655</v>
      </c>
      <c r="E1307" s="380">
        <v>640</v>
      </c>
      <c r="F1307" s="380">
        <v>650</v>
      </c>
      <c r="H1307" s="351">
        <f t="shared" si="105"/>
        <v>655000</v>
      </c>
      <c r="I1307" s="351">
        <f t="shared" si="106"/>
        <v>650000</v>
      </c>
      <c r="M1307" s="321">
        <v>1722200140</v>
      </c>
      <c r="N1307" s="321">
        <v>72</v>
      </c>
      <c r="O1307" s="321" t="s">
        <v>5207</v>
      </c>
      <c r="P1307" s="321">
        <v>1722200</v>
      </c>
      <c r="Q1307" s="322">
        <v>3000</v>
      </c>
      <c r="R1307" s="322">
        <v>19200</v>
      </c>
      <c r="S1307" s="322">
        <v>46000</v>
      </c>
      <c r="T1307" s="322">
        <v>46000</v>
      </c>
      <c r="U1307" s="322">
        <f t="shared" si="102"/>
        <v>0</v>
      </c>
      <c r="W1307" s="321">
        <f t="shared" si="103"/>
        <v>140</v>
      </c>
      <c r="X1307" s="321">
        <f t="shared" si="104"/>
        <v>722200</v>
      </c>
      <c r="Y1307" s="321">
        <v>1</v>
      </c>
      <c r="AA1307" s="321" t="s">
        <v>5207</v>
      </c>
    </row>
    <row r="1308" spans="1:27">
      <c r="A1308" s="376">
        <v>780</v>
      </c>
      <c r="B1308" s="377">
        <v>829210</v>
      </c>
      <c r="C1308" s="391" t="s">
        <v>7349</v>
      </c>
      <c r="D1308" s="379">
        <v>130</v>
      </c>
      <c r="E1308" s="380">
        <v>130</v>
      </c>
      <c r="F1308" s="380">
        <v>130</v>
      </c>
      <c r="H1308" s="351">
        <f t="shared" si="105"/>
        <v>130000</v>
      </c>
      <c r="I1308" s="351">
        <f t="shared" si="106"/>
        <v>130000</v>
      </c>
      <c r="M1308" s="321">
        <v>1722200141</v>
      </c>
      <c r="N1308" s="321">
        <v>72</v>
      </c>
      <c r="O1308" s="321" t="s">
        <v>5208</v>
      </c>
      <c r="P1308" s="321">
        <v>1722200</v>
      </c>
      <c r="Q1308" s="322">
        <v>34000</v>
      </c>
      <c r="R1308" s="322">
        <v>35800</v>
      </c>
      <c r="S1308" s="322">
        <v>37000</v>
      </c>
      <c r="T1308" s="322">
        <v>37000</v>
      </c>
      <c r="U1308" s="322">
        <f t="shared" si="102"/>
        <v>0</v>
      </c>
      <c r="W1308" s="321">
        <f t="shared" si="103"/>
        <v>141</v>
      </c>
      <c r="X1308" s="321">
        <f t="shared" si="104"/>
        <v>722200</v>
      </c>
      <c r="Y1308" s="321">
        <v>1</v>
      </c>
      <c r="AA1308" s="321" t="s">
        <v>5208</v>
      </c>
    </row>
    <row r="1309" spans="1:27">
      <c r="A1309" s="376">
        <v>781</v>
      </c>
      <c r="B1309" s="377">
        <v>829210</v>
      </c>
      <c r="C1309" s="391" t="s">
        <v>7350</v>
      </c>
      <c r="D1309" s="379">
        <v>60</v>
      </c>
      <c r="E1309" s="380">
        <v>60</v>
      </c>
      <c r="F1309" s="380">
        <v>60</v>
      </c>
      <c r="H1309" s="351">
        <f t="shared" si="105"/>
        <v>60000</v>
      </c>
      <c r="I1309" s="351">
        <f t="shared" si="106"/>
        <v>60000</v>
      </c>
      <c r="M1309" s="321">
        <v>1722200181</v>
      </c>
      <c r="N1309" s="321">
        <v>72</v>
      </c>
      <c r="O1309" s="321" t="s">
        <v>2580</v>
      </c>
      <c r="P1309" s="321">
        <v>1722200</v>
      </c>
      <c r="Q1309" s="322">
        <v>218000</v>
      </c>
      <c r="R1309" s="322">
        <v>228300</v>
      </c>
      <c r="S1309" s="322">
        <v>257000</v>
      </c>
      <c r="T1309" s="322">
        <v>257000</v>
      </c>
      <c r="U1309" s="322">
        <f t="shared" si="102"/>
        <v>0</v>
      </c>
      <c r="W1309" s="321">
        <f t="shared" si="103"/>
        <v>181</v>
      </c>
      <c r="X1309" s="321">
        <f t="shared" si="104"/>
        <v>722200</v>
      </c>
      <c r="Y1309" s="321">
        <v>1</v>
      </c>
      <c r="AA1309" s="321" t="s">
        <v>2580</v>
      </c>
    </row>
    <row r="1310" spans="1:27">
      <c r="A1310" s="376">
        <v>782</v>
      </c>
      <c r="B1310" s="377">
        <v>829210</v>
      </c>
      <c r="C1310" s="387" t="s">
        <v>7351</v>
      </c>
      <c r="D1310" s="379">
        <v>105</v>
      </c>
      <c r="E1310" s="380">
        <v>105</v>
      </c>
      <c r="F1310" s="380">
        <v>105</v>
      </c>
      <c r="H1310" s="351">
        <f t="shared" si="105"/>
        <v>105000</v>
      </c>
      <c r="I1310" s="351">
        <f t="shared" si="106"/>
        <v>105000</v>
      </c>
      <c r="M1310" s="321">
        <v>1722200182</v>
      </c>
      <c r="N1310" s="321">
        <v>72</v>
      </c>
      <c r="O1310" s="321" t="s">
        <v>2582</v>
      </c>
      <c r="P1310" s="321">
        <v>1722200</v>
      </c>
      <c r="Q1310" s="322">
        <v>213000</v>
      </c>
      <c r="R1310" s="322">
        <v>182700</v>
      </c>
      <c r="S1310" s="322">
        <v>220000</v>
      </c>
      <c r="T1310" s="322">
        <v>220000</v>
      </c>
      <c r="U1310" s="322">
        <f t="shared" si="102"/>
        <v>0</v>
      </c>
      <c r="W1310" s="321">
        <f t="shared" si="103"/>
        <v>182</v>
      </c>
      <c r="X1310" s="321">
        <f t="shared" si="104"/>
        <v>722200</v>
      </c>
      <c r="Y1310" s="321">
        <v>1</v>
      </c>
      <c r="AA1310" s="321" t="s">
        <v>2582</v>
      </c>
    </row>
    <row r="1311" spans="1:27">
      <c r="A1311" s="376">
        <v>100</v>
      </c>
      <c r="B1311" s="377">
        <v>829220</v>
      </c>
      <c r="C1311" s="391" t="s">
        <v>7352</v>
      </c>
      <c r="D1311" s="379">
        <v>132</v>
      </c>
      <c r="E1311" s="380">
        <v>130</v>
      </c>
      <c r="F1311" s="380">
        <v>135</v>
      </c>
      <c r="H1311" s="351">
        <f t="shared" si="105"/>
        <v>132000</v>
      </c>
      <c r="I1311" s="351">
        <f t="shared" si="106"/>
        <v>135000</v>
      </c>
      <c r="M1311" s="321">
        <v>1722200210</v>
      </c>
      <c r="N1311" s="321">
        <v>72</v>
      </c>
      <c r="O1311" s="321" t="s">
        <v>5308</v>
      </c>
      <c r="P1311" s="321">
        <v>1722200</v>
      </c>
      <c r="Q1311" s="322">
        <v>0</v>
      </c>
      <c r="R1311" s="322">
        <v>0</v>
      </c>
      <c r="S1311" s="322">
        <v>0</v>
      </c>
      <c r="T1311" s="322">
        <v>0</v>
      </c>
      <c r="U1311" s="322">
        <f t="shared" si="102"/>
        <v>0</v>
      </c>
      <c r="W1311" s="321">
        <f t="shared" si="103"/>
        <v>210</v>
      </c>
      <c r="X1311" s="321">
        <f t="shared" si="104"/>
        <v>722200</v>
      </c>
      <c r="Y1311" s="321">
        <v>1</v>
      </c>
      <c r="AA1311" s="321" t="s">
        <v>5308</v>
      </c>
    </row>
    <row r="1312" spans="1:27">
      <c r="A1312" s="376">
        <v>540</v>
      </c>
      <c r="B1312" s="377">
        <v>829220</v>
      </c>
      <c r="C1312" s="391" t="s">
        <v>7353</v>
      </c>
      <c r="D1312" s="379">
        <v>3</v>
      </c>
      <c r="E1312" s="380">
        <v>3</v>
      </c>
      <c r="F1312" s="380">
        <v>5</v>
      </c>
      <c r="H1312" s="351">
        <f t="shared" si="105"/>
        <v>3000</v>
      </c>
      <c r="I1312" s="351">
        <f t="shared" si="106"/>
        <v>5000</v>
      </c>
      <c r="M1312" s="321">
        <v>1722200212</v>
      </c>
      <c r="N1312" s="321">
        <v>72</v>
      </c>
      <c r="O1312" s="321" t="s">
        <v>5540</v>
      </c>
      <c r="P1312" s="321">
        <v>1722200</v>
      </c>
      <c r="Q1312" s="322">
        <v>25000</v>
      </c>
      <c r="R1312" s="322">
        <v>22500</v>
      </c>
      <c r="S1312" s="322">
        <v>25000</v>
      </c>
      <c r="T1312" s="322">
        <v>25000</v>
      </c>
      <c r="U1312" s="322">
        <f t="shared" si="102"/>
        <v>0</v>
      </c>
      <c r="W1312" s="321">
        <f t="shared" si="103"/>
        <v>212</v>
      </c>
      <c r="X1312" s="321">
        <f t="shared" si="104"/>
        <v>722200</v>
      </c>
      <c r="Y1312" s="321">
        <v>1</v>
      </c>
      <c r="AA1312" s="321" t="s">
        <v>5540</v>
      </c>
    </row>
    <row r="1313" spans="1:27">
      <c r="A1313" s="376">
        <v>750</v>
      </c>
      <c r="B1313" s="377">
        <v>829220</v>
      </c>
      <c r="C1313" s="397" t="s">
        <v>6804</v>
      </c>
      <c r="D1313" s="379">
        <v>130</v>
      </c>
      <c r="E1313" s="380">
        <v>130</v>
      </c>
      <c r="F1313" s="380">
        <v>147</v>
      </c>
      <c r="H1313" s="351">
        <f t="shared" si="105"/>
        <v>130000</v>
      </c>
      <c r="I1313" s="351">
        <f t="shared" si="106"/>
        <v>147000</v>
      </c>
      <c r="M1313" s="321">
        <v>1722200421</v>
      </c>
      <c r="N1313" s="321">
        <v>72</v>
      </c>
      <c r="O1313" s="321" t="s">
        <v>5541</v>
      </c>
      <c r="P1313" s="321">
        <v>1722200</v>
      </c>
      <c r="Q1313" s="322">
        <v>30000</v>
      </c>
      <c r="R1313" s="322">
        <v>16100</v>
      </c>
      <c r="S1313" s="322">
        <v>30000</v>
      </c>
      <c r="T1313" s="322">
        <v>30000</v>
      </c>
      <c r="U1313" s="322">
        <f t="shared" si="102"/>
        <v>0</v>
      </c>
      <c r="W1313" s="321">
        <f t="shared" si="103"/>
        <v>421</v>
      </c>
      <c r="X1313" s="321">
        <f t="shared" si="104"/>
        <v>722200</v>
      </c>
      <c r="Y1313" s="321">
        <v>1</v>
      </c>
      <c r="AA1313" s="321" t="s">
        <v>5541</v>
      </c>
    </row>
    <row r="1314" spans="1:27">
      <c r="A1314" s="376">
        <v>870</v>
      </c>
      <c r="B1314" s="377">
        <v>829220</v>
      </c>
      <c r="C1314" s="385" t="s">
        <v>7354</v>
      </c>
      <c r="D1314" s="379">
        <v>125</v>
      </c>
      <c r="E1314" s="380">
        <v>132</v>
      </c>
      <c r="F1314" s="380">
        <v>132</v>
      </c>
      <c r="H1314" s="351">
        <f t="shared" si="105"/>
        <v>125000</v>
      </c>
      <c r="I1314" s="351">
        <f t="shared" si="106"/>
        <v>132000</v>
      </c>
      <c r="M1314" s="321">
        <v>1722200470</v>
      </c>
      <c r="N1314" s="321">
        <v>72</v>
      </c>
      <c r="O1314" s="321" t="s">
        <v>2830</v>
      </c>
      <c r="P1314" s="321">
        <v>1722200</v>
      </c>
      <c r="Q1314" s="322">
        <v>4000</v>
      </c>
      <c r="R1314" s="322">
        <v>1600</v>
      </c>
      <c r="S1314" s="322">
        <v>4000</v>
      </c>
      <c r="T1314" s="322">
        <v>4000</v>
      </c>
      <c r="U1314" s="322">
        <f t="shared" si="102"/>
        <v>0</v>
      </c>
      <c r="W1314" s="321">
        <f t="shared" si="103"/>
        <v>470</v>
      </c>
      <c r="X1314" s="321">
        <f t="shared" si="104"/>
        <v>722200</v>
      </c>
      <c r="Y1314" s="321">
        <v>1</v>
      </c>
      <c r="AA1314" s="321" t="s">
        <v>2830</v>
      </c>
    </row>
    <row r="1315" spans="1:27">
      <c r="A1315" s="376">
        <v>100</v>
      </c>
      <c r="B1315" s="377">
        <v>829230</v>
      </c>
      <c r="C1315" s="391" t="s">
        <v>7355</v>
      </c>
      <c r="D1315" s="379">
        <v>87</v>
      </c>
      <c r="E1315" s="380">
        <v>85</v>
      </c>
      <c r="F1315" s="380">
        <v>85</v>
      </c>
      <c r="H1315" s="351">
        <f t="shared" si="105"/>
        <v>87000</v>
      </c>
      <c r="I1315" s="351">
        <f t="shared" si="106"/>
        <v>85000</v>
      </c>
      <c r="M1315" s="321">
        <v>1722200471</v>
      </c>
      <c r="N1315" s="321">
        <v>72</v>
      </c>
      <c r="O1315" s="321" t="s">
        <v>5212</v>
      </c>
      <c r="P1315" s="321">
        <v>1722200</v>
      </c>
      <c r="Q1315" s="322">
        <v>3500</v>
      </c>
      <c r="R1315" s="322">
        <v>0</v>
      </c>
      <c r="S1315" s="322">
        <v>3700</v>
      </c>
      <c r="T1315" s="322">
        <v>3700</v>
      </c>
      <c r="U1315" s="322">
        <f t="shared" si="102"/>
        <v>0</v>
      </c>
      <c r="W1315" s="321">
        <f t="shared" si="103"/>
        <v>471</v>
      </c>
      <c r="X1315" s="321">
        <f t="shared" si="104"/>
        <v>722200</v>
      </c>
      <c r="Y1315" s="321">
        <v>1</v>
      </c>
      <c r="AA1315" s="321" t="s">
        <v>5212</v>
      </c>
    </row>
    <row r="1316" spans="1:27">
      <c r="A1316" s="376">
        <v>430</v>
      </c>
      <c r="B1316" s="377">
        <v>829230</v>
      </c>
      <c r="C1316" s="391" t="s">
        <v>6798</v>
      </c>
      <c r="D1316" s="379">
        <v>27</v>
      </c>
      <c r="E1316" s="380">
        <v>26</v>
      </c>
      <c r="F1316" s="380">
        <v>26</v>
      </c>
      <c r="H1316" s="351">
        <f t="shared" si="105"/>
        <v>27000</v>
      </c>
      <c r="I1316" s="351">
        <f t="shared" si="106"/>
        <v>26000</v>
      </c>
      <c r="M1316" s="321">
        <v>1722200510</v>
      </c>
      <c r="N1316" s="321">
        <v>72</v>
      </c>
      <c r="O1316" s="321" t="s">
        <v>5542</v>
      </c>
      <c r="P1316" s="321">
        <v>1722200</v>
      </c>
      <c r="Q1316" s="322">
        <v>0</v>
      </c>
      <c r="R1316" s="322">
        <v>0</v>
      </c>
      <c r="S1316" s="322">
        <v>0</v>
      </c>
      <c r="T1316" s="322">
        <v>0</v>
      </c>
      <c r="U1316" s="322">
        <f t="shared" si="102"/>
        <v>0</v>
      </c>
      <c r="W1316" s="321">
        <f t="shared" si="103"/>
        <v>510</v>
      </c>
      <c r="X1316" s="321">
        <f t="shared" si="104"/>
        <v>722200</v>
      </c>
      <c r="Y1316" s="321">
        <v>1</v>
      </c>
      <c r="AA1316" s="321" t="s">
        <v>5542</v>
      </c>
    </row>
    <row r="1317" spans="1:27">
      <c r="A1317" s="376">
        <v>780</v>
      </c>
      <c r="B1317" s="377">
        <v>829230</v>
      </c>
      <c r="C1317" s="391" t="s">
        <v>7356</v>
      </c>
      <c r="D1317" s="379">
        <v>5</v>
      </c>
      <c r="E1317" s="380">
        <v>5</v>
      </c>
      <c r="F1317" s="380">
        <v>5</v>
      </c>
      <c r="H1317" s="351">
        <f t="shared" si="105"/>
        <v>5000</v>
      </c>
      <c r="I1317" s="351">
        <f t="shared" si="106"/>
        <v>5000</v>
      </c>
      <c r="M1317" s="321">
        <v>1722200521</v>
      </c>
      <c r="N1317" s="321">
        <v>72</v>
      </c>
      <c r="O1317" s="321" t="s">
        <v>5543</v>
      </c>
      <c r="P1317" s="321">
        <v>1722200</v>
      </c>
      <c r="Q1317" s="322">
        <v>0</v>
      </c>
      <c r="R1317" s="322">
        <v>0</v>
      </c>
      <c r="S1317" s="322">
        <v>0</v>
      </c>
      <c r="T1317" s="322">
        <v>0</v>
      </c>
      <c r="U1317" s="322">
        <f t="shared" si="102"/>
        <v>0</v>
      </c>
      <c r="W1317" s="321">
        <f t="shared" si="103"/>
        <v>521</v>
      </c>
      <c r="X1317" s="321">
        <f t="shared" si="104"/>
        <v>722200</v>
      </c>
      <c r="Y1317" s="321">
        <v>1</v>
      </c>
      <c r="AA1317" s="321" t="s">
        <v>5543</v>
      </c>
    </row>
    <row r="1318" spans="1:27">
      <c r="A1318" s="376">
        <v>100</v>
      </c>
      <c r="B1318" s="377">
        <v>829240</v>
      </c>
      <c r="C1318" s="382" t="s">
        <v>7346</v>
      </c>
      <c r="D1318" s="379">
        <f>1741+250</f>
        <v>1991</v>
      </c>
      <c r="E1318" s="380">
        <v>1700</v>
      </c>
      <c r="F1318" s="380">
        <v>1800</v>
      </c>
      <c r="H1318" s="351">
        <f t="shared" si="105"/>
        <v>1991000</v>
      </c>
      <c r="I1318" s="351">
        <f t="shared" si="106"/>
        <v>1800000</v>
      </c>
      <c r="M1318" s="321">
        <v>1722200540</v>
      </c>
      <c r="N1318" s="321">
        <v>72</v>
      </c>
      <c r="O1318" s="321" t="s">
        <v>5544</v>
      </c>
      <c r="P1318" s="321">
        <v>1722200</v>
      </c>
      <c r="Q1318" s="322">
        <v>5500</v>
      </c>
      <c r="R1318" s="322">
        <v>5200</v>
      </c>
      <c r="S1318" s="322">
        <v>9000</v>
      </c>
      <c r="T1318" s="322">
        <v>9000</v>
      </c>
      <c r="U1318" s="322">
        <f t="shared" si="102"/>
        <v>0</v>
      </c>
      <c r="W1318" s="321">
        <f t="shared" si="103"/>
        <v>540</v>
      </c>
      <c r="X1318" s="321">
        <f t="shared" si="104"/>
        <v>722200</v>
      </c>
      <c r="Y1318" s="321">
        <v>1</v>
      </c>
      <c r="AA1318" s="321" t="s">
        <v>5544</v>
      </c>
    </row>
    <row r="1319" spans="1:27">
      <c r="A1319" s="376">
        <v>430</v>
      </c>
      <c r="B1319" s="377">
        <v>829240</v>
      </c>
      <c r="C1319" s="382" t="s">
        <v>6798</v>
      </c>
      <c r="D1319" s="379">
        <v>700</v>
      </c>
      <c r="E1319" s="380">
        <v>500</v>
      </c>
      <c r="F1319" s="380">
        <v>565</v>
      </c>
      <c r="H1319" s="351">
        <f t="shared" si="105"/>
        <v>700000</v>
      </c>
      <c r="I1319" s="351">
        <f t="shared" si="106"/>
        <v>565000</v>
      </c>
      <c r="M1319" s="321">
        <v>1722200572</v>
      </c>
      <c r="N1319" s="321">
        <v>72</v>
      </c>
      <c r="O1319" s="321" t="s">
        <v>5253</v>
      </c>
      <c r="P1319" s="321">
        <v>1722200</v>
      </c>
      <c r="Q1319" s="322">
        <v>0</v>
      </c>
      <c r="R1319" s="322">
        <v>0</v>
      </c>
      <c r="S1319" s="322">
        <v>0</v>
      </c>
      <c r="T1319" s="322">
        <v>0</v>
      </c>
      <c r="U1319" s="322">
        <f t="shared" si="102"/>
        <v>0</v>
      </c>
      <c r="W1319" s="321">
        <f t="shared" si="103"/>
        <v>572</v>
      </c>
      <c r="X1319" s="321">
        <f t="shared" si="104"/>
        <v>722200</v>
      </c>
      <c r="Y1319" s="321">
        <v>1</v>
      </c>
      <c r="AA1319" s="321" t="s">
        <v>5253</v>
      </c>
    </row>
    <row r="1320" spans="1:27">
      <c r="A1320" s="376">
        <v>432</v>
      </c>
      <c r="B1320" s="377">
        <v>829240</v>
      </c>
      <c r="C1320" s="382" t="s">
        <v>7347</v>
      </c>
      <c r="D1320" s="379">
        <v>150</v>
      </c>
      <c r="E1320" s="380">
        <v>150</v>
      </c>
      <c r="F1320" s="380">
        <v>150</v>
      </c>
      <c r="H1320" s="351">
        <f t="shared" si="105"/>
        <v>150000</v>
      </c>
      <c r="I1320" s="351">
        <f t="shared" si="106"/>
        <v>150000</v>
      </c>
      <c r="M1320" s="321">
        <v>1722200743</v>
      </c>
      <c r="N1320" s="321">
        <v>72</v>
      </c>
      <c r="O1320" s="321" t="s">
        <v>2622</v>
      </c>
      <c r="P1320" s="321">
        <v>1722200</v>
      </c>
      <c r="Q1320" s="322">
        <v>14000</v>
      </c>
      <c r="R1320" s="322">
        <v>9300</v>
      </c>
      <c r="S1320" s="322">
        <v>14000</v>
      </c>
      <c r="T1320" s="322">
        <v>14000</v>
      </c>
      <c r="U1320" s="322">
        <f t="shared" si="102"/>
        <v>0</v>
      </c>
      <c r="W1320" s="321">
        <f t="shared" si="103"/>
        <v>743</v>
      </c>
      <c r="X1320" s="321">
        <f t="shared" si="104"/>
        <v>722200</v>
      </c>
      <c r="Y1320" s="321">
        <v>1</v>
      </c>
      <c r="AA1320" s="321" t="s">
        <v>2622</v>
      </c>
    </row>
    <row r="1321" spans="1:27">
      <c r="A1321" s="376">
        <v>540</v>
      </c>
      <c r="B1321" s="377">
        <v>829240</v>
      </c>
      <c r="C1321" s="382" t="s">
        <v>6752</v>
      </c>
      <c r="D1321" s="379">
        <v>23</v>
      </c>
      <c r="E1321" s="380">
        <v>23</v>
      </c>
      <c r="F1321" s="380">
        <v>25</v>
      </c>
      <c r="H1321" s="351">
        <f t="shared" si="105"/>
        <v>23000</v>
      </c>
      <c r="I1321" s="351">
        <f t="shared" si="106"/>
        <v>25000</v>
      </c>
      <c r="M1321" s="321">
        <v>1722200750</v>
      </c>
      <c r="N1321" s="321">
        <v>72</v>
      </c>
      <c r="O1321" s="321" t="s">
        <v>5545</v>
      </c>
      <c r="P1321" s="321">
        <v>1722200</v>
      </c>
      <c r="Q1321" s="322">
        <v>20000</v>
      </c>
      <c r="R1321" s="322">
        <v>6500</v>
      </c>
      <c r="S1321" s="322">
        <v>20000</v>
      </c>
      <c r="T1321" s="322">
        <v>20000</v>
      </c>
      <c r="U1321" s="322">
        <f t="shared" si="102"/>
        <v>0</v>
      </c>
      <c r="W1321" s="321">
        <f t="shared" si="103"/>
        <v>750</v>
      </c>
      <c r="X1321" s="321">
        <f t="shared" si="104"/>
        <v>722200</v>
      </c>
      <c r="Y1321" s="321">
        <v>1</v>
      </c>
      <c r="AA1321" s="321" t="s">
        <v>5545</v>
      </c>
    </row>
    <row r="1322" spans="1:27">
      <c r="A1322" s="376">
        <v>747</v>
      </c>
      <c r="B1322" s="377">
        <v>829240</v>
      </c>
      <c r="C1322" s="382" t="s">
        <v>7348</v>
      </c>
      <c r="D1322" s="379">
        <v>100</v>
      </c>
      <c r="E1322" s="380">
        <v>0</v>
      </c>
      <c r="F1322" s="380">
        <v>0</v>
      </c>
      <c r="H1322" s="351">
        <f t="shared" si="105"/>
        <v>100000</v>
      </c>
      <c r="I1322" s="351">
        <f t="shared" si="106"/>
        <v>0</v>
      </c>
      <c r="M1322" s="321">
        <v>1722200751</v>
      </c>
      <c r="N1322" s="321">
        <v>72</v>
      </c>
      <c r="O1322" s="321" t="s">
        <v>5546</v>
      </c>
      <c r="P1322" s="321">
        <v>1722200</v>
      </c>
      <c r="Q1322" s="322">
        <v>3000</v>
      </c>
      <c r="R1322" s="322">
        <v>0</v>
      </c>
      <c r="S1322" s="322">
        <v>1500</v>
      </c>
      <c r="T1322" s="322">
        <v>1500</v>
      </c>
      <c r="U1322" s="322">
        <f t="shared" si="102"/>
        <v>0</v>
      </c>
      <c r="W1322" s="321">
        <f t="shared" si="103"/>
        <v>751</v>
      </c>
      <c r="X1322" s="321">
        <f t="shared" si="104"/>
        <v>722200</v>
      </c>
      <c r="Y1322" s="321">
        <v>1</v>
      </c>
      <c r="AA1322" s="321" t="s">
        <v>5546</v>
      </c>
    </row>
    <row r="1323" spans="1:27">
      <c r="A1323" s="376">
        <v>750</v>
      </c>
      <c r="B1323" s="377">
        <v>829240</v>
      </c>
      <c r="C1323" s="382" t="s">
        <v>6804</v>
      </c>
      <c r="D1323" s="379">
        <v>1080</v>
      </c>
      <c r="E1323" s="380">
        <v>980</v>
      </c>
      <c r="F1323" s="380">
        <v>960</v>
      </c>
      <c r="H1323" s="351">
        <f t="shared" si="105"/>
        <v>1080000</v>
      </c>
      <c r="I1323" s="351">
        <f t="shared" si="106"/>
        <v>960000</v>
      </c>
      <c r="M1323" s="321">
        <v>1722200760</v>
      </c>
      <c r="N1323" s="321">
        <v>72</v>
      </c>
      <c r="O1323" s="321" t="s">
        <v>5547</v>
      </c>
      <c r="P1323" s="321">
        <v>1722200</v>
      </c>
      <c r="Q1323" s="322">
        <v>500000</v>
      </c>
      <c r="R1323" s="322">
        <v>374900</v>
      </c>
      <c r="S1323" s="322">
        <v>500000</v>
      </c>
      <c r="T1323" s="322">
        <v>500000</v>
      </c>
      <c r="U1323" s="322">
        <f t="shared" si="102"/>
        <v>0</v>
      </c>
      <c r="W1323" s="321">
        <f t="shared" si="103"/>
        <v>760</v>
      </c>
      <c r="X1323" s="321">
        <f t="shared" si="104"/>
        <v>722200</v>
      </c>
      <c r="Y1323" s="321">
        <v>1</v>
      </c>
      <c r="AA1323" s="321" t="s">
        <v>5547</v>
      </c>
    </row>
    <row r="1324" spans="1:27">
      <c r="A1324" s="376">
        <v>755</v>
      </c>
      <c r="B1324" s="377">
        <v>829240</v>
      </c>
      <c r="C1324" s="382" t="s">
        <v>7357</v>
      </c>
      <c r="D1324" s="379">
        <v>0</v>
      </c>
      <c r="E1324" s="380">
        <v>0</v>
      </c>
      <c r="F1324" s="380">
        <v>0</v>
      </c>
      <c r="H1324" s="351">
        <f t="shared" si="105"/>
        <v>0</v>
      </c>
      <c r="I1324" s="351">
        <f t="shared" si="106"/>
        <v>0</v>
      </c>
      <c r="M1324" s="321">
        <v>1722200779</v>
      </c>
      <c r="N1324" s="321">
        <v>72</v>
      </c>
      <c r="O1324" s="321" t="s">
        <v>5548</v>
      </c>
      <c r="P1324" s="321">
        <v>1722200</v>
      </c>
      <c r="Q1324" s="322">
        <v>3000</v>
      </c>
      <c r="R1324" s="322">
        <v>1000</v>
      </c>
      <c r="S1324" s="322">
        <v>3000</v>
      </c>
      <c r="T1324" s="322">
        <v>3000</v>
      </c>
      <c r="U1324" s="322">
        <f t="shared" si="102"/>
        <v>0</v>
      </c>
      <c r="W1324" s="321">
        <f t="shared" si="103"/>
        <v>779</v>
      </c>
      <c r="X1324" s="321">
        <f t="shared" si="104"/>
        <v>722200</v>
      </c>
      <c r="Y1324" s="321">
        <v>1</v>
      </c>
      <c r="AA1324" s="321" t="s">
        <v>5548</v>
      </c>
    </row>
    <row r="1325" spans="1:27">
      <c r="A1325" s="376">
        <v>781</v>
      </c>
      <c r="B1325" s="377">
        <v>829240</v>
      </c>
      <c r="C1325" s="382" t="s">
        <v>7358</v>
      </c>
      <c r="D1325" s="379">
        <v>25</v>
      </c>
      <c r="E1325" s="380">
        <v>25</v>
      </c>
      <c r="F1325" s="380">
        <v>25</v>
      </c>
      <c r="H1325" s="351">
        <f t="shared" si="105"/>
        <v>25000</v>
      </c>
      <c r="I1325" s="351">
        <f t="shared" si="106"/>
        <v>25000</v>
      </c>
      <c r="M1325" s="321">
        <v>1723000110</v>
      </c>
      <c r="N1325" s="321">
        <v>72</v>
      </c>
      <c r="O1325" s="321" t="s">
        <v>5205</v>
      </c>
      <c r="P1325" s="321">
        <v>1723000</v>
      </c>
      <c r="Q1325" s="322">
        <v>263000</v>
      </c>
      <c r="R1325" s="322">
        <v>54000</v>
      </c>
      <c r="S1325" s="322">
        <v>194000</v>
      </c>
      <c r="T1325" s="322">
        <v>194000</v>
      </c>
      <c r="U1325" s="322">
        <f t="shared" si="102"/>
        <v>0</v>
      </c>
      <c r="W1325" s="321">
        <f t="shared" si="103"/>
        <v>110</v>
      </c>
      <c r="X1325" s="321">
        <f t="shared" si="104"/>
        <v>723000</v>
      </c>
      <c r="Y1325" s="321">
        <v>1</v>
      </c>
      <c r="AA1325" s="321" t="s">
        <v>5205</v>
      </c>
    </row>
    <row r="1326" spans="1:27">
      <c r="A1326" s="376">
        <v>782</v>
      </c>
      <c r="B1326" s="377">
        <v>829240</v>
      </c>
      <c r="C1326" s="382" t="s">
        <v>7359</v>
      </c>
      <c r="D1326" s="379">
        <v>45</v>
      </c>
      <c r="E1326" s="380">
        <v>30</v>
      </c>
      <c r="F1326" s="380">
        <v>30</v>
      </c>
      <c r="H1326" s="351">
        <f t="shared" si="105"/>
        <v>45000</v>
      </c>
      <c r="I1326" s="351">
        <f t="shared" si="106"/>
        <v>30000</v>
      </c>
      <c r="M1326" s="321">
        <v>1723000120</v>
      </c>
      <c r="N1326" s="321">
        <v>72</v>
      </c>
      <c r="O1326" s="321" t="s">
        <v>5206</v>
      </c>
      <c r="P1326" s="321">
        <v>1723000</v>
      </c>
      <c r="Q1326" s="322">
        <v>62000</v>
      </c>
      <c r="R1326" s="322">
        <v>14400</v>
      </c>
      <c r="S1326" s="322">
        <v>15000</v>
      </c>
      <c r="T1326" s="322">
        <v>15000</v>
      </c>
      <c r="U1326" s="322">
        <f t="shared" si="102"/>
        <v>0</v>
      </c>
      <c r="W1326" s="321">
        <f t="shared" si="103"/>
        <v>120</v>
      </c>
      <c r="X1326" s="321">
        <f t="shared" si="104"/>
        <v>723000</v>
      </c>
      <c r="Y1326" s="321">
        <v>1</v>
      </c>
      <c r="AA1326" s="321" t="s">
        <v>5206</v>
      </c>
    </row>
    <row r="1327" spans="1:27">
      <c r="A1327" s="376">
        <v>783</v>
      </c>
      <c r="B1327" s="377">
        <v>829240</v>
      </c>
      <c r="C1327" s="382" t="s">
        <v>7360</v>
      </c>
      <c r="D1327" s="379">
        <v>40</v>
      </c>
      <c r="E1327" s="380">
        <v>28</v>
      </c>
      <c r="F1327" s="380">
        <v>25</v>
      </c>
      <c r="H1327" s="351">
        <f t="shared" si="105"/>
        <v>40000</v>
      </c>
      <c r="I1327" s="351">
        <f t="shared" si="106"/>
        <v>25000</v>
      </c>
      <c r="M1327" s="321">
        <v>1723000130</v>
      </c>
      <c r="N1327" s="321">
        <v>72</v>
      </c>
      <c r="O1327" s="321" t="s">
        <v>2576</v>
      </c>
      <c r="P1327" s="321">
        <v>1723000</v>
      </c>
      <c r="Q1327" s="322">
        <v>47000</v>
      </c>
      <c r="R1327" s="322">
        <v>12600</v>
      </c>
      <c r="S1327" s="322">
        <v>39000</v>
      </c>
      <c r="T1327" s="322">
        <v>35100</v>
      </c>
      <c r="U1327" s="322">
        <f t="shared" si="102"/>
        <v>3900</v>
      </c>
      <c r="W1327" s="321">
        <f t="shared" si="103"/>
        <v>130</v>
      </c>
      <c r="X1327" s="321">
        <f t="shared" si="104"/>
        <v>723000</v>
      </c>
      <c r="Y1327" s="321">
        <v>1</v>
      </c>
      <c r="AA1327" s="321" t="s">
        <v>2576</v>
      </c>
    </row>
    <row r="1328" spans="1:27">
      <c r="A1328" s="376">
        <v>784</v>
      </c>
      <c r="B1328" s="377">
        <v>829240</v>
      </c>
      <c r="C1328" s="382" t="s">
        <v>7361</v>
      </c>
      <c r="D1328" s="379">
        <v>40</v>
      </c>
      <c r="E1328" s="380">
        <v>25</v>
      </c>
      <c r="F1328" s="380">
        <v>25</v>
      </c>
      <c r="H1328" s="351">
        <f t="shared" si="105"/>
        <v>40000</v>
      </c>
      <c r="I1328" s="351">
        <f t="shared" si="106"/>
        <v>25000</v>
      </c>
      <c r="M1328" s="321">
        <v>1723000140</v>
      </c>
      <c r="N1328" s="321">
        <v>72</v>
      </c>
      <c r="O1328" s="321" t="s">
        <v>5207</v>
      </c>
      <c r="P1328" s="321">
        <v>1723000</v>
      </c>
      <c r="Q1328" s="322">
        <v>37000</v>
      </c>
      <c r="R1328" s="322">
        <v>10200</v>
      </c>
      <c r="S1328" s="322">
        <v>11000</v>
      </c>
      <c r="T1328" s="322">
        <v>11000</v>
      </c>
      <c r="U1328" s="322">
        <f t="shared" si="102"/>
        <v>0</v>
      </c>
      <c r="W1328" s="321">
        <f t="shared" si="103"/>
        <v>140</v>
      </c>
      <c r="X1328" s="321">
        <f t="shared" si="104"/>
        <v>723000</v>
      </c>
      <c r="Y1328" s="321">
        <v>1</v>
      </c>
      <c r="AA1328" s="321" t="s">
        <v>5207</v>
      </c>
    </row>
    <row r="1329" spans="1:27">
      <c r="A1329" s="376">
        <v>785</v>
      </c>
      <c r="B1329" s="377">
        <v>829240</v>
      </c>
      <c r="C1329" s="382" t="s">
        <v>7362</v>
      </c>
      <c r="D1329" s="379">
        <v>42</v>
      </c>
      <c r="E1329" s="380">
        <v>27</v>
      </c>
      <c r="F1329" s="380">
        <v>25</v>
      </c>
      <c r="H1329" s="351">
        <f t="shared" si="105"/>
        <v>42000</v>
      </c>
      <c r="I1329" s="351">
        <f t="shared" si="106"/>
        <v>25000</v>
      </c>
      <c r="M1329" s="321">
        <v>1723000141</v>
      </c>
      <c r="N1329" s="321">
        <v>72</v>
      </c>
      <c r="O1329" s="321" t="s">
        <v>5208</v>
      </c>
      <c r="P1329" s="321">
        <v>1723000</v>
      </c>
      <c r="Q1329" s="322">
        <v>12000</v>
      </c>
      <c r="R1329" s="322">
        <v>3400</v>
      </c>
      <c r="S1329" s="322">
        <v>11000</v>
      </c>
      <c r="T1329" s="322">
        <v>11000</v>
      </c>
      <c r="U1329" s="322">
        <f t="shared" si="102"/>
        <v>0</v>
      </c>
      <c r="W1329" s="321">
        <f t="shared" si="103"/>
        <v>141</v>
      </c>
      <c r="X1329" s="321">
        <f t="shared" si="104"/>
        <v>723000</v>
      </c>
      <c r="Y1329" s="321">
        <v>1</v>
      </c>
      <c r="AA1329" s="321" t="s">
        <v>5208</v>
      </c>
    </row>
    <row r="1330" spans="1:27">
      <c r="A1330" s="376">
        <v>786</v>
      </c>
      <c r="B1330" s="377">
        <v>829240</v>
      </c>
      <c r="C1330" s="382" t="s">
        <v>7363</v>
      </c>
      <c r="D1330" s="379">
        <v>25</v>
      </c>
      <c r="E1330" s="380">
        <v>20</v>
      </c>
      <c r="F1330" s="380">
        <v>25</v>
      </c>
      <c r="H1330" s="351">
        <f t="shared" si="105"/>
        <v>25000</v>
      </c>
      <c r="I1330" s="351">
        <f t="shared" si="106"/>
        <v>25000</v>
      </c>
      <c r="M1330" s="321">
        <v>1723000181</v>
      </c>
      <c r="N1330" s="321">
        <v>72</v>
      </c>
      <c r="O1330" s="321" t="s">
        <v>2580</v>
      </c>
      <c r="P1330" s="321">
        <v>1723000</v>
      </c>
      <c r="Q1330" s="322">
        <v>45000</v>
      </c>
      <c r="R1330" s="322">
        <v>8100</v>
      </c>
      <c r="S1330" s="322">
        <v>37000</v>
      </c>
      <c r="T1330" s="322">
        <v>37000</v>
      </c>
      <c r="U1330" s="322">
        <f t="shared" si="102"/>
        <v>0</v>
      </c>
      <c r="W1330" s="321">
        <f t="shared" si="103"/>
        <v>181</v>
      </c>
      <c r="X1330" s="321">
        <f t="shared" si="104"/>
        <v>723000</v>
      </c>
      <c r="Y1330" s="321">
        <v>1</v>
      </c>
      <c r="AA1330" s="321" t="s">
        <v>2580</v>
      </c>
    </row>
    <row r="1331" spans="1:27">
      <c r="A1331" s="376">
        <v>787</v>
      </c>
      <c r="B1331" s="377">
        <v>829240</v>
      </c>
      <c r="C1331" s="382" t="s">
        <v>7364</v>
      </c>
      <c r="D1331" s="379">
        <v>20</v>
      </c>
      <c r="E1331" s="380">
        <v>10</v>
      </c>
      <c r="F1331" s="380">
        <v>10</v>
      </c>
      <c r="H1331" s="351">
        <f t="shared" si="105"/>
        <v>20000</v>
      </c>
      <c r="I1331" s="351">
        <f t="shared" si="106"/>
        <v>10000</v>
      </c>
      <c r="M1331" s="321">
        <v>1723000182</v>
      </c>
      <c r="N1331" s="321">
        <v>72</v>
      </c>
      <c r="O1331" s="321" t="s">
        <v>2582</v>
      </c>
      <c r="P1331" s="321">
        <v>1723000</v>
      </c>
      <c r="Q1331" s="322">
        <v>57000</v>
      </c>
      <c r="R1331" s="322">
        <v>12800</v>
      </c>
      <c r="S1331" s="322">
        <v>37000</v>
      </c>
      <c r="T1331" s="322">
        <v>37000</v>
      </c>
      <c r="U1331" s="322">
        <f t="shared" si="102"/>
        <v>0</v>
      </c>
      <c r="W1331" s="321">
        <f t="shared" si="103"/>
        <v>182</v>
      </c>
      <c r="X1331" s="321">
        <f t="shared" si="104"/>
        <v>723000</v>
      </c>
      <c r="Y1331" s="321">
        <v>1</v>
      </c>
      <c r="AA1331" s="321" t="s">
        <v>2582</v>
      </c>
    </row>
    <row r="1332" spans="1:27">
      <c r="A1332" s="376">
        <v>931</v>
      </c>
      <c r="B1332" s="377">
        <v>829240</v>
      </c>
      <c r="C1332" s="382" t="s">
        <v>7365</v>
      </c>
      <c r="D1332" s="379">
        <v>0</v>
      </c>
      <c r="E1332" s="380">
        <v>0</v>
      </c>
      <c r="F1332" s="380">
        <v>0</v>
      </c>
      <c r="H1332" s="351">
        <f t="shared" si="105"/>
        <v>0</v>
      </c>
      <c r="I1332" s="351">
        <f t="shared" si="106"/>
        <v>0</v>
      </c>
      <c r="M1332" s="321">
        <v>1723000210</v>
      </c>
      <c r="N1332" s="321">
        <v>72</v>
      </c>
      <c r="O1332" s="321" t="s">
        <v>5549</v>
      </c>
      <c r="P1332" s="321">
        <v>1723000</v>
      </c>
      <c r="Q1332" s="322">
        <v>0</v>
      </c>
      <c r="R1332" s="322">
        <v>0</v>
      </c>
      <c r="S1332" s="322">
        <v>100000</v>
      </c>
      <c r="T1332" s="322">
        <v>100000</v>
      </c>
      <c r="U1332" s="322">
        <f t="shared" si="102"/>
        <v>0</v>
      </c>
      <c r="W1332" s="321">
        <f t="shared" si="103"/>
        <v>210</v>
      </c>
      <c r="X1332" s="321">
        <f t="shared" si="104"/>
        <v>723000</v>
      </c>
      <c r="Y1332" s="321">
        <v>1</v>
      </c>
      <c r="AA1332" s="321" t="s">
        <v>5549</v>
      </c>
    </row>
    <row r="1333" spans="1:27">
      <c r="A1333" s="376">
        <v>932</v>
      </c>
      <c r="B1333" s="377">
        <v>829240</v>
      </c>
      <c r="C1333" s="382" t="s">
        <v>7366</v>
      </c>
      <c r="D1333" s="379">
        <v>75</v>
      </c>
      <c r="E1333" s="380">
        <v>150</v>
      </c>
      <c r="F1333" s="380">
        <v>150</v>
      </c>
      <c r="H1333" s="351">
        <f t="shared" si="105"/>
        <v>75000</v>
      </c>
      <c r="I1333" s="351">
        <f t="shared" si="106"/>
        <v>150000</v>
      </c>
      <c r="M1333" s="321">
        <v>1723000420</v>
      </c>
      <c r="N1333" s="321">
        <v>72</v>
      </c>
      <c r="O1333" s="321" t="s">
        <v>5550</v>
      </c>
      <c r="P1333" s="321">
        <v>1723000</v>
      </c>
      <c r="Q1333" s="322">
        <v>7700</v>
      </c>
      <c r="R1333" s="322">
        <v>0</v>
      </c>
      <c r="S1333" s="322">
        <v>7700</v>
      </c>
      <c r="T1333" s="322">
        <v>7700</v>
      </c>
      <c r="U1333" s="322">
        <f t="shared" si="102"/>
        <v>0</v>
      </c>
      <c r="W1333" s="321">
        <f t="shared" si="103"/>
        <v>420</v>
      </c>
      <c r="X1333" s="321">
        <f t="shared" si="104"/>
        <v>723000</v>
      </c>
      <c r="Y1333" s="321">
        <v>1</v>
      </c>
      <c r="AA1333" s="321" t="s">
        <v>5550</v>
      </c>
    </row>
    <row r="1334" spans="1:27">
      <c r="A1334" s="376">
        <v>870</v>
      </c>
      <c r="B1334" s="377">
        <v>829250</v>
      </c>
      <c r="C1334" s="382" t="s">
        <v>7354</v>
      </c>
      <c r="D1334" s="379">
        <v>133</v>
      </c>
      <c r="E1334" s="380">
        <v>140</v>
      </c>
      <c r="F1334" s="380">
        <v>140</v>
      </c>
      <c r="H1334" s="351">
        <f t="shared" si="105"/>
        <v>133000</v>
      </c>
      <c r="I1334" s="351">
        <f t="shared" si="106"/>
        <v>140000</v>
      </c>
      <c r="M1334" s="321">
        <v>1723000750</v>
      </c>
      <c r="N1334" s="321">
        <v>72</v>
      </c>
      <c r="O1334" s="321" t="s">
        <v>2707</v>
      </c>
      <c r="P1334" s="321">
        <v>1723000</v>
      </c>
      <c r="Q1334" s="322">
        <v>90000</v>
      </c>
      <c r="R1334" s="322">
        <v>47300</v>
      </c>
      <c r="S1334" s="322">
        <v>90000</v>
      </c>
      <c r="T1334" s="322">
        <v>90000</v>
      </c>
      <c r="U1334" s="322">
        <f t="shared" si="102"/>
        <v>0</v>
      </c>
      <c r="W1334" s="321">
        <f t="shared" si="103"/>
        <v>750</v>
      </c>
      <c r="X1334" s="321">
        <f t="shared" si="104"/>
        <v>723000</v>
      </c>
      <c r="Y1334" s="321">
        <v>1</v>
      </c>
      <c r="AA1334" s="321" t="s">
        <v>2707</v>
      </c>
    </row>
    <row r="1335" spans="1:27">
      <c r="A1335" s="376">
        <v>100</v>
      </c>
      <c r="B1335" s="377">
        <v>829290</v>
      </c>
      <c r="C1335" s="391" t="s">
        <v>6747</v>
      </c>
      <c r="D1335" s="379">
        <v>358</v>
      </c>
      <c r="E1335" s="380">
        <v>352</v>
      </c>
      <c r="F1335" s="380">
        <v>352</v>
      </c>
      <c r="H1335" s="351">
        <f t="shared" si="105"/>
        <v>358000</v>
      </c>
      <c r="I1335" s="351">
        <f t="shared" si="106"/>
        <v>352000</v>
      </c>
      <c r="M1335" s="321">
        <v>1723000771</v>
      </c>
      <c r="N1335" s="321">
        <v>72</v>
      </c>
      <c r="O1335" s="321" t="s">
        <v>5551</v>
      </c>
      <c r="P1335" s="321">
        <v>1723000</v>
      </c>
      <c r="Q1335" s="322">
        <v>110000</v>
      </c>
      <c r="R1335" s="322">
        <v>84800</v>
      </c>
      <c r="S1335" s="322">
        <v>110000</v>
      </c>
      <c r="T1335" s="322">
        <v>110000</v>
      </c>
      <c r="U1335" s="322">
        <f t="shared" si="102"/>
        <v>0</v>
      </c>
      <c r="W1335" s="321">
        <f t="shared" si="103"/>
        <v>771</v>
      </c>
      <c r="X1335" s="321">
        <f t="shared" si="104"/>
        <v>723000</v>
      </c>
      <c r="Y1335" s="321">
        <v>1</v>
      </c>
      <c r="AA1335" s="321" t="s">
        <v>5551</v>
      </c>
    </row>
    <row r="1336" spans="1:27">
      <c r="A1336" s="376">
        <v>420</v>
      </c>
      <c r="B1336" s="377">
        <v>829290</v>
      </c>
      <c r="C1336" s="391" t="s">
        <v>6987</v>
      </c>
      <c r="D1336" s="379">
        <v>280</v>
      </c>
      <c r="E1336" s="380">
        <v>280</v>
      </c>
      <c r="F1336" s="380">
        <v>280</v>
      </c>
      <c r="H1336" s="351">
        <f t="shared" si="105"/>
        <v>280000</v>
      </c>
      <c r="I1336" s="351">
        <f t="shared" si="106"/>
        <v>280000</v>
      </c>
      <c r="M1336" s="321">
        <v>1723000772</v>
      </c>
      <c r="N1336" s="321">
        <v>72</v>
      </c>
      <c r="O1336" s="321" t="s">
        <v>3189</v>
      </c>
      <c r="P1336" s="321">
        <v>1723000</v>
      </c>
      <c r="Q1336" s="322">
        <v>20000</v>
      </c>
      <c r="R1336" s="322">
        <v>13300</v>
      </c>
      <c r="S1336" s="322">
        <v>25000</v>
      </c>
      <c r="T1336" s="322">
        <v>25000</v>
      </c>
      <c r="U1336" s="322">
        <f t="shared" si="102"/>
        <v>0</v>
      </c>
      <c r="W1336" s="321">
        <f t="shared" si="103"/>
        <v>772</v>
      </c>
      <c r="X1336" s="321">
        <f t="shared" si="104"/>
        <v>723000</v>
      </c>
      <c r="Y1336" s="321">
        <v>1</v>
      </c>
      <c r="AA1336" s="321" t="s">
        <v>3189</v>
      </c>
    </row>
    <row r="1337" spans="1:27">
      <c r="A1337" s="376">
        <v>430</v>
      </c>
      <c r="B1337" s="377">
        <v>829290</v>
      </c>
      <c r="C1337" s="391" t="s">
        <v>6798</v>
      </c>
      <c r="D1337" s="379">
        <v>190</v>
      </c>
      <c r="E1337" s="380">
        <v>185</v>
      </c>
      <c r="F1337" s="380">
        <v>185</v>
      </c>
      <c r="H1337" s="351">
        <f t="shared" si="105"/>
        <v>190000</v>
      </c>
      <c r="I1337" s="351">
        <f t="shared" si="106"/>
        <v>185000</v>
      </c>
      <c r="M1337" s="321">
        <v>1723000780</v>
      </c>
      <c r="N1337" s="321">
        <v>72</v>
      </c>
      <c r="O1337" s="321" t="s">
        <v>5552</v>
      </c>
      <c r="P1337" s="321">
        <v>1723000</v>
      </c>
      <c r="Q1337" s="322">
        <v>2000</v>
      </c>
      <c r="R1337" s="322">
        <v>0</v>
      </c>
      <c r="S1337" s="322">
        <v>22000</v>
      </c>
      <c r="T1337" s="322">
        <v>22000</v>
      </c>
      <c r="U1337" s="322">
        <f t="shared" si="102"/>
        <v>0</v>
      </c>
      <c r="W1337" s="321">
        <f t="shared" si="103"/>
        <v>780</v>
      </c>
      <c r="X1337" s="321">
        <f t="shared" si="104"/>
        <v>723000</v>
      </c>
      <c r="Y1337" s="321">
        <v>1</v>
      </c>
      <c r="AA1337" s="321" t="s">
        <v>5552</v>
      </c>
    </row>
    <row r="1338" spans="1:27">
      <c r="A1338" s="376">
        <v>432</v>
      </c>
      <c r="B1338" s="377">
        <v>829290</v>
      </c>
      <c r="C1338" s="391" t="s">
        <v>5469</v>
      </c>
      <c r="D1338" s="379">
        <v>306</v>
      </c>
      <c r="E1338" s="380">
        <v>306</v>
      </c>
      <c r="F1338" s="380">
        <v>306</v>
      </c>
      <c r="H1338" s="351">
        <f t="shared" si="105"/>
        <v>306000</v>
      </c>
      <c r="I1338" s="351">
        <f t="shared" si="106"/>
        <v>306000</v>
      </c>
      <c r="M1338" s="321">
        <v>1723000810</v>
      </c>
      <c r="N1338" s="321">
        <v>72</v>
      </c>
      <c r="O1338" s="321" t="s">
        <v>5553</v>
      </c>
      <c r="P1338" s="321">
        <v>1723000</v>
      </c>
      <c r="Q1338" s="322">
        <v>1450000</v>
      </c>
      <c r="R1338" s="322">
        <v>0</v>
      </c>
      <c r="S1338" s="322">
        <v>1450000</v>
      </c>
      <c r="T1338" s="322">
        <v>1450000</v>
      </c>
      <c r="U1338" s="322">
        <f t="shared" si="102"/>
        <v>0</v>
      </c>
      <c r="W1338" s="321">
        <f t="shared" si="103"/>
        <v>810</v>
      </c>
      <c r="X1338" s="321">
        <f t="shared" si="104"/>
        <v>723000</v>
      </c>
      <c r="Y1338" s="321">
        <v>1</v>
      </c>
      <c r="AA1338" s="321" t="s">
        <v>5553</v>
      </c>
    </row>
    <row r="1339" spans="1:27">
      <c r="A1339" s="376">
        <v>540</v>
      </c>
      <c r="B1339" s="377">
        <v>829290</v>
      </c>
      <c r="C1339" s="391" t="s">
        <v>6752</v>
      </c>
      <c r="D1339" s="379">
        <v>8</v>
      </c>
      <c r="E1339" s="380">
        <v>8</v>
      </c>
      <c r="F1339" s="380">
        <v>8</v>
      </c>
      <c r="H1339" s="351">
        <f t="shared" si="105"/>
        <v>8000</v>
      </c>
      <c r="I1339" s="351">
        <f t="shared" si="106"/>
        <v>8000</v>
      </c>
      <c r="M1339" s="321">
        <v>1724000760</v>
      </c>
      <c r="N1339" s="321">
        <v>72</v>
      </c>
      <c r="O1339" s="321" t="s">
        <v>5554</v>
      </c>
      <c r="P1339" s="321">
        <v>1724000</v>
      </c>
      <c r="Q1339" s="322">
        <v>500000</v>
      </c>
      <c r="R1339" s="322">
        <v>0</v>
      </c>
      <c r="S1339" s="322">
        <v>600000</v>
      </c>
      <c r="T1339" s="322">
        <v>200000</v>
      </c>
      <c r="U1339" s="322">
        <f t="shared" si="102"/>
        <v>400000</v>
      </c>
      <c r="W1339" s="321">
        <f t="shared" si="103"/>
        <v>760</v>
      </c>
      <c r="X1339" s="321">
        <f t="shared" si="104"/>
        <v>724000</v>
      </c>
      <c r="Y1339" s="321">
        <v>1</v>
      </c>
      <c r="AA1339" s="321" t="s">
        <v>5554</v>
      </c>
    </row>
    <row r="1340" spans="1:27">
      <c r="A1340" s="376">
        <v>730</v>
      </c>
      <c r="B1340" s="377">
        <v>829290</v>
      </c>
      <c r="C1340" s="391" t="s">
        <v>7367</v>
      </c>
      <c r="D1340" s="379">
        <v>13</v>
      </c>
      <c r="E1340" s="380">
        <v>13</v>
      </c>
      <c r="F1340" s="380">
        <v>13</v>
      </c>
      <c r="H1340" s="351">
        <f t="shared" si="105"/>
        <v>13000</v>
      </c>
      <c r="I1340" s="351">
        <f t="shared" si="106"/>
        <v>13000</v>
      </c>
      <c r="M1340" s="321">
        <v>1724000830</v>
      </c>
      <c r="N1340" s="321">
        <v>72</v>
      </c>
      <c r="O1340" s="321" t="s">
        <v>5555</v>
      </c>
      <c r="P1340" s="321">
        <v>1724000</v>
      </c>
      <c r="Q1340" s="322">
        <v>4200000</v>
      </c>
      <c r="R1340" s="322">
        <v>4108000</v>
      </c>
      <c r="S1340" s="322">
        <v>4200000</v>
      </c>
      <c r="T1340" s="322">
        <v>4200000</v>
      </c>
      <c r="U1340" s="322">
        <f t="shared" si="102"/>
        <v>0</v>
      </c>
      <c r="W1340" s="321">
        <f t="shared" si="103"/>
        <v>830</v>
      </c>
      <c r="X1340" s="321">
        <f t="shared" si="104"/>
        <v>724000</v>
      </c>
      <c r="Y1340" s="321">
        <v>1</v>
      </c>
      <c r="AA1340" s="321" t="s">
        <v>5555</v>
      </c>
    </row>
    <row r="1341" spans="1:27">
      <c r="A1341" s="376">
        <v>750</v>
      </c>
      <c r="B1341" s="377">
        <v>829290</v>
      </c>
      <c r="C1341" s="382" t="s">
        <v>7368</v>
      </c>
      <c r="D1341" s="379">
        <v>700</v>
      </c>
      <c r="E1341" s="380">
        <v>703</v>
      </c>
      <c r="F1341" s="380">
        <v>703</v>
      </c>
      <c r="H1341" s="351">
        <f t="shared" si="105"/>
        <v>700000</v>
      </c>
      <c r="I1341" s="351">
        <f t="shared" si="106"/>
        <v>703000</v>
      </c>
      <c r="M1341" s="321">
        <v>1725001110</v>
      </c>
      <c r="N1341" s="321">
        <v>72</v>
      </c>
      <c r="O1341" s="321" t="s">
        <v>5205</v>
      </c>
      <c r="P1341" s="321">
        <v>1725001</v>
      </c>
      <c r="Q1341" s="322">
        <v>172000</v>
      </c>
      <c r="R1341" s="322">
        <v>133200</v>
      </c>
      <c r="S1341" s="322">
        <v>183000</v>
      </c>
      <c r="T1341" s="322">
        <v>183000</v>
      </c>
      <c r="U1341" s="322">
        <f t="shared" si="102"/>
        <v>0</v>
      </c>
      <c r="W1341" s="321">
        <f t="shared" si="103"/>
        <v>110</v>
      </c>
      <c r="X1341" s="321">
        <f t="shared" si="104"/>
        <v>725001</v>
      </c>
      <c r="Y1341" s="321">
        <v>1</v>
      </c>
      <c r="AA1341" s="321" t="s">
        <v>5205</v>
      </c>
    </row>
    <row r="1342" spans="1:27">
      <c r="A1342" s="376">
        <v>752</v>
      </c>
      <c r="B1342" s="377">
        <v>829290</v>
      </c>
      <c r="C1342" s="382" t="s">
        <v>6821</v>
      </c>
      <c r="D1342" s="379">
        <v>181</v>
      </c>
      <c r="E1342" s="380">
        <v>180</v>
      </c>
      <c r="F1342" s="380">
        <v>180</v>
      </c>
      <c r="H1342" s="351">
        <f t="shared" si="105"/>
        <v>181000</v>
      </c>
      <c r="I1342" s="351">
        <f t="shared" si="106"/>
        <v>180000</v>
      </c>
      <c r="M1342" s="321">
        <v>1725001120</v>
      </c>
      <c r="N1342" s="321">
        <v>72</v>
      </c>
      <c r="O1342" s="321" t="s">
        <v>5206</v>
      </c>
      <c r="P1342" s="321">
        <v>1725001</v>
      </c>
      <c r="Q1342" s="322">
        <v>41000</v>
      </c>
      <c r="R1342" s="322">
        <v>36300</v>
      </c>
      <c r="S1342" s="322">
        <v>45000</v>
      </c>
      <c r="T1342" s="322">
        <v>45000</v>
      </c>
      <c r="U1342" s="322">
        <f t="shared" si="102"/>
        <v>0</v>
      </c>
      <c r="W1342" s="321">
        <f t="shared" si="103"/>
        <v>120</v>
      </c>
      <c r="X1342" s="321">
        <f t="shared" si="104"/>
        <v>725001</v>
      </c>
      <c r="Y1342" s="321">
        <v>1</v>
      </c>
      <c r="AA1342" s="321" t="s">
        <v>5206</v>
      </c>
    </row>
    <row r="1343" spans="1:27">
      <c r="A1343" s="376">
        <v>755</v>
      </c>
      <c r="B1343" s="377">
        <v>829290</v>
      </c>
      <c r="C1343" s="391" t="s">
        <v>7369</v>
      </c>
      <c r="D1343" s="379">
        <v>215</v>
      </c>
      <c r="E1343" s="380">
        <v>210</v>
      </c>
      <c r="F1343" s="380">
        <v>210</v>
      </c>
      <c r="H1343" s="351">
        <f t="shared" si="105"/>
        <v>215000</v>
      </c>
      <c r="I1343" s="351">
        <f t="shared" si="106"/>
        <v>210000</v>
      </c>
      <c r="M1343" s="321">
        <v>1725001130</v>
      </c>
      <c r="N1343" s="321">
        <v>72</v>
      </c>
      <c r="O1343" s="321" t="s">
        <v>2576</v>
      </c>
      <c r="P1343" s="321">
        <v>1725001</v>
      </c>
      <c r="Q1343" s="322">
        <v>13000</v>
      </c>
      <c r="R1343" s="322">
        <v>9600</v>
      </c>
      <c r="S1343" s="322">
        <v>12000</v>
      </c>
      <c r="T1343" s="322">
        <v>10800</v>
      </c>
      <c r="U1343" s="322">
        <f t="shared" si="102"/>
        <v>1200</v>
      </c>
      <c r="W1343" s="321">
        <f t="shared" si="103"/>
        <v>130</v>
      </c>
      <c r="X1343" s="321">
        <f t="shared" si="104"/>
        <v>725001</v>
      </c>
      <c r="Y1343" s="321">
        <v>1</v>
      </c>
      <c r="AA1343" s="321" t="s">
        <v>2576</v>
      </c>
    </row>
    <row r="1344" spans="1:27">
      <c r="A1344" s="376">
        <v>780</v>
      </c>
      <c r="B1344" s="377">
        <v>829290</v>
      </c>
      <c r="C1344" s="391" t="s">
        <v>7370</v>
      </c>
      <c r="D1344" s="379">
        <v>480</v>
      </c>
      <c r="E1344" s="380">
        <v>480</v>
      </c>
      <c r="F1344" s="380">
        <v>480</v>
      </c>
      <c r="H1344" s="351">
        <f t="shared" si="105"/>
        <v>480000</v>
      </c>
      <c r="I1344" s="351">
        <f t="shared" si="106"/>
        <v>480000</v>
      </c>
      <c r="M1344" s="321">
        <v>1725001140</v>
      </c>
      <c r="N1344" s="321">
        <v>72</v>
      </c>
      <c r="O1344" s="321" t="s">
        <v>5207</v>
      </c>
      <c r="P1344" s="321">
        <v>1725001</v>
      </c>
      <c r="Q1344" s="322">
        <v>65000</v>
      </c>
      <c r="R1344" s="322">
        <v>33200</v>
      </c>
      <c r="S1344" s="322">
        <v>77000</v>
      </c>
      <c r="T1344" s="322">
        <v>77000</v>
      </c>
      <c r="U1344" s="322">
        <f t="shared" si="102"/>
        <v>0</v>
      </c>
      <c r="W1344" s="321">
        <f t="shared" si="103"/>
        <v>140</v>
      </c>
      <c r="X1344" s="321">
        <f t="shared" si="104"/>
        <v>725001</v>
      </c>
      <c r="Y1344" s="321">
        <v>1</v>
      </c>
      <c r="AA1344" s="321" t="s">
        <v>5207</v>
      </c>
    </row>
    <row r="1345" spans="1:27">
      <c r="A1345" s="376">
        <v>100</v>
      </c>
      <c r="B1345" s="418">
        <v>829510</v>
      </c>
      <c r="C1345" s="397" t="s">
        <v>6747</v>
      </c>
      <c r="D1345" s="379">
        <v>473</v>
      </c>
      <c r="E1345" s="380">
        <v>420</v>
      </c>
      <c r="F1345" s="380">
        <v>495</v>
      </c>
      <c r="H1345" s="351">
        <f t="shared" si="105"/>
        <v>473000</v>
      </c>
      <c r="I1345" s="351">
        <f t="shared" si="106"/>
        <v>495000</v>
      </c>
      <c r="M1345" s="321">
        <v>1725001141</v>
      </c>
      <c r="N1345" s="321">
        <v>72</v>
      </c>
      <c r="O1345" s="321" t="s">
        <v>5208</v>
      </c>
      <c r="P1345" s="321">
        <v>1725001</v>
      </c>
      <c r="Q1345" s="322">
        <v>9000</v>
      </c>
      <c r="R1345" s="322">
        <v>6300</v>
      </c>
      <c r="S1345" s="322">
        <v>9000</v>
      </c>
      <c r="T1345" s="322">
        <v>9000</v>
      </c>
      <c r="U1345" s="322">
        <f t="shared" si="102"/>
        <v>0</v>
      </c>
      <c r="W1345" s="321">
        <f t="shared" si="103"/>
        <v>141</v>
      </c>
      <c r="X1345" s="321">
        <f t="shared" si="104"/>
        <v>725001</v>
      </c>
      <c r="Y1345" s="321">
        <v>1</v>
      </c>
      <c r="AA1345" s="321" t="s">
        <v>5208</v>
      </c>
    </row>
    <row r="1346" spans="1:27">
      <c r="A1346" s="376">
        <v>100</v>
      </c>
      <c r="B1346" s="418">
        <v>829520</v>
      </c>
      <c r="C1346" s="397" t="s">
        <v>6747</v>
      </c>
      <c r="D1346" s="379">
        <v>0</v>
      </c>
      <c r="E1346" s="380">
        <v>0</v>
      </c>
      <c r="F1346" s="380">
        <v>0</v>
      </c>
      <c r="H1346" s="351">
        <f t="shared" si="105"/>
        <v>0</v>
      </c>
      <c r="I1346" s="351">
        <f t="shared" si="106"/>
        <v>0</v>
      </c>
      <c r="M1346" s="321">
        <v>1725001181</v>
      </c>
      <c r="N1346" s="321">
        <v>72</v>
      </c>
      <c r="O1346" s="321" t="s">
        <v>2580</v>
      </c>
      <c r="P1346" s="321">
        <v>1725001</v>
      </c>
      <c r="Q1346" s="322">
        <v>36000</v>
      </c>
      <c r="R1346" s="322">
        <v>27200</v>
      </c>
      <c r="S1346" s="322">
        <v>38000</v>
      </c>
      <c r="T1346" s="322">
        <v>38000</v>
      </c>
      <c r="U1346" s="322">
        <f t="shared" ref="U1346:U1409" si="107">S1346-T1346</f>
        <v>0</v>
      </c>
      <c r="W1346" s="321">
        <f t="shared" si="103"/>
        <v>181</v>
      </c>
      <c r="X1346" s="321">
        <f t="shared" si="104"/>
        <v>725001</v>
      </c>
      <c r="Y1346" s="321">
        <v>1</v>
      </c>
      <c r="AA1346" s="321" t="s">
        <v>2580</v>
      </c>
    </row>
    <row r="1347" spans="1:27">
      <c r="A1347" s="376">
        <v>101</v>
      </c>
      <c r="B1347" s="418">
        <v>829520</v>
      </c>
      <c r="C1347" s="397" t="s">
        <v>7371</v>
      </c>
      <c r="D1347" s="379">
        <v>0</v>
      </c>
      <c r="E1347" s="380">
        <v>0</v>
      </c>
      <c r="F1347" s="380">
        <v>0</v>
      </c>
      <c r="H1347" s="351">
        <f t="shared" si="105"/>
        <v>0</v>
      </c>
      <c r="I1347" s="351">
        <f t="shared" si="106"/>
        <v>0</v>
      </c>
      <c r="M1347" s="321">
        <v>1725001182</v>
      </c>
      <c r="N1347" s="321">
        <v>72</v>
      </c>
      <c r="O1347" s="321" t="s">
        <v>2582</v>
      </c>
      <c r="P1347" s="321">
        <v>1725001</v>
      </c>
      <c r="Q1347" s="322">
        <v>39000</v>
      </c>
      <c r="R1347" s="322">
        <v>28600</v>
      </c>
      <c r="S1347" s="322">
        <v>45000</v>
      </c>
      <c r="T1347" s="322">
        <v>45000</v>
      </c>
      <c r="U1347" s="322">
        <f t="shared" si="107"/>
        <v>0</v>
      </c>
      <c r="W1347" s="321">
        <f t="shared" ref="W1347:W1410" si="108">M1347-1000000000-X1347*1000</f>
        <v>182</v>
      </c>
      <c r="X1347" s="321">
        <f t="shared" ref="X1347:X1410" si="109">ROUNDDOWN((M1347-1000000000)/1000,0)</f>
        <v>725001</v>
      </c>
      <c r="Y1347" s="321">
        <v>1</v>
      </c>
      <c r="AA1347" s="321" t="s">
        <v>2582</v>
      </c>
    </row>
    <row r="1348" spans="1:27">
      <c r="A1348" s="376">
        <v>420</v>
      </c>
      <c r="B1348" s="418">
        <v>829520</v>
      </c>
      <c r="C1348" s="397" t="s">
        <v>7372</v>
      </c>
      <c r="D1348" s="379">
        <v>0</v>
      </c>
      <c r="E1348" s="380">
        <v>0</v>
      </c>
      <c r="F1348" s="380">
        <v>0</v>
      </c>
      <c r="H1348" s="351">
        <f t="shared" si="105"/>
        <v>0</v>
      </c>
      <c r="I1348" s="351">
        <f t="shared" si="106"/>
        <v>0</v>
      </c>
      <c r="M1348" s="321">
        <v>1725001420</v>
      </c>
      <c r="N1348" s="321">
        <v>72</v>
      </c>
      <c r="O1348" s="321" t="s">
        <v>5556</v>
      </c>
      <c r="P1348" s="321">
        <v>1725001</v>
      </c>
      <c r="Q1348" s="322">
        <v>15000</v>
      </c>
      <c r="R1348" s="322">
        <v>7500</v>
      </c>
      <c r="S1348" s="322">
        <v>15000</v>
      </c>
      <c r="T1348" s="322">
        <v>15000</v>
      </c>
      <c r="U1348" s="322">
        <f t="shared" si="107"/>
        <v>0</v>
      </c>
      <c r="W1348" s="321">
        <f t="shared" si="108"/>
        <v>420</v>
      </c>
      <c r="X1348" s="321">
        <f t="shared" si="109"/>
        <v>725001</v>
      </c>
      <c r="Y1348" s="321">
        <v>1</v>
      </c>
      <c r="AA1348" s="321" t="s">
        <v>5556</v>
      </c>
    </row>
    <row r="1349" spans="1:27">
      <c r="A1349" s="376">
        <v>430</v>
      </c>
      <c r="B1349" s="418">
        <v>829520</v>
      </c>
      <c r="C1349" s="397" t="s">
        <v>75</v>
      </c>
      <c r="D1349" s="379">
        <v>0</v>
      </c>
      <c r="E1349" s="380">
        <v>0</v>
      </c>
      <c r="F1349" s="380">
        <v>0</v>
      </c>
      <c r="H1349" s="351">
        <f t="shared" si="105"/>
        <v>0</v>
      </c>
      <c r="I1349" s="351">
        <f t="shared" si="106"/>
        <v>0</v>
      </c>
      <c r="M1349" s="321">
        <v>1725001470</v>
      </c>
      <c r="N1349" s="321">
        <v>72</v>
      </c>
      <c r="O1349" s="321" t="s">
        <v>2830</v>
      </c>
      <c r="P1349" s="321">
        <v>1725001</v>
      </c>
      <c r="Q1349" s="322">
        <v>3000</v>
      </c>
      <c r="R1349" s="322">
        <v>1400</v>
      </c>
      <c r="S1349" s="322">
        <v>3000</v>
      </c>
      <c r="T1349" s="322">
        <v>3000</v>
      </c>
      <c r="U1349" s="322">
        <f t="shared" si="107"/>
        <v>0</v>
      </c>
      <c r="W1349" s="321">
        <f t="shared" si="108"/>
        <v>470</v>
      </c>
      <c r="X1349" s="321">
        <f t="shared" si="109"/>
        <v>725001</v>
      </c>
      <c r="Y1349" s="321">
        <v>1</v>
      </c>
      <c r="AA1349" s="321" t="s">
        <v>2830</v>
      </c>
    </row>
    <row r="1350" spans="1:27">
      <c r="A1350" s="376">
        <v>432</v>
      </c>
      <c r="B1350" s="418">
        <v>829520</v>
      </c>
      <c r="C1350" s="397" t="s">
        <v>76</v>
      </c>
      <c r="D1350" s="379">
        <v>0</v>
      </c>
      <c r="E1350" s="380">
        <v>0</v>
      </c>
      <c r="F1350" s="380">
        <v>0</v>
      </c>
      <c r="H1350" s="351">
        <f t="shared" si="105"/>
        <v>0</v>
      </c>
      <c r="I1350" s="351">
        <f t="shared" si="106"/>
        <v>0</v>
      </c>
      <c r="M1350" s="321">
        <v>1725001471</v>
      </c>
      <c r="N1350" s="321">
        <v>72</v>
      </c>
      <c r="O1350" s="321" t="s">
        <v>5557</v>
      </c>
      <c r="P1350" s="321">
        <v>1725001</v>
      </c>
      <c r="Q1350" s="322">
        <v>3500</v>
      </c>
      <c r="R1350" s="322">
        <v>0</v>
      </c>
      <c r="S1350" s="322">
        <v>3700</v>
      </c>
      <c r="T1350" s="322">
        <v>3700</v>
      </c>
      <c r="U1350" s="322">
        <f t="shared" si="107"/>
        <v>0</v>
      </c>
      <c r="W1350" s="321">
        <f t="shared" si="108"/>
        <v>471</v>
      </c>
      <c r="X1350" s="321">
        <f t="shared" si="109"/>
        <v>725001</v>
      </c>
      <c r="Y1350" s="321">
        <v>1</v>
      </c>
      <c r="AA1350" s="321" t="s">
        <v>5557</v>
      </c>
    </row>
    <row r="1351" spans="1:27">
      <c r="A1351" s="376">
        <v>440</v>
      </c>
      <c r="B1351" s="418">
        <v>829520</v>
      </c>
      <c r="C1351" s="397" t="s">
        <v>18</v>
      </c>
      <c r="D1351" s="379">
        <v>0</v>
      </c>
      <c r="E1351" s="380">
        <v>0</v>
      </c>
      <c r="F1351" s="380">
        <v>0</v>
      </c>
      <c r="H1351" s="351">
        <f t="shared" si="105"/>
        <v>0</v>
      </c>
      <c r="I1351" s="351">
        <f t="shared" si="106"/>
        <v>0</v>
      </c>
      <c r="M1351" s="321">
        <v>1725001521</v>
      </c>
      <c r="N1351" s="321">
        <v>72</v>
      </c>
      <c r="O1351" s="321" t="s">
        <v>2734</v>
      </c>
      <c r="P1351" s="321">
        <v>1725001</v>
      </c>
      <c r="Q1351" s="322">
        <v>45000</v>
      </c>
      <c r="R1351" s="322">
        <v>6700</v>
      </c>
      <c r="S1351" s="322">
        <v>45000</v>
      </c>
      <c r="T1351" s="322">
        <v>45000</v>
      </c>
      <c r="U1351" s="322">
        <f t="shared" si="107"/>
        <v>0</v>
      </c>
      <c r="W1351" s="321">
        <f t="shared" si="108"/>
        <v>521</v>
      </c>
      <c r="X1351" s="321">
        <f t="shared" si="109"/>
        <v>725001</v>
      </c>
      <c r="Y1351" s="321">
        <v>1</v>
      </c>
      <c r="AA1351" s="321" t="s">
        <v>2734</v>
      </c>
    </row>
    <row r="1352" spans="1:27">
      <c r="A1352" s="376">
        <v>540</v>
      </c>
      <c r="B1352" s="418">
        <v>829520</v>
      </c>
      <c r="C1352" s="397" t="s">
        <v>7373</v>
      </c>
      <c r="D1352" s="379">
        <v>0</v>
      </c>
      <c r="E1352" s="380">
        <v>0</v>
      </c>
      <c r="F1352" s="380">
        <v>0</v>
      </c>
      <c r="H1352" s="351">
        <f t="shared" si="105"/>
        <v>0</v>
      </c>
      <c r="I1352" s="351">
        <f t="shared" si="106"/>
        <v>0</v>
      </c>
      <c r="M1352" s="321">
        <v>1725001522</v>
      </c>
      <c r="N1352" s="321">
        <v>72</v>
      </c>
      <c r="O1352" s="321" t="s">
        <v>5214</v>
      </c>
      <c r="P1352" s="321">
        <v>1725001</v>
      </c>
      <c r="Q1352" s="322">
        <v>2000</v>
      </c>
      <c r="R1352" s="322">
        <v>600</v>
      </c>
      <c r="S1352" s="322">
        <v>2000</v>
      </c>
      <c r="T1352" s="322">
        <v>2000</v>
      </c>
      <c r="U1352" s="322">
        <f t="shared" si="107"/>
        <v>0</v>
      </c>
      <c r="W1352" s="321">
        <f t="shared" si="108"/>
        <v>522</v>
      </c>
      <c r="X1352" s="321">
        <f t="shared" si="109"/>
        <v>725001</v>
      </c>
      <c r="Y1352" s="321">
        <v>1</v>
      </c>
      <c r="AA1352" s="321" t="s">
        <v>5214</v>
      </c>
    </row>
    <row r="1353" spans="1:27">
      <c r="A1353" s="376">
        <v>550</v>
      </c>
      <c r="B1353" s="418">
        <v>829520</v>
      </c>
      <c r="C1353" s="397" t="s">
        <v>7374</v>
      </c>
      <c r="D1353" s="379">
        <v>0</v>
      </c>
      <c r="E1353" s="380">
        <v>0</v>
      </c>
      <c r="F1353" s="380">
        <v>0</v>
      </c>
      <c r="H1353" s="351">
        <f t="shared" si="105"/>
        <v>0</v>
      </c>
      <c r="I1353" s="351">
        <f t="shared" si="106"/>
        <v>0</v>
      </c>
      <c r="M1353" s="321">
        <v>1725001523</v>
      </c>
      <c r="N1353" s="321">
        <v>72</v>
      </c>
      <c r="O1353" s="321" t="s">
        <v>2615</v>
      </c>
      <c r="P1353" s="321">
        <v>1725001</v>
      </c>
      <c r="Q1353" s="322">
        <v>2000</v>
      </c>
      <c r="R1353" s="322">
        <v>0</v>
      </c>
      <c r="S1353" s="322">
        <v>2000</v>
      </c>
      <c r="T1353" s="322">
        <v>2000</v>
      </c>
      <c r="U1353" s="322">
        <f t="shared" si="107"/>
        <v>0</v>
      </c>
      <c r="W1353" s="321">
        <f t="shared" si="108"/>
        <v>523</v>
      </c>
      <c r="X1353" s="321">
        <f t="shared" si="109"/>
        <v>725001</v>
      </c>
      <c r="Y1353" s="321">
        <v>1</v>
      </c>
      <c r="AA1353" s="321" t="s">
        <v>2615</v>
      </c>
    </row>
    <row r="1354" spans="1:27">
      <c r="A1354" s="376">
        <v>750</v>
      </c>
      <c r="B1354" s="418">
        <v>829520</v>
      </c>
      <c r="C1354" s="397" t="s">
        <v>6720</v>
      </c>
      <c r="D1354" s="379">
        <v>0</v>
      </c>
      <c r="E1354" s="380">
        <v>0</v>
      </c>
      <c r="F1354" s="380">
        <v>0</v>
      </c>
      <c r="H1354" s="351">
        <f t="shared" si="105"/>
        <v>0</v>
      </c>
      <c r="I1354" s="351">
        <f t="shared" si="106"/>
        <v>0</v>
      </c>
      <c r="M1354" s="321">
        <v>1725001540</v>
      </c>
      <c r="N1354" s="321">
        <v>72</v>
      </c>
      <c r="O1354" s="321" t="s">
        <v>5544</v>
      </c>
      <c r="P1354" s="321">
        <v>1725001</v>
      </c>
      <c r="Q1354" s="322">
        <v>1000</v>
      </c>
      <c r="R1354" s="322">
        <v>0</v>
      </c>
      <c r="S1354" s="322">
        <v>500</v>
      </c>
      <c r="T1354" s="322">
        <v>500</v>
      </c>
      <c r="U1354" s="322">
        <f t="shared" si="107"/>
        <v>0</v>
      </c>
      <c r="W1354" s="321">
        <f t="shared" si="108"/>
        <v>540</v>
      </c>
      <c r="X1354" s="321">
        <f t="shared" si="109"/>
        <v>725001</v>
      </c>
      <c r="Y1354" s="321">
        <v>1</v>
      </c>
      <c r="AA1354" s="321" t="s">
        <v>5544</v>
      </c>
    </row>
    <row r="1355" spans="1:27">
      <c r="A1355" s="376">
        <v>751</v>
      </c>
      <c r="B1355" s="418">
        <v>829520</v>
      </c>
      <c r="C1355" s="397" t="s">
        <v>6819</v>
      </c>
      <c r="D1355" s="379">
        <v>0</v>
      </c>
      <c r="E1355" s="380">
        <v>0</v>
      </c>
      <c r="F1355" s="380">
        <v>0</v>
      </c>
      <c r="H1355" s="351">
        <f t="shared" si="105"/>
        <v>0</v>
      </c>
      <c r="I1355" s="351">
        <f t="shared" si="106"/>
        <v>0</v>
      </c>
      <c r="M1355" s="321">
        <v>1725001542</v>
      </c>
      <c r="N1355" s="321">
        <v>72</v>
      </c>
      <c r="O1355" s="321" t="s">
        <v>5217</v>
      </c>
      <c r="P1355" s="321">
        <v>1725001</v>
      </c>
      <c r="Q1355" s="322">
        <v>1300</v>
      </c>
      <c r="R1355" s="322">
        <v>800</v>
      </c>
      <c r="S1355" s="322">
        <v>2000</v>
      </c>
      <c r="T1355" s="322">
        <v>2000</v>
      </c>
      <c r="U1355" s="322">
        <f t="shared" si="107"/>
        <v>0</v>
      </c>
      <c r="W1355" s="321">
        <f t="shared" si="108"/>
        <v>542</v>
      </c>
      <c r="X1355" s="321">
        <f t="shared" si="109"/>
        <v>725001</v>
      </c>
      <c r="Y1355" s="321">
        <v>1</v>
      </c>
      <c r="AA1355" s="321" t="s">
        <v>5217</v>
      </c>
    </row>
    <row r="1356" spans="1:27">
      <c r="A1356" s="376">
        <v>780</v>
      </c>
      <c r="B1356" s="418">
        <v>829520</v>
      </c>
      <c r="C1356" s="397" t="s">
        <v>129</v>
      </c>
      <c r="D1356" s="379">
        <v>0</v>
      </c>
      <c r="E1356" s="380">
        <v>0</v>
      </c>
      <c r="F1356" s="380">
        <v>0</v>
      </c>
      <c r="H1356" s="351">
        <f t="shared" si="105"/>
        <v>0</v>
      </c>
      <c r="I1356" s="351">
        <f t="shared" si="106"/>
        <v>0</v>
      </c>
      <c r="M1356" s="321">
        <v>1725001572</v>
      </c>
      <c r="N1356" s="321">
        <v>72</v>
      </c>
      <c r="O1356" s="321" t="s">
        <v>5253</v>
      </c>
      <c r="P1356" s="321">
        <v>1725001</v>
      </c>
      <c r="Q1356" s="322">
        <v>3000</v>
      </c>
      <c r="R1356" s="322">
        <v>0</v>
      </c>
      <c r="S1356" s="322">
        <v>3000</v>
      </c>
      <c r="T1356" s="322">
        <v>3000</v>
      </c>
      <c r="U1356" s="322">
        <f t="shared" si="107"/>
        <v>0</v>
      </c>
      <c r="W1356" s="321">
        <f t="shared" si="108"/>
        <v>572</v>
      </c>
      <c r="X1356" s="321">
        <f t="shared" si="109"/>
        <v>725001</v>
      </c>
      <c r="Y1356" s="321">
        <v>1</v>
      </c>
      <c r="AA1356" s="321" t="s">
        <v>5253</v>
      </c>
    </row>
    <row r="1357" spans="1:27">
      <c r="A1357" s="376">
        <v>870</v>
      </c>
      <c r="B1357" s="418">
        <v>829520</v>
      </c>
      <c r="C1357" s="367" t="s">
        <v>7375</v>
      </c>
      <c r="D1357" s="379">
        <v>600</v>
      </c>
      <c r="E1357" s="380">
        <v>1100</v>
      </c>
      <c r="F1357" s="380">
        <v>1100</v>
      </c>
      <c r="H1357" s="351">
        <f t="shared" si="105"/>
        <v>600000</v>
      </c>
      <c r="I1357" s="351">
        <f t="shared" si="106"/>
        <v>1100000</v>
      </c>
      <c r="M1357" s="321">
        <v>1725001779</v>
      </c>
      <c r="N1357" s="321">
        <v>72</v>
      </c>
      <c r="O1357" s="321" t="s">
        <v>5382</v>
      </c>
      <c r="P1357" s="321">
        <v>1725001</v>
      </c>
      <c r="Q1357" s="322">
        <v>57000</v>
      </c>
      <c r="R1357" s="322">
        <v>4100</v>
      </c>
      <c r="S1357" s="322">
        <v>25000</v>
      </c>
      <c r="T1357" s="322">
        <v>25000</v>
      </c>
      <c r="U1357" s="322">
        <f t="shared" si="107"/>
        <v>0</v>
      </c>
      <c r="W1357" s="321">
        <f t="shared" si="108"/>
        <v>779</v>
      </c>
      <c r="X1357" s="321">
        <f t="shared" si="109"/>
        <v>725001</v>
      </c>
      <c r="Y1357" s="321">
        <v>1</v>
      </c>
      <c r="AA1357" s="321" t="s">
        <v>5382</v>
      </c>
    </row>
    <row r="1358" spans="1:27">
      <c r="A1358" s="376">
        <v>100</v>
      </c>
      <c r="B1358" s="418">
        <v>829530</v>
      </c>
      <c r="C1358" s="397" t="s">
        <v>7376</v>
      </c>
      <c r="D1358" s="379">
        <v>179</v>
      </c>
      <c r="E1358" s="380">
        <v>176</v>
      </c>
      <c r="F1358" s="380">
        <v>176</v>
      </c>
      <c r="H1358" s="351">
        <f t="shared" si="105"/>
        <v>179000</v>
      </c>
      <c r="I1358" s="351">
        <f t="shared" si="106"/>
        <v>176000</v>
      </c>
      <c r="M1358" s="321">
        <v>1725001930</v>
      </c>
      <c r="N1358" s="321">
        <v>72</v>
      </c>
      <c r="O1358" s="321" t="s">
        <v>2834</v>
      </c>
      <c r="P1358" s="321">
        <v>1725001</v>
      </c>
      <c r="Q1358" s="322">
        <v>2000</v>
      </c>
      <c r="R1358" s="322">
        <v>0</v>
      </c>
      <c r="S1358" s="322">
        <v>2000</v>
      </c>
      <c r="T1358" s="322">
        <v>2000</v>
      </c>
      <c r="U1358" s="322">
        <f t="shared" si="107"/>
        <v>0</v>
      </c>
      <c r="W1358" s="321">
        <f t="shared" si="108"/>
        <v>930</v>
      </c>
      <c r="X1358" s="321">
        <f t="shared" si="109"/>
        <v>725001</v>
      </c>
      <c r="Y1358" s="321">
        <v>1</v>
      </c>
      <c r="AA1358" s="321" t="s">
        <v>2834</v>
      </c>
    </row>
    <row r="1359" spans="1:27">
      <c r="A1359" s="376">
        <v>540</v>
      </c>
      <c r="B1359" s="418">
        <v>829530</v>
      </c>
      <c r="C1359" s="397" t="s">
        <v>6752</v>
      </c>
      <c r="D1359" s="379">
        <v>3</v>
      </c>
      <c r="E1359" s="380">
        <v>3</v>
      </c>
      <c r="F1359" s="380">
        <v>3</v>
      </c>
      <c r="H1359" s="351">
        <f t="shared" si="105"/>
        <v>3000</v>
      </c>
      <c r="I1359" s="351">
        <f t="shared" si="106"/>
        <v>3000</v>
      </c>
      <c r="M1359" s="321">
        <v>1726000110</v>
      </c>
      <c r="N1359" s="321">
        <v>72</v>
      </c>
      <c r="O1359" s="321" t="s">
        <v>5205</v>
      </c>
      <c r="P1359" s="321">
        <v>1726000</v>
      </c>
      <c r="Q1359" s="322">
        <v>116000</v>
      </c>
      <c r="R1359" s="322">
        <v>90000</v>
      </c>
      <c r="S1359" s="322">
        <v>173000</v>
      </c>
      <c r="T1359" s="322">
        <v>173000</v>
      </c>
      <c r="U1359" s="322">
        <f t="shared" si="107"/>
        <v>0</v>
      </c>
      <c r="W1359" s="321">
        <f t="shared" si="108"/>
        <v>110</v>
      </c>
      <c r="X1359" s="321">
        <f t="shared" si="109"/>
        <v>726000</v>
      </c>
      <c r="Y1359" s="321">
        <v>1</v>
      </c>
      <c r="AA1359" s="321" t="s">
        <v>5205</v>
      </c>
    </row>
    <row r="1360" spans="1:27">
      <c r="A1360" s="376">
        <v>750</v>
      </c>
      <c r="B1360" s="418">
        <v>829530</v>
      </c>
      <c r="C1360" s="385" t="s">
        <v>6804</v>
      </c>
      <c r="D1360" s="383">
        <v>8</v>
      </c>
      <c r="E1360" s="380">
        <v>8</v>
      </c>
      <c r="F1360" s="384">
        <v>8</v>
      </c>
      <c r="H1360" s="351">
        <f t="shared" si="105"/>
        <v>8000</v>
      </c>
      <c r="I1360" s="351">
        <f t="shared" si="106"/>
        <v>8000</v>
      </c>
      <c r="M1360" s="321">
        <v>1726000120</v>
      </c>
      <c r="N1360" s="321">
        <v>72</v>
      </c>
      <c r="O1360" s="321" t="s">
        <v>5206</v>
      </c>
      <c r="P1360" s="321">
        <v>1726000</v>
      </c>
      <c r="Q1360" s="322">
        <v>46000</v>
      </c>
      <c r="R1360" s="322">
        <v>36200</v>
      </c>
      <c r="S1360" s="322">
        <v>45000</v>
      </c>
      <c r="T1360" s="322">
        <v>45000</v>
      </c>
      <c r="U1360" s="322">
        <f t="shared" si="107"/>
        <v>0</v>
      </c>
      <c r="W1360" s="321">
        <f t="shared" si="108"/>
        <v>120</v>
      </c>
      <c r="X1360" s="321">
        <f t="shared" si="109"/>
        <v>726000</v>
      </c>
      <c r="Y1360" s="321">
        <v>1</v>
      </c>
      <c r="AA1360" s="321" t="s">
        <v>5206</v>
      </c>
    </row>
    <row r="1361" spans="1:27">
      <c r="A1361" s="376">
        <v>780</v>
      </c>
      <c r="B1361" s="418">
        <v>829530</v>
      </c>
      <c r="C1361" s="397" t="s">
        <v>6745</v>
      </c>
      <c r="D1361" s="379">
        <v>25</v>
      </c>
      <c r="E1361" s="380">
        <v>25</v>
      </c>
      <c r="F1361" s="380">
        <v>25</v>
      </c>
      <c r="H1361" s="351">
        <f t="shared" si="105"/>
        <v>25000</v>
      </c>
      <c r="I1361" s="351">
        <f t="shared" si="106"/>
        <v>25000</v>
      </c>
      <c r="M1361" s="321">
        <v>1726000130</v>
      </c>
      <c r="N1361" s="321">
        <v>72</v>
      </c>
      <c r="O1361" s="321" t="s">
        <v>2576</v>
      </c>
      <c r="P1361" s="321">
        <v>1726000</v>
      </c>
      <c r="Q1361" s="322">
        <v>20000</v>
      </c>
      <c r="R1361" s="322">
        <v>13000</v>
      </c>
      <c r="S1361" s="322">
        <v>18000</v>
      </c>
      <c r="T1361" s="322">
        <v>16200</v>
      </c>
      <c r="U1361" s="322">
        <f t="shared" si="107"/>
        <v>1800</v>
      </c>
      <c r="W1361" s="321">
        <f t="shared" si="108"/>
        <v>130</v>
      </c>
      <c r="X1361" s="321">
        <f t="shared" si="109"/>
        <v>726000</v>
      </c>
      <c r="Y1361" s="321">
        <v>1</v>
      </c>
      <c r="AA1361" s="321" t="s">
        <v>2576</v>
      </c>
    </row>
    <row r="1362" spans="1:27">
      <c r="A1362" s="376">
        <v>825</v>
      </c>
      <c r="B1362" s="377">
        <v>829900</v>
      </c>
      <c r="C1362" s="381" t="s">
        <v>7377</v>
      </c>
      <c r="D1362" s="379">
        <v>7800</v>
      </c>
      <c r="E1362" s="380">
        <v>7800</v>
      </c>
      <c r="F1362" s="380">
        <v>7800</v>
      </c>
      <c r="H1362" s="351">
        <f t="shared" ref="H1362:H1425" si="110">D1362*1000</f>
        <v>7800000</v>
      </c>
      <c r="I1362" s="351">
        <f t="shared" ref="I1362:I1425" si="111">F1362*1000</f>
        <v>7800000</v>
      </c>
      <c r="M1362" s="321">
        <v>1726000140</v>
      </c>
      <c r="N1362" s="321">
        <v>72</v>
      </c>
      <c r="O1362" s="321" t="s">
        <v>5207</v>
      </c>
      <c r="P1362" s="321">
        <v>1726000</v>
      </c>
      <c r="Q1362" s="322">
        <v>38000</v>
      </c>
      <c r="R1362" s="322">
        <v>27600</v>
      </c>
      <c r="S1362" s="322">
        <v>59000</v>
      </c>
      <c r="T1362" s="322">
        <v>59000</v>
      </c>
      <c r="U1362" s="322">
        <f t="shared" si="107"/>
        <v>0</v>
      </c>
      <c r="W1362" s="321">
        <f t="shared" si="108"/>
        <v>140</v>
      </c>
      <c r="X1362" s="321">
        <f t="shared" si="109"/>
        <v>726000</v>
      </c>
      <c r="Y1362" s="321">
        <v>1</v>
      </c>
      <c r="AA1362" s="321" t="s">
        <v>5207</v>
      </c>
    </row>
    <row r="1363" spans="1:27">
      <c r="A1363" s="376">
        <v>826</v>
      </c>
      <c r="B1363" s="377">
        <v>829900</v>
      </c>
      <c r="C1363" s="381" t="s">
        <v>7378</v>
      </c>
      <c r="D1363" s="379">
        <v>877</v>
      </c>
      <c r="E1363" s="380">
        <v>877</v>
      </c>
      <c r="F1363" s="380">
        <f>1000-123</f>
        <v>877</v>
      </c>
      <c r="H1363" s="351">
        <f t="shared" si="110"/>
        <v>877000</v>
      </c>
      <c r="I1363" s="351">
        <f t="shared" si="111"/>
        <v>877000</v>
      </c>
      <c r="M1363" s="321">
        <v>1726000141</v>
      </c>
      <c r="N1363" s="321">
        <v>72</v>
      </c>
      <c r="O1363" s="321" t="s">
        <v>5208</v>
      </c>
      <c r="P1363" s="321">
        <v>1726000</v>
      </c>
      <c r="Q1363" s="322">
        <v>4000</v>
      </c>
      <c r="R1363" s="322">
        <v>2900</v>
      </c>
      <c r="S1363" s="322">
        <v>7000</v>
      </c>
      <c r="T1363" s="322">
        <v>7000</v>
      </c>
      <c r="U1363" s="322">
        <f t="shared" si="107"/>
        <v>0</v>
      </c>
      <c r="W1363" s="321">
        <f t="shared" si="108"/>
        <v>141</v>
      </c>
      <c r="X1363" s="321">
        <f t="shared" si="109"/>
        <v>726000</v>
      </c>
      <c r="Y1363" s="321">
        <v>1</v>
      </c>
      <c r="AA1363" s="321" t="s">
        <v>5208</v>
      </c>
    </row>
    <row r="1364" spans="1:27">
      <c r="A1364" s="376">
        <v>100</v>
      </c>
      <c r="B1364" s="377">
        <v>829910</v>
      </c>
      <c r="C1364" s="382" t="s">
        <v>7379</v>
      </c>
      <c r="D1364" s="379">
        <v>41</v>
      </c>
      <c r="E1364" s="380">
        <v>40</v>
      </c>
      <c r="F1364" s="380">
        <v>45</v>
      </c>
      <c r="H1364" s="351">
        <f t="shared" si="110"/>
        <v>41000</v>
      </c>
      <c r="I1364" s="351">
        <f t="shared" si="111"/>
        <v>45000</v>
      </c>
      <c r="M1364" s="321">
        <v>1726000181</v>
      </c>
      <c r="N1364" s="321">
        <v>72</v>
      </c>
      <c r="O1364" s="321" t="s">
        <v>2580</v>
      </c>
      <c r="P1364" s="321">
        <v>1726000</v>
      </c>
      <c r="Q1364" s="322">
        <v>18000</v>
      </c>
      <c r="R1364" s="322">
        <v>15600</v>
      </c>
      <c r="S1364" s="322">
        <v>33000</v>
      </c>
      <c r="T1364" s="322">
        <v>33000</v>
      </c>
      <c r="U1364" s="322">
        <f t="shared" si="107"/>
        <v>0</v>
      </c>
      <c r="W1364" s="321">
        <f t="shared" si="108"/>
        <v>181</v>
      </c>
      <c r="X1364" s="321">
        <f t="shared" si="109"/>
        <v>726000</v>
      </c>
      <c r="Y1364" s="321">
        <v>1</v>
      </c>
      <c r="AA1364" s="321" t="s">
        <v>2580</v>
      </c>
    </row>
    <row r="1365" spans="1:27">
      <c r="A1365" s="376">
        <v>410</v>
      </c>
      <c r="B1365" s="377">
        <v>829910</v>
      </c>
      <c r="C1365" s="382" t="s">
        <v>2752</v>
      </c>
      <c r="D1365" s="379">
        <v>0</v>
      </c>
      <c r="E1365" s="380">
        <v>0</v>
      </c>
      <c r="F1365" s="380">
        <v>0</v>
      </c>
      <c r="H1365" s="351">
        <f t="shared" si="110"/>
        <v>0</v>
      </c>
      <c r="I1365" s="351">
        <f t="shared" si="111"/>
        <v>0</v>
      </c>
      <c r="M1365" s="321">
        <v>1726000182</v>
      </c>
      <c r="N1365" s="321">
        <v>72</v>
      </c>
      <c r="O1365" s="321" t="s">
        <v>2582</v>
      </c>
      <c r="P1365" s="321">
        <v>1726000</v>
      </c>
      <c r="Q1365" s="322">
        <v>31000</v>
      </c>
      <c r="R1365" s="322">
        <v>22700</v>
      </c>
      <c r="S1365" s="322">
        <v>42000</v>
      </c>
      <c r="T1365" s="322">
        <v>42000</v>
      </c>
      <c r="U1365" s="322">
        <f t="shared" si="107"/>
        <v>0</v>
      </c>
      <c r="W1365" s="321">
        <f t="shared" si="108"/>
        <v>182</v>
      </c>
      <c r="X1365" s="321">
        <f t="shared" si="109"/>
        <v>726000</v>
      </c>
      <c r="Y1365" s="321">
        <v>1</v>
      </c>
      <c r="AA1365" s="321" t="s">
        <v>2582</v>
      </c>
    </row>
    <row r="1366" spans="1:27">
      <c r="A1366" s="376">
        <v>780</v>
      </c>
      <c r="B1366" s="377">
        <v>829910</v>
      </c>
      <c r="C1366" s="382" t="s">
        <v>7380</v>
      </c>
      <c r="D1366" s="379">
        <v>153</v>
      </c>
      <c r="E1366" s="380">
        <v>149</v>
      </c>
      <c r="F1366" s="380">
        <v>149</v>
      </c>
      <c r="H1366" s="351">
        <f t="shared" si="110"/>
        <v>153000</v>
      </c>
      <c r="I1366" s="351">
        <f t="shared" si="111"/>
        <v>149000</v>
      </c>
      <c r="M1366" s="321">
        <v>1726000420</v>
      </c>
      <c r="N1366" s="321">
        <v>72</v>
      </c>
      <c r="O1366" s="321" t="s">
        <v>5558</v>
      </c>
      <c r="P1366" s="321">
        <v>1726000</v>
      </c>
      <c r="Q1366" s="322">
        <v>38000</v>
      </c>
      <c r="R1366" s="322">
        <v>32400</v>
      </c>
      <c r="S1366" s="322">
        <v>38000</v>
      </c>
      <c r="T1366" s="322">
        <v>38000</v>
      </c>
      <c r="U1366" s="322">
        <f t="shared" si="107"/>
        <v>0</v>
      </c>
      <c r="W1366" s="321">
        <f t="shared" si="108"/>
        <v>420</v>
      </c>
      <c r="X1366" s="321">
        <f t="shared" si="109"/>
        <v>726000</v>
      </c>
      <c r="Y1366" s="321">
        <v>1</v>
      </c>
      <c r="AA1366" s="321" t="s">
        <v>5558</v>
      </c>
    </row>
    <row r="1367" spans="1:27">
      <c r="A1367" s="376">
        <v>870</v>
      </c>
      <c r="B1367" s="377">
        <v>829910</v>
      </c>
      <c r="C1367" s="391" t="s">
        <v>7381</v>
      </c>
      <c r="D1367" s="379">
        <v>3491</v>
      </c>
      <c r="E1367" s="380">
        <v>3675</v>
      </c>
      <c r="F1367" s="380">
        <f>3552+123</f>
        <v>3675</v>
      </c>
      <c r="H1367" s="351">
        <f t="shared" si="110"/>
        <v>3491000</v>
      </c>
      <c r="I1367" s="351">
        <f t="shared" si="111"/>
        <v>3675000</v>
      </c>
      <c r="M1367" s="321">
        <v>1726000510</v>
      </c>
      <c r="N1367" s="321">
        <v>72</v>
      </c>
      <c r="O1367" s="321" t="s">
        <v>5213</v>
      </c>
      <c r="P1367" s="321">
        <v>1726000</v>
      </c>
      <c r="Q1367" s="322">
        <v>5000</v>
      </c>
      <c r="R1367" s="322">
        <v>3500</v>
      </c>
      <c r="S1367" s="322">
        <v>5000</v>
      </c>
      <c r="T1367" s="322">
        <v>5000</v>
      </c>
      <c r="U1367" s="322">
        <f t="shared" si="107"/>
        <v>0</v>
      </c>
      <c r="W1367" s="321">
        <f t="shared" si="108"/>
        <v>510</v>
      </c>
      <c r="X1367" s="321">
        <f t="shared" si="109"/>
        <v>726000</v>
      </c>
      <c r="Y1367" s="321">
        <v>1</v>
      </c>
      <c r="AA1367" s="321" t="s">
        <v>5213</v>
      </c>
    </row>
    <row r="1368" spans="1:27">
      <c r="A1368" s="376">
        <v>872</v>
      </c>
      <c r="B1368" s="377">
        <v>829910</v>
      </c>
      <c r="C1368" s="382" t="s">
        <v>7382</v>
      </c>
      <c r="D1368" s="379">
        <v>160</v>
      </c>
      <c r="E1368" s="380">
        <v>160</v>
      </c>
      <c r="F1368" s="380">
        <v>160</v>
      </c>
      <c r="H1368" s="351">
        <f t="shared" si="110"/>
        <v>160000</v>
      </c>
      <c r="I1368" s="351">
        <f t="shared" si="111"/>
        <v>160000</v>
      </c>
      <c r="M1368" s="321">
        <v>1726000521</v>
      </c>
      <c r="N1368" s="321">
        <v>72</v>
      </c>
      <c r="O1368" s="321" t="s">
        <v>2734</v>
      </c>
      <c r="P1368" s="321">
        <v>1726000</v>
      </c>
      <c r="Q1368" s="322">
        <v>5000</v>
      </c>
      <c r="R1368" s="322">
        <v>400</v>
      </c>
      <c r="S1368" s="322">
        <v>5000</v>
      </c>
      <c r="T1368" s="322">
        <v>5000</v>
      </c>
      <c r="U1368" s="322">
        <f t="shared" si="107"/>
        <v>0</v>
      </c>
      <c r="W1368" s="321">
        <f t="shared" si="108"/>
        <v>521</v>
      </c>
      <c r="X1368" s="321">
        <f t="shared" si="109"/>
        <v>726000</v>
      </c>
      <c r="Y1368" s="321">
        <v>1</v>
      </c>
      <c r="AA1368" s="321" t="s">
        <v>2734</v>
      </c>
    </row>
    <row r="1369" spans="1:27">
      <c r="A1369" s="376">
        <v>873</v>
      </c>
      <c r="B1369" s="377">
        <v>829910</v>
      </c>
      <c r="C1369" s="382" t="s">
        <v>7383</v>
      </c>
      <c r="D1369" s="379">
        <v>1500</v>
      </c>
      <c r="E1369" s="380">
        <v>1350</v>
      </c>
      <c r="F1369" s="380">
        <v>1350</v>
      </c>
      <c r="H1369" s="351">
        <f t="shared" si="110"/>
        <v>1500000</v>
      </c>
      <c r="I1369" s="351">
        <f t="shared" si="111"/>
        <v>1350000</v>
      </c>
      <c r="M1369" s="321">
        <v>1726000523</v>
      </c>
      <c r="N1369" s="321">
        <v>72</v>
      </c>
      <c r="O1369" s="321" t="s">
        <v>2615</v>
      </c>
      <c r="P1369" s="321">
        <v>1726000</v>
      </c>
      <c r="Q1369" s="322">
        <v>2000</v>
      </c>
      <c r="R1369" s="322">
        <v>1000</v>
      </c>
      <c r="S1369" s="322">
        <v>2000</v>
      </c>
      <c r="T1369" s="322">
        <v>2000</v>
      </c>
      <c r="U1369" s="322">
        <f t="shared" si="107"/>
        <v>0</v>
      </c>
      <c r="W1369" s="321">
        <f t="shared" si="108"/>
        <v>523</v>
      </c>
      <c r="X1369" s="321">
        <f t="shared" si="109"/>
        <v>726000</v>
      </c>
      <c r="Y1369" s="321">
        <v>1</v>
      </c>
      <c r="AA1369" s="321" t="s">
        <v>2615</v>
      </c>
    </row>
    <row r="1370" spans="1:27">
      <c r="A1370" s="376">
        <v>875</v>
      </c>
      <c r="B1370" s="377">
        <v>829910</v>
      </c>
      <c r="C1370" s="382" t="s">
        <v>7384</v>
      </c>
      <c r="D1370" s="379">
        <v>95</v>
      </c>
      <c r="E1370" s="380">
        <v>100</v>
      </c>
      <c r="F1370" s="380">
        <v>100</v>
      </c>
      <c r="H1370" s="351">
        <f t="shared" si="110"/>
        <v>95000</v>
      </c>
      <c r="I1370" s="351">
        <f t="shared" si="111"/>
        <v>100000</v>
      </c>
      <c r="M1370" s="321">
        <v>1726000572</v>
      </c>
      <c r="N1370" s="321">
        <v>72</v>
      </c>
      <c r="O1370" s="321" t="s">
        <v>5253</v>
      </c>
      <c r="P1370" s="321">
        <v>1726000</v>
      </c>
      <c r="Q1370" s="322">
        <v>60000</v>
      </c>
      <c r="R1370" s="322">
        <v>8300</v>
      </c>
      <c r="S1370" s="322">
        <v>60000</v>
      </c>
      <c r="T1370" s="322">
        <v>60000</v>
      </c>
      <c r="U1370" s="322">
        <f t="shared" si="107"/>
        <v>0</v>
      </c>
      <c r="W1370" s="321">
        <f t="shared" si="108"/>
        <v>572</v>
      </c>
      <c r="X1370" s="321">
        <f t="shared" si="109"/>
        <v>726000</v>
      </c>
      <c r="Y1370" s="321">
        <v>1</v>
      </c>
      <c r="AA1370" s="321" t="s">
        <v>5253</v>
      </c>
    </row>
    <row r="1371" spans="1:27">
      <c r="A1371" s="376">
        <v>100</v>
      </c>
      <c r="B1371" s="377">
        <v>831000</v>
      </c>
      <c r="C1371" s="391" t="s">
        <v>6747</v>
      </c>
      <c r="D1371" s="379">
        <v>498</v>
      </c>
      <c r="E1371" s="380">
        <v>495</v>
      </c>
      <c r="F1371" s="380">
        <v>550</v>
      </c>
      <c r="H1371" s="351">
        <f t="shared" si="110"/>
        <v>498000</v>
      </c>
      <c r="I1371" s="351">
        <f t="shared" si="111"/>
        <v>550000</v>
      </c>
      <c r="M1371" s="321">
        <v>1726000740</v>
      </c>
      <c r="N1371" s="321">
        <v>72</v>
      </c>
      <c r="O1371" s="321" t="s">
        <v>5559</v>
      </c>
      <c r="P1371" s="321">
        <v>1726000</v>
      </c>
      <c r="Q1371" s="322">
        <v>150000</v>
      </c>
      <c r="R1371" s="322">
        <v>-22400</v>
      </c>
      <c r="S1371" s="322">
        <v>150000</v>
      </c>
      <c r="T1371" s="322">
        <v>150000</v>
      </c>
      <c r="U1371" s="322">
        <f t="shared" si="107"/>
        <v>0</v>
      </c>
      <c r="W1371" s="321">
        <f t="shared" si="108"/>
        <v>740</v>
      </c>
      <c r="X1371" s="321">
        <f t="shared" si="109"/>
        <v>726000</v>
      </c>
      <c r="Y1371" s="321">
        <v>1</v>
      </c>
      <c r="AA1371" s="321" t="s">
        <v>5559</v>
      </c>
    </row>
    <row r="1372" spans="1:27">
      <c r="A1372" s="376">
        <v>410</v>
      </c>
      <c r="B1372" s="377">
        <v>831000</v>
      </c>
      <c r="C1372" s="382" t="s">
        <v>6715</v>
      </c>
      <c r="D1372" s="379">
        <v>60</v>
      </c>
      <c r="E1372" s="380">
        <v>50</v>
      </c>
      <c r="F1372" s="380">
        <v>60</v>
      </c>
      <c r="H1372" s="351">
        <f t="shared" si="110"/>
        <v>60000</v>
      </c>
      <c r="I1372" s="351">
        <f t="shared" si="111"/>
        <v>60000</v>
      </c>
      <c r="M1372" s="321">
        <v>1726000743</v>
      </c>
      <c r="N1372" s="321">
        <v>72</v>
      </c>
      <c r="O1372" s="321" t="s">
        <v>2622</v>
      </c>
      <c r="P1372" s="321">
        <v>1726000</v>
      </c>
      <c r="Q1372" s="322">
        <v>150000</v>
      </c>
      <c r="R1372" s="322">
        <v>140200</v>
      </c>
      <c r="S1372" s="322">
        <v>150000</v>
      </c>
      <c r="T1372" s="322">
        <v>150000</v>
      </c>
      <c r="U1372" s="322">
        <f t="shared" si="107"/>
        <v>0</v>
      </c>
      <c r="W1372" s="321">
        <f t="shared" si="108"/>
        <v>743</v>
      </c>
      <c r="X1372" s="321">
        <f t="shared" si="109"/>
        <v>726000</v>
      </c>
      <c r="Y1372" s="321">
        <v>1</v>
      </c>
      <c r="AA1372" s="321" t="s">
        <v>2622</v>
      </c>
    </row>
    <row r="1373" spans="1:27">
      <c r="A1373" s="376">
        <v>540</v>
      </c>
      <c r="B1373" s="377">
        <v>831000</v>
      </c>
      <c r="C1373" s="391" t="s">
        <v>6764</v>
      </c>
      <c r="D1373" s="379">
        <v>1</v>
      </c>
      <c r="E1373" s="380">
        <v>1</v>
      </c>
      <c r="F1373" s="380">
        <v>4</v>
      </c>
      <c r="H1373" s="351">
        <f t="shared" si="110"/>
        <v>1000</v>
      </c>
      <c r="I1373" s="351">
        <f t="shared" si="111"/>
        <v>4000</v>
      </c>
      <c r="M1373" s="321">
        <v>1726000750</v>
      </c>
      <c r="N1373" s="321">
        <v>72</v>
      </c>
      <c r="O1373" s="321" t="s">
        <v>5560</v>
      </c>
      <c r="P1373" s="321">
        <v>1726000</v>
      </c>
      <c r="Q1373" s="322">
        <v>8000</v>
      </c>
      <c r="R1373" s="322">
        <v>0</v>
      </c>
      <c r="S1373" s="322">
        <v>8000</v>
      </c>
      <c r="T1373" s="322">
        <v>8000</v>
      </c>
      <c r="U1373" s="322">
        <f t="shared" si="107"/>
        <v>0</v>
      </c>
      <c r="W1373" s="321">
        <f t="shared" si="108"/>
        <v>750</v>
      </c>
      <c r="X1373" s="321">
        <f t="shared" si="109"/>
        <v>726000</v>
      </c>
      <c r="Y1373" s="321">
        <v>1</v>
      </c>
      <c r="AA1373" s="321" t="s">
        <v>5560</v>
      </c>
    </row>
    <row r="1374" spans="1:27">
      <c r="A1374" s="376">
        <v>550</v>
      </c>
      <c r="B1374" s="377">
        <v>831000</v>
      </c>
      <c r="C1374" s="382" t="s">
        <v>7374</v>
      </c>
      <c r="D1374" s="379">
        <v>40</v>
      </c>
      <c r="E1374" s="380">
        <v>60</v>
      </c>
      <c r="F1374" s="380">
        <v>60</v>
      </c>
      <c r="H1374" s="351">
        <f t="shared" si="110"/>
        <v>40000</v>
      </c>
      <c r="I1374" s="351">
        <f t="shared" si="111"/>
        <v>60000</v>
      </c>
      <c r="M1374" s="321">
        <v>1726000981</v>
      </c>
      <c r="N1374" s="321">
        <v>72</v>
      </c>
      <c r="O1374" s="321" t="s">
        <v>5561</v>
      </c>
      <c r="P1374" s="321">
        <v>1726000</v>
      </c>
      <c r="Q1374" s="322">
        <v>0</v>
      </c>
      <c r="R1374" s="322">
        <v>0</v>
      </c>
      <c r="S1374" s="322">
        <v>0</v>
      </c>
      <c r="T1374" s="322">
        <v>0</v>
      </c>
      <c r="U1374" s="322">
        <f t="shared" si="107"/>
        <v>0</v>
      </c>
      <c r="W1374" s="321">
        <f t="shared" si="108"/>
        <v>981</v>
      </c>
      <c r="X1374" s="321">
        <f t="shared" si="109"/>
        <v>726000</v>
      </c>
      <c r="Y1374" s="321">
        <v>1</v>
      </c>
      <c r="AA1374" s="321" t="s">
        <v>5561</v>
      </c>
    </row>
    <row r="1375" spans="1:27">
      <c r="A1375" s="376">
        <v>780</v>
      </c>
      <c r="B1375" s="377">
        <v>831000</v>
      </c>
      <c r="C1375" s="382" t="s">
        <v>7385</v>
      </c>
      <c r="D1375" s="379">
        <v>305</v>
      </c>
      <c r="E1375" s="380">
        <v>305</v>
      </c>
      <c r="F1375" s="380">
        <v>305</v>
      </c>
      <c r="H1375" s="351">
        <f t="shared" si="110"/>
        <v>305000</v>
      </c>
      <c r="I1375" s="351">
        <f t="shared" si="111"/>
        <v>305000</v>
      </c>
      <c r="M1375" s="321">
        <v>1731000110</v>
      </c>
      <c r="N1375" s="321">
        <v>73</v>
      </c>
      <c r="O1375" s="321" t="s">
        <v>5205</v>
      </c>
      <c r="P1375" s="321">
        <v>3731000</v>
      </c>
      <c r="Q1375" s="322">
        <v>1017000</v>
      </c>
      <c r="R1375" s="322">
        <v>570300</v>
      </c>
      <c r="S1375" s="322">
        <v>977000</v>
      </c>
      <c r="T1375" s="322">
        <v>797000</v>
      </c>
      <c r="U1375" s="322">
        <f t="shared" si="107"/>
        <v>180000</v>
      </c>
      <c r="W1375" s="321">
        <f t="shared" si="108"/>
        <v>110</v>
      </c>
      <c r="X1375" s="321">
        <f t="shared" si="109"/>
        <v>731000</v>
      </c>
      <c r="Y1375" s="321">
        <v>1</v>
      </c>
      <c r="AA1375" s="321" t="s">
        <v>5205</v>
      </c>
    </row>
    <row r="1376" spans="1:27">
      <c r="A1376" s="376">
        <v>781</v>
      </c>
      <c r="B1376" s="377">
        <v>831000</v>
      </c>
      <c r="C1376" s="391" t="s">
        <v>7386</v>
      </c>
      <c r="D1376" s="379">
        <v>90</v>
      </c>
      <c r="E1376" s="380">
        <v>90</v>
      </c>
      <c r="F1376" s="380">
        <v>90</v>
      </c>
      <c r="H1376" s="351">
        <f t="shared" si="110"/>
        <v>90000</v>
      </c>
      <c r="I1376" s="351">
        <f t="shared" si="111"/>
        <v>90000</v>
      </c>
      <c r="M1376" s="321">
        <v>1731000120</v>
      </c>
      <c r="N1376" s="321">
        <v>73</v>
      </c>
      <c r="O1376" s="321" t="s">
        <v>5206</v>
      </c>
      <c r="P1376" s="321">
        <v>3731000</v>
      </c>
      <c r="Q1376" s="322">
        <v>145000</v>
      </c>
      <c r="R1376" s="322">
        <v>105600</v>
      </c>
      <c r="S1376" s="322">
        <v>145000</v>
      </c>
      <c r="T1376" s="322">
        <v>145000</v>
      </c>
      <c r="U1376" s="322">
        <f t="shared" si="107"/>
        <v>0</v>
      </c>
      <c r="W1376" s="321">
        <f t="shared" si="108"/>
        <v>120</v>
      </c>
      <c r="X1376" s="321">
        <f t="shared" si="109"/>
        <v>731000</v>
      </c>
      <c r="Y1376" s="321">
        <v>1</v>
      </c>
      <c r="AA1376" s="321" t="s">
        <v>5206</v>
      </c>
    </row>
    <row r="1377" spans="1:27">
      <c r="A1377" s="376">
        <v>820</v>
      </c>
      <c r="B1377" s="377">
        <v>831000</v>
      </c>
      <c r="C1377" s="419" t="s">
        <v>7387</v>
      </c>
      <c r="D1377" s="379">
        <v>195</v>
      </c>
      <c r="E1377" s="380">
        <v>0</v>
      </c>
      <c r="F1377" s="380">
        <v>0</v>
      </c>
      <c r="H1377" s="351">
        <f t="shared" si="110"/>
        <v>195000</v>
      </c>
      <c r="I1377" s="351">
        <f t="shared" si="111"/>
        <v>0</v>
      </c>
      <c r="M1377" s="321">
        <v>1731000130</v>
      </c>
      <c r="N1377" s="321">
        <v>73</v>
      </c>
      <c r="O1377" s="321" t="s">
        <v>2576</v>
      </c>
      <c r="P1377" s="321">
        <v>3731000</v>
      </c>
      <c r="Q1377" s="322">
        <v>6000</v>
      </c>
      <c r="R1377" s="322">
        <v>3000</v>
      </c>
      <c r="S1377" s="322">
        <v>5000</v>
      </c>
      <c r="T1377" s="322">
        <v>4500</v>
      </c>
      <c r="U1377" s="322">
        <f t="shared" si="107"/>
        <v>500</v>
      </c>
      <c r="W1377" s="321">
        <f t="shared" si="108"/>
        <v>130</v>
      </c>
      <c r="X1377" s="321">
        <f t="shared" si="109"/>
        <v>731000</v>
      </c>
      <c r="Y1377" s="321">
        <v>1</v>
      </c>
      <c r="AA1377" s="321" t="s">
        <v>2576</v>
      </c>
    </row>
    <row r="1378" spans="1:27">
      <c r="A1378" s="376">
        <v>100</v>
      </c>
      <c r="B1378" s="377">
        <v>832200</v>
      </c>
      <c r="C1378" s="391" t="s">
        <v>7129</v>
      </c>
      <c r="D1378" s="379">
        <v>18</v>
      </c>
      <c r="E1378" s="380">
        <v>17</v>
      </c>
      <c r="F1378" s="380">
        <v>17</v>
      </c>
      <c r="H1378" s="351">
        <f t="shared" si="110"/>
        <v>18000</v>
      </c>
      <c r="I1378" s="351">
        <f t="shared" si="111"/>
        <v>17000</v>
      </c>
      <c r="M1378" s="321">
        <v>1731000140</v>
      </c>
      <c r="N1378" s="321">
        <v>73</v>
      </c>
      <c r="O1378" s="321" t="s">
        <v>5207</v>
      </c>
      <c r="P1378" s="321">
        <v>3731000</v>
      </c>
      <c r="Q1378" s="322">
        <v>166000</v>
      </c>
      <c r="R1378" s="322">
        <v>114600</v>
      </c>
      <c r="S1378" s="322">
        <v>163000</v>
      </c>
      <c r="T1378" s="322">
        <v>163000</v>
      </c>
      <c r="U1378" s="322">
        <f t="shared" si="107"/>
        <v>0</v>
      </c>
      <c r="W1378" s="321">
        <f t="shared" si="108"/>
        <v>140</v>
      </c>
      <c r="X1378" s="321">
        <f t="shared" si="109"/>
        <v>731000</v>
      </c>
      <c r="Y1378" s="321">
        <v>1</v>
      </c>
      <c r="AA1378" s="321" t="s">
        <v>5207</v>
      </c>
    </row>
    <row r="1379" spans="1:27">
      <c r="A1379" s="376">
        <v>430</v>
      </c>
      <c r="B1379" s="377">
        <v>832200</v>
      </c>
      <c r="C1379" s="391" t="s">
        <v>6798</v>
      </c>
      <c r="D1379" s="379">
        <v>8</v>
      </c>
      <c r="E1379" s="380">
        <v>8</v>
      </c>
      <c r="F1379" s="380">
        <v>8</v>
      </c>
      <c r="H1379" s="351">
        <f t="shared" si="110"/>
        <v>8000</v>
      </c>
      <c r="I1379" s="351">
        <f t="shared" si="111"/>
        <v>8000</v>
      </c>
      <c r="M1379" s="321">
        <v>1731000141</v>
      </c>
      <c r="N1379" s="321">
        <v>73</v>
      </c>
      <c r="O1379" s="321" t="s">
        <v>5562</v>
      </c>
      <c r="P1379" s="321">
        <v>3731000</v>
      </c>
      <c r="Q1379" s="322">
        <v>45000</v>
      </c>
      <c r="R1379" s="322">
        <v>27700</v>
      </c>
      <c r="S1379" s="322">
        <v>46000</v>
      </c>
      <c r="T1379" s="322">
        <v>46000</v>
      </c>
      <c r="U1379" s="322">
        <f t="shared" si="107"/>
        <v>0</v>
      </c>
      <c r="W1379" s="321">
        <f t="shared" si="108"/>
        <v>141</v>
      </c>
      <c r="X1379" s="321">
        <f t="shared" si="109"/>
        <v>731000</v>
      </c>
      <c r="Y1379" s="321">
        <v>1</v>
      </c>
      <c r="AA1379" s="321" t="s">
        <v>5562</v>
      </c>
    </row>
    <row r="1380" spans="1:27">
      <c r="A1380" s="376">
        <v>540</v>
      </c>
      <c r="B1380" s="377">
        <v>832200</v>
      </c>
      <c r="C1380" s="391" t="s">
        <v>6764</v>
      </c>
      <c r="D1380" s="379">
        <v>3</v>
      </c>
      <c r="E1380" s="380">
        <v>3</v>
      </c>
      <c r="F1380" s="380">
        <v>4</v>
      </c>
      <c r="H1380" s="351">
        <f t="shared" si="110"/>
        <v>3000</v>
      </c>
      <c r="I1380" s="351">
        <f t="shared" si="111"/>
        <v>4000</v>
      </c>
      <c r="M1380" s="321">
        <v>1731000181</v>
      </c>
      <c r="N1380" s="321">
        <v>73</v>
      </c>
      <c r="O1380" s="321" t="s">
        <v>2580</v>
      </c>
      <c r="P1380" s="321">
        <v>3731000</v>
      </c>
      <c r="Q1380" s="322">
        <v>187000</v>
      </c>
      <c r="R1380" s="322">
        <v>100900</v>
      </c>
      <c r="S1380" s="322">
        <v>178000</v>
      </c>
      <c r="T1380" s="322">
        <v>178000</v>
      </c>
      <c r="U1380" s="322">
        <f t="shared" si="107"/>
        <v>0</v>
      </c>
      <c r="W1380" s="321">
        <f t="shared" si="108"/>
        <v>181</v>
      </c>
      <c r="X1380" s="321">
        <f t="shared" si="109"/>
        <v>731000</v>
      </c>
      <c r="Y1380" s="321">
        <v>1</v>
      </c>
      <c r="AA1380" s="321" t="s">
        <v>2580</v>
      </c>
    </row>
    <row r="1381" spans="1:27">
      <c r="A1381" s="376">
        <v>750</v>
      </c>
      <c r="B1381" s="377">
        <v>832200</v>
      </c>
      <c r="C1381" s="382" t="s">
        <v>6804</v>
      </c>
      <c r="D1381" s="379">
        <v>17</v>
      </c>
      <c r="E1381" s="380">
        <v>17</v>
      </c>
      <c r="F1381" s="380">
        <v>17</v>
      </c>
      <c r="H1381" s="351">
        <f t="shared" si="110"/>
        <v>17000</v>
      </c>
      <c r="I1381" s="351">
        <f t="shared" si="111"/>
        <v>17000</v>
      </c>
      <c r="M1381" s="321">
        <v>1731000182</v>
      </c>
      <c r="N1381" s="321">
        <v>73</v>
      </c>
      <c r="O1381" s="321" t="s">
        <v>2582</v>
      </c>
      <c r="P1381" s="321">
        <v>3731000</v>
      </c>
      <c r="Q1381" s="322">
        <v>197000</v>
      </c>
      <c r="R1381" s="322">
        <v>121400</v>
      </c>
      <c r="S1381" s="322">
        <v>200000</v>
      </c>
      <c r="T1381" s="322">
        <v>200000</v>
      </c>
      <c r="U1381" s="322">
        <f t="shared" si="107"/>
        <v>0</v>
      </c>
      <c r="W1381" s="321">
        <f t="shared" si="108"/>
        <v>182</v>
      </c>
      <c r="X1381" s="321">
        <f t="shared" si="109"/>
        <v>731000</v>
      </c>
      <c r="Y1381" s="321">
        <v>1</v>
      </c>
      <c r="AA1381" s="321" t="s">
        <v>2582</v>
      </c>
    </row>
    <row r="1382" spans="1:27">
      <c r="A1382" s="376">
        <v>755</v>
      </c>
      <c r="B1382" s="377">
        <v>832200</v>
      </c>
      <c r="C1382" s="382" t="s">
        <v>6744</v>
      </c>
      <c r="D1382" s="379">
        <v>38</v>
      </c>
      <c r="E1382" s="380">
        <v>38</v>
      </c>
      <c r="F1382" s="380">
        <v>38</v>
      </c>
      <c r="H1382" s="351">
        <f t="shared" si="110"/>
        <v>38000</v>
      </c>
      <c r="I1382" s="351">
        <f t="shared" si="111"/>
        <v>38000</v>
      </c>
      <c r="M1382" s="321">
        <v>1731000441</v>
      </c>
      <c r="N1382" s="321">
        <v>73</v>
      </c>
      <c r="O1382" s="321" t="s">
        <v>3971</v>
      </c>
      <c r="P1382" s="321">
        <v>3731000</v>
      </c>
      <c r="Q1382" s="322">
        <v>300000</v>
      </c>
      <c r="R1382" s="322">
        <v>0</v>
      </c>
      <c r="S1382" s="322">
        <v>170000</v>
      </c>
      <c r="T1382" s="322">
        <v>150000</v>
      </c>
      <c r="U1382" s="322">
        <f t="shared" si="107"/>
        <v>20000</v>
      </c>
      <c r="W1382" s="321">
        <f t="shared" si="108"/>
        <v>441</v>
      </c>
      <c r="X1382" s="321">
        <f t="shared" si="109"/>
        <v>731000</v>
      </c>
      <c r="Y1382" s="321">
        <v>1</v>
      </c>
      <c r="AA1382" s="321" t="s">
        <v>3971</v>
      </c>
    </row>
    <row r="1383" spans="1:27">
      <c r="A1383" s="376">
        <v>780</v>
      </c>
      <c r="B1383" s="377">
        <v>832200</v>
      </c>
      <c r="C1383" s="391" t="s">
        <v>6305</v>
      </c>
      <c r="D1383" s="379">
        <v>110</v>
      </c>
      <c r="E1383" s="380">
        <v>110</v>
      </c>
      <c r="F1383" s="380">
        <v>110</v>
      </c>
      <c r="H1383" s="351">
        <f t="shared" si="110"/>
        <v>110000</v>
      </c>
      <c r="I1383" s="351">
        <f t="shared" si="111"/>
        <v>110000</v>
      </c>
      <c r="M1383" s="321">
        <v>1731000470</v>
      </c>
      <c r="N1383" s="321">
        <v>73</v>
      </c>
      <c r="O1383" s="321" t="s">
        <v>2660</v>
      </c>
      <c r="P1383" s="321">
        <v>3731000</v>
      </c>
      <c r="Q1383" s="322">
        <v>12000</v>
      </c>
      <c r="R1383" s="322">
        <v>8600</v>
      </c>
      <c r="S1383" s="322">
        <v>15000</v>
      </c>
      <c r="T1383" s="322">
        <v>15000</v>
      </c>
      <c r="U1383" s="322">
        <f t="shared" si="107"/>
        <v>0</v>
      </c>
      <c r="W1383" s="321">
        <f t="shared" si="108"/>
        <v>470</v>
      </c>
      <c r="X1383" s="321">
        <f t="shared" si="109"/>
        <v>731000</v>
      </c>
      <c r="Y1383" s="321">
        <v>1</v>
      </c>
      <c r="AA1383" s="321" t="s">
        <v>2660</v>
      </c>
    </row>
    <row r="1384" spans="1:27">
      <c r="A1384" s="376">
        <v>100</v>
      </c>
      <c r="B1384" s="377">
        <v>832500</v>
      </c>
      <c r="C1384" s="382" t="s">
        <v>7388</v>
      </c>
      <c r="D1384" s="379">
        <v>80</v>
      </c>
      <c r="E1384" s="380">
        <v>40</v>
      </c>
      <c r="F1384" s="380">
        <v>40</v>
      </c>
      <c r="H1384" s="351">
        <f t="shared" si="110"/>
        <v>80000</v>
      </c>
      <c r="I1384" s="351">
        <f t="shared" si="111"/>
        <v>40000</v>
      </c>
      <c r="M1384" s="321">
        <v>1731000471</v>
      </c>
      <c r="N1384" s="321">
        <v>73</v>
      </c>
      <c r="O1384" s="321" t="s">
        <v>5212</v>
      </c>
      <c r="P1384" s="321">
        <v>3731000</v>
      </c>
      <c r="Q1384" s="322">
        <v>17000</v>
      </c>
      <c r="R1384" s="322">
        <v>14000</v>
      </c>
      <c r="S1384" s="322">
        <v>18200</v>
      </c>
      <c r="T1384" s="322">
        <v>18200</v>
      </c>
      <c r="U1384" s="322">
        <f t="shared" si="107"/>
        <v>0</v>
      </c>
      <c r="W1384" s="321">
        <f t="shared" si="108"/>
        <v>471</v>
      </c>
      <c r="X1384" s="321">
        <f t="shared" si="109"/>
        <v>731000</v>
      </c>
      <c r="Y1384" s="321">
        <v>1</v>
      </c>
      <c r="AA1384" s="321" t="s">
        <v>5212</v>
      </c>
    </row>
    <row r="1385" spans="1:27">
      <c r="A1385" s="376">
        <v>410</v>
      </c>
      <c r="B1385" s="377">
        <v>832500</v>
      </c>
      <c r="C1385" s="382" t="s">
        <v>6715</v>
      </c>
      <c r="D1385" s="379">
        <v>295</v>
      </c>
      <c r="E1385" s="380">
        <v>270</v>
      </c>
      <c r="F1385" s="380">
        <v>310</v>
      </c>
      <c r="H1385" s="351">
        <f t="shared" si="110"/>
        <v>295000</v>
      </c>
      <c r="I1385" s="351">
        <f t="shared" si="111"/>
        <v>310000</v>
      </c>
      <c r="M1385" s="321">
        <v>1731000510</v>
      </c>
      <c r="N1385" s="321">
        <v>73</v>
      </c>
      <c r="O1385" s="321" t="s">
        <v>5213</v>
      </c>
      <c r="P1385" s="321">
        <v>3731000</v>
      </c>
      <c r="Q1385" s="322">
        <v>2000</v>
      </c>
      <c r="R1385" s="322">
        <v>1600</v>
      </c>
      <c r="S1385" s="322">
        <v>2000</v>
      </c>
      <c r="T1385" s="322">
        <v>2000</v>
      </c>
      <c r="U1385" s="322">
        <f t="shared" si="107"/>
        <v>0</v>
      </c>
      <c r="W1385" s="321">
        <f t="shared" si="108"/>
        <v>510</v>
      </c>
      <c r="X1385" s="321">
        <f t="shared" si="109"/>
        <v>731000</v>
      </c>
      <c r="Y1385" s="321">
        <v>1</v>
      </c>
      <c r="AA1385" s="321" t="s">
        <v>5213</v>
      </c>
    </row>
    <row r="1386" spans="1:27">
      <c r="A1386" s="376">
        <v>430</v>
      </c>
      <c r="B1386" s="377">
        <v>832500</v>
      </c>
      <c r="C1386" s="391" t="s">
        <v>6798</v>
      </c>
      <c r="D1386" s="379">
        <v>23</v>
      </c>
      <c r="E1386" s="380">
        <v>23</v>
      </c>
      <c r="F1386" s="380">
        <v>23</v>
      </c>
      <c r="H1386" s="351">
        <f t="shared" si="110"/>
        <v>23000</v>
      </c>
      <c r="I1386" s="351">
        <f t="shared" si="111"/>
        <v>23000</v>
      </c>
      <c r="M1386" s="321">
        <v>1731000521</v>
      </c>
      <c r="N1386" s="321">
        <v>73</v>
      </c>
      <c r="O1386" s="321" t="s">
        <v>2734</v>
      </c>
      <c r="P1386" s="321">
        <v>3731000</v>
      </c>
      <c r="Q1386" s="322">
        <v>8000</v>
      </c>
      <c r="R1386" s="322">
        <v>0</v>
      </c>
      <c r="S1386" s="322">
        <v>10000</v>
      </c>
      <c r="T1386" s="322">
        <v>10000</v>
      </c>
      <c r="U1386" s="322">
        <f t="shared" si="107"/>
        <v>0</v>
      </c>
      <c r="W1386" s="321">
        <f t="shared" si="108"/>
        <v>521</v>
      </c>
      <c r="X1386" s="321">
        <f t="shared" si="109"/>
        <v>731000</v>
      </c>
      <c r="Y1386" s="321">
        <v>1</v>
      </c>
      <c r="AA1386" s="321" t="s">
        <v>2734</v>
      </c>
    </row>
    <row r="1387" spans="1:27">
      <c r="A1387" s="376">
        <v>540</v>
      </c>
      <c r="B1387" s="377">
        <v>832500</v>
      </c>
      <c r="C1387" s="391" t="s">
        <v>6736</v>
      </c>
      <c r="D1387" s="379">
        <v>6</v>
      </c>
      <c r="E1387" s="380">
        <v>6</v>
      </c>
      <c r="F1387" s="380">
        <v>10</v>
      </c>
      <c r="H1387" s="351">
        <f t="shared" si="110"/>
        <v>6000</v>
      </c>
      <c r="I1387" s="351">
        <f t="shared" si="111"/>
        <v>10000</v>
      </c>
      <c r="M1387" s="321">
        <v>1731000522</v>
      </c>
      <c r="N1387" s="321">
        <v>73</v>
      </c>
      <c r="O1387" s="321" t="s">
        <v>5214</v>
      </c>
      <c r="P1387" s="321">
        <v>3731000</v>
      </c>
      <c r="Q1387" s="322">
        <v>9000</v>
      </c>
      <c r="R1387" s="322">
        <v>2200</v>
      </c>
      <c r="S1387" s="322">
        <v>9000</v>
      </c>
      <c r="T1387" s="322">
        <v>9000</v>
      </c>
      <c r="U1387" s="322">
        <f t="shared" si="107"/>
        <v>0</v>
      </c>
      <c r="W1387" s="321">
        <f t="shared" si="108"/>
        <v>522</v>
      </c>
      <c r="X1387" s="321">
        <f t="shared" si="109"/>
        <v>731000</v>
      </c>
      <c r="Y1387" s="321">
        <v>1</v>
      </c>
      <c r="AA1387" s="321" t="s">
        <v>5214</v>
      </c>
    </row>
    <row r="1388" spans="1:27">
      <c r="A1388" s="376">
        <v>750</v>
      </c>
      <c r="B1388" s="377">
        <v>832500</v>
      </c>
      <c r="C1388" s="382" t="s">
        <v>6804</v>
      </c>
      <c r="D1388" s="379">
        <v>52</v>
      </c>
      <c r="E1388" s="380">
        <v>50</v>
      </c>
      <c r="F1388" s="380">
        <v>51</v>
      </c>
      <c r="H1388" s="351">
        <f t="shared" si="110"/>
        <v>52000</v>
      </c>
      <c r="I1388" s="351">
        <f t="shared" si="111"/>
        <v>51000</v>
      </c>
      <c r="M1388" s="321">
        <v>1731000530</v>
      </c>
      <c r="N1388" s="321">
        <v>73</v>
      </c>
      <c r="O1388" s="321" t="s">
        <v>5563</v>
      </c>
      <c r="P1388" s="321">
        <v>3731000</v>
      </c>
      <c r="Q1388" s="322">
        <v>45000</v>
      </c>
      <c r="R1388" s="322">
        <v>25800</v>
      </c>
      <c r="S1388" s="322">
        <v>45000</v>
      </c>
      <c r="T1388" s="322">
        <v>45000</v>
      </c>
      <c r="U1388" s="322">
        <f t="shared" si="107"/>
        <v>0</v>
      </c>
      <c r="W1388" s="321">
        <f t="shared" si="108"/>
        <v>530</v>
      </c>
      <c r="X1388" s="321">
        <f t="shared" si="109"/>
        <v>731000</v>
      </c>
      <c r="Y1388" s="321">
        <v>1</v>
      </c>
      <c r="AA1388" s="321" t="s">
        <v>5563</v>
      </c>
    </row>
    <row r="1389" spans="1:27">
      <c r="A1389" s="376">
        <v>780</v>
      </c>
      <c r="B1389" s="377">
        <v>832500</v>
      </c>
      <c r="C1389" s="391" t="s">
        <v>169</v>
      </c>
      <c r="D1389" s="379">
        <v>10</v>
      </c>
      <c r="E1389" s="380">
        <v>10</v>
      </c>
      <c r="F1389" s="380">
        <v>8</v>
      </c>
      <c r="H1389" s="351">
        <f t="shared" si="110"/>
        <v>10000</v>
      </c>
      <c r="I1389" s="351">
        <f t="shared" si="111"/>
        <v>8000</v>
      </c>
      <c r="M1389" s="321">
        <v>1731000540</v>
      </c>
      <c r="N1389" s="321">
        <v>73</v>
      </c>
      <c r="O1389" s="321" t="s">
        <v>5216</v>
      </c>
      <c r="P1389" s="321">
        <v>3731000</v>
      </c>
      <c r="Q1389" s="322">
        <v>2000</v>
      </c>
      <c r="R1389" s="322">
        <v>1000</v>
      </c>
      <c r="S1389" s="322">
        <v>2000</v>
      </c>
      <c r="T1389" s="322">
        <v>2000</v>
      </c>
      <c r="U1389" s="322">
        <f t="shared" si="107"/>
        <v>0</v>
      </c>
      <c r="W1389" s="321">
        <f t="shared" si="108"/>
        <v>540</v>
      </c>
      <c r="X1389" s="321">
        <f t="shared" si="109"/>
        <v>731000</v>
      </c>
      <c r="Y1389" s="321">
        <v>1</v>
      </c>
      <c r="AA1389" s="321" t="s">
        <v>5216</v>
      </c>
    </row>
    <row r="1390" spans="1:27">
      <c r="A1390" s="376">
        <v>781</v>
      </c>
      <c r="B1390" s="377">
        <v>832500</v>
      </c>
      <c r="C1390" s="391" t="s">
        <v>7389</v>
      </c>
      <c r="D1390" s="379">
        <v>130</v>
      </c>
      <c r="E1390" s="380">
        <v>110</v>
      </c>
      <c r="F1390" s="380">
        <v>110</v>
      </c>
      <c r="H1390" s="351">
        <f t="shared" si="110"/>
        <v>130000</v>
      </c>
      <c r="I1390" s="351">
        <f t="shared" si="111"/>
        <v>110000</v>
      </c>
      <c r="M1390" s="321">
        <v>1731000542</v>
      </c>
      <c r="N1390" s="321">
        <v>73</v>
      </c>
      <c r="O1390" s="321" t="s">
        <v>5564</v>
      </c>
      <c r="P1390" s="321">
        <v>3731000</v>
      </c>
      <c r="Q1390" s="322">
        <v>24200</v>
      </c>
      <c r="R1390" s="322">
        <v>17100</v>
      </c>
      <c r="S1390" s="322">
        <v>14000</v>
      </c>
      <c r="T1390" s="322">
        <v>14000</v>
      </c>
      <c r="U1390" s="322">
        <f t="shared" si="107"/>
        <v>0</v>
      </c>
      <c r="W1390" s="321">
        <f t="shared" si="108"/>
        <v>542</v>
      </c>
      <c r="X1390" s="321">
        <f t="shared" si="109"/>
        <v>731000</v>
      </c>
      <c r="Y1390" s="321">
        <v>1</v>
      </c>
      <c r="AA1390" s="321" t="s">
        <v>5564</v>
      </c>
    </row>
    <row r="1391" spans="1:27">
      <c r="A1391" s="376">
        <v>830</v>
      </c>
      <c r="B1391" s="377">
        <v>836200</v>
      </c>
      <c r="C1391" s="382" t="s">
        <v>7390</v>
      </c>
      <c r="D1391" s="379">
        <v>190</v>
      </c>
      <c r="E1391" s="380">
        <v>180</v>
      </c>
      <c r="F1391" s="380">
        <v>180</v>
      </c>
      <c r="H1391" s="351">
        <f t="shared" si="110"/>
        <v>190000</v>
      </c>
      <c r="I1391" s="351">
        <f t="shared" si="111"/>
        <v>180000</v>
      </c>
      <c r="M1391" s="321">
        <v>1731000580</v>
      </c>
      <c r="N1391" s="321">
        <v>73</v>
      </c>
      <c r="O1391" s="321" t="s">
        <v>5565</v>
      </c>
      <c r="P1391" s="321">
        <v>3731000</v>
      </c>
      <c r="Q1391" s="322">
        <v>0</v>
      </c>
      <c r="R1391" s="322">
        <v>0</v>
      </c>
      <c r="S1391" s="322">
        <v>0</v>
      </c>
      <c r="T1391" s="322">
        <v>0</v>
      </c>
      <c r="U1391" s="322">
        <f t="shared" si="107"/>
        <v>0</v>
      </c>
      <c r="W1391" s="321">
        <f t="shared" si="108"/>
        <v>580</v>
      </c>
      <c r="X1391" s="321">
        <f t="shared" si="109"/>
        <v>731000</v>
      </c>
      <c r="Y1391" s="321">
        <v>1</v>
      </c>
      <c r="AA1391" s="321" t="s">
        <v>5565</v>
      </c>
    </row>
    <row r="1392" spans="1:27">
      <c r="A1392" s="376">
        <v>100</v>
      </c>
      <c r="B1392" s="377">
        <v>841000</v>
      </c>
      <c r="C1392" s="382" t="s">
        <v>7391</v>
      </c>
      <c r="D1392" s="379">
        <v>0</v>
      </c>
      <c r="E1392" s="380">
        <v>0</v>
      </c>
      <c r="F1392" s="380">
        <v>0</v>
      </c>
      <c r="H1392" s="351">
        <f t="shared" si="110"/>
        <v>0</v>
      </c>
      <c r="I1392" s="351">
        <f t="shared" si="111"/>
        <v>0</v>
      </c>
      <c r="M1392" s="321">
        <v>1731000750</v>
      </c>
      <c r="N1392" s="321">
        <v>73</v>
      </c>
      <c r="O1392" s="321" t="s">
        <v>4863</v>
      </c>
      <c r="P1392" s="321">
        <v>3731000</v>
      </c>
      <c r="Q1392" s="322">
        <v>300000</v>
      </c>
      <c r="R1392" s="322">
        <v>91900</v>
      </c>
      <c r="S1392" s="322">
        <v>300000</v>
      </c>
      <c r="T1392" s="322">
        <v>200000</v>
      </c>
      <c r="U1392" s="322">
        <f t="shared" si="107"/>
        <v>100000</v>
      </c>
      <c r="W1392" s="321">
        <f t="shared" si="108"/>
        <v>750</v>
      </c>
      <c r="X1392" s="321">
        <f t="shared" si="109"/>
        <v>731000</v>
      </c>
      <c r="Y1392" s="321">
        <v>1</v>
      </c>
      <c r="AA1392" s="321" t="s">
        <v>4863</v>
      </c>
    </row>
    <row r="1393" spans="1:27">
      <c r="A1393" s="376">
        <v>102</v>
      </c>
      <c r="B1393" s="377">
        <v>841000</v>
      </c>
      <c r="C1393" s="385" t="s">
        <v>7392</v>
      </c>
      <c r="D1393" s="379">
        <v>0</v>
      </c>
      <c r="E1393" s="380">
        <v>0</v>
      </c>
      <c r="F1393" s="380">
        <v>0</v>
      </c>
      <c r="H1393" s="351">
        <f t="shared" si="110"/>
        <v>0</v>
      </c>
      <c r="I1393" s="351">
        <f t="shared" si="111"/>
        <v>0</v>
      </c>
      <c r="M1393" s="321">
        <v>1731000760</v>
      </c>
      <c r="N1393" s="321">
        <v>73</v>
      </c>
      <c r="O1393" s="321" t="s">
        <v>5371</v>
      </c>
      <c r="P1393" s="321">
        <v>3731000</v>
      </c>
      <c r="Q1393" s="322">
        <v>0</v>
      </c>
      <c r="R1393" s="322">
        <v>13400</v>
      </c>
      <c r="S1393" s="322">
        <v>20000</v>
      </c>
      <c r="T1393" s="322">
        <v>20000</v>
      </c>
      <c r="U1393" s="322">
        <f t="shared" si="107"/>
        <v>0</v>
      </c>
      <c r="W1393" s="321">
        <f t="shared" si="108"/>
        <v>760</v>
      </c>
      <c r="X1393" s="321">
        <f t="shared" si="109"/>
        <v>731000</v>
      </c>
      <c r="Y1393" s="321">
        <v>1</v>
      </c>
      <c r="AA1393" s="321" t="s">
        <v>5371</v>
      </c>
    </row>
    <row r="1394" spans="1:27">
      <c r="A1394" s="376">
        <v>410</v>
      </c>
      <c r="B1394" s="377">
        <v>841000</v>
      </c>
      <c r="C1394" s="382" t="s">
        <v>6715</v>
      </c>
      <c r="D1394" s="379">
        <v>0</v>
      </c>
      <c r="E1394" s="380">
        <v>0</v>
      </c>
      <c r="F1394" s="380">
        <v>0</v>
      </c>
      <c r="H1394" s="351">
        <f t="shared" si="110"/>
        <v>0</v>
      </c>
      <c r="I1394" s="351">
        <f t="shared" si="111"/>
        <v>0</v>
      </c>
      <c r="M1394" s="321">
        <v>1731000761</v>
      </c>
      <c r="N1394" s="321">
        <v>73</v>
      </c>
      <c r="O1394" s="321" t="s">
        <v>5566</v>
      </c>
      <c r="P1394" s="321">
        <v>3731000</v>
      </c>
      <c r="Q1394" s="322">
        <v>0</v>
      </c>
      <c r="R1394" s="322">
        <v>0</v>
      </c>
      <c r="S1394" s="322">
        <v>0</v>
      </c>
      <c r="T1394" s="322">
        <v>0</v>
      </c>
      <c r="U1394" s="322">
        <f t="shared" si="107"/>
        <v>0</v>
      </c>
      <c r="W1394" s="321">
        <f t="shared" si="108"/>
        <v>761</v>
      </c>
      <c r="X1394" s="321">
        <f t="shared" si="109"/>
        <v>731000</v>
      </c>
      <c r="Y1394" s="321">
        <v>1</v>
      </c>
      <c r="AA1394" s="321" t="s">
        <v>5566</v>
      </c>
    </row>
    <row r="1395" spans="1:27">
      <c r="A1395" s="376">
        <v>430</v>
      </c>
      <c r="B1395" s="377">
        <v>841000</v>
      </c>
      <c r="C1395" s="382" t="s">
        <v>6904</v>
      </c>
      <c r="D1395" s="379">
        <v>0</v>
      </c>
      <c r="E1395" s="380">
        <v>0</v>
      </c>
      <c r="F1395" s="380">
        <v>0</v>
      </c>
      <c r="H1395" s="351">
        <f t="shared" si="110"/>
        <v>0</v>
      </c>
      <c r="I1395" s="351">
        <f t="shared" si="111"/>
        <v>0</v>
      </c>
      <c r="M1395" s="321">
        <v>1732000110</v>
      </c>
      <c r="N1395" s="321">
        <v>73</v>
      </c>
      <c r="O1395" s="321" t="s">
        <v>5205</v>
      </c>
      <c r="P1395" s="321">
        <v>3732000</v>
      </c>
      <c r="Q1395" s="322">
        <v>954000</v>
      </c>
      <c r="R1395" s="322">
        <v>549900</v>
      </c>
      <c r="S1395" s="322">
        <v>1070000</v>
      </c>
      <c r="T1395" s="322">
        <v>420000</v>
      </c>
      <c r="U1395" s="322">
        <f t="shared" si="107"/>
        <v>650000</v>
      </c>
      <c r="W1395" s="321">
        <f t="shared" si="108"/>
        <v>110</v>
      </c>
      <c r="X1395" s="321">
        <f t="shared" si="109"/>
        <v>732000</v>
      </c>
      <c r="Y1395" s="321">
        <v>1</v>
      </c>
      <c r="AA1395" s="321" t="s">
        <v>5205</v>
      </c>
    </row>
    <row r="1396" spans="1:27">
      <c r="A1396" s="376">
        <v>470</v>
      </c>
      <c r="B1396" s="377">
        <v>841000</v>
      </c>
      <c r="C1396" s="382" t="s">
        <v>6769</v>
      </c>
      <c r="D1396" s="379">
        <v>0</v>
      </c>
      <c r="E1396" s="380">
        <v>0</v>
      </c>
      <c r="F1396" s="380">
        <v>0</v>
      </c>
      <c r="H1396" s="351">
        <f t="shared" si="110"/>
        <v>0</v>
      </c>
      <c r="I1396" s="351">
        <f t="shared" si="111"/>
        <v>0</v>
      </c>
      <c r="M1396" s="321">
        <v>1732000120</v>
      </c>
      <c r="N1396" s="321">
        <v>73</v>
      </c>
      <c r="O1396" s="321" t="s">
        <v>5206</v>
      </c>
      <c r="P1396" s="321">
        <v>3732000</v>
      </c>
      <c r="Q1396" s="322">
        <v>231000</v>
      </c>
      <c r="R1396" s="322">
        <v>23900</v>
      </c>
      <c r="S1396" s="322">
        <v>102000</v>
      </c>
      <c r="T1396" s="322">
        <v>102000</v>
      </c>
      <c r="U1396" s="322">
        <f t="shared" si="107"/>
        <v>0</v>
      </c>
      <c r="W1396" s="321">
        <f t="shared" si="108"/>
        <v>120</v>
      </c>
      <c r="X1396" s="321">
        <f t="shared" si="109"/>
        <v>732000</v>
      </c>
      <c r="Y1396" s="321">
        <v>1</v>
      </c>
      <c r="AA1396" s="321" t="s">
        <v>5206</v>
      </c>
    </row>
    <row r="1397" spans="1:27">
      <c r="A1397" s="376">
        <v>521</v>
      </c>
      <c r="B1397" s="377">
        <v>841000</v>
      </c>
      <c r="C1397" s="382" t="s">
        <v>7393</v>
      </c>
      <c r="D1397" s="379">
        <v>0</v>
      </c>
      <c r="E1397" s="380">
        <v>0</v>
      </c>
      <c r="F1397" s="380">
        <v>0</v>
      </c>
      <c r="H1397" s="351">
        <f t="shared" si="110"/>
        <v>0</v>
      </c>
      <c r="I1397" s="351">
        <f t="shared" si="111"/>
        <v>0</v>
      </c>
      <c r="M1397" s="321">
        <v>1732000130</v>
      </c>
      <c r="N1397" s="321">
        <v>73</v>
      </c>
      <c r="O1397" s="321" t="s">
        <v>2576</v>
      </c>
      <c r="P1397" s="321">
        <v>3732000</v>
      </c>
      <c r="Q1397" s="322">
        <v>48000</v>
      </c>
      <c r="R1397" s="322">
        <v>55800</v>
      </c>
      <c r="S1397" s="322">
        <v>86000</v>
      </c>
      <c r="T1397" s="322">
        <v>77400</v>
      </c>
      <c r="U1397" s="322">
        <f t="shared" si="107"/>
        <v>8600</v>
      </c>
      <c r="W1397" s="321">
        <f t="shared" si="108"/>
        <v>130</v>
      </c>
      <c r="X1397" s="321">
        <f t="shared" si="109"/>
        <v>732000</v>
      </c>
      <c r="Y1397" s="321">
        <v>1</v>
      </c>
      <c r="AA1397" s="321" t="s">
        <v>2576</v>
      </c>
    </row>
    <row r="1398" spans="1:27">
      <c r="A1398" s="376">
        <v>540</v>
      </c>
      <c r="B1398" s="377">
        <v>841000</v>
      </c>
      <c r="C1398" s="382" t="s">
        <v>6752</v>
      </c>
      <c r="D1398" s="379">
        <v>0</v>
      </c>
      <c r="E1398" s="380">
        <v>0</v>
      </c>
      <c r="F1398" s="380">
        <v>0</v>
      </c>
      <c r="H1398" s="351">
        <f t="shared" si="110"/>
        <v>0</v>
      </c>
      <c r="I1398" s="351">
        <f t="shared" si="111"/>
        <v>0</v>
      </c>
      <c r="M1398" s="321">
        <v>1732000140</v>
      </c>
      <c r="N1398" s="321">
        <v>73</v>
      </c>
      <c r="O1398" s="321" t="s">
        <v>5207</v>
      </c>
      <c r="P1398" s="321">
        <v>3732000</v>
      </c>
      <c r="Q1398" s="322">
        <v>256000</v>
      </c>
      <c r="R1398" s="322">
        <v>128700</v>
      </c>
      <c r="S1398" s="322">
        <v>260000</v>
      </c>
      <c r="T1398" s="322">
        <v>260000</v>
      </c>
      <c r="U1398" s="322">
        <f t="shared" si="107"/>
        <v>0</v>
      </c>
      <c r="W1398" s="321">
        <f t="shared" si="108"/>
        <v>140</v>
      </c>
      <c r="X1398" s="321">
        <f t="shared" si="109"/>
        <v>732000</v>
      </c>
      <c r="Y1398" s="321">
        <v>1</v>
      </c>
      <c r="AA1398" s="321" t="s">
        <v>5207</v>
      </c>
    </row>
    <row r="1399" spans="1:27">
      <c r="A1399" s="376">
        <v>550</v>
      </c>
      <c r="B1399" s="377">
        <v>841000</v>
      </c>
      <c r="C1399" s="382" t="s">
        <v>6737</v>
      </c>
      <c r="D1399" s="379">
        <v>0</v>
      </c>
      <c r="E1399" s="380">
        <v>0</v>
      </c>
      <c r="F1399" s="380">
        <v>0</v>
      </c>
      <c r="H1399" s="351">
        <f t="shared" si="110"/>
        <v>0</v>
      </c>
      <c r="I1399" s="351">
        <f t="shared" si="111"/>
        <v>0</v>
      </c>
      <c r="M1399" s="321">
        <v>1732000141</v>
      </c>
      <c r="N1399" s="321">
        <v>73</v>
      </c>
      <c r="O1399" s="321" t="s">
        <v>5208</v>
      </c>
      <c r="P1399" s="321">
        <v>3732000</v>
      </c>
      <c r="Q1399" s="322">
        <v>53000</v>
      </c>
      <c r="R1399" s="322">
        <v>39600</v>
      </c>
      <c r="S1399" s="322">
        <v>71000</v>
      </c>
      <c r="T1399" s="322">
        <v>71000</v>
      </c>
      <c r="U1399" s="322">
        <f t="shared" si="107"/>
        <v>0</v>
      </c>
      <c r="W1399" s="321">
        <f t="shared" si="108"/>
        <v>141</v>
      </c>
      <c r="X1399" s="321">
        <f t="shared" si="109"/>
        <v>732000</v>
      </c>
      <c r="Y1399" s="321">
        <v>1</v>
      </c>
      <c r="AA1399" s="321" t="s">
        <v>5208</v>
      </c>
    </row>
    <row r="1400" spans="1:27">
      <c r="A1400" s="376">
        <v>570</v>
      </c>
      <c r="B1400" s="377">
        <v>841000</v>
      </c>
      <c r="C1400" s="382" t="s">
        <v>6739</v>
      </c>
      <c r="D1400" s="379">
        <v>0</v>
      </c>
      <c r="E1400" s="380">
        <v>0</v>
      </c>
      <c r="F1400" s="380">
        <v>0</v>
      </c>
      <c r="H1400" s="351">
        <f t="shared" si="110"/>
        <v>0</v>
      </c>
      <c r="I1400" s="351">
        <f t="shared" si="111"/>
        <v>0</v>
      </c>
      <c r="M1400" s="321">
        <v>1732000181</v>
      </c>
      <c r="N1400" s="321">
        <v>73</v>
      </c>
      <c r="O1400" s="321" t="s">
        <v>2580</v>
      </c>
      <c r="P1400" s="321">
        <v>3732000</v>
      </c>
      <c r="Q1400" s="322">
        <v>249000</v>
      </c>
      <c r="R1400" s="322">
        <v>147600</v>
      </c>
      <c r="S1400" s="322">
        <v>282000</v>
      </c>
      <c r="T1400" s="322">
        <v>282000</v>
      </c>
      <c r="U1400" s="322">
        <f t="shared" si="107"/>
        <v>0</v>
      </c>
      <c r="W1400" s="321">
        <f t="shared" si="108"/>
        <v>181</v>
      </c>
      <c r="X1400" s="321">
        <f t="shared" si="109"/>
        <v>732000</v>
      </c>
      <c r="Y1400" s="321">
        <v>1</v>
      </c>
      <c r="AA1400" s="321" t="s">
        <v>2580</v>
      </c>
    </row>
    <row r="1401" spans="1:27">
      <c r="A1401" s="376">
        <v>751</v>
      </c>
      <c r="B1401" s="377">
        <v>841000</v>
      </c>
      <c r="C1401" s="382" t="s">
        <v>6804</v>
      </c>
      <c r="D1401" s="379">
        <v>0</v>
      </c>
      <c r="E1401" s="380">
        <v>0</v>
      </c>
      <c r="F1401" s="380">
        <v>0</v>
      </c>
      <c r="H1401" s="351">
        <f t="shared" si="110"/>
        <v>0</v>
      </c>
      <c r="I1401" s="351">
        <f t="shared" si="111"/>
        <v>0</v>
      </c>
      <c r="M1401" s="321">
        <v>1732000182</v>
      </c>
      <c r="N1401" s="321">
        <v>73</v>
      </c>
      <c r="O1401" s="321" t="s">
        <v>2582</v>
      </c>
      <c r="P1401" s="321">
        <v>3732000</v>
      </c>
      <c r="Q1401" s="322">
        <v>206000</v>
      </c>
      <c r="R1401" s="322">
        <v>106900</v>
      </c>
      <c r="S1401" s="322">
        <v>215000</v>
      </c>
      <c r="T1401" s="322">
        <v>215000</v>
      </c>
      <c r="U1401" s="322">
        <f t="shared" si="107"/>
        <v>0</v>
      </c>
      <c r="W1401" s="321">
        <f t="shared" si="108"/>
        <v>182</v>
      </c>
      <c r="X1401" s="321">
        <f t="shared" si="109"/>
        <v>732000</v>
      </c>
      <c r="Y1401" s="321">
        <v>1</v>
      </c>
      <c r="AA1401" s="321" t="s">
        <v>2582</v>
      </c>
    </row>
    <row r="1402" spans="1:27">
      <c r="A1402" s="376">
        <v>752</v>
      </c>
      <c r="B1402" s="377">
        <v>841000</v>
      </c>
      <c r="C1402" s="382" t="s">
        <v>7394</v>
      </c>
      <c r="D1402" s="379">
        <v>0</v>
      </c>
      <c r="E1402" s="380">
        <v>0</v>
      </c>
      <c r="F1402" s="380">
        <v>0</v>
      </c>
      <c r="H1402" s="351">
        <f t="shared" si="110"/>
        <v>0</v>
      </c>
      <c r="I1402" s="351">
        <f t="shared" si="111"/>
        <v>0</v>
      </c>
      <c r="M1402" s="321">
        <v>1732000470</v>
      </c>
      <c r="N1402" s="321">
        <v>73</v>
      </c>
      <c r="O1402" s="321" t="s">
        <v>2660</v>
      </c>
      <c r="P1402" s="321">
        <v>3732000</v>
      </c>
      <c r="Q1402" s="322">
        <v>18000</v>
      </c>
      <c r="R1402" s="322">
        <v>13200</v>
      </c>
      <c r="S1402" s="322">
        <v>20000</v>
      </c>
      <c r="T1402" s="322">
        <v>20000</v>
      </c>
      <c r="U1402" s="322">
        <f t="shared" si="107"/>
        <v>0</v>
      </c>
      <c r="W1402" s="321">
        <f t="shared" si="108"/>
        <v>470</v>
      </c>
      <c r="X1402" s="321">
        <f t="shared" si="109"/>
        <v>732000</v>
      </c>
      <c r="Y1402" s="321">
        <v>1</v>
      </c>
      <c r="AA1402" s="321" t="s">
        <v>2660</v>
      </c>
    </row>
    <row r="1403" spans="1:27">
      <c r="A1403" s="376">
        <v>755</v>
      </c>
      <c r="B1403" s="377">
        <v>841000</v>
      </c>
      <c r="C1403" s="382" t="s">
        <v>7395</v>
      </c>
      <c r="D1403" s="379">
        <v>0</v>
      </c>
      <c r="E1403" s="380">
        <v>0</v>
      </c>
      <c r="F1403" s="380">
        <v>0</v>
      </c>
      <c r="H1403" s="351">
        <f t="shared" si="110"/>
        <v>0</v>
      </c>
      <c r="I1403" s="351">
        <f t="shared" si="111"/>
        <v>0</v>
      </c>
      <c r="M1403" s="321">
        <v>1732000530</v>
      </c>
      <c r="N1403" s="321">
        <v>73</v>
      </c>
      <c r="O1403" s="321" t="s">
        <v>5567</v>
      </c>
      <c r="P1403" s="321">
        <v>3732000</v>
      </c>
      <c r="Q1403" s="322">
        <v>45000</v>
      </c>
      <c r="R1403" s="322">
        <v>27900</v>
      </c>
      <c r="S1403" s="322">
        <v>45000</v>
      </c>
      <c r="T1403" s="322">
        <v>45000</v>
      </c>
      <c r="U1403" s="322">
        <f t="shared" si="107"/>
        <v>0</v>
      </c>
      <c r="W1403" s="321">
        <f t="shared" si="108"/>
        <v>530</v>
      </c>
      <c r="X1403" s="321">
        <f t="shared" si="109"/>
        <v>732000</v>
      </c>
      <c r="Y1403" s="321">
        <v>1</v>
      </c>
      <c r="AA1403" s="321" t="s">
        <v>5567</v>
      </c>
    </row>
    <row r="1404" spans="1:27">
      <c r="A1404" s="376">
        <v>780</v>
      </c>
      <c r="B1404" s="377">
        <v>841000</v>
      </c>
      <c r="C1404" s="419" t="s">
        <v>7396</v>
      </c>
      <c r="D1404" s="379">
        <v>0</v>
      </c>
      <c r="E1404" s="380">
        <v>0</v>
      </c>
      <c r="F1404" s="380">
        <v>0</v>
      </c>
      <c r="H1404" s="351">
        <f t="shared" si="110"/>
        <v>0</v>
      </c>
      <c r="I1404" s="351">
        <f t="shared" si="111"/>
        <v>0</v>
      </c>
      <c r="M1404" s="321">
        <v>1732000540</v>
      </c>
      <c r="N1404" s="321">
        <v>73</v>
      </c>
      <c r="O1404" s="321" t="s">
        <v>5568</v>
      </c>
      <c r="P1404" s="321">
        <v>3732000</v>
      </c>
      <c r="Q1404" s="322">
        <v>1000</v>
      </c>
      <c r="R1404" s="322">
        <v>300</v>
      </c>
      <c r="S1404" s="322">
        <v>1000</v>
      </c>
      <c r="T1404" s="322">
        <v>1000</v>
      </c>
      <c r="U1404" s="322">
        <f t="shared" si="107"/>
        <v>0</v>
      </c>
      <c r="W1404" s="321">
        <f t="shared" si="108"/>
        <v>540</v>
      </c>
      <c r="X1404" s="321">
        <f t="shared" si="109"/>
        <v>732000</v>
      </c>
      <c r="Y1404" s="321">
        <v>1</v>
      </c>
      <c r="AA1404" s="321" t="s">
        <v>5568</v>
      </c>
    </row>
    <row r="1405" spans="1:27">
      <c r="A1405" s="376">
        <v>820</v>
      </c>
      <c r="B1405" s="377">
        <v>841000</v>
      </c>
      <c r="C1405" s="419" t="s">
        <v>7397</v>
      </c>
      <c r="D1405" s="379">
        <v>0</v>
      </c>
      <c r="E1405" s="380">
        <v>0</v>
      </c>
      <c r="F1405" s="380">
        <v>0</v>
      </c>
      <c r="H1405" s="351">
        <f t="shared" si="110"/>
        <v>0</v>
      </c>
      <c r="I1405" s="351">
        <f t="shared" si="111"/>
        <v>0</v>
      </c>
      <c r="M1405" s="321">
        <v>1732000580</v>
      </c>
      <c r="N1405" s="321">
        <v>73</v>
      </c>
      <c r="O1405" s="321" t="s">
        <v>5569</v>
      </c>
      <c r="P1405" s="321">
        <v>3732000</v>
      </c>
      <c r="Q1405" s="322">
        <v>40000</v>
      </c>
      <c r="R1405" s="322">
        <v>24600</v>
      </c>
      <c r="S1405" s="322">
        <v>40000</v>
      </c>
      <c r="T1405" s="322">
        <v>40000</v>
      </c>
      <c r="U1405" s="322">
        <f t="shared" si="107"/>
        <v>0</v>
      </c>
      <c r="W1405" s="321">
        <f t="shared" si="108"/>
        <v>580</v>
      </c>
      <c r="X1405" s="321">
        <f t="shared" si="109"/>
        <v>732000</v>
      </c>
      <c r="Y1405" s="321">
        <v>1</v>
      </c>
      <c r="AA1405" s="321" t="s">
        <v>5569</v>
      </c>
    </row>
    <row r="1406" spans="1:27">
      <c r="A1406" s="376">
        <v>100</v>
      </c>
      <c r="B1406" s="377">
        <v>841001</v>
      </c>
      <c r="C1406" s="419" t="s">
        <v>6506</v>
      </c>
      <c r="D1406" s="379">
        <v>11517</v>
      </c>
      <c r="E1406" s="380">
        <v>11019</v>
      </c>
      <c r="F1406" s="380">
        <v>11018</v>
      </c>
      <c r="H1406" s="351">
        <f t="shared" si="110"/>
        <v>11517000</v>
      </c>
      <c r="I1406" s="351">
        <f t="shared" si="111"/>
        <v>11018000</v>
      </c>
      <c r="M1406" s="321">
        <v>1732000920</v>
      </c>
      <c r="N1406" s="321">
        <v>73</v>
      </c>
      <c r="O1406" s="321" t="s">
        <v>5570</v>
      </c>
      <c r="P1406" s="321">
        <v>3732000</v>
      </c>
      <c r="Q1406" s="322">
        <v>1500000</v>
      </c>
      <c r="R1406" s="322">
        <v>992200</v>
      </c>
      <c r="S1406" s="322">
        <v>1500000</v>
      </c>
      <c r="T1406" s="322">
        <v>1400000</v>
      </c>
      <c r="U1406" s="322">
        <f t="shared" si="107"/>
        <v>100000</v>
      </c>
      <c r="W1406" s="321">
        <f t="shared" si="108"/>
        <v>920</v>
      </c>
      <c r="X1406" s="321">
        <f t="shared" si="109"/>
        <v>732000</v>
      </c>
      <c r="Y1406" s="321">
        <v>1</v>
      </c>
      <c r="AA1406" s="321" t="s">
        <v>5570</v>
      </c>
    </row>
    <row r="1407" spans="1:27">
      <c r="A1407" s="376">
        <v>102</v>
      </c>
      <c r="B1407" s="377">
        <v>841001</v>
      </c>
      <c r="C1407" s="419" t="s">
        <v>7398</v>
      </c>
      <c r="D1407" s="379">
        <v>179</v>
      </c>
      <c r="E1407" s="380">
        <v>176</v>
      </c>
      <c r="F1407" s="380">
        <v>176</v>
      </c>
      <c r="H1407" s="351">
        <f t="shared" si="110"/>
        <v>179000</v>
      </c>
      <c r="I1407" s="351">
        <f t="shared" si="111"/>
        <v>176000</v>
      </c>
      <c r="M1407" s="321">
        <v>1732101110</v>
      </c>
      <c r="N1407" s="321">
        <v>73</v>
      </c>
      <c r="O1407" s="321" t="s">
        <v>5205</v>
      </c>
      <c r="P1407" s="321">
        <v>3732101</v>
      </c>
      <c r="Q1407" s="322">
        <v>366000</v>
      </c>
      <c r="R1407" s="322">
        <v>297500</v>
      </c>
      <c r="S1407" s="322">
        <v>408000</v>
      </c>
      <c r="T1407" s="322">
        <v>408000</v>
      </c>
      <c r="U1407" s="322">
        <f t="shared" si="107"/>
        <v>0</v>
      </c>
      <c r="W1407" s="321">
        <f t="shared" si="108"/>
        <v>110</v>
      </c>
      <c r="X1407" s="321">
        <f t="shared" si="109"/>
        <v>732101</v>
      </c>
      <c r="Y1407" s="321">
        <v>1</v>
      </c>
      <c r="AA1407" s="321" t="s">
        <v>5205</v>
      </c>
    </row>
    <row r="1408" spans="1:27">
      <c r="A1408" s="376">
        <v>410</v>
      </c>
      <c r="B1408" s="377">
        <v>841004</v>
      </c>
      <c r="C1408" s="419" t="s">
        <v>7399</v>
      </c>
      <c r="D1408" s="379">
        <v>520</v>
      </c>
      <c r="E1408" s="380">
        <v>495</v>
      </c>
      <c r="F1408" s="380">
        <v>495</v>
      </c>
      <c r="H1408" s="351">
        <f t="shared" si="110"/>
        <v>520000</v>
      </c>
      <c r="I1408" s="351">
        <f t="shared" si="111"/>
        <v>495000</v>
      </c>
      <c r="M1408" s="321">
        <v>1732101120</v>
      </c>
      <c r="N1408" s="321">
        <v>73</v>
      </c>
      <c r="O1408" s="321" t="s">
        <v>5206</v>
      </c>
      <c r="P1408" s="321">
        <v>3732101</v>
      </c>
      <c r="Q1408" s="322">
        <v>25000</v>
      </c>
      <c r="R1408" s="322">
        <v>25900</v>
      </c>
      <c r="S1408" s="322">
        <v>27000</v>
      </c>
      <c r="T1408" s="322">
        <v>27000</v>
      </c>
      <c r="U1408" s="322">
        <f t="shared" si="107"/>
        <v>0</v>
      </c>
      <c r="W1408" s="321">
        <f t="shared" si="108"/>
        <v>120</v>
      </c>
      <c r="X1408" s="321">
        <f t="shared" si="109"/>
        <v>732101</v>
      </c>
      <c r="Y1408" s="321">
        <v>1</v>
      </c>
      <c r="AA1408" s="321" t="s">
        <v>5206</v>
      </c>
    </row>
    <row r="1409" spans="1:27">
      <c r="A1409" s="376">
        <v>430</v>
      </c>
      <c r="B1409" s="377">
        <v>841004</v>
      </c>
      <c r="C1409" s="419" t="s">
        <v>6904</v>
      </c>
      <c r="D1409" s="379">
        <v>87</v>
      </c>
      <c r="E1409" s="380">
        <v>87</v>
      </c>
      <c r="F1409" s="380">
        <v>87</v>
      </c>
      <c r="H1409" s="351">
        <f t="shared" si="110"/>
        <v>87000</v>
      </c>
      <c r="I1409" s="351">
        <f t="shared" si="111"/>
        <v>87000</v>
      </c>
      <c r="M1409" s="321">
        <v>1732101130</v>
      </c>
      <c r="N1409" s="321">
        <v>73</v>
      </c>
      <c r="O1409" s="321" t="s">
        <v>2576</v>
      </c>
      <c r="P1409" s="321">
        <v>3732101</v>
      </c>
      <c r="Q1409" s="322">
        <v>37000</v>
      </c>
      <c r="R1409" s="322">
        <v>32400</v>
      </c>
      <c r="S1409" s="322">
        <v>42000</v>
      </c>
      <c r="T1409" s="322">
        <v>37800</v>
      </c>
      <c r="U1409" s="322">
        <f t="shared" si="107"/>
        <v>4200</v>
      </c>
      <c r="W1409" s="321">
        <f t="shared" si="108"/>
        <v>130</v>
      </c>
      <c r="X1409" s="321">
        <f t="shared" si="109"/>
        <v>732101</v>
      </c>
      <c r="Y1409" s="321">
        <v>1</v>
      </c>
      <c r="AA1409" s="321" t="s">
        <v>2576</v>
      </c>
    </row>
    <row r="1410" spans="1:27">
      <c r="A1410" s="376">
        <v>470</v>
      </c>
      <c r="B1410" s="377">
        <v>841004</v>
      </c>
      <c r="C1410" s="419" t="s">
        <v>6769</v>
      </c>
      <c r="D1410" s="379">
        <v>50</v>
      </c>
      <c r="E1410" s="380">
        <v>60</v>
      </c>
      <c r="F1410" s="380">
        <v>60</v>
      </c>
      <c r="H1410" s="351">
        <f t="shared" si="110"/>
        <v>50000</v>
      </c>
      <c r="I1410" s="351">
        <f t="shared" si="111"/>
        <v>60000</v>
      </c>
      <c r="M1410" s="321">
        <v>1732101140</v>
      </c>
      <c r="N1410" s="321">
        <v>73</v>
      </c>
      <c r="O1410" s="321" t="s">
        <v>5207</v>
      </c>
      <c r="P1410" s="321">
        <v>3732101</v>
      </c>
      <c r="Q1410" s="322">
        <v>68000</v>
      </c>
      <c r="R1410" s="322">
        <v>62300</v>
      </c>
      <c r="S1410" s="322">
        <v>78000</v>
      </c>
      <c r="T1410" s="322">
        <v>78000</v>
      </c>
      <c r="U1410" s="322">
        <f t="shared" ref="U1410:U1473" si="112">S1410-T1410</f>
        <v>0</v>
      </c>
      <c r="W1410" s="321">
        <f t="shared" si="108"/>
        <v>140</v>
      </c>
      <c r="X1410" s="321">
        <f t="shared" si="109"/>
        <v>732101</v>
      </c>
      <c r="Y1410" s="321">
        <v>1</v>
      </c>
      <c r="AA1410" s="321" t="s">
        <v>5207</v>
      </c>
    </row>
    <row r="1411" spans="1:27">
      <c r="A1411" s="376">
        <v>521</v>
      </c>
      <c r="B1411" s="377">
        <v>841004</v>
      </c>
      <c r="C1411" s="419" t="s">
        <v>7393</v>
      </c>
      <c r="D1411" s="379">
        <v>61</v>
      </c>
      <c r="E1411" s="380">
        <v>69</v>
      </c>
      <c r="F1411" s="380">
        <v>61</v>
      </c>
      <c r="H1411" s="351">
        <f t="shared" si="110"/>
        <v>61000</v>
      </c>
      <c r="I1411" s="351">
        <f t="shared" si="111"/>
        <v>61000</v>
      </c>
      <c r="M1411" s="321">
        <v>1732101141</v>
      </c>
      <c r="N1411" s="321">
        <v>73</v>
      </c>
      <c r="O1411" s="321" t="s">
        <v>5208</v>
      </c>
      <c r="P1411" s="321">
        <v>3732101</v>
      </c>
      <c r="Q1411" s="322">
        <v>26000</v>
      </c>
      <c r="R1411" s="322">
        <v>23000</v>
      </c>
      <c r="S1411" s="322">
        <v>33000</v>
      </c>
      <c r="T1411" s="322">
        <v>33000</v>
      </c>
      <c r="U1411" s="322">
        <f t="shared" si="112"/>
        <v>0</v>
      </c>
      <c r="W1411" s="321">
        <f t="shared" ref="W1411:W1474" si="113">M1411-1000000000-X1411*1000</f>
        <v>141</v>
      </c>
      <c r="X1411" s="321">
        <f t="shared" ref="X1411:X1474" si="114">ROUNDDOWN((M1411-1000000000)/1000,0)</f>
        <v>732101</v>
      </c>
      <c r="Y1411" s="321">
        <v>1</v>
      </c>
      <c r="AA1411" s="321" t="s">
        <v>5208</v>
      </c>
    </row>
    <row r="1412" spans="1:27">
      <c r="A1412" s="376">
        <v>540</v>
      </c>
      <c r="B1412" s="377">
        <v>841004</v>
      </c>
      <c r="C1412" s="419" t="s">
        <v>6752</v>
      </c>
      <c r="D1412" s="379">
        <v>45</v>
      </c>
      <c r="E1412" s="380">
        <v>45</v>
      </c>
      <c r="F1412" s="380">
        <v>39</v>
      </c>
      <c r="H1412" s="351">
        <f t="shared" si="110"/>
        <v>45000</v>
      </c>
      <c r="I1412" s="351">
        <f t="shared" si="111"/>
        <v>39000</v>
      </c>
      <c r="M1412" s="321">
        <v>1732101181</v>
      </c>
      <c r="N1412" s="321">
        <v>73</v>
      </c>
      <c r="O1412" s="321" t="s">
        <v>2580</v>
      </c>
      <c r="P1412" s="321">
        <v>3732101</v>
      </c>
      <c r="Q1412" s="322">
        <v>87000</v>
      </c>
      <c r="R1412" s="322">
        <v>73900</v>
      </c>
      <c r="S1412" s="322">
        <v>98000</v>
      </c>
      <c r="T1412" s="322">
        <v>98000</v>
      </c>
      <c r="U1412" s="322">
        <f t="shared" si="112"/>
        <v>0</v>
      </c>
      <c r="W1412" s="321">
        <f t="shared" si="113"/>
        <v>181</v>
      </c>
      <c r="X1412" s="321">
        <f t="shared" si="114"/>
        <v>732101</v>
      </c>
      <c r="Y1412" s="321">
        <v>1</v>
      </c>
      <c r="AA1412" s="321" t="s">
        <v>2580</v>
      </c>
    </row>
    <row r="1413" spans="1:27">
      <c r="A1413" s="376">
        <v>550</v>
      </c>
      <c r="B1413" s="377">
        <v>841004</v>
      </c>
      <c r="C1413" s="419" t="s">
        <v>6737</v>
      </c>
      <c r="D1413" s="379">
        <v>10</v>
      </c>
      <c r="E1413" s="380">
        <v>10</v>
      </c>
      <c r="F1413" s="380">
        <v>10</v>
      </c>
      <c r="H1413" s="351">
        <f t="shared" si="110"/>
        <v>10000</v>
      </c>
      <c r="I1413" s="351">
        <f t="shared" si="111"/>
        <v>10000</v>
      </c>
      <c r="M1413" s="321">
        <v>1732101182</v>
      </c>
      <c r="N1413" s="321">
        <v>73</v>
      </c>
      <c r="O1413" s="321" t="s">
        <v>2582</v>
      </c>
      <c r="P1413" s="321">
        <v>3732101</v>
      </c>
      <c r="Q1413" s="322">
        <v>71000</v>
      </c>
      <c r="R1413" s="322">
        <v>58800</v>
      </c>
      <c r="S1413" s="322">
        <v>81000</v>
      </c>
      <c r="T1413" s="322">
        <v>81000</v>
      </c>
      <c r="U1413" s="322">
        <f t="shared" si="112"/>
        <v>0</v>
      </c>
      <c r="W1413" s="321">
        <f t="shared" si="113"/>
        <v>182</v>
      </c>
      <c r="X1413" s="321">
        <f t="shared" si="114"/>
        <v>732101</v>
      </c>
      <c r="Y1413" s="321">
        <v>1</v>
      </c>
      <c r="AA1413" s="321" t="s">
        <v>2582</v>
      </c>
    </row>
    <row r="1414" spans="1:27">
      <c r="A1414" s="376">
        <v>570</v>
      </c>
      <c r="B1414" s="377">
        <v>841004</v>
      </c>
      <c r="C1414" s="419" t="s">
        <v>6739</v>
      </c>
      <c r="D1414" s="379">
        <v>73</v>
      </c>
      <c r="E1414" s="380">
        <v>71</v>
      </c>
      <c r="F1414" s="380">
        <v>71</v>
      </c>
      <c r="H1414" s="351">
        <f t="shared" si="110"/>
        <v>73000</v>
      </c>
      <c r="I1414" s="351">
        <f t="shared" si="111"/>
        <v>71000</v>
      </c>
      <c r="M1414" s="321">
        <v>1732101470</v>
      </c>
      <c r="N1414" s="321">
        <v>73</v>
      </c>
      <c r="O1414" s="321" t="s">
        <v>2660</v>
      </c>
      <c r="P1414" s="321">
        <v>3732101</v>
      </c>
      <c r="Q1414" s="322">
        <v>3000</v>
      </c>
      <c r="R1414" s="322">
        <v>1700</v>
      </c>
      <c r="S1414" s="322">
        <v>4000</v>
      </c>
      <c r="T1414" s="322">
        <v>4000</v>
      </c>
      <c r="U1414" s="322">
        <f t="shared" si="112"/>
        <v>0</v>
      </c>
      <c r="W1414" s="321">
        <f t="shared" si="113"/>
        <v>470</v>
      </c>
      <c r="X1414" s="321">
        <f t="shared" si="114"/>
        <v>732101</v>
      </c>
      <c r="Y1414" s="321">
        <v>1</v>
      </c>
      <c r="AA1414" s="321" t="s">
        <v>2660</v>
      </c>
    </row>
    <row r="1415" spans="1:27">
      <c r="A1415" s="376">
        <v>751</v>
      </c>
      <c r="B1415" s="377">
        <v>841004</v>
      </c>
      <c r="C1415" s="419" t="s">
        <v>7400</v>
      </c>
      <c r="D1415" s="379">
        <v>150</v>
      </c>
      <c r="E1415" s="380">
        <v>147</v>
      </c>
      <c r="F1415" s="380">
        <v>147</v>
      </c>
      <c r="H1415" s="351">
        <f t="shared" si="110"/>
        <v>150000</v>
      </c>
      <c r="I1415" s="351">
        <f t="shared" si="111"/>
        <v>147000</v>
      </c>
      <c r="M1415" s="321">
        <v>1732101540</v>
      </c>
      <c r="N1415" s="321">
        <v>73</v>
      </c>
      <c r="O1415" s="321" t="s">
        <v>5568</v>
      </c>
      <c r="P1415" s="321">
        <v>3732101</v>
      </c>
      <c r="Q1415" s="322">
        <v>1000</v>
      </c>
      <c r="R1415" s="322">
        <v>700</v>
      </c>
      <c r="S1415" s="322">
        <v>1500</v>
      </c>
      <c r="T1415" s="322">
        <v>1500</v>
      </c>
      <c r="U1415" s="322">
        <f t="shared" si="112"/>
        <v>0</v>
      </c>
      <c r="W1415" s="321">
        <f t="shared" si="113"/>
        <v>540</v>
      </c>
      <c r="X1415" s="321">
        <f t="shared" si="114"/>
        <v>732101</v>
      </c>
      <c r="Y1415" s="321">
        <v>1</v>
      </c>
      <c r="AA1415" s="321" t="s">
        <v>5568</v>
      </c>
    </row>
    <row r="1416" spans="1:27">
      <c r="A1416" s="376">
        <v>752</v>
      </c>
      <c r="B1416" s="377">
        <v>841004</v>
      </c>
      <c r="C1416" s="419" t="s">
        <v>7394</v>
      </c>
      <c r="D1416" s="379">
        <v>45</v>
      </c>
      <c r="E1416" s="380">
        <v>48</v>
      </c>
      <c r="F1416" s="380">
        <v>48</v>
      </c>
      <c r="H1416" s="351">
        <f t="shared" si="110"/>
        <v>45000</v>
      </c>
      <c r="I1416" s="351">
        <f t="shared" si="111"/>
        <v>48000</v>
      </c>
      <c r="M1416" s="321">
        <v>1732102110</v>
      </c>
      <c r="N1416" s="321">
        <v>73</v>
      </c>
      <c r="O1416" s="321" t="s">
        <v>5205</v>
      </c>
      <c r="P1416" s="321">
        <v>3732102</v>
      </c>
      <c r="Q1416" s="322">
        <v>168000</v>
      </c>
      <c r="R1416" s="322">
        <v>121800</v>
      </c>
      <c r="S1416" s="322">
        <v>168000</v>
      </c>
      <c r="T1416" s="322">
        <v>168000</v>
      </c>
      <c r="U1416" s="322">
        <f t="shared" si="112"/>
        <v>0</v>
      </c>
      <c r="W1416" s="321">
        <f t="shared" si="113"/>
        <v>110</v>
      </c>
      <c r="X1416" s="321">
        <f t="shared" si="114"/>
        <v>732102</v>
      </c>
      <c r="Y1416" s="321">
        <v>1</v>
      </c>
      <c r="AA1416" s="321" t="s">
        <v>5205</v>
      </c>
    </row>
    <row r="1417" spans="1:27">
      <c r="A1417" s="376">
        <v>755</v>
      </c>
      <c r="B1417" s="377">
        <v>841004</v>
      </c>
      <c r="C1417" s="419" t="s">
        <v>7401</v>
      </c>
      <c r="D1417" s="379">
        <v>0</v>
      </c>
      <c r="E1417" s="380">
        <v>85</v>
      </c>
      <c r="F1417" s="380">
        <v>98</v>
      </c>
      <c r="H1417" s="351">
        <f t="shared" si="110"/>
        <v>0</v>
      </c>
      <c r="I1417" s="351">
        <f t="shared" si="111"/>
        <v>98000</v>
      </c>
      <c r="M1417" s="321">
        <v>1732102120</v>
      </c>
      <c r="N1417" s="321">
        <v>73</v>
      </c>
      <c r="O1417" s="321" t="s">
        <v>5210</v>
      </c>
      <c r="P1417" s="321">
        <v>3732102</v>
      </c>
      <c r="Q1417" s="322">
        <v>44000</v>
      </c>
      <c r="R1417" s="322">
        <v>36100</v>
      </c>
      <c r="S1417" s="322">
        <v>45000</v>
      </c>
      <c r="T1417" s="322">
        <v>45000</v>
      </c>
      <c r="U1417" s="322">
        <f t="shared" si="112"/>
        <v>0</v>
      </c>
      <c r="W1417" s="321">
        <f t="shared" si="113"/>
        <v>120</v>
      </c>
      <c r="X1417" s="321">
        <f t="shared" si="114"/>
        <v>732102</v>
      </c>
      <c r="Y1417" s="321">
        <v>1</v>
      </c>
      <c r="AA1417" s="321" t="s">
        <v>5210</v>
      </c>
    </row>
    <row r="1418" spans="1:27">
      <c r="A1418" s="376">
        <v>780</v>
      </c>
      <c r="B1418" s="377">
        <v>841004</v>
      </c>
      <c r="C1418" s="419" t="s">
        <v>2709</v>
      </c>
      <c r="D1418" s="379">
        <v>130</v>
      </c>
      <c r="E1418" s="380">
        <v>130</v>
      </c>
      <c r="F1418" s="380">
        <v>130</v>
      </c>
      <c r="H1418" s="351">
        <f t="shared" si="110"/>
        <v>130000</v>
      </c>
      <c r="I1418" s="351">
        <f t="shared" si="111"/>
        <v>130000</v>
      </c>
      <c r="M1418" s="321">
        <v>1732102130</v>
      </c>
      <c r="N1418" s="321">
        <v>73</v>
      </c>
      <c r="O1418" s="321" t="s">
        <v>2576</v>
      </c>
      <c r="P1418" s="321">
        <v>3732102</v>
      </c>
      <c r="Q1418" s="322">
        <v>19000</v>
      </c>
      <c r="R1418" s="322">
        <v>14700</v>
      </c>
      <c r="S1418" s="322">
        <v>20000</v>
      </c>
      <c r="T1418" s="322">
        <v>18000</v>
      </c>
      <c r="U1418" s="322">
        <f t="shared" si="112"/>
        <v>2000</v>
      </c>
      <c r="W1418" s="321">
        <f t="shared" si="113"/>
        <v>130</v>
      </c>
      <c r="X1418" s="321">
        <f t="shared" si="114"/>
        <v>732102</v>
      </c>
      <c r="Y1418" s="321">
        <v>1</v>
      </c>
      <c r="AA1418" s="321" t="s">
        <v>2576</v>
      </c>
    </row>
    <row r="1419" spans="1:27">
      <c r="A1419" s="376">
        <v>781</v>
      </c>
      <c r="B1419" s="377">
        <v>841004</v>
      </c>
      <c r="C1419" s="419" t="s">
        <v>7402</v>
      </c>
      <c r="D1419" s="379">
        <v>205</v>
      </c>
      <c r="E1419" s="380">
        <v>15</v>
      </c>
      <c r="F1419" s="380">
        <v>220</v>
      </c>
      <c r="H1419" s="351">
        <f t="shared" si="110"/>
        <v>205000</v>
      </c>
      <c r="I1419" s="351">
        <f t="shared" si="111"/>
        <v>220000</v>
      </c>
      <c r="M1419" s="321">
        <v>1732102140</v>
      </c>
      <c r="N1419" s="321">
        <v>73</v>
      </c>
      <c r="O1419" s="321" t="s">
        <v>5207</v>
      </c>
      <c r="P1419" s="321">
        <v>3732102</v>
      </c>
      <c r="Q1419" s="322">
        <v>57000</v>
      </c>
      <c r="R1419" s="322">
        <v>30200</v>
      </c>
      <c r="S1419" s="322">
        <v>59000</v>
      </c>
      <c r="T1419" s="322">
        <v>59000</v>
      </c>
      <c r="U1419" s="322">
        <f t="shared" si="112"/>
        <v>0</v>
      </c>
      <c r="W1419" s="321">
        <f t="shared" si="113"/>
        <v>140</v>
      </c>
      <c r="X1419" s="321">
        <f t="shared" si="114"/>
        <v>732102</v>
      </c>
      <c r="Y1419" s="321">
        <v>1</v>
      </c>
      <c r="AA1419" s="321" t="s">
        <v>5207</v>
      </c>
    </row>
    <row r="1420" spans="1:27">
      <c r="A1420" s="376">
        <v>820</v>
      </c>
      <c r="B1420" s="377">
        <v>841004</v>
      </c>
      <c r="C1420" s="419" t="s">
        <v>7403</v>
      </c>
      <c r="D1420" s="379">
        <v>455</v>
      </c>
      <c r="E1420" s="380">
        <v>650</v>
      </c>
      <c r="F1420" s="380">
        <v>650</v>
      </c>
      <c r="H1420" s="351">
        <f t="shared" si="110"/>
        <v>455000</v>
      </c>
      <c r="I1420" s="351">
        <f t="shared" si="111"/>
        <v>650000</v>
      </c>
      <c r="M1420" s="321">
        <v>1732102141</v>
      </c>
      <c r="N1420" s="321">
        <v>73</v>
      </c>
      <c r="O1420" s="321" t="s">
        <v>5208</v>
      </c>
      <c r="P1420" s="321">
        <v>3732102</v>
      </c>
      <c r="Q1420" s="322">
        <v>5000</v>
      </c>
      <c r="R1420" s="322">
        <v>3700</v>
      </c>
      <c r="S1420" s="322">
        <v>10000</v>
      </c>
      <c r="T1420" s="322">
        <v>10000</v>
      </c>
      <c r="U1420" s="322">
        <f t="shared" si="112"/>
        <v>0</v>
      </c>
      <c r="W1420" s="321">
        <f t="shared" si="113"/>
        <v>141</v>
      </c>
      <c r="X1420" s="321">
        <f t="shared" si="114"/>
        <v>732102</v>
      </c>
      <c r="Y1420" s="321">
        <v>1</v>
      </c>
      <c r="AA1420" s="321" t="s">
        <v>5208</v>
      </c>
    </row>
    <row r="1421" spans="1:27">
      <c r="A1421" s="376">
        <v>960</v>
      </c>
      <c r="B1421" s="377">
        <v>841004</v>
      </c>
      <c r="C1421" s="419" t="s">
        <v>7404</v>
      </c>
      <c r="D1421" s="379">
        <v>180</v>
      </c>
      <c r="E1421" s="380">
        <v>0</v>
      </c>
      <c r="F1421" s="380">
        <v>0</v>
      </c>
      <c r="H1421" s="351">
        <f t="shared" si="110"/>
        <v>180000</v>
      </c>
      <c r="I1421" s="351">
        <f t="shared" si="111"/>
        <v>0</v>
      </c>
      <c r="M1421" s="321">
        <v>1732102181</v>
      </c>
      <c r="N1421" s="321">
        <v>73</v>
      </c>
      <c r="O1421" s="321" t="s">
        <v>2580</v>
      </c>
      <c r="P1421" s="321">
        <v>3732102</v>
      </c>
      <c r="Q1421" s="322">
        <v>25000</v>
      </c>
      <c r="R1421" s="322">
        <v>17900</v>
      </c>
      <c r="S1421" s="322">
        <v>25000</v>
      </c>
      <c r="T1421" s="322">
        <v>25000</v>
      </c>
      <c r="U1421" s="322">
        <f t="shared" si="112"/>
        <v>0</v>
      </c>
      <c r="W1421" s="321">
        <f t="shared" si="113"/>
        <v>181</v>
      </c>
      <c r="X1421" s="321">
        <f t="shared" si="114"/>
        <v>732102</v>
      </c>
      <c r="Y1421" s="321">
        <v>1</v>
      </c>
      <c r="AA1421" s="321" t="s">
        <v>2580</v>
      </c>
    </row>
    <row r="1422" spans="1:27">
      <c r="A1422" s="376">
        <v>310</v>
      </c>
      <c r="B1422" s="377">
        <v>841900</v>
      </c>
      <c r="C1422" s="391" t="s">
        <v>7405</v>
      </c>
      <c r="D1422" s="379">
        <v>3184</v>
      </c>
      <c r="E1422" s="380">
        <v>2850</v>
      </c>
      <c r="F1422" s="380">
        <v>2850</v>
      </c>
      <c r="H1422" s="351">
        <f t="shared" si="110"/>
        <v>3184000</v>
      </c>
      <c r="I1422" s="351">
        <f t="shared" si="111"/>
        <v>2850000</v>
      </c>
      <c r="M1422" s="321">
        <v>1732102182</v>
      </c>
      <c r="N1422" s="321">
        <v>73</v>
      </c>
      <c r="O1422" s="321" t="s">
        <v>2582</v>
      </c>
      <c r="P1422" s="321">
        <v>3732102</v>
      </c>
      <c r="Q1422" s="322">
        <v>38000</v>
      </c>
      <c r="R1422" s="322">
        <v>26600</v>
      </c>
      <c r="S1422" s="322">
        <v>41000</v>
      </c>
      <c r="T1422" s="322">
        <v>41000</v>
      </c>
      <c r="U1422" s="322">
        <f t="shared" si="112"/>
        <v>0</v>
      </c>
      <c r="W1422" s="321">
        <f t="shared" si="113"/>
        <v>182</v>
      </c>
      <c r="X1422" s="321">
        <f t="shared" si="114"/>
        <v>732102</v>
      </c>
      <c r="Y1422" s="321">
        <v>1</v>
      </c>
      <c r="AA1422" s="321" t="s">
        <v>2582</v>
      </c>
    </row>
    <row r="1423" spans="1:27">
      <c r="A1423" s="376">
        <v>320</v>
      </c>
      <c r="B1423" s="377">
        <v>841900</v>
      </c>
      <c r="C1423" s="391" t="s">
        <v>7406</v>
      </c>
      <c r="D1423" s="379">
        <v>498</v>
      </c>
      <c r="E1423" s="380">
        <v>300</v>
      </c>
      <c r="F1423" s="380">
        <v>400</v>
      </c>
      <c r="H1423" s="351">
        <f t="shared" si="110"/>
        <v>498000</v>
      </c>
      <c r="I1423" s="351">
        <f t="shared" si="111"/>
        <v>400000</v>
      </c>
      <c r="M1423" s="321">
        <v>1732102470</v>
      </c>
      <c r="N1423" s="321">
        <v>73</v>
      </c>
      <c r="O1423" s="321" t="s">
        <v>2830</v>
      </c>
      <c r="P1423" s="321">
        <v>3732102</v>
      </c>
      <c r="Q1423" s="322">
        <v>3000</v>
      </c>
      <c r="R1423" s="322">
        <v>700</v>
      </c>
      <c r="S1423" s="322">
        <v>4000</v>
      </c>
      <c r="T1423" s="322">
        <v>4000</v>
      </c>
      <c r="U1423" s="322">
        <f t="shared" si="112"/>
        <v>0</v>
      </c>
      <c r="W1423" s="321">
        <f t="shared" si="113"/>
        <v>470</v>
      </c>
      <c r="X1423" s="321">
        <f t="shared" si="114"/>
        <v>732102</v>
      </c>
      <c r="Y1423" s="321">
        <v>1</v>
      </c>
      <c r="AA1423" s="321" t="s">
        <v>2830</v>
      </c>
    </row>
    <row r="1424" spans="1:27">
      <c r="A1424" s="376">
        <v>184</v>
      </c>
      <c r="B1424" s="377">
        <v>842200</v>
      </c>
      <c r="C1424" s="382" t="s">
        <v>7407</v>
      </c>
      <c r="D1424" s="379">
        <v>131</v>
      </c>
      <c r="E1424" s="380">
        <v>129</v>
      </c>
      <c r="F1424" s="380">
        <v>124</v>
      </c>
      <c r="H1424" s="351">
        <f t="shared" si="110"/>
        <v>131000</v>
      </c>
      <c r="I1424" s="351">
        <f t="shared" si="111"/>
        <v>124000</v>
      </c>
      <c r="M1424" s="321">
        <v>1732102540</v>
      </c>
      <c r="N1424" s="321">
        <v>73</v>
      </c>
      <c r="O1424" s="321" t="s">
        <v>5568</v>
      </c>
      <c r="P1424" s="321">
        <v>3732102</v>
      </c>
      <c r="Q1424" s="322">
        <v>2000</v>
      </c>
      <c r="R1424" s="322">
        <v>1500</v>
      </c>
      <c r="S1424" s="322">
        <v>2500</v>
      </c>
      <c r="T1424" s="322">
        <v>2500</v>
      </c>
      <c r="U1424" s="322">
        <f t="shared" si="112"/>
        <v>0</v>
      </c>
      <c r="W1424" s="321">
        <f t="shared" si="113"/>
        <v>540</v>
      </c>
      <c r="X1424" s="321">
        <f t="shared" si="114"/>
        <v>732102</v>
      </c>
      <c r="Y1424" s="321">
        <v>1</v>
      </c>
      <c r="AA1424" s="321" t="s">
        <v>5568</v>
      </c>
    </row>
    <row r="1425" spans="1:27">
      <c r="A1425" s="376">
        <v>840</v>
      </c>
      <c r="B1425" s="377">
        <v>842200</v>
      </c>
      <c r="C1425" s="382" t="s">
        <v>3842</v>
      </c>
      <c r="D1425" s="379">
        <v>0</v>
      </c>
      <c r="E1425" s="380">
        <v>0</v>
      </c>
      <c r="F1425" s="380">
        <v>0</v>
      </c>
      <c r="H1425" s="351">
        <f t="shared" si="110"/>
        <v>0</v>
      </c>
      <c r="I1425" s="351">
        <f t="shared" si="111"/>
        <v>0</v>
      </c>
      <c r="M1425" s="321">
        <v>1732102572</v>
      </c>
      <c r="N1425" s="321">
        <v>73</v>
      </c>
      <c r="O1425" s="321" t="s">
        <v>5253</v>
      </c>
      <c r="P1425" s="321">
        <v>3732102</v>
      </c>
      <c r="Q1425" s="322">
        <v>92000</v>
      </c>
      <c r="R1425" s="322">
        <v>59800</v>
      </c>
      <c r="S1425" s="322">
        <v>92000</v>
      </c>
      <c r="T1425" s="322">
        <v>92000</v>
      </c>
      <c r="U1425" s="322">
        <f t="shared" si="112"/>
        <v>0</v>
      </c>
      <c r="W1425" s="321">
        <f t="shared" si="113"/>
        <v>572</v>
      </c>
      <c r="X1425" s="321">
        <f t="shared" si="114"/>
        <v>732102</v>
      </c>
      <c r="Y1425" s="321">
        <v>1</v>
      </c>
      <c r="AA1425" s="321" t="s">
        <v>5253</v>
      </c>
    </row>
    <row r="1426" spans="1:27">
      <c r="A1426" s="376">
        <v>841</v>
      </c>
      <c r="B1426" s="377">
        <v>842200</v>
      </c>
      <c r="C1426" s="382" t="s">
        <v>7408</v>
      </c>
      <c r="D1426" s="379">
        <v>0</v>
      </c>
      <c r="E1426" s="380">
        <v>0</v>
      </c>
      <c r="F1426" s="380">
        <v>0</v>
      </c>
      <c r="H1426" s="351">
        <f t="shared" ref="H1426:H1489" si="115">D1426*1000</f>
        <v>0</v>
      </c>
      <c r="I1426" s="351">
        <f t="shared" ref="I1426:I1489" si="116">F1426*1000</f>
        <v>0</v>
      </c>
      <c r="M1426" s="321">
        <v>1733000572</v>
      </c>
      <c r="N1426" s="321">
        <v>73</v>
      </c>
      <c r="O1426" s="321" t="s">
        <v>5253</v>
      </c>
      <c r="P1426" s="321">
        <v>3733102</v>
      </c>
      <c r="Q1426" s="322">
        <v>130000</v>
      </c>
      <c r="R1426" s="322">
        <v>57300</v>
      </c>
      <c r="S1426" s="322">
        <v>130000</v>
      </c>
      <c r="T1426" s="322">
        <v>130000</v>
      </c>
      <c r="U1426" s="322">
        <f t="shared" si="112"/>
        <v>0</v>
      </c>
      <c r="W1426" s="321">
        <f t="shared" si="113"/>
        <v>572</v>
      </c>
      <c r="X1426" s="321">
        <f t="shared" si="114"/>
        <v>733000</v>
      </c>
      <c r="Y1426" s="321">
        <v>1</v>
      </c>
      <c r="AA1426" s="321" t="s">
        <v>5253</v>
      </c>
    </row>
    <row r="1427" spans="1:27">
      <c r="A1427" s="376">
        <v>840</v>
      </c>
      <c r="B1427" s="377">
        <v>842201</v>
      </c>
      <c r="C1427" s="382" t="s">
        <v>6513</v>
      </c>
      <c r="D1427" s="379">
        <v>70</v>
      </c>
      <c r="E1427" s="380">
        <v>67</v>
      </c>
      <c r="F1427" s="380">
        <v>67</v>
      </c>
      <c r="H1427" s="351">
        <f t="shared" si="115"/>
        <v>70000</v>
      </c>
      <c r="I1427" s="351">
        <f t="shared" si="116"/>
        <v>67000</v>
      </c>
      <c r="M1427" s="321">
        <v>1733101110</v>
      </c>
      <c r="N1427" s="321">
        <v>73</v>
      </c>
      <c r="O1427" s="321" t="s">
        <v>5205</v>
      </c>
      <c r="P1427" s="321">
        <v>3733101</v>
      </c>
      <c r="Q1427" s="322">
        <v>355000</v>
      </c>
      <c r="R1427" s="322">
        <v>281200</v>
      </c>
      <c r="S1427" s="322">
        <v>519000</v>
      </c>
      <c r="T1427" s="322">
        <v>519000</v>
      </c>
      <c r="U1427" s="322">
        <f t="shared" si="112"/>
        <v>0</v>
      </c>
      <c r="W1427" s="321">
        <f t="shared" si="113"/>
        <v>110</v>
      </c>
      <c r="X1427" s="321">
        <f t="shared" si="114"/>
        <v>733101</v>
      </c>
      <c r="Y1427" s="321">
        <v>1</v>
      </c>
      <c r="AA1427" s="321" t="s">
        <v>5205</v>
      </c>
    </row>
    <row r="1428" spans="1:27">
      <c r="A1428" s="376">
        <v>780</v>
      </c>
      <c r="B1428" s="377">
        <v>842202</v>
      </c>
      <c r="C1428" s="382" t="s">
        <v>7409</v>
      </c>
      <c r="D1428" s="379">
        <v>200</v>
      </c>
      <c r="E1428" s="380">
        <v>160</v>
      </c>
      <c r="F1428" s="380">
        <v>160</v>
      </c>
      <c r="H1428" s="351">
        <f t="shared" si="115"/>
        <v>200000</v>
      </c>
      <c r="I1428" s="351">
        <f t="shared" si="116"/>
        <v>160000</v>
      </c>
      <c r="M1428" s="321">
        <v>1733101120</v>
      </c>
      <c r="N1428" s="321">
        <v>73</v>
      </c>
      <c r="O1428" s="321" t="s">
        <v>5206</v>
      </c>
      <c r="P1428" s="321">
        <v>3733101</v>
      </c>
      <c r="Q1428" s="322">
        <v>160000</v>
      </c>
      <c r="R1428" s="322">
        <v>109800</v>
      </c>
      <c r="S1428" s="322">
        <v>46000</v>
      </c>
      <c r="T1428" s="322">
        <v>46000</v>
      </c>
      <c r="U1428" s="322">
        <f t="shared" si="112"/>
        <v>0</v>
      </c>
      <c r="W1428" s="321">
        <f t="shared" si="113"/>
        <v>120</v>
      </c>
      <c r="X1428" s="321">
        <f t="shared" si="114"/>
        <v>733101</v>
      </c>
      <c r="Y1428" s="321">
        <v>1</v>
      </c>
      <c r="AA1428" s="321" t="s">
        <v>5206</v>
      </c>
    </row>
    <row r="1429" spans="1:27">
      <c r="A1429" s="376">
        <v>840</v>
      </c>
      <c r="B1429" s="377">
        <v>842202</v>
      </c>
      <c r="C1429" s="382" t="s">
        <v>6516</v>
      </c>
      <c r="D1429" s="379">
        <v>150</v>
      </c>
      <c r="E1429" s="380">
        <v>370</v>
      </c>
      <c r="F1429" s="380">
        <v>400</v>
      </c>
      <c r="H1429" s="351">
        <f t="shared" si="115"/>
        <v>150000</v>
      </c>
      <c r="I1429" s="351">
        <f t="shared" si="116"/>
        <v>400000</v>
      </c>
      <c r="M1429" s="321">
        <v>1733101130</v>
      </c>
      <c r="N1429" s="321">
        <v>73</v>
      </c>
      <c r="O1429" s="321" t="s">
        <v>2576</v>
      </c>
      <c r="P1429" s="321">
        <v>3733101</v>
      </c>
      <c r="Q1429" s="322">
        <v>19000</v>
      </c>
      <c r="R1429" s="322">
        <v>1700</v>
      </c>
      <c r="S1429" s="322">
        <v>8000</v>
      </c>
      <c r="T1429" s="322">
        <v>7200</v>
      </c>
      <c r="U1429" s="322">
        <f t="shared" si="112"/>
        <v>800</v>
      </c>
      <c r="W1429" s="321">
        <f t="shared" si="113"/>
        <v>130</v>
      </c>
      <c r="X1429" s="321">
        <f t="shared" si="114"/>
        <v>733101</v>
      </c>
      <c r="Y1429" s="321">
        <v>1</v>
      </c>
      <c r="AA1429" s="321" t="s">
        <v>2576</v>
      </c>
    </row>
    <row r="1430" spans="1:27">
      <c r="A1430" s="376">
        <v>841</v>
      </c>
      <c r="B1430" s="377">
        <v>842202</v>
      </c>
      <c r="C1430" s="382" t="s">
        <v>7410</v>
      </c>
      <c r="D1430" s="379">
        <v>220</v>
      </c>
      <c r="E1430" s="380">
        <v>0</v>
      </c>
      <c r="F1430" s="380">
        <v>0</v>
      </c>
      <c r="H1430" s="351">
        <f t="shared" si="115"/>
        <v>220000</v>
      </c>
      <c r="I1430" s="351">
        <f t="shared" si="116"/>
        <v>0</v>
      </c>
      <c r="M1430" s="321">
        <v>1733101140</v>
      </c>
      <c r="N1430" s="321">
        <v>73</v>
      </c>
      <c r="O1430" s="321" t="s">
        <v>5207</v>
      </c>
      <c r="P1430" s="321">
        <v>3733101</v>
      </c>
      <c r="Q1430" s="322">
        <v>154000</v>
      </c>
      <c r="R1430" s="322">
        <v>92400</v>
      </c>
      <c r="S1430" s="322">
        <v>150000</v>
      </c>
      <c r="T1430" s="322">
        <v>150000</v>
      </c>
      <c r="U1430" s="322">
        <f t="shared" si="112"/>
        <v>0</v>
      </c>
      <c r="W1430" s="321">
        <f t="shared" si="113"/>
        <v>140</v>
      </c>
      <c r="X1430" s="321">
        <f t="shared" si="114"/>
        <v>733101</v>
      </c>
      <c r="Y1430" s="321">
        <v>1</v>
      </c>
      <c r="AA1430" s="321" t="s">
        <v>5207</v>
      </c>
    </row>
    <row r="1431" spans="1:27">
      <c r="A1431" s="376">
        <v>840</v>
      </c>
      <c r="B1431" s="377">
        <v>842203</v>
      </c>
      <c r="C1431" s="382" t="s">
        <v>6517</v>
      </c>
      <c r="D1431" s="379">
        <v>0</v>
      </c>
      <c r="E1431" s="380">
        <v>0</v>
      </c>
      <c r="F1431" s="380">
        <v>0</v>
      </c>
      <c r="H1431" s="351">
        <f t="shared" si="115"/>
        <v>0</v>
      </c>
      <c r="I1431" s="351">
        <f t="shared" si="116"/>
        <v>0</v>
      </c>
      <c r="M1431" s="321">
        <v>1733101141</v>
      </c>
      <c r="N1431" s="321">
        <v>73</v>
      </c>
      <c r="O1431" s="321" t="s">
        <v>5208</v>
      </c>
      <c r="P1431" s="321">
        <v>3733101</v>
      </c>
      <c r="Q1431" s="322">
        <v>15000</v>
      </c>
      <c r="R1431" s="322">
        <v>10800</v>
      </c>
      <c r="S1431" s="322">
        <v>26000</v>
      </c>
      <c r="T1431" s="322">
        <v>26000</v>
      </c>
      <c r="U1431" s="322">
        <f t="shared" si="112"/>
        <v>0</v>
      </c>
      <c r="W1431" s="321">
        <f t="shared" si="113"/>
        <v>141</v>
      </c>
      <c r="X1431" s="321">
        <f t="shared" si="114"/>
        <v>733101</v>
      </c>
      <c r="Y1431" s="321">
        <v>1</v>
      </c>
      <c r="AA1431" s="321" t="s">
        <v>5208</v>
      </c>
    </row>
    <row r="1432" spans="1:27">
      <c r="A1432" s="376">
        <v>840</v>
      </c>
      <c r="B1432" s="377">
        <v>842204</v>
      </c>
      <c r="C1432" s="382" t="s">
        <v>6518</v>
      </c>
      <c r="D1432" s="379">
        <v>155</v>
      </c>
      <c r="E1432" s="380">
        <v>350</v>
      </c>
      <c r="F1432" s="380">
        <v>350</v>
      </c>
      <c r="H1432" s="351">
        <f t="shared" si="115"/>
        <v>155000</v>
      </c>
      <c r="I1432" s="351">
        <f t="shared" si="116"/>
        <v>350000</v>
      </c>
      <c r="M1432" s="321">
        <v>1733101181</v>
      </c>
      <c r="N1432" s="321">
        <v>73</v>
      </c>
      <c r="O1432" s="321" t="s">
        <v>2580</v>
      </c>
      <c r="P1432" s="321">
        <v>3733101</v>
      </c>
      <c r="Q1432" s="322">
        <v>63000</v>
      </c>
      <c r="R1432" s="322">
        <v>48500</v>
      </c>
      <c r="S1432" s="322">
        <v>68000</v>
      </c>
      <c r="T1432" s="322">
        <v>68000</v>
      </c>
      <c r="U1432" s="322">
        <f t="shared" si="112"/>
        <v>0</v>
      </c>
      <c r="W1432" s="321">
        <f t="shared" si="113"/>
        <v>181</v>
      </c>
      <c r="X1432" s="321">
        <f t="shared" si="114"/>
        <v>733101</v>
      </c>
      <c r="Y1432" s="321">
        <v>1</v>
      </c>
      <c r="AA1432" s="321" t="s">
        <v>2580</v>
      </c>
    </row>
    <row r="1433" spans="1:27">
      <c r="A1433" s="376">
        <v>841</v>
      </c>
      <c r="B1433" s="377">
        <v>842204</v>
      </c>
      <c r="C1433" s="382" t="s">
        <v>7411</v>
      </c>
      <c r="D1433" s="379">
        <v>195</v>
      </c>
      <c r="E1433" s="380">
        <v>0</v>
      </c>
      <c r="F1433" s="380">
        <v>0</v>
      </c>
      <c r="H1433" s="351">
        <f t="shared" si="115"/>
        <v>195000</v>
      </c>
      <c r="I1433" s="351">
        <f t="shared" si="116"/>
        <v>0</v>
      </c>
      <c r="M1433" s="321">
        <v>1733101182</v>
      </c>
      <c r="N1433" s="321">
        <v>73</v>
      </c>
      <c r="O1433" s="321" t="s">
        <v>2582</v>
      </c>
      <c r="P1433" s="321">
        <v>3733101</v>
      </c>
      <c r="Q1433" s="322">
        <v>94000</v>
      </c>
      <c r="R1433" s="322">
        <v>65000</v>
      </c>
      <c r="S1433" s="322">
        <v>104000</v>
      </c>
      <c r="T1433" s="322">
        <v>104000</v>
      </c>
      <c r="U1433" s="322">
        <f t="shared" si="112"/>
        <v>0</v>
      </c>
      <c r="W1433" s="321">
        <f t="shared" si="113"/>
        <v>182</v>
      </c>
      <c r="X1433" s="321">
        <f t="shared" si="114"/>
        <v>733101</v>
      </c>
      <c r="Y1433" s="321">
        <v>1</v>
      </c>
      <c r="AA1433" s="321" t="s">
        <v>2582</v>
      </c>
    </row>
    <row r="1434" spans="1:27">
      <c r="A1434" s="376">
        <v>840</v>
      </c>
      <c r="B1434" s="377">
        <v>842205</v>
      </c>
      <c r="C1434" s="382" t="s">
        <v>6519</v>
      </c>
      <c r="D1434" s="379">
        <v>6</v>
      </c>
      <c r="E1434" s="380">
        <v>6</v>
      </c>
      <c r="F1434" s="380">
        <v>6</v>
      </c>
      <c r="H1434" s="351">
        <f t="shared" si="115"/>
        <v>6000</v>
      </c>
      <c r="I1434" s="351">
        <f t="shared" si="116"/>
        <v>6000</v>
      </c>
      <c r="M1434" s="321">
        <v>1733101470</v>
      </c>
      <c r="N1434" s="321">
        <v>73</v>
      </c>
      <c r="O1434" s="321" t="s">
        <v>2660</v>
      </c>
      <c r="P1434" s="321">
        <v>3733101</v>
      </c>
      <c r="Q1434" s="322">
        <v>3000</v>
      </c>
      <c r="R1434" s="322">
        <v>2800</v>
      </c>
      <c r="S1434" s="322">
        <v>4000</v>
      </c>
      <c r="T1434" s="322">
        <v>4000</v>
      </c>
      <c r="U1434" s="322">
        <f t="shared" si="112"/>
        <v>0</v>
      </c>
      <c r="W1434" s="321">
        <f t="shared" si="113"/>
        <v>470</v>
      </c>
      <c r="X1434" s="321">
        <f t="shared" si="114"/>
        <v>733101</v>
      </c>
      <c r="Y1434" s="321">
        <v>1</v>
      </c>
      <c r="AA1434" s="321" t="s">
        <v>2660</v>
      </c>
    </row>
    <row r="1435" spans="1:27">
      <c r="A1435" s="376">
        <v>840</v>
      </c>
      <c r="B1435" s="377">
        <v>842206</v>
      </c>
      <c r="C1435" s="382" t="s">
        <v>6520</v>
      </c>
      <c r="D1435" s="379">
        <v>156</v>
      </c>
      <c r="E1435" s="380">
        <v>96</v>
      </c>
      <c r="F1435" s="380">
        <v>96</v>
      </c>
      <c r="H1435" s="351">
        <f t="shared" si="115"/>
        <v>156000</v>
      </c>
      <c r="I1435" s="351">
        <f t="shared" si="116"/>
        <v>96000</v>
      </c>
      <c r="M1435" s="321">
        <v>1733101540</v>
      </c>
      <c r="N1435" s="321">
        <v>73</v>
      </c>
      <c r="O1435" s="321" t="s">
        <v>5568</v>
      </c>
      <c r="P1435" s="321">
        <v>3733101</v>
      </c>
      <c r="Q1435" s="322">
        <v>1000</v>
      </c>
      <c r="R1435" s="322">
        <v>600</v>
      </c>
      <c r="S1435" s="322">
        <v>1000</v>
      </c>
      <c r="T1435" s="322">
        <v>1000</v>
      </c>
      <c r="U1435" s="322">
        <f t="shared" si="112"/>
        <v>0</v>
      </c>
      <c r="W1435" s="321">
        <f t="shared" si="113"/>
        <v>540</v>
      </c>
      <c r="X1435" s="321">
        <f t="shared" si="114"/>
        <v>733101</v>
      </c>
      <c r="Y1435" s="321">
        <v>1</v>
      </c>
      <c r="AA1435" s="321" t="s">
        <v>5568</v>
      </c>
    </row>
    <row r="1436" spans="1:27">
      <c r="A1436" s="376">
        <v>184</v>
      </c>
      <c r="B1436" s="377">
        <v>842400</v>
      </c>
      <c r="C1436" s="382" t="s">
        <v>7412</v>
      </c>
      <c r="D1436" s="379">
        <v>0</v>
      </c>
      <c r="E1436" s="380">
        <v>0</v>
      </c>
      <c r="F1436" s="380">
        <v>0</v>
      </c>
      <c r="H1436" s="351">
        <f t="shared" si="115"/>
        <v>0</v>
      </c>
      <c r="I1436" s="351">
        <f t="shared" si="116"/>
        <v>0</v>
      </c>
      <c r="M1436" s="321">
        <v>1733102110</v>
      </c>
      <c r="N1436" s="321">
        <v>73</v>
      </c>
      <c r="O1436" s="321" t="s">
        <v>5205</v>
      </c>
      <c r="P1436" s="321">
        <v>3733102</v>
      </c>
      <c r="Q1436" s="322">
        <v>1397000</v>
      </c>
      <c r="R1436" s="322">
        <v>838000</v>
      </c>
      <c r="S1436" s="322">
        <v>1200000</v>
      </c>
      <c r="T1436" s="322">
        <v>1104000</v>
      </c>
      <c r="U1436" s="322">
        <f t="shared" si="112"/>
        <v>96000</v>
      </c>
      <c r="W1436" s="321">
        <f t="shared" si="113"/>
        <v>110</v>
      </c>
      <c r="X1436" s="321">
        <f t="shared" si="114"/>
        <v>733102</v>
      </c>
      <c r="Y1436" s="321">
        <v>1</v>
      </c>
      <c r="AA1436" s="321" t="s">
        <v>5205</v>
      </c>
    </row>
    <row r="1437" spans="1:27">
      <c r="A1437" s="376">
        <v>780</v>
      </c>
      <c r="B1437" s="377">
        <v>842400</v>
      </c>
      <c r="C1437" s="382" t="s">
        <v>7413</v>
      </c>
      <c r="D1437" s="379">
        <v>0</v>
      </c>
      <c r="E1437" s="380">
        <v>0</v>
      </c>
      <c r="F1437" s="380">
        <v>0</v>
      </c>
      <c r="H1437" s="351">
        <f t="shared" si="115"/>
        <v>0</v>
      </c>
      <c r="I1437" s="351">
        <f t="shared" si="116"/>
        <v>0</v>
      </c>
      <c r="M1437" s="321">
        <v>1733102120</v>
      </c>
      <c r="N1437" s="321">
        <v>73</v>
      </c>
      <c r="O1437" s="321" t="s">
        <v>5206</v>
      </c>
      <c r="P1437" s="321">
        <v>3733102</v>
      </c>
      <c r="Q1437" s="322">
        <v>246000</v>
      </c>
      <c r="R1437" s="322">
        <v>171600</v>
      </c>
      <c r="S1437" s="322">
        <v>206000</v>
      </c>
      <c r="T1437" s="322">
        <v>206000</v>
      </c>
      <c r="U1437" s="322">
        <f t="shared" si="112"/>
        <v>0</v>
      </c>
      <c r="W1437" s="321">
        <f t="shared" si="113"/>
        <v>120</v>
      </c>
      <c r="X1437" s="321">
        <f t="shared" si="114"/>
        <v>733102</v>
      </c>
      <c r="Y1437" s="321">
        <v>1</v>
      </c>
      <c r="AA1437" s="321" t="s">
        <v>5206</v>
      </c>
    </row>
    <row r="1438" spans="1:27">
      <c r="A1438" s="376">
        <v>840</v>
      </c>
      <c r="B1438" s="377">
        <v>842400</v>
      </c>
      <c r="C1438" s="382" t="s">
        <v>7414</v>
      </c>
      <c r="D1438" s="379">
        <v>0</v>
      </c>
      <c r="E1438" s="380">
        <v>0</v>
      </c>
      <c r="F1438" s="380">
        <v>0</v>
      </c>
      <c r="H1438" s="351">
        <f t="shared" si="115"/>
        <v>0</v>
      </c>
      <c r="I1438" s="351">
        <f t="shared" si="116"/>
        <v>0</v>
      </c>
      <c r="M1438" s="321">
        <v>1733102130</v>
      </c>
      <c r="N1438" s="321">
        <v>73</v>
      </c>
      <c r="O1438" s="321" t="s">
        <v>2576</v>
      </c>
      <c r="P1438" s="321">
        <v>3733102</v>
      </c>
      <c r="Q1438" s="322">
        <v>114000</v>
      </c>
      <c r="R1438" s="322">
        <v>58800</v>
      </c>
      <c r="S1438" s="322">
        <v>79000</v>
      </c>
      <c r="T1438" s="322">
        <v>71100</v>
      </c>
      <c r="U1438" s="322">
        <f t="shared" si="112"/>
        <v>7900</v>
      </c>
      <c r="W1438" s="321">
        <f t="shared" si="113"/>
        <v>130</v>
      </c>
      <c r="X1438" s="321">
        <f t="shared" si="114"/>
        <v>733102</v>
      </c>
      <c r="Y1438" s="321">
        <v>1</v>
      </c>
      <c r="AA1438" s="321" t="s">
        <v>2576</v>
      </c>
    </row>
    <row r="1439" spans="1:27">
      <c r="A1439" s="376">
        <v>104</v>
      </c>
      <c r="B1439" s="377">
        <v>842401</v>
      </c>
      <c r="C1439" s="382" t="s">
        <v>7415</v>
      </c>
      <c r="D1439" s="379">
        <v>581</v>
      </c>
      <c r="E1439" s="380">
        <v>570</v>
      </c>
      <c r="F1439" s="380">
        <v>570</v>
      </c>
      <c r="H1439" s="351">
        <f t="shared" si="115"/>
        <v>581000</v>
      </c>
      <c r="I1439" s="351">
        <f t="shared" si="116"/>
        <v>570000</v>
      </c>
      <c r="M1439" s="321">
        <v>1733102140</v>
      </c>
      <c r="N1439" s="321">
        <v>73</v>
      </c>
      <c r="O1439" s="321" t="s">
        <v>5207</v>
      </c>
      <c r="P1439" s="321">
        <v>3733102</v>
      </c>
      <c r="Q1439" s="322">
        <v>371000</v>
      </c>
      <c r="R1439" s="322">
        <v>183100</v>
      </c>
      <c r="S1439" s="322">
        <v>331000</v>
      </c>
      <c r="T1439" s="322">
        <v>331000</v>
      </c>
      <c r="U1439" s="322">
        <f t="shared" si="112"/>
        <v>0</v>
      </c>
      <c r="W1439" s="321">
        <f t="shared" si="113"/>
        <v>140</v>
      </c>
      <c r="X1439" s="321">
        <f t="shared" si="114"/>
        <v>733102</v>
      </c>
      <c r="Y1439" s="321">
        <v>1</v>
      </c>
      <c r="AA1439" s="321" t="s">
        <v>5207</v>
      </c>
    </row>
    <row r="1440" spans="1:27">
      <c r="A1440" s="376">
        <v>184</v>
      </c>
      <c r="B1440" s="377">
        <v>842401</v>
      </c>
      <c r="C1440" s="382" t="s">
        <v>7416</v>
      </c>
      <c r="D1440" s="379">
        <v>51</v>
      </c>
      <c r="E1440" s="380">
        <v>50</v>
      </c>
      <c r="F1440" s="380">
        <v>39</v>
      </c>
      <c r="H1440" s="351">
        <f t="shared" si="115"/>
        <v>51000</v>
      </c>
      <c r="I1440" s="351">
        <f t="shared" si="116"/>
        <v>39000</v>
      </c>
      <c r="M1440" s="321">
        <v>1733102141</v>
      </c>
      <c r="N1440" s="321">
        <v>73</v>
      </c>
      <c r="O1440" s="321" t="s">
        <v>5208</v>
      </c>
      <c r="P1440" s="321">
        <v>3733102</v>
      </c>
      <c r="Q1440" s="322">
        <v>84000</v>
      </c>
      <c r="R1440" s="322">
        <v>56700</v>
      </c>
      <c r="S1440" s="322">
        <v>80000</v>
      </c>
      <c r="T1440" s="322">
        <v>80000</v>
      </c>
      <c r="U1440" s="322">
        <f t="shared" si="112"/>
        <v>0</v>
      </c>
      <c r="W1440" s="321">
        <f t="shared" si="113"/>
        <v>141</v>
      </c>
      <c r="X1440" s="321">
        <f t="shared" si="114"/>
        <v>733102</v>
      </c>
      <c r="Y1440" s="321">
        <v>1</v>
      </c>
      <c r="AA1440" s="321" t="s">
        <v>5208</v>
      </c>
    </row>
    <row r="1441" spans="1:27">
      <c r="A1441" s="376">
        <v>780</v>
      </c>
      <c r="B1441" s="377">
        <v>842401</v>
      </c>
      <c r="C1441" s="382" t="s">
        <v>7417</v>
      </c>
      <c r="D1441" s="379">
        <v>200</v>
      </c>
      <c r="E1441" s="380">
        <v>173</v>
      </c>
      <c r="F1441" s="380">
        <v>173</v>
      </c>
      <c r="H1441" s="351">
        <f t="shared" si="115"/>
        <v>200000</v>
      </c>
      <c r="I1441" s="351">
        <f t="shared" si="116"/>
        <v>173000</v>
      </c>
      <c r="M1441" s="321">
        <v>1733102181</v>
      </c>
      <c r="N1441" s="321">
        <v>73</v>
      </c>
      <c r="O1441" s="321" t="s">
        <v>2580</v>
      </c>
      <c r="P1441" s="321">
        <v>3733102</v>
      </c>
      <c r="Q1441" s="322">
        <v>295000</v>
      </c>
      <c r="R1441" s="322">
        <v>183000</v>
      </c>
      <c r="S1441" s="322">
        <v>258000</v>
      </c>
      <c r="T1441" s="322">
        <v>258000</v>
      </c>
      <c r="U1441" s="322">
        <f t="shared" si="112"/>
        <v>0</v>
      </c>
      <c r="W1441" s="321">
        <f t="shared" si="113"/>
        <v>181</v>
      </c>
      <c r="X1441" s="321">
        <f t="shared" si="114"/>
        <v>733102</v>
      </c>
      <c r="Y1441" s="321">
        <v>1</v>
      </c>
      <c r="AA1441" s="321" t="s">
        <v>2580</v>
      </c>
    </row>
    <row r="1442" spans="1:27">
      <c r="A1442" s="376">
        <v>840</v>
      </c>
      <c r="B1442" s="377">
        <v>842401</v>
      </c>
      <c r="C1442" s="382" t="s">
        <v>7414</v>
      </c>
      <c r="D1442" s="379">
        <v>359</v>
      </c>
      <c r="E1442" s="380">
        <v>350</v>
      </c>
      <c r="F1442" s="380">
        <v>350</v>
      </c>
      <c r="H1442" s="351">
        <f t="shared" si="115"/>
        <v>359000</v>
      </c>
      <c r="I1442" s="351">
        <f t="shared" si="116"/>
        <v>350000</v>
      </c>
      <c r="M1442" s="321">
        <v>1733102182</v>
      </c>
      <c r="N1442" s="321">
        <v>73</v>
      </c>
      <c r="O1442" s="321" t="s">
        <v>2582</v>
      </c>
      <c r="P1442" s="321">
        <v>3733102</v>
      </c>
      <c r="Q1442" s="322">
        <v>292000</v>
      </c>
      <c r="R1442" s="322">
        <v>170800</v>
      </c>
      <c r="S1442" s="322">
        <v>260000</v>
      </c>
      <c r="T1442" s="322">
        <v>260000</v>
      </c>
      <c r="U1442" s="322">
        <f t="shared" si="112"/>
        <v>0</v>
      </c>
      <c r="W1442" s="321">
        <f t="shared" si="113"/>
        <v>182</v>
      </c>
      <c r="X1442" s="321">
        <f t="shared" si="114"/>
        <v>733102</v>
      </c>
      <c r="Y1442" s="321">
        <v>1</v>
      </c>
      <c r="AA1442" s="321" t="s">
        <v>2582</v>
      </c>
    </row>
    <row r="1443" spans="1:27">
      <c r="A1443" s="376">
        <v>840</v>
      </c>
      <c r="B1443" s="377">
        <v>842402</v>
      </c>
      <c r="C1443" s="382" t="s">
        <v>7418</v>
      </c>
      <c r="D1443" s="379">
        <v>96</v>
      </c>
      <c r="E1443" s="380">
        <v>46</v>
      </c>
      <c r="F1443" s="380">
        <v>46</v>
      </c>
      <c r="H1443" s="351">
        <f t="shared" si="115"/>
        <v>96000</v>
      </c>
      <c r="I1443" s="351">
        <f t="shared" si="116"/>
        <v>46000</v>
      </c>
      <c r="M1443" s="321">
        <v>1733102210</v>
      </c>
      <c r="N1443" s="321">
        <v>73</v>
      </c>
      <c r="O1443" s="321" t="s">
        <v>5549</v>
      </c>
      <c r="P1443" s="321">
        <v>3733102</v>
      </c>
      <c r="Q1443" s="322">
        <v>0</v>
      </c>
      <c r="R1443" s="322">
        <v>0</v>
      </c>
      <c r="S1443" s="322">
        <v>0</v>
      </c>
      <c r="T1443" s="322">
        <v>0</v>
      </c>
      <c r="U1443" s="322">
        <f t="shared" si="112"/>
        <v>0</v>
      </c>
      <c r="W1443" s="321">
        <f t="shared" si="113"/>
        <v>210</v>
      </c>
      <c r="X1443" s="321">
        <f t="shared" si="114"/>
        <v>733102</v>
      </c>
      <c r="Y1443" s="321">
        <v>1</v>
      </c>
      <c r="AA1443" s="321" t="s">
        <v>5549</v>
      </c>
    </row>
    <row r="1444" spans="1:27">
      <c r="A1444" s="376">
        <v>780</v>
      </c>
      <c r="B1444" s="377">
        <v>842403</v>
      </c>
      <c r="C1444" s="382" t="s">
        <v>7419</v>
      </c>
      <c r="D1444" s="379">
        <v>50</v>
      </c>
      <c r="E1444" s="380">
        <v>80</v>
      </c>
      <c r="F1444" s="380">
        <v>80</v>
      </c>
      <c r="H1444" s="351">
        <f t="shared" si="115"/>
        <v>50000</v>
      </c>
      <c r="I1444" s="351">
        <f t="shared" si="116"/>
        <v>80000</v>
      </c>
      <c r="M1444" s="321">
        <v>1733102470</v>
      </c>
      <c r="N1444" s="321">
        <v>73</v>
      </c>
      <c r="O1444" s="321" t="s">
        <v>2660</v>
      </c>
      <c r="P1444" s="321">
        <v>3733102</v>
      </c>
      <c r="Q1444" s="322">
        <v>3000</v>
      </c>
      <c r="R1444" s="322">
        <v>2200</v>
      </c>
      <c r="S1444" s="322">
        <v>4000</v>
      </c>
      <c r="T1444" s="322">
        <v>4000</v>
      </c>
      <c r="U1444" s="322">
        <f t="shared" si="112"/>
        <v>0</v>
      </c>
      <c r="W1444" s="321">
        <f t="shared" si="113"/>
        <v>470</v>
      </c>
      <c r="X1444" s="321">
        <f t="shared" si="114"/>
        <v>733102</v>
      </c>
      <c r="Y1444" s="321">
        <v>1</v>
      </c>
      <c r="AA1444" s="321" t="s">
        <v>2660</v>
      </c>
    </row>
    <row r="1445" spans="1:27">
      <c r="A1445" s="376">
        <v>780</v>
      </c>
      <c r="B1445" s="377">
        <v>843000</v>
      </c>
      <c r="C1445" s="382" t="s">
        <v>7420</v>
      </c>
      <c r="D1445" s="379">
        <v>0</v>
      </c>
      <c r="E1445" s="380">
        <v>0</v>
      </c>
      <c r="F1445" s="380">
        <v>0</v>
      </c>
      <c r="H1445" s="351">
        <f t="shared" si="115"/>
        <v>0</v>
      </c>
      <c r="I1445" s="351">
        <f t="shared" si="116"/>
        <v>0</v>
      </c>
      <c r="M1445" s="321">
        <v>1733102540</v>
      </c>
      <c r="N1445" s="321">
        <v>73</v>
      </c>
      <c r="O1445" s="321" t="s">
        <v>5568</v>
      </c>
      <c r="P1445" s="321">
        <v>3733102</v>
      </c>
      <c r="Q1445" s="322">
        <v>2500</v>
      </c>
      <c r="R1445" s="322">
        <v>1800</v>
      </c>
      <c r="S1445" s="322">
        <v>3000</v>
      </c>
      <c r="T1445" s="322">
        <v>3000</v>
      </c>
      <c r="U1445" s="322">
        <f t="shared" si="112"/>
        <v>0</v>
      </c>
      <c r="W1445" s="321">
        <f t="shared" si="113"/>
        <v>540</v>
      </c>
      <c r="X1445" s="321">
        <f t="shared" si="114"/>
        <v>733102</v>
      </c>
      <c r="Y1445" s="321">
        <v>1</v>
      </c>
      <c r="AA1445" s="321" t="s">
        <v>5568</v>
      </c>
    </row>
    <row r="1446" spans="1:27">
      <c r="A1446" s="376">
        <v>184</v>
      </c>
      <c r="B1446" s="377">
        <v>843500</v>
      </c>
      <c r="C1446" s="382" t="s">
        <v>7421</v>
      </c>
      <c r="D1446" s="379">
        <v>0</v>
      </c>
      <c r="E1446" s="380">
        <v>0</v>
      </c>
      <c r="F1446" s="380">
        <v>0</v>
      </c>
      <c r="H1446" s="351">
        <f t="shared" si="115"/>
        <v>0</v>
      </c>
      <c r="I1446" s="351">
        <f t="shared" si="116"/>
        <v>0</v>
      </c>
      <c r="M1446" s="321">
        <v>1733102761</v>
      </c>
      <c r="N1446" s="321">
        <v>73</v>
      </c>
      <c r="O1446" s="321" t="s">
        <v>5571</v>
      </c>
      <c r="P1446" s="321">
        <v>3733102</v>
      </c>
      <c r="Q1446" s="322">
        <v>0</v>
      </c>
      <c r="R1446" s="322">
        <v>0</v>
      </c>
      <c r="S1446" s="322">
        <v>0</v>
      </c>
      <c r="T1446" s="322">
        <v>0</v>
      </c>
      <c r="U1446" s="322">
        <f t="shared" si="112"/>
        <v>0</v>
      </c>
      <c r="W1446" s="321">
        <f t="shared" si="113"/>
        <v>761</v>
      </c>
      <c r="X1446" s="321">
        <f t="shared" si="114"/>
        <v>733102</v>
      </c>
      <c r="Y1446" s="321">
        <v>1</v>
      </c>
      <c r="AA1446" s="321" t="s">
        <v>5571</v>
      </c>
    </row>
    <row r="1447" spans="1:27">
      <c r="A1447" s="376">
        <v>840</v>
      </c>
      <c r="B1447" s="377">
        <v>843500</v>
      </c>
      <c r="C1447" s="382" t="s">
        <v>7422</v>
      </c>
      <c r="D1447" s="379">
        <v>0</v>
      </c>
      <c r="E1447" s="380">
        <v>0</v>
      </c>
      <c r="F1447" s="380">
        <v>0</v>
      </c>
      <c r="H1447" s="351">
        <f t="shared" si="115"/>
        <v>0</v>
      </c>
      <c r="I1447" s="351">
        <f t="shared" si="116"/>
        <v>0</v>
      </c>
      <c r="M1447" s="321">
        <v>1733200110</v>
      </c>
      <c r="N1447" s="321">
        <v>73</v>
      </c>
      <c r="O1447" s="321" t="s">
        <v>5205</v>
      </c>
      <c r="P1447" s="321">
        <v>3733200</v>
      </c>
      <c r="Q1447" s="322">
        <v>1321000</v>
      </c>
      <c r="R1447" s="322">
        <v>777800</v>
      </c>
      <c r="S1447" s="322">
        <v>1265000</v>
      </c>
      <c r="T1447" s="322">
        <v>971700</v>
      </c>
      <c r="U1447" s="322">
        <f t="shared" si="112"/>
        <v>293300</v>
      </c>
      <c r="W1447" s="321">
        <f t="shared" si="113"/>
        <v>110</v>
      </c>
      <c r="X1447" s="321">
        <f t="shared" si="114"/>
        <v>733200</v>
      </c>
      <c r="Y1447" s="321">
        <v>1</v>
      </c>
      <c r="AA1447" s="321" t="s">
        <v>5205</v>
      </c>
    </row>
    <row r="1448" spans="1:27">
      <c r="A1448" s="376">
        <v>840</v>
      </c>
      <c r="B1448" s="377">
        <v>843501</v>
      </c>
      <c r="C1448" s="382" t="s">
        <v>6527</v>
      </c>
      <c r="D1448" s="379">
        <v>159</v>
      </c>
      <c r="E1448" s="380">
        <v>159</v>
      </c>
      <c r="F1448" s="380">
        <v>159</v>
      </c>
      <c r="H1448" s="351">
        <f t="shared" si="115"/>
        <v>159000</v>
      </c>
      <c r="I1448" s="351">
        <f t="shared" si="116"/>
        <v>159000</v>
      </c>
      <c r="M1448" s="321">
        <v>1733200120</v>
      </c>
      <c r="N1448" s="321">
        <v>73</v>
      </c>
      <c r="O1448" s="321" t="s">
        <v>5206</v>
      </c>
      <c r="P1448" s="321">
        <v>3733200</v>
      </c>
      <c r="Q1448" s="322">
        <v>123000</v>
      </c>
      <c r="R1448" s="322">
        <v>122800</v>
      </c>
      <c r="S1448" s="322">
        <v>150000</v>
      </c>
      <c r="T1448" s="322">
        <v>150000</v>
      </c>
      <c r="U1448" s="322">
        <f t="shared" si="112"/>
        <v>0</v>
      </c>
      <c r="W1448" s="321">
        <f t="shared" si="113"/>
        <v>120</v>
      </c>
      <c r="X1448" s="321">
        <f t="shared" si="114"/>
        <v>733200</v>
      </c>
      <c r="Y1448" s="321">
        <v>1</v>
      </c>
      <c r="AA1448" s="321" t="s">
        <v>5206</v>
      </c>
    </row>
    <row r="1449" spans="1:27">
      <c r="A1449" s="376">
        <v>184</v>
      </c>
      <c r="B1449" s="377">
        <v>843502</v>
      </c>
      <c r="C1449" s="382" t="s">
        <v>7421</v>
      </c>
      <c r="D1449" s="379">
        <v>72</v>
      </c>
      <c r="E1449" s="380">
        <v>70</v>
      </c>
      <c r="F1449" s="380">
        <v>70</v>
      </c>
      <c r="H1449" s="351">
        <f t="shared" si="115"/>
        <v>72000</v>
      </c>
      <c r="I1449" s="351">
        <f t="shared" si="116"/>
        <v>70000</v>
      </c>
      <c r="M1449" s="321">
        <v>1733200130</v>
      </c>
      <c r="N1449" s="321">
        <v>73</v>
      </c>
      <c r="O1449" s="321" t="s">
        <v>2576</v>
      </c>
      <c r="P1449" s="321">
        <v>3733200</v>
      </c>
      <c r="Q1449" s="322">
        <v>167000</v>
      </c>
      <c r="R1449" s="322">
        <v>103700</v>
      </c>
      <c r="S1449" s="322">
        <v>154000</v>
      </c>
      <c r="T1449" s="322">
        <v>138600</v>
      </c>
      <c r="U1449" s="322">
        <f t="shared" si="112"/>
        <v>15400</v>
      </c>
      <c r="W1449" s="321">
        <f t="shared" si="113"/>
        <v>130</v>
      </c>
      <c r="X1449" s="321">
        <f t="shared" si="114"/>
        <v>733200</v>
      </c>
      <c r="Y1449" s="321">
        <v>1</v>
      </c>
      <c r="AA1449" s="321" t="s">
        <v>2576</v>
      </c>
    </row>
    <row r="1450" spans="1:27">
      <c r="A1450" s="376">
        <v>755</v>
      </c>
      <c r="B1450" s="377">
        <v>843502</v>
      </c>
      <c r="C1450" s="382" t="s">
        <v>7423</v>
      </c>
      <c r="D1450" s="379">
        <v>13</v>
      </c>
      <c r="E1450" s="380">
        <v>21</v>
      </c>
      <c r="F1450" s="380">
        <v>13</v>
      </c>
      <c r="H1450" s="351">
        <f t="shared" si="115"/>
        <v>13000</v>
      </c>
      <c r="I1450" s="351">
        <f t="shared" si="116"/>
        <v>13000</v>
      </c>
      <c r="M1450" s="321">
        <v>1733200140</v>
      </c>
      <c r="N1450" s="321">
        <v>73</v>
      </c>
      <c r="O1450" s="321" t="s">
        <v>5207</v>
      </c>
      <c r="P1450" s="321">
        <v>3733200</v>
      </c>
      <c r="Q1450" s="322">
        <v>351000</v>
      </c>
      <c r="R1450" s="322">
        <v>231400</v>
      </c>
      <c r="S1450" s="322">
        <v>360000</v>
      </c>
      <c r="T1450" s="322">
        <v>360000</v>
      </c>
      <c r="U1450" s="322">
        <f t="shared" si="112"/>
        <v>0</v>
      </c>
      <c r="W1450" s="321">
        <f t="shared" si="113"/>
        <v>140</v>
      </c>
      <c r="X1450" s="321">
        <f t="shared" si="114"/>
        <v>733200</v>
      </c>
      <c r="Y1450" s="321">
        <v>1</v>
      </c>
      <c r="AA1450" s="321" t="s">
        <v>5207</v>
      </c>
    </row>
    <row r="1451" spans="1:27">
      <c r="A1451" s="376">
        <v>840</v>
      </c>
      <c r="B1451" s="377">
        <v>843502</v>
      </c>
      <c r="C1451" s="382" t="s">
        <v>7424</v>
      </c>
      <c r="D1451" s="379">
        <v>10</v>
      </c>
      <c r="E1451" s="380">
        <v>10</v>
      </c>
      <c r="F1451" s="380">
        <v>17</v>
      </c>
      <c r="H1451" s="351">
        <f t="shared" si="115"/>
        <v>10000</v>
      </c>
      <c r="I1451" s="351">
        <f t="shared" si="116"/>
        <v>17000</v>
      </c>
      <c r="M1451" s="321">
        <v>1733200141</v>
      </c>
      <c r="N1451" s="321">
        <v>73</v>
      </c>
      <c r="O1451" s="321" t="s">
        <v>5208</v>
      </c>
      <c r="P1451" s="321">
        <v>3733200</v>
      </c>
      <c r="Q1451" s="322">
        <v>65000</v>
      </c>
      <c r="R1451" s="322">
        <v>44800</v>
      </c>
      <c r="S1451" s="322">
        <v>68000</v>
      </c>
      <c r="T1451" s="322">
        <v>68000</v>
      </c>
      <c r="U1451" s="322">
        <f t="shared" si="112"/>
        <v>0</v>
      </c>
      <c r="W1451" s="321">
        <f t="shared" si="113"/>
        <v>141</v>
      </c>
      <c r="X1451" s="321">
        <f t="shared" si="114"/>
        <v>733200</v>
      </c>
      <c r="Y1451" s="321">
        <v>1</v>
      </c>
      <c r="AA1451" s="321" t="s">
        <v>5208</v>
      </c>
    </row>
    <row r="1452" spans="1:27">
      <c r="A1452" s="376">
        <v>100</v>
      </c>
      <c r="B1452" s="377">
        <v>843503</v>
      </c>
      <c r="C1452" s="382" t="s">
        <v>7425</v>
      </c>
      <c r="D1452" s="379">
        <v>30</v>
      </c>
      <c r="E1452" s="380">
        <v>0</v>
      </c>
      <c r="F1452" s="380">
        <v>0</v>
      </c>
      <c r="H1452" s="351">
        <f t="shared" si="115"/>
        <v>30000</v>
      </c>
      <c r="I1452" s="351">
        <f t="shared" si="116"/>
        <v>0</v>
      </c>
      <c r="M1452" s="321">
        <v>1733200181</v>
      </c>
      <c r="N1452" s="321">
        <v>73</v>
      </c>
      <c r="O1452" s="321" t="s">
        <v>2580</v>
      </c>
      <c r="P1452" s="321">
        <v>3733200</v>
      </c>
      <c r="Q1452" s="322">
        <v>315000</v>
      </c>
      <c r="R1452" s="322">
        <v>208000</v>
      </c>
      <c r="S1452" s="322">
        <v>326000</v>
      </c>
      <c r="T1452" s="322">
        <v>326000</v>
      </c>
      <c r="U1452" s="322">
        <f t="shared" si="112"/>
        <v>0</v>
      </c>
      <c r="W1452" s="321">
        <f t="shared" si="113"/>
        <v>181</v>
      </c>
      <c r="X1452" s="321">
        <f t="shared" si="114"/>
        <v>733200</v>
      </c>
      <c r="Y1452" s="321">
        <v>1</v>
      </c>
      <c r="AA1452" s="321" t="s">
        <v>2580</v>
      </c>
    </row>
    <row r="1453" spans="1:27">
      <c r="A1453" s="376">
        <v>184</v>
      </c>
      <c r="B1453" s="377">
        <v>843503</v>
      </c>
      <c r="C1453" s="382" t="s">
        <v>7426</v>
      </c>
      <c r="D1453" s="379">
        <v>408</v>
      </c>
      <c r="E1453" s="380">
        <v>398</v>
      </c>
      <c r="F1453" s="380">
        <v>455</v>
      </c>
      <c r="H1453" s="351">
        <f t="shared" si="115"/>
        <v>408000</v>
      </c>
      <c r="I1453" s="351">
        <f t="shared" si="116"/>
        <v>455000</v>
      </c>
      <c r="M1453" s="321">
        <v>1733200182</v>
      </c>
      <c r="N1453" s="321">
        <v>73</v>
      </c>
      <c r="O1453" s="321" t="s">
        <v>2582</v>
      </c>
      <c r="P1453" s="321">
        <v>3733200</v>
      </c>
      <c r="Q1453" s="322">
        <v>276000</v>
      </c>
      <c r="R1453" s="322">
        <v>172500</v>
      </c>
      <c r="S1453" s="322">
        <v>279000</v>
      </c>
      <c r="T1453" s="322">
        <v>279000</v>
      </c>
      <c r="U1453" s="322">
        <f t="shared" si="112"/>
        <v>0</v>
      </c>
      <c r="W1453" s="321">
        <f t="shared" si="113"/>
        <v>182</v>
      </c>
      <c r="X1453" s="321">
        <f t="shared" si="114"/>
        <v>733200</v>
      </c>
      <c r="Y1453" s="321">
        <v>1</v>
      </c>
      <c r="AA1453" s="321" t="s">
        <v>2582</v>
      </c>
    </row>
    <row r="1454" spans="1:27">
      <c r="A1454" s="376">
        <v>710</v>
      </c>
      <c r="B1454" s="377">
        <v>843503</v>
      </c>
      <c r="C1454" s="382" t="s">
        <v>7427</v>
      </c>
      <c r="D1454" s="379">
        <v>35</v>
      </c>
      <c r="E1454" s="380">
        <v>0</v>
      </c>
      <c r="F1454" s="380">
        <v>0</v>
      </c>
      <c r="H1454" s="351">
        <f t="shared" si="115"/>
        <v>35000</v>
      </c>
      <c r="I1454" s="351">
        <f t="shared" si="116"/>
        <v>0</v>
      </c>
      <c r="M1454" s="321">
        <v>1733200210</v>
      </c>
      <c r="N1454" s="321">
        <v>73</v>
      </c>
      <c r="O1454" s="321" t="s">
        <v>5549</v>
      </c>
      <c r="P1454" s="321">
        <v>3733200</v>
      </c>
      <c r="Q1454" s="322">
        <v>0</v>
      </c>
      <c r="R1454" s="322">
        <v>0</v>
      </c>
      <c r="S1454" s="322">
        <v>0</v>
      </c>
      <c r="T1454" s="322">
        <v>0</v>
      </c>
      <c r="U1454" s="322">
        <f t="shared" si="112"/>
        <v>0</v>
      </c>
      <c r="W1454" s="321">
        <f t="shared" si="113"/>
        <v>210</v>
      </c>
      <c r="X1454" s="321">
        <f t="shared" si="114"/>
        <v>733200</v>
      </c>
      <c r="Y1454" s="321">
        <v>1</v>
      </c>
      <c r="AA1454" s="321" t="s">
        <v>5549</v>
      </c>
    </row>
    <row r="1455" spans="1:27">
      <c r="A1455" s="376">
        <v>711</v>
      </c>
      <c r="B1455" s="377">
        <v>843503</v>
      </c>
      <c r="C1455" s="382" t="s">
        <v>7428</v>
      </c>
      <c r="D1455" s="379">
        <v>110</v>
      </c>
      <c r="E1455" s="380">
        <v>0</v>
      </c>
      <c r="F1455" s="380">
        <v>0</v>
      </c>
      <c r="H1455" s="351">
        <f t="shared" si="115"/>
        <v>110000</v>
      </c>
      <c r="I1455" s="351">
        <f t="shared" si="116"/>
        <v>0</v>
      </c>
      <c r="M1455" s="321">
        <v>1733200470</v>
      </c>
      <c r="N1455" s="321">
        <v>73</v>
      </c>
      <c r="O1455" s="321" t="s">
        <v>2660</v>
      </c>
      <c r="P1455" s="321">
        <v>3733200</v>
      </c>
      <c r="Q1455" s="322">
        <v>15000</v>
      </c>
      <c r="R1455" s="322">
        <v>10200</v>
      </c>
      <c r="S1455" s="322">
        <v>15000</v>
      </c>
      <c r="T1455" s="322">
        <v>15000</v>
      </c>
      <c r="U1455" s="322">
        <f t="shared" si="112"/>
        <v>0</v>
      </c>
      <c r="W1455" s="321">
        <f t="shared" si="113"/>
        <v>470</v>
      </c>
      <c r="X1455" s="321">
        <f t="shared" si="114"/>
        <v>733200</v>
      </c>
      <c r="Y1455" s="321">
        <v>1</v>
      </c>
      <c r="AA1455" s="321" t="s">
        <v>2660</v>
      </c>
    </row>
    <row r="1456" spans="1:27">
      <c r="A1456" s="376">
        <v>755</v>
      </c>
      <c r="B1456" s="377">
        <v>843503</v>
      </c>
      <c r="C1456" s="382" t="s">
        <v>7429</v>
      </c>
      <c r="D1456" s="379">
        <v>24</v>
      </c>
      <c r="E1456" s="380">
        <v>0</v>
      </c>
      <c r="F1456" s="380">
        <v>6</v>
      </c>
      <c r="H1456" s="351">
        <f t="shared" si="115"/>
        <v>24000</v>
      </c>
      <c r="I1456" s="351">
        <f t="shared" si="116"/>
        <v>6000</v>
      </c>
      <c r="M1456" s="321">
        <v>1733200471</v>
      </c>
      <c r="N1456" s="321">
        <v>73</v>
      </c>
      <c r="O1456" s="321" t="s">
        <v>5303</v>
      </c>
      <c r="P1456" s="321">
        <v>3733200</v>
      </c>
      <c r="Q1456" s="322">
        <v>8100</v>
      </c>
      <c r="R1456" s="322">
        <v>2900</v>
      </c>
      <c r="S1456" s="322">
        <v>8700</v>
      </c>
      <c r="T1456" s="322">
        <v>8700</v>
      </c>
      <c r="U1456" s="322">
        <f t="shared" si="112"/>
        <v>0</v>
      </c>
      <c r="W1456" s="321">
        <f t="shared" si="113"/>
        <v>471</v>
      </c>
      <c r="X1456" s="321">
        <f t="shared" si="114"/>
        <v>733200</v>
      </c>
      <c r="Y1456" s="321">
        <v>1</v>
      </c>
      <c r="AA1456" s="321" t="s">
        <v>5303</v>
      </c>
    </row>
    <row r="1457" spans="1:27">
      <c r="A1457" s="376">
        <v>760</v>
      </c>
      <c r="B1457" s="377">
        <v>843503</v>
      </c>
      <c r="C1457" s="382" t="s">
        <v>7430</v>
      </c>
      <c r="D1457" s="379">
        <v>320</v>
      </c>
      <c r="E1457" s="380">
        <v>320</v>
      </c>
      <c r="F1457" s="380">
        <v>350</v>
      </c>
      <c r="H1457" s="351">
        <f t="shared" si="115"/>
        <v>320000</v>
      </c>
      <c r="I1457" s="351">
        <f t="shared" si="116"/>
        <v>350000</v>
      </c>
      <c r="M1457" s="321">
        <v>1733200540</v>
      </c>
      <c r="N1457" s="321">
        <v>73</v>
      </c>
      <c r="O1457" s="321" t="s">
        <v>5568</v>
      </c>
      <c r="P1457" s="321">
        <v>3733200</v>
      </c>
      <c r="Q1457" s="322">
        <v>2500</v>
      </c>
      <c r="R1457" s="322">
        <v>1300</v>
      </c>
      <c r="S1457" s="322">
        <v>2500</v>
      </c>
      <c r="T1457" s="322">
        <v>2500</v>
      </c>
      <c r="U1457" s="322">
        <f t="shared" si="112"/>
        <v>0</v>
      </c>
      <c r="W1457" s="321">
        <f t="shared" si="113"/>
        <v>540</v>
      </c>
      <c r="X1457" s="321">
        <f t="shared" si="114"/>
        <v>733200</v>
      </c>
      <c r="Y1457" s="321">
        <v>1</v>
      </c>
      <c r="AA1457" s="321" t="s">
        <v>5568</v>
      </c>
    </row>
    <row r="1458" spans="1:27">
      <c r="A1458" s="376">
        <v>780</v>
      </c>
      <c r="B1458" s="377">
        <v>843503</v>
      </c>
      <c r="C1458" s="382" t="s">
        <v>7431</v>
      </c>
      <c r="D1458" s="379">
        <v>500</v>
      </c>
      <c r="E1458" s="380">
        <v>617</v>
      </c>
      <c r="F1458" s="380">
        <v>500</v>
      </c>
      <c r="H1458" s="351">
        <f t="shared" si="115"/>
        <v>500000</v>
      </c>
      <c r="I1458" s="351">
        <f t="shared" si="116"/>
        <v>500000</v>
      </c>
      <c r="M1458" s="321">
        <v>1733200542</v>
      </c>
      <c r="N1458" s="321">
        <v>73</v>
      </c>
      <c r="O1458" s="321" t="s">
        <v>5564</v>
      </c>
      <c r="P1458" s="321">
        <v>3733200</v>
      </c>
      <c r="Q1458" s="322">
        <v>11300</v>
      </c>
      <c r="R1458" s="322">
        <v>7500</v>
      </c>
      <c r="S1458" s="322">
        <v>22000</v>
      </c>
      <c r="T1458" s="322">
        <v>22000</v>
      </c>
      <c r="U1458" s="322">
        <f t="shared" si="112"/>
        <v>0</v>
      </c>
      <c r="W1458" s="321">
        <f t="shared" si="113"/>
        <v>542</v>
      </c>
      <c r="X1458" s="321">
        <f t="shared" si="114"/>
        <v>733200</v>
      </c>
      <c r="Y1458" s="321">
        <v>1</v>
      </c>
      <c r="AA1458" s="321" t="s">
        <v>5564</v>
      </c>
    </row>
    <row r="1459" spans="1:27">
      <c r="A1459" s="376">
        <v>840</v>
      </c>
      <c r="B1459" s="377">
        <v>843503</v>
      </c>
      <c r="C1459" s="382" t="s">
        <v>6531</v>
      </c>
      <c r="D1459" s="379">
        <v>525</v>
      </c>
      <c r="E1459" s="380">
        <v>500</v>
      </c>
      <c r="F1459" s="380">
        <v>500</v>
      </c>
      <c r="H1459" s="351">
        <f t="shared" si="115"/>
        <v>525000</v>
      </c>
      <c r="I1459" s="351">
        <f t="shared" si="116"/>
        <v>500000</v>
      </c>
      <c r="M1459" s="321">
        <v>1733200750</v>
      </c>
      <c r="N1459" s="321">
        <v>73</v>
      </c>
      <c r="O1459" s="321" t="s">
        <v>5572</v>
      </c>
      <c r="P1459" s="321">
        <v>3733200</v>
      </c>
      <c r="Q1459" s="322">
        <v>60000</v>
      </c>
      <c r="R1459" s="322">
        <v>0</v>
      </c>
      <c r="S1459" s="322">
        <v>80000</v>
      </c>
      <c r="T1459" s="322">
        <v>80000</v>
      </c>
      <c r="U1459" s="322">
        <f t="shared" si="112"/>
        <v>0</v>
      </c>
      <c r="W1459" s="321">
        <f t="shared" si="113"/>
        <v>750</v>
      </c>
      <c r="X1459" s="321">
        <f t="shared" si="114"/>
        <v>733200</v>
      </c>
      <c r="Y1459" s="321">
        <v>1</v>
      </c>
      <c r="AA1459" s="321" t="s">
        <v>5572</v>
      </c>
    </row>
    <row r="1460" spans="1:27">
      <c r="A1460" s="376">
        <v>184</v>
      </c>
      <c r="B1460" s="377">
        <v>843504</v>
      </c>
      <c r="C1460" s="382" t="s">
        <v>7432</v>
      </c>
      <c r="D1460" s="379">
        <v>1454</v>
      </c>
      <c r="E1460" s="380">
        <v>1425</v>
      </c>
      <c r="F1460" s="380">
        <v>1425</v>
      </c>
      <c r="H1460" s="351">
        <f t="shared" si="115"/>
        <v>1454000</v>
      </c>
      <c r="I1460" s="351">
        <f t="shared" si="116"/>
        <v>1425000</v>
      </c>
      <c r="M1460" s="321">
        <v>1733200779</v>
      </c>
      <c r="N1460" s="321">
        <v>73</v>
      </c>
      <c r="O1460" s="321" t="s">
        <v>5573</v>
      </c>
      <c r="P1460" s="321">
        <v>3733200</v>
      </c>
      <c r="Q1460" s="322">
        <v>0</v>
      </c>
      <c r="R1460" s="322">
        <v>0</v>
      </c>
      <c r="S1460" s="322">
        <v>5000</v>
      </c>
      <c r="T1460" s="322">
        <v>5000</v>
      </c>
      <c r="U1460" s="322">
        <f t="shared" si="112"/>
        <v>0</v>
      </c>
      <c r="W1460" s="321">
        <f t="shared" si="113"/>
        <v>779</v>
      </c>
      <c r="X1460" s="321">
        <f t="shared" si="114"/>
        <v>733200</v>
      </c>
      <c r="Y1460" s="321">
        <v>1</v>
      </c>
      <c r="AA1460" s="321" t="s">
        <v>5573</v>
      </c>
    </row>
    <row r="1461" spans="1:27">
      <c r="A1461" s="376">
        <v>710</v>
      </c>
      <c r="B1461" s="377">
        <v>843504</v>
      </c>
      <c r="C1461" s="382" t="s">
        <v>7433</v>
      </c>
      <c r="D1461" s="379">
        <v>710</v>
      </c>
      <c r="E1461" s="380">
        <v>1100</v>
      </c>
      <c r="F1461" s="380">
        <v>1100</v>
      </c>
      <c r="H1461" s="351">
        <f t="shared" si="115"/>
        <v>710000</v>
      </c>
      <c r="I1461" s="351">
        <f t="shared" si="116"/>
        <v>1100000</v>
      </c>
      <c r="M1461" s="321">
        <v>1733300750</v>
      </c>
      <c r="N1461" s="321">
        <v>73</v>
      </c>
      <c r="O1461" s="321" t="s">
        <v>5574</v>
      </c>
      <c r="P1461" s="321">
        <v>3733200</v>
      </c>
      <c r="Q1461" s="322">
        <v>200000</v>
      </c>
      <c r="R1461" s="322">
        <v>17600</v>
      </c>
      <c r="S1461" s="322">
        <v>200000</v>
      </c>
      <c r="T1461" s="322">
        <v>100000</v>
      </c>
      <c r="U1461" s="322">
        <f t="shared" si="112"/>
        <v>100000</v>
      </c>
      <c r="W1461" s="321">
        <f t="shared" si="113"/>
        <v>750</v>
      </c>
      <c r="X1461" s="321">
        <f t="shared" si="114"/>
        <v>733300</v>
      </c>
      <c r="Y1461" s="321">
        <v>1</v>
      </c>
      <c r="AA1461" s="321" t="s">
        <v>5574</v>
      </c>
    </row>
    <row r="1462" spans="1:27">
      <c r="A1462" s="376">
        <v>840</v>
      </c>
      <c r="B1462" s="377">
        <v>843504</v>
      </c>
      <c r="C1462" s="382" t="s">
        <v>6534</v>
      </c>
      <c r="D1462" s="379">
        <v>250</v>
      </c>
      <c r="E1462" s="380">
        <v>400</v>
      </c>
      <c r="F1462" s="380">
        <v>400</v>
      </c>
      <c r="H1462" s="351">
        <f t="shared" si="115"/>
        <v>250000</v>
      </c>
      <c r="I1462" s="351">
        <f t="shared" si="116"/>
        <v>400000</v>
      </c>
      <c r="M1462" s="321">
        <v>1733400110</v>
      </c>
      <c r="N1462" s="321">
        <v>73</v>
      </c>
      <c r="O1462" s="321" t="s">
        <v>5205</v>
      </c>
      <c r="P1462" s="321">
        <v>3733400</v>
      </c>
      <c r="Q1462" s="322">
        <v>82000</v>
      </c>
      <c r="R1462" s="322">
        <v>59300</v>
      </c>
      <c r="S1462" s="322">
        <v>84000</v>
      </c>
      <c r="T1462" s="322">
        <v>84000</v>
      </c>
      <c r="U1462" s="322">
        <f t="shared" si="112"/>
        <v>0</v>
      </c>
      <c r="W1462" s="321">
        <f t="shared" si="113"/>
        <v>110</v>
      </c>
      <c r="X1462" s="321">
        <f t="shared" si="114"/>
        <v>733400</v>
      </c>
      <c r="Y1462" s="321">
        <v>1</v>
      </c>
      <c r="AA1462" s="321" t="s">
        <v>5205</v>
      </c>
    </row>
    <row r="1463" spans="1:27">
      <c r="A1463" s="376">
        <v>841</v>
      </c>
      <c r="B1463" s="377">
        <v>843504</v>
      </c>
      <c r="C1463" s="382" t="s">
        <v>7434</v>
      </c>
      <c r="D1463" s="379">
        <v>150</v>
      </c>
      <c r="E1463" s="380">
        <v>0</v>
      </c>
      <c r="F1463" s="380">
        <v>0</v>
      </c>
      <c r="H1463" s="351">
        <f t="shared" si="115"/>
        <v>150000</v>
      </c>
      <c r="I1463" s="351">
        <f t="shared" si="116"/>
        <v>0</v>
      </c>
      <c r="M1463" s="321">
        <v>1733400120</v>
      </c>
      <c r="N1463" s="321">
        <v>73</v>
      </c>
      <c r="O1463" s="321" t="s">
        <v>5206</v>
      </c>
      <c r="P1463" s="321">
        <v>3733400</v>
      </c>
      <c r="Q1463" s="322">
        <v>16000</v>
      </c>
      <c r="R1463" s="322">
        <v>16800</v>
      </c>
      <c r="S1463" s="322">
        <v>18000</v>
      </c>
      <c r="T1463" s="322">
        <v>18000</v>
      </c>
      <c r="U1463" s="322">
        <f t="shared" si="112"/>
        <v>0</v>
      </c>
      <c r="W1463" s="321">
        <f t="shared" si="113"/>
        <v>120</v>
      </c>
      <c r="X1463" s="321">
        <f t="shared" si="114"/>
        <v>733400</v>
      </c>
      <c r="Y1463" s="321">
        <v>1</v>
      </c>
      <c r="AA1463" s="321" t="s">
        <v>5206</v>
      </c>
    </row>
    <row r="1464" spans="1:27">
      <c r="A1464" s="376">
        <v>840</v>
      </c>
      <c r="B1464" s="377">
        <v>843505</v>
      </c>
      <c r="C1464" s="382" t="s">
        <v>6535</v>
      </c>
      <c r="D1464" s="379">
        <v>10</v>
      </c>
      <c r="E1464" s="380">
        <v>10</v>
      </c>
      <c r="F1464" s="380">
        <v>10</v>
      </c>
      <c r="H1464" s="351">
        <f t="shared" si="115"/>
        <v>10000</v>
      </c>
      <c r="I1464" s="351">
        <f t="shared" si="116"/>
        <v>10000</v>
      </c>
      <c r="M1464" s="321">
        <v>1733400140</v>
      </c>
      <c r="N1464" s="321">
        <v>73</v>
      </c>
      <c r="O1464" s="321" t="s">
        <v>5207</v>
      </c>
      <c r="P1464" s="321">
        <v>3733400</v>
      </c>
      <c r="Q1464" s="322">
        <v>20000</v>
      </c>
      <c r="R1464" s="322">
        <v>15700</v>
      </c>
      <c r="S1464" s="322">
        <v>21000</v>
      </c>
      <c r="T1464" s="322">
        <v>21000</v>
      </c>
      <c r="U1464" s="322">
        <f t="shared" si="112"/>
        <v>0</v>
      </c>
      <c r="W1464" s="321">
        <f t="shared" si="113"/>
        <v>140</v>
      </c>
      <c r="X1464" s="321">
        <f t="shared" si="114"/>
        <v>733400</v>
      </c>
      <c r="Y1464" s="321">
        <v>1</v>
      </c>
      <c r="AA1464" s="321" t="s">
        <v>5207</v>
      </c>
    </row>
    <row r="1465" spans="1:27">
      <c r="A1465" s="376">
        <v>840</v>
      </c>
      <c r="B1465" s="377">
        <v>843506</v>
      </c>
      <c r="C1465" s="382" t="s">
        <v>6536</v>
      </c>
      <c r="D1465" s="379">
        <v>90</v>
      </c>
      <c r="E1465" s="380">
        <v>120</v>
      </c>
      <c r="F1465" s="380">
        <v>120</v>
      </c>
      <c r="H1465" s="351">
        <f t="shared" si="115"/>
        <v>90000</v>
      </c>
      <c r="I1465" s="351">
        <f t="shared" si="116"/>
        <v>120000</v>
      </c>
      <c r="M1465" s="321">
        <v>1733400141</v>
      </c>
      <c r="N1465" s="321">
        <v>73</v>
      </c>
      <c r="O1465" s="321" t="s">
        <v>5208</v>
      </c>
      <c r="P1465" s="321">
        <v>3733400</v>
      </c>
      <c r="Q1465" s="322">
        <v>8000</v>
      </c>
      <c r="R1465" s="322">
        <v>6400</v>
      </c>
      <c r="S1465" s="322">
        <v>8000</v>
      </c>
      <c r="T1465" s="322">
        <v>8000</v>
      </c>
      <c r="U1465" s="322">
        <f t="shared" si="112"/>
        <v>0</v>
      </c>
      <c r="W1465" s="321">
        <f t="shared" si="113"/>
        <v>141</v>
      </c>
      <c r="X1465" s="321">
        <f t="shared" si="114"/>
        <v>733400</v>
      </c>
      <c r="Y1465" s="321">
        <v>1</v>
      </c>
      <c r="AA1465" s="321" t="s">
        <v>5208</v>
      </c>
    </row>
    <row r="1466" spans="1:27">
      <c r="A1466" s="376">
        <v>840</v>
      </c>
      <c r="B1466" s="377">
        <v>843507</v>
      </c>
      <c r="C1466" s="382" t="s">
        <v>6537</v>
      </c>
      <c r="D1466" s="379">
        <v>3</v>
      </c>
      <c r="E1466" s="380">
        <v>3</v>
      </c>
      <c r="F1466" s="380">
        <v>3</v>
      </c>
      <c r="H1466" s="351">
        <f t="shared" si="115"/>
        <v>3000</v>
      </c>
      <c r="I1466" s="351">
        <f t="shared" si="116"/>
        <v>3000</v>
      </c>
      <c r="M1466" s="321">
        <v>1733400181</v>
      </c>
      <c r="N1466" s="321">
        <v>73</v>
      </c>
      <c r="O1466" s="321" t="s">
        <v>2580</v>
      </c>
      <c r="P1466" s="321">
        <v>3733400</v>
      </c>
      <c r="Q1466" s="322">
        <v>25000</v>
      </c>
      <c r="R1466" s="322">
        <v>18400</v>
      </c>
      <c r="S1466" s="322">
        <v>25000</v>
      </c>
      <c r="T1466" s="322">
        <v>25000</v>
      </c>
      <c r="U1466" s="322">
        <f t="shared" si="112"/>
        <v>0</v>
      </c>
      <c r="W1466" s="321">
        <f t="shared" si="113"/>
        <v>181</v>
      </c>
      <c r="X1466" s="321">
        <f t="shared" si="114"/>
        <v>733400</v>
      </c>
      <c r="Y1466" s="321">
        <v>1</v>
      </c>
      <c r="AA1466" s="321" t="s">
        <v>2580</v>
      </c>
    </row>
    <row r="1467" spans="1:27">
      <c r="A1467" s="376">
        <v>184</v>
      </c>
      <c r="B1467" s="377">
        <v>843510</v>
      </c>
      <c r="C1467" s="382" t="s">
        <v>7435</v>
      </c>
      <c r="D1467" s="379">
        <v>0</v>
      </c>
      <c r="E1467" s="380">
        <v>0</v>
      </c>
      <c r="F1467" s="380">
        <v>0</v>
      </c>
      <c r="H1467" s="351">
        <f t="shared" si="115"/>
        <v>0</v>
      </c>
      <c r="I1467" s="351">
        <f t="shared" si="116"/>
        <v>0</v>
      </c>
      <c r="M1467" s="321">
        <v>1733400182</v>
      </c>
      <c r="N1467" s="321">
        <v>73</v>
      </c>
      <c r="O1467" s="321" t="s">
        <v>2582</v>
      </c>
      <c r="P1467" s="321">
        <v>3733400</v>
      </c>
      <c r="Q1467" s="322">
        <v>19000</v>
      </c>
      <c r="R1467" s="322">
        <v>13700</v>
      </c>
      <c r="S1467" s="322">
        <v>20000</v>
      </c>
      <c r="T1467" s="322">
        <v>20000</v>
      </c>
      <c r="U1467" s="322">
        <f t="shared" si="112"/>
        <v>0</v>
      </c>
      <c r="W1467" s="321">
        <f t="shared" si="113"/>
        <v>182</v>
      </c>
      <c r="X1467" s="321">
        <f t="shared" si="114"/>
        <v>733400</v>
      </c>
      <c r="Y1467" s="321">
        <v>1</v>
      </c>
      <c r="AA1467" s="321" t="s">
        <v>2582</v>
      </c>
    </row>
    <row r="1468" spans="1:27">
      <c r="A1468" s="376">
        <v>780</v>
      </c>
      <c r="B1468" s="377">
        <v>843510</v>
      </c>
      <c r="C1468" s="382" t="s">
        <v>7436</v>
      </c>
      <c r="D1468" s="379">
        <v>0</v>
      </c>
      <c r="E1468" s="380">
        <v>0</v>
      </c>
      <c r="F1468" s="380">
        <v>0</v>
      </c>
      <c r="H1468" s="351">
        <f t="shared" si="115"/>
        <v>0</v>
      </c>
      <c r="I1468" s="351">
        <f t="shared" si="116"/>
        <v>0</v>
      </c>
      <c r="M1468" s="321">
        <v>1733400470</v>
      </c>
      <c r="N1468" s="321">
        <v>73</v>
      </c>
      <c r="O1468" s="321" t="s">
        <v>2660</v>
      </c>
      <c r="P1468" s="321">
        <v>3733400</v>
      </c>
      <c r="Q1468" s="322">
        <v>5000</v>
      </c>
      <c r="R1468" s="322">
        <v>2300</v>
      </c>
      <c r="S1468" s="322">
        <v>5000</v>
      </c>
      <c r="T1468" s="322">
        <v>5000</v>
      </c>
      <c r="U1468" s="322">
        <f t="shared" si="112"/>
        <v>0</v>
      </c>
      <c r="W1468" s="321">
        <f t="shared" si="113"/>
        <v>470</v>
      </c>
      <c r="X1468" s="321">
        <f t="shared" si="114"/>
        <v>733400</v>
      </c>
      <c r="Y1468" s="321">
        <v>1</v>
      </c>
      <c r="AA1468" s="321" t="s">
        <v>2660</v>
      </c>
    </row>
    <row r="1469" spans="1:27">
      <c r="A1469" s="376">
        <v>840</v>
      </c>
      <c r="B1469" s="377">
        <v>843510</v>
      </c>
      <c r="C1469" s="382" t="s">
        <v>7437</v>
      </c>
      <c r="D1469" s="379">
        <v>0</v>
      </c>
      <c r="E1469" s="380">
        <v>0</v>
      </c>
      <c r="F1469" s="380">
        <v>0</v>
      </c>
      <c r="H1469" s="351">
        <f t="shared" si="115"/>
        <v>0</v>
      </c>
      <c r="I1469" s="351">
        <f t="shared" si="116"/>
        <v>0</v>
      </c>
      <c r="M1469" s="321">
        <v>1733400471</v>
      </c>
      <c r="N1469" s="321">
        <v>73</v>
      </c>
      <c r="O1469" s="321" t="s">
        <v>5575</v>
      </c>
      <c r="P1469" s="321">
        <v>3733400</v>
      </c>
      <c r="Q1469" s="322">
        <v>17000</v>
      </c>
      <c r="R1469" s="322">
        <v>0</v>
      </c>
      <c r="S1469" s="322">
        <v>18200</v>
      </c>
      <c r="T1469" s="322">
        <v>18200</v>
      </c>
      <c r="U1469" s="322">
        <f t="shared" si="112"/>
        <v>0</v>
      </c>
      <c r="W1469" s="321">
        <f t="shared" si="113"/>
        <v>471</v>
      </c>
      <c r="X1469" s="321">
        <f t="shared" si="114"/>
        <v>733400</v>
      </c>
      <c r="Y1469" s="321">
        <v>1</v>
      </c>
      <c r="AA1469" s="321" t="s">
        <v>5575</v>
      </c>
    </row>
    <row r="1470" spans="1:27">
      <c r="A1470" s="376">
        <v>840</v>
      </c>
      <c r="B1470" s="377">
        <v>843800</v>
      </c>
      <c r="C1470" s="382" t="s">
        <v>7438</v>
      </c>
      <c r="D1470" s="379">
        <v>0</v>
      </c>
      <c r="E1470" s="380">
        <v>0</v>
      </c>
      <c r="F1470" s="380">
        <v>0</v>
      </c>
      <c r="H1470" s="351">
        <f t="shared" si="115"/>
        <v>0</v>
      </c>
      <c r="I1470" s="351">
        <f t="shared" si="116"/>
        <v>0</v>
      </c>
      <c r="M1470" s="321">
        <v>1733400540</v>
      </c>
      <c r="N1470" s="321">
        <v>73</v>
      </c>
      <c r="O1470" s="321" t="s">
        <v>5568</v>
      </c>
      <c r="P1470" s="321">
        <v>3733400</v>
      </c>
      <c r="Q1470" s="322">
        <v>1000</v>
      </c>
      <c r="R1470" s="322">
        <v>300</v>
      </c>
      <c r="S1470" s="322">
        <v>1000</v>
      </c>
      <c r="T1470" s="322">
        <v>1000</v>
      </c>
      <c r="U1470" s="322">
        <f t="shared" si="112"/>
        <v>0</v>
      </c>
      <c r="W1470" s="321">
        <f t="shared" si="113"/>
        <v>540</v>
      </c>
      <c r="X1470" s="321">
        <f t="shared" si="114"/>
        <v>733400</v>
      </c>
      <c r="Y1470" s="321">
        <v>1</v>
      </c>
      <c r="AA1470" s="321" t="s">
        <v>5568</v>
      </c>
    </row>
    <row r="1471" spans="1:27">
      <c r="A1471" s="376">
        <v>840</v>
      </c>
      <c r="B1471" s="377">
        <v>843801</v>
      </c>
      <c r="C1471" s="382" t="s">
        <v>1398</v>
      </c>
      <c r="D1471" s="379">
        <v>6200</v>
      </c>
      <c r="E1471" s="380">
        <v>6200</v>
      </c>
      <c r="F1471" s="380">
        <v>6200</v>
      </c>
      <c r="H1471" s="351">
        <f t="shared" si="115"/>
        <v>6200000</v>
      </c>
      <c r="I1471" s="351">
        <f t="shared" si="116"/>
        <v>6200000</v>
      </c>
      <c r="M1471" s="321">
        <v>1733400582</v>
      </c>
      <c r="N1471" s="321">
        <v>73</v>
      </c>
      <c r="O1471" s="321" t="s">
        <v>5576</v>
      </c>
      <c r="P1471" s="321">
        <v>3733400</v>
      </c>
      <c r="Q1471" s="322">
        <v>0</v>
      </c>
      <c r="R1471" s="322">
        <v>0</v>
      </c>
      <c r="S1471" s="322">
        <v>0</v>
      </c>
      <c r="T1471" s="322">
        <v>0</v>
      </c>
      <c r="U1471" s="322">
        <f t="shared" si="112"/>
        <v>0</v>
      </c>
      <c r="W1471" s="321">
        <f t="shared" si="113"/>
        <v>582</v>
      </c>
      <c r="X1471" s="321">
        <f t="shared" si="114"/>
        <v>733400</v>
      </c>
      <c r="Y1471" s="321">
        <v>1</v>
      </c>
      <c r="AA1471" s="321" t="s">
        <v>5576</v>
      </c>
    </row>
    <row r="1472" spans="1:27">
      <c r="A1472" s="376">
        <v>780</v>
      </c>
      <c r="B1472" s="377">
        <v>843900</v>
      </c>
      <c r="C1472" s="382" t="s">
        <v>7439</v>
      </c>
      <c r="D1472" s="379">
        <v>0</v>
      </c>
      <c r="E1472" s="380">
        <v>0</v>
      </c>
      <c r="F1472" s="380">
        <v>0</v>
      </c>
      <c r="H1472" s="351">
        <f t="shared" si="115"/>
        <v>0</v>
      </c>
      <c r="I1472" s="351">
        <f t="shared" si="116"/>
        <v>0</v>
      </c>
      <c r="M1472" s="321">
        <v>1741000110</v>
      </c>
      <c r="N1472" s="321">
        <v>74</v>
      </c>
      <c r="O1472" s="321" t="s">
        <v>5205</v>
      </c>
      <c r="P1472" s="321">
        <v>3741000</v>
      </c>
      <c r="Q1472" s="322">
        <v>450000</v>
      </c>
      <c r="R1472" s="322">
        <v>135900</v>
      </c>
      <c r="S1472" s="322">
        <v>397000</v>
      </c>
      <c r="T1472" s="322">
        <v>37000</v>
      </c>
      <c r="U1472" s="322">
        <f t="shared" si="112"/>
        <v>360000</v>
      </c>
      <c r="W1472" s="321">
        <f t="shared" si="113"/>
        <v>110</v>
      </c>
      <c r="X1472" s="321">
        <f t="shared" si="114"/>
        <v>741000</v>
      </c>
      <c r="Y1472" s="321">
        <v>1</v>
      </c>
      <c r="AA1472" s="321" t="s">
        <v>5205</v>
      </c>
    </row>
    <row r="1473" spans="1:27">
      <c r="A1473" s="376">
        <v>840</v>
      </c>
      <c r="B1473" s="377">
        <v>843900</v>
      </c>
      <c r="C1473" s="382" t="s">
        <v>7440</v>
      </c>
      <c r="D1473" s="379">
        <v>0</v>
      </c>
      <c r="E1473" s="380">
        <v>0</v>
      </c>
      <c r="F1473" s="380">
        <v>0</v>
      </c>
      <c r="H1473" s="351">
        <f t="shared" si="115"/>
        <v>0</v>
      </c>
      <c r="I1473" s="351">
        <f t="shared" si="116"/>
        <v>0</v>
      </c>
      <c r="M1473" s="321">
        <v>1741000120</v>
      </c>
      <c r="N1473" s="321">
        <v>74</v>
      </c>
      <c r="O1473" s="321" t="s">
        <v>5206</v>
      </c>
      <c r="P1473" s="321">
        <v>3741000</v>
      </c>
      <c r="Q1473" s="322">
        <v>69000</v>
      </c>
      <c r="R1473" s="322">
        <v>49100</v>
      </c>
      <c r="S1473" s="322">
        <v>95000</v>
      </c>
      <c r="T1473" s="322">
        <v>95000</v>
      </c>
      <c r="U1473" s="322">
        <f t="shared" si="112"/>
        <v>0</v>
      </c>
      <c r="W1473" s="321">
        <f t="shared" si="113"/>
        <v>120</v>
      </c>
      <c r="X1473" s="321">
        <f t="shared" si="114"/>
        <v>741000</v>
      </c>
      <c r="Y1473" s="321">
        <v>1</v>
      </c>
      <c r="AA1473" s="321" t="s">
        <v>5206</v>
      </c>
    </row>
    <row r="1474" spans="1:27">
      <c r="A1474" s="376">
        <v>841</v>
      </c>
      <c r="B1474" s="377">
        <v>843900</v>
      </c>
      <c r="C1474" s="382" t="s">
        <v>7441</v>
      </c>
      <c r="D1474" s="379">
        <v>0</v>
      </c>
      <c r="E1474" s="380">
        <v>0</v>
      </c>
      <c r="F1474" s="380">
        <v>0</v>
      </c>
      <c r="H1474" s="351">
        <f t="shared" si="115"/>
        <v>0</v>
      </c>
      <c r="I1474" s="351">
        <f t="shared" si="116"/>
        <v>0</v>
      </c>
      <c r="M1474" s="321">
        <v>1741000140</v>
      </c>
      <c r="N1474" s="321">
        <v>74</v>
      </c>
      <c r="O1474" s="321" t="s">
        <v>5207</v>
      </c>
      <c r="P1474" s="321">
        <v>3741000</v>
      </c>
      <c r="Q1474" s="322">
        <v>38000</v>
      </c>
      <c r="R1474" s="322">
        <v>23600</v>
      </c>
      <c r="S1474" s="322">
        <v>55000</v>
      </c>
      <c r="T1474" s="322">
        <v>55000</v>
      </c>
      <c r="U1474" s="322">
        <f t="shared" ref="U1474:U1537" si="117">S1474-T1474</f>
        <v>0</v>
      </c>
      <c r="W1474" s="321">
        <f t="shared" si="113"/>
        <v>140</v>
      </c>
      <c r="X1474" s="321">
        <f t="shared" si="114"/>
        <v>741000</v>
      </c>
      <c r="Y1474" s="321">
        <v>1</v>
      </c>
      <c r="AA1474" s="321" t="s">
        <v>5207</v>
      </c>
    </row>
    <row r="1475" spans="1:27">
      <c r="A1475" s="376">
        <v>710</v>
      </c>
      <c r="B1475" s="377">
        <v>843901</v>
      </c>
      <c r="C1475" s="382" t="s">
        <v>7442</v>
      </c>
      <c r="D1475" s="379">
        <v>400</v>
      </c>
      <c r="E1475" s="380">
        <v>0</v>
      </c>
      <c r="F1475" s="380">
        <v>455</v>
      </c>
      <c r="H1475" s="351">
        <f t="shared" si="115"/>
        <v>400000</v>
      </c>
      <c r="I1475" s="351">
        <f t="shared" si="116"/>
        <v>455000</v>
      </c>
      <c r="M1475" s="321">
        <v>1741000141</v>
      </c>
      <c r="N1475" s="321">
        <v>74</v>
      </c>
      <c r="O1475" s="321" t="s">
        <v>5208</v>
      </c>
      <c r="P1475" s="321">
        <v>3741000</v>
      </c>
      <c r="Q1475" s="322">
        <v>19000</v>
      </c>
      <c r="R1475" s="322">
        <v>4900</v>
      </c>
      <c r="S1475" s="322">
        <v>16000</v>
      </c>
      <c r="T1475" s="322">
        <v>16000</v>
      </c>
      <c r="U1475" s="322">
        <f t="shared" si="117"/>
        <v>0</v>
      </c>
      <c r="W1475" s="321">
        <f t="shared" ref="W1475:W1538" si="118">M1475-1000000000-X1475*1000</f>
        <v>141</v>
      </c>
      <c r="X1475" s="321">
        <f t="shared" ref="X1475:X1538" si="119">ROUNDDOWN((M1475-1000000000)/1000,0)</f>
        <v>741000</v>
      </c>
      <c r="Y1475" s="321">
        <v>1</v>
      </c>
      <c r="AA1475" s="321" t="s">
        <v>5208</v>
      </c>
    </row>
    <row r="1476" spans="1:27">
      <c r="A1476" s="376">
        <v>810</v>
      </c>
      <c r="B1476" s="377">
        <v>843901</v>
      </c>
      <c r="C1476" s="382" t="s">
        <v>7443</v>
      </c>
      <c r="D1476" s="379">
        <v>250</v>
      </c>
      <c r="E1476" s="380">
        <v>250</v>
      </c>
      <c r="F1476" s="380">
        <v>250</v>
      </c>
      <c r="H1476" s="351">
        <f t="shared" si="115"/>
        <v>250000</v>
      </c>
      <c r="I1476" s="351">
        <f t="shared" si="116"/>
        <v>250000</v>
      </c>
      <c r="M1476" s="321">
        <v>1741000181</v>
      </c>
      <c r="N1476" s="321">
        <v>74</v>
      </c>
      <c r="O1476" s="321" t="s">
        <v>2580</v>
      </c>
      <c r="P1476" s="321">
        <v>3741000</v>
      </c>
      <c r="Q1476" s="322">
        <v>91000</v>
      </c>
      <c r="R1476" s="322">
        <v>16000</v>
      </c>
      <c r="S1476" s="322">
        <v>66000</v>
      </c>
      <c r="T1476" s="322">
        <v>66000</v>
      </c>
      <c r="U1476" s="322">
        <f t="shared" si="117"/>
        <v>0</v>
      </c>
      <c r="W1476" s="321">
        <f t="shared" si="118"/>
        <v>181</v>
      </c>
      <c r="X1476" s="321">
        <f t="shared" si="119"/>
        <v>741000</v>
      </c>
      <c r="Y1476" s="321">
        <v>1</v>
      </c>
      <c r="AA1476" s="321" t="s">
        <v>2580</v>
      </c>
    </row>
    <row r="1477" spans="1:27">
      <c r="A1477" s="376">
        <v>840</v>
      </c>
      <c r="B1477" s="377">
        <v>843901</v>
      </c>
      <c r="C1477" s="382" t="s">
        <v>7444</v>
      </c>
      <c r="D1477" s="379">
        <v>1400</v>
      </c>
      <c r="E1477" s="380">
        <v>1400</v>
      </c>
      <c r="F1477" s="380">
        <v>1400</v>
      </c>
      <c r="H1477" s="351">
        <f t="shared" si="115"/>
        <v>1400000</v>
      </c>
      <c r="I1477" s="351">
        <f t="shared" si="116"/>
        <v>1400000</v>
      </c>
      <c r="M1477" s="321">
        <v>1741000182</v>
      </c>
      <c r="N1477" s="321">
        <v>74</v>
      </c>
      <c r="O1477" s="321" t="s">
        <v>2582</v>
      </c>
      <c r="P1477" s="321">
        <v>3741000</v>
      </c>
      <c r="Q1477" s="322">
        <v>87000</v>
      </c>
      <c r="R1477" s="322">
        <v>28300</v>
      </c>
      <c r="S1477" s="322">
        <v>82000</v>
      </c>
      <c r="T1477" s="322">
        <v>82000</v>
      </c>
      <c r="U1477" s="322">
        <f t="shared" si="117"/>
        <v>0</v>
      </c>
      <c r="W1477" s="321">
        <f t="shared" si="118"/>
        <v>182</v>
      </c>
      <c r="X1477" s="321">
        <f t="shared" si="119"/>
        <v>741000</v>
      </c>
      <c r="Y1477" s="321">
        <v>1</v>
      </c>
      <c r="AA1477" s="321" t="s">
        <v>2582</v>
      </c>
    </row>
    <row r="1478" spans="1:27">
      <c r="A1478" s="376">
        <v>780</v>
      </c>
      <c r="B1478" s="377">
        <v>844000</v>
      </c>
      <c r="C1478" s="382" t="s">
        <v>7445</v>
      </c>
      <c r="D1478" s="379">
        <v>0</v>
      </c>
      <c r="E1478" s="380">
        <v>0</v>
      </c>
      <c r="F1478" s="380">
        <v>0</v>
      </c>
      <c r="H1478" s="351">
        <f t="shared" si="115"/>
        <v>0</v>
      </c>
      <c r="I1478" s="351">
        <f t="shared" si="116"/>
        <v>0</v>
      </c>
      <c r="M1478" s="321">
        <v>1741000470</v>
      </c>
      <c r="N1478" s="321">
        <v>74</v>
      </c>
      <c r="O1478" s="321" t="s">
        <v>2660</v>
      </c>
      <c r="P1478" s="321">
        <v>3741000</v>
      </c>
      <c r="Q1478" s="322">
        <v>6000</v>
      </c>
      <c r="R1478" s="322">
        <v>3000</v>
      </c>
      <c r="S1478" s="322">
        <v>6000</v>
      </c>
      <c r="T1478" s="322">
        <v>6000</v>
      </c>
      <c r="U1478" s="322">
        <f t="shared" si="117"/>
        <v>0</v>
      </c>
      <c r="W1478" s="321">
        <f t="shared" si="118"/>
        <v>470</v>
      </c>
      <c r="X1478" s="321">
        <f t="shared" si="119"/>
        <v>741000</v>
      </c>
      <c r="Y1478" s="321">
        <v>1</v>
      </c>
      <c r="AA1478" s="321" t="s">
        <v>2660</v>
      </c>
    </row>
    <row r="1479" spans="1:27">
      <c r="A1479" s="376">
        <v>781</v>
      </c>
      <c r="B1479" s="377">
        <v>844000</v>
      </c>
      <c r="C1479" s="382" t="s">
        <v>7446</v>
      </c>
      <c r="D1479" s="379">
        <v>0</v>
      </c>
      <c r="E1479" s="380">
        <v>0</v>
      </c>
      <c r="F1479" s="380">
        <v>0</v>
      </c>
      <c r="H1479" s="351">
        <f t="shared" si="115"/>
        <v>0</v>
      </c>
      <c r="I1479" s="351">
        <f t="shared" si="116"/>
        <v>0</v>
      </c>
      <c r="M1479" s="321">
        <v>1741000471</v>
      </c>
      <c r="N1479" s="321">
        <v>74</v>
      </c>
      <c r="O1479" s="321" t="s">
        <v>5212</v>
      </c>
      <c r="P1479" s="321">
        <v>3741000</v>
      </c>
      <c r="Q1479" s="322">
        <v>9300</v>
      </c>
      <c r="R1479" s="322">
        <v>0</v>
      </c>
      <c r="S1479" s="322">
        <v>10000</v>
      </c>
      <c r="T1479" s="322">
        <v>10000</v>
      </c>
      <c r="U1479" s="322">
        <f t="shared" si="117"/>
        <v>0</v>
      </c>
      <c r="W1479" s="321">
        <f t="shared" si="118"/>
        <v>471</v>
      </c>
      <c r="X1479" s="321">
        <f t="shared" si="119"/>
        <v>741000</v>
      </c>
      <c r="Y1479" s="321">
        <v>1</v>
      </c>
      <c r="AA1479" s="321" t="s">
        <v>5212</v>
      </c>
    </row>
    <row r="1480" spans="1:27">
      <c r="A1480" s="376">
        <v>820</v>
      </c>
      <c r="B1480" s="377">
        <v>844000</v>
      </c>
      <c r="C1480" s="382" t="s">
        <v>7447</v>
      </c>
      <c r="D1480" s="379">
        <v>0</v>
      </c>
      <c r="E1480" s="380">
        <v>0</v>
      </c>
      <c r="F1480" s="380">
        <v>0</v>
      </c>
      <c r="H1480" s="351">
        <f t="shared" si="115"/>
        <v>0</v>
      </c>
      <c r="I1480" s="351">
        <f t="shared" si="116"/>
        <v>0</v>
      </c>
      <c r="M1480" s="321">
        <v>1741000510</v>
      </c>
      <c r="N1480" s="321">
        <v>74</v>
      </c>
      <c r="O1480" s="321" t="s">
        <v>5359</v>
      </c>
      <c r="P1480" s="321">
        <v>3741000</v>
      </c>
      <c r="Q1480" s="322">
        <v>0</v>
      </c>
      <c r="R1480" s="322">
        <v>0</v>
      </c>
      <c r="S1480" s="322">
        <v>0</v>
      </c>
      <c r="T1480" s="322">
        <v>0</v>
      </c>
      <c r="U1480" s="322">
        <f t="shared" si="117"/>
        <v>0</v>
      </c>
      <c r="W1480" s="321">
        <f t="shared" si="118"/>
        <v>510</v>
      </c>
      <c r="X1480" s="321">
        <f t="shared" si="119"/>
        <v>741000</v>
      </c>
      <c r="Y1480" s="321">
        <v>1</v>
      </c>
      <c r="AA1480" s="321" t="s">
        <v>5359</v>
      </c>
    </row>
    <row r="1481" spans="1:27">
      <c r="A1481" s="376">
        <v>840</v>
      </c>
      <c r="B1481" s="377">
        <v>844300</v>
      </c>
      <c r="C1481" s="382" t="s">
        <v>7448</v>
      </c>
      <c r="D1481" s="379">
        <v>0</v>
      </c>
      <c r="E1481" s="380">
        <v>0</v>
      </c>
      <c r="F1481" s="380">
        <v>0</v>
      </c>
      <c r="H1481" s="351">
        <f t="shared" si="115"/>
        <v>0</v>
      </c>
      <c r="I1481" s="351">
        <f t="shared" si="116"/>
        <v>0</v>
      </c>
      <c r="M1481" s="321">
        <v>1741000530</v>
      </c>
      <c r="N1481" s="321">
        <v>74</v>
      </c>
      <c r="O1481" s="321" t="s">
        <v>5577</v>
      </c>
      <c r="P1481" s="321">
        <v>3741000</v>
      </c>
      <c r="Q1481" s="322">
        <v>45000</v>
      </c>
      <c r="R1481" s="322">
        <v>20400</v>
      </c>
      <c r="S1481" s="322">
        <v>45000</v>
      </c>
      <c r="T1481" s="322">
        <v>45000</v>
      </c>
      <c r="U1481" s="322">
        <f t="shared" si="117"/>
        <v>0</v>
      </c>
      <c r="W1481" s="321">
        <f t="shared" si="118"/>
        <v>530</v>
      </c>
      <c r="X1481" s="321">
        <f t="shared" si="119"/>
        <v>741000</v>
      </c>
      <c r="Y1481" s="321">
        <v>1</v>
      </c>
      <c r="AA1481" s="321" t="s">
        <v>5577</v>
      </c>
    </row>
    <row r="1482" spans="1:27">
      <c r="A1482" s="376">
        <v>840</v>
      </c>
      <c r="B1482" s="377">
        <v>844301</v>
      </c>
      <c r="C1482" s="382" t="s">
        <v>6551</v>
      </c>
      <c r="D1482" s="379">
        <v>3500</v>
      </c>
      <c r="E1482" s="380">
        <v>3440</v>
      </c>
      <c r="F1482" s="380">
        <v>3440</v>
      </c>
      <c r="H1482" s="351">
        <f t="shared" si="115"/>
        <v>3500000</v>
      </c>
      <c r="I1482" s="351">
        <f t="shared" si="116"/>
        <v>3440000</v>
      </c>
      <c r="M1482" s="321">
        <v>1741000540</v>
      </c>
      <c r="N1482" s="321">
        <v>74</v>
      </c>
      <c r="O1482" s="321" t="s">
        <v>5216</v>
      </c>
      <c r="P1482" s="321">
        <v>3741000</v>
      </c>
      <c r="Q1482" s="322">
        <v>4000</v>
      </c>
      <c r="R1482" s="322">
        <v>2600</v>
      </c>
      <c r="S1482" s="322">
        <v>4000</v>
      </c>
      <c r="T1482" s="322">
        <v>4000</v>
      </c>
      <c r="U1482" s="322">
        <f t="shared" si="117"/>
        <v>0</v>
      </c>
      <c r="W1482" s="321">
        <f t="shared" si="118"/>
        <v>540</v>
      </c>
      <c r="X1482" s="321">
        <f t="shared" si="119"/>
        <v>741000</v>
      </c>
      <c r="Y1482" s="321">
        <v>1</v>
      </c>
      <c r="AA1482" s="321" t="s">
        <v>5216</v>
      </c>
    </row>
    <row r="1483" spans="1:27">
      <c r="A1483" s="376">
        <v>840</v>
      </c>
      <c r="B1483" s="377">
        <v>844302</v>
      </c>
      <c r="C1483" s="382" t="s">
        <v>6552</v>
      </c>
      <c r="D1483" s="379">
        <v>22</v>
      </c>
      <c r="E1483" s="380">
        <v>9</v>
      </c>
      <c r="F1483" s="380">
        <v>9</v>
      </c>
      <c r="H1483" s="351">
        <f t="shared" si="115"/>
        <v>22000</v>
      </c>
      <c r="I1483" s="351">
        <f t="shared" si="116"/>
        <v>9000</v>
      </c>
      <c r="M1483" s="321">
        <v>1741000572</v>
      </c>
      <c r="N1483" s="321">
        <v>74</v>
      </c>
      <c r="O1483" s="321" t="s">
        <v>5253</v>
      </c>
      <c r="P1483" s="321">
        <v>3741000</v>
      </c>
      <c r="Q1483" s="322">
        <v>137000</v>
      </c>
      <c r="R1483" s="322">
        <v>20100</v>
      </c>
      <c r="S1483" s="322">
        <v>140000</v>
      </c>
      <c r="T1483" s="322">
        <v>140000</v>
      </c>
      <c r="U1483" s="322">
        <f t="shared" si="117"/>
        <v>0</v>
      </c>
      <c r="W1483" s="321">
        <f t="shared" si="118"/>
        <v>572</v>
      </c>
      <c r="X1483" s="321">
        <f t="shared" si="119"/>
        <v>741000</v>
      </c>
      <c r="Y1483" s="321">
        <v>1</v>
      </c>
      <c r="AA1483" s="321" t="s">
        <v>5253</v>
      </c>
    </row>
    <row r="1484" spans="1:27">
      <c r="A1484" s="376">
        <v>780</v>
      </c>
      <c r="B1484" s="377">
        <v>844400</v>
      </c>
      <c r="C1484" s="382" t="s">
        <v>7449</v>
      </c>
      <c r="D1484" s="379">
        <v>0</v>
      </c>
      <c r="E1484" s="380">
        <v>0</v>
      </c>
      <c r="F1484" s="380">
        <v>0</v>
      </c>
      <c r="H1484" s="351">
        <f t="shared" si="115"/>
        <v>0</v>
      </c>
      <c r="I1484" s="351">
        <f t="shared" si="116"/>
        <v>0</v>
      </c>
      <c r="M1484" s="321">
        <v>1741000573</v>
      </c>
      <c r="N1484" s="321">
        <v>74</v>
      </c>
      <c r="O1484" s="321" t="s">
        <v>5578</v>
      </c>
      <c r="P1484" s="321">
        <v>3741000</v>
      </c>
      <c r="Q1484" s="322">
        <v>0</v>
      </c>
      <c r="R1484" s="322">
        <v>0</v>
      </c>
      <c r="S1484" s="322">
        <v>5000</v>
      </c>
      <c r="T1484" s="322">
        <v>5000</v>
      </c>
      <c r="U1484" s="322">
        <f t="shared" si="117"/>
        <v>0</v>
      </c>
      <c r="W1484" s="321">
        <f t="shared" si="118"/>
        <v>573</v>
      </c>
      <c r="X1484" s="321">
        <f t="shared" si="119"/>
        <v>741000</v>
      </c>
      <c r="Y1484" s="321">
        <v>1</v>
      </c>
      <c r="AA1484" s="321" t="s">
        <v>5578</v>
      </c>
    </row>
    <row r="1485" spans="1:27">
      <c r="A1485" s="376">
        <v>840</v>
      </c>
      <c r="B1485" s="377">
        <v>844401</v>
      </c>
      <c r="C1485" s="382" t="s">
        <v>7450</v>
      </c>
      <c r="D1485" s="379">
        <v>130</v>
      </c>
      <c r="E1485" s="380">
        <v>130</v>
      </c>
      <c r="F1485" s="380">
        <v>130</v>
      </c>
      <c r="H1485" s="351">
        <f t="shared" si="115"/>
        <v>130000</v>
      </c>
      <c r="I1485" s="351">
        <f t="shared" si="116"/>
        <v>130000</v>
      </c>
      <c r="M1485" s="321">
        <v>1741000579</v>
      </c>
      <c r="N1485" s="321">
        <v>74</v>
      </c>
      <c r="O1485" s="321" t="s">
        <v>5579</v>
      </c>
      <c r="P1485" s="321">
        <v>3741000</v>
      </c>
      <c r="Q1485" s="322">
        <v>0</v>
      </c>
      <c r="R1485" s="322">
        <v>0</v>
      </c>
      <c r="S1485" s="322">
        <v>0</v>
      </c>
      <c r="T1485" s="322">
        <v>0</v>
      </c>
      <c r="U1485" s="322">
        <f t="shared" si="117"/>
        <v>0</v>
      </c>
      <c r="W1485" s="321">
        <f t="shared" si="118"/>
        <v>579</v>
      </c>
      <c r="X1485" s="321">
        <f t="shared" si="119"/>
        <v>741000</v>
      </c>
      <c r="Y1485" s="321">
        <v>1</v>
      </c>
      <c r="AA1485" s="321" t="s">
        <v>5579</v>
      </c>
    </row>
    <row r="1486" spans="1:27">
      <c r="A1486" s="376">
        <v>760</v>
      </c>
      <c r="B1486" s="377">
        <v>844402</v>
      </c>
      <c r="C1486" s="382" t="s">
        <v>7451</v>
      </c>
      <c r="D1486" s="379">
        <v>565</v>
      </c>
      <c r="E1486" s="380">
        <v>625</v>
      </c>
      <c r="F1486" s="380">
        <v>625</v>
      </c>
      <c r="H1486" s="351">
        <f t="shared" si="115"/>
        <v>565000</v>
      </c>
      <c r="I1486" s="351">
        <f t="shared" si="116"/>
        <v>625000</v>
      </c>
      <c r="M1486" s="321">
        <v>1741000730</v>
      </c>
      <c r="N1486" s="321">
        <v>74</v>
      </c>
      <c r="O1486" s="321" t="s">
        <v>5580</v>
      </c>
      <c r="P1486" s="321">
        <v>3741000</v>
      </c>
      <c r="Q1486" s="322">
        <v>0</v>
      </c>
      <c r="R1486" s="322">
        <v>0</v>
      </c>
      <c r="S1486" s="322">
        <v>35000</v>
      </c>
      <c r="T1486" s="322">
        <v>35000</v>
      </c>
      <c r="U1486" s="322">
        <f t="shared" si="117"/>
        <v>0</v>
      </c>
      <c r="W1486" s="321">
        <f t="shared" si="118"/>
        <v>730</v>
      </c>
      <c r="X1486" s="321">
        <f t="shared" si="119"/>
        <v>741000</v>
      </c>
      <c r="Y1486" s="321">
        <v>1</v>
      </c>
      <c r="AA1486" s="321" t="s">
        <v>5580</v>
      </c>
    </row>
    <row r="1487" spans="1:27">
      <c r="A1487" s="376">
        <v>780</v>
      </c>
      <c r="B1487" s="377">
        <v>844402</v>
      </c>
      <c r="C1487" s="382" t="s">
        <v>7452</v>
      </c>
      <c r="D1487" s="379">
        <v>70</v>
      </c>
      <c r="E1487" s="380">
        <v>80</v>
      </c>
      <c r="F1487" s="380">
        <v>80</v>
      </c>
      <c r="H1487" s="351">
        <f t="shared" si="115"/>
        <v>70000</v>
      </c>
      <c r="I1487" s="351">
        <f t="shared" si="116"/>
        <v>80000</v>
      </c>
      <c r="M1487" s="321">
        <v>1741010110</v>
      </c>
      <c r="N1487" s="321">
        <v>74</v>
      </c>
      <c r="O1487" s="321" t="s">
        <v>5205</v>
      </c>
      <c r="P1487" s="321">
        <v>3741010</v>
      </c>
      <c r="Q1487" s="322">
        <v>705000</v>
      </c>
      <c r="R1487" s="322">
        <v>499800</v>
      </c>
      <c r="S1487" s="322">
        <v>695000</v>
      </c>
      <c r="T1487" s="322">
        <v>695000</v>
      </c>
      <c r="U1487" s="322">
        <f t="shared" si="117"/>
        <v>0</v>
      </c>
      <c r="W1487" s="321">
        <f t="shared" si="118"/>
        <v>110</v>
      </c>
      <c r="X1487" s="321">
        <f t="shared" si="119"/>
        <v>741010</v>
      </c>
      <c r="Y1487" s="321">
        <v>1</v>
      </c>
      <c r="AA1487" s="321" t="s">
        <v>5205</v>
      </c>
    </row>
    <row r="1488" spans="1:27">
      <c r="A1488" s="376">
        <v>870</v>
      </c>
      <c r="B1488" s="377">
        <v>844402</v>
      </c>
      <c r="C1488" s="382" t="s">
        <v>7453</v>
      </c>
      <c r="D1488" s="379">
        <v>475</v>
      </c>
      <c r="E1488" s="380">
        <v>500</v>
      </c>
      <c r="F1488" s="380">
        <v>500</v>
      </c>
      <c r="H1488" s="351">
        <f t="shared" si="115"/>
        <v>475000</v>
      </c>
      <c r="I1488" s="351">
        <f t="shared" si="116"/>
        <v>500000</v>
      </c>
      <c r="M1488" s="321">
        <v>1741010120</v>
      </c>
      <c r="N1488" s="321">
        <v>74</v>
      </c>
      <c r="O1488" s="321" t="s">
        <v>5206</v>
      </c>
      <c r="P1488" s="321">
        <v>3741010</v>
      </c>
      <c r="Q1488" s="322">
        <v>204000</v>
      </c>
      <c r="R1488" s="322">
        <v>160500</v>
      </c>
      <c r="S1488" s="322">
        <v>202000</v>
      </c>
      <c r="T1488" s="322">
        <v>202000</v>
      </c>
      <c r="U1488" s="322">
        <f t="shared" si="117"/>
        <v>0</v>
      </c>
      <c r="W1488" s="321">
        <f t="shared" si="118"/>
        <v>120</v>
      </c>
      <c r="X1488" s="321">
        <f t="shared" si="119"/>
        <v>741010</v>
      </c>
      <c r="Y1488" s="321">
        <v>1</v>
      </c>
      <c r="AA1488" s="321" t="s">
        <v>5206</v>
      </c>
    </row>
    <row r="1489" spans="1:27">
      <c r="A1489" s="376">
        <v>820</v>
      </c>
      <c r="B1489" s="377">
        <v>844402</v>
      </c>
      <c r="C1489" s="382" t="s">
        <v>7447</v>
      </c>
      <c r="D1489" s="379">
        <v>125</v>
      </c>
      <c r="E1489" s="380">
        <v>125</v>
      </c>
      <c r="F1489" s="380">
        <v>125</v>
      </c>
      <c r="H1489" s="351">
        <f t="shared" si="115"/>
        <v>125000</v>
      </c>
      <c r="I1489" s="351">
        <f t="shared" si="116"/>
        <v>125000</v>
      </c>
      <c r="M1489" s="321">
        <v>1741010130</v>
      </c>
      <c r="N1489" s="321">
        <v>74</v>
      </c>
      <c r="O1489" s="321" t="s">
        <v>2576</v>
      </c>
      <c r="P1489" s="321">
        <v>3741010</v>
      </c>
      <c r="Q1489" s="322">
        <v>168000</v>
      </c>
      <c r="R1489" s="322">
        <v>141400</v>
      </c>
      <c r="S1489" s="322">
        <v>197000</v>
      </c>
      <c r="T1489" s="322">
        <v>177300</v>
      </c>
      <c r="U1489" s="322">
        <f t="shared" si="117"/>
        <v>19700</v>
      </c>
      <c r="W1489" s="321">
        <f t="shared" si="118"/>
        <v>130</v>
      </c>
      <c r="X1489" s="321">
        <f t="shared" si="119"/>
        <v>741010</v>
      </c>
      <c r="Y1489" s="321">
        <v>1</v>
      </c>
      <c r="AA1489" s="321" t="s">
        <v>2576</v>
      </c>
    </row>
    <row r="1490" spans="1:27">
      <c r="A1490" s="376">
        <v>871</v>
      </c>
      <c r="B1490" s="377">
        <v>844402</v>
      </c>
      <c r="C1490" s="382" t="s">
        <v>7454</v>
      </c>
      <c r="D1490" s="379">
        <v>67</v>
      </c>
      <c r="E1490" s="380">
        <v>70</v>
      </c>
      <c r="F1490" s="380">
        <v>70</v>
      </c>
      <c r="H1490" s="351">
        <f t="shared" ref="H1490:H1553" si="120">D1490*1000</f>
        <v>67000</v>
      </c>
      <c r="I1490" s="351">
        <f t="shared" ref="I1490:I1553" si="121">F1490*1000</f>
        <v>70000</v>
      </c>
      <c r="M1490" s="321">
        <v>1741010140</v>
      </c>
      <c r="N1490" s="321">
        <v>74</v>
      </c>
      <c r="O1490" s="321" t="s">
        <v>5207</v>
      </c>
      <c r="P1490" s="321">
        <v>3741010</v>
      </c>
      <c r="Q1490" s="322">
        <v>187000</v>
      </c>
      <c r="R1490" s="322">
        <v>117400</v>
      </c>
      <c r="S1490" s="322">
        <v>178000</v>
      </c>
      <c r="T1490" s="322">
        <v>178000</v>
      </c>
      <c r="U1490" s="322">
        <f t="shared" si="117"/>
        <v>0</v>
      </c>
      <c r="W1490" s="321">
        <f t="shared" si="118"/>
        <v>140</v>
      </c>
      <c r="X1490" s="321">
        <f t="shared" si="119"/>
        <v>741010</v>
      </c>
      <c r="Y1490" s="321">
        <v>1</v>
      </c>
      <c r="AA1490" s="321" t="s">
        <v>5207</v>
      </c>
    </row>
    <row r="1491" spans="1:27">
      <c r="A1491" s="376">
        <v>840</v>
      </c>
      <c r="B1491" s="377">
        <v>844402</v>
      </c>
      <c r="C1491" s="382" t="s">
        <v>6555</v>
      </c>
      <c r="D1491" s="379">
        <v>80</v>
      </c>
      <c r="E1491" s="380">
        <v>105</v>
      </c>
      <c r="F1491" s="380">
        <v>105</v>
      </c>
      <c r="H1491" s="351">
        <f t="shared" si="120"/>
        <v>80000</v>
      </c>
      <c r="I1491" s="351">
        <f t="shared" si="121"/>
        <v>105000</v>
      </c>
      <c r="M1491" s="321">
        <v>1741010141</v>
      </c>
      <c r="N1491" s="321">
        <v>74</v>
      </c>
      <c r="O1491" s="321" t="s">
        <v>5208</v>
      </c>
      <c r="P1491" s="321">
        <v>3741010</v>
      </c>
      <c r="Q1491" s="322">
        <v>18000</v>
      </c>
      <c r="R1491" s="322">
        <v>15000</v>
      </c>
      <c r="S1491" s="322">
        <v>21000</v>
      </c>
      <c r="T1491" s="322">
        <v>21000</v>
      </c>
      <c r="U1491" s="322">
        <f t="shared" si="117"/>
        <v>0</v>
      </c>
      <c r="W1491" s="321">
        <f t="shared" si="118"/>
        <v>141</v>
      </c>
      <c r="X1491" s="321">
        <f t="shared" si="119"/>
        <v>741010</v>
      </c>
      <c r="Y1491" s="321">
        <v>1</v>
      </c>
      <c r="AA1491" s="321" t="s">
        <v>5208</v>
      </c>
    </row>
    <row r="1492" spans="1:27">
      <c r="A1492" s="376">
        <v>841</v>
      </c>
      <c r="B1492" s="377">
        <v>844402</v>
      </c>
      <c r="C1492" s="382" t="s">
        <v>7455</v>
      </c>
      <c r="D1492" s="379">
        <v>25</v>
      </c>
      <c r="E1492" s="380">
        <v>0</v>
      </c>
      <c r="F1492" s="380">
        <v>0</v>
      </c>
      <c r="H1492" s="351">
        <f t="shared" si="120"/>
        <v>25000</v>
      </c>
      <c r="I1492" s="351">
        <f t="shared" si="121"/>
        <v>0</v>
      </c>
      <c r="M1492" s="321">
        <v>1741010181</v>
      </c>
      <c r="N1492" s="321">
        <v>74</v>
      </c>
      <c r="O1492" s="321" t="s">
        <v>2580</v>
      </c>
      <c r="P1492" s="321">
        <v>3741010</v>
      </c>
      <c r="Q1492" s="322">
        <v>123000</v>
      </c>
      <c r="R1492" s="322">
        <v>90000</v>
      </c>
      <c r="S1492" s="322">
        <v>123000</v>
      </c>
      <c r="T1492" s="322">
        <v>123000</v>
      </c>
      <c r="U1492" s="322">
        <f t="shared" si="117"/>
        <v>0</v>
      </c>
      <c r="W1492" s="321">
        <f t="shared" si="118"/>
        <v>181</v>
      </c>
      <c r="X1492" s="321">
        <f t="shared" si="119"/>
        <v>741010</v>
      </c>
      <c r="Y1492" s="321">
        <v>1</v>
      </c>
      <c r="AA1492" s="321" t="s">
        <v>2580</v>
      </c>
    </row>
    <row r="1493" spans="1:27">
      <c r="A1493" s="376">
        <v>840</v>
      </c>
      <c r="B1493" s="377">
        <v>844403</v>
      </c>
      <c r="C1493" s="382" t="s">
        <v>6557</v>
      </c>
      <c r="D1493" s="379">
        <v>205</v>
      </c>
      <c r="E1493" s="380">
        <v>445</v>
      </c>
      <c r="F1493" s="380">
        <v>445</v>
      </c>
      <c r="H1493" s="351">
        <f t="shared" si="120"/>
        <v>205000</v>
      </c>
      <c r="I1493" s="351">
        <f t="shared" si="121"/>
        <v>445000</v>
      </c>
      <c r="M1493" s="321">
        <v>1741010182</v>
      </c>
      <c r="N1493" s="321">
        <v>74</v>
      </c>
      <c r="O1493" s="321" t="s">
        <v>2582</v>
      </c>
      <c r="P1493" s="321">
        <v>3741010</v>
      </c>
      <c r="Q1493" s="322">
        <v>181000</v>
      </c>
      <c r="R1493" s="322">
        <v>132500</v>
      </c>
      <c r="S1493" s="322">
        <v>189000</v>
      </c>
      <c r="T1493" s="322">
        <v>189000</v>
      </c>
      <c r="U1493" s="322">
        <f t="shared" si="117"/>
        <v>0</v>
      </c>
      <c r="W1493" s="321">
        <f t="shared" si="118"/>
        <v>182</v>
      </c>
      <c r="X1493" s="321">
        <f t="shared" si="119"/>
        <v>741010</v>
      </c>
      <c r="Y1493" s="321">
        <v>1</v>
      </c>
      <c r="AA1493" s="321" t="s">
        <v>2582</v>
      </c>
    </row>
    <row r="1494" spans="1:27">
      <c r="A1494" s="376">
        <v>841</v>
      </c>
      <c r="B1494" s="377">
        <v>844403</v>
      </c>
      <c r="C1494" s="382" t="s">
        <v>7456</v>
      </c>
      <c r="D1494" s="379">
        <v>235</v>
      </c>
      <c r="E1494" s="380">
        <v>0</v>
      </c>
      <c r="F1494" s="380">
        <v>0</v>
      </c>
      <c r="H1494" s="351">
        <f t="shared" si="120"/>
        <v>235000</v>
      </c>
      <c r="I1494" s="351">
        <f t="shared" si="121"/>
        <v>0</v>
      </c>
      <c r="M1494" s="321">
        <v>1741010470</v>
      </c>
      <c r="N1494" s="321">
        <v>74</v>
      </c>
      <c r="O1494" s="321" t="s">
        <v>2660</v>
      </c>
      <c r="P1494" s="321">
        <v>3741010</v>
      </c>
      <c r="Q1494" s="322">
        <v>5000</v>
      </c>
      <c r="R1494" s="322">
        <v>2300</v>
      </c>
      <c r="S1494" s="322">
        <v>6000</v>
      </c>
      <c r="T1494" s="322">
        <v>6000</v>
      </c>
      <c r="U1494" s="322">
        <f t="shared" si="117"/>
        <v>0</v>
      </c>
      <c r="W1494" s="321">
        <f t="shared" si="118"/>
        <v>470</v>
      </c>
      <c r="X1494" s="321">
        <f t="shared" si="119"/>
        <v>741010</v>
      </c>
      <c r="Y1494" s="321">
        <v>1</v>
      </c>
      <c r="AA1494" s="321" t="s">
        <v>2660</v>
      </c>
    </row>
    <row r="1495" spans="1:27">
      <c r="A1495" s="376">
        <v>840</v>
      </c>
      <c r="B1495" s="377">
        <v>844404</v>
      </c>
      <c r="C1495" s="382" t="s">
        <v>7457</v>
      </c>
      <c r="D1495" s="379">
        <v>0</v>
      </c>
      <c r="E1495" s="380">
        <v>0</v>
      </c>
      <c r="F1495" s="380">
        <v>0</v>
      </c>
      <c r="H1495" s="351">
        <f t="shared" si="120"/>
        <v>0</v>
      </c>
      <c r="I1495" s="351">
        <f t="shared" si="121"/>
        <v>0</v>
      </c>
      <c r="M1495" s="321">
        <v>1741010471</v>
      </c>
      <c r="N1495" s="321">
        <v>74</v>
      </c>
      <c r="O1495" s="321" t="s">
        <v>5212</v>
      </c>
      <c r="P1495" s="321">
        <v>3741010</v>
      </c>
      <c r="Q1495" s="322">
        <v>0</v>
      </c>
      <c r="R1495" s="322">
        <v>0</v>
      </c>
      <c r="S1495" s="322">
        <v>1200</v>
      </c>
      <c r="T1495" s="322">
        <v>1200</v>
      </c>
      <c r="U1495" s="322">
        <f t="shared" si="117"/>
        <v>0</v>
      </c>
      <c r="W1495" s="321">
        <f t="shared" si="118"/>
        <v>471</v>
      </c>
      <c r="X1495" s="321">
        <f t="shared" si="119"/>
        <v>741010</v>
      </c>
      <c r="Y1495" s="321">
        <v>1</v>
      </c>
      <c r="AA1495" s="321" t="s">
        <v>5212</v>
      </c>
    </row>
    <row r="1496" spans="1:27">
      <c r="A1496" s="376">
        <v>840</v>
      </c>
      <c r="B1496" s="377">
        <v>844405</v>
      </c>
      <c r="C1496" s="382" t="s">
        <v>6559</v>
      </c>
      <c r="D1496" s="379">
        <v>120</v>
      </c>
      <c r="E1496" s="380">
        <v>120</v>
      </c>
      <c r="F1496" s="380">
        <v>120</v>
      </c>
      <c r="H1496" s="351">
        <f t="shared" si="120"/>
        <v>120000</v>
      </c>
      <c r="I1496" s="351">
        <f t="shared" si="121"/>
        <v>120000</v>
      </c>
      <c r="M1496" s="321">
        <v>1741010530</v>
      </c>
      <c r="N1496" s="321">
        <v>74</v>
      </c>
      <c r="O1496" s="321" t="s">
        <v>5581</v>
      </c>
      <c r="P1496" s="321">
        <v>3741010</v>
      </c>
      <c r="Q1496" s="322">
        <v>30000</v>
      </c>
      <c r="R1496" s="322">
        <v>0</v>
      </c>
      <c r="S1496" s="322">
        <v>0</v>
      </c>
      <c r="T1496" s="322">
        <v>0</v>
      </c>
      <c r="U1496" s="322">
        <f t="shared" si="117"/>
        <v>0</v>
      </c>
      <c r="W1496" s="321">
        <f t="shared" si="118"/>
        <v>530</v>
      </c>
      <c r="X1496" s="321">
        <f t="shared" si="119"/>
        <v>741010</v>
      </c>
      <c r="Y1496" s="321">
        <v>1</v>
      </c>
      <c r="AA1496" s="321" t="s">
        <v>5581</v>
      </c>
    </row>
    <row r="1497" spans="1:27">
      <c r="A1497" s="376">
        <v>100</v>
      </c>
      <c r="B1497" s="377">
        <v>844406</v>
      </c>
      <c r="C1497" s="382" t="s">
        <v>7458</v>
      </c>
      <c r="D1497" s="379">
        <v>149</v>
      </c>
      <c r="E1497" s="380">
        <v>145</v>
      </c>
      <c r="F1497" s="380">
        <v>145</v>
      </c>
      <c r="H1497" s="351">
        <f t="shared" si="120"/>
        <v>149000</v>
      </c>
      <c r="I1497" s="351">
        <f t="shared" si="121"/>
        <v>145000</v>
      </c>
      <c r="M1497" s="321">
        <v>1741010531</v>
      </c>
      <c r="N1497" s="321">
        <v>74</v>
      </c>
      <c r="O1497" s="321" t="s">
        <v>5582</v>
      </c>
      <c r="P1497" s="321">
        <v>3741010</v>
      </c>
      <c r="Q1497" s="322">
        <v>35000</v>
      </c>
      <c r="R1497" s="322">
        <v>9400</v>
      </c>
      <c r="S1497" s="322">
        <v>35000</v>
      </c>
      <c r="T1497" s="322">
        <v>35000</v>
      </c>
      <c r="U1497" s="322">
        <f t="shared" si="117"/>
        <v>0</v>
      </c>
      <c r="W1497" s="321">
        <f t="shared" si="118"/>
        <v>531</v>
      </c>
      <c r="X1497" s="321">
        <f t="shared" si="119"/>
        <v>741010</v>
      </c>
      <c r="Y1497" s="321">
        <v>1</v>
      </c>
      <c r="AA1497" s="321" t="s">
        <v>5582</v>
      </c>
    </row>
    <row r="1498" spans="1:27">
      <c r="A1498" s="376">
        <v>780</v>
      </c>
      <c r="B1498" s="377">
        <v>844406</v>
      </c>
      <c r="C1498" s="382" t="s">
        <v>7459</v>
      </c>
      <c r="D1498" s="379">
        <v>120</v>
      </c>
      <c r="E1498" s="380">
        <v>170</v>
      </c>
      <c r="F1498" s="380">
        <v>170</v>
      </c>
      <c r="H1498" s="351">
        <f t="shared" si="120"/>
        <v>120000</v>
      </c>
      <c r="I1498" s="351">
        <f t="shared" si="121"/>
        <v>170000</v>
      </c>
      <c r="M1498" s="321">
        <v>1741010533</v>
      </c>
      <c r="N1498" s="321">
        <v>74</v>
      </c>
      <c r="O1498" s="321" t="s">
        <v>5583</v>
      </c>
      <c r="P1498" s="321">
        <v>3741010</v>
      </c>
      <c r="Q1498" s="322">
        <v>45000</v>
      </c>
      <c r="R1498" s="322">
        <v>0</v>
      </c>
      <c r="S1498" s="322">
        <v>0</v>
      </c>
      <c r="T1498" s="322">
        <v>0</v>
      </c>
      <c r="U1498" s="322">
        <f t="shared" si="117"/>
        <v>0</v>
      </c>
      <c r="W1498" s="321">
        <f t="shared" si="118"/>
        <v>533</v>
      </c>
      <c r="X1498" s="321">
        <f t="shared" si="119"/>
        <v>741010</v>
      </c>
      <c r="Y1498" s="321">
        <v>1</v>
      </c>
      <c r="AA1498" s="321" t="s">
        <v>5583</v>
      </c>
    </row>
    <row r="1499" spans="1:27">
      <c r="A1499" s="376">
        <v>840</v>
      </c>
      <c r="B1499" s="377">
        <v>844410</v>
      </c>
      <c r="C1499" s="382" t="s">
        <v>7460</v>
      </c>
      <c r="D1499" s="379">
        <v>0</v>
      </c>
      <c r="E1499" s="380">
        <v>0</v>
      </c>
      <c r="F1499" s="380">
        <v>0</v>
      </c>
      <c r="H1499" s="351">
        <f t="shared" si="120"/>
        <v>0</v>
      </c>
      <c r="I1499" s="351">
        <f t="shared" si="121"/>
        <v>0</v>
      </c>
      <c r="M1499" s="321">
        <v>1741010542</v>
      </c>
      <c r="N1499" s="321">
        <v>74</v>
      </c>
      <c r="O1499" s="321" t="s">
        <v>5564</v>
      </c>
      <c r="P1499" s="321">
        <v>3741010</v>
      </c>
      <c r="Q1499" s="322">
        <v>12600</v>
      </c>
      <c r="R1499" s="322">
        <v>8100</v>
      </c>
      <c r="S1499" s="322">
        <v>15000</v>
      </c>
      <c r="T1499" s="322">
        <v>15000</v>
      </c>
      <c r="U1499" s="322">
        <f t="shared" si="117"/>
        <v>0</v>
      </c>
      <c r="W1499" s="321">
        <f t="shared" si="118"/>
        <v>542</v>
      </c>
      <c r="X1499" s="321">
        <f t="shared" si="119"/>
        <v>741010</v>
      </c>
      <c r="Y1499" s="321">
        <v>1</v>
      </c>
      <c r="AA1499" s="321" t="s">
        <v>5564</v>
      </c>
    </row>
    <row r="1500" spans="1:27">
      <c r="A1500" s="376">
        <v>841</v>
      </c>
      <c r="B1500" s="377">
        <v>844410</v>
      </c>
      <c r="C1500" s="382" t="s">
        <v>6559</v>
      </c>
      <c r="D1500" s="379">
        <v>0</v>
      </c>
      <c r="E1500" s="380">
        <v>0</v>
      </c>
      <c r="F1500" s="380">
        <v>0</v>
      </c>
      <c r="H1500" s="351">
        <f t="shared" si="120"/>
        <v>0</v>
      </c>
      <c r="I1500" s="351">
        <f t="shared" si="121"/>
        <v>0</v>
      </c>
      <c r="M1500" s="321">
        <v>1741010572</v>
      </c>
      <c r="N1500" s="321">
        <v>74</v>
      </c>
      <c r="O1500" s="321" t="s">
        <v>5253</v>
      </c>
      <c r="P1500" s="321">
        <v>3741010</v>
      </c>
      <c r="Q1500" s="322">
        <v>25000</v>
      </c>
      <c r="R1500" s="322">
        <v>0</v>
      </c>
      <c r="S1500" s="322">
        <v>47000</v>
      </c>
      <c r="T1500" s="322">
        <v>47000</v>
      </c>
      <c r="U1500" s="322">
        <f t="shared" si="117"/>
        <v>0</v>
      </c>
      <c r="W1500" s="321">
        <f t="shared" si="118"/>
        <v>572</v>
      </c>
      <c r="X1500" s="321">
        <f t="shared" si="119"/>
        <v>741010</v>
      </c>
      <c r="Y1500" s="321">
        <v>1</v>
      </c>
      <c r="AA1500" s="321" t="s">
        <v>5253</v>
      </c>
    </row>
    <row r="1501" spans="1:27">
      <c r="A1501" s="376">
        <v>840</v>
      </c>
      <c r="B1501" s="377">
        <v>844500</v>
      </c>
      <c r="C1501" s="387" t="s">
        <v>7461</v>
      </c>
      <c r="D1501" s="379">
        <v>0</v>
      </c>
      <c r="E1501" s="380">
        <v>0</v>
      </c>
      <c r="F1501" s="380">
        <v>0</v>
      </c>
      <c r="H1501" s="351">
        <f t="shared" si="120"/>
        <v>0</v>
      </c>
      <c r="I1501" s="351">
        <f t="shared" si="121"/>
        <v>0</v>
      </c>
      <c r="M1501" s="321">
        <v>1741010779</v>
      </c>
      <c r="N1501" s="321">
        <v>74</v>
      </c>
      <c r="O1501" s="321" t="s">
        <v>5382</v>
      </c>
      <c r="P1501" s="321">
        <v>3741010</v>
      </c>
      <c r="Q1501" s="322">
        <v>3000</v>
      </c>
      <c r="R1501" s="322">
        <v>2200</v>
      </c>
      <c r="S1501" s="322">
        <v>3000</v>
      </c>
      <c r="T1501" s="322">
        <v>3000</v>
      </c>
      <c r="U1501" s="322">
        <f t="shared" si="117"/>
        <v>0</v>
      </c>
      <c r="W1501" s="321">
        <f t="shared" si="118"/>
        <v>779</v>
      </c>
      <c r="X1501" s="321">
        <f t="shared" si="119"/>
        <v>741010</v>
      </c>
      <c r="Y1501" s="321">
        <v>1</v>
      </c>
      <c r="AA1501" s="321" t="s">
        <v>5382</v>
      </c>
    </row>
    <row r="1502" spans="1:27">
      <c r="A1502" s="376">
        <v>870</v>
      </c>
      <c r="B1502" s="377">
        <v>844500</v>
      </c>
      <c r="C1502" s="391" t="s">
        <v>7462</v>
      </c>
      <c r="D1502" s="379">
        <v>0</v>
      </c>
      <c r="E1502" s="380">
        <v>0</v>
      </c>
      <c r="F1502" s="380">
        <v>0</v>
      </c>
      <c r="H1502" s="351">
        <f t="shared" si="120"/>
        <v>0</v>
      </c>
      <c r="I1502" s="351">
        <f t="shared" si="121"/>
        <v>0</v>
      </c>
      <c r="M1502" s="321">
        <v>1741020110</v>
      </c>
      <c r="N1502" s="321">
        <v>74</v>
      </c>
      <c r="O1502" s="321" t="s">
        <v>5205</v>
      </c>
      <c r="P1502" s="321">
        <v>3741020</v>
      </c>
      <c r="Q1502" s="322">
        <v>1012000</v>
      </c>
      <c r="R1502" s="322">
        <v>709900</v>
      </c>
      <c r="S1502" s="322">
        <v>1137000</v>
      </c>
      <c r="T1502" s="322">
        <v>873700</v>
      </c>
      <c r="U1502" s="322">
        <f t="shared" si="117"/>
        <v>263300</v>
      </c>
      <c r="W1502" s="321">
        <f t="shared" si="118"/>
        <v>110</v>
      </c>
      <c r="X1502" s="321">
        <f t="shared" si="119"/>
        <v>741020</v>
      </c>
      <c r="Y1502" s="321">
        <v>1</v>
      </c>
      <c r="AA1502" s="321" t="s">
        <v>5205</v>
      </c>
    </row>
    <row r="1503" spans="1:27">
      <c r="A1503" s="376">
        <v>780</v>
      </c>
      <c r="B1503" s="377">
        <v>844501</v>
      </c>
      <c r="C1503" s="381" t="s">
        <v>7463</v>
      </c>
      <c r="D1503" s="379">
        <v>33</v>
      </c>
      <c r="E1503" s="380">
        <v>0</v>
      </c>
      <c r="F1503" s="380">
        <v>0</v>
      </c>
      <c r="H1503" s="351">
        <f t="shared" si="120"/>
        <v>33000</v>
      </c>
      <c r="I1503" s="351">
        <f t="shared" si="121"/>
        <v>0</v>
      </c>
      <c r="M1503" s="321">
        <v>1741020120</v>
      </c>
      <c r="N1503" s="321">
        <v>74</v>
      </c>
      <c r="O1503" s="321" t="s">
        <v>5206</v>
      </c>
      <c r="P1503" s="321">
        <v>3741020</v>
      </c>
      <c r="Q1503" s="322">
        <v>145000</v>
      </c>
      <c r="R1503" s="322">
        <v>120100</v>
      </c>
      <c r="S1503" s="322">
        <v>158000</v>
      </c>
      <c r="T1503" s="322">
        <v>158000</v>
      </c>
      <c r="U1503" s="322">
        <f t="shared" si="117"/>
        <v>0</v>
      </c>
      <c r="W1503" s="321">
        <f t="shared" si="118"/>
        <v>120</v>
      </c>
      <c r="X1503" s="321">
        <f t="shared" si="119"/>
        <v>741020</v>
      </c>
      <c r="Y1503" s="321">
        <v>1</v>
      </c>
      <c r="AA1503" s="321" t="s">
        <v>5206</v>
      </c>
    </row>
    <row r="1504" spans="1:27">
      <c r="A1504" s="376">
        <v>840</v>
      </c>
      <c r="B1504" s="377">
        <v>844501</v>
      </c>
      <c r="C1504" s="381" t="s">
        <v>6565</v>
      </c>
      <c r="D1504" s="379">
        <v>300</v>
      </c>
      <c r="E1504" s="380">
        <v>250</v>
      </c>
      <c r="F1504" s="380">
        <v>250</v>
      </c>
      <c r="H1504" s="351">
        <f t="shared" si="120"/>
        <v>300000</v>
      </c>
      <c r="I1504" s="351">
        <f t="shared" si="121"/>
        <v>250000</v>
      </c>
      <c r="M1504" s="321">
        <v>1741020130</v>
      </c>
      <c r="N1504" s="321">
        <v>74</v>
      </c>
      <c r="O1504" s="321" t="s">
        <v>2576</v>
      </c>
      <c r="P1504" s="321">
        <v>3741020</v>
      </c>
      <c r="Q1504" s="322">
        <v>292000</v>
      </c>
      <c r="R1504" s="322">
        <v>232400</v>
      </c>
      <c r="S1504" s="322">
        <v>386000</v>
      </c>
      <c r="T1504" s="322">
        <v>347400</v>
      </c>
      <c r="U1504" s="322">
        <f t="shared" si="117"/>
        <v>38600</v>
      </c>
      <c r="W1504" s="321">
        <f t="shared" si="118"/>
        <v>130</v>
      </c>
      <c r="X1504" s="321">
        <f t="shared" si="119"/>
        <v>741020</v>
      </c>
      <c r="Y1504" s="321">
        <v>1</v>
      </c>
      <c r="AA1504" s="321" t="s">
        <v>2576</v>
      </c>
    </row>
    <row r="1505" spans="1:27">
      <c r="A1505" s="376">
        <v>870</v>
      </c>
      <c r="B1505" s="377">
        <v>844502</v>
      </c>
      <c r="C1505" s="381" t="s">
        <v>7464</v>
      </c>
      <c r="D1505" s="379">
        <v>0</v>
      </c>
      <c r="E1505" s="380">
        <v>0</v>
      </c>
      <c r="F1505" s="380">
        <v>430</v>
      </c>
      <c r="H1505" s="351">
        <f t="shared" si="120"/>
        <v>0</v>
      </c>
      <c r="I1505" s="351">
        <f t="shared" si="121"/>
        <v>430000</v>
      </c>
      <c r="M1505" s="321">
        <v>1741020140</v>
      </c>
      <c r="N1505" s="321">
        <v>74</v>
      </c>
      <c r="O1505" s="321" t="s">
        <v>5207</v>
      </c>
      <c r="P1505" s="321">
        <v>3741020</v>
      </c>
      <c r="Q1505" s="322">
        <v>280000</v>
      </c>
      <c r="R1505" s="322">
        <v>190400</v>
      </c>
      <c r="S1505" s="322">
        <v>280000</v>
      </c>
      <c r="T1505" s="322">
        <v>280000</v>
      </c>
      <c r="U1505" s="322">
        <f t="shared" si="117"/>
        <v>0</v>
      </c>
      <c r="W1505" s="321">
        <f t="shared" si="118"/>
        <v>140</v>
      </c>
      <c r="X1505" s="321">
        <f t="shared" si="119"/>
        <v>741020</v>
      </c>
      <c r="Y1505" s="321">
        <v>1</v>
      </c>
      <c r="AA1505" s="321" t="s">
        <v>5207</v>
      </c>
    </row>
    <row r="1506" spans="1:27">
      <c r="A1506" s="376">
        <v>780</v>
      </c>
      <c r="B1506" s="377">
        <v>844503</v>
      </c>
      <c r="C1506" s="381" t="s">
        <v>7465</v>
      </c>
      <c r="D1506" s="379">
        <v>100</v>
      </c>
      <c r="E1506" s="380">
        <v>0</v>
      </c>
      <c r="F1506" s="380">
        <v>0</v>
      </c>
      <c r="H1506" s="351">
        <f t="shared" si="120"/>
        <v>100000</v>
      </c>
      <c r="I1506" s="351">
        <f t="shared" si="121"/>
        <v>0</v>
      </c>
      <c r="M1506" s="321">
        <v>1741020141</v>
      </c>
      <c r="N1506" s="321">
        <v>74</v>
      </c>
      <c r="O1506" s="321" t="s">
        <v>5208</v>
      </c>
      <c r="P1506" s="321">
        <v>3741020</v>
      </c>
      <c r="Q1506" s="322">
        <v>34000</v>
      </c>
      <c r="R1506" s="322">
        <v>27300</v>
      </c>
      <c r="S1506" s="322">
        <v>41000</v>
      </c>
      <c r="T1506" s="322">
        <v>41000</v>
      </c>
      <c r="U1506" s="322">
        <f t="shared" si="117"/>
        <v>0</v>
      </c>
      <c r="W1506" s="321">
        <f t="shared" si="118"/>
        <v>141</v>
      </c>
      <c r="X1506" s="321">
        <f t="shared" si="119"/>
        <v>741020</v>
      </c>
      <c r="Y1506" s="321">
        <v>1</v>
      </c>
      <c r="AA1506" s="321" t="s">
        <v>5208</v>
      </c>
    </row>
    <row r="1507" spans="1:27">
      <c r="A1507" s="376">
        <v>841</v>
      </c>
      <c r="B1507" s="377">
        <v>844510</v>
      </c>
      <c r="C1507" s="381" t="s">
        <v>7466</v>
      </c>
      <c r="D1507" s="379">
        <v>0</v>
      </c>
      <c r="E1507" s="380">
        <v>0</v>
      </c>
      <c r="F1507" s="380">
        <v>0</v>
      </c>
      <c r="H1507" s="351">
        <f t="shared" si="120"/>
        <v>0</v>
      </c>
      <c r="I1507" s="351">
        <f t="shared" si="121"/>
        <v>0</v>
      </c>
      <c r="M1507" s="321">
        <v>1741020181</v>
      </c>
      <c r="N1507" s="321">
        <v>74</v>
      </c>
      <c r="O1507" s="321" t="s">
        <v>2580</v>
      </c>
      <c r="P1507" s="321">
        <v>3741020</v>
      </c>
      <c r="Q1507" s="322">
        <v>230000</v>
      </c>
      <c r="R1507" s="322">
        <v>163400</v>
      </c>
      <c r="S1507" s="322">
        <v>260000</v>
      </c>
      <c r="T1507" s="322">
        <v>260000</v>
      </c>
      <c r="U1507" s="322">
        <f t="shared" si="117"/>
        <v>0</v>
      </c>
      <c r="W1507" s="321">
        <f t="shared" si="118"/>
        <v>181</v>
      </c>
      <c r="X1507" s="321">
        <f t="shared" si="119"/>
        <v>741020</v>
      </c>
      <c r="Y1507" s="321">
        <v>1</v>
      </c>
      <c r="AA1507" s="321" t="s">
        <v>2580</v>
      </c>
    </row>
    <row r="1508" spans="1:27">
      <c r="A1508" s="376">
        <v>755</v>
      </c>
      <c r="B1508" s="377">
        <v>844600</v>
      </c>
      <c r="C1508" s="381" t="s">
        <v>6744</v>
      </c>
      <c r="D1508" s="379">
        <v>0</v>
      </c>
      <c r="E1508" s="380">
        <v>0</v>
      </c>
      <c r="F1508" s="380">
        <v>0</v>
      </c>
      <c r="H1508" s="351">
        <f t="shared" si="120"/>
        <v>0</v>
      </c>
      <c r="I1508" s="351">
        <f t="shared" si="121"/>
        <v>0</v>
      </c>
      <c r="M1508" s="321">
        <v>1741020182</v>
      </c>
      <c r="N1508" s="321">
        <v>74</v>
      </c>
      <c r="O1508" s="321" t="s">
        <v>2582</v>
      </c>
      <c r="P1508" s="321">
        <v>3741020</v>
      </c>
      <c r="Q1508" s="322">
        <v>243000</v>
      </c>
      <c r="R1508" s="322">
        <v>177600</v>
      </c>
      <c r="S1508" s="322">
        <v>286000</v>
      </c>
      <c r="T1508" s="322">
        <v>286000</v>
      </c>
      <c r="U1508" s="322">
        <f t="shared" si="117"/>
        <v>0</v>
      </c>
      <c r="W1508" s="321">
        <f t="shared" si="118"/>
        <v>182</v>
      </c>
      <c r="X1508" s="321">
        <f t="shared" si="119"/>
        <v>741020</v>
      </c>
      <c r="Y1508" s="321">
        <v>1</v>
      </c>
      <c r="AA1508" s="321" t="s">
        <v>2582</v>
      </c>
    </row>
    <row r="1509" spans="1:27">
      <c r="A1509" s="376">
        <v>780</v>
      </c>
      <c r="B1509" s="377">
        <v>844600</v>
      </c>
      <c r="C1509" s="381" t="s">
        <v>6881</v>
      </c>
      <c r="D1509" s="379">
        <v>0</v>
      </c>
      <c r="E1509" s="380">
        <v>0</v>
      </c>
      <c r="F1509" s="380">
        <v>0</v>
      </c>
      <c r="H1509" s="351">
        <f t="shared" si="120"/>
        <v>0</v>
      </c>
      <c r="I1509" s="351">
        <f t="shared" si="121"/>
        <v>0</v>
      </c>
      <c r="M1509" s="321">
        <v>1741020210</v>
      </c>
      <c r="N1509" s="321">
        <v>74</v>
      </c>
      <c r="O1509" s="321" t="s">
        <v>5584</v>
      </c>
      <c r="P1509" s="321">
        <v>3741020</v>
      </c>
      <c r="Q1509" s="322">
        <v>0</v>
      </c>
      <c r="R1509" s="322">
        <v>0</v>
      </c>
      <c r="S1509" s="322">
        <v>0</v>
      </c>
      <c r="T1509" s="322">
        <v>0</v>
      </c>
      <c r="U1509" s="322">
        <f t="shared" si="117"/>
        <v>0</v>
      </c>
      <c r="W1509" s="321">
        <f t="shared" si="118"/>
        <v>210</v>
      </c>
      <c r="X1509" s="321">
        <f t="shared" si="119"/>
        <v>741020</v>
      </c>
      <c r="Y1509" s="321">
        <v>1</v>
      </c>
      <c r="AA1509" s="321" t="s">
        <v>5584</v>
      </c>
    </row>
    <row r="1510" spans="1:27">
      <c r="A1510" s="376">
        <v>870</v>
      </c>
      <c r="B1510" s="377">
        <v>844600</v>
      </c>
      <c r="C1510" s="381" t="s">
        <v>7467</v>
      </c>
      <c r="D1510" s="379">
        <v>0</v>
      </c>
      <c r="E1510" s="380">
        <v>0</v>
      </c>
      <c r="F1510" s="380">
        <v>0</v>
      </c>
      <c r="H1510" s="351">
        <f t="shared" si="120"/>
        <v>0</v>
      </c>
      <c r="I1510" s="351">
        <f t="shared" si="121"/>
        <v>0</v>
      </c>
      <c r="M1510" s="321">
        <v>1741020470</v>
      </c>
      <c r="N1510" s="321">
        <v>74</v>
      </c>
      <c r="O1510" s="321" t="s">
        <v>2660</v>
      </c>
      <c r="P1510" s="321">
        <v>3741020</v>
      </c>
      <c r="Q1510" s="322">
        <v>4000</v>
      </c>
      <c r="R1510" s="322">
        <v>2100</v>
      </c>
      <c r="S1510" s="322">
        <v>6000</v>
      </c>
      <c r="T1510" s="322">
        <v>6000</v>
      </c>
      <c r="U1510" s="322">
        <f t="shared" si="117"/>
        <v>0</v>
      </c>
      <c r="W1510" s="321">
        <f t="shared" si="118"/>
        <v>470</v>
      </c>
      <c r="X1510" s="321">
        <f t="shared" si="119"/>
        <v>741020</v>
      </c>
      <c r="Y1510" s="321">
        <v>1</v>
      </c>
      <c r="AA1510" s="321" t="s">
        <v>2660</v>
      </c>
    </row>
    <row r="1511" spans="1:27">
      <c r="A1511" s="376">
        <v>780</v>
      </c>
      <c r="B1511" s="377">
        <v>845000</v>
      </c>
      <c r="C1511" s="382" t="s">
        <v>7468</v>
      </c>
      <c r="D1511" s="379">
        <v>0</v>
      </c>
      <c r="E1511" s="380">
        <v>0</v>
      </c>
      <c r="F1511" s="380">
        <v>0</v>
      </c>
      <c r="H1511" s="351">
        <f t="shared" si="120"/>
        <v>0</v>
      </c>
      <c r="I1511" s="351">
        <f t="shared" si="121"/>
        <v>0</v>
      </c>
      <c r="M1511" s="321">
        <v>1741020530</v>
      </c>
      <c r="N1511" s="321">
        <v>74</v>
      </c>
      <c r="O1511" s="321" t="s">
        <v>5585</v>
      </c>
      <c r="P1511" s="321">
        <v>3741020</v>
      </c>
      <c r="Q1511" s="322">
        <v>35000</v>
      </c>
      <c r="R1511" s="322">
        <v>17300</v>
      </c>
      <c r="S1511" s="322">
        <v>35000</v>
      </c>
      <c r="T1511" s="322">
        <v>35000</v>
      </c>
      <c r="U1511" s="322">
        <f t="shared" si="117"/>
        <v>0</v>
      </c>
      <c r="W1511" s="321">
        <f t="shared" si="118"/>
        <v>530</v>
      </c>
      <c r="X1511" s="321">
        <f t="shared" si="119"/>
        <v>741020</v>
      </c>
      <c r="Y1511" s="321">
        <v>1</v>
      </c>
      <c r="AA1511" s="321" t="s">
        <v>5585</v>
      </c>
    </row>
    <row r="1512" spans="1:27">
      <c r="A1512" s="376">
        <v>840</v>
      </c>
      <c r="B1512" s="377">
        <v>845100</v>
      </c>
      <c r="C1512" s="382" t="s">
        <v>7469</v>
      </c>
      <c r="D1512" s="379">
        <v>0</v>
      </c>
      <c r="E1512" s="380">
        <v>0</v>
      </c>
      <c r="F1512" s="380">
        <v>0</v>
      </c>
      <c r="H1512" s="351">
        <f t="shared" si="120"/>
        <v>0</v>
      </c>
      <c r="I1512" s="351">
        <f t="shared" si="121"/>
        <v>0</v>
      </c>
      <c r="M1512" s="321">
        <v>1741020542</v>
      </c>
      <c r="N1512" s="321">
        <v>74</v>
      </c>
      <c r="O1512" s="321" t="s">
        <v>5564</v>
      </c>
      <c r="P1512" s="321">
        <v>3741020</v>
      </c>
      <c r="Q1512" s="322">
        <v>2500</v>
      </c>
      <c r="R1512" s="322">
        <v>3600</v>
      </c>
      <c r="S1512" s="322">
        <v>9000</v>
      </c>
      <c r="T1512" s="322">
        <v>9000</v>
      </c>
      <c r="U1512" s="322">
        <f t="shared" si="117"/>
        <v>0</v>
      </c>
      <c r="W1512" s="321">
        <f t="shared" si="118"/>
        <v>542</v>
      </c>
      <c r="X1512" s="321">
        <f t="shared" si="119"/>
        <v>741020</v>
      </c>
      <c r="Y1512" s="321">
        <v>1</v>
      </c>
      <c r="AA1512" s="321" t="s">
        <v>5564</v>
      </c>
    </row>
    <row r="1513" spans="1:27">
      <c r="A1513" s="376">
        <v>841</v>
      </c>
      <c r="B1513" s="377">
        <v>845100</v>
      </c>
      <c r="C1513" s="382" t="s">
        <v>7470</v>
      </c>
      <c r="D1513" s="379">
        <v>0</v>
      </c>
      <c r="E1513" s="380">
        <v>0</v>
      </c>
      <c r="F1513" s="380">
        <v>0</v>
      </c>
      <c r="H1513" s="351">
        <f t="shared" si="120"/>
        <v>0</v>
      </c>
      <c r="I1513" s="351">
        <f t="shared" si="121"/>
        <v>0</v>
      </c>
      <c r="M1513" s="321">
        <v>1741020572</v>
      </c>
      <c r="N1513" s="321">
        <v>74</v>
      </c>
      <c r="O1513" s="321" t="s">
        <v>5253</v>
      </c>
      <c r="P1513" s="321">
        <v>3741020</v>
      </c>
      <c r="Q1513" s="322">
        <v>36000</v>
      </c>
      <c r="R1513" s="322">
        <v>18000</v>
      </c>
      <c r="S1513" s="322">
        <v>37000</v>
      </c>
      <c r="T1513" s="322">
        <v>37000</v>
      </c>
      <c r="U1513" s="322">
        <f t="shared" si="117"/>
        <v>0</v>
      </c>
      <c r="W1513" s="321">
        <f t="shared" si="118"/>
        <v>572</v>
      </c>
      <c r="X1513" s="321">
        <f t="shared" si="119"/>
        <v>741020</v>
      </c>
      <c r="Y1513" s="321">
        <v>1</v>
      </c>
      <c r="AA1513" s="321" t="s">
        <v>5253</v>
      </c>
    </row>
    <row r="1514" spans="1:27">
      <c r="A1514" s="376">
        <v>780</v>
      </c>
      <c r="B1514" s="377">
        <v>845101</v>
      </c>
      <c r="C1514" s="382" t="s">
        <v>7471</v>
      </c>
      <c r="D1514" s="379">
        <v>250</v>
      </c>
      <c r="E1514" s="380">
        <v>0</v>
      </c>
      <c r="F1514" s="380">
        <v>0</v>
      </c>
      <c r="H1514" s="351">
        <f t="shared" si="120"/>
        <v>250000</v>
      </c>
      <c r="I1514" s="351">
        <f t="shared" si="121"/>
        <v>0</v>
      </c>
      <c r="M1514" s="321">
        <v>1741020750</v>
      </c>
      <c r="N1514" s="321">
        <v>74</v>
      </c>
      <c r="O1514" s="321" t="s">
        <v>2707</v>
      </c>
      <c r="P1514" s="321">
        <v>3741020</v>
      </c>
      <c r="Q1514" s="322">
        <v>70000</v>
      </c>
      <c r="R1514" s="322">
        <v>47500</v>
      </c>
      <c r="S1514" s="322">
        <v>70000</v>
      </c>
      <c r="T1514" s="322">
        <v>70000</v>
      </c>
      <c r="U1514" s="322">
        <f t="shared" si="117"/>
        <v>0</v>
      </c>
      <c r="W1514" s="321">
        <f t="shared" si="118"/>
        <v>750</v>
      </c>
      <c r="X1514" s="321">
        <f t="shared" si="119"/>
        <v>741020</v>
      </c>
      <c r="Y1514" s="321">
        <v>1</v>
      </c>
      <c r="AA1514" s="321" t="s">
        <v>2707</v>
      </c>
    </row>
    <row r="1515" spans="1:27">
      <c r="A1515" s="376">
        <v>840</v>
      </c>
      <c r="B1515" s="377">
        <v>845101</v>
      </c>
      <c r="C1515" s="382" t="s">
        <v>7472</v>
      </c>
      <c r="D1515" s="379">
        <v>650</v>
      </c>
      <c r="E1515" s="380">
        <v>410</v>
      </c>
      <c r="F1515" s="380">
        <v>410</v>
      </c>
      <c r="H1515" s="351">
        <f t="shared" si="120"/>
        <v>650000</v>
      </c>
      <c r="I1515" s="351">
        <f t="shared" si="121"/>
        <v>410000</v>
      </c>
      <c r="M1515" s="321">
        <v>1741020779</v>
      </c>
      <c r="N1515" s="321">
        <v>74</v>
      </c>
      <c r="O1515" s="321" t="s">
        <v>5382</v>
      </c>
      <c r="P1515" s="321">
        <v>3741020</v>
      </c>
      <c r="Q1515" s="322">
        <v>4000</v>
      </c>
      <c r="R1515" s="322">
        <v>700</v>
      </c>
      <c r="S1515" s="322">
        <v>5000</v>
      </c>
      <c r="T1515" s="322">
        <v>5000</v>
      </c>
      <c r="U1515" s="322">
        <f t="shared" si="117"/>
        <v>0</v>
      </c>
      <c r="W1515" s="321">
        <f t="shared" si="118"/>
        <v>779</v>
      </c>
      <c r="X1515" s="321">
        <f t="shared" si="119"/>
        <v>741020</v>
      </c>
      <c r="Y1515" s="321">
        <v>1</v>
      </c>
      <c r="AA1515" s="321" t="s">
        <v>5382</v>
      </c>
    </row>
    <row r="1516" spans="1:27">
      <c r="A1516" s="376">
        <v>840</v>
      </c>
      <c r="B1516" s="377">
        <v>845102</v>
      </c>
      <c r="C1516" s="382" t="s">
        <v>6575</v>
      </c>
      <c r="D1516" s="379">
        <v>10</v>
      </c>
      <c r="E1516" s="380">
        <v>10</v>
      </c>
      <c r="F1516" s="380">
        <v>13</v>
      </c>
      <c r="H1516" s="351">
        <f t="shared" si="120"/>
        <v>10000</v>
      </c>
      <c r="I1516" s="351">
        <f t="shared" si="121"/>
        <v>13000</v>
      </c>
      <c r="M1516" s="321">
        <v>1741020920</v>
      </c>
      <c r="N1516" s="321">
        <v>74</v>
      </c>
      <c r="O1516" s="321" t="s">
        <v>5586</v>
      </c>
      <c r="P1516" s="321">
        <v>3741020</v>
      </c>
      <c r="Q1516" s="322">
        <v>1100000</v>
      </c>
      <c r="R1516" s="322">
        <v>315200</v>
      </c>
      <c r="S1516" s="322">
        <v>1100000</v>
      </c>
      <c r="T1516" s="322">
        <v>1000000</v>
      </c>
      <c r="U1516" s="322">
        <f t="shared" si="117"/>
        <v>100000</v>
      </c>
      <c r="W1516" s="321">
        <f t="shared" si="118"/>
        <v>920</v>
      </c>
      <c r="X1516" s="321">
        <f t="shared" si="119"/>
        <v>741020</v>
      </c>
      <c r="Y1516" s="321">
        <v>1</v>
      </c>
      <c r="AA1516" s="321" t="s">
        <v>5586</v>
      </c>
    </row>
    <row r="1517" spans="1:27">
      <c r="A1517" s="376">
        <v>840</v>
      </c>
      <c r="B1517" s="377">
        <v>845103</v>
      </c>
      <c r="C1517" s="382" t="s">
        <v>6576</v>
      </c>
      <c r="D1517" s="379">
        <v>10</v>
      </c>
      <c r="E1517" s="380">
        <v>10</v>
      </c>
      <c r="F1517" s="380">
        <v>8</v>
      </c>
      <c r="H1517" s="351">
        <f t="shared" si="120"/>
        <v>10000</v>
      </c>
      <c r="I1517" s="351">
        <f t="shared" si="121"/>
        <v>8000</v>
      </c>
      <c r="M1517" s="321">
        <v>1742000110</v>
      </c>
      <c r="N1517" s="321">
        <v>74</v>
      </c>
      <c r="O1517" s="321" t="s">
        <v>5205</v>
      </c>
      <c r="P1517" s="321">
        <v>6742000</v>
      </c>
      <c r="Q1517" s="322">
        <v>909000</v>
      </c>
      <c r="R1517" s="322">
        <v>609900</v>
      </c>
      <c r="S1517" s="322">
        <v>844000</v>
      </c>
      <c r="T1517" s="322">
        <v>844000</v>
      </c>
      <c r="U1517" s="322">
        <f t="shared" si="117"/>
        <v>0</v>
      </c>
      <c r="W1517" s="321">
        <f t="shared" si="118"/>
        <v>110</v>
      </c>
      <c r="X1517" s="321">
        <f t="shared" si="119"/>
        <v>742000</v>
      </c>
      <c r="Y1517" s="321">
        <v>1</v>
      </c>
      <c r="AA1517" s="321" t="s">
        <v>5205</v>
      </c>
    </row>
    <row r="1518" spans="1:27">
      <c r="A1518" s="376">
        <v>840</v>
      </c>
      <c r="B1518" s="377">
        <v>845104</v>
      </c>
      <c r="C1518" s="382" t="s">
        <v>6579</v>
      </c>
      <c r="D1518" s="379">
        <v>16660</v>
      </c>
      <c r="E1518" s="380">
        <v>16300</v>
      </c>
      <c r="F1518" s="380">
        <v>16300</v>
      </c>
      <c r="H1518" s="351">
        <f t="shared" si="120"/>
        <v>16660000</v>
      </c>
      <c r="I1518" s="351">
        <f t="shared" si="121"/>
        <v>16300000</v>
      </c>
      <c r="M1518" s="321">
        <v>1742000120</v>
      </c>
      <c r="N1518" s="321">
        <v>74</v>
      </c>
      <c r="O1518" s="321" t="s">
        <v>5206</v>
      </c>
      <c r="P1518" s="321">
        <v>6742000</v>
      </c>
      <c r="Q1518" s="322">
        <v>174000</v>
      </c>
      <c r="R1518" s="322">
        <v>79100</v>
      </c>
      <c r="S1518" s="322">
        <v>92000</v>
      </c>
      <c r="T1518" s="322">
        <v>92000</v>
      </c>
      <c r="U1518" s="322">
        <f t="shared" si="117"/>
        <v>0</v>
      </c>
      <c r="W1518" s="321">
        <f t="shared" si="118"/>
        <v>120</v>
      </c>
      <c r="X1518" s="321">
        <f t="shared" si="119"/>
        <v>742000</v>
      </c>
      <c r="Y1518" s="321">
        <v>1</v>
      </c>
      <c r="AA1518" s="321" t="s">
        <v>5206</v>
      </c>
    </row>
    <row r="1519" spans="1:27">
      <c r="A1519" s="376">
        <v>840</v>
      </c>
      <c r="B1519" s="377">
        <v>845105</v>
      </c>
      <c r="C1519" s="382" t="s">
        <v>6580</v>
      </c>
      <c r="D1519" s="379">
        <v>6600</v>
      </c>
      <c r="E1519" s="380">
        <v>6600</v>
      </c>
      <c r="F1519" s="380">
        <v>6600</v>
      </c>
      <c r="H1519" s="351">
        <f t="shared" si="120"/>
        <v>6600000</v>
      </c>
      <c r="I1519" s="351">
        <f t="shared" si="121"/>
        <v>6600000</v>
      </c>
      <c r="M1519" s="321">
        <v>1742000130</v>
      </c>
      <c r="N1519" s="321">
        <v>74</v>
      </c>
      <c r="O1519" s="321" t="s">
        <v>2576</v>
      </c>
      <c r="P1519" s="321">
        <v>6742000</v>
      </c>
      <c r="Q1519" s="322">
        <v>40000</v>
      </c>
      <c r="R1519" s="322">
        <v>39500</v>
      </c>
      <c r="S1519" s="322">
        <v>54000</v>
      </c>
      <c r="T1519" s="322">
        <v>48600</v>
      </c>
      <c r="U1519" s="322">
        <f t="shared" si="117"/>
        <v>5400</v>
      </c>
      <c r="W1519" s="321">
        <f t="shared" si="118"/>
        <v>130</v>
      </c>
      <c r="X1519" s="321">
        <f t="shared" si="119"/>
        <v>742000</v>
      </c>
      <c r="Y1519" s="321">
        <v>1</v>
      </c>
      <c r="AA1519" s="321" t="s">
        <v>2576</v>
      </c>
    </row>
    <row r="1520" spans="1:27">
      <c r="A1520" s="376">
        <v>840</v>
      </c>
      <c r="B1520" s="377">
        <v>845106</v>
      </c>
      <c r="C1520" s="382" t="s">
        <v>6581</v>
      </c>
      <c r="D1520" s="379">
        <v>4800</v>
      </c>
      <c r="E1520" s="380">
        <v>4440</v>
      </c>
      <c r="F1520" s="380">
        <v>4440</v>
      </c>
      <c r="H1520" s="351">
        <f t="shared" si="120"/>
        <v>4800000</v>
      </c>
      <c r="I1520" s="351">
        <f t="shared" si="121"/>
        <v>4440000</v>
      </c>
      <c r="M1520" s="321">
        <v>1742000140</v>
      </c>
      <c r="N1520" s="321">
        <v>74</v>
      </c>
      <c r="O1520" s="321" t="s">
        <v>5207</v>
      </c>
      <c r="P1520" s="321">
        <v>6742000</v>
      </c>
      <c r="Q1520" s="322">
        <v>241000</v>
      </c>
      <c r="R1520" s="322">
        <v>156100</v>
      </c>
      <c r="S1520" s="322">
        <v>217000</v>
      </c>
      <c r="T1520" s="322">
        <v>217000</v>
      </c>
      <c r="U1520" s="322">
        <f t="shared" si="117"/>
        <v>0</v>
      </c>
      <c r="W1520" s="321">
        <f t="shared" si="118"/>
        <v>140</v>
      </c>
      <c r="X1520" s="321">
        <f t="shared" si="119"/>
        <v>742000</v>
      </c>
      <c r="Y1520" s="321">
        <v>1</v>
      </c>
      <c r="AA1520" s="321" t="s">
        <v>5207</v>
      </c>
    </row>
    <row r="1521" spans="1:27">
      <c r="A1521" s="376">
        <v>840</v>
      </c>
      <c r="B1521" s="377">
        <v>845107</v>
      </c>
      <c r="C1521" s="382" t="s">
        <v>6583</v>
      </c>
      <c r="D1521" s="379">
        <v>240</v>
      </c>
      <c r="E1521" s="380">
        <v>120</v>
      </c>
      <c r="F1521" s="380">
        <v>120</v>
      </c>
      <c r="H1521" s="351">
        <f t="shared" si="120"/>
        <v>240000</v>
      </c>
      <c r="I1521" s="351">
        <f t="shared" si="121"/>
        <v>120000</v>
      </c>
      <c r="M1521" s="321">
        <v>1742000141</v>
      </c>
      <c r="N1521" s="321">
        <v>74</v>
      </c>
      <c r="O1521" s="321" t="s">
        <v>5208</v>
      </c>
      <c r="P1521" s="321">
        <v>6742000</v>
      </c>
      <c r="Q1521" s="322">
        <v>38000</v>
      </c>
      <c r="R1521" s="322">
        <v>30000</v>
      </c>
      <c r="S1521" s="322">
        <v>41000</v>
      </c>
      <c r="T1521" s="322">
        <v>41000</v>
      </c>
      <c r="U1521" s="322">
        <f t="shared" si="117"/>
        <v>0</v>
      </c>
      <c r="W1521" s="321">
        <f t="shared" si="118"/>
        <v>141</v>
      </c>
      <c r="X1521" s="321">
        <f t="shared" si="119"/>
        <v>742000</v>
      </c>
      <c r="Y1521" s="321">
        <v>1</v>
      </c>
      <c r="AA1521" s="321" t="s">
        <v>5208</v>
      </c>
    </row>
    <row r="1522" spans="1:27">
      <c r="A1522" s="376">
        <v>840</v>
      </c>
      <c r="B1522" s="377">
        <v>845108</v>
      </c>
      <c r="C1522" s="382" t="s">
        <v>6584</v>
      </c>
      <c r="D1522" s="379">
        <v>100</v>
      </c>
      <c r="E1522" s="380">
        <v>100</v>
      </c>
      <c r="F1522" s="380">
        <v>200</v>
      </c>
      <c r="H1522" s="351">
        <f t="shared" si="120"/>
        <v>100000</v>
      </c>
      <c r="I1522" s="351">
        <f t="shared" si="121"/>
        <v>200000</v>
      </c>
      <c r="M1522" s="321">
        <v>1742000181</v>
      </c>
      <c r="N1522" s="321">
        <v>74</v>
      </c>
      <c r="O1522" s="321" t="s">
        <v>2580</v>
      </c>
      <c r="P1522" s="321">
        <v>6742000</v>
      </c>
      <c r="Q1522" s="322">
        <v>167000</v>
      </c>
      <c r="R1522" s="322">
        <v>126300</v>
      </c>
      <c r="S1522" s="322">
        <v>173000</v>
      </c>
      <c r="T1522" s="322">
        <v>173000</v>
      </c>
      <c r="U1522" s="322">
        <f t="shared" si="117"/>
        <v>0</v>
      </c>
      <c r="W1522" s="321">
        <f t="shared" si="118"/>
        <v>181</v>
      </c>
      <c r="X1522" s="321">
        <f t="shared" si="119"/>
        <v>742000</v>
      </c>
      <c r="Y1522" s="321">
        <v>1</v>
      </c>
      <c r="AA1522" s="321" t="s">
        <v>2580</v>
      </c>
    </row>
    <row r="1523" spans="1:27">
      <c r="A1523" s="376">
        <v>840</v>
      </c>
      <c r="B1523" s="377">
        <v>845109</v>
      </c>
      <c r="C1523" s="382" t="s">
        <v>6586</v>
      </c>
      <c r="D1523" s="379">
        <v>69</v>
      </c>
      <c r="E1523" s="380">
        <v>9</v>
      </c>
      <c r="F1523" s="380">
        <v>19</v>
      </c>
      <c r="H1523" s="351">
        <f t="shared" si="120"/>
        <v>69000</v>
      </c>
      <c r="I1523" s="351">
        <f t="shared" si="121"/>
        <v>19000</v>
      </c>
      <c r="M1523" s="321">
        <v>1742000182</v>
      </c>
      <c r="N1523" s="321">
        <v>74</v>
      </c>
      <c r="O1523" s="321" t="s">
        <v>2582</v>
      </c>
      <c r="P1523" s="321">
        <v>6742000</v>
      </c>
      <c r="Q1523" s="322">
        <v>192000</v>
      </c>
      <c r="R1523" s="322">
        <v>126400</v>
      </c>
      <c r="S1523" s="322">
        <v>178000</v>
      </c>
      <c r="T1523" s="322">
        <v>178000</v>
      </c>
      <c r="U1523" s="322">
        <f t="shared" si="117"/>
        <v>0</v>
      </c>
      <c r="W1523" s="321">
        <f t="shared" si="118"/>
        <v>182</v>
      </c>
      <c r="X1523" s="321">
        <f t="shared" si="119"/>
        <v>742000</v>
      </c>
      <c r="Y1523" s="321">
        <v>1</v>
      </c>
      <c r="AA1523" s="321" t="s">
        <v>2582</v>
      </c>
    </row>
    <row r="1524" spans="1:27">
      <c r="A1524" s="376">
        <v>840</v>
      </c>
      <c r="B1524" s="377">
        <v>845110</v>
      </c>
      <c r="C1524" s="382" t="s">
        <v>6587</v>
      </c>
      <c r="D1524" s="379">
        <v>456</v>
      </c>
      <c r="E1524" s="380">
        <v>360</v>
      </c>
      <c r="F1524" s="380">
        <v>360</v>
      </c>
      <c r="H1524" s="351">
        <f t="shared" si="120"/>
        <v>456000</v>
      </c>
      <c r="I1524" s="351">
        <f t="shared" si="121"/>
        <v>360000</v>
      </c>
      <c r="M1524" s="321">
        <v>1742000530</v>
      </c>
      <c r="N1524" s="321">
        <v>74</v>
      </c>
      <c r="O1524" s="321" t="s">
        <v>5587</v>
      </c>
      <c r="P1524" s="321">
        <v>6742000</v>
      </c>
      <c r="Q1524" s="322">
        <v>40000</v>
      </c>
      <c r="R1524" s="322">
        <v>14000</v>
      </c>
      <c r="S1524" s="322">
        <v>40000</v>
      </c>
      <c r="T1524" s="322">
        <v>40000</v>
      </c>
      <c r="U1524" s="322">
        <f t="shared" si="117"/>
        <v>0</v>
      </c>
      <c r="W1524" s="321">
        <f t="shared" si="118"/>
        <v>530</v>
      </c>
      <c r="X1524" s="321">
        <f t="shared" si="119"/>
        <v>742000</v>
      </c>
      <c r="Y1524" s="321">
        <v>1</v>
      </c>
      <c r="AA1524" s="321" t="s">
        <v>5587</v>
      </c>
    </row>
    <row r="1525" spans="1:27">
      <c r="A1525" s="376">
        <v>840</v>
      </c>
      <c r="B1525" s="377">
        <v>845111</v>
      </c>
      <c r="C1525" s="382" t="s">
        <v>6589</v>
      </c>
      <c r="D1525" s="379">
        <v>18</v>
      </c>
      <c r="E1525" s="380">
        <v>10</v>
      </c>
      <c r="F1525" s="380">
        <v>18</v>
      </c>
      <c r="H1525" s="351">
        <f t="shared" si="120"/>
        <v>18000</v>
      </c>
      <c r="I1525" s="351">
        <f t="shared" si="121"/>
        <v>18000</v>
      </c>
      <c r="M1525" s="321">
        <v>1742000531</v>
      </c>
      <c r="N1525" s="321">
        <v>74</v>
      </c>
      <c r="O1525" s="321" t="s">
        <v>5588</v>
      </c>
      <c r="P1525" s="321">
        <v>6742000</v>
      </c>
      <c r="Q1525" s="322">
        <v>35000</v>
      </c>
      <c r="R1525" s="322">
        <v>10100</v>
      </c>
      <c r="S1525" s="322">
        <v>0</v>
      </c>
      <c r="T1525" s="322">
        <v>0</v>
      </c>
      <c r="U1525" s="322">
        <f t="shared" si="117"/>
        <v>0</v>
      </c>
      <c r="W1525" s="321">
        <f t="shared" si="118"/>
        <v>531</v>
      </c>
      <c r="X1525" s="321">
        <f t="shared" si="119"/>
        <v>742000</v>
      </c>
      <c r="Y1525" s="321">
        <v>1</v>
      </c>
      <c r="AA1525" s="321" t="s">
        <v>5588</v>
      </c>
    </row>
    <row r="1526" spans="1:27">
      <c r="A1526" s="376">
        <v>840</v>
      </c>
      <c r="B1526" s="377">
        <v>845200</v>
      </c>
      <c r="C1526" s="382" t="s">
        <v>7473</v>
      </c>
      <c r="D1526" s="379">
        <v>0</v>
      </c>
      <c r="E1526" s="380">
        <v>0</v>
      </c>
      <c r="F1526" s="380">
        <v>0</v>
      </c>
      <c r="H1526" s="351">
        <f t="shared" si="120"/>
        <v>0</v>
      </c>
      <c r="I1526" s="351">
        <f t="shared" si="121"/>
        <v>0</v>
      </c>
      <c r="M1526" s="321">
        <v>1742000540</v>
      </c>
      <c r="N1526" s="321">
        <v>74</v>
      </c>
      <c r="O1526" s="321" t="s">
        <v>5216</v>
      </c>
      <c r="P1526" s="321">
        <v>6742000</v>
      </c>
      <c r="Q1526" s="322">
        <v>2000</v>
      </c>
      <c r="R1526" s="322">
        <v>1000</v>
      </c>
      <c r="S1526" s="322">
        <v>2000</v>
      </c>
      <c r="T1526" s="322">
        <v>2000</v>
      </c>
      <c r="U1526" s="322">
        <f t="shared" si="117"/>
        <v>0</v>
      </c>
      <c r="W1526" s="321">
        <f t="shared" si="118"/>
        <v>540</v>
      </c>
      <c r="X1526" s="321">
        <f t="shared" si="119"/>
        <v>742000</v>
      </c>
      <c r="Y1526" s="321">
        <v>1</v>
      </c>
      <c r="AA1526" s="321" t="s">
        <v>5216</v>
      </c>
    </row>
    <row r="1527" spans="1:27">
      <c r="A1527" s="376">
        <v>840</v>
      </c>
      <c r="B1527" s="377">
        <v>845201</v>
      </c>
      <c r="C1527" s="382" t="s">
        <v>7474</v>
      </c>
      <c r="D1527" s="379">
        <v>51</v>
      </c>
      <c r="E1527" s="380">
        <v>36</v>
      </c>
      <c r="F1527" s="380">
        <v>35.999947368421054</v>
      </c>
      <c r="H1527" s="351">
        <f t="shared" si="120"/>
        <v>51000</v>
      </c>
      <c r="I1527" s="351">
        <f t="shared" si="121"/>
        <v>35999.947368421053</v>
      </c>
      <c r="M1527" s="321">
        <v>1742000691</v>
      </c>
      <c r="N1527" s="321">
        <v>74</v>
      </c>
      <c r="O1527" s="321" t="s">
        <v>5589</v>
      </c>
      <c r="P1527" s="321">
        <v>6742000</v>
      </c>
      <c r="Q1527" s="322">
        <v>0</v>
      </c>
      <c r="R1527" s="322">
        <v>0</v>
      </c>
      <c r="S1527" s="322">
        <v>0</v>
      </c>
      <c r="T1527" s="322">
        <v>0</v>
      </c>
      <c r="U1527" s="322">
        <f t="shared" si="117"/>
        <v>0</v>
      </c>
      <c r="W1527" s="321">
        <f t="shared" si="118"/>
        <v>691</v>
      </c>
      <c r="X1527" s="321">
        <f t="shared" si="119"/>
        <v>742000</v>
      </c>
      <c r="Y1527" s="321">
        <v>1</v>
      </c>
      <c r="AA1527" s="321" t="s">
        <v>5589</v>
      </c>
    </row>
    <row r="1528" spans="1:27">
      <c r="A1528" s="376">
        <v>840</v>
      </c>
      <c r="B1528" s="377">
        <v>845202</v>
      </c>
      <c r="C1528" s="382" t="s">
        <v>7475</v>
      </c>
      <c r="D1528" s="379">
        <v>1236</v>
      </c>
      <c r="E1528" s="380">
        <v>1164</v>
      </c>
      <c r="F1528" s="380">
        <v>1164</v>
      </c>
      <c r="H1528" s="351">
        <f t="shared" si="120"/>
        <v>1236000</v>
      </c>
      <c r="I1528" s="351">
        <f t="shared" si="121"/>
        <v>1164000</v>
      </c>
      <c r="M1528" s="321">
        <v>1742000692</v>
      </c>
      <c r="N1528" s="321">
        <v>74</v>
      </c>
      <c r="O1528" s="321" t="s">
        <v>5590</v>
      </c>
      <c r="P1528" s="321">
        <v>6742000</v>
      </c>
      <c r="Q1528" s="322">
        <v>0</v>
      </c>
      <c r="R1528" s="322">
        <v>0</v>
      </c>
      <c r="S1528" s="322">
        <v>0</v>
      </c>
      <c r="T1528" s="322">
        <v>0</v>
      </c>
      <c r="U1528" s="322">
        <f t="shared" si="117"/>
        <v>0</v>
      </c>
      <c r="W1528" s="321">
        <f t="shared" si="118"/>
        <v>692</v>
      </c>
      <c r="X1528" s="321">
        <f t="shared" si="119"/>
        <v>742000</v>
      </c>
      <c r="Y1528" s="321">
        <v>1</v>
      </c>
      <c r="AA1528" s="321" t="s">
        <v>5590</v>
      </c>
    </row>
    <row r="1529" spans="1:27">
      <c r="A1529" s="376">
        <v>410</v>
      </c>
      <c r="B1529" s="377">
        <v>845203</v>
      </c>
      <c r="C1529" s="382" t="s">
        <v>7476</v>
      </c>
      <c r="D1529" s="379">
        <v>150</v>
      </c>
      <c r="E1529" s="380">
        <v>150</v>
      </c>
      <c r="F1529" s="380">
        <v>150</v>
      </c>
      <c r="H1529" s="351">
        <f t="shared" si="120"/>
        <v>150000</v>
      </c>
      <c r="I1529" s="351">
        <f t="shared" si="121"/>
        <v>150000</v>
      </c>
      <c r="M1529" s="321">
        <v>1742000693</v>
      </c>
      <c r="N1529" s="321">
        <v>74</v>
      </c>
      <c r="O1529" s="321" t="s">
        <v>5591</v>
      </c>
      <c r="P1529" s="321">
        <v>6742000</v>
      </c>
      <c r="Q1529" s="322">
        <v>0</v>
      </c>
      <c r="R1529" s="322">
        <v>0</v>
      </c>
      <c r="S1529" s="322">
        <v>0</v>
      </c>
      <c r="T1529" s="322">
        <v>0</v>
      </c>
      <c r="U1529" s="322">
        <f t="shared" si="117"/>
        <v>0</v>
      </c>
      <c r="W1529" s="321">
        <f t="shared" si="118"/>
        <v>693</v>
      </c>
      <c r="X1529" s="321">
        <f t="shared" si="119"/>
        <v>742000</v>
      </c>
      <c r="Y1529" s="321">
        <v>1</v>
      </c>
      <c r="AA1529" s="321" t="s">
        <v>5591</v>
      </c>
    </row>
    <row r="1530" spans="1:27">
      <c r="A1530" s="376">
        <v>840</v>
      </c>
      <c r="B1530" s="377">
        <v>845203</v>
      </c>
      <c r="C1530" s="382" t="s">
        <v>6595</v>
      </c>
      <c r="D1530" s="379">
        <v>598</v>
      </c>
      <c r="E1530" s="380">
        <v>550</v>
      </c>
      <c r="F1530" s="380">
        <v>550</v>
      </c>
      <c r="H1530" s="351">
        <f t="shared" si="120"/>
        <v>598000</v>
      </c>
      <c r="I1530" s="351">
        <f t="shared" si="121"/>
        <v>550000</v>
      </c>
      <c r="M1530" s="321">
        <v>1742000730</v>
      </c>
      <c r="N1530" s="321">
        <v>74</v>
      </c>
      <c r="O1530" s="321" t="s">
        <v>5592</v>
      </c>
      <c r="P1530" s="321">
        <v>6742000</v>
      </c>
      <c r="Q1530" s="322">
        <v>25000</v>
      </c>
      <c r="R1530" s="322">
        <v>8300</v>
      </c>
      <c r="S1530" s="322">
        <v>25000</v>
      </c>
      <c r="T1530" s="322">
        <v>25000</v>
      </c>
      <c r="U1530" s="322">
        <f t="shared" si="117"/>
        <v>0</v>
      </c>
      <c r="W1530" s="321">
        <f t="shared" si="118"/>
        <v>730</v>
      </c>
      <c r="X1530" s="321">
        <f t="shared" si="119"/>
        <v>742000</v>
      </c>
      <c r="Y1530" s="321">
        <v>1</v>
      </c>
      <c r="AA1530" s="321" t="s">
        <v>5592</v>
      </c>
    </row>
    <row r="1531" spans="1:27">
      <c r="A1531" s="376">
        <v>184</v>
      </c>
      <c r="B1531" s="377">
        <v>845210</v>
      </c>
      <c r="C1531" s="378" t="s">
        <v>7477</v>
      </c>
      <c r="D1531" s="379">
        <v>0</v>
      </c>
      <c r="E1531" s="380">
        <v>0</v>
      </c>
      <c r="F1531" s="380">
        <v>0</v>
      </c>
      <c r="H1531" s="351">
        <f t="shared" si="120"/>
        <v>0</v>
      </c>
      <c r="I1531" s="351">
        <f t="shared" si="121"/>
        <v>0</v>
      </c>
      <c r="M1531" s="321">
        <v>1742010110</v>
      </c>
      <c r="N1531" s="321">
        <v>74</v>
      </c>
      <c r="O1531" s="321" t="s">
        <v>5205</v>
      </c>
      <c r="P1531" s="321">
        <v>6742000</v>
      </c>
      <c r="Q1531" s="322">
        <v>240000</v>
      </c>
      <c r="R1531" s="322">
        <v>67000</v>
      </c>
      <c r="S1531" s="322">
        <v>92000</v>
      </c>
      <c r="T1531" s="322">
        <v>92000</v>
      </c>
      <c r="U1531" s="322">
        <f t="shared" si="117"/>
        <v>0</v>
      </c>
      <c r="W1531" s="321">
        <f t="shared" si="118"/>
        <v>110</v>
      </c>
      <c r="X1531" s="321">
        <f t="shared" si="119"/>
        <v>742010</v>
      </c>
      <c r="Y1531" s="321">
        <v>1</v>
      </c>
      <c r="AA1531" s="321" t="s">
        <v>5205</v>
      </c>
    </row>
    <row r="1532" spans="1:27">
      <c r="A1532" s="376">
        <v>840</v>
      </c>
      <c r="B1532" s="377">
        <v>845210</v>
      </c>
      <c r="C1532" s="381" t="s">
        <v>7478</v>
      </c>
      <c r="D1532" s="379">
        <v>0</v>
      </c>
      <c r="E1532" s="380">
        <v>0</v>
      </c>
      <c r="F1532" s="380">
        <v>0</v>
      </c>
      <c r="H1532" s="351">
        <f t="shared" si="120"/>
        <v>0</v>
      </c>
      <c r="I1532" s="351">
        <f t="shared" si="121"/>
        <v>0</v>
      </c>
      <c r="M1532" s="321">
        <v>1742010120</v>
      </c>
      <c r="N1532" s="321">
        <v>74</v>
      </c>
      <c r="O1532" s="321" t="s">
        <v>5593</v>
      </c>
      <c r="P1532" s="321">
        <v>6742000</v>
      </c>
      <c r="Q1532" s="322">
        <v>47000</v>
      </c>
      <c r="R1532" s="322">
        <v>7600</v>
      </c>
      <c r="S1532" s="322">
        <v>8000</v>
      </c>
      <c r="T1532" s="322">
        <v>8000</v>
      </c>
      <c r="U1532" s="322">
        <f t="shared" si="117"/>
        <v>0</v>
      </c>
      <c r="W1532" s="321">
        <f t="shared" si="118"/>
        <v>120</v>
      </c>
      <c r="X1532" s="321">
        <f t="shared" si="119"/>
        <v>742010</v>
      </c>
      <c r="Y1532" s="321">
        <v>1</v>
      </c>
      <c r="AA1532" s="321" t="s">
        <v>5593</v>
      </c>
    </row>
    <row r="1533" spans="1:27">
      <c r="A1533" s="376">
        <v>840</v>
      </c>
      <c r="B1533" s="377">
        <v>845300</v>
      </c>
      <c r="C1533" s="382" t="s">
        <v>7479</v>
      </c>
      <c r="D1533" s="379">
        <v>0</v>
      </c>
      <c r="E1533" s="380">
        <v>0</v>
      </c>
      <c r="F1533" s="380">
        <v>0</v>
      </c>
      <c r="H1533" s="351">
        <f t="shared" si="120"/>
        <v>0</v>
      </c>
      <c r="I1533" s="351">
        <f t="shared" si="121"/>
        <v>0</v>
      </c>
      <c r="M1533" s="321">
        <v>1742010130</v>
      </c>
      <c r="N1533" s="321">
        <v>74</v>
      </c>
      <c r="O1533" s="321" t="s">
        <v>2576</v>
      </c>
      <c r="P1533" s="321">
        <v>6742000</v>
      </c>
      <c r="Q1533" s="322">
        <v>55000</v>
      </c>
      <c r="R1533" s="322">
        <v>30800</v>
      </c>
      <c r="S1533" s="322">
        <v>42000</v>
      </c>
      <c r="T1533" s="322">
        <v>37800</v>
      </c>
      <c r="U1533" s="322">
        <f t="shared" si="117"/>
        <v>4200</v>
      </c>
      <c r="W1533" s="321">
        <f t="shared" si="118"/>
        <v>130</v>
      </c>
      <c r="X1533" s="321">
        <f t="shared" si="119"/>
        <v>742010</v>
      </c>
      <c r="Y1533" s="321">
        <v>1</v>
      </c>
      <c r="AA1533" s="321" t="s">
        <v>2576</v>
      </c>
    </row>
    <row r="1534" spans="1:27">
      <c r="A1534" s="376">
        <v>841</v>
      </c>
      <c r="B1534" s="377">
        <v>845300</v>
      </c>
      <c r="C1534" s="382" t="s">
        <v>7480</v>
      </c>
      <c r="D1534" s="379">
        <v>0</v>
      </c>
      <c r="E1534" s="380">
        <v>0</v>
      </c>
      <c r="F1534" s="380">
        <v>0</v>
      </c>
      <c r="H1534" s="351">
        <f t="shared" si="120"/>
        <v>0</v>
      </c>
      <c r="I1534" s="351">
        <f t="shared" si="121"/>
        <v>0</v>
      </c>
      <c r="M1534" s="321">
        <v>1742010140</v>
      </c>
      <c r="N1534" s="321">
        <v>74</v>
      </c>
      <c r="O1534" s="321" t="s">
        <v>5207</v>
      </c>
      <c r="P1534" s="321">
        <v>6742000</v>
      </c>
      <c r="Q1534" s="322">
        <v>83000</v>
      </c>
      <c r="R1534" s="322">
        <v>28100</v>
      </c>
      <c r="S1534" s="322">
        <v>37000</v>
      </c>
      <c r="T1534" s="322">
        <v>37000</v>
      </c>
      <c r="U1534" s="322">
        <f t="shared" si="117"/>
        <v>0</v>
      </c>
      <c r="W1534" s="321">
        <f t="shared" si="118"/>
        <v>140</v>
      </c>
      <c r="X1534" s="321">
        <f t="shared" si="119"/>
        <v>742010</v>
      </c>
      <c r="Y1534" s="321">
        <v>1</v>
      </c>
      <c r="AA1534" s="321" t="s">
        <v>5207</v>
      </c>
    </row>
    <row r="1535" spans="1:27">
      <c r="A1535" s="376">
        <v>840</v>
      </c>
      <c r="B1535" s="377">
        <v>845301</v>
      </c>
      <c r="C1535" s="382" t="s">
        <v>6598</v>
      </c>
      <c r="D1535" s="379">
        <v>36</v>
      </c>
      <c r="E1535" s="380">
        <v>15</v>
      </c>
      <c r="F1535" s="380">
        <v>15</v>
      </c>
      <c r="H1535" s="351">
        <f t="shared" si="120"/>
        <v>36000</v>
      </c>
      <c r="I1535" s="351">
        <f t="shared" si="121"/>
        <v>15000</v>
      </c>
      <c r="M1535" s="321">
        <v>1742010141</v>
      </c>
      <c r="N1535" s="321">
        <v>74</v>
      </c>
      <c r="O1535" s="321" t="s">
        <v>5208</v>
      </c>
      <c r="P1535" s="321">
        <v>6742000</v>
      </c>
      <c r="Q1535" s="322">
        <v>9000</v>
      </c>
      <c r="R1535" s="322">
        <v>2700</v>
      </c>
      <c r="S1535" s="322">
        <v>4000</v>
      </c>
      <c r="T1535" s="322">
        <v>4000</v>
      </c>
      <c r="U1535" s="322">
        <f t="shared" si="117"/>
        <v>0</v>
      </c>
      <c r="W1535" s="321">
        <f t="shared" si="118"/>
        <v>141</v>
      </c>
      <c r="X1535" s="321">
        <f t="shared" si="119"/>
        <v>742010</v>
      </c>
      <c r="Y1535" s="321">
        <v>1</v>
      </c>
      <c r="AA1535" s="321" t="s">
        <v>5208</v>
      </c>
    </row>
    <row r="1536" spans="1:27">
      <c r="A1536" s="376">
        <v>840</v>
      </c>
      <c r="B1536" s="377">
        <v>845302</v>
      </c>
      <c r="C1536" s="382" t="s">
        <v>6600</v>
      </c>
      <c r="D1536" s="379">
        <v>550</v>
      </c>
      <c r="E1536" s="380">
        <v>300</v>
      </c>
      <c r="F1536" s="380">
        <v>300</v>
      </c>
      <c r="H1536" s="351">
        <f t="shared" si="120"/>
        <v>550000</v>
      </c>
      <c r="I1536" s="351">
        <f t="shared" si="121"/>
        <v>300000</v>
      </c>
      <c r="M1536" s="321">
        <v>1742010181</v>
      </c>
      <c r="N1536" s="321">
        <v>74</v>
      </c>
      <c r="O1536" s="321" t="s">
        <v>2580</v>
      </c>
      <c r="P1536" s="321">
        <v>6742000</v>
      </c>
      <c r="Q1536" s="322">
        <v>39000</v>
      </c>
      <c r="R1536" s="322">
        <v>12300</v>
      </c>
      <c r="S1536" s="322">
        <v>17000</v>
      </c>
      <c r="T1536" s="322">
        <v>17000</v>
      </c>
      <c r="U1536" s="322">
        <f t="shared" si="117"/>
        <v>0</v>
      </c>
      <c r="W1536" s="321">
        <f t="shared" si="118"/>
        <v>181</v>
      </c>
      <c r="X1536" s="321">
        <f t="shared" si="119"/>
        <v>742010</v>
      </c>
      <c r="Y1536" s="321">
        <v>1</v>
      </c>
      <c r="AA1536" s="321" t="s">
        <v>2580</v>
      </c>
    </row>
    <row r="1537" spans="1:27">
      <c r="A1537" s="376">
        <v>840</v>
      </c>
      <c r="B1537" s="377">
        <v>845303</v>
      </c>
      <c r="C1537" s="382" t="s">
        <v>6601</v>
      </c>
      <c r="D1537" s="379">
        <v>9</v>
      </c>
      <c r="E1537" s="380">
        <v>9</v>
      </c>
      <c r="F1537" s="380">
        <v>9</v>
      </c>
      <c r="H1537" s="351">
        <f t="shared" si="120"/>
        <v>9000</v>
      </c>
      <c r="I1537" s="351">
        <f t="shared" si="121"/>
        <v>9000</v>
      </c>
      <c r="M1537" s="321">
        <v>1742010182</v>
      </c>
      <c r="N1537" s="321">
        <v>74</v>
      </c>
      <c r="O1537" s="321" t="s">
        <v>2582</v>
      </c>
      <c r="P1537" s="321">
        <v>6742000</v>
      </c>
      <c r="Q1537" s="322">
        <v>59000</v>
      </c>
      <c r="R1537" s="322">
        <v>18400</v>
      </c>
      <c r="S1537" s="322">
        <v>26000</v>
      </c>
      <c r="T1537" s="322">
        <v>26000</v>
      </c>
      <c r="U1537" s="322">
        <f t="shared" si="117"/>
        <v>0</v>
      </c>
      <c r="W1537" s="321">
        <f t="shared" si="118"/>
        <v>182</v>
      </c>
      <c r="X1537" s="321">
        <f t="shared" si="119"/>
        <v>742010</v>
      </c>
      <c r="Y1537" s="321">
        <v>1</v>
      </c>
      <c r="AA1537" s="321" t="s">
        <v>2582</v>
      </c>
    </row>
    <row r="1538" spans="1:27">
      <c r="A1538" s="376">
        <v>840</v>
      </c>
      <c r="B1538" s="377">
        <v>845304</v>
      </c>
      <c r="C1538" s="382" t="s">
        <v>6603</v>
      </c>
      <c r="D1538" s="379">
        <v>82</v>
      </c>
      <c r="E1538" s="380">
        <v>40</v>
      </c>
      <c r="F1538" s="380">
        <v>39.999719999999996</v>
      </c>
      <c r="H1538" s="351">
        <f t="shared" si="120"/>
        <v>82000</v>
      </c>
      <c r="I1538" s="351">
        <f t="shared" si="121"/>
        <v>39999.719999999994</v>
      </c>
      <c r="M1538" s="321">
        <v>1742020110</v>
      </c>
      <c r="N1538" s="321">
        <v>74</v>
      </c>
      <c r="O1538" s="321" t="s">
        <v>5205</v>
      </c>
      <c r="P1538" s="321">
        <v>6742000</v>
      </c>
      <c r="Q1538" s="322">
        <v>415000</v>
      </c>
      <c r="R1538" s="322">
        <v>269700</v>
      </c>
      <c r="S1538" s="322">
        <v>351000</v>
      </c>
      <c r="T1538" s="322">
        <v>351000</v>
      </c>
      <c r="U1538" s="322">
        <f t="shared" ref="U1538:U1601" si="122">S1538-T1538</f>
        <v>0</v>
      </c>
      <c r="W1538" s="321">
        <f t="shared" si="118"/>
        <v>110</v>
      </c>
      <c r="X1538" s="321">
        <f t="shared" si="119"/>
        <v>742020</v>
      </c>
      <c r="Y1538" s="321">
        <v>1</v>
      </c>
      <c r="AA1538" s="321" t="s">
        <v>5205</v>
      </c>
    </row>
    <row r="1539" spans="1:27">
      <c r="A1539" s="376">
        <v>780</v>
      </c>
      <c r="B1539" s="377">
        <v>845401</v>
      </c>
      <c r="C1539" s="382" t="s">
        <v>7481</v>
      </c>
      <c r="D1539" s="379">
        <v>400</v>
      </c>
      <c r="E1539" s="380">
        <v>400</v>
      </c>
      <c r="F1539" s="380">
        <v>400</v>
      </c>
      <c r="H1539" s="351">
        <f t="shared" si="120"/>
        <v>400000</v>
      </c>
      <c r="I1539" s="351">
        <f t="shared" si="121"/>
        <v>400000</v>
      </c>
      <c r="M1539" s="321">
        <v>1742020120</v>
      </c>
      <c r="N1539" s="321">
        <v>74</v>
      </c>
      <c r="O1539" s="321" t="s">
        <v>5206</v>
      </c>
      <c r="P1539" s="321">
        <v>6742000</v>
      </c>
      <c r="Q1539" s="322">
        <v>103000</v>
      </c>
      <c r="R1539" s="322">
        <v>61400</v>
      </c>
      <c r="S1539" s="322">
        <v>69000</v>
      </c>
      <c r="T1539" s="322">
        <v>69000</v>
      </c>
      <c r="U1539" s="322">
        <f t="shared" si="122"/>
        <v>0</v>
      </c>
      <c r="W1539" s="321">
        <f t="shared" ref="W1539:W1602" si="123">M1539-1000000000-X1539*1000</f>
        <v>120</v>
      </c>
      <c r="X1539" s="321">
        <f t="shared" ref="X1539:X1602" si="124">ROUNDDOWN((M1539-1000000000)/1000,0)</f>
        <v>742020</v>
      </c>
      <c r="Y1539" s="321">
        <v>1</v>
      </c>
      <c r="AA1539" s="321" t="s">
        <v>5206</v>
      </c>
    </row>
    <row r="1540" spans="1:27">
      <c r="A1540" s="376">
        <v>184</v>
      </c>
      <c r="B1540" s="377">
        <v>845501</v>
      </c>
      <c r="C1540" s="382" t="s">
        <v>7482</v>
      </c>
      <c r="D1540" s="379">
        <v>714</v>
      </c>
      <c r="E1540" s="380">
        <v>700</v>
      </c>
      <c r="F1540" s="380">
        <v>760</v>
      </c>
      <c r="H1540" s="351">
        <f t="shared" si="120"/>
        <v>714000</v>
      </c>
      <c r="I1540" s="351">
        <f t="shared" si="121"/>
        <v>760000</v>
      </c>
      <c r="M1540" s="321">
        <v>1742020130</v>
      </c>
      <c r="N1540" s="321">
        <v>74</v>
      </c>
      <c r="O1540" s="321" t="s">
        <v>2576</v>
      </c>
      <c r="P1540" s="321">
        <v>6742000</v>
      </c>
      <c r="Q1540" s="322">
        <v>42000</v>
      </c>
      <c r="R1540" s="322">
        <v>24800</v>
      </c>
      <c r="S1540" s="322">
        <v>36000</v>
      </c>
      <c r="T1540" s="322">
        <v>32400</v>
      </c>
      <c r="U1540" s="322">
        <f t="shared" si="122"/>
        <v>3600</v>
      </c>
      <c r="W1540" s="321">
        <f t="shared" si="123"/>
        <v>130</v>
      </c>
      <c r="X1540" s="321">
        <f t="shared" si="124"/>
        <v>742020</v>
      </c>
      <c r="Y1540" s="321">
        <v>1</v>
      </c>
      <c r="AA1540" s="321" t="s">
        <v>2576</v>
      </c>
    </row>
    <row r="1541" spans="1:27">
      <c r="A1541" s="376">
        <v>780</v>
      </c>
      <c r="B1541" s="377">
        <v>845501</v>
      </c>
      <c r="C1541" s="382" t="s">
        <v>7483</v>
      </c>
      <c r="D1541" s="379">
        <v>0</v>
      </c>
      <c r="E1541" s="380">
        <v>0</v>
      </c>
      <c r="F1541" s="380">
        <v>0</v>
      </c>
      <c r="H1541" s="351">
        <f t="shared" si="120"/>
        <v>0</v>
      </c>
      <c r="I1541" s="351">
        <f t="shared" si="121"/>
        <v>0</v>
      </c>
      <c r="M1541" s="321">
        <v>1742020140</v>
      </c>
      <c r="N1541" s="321">
        <v>74</v>
      </c>
      <c r="O1541" s="321" t="s">
        <v>5207</v>
      </c>
      <c r="P1541" s="321">
        <v>6742000</v>
      </c>
      <c r="Q1541" s="322">
        <v>133000</v>
      </c>
      <c r="R1541" s="322">
        <v>84900</v>
      </c>
      <c r="S1541" s="322">
        <v>128000</v>
      </c>
      <c r="T1541" s="322">
        <v>128000</v>
      </c>
      <c r="U1541" s="322">
        <f t="shared" si="122"/>
        <v>0</v>
      </c>
      <c r="W1541" s="321">
        <f t="shared" si="123"/>
        <v>140</v>
      </c>
      <c r="X1541" s="321">
        <f t="shared" si="124"/>
        <v>742020</v>
      </c>
      <c r="Y1541" s="321">
        <v>1</v>
      </c>
      <c r="AA1541" s="321" t="s">
        <v>5207</v>
      </c>
    </row>
    <row r="1542" spans="1:27">
      <c r="A1542" s="376">
        <v>840</v>
      </c>
      <c r="B1542" s="377">
        <v>845501</v>
      </c>
      <c r="C1542" s="382" t="s">
        <v>7483</v>
      </c>
      <c r="D1542" s="379">
        <v>81</v>
      </c>
      <c r="E1542" s="380">
        <v>81</v>
      </c>
      <c r="F1542" s="380">
        <v>81</v>
      </c>
      <c r="H1542" s="351">
        <f t="shared" si="120"/>
        <v>81000</v>
      </c>
      <c r="I1542" s="351">
        <f t="shared" si="121"/>
        <v>81000</v>
      </c>
      <c r="M1542" s="321">
        <v>1742020141</v>
      </c>
      <c r="N1542" s="321">
        <v>74</v>
      </c>
      <c r="O1542" s="321" t="s">
        <v>5208</v>
      </c>
      <c r="P1542" s="321">
        <v>6742000</v>
      </c>
      <c r="Q1542" s="322">
        <v>17000</v>
      </c>
      <c r="R1542" s="322">
        <v>12200</v>
      </c>
      <c r="S1542" s="322">
        <v>17000</v>
      </c>
      <c r="T1542" s="322">
        <v>17000</v>
      </c>
      <c r="U1542" s="322">
        <f t="shared" si="122"/>
        <v>0</v>
      </c>
      <c r="W1542" s="321">
        <f t="shared" si="123"/>
        <v>141</v>
      </c>
      <c r="X1542" s="321">
        <f t="shared" si="124"/>
        <v>742020</v>
      </c>
      <c r="Y1542" s="321">
        <v>1</v>
      </c>
      <c r="AA1542" s="321" t="s">
        <v>5208</v>
      </c>
    </row>
    <row r="1543" spans="1:27">
      <c r="A1543" s="376">
        <v>780</v>
      </c>
      <c r="B1543" s="377">
        <v>846000</v>
      </c>
      <c r="C1543" s="382" t="s">
        <v>7484</v>
      </c>
      <c r="D1543" s="379">
        <v>0</v>
      </c>
      <c r="E1543" s="380">
        <v>0</v>
      </c>
      <c r="F1543" s="380">
        <v>0</v>
      </c>
      <c r="H1543" s="351">
        <f t="shared" si="120"/>
        <v>0</v>
      </c>
      <c r="I1543" s="351">
        <f t="shared" si="121"/>
        <v>0</v>
      </c>
      <c r="M1543" s="321">
        <v>1742020181</v>
      </c>
      <c r="N1543" s="321">
        <v>74</v>
      </c>
      <c r="O1543" s="321" t="s">
        <v>2580</v>
      </c>
      <c r="P1543" s="321">
        <v>6742000</v>
      </c>
      <c r="Q1543" s="322">
        <v>72000</v>
      </c>
      <c r="R1543" s="322">
        <v>46800</v>
      </c>
      <c r="S1543" s="322">
        <v>62000</v>
      </c>
      <c r="T1543" s="322">
        <v>62000</v>
      </c>
      <c r="U1543" s="322">
        <f t="shared" si="122"/>
        <v>0</v>
      </c>
      <c r="W1543" s="321">
        <f t="shared" si="123"/>
        <v>181</v>
      </c>
      <c r="X1543" s="321">
        <f t="shared" si="124"/>
        <v>742020</v>
      </c>
      <c r="Y1543" s="321">
        <v>1</v>
      </c>
      <c r="AA1543" s="321" t="s">
        <v>2580</v>
      </c>
    </row>
    <row r="1544" spans="1:27">
      <c r="A1544" s="376">
        <v>840</v>
      </c>
      <c r="B1544" s="377">
        <v>846101</v>
      </c>
      <c r="C1544" s="382" t="s">
        <v>3974</v>
      </c>
      <c r="D1544" s="379">
        <v>312</v>
      </c>
      <c r="E1544" s="380">
        <v>312</v>
      </c>
      <c r="F1544" s="380">
        <v>294.00033333333329</v>
      </c>
      <c r="H1544" s="351">
        <f t="shared" si="120"/>
        <v>312000</v>
      </c>
      <c r="I1544" s="351">
        <f t="shared" si="121"/>
        <v>294000.33333333331</v>
      </c>
      <c r="M1544" s="321">
        <v>1742020182</v>
      </c>
      <c r="N1544" s="321">
        <v>74</v>
      </c>
      <c r="O1544" s="321" t="s">
        <v>2582</v>
      </c>
      <c r="P1544" s="321">
        <v>6742000</v>
      </c>
      <c r="Q1544" s="322">
        <v>101000</v>
      </c>
      <c r="R1544" s="322">
        <v>61200</v>
      </c>
      <c r="S1544" s="322">
        <v>85000</v>
      </c>
      <c r="T1544" s="322">
        <v>85000</v>
      </c>
      <c r="U1544" s="322">
        <f t="shared" si="122"/>
        <v>0</v>
      </c>
      <c r="W1544" s="321">
        <f t="shared" si="123"/>
        <v>182</v>
      </c>
      <c r="X1544" s="321">
        <f t="shared" si="124"/>
        <v>742020</v>
      </c>
      <c r="Y1544" s="321">
        <v>1</v>
      </c>
      <c r="AA1544" s="321" t="s">
        <v>2582</v>
      </c>
    </row>
    <row r="1545" spans="1:27">
      <c r="A1545" s="376">
        <v>840</v>
      </c>
      <c r="B1545" s="377">
        <v>846301</v>
      </c>
      <c r="C1545" s="382" t="s">
        <v>6604</v>
      </c>
      <c r="D1545" s="379">
        <v>3</v>
      </c>
      <c r="E1545" s="380">
        <v>3</v>
      </c>
      <c r="F1545" s="380">
        <v>6</v>
      </c>
      <c r="H1545" s="351">
        <f t="shared" si="120"/>
        <v>3000</v>
      </c>
      <c r="I1545" s="351">
        <f t="shared" si="121"/>
        <v>6000</v>
      </c>
      <c r="M1545" s="321">
        <v>1742200470</v>
      </c>
      <c r="N1545" s="321">
        <v>74</v>
      </c>
      <c r="O1545" s="321" t="s">
        <v>2830</v>
      </c>
      <c r="P1545" s="321">
        <v>6742000</v>
      </c>
      <c r="Q1545" s="322">
        <v>5100</v>
      </c>
      <c r="R1545" s="322">
        <v>4500</v>
      </c>
      <c r="S1545" s="322">
        <v>10000</v>
      </c>
      <c r="T1545" s="322">
        <v>10000</v>
      </c>
      <c r="U1545" s="322">
        <f t="shared" si="122"/>
        <v>0</v>
      </c>
      <c r="W1545" s="321">
        <f t="shared" si="123"/>
        <v>470</v>
      </c>
      <c r="X1545" s="321">
        <f t="shared" si="124"/>
        <v>742200</v>
      </c>
      <c r="Y1545" s="321">
        <v>1</v>
      </c>
      <c r="AA1545" s="321" t="s">
        <v>2830</v>
      </c>
    </row>
    <row r="1546" spans="1:27">
      <c r="A1546" s="376">
        <v>840</v>
      </c>
      <c r="B1546" s="377">
        <v>846302</v>
      </c>
      <c r="C1546" s="382" t="s">
        <v>6605</v>
      </c>
      <c r="D1546" s="379">
        <v>107</v>
      </c>
      <c r="E1546" s="380">
        <v>100</v>
      </c>
      <c r="F1546" s="380">
        <v>100</v>
      </c>
      <c r="H1546" s="351">
        <f t="shared" si="120"/>
        <v>107000</v>
      </c>
      <c r="I1546" s="351">
        <f t="shared" si="121"/>
        <v>100000</v>
      </c>
      <c r="M1546" s="321">
        <v>1742200471</v>
      </c>
      <c r="N1546" s="321">
        <v>74</v>
      </c>
      <c r="O1546" s="321" t="s">
        <v>5594</v>
      </c>
      <c r="P1546" s="321">
        <v>6742000</v>
      </c>
      <c r="Q1546" s="322">
        <v>7000</v>
      </c>
      <c r="R1546" s="322">
        <v>600</v>
      </c>
      <c r="S1546" s="322">
        <v>7500</v>
      </c>
      <c r="T1546" s="322">
        <v>7500</v>
      </c>
      <c r="U1546" s="322">
        <f t="shared" si="122"/>
        <v>0</v>
      </c>
      <c r="W1546" s="321">
        <f t="shared" si="123"/>
        <v>471</v>
      </c>
      <c r="X1546" s="321">
        <f t="shared" si="124"/>
        <v>742200</v>
      </c>
      <c r="Y1546" s="321">
        <v>1</v>
      </c>
      <c r="AA1546" s="321" t="s">
        <v>5594</v>
      </c>
    </row>
    <row r="1547" spans="1:27">
      <c r="A1547" s="376">
        <v>840</v>
      </c>
      <c r="B1547" s="377">
        <v>846400</v>
      </c>
      <c r="C1547" s="382" t="s">
        <v>7485</v>
      </c>
      <c r="D1547" s="379">
        <v>0</v>
      </c>
      <c r="E1547" s="380">
        <v>0</v>
      </c>
      <c r="F1547" s="380">
        <v>0</v>
      </c>
      <c r="H1547" s="351">
        <f t="shared" si="120"/>
        <v>0</v>
      </c>
      <c r="I1547" s="351">
        <f t="shared" si="121"/>
        <v>0</v>
      </c>
      <c r="M1547" s="321">
        <v>1742200542</v>
      </c>
      <c r="N1547" s="321">
        <v>74</v>
      </c>
      <c r="O1547" s="321" t="s">
        <v>5564</v>
      </c>
      <c r="P1547" s="321">
        <v>6742000</v>
      </c>
      <c r="Q1547" s="322">
        <v>16400</v>
      </c>
      <c r="R1547" s="322">
        <v>9000</v>
      </c>
      <c r="S1547" s="322">
        <v>12000</v>
      </c>
      <c r="T1547" s="322">
        <v>12000</v>
      </c>
      <c r="U1547" s="322">
        <f t="shared" si="122"/>
        <v>0</v>
      </c>
      <c r="W1547" s="321">
        <f t="shared" si="123"/>
        <v>542</v>
      </c>
      <c r="X1547" s="321">
        <f t="shared" si="124"/>
        <v>742200</v>
      </c>
      <c r="Y1547" s="321">
        <v>1</v>
      </c>
      <c r="AA1547" s="321" t="s">
        <v>5564</v>
      </c>
    </row>
    <row r="1548" spans="1:27">
      <c r="A1548" s="376">
        <v>840</v>
      </c>
      <c r="B1548" s="377">
        <v>846401</v>
      </c>
      <c r="C1548" s="382" t="s">
        <v>6607</v>
      </c>
      <c r="D1548" s="379">
        <v>20</v>
      </c>
      <c r="E1548" s="380">
        <v>20</v>
      </c>
      <c r="F1548" s="380">
        <v>20</v>
      </c>
      <c r="H1548" s="351">
        <f t="shared" si="120"/>
        <v>20000</v>
      </c>
      <c r="I1548" s="351">
        <f t="shared" si="121"/>
        <v>20000</v>
      </c>
      <c r="M1548" s="321">
        <v>1742200570</v>
      </c>
      <c r="N1548" s="321">
        <v>74</v>
      </c>
      <c r="O1548" s="321" t="s">
        <v>5595</v>
      </c>
      <c r="P1548" s="321">
        <v>6742000</v>
      </c>
      <c r="Q1548" s="322">
        <v>12000</v>
      </c>
      <c r="R1548" s="322">
        <v>0</v>
      </c>
      <c r="S1548" s="322">
        <v>0</v>
      </c>
      <c r="T1548" s="322">
        <v>0</v>
      </c>
      <c r="U1548" s="322">
        <f t="shared" si="122"/>
        <v>0</v>
      </c>
      <c r="W1548" s="321">
        <f t="shared" si="123"/>
        <v>570</v>
      </c>
      <c r="X1548" s="321">
        <f t="shared" si="124"/>
        <v>742200</v>
      </c>
      <c r="Y1548" s="321">
        <v>1</v>
      </c>
      <c r="AA1548" s="321" t="s">
        <v>5595</v>
      </c>
    </row>
    <row r="1549" spans="1:27">
      <c r="A1549" s="376">
        <v>840</v>
      </c>
      <c r="B1549" s="377">
        <v>846402</v>
      </c>
      <c r="C1549" s="382" t="s">
        <v>6608</v>
      </c>
      <c r="D1549" s="379">
        <v>380</v>
      </c>
      <c r="E1549" s="380">
        <v>380</v>
      </c>
      <c r="F1549" s="380">
        <v>380</v>
      </c>
      <c r="H1549" s="351">
        <f t="shared" si="120"/>
        <v>380000</v>
      </c>
      <c r="I1549" s="351">
        <f t="shared" si="121"/>
        <v>380000</v>
      </c>
      <c r="M1549" s="321">
        <v>1742200750</v>
      </c>
      <c r="N1549" s="321">
        <v>74</v>
      </c>
      <c r="O1549" s="321" t="s">
        <v>5596</v>
      </c>
      <c r="P1549" s="321">
        <v>6742000</v>
      </c>
      <c r="Q1549" s="322">
        <v>4100000</v>
      </c>
      <c r="R1549" s="322">
        <v>1809300</v>
      </c>
      <c r="S1549" s="322">
        <v>4100000</v>
      </c>
      <c r="T1549" s="322">
        <v>4100000</v>
      </c>
      <c r="U1549" s="322">
        <f t="shared" si="122"/>
        <v>0</v>
      </c>
      <c r="W1549" s="321">
        <f t="shared" si="123"/>
        <v>750</v>
      </c>
      <c r="X1549" s="321">
        <f t="shared" si="124"/>
        <v>742200</v>
      </c>
      <c r="Y1549" s="321">
        <v>1</v>
      </c>
      <c r="AA1549" s="321" t="s">
        <v>5596</v>
      </c>
    </row>
    <row r="1550" spans="1:27">
      <c r="A1550" s="376">
        <v>840</v>
      </c>
      <c r="B1550" s="377">
        <v>846500</v>
      </c>
      <c r="C1550" s="382" t="s">
        <v>7486</v>
      </c>
      <c r="D1550" s="379">
        <v>0</v>
      </c>
      <c r="E1550" s="380">
        <v>0</v>
      </c>
      <c r="F1550" s="380">
        <v>0</v>
      </c>
      <c r="H1550" s="351">
        <f t="shared" si="120"/>
        <v>0</v>
      </c>
      <c r="I1550" s="351">
        <f t="shared" si="121"/>
        <v>0</v>
      </c>
      <c r="M1550" s="321">
        <v>1742200751</v>
      </c>
      <c r="N1550" s="321">
        <v>74</v>
      </c>
      <c r="O1550" s="321" t="s">
        <v>5597</v>
      </c>
      <c r="P1550" s="321">
        <v>6742000</v>
      </c>
      <c r="Q1550" s="322">
        <v>0</v>
      </c>
      <c r="R1550" s="322">
        <v>0</v>
      </c>
      <c r="S1550" s="322">
        <v>0</v>
      </c>
      <c r="T1550" s="322">
        <v>0</v>
      </c>
      <c r="U1550" s="322">
        <f t="shared" si="122"/>
        <v>0</v>
      </c>
      <c r="W1550" s="321">
        <f t="shared" si="123"/>
        <v>751</v>
      </c>
      <c r="X1550" s="321">
        <f t="shared" si="124"/>
        <v>742200</v>
      </c>
      <c r="Y1550" s="321">
        <v>1</v>
      </c>
      <c r="AA1550" s="321" t="s">
        <v>5597</v>
      </c>
    </row>
    <row r="1551" spans="1:27">
      <c r="A1551" s="376">
        <v>840</v>
      </c>
      <c r="B1551" s="377">
        <v>846501</v>
      </c>
      <c r="C1551" s="382" t="s">
        <v>6610</v>
      </c>
      <c r="D1551" s="379">
        <v>8040</v>
      </c>
      <c r="E1551" s="380">
        <v>7800</v>
      </c>
      <c r="F1551" s="380">
        <v>7800</v>
      </c>
      <c r="H1551" s="351">
        <f t="shared" si="120"/>
        <v>8040000</v>
      </c>
      <c r="I1551" s="351">
        <f t="shared" si="121"/>
        <v>7800000</v>
      </c>
      <c r="M1551" s="321">
        <v>1742200779</v>
      </c>
      <c r="N1551" s="321">
        <v>74</v>
      </c>
      <c r="O1551" s="321" t="s">
        <v>5382</v>
      </c>
      <c r="P1551" s="321">
        <v>6742000</v>
      </c>
      <c r="Q1551" s="322">
        <v>5000</v>
      </c>
      <c r="R1551" s="322">
        <v>3200</v>
      </c>
      <c r="S1551" s="322">
        <v>5000</v>
      </c>
      <c r="T1551" s="322">
        <v>5000</v>
      </c>
      <c r="U1551" s="322">
        <f t="shared" si="122"/>
        <v>0</v>
      </c>
      <c r="W1551" s="321">
        <f t="shared" si="123"/>
        <v>779</v>
      </c>
      <c r="X1551" s="321">
        <f t="shared" si="124"/>
        <v>742200</v>
      </c>
      <c r="Y1551" s="321">
        <v>1</v>
      </c>
      <c r="AA1551" s="321" t="s">
        <v>5382</v>
      </c>
    </row>
    <row r="1552" spans="1:27">
      <c r="A1552" s="376">
        <v>840</v>
      </c>
      <c r="B1552" s="377">
        <v>846502</v>
      </c>
      <c r="C1552" s="382" t="s">
        <v>6612</v>
      </c>
      <c r="D1552" s="379">
        <v>82</v>
      </c>
      <c r="E1552" s="380">
        <v>71</v>
      </c>
      <c r="F1552" s="380">
        <v>71</v>
      </c>
      <c r="H1552" s="351">
        <f t="shared" si="120"/>
        <v>82000</v>
      </c>
      <c r="I1552" s="351">
        <f t="shared" si="121"/>
        <v>71000</v>
      </c>
      <c r="M1552" s="321">
        <v>1742200920</v>
      </c>
      <c r="N1552" s="321">
        <v>74</v>
      </c>
      <c r="O1552" s="321" t="s">
        <v>5598</v>
      </c>
      <c r="P1552" s="321">
        <v>6742000</v>
      </c>
      <c r="Q1552" s="322">
        <v>1800000</v>
      </c>
      <c r="R1552" s="322">
        <v>877800</v>
      </c>
      <c r="S1552" s="322">
        <v>1800000</v>
      </c>
      <c r="T1552" s="322">
        <v>1500000</v>
      </c>
      <c r="U1552" s="322">
        <f t="shared" si="122"/>
        <v>300000</v>
      </c>
      <c r="W1552" s="321">
        <f t="shared" si="123"/>
        <v>920</v>
      </c>
      <c r="X1552" s="321">
        <f t="shared" si="124"/>
        <v>742200</v>
      </c>
      <c r="Y1552" s="321">
        <v>1</v>
      </c>
      <c r="AA1552" s="321" t="s">
        <v>5598</v>
      </c>
    </row>
    <row r="1553" spans="1:27">
      <c r="A1553" s="376">
        <v>840</v>
      </c>
      <c r="B1553" s="377">
        <v>846601</v>
      </c>
      <c r="C1553" s="382" t="s">
        <v>6613</v>
      </c>
      <c r="D1553" s="379">
        <v>536</v>
      </c>
      <c r="E1553" s="380">
        <v>500</v>
      </c>
      <c r="F1553" s="380">
        <v>500</v>
      </c>
      <c r="H1553" s="351">
        <f t="shared" si="120"/>
        <v>536000</v>
      </c>
      <c r="I1553" s="351">
        <f t="shared" si="121"/>
        <v>500000</v>
      </c>
      <c r="M1553" s="321">
        <v>1742200921</v>
      </c>
      <c r="N1553" s="321">
        <v>74</v>
      </c>
      <c r="O1553" s="321" t="s">
        <v>5597</v>
      </c>
      <c r="P1553" s="321">
        <v>6742000</v>
      </c>
      <c r="Q1553" s="322">
        <v>1162000</v>
      </c>
      <c r="R1553" s="322">
        <v>669300</v>
      </c>
      <c r="S1553" s="322">
        <v>1662000</v>
      </c>
      <c r="T1553" s="322">
        <v>1350000</v>
      </c>
      <c r="U1553" s="322">
        <f t="shared" si="122"/>
        <v>312000</v>
      </c>
      <c r="W1553" s="321">
        <f t="shared" si="123"/>
        <v>921</v>
      </c>
      <c r="X1553" s="321">
        <f t="shared" si="124"/>
        <v>742200</v>
      </c>
      <c r="Y1553" s="321">
        <v>1</v>
      </c>
      <c r="AA1553" s="321" t="s">
        <v>5597</v>
      </c>
    </row>
    <row r="1554" spans="1:27">
      <c r="A1554" s="376">
        <v>840</v>
      </c>
      <c r="B1554" s="377">
        <v>846602</v>
      </c>
      <c r="C1554" s="382" t="s">
        <v>6614</v>
      </c>
      <c r="D1554" s="379">
        <v>140</v>
      </c>
      <c r="E1554" s="380">
        <v>140</v>
      </c>
      <c r="F1554" s="380">
        <v>140</v>
      </c>
      <c r="H1554" s="351">
        <f t="shared" ref="H1554:H1617" si="125">D1554*1000</f>
        <v>140000</v>
      </c>
      <c r="I1554" s="351">
        <f t="shared" ref="I1554:I1617" si="126">F1554*1000</f>
        <v>140000</v>
      </c>
      <c r="M1554" s="321">
        <v>1742200950</v>
      </c>
      <c r="N1554" s="321">
        <v>74</v>
      </c>
      <c r="O1554" s="321" t="s">
        <v>5599</v>
      </c>
      <c r="P1554" s="321">
        <v>6742000</v>
      </c>
      <c r="Q1554" s="322">
        <v>4300</v>
      </c>
      <c r="R1554" s="322">
        <v>0</v>
      </c>
      <c r="S1554" s="322">
        <v>4300</v>
      </c>
      <c r="T1554" s="322">
        <v>4300</v>
      </c>
      <c r="U1554" s="322">
        <f t="shared" si="122"/>
        <v>0</v>
      </c>
      <c r="W1554" s="321">
        <f t="shared" si="123"/>
        <v>950</v>
      </c>
      <c r="X1554" s="321">
        <f t="shared" si="124"/>
        <v>742200</v>
      </c>
      <c r="Y1554" s="321">
        <v>1</v>
      </c>
      <c r="AA1554" s="321" t="s">
        <v>5599</v>
      </c>
    </row>
    <row r="1555" spans="1:27">
      <c r="A1555" s="376">
        <v>840</v>
      </c>
      <c r="B1555" s="377">
        <v>846603</v>
      </c>
      <c r="C1555" s="382" t="s">
        <v>6615</v>
      </c>
      <c r="D1555" s="379">
        <v>31</v>
      </c>
      <c r="E1555" s="380">
        <v>30</v>
      </c>
      <c r="F1555" s="380">
        <v>30</v>
      </c>
      <c r="H1555" s="351">
        <f t="shared" si="125"/>
        <v>31000</v>
      </c>
      <c r="I1555" s="351">
        <f t="shared" si="126"/>
        <v>30000</v>
      </c>
      <c r="M1555" s="321">
        <v>1743000110</v>
      </c>
      <c r="N1555" s="321">
        <v>74</v>
      </c>
      <c r="O1555" s="321" t="s">
        <v>5205</v>
      </c>
      <c r="P1555" s="321">
        <v>3743000</v>
      </c>
      <c r="Q1555" s="322">
        <v>841000</v>
      </c>
      <c r="R1555" s="322">
        <v>590000</v>
      </c>
      <c r="S1555" s="322">
        <v>895000</v>
      </c>
      <c r="T1555" s="322">
        <v>895000</v>
      </c>
      <c r="U1555" s="322">
        <f t="shared" si="122"/>
        <v>0</v>
      </c>
      <c r="W1555" s="321">
        <f t="shared" si="123"/>
        <v>110</v>
      </c>
      <c r="X1555" s="321">
        <f t="shared" si="124"/>
        <v>743000</v>
      </c>
      <c r="Y1555" s="321">
        <v>1</v>
      </c>
      <c r="AA1555" s="321" t="s">
        <v>5205</v>
      </c>
    </row>
    <row r="1556" spans="1:27">
      <c r="A1556" s="376">
        <v>840</v>
      </c>
      <c r="B1556" s="377">
        <v>846604</v>
      </c>
      <c r="C1556" s="382" t="s">
        <v>6616</v>
      </c>
      <c r="D1556" s="379">
        <v>0</v>
      </c>
      <c r="E1556" s="380">
        <v>0</v>
      </c>
      <c r="F1556" s="380">
        <v>2</v>
      </c>
      <c r="H1556" s="351">
        <f t="shared" si="125"/>
        <v>0</v>
      </c>
      <c r="I1556" s="351">
        <f t="shared" si="126"/>
        <v>2000</v>
      </c>
      <c r="M1556" s="321">
        <v>1743000120</v>
      </c>
      <c r="N1556" s="321">
        <v>74</v>
      </c>
      <c r="O1556" s="321" t="s">
        <v>5206</v>
      </c>
      <c r="P1556" s="321">
        <v>3743000</v>
      </c>
      <c r="Q1556" s="322">
        <v>248000</v>
      </c>
      <c r="R1556" s="322">
        <v>205000</v>
      </c>
      <c r="S1556" s="322">
        <v>252000</v>
      </c>
      <c r="T1556" s="322">
        <v>252000</v>
      </c>
      <c r="U1556" s="322">
        <f t="shared" si="122"/>
        <v>0</v>
      </c>
      <c r="W1556" s="321">
        <f t="shared" si="123"/>
        <v>120</v>
      </c>
      <c r="X1556" s="321">
        <f t="shared" si="124"/>
        <v>743000</v>
      </c>
      <c r="Y1556" s="321">
        <v>1</v>
      </c>
      <c r="AA1556" s="321" t="s">
        <v>5206</v>
      </c>
    </row>
    <row r="1557" spans="1:27">
      <c r="A1557" s="376">
        <v>780</v>
      </c>
      <c r="B1557" s="377">
        <v>846605</v>
      </c>
      <c r="C1557" s="382" t="s">
        <v>7487</v>
      </c>
      <c r="D1557" s="379">
        <v>380</v>
      </c>
      <c r="E1557" s="380">
        <v>370</v>
      </c>
      <c r="F1557" s="380">
        <v>286</v>
      </c>
      <c r="H1557" s="351">
        <f t="shared" si="125"/>
        <v>380000</v>
      </c>
      <c r="I1557" s="351">
        <f t="shared" si="126"/>
        <v>286000</v>
      </c>
      <c r="M1557" s="321">
        <v>1743000130</v>
      </c>
      <c r="N1557" s="321">
        <v>74</v>
      </c>
      <c r="O1557" s="321" t="s">
        <v>2576</v>
      </c>
      <c r="P1557" s="321">
        <v>3743000</v>
      </c>
      <c r="Q1557" s="322">
        <v>186000</v>
      </c>
      <c r="R1557" s="322">
        <v>161200</v>
      </c>
      <c r="S1557" s="322">
        <v>230000</v>
      </c>
      <c r="T1557" s="322">
        <v>207000</v>
      </c>
      <c r="U1557" s="322">
        <f t="shared" si="122"/>
        <v>23000</v>
      </c>
      <c r="W1557" s="321">
        <f t="shared" si="123"/>
        <v>130</v>
      </c>
      <c r="X1557" s="321">
        <f t="shared" si="124"/>
        <v>743000</v>
      </c>
      <c r="Y1557" s="321">
        <v>1</v>
      </c>
      <c r="AA1557" s="321" t="s">
        <v>2576</v>
      </c>
    </row>
    <row r="1558" spans="1:27">
      <c r="A1558" s="376">
        <v>840</v>
      </c>
      <c r="B1558" s="377">
        <v>846605</v>
      </c>
      <c r="C1558" s="382" t="s">
        <v>6617</v>
      </c>
      <c r="D1558" s="379">
        <v>41</v>
      </c>
      <c r="E1558" s="380">
        <v>40</v>
      </c>
      <c r="F1558" s="380">
        <v>40</v>
      </c>
      <c r="H1558" s="351">
        <f t="shared" si="125"/>
        <v>41000</v>
      </c>
      <c r="I1558" s="351">
        <f t="shared" si="126"/>
        <v>40000</v>
      </c>
      <c r="M1558" s="321">
        <v>1743000140</v>
      </c>
      <c r="N1558" s="321">
        <v>74</v>
      </c>
      <c r="O1558" s="321" t="s">
        <v>5207</v>
      </c>
      <c r="P1558" s="321">
        <v>3743000</v>
      </c>
      <c r="Q1558" s="322">
        <v>180000</v>
      </c>
      <c r="R1558" s="322">
        <v>146100</v>
      </c>
      <c r="S1558" s="322">
        <v>219000</v>
      </c>
      <c r="T1558" s="322">
        <v>219000</v>
      </c>
      <c r="U1558" s="322">
        <f t="shared" si="122"/>
        <v>0</v>
      </c>
      <c r="W1558" s="321">
        <f t="shared" si="123"/>
        <v>140</v>
      </c>
      <c r="X1558" s="321">
        <f t="shared" si="124"/>
        <v>743000</v>
      </c>
      <c r="Y1558" s="321">
        <v>1</v>
      </c>
      <c r="AA1558" s="321" t="s">
        <v>5207</v>
      </c>
    </row>
    <row r="1559" spans="1:27">
      <c r="A1559" s="376">
        <v>840</v>
      </c>
      <c r="B1559" s="377">
        <v>846606</v>
      </c>
      <c r="C1559" s="382" t="s">
        <v>7488</v>
      </c>
      <c r="D1559" s="379">
        <v>342</v>
      </c>
      <c r="E1559" s="380">
        <v>270</v>
      </c>
      <c r="F1559" s="380">
        <v>270</v>
      </c>
      <c r="H1559" s="351">
        <f t="shared" si="125"/>
        <v>342000</v>
      </c>
      <c r="I1559" s="351">
        <f t="shared" si="126"/>
        <v>270000</v>
      </c>
      <c r="M1559" s="321">
        <v>1743000141</v>
      </c>
      <c r="N1559" s="321">
        <v>74</v>
      </c>
      <c r="O1559" s="321" t="s">
        <v>5208</v>
      </c>
      <c r="P1559" s="321">
        <v>3743000</v>
      </c>
      <c r="Q1559" s="322">
        <v>53000</v>
      </c>
      <c r="R1559" s="322">
        <v>35900</v>
      </c>
      <c r="S1559" s="322">
        <v>50000</v>
      </c>
      <c r="T1559" s="322">
        <v>50000</v>
      </c>
      <c r="U1559" s="322">
        <f t="shared" si="122"/>
        <v>0</v>
      </c>
      <c r="W1559" s="321">
        <f t="shared" si="123"/>
        <v>141</v>
      </c>
      <c r="X1559" s="321">
        <f t="shared" si="124"/>
        <v>743000</v>
      </c>
      <c r="Y1559" s="321">
        <v>1</v>
      </c>
      <c r="AA1559" s="321" t="s">
        <v>5208</v>
      </c>
    </row>
    <row r="1560" spans="1:27">
      <c r="A1560" s="376">
        <v>840</v>
      </c>
      <c r="B1560" s="377">
        <v>846700</v>
      </c>
      <c r="C1560" s="382" t="s">
        <v>7489</v>
      </c>
      <c r="D1560" s="379">
        <v>0</v>
      </c>
      <c r="E1560" s="380">
        <v>0</v>
      </c>
      <c r="F1560" s="380">
        <v>0</v>
      </c>
      <c r="H1560" s="351">
        <f t="shared" si="125"/>
        <v>0</v>
      </c>
      <c r="I1560" s="351">
        <f t="shared" si="126"/>
        <v>0</v>
      </c>
      <c r="M1560" s="321">
        <v>1743000181</v>
      </c>
      <c r="N1560" s="321">
        <v>74</v>
      </c>
      <c r="O1560" s="321" t="s">
        <v>2580</v>
      </c>
      <c r="P1560" s="321">
        <v>3743000</v>
      </c>
      <c r="Q1560" s="322">
        <v>198000</v>
      </c>
      <c r="R1560" s="322">
        <v>153300</v>
      </c>
      <c r="S1560" s="322">
        <v>216000</v>
      </c>
      <c r="T1560" s="322">
        <v>216000</v>
      </c>
      <c r="U1560" s="322">
        <f t="shared" si="122"/>
        <v>0</v>
      </c>
      <c r="W1560" s="321">
        <f t="shared" si="123"/>
        <v>181</v>
      </c>
      <c r="X1560" s="321">
        <f t="shared" si="124"/>
        <v>743000</v>
      </c>
      <c r="Y1560" s="321">
        <v>1</v>
      </c>
      <c r="AA1560" s="321" t="s">
        <v>2580</v>
      </c>
    </row>
    <row r="1561" spans="1:27">
      <c r="A1561" s="376">
        <v>840</v>
      </c>
      <c r="B1561" s="377">
        <v>846701</v>
      </c>
      <c r="C1561" s="382" t="s">
        <v>6621</v>
      </c>
      <c r="D1561" s="379">
        <v>135</v>
      </c>
      <c r="E1561" s="380">
        <v>135</v>
      </c>
      <c r="F1561" s="380">
        <v>150</v>
      </c>
      <c r="H1561" s="351">
        <f t="shared" si="125"/>
        <v>135000</v>
      </c>
      <c r="I1561" s="351">
        <f t="shared" si="126"/>
        <v>150000</v>
      </c>
      <c r="M1561" s="321">
        <v>1743000182</v>
      </c>
      <c r="N1561" s="321">
        <v>74</v>
      </c>
      <c r="O1561" s="321" t="s">
        <v>2582</v>
      </c>
      <c r="P1561" s="321">
        <v>3743000</v>
      </c>
      <c r="Q1561" s="322">
        <v>204000</v>
      </c>
      <c r="R1561" s="322">
        <v>154300</v>
      </c>
      <c r="S1561" s="322">
        <v>224000</v>
      </c>
      <c r="T1561" s="322">
        <v>224000</v>
      </c>
      <c r="U1561" s="322">
        <f t="shared" si="122"/>
        <v>0</v>
      </c>
      <c r="W1561" s="321">
        <f t="shared" si="123"/>
        <v>182</v>
      </c>
      <c r="X1561" s="321">
        <f t="shared" si="124"/>
        <v>743000</v>
      </c>
      <c r="Y1561" s="321">
        <v>1</v>
      </c>
      <c r="AA1561" s="321" t="s">
        <v>2582</v>
      </c>
    </row>
    <row r="1562" spans="1:27">
      <c r="A1562" s="376">
        <v>840</v>
      </c>
      <c r="B1562" s="377">
        <v>846702</v>
      </c>
      <c r="C1562" s="382" t="s">
        <v>7490</v>
      </c>
      <c r="D1562" s="379">
        <v>200</v>
      </c>
      <c r="E1562" s="380">
        <v>200</v>
      </c>
      <c r="F1562" s="380">
        <v>200</v>
      </c>
      <c r="H1562" s="351">
        <f t="shared" si="125"/>
        <v>200000</v>
      </c>
      <c r="I1562" s="351">
        <f t="shared" si="126"/>
        <v>200000</v>
      </c>
      <c r="M1562" s="321">
        <v>1743000210</v>
      </c>
      <c r="N1562" s="321">
        <v>74</v>
      </c>
      <c r="O1562" s="321" t="s">
        <v>5549</v>
      </c>
      <c r="P1562" s="321">
        <v>3743000</v>
      </c>
      <c r="Q1562" s="322">
        <v>0</v>
      </c>
      <c r="R1562" s="322">
        <v>0</v>
      </c>
      <c r="S1562" s="322">
        <v>0</v>
      </c>
      <c r="T1562" s="322">
        <v>0</v>
      </c>
      <c r="U1562" s="322">
        <f t="shared" si="122"/>
        <v>0</v>
      </c>
      <c r="W1562" s="321">
        <f t="shared" si="123"/>
        <v>210</v>
      </c>
      <c r="X1562" s="321">
        <f t="shared" si="124"/>
        <v>743000</v>
      </c>
      <c r="Y1562" s="321">
        <v>1</v>
      </c>
      <c r="AA1562" s="321" t="s">
        <v>5549</v>
      </c>
    </row>
    <row r="1563" spans="1:27">
      <c r="A1563" s="376">
        <v>840</v>
      </c>
      <c r="B1563" s="377">
        <v>846703</v>
      </c>
      <c r="C1563" s="382" t="s">
        <v>6624</v>
      </c>
      <c r="D1563" s="379">
        <v>283</v>
      </c>
      <c r="E1563" s="380">
        <v>125</v>
      </c>
      <c r="F1563" s="380">
        <v>125</v>
      </c>
      <c r="H1563" s="351">
        <f t="shared" si="125"/>
        <v>283000</v>
      </c>
      <c r="I1563" s="351">
        <f t="shared" si="126"/>
        <v>125000</v>
      </c>
      <c r="M1563" s="321">
        <v>1743000470</v>
      </c>
      <c r="N1563" s="321">
        <v>74</v>
      </c>
      <c r="O1563" s="321" t="s">
        <v>2830</v>
      </c>
      <c r="P1563" s="321">
        <v>3743000</v>
      </c>
      <c r="Q1563" s="322">
        <v>6000</v>
      </c>
      <c r="R1563" s="322">
        <v>3100</v>
      </c>
      <c r="S1563" s="322">
        <v>6000</v>
      </c>
      <c r="T1563" s="322">
        <v>6000</v>
      </c>
      <c r="U1563" s="322">
        <f t="shared" si="122"/>
        <v>0</v>
      </c>
      <c r="W1563" s="321">
        <f t="shared" si="123"/>
        <v>470</v>
      </c>
      <c r="X1563" s="321">
        <f t="shared" si="124"/>
        <v>743000</v>
      </c>
      <c r="Y1563" s="321">
        <v>1</v>
      </c>
      <c r="AA1563" s="321" t="s">
        <v>2830</v>
      </c>
    </row>
    <row r="1564" spans="1:27">
      <c r="A1564" s="376">
        <v>840</v>
      </c>
      <c r="B1564" s="377">
        <v>846704</v>
      </c>
      <c r="C1564" s="382" t="s">
        <v>6625</v>
      </c>
      <c r="D1564" s="379">
        <v>310</v>
      </c>
      <c r="E1564" s="380">
        <v>75</v>
      </c>
      <c r="F1564" s="380">
        <v>75</v>
      </c>
      <c r="H1564" s="351">
        <f t="shared" si="125"/>
        <v>310000</v>
      </c>
      <c r="I1564" s="351">
        <f t="shared" si="126"/>
        <v>75000</v>
      </c>
      <c r="M1564" s="321">
        <v>1743000471</v>
      </c>
      <c r="N1564" s="321">
        <v>74</v>
      </c>
      <c r="O1564" s="321" t="s">
        <v>5212</v>
      </c>
      <c r="P1564" s="321">
        <v>3743000</v>
      </c>
      <c r="Q1564" s="322">
        <v>7000</v>
      </c>
      <c r="R1564" s="322">
        <v>0</v>
      </c>
      <c r="S1564" s="322">
        <v>7500</v>
      </c>
      <c r="T1564" s="322">
        <v>7500</v>
      </c>
      <c r="U1564" s="322">
        <f t="shared" si="122"/>
        <v>0</v>
      </c>
      <c r="W1564" s="321">
        <f t="shared" si="123"/>
        <v>471</v>
      </c>
      <c r="X1564" s="321">
        <f t="shared" si="124"/>
        <v>743000</v>
      </c>
      <c r="Y1564" s="321">
        <v>1</v>
      </c>
      <c r="AA1564" s="321" t="s">
        <v>5212</v>
      </c>
    </row>
    <row r="1565" spans="1:27">
      <c r="A1565" s="376">
        <v>840</v>
      </c>
      <c r="B1565" s="377">
        <v>846705</v>
      </c>
      <c r="C1565" s="382" t="s">
        <v>7491</v>
      </c>
      <c r="D1565" s="379">
        <v>0</v>
      </c>
      <c r="E1565" s="380">
        <v>0</v>
      </c>
      <c r="F1565" s="380">
        <v>0</v>
      </c>
      <c r="H1565" s="351">
        <f t="shared" si="125"/>
        <v>0</v>
      </c>
      <c r="I1565" s="351">
        <f t="shared" si="126"/>
        <v>0</v>
      </c>
      <c r="M1565" s="321">
        <v>1743000540</v>
      </c>
      <c r="N1565" s="321">
        <v>74</v>
      </c>
      <c r="O1565" s="321" t="s">
        <v>5216</v>
      </c>
      <c r="P1565" s="321">
        <v>3743000</v>
      </c>
      <c r="Q1565" s="322">
        <v>3000</v>
      </c>
      <c r="R1565" s="322">
        <v>2200</v>
      </c>
      <c r="S1565" s="322">
        <v>4000</v>
      </c>
      <c r="T1565" s="322">
        <v>4000</v>
      </c>
      <c r="U1565" s="322">
        <f t="shared" si="122"/>
        <v>0</v>
      </c>
      <c r="W1565" s="321">
        <f t="shared" si="123"/>
        <v>540</v>
      </c>
      <c r="X1565" s="321">
        <f t="shared" si="124"/>
        <v>743000</v>
      </c>
      <c r="Y1565" s="321">
        <v>1</v>
      </c>
      <c r="AA1565" s="321" t="s">
        <v>5216</v>
      </c>
    </row>
    <row r="1566" spans="1:27">
      <c r="A1566" s="376">
        <v>840</v>
      </c>
      <c r="B1566" s="377">
        <v>846706</v>
      </c>
      <c r="C1566" s="382" t="s">
        <v>6628</v>
      </c>
      <c r="D1566" s="379">
        <v>6</v>
      </c>
      <c r="E1566" s="380">
        <v>11</v>
      </c>
      <c r="F1566" s="380">
        <v>11</v>
      </c>
      <c r="H1566" s="351">
        <f t="shared" si="125"/>
        <v>6000</v>
      </c>
      <c r="I1566" s="351">
        <f t="shared" si="126"/>
        <v>11000</v>
      </c>
      <c r="M1566" s="321">
        <v>1743000542</v>
      </c>
      <c r="N1566" s="321">
        <v>74</v>
      </c>
      <c r="O1566" s="321" t="s">
        <v>5564</v>
      </c>
      <c r="P1566" s="321">
        <v>3743000</v>
      </c>
      <c r="Q1566" s="322">
        <v>8200</v>
      </c>
      <c r="R1566" s="322">
        <v>5600</v>
      </c>
      <c r="S1566" s="322">
        <v>9000</v>
      </c>
      <c r="T1566" s="322">
        <v>9000</v>
      </c>
      <c r="U1566" s="322">
        <f t="shared" si="122"/>
        <v>0</v>
      </c>
      <c r="W1566" s="321">
        <f t="shared" si="123"/>
        <v>542</v>
      </c>
      <c r="X1566" s="321">
        <f t="shared" si="124"/>
        <v>743000</v>
      </c>
      <c r="Y1566" s="321">
        <v>1</v>
      </c>
      <c r="AA1566" s="321" t="s">
        <v>5564</v>
      </c>
    </row>
    <row r="1567" spans="1:27">
      <c r="A1567" s="376">
        <v>840</v>
      </c>
      <c r="B1567" s="377">
        <v>846707</v>
      </c>
      <c r="C1567" s="382" t="s">
        <v>6629</v>
      </c>
      <c r="D1567" s="379">
        <v>100</v>
      </c>
      <c r="E1567" s="380">
        <v>100</v>
      </c>
      <c r="F1567" s="380">
        <v>100</v>
      </c>
      <c r="H1567" s="351">
        <f t="shared" si="125"/>
        <v>100000</v>
      </c>
      <c r="I1567" s="351">
        <f t="shared" si="126"/>
        <v>100000</v>
      </c>
      <c r="M1567" s="321">
        <v>1743000740</v>
      </c>
      <c r="N1567" s="321">
        <v>74</v>
      </c>
      <c r="O1567" s="321" t="s">
        <v>5264</v>
      </c>
      <c r="P1567" s="321">
        <v>3743000</v>
      </c>
      <c r="Q1567" s="322">
        <v>25000</v>
      </c>
      <c r="R1567" s="322">
        <v>8300</v>
      </c>
      <c r="S1567" s="322">
        <v>25000</v>
      </c>
      <c r="T1567" s="322">
        <v>25000</v>
      </c>
      <c r="U1567" s="322">
        <f t="shared" si="122"/>
        <v>0</v>
      </c>
      <c r="W1567" s="321">
        <f t="shared" si="123"/>
        <v>740</v>
      </c>
      <c r="X1567" s="321">
        <f t="shared" si="124"/>
        <v>743000</v>
      </c>
      <c r="Y1567" s="321">
        <v>1</v>
      </c>
      <c r="AA1567" s="321" t="s">
        <v>5264</v>
      </c>
    </row>
    <row r="1568" spans="1:27">
      <c r="A1568" s="376">
        <v>840</v>
      </c>
      <c r="B1568" s="377">
        <v>846801</v>
      </c>
      <c r="C1568" s="382" t="s">
        <v>6630</v>
      </c>
      <c r="D1568" s="379">
        <v>10</v>
      </c>
      <c r="E1568" s="380">
        <v>10</v>
      </c>
      <c r="F1568" s="380">
        <v>10</v>
      </c>
      <c r="H1568" s="351">
        <f t="shared" si="125"/>
        <v>10000</v>
      </c>
      <c r="I1568" s="351">
        <f t="shared" si="126"/>
        <v>10000</v>
      </c>
      <c r="M1568" s="321">
        <v>1743000750</v>
      </c>
      <c r="N1568" s="321">
        <v>74</v>
      </c>
      <c r="O1568" s="321" t="s">
        <v>5600</v>
      </c>
      <c r="P1568" s="321">
        <v>3743000</v>
      </c>
      <c r="Q1568" s="322">
        <v>4000000</v>
      </c>
      <c r="R1568" s="322">
        <v>2374200</v>
      </c>
      <c r="S1568" s="322">
        <v>4150000</v>
      </c>
      <c r="T1568" s="322">
        <v>4050000</v>
      </c>
      <c r="U1568" s="322">
        <f t="shared" si="122"/>
        <v>100000</v>
      </c>
      <c r="W1568" s="321">
        <f t="shared" si="123"/>
        <v>750</v>
      </c>
      <c r="X1568" s="321">
        <f t="shared" si="124"/>
        <v>743000</v>
      </c>
      <c r="Y1568" s="321">
        <v>1</v>
      </c>
      <c r="AA1568" s="321" t="s">
        <v>5600</v>
      </c>
    </row>
    <row r="1569" spans="1:27">
      <c r="A1569" s="376">
        <v>840</v>
      </c>
      <c r="B1569" s="377">
        <v>846802</v>
      </c>
      <c r="C1569" s="382" t="s">
        <v>6631</v>
      </c>
      <c r="D1569" s="379">
        <v>53</v>
      </c>
      <c r="E1569" s="380">
        <v>53</v>
      </c>
      <c r="F1569" s="380">
        <v>53</v>
      </c>
      <c r="H1569" s="351">
        <f t="shared" si="125"/>
        <v>53000</v>
      </c>
      <c r="I1569" s="351">
        <f t="shared" si="126"/>
        <v>53000</v>
      </c>
      <c r="M1569" s="321">
        <v>1743000751</v>
      </c>
      <c r="N1569" s="321">
        <v>74</v>
      </c>
      <c r="O1569" s="321" t="s">
        <v>5601</v>
      </c>
      <c r="P1569" s="321">
        <v>3743000</v>
      </c>
      <c r="Q1569" s="322">
        <v>289000</v>
      </c>
      <c r="R1569" s="322">
        <v>84300</v>
      </c>
      <c r="S1569" s="322">
        <v>300000</v>
      </c>
      <c r="T1569" s="322">
        <v>300000</v>
      </c>
      <c r="U1569" s="322">
        <f t="shared" si="122"/>
        <v>0</v>
      </c>
      <c r="W1569" s="321">
        <f t="shared" si="123"/>
        <v>751</v>
      </c>
      <c r="X1569" s="321">
        <f t="shared" si="124"/>
        <v>743000</v>
      </c>
      <c r="Y1569" s="321">
        <v>1</v>
      </c>
      <c r="AA1569" s="321" t="s">
        <v>5601</v>
      </c>
    </row>
    <row r="1570" spans="1:27">
      <c r="A1570" s="376">
        <v>840</v>
      </c>
      <c r="B1570" s="377">
        <v>846803</v>
      </c>
      <c r="C1570" s="382" t="s">
        <v>6633</v>
      </c>
      <c r="D1570" s="379">
        <v>40</v>
      </c>
      <c r="E1570" s="380">
        <v>40</v>
      </c>
      <c r="F1570" s="380">
        <v>35</v>
      </c>
      <c r="H1570" s="351">
        <f t="shared" si="125"/>
        <v>40000</v>
      </c>
      <c r="I1570" s="351">
        <f t="shared" si="126"/>
        <v>35000</v>
      </c>
      <c r="M1570" s="321">
        <v>1743000752</v>
      </c>
      <c r="N1570" s="321">
        <v>74</v>
      </c>
      <c r="O1570" s="321" t="s">
        <v>5602</v>
      </c>
      <c r="P1570" s="321">
        <v>3743000</v>
      </c>
      <c r="Q1570" s="322">
        <v>950000</v>
      </c>
      <c r="R1570" s="322">
        <v>459000</v>
      </c>
      <c r="S1570" s="322">
        <v>950000</v>
      </c>
      <c r="T1570" s="322">
        <v>950000</v>
      </c>
      <c r="U1570" s="322">
        <f t="shared" si="122"/>
        <v>0</v>
      </c>
      <c r="W1570" s="321">
        <f t="shared" si="123"/>
        <v>752</v>
      </c>
      <c r="X1570" s="321">
        <f t="shared" si="124"/>
        <v>743000</v>
      </c>
      <c r="Y1570" s="321">
        <v>1</v>
      </c>
      <c r="AA1570" s="321" t="s">
        <v>5602</v>
      </c>
    </row>
    <row r="1571" spans="1:27">
      <c r="A1571" s="376">
        <v>840</v>
      </c>
      <c r="B1571" s="377">
        <v>846804</v>
      </c>
      <c r="C1571" s="382" t="s">
        <v>7492</v>
      </c>
      <c r="D1571" s="379">
        <v>100</v>
      </c>
      <c r="E1571" s="380">
        <v>107</v>
      </c>
      <c r="F1571" s="380">
        <v>107</v>
      </c>
      <c r="H1571" s="351">
        <f t="shared" si="125"/>
        <v>100000</v>
      </c>
      <c r="I1571" s="351">
        <f t="shared" si="126"/>
        <v>107000</v>
      </c>
      <c r="M1571" s="321">
        <v>1743000771</v>
      </c>
      <c r="N1571" s="321">
        <v>74</v>
      </c>
      <c r="O1571" s="321" t="s">
        <v>5603</v>
      </c>
      <c r="P1571" s="321">
        <v>3743000</v>
      </c>
      <c r="Q1571" s="322">
        <v>9271000</v>
      </c>
      <c r="R1571" s="322">
        <v>5845800</v>
      </c>
      <c r="S1571" s="322">
        <v>9250000</v>
      </c>
      <c r="T1571" s="322">
        <v>9250000</v>
      </c>
      <c r="U1571" s="322">
        <f t="shared" si="122"/>
        <v>0</v>
      </c>
      <c r="W1571" s="321">
        <f t="shared" si="123"/>
        <v>771</v>
      </c>
      <c r="X1571" s="321">
        <f t="shared" si="124"/>
        <v>743000</v>
      </c>
      <c r="Y1571" s="321">
        <v>1</v>
      </c>
      <c r="AA1571" s="321" t="s">
        <v>5603</v>
      </c>
    </row>
    <row r="1572" spans="1:27">
      <c r="A1572" s="376">
        <v>840</v>
      </c>
      <c r="B1572" s="377">
        <v>846805</v>
      </c>
      <c r="C1572" s="382" t="s">
        <v>6635</v>
      </c>
      <c r="D1572" s="379">
        <v>142</v>
      </c>
      <c r="E1572" s="380">
        <v>142</v>
      </c>
      <c r="F1572" s="380">
        <v>142</v>
      </c>
      <c r="H1572" s="351">
        <f t="shared" si="125"/>
        <v>142000</v>
      </c>
      <c r="I1572" s="351">
        <f t="shared" si="126"/>
        <v>142000</v>
      </c>
      <c r="M1572" s="321">
        <v>1743000779</v>
      </c>
      <c r="N1572" s="321">
        <v>74</v>
      </c>
      <c r="O1572" s="321" t="s">
        <v>5382</v>
      </c>
      <c r="P1572" s="321">
        <v>3743000</v>
      </c>
      <c r="Q1572" s="322">
        <v>3000</v>
      </c>
      <c r="R1572" s="322">
        <v>1200</v>
      </c>
      <c r="S1572" s="322">
        <v>4000</v>
      </c>
      <c r="T1572" s="322">
        <v>4000</v>
      </c>
      <c r="U1572" s="322">
        <f t="shared" si="122"/>
        <v>0</v>
      </c>
      <c r="W1572" s="321">
        <f t="shared" si="123"/>
        <v>779</v>
      </c>
      <c r="X1572" s="321">
        <f t="shared" si="124"/>
        <v>743000</v>
      </c>
      <c r="Y1572" s="321">
        <v>1</v>
      </c>
      <c r="AA1572" s="321" t="s">
        <v>5382</v>
      </c>
    </row>
    <row r="1573" spans="1:27">
      <c r="A1573" s="376">
        <v>840</v>
      </c>
      <c r="B1573" s="377">
        <v>846806</v>
      </c>
      <c r="C1573" s="382" t="s">
        <v>6636</v>
      </c>
      <c r="D1573" s="379">
        <v>10</v>
      </c>
      <c r="E1573" s="380">
        <v>10</v>
      </c>
      <c r="F1573" s="380">
        <v>0</v>
      </c>
      <c r="H1573" s="351">
        <f t="shared" si="125"/>
        <v>10000</v>
      </c>
      <c r="I1573" s="351">
        <f t="shared" si="126"/>
        <v>0</v>
      </c>
      <c r="M1573" s="321">
        <v>1743000920</v>
      </c>
      <c r="N1573" s="321">
        <v>74</v>
      </c>
      <c r="O1573" s="321" t="s">
        <v>5604</v>
      </c>
      <c r="P1573" s="321">
        <v>3743000</v>
      </c>
      <c r="Q1573" s="322">
        <v>1710000</v>
      </c>
      <c r="R1573" s="322">
        <v>1102200</v>
      </c>
      <c r="S1573" s="322">
        <v>1710000</v>
      </c>
      <c r="T1573" s="322">
        <v>1500000</v>
      </c>
      <c r="U1573" s="322">
        <f t="shared" si="122"/>
        <v>210000</v>
      </c>
      <c r="W1573" s="321">
        <f t="shared" si="123"/>
        <v>920</v>
      </c>
      <c r="X1573" s="321">
        <f t="shared" si="124"/>
        <v>743000</v>
      </c>
      <c r="Y1573" s="321">
        <v>1</v>
      </c>
      <c r="AA1573" s="321" t="s">
        <v>5604</v>
      </c>
    </row>
    <row r="1574" spans="1:27">
      <c r="A1574" s="376">
        <v>840</v>
      </c>
      <c r="B1574" s="377">
        <v>846807</v>
      </c>
      <c r="C1574" s="382" t="s">
        <v>6637</v>
      </c>
      <c r="D1574" s="379">
        <v>240</v>
      </c>
      <c r="E1574" s="380">
        <v>0</v>
      </c>
      <c r="F1574" s="380">
        <v>0</v>
      </c>
      <c r="H1574" s="351">
        <f t="shared" si="125"/>
        <v>240000</v>
      </c>
      <c r="I1574" s="351">
        <f t="shared" si="126"/>
        <v>0</v>
      </c>
      <c r="M1574" s="321">
        <v>1743000923</v>
      </c>
      <c r="N1574" s="321">
        <v>74</v>
      </c>
      <c r="O1574" s="321" t="s">
        <v>5605</v>
      </c>
      <c r="P1574" s="321">
        <v>3743000</v>
      </c>
      <c r="Q1574" s="322">
        <v>0</v>
      </c>
      <c r="R1574" s="322">
        <v>0</v>
      </c>
      <c r="S1574" s="322">
        <v>0</v>
      </c>
      <c r="T1574" s="322">
        <v>0</v>
      </c>
      <c r="U1574" s="322">
        <f t="shared" si="122"/>
        <v>0</v>
      </c>
      <c r="W1574" s="321">
        <f t="shared" si="123"/>
        <v>923</v>
      </c>
      <c r="X1574" s="321">
        <f t="shared" si="124"/>
        <v>743000</v>
      </c>
      <c r="Y1574" s="321">
        <v>1</v>
      </c>
      <c r="AA1574" s="321" t="s">
        <v>5605</v>
      </c>
    </row>
    <row r="1575" spans="1:27">
      <c r="A1575" s="376">
        <v>840</v>
      </c>
      <c r="B1575" s="377">
        <v>847101</v>
      </c>
      <c r="C1575" s="382" t="s">
        <v>6638</v>
      </c>
      <c r="D1575" s="379">
        <v>62</v>
      </c>
      <c r="E1575" s="380">
        <v>17</v>
      </c>
      <c r="F1575" s="380">
        <v>17</v>
      </c>
      <c r="H1575" s="351">
        <f t="shared" si="125"/>
        <v>62000</v>
      </c>
      <c r="I1575" s="351">
        <f t="shared" si="126"/>
        <v>17000</v>
      </c>
      <c r="M1575" s="321">
        <v>1744100751</v>
      </c>
      <c r="N1575" s="321">
        <v>74</v>
      </c>
      <c r="O1575" s="321" t="s">
        <v>2961</v>
      </c>
      <c r="P1575" s="321">
        <v>3743000</v>
      </c>
      <c r="Q1575" s="322">
        <v>1940000</v>
      </c>
      <c r="R1575" s="322">
        <v>868400</v>
      </c>
      <c r="S1575" s="322">
        <v>1940000</v>
      </c>
      <c r="T1575" s="322">
        <v>1940000</v>
      </c>
      <c r="U1575" s="322">
        <f t="shared" si="122"/>
        <v>0</v>
      </c>
      <c r="W1575" s="321">
        <f t="shared" si="123"/>
        <v>751</v>
      </c>
      <c r="X1575" s="321">
        <f t="shared" si="124"/>
        <v>744100</v>
      </c>
      <c r="Y1575" s="321">
        <v>1</v>
      </c>
      <c r="AA1575" s="321" t="s">
        <v>2961</v>
      </c>
    </row>
    <row r="1576" spans="1:27">
      <c r="A1576" s="376">
        <v>840</v>
      </c>
      <c r="B1576" s="377">
        <v>847102</v>
      </c>
      <c r="C1576" s="382" t="s">
        <v>6639</v>
      </c>
      <c r="D1576" s="379">
        <v>30</v>
      </c>
      <c r="E1576" s="380">
        <v>30</v>
      </c>
      <c r="F1576" s="380">
        <v>30</v>
      </c>
      <c r="H1576" s="351">
        <f t="shared" si="125"/>
        <v>30000</v>
      </c>
      <c r="I1576" s="351">
        <f t="shared" si="126"/>
        <v>30000</v>
      </c>
      <c r="M1576" s="321">
        <v>1744100771</v>
      </c>
      <c r="N1576" s="321">
        <v>74</v>
      </c>
      <c r="O1576" s="321" t="s">
        <v>5606</v>
      </c>
      <c r="P1576" s="321">
        <v>3743000</v>
      </c>
      <c r="Q1576" s="322">
        <v>225000</v>
      </c>
      <c r="R1576" s="322">
        <v>167900</v>
      </c>
      <c r="S1576" s="322">
        <v>225000</v>
      </c>
      <c r="T1576" s="322">
        <v>225000</v>
      </c>
      <c r="U1576" s="322">
        <f t="shared" si="122"/>
        <v>0</v>
      </c>
      <c r="W1576" s="321">
        <f t="shared" si="123"/>
        <v>771</v>
      </c>
      <c r="X1576" s="321">
        <f t="shared" si="124"/>
        <v>744100</v>
      </c>
      <c r="Y1576" s="321">
        <v>1</v>
      </c>
      <c r="AA1576" s="321" t="s">
        <v>5606</v>
      </c>
    </row>
    <row r="1577" spans="1:27">
      <c r="A1577" s="376">
        <v>840</v>
      </c>
      <c r="B1577" s="377">
        <v>847103</v>
      </c>
      <c r="C1577" s="382" t="s">
        <v>6640</v>
      </c>
      <c r="D1577" s="379">
        <v>17</v>
      </c>
      <c r="E1577" s="380">
        <v>31</v>
      </c>
      <c r="F1577" s="380">
        <v>31</v>
      </c>
      <c r="H1577" s="351">
        <f t="shared" si="125"/>
        <v>17000</v>
      </c>
      <c r="I1577" s="351">
        <f t="shared" si="126"/>
        <v>31000</v>
      </c>
      <c r="M1577" s="321">
        <v>1744500110</v>
      </c>
      <c r="N1577" s="321">
        <v>74</v>
      </c>
      <c r="O1577" s="321" t="s">
        <v>5205</v>
      </c>
      <c r="P1577" s="321">
        <v>4744500</v>
      </c>
      <c r="Q1577" s="322">
        <v>223000</v>
      </c>
      <c r="R1577" s="322">
        <v>180800</v>
      </c>
      <c r="S1577" s="322">
        <v>249000</v>
      </c>
      <c r="T1577" s="322">
        <v>249000</v>
      </c>
      <c r="U1577" s="322">
        <f t="shared" si="122"/>
        <v>0</v>
      </c>
      <c r="W1577" s="321">
        <f t="shared" si="123"/>
        <v>110</v>
      </c>
      <c r="X1577" s="321">
        <f t="shared" si="124"/>
        <v>744500</v>
      </c>
      <c r="Y1577" s="321">
        <v>1</v>
      </c>
      <c r="AA1577" s="321" t="s">
        <v>5205</v>
      </c>
    </row>
    <row r="1578" spans="1:27">
      <c r="A1578" s="376">
        <v>841</v>
      </c>
      <c r="B1578" s="377">
        <v>847103</v>
      </c>
      <c r="C1578" s="382" t="s">
        <v>7493</v>
      </c>
      <c r="D1578" s="379">
        <v>50</v>
      </c>
      <c r="E1578" s="380">
        <v>0</v>
      </c>
      <c r="F1578" s="380">
        <v>0</v>
      </c>
      <c r="H1578" s="351">
        <f t="shared" si="125"/>
        <v>50000</v>
      </c>
      <c r="I1578" s="351">
        <f t="shared" si="126"/>
        <v>0</v>
      </c>
      <c r="M1578" s="321">
        <v>1744500120</v>
      </c>
      <c r="N1578" s="321">
        <v>74</v>
      </c>
      <c r="O1578" s="321" t="s">
        <v>5593</v>
      </c>
      <c r="P1578" s="321">
        <v>4744500</v>
      </c>
      <c r="Q1578" s="322">
        <v>19000</v>
      </c>
      <c r="R1578" s="322">
        <v>18800</v>
      </c>
      <c r="S1578" s="322">
        <v>20000</v>
      </c>
      <c r="T1578" s="322">
        <v>20000</v>
      </c>
      <c r="U1578" s="322">
        <f t="shared" si="122"/>
        <v>0</v>
      </c>
      <c r="W1578" s="321">
        <f t="shared" si="123"/>
        <v>120</v>
      </c>
      <c r="X1578" s="321">
        <f t="shared" si="124"/>
        <v>744500</v>
      </c>
      <c r="Y1578" s="321">
        <v>1</v>
      </c>
      <c r="AA1578" s="321" t="s">
        <v>5593</v>
      </c>
    </row>
    <row r="1579" spans="1:27">
      <c r="A1579" s="376">
        <v>840</v>
      </c>
      <c r="B1579" s="377">
        <v>847104</v>
      </c>
      <c r="C1579" s="382" t="s">
        <v>6641</v>
      </c>
      <c r="D1579" s="379">
        <v>150</v>
      </c>
      <c r="E1579" s="380">
        <v>150</v>
      </c>
      <c r="F1579" s="380">
        <v>150</v>
      </c>
      <c r="H1579" s="351">
        <f t="shared" si="125"/>
        <v>150000</v>
      </c>
      <c r="I1579" s="351">
        <f t="shared" si="126"/>
        <v>150000</v>
      </c>
      <c r="M1579" s="321">
        <v>1744500130</v>
      </c>
      <c r="N1579" s="321">
        <v>74</v>
      </c>
      <c r="O1579" s="321" t="s">
        <v>2576</v>
      </c>
      <c r="P1579" s="321">
        <v>4744500</v>
      </c>
      <c r="Q1579" s="322">
        <v>4000</v>
      </c>
      <c r="R1579" s="322">
        <v>3400</v>
      </c>
      <c r="S1579" s="322">
        <v>5000</v>
      </c>
      <c r="T1579" s="322">
        <v>4500</v>
      </c>
      <c r="U1579" s="322">
        <f t="shared" si="122"/>
        <v>500</v>
      </c>
      <c r="W1579" s="321">
        <f t="shared" si="123"/>
        <v>130</v>
      </c>
      <c r="X1579" s="321">
        <f t="shared" si="124"/>
        <v>744500</v>
      </c>
      <c r="Y1579" s="321">
        <v>1</v>
      </c>
      <c r="AA1579" s="321" t="s">
        <v>2576</v>
      </c>
    </row>
    <row r="1580" spans="1:27">
      <c r="A1580" s="376">
        <v>840</v>
      </c>
      <c r="B1580" s="377">
        <v>847105</v>
      </c>
      <c r="C1580" s="382" t="s">
        <v>6642</v>
      </c>
      <c r="D1580" s="379">
        <v>190</v>
      </c>
      <c r="E1580" s="380">
        <v>0</v>
      </c>
      <c r="F1580" s="380">
        <v>0</v>
      </c>
      <c r="H1580" s="351">
        <f t="shared" si="125"/>
        <v>190000</v>
      </c>
      <c r="I1580" s="351">
        <f t="shared" si="126"/>
        <v>0</v>
      </c>
      <c r="M1580" s="321">
        <v>1744500140</v>
      </c>
      <c r="N1580" s="321">
        <v>74</v>
      </c>
      <c r="O1580" s="321" t="s">
        <v>5207</v>
      </c>
      <c r="P1580" s="321">
        <v>4744500</v>
      </c>
      <c r="Q1580" s="322">
        <v>46000</v>
      </c>
      <c r="R1580" s="322">
        <v>28500</v>
      </c>
      <c r="S1580" s="322">
        <v>47000</v>
      </c>
      <c r="T1580" s="322">
        <v>47000</v>
      </c>
      <c r="U1580" s="322">
        <f t="shared" si="122"/>
        <v>0</v>
      </c>
      <c r="W1580" s="321">
        <f t="shared" si="123"/>
        <v>140</v>
      </c>
      <c r="X1580" s="321">
        <f t="shared" si="124"/>
        <v>744500</v>
      </c>
      <c r="Y1580" s="321">
        <v>1</v>
      </c>
      <c r="AA1580" s="321" t="s">
        <v>5207</v>
      </c>
    </row>
    <row r="1581" spans="1:27">
      <c r="A1581" s="376">
        <v>840</v>
      </c>
      <c r="B1581" s="377">
        <v>847106</v>
      </c>
      <c r="C1581" s="382" t="s">
        <v>6643</v>
      </c>
      <c r="D1581" s="379">
        <v>150</v>
      </c>
      <c r="E1581" s="380">
        <v>0</v>
      </c>
      <c r="F1581" s="380">
        <v>0</v>
      </c>
      <c r="H1581" s="351">
        <f t="shared" si="125"/>
        <v>150000</v>
      </c>
      <c r="I1581" s="351">
        <f t="shared" si="126"/>
        <v>0</v>
      </c>
      <c r="M1581" s="321">
        <v>1744500141</v>
      </c>
      <c r="N1581" s="321">
        <v>74</v>
      </c>
      <c r="O1581" s="321" t="s">
        <v>5208</v>
      </c>
      <c r="P1581" s="321">
        <v>4744500</v>
      </c>
      <c r="Q1581" s="322">
        <v>13000</v>
      </c>
      <c r="R1581" s="322">
        <v>8500</v>
      </c>
      <c r="S1581" s="322">
        <v>11000</v>
      </c>
      <c r="T1581" s="322">
        <v>11000</v>
      </c>
      <c r="U1581" s="322">
        <f t="shared" si="122"/>
        <v>0</v>
      </c>
      <c r="W1581" s="321">
        <f t="shared" si="123"/>
        <v>141</v>
      </c>
      <c r="X1581" s="321">
        <f t="shared" si="124"/>
        <v>744500</v>
      </c>
      <c r="Y1581" s="321">
        <v>1</v>
      </c>
      <c r="AA1581" s="321" t="s">
        <v>5208</v>
      </c>
    </row>
    <row r="1582" spans="1:27">
      <c r="A1582" s="376">
        <v>780</v>
      </c>
      <c r="B1582" s="377">
        <v>847301</v>
      </c>
      <c r="C1582" s="382" t="s">
        <v>7494</v>
      </c>
      <c r="D1582" s="379">
        <v>15</v>
      </c>
      <c r="E1582" s="380">
        <v>15</v>
      </c>
      <c r="F1582" s="380">
        <v>15</v>
      </c>
      <c r="H1582" s="351">
        <f t="shared" si="125"/>
        <v>15000</v>
      </c>
      <c r="I1582" s="351">
        <f t="shared" si="126"/>
        <v>15000</v>
      </c>
      <c r="M1582" s="321">
        <v>1744500181</v>
      </c>
      <c r="N1582" s="321">
        <v>74</v>
      </c>
      <c r="O1582" s="321" t="s">
        <v>2580</v>
      </c>
      <c r="P1582" s="321">
        <v>4744500</v>
      </c>
      <c r="Q1582" s="322">
        <v>58000</v>
      </c>
      <c r="R1582" s="322">
        <v>47800</v>
      </c>
      <c r="S1582" s="322">
        <v>65000</v>
      </c>
      <c r="T1582" s="322">
        <v>65000</v>
      </c>
      <c r="U1582" s="322">
        <f t="shared" si="122"/>
        <v>0</v>
      </c>
      <c r="W1582" s="321">
        <f t="shared" si="123"/>
        <v>181</v>
      </c>
      <c r="X1582" s="321">
        <f t="shared" si="124"/>
        <v>744500</v>
      </c>
      <c r="Y1582" s="321">
        <v>1</v>
      </c>
      <c r="AA1582" s="321" t="s">
        <v>2580</v>
      </c>
    </row>
    <row r="1583" spans="1:27">
      <c r="A1583" s="376">
        <v>840</v>
      </c>
      <c r="B1583" s="377">
        <v>847301</v>
      </c>
      <c r="C1583" s="382" t="s">
        <v>6644</v>
      </c>
      <c r="D1583" s="379">
        <v>279</v>
      </c>
      <c r="E1583" s="380">
        <v>100</v>
      </c>
      <c r="F1583" s="380">
        <v>100</v>
      </c>
      <c r="H1583" s="351">
        <f t="shared" si="125"/>
        <v>279000</v>
      </c>
      <c r="I1583" s="351">
        <f t="shared" si="126"/>
        <v>100000</v>
      </c>
      <c r="M1583" s="321">
        <v>1744500182</v>
      </c>
      <c r="N1583" s="321">
        <v>74</v>
      </c>
      <c r="O1583" s="321" t="s">
        <v>2582</v>
      </c>
      <c r="P1583" s="321">
        <v>4744500</v>
      </c>
      <c r="Q1583" s="322">
        <v>40000</v>
      </c>
      <c r="R1583" s="322">
        <v>31000</v>
      </c>
      <c r="S1583" s="322">
        <v>46000</v>
      </c>
      <c r="T1583" s="322">
        <v>46000</v>
      </c>
      <c r="U1583" s="322">
        <f t="shared" si="122"/>
        <v>0</v>
      </c>
      <c r="W1583" s="321">
        <f t="shared" si="123"/>
        <v>182</v>
      </c>
      <c r="X1583" s="321">
        <f t="shared" si="124"/>
        <v>744500</v>
      </c>
      <c r="Y1583" s="321">
        <v>1</v>
      </c>
      <c r="AA1583" s="321" t="s">
        <v>2582</v>
      </c>
    </row>
    <row r="1584" spans="1:27">
      <c r="A1584" s="376">
        <v>755</v>
      </c>
      <c r="B1584" s="377">
        <v>847302</v>
      </c>
      <c r="C1584" s="382" t="s">
        <v>7495</v>
      </c>
      <c r="D1584" s="379">
        <v>25</v>
      </c>
      <c r="E1584" s="380">
        <v>25</v>
      </c>
      <c r="F1584" s="380">
        <v>25</v>
      </c>
      <c r="H1584" s="351">
        <f t="shared" si="125"/>
        <v>25000</v>
      </c>
      <c r="I1584" s="351">
        <f t="shared" si="126"/>
        <v>25000</v>
      </c>
      <c r="M1584" s="321">
        <v>1744500540</v>
      </c>
      <c r="N1584" s="321">
        <v>74</v>
      </c>
      <c r="O1584" s="321" t="s">
        <v>5544</v>
      </c>
      <c r="P1584" s="321">
        <v>4744500</v>
      </c>
      <c r="Q1584" s="322">
        <v>4000</v>
      </c>
      <c r="R1584" s="322">
        <v>2300</v>
      </c>
      <c r="S1584" s="322">
        <v>4000</v>
      </c>
      <c r="T1584" s="322">
        <v>4000</v>
      </c>
      <c r="U1584" s="322">
        <f t="shared" si="122"/>
        <v>0</v>
      </c>
      <c r="W1584" s="321">
        <f t="shared" si="123"/>
        <v>540</v>
      </c>
      <c r="X1584" s="321">
        <f t="shared" si="124"/>
        <v>744500</v>
      </c>
      <c r="Y1584" s="321">
        <v>1</v>
      </c>
      <c r="AA1584" s="321" t="s">
        <v>5544</v>
      </c>
    </row>
    <row r="1585" spans="1:27">
      <c r="A1585" s="376">
        <v>840</v>
      </c>
      <c r="B1585" s="377">
        <v>847302</v>
      </c>
      <c r="C1585" s="382" t="s">
        <v>6645</v>
      </c>
      <c r="D1585" s="379">
        <v>5</v>
      </c>
      <c r="E1585" s="380">
        <v>11</v>
      </c>
      <c r="F1585" s="380">
        <v>11</v>
      </c>
      <c r="H1585" s="351">
        <f t="shared" si="125"/>
        <v>5000</v>
      </c>
      <c r="I1585" s="351">
        <f t="shared" si="126"/>
        <v>11000</v>
      </c>
      <c r="M1585" s="321">
        <v>1744500542</v>
      </c>
      <c r="N1585" s="321">
        <v>74</v>
      </c>
      <c r="O1585" s="321" t="s">
        <v>5217</v>
      </c>
      <c r="P1585" s="321">
        <v>4744500</v>
      </c>
      <c r="Q1585" s="322">
        <v>1300</v>
      </c>
      <c r="R1585" s="322">
        <v>800</v>
      </c>
      <c r="S1585" s="322">
        <v>2000</v>
      </c>
      <c r="T1585" s="322">
        <v>2000</v>
      </c>
      <c r="U1585" s="322">
        <f t="shared" si="122"/>
        <v>0</v>
      </c>
      <c r="W1585" s="321">
        <f t="shared" si="123"/>
        <v>542</v>
      </c>
      <c r="X1585" s="321">
        <f t="shared" si="124"/>
        <v>744500</v>
      </c>
      <c r="Y1585" s="321">
        <v>1</v>
      </c>
      <c r="AA1585" s="321" t="s">
        <v>5217</v>
      </c>
    </row>
    <row r="1586" spans="1:27">
      <c r="A1586" s="376">
        <v>841</v>
      </c>
      <c r="B1586" s="377">
        <v>847302</v>
      </c>
      <c r="C1586" s="382" t="s">
        <v>7496</v>
      </c>
      <c r="D1586" s="379">
        <v>6</v>
      </c>
      <c r="E1586" s="380">
        <v>0</v>
      </c>
      <c r="F1586" s="380">
        <v>0</v>
      </c>
      <c r="H1586" s="351">
        <f t="shared" si="125"/>
        <v>6000</v>
      </c>
      <c r="I1586" s="351">
        <f t="shared" si="126"/>
        <v>0</v>
      </c>
      <c r="M1586" s="321">
        <v>1744500580</v>
      </c>
      <c r="N1586" s="321">
        <v>74</v>
      </c>
      <c r="O1586" s="321" t="s">
        <v>5607</v>
      </c>
      <c r="P1586" s="321">
        <v>4744500</v>
      </c>
      <c r="Q1586" s="322">
        <v>85900</v>
      </c>
      <c r="R1586" s="322">
        <v>29200</v>
      </c>
      <c r="S1586" s="322">
        <v>85900</v>
      </c>
      <c r="T1586" s="322">
        <v>85900</v>
      </c>
      <c r="U1586" s="322">
        <f t="shared" si="122"/>
        <v>0</v>
      </c>
      <c r="W1586" s="321">
        <f t="shared" si="123"/>
        <v>580</v>
      </c>
      <c r="X1586" s="321">
        <f t="shared" si="124"/>
        <v>744500</v>
      </c>
      <c r="Y1586" s="321">
        <v>1</v>
      </c>
      <c r="AA1586" s="321" t="s">
        <v>5607</v>
      </c>
    </row>
    <row r="1587" spans="1:27">
      <c r="A1587" s="376">
        <v>840</v>
      </c>
      <c r="B1587" s="377">
        <v>847303</v>
      </c>
      <c r="C1587" s="382" t="s">
        <v>6646</v>
      </c>
      <c r="D1587" s="379">
        <v>53</v>
      </c>
      <c r="E1587" s="380">
        <v>35</v>
      </c>
      <c r="F1587" s="380">
        <v>35</v>
      </c>
      <c r="H1587" s="351">
        <f t="shared" si="125"/>
        <v>53000</v>
      </c>
      <c r="I1587" s="351">
        <f t="shared" si="126"/>
        <v>35000</v>
      </c>
      <c r="M1587" s="321">
        <v>1744500581</v>
      </c>
      <c r="N1587" s="321">
        <v>74</v>
      </c>
      <c r="O1587" s="321" t="s">
        <v>5608</v>
      </c>
      <c r="P1587" s="321">
        <v>4744500</v>
      </c>
      <c r="Q1587" s="322">
        <v>63800</v>
      </c>
      <c r="R1587" s="322">
        <v>0</v>
      </c>
      <c r="S1587" s="322">
        <v>63800</v>
      </c>
      <c r="T1587" s="322">
        <v>63800</v>
      </c>
      <c r="U1587" s="322">
        <f t="shared" si="122"/>
        <v>0</v>
      </c>
      <c r="W1587" s="321">
        <f t="shared" si="123"/>
        <v>581</v>
      </c>
      <c r="X1587" s="321">
        <f t="shared" si="124"/>
        <v>744500</v>
      </c>
      <c r="Y1587" s="321">
        <v>1</v>
      </c>
      <c r="AA1587" s="321" t="s">
        <v>5608</v>
      </c>
    </row>
    <row r="1588" spans="1:27">
      <c r="A1588" s="376">
        <v>100</v>
      </c>
      <c r="B1588" s="377">
        <v>847400</v>
      </c>
      <c r="C1588" s="382" t="s">
        <v>7497</v>
      </c>
      <c r="D1588" s="379">
        <v>0</v>
      </c>
      <c r="E1588" s="380">
        <v>0</v>
      </c>
      <c r="F1588" s="380">
        <v>0</v>
      </c>
      <c r="H1588" s="351">
        <f t="shared" si="125"/>
        <v>0</v>
      </c>
      <c r="I1588" s="351">
        <f t="shared" si="126"/>
        <v>0</v>
      </c>
      <c r="M1588" s="321">
        <v>1744500720</v>
      </c>
      <c r="N1588" s="321">
        <v>74</v>
      </c>
      <c r="O1588" s="321" t="s">
        <v>5609</v>
      </c>
      <c r="P1588" s="321">
        <v>4744500</v>
      </c>
      <c r="Q1588" s="322">
        <v>0</v>
      </c>
      <c r="R1588" s="322">
        <v>0</v>
      </c>
      <c r="S1588" s="322">
        <v>0</v>
      </c>
      <c r="T1588" s="322">
        <v>0</v>
      </c>
      <c r="U1588" s="322">
        <f t="shared" si="122"/>
        <v>0</v>
      </c>
      <c r="W1588" s="321">
        <f t="shared" si="123"/>
        <v>720</v>
      </c>
      <c r="X1588" s="321">
        <f t="shared" si="124"/>
        <v>744500</v>
      </c>
      <c r="Y1588" s="321">
        <v>1</v>
      </c>
      <c r="AA1588" s="321" t="s">
        <v>5609</v>
      </c>
    </row>
    <row r="1589" spans="1:27">
      <c r="A1589" s="376">
        <v>101</v>
      </c>
      <c r="B1589" s="377">
        <v>847400</v>
      </c>
      <c r="C1589" s="382" t="s">
        <v>7498</v>
      </c>
      <c r="D1589" s="379">
        <v>0</v>
      </c>
      <c r="E1589" s="380">
        <v>0</v>
      </c>
      <c r="F1589" s="380">
        <v>0</v>
      </c>
      <c r="H1589" s="351">
        <f t="shared" si="125"/>
        <v>0</v>
      </c>
      <c r="I1589" s="351">
        <f t="shared" si="126"/>
        <v>0</v>
      </c>
      <c r="M1589" s="321">
        <v>1744500750</v>
      </c>
      <c r="N1589" s="321">
        <v>74</v>
      </c>
      <c r="O1589" s="321" t="s">
        <v>5610</v>
      </c>
      <c r="P1589" s="321">
        <v>4744500</v>
      </c>
      <c r="Q1589" s="322">
        <v>0</v>
      </c>
      <c r="R1589" s="322">
        <v>0</v>
      </c>
      <c r="S1589" s="322">
        <v>0</v>
      </c>
      <c r="T1589" s="322">
        <v>0</v>
      </c>
      <c r="U1589" s="322">
        <f t="shared" si="122"/>
        <v>0</v>
      </c>
      <c r="W1589" s="321">
        <f t="shared" si="123"/>
        <v>750</v>
      </c>
      <c r="X1589" s="321">
        <f t="shared" si="124"/>
        <v>744500</v>
      </c>
      <c r="Y1589" s="321">
        <v>1</v>
      </c>
      <c r="AA1589" s="321" t="s">
        <v>5610</v>
      </c>
    </row>
    <row r="1590" spans="1:27">
      <c r="A1590" s="376">
        <v>102</v>
      </c>
      <c r="B1590" s="377">
        <v>847400</v>
      </c>
      <c r="C1590" s="382" t="s">
        <v>7499</v>
      </c>
      <c r="D1590" s="379">
        <v>0</v>
      </c>
      <c r="E1590" s="380">
        <v>0</v>
      </c>
      <c r="F1590" s="380">
        <v>0</v>
      </c>
      <c r="H1590" s="351">
        <f t="shared" si="125"/>
        <v>0</v>
      </c>
      <c r="I1590" s="351">
        <f t="shared" si="126"/>
        <v>0</v>
      </c>
      <c r="M1590" s="321">
        <v>1744500755</v>
      </c>
      <c r="N1590" s="321">
        <v>74</v>
      </c>
      <c r="O1590" s="321" t="s">
        <v>5611</v>
      </c>
      <c r="P1590" s="321">
        <v>4744500</v>
      </c>
      <c r="Q1590" s="322">
        <v>17000</v>
      </c>
      <c r="R1590" s="322">
        <v>4400</v>
      </c>
      <c r="S1590" s="322">
        <v>17000</v>
      </c>
      <c r="T1590" s="322">
        <v>17000</v>
      </c>
      <c r="U1590" s="322">
        <f t="shared" si="122"/>
        <v>0</v>
      </c>
      <c r="W1590" s="321">
        <f t="shared" si="123"/>
        <v>755</v>
      </c>
      <c r="X1590" s="321">
        <f t="shared" si="124"/>
        <v>744500</v>
      </c>
      <c r="Y1590" s="321">
        <v>1</v>
      </c>
      <c r="AA1590" s="321" t="s">
        <v>5611</v>
      </c>
    </row>
    <row r="1591" spans="1:27">
      <c r="A1591" s="376">
        <v>107</v>
      </c>
      <c r="B1591" s="377">
        <v>847400</v>
      </c>
      <c r="C1591" s="400" t="s">
        <v>7043</v>
      </c>
      <c r="D1591" s="379">
        <v>0</v>
      </c>
      <c r="E1591" s="380">
        <v>0</v>
      </c>
      <c r="F1591" s="380">
        <v>0</v>
      </c>
      <c r="H1591" s="351">
        <f t="shared" si="125"/>
        <v>0</v>
      </c>
      <c r="I1591" s="351">
        <f t="shared" si="126"/>
        <v>0</v>
      </c>
      <c r="M1591" s="321">
        <v>1744500760</v>
      </c>
      <c r="N1591" s="321">
        <v>74</v>
      </c>
      <c r="O1591" s="321" t="s">
        <v>5612</v>
      </c>
      <c r="P1591" s="321">
        <v>4744500</v>
      </c>
      <c r="Q1591" s="322">
        <v>130000</v>
      </c>
      <c r="R1591" s="322">
        <v>29400</v>
      </c>
      <c r="S1591" s="322">
        <v>130000</v>
      </c>
      <c r="T1591" s="322">
        <v>130000</v>
      </c>
      <c r="U1591" s="322">
        <f t="shared" si="122"/>
        <v>0</v>
      </c>
      <c r="W1591" s="321">
        <f t="shared" si="123"/>
        <v>760</v>
      </c>
      <c r="X1591" s="321">
        <f t="shared" si="124"/>
        <v>744500</v>
      </c>
      <c r="Y1591" s="321">
        <v>1</v>
      </c>
      <c r="AA1591" s="321" t="s">
        <v>5612</v>
      </c>
    </row>
    <row r="1592" spans="1:27">
      <c r="A1592" s="376">
        <v>184</v>
      </c>
      <c r="B1592" s="377">
        <v>847400</v>
      </c>
      <c r="C1592" s="382" t="s">
        <v>7500</v>
      </c>
      <c r="D1592" s="379">
        <v>0</v>
      </c>
      <c r="E1592" s="380">
        <v>0</v>
      </c>
      <c r="F1592" s="380">
        <v>0</v>
      </c>
      <c r="H1592" s="351">
        <f t="shared" si="125"/>
        <v>0</v>
      </c>
      <c r="I1592" s="351">
        <f t="shared" si="126"/>
        <v>0</v>
      </c>
      <c r="M1592" s="321">
        <v>1744500779</v>
      </c>
      <c r="N1592" s="321">
        <v>74</v>
      </c>
      <c r="O1592" s="321" t="s">
        <v>5382</v>
      </c>
      <c r="P1592" s="321">
        <v>4744500</v>
      </c>
      <c r="Q1592" s="322">
        <v>0</v>
      </c>
      <c r="R1592" s="322">
        <v>0</v>
      </c>
      <c r="S1592" s="322">
        <v>0</v>
      </c>
      <c r="T1592" s="322">
        <v>0</v>
      </c>
      <c r="U1592" s="322">
        <f t="shared" si="122"/>
        <v>0</v>
      </c>
      <c r="W1592" s="321">
        <f t="shared" si="123"/>
        <v>779</v>
      </c>
      <c r="X1592" s="321">
        <f t="shared" si="124"/>
        <v>744500</v>
      </c>
      <c r="Y1592" s="321">
        <v>1</v>
      </c>
      <c r="AA1592" s="321" t="s">
        <v>5382</v>
      </c>
    </row>
    <row r="1593" spans="1:27">
      <c r="A1593" s="376">
        <v>420</v>
      </c>
      <c r="B1593" s="377">
        <v>847400</v>
      </c>
      <c r="C1593" s="382" t="s">
        <v>6987</v>
      </c>
      <c r="D1593" s="379">
        <v>0</v>
      </c>
      <c r="E1593" s="380">
        <v>0</v>
      </c>
      <c r="F1593" s="380">
        <v>0</v>
      </c>
      <c r="H1593" s="351">
        <f t="shared" si="125"/>
        <v>0</v>
      </c>
      <c r="I1593" s="351">
        <f t="shared" si="126"/>
        <v>0</v>
      </c>
      <c r="M1593" s="321">
        <v>1745000110</v>
      </c>
      <c r="N1593" s="321">
        <v>74</v>
      </c>
      <c r="O1593" s="321" t="s">
        <v>5205</v>
      </c>
      <c r="P1593" s="321">
        <v>6745000</v>
      </c>
      <c r="Q1593" s="322">
        <v>308000</v>
      </c>
      <c r="R1593" s="322">
        <v>222200</v>
      </c>
      <c r="S1593" s="322">
        <v>306000</v>
      </c>
      <c r="T1593" s="322">
        <v>306000</v>
      </c>
      <c r="U1593" s="322">
        <f t="shared" si="122"/>
        <v>0</v>
      </c>
      <c r="W1593" s="321">
        <f t="shared" si="123"/>
        <v>110</v>
      </c>
      <c r="X1593" s="321">
        <f t="shared" si="124"/>
        <v>745000</v>
      </c>
      <c r="Y1593" s="321">
        <v>1</v>
      </c>
      <c r="AA1593" s="321" t="s">
        <v>5205</v>
      </c>
    </row>
    <row r="1594" spans="1:27">
      <c r="A1594" s="376">
        <v>430</v>
      </c>
      <c r="B1594" s="377">
        <v>847400</v>
      </c>
      <c r="C1594" s="382" t="s">
        <v>6798</v>
      </c>
      <c r="D1594" s="379">
        <v>0</v>
      </c>
      <c r="E1594" s="380">
        <v>0</v>
      </c>
      <c r="F1594" s="380">
        <v>0</v>
      </c>
      <c r="H1594" s="351">
        <f t="shared" si="125"/>
        <v>0</v>
      </c>
      <c r="I1594" s="351">
        <f t="shared" si="126"/>
        <v>0</v>
      </c>
      <c r="M1594" s="321">
        <v>1745000120</v>
      </c>
      <c r="N1594" s="321">
        <v>74</v>
      </c>
      <c r="O1594" s="321" t="s">
        <v>5613</v>
      </c>
      <c r="P1594" s="321">
        <v>6745000</v>
      </c>
      <c r="Q1594" s="322">
        <v>121000</v>
      </c>
      <c r="R1594" s="322">
        <v>98600</v>
      </c>
      <c r="S1594" s="322">
        <v>125000</v>
      </c>
      <c r="T1594" s="322">
        <v>125000</v>
      </c>
      <c r="U1594" s="322">
        <f t="shared" si="122"/>
        <v>0</v>
      </c>
      <c r="W1594" s="321">
        <f t="shared" si="123"/>
        <v>120</v>
      </c>
      <c r="X1594" s="321">
        <f t="shared" si="124"/>
        <v>745000</v>
      </c>
      <c r="Y1594" s="321">
        <v>1</v>
      </c>
      <c r="AA1594" s="321" t="s">
        <v>5613</v>
      </c>
    </row>
    <row r="1595" spans="1:27">
      <c r="A1595" s="376">
        <v>432</v>
      </c>
      <c r="B1595" s="377">
        <v>847400</v>
      </c>
      <c r="C1595" s="382" t="s">
        <v>7501</v>
      </c>
      <c r="D1595" s="379">
        <v>0</v>
      </c>
      <c r="E1595" s="380">
        <v>0</v>
      </c>
      <c r="F1595" s="380">
        <v>0</v>
      </c>
      <c r="H1595" s="351">
        <f t="shared" si="125"/>
        <v>0</v>
      </c>
      <c r="I1595" s="351">
        <f t="shared" si="126"/>
        <v>0</v>
      </c>
      <c r="M1595" s="321">
        <v>1745000130</v>
      </c>
      <c r="N1595" s="321">
        <v>74</v>
      </c>
      <c r="O1595" s="321" t="s">
        <v>2576</v>
      </c>
      <c r="P1595" s="321">
        <v>6745000</v>
      </c>
      <c r="Q1595" s="322">
        <v>68000</v>
      </c>
      <c r="R1595" s="322">
        <v>57400</v>
      </c>
      <c r="S1595" s="322">
        <v>98000</v>
      </c>
      <c r="T1595" s="322">
        <v>88200</v>
      </c>
      <c r="U1595" s="322">
        <f t="shared" si="122"/>
        <v>9800</v>
      </c>
      <c r="W1595" s="321">
        <f t="shared" si="123"/>
        <v>130</v>
      </c>
      <c r="X1595" s="321">
        <f t="shared" si="124"/>
        <v>745000</v>
      </c>
      <c r="Y1595" s="321">
        <v>1</v>
      </c>
      <c r="AA1595" s="321" t="s">
        <v>2576</v>
      </c>
    </row>
    <row r="1596" spans="1:27">
      <c r="A1596" s="376">
        <v>540</v>
      </c>
      <c r="B1596" s="377">
        <v>847400</v>
      </c>
      <c r="C1596" s="382" t="s">
        <v>6752</v>
      </c>
      <c r="D1596" s="379">
        <v>0</v>
      </c>
      <c r="E1596" s="380">
        <v>0</v>
      </c>
      <c r="F1596" s="380">
        <v>0</v>
      </c>
      <c r="H1596" s="351">
        <f t="shared" si="125"/>
        <v>0</v>
      </c>
      <c r="I1596" s="351">
        <f t="shared" si="126"/>
        <v>0</v>
      </c>
      <c r="M1596" s="321">
        <v>1745000140</v>
      </c>
      <c r="N1596" s="321">
        <v>74</v>
      </c>
      <c r="O1596" s="321" t="s">
        <v>5207</v>
      </c>
      <c r="P1596" s="321">
        <v>6745000</v>
      </c>
      <c r="Q1596" s="322">
        <v>94000</v>
      </c>
      <c r="R1596" s="322">
        <v>63600</v>
      </c>
      <c r="S1596" s="322">
        <v>78000</v>
      </c>
      <c r="T1596" s="322">
        <v>78000</v>
      </c>
      <c r="U1596" s="322">
        <f t="shared" si="122"/>
        <v>0</v>
      </c>
      <c r="W1596" s="321">
        <f t="shared" si="123"/>
        <v>140</v>
      </c>
      <c r="X1596" s="321">
        <f t="shared" si="124"/>
        <v>745000</v>
      </c>
      <c r="Y1596" s="321">
        <v>1</v>
      </c>
      <c r="AA1596" s="321" t="s">
        <v>5207</v>
      </c>
    </row>
    <row r="1597" spans="1:27">
      <c r="A1597" s="376">
        <v>720</v>
      </c>
      <c r="B1597" s="377">
        <v>847400</v>
      </c>
      <c r="C1597" s="382" t="s">
        <v>7502</v>
      </c>
      <c r="D1597" s="379">
        <v>0</v>
      </c>
      <c r="E1597" s="380">
        <v>0</v>
      </c>
      <c r="F1597" s="380">
        <v>0</v>
      </c>
      <c r="H1597" s="351">
        <f t="shared" si="125"/>
        <v>0</v>
      </c>
      <c r="I1597" s="351">
        <f t="shared" si="126"/>
        <v>0</v>
      </c>
      <c r="M1597" s="321">
        <v>1745000141</v>
      </c>
      <c r="N1597" s="321">
        <v>74</v>
      </c>
      <c r="O1597" s="321" t="s">
        <v>5208</v>
      </c>
      <c r="P1597" s="321">
        <v>6745000</v>
      </c>
      <c r="Q1597" s="322">
        <v>8000</v>
      </c>
      <c r="R1597" s="322">
        <v>5900</v>
      </c>
      <c r="S1597" s="322">
        <v>8000</v>
      </c>
      <c r="T1597" s="322">
        <v>8000</v>
      </c>
      <c r="U1597" s="322">
        <f t="shared" si="122"/>
        <v>0</v>
      </c>
      <c r="W1597" s="321">
        <f t="shared" si="123"/>
        <v>141</v>
      </c>
      <c r="X1597" s="321">
        <f t="shared" si="124"/>
        <v>745000</v>
      </c>
      <c r="Y1597" s="321">
        <v>1</v>
      </c>
      <c r="AA1597" s="321" t="s">
        <v>5208</v>
      </c>
    </row>
    <row r="1598" spans="1:27">
      <c r="A1598" s="376">
        <v>742</v>
      </c>
      <c r="B1598" s="377">
        <v>847400</v>
      </c>
      <c r="C1598" s="382" t="s">
        <v>6740</v>
      </c>
      <c r="D1598" s="379">
        <v>0</v>
      </c>
      <c r="E1598" s="380">
        <v>0</v>
      </c>
      <c r="F1598" s="380">
        <v>0</v>
      </c>
      <c r="H1598" s="351">
        <f t="shared" si="125"/>
        <v>0</v>
      </c>
      <c r="I1598" s="351">
        <f t="shared" si="126"/>
        <v>0</v>
      </c>
      <c r="M1598" s="321">
        <v>1745000181</v>
      </c>
      <c r="N1598" s="321">
        <v>74</v>
      </c>
      <c r="O1598" s="321" t="s">
        <v>2580</v>
      </c>
      <c r="P1598" s="321">
        <v>6745000</v>
      </c>
      <c r="Q1598" s="322">
        <v>53000</v>
      </c>
      <c r="R1598" s="322">
        <v>38200</v>
      </c>
      <c r="S1598" s="322">
        <v>53000</v>
      </c>
      <c r="T1598" s="322">
        <v>53000</v>
      </c>
      <c r="U1598" s="322">
        <f t="shared" si="122"/>
        <v>0</v>
      </c>
      <c r="W1598" s="321">
        <f t="shared" si="123"/>
        <v>181</v>
      </c>
      <c r="X1598" s="321">
        <f t="shared" si="124"/>
        <v>745000</v>
      </c>
      <c r="Y1598" s="321">
        <v>1</v>
      </c>
      <c r="AA1598" s="321" t="s">
        <v>2580</v>
      </c>
    </row>
    <row r="1599" spans="1:27">
      <c r="A1599" s="376">
        <v>750</v>
      </c>
      <c r="B1599" s="377">
        <v>847400</v>
      </c>
      <c r="C1599" s="382" t="s">
        <v>6804</v>
      </c>
      <c r="D1599" s="379">
        <v>0</v>
      </c>
      <c r="E1599" s="380">
        <v>0</v>
      </c>
      <c r="F1599" s="380">
        <v>0</v>
      </c>
      <c r="H1599" s="351">
        <f t="shared" si="125"/>
        <v>0</v>
      </c>
      <c r="I1599" s="351">
        <f t="shared" si="126"/>
        <v>0</v>
      </c>
      <c r="M1599" s="321">
        <v>1745000182</v>
      </c>
      <c r="N1599" s="321">
        <v>74</v>
      </c>
      <c r="O1599" s="321" t="s">
        <v>2582</v>
      </c>
      <c r="P1599" s="321">
        <v>6745000</v>
      </c>
      <c r="Q1599" s="322">
        <v>82000</v>
      </c>
      <c r="R1599" s="322">
        <v>61000</v>
      </c>
      <c r="S1599" s="322">
        <v>87000</v>
      </c>
      <c r="T1599" s="322">
        <v>87000</v>
      </c>
      <c r="U1599" s="322">
        <f t="shared" si="122"/>
        <v>0</v>
      </c>
      <c r="W1599" s="321">
        <f t="shared" si="123"/>
        <v>182</v>
      </c>
      <c r="X1599" s="321">
        <f t="shared" si="124"/>
        <v>745000</v>
      </c>
      <c r="Y1599" s="321">
        <v>1</v>
      </c>
      <c r="AA1599" s="321" t="s">
        <v>2582</v>
      </c>
    </row>
    <row r="1600" spans="1:27">
      <c r="A1600" s="376">
        <v>784</v>
      </c>
      <c r="B1600" s="377">
        <v>847400</v>
      </c>
      <c r="C1600" s="416" t="s">
        <v>7035</v>
      </c>
      <c r="D1600" s="379">
        <v>0</v>
      </c>
      <c r="E1600" s="380">
        <v>0</v>
      </c>
      <c r="F1600" s="380">
        <v>0</v>
      </c>
      <c r="H1600" s="351">
        <f t="shared" si="125"/>
        <v>0</v>
      </c>
      <c r="I1600" s="351">
        <f t="shared" si="126"/>
        <v>0</v>
      </c>
      <c r="M1600" s="321">
        <v>1745000470</v>
      </c>
      <c r="N1600" s="321">
        <v>74</v>
      </c>
      <c r="O1600" s="321" t="s">
        <v>2660</v>
      </c>
      <c r="P1600" s="321">
        <v>6745000</v>
      </c>
      <c r="Q1600" s="322">
        <v>3000</v>
      </c>
      <c r="R1600" s="322">
        <v>900</v>
      </c>
      <c r="S1600" s="322">
        <v>3000</v>
      </c>
      <c r="T1600" s="322">
        <v>3000</v>
      </c>
      <c r="U1600" s="322">
        <f t="shared" si="122"/>
        <v>0</v>
      </c>
      <c r="W1600" s="321">
        <f t="shared" si="123"/>
        <v>470</v>
      </c>
      <c r="X1600" s="321">
        <f t="shared" si="124"/>
        <v>745000</v>
      </c>
      <c r="Y1600" s="321">
        <v>1</v>
      </c>
      <c r="AA1600" s="321" t="s">
        <v>2660</v>
      </c>
    </row>
    <row r="1601" spans="1:27">
      <c r="A1601" s="376">
        <v>840</v>
      </c>
      <c r="B1601" s="377">
        <v>847400</v>
      </c>
      <c r="C1601" s="382" t="s">
        <v>7503</v>
      </c>
      <c r="D1601" s="379">
        <v>0</v>
      </c>
      <c r="E1601" s="380">
        <v>0</v>
      </c>
      <c r="F1601" s="380">
        <v>0</v>
      </c>
      <c r="H1601" s="351">
        <f t="shared" si="125"/>
        <v>0</v>
      </c>
      <c r="I1601" s="351">
        <f t="shared" si="126"/>
        <v>0</v>
      </c>
      <c r="M1601" s="321">
        <v>1745000530</v>
      </c>
      <c r="N1601" s="321">
        <v>74</v>
      </c>
      <c r="O1601" s="321" t="s">
        <v>5614</v>
      </c>
      <c r="P1601" s="321">
        <v>6745000</v>
      </c>
      <c r="Q1601" s="322">
        <v>0</v>
      </c>
      <c r="R1601" s="322">
        <v>0</v>
      </c>
      <c r="S1601" s="322">
        <v>0</v>
      </c>
      <c r="T1601" s="322">
        <v>0</v>
      </c>
      <c r="U1601" s="322">
        <f t="shared" si="122"/>
        <v>0</v>
      </c>
      <c r="W1601" s="321">
        <f t="shared" si="123"/>
        <v>530</v>
      </c>
      <c r="X1601" s="321">
        <f t="shared" si="124"/>
        <v>745000</v>
      </c>
      <c r="Y1601" s="321">
        <v>1</v>
      </c>
      <c r="AA1601" s="321" t="s">
        <v>5614</v>
      </c>
    </row>
    <row r="1602" spans="1:27">
      <c r="A1602" s="376">
        <v>100</v>
      </c>
      <c r="B1602" s="377">
        <v>847401</v>
      </c>
      <c r="C1602" s="382" t="s">
        <v>7504</v>
      </c>
      <c r="D1602" s="379">
        <v>2560</v>
      </c>
      <c r="E1602" s="380">
        <v>2510</v>
      </c>
      <c r="F1602" s="380">
        <v>2405</v>
      </c>
      <c r="H1602" s="351">
        <f t="shared" si="125"/>
        <v>2560000</v>
      </c>
      <c r="I1602" s="351">
        <f t="shared" si="126"/>
        <v>2405000</v>
      </c>
      <c r="M1602" s="321">
        <v>1745000542</v>
      </c>
      <c r="N1602" s="321">
        <v>74</v>
      </c>
      <c r="O1602" s="321" t="s">
        <v>5409</v>
      </c>
      <c r="P1602" s="321">
        <v>6745000</v>
      </c>
      <c r="Q1602" s="322">
        <v>2500</v>
      </c>
      <c r="R1602" s="322">
        <v>3200</v>
      </c>
      <c r="S1602" s="322">
        <v>2000</v>
      </c>
      <c r="T1602" s="322">
        <v>2000</v>
      </c>
      <c r="U1602" s="322">
        <f t="shared" ref="U1602:U1665" si="127">S1602-T1602</f>
        <v>0</v>
      </c>
      <c r="W1602" s="321">
        <f t="shared" si="123"/>
        <v>542</v>
      </c>
      <c r="X1602" s="321">
        <f t="shared" si="124"/>
        <v>745000</v>
      </c>
      <c r="Y1602" s="321">
        <v>1</v>
      </c>
      <c r="AA1602" s="321" t="s">
        <v>5409</v>
      </c>
    </row>
    <row r="1603" spans="1:27">
      <c r="A1603" s="376">
        <v>101</v>
      </c>
      <c r="B1603" s="377">
        <v>847401</v>
      </c>
      <c r="C1603" s="382" t="s">
        <v>7498</v>
      </c>
      <c r="D1603" s="379">
        <v>143</v>
      </c>
      <c r="E1603" s="380">
        <v>140</v>
      </c>
      <c r="F1603" s="380">
        <v>140</v>
      </c>
      <c r="H1603" s="351">
        <f t="shared" si="125"/>
        <v>143000</v>
      </c>
      <c r="I1603" s="351">
        <f t="shared" si="126"/>
        <v>140000</v>
      </c>
      <c r="M1603" s="321">
        <v>1745000750</v>
      </c>
      <c r="N1603" s="321">
        <v>74</v>
      </c>
      <c r="O1603" s="321" t="s">
        <v>5615</v>
      </c>
      <c r="P1603" s="321">
        <v>6745000</v>
      </c>
      <c r="Q1603" s="322">
        <v>400000</v>
      </c>
      <c r="R1603" s="322">
        <v>194300</v>
      </c>
      <c r="S1603" s="322">
        <v>400000</v>
      </c>
      <c r="T1603" s="322">
        <v>400000</v>
      </c>
      <c r="U1603" s="322">
        <f t="shared" si="127"/>
        <v>0</v>
      </c>
      <c r="W1603" s="321">
        <f t="shared" ref="W1603:W1666" si="128">M1603-1000000000-X1603*1000</f>
        <v>750</v>
      </c>
      <c r="X1603" s="321">
        <f t="shared" ref="X1603:X1666" si="129">ROUNDDOWN((M1603-1000000000)/1000,0)</f>
        <v>745000</v>
      </c>
      <c r="Y1603" s="321">
        <v>1</v>
      </c>
      <c r="AA1603" s="321" t="s">
        <v>5615</v>
      </c>
    </row>
    <row r="1604" spans="1:27">
      <c r="A1604" s="376">
        <v>102</v>
      </c>
      <c r="B1604" s="377">
        <v>847401</v>
      </c>
      <c r="C1604" s="382" t="s">
        <v>7499</v>
      </c>
      <c r="D1604" s="379">
        <v>107</v>
      </c>
      <c r="E1604" s="380">
        <v>105</v>
      </c>
      <c r="F1604" s="380">
        <v>105</v>
      </c>
      <c r="H1604" s="351">
        <f t="shared" si="125"/>
        <v>107000</v>
      </c>
      <c r="I1604" s="351">
        <f t="shared" si="126"/>
        <v>105000</v>
      </c>
      <c r="M1604" s="321">
        <v>1745000751</v>
      </c>
      <c r="N1604" s="321">
        <v>74</v>
      </c>
      <c r="O1604" s="321" t="s">
        <v>5616</v>
      </c>
      <c r="P1604" s="321">
        <v>6745000</v>
      </c>
      <c r="Q1604" s="322">
        <v>184000</v>
      </c>
      <c r="R1604" s="322">
        <v>53900</v>
      </c>
      <c r="S1604" s="322">
        <v>184000</v>
      </c>
      <c r="T1604" s="322">
        <v>114000</v>
      </c>
      <c r="U1604" s="322">
        <f t="shared" si="127"/>
        <v>70000</v>
      </c>
      <c r="W1604" s="321">
        <f t="shared" si="128"/>
        <v>751</v>
      </c>
      <c r="X1604" s="321">
        <f t="shared" si="129"/>
        <v>745000</v>
      </c>
      <c r="Y1604" s="321">
        <v>1</v>
      </c>
      <c r="AA1604" s="321" t="s">
        <v>5616</v>
      </c>
    </row>
    <row r="1605" spans="1:27">
      <c r="A1605" s="376">
        <v>107</v>
      </c>
      <c r="B1605" s="377">
        <v>847401</v>
      </c>
      <c r="C1605" s="382" t="s">
        <v>7505</v>
      </c>
      <c r="D1605" s="379">
        <v>100</v>
      </c>
      <c r="E1605" s="380">
        <v>230</v>
      </c>
      <c r="F1605" s="380">
        <v>230</v>
      </c>
      <c r="H1605" s="351">
        <f t="shared" si="125"/>
        <v>100000</v>
      </c>
      <c r="I1605" s="351">
        <f t="shared" si="126"/>
        <v>230000</v>
      </c>
      <c r="M1605" s="321">
        <v>1745000752</v>
      </c>
      <c r="N1605" s="321">
        <v>74</v>
      </c>
      <c r="O1605" s="321" t="s">
        <v>4657</v>
      </c>
      <c r="P1605" s="321">
        <v>6745000</v>
      </c>
      <c r="Q1605" s="322">
        <v>414000</v>
      </c>
      <c r="R1605" s="322">
        <v>175600</v>
      </c>
      <c r="S1605" s="322">
        <v>300000</v>
      </c>
      <c r="T1605" s="322">
        <v>300000</v>
      </c>
      <c r="U1605" s="322">
        <f t="shared" si="127"/>
        <v>0</v>
      </c>
      <c r="W1605" s="321">
        <f t="shared" si="128"/>
        <v>752</v>
      </c>
      <c r="X1605" s="321">
        <f t="shared" si="129"/>
        <v>745000</v>
      </c>
      <c r="Y1605" s="321">
        <v>1</v>
      </c>
      <c r="AA1605" s="321" t="s">
        <v>4657</v>
      </c>
    </row>
    <row r="1606" spans="1:27">
      <c r="A1606" s="376">
        <v>108</v>
      </c>
      <c r="B1606" s="377">
        <v>847401</v>
      </c>
      <c r="C1606" s="382" t="s">
        <v>7506</v>
      </c>
      <c r="D1606" s="379">
        <v>148</v>
      </c>
      <c r="E1606" s="380">
        <v>0</v>
      </c>
      <c r="F1606" s="380">
        <v>0</v>
      </c>
      <c r="H1606" s="351">
        <f t="shared" si="125"/>
        <v>148000</v>
      </c>
      <c r="I1606" s="351">
        <f t="shared" si="126"/>
        <v>0</v>
      </c>
      <c r="M1606" s="321">
        <v>1745000779</v>
      </c>
      <c r="N1606" s="321">
        <v>74</v>
      </c>
      <c r="O1606" s="321" t="s">
        <v>5382</v>
      </c>
      <c r="P1606" s="321">
        <v>6745000</v>
      </c>
      <c r="Q1606" s="322">
        <v>3000</v>
      </c>
      <c r="R1606" s="322">
        <v>600</v>
      </c>
      <c r="S1606" s="322">
        <v>3000</v>
      </c>
      <c r="T1606" s="322">
        <v>3000</v>
      </c>
      <c r="U1606" s="322">
        <f t="shared" si="127"/>
        <v>0</v>
      </c>
      <c r="W1606" s="321">
        <f t="shared" si="128"/>
        <v>779</v>
      </c>
      <c r="X1606" s="321">
        <f t="shared" si="129"/>
        <v>745000</v>
      </c>
      <c r="Y1606" s="321">
        <v>1</v>
      </c>
      <c r="AA1606" s="321" t="s">
        <v>5382</v>
      </c>
    </row>
    <row r="1607" spans="1:27">
      <c r="A1607" s="376">
        <v>184</v>
      </c>
      <c r="B1607" s="377">
        <v>847401</v>
      </c>
      <c r="C1607" s="382" t="s">
        <v>7500</v>
      </c>
      <c r="D1607" s="379">
        <v>39</v>
      </c>
      <c r="E1607" s="380">
        <v>38</v>
      </c>
      <c r="F1607" s="380">
        <v>60</v>
      </c>
      <c r="H1607" s="351">
        <f t="shared" si="125"/>
        <v>39000</v>
      </c>
      <c r="I1607" s="351">
        <f t="shared" si="126"/>
        <v>60000</v>
      </c>
      <c r="M1607" s="321">
        <v>1745000830</v>
      </c>
      <c r="N1607" s="321">
        <v>74</v>
      </c>
      <c r="O1607" s="321" t="s">
        <v>5617</v>
      </c>
      <c r="P1607" s="321">
        <v>1745000</v>
      </c>
      <c r="Q1607" s="322">
        <v>916000</v>
      </c>
      <c r="R1607" s="322">
        <v>487500</v>
      </c>
      <c r="S1607" s="322">
        <v>916000</v>
      </c>
      <c r="T1607" s="322">
        <v>916000</v>
      </c>
      <c r="U1607" s="322">
        <f t="shared" si="127"/>
        <v>0</v>
      </c>
      <c r="W1607" s="321">
        <f t="shared" si="128"/>
        <v>830</v>
      </c>
      <c r="X1607" s="321">
        <f t="shared" si="129"/>
        <v>745000</v>
      </c>
      <c r="Y1607" s="321">
        <v>1</v>
      </c>
      <c r="AA1607" s="321" t="s">
        <v>5617</v>
      </c>
    </row>
    <row r="1608" spans="1:27">
      <c r="A1608" s="376">
        <v>420</v>
      </c>
      <c r="B1608" s="377">
        <v>847401</v>
      </c>
      <c r="C1608" s="382" t="s">
        <v>7507</v>
      </c>
      <c r="D1608" s="379">
        <v>9</v>
      </c>
      <c r="E1608" s="380">
        <v>10</v>
      </c>
      <c r="F1608" s="380">
        <v>10</v>
      </c>
      <c r="H1608" s="351">
        <f t="shared" si="125"/>
        <v>9000</v>
      </c>
      <c r="I1608" s="351">
        <f t="shared" si="126"/>
        <v>10000</v>
      </c>
      <c r="M1608" s="321">
        <v>1745000920</v>
      </c>
      <c r="N1608" s="321">
        <v>74</v>
      </c>
      <c r="O1608" s="321" t="s">
        <v>5618</v>
      </c>
      <c r="P1608" s="321">
        <v>6745000</v>
      </c>
      <c r="Q1608" s="322">
        <v>2050000</v>
      </c>
      <c r="R1608" s="322">
        <v>571000</v>
      </c>
      <c r="S1608" s="322">
        <v>2050000</v>
      </c>
      <c r="T1608" s="322">
        <v>1500000</v>
      </c>
      <c r="U1608" s="322">
        <f t="shared" si="127"/>
        <v>550000</v>
      </c>
      <c r="W1608" s="321">
        <f t="shared" si="128"/>
        <v>920</v>
      </c>
      <c r="X1608" s="321">
        <f t="shared" si="129"/>
        <v>745000</v>
      </c>
      <c r="Y1608" s="321">
        <v>1</v>
      </c>
      <c r="AA1608" s="321" t="s">
        <v>5618</v>
      </c>
    </row>
    <row r="1609" spans="1:27">
      <c r="A1609" s="376">
        <v>430</v>
      </c>
      <c r="B1609" s="377">
        <v>847401</v>
      </c>
      <c r="C1609" s="382" t="s">
        <v>6798</v>
      </c>
      <c r="D1609" s="379">
        <v>56</v>
      </c>
      <c r="E1609" s="380">
        <v>56</v>
      </c>
      <c r="F1609" s="380">
        <v>66</v>
      </c>
      <c r="H1609" s="351">
        <f t="shared" si="125"/>
        <v>56000</v>
      </c>
      <c r="I1609" s="351">
        <f t="shared" si="126"/>
        <v>66000</v>
      </c>
      <c r="M1609" s="321">
        <v>1745000930</v>
      </c>
      <c r="N1609" s="321">
        <v>74</v>
      </c>
      <c r="O1609" s="321" t="s">
        <v>5390</v>
      </c>
      <c r="P1609" s="321">
        <v>6745000</v>
      </c>
      <c r="Q1609" s="322">
        <v>0</v>
      </c>
      <c r="R1609" s="322">
        <v>0</v>
      </c>
      <c r="S1609" s="322">
        <v>10000</v>
      </c>
      <c r="T1609" s="322">
        <v>10000</v>
      </c>
      <c r="U1609" s="322">
        <f t="shared" si="127"/>
        <v>0</v>
      </c>
      <c r="W1609" s="321">
        <f t="shared" si="128"/>
        <v>930</v>
      </c>
      <c r="X1609" s="321">
        <f t="shared" si="129"/>
        <v>745000</v>
      </c>
      <c r="Y1609" s="321">
        <v>1</v>
      </c>
      <c r="AA1609" s="321" t="s">
        <v>5390</v>
      </c>
    </row>
    <row r="1610" spans="1:27">
      <c r="A1610" s="376">
        <v>432</v>
      </c>
      <c r="B1610" s="377">
        <v>847401</v>
      </c>
      <c r="C1610" s="382" t="s">
        <v>7501</v>
      </c>
      <c r="D1610" s="379">
        <v>20</v>
      </c>
      <c r="E1610" s="380">
        <v>20</v>
      </c>
      <c r="F1610" s="380">
        <v>40</v>
      </c>
      <c r="H1610" s="351">
        <f t="shared" si="125"/>
        <v>20000</v>
      </c>
      <c r="I1610" s="351">
        <f t="shared" si="126"/>
        <v>40000</v>
      </c>
      <c r="M1610" s="321">
        <v>1746000210</v>
      </c>
      <c r="N1610" s="321">
        <v>74</v>
      </c>
      <c r="O1610" s="321" t="s">
        <v>5619</v>
      </c>
      <c r="P1610" s="321">
        <v>6746000</v>
      </c>
      <c r="Q1610" s="322">
        <v>0</v>
      </c>
      <c r="R1610" s="322">
        <v>0</v>
      </c>
      <c r="S1610" s="322">
        <v>0</v>
      </c>
      <c r="T1610" s="322">
        <v>0</v>
      </c>
      <c r="U1610" s="322">
        <f t="shared" si="127"/>
        <v>0</v>
      </c>
      <c r="W1610" s="321">
        <f t="shared" si="128"/>
        <v>210</v>
      </c>
      <c r="X1610" s="321">
        <f t="shared" si="129"/>
        <v>746000</v>
      </c>
      <c r="Y1610" s="321">
        <v>1</v>
      </c>
      <c r="AA1610" s="321" t="s">
        <v>5619</v>
      </c>
    </row>
    <row r="1611" spans="1:27">
      <c r="A1611" s="376">
        <v>540</v>
      </c>
      <c r="B1611" s="377">
        <v>847401</v>
      </c>
      <c r="C1611" s="382" t="s">
        <v>6752</v>
      </c>
      <c r="D1611" s="379">
        <v>9</v>
      </c>
      <c r="E1611" s="380">
        <v>9</v>
      </c>
      <c r="F1611" s="380">
        <v>12</v>
      </c>
      <c r="H1611" s="351">
        <f t="shared" si="125"/>
        <v>9000</v>
      </c>
      <c r="I1611" s="351">
        <f t="shared" si="126"/>
        <v>12000</v>
      </c>
      <c r="M1611" s="321">
        <v>1746001110</v>
      </c>
      <c r="N1611" s="321">
        <v>74</v>
      </c>
      <c r="O1611" s="321" t="s">
        <v>5205</v>
      </c>
      <c r="P1611" s="321">
        <v>6746001</v>
      </c>
      <c r="Q1611" s="322">
        <v>415000</v>
      </c>
      <c r="R1611" s="322">
        <v>324000</v>
      </c>
      <c r="S1611" s="322">
        <v>410000</v>
      </c>
      <c r="T1611" s="322">
        <v>410000</v>
      </c>
      <c r="U1611" s="322">
        <f t="shared" si="127"/>
        <v>0</v>
      </c>
      <c r="W1611" s="321">
        <f t="shared" si="128"/>
        <v>110</v>
      </c>
      <c r="X1611" s="321">
        <f t="shared" si="129"/>
        <v>746001</v>
      </c>
      <c r="Y1611" s="321">
        <v>1</v>
      </c>
      <c r="AA1611" s="321" t="s">
        <v>5205</v>
      </c>
    </row>
    <row r="1612" spans="1:27">
      <c r="A1612" s="376">
        <v>720</v>
      </c>
      <c r="B1612" s="377">
        <v>847401</v>
      </c>
      <c r="C1612" s="382" t="s">
        <v>7508</v>
      </c>
      <c r="D1612" s="379">
        <v>390</v>
      </c>
      <c r="E1612" s="380">
        <v>390</v>
      </c>
      <c r="F1612" s="380">
        <v>390</v>
      </c>
      <c r="H1612" s="351">
        <f t="shared" si="125"/>
        <v>390000</v>
      </c>
      <c r="I1612" s="351">
        <f t="shared" si="126"/>
        <v>390000</v>
      </c>
      <c r="M1612" s="321">
        <v>1746001120</v>
      </c>
      <c r="N1612" s="321">
        <v>74</v>
      </c>
      <c r="O1612" s="321" t="s">
        <v>5593</v>
      </c>
      <c r="P1612" s="321">
        <v>6746001</v>
      </c>
      <c r="Q1612" s="322">
        <v>49000</v>
      </c>
      <c r="R1612" s="322">
        <v>41400</v>
      </c>
      <c r="S1612" s="322">
        <v>50000</v>
      </c>
      <c r="T1612" s="322">
        <v>50000</v>
      </c>
      <c r="U1612" s="322">
        <f t="shared" si="127"/>
        <v>0</v>
      </c>
      <c r="W1612" s="321">
        <f t="shared" si="128"/>
        <v>120</v>
      </c>
      <c r="X1612" s="321">
        <f t="shared" si="129"/>
        <v>746001</v>
      </c>
      <c r="Y1612" s="321">
        <v>1</v>
      </c>
      <c r="AA1612" s="321" t="s">
        <v>5593</v>
      </c>
    </row>
    <row r="1613" spans="1:27">
      <c r="A1613" s="376">
        <v>740</v>
      </c>
      <c r="B1613" s="377">
        <v>847401</v>
      </c>
      <c r="C1613" s="382" t="s">
        <v>6859</v>
      </c>
      <c r="D1613" s="379">
        <v>10</v>
      </c>
      <c r="E1613" s="380">
        <v>15</v>
      </c>
      <c r="F1613" s="380">
        <v>15</v>
      </c>
      <c r="H1613" s="351">
        <f t="shared" si="125"/>
        <v>10000</v>
      </c>
      <c r="I1613" s="351">
        <f t="shared" si="126"/>
        <v>15000</v>
      </c>
      <c r="M1613" s="321">
        <v>1746001130</v>
      </c>
      <c r="N1613" s="321">
        <v>74</v>
      </c>
      <c r="O1613" s="321" t="s">
        <v>2576</v>
      </c>
      <c r="P1613" s="321">
        <v>6746001</v>
      </c>
      <c r="Q1613" s="322">
        <v>3000</v>
      </c>
      <c r="R1613" s="322">
        <v>4800</v>
      </c>
      <c r="S1613" s="322">
        <v>1000</v>
      </c>
      <c r="T1613" s="322">
        <v>900</v>
      </c>
      <c r="U1613" s="322">
        <f t="shared" si="127"/>
        <v>100</v>
      </c>
      <c r="W1613" s="321">
        <f t="shared" si="128"/>
        <v>130</v>
      </c>
      <c r="X1613" s="321">
        <f t="shared" si="129"/>
        <v>746001</v>
      </c>
      <c r="Y1613" s="321">
        <v>1</v>
      </c>
      <c r="AA1613" s="321" t="s">
        <v>2576</v>
      </c>
    </row>
    <row r="1614" spans="1:27">
      <c r="A1614" s="376">
        <v>742</v>
      </c>
      <c r="B1614" s="377">
        <v>847401</v>
      </c>
      <c r="C1614" s="382" t="s">
        <v>6740</v>
      </c>
      <c r="D1614" s="379">
        <v>3</v>
      </c>
      <c r="E1614" s="380">
        <v>3</v>
      </c>
      <c r="F1614" s="380">
        <v>3</v>
      </c>
      <c r="H1614" s="351">
        <f t="shared" si="125"/>
        <v>3000</v>
      </c>
      <c r="I1614" s="351">
        <f t="shared" si="126"/>
        <v>3000</v>
      </c>
      <c r="M1614" s="321">
        <v>1746001140</v>
      </c>
      <c r="N1614" s="321">
        <v>74</v>
      </c>
      <c r="O1614" s="321" t="s">
        <v>5207</v>
      </c>
      <c r="P1614" s="321">
        <v>6746001</v>
      </c>
      <c r="Q1614" s="322">
        <v>76000</v>
      </c>
      <c r="R1614" s="322">
        <v>59500</v>
      </c>
      <c r="S1614" s="322">
        <v>79000</v>
      </c>
      <c r="T1614" s="322">
        <v>79000</v>
      </c>
      <c r="U1614" s="322">
        <f t="shared" si="127"/>
        <v>0</v>
      </c>
      <c r="W1614" s="321">
        <f t="shared" si="128"/>
        <v>140</v>
      </c>
      <c r="X1614" s="321">
        <f t="shared" si="129"/>
        <v>746001</v>
      </c>
      <c r="Y1614" s="321">
        <v>1</v>
      </c>
      <c r="AA1614" s="321" t="s">
        <v>5207</v>
      </c>
    </row>
    <row r="1615" spans="1:27">
      <c r="A1615" s="376">
        <v>750</v>
      </c>
      <c r="B1615" s="377">
        <v>847401</v>
      </c>
      <c r="C1615" s="382" t="s">
        <v>6804</v>
      </c>
      <c r="D1615" s="379">
        <v>139</v>
      </c>
      <c r="E1615" s="380">
        <v>135</v>
      </c>
      <c r="F1615" s="380">
        <v>140</v>
      </c>
      <c r="H1615" s="351">
        <f t="shared" si="125"/>
        <v>139000</v>
      </c>
      <c r="I1615" s="351">
        <f t="shared" si="126"/>
        <v>140000</v>
      </c>
      <c r="M1615" s="321">
        <v>1746001141</v>
      </c>
      <c r="N1615" s="321">
        <v>74</v>
      </c>
      <c r="O1615" s="321" t="s">
        <v>5208</v>
      </c>
      <c r="P1615" s="321">
        <v>6746000</v>
      </c>
      <c r="Q1615" s="322">
        <v>14000</v>
      </c>
      <c r="R1615" s="322">
        <v>10900</v>
      </c>
      <c r="S1615" s="322">
        <v>14000</v>
      </c>
      <c r="T1615" s="322">
        <v>14000</v>
      </c>
      <c r="U1615" s="322">
        <f t="shared" si="127"/>
        <v>0</v>
      </c>
      <c r="W1615" s="321">
        <f t="shared" si="128"/>
        <v>141</v>
      </c>
      <c r="X1615" s="321">
        <f t="shared" si="129"/>
        <v>746001</v>
      </c>
      <c r="Y1615" s="321">
        <v>1</v>
      </c>
      <c r="AA1615" s="321" t="s">
        <v>5208</v>
      </c>
    </row>
    <row r="1616" spans="1:27">
      <c r="A1616" s="376">
        <v>784</v>
      </c>
      <c r="B1616" s="377">
        <v>847401</v>
      </c>
      <c r="C1616" s="387" t="s">
        <v>7035</v>
      </c>
      <c r="D1616" s="379">
        <v>50</v>
      </c>
      <c r="E1616" s="380">
        <v>80</v>
      </c>
      <c r="F1616" s="380">
        <v>80</v>
      </c>
      <c r="H1616" s="351">
        <f t="shared" si="125"/>
        <v>50000</v>
      </c>
      <c r="I1616" s="351">
        <f t="shared" si="126"/>
        <v>80000</v>
      </c>
      <c r="M1616" s="321">
        <v>1746001181</v>
      </c>
      <c r="N1616" s="321">
        <v>74</v>
      </c>
      <c r="O1616" s="321" t="s">
        <v>2580</v>
      </c>
      <c r="P1616" s="321">
        <v>6746000</v>
      </c>
      <c r="Q1616" s="322">
        <v>96000</v>
      </c>
      <c r="R1616" s="322">
        <v>75100</v>
      </c>
      <c r="S1616" s="322">
        <v>95000</v>
      </c>
      <c r="T1616" s="322">
        <v>95000</v>
      </c>
      <c r="U1616" s="322">
        <f t="shared" si="127"/>
        <v>0</v>
      </c>
      <c r="W1616" s="321">
        <f t="shared" si="128"/>
        <v>181</v>
      </c>
      <c r="X1616" s="321">
        <f t="shared" si="129"/>
        <v>746001</v>
      </c>
      <c r="Y1616" s="321">
        <v>1</v>
      </c>
      <c r="AA1616" s="321" t="s">
        <v>2580</v>
      </c>
    </row>
    <row r="1617" spans="1:27">
      <c r="A1617" s="376">
        <v>840</v>
      </c>
      <c r="B1617" s="377">
        <v>847402</v>
      </c>
      <c r="C1617" s="382" t="s">
        <v>7503</v>
      </c>
      <c r="D1617" s="379">
        <v>0</v>
      </c>
      <c r="E1617" s="380">
        <v>0</v>
      </c>
      <c r="F1617" s="380">
        <v>0</v>
      </c>
      <c r="H1617" s="351">
        <f t="shared" si="125"/>
        <v>0</v>
      </c>
      <c r="I1617" s="351">
        <f t="shared" si="126"/>
        <v>0</v>
      </c>
      <c r="M1617" s="321">
        <v>1746001182</v>
      </c>
      <c r="N1617" s="321">
        <v>74</v>
      </c>
      <c r="O1617" s="321" t="s">
        <v>2582</v>
      </c>
      <c r="P1617" s="321">
        <v>6746000</v>
      </c>
      <c r="Q1617" s="322">
        <v>79000</v>
      </c>
      <c r="R1617" s="322">
        <v>62200</v>
      </c>
      <c r="S1617" s="322">
        <v>79000</v>
      </c>
      <c r="T1617" s="322">
        <v>79000</v>
      </c>
      <c r="U1617" s="322">
        <f t="shared" si="127"/>
        <v>0</v>
      </c>
      <c r="W1617" s="321">
        <f t="shared" si="128"/>
        <v>182</v>
      </c>
      <c r="X1617" s="321">
        <f t="shared" si="129"/>
        <v>746001</v>
      </c>
      <c r="Y1617" s="321">
        <v>1</v>
      </c>
      <c r="AA1617" s="321" t="s">
        <v>2582</v>
      </c>
    </row>
    <row r="1618" spans="1:27">
      <c r="A1618" s="376">
        <v>840</v>
      </c>
      <c r="B1618" s="377">
        <v>847403</v>
      </c>
      <c r="C1618" s="382" t="s">
        <v>6652</v>
      </c>
      <c r="D1618" s="379">
        <v>38</v>
      </c>
      <c r="E1618" s="380">
        <v>38</v>
      </c>
      <c r="F1618" s="380">
        <v>30</v>
      </c>
      <c r="H1618" s="351">
        <f t="shared" ref="H1618:H1681" si="130">D1618*1000</f>
        <v>38000</v>
      </c>
      <c r="I1618" s="351">
        <f t="shared" ref="I1618:I1681" si="131">F1618*1000</f>
        <v>30000</v>
      </c>
      <c r="M1618" s="321">
        <v>1746001470</v>
      </c>
      <c r="N1618" s="321">
        <v>74</v>
      </c>
      <c r="O1618" s="321" t="s">
        <v>2830</v>
      </c>
      <c r="P1618" s="321">
        <v>6746000</v>
      </c>
      <c r="Q1618" s="322">
        <v>1700</v>
      </c>
      <c r="R1618" s="322">
        <v>300</v>
      </c>
      <c r="S1618" s="322">
        <v>1700</v>
      </c>
      <c r="T1618" s="322">
        <v>1700</v>
      </c>
      <c r="U1618" s="322">
        <f t="shared" si="127"/>
        <v>0</v>
      </c>
      <c r="W1618" s="321">
        <f t="shared" si="128"/>
        <v>470</v>
      </c>
      <c r="X1618" s="321">
        <f t="shared" si="129"/>
        <v>746001</v>
      </c>
      <c r="Y1618" s="321">
        <v>1</v>
      </c>
      <c r="AA1618" s="321" t="s">
        <v>2830</v>
      </c>
    </row>
    <row r="1619" spans="1:27">
      <c r="A1619" s="376">
        <v>840</v>
      </c>
      <c r="B1619" s="377">
        <v>847404</v>
      </c>
      <c r="C1619" s="382" t="s">
        <v>7509</v>
      </c>
      <c r="D1619" s="379">
        <v>400</v>
      </c>
      <c r="E1619" s="380">
        <v>400</v>
      </c>
      <c r="F1619" s="380">
        <v>400</v>
      </c>
      <c r="H1619" s="351">
        <f t="shared" si="130"/>
        <v>400000</v>
      </c>
      <c r="I1619" s="351">
        <f t="shared" si="131"/>
        <v>400000</v>
      </c>
      <c r="M1619" s="321">
        <v>1746001471</v>
      </c>
      <c r="N1619" s="321">
        <v>74</v>
      </c>
      <c r="O1619" s="321" t="s">
        <v>5212</v>
      </c>
      <c r="P1619" s="321">
        <v>6746000</v>
      </c>
      <c r="Q1619" s="322">
        <v>4700</v>
      </c>
      <c r="R1619" s="322">
        <v>4200</v>
      </c>
      <c r="S1619" s="322">
        <v>5000</v>
      </c>
      <c r="T1619" s="322">
        <v>5000</v>
      </c>
      <c r="U1619" s="322">
        <f t="shared" si="127"/>
        <v>0</v>
      </c>
      <c r="W1619" s="321">
        <f t="shared" si="128"/>
        <v>471</v>
      </c>
      <c r="X1619" s="321">
        <f t="shared" si="129"/>
        <v>746001</v>
      </c>
      <c r="Y1619" s="321">
        <v>1</v>
      </c>
      <c r="AA1619" s="321" t="s">
        <v>5212</v>
      </c>
    </row>
    <row r="1620" spans="1:27">
      <c r="A1620" s="376">
        <v>104</v>
      </c>
      <c r="B1620" s="377">
        <v>847500</v>
      </c>
      <c r="C1620" s="420" t="s">
        <v>7510</v>
      </c>
      <c r="D1620" s="379">
        <v>0</v>
      </c>
      <c r="E1620" s="380">
        <v>0</v>
      </c>
      <c r="F1620" s="380">
        <v>0</v>
      </c>
      <c r="H1620" s="351">
        <f t="shared" si="130"/>
        <v>0</v>
      </c>
      <c r="I1620" s="351">
        <f t="shared" si="131"/>
        <v>0</v>
      </c>
      <c r="M1620" s="321">
        <v>1746001540</v>
      </c>
      <c r="N1620" s="321">
        <v>74</v>
      </c>
      <c r="O1620" s="321" t="s">
        <v>5216</v>
      </c>
      <c r="P1620" s="321">
        <v>6746000</v>
      </c>
      <c r="Q1620" s="322">
        <v>7000</v>
      </c>
      <c r="R1620" s="322">
        <v>4800</v>
      </c>
      <c r="S1620" s="322">
        <v>7000</v>
      </c>
      <c r="T1620" s="322">
        <v>7000</v>
      </c>
      <c r="U1620" s="322">
        <f t="shared" si="127"/>
        <v>0</v>
      </c>
      <c r="W1620" s="321">
        <f t="shared" si="128"/>
        <v>540</v>
      </c>
      <c r="X1620" s="321">
        <f t="shared" si="129"/>
        <v>746001</v>
      </c>
      <c r="Y1620" s="321">
        <v>1</v>
      </c>
      <c r="AA1620" s="321" t="s">
        <v>5216</v>
      </c>
    </row>
    <row r="1621" spans="1:27">
      <c r="A1621" s="376">
        <v>780</v>
      </c>
      <c r="B1621" s="377">
        <v>847500</v>
      </c>
      <c r="C1621" s="421" t="s">
        <v>7511</v>
      </c>
      <c r="D1621" s="379">
        <v>0</v>
      </c>
      <c r="E1621" s="380">
        <v>0</v>
      </c>
      <c r="F1621" s="380">
        <v>0</v>
      </c>
      <c r="H1621" s="351">
        <f t="shared" si="130"/>
        <v>0</v>
      </c>
      <c r="I1621" s="351">
        <f t="shared" si="131"/>
        <v>0</v>
      </c>
      <c r="M1621" s="321">
        <v>1746001542</v>
      </c>
      <c r="N1621" s="321">
        <v>74</v>
      </c>
      <c r="O1621" s="321" t="s">
        <v>5409</v>
      </c>
      <c r="P1621" s="321">
        <v>6746000</v>
      </c>
      <c r="Q1621" s="322">
        <v>39400</v>
      </c>
      <c r="R1621" s="322">
        <v>37100</v>
      </c>
      <c r="S1621" s="322">
        <v>56000</v>
      </c>
      <c r="T1621" s="322">
        <v>56000</v>
      </c>
      <c r="U1621" s="322">
        <f t="shared" si="127"/>
        <v>0</v>
      </c>
      <c r="W1621" s="321">
        <f t="shared" si="128"/>
        <v>542</v>
      </c>
      <c r="X1621" s="321">
        <f t="shared" si="129"/>
        <v>746001</v>
      </c>
      <c r="Y1621" s="321">
        <v>1</v>
      </c>
      <c r="AA1621" s="321" t="s">
        <v>5409</v>
      </c>
    </row>
    <row r="1622" spans="1:27">
      <c r="A1622" s="376">
        <v>841</v>
      </c>
      <c r="B1622" s="377">
        <v>847500</v>
      </c>
      <c r="C1622" s="420" t="s">
        <v>7512</v>
      </c>
      <c r="D1622" s="379">
        <v>0</v>
      </c>
      <c r="E1622" s="380">
        <v>0</v>
      </c>
      <c r="F1622" s="380">
        <v>0</v>
      </c>
      <c r="H1622" s="351">
        <f t="shared" si="130"/>
        <v>0</v>
      </c>
      <c r="I1622" s="351">
        <f t="shared" si="131"/>
        <v>0</v>
      </c>
      <c r="M1622" s="321">
        <v>1746001572</v>
      </c>
      <c r="N1622" s="321">
        <v>74</v>
      </c>
      <c r="O1622" s="321" t="s">
        <v>5620</v>
      </c>
      <c r="P1622" s="321">
        <v>6746000</v>
      </c>
      <c r="Q1622" s="322">
        <v>45000</v>
      </c>
      <c r="R1622" s="322">
        <v>28300</v>
      </c>
      <c r="S1622" s="322">
        <v>50000</v>
      </c>
      <c r="T1622" s="322">
        <v>50000</v>
      </c>
      <c r="U1622" s="322">
        <f t="shared" si="127"/>
        <v>0</v>
      </c>
      <c r="W1622" s="321">
        <f t="shared" si="128"/>
        <v>572</v>
      </c>
      <c r="X1622" s="321">
        <f t="shared" si="129"/>
        <v>746001</v>
      </c>
      <c r="Y1622" s="321">
        <v>1</v>
      </c>
      <c r="AA1622" s="321" t="s">
        <v>5620</v>
      </c>
    </row>
    <row r="1623" spans="1:27">
      <c r="A1623" s="376">
        <v>840</v>
      </c>
      <c r="B1623" s="377">
        <v>848200</v>
      </c>
      <c r="C1623" s="391" t="s">
        <v>1528</v>
      </c>
      <c r="D1623" s="379">
        <v>0</v>
      </c>
      <c r="E1623" s="380">
        <v>0</v>
      </c>
      <c r="F1623" s="380">
        <v>0</v>
      </c>
      <c r="H1623" s="351">
        <f t="shared" si="130"/>
        <v>0</v>
      </c>
      <c r="I1623" s="351">
        <f t="shared" si="131"/>
        <v>0</v>
      </c>
      <c r="M1623" s="321">
        <v>1746001730</v>
      </c>
      <c r="N1623" s="321">
        <v>74</v>
      </c>
      <c r="O1623" s="321" t="s">
        <v>5621</v>
      </c>
      <c r="P1623" s="321">
        <v>6746000</v>
      </c>
      <c r="Q1623" s="322">
        <v>100000</v>
      </c>
      <c r="R1623" s="322">
        <v>78000</v>
      </c>
      <c r="S1623" s="322">
        <v>100000</v>
      </c>
      <c r="T1623" s="322">
        <v>100000</v>
      </c>
      <c r="U1623" s="322">
        <f t="shared" si="127"/>
        <v>0</v>
      </c>
      <c r="W1623" s="321">
        <f t="shared" si="128"/>
        <v>730</v>
      </c>
      <c r="X1623" s="321">
        <f t="shared" si="129"/>
        <v>746001</v>
      </c>
      <c r="Y1623" s="321">
        <v>1</v>
      </c>
      <c r="AA1623" s="321" t="s">
        <v>5621</v>
      </c>
    </row>
    <row r="1624" spans="1:27">
      <c r="A1624" s="376">
        <v>100</v>
      </c>
      <c r="B1624" s="377">
        <v>848201</v>
      </c>
      <c r="C1624" s="391" t="s">
        <v>7513</v>
      </c>
      <c r="D1624" s="379">
        <v>832</v>
      </c>
      <c r="E1624" s="380">
        <v>720</v>
      </c>
      <c r="F1624" s="380">
        <v>720</v>
      </c>
      <c r="H1624" s="351">
        <f t="shared" si="130"/>
        <v>832000</v>
      </c>
      <c r="I1624" s="351">
        <f t="shared" si="131"/>
        <v>720000</v>
      </c>
      <c r="M1624" s="321">
        <v>1746001750</v>
      </c>
      <c r="N1624" s="321">
        <v>74</v>
      </c>
      <c r="O1624" s="321" t="s">
        <v>5622</v>
      </c>
      <c r="P1624" s="321">
        <v>6746000</v>
      </c>
      <c r="Q1624" s="322">
        <v>40000</v>
      </c>
      <c r="R1624" s="322">
        <v>0</v>
      </c>
      <c r="S1624" s="322">
        <v>40000</v>
      </c>
      <c r="T1624" s="322">
        <v>40000</v>
      </c>
      <c r="U1624" s="322">
        <f t="shared" si="127"/>
        <v>0</v>
      </c>
      <c r="W1624" s="321">
        <f t="shared" si="128"/>
        <v>750</v>
      </c>
      <c r="X1624" s="321">
        <f t="shared" si="129"/>
        <v>746001</v>
      </c>
      <c r="Y1624" s="321">
        <v>1</v>
      </c>
      <c r="AA1624" s="321" t="s">
        <v>5622</v>
      </c>
    </row>
    <row r="1625" spans="1:27">
      <c r="A1625" s="376">
        <v>410</v>
      </c>
      <c r="B1625" s="377">
        <v>848201</v>
      </c>
      <c r="C1625" s="391" t="s">
        <v>7514</v>
      </c>
      <c r="D1625" s="379">
        <v>145</v>
      </c>
      <c r="E1625" s="380">
        <v>140</v>
      </c>
      <c r="F1625" s="380">
        <v>155</v>
      </c>
      <c r="H1625" s="351">
        <f t="shared" si="130"/>
        <v>145000</v>
      </c>
      <c r="I1625" s="351">
        <f t="shared" si="131"/>
        <v>155000</v>
      </c>
      <c r="M1625" s="321">
        <v>1746001751</v>
      </c>
      <c r="N1625" s="321">
        <v>74</v>
      </c>
      <c r="O1625" s="321" t="s">
        <v>5623</v>
      </c>
      <c r="P1625" s="321">
        <v>6746000</v>
      </c>
      <c r="Q1625" s="322">
        <v>1160000</v>
      </c>
      <c r="R1625" s="322">
        <v>757000</v>
      </c>
      <c r="S1625" s="322">
        <v>1200000</v>
      </c>
      <c r="T1625" s="322">
        <v>1200000</v>
      </c>
      <c r="U1625" s="322">
        <f t="shared" si="127"/>
        <v>0</v>
      </c>
      <c r="W1625" s="321">
        <f t="shared" si="128"/>
        <v>751</v>
      </c>
      <c r="X1625" s="321">
        <f t="shared" si="129"/>
        <v>746001</v>
      </c>
      <c r="Y1625" s="321">
        <v>1</v>
      </c>
      <c r="AA1625" s="321" t="s">
        <v>5623</v>
      </c>
    </row>
    <row r="1626" spans="1:27">
      <c r="A1626" s="376">
        <v>430</v>
      </c>
      <c r="B1626" s="377">
        <v>848201</v>
      </c>
      <c r="C1626" s="391" t="s">
        <v>6798</v>
      </c>
      <c r="D1626" s="379">
        <v>41</v>
      </c>
      <c r="E1626" s="380">
        <v>41</v>
      </c>
      <c r="F1626" s="380">
        <v>58</v>
      </c>
      <c r="H1626" s="351">
        <f t="shared" si="130"/>
        <v>41000</v>
      </c>
      <c r="I1626" s="351">
        <f t="shared" si="131"/>
        <v>58000</v>
      </c>
      <c r="M1626" s="321">
        <v>1746102110</v>
      </c>
      <c r="N1626" s="321">
        <v>74</v>
      </c>
      <c r="O1626" s="321" t="s">
        <v>5205</v>
      </c>
      <c r="P1626" s="321">
        <v>6746102</v>
      </c>
      <c r="Q1626" s="322">
        <v>2357000</v>
      </c>
      <c r="R1626" s="322">
        <v>1678800</v>
      </c>
      <c r="S1626" s="322">
        <v>2283000</v>
      </c>
      <c r="T1626" s="322">
        <v>2283000</v>
      </c>
      <c r="U1626" s="322">
        <f t="shared" si="127"/>
        <v>0</v>
      </c>
      <c r="W1626" s="321">
        <f t="shared" si="128"/>
        <v>110</v>
      </c>
      <c r="X1626" s="321">
        <f t="shared" si="129"/>
        <v>746102</v>
      </c>
      <c r="Y1626" s="321">
        <v>1</v>
      </c>
      <c r="AA1626" s="321" t="s">
        <v>5205</v>
      </c>
    </row>
    <row r="1627" spans="1:27">
      <c r="A1627" s="376">
        <v>540</v>
      </c>
      <c r="B1627" s="377">
        <v>848201</v>
      </c>
      <c r="C1627" s="391" t="s">
        <v>7515</v>
      </c>
      <c r="D1627" s="379">
        <v>10</v>
      </c>
      <c r="E1627" s="380">
        <v>10</v>
      </c>
      <c r="F1627" s="380">
        <v>10</v>
      </c>
      <c r="H1627" s="351">
        <f t="shared" si="130"/>
        <v>10000</v>
      </c>
      <c r="I1627" s="351">
        <f t="shared" si="131"/>
        <v>10000</v>
      </c>
      <c r="M1627" s="321">
        <v>1746102120</v>
      </c>
      <c r="N1627" s="321">
        <v>74</v>
      </c>
      <c r="O1627" s="321" t="s">
        <v>5206</v>
      </c>
      <c r="P1627" s="321">
        <v>6746102</v>
      </c>
      <c r="Q1627" s="322">
        <v>345000</v>
      </c>
      <c r="R1627" s="322">
        <v>313300</v>
      </c>
      <c r="S1627" s="322">
        <v>347000</v>
      </c>
      <c r="T1627" s="322">
        <v>347000</v>
      </c>
      <c r="U1627" s="322">
        <f t="shared" si="127"/>
        <v>0</v>
      </c>
      <c r="W1627" s="321">
        <f t="shared" si="128"/>
        <v>120</v>
      </c>
      <c r="X1627" s="321">
        <f t="shared" si="129"/>
        <v>746102</v>
      </c>
      <c r="Y1627" s="321">
        <v>1</v>
      </c>
      <c r="AA1627" s="321" t="s">
        <v>5206</v>
      </c>
    </row>
    <row r="1628" spans="1:27">
      <c r="A1628" s="376">
        <v>755</v>
      </c>
      <c r="B1628" s="377">
        <v>848201</v>
      </c>
      <c r="C1628" s="391" t="s">
        <v>6777</v>
      </c>
      <c r="D1628" s="379">
        <v>0</v>
      </c>
      <c r="E1628" s="380">
        <v>50</v>
      </c>
      <c r="F1628" s="380">
        <v>50</v>
      </c>
      <c r="H1628" s="351">
        <f t="shared" si="130"/>
        <v>0</v>
      </c>
      <c r="I1628" s="351">
        <f t="shared" si="131"/>
        <v>50000</v>
      </c>
      <c r="M1628" s="321">
        <v>1746102130</v>
      </c>
      <c r="N1628" s="321">
        <v>74</v>
      </c>
      <c r="O1628" s="321" t="s">
        <v>2576</v>
      </c>
      <c r="P1628" s="321">
        <v>6746102</v>
      </c>
      <c r="Q1628" s="322">
        <v>349000</v>
      </c>
      <c r="R1628" s="322">
        <v>270900</v>
      </c>
      <c r="S1628" s="322">
        <v>382000</v>
      </c>
      <c r="T1628" s="322">
        <v>343800</v>
      </c>
      <c r="U1628" s="322">
        <f t="shared" si="127"/>
        <v>38200</v>
      </c>
      <c r="W1628" s="321">
        <f t="shared" si="128"/>
        <v>130</v>
      </c>
      <c r="X1628" s="321">
        <f t="shared" si="129"/>
        <v>746102</v>
      </c>
      <c r="Y1628" s="321">
        <v>1</v>
      </c>
      <c r="AA1628" s="321" t="s">
        <v>2576</v>
      </c>
    </row>
    <row r="1629" spans="1:27">
      <c r="A1629" s="376">
        <v>780</v>
      </c>
      <c r="B1629" s="377">
        <v>848201</v>
      </c>
      <c r="C1629" s="391" t="s">
        <v>7516</v>
      </c>
      <c r="D1629" s="379">
        <v>100</v>
      </c>
      <c r="E1629" s="380">
        <v>160</v>
      </c>
      <c r="F1629" s="380">
        <v>160</v>
      </c>
      <c r="H1629" s="351">
        <f t="shared" si="130"/>
        <v>100000</v>
      </c>
      <c r="I1629" s="351">
        <f t="shared" si="131"/>
        <v>160000</v>
      </c>
      <c r="M1629" s="321">
        <v>1746102140</v>
      </c>
      <c r="N1629" s="321">
        <v>74</v>
      </c>
      <c r="O1629" s="321" t="s">
        <v>5207</v>
      </c>
      <c r="P1629" s="321">
        <v>6746102</v>
      </c>
      <c r="Q1629" s="322">
        <v>382000</v>
      </c>
      <c r="R1629" s="322">
        <v>348600</v>
      </c>
      <c r="S1629" s="322">
        <v>455000</v>
      </c>
      <c r="T1629" s="322">
        <v>455000</v>
      </c>
      <c r="U1629" s="322">
        <f t="shared" si="127"/>
        <v>0</v>
      </c>
      <c r="W1629" s="321">
        <f t="shared" si="128"/>
        <v>140</v>
      </c>
      <c r="X1629" s="321">
        <f t="shared" si="129"/>
        <v>746102</v>
      </c>
      <c r="Y1629" s="321">
        <v>1</v>
      </c>
      <c r="AA1629" s="321" t="s">
        <v>5207</v>
      </c>
    </row>
    <row r="1630" spans="1:27">
      <c r="A1630" s="376">
        <v>781</v>
      </c>
      <c r="B1630" s="377">
        <v>848201</v>
      </c>
      <c r="C1630" s="391" t="s">
        <v>7517</v>
      </c>
      <c r="D1630" s="379">
        <v>60</v>
      </c>
      <c r="E1630" s="380">
        <v>60</v>
      </c>
      <c r="F1630" s="380">
        <v>60</v>
      </c>
      <c r="H1630" s="351">
        <f t="shared" si="130"/>
        <v>60000</v>
      </c>
      <c r="I1630" s="351">
        <f t="shared" si="131"/>
        <v>60000</v>
      </c>
      <c r="M1630" s="321">
        <v>1746102141</v>
      </c>
      <c r="N1630" s="321">
        <v>74</v>
      </c>
      <c r="O1630" s="321" t="s">
        <v>5208</v>
      </c>
      <c r="P1630" s="321">
        <v>6746102</v>
      </c>
      <c r="Q1630" s="322">
        <v>148000</v>
      </c>
      <c r="R1630" s="322">
        <v>106500</v>
      </c>
      <c r="S1630" s="322">
        <v>142000</v>
      </c>
      <c r="T1630" s="322">
        <v>142000</v>
      </c>
      <c r="U1630" s="322">
        <f t="shared" si="127"/>
        <v>0</v>
      </c>
      <c r="W1630" s="321">
        <f t="shared" si="128"/>
        <v>141</v>
      </c>
      <c r="X1630" s="321">
        <f t="shared" si="129"/>
        <v>746102</v>
      </c>
      <c r="Y1630" s="321">
        <v>1</v>
      </c>
      <c r="AA1630" s="321" t="s">
        <v>5208</v>
      </c>
    </row>
    <row r="1631" spans="1:27">
      <c r="A1631" s="376">
        <v>782</v>
      </c>
      <c r="B1631" s="377">
        <v>848201</v>
      </c>
      <c r="C1631" s="391" t="s">
        <v>7518</v>
      </c>
      <c r="D1631" s="379">
        <v>200</v>
      </c>
      <c r="E1631" s="380">
        <v>160</v>
      </c>
      <c r="F1631" s="380">
        <v>160</v>
      </c>
      <c r="H1631" s="351">
        <f t="shared" si="130"/>
        <v>200000</v>
      </c>
      <c r="I1631" s="351">
        <f t="shared" si="131"/>
        <v>160000</v>
      </c>
      <c r="M1631" s="321">
        <v>1746102181</v>
      </c>
      <c r="N1631" s="321">
        <v>74</v>
      </c>
      <c r="O1631" s="321" t="s">
        <v>2580</v>
      </c>
      <c r="P1631" s="321">
        <v>6746102</v>
      </c>
      <c r="Q1631" s="322">
        <v>341000</v>
      </c>
      <c r="R1631" s="322">
        <v>255900</v>
      </c>
      <c r="S1631" s="322">
        <v>343000</v>
      </c>
      <c r="T1631" s="322">
        <v>343000</v>
      </c>
      <c r="U1631" s="322">
        <f t="shared" si="127"/>
        <v>0</v>
      </c>
      <c r="W1631" s="321">
        <f t="shared" si="128"/>
        <v>181</v>
      </c>
      <c r="X1631" s="321">
        <f t="shared" si="129"/>
        <v>746102</v>
      </c>
      <c r="Y1631" s="321">
        <v>1</v>
      </c>
      <c r="AA1631" s="321" t="s">
        <v>2580</v>
      </c>
    </row>
    <row r="1632" spans="1:27">
      <c r="A1632" s="376">
        <v>840</v>
      </c>
      <c r="B1632" s="377">
        <v>848201</v>
      </c>
      <c r="C1632" s="391" t="s">
        <v>1523</v>
      </c>
      <c r="D1632" s="379">
        <v>16</v>
      </c>
      <c r="E1632" s="380">
        <v>100</v>
      </c>
      <c r="F1632" s="380">
        <v>100</v>
      </c>
      <c r="H1632" s="351">
        <f t="shared" si="130"/>
        <v>16000</v>
      </c>
      <c r="I1632" s="351">
        <f t="shared" si="131"/>
        <v>100000</v>
      </c>
      <c r="M1632" s="321">
        <v>1746102182</v>
      </c>
      <c r="N1632" s="321">
        <v>74</v>
      </c>
      <c r="O1632" s="321" t="s">
        <v>2582</v>
      </c>
      <c r="P1632" s="321">
        <v>6746102</v>
      </c>
      <c r="Q1632" s="322">
        <v>471000</v>
      </c>
      <c r="R1632" s="322">
        <v>345800</v>
      </c>
      <c r="S1632" s="322">
        <v>486000</v>
      </c>
      <c r="T1632" s="322">
        <v>486000</v>
      </c>
      <c r="U1632" s="322">
        <f t="shared" si="127"/>
        <v>0</v>
      </c>
      <c r="W1632" s="321">
        <f t="shared" si="128"/>
        <v>182</v>
      </c>
      <c r="X1632" s="321">
        <f t="shared" si="129"/>
        <v>746102</v>
      </c>
      <c r="Y1632" s="321">
        <v>1</v>
      </c>
      <c r="AA1632" s="321" t="s">
        <v>2582</v>
      </c>
    </row>
    <row r="1633" spans="1:27">
      <c r="A1633" s="376">
        <v>841</v>
      </c>
      <c r="B1633" s="377">
        <v>848201</v>
      </c>
      <c r="C1633" s="391" t="s">
        <v>7519</v>
      </c>
      <c r="D1633" s="379">
        <v>100</v>
      </c>
      <c r="E1633" s="380">
        <v>0</v>
      </c>
      <c r="F1633" s="380">
        <v>0</v>
      </c>
      <c r="H1633" s="351">
        <f t="shared" si="130"/>
        <v>100000</v>
      </c>
      <c r="I1633" s="351">
        <f t="shared" si="131"/>
        <v>0</v>
      </c>
      <c r="M1633" s="321">
        <v>1746102420</v>
      </c>
      <c r="N1633" s="321">
        <v>74</v>
      </c>
      <c r="O1633" s="321" t="s">
        <v>5624</v>
      </c>
      <c r="P1633" s="321">
        <v>6746102</v>
      </c>
      <c r="Q1633" s="322">
        <v>7000</v>
      </c>
      <c r="R1633" s="322">
        <v>1100</v>
      </c>
      <c r="S1633" s="322">
        <v>7000</v>
      </c>
      <c r="T1633" s="322">
        <v>7000</v>
      </c>
      <c r="U1633" s="322">
        <f t="shared" si="127"/>
        <v>0</v>
      </c>
      <c r="W1633" s="321">
        <f t="shared" si="128"/>
        <v>420</v>
      </c>
      <c r="X1633" s="321">
        <f t="shared" si="129"/>
        <v>746102</v>
      </c>
      <c r="Y1633" s="321">
        <v>1</v>
      </c>
      <c r="AA1633" s="321" t="s">
        <v>5624</v>
      </c>
    </row>
    <row r="1634" spans="1:27">
      <c r="A1634" s="376">
        <v>840</v>
      </c>
      <c r="B1634" s="377">
        <v>848202</v>
      </c>
      <c r="C1634" s="391" t="s">
        <v>6660</v>
      </c>
      <c r="D1634" s="379">
        <v>11</v>
      </c>
      <c r="E1634" s="380">
        <v>11</v>
      </c>
      <c r="F1634" s="380">
        <v>11</v>
      </c>
      <c r="H1634" s="351">
        <f t="shared" si="130"/>
        <v>11000</v>
      </c>
      <c r="I1634" s="351">
        <f t="shared" si="131"/>
        <v>11000</v>
      </c>
      <c r="M1634" s="321">
        <v>1746102433</v>
      </c>
      <c r="N1634" s="321">
        <v>74</v>
      </c>
      <c r="O1634" s="321" t="s">
        <v>5625</v>
      </c>
      <c r="P1634" s="321">
        <v>6746102</v>
      </c>
      <c r="Q1634" s="322">
        <v>2000</v>
      </c>
      <c r="R1634" s="322">
        <v>1000</v>
      </c>
      <c r="S1634" s="322">
        <v>2000</v>
      </c>
      <c r="T1634" s="322">
        <v>2000</v>
      </c>
      <c r="U1634" s="322">
        <f t="shared" si="127"/>
        <v>0</v>
      </c>
      <c r="W1634" s="321">
        <f t="shared" si="128"/>
        <v>433</v>
      </c>
      <c r="X1634" s="321">
        <f t="shared" si="129"/>
        <v>746102</v>
      </c>
      <c r="Y1634" s="321">
        <v>1</v>
      </c>
      <c r="AA1634" s="321" t="s">
        <v>5625</v>
      </c>
    </row>
    <row r="1635" spans="1:27">
      <c r="A1635" s="376">
        <v>100</v>
      </c>
      <c r="B1635" s="377">
        <v>848290</v>
      </c>
      <c r="C1635" s="391" t="s">
        <v>6711</v>
      </c>
      <c r="D1635" s="379">
        <v>149</v>
      </c>
      <c r="E1635" s="380">
        <v>130</v>
      </c>
      <c r="F1635" s="380">
        <v>170</v>
      </c>
      <c r="H1635" s="351">
        <f t="shared" si="130"/>
        <v>149000</v>
      </c>
      <c r="I1635" s="351">
        <f t="shared" si="131"/>
        <v>170000</v>
      </c>
      <c r="M1635" s="321">
        <v>1746102470</v>
      </c>
      <c r="N1635" s="321">
        <v>74</v>
      </c>
      <c r="O1635" s="321" t="s">
        <v>2660</v>
      </c>
      <c r="P1635" s="321">
        <v>6746102</v>
      </c>
      <c r="Q1635" s="322">
        <v>3400</v>
      </c>
      <c r="R1635" s="322">
        <v>2000</v>
      </c>
      <c r="S1635" s="322">
        <v>3400</v>
      </c>
      <c r="T1635" s="322">
        <v>3400</v>
      </c>
      <c r="U1635" s="322">
        <f t="shared" si="127"/>
        <v>0</v>
      </c>
      <c r="W1635" s="321">
        <f t="shared" si="128"/>
        <v>470</v>
      </c>
      <c r="X1635" s="321">
        <f t="shared" si="129"/>
        <v>746102</v>
      </c>
      <c r="Y1635" s="321">
        <v>1</v>
      </c>
      <c r="AA1635" s="321" t="s">
        <v>2660</v>
      </c>
    </row>
    <row r="1636" spans="1:27">
      <c r="A1636" s="376">
        <v>871</v>
      </c>
      <c r="B1636" s="377">
        <v>848290</v>
      </c>
      <c r="C1636" s="391" t="s">
        <v>7520</v>
      </c>
      <c r="D1636" s="379">
        <v>684</v>
      </c>
      <c r="E1636" s="380">
        <v>700</v>
      </c>
      <c r="F1636" s="380">
        <v>700</v>
      </c>
      <c r="H1636" s="351">
        <f t="shared" si="130"/>
        <v>684000</v>
      </c>
      <c r="I1636" s="351">
        <f t="shared" si="131"/>
        <v>700000</v>
      </c>
      <c r="M1636" s="321">
        <v>1746102540</v>
      </c>
      <c r="N1636" s="321">
        <v>74</v>
      </c>
      <c r="O1636" s="321" t="s">
        <v>5216</v>
      </c>
      <c r="P1636" s="321">
        <v>6746102</v>
      </c>
      <c r="Q1636" s="322">
        <v>1000</v>
      </c>
      <c r="R1636" s="322">
        <v>900</v>
      </c>
      <c r="S1636" s="322">
        <v>1500</v>
      </c>
      <c r="T1636" s="322">
        <v>1500</v>
      </c>
      <c r="U1636" s="322">
        <f t="shared" si="127"/>
        <v>0</v>
      </c>
      <c r="W1636" s="321">
        <f t="shared" si="128"/>
        <v>540</v>
      </c>
      <c r="X1636" s="321">
        <f t="shared" si="129"/>
        <v>746102</v>
      </c>
      <c r="Y1636" s="321">
        <v>1</v>
      </c>
      <c r="AA1636" s="321" t="s">
        <v>5216</v>
      </c>
    </row>
    <row r="1637" spans="1:27">
      <c r="A1637" s="376">
        <v>872</v>
      </c>
      <c r="B1637" s="377">
        <v>848290</v>
      </c>
      <c r="C1637" s="391" t="s">
        <v>7521</v>
      </c>
      <c r="D1637" s="379">
        <v>285</v>
      </c>
      <c r="E1637" s="380">
        <v>300</v>
      </c>
      <c r="F1637" s="380">
        <v>300</v>
      </c>
      <c r="H1637" s="351">
        <f t="shared" si="130"/>
        <v>285000</v>
      </c>
      <c r="I1637" s="351">
        <f t="shared" si="131"/>
        <v>300000</v>
      </c>
      <c r="M1637" s="321">
        <v>1746102720</v>
      </c>
      <c r="N1637" s="321">
        <v>74</v>
      </c>
      <c r="O1637" s="321" t="s">
        <v>2705</v>
      </c>
      <c r="P1637" s="321">
        <v>6746102</v>
      </c>
      <c r="Q1637" s="322">
        <v>230000</v>
      </c>
      <c r="R1637" s="322">
        <v>27300</v>
      </c>
      <c r="S1637" s="322">
        <v>200000</v>
      </c>
      <c r="T1637" s="322">
        <v>200000</v>
      </c>
      <c r="U1637" s="322">
        <f t="shared" si="127"/>
        <v>0</v>
      </c>
      <c r="W1637" s="321">
        <f t="shared" si="128"/>
        <v>720</v>
      </c>
      <c r="X1637" s="321">
        <f t="shared" si="129"/>
        <v>746102</v>
      </c>
      <c r="Y1637" s="321">
        <v>1</v>
      </c>
      <c r="AA1637" s="321" t="s">
        <v>2705</v>
      </c>
    </row>
    <row r="1638" spans="1:27">
      <c r="A1638" s="376">
        <v>420</v>
      </c>
      <c r="B1638" s="377">
        <v>848300</v>
      </c>
      <c r="C1638" s="385" t="s">
        <v>7522</v>
      </c>
      <c r="D1638" s="379">
        <v>0</v>
      </c>
      <c r="E1638" s="380">
        <v>0</v>
      </c>
      <c r="F1638" s="380">
        <v>0</v>
      </c>
      <c r="H1638" s="351">
        <f t="shared" si="130"/>
        <v>0</v>
      </c>
      <c r="I1638" s="351">
        <f t="shared" si="131"/>
        <v>0</v>
      </c>
      <c r="M1638" s="321">
        <v>1746102730</v>
      </c>
      <c r="N1638" s="321">
        <v>74</v>
      </c>
      <c r="O1638" s="321" t="s">
        <v>5626</v>
      </c>
      <c r="P1638" s="321">
        <v>6746102</v>
      </c>
      <c r="Q1638" s="322">
        <v>45000</v>
      </c>
      <c r="R1638" s="322">
        <v>12600</v>
      </c>
      <c r="S1638" s="322">
        <v>45000</v>
      </c>
      <c r="T1638" s="322">
        <v>45000</v>
      </c>
      <c r="U1638" s="322">
        <f t="shared" si="127"/>
        <v>0</v>
      </c>
      <c r="W1638" s="321">
        <f t="shared" si="128"/>
        <v>730</v>
      </c>
      <c r="X1638" s="321">
        <f t="shared" si="129"/>
        <v>746102</v>
      </c>
      <c r="Y1638" s="321">
        <v>1</v>
      </c>
      <c r="AA1638" s="321" t="s">
        <v>5626</v>
      </c>
    </row>
    <row r="1639" spans="1:27">
      <c r="A1639" s="376">
        <v>540</v>
      </c>
      <c r="B1639" s="377">
        <v>848300</v>
      </c>
      <c r="C1639" s="397" t="s">
        <v>6752</v>
      </c>
      <c r="D1639" s="379">
        <v>0</v>
      </c>
      <c r="E1639" s="380">
        <v>0</v>
      </c>
      <c r="F1639" s="380">
        <v>0</v>
      </c>
      <c r="H1639" s="351">
        <f t="shared" si="130"/>
        <v>0</v>
      </c>
      <c r="I1639" s="351">
        <f t="shared" si="131"/>
        <v>0</v>
      </c>
      <c r="M1639" s="321">
        <v>1746102731</v>
      </c>
      <c r="N1639" s="321">
        <v>74</v>
      </c>
      <c r="O1639" s="321" t="s">
        <v>5627</v>
      </c>
      <c r="P1639" s="321">
        <v>6746102</v>
      </c>
      <c r="Q1639" s="322">
        <v>0</v>
      </c>
      <c r="R1639" s="322">
        <v>100</v>
      </c>
      <c r="S1639" s="322">
        <v>0</v>
      </c>
      <c r="T1639" s="322">
        <v>0</v>
      </c>
      <c r="U1639" s="322">
        <f t="shared" si="127"/>
        <v>0</v>
      </c>
      <c r="W1639" s="321">
        <f t="shared" si="128"/>
        <v>731</v>
      </c>
      <c r="X1639" s="321">
        <f t="shared" si="129"/>
        <v>746102</v>
      </c>
      <c r="Y1639" s="321">
        <v>1</v>
      </c>
      <c r="AA1639" s="321" t="s">
        <v>5627</v>
      </c>
    </row>
    <row r="1640" spans="1:27">
      <c r="A1640" s="376">
        <v>750</v>
      </c>
      <c r="B1640" s="377">
        <v>848300</v>
      </c>
      <c r="C1640" s="382" t="s">
        <v>7523</v>
      </c>
      <c r="D1640" s="379">
        <v>0</v>
      </c>
      <c r="E1640" s="380">
        <v>0</v>
      </c>
      <c r="F1640" s="380">
        <v>0</v>
      </c>
      <c r="H1640" s="351">
        <f t="shared" si="130"/>
        <v>0</v>
      </c>
      <c r="I1640" s="351">
        <f t="shared" si="131"/>
        <v>0</v>
      </c>
      <c r="M1640" s="321">
        <v>1746102732</v>
      </c>
      <c r="N1640" s="321">
        <v>74</v>
      </c>
      <c r="O1640" s="321" t="s">
        <v>5628</v>
      </c>
      <c r="P1640" s="321">
        <v>6746102</v>
      </c>
      <c r="Q1640" s="322">
        <v>60000</v>
      </c>
      <c r="R1640" s="322">
        <v>41900</v>
      </c>
      <c r="S1640" s="322">
        <v>60000</v>
      </c>
      <c r="T1640" s="322">
        <v>60000</v>
      </c>
      <c r="U1640" s="322">
        <f t="shared" si="127"/>
        <v>0</v>
      </c>
      <c r="W1640" s="321">
        <f t="shared" si="128"/>
        <v>732</v>
      </c>
      <c r="X1640" s="321">
        <f t="shared" si="129"/>
        <v>746102</v>
      </c>
      <c r="Y1640" s="321">
        <v>1</v>
      </c>
      <c r="AA1640" s="321" t="s">
        <v>5628</v>
      </c>
    </row>
    <row r="1641" spans="1:27">
      <c r="A1641" s="376">
        <v>780</v>
      </c>
      <c r="B1641" s="377">
        <v>848300</v>
      </c>
      <c r="C1641" s="391" t="s">
        <v>7524</v>
      </c>
      <c r="D1641" s="379">
        <v>0</v>
      </c>
      <c r="E1641" s="380">
        <v>0</v>
      </c>
      <c r="F1641" s="380">
        <v>0</v>
      </c>
      <c r="H1641" s="351">
        <f t="shared" si="130"/>
        <v>0</v>
      </c>
      <c r="I1641" s="351">
        <f t="shared" si="131"/>
        <v>0</v>
      </c>
      <c r="M1641" s="321">
        <v>1746102733</v>
      </c>
      <c r="N1641" s="321">
        <v>74</v>
      </c>
      <c r="O1641" s="321" t="s">
        <v>5629</v>
      </c>
      <c r="P1641" s="321">
        <v>6746102</v>
      </c>
      <c r="Q1641" s="322">
        <v>0</v>
      </c>
      <c r="R1641" s="322">
        <v>0</v>
      </c>
      <c r="S1641" s="322">
        <v>0</v>
      </c>
      <c r="T1641" s="322">
        <v>0</v>
      </c>
      <c r="U1641" s="322">
        <f t="shared" si="127"/>
        <v>0</v>
      </c>
      <c r="W1641" s="321">
        <f t="shared" si="128"/>
        <v>733</v>
      </c>
      <c r="X1641" s="321">
        <f t="shared" si="129"/>
        <v>746102</v>
      </c>
      <c r="Y1641" s="321">
        <v>1</v>
      </c>
      <c r="AA1641" s="321" t="s">
        <v>5629</v>
      </c>
    </row>
    <row r="1642" spans="1:27">
      <c r="A1642" s="376">
        <v>840</v>
      </c>
      <c r="B1642" s="377">
        <v>848300</v>
      </c>
      <c r="C1642" s="391" t="s">
        <v>7525</v>
      </c>
      <c r="D1642" s="379">
        <v>0</v>
      </c>
      <c r="E1642" s="380">
        <v>0</v>
      </c>
      <c r="F1642" s="380">
        <v>0</v>
      </c>
      <c r="H1642" s="351">
        <f t="shared" si="130"/>
        <v>0</v>
      </c>
      <c r="I1642" s="351">
        <f t="shared" si="131"/>
        <v>0</v>
      </c>
      <c r="M1642" s="321">
        <v>1746102740</v>
      </c>
      <c r="N1642" s="321">
        <v>74</v>
      </c>
      <c r="O1642" s="321" t="s">
        <v>5264</v>
      </c>
      <c r="P1642" s="321">
        <v>6746102</v>
      </c>
      <c r="Q1642" s="322">
        <v>80000</v>
      </c>
      <c r="R1642" s="322">
        <v>49100</v>
      </c>
      <c r="S1642" s="322">
        <v>80000</v>
      </c>
      <c r="T1642" s="322">
        <v>80000</v>
      </c>
      <c r="U1642" s="322">
        <f t="shared" si="127"/>
        <v>0</v>
      </c>
      <c r="W1642" s="321">
        <f t="shared" si="128"/>
        <v>740</v>
      </c>
      <c r="X1642" s="321">
        <f t="shared" si="129"/>
        <v>746102</v>
      </c>
      <c r="Y1642" s="321">
        <v>1</v>
      </c>
      <c r="AA1642" s="321" t="s">
        <v>5264</v>
      </c>
    </row>
    <row r="1643" spans="1:27">
      <c r="A1643" s="376">
        <v>420</v>
      </c>
      <c r="B1643" s="377">
        <v>848301</v>
      </c>
      <c r="C1643" s="391" t="s">
        <v>7526</v>
      </c>
      <c r="D1643" s="379">
        <v>5</v>
      </c>
      <c r="E1643" s="380">
        <v>5</v>
      </c>
      <c r="F1643" s="380">
        <v>5</v>
      </c>
      <c r="H1643" s="351">
        <f t="shared" si="130"/>
        <v>5000</v>
      </c>
      <c r="I1643" s="351">
        <f t="shared" si="131"/>
        <v>5000</v>
      </c>
      <c r="M1643" s="321">
        <v>1746102742</v>
      </c>
      <c r="N1643" s="321">
        <v>74</v>
      </c>
      <c r="O1643" s="321" t="s">
        <v>5630</v>
      </c>
      <c r="P1643" s="321">
        <v>6746102</v>
      </c>
      <c r="Q1643" s="322">
        <v>8000</v>
      </c>
      <c r="R1643" s="322">
        <v>1800</v>
      </c>
      <c r="S1643" s="322">
        <v>8000</v>
      </c>
      <c r="T1643" s="322">
        <v>8000</v>
      </c>
      <c r="U1643" s="322">
        <f t="shared" si="127"/>
        <v>0</v>
      </c>
      <c r="W1643" s="321">
        <f t="shared" si="128"/>
        <v>742</v>
      </c>
      <c r="X1643" s="321">
        <f t="shared" si="129"/>
        <v>746102</v>
      </c>
      <c r="Y1643" s="321">
        <v>1</v>
      </c>
      <c r="AA1643" s="321" t="s">
        <v>5630</v>
      </c>
    </row>
    <row r="1644" spans="1:27">
      <c r="A1644" s="376">
        <v>540</v>
      </c>
      <c r="B1644" s="377">
        <v>848301</v>
      </c>
      <c r="C1644" s="391" t="s">
        <v>7373</v>
      </c>
      <c r="D1644" s="379">
        <v>12</v>
      </c>
      <c r="E1644" s="380">
        <v>15</v>
      </c>
      <c r="F1644" s="380">
        <v>15</v>
      </c>
      <c r="H1644" s="351">
        <f t="shared" si="130"/>
        <v>12000</v>
      </c>
      <c r="I1644" s="351">
        <f t="shared" si="131"/>
        <v>15000</v>
      </c>
      <c r="M1644" s="321">
        <v>1746102750</v>
      </c>
      <c r="N1644" s="321">
        <v>74</v>
      </c>
      <c r="O1644" s="321" t="s">
        <v>2707</v>
      </c>
      <c r="P1644" s="321">
        <v>6746102</v>
      </c>
      <c r="Q1644" s="322">
        <v>5160000</v>
      </c>
      <c r="R1644" s="322">
        <v>3582500</v>
      </c>
      <c r="S1644" s="322">
        <v>5586500</v>
      </c>
      <c r="T1644" s="322">
        <v>5586500</v>
      </c>
      <c r="U1644" s="322">
        <f t="shared" si="127"/>
        <v>0</v>
      </c>
      <c r="W1644" s="321">
        <f t="shared" si="128"/>
        <v>750</v>
      </c>
      <c r="X1644" s="321">
        <f t="shared" si="129"/>
        <v>746102</v>
      </c>
      <c r="Y1644" s="321">
        <v>1</v>
      </c>
      <c r="AA1644" s="321" t="s">
        <v>2707</v>
      </c>
    </row>
    <row r="1645" spans="1:27">
      <c r="A1645" s="376">
        <v>550</v>
      </c>
      <c r="B1645" s="377">
        <v>848301</v>
      </c>
      <c r="C1645" s="391" t="s">
        <v>6737</v>
      </c>
      <c r="D1645" s="379">
        <v>7</v>
      </c>
      <c r="E1645" s="380">
        <v>7</v>
      </c>
      <c r="F1645" s="380">
        <v>7</v>
      </c>
      <c r="H1645" s="351">
        <f t="shared" si="130"/>
        <v>7000</v>
      </c>
      <c r="I1645" s="351">
        <f t="shared" si="131"/>
        <v>7000</v>
      </c>
      <c r="M1645" s="321">
        <v>1746102751</v>
      </c>
      <c r="N1645" s="321">
        <v>74</v>
      </c>
      <c r="O1645" s="321" t="s">
        <v>5631</v>
      </c>
      <c r="P1645" s="321">
        <v>6746102</v>
      </c>
      <c r="Q1645" s="322">
        <v>180000</v>
      </c>
      <c r="R1645" s="322">
        <v>72900</v>
      </c>
      <c r="S1645" s="322">
        <v>342000</v>
      </c>
      <c r="T1645" s="322">
        <v>272000</v>
      </c>
      <c r="U1645" s="322">
        <f t="shared" si="127"/>
        <v>70000</v>
      </c>
      <c r="W1645" s="321">
        <f t="shared" si="128"/>
        <v>751</v>
      </c>
      <c r="X1645" s="321">
        <f t="shared" si="129"/>
        <v>746102</v>
      </c>
      <c r="Y1645" s="321">
        <v>1</v>
      </c>
      <c r="AA1645" s="321" t="s">
        <v>5631</v>
      </c>
    </row>
    <row r="1646" spans="1:27">
      <c r="A1646" s="376">
        <v>750</v>
      </c>
      <c r="B1646" s="377">
        <v>848301</v>
      </c>
      <c r="C1646" s="391" t="s">
        <v>6720</v>
      </c>
      <c r="D1646" s="379">
        <v>17</v>
      </c>
      <c r="E1646" s="380">
        <v>17</v>
      </c>
      <c r="F1646" s="380">
        <v>17</v>
      </c>
      <c r="H1646" s="351">
        <f t="shared" si="130"/>
        <v>17000</v>
      </c>
      <c r="I1646" s="351">
        <f t="shared" si="131"/>
        <v>17000</v>
      </c>
      <c r="M1646" s="321">
        <v>1746102752</v>
      </c>
      <c r="N1646" s="321">
        <v>74</v>
      </c>
      <c r="O1646" s="321" t="s">
        <v>3795</v>
      </c>
      <c r="P1646" s="321">
        <v>6746102</v>
      </c>
      <c r="Q1646" s="322">
        <v>12000</v>
      </c>
      <c r="R1646" s="322">
        <v>0</v>
      </c>
      <c r="S1646" s="322">
        <v>13000</v>
      </c>
      <c r="T1646" s="322">
        <v>13000</v>
      </c>
      <c r="U1646" s="322">
        <f t="shared" si="127"/>
        <v>0</v>
      </c>
      <c r="W1646" s="321">
        <f t="shared" si="128"/>
        <v>752</v>
      </c>
      <c r="X1646" s="321">
        <f t="shared" si="129"/>
        <v>746102</v>
      </c>
      <c r="Y1646" s="321">
        <v>1</v>
      </c>
      <c r="AA1646" s="321" t="s">
        <v>3795</v>
      </c>
    </row>
    <row r="1647" spans="1:27">
      <c r="A1647" s="376">
        <v>780</v>
      </c>
      <c r="B1647" s="377">
        <v>848301</v>
      </c>
      <c r="C1647" s="391" t="s">
        <v>7527</v>
      </c>
      <c r="D1647" s="379">
        <v>700</v>
      </c>
      <c r="E1647" s="380">
        <v>700</v>
      </c>
      <c r="F1647" s="380">
        <v>700</v>
      </c>
      <c r="H1647" s="351">
        <f t="shared" si="130"/>
        <v>700000</v>
      </c>
      <c r="I1647" s="351">
        <f t="shared" si="131"/>
        <v>700000</v>
      </c>
      <c r="M1647" s="321">
        <v>1746102753</v>
      </c>
      <c r="N1647" s="321">
        <v>74</v>
      </c>
      <c r="O1647" s="321" t="s">
        <v>5632</v>
      </c>
      <c r="P1647" s="321">
        <v>6746102</v>
      </c>
      <c r="Q1647" s="322">
        <v>185000</v>
      </c>
      <c r="R1647" s="322">
        <v>122300</v>
      </c>
      <c r="S1647" s="322">
        <v>200000</v>
      </c>
      <c r="T1647" s="322">
        <v>200000</v>
      </c>
      <c r="U1647" s="322">
        <f t="shared" si="127"/>
        <v>0</v>
      </c>
      <c r="W1647" s="321">
        <f t="shared" si="128"/>
        <v>753</v>
      </c>
      <c r="X1647" s="321">
        <f t="shared" si="129"/>
        <v>746102</v>
      </c>
      <c r="Y1647" s="321">
        <v>1</v>
      </c>
      <c r="AA1647" s="321" t="s">
        <v>5632</v>
      </c>
    </row>
    <row r="1648" spans="1:27">
      <c r="A1648" s="376">
        <v>840</v>
      </c>
      <c r="B1648" s="377">
        <v>848301</v>
      </c>
      <c r="C1648" s="391" t="s">
        <v>7528</v>
      </c>
      <c r="D1648" s="379">
        <v>13</v>
      </c>
      <c r="E1648" s="380">
        <v>37</v>
      </c>
      <c r="F1648" s="380">
        <v>37</v>
      </c>
      <c r="H1648" s="351">
        <f t="shared" si="130"/>
        <v>13000</v>
      </c>
      <c r="I1648" s="351">
        <f t="shared" si="131"/>
        <v>37000</v>
      </c>
      <c r="M1648" s="321">
        <v>1746102754</v>
      </c>
      <c r="N1648" s="321">
        <v>74</v>
      </c>
      <c r="O1648" s="321" t="s">
        <v>5633</v>
      </c>
      <c r="P1648" s="321">
        <v>6746102</v>
      </c>
      <c r="Q1648" s="322">
        <v>24300</v>
      </c>
      <c r="R1648" s="322">
        <v>16300</v>
      </c>
      <c r="S1648" s="322">
        <v>24500</v>
      </c>
      <c r="T1648" s="322">
        <v>24500</v>
      </c>
      <c r="U1648" s="322">
        <f t="shared" si="127"/>
        <v>0</v>
      </c>
      <c r="W1648" s="321">
        <f t="shared" si="128"/>
        <v>754</v>
      </c>
      <c r="X1648" s="321">
        <f t="shared" si="129"/>
        <v>746102</v>
      </c>
      <c r="Y1648" s="321">
        <v>1</v>
      </c>
      <c r="AA1648" s="321" t="s">
        <v>5633</v>
      </c>
    </row>
    <row r="1649" spans="1:27">
      <c r="A1649" s="376">
        <v>841</v>
      </c>
      <c r="B1649" s="377">
        <v>848301</v>
      </c>
      <c r="C1649" s="391" t="s">
        <v>7529</v>
      </c>
      <c r="D1649" s="379">
        <v>29</v>
      </c>
      <c r="E1649" s="380">
        <v>0</v>
      </c>
      <c r="F1649" s="380">
        <v>0</v>
      </c>
      <c r="H1649" s="351">
        <f t="shared" si="130"/>
        <v>29000</v>
      </c>
      <c r="I1649" s="351">
        <f t="shared" si="131"/>
        <v>0</v>
      </c>
      <c r="M1649" s="321">
        <v>1746102755</v>
      </c>
      <c r="N1649" s="321">
        <v>74</v>
      </c>
      <c r="O1649" s="321" t="s">
        <v>5634</v>
      </c>
      <c r="P1649" s="321">
        <v>6746102</v>
      </c>
      <c r="Q1649" s="322">
        <v>30000</v>
      </c>
      <c r="R1649" s="322">
        <v>14500</v>
      </c>
      <c r="S1649" s="322">
        <v>30000</v>
      </c>
      <c r="T1649" s="322">
        <v>30000</v>
      </c>
      <c r="U1649" s="322">
        <f t="shared" si="127"/>
        <v>0</v>
      </c>
      <c r="W1649" s="321">
        <f t="shared" si="128"/>
        <v>755</v>
      </c>
      <c r="X1649" s="321">
        <f t="shared" si="129"/>
        <v>746102</v>
      </c>
      <c r="Y1649" s="321">
        <v>1</v>
      </c>
      <c r="AA1649" s="321" t="s">
        <v>5634</v>
      </c>
    </row>
    <row r="1650" spans="1:27">
      <c r="A1650" s="376">
        <v>100</v>
      </c>
      <c r="B1650" s="377">
        <v>848302</v>
      </c>
      <c r="C1650" s="391" t="s">
        <v>7530</v>
      </c>
      <c r="D1650" s="379">
        <v>139</v>
      </c>
      <c r="E1650" s="380">
        <v>137</v>
      </c>
      <c r="F1650" s="380">
        <v>137</v>
      </c>
      <c r="H1650" s="351">
        <f t="shared" si="130"/>
        <v>139000</v>
      </c>
      <c r="I1650" s="351">
        <f t="shared" si="131"/>
        <v>137000</v>
      </c>
      <c r="M1650" s="321">
        <v>1746102779</v>
      </c>
      <c r="N1650" s="321">
        <v>74</v>
      </c>
      <c r="O1650" s="321" t="s">
        <v>5382</v>
      </c>
      <c r="P1650" s="321">
        <v>6746102</v>
      </c>
      <c r="Q1650" s="322">
        <v>16000</v>
      </c>
      <c r="R1650" s="322">
        <v>12300</v>
      </c>
      <c r="S1650" s="322">
        <v>17000</v>
      </c>
      <c r="T1650" s="322">
        <v>17000</v>
      </c>
      <c r="U1650" s="322">
        <f t="shared" si="127"/>
        <v>0</v>
      </c>
      <c r="W1650" s="321">
        <f t="shared" si="128"/>
        <v>779</v>
      </c>
      <c r="X1650" s="321">
        <f t="shared" si="129"/>
        <v>746102</v>
      </c>
      <c r="Y1650" s="321">
        <v>1</v>
      </c>
      <c r="AA1650" s="321" t="s">
        <v>5382</v>
      </c>
    </row>
    <row r="1651" spans="1:27">
      <c r="A1651" s="376">
        <v>410</v>
      </c>
      <c r="B1651" s="377">
        <v>848302</v>
      </c>
      <c r="C1651" s="391" t="s">
        <v>7531</v>
      </c>
      <c r="D1651" s="379">
        <v>66</v>
      </c>
      <c r="E1651" s="380">
        <v>60</v>
      </c>
      <c r="F1651" s="380">
        <v>66</v>
      </c>
      <c r="H1651" s="351">
        <f t="shared" si="130"/>
        <v>66000</v>
      </c>
      <c r="I1651" s="351">
        <f t="shared" si="131"/>
        <v>66000</v>
      </c>
      <c r="M1651" s="321">
        <v>1746102781</v>
      </c>
      <c r="N1651" s="321">
        <v>74</v>
      </c>
      <c r="O1651" s="321" t="s">
        <v>5635</v>
      </c>
      <c r="P1651" s="321">
        <v>6746102</v>
      </c>
      <c r="Q1651" s="322">
        <v>4400</v>
      </c>
      <c r="R1651" s="322">
        <v>600</v>
      </c>
      <c r="S1651" s="322">
        <v>4400</v>
      </c>
      <c r="T1651" s="322">
        <v>4400</v>
      </c>
      <c r="U1651" s="322">
        <f t="shared" si="127"/>
        <v>0</v>
      </c>
      <c r="W1651" s="321">
        <f t="shared" si="128"/>
        <v>781</v>
      </c>
      <c r="X1651" s="321">
        <f t="shared" si="129"/>
        <v>746102</v>
      </c>
      <c r="Y1651" s="321">
        <v>1</v>
      </c>
      <c r="AA1651" s="321" t="s">
        <v>5635</v>
      </c>
    </row>
    <row r="1652" spans="1:27">
      <c r="A1652" s="376">
        <v>420</v>
      </c>
      <c r="B1652" s="377">
        <v>848302</v>
      </c>
      <c r="C1652" s="391" t="s">
        <v>7532</v>
      </c>
      <c r="D1652" s="379">
        <v>20</v>
      </c>
      <c r="E1652" s="380">
        <v>15</v>
      </c>
      <c r="F1652" s="380">
        <v>17</v>
      </c>
      <c r="H1652" s="351">
        <f t="shared" si="130"/>
        <v>20000</v>
      </c>
      <c r="I1652" s="351">
        <f t="shared" si="131"/>
        <v>17000</v>
      </c>
      <c r="M1652" s="321">
        <v>1746103110</v>
      </c>
      <c r="N1652" s="321">
        <v>74</v>
      </c>
      <c r="O1652" s="321" t="s">
        <v>5205</v>
      </c>
      <c r="P1652" s="321">
        <v>6746103</v>
      </c>
      <c r="Q1652" s="322">
        <v>893000</v>
      </c>
      <c r="R1652" s="322">
        <v>577200</v>
      </c>
      <c r="S1652" s="322">
        <v>992000</v>
      </c>
      <c r="T1652" s="322">
        <v>716000</v>
      </c>
      <c r="U1652" s="322">
        <f t="shared" si="127"/>
        <v>276000</v>
      </c>
      <c r="W1652" s="321">
        <f t="shared" si="128"/>
        <v>110</v>
      </c>
      <c r="X1652" s="321">
        <f t="shared" si="129"/>
        <v>746103</v>
      </c>
      <c r="Y1652" s="321">
        <v>1</v>
      </c>
      <c r="AA1652" s="321" t="s">
        <v>5205</v>
      </c>
    </row>
    <row r="1653" spans="1:27">
      <c r="A1653" s="376">
        <v>540</v>
      </c>
      <c r="B1653" s="377">
        <v>848302</v>
      </c>
      <c r="C1653" s="391" t="s">
        <v>7533</v>
      </c>
      <c r="D1653" s="379">
        <v>7</v>
      </c>
      <c r="E1653" s="380">
        <v>7</v>
      </c>
      <c r="F1653" s="380">
        <v>7</v>
      </c>
      <c r="H1653" s="351">
        <f t="shared" si="130"/>
        <v>7000</v>
      </c>
      <c r="I1653" s="351">
        <f t="shared" si="131"/>
        <v>7000</v>
      </c>
      <c r="M1653" s="321">
        <v>1746103120</v>
      </c>
      <c r="N1653" s="321">
        <v>74</v>
      </c>
      <c r="O1653" s="321" t="s">
        <v>5206</v>
      </c>
      <c r="P1653" s="321">
        <v>6746103</v>
      </c>
      <c r="Q1653" s="322">
        <v>178000</v>
      </c>
      <c r="R1653" s="322">
        <v>117800</v>
      </c>
      <c r="S1653" s="322">
        <v>156000</v>
      </c>
      <c r="T1653" s="322">
        <v>156000</v>
      </c>
      <c r="U1653" s="322">
        <f t="shared" si="127"/>
        <v>0</v>
      </c>
      <c r="W1653" s="321">
        <f t="shared" si="128"/>
        <v>120</v>
      </c>
      <c r="X1653" s="321">
        <f t="shared" si="129"/>
        <v>746103</v>
      </c>
      <c r="Y1653" s="321">
        <v>1</v>
      </c>
      <c r="AA1653" s="321" t="s">
        <v>5206</v>
      </c>
    </row>
    <row r="1654" spans="1:27">
      <c r="A1654" s="376">
        <v>550</v>
      </c>
      <c r="B1654" s="377">
        <v>848302</v>
      </c>
      <c r="C1654" s="391" t="s">
        <v>6737</v>
      </c>
      <c r="D1654" s="379">
        <v>4</v>
      </c>
      <c r="E1654" s="380">
        <v>4</v>
      </c>
      <c r="F1654" s="380">
        <v>4</v>
      </c>
      <c r="H1654" s="351">
        <f t="shared" si="130"/>
        <v>4000</v>
      </c>
      <c r="I1654" s="351">
        <f t="shared" si="131"/>
        <v>4000</v>
      </c>
      <c r="M1654" s="321">
        <v>1746103130</v>
      </c>
      <c r="N1654" s="321">
        <v>74</v>
      </c>
      <c r="O1654" s="321" t="s">
        <v>2576</v>
      </c>
      <c r="P1654" s="321">
        <v>6746103</v>
      </c>
      <c r="Q1654" s="322">
        <v>152000</v>
      </c>
      <c r="R1654" s="322">
        <v>103700</v>
      </c>
      <c r="S1654" s="322">
        <v>165000</v>
      </c>
      <c r="T1654" s="322">
        <v>148500</v>
      </c>
      <c r="U1654" s="322">
        <f t="shared" si="127"/>
        <v>16500</v>
      </c>
      <c r="W1654" s="321">
        <f t="shared" si="128"/>
        <v>130</v>
      </c>
      <c r="X1654" s="321">
        <f t="shared" si="129"/>
        <v>746103</v>
      </c>
      <c r="Y1654" s="321">
        <v>1</v>
      </c>
      <c r="AA1654" s="321" t="s">
        <v>2576</v>
      </c>
    </row>
    <row r="1655" spans="1:27">
      <c r="A1655" s="376">
        <v>750</v>
      </c>
      <c r="B1655" s="377">
        <v>848302</v>
      </c>
      <c r="C1655" s="391" t="s">
        <v>6720</v>
      </c>
      <c r="D1655" s="379">
        <v>8</v>
      </c>
      <c r="E1655" s="380">
        <v>8</v>
      </c>
      <c r="F1655" s="380">
        <v>8</v>
      </c>
      <c r="H1655" s="351">
        <f t="shared" si="130"/>
        <v>8000</v>
      </c>
      <c r="I1655" s="351">
        <f t="shared" si="131"/>
        <v>8000</v>
      </c>
      <c r="M1655" s="321">
        <v>1746103140</v>
      </c>
      <c r="N1655" s="321">
        <v>74</v>
      </c>
      <c r="O1655" s="321" t="s">
        <v>5207</v>
      </c>
      <c r="P1655" s="321">
        <v>6746103</v>
      </c>
      <c r="Q1655" s="322">
        <v>305000</v>
      </c>
      <c r="R1655" s="322">
        <v>148000</v>
      </c>
      <c r="S1655" s="322">
        <v>335000</v>
      </c>
      <c r="T1655" s="322">
        <v>335000</v>
      </c>
      <c r="U1655" s="322">
        <f t="shared" si="127"/>
        <v>0</v>
      </c>
      <c r="W1655" s="321">
        <f t="shared" si="128"/>
        <v>140</v>
      </c>
      <c r="X1655" s="321">
        <f t="shared" si="129"/>
        <v>746103</v>
      </c>
      <c r="Y1655" s="321">
        <v>1</v>
      </c>
      <c r="AA1655" s="321" t="s">
        <v>5207</v>
      </c>
    </row>
    <row r="1656" spans="1:27">
      <c r="A1656" s="376">
        <v>840</v>
      </c>
      <c r="B1656" s="377">
        <v>848302</v>
      </c>
      <c r="C1656" s="391" t="s">
        <v>6663</v>
      </c>
      <c r="D1656" s="379">
        <v>5</v>
      </c>
      <c r="E1656" s="380">
        <v>21</v>
      </c>
      <c r="F1656" s="380">
        <v>21</v>
      </c>
      <c r="H1656" s="351">
        <f t="shared" si="130"/>
        <v>5000</v>
      </c>
      <c r="I1656" s="351">
        <f t="shared" si="131"/>
        <v>21000</v>
      </c>
      <c r="M1656" s="321">
        <v>1746103141</v>
      </c>
      <c r="N1656" s="321">
        <v>74</v>
      </c>
      <c r="O1656" s="321" t="s">
        <v>5208</v>
      </c>
      <c r="P1656" s="321">
        <v>6746103</v>
      </c>
      <c r="Q1656" s="322">
        <v>47000</v>
      </c>
      <c r="R1656" s="322">
        <v>31800</v>
      </c>
      <c r="S1656" s="322">
        <v>61000</v>
      </c>
      <c r="T1656" s="322">
        <v>61000</v>
      </c>
      <c r="U1656" s="322">
        <f t="shared" si="127"/>
        <v>0</v>
      </c>
      <c r="W1656" s="321">
        <f t="shared" si="128"/>
        <v>141</v>
      </c>
      <c r="X1656" s="321">
        <f t="shared" si="129"/>
        <v>746103</v>
      </c>
      <c r="Y1656" s="321">
        <v>1</v>
      </c>
      <c r="AA1656" s="321" t="s">
        <v>5208</v>
      </c>
    </row>
    <row r="1657" spans="1:27">
      <c r="A1657" s="376">
        <v>841</v>
      </c>
      <c r="B1657" s="377">
        <v>848302</v>
      </c>
      <c r="C1657" s="391" t="s">
        <v>7534</v>
      </c>
      <c r="D1657" s="379">
        <v>21</v>
      </c>
      <c r="E1657" s="380">
        <v>0</v>
      </c>
      <c r="F1657" s="380">
        <v>0</v>
      </c>
      <c r="H1657" s="351">
        <f t="shared" si="130"/>
        <v>21000</v>
      </c>
      <c r="I1657" s="351">
        <f t="shared" si="131"/>
        <v>0</v>
      </c>
      <c r="M1657" s="321">
        <v>1746103181</v>
      </c>
      <c r="N1657" s="321">
        <v>74</v>
      </c>
      <c r="O1657" s="321" t="s">
        <v>2580</v>
      </c>
      <c r="P1657" s="321">
        <v>6746103</v>
      </c>
      <c r="Q1657" s="322">
        <v>147000</v>
      </c>
      <c r="R1657" s="322">
        <v>92500</v>
      </c>
      <c r="S1657" s="322">
        <v>153000</v>
      </c>
      <c r="T1657" s="322">
        <v>153000</v>
      </c>
      <c r="U1657" s="322">
        <f t="shared" si="127"/>
        <v>0</v>
      </c>
      <c r="W1657" s="321">
        <f t="shared" si="128"/>
        <v>181</v>
      </c>
      <c r="X1657" s="321">
        <f t="shared" si="129"/>
        <v>746103</v>
      </c>
      <c r="Y1657" s="321">
        <v>1</v>
      </c>
      <c r="AA1657" s="321" t="s">
        <v>2580</v>
      </c>
    </row>
    <row r="1658" spans="1:27">
      <c r="A1658" s="376">
        <v>100</v>
      </c>
      <c r="B1658" s="377">
        <v>848400</v>
      </c>
      <c r="C1658" s="391" t="s">
        <v>6747</v>
      </c>
      <c r="D1658" s="379">
        <v>0</v>
      </c>
      <c r="E1658" s="380">
        <v>0</v>
      </c>
      <c r="F1658" s="380">
        <v>0</v>
      </c>
      <c r="H1658" s="351">
        <f t="shared" si="130"/>
        <v>0</v>
      </c>
      <c r="I1658" s="351">
        <f t="shared" si="131"/>
        <v>0</v>
      </c>
      <c r="M1658" s="321">
        <v>1746103182</v>
      </c>
      <c r="N1658" s="321">
        <v>74</v>
      </c>
      <c r="O1658" s="321" t="s">
        <v>2582</v>
      </c>
      <c r="P1658" s="321">
        <v>6746103</v>
      </c>
      <c r="Q1658" s="322">
        <v>212000</v>
      </c>
      <c r="R1658" s="322">
        <v>126500</v>
      </c>
      <c r="S1658" s="322">
        <v>234000</v>
      </c>
      <c r="T1658" s="322">
        <v>234000</v>
      </c>
      <c r="U1658" s="322">
        <f t="shared" si="127"/>
        <v>0</v>
      </c>
      <c r="W1658" s="321">
        <f t="shared" si="128"/>
        <v>182</v>
      </c>
      <c r="X1658" s="321">
        <f t="shared" si="129"/>
        <v>746103</v>
      </c>
      <c r="Y1658" s="321">
        <v>1</v>
      </c>
      <c r="AA1658" s="321" t="s">
        <v>2582</v>
      </c>
    </row>
    <row r="1659" spans="1:27">
      <c r="A1659" s="376">
        <v>410</v>
      </c>
      <c r="B1659" s="377">
        <v>848400</v>
      </c>
      <c r="C1659" s="382" t="s">
        <v>6715</v>
      </c>
      <c r="D1659" s="379">
        <v>0</v>
      </c>
      <c r="E1659" s="380">
        <v>0</v>
      </c>
      <c r="F1659" s="380">
        <v>0</v>
      </c>
      <c r="H1659" s="351">
        <f t="shared" si="130"/>
        <v>0</v>
      </c>
      <c r="I1659" s="351">
        <f t="shared" si="131"/>
        <v>0</v>
      </c>
      <c r="M1659" s="321">
        <v>1746103470</v>
      </c>
      <c r="N1659" s="321">
        <v>74</v>
      </c>
      <c r="O1659" s="321" t="s">
        <v>2660</v>
      </c>
      <c r="P1659" s="321">
        <v>6746103</v>
      </c>
      <c r="Q1659" s="322">
        <v>3400</v>
      </c>
      <c r="R1659" s="322">
        <v>1500</v>
      </c>
      <c r="S1659" s="322">
        <v>3400</v>
      </c>
      <c r="T1659" s="322">
        <v>3400</v>
      </c>
      <c r="U1659" s="322">
        <f t="shared" si="127"/>
        <v>0</v>
      </c>
      <c r="W1659" s="321">
        <f t="shared" si="128"/>
        <v>470</v>
      </c>
      <c r="X1659" s="321">
        <f t="shared" si="129"/>
        <v>746103</v>
      </c>
      <c r="Y1659" s="321">
        <v>1</v>
      </c>
      <c r="AA1659" s="321" t="s">
        <v>2660</v>
      </c>
    </row>
    <row r="1660" spans="1:27">
      <c r="A1660" s="376">
        <v>429</v>
      </c>
      <c r="B1660" s="377">
        <v>848400</v>
      </c>
      <c r="C1660" s="382" t="s">
        <v>7535</v>
      </c>
      <c r="D1660" s="379">
        <v>0</v>
      </c>
      <c r="E1660" s="380">
        <v>0</v>
      </c>
      <c r="F1660" s="380">
        <v>0</v>
      </c>
      <c r="H1660" s="351">
        <f t="shared" si="130"/>
        <v>0</v>
      </c>
      <c r="I1660" s="351">
        <f t="shared" si="131"/>
        <v>0</v>
      </c>
      <c r="M1660" s="321">
        <v>1746103531</v>
      </c>
      <c r="N1660" s="321">
        <v>74</v>
      </c>
      <c r="O1660" s="321" t="s">
        <v>5636</v>
      </c>
      <c r="P1660" s="321">
        <v>6746103</v>
      </c>
      <c r="Q1660" s="322">
        <v>0</v>
      </c>
      <c r="R1660" s="322">
        <v>0</v>
      </c>
      <c r="S1660" s="322">
        <v>45000</v>
      </c>
      <c r="T1660" s="322">
        <v>45000</v>
      </c>
      <c r="U1660" s="322">
        <f t="shared" si="127"/>
        <v>0</v>
      </c>
      <c r="W1660" s="321">
        <f t="shared" si="128"/>
        <v>531</v>
      </c>
      <c r="X1660" s="321">
        <f t="shared" si="129"/>
        <v>746103</v>
      </c>
      <c r="Y1660" s="321">
        <v>1</v>
      </c>
      <c r="AA1660" s="321" t="s">
        <v>5636</v>
      </c>
    </row>
    <row r="1661" spans="1:27">
      <c r="A1661" s="376">
        <v>540</v>
      </c>
      <c r="B1661" s="377">
        <v>848400</v>
      </c>
      <c r="C1661" s="391" t="s">
        <v>7536</v>
      </c>
      <c r="D1661" s="379">
        <v>0</v>
      </c>
      <c r="E1661" s="380">
        <v>0</v>
      </c>
      <c r="F1661" s="380">
        <v>0</v>
      </c>
      <c r="H1661" s="351">
        <f t="shared" si="130"/>
        <v>0</v>
      </c>
      <c r="I1661" s="351">
        <f t="shared" si="131"/>
        <v>0</v>
      </c>
      <c r="M1661" s="321">
        <v>1746103540</v>
      </c>
      <c r="N1661" s="321">
        <v>74</v>
      </c>
      <c r="O1661" s="321" t="s">
        <v>5216</v>
      </c>
      <c r="P1661" s="321">
        <v>6746103</v>
      </c>
      <c r="Q1661" s="322">
        <v>1000</v>
      </c>
      <c r="R1661" s="322">
        <v>300</v>
      </c>
      <c r="S1661" s="322">
        <v>1000</v>
      </c>
      <c r="T1661" s="322">
        <v>1000</v>
      </c>
      <c r="U1661" s="322">
        <f t="shared" si="127"/>
        <v>0</v>
      </c>
      <c r="W1661" s="321">
        <f t="shared" si="128"/>
        <v>540</v>
      </c>
      <c r="X1661" s="321">
        <f t="shared" si="129"/>
        <v>746103</v>
      </c>
      <c r="Y1661" s="321">
        <v>1</v>
      </c>
      <c r="AA1661" s="321" t="s">
        <v>5216</v>
      </c>
    </row>
    <row r="1662" spans="1:27">
      <c r="A1662" s="376">
        <v>750</v>
      </c>
      <c r="B1662" s="377">
        <v>848400</v>
      </c>
      <c r="C1662" s="382" t="s">
        <v>6821</v>
      </c>
      <c r="D1662" s="379">
        <v>0</v>
      </c>
      <c r="E1662" s="390">
        <v>0</v>
      </c>
      <c r="F1662" s="380">
        <v>0</v>
      </c>
      <c r="H1662" s="351">
        <f t="shared" si="130"/>
        <v>0</v>
      </c>
      <c r="I1662" s="351">
        <f t="shared" si="131"/>
        <v>0</v>
      </c>
      <c r="M1662" s="321">
        <v>1746103720</v>
      </c>
      <c r="N1662" s="321">
        <v>74</v>
      </c>
      <c r="O1662" s="321" t="s">
        <v>2705</v>
      </c>
      <c r="P1662" s="321">
        <v>6746103</v>
      </c>
      <c r="Q1662" s="322">
        <v>120000</v>
      </c>
      <c r="R1662" s="322">
        <v>24700</v>
      </c>
      <c r="S1662" s="322">
        <v>150000</v>
      </c>
      <c r="T1662" s="322">
        <v>150000</v>
      </c>
      <c r="U1662" s="322">
        <f t="shared" si="127"/>
        <v>0</v>
      </c>
      <c r="W1662" s="321">
        <f t="shared" si="128"/>
        <v>720</v>
      </c>
      <c r="X1662" s="321">
        <f t="shared" si="129"/>
        <v>746103</v>
      </c>
      <c r="Y1662" s="321">
        <v>1</v>
      </c>
      <c r="AA1662" s="321" t="s">
        <v>2705</v>
      </c>
    </row>
    <row r="1663" spans="1:27">
      <c r="A1663" s="376">
        <v>780</v>
      </c>
      <c r="B1663" s="377">
        <v>848400</v>
      </c>
      <c r="C1663" s="391" t="s">
        <v>169</v>
      </c>
      <c r="D1663" s="389">
        <v>0</v>
      </c>
      <c r="E1663" s="390">
        <v>0</v>
      </c>
      <c r="F1663" s="390">
        <v>0</v>
      </c>
      <c r="H1663" s="351">
        <f t="shared" si="130"/>
        <v>0</v>
      </c>
      <c r="I1663" s="351">
        <f t="shared" si="131"/>
        <v>0</v>
      </c>
      <c r="M1663" s="321">
        <v>1746103730</v>
      </c>
      <c r="N1663" s="321">
        <v>74</v>
      </c>
      <c r="O1663" s="321" t="s">
        <v>5637</v>
      </c>
      <c r="P1663" s="321">
        <v>6746103</v>
      </c>
      <c r="Q1663" s="322">
        <v>25000</v>
      </c>
      <c r="R1663" s="322">
        <v>15300</v>
      </c>
      <c r="S1663" s="322">
        <v>25000</v>
      </c>
      <c r="T1663" s="322">
        <v>25000</v>
      </c>
      <c r="U1663" s="322">
        <f t="shared" si="127"/>
        <v>0</v>
      </c>
      <c r="W1663" s="321">
        <f t="shared" si="128"/>
        <v>730</v>
      </c>
      <c r="X1663" s="321">
        <f t="shared" si="129"/>
        <v>746103</v>
      </c>
      <c r="Y1663" s="321">
        <v>1</v>
      </c>
      <c r="AA1663" s="321" t="s">
        <v>5637</v>
      </c>
    </row>
    <row r="1664" spans="1:27">
      <c r="A1664" s="376">
        <v>100</v>
      </c>
      <c r="B1664" s="377">
        <v>848700</v>
      </c>
      <c r="C1664" s="391" t="s">
        <v>6711</v>
      </c>
      <c r="D1664" s="379">
        <v>0</v>
      </c>
      <c r="E1664" s="380">
        <v>0</v>
      </c>
      <c r="F1664" s="380">
        <v>0</v>
      </c>
      <c r="H1664" s="351">
        <f t="shared" si="130"/>
        <v>0</v>
      </c>
      <c r="I1664" s="351">
        <f t="shared" si="131"/>
        <v>0</v>
      </c>
      <c r="M1664" s="321">
        <v>1746103740</v>
      </c>
      <c r="N1664" s="321">
        <v>74</v>
      </c>
      <c r="O1664" s="321" t="s">
        <v>5638</v>
      </c>
      <c r="P1664" s="321">
        <v>6746103</v>
      </c>
      <c r="Q1664" s="322">
        <v>20000</v>
      </c>
      <c r="R1664" s="322">
        <v>6100</v>
      </c>
      <c r="S1664" s="322">
        <v>50000</v>
      </c>
      <c r="T1664" s="322">
        <v>50000</v>
      </c>
      <c r="U1664" s="322">
        <f t="shared" si="127"/>
        <v>0</v>
      </c>
      <c r="W1664" s="321">
        <f t="shared" si="128"/>
        <v>740</v>
      </c>
      <c r="X1664" s="321">
        <f t="shared" si="129"/>
        <v>746103</v>
      </c>
      <c r="Y1664" s="321">
        <v>1</v>
      </c>
      <c r="AA1664" s="321" t="s">
        <v>5638</v>
      </c>
    </row>
    <row r="1665" spans="1:27">
      <c r="A1665" s="376">
        <v>410</v>
      </c>
      <c r="B1665" s="377">
        <v>848700</v>
      </c>
      <c r="C1665" s="382" t="s">
        <v>7537</v>
      </c>
      <c r="D1665" s="379">
        <v>0</v>
      </c>
      <c r="E1665" s="380">
        <v>0</v>
      </c>
      <c r="F1665" s="380">
        <v>0</v>
      </c>
      <c r="H1665" s="351">
        <f t="shared" si="130"/>
        <v>0</v>
      </c>
      <c r="I1665" s="351">
        <f t="shared" si="131"/>
        <v>0</v>
      </c>
      <c r="M1665" s="321">
        <v>1746103750</v>
      </c>
      <c r="N1665" s="321">
        <v>74</v>
      </c>
      <c r="O1665" s="321" t="s">
        <v>5639</v>
      </c>
      <c r="P1665" s="321">
        <v>6746103</v>
      </c>
      <c r="Q1665" s="322">
        <v>7400000</v>
      </c>
      <c r="R1665" s="322">
        <v>5563000</v>
      </c>
      <c r="S1665" s="322">
        <v>8010000</v>
      </c>
      <c r="T1665" s="322">
        <v>8010000</v>
      </c>
      <c r="U1665" s="322">
        <f t="shared" si="127"/>
        <v>0</v>
      </c>
      <c r="W1665" s="321">
        <f t="shared" si="128"/>
        <v>750</v>
      </c>
      <c r="X1665" s="321">
        <f t="shared" si="129"/>
        <v>746103</v>
      </c>
      <c r="Y1665" s="321">
        <v>1</v>
      </c>
      <c r="AA1665" s="321" t="s">
        <v>5639</v>
      </c>
    </row>
    <row r="1666" spans="1:27">
      <c r="A1666" s="376">
        <v>430</v>
      </c>
      <c r="B1666" s="377">
        <v>848700</v>
      </c>
      <c r="C1666" s="391" t="s">
        <v>6798</v>
      </c>
      <c r="D1666" s="379">
        <v>0</v>
      </c>
      <c r="E1666" s="380">
        <v>0</v>
      </c>
      <c r="F1666" s="380">
        <v>0</v>
      </c>
      <c r="H1666" s="351">
        <f t="shared" si="130"/>
        <v>0</v>
      </c>
      <c r="I1666" s="351">
        <f t="shared" si="131"/>
        <v>0</v>
      </c>
      <c r="M1666" s="321">
        <v>1746103751</v>
      </c>
      <c r="N1666" s="321">
        <v>74</v>
      </c>
      <c r="O1666" s="321" t="s">
        <v>5631</v>
      </c>
      <c r="P1666" s="321">
        <v>6746103</v>
      </c>
      <c r="Q1666" s="322">
        <v>275000</v>
      </c>
      <c r="R1666" s="322">
        <v>136300</v>
      </c>
      <c r="S1666" s="322">
        <v>442500</v>
      </c>
      <c r="T1666" s="322">
        <v>372500</v>
      </c>
      <c r="U1666" s="322">
        <f t="shared" ref="U1666:U1729" si="132">S1666-T1666</f>
        <v>70000</v>
      </c>
      <c r="W1666" s="321">
        <f t="shared" si="128"/>
        <v>751</v>
      </c>
      <c r="X1666" s="321">
        <f t="shared" si="129"/>
        <v>746103</v>
      </c>
      <c r="Y1666" s="321">
        <v>1</v>
      </c>
      <c r="AA1666" s="321" t="s">
        <v>5631</v>
      </c>
    </row>
    <row r="1667" spans="1:27">
      <c r="A1667" s="376">
        <v>540</v>
      </c>
      <c r="B1667" s="377">
        <v>848700</v>
      </c>
      <c r="C1667" s="399" t="s">
        <v>7538</v>
      </c>
      <c r="D1667" s="379">
        <v>0</v>
      </c>
      <c r="E1667" s="380">
        <v>0</v>
      </c>
      <c r="F1667" s="380">
        <v>0</v>
      </c>
      <c r="H1667" s="351">
        <f t="shared" si="130"/>
        <v>0</v>
      </c>
      <c r="I1667" s="351">
        <f t="shared" si="131"/>
        <v>0</v>
      </c>
      <c r="M1667" s="321">
        <v>1746103752</v>
      </c>
      <c r="N1667" s="321">
        <v>74</v>
      </c>
      <c r="O1667" s="321" t="s">
        <v>3795</v>
      </c>
      <c r="P1667" s="321">
        <v>6746103</v>
      </c>
      <c r="Q1667" s="322">
        <v>13000</v>
      </c>
      <c r="R1667" s="322">
        <v>0</v>
      </c>
      <c r="S1667" s="322">
        <v>13000</v>
      </c>
      <c r="T1667" s="322">
        <v>13000</v>
      </c>
      <c r="U1667" s="322">
        <f t="shared" si="132"/>
        <v>0</v>
      </c>
      <c r="W1667" s="321">
        <f t="shared" ref="W1667:W1730" si="133">M1667-1000000000-X1667*1000</f>
        <v>752</v>
      </c>
      <c r="X1667" s="321">
        <f t="shared" ref="X1667:X1730" si="134">ROUNDDOWN((M1667-1000000000)/1000,0)</f>
        <v>746103</v>
      </c>
      <c r="Y1667" s="321">
        <v>1</v>
      </c>
      <c r="AA1667" s="321" t="s">
        <v>3795</v>
      </c>
    </row>
    <row r="1668" spans="1:27">
      <c r="A1668" s="376">
        <v>780</v>
      </c>
      <c r="B1668" s="377">
        <v>848700</v>
      </c>
      <c r="C1668" s="386" t="s">
        <v>7539</v>
      </c>
      <c r="D1668" s="379">
        <v>0</v>
      </c>
      <c r="E1668" s="380">
        <v>0</v>
      </c>
      <c r="F1668" s="380">
        <v>0</v>
      </c>
      <c r="H1668" s="351">
        <f t="shared" si="130"/>
        <v>0</v>
      </c>
      <c r="I1668" s="351">
        <f t="shared" si="131"/>
        <v>0</v>
      </c>
      <c r="M1668" s="321">
        <v>1746103754</v>
      </c>
      <c r="N1668" s="321">
        <v>74</v>
      </c>
      <c r="O1668" s="321" t="s">
        <v>5633</v>
      </c>
      <c r="P1668" s="321">
        <v>6746103</v>
      </c>
      <c r="Q1668" s="322">
        <v>24300</v>
      </c>
      <c r="R1668" s="322">
        <v>14200</v>
      </c>
      <c r="S1668" s="322">
        <v>24500</v>
      </c>
      <c r="T1668" s="322">
        <v>24500</v>
      </c>
      <c r="U1668" s="322">
        <f t="shared" si="132"/>
        <v>0</v>
      </c>
      <c r="W1668" s="321">
        <f t="shared" si="133"/>
        <v>754</v>
      </c>
      <c r="X1668" s="321">
        <f t="shared" si="134"/>
        <v>746103</v>
      </c>
      <c r="Y1668" s="321">
        <v>1</v>
      </c>
      <c r="AA1668" s="321" t="s">
        <v>5633</v>
      </c>
    </row>
    <row r="1669" spans="1:27">
      <c r="A1669" s="376">
        <v>781</v>
      </c>
      <c r="B1669" s="377">
        <v>848700</v>
      </c>
      <c r="C1669" s="386" t="s">
        <v>7540</v>
      </c>
      <c r="D1669" s="379">
        <v>0</v>
      </c>
      <c r="E1669" s="380">
        <v>0</v>
      </c>
      <c r="F1669" s="380">
        <v>0</v>
      </c>
      <c r="H1669" s="351">
        <f t="shared" si="130"/>
        <v>0</v>
      </c>
      <c r="I1669" s="351">
        <f t="shared" si="131"/>
        <v>0</v>
      </c>
      <c r="M1669" s="321">
        <v>1746103755</v>
      </c>
      <c r="N1669" s="321">
        <v>74</v>
      </c>
      <c r="O1669" s="321" t="s">
        <v>5640</v>
      </c>
      <c r="P1669" s="321">
        <v>6746103</v>
      </c>
      <c r="Q1669" s="322">
        <v>30000</v>
      </c>
      <c r="R1669" s="322">
        <v>26400</v>
      </c>
      <c r="S1669" s="322">
        <v>30000</v>
      </c>
      <c r="T1669" s="322">
        <v>30000</v>
      </c>
      <c r="U1669" s="322">
        <f t="shared" si="132"/>
        <v>0</v>
      </c>
      <c r="W1669" s="321">
        <f t="shared" si="133"/>
        <v>755</v>
      </c>
      <c r="X1669" s="321">
        <f t="shared" si="134"/>
        <v>746103</v>
      </c>
      <c r="Y1669" s="321">
        <v>1</v>
      </c>
      <c r="AA1669" s="321" t="s">
        <v>5640</v>
      </c>
    </row>
    <row r="1670" spans="1:27">
      <c r="A1670" s="376">
        <v>840</v>
      </c>
      <c r="B1670" s="377">
        <v>849001</v>
      </c>
      <c r="C1670" s="391" t="s">
        <v>6664</v>
      </c>
      <c r="D1670" s="379">
        <v>120</v>
      </c>
      <c r="E1670" s="380">
        <v>120</v>
      </c>
      <c r="F1670" s="380">
        <v>115.99966666666667</v>
      </c>
      <c r="H1670" s="351">
        <f t="shared" si="130"/>
        <v>120000</v>
      </c>
      <c r="I1670" s="351">
        <f t="shared" si="131"/>
        <v>115999.66666666667</v>
      </c>
      <c r="M1670" s="321">
        <v>1746103779</v>
      </c>
      <c r="N1670" s="321">
        <v>74</v>
      </c>
      <c r="O1670" s="321" t="s">
        <v>5382</v>
      </c>
      <c r="P1670" s="321">
        <v>6746103</v>
      </c>
      <c r="Q1670" s="322">
        <v>5000</v>
      </c>
      <c r="R1670" s="322">
        <v>2500</v>
      </c>
      <c r="S1670" s="322">
        <v>5000</v>
      </c>
      <c r="T1670" s="322">
        <v>5000</v>
      </c>
      <c r="U1670" s="322">
        <f t="shared" si="132"/>
        <v>0</v>
      </c>
      <c r="W1670" s="321">
        <f t="shared" si="133"/>
        <v>779</v>
      </c>
      <c r="X1670" s="321">
        <f t="shared" si="134"/>
        <v>746103</v>
      </c>
      <c r="Y1670" s="321">
        <v>1</v>
      </c>
      <c r="AA1670" s="321" t="s">
        <v>5382</v>
      </c>
    </row>
    <row r="1671" spans="1:27">
      <c r="A1671" s="376">
        <v>840</v>
      </c>
      <c r="B1671" s="377">
        <v>849002</v>
      </c>
      <c r="C1671" s="391" t="s">
        <v>7541</v>
      </c>
      <c r="D1671" s="379">
        <v>48</v>
      </c>
      <c r="E1671" s="380">
        <v>48</v>
      </c>
      <c r="F1671" s="380">
        <v>48.00033333333333</v>
      </c>
      <c r="H1671" s="351">
        <f t="shared" si="130"/>
        <v>48000</v>
      </c>
      <c r="I1671" s="351">
        <f t="shared" si="131"/>
        <v>48000.333333333328</v>
      </c>
      <c r="M1671" s="321">
        <v>1746103781</v>
      </c>
      <c r="N1671" s="321">
        <v>74</v>
      </c>
      <c r="O1671" s="321" t="s">
        <v>5641</v>
      </c>
      <c r="P1671" s="321">
        <v>6746103</v>
      </c>
      <c r="Q1671" s="322">
        <v>2500</v>
      </c>
      <c r="R1671" s="322">
        <v>0</v>
      </c>
      <c r="S1671" s="322">
        <v>2500</v>
      </c>
      <c r="T1671" s="322">
        <v>2500</v>
      </c>
      <c r="U1671" s="322">
        <f t="shared" si="132"/>
        <v>0</v>
      </c>
      <c r="W1671" s="321">
        <f t="shared" si="133"/>
        <v>781</v>
      </c>
      <c r="X1671" s="321">
        <f t="shared" si="134"/>
        <v>746103</v>
      </c>
      <c r="Y1671" s="321">
        <v>1</v>
      </c>
      <c r="AA1671" s="321" t="s">
        <v>5641</v>
      </c>
    </row>
    <row r="1672" spans="1:27">
      <c r="A1672" s="376">
        <v>840</v>
      </c>
      <c r="B1672" s="377">
        <v>849003</v>
      </c>
      <c r="C1672" s="391" t="s">
        <v>6667</v>
      </c>
      <c r="D1672" s="379">
        <v>200</v>
      </c>
      <c r="E1672" s="380">
        <v>199</v>
      </c>
      <c r="F1672" s="380">
        <v>196</v>
      </c>
      <c r="H1672" s="351">
        <f t="shared" si="130"/>
        <v>200000</v>
      </c>
      <c r="I1672" s="351">
        <f t="shared" si="131"/>
        <v>196000</v>
      </c>
      <c r="M1672" s="321">
        <v>1746104110</v>
      </c>
      <c r="N1672" s="321">
        <v>74</v>
      </c>
      <c r="O1672" s="321" t="s">
        <v>5205</v>
      </c>
      <c r="P1672" s="321">
        <v>6746104</v>
      </c>
      <c r="Q1672" s="322">
        <v>579000</v>
      </c>
      <c r="R1672" s="322">
        <v>452000</v>
      </c>
      <c r="S1672" s="322">
        <v>622000</v>
      </c>
      <c r="T1672" s="322">
        <v>622000</v>
      </c>
      <c r="U1672" s="322">
        <f t="shared" si="132"/>
        <v>0</v>
      </c>
      <c r="W1672" s="321">
        <f t="shared" si="133"/>
        <v>110</v>
      </c>
      <c r="X1672" s="321">
        <f t="shared" si="134"/>
        <v>746104</v>
      </c>
      <c r="Y1672" s="321">
        <v>1</v>
      </c>
      <c r="AA1672" s="321" t="s">
        <v>5205</v>
      </c>
    </row>
    <row r="1673" spans="1:27">
      <c r="A1673" s="376">
        <v>840</v>
      </c>
      <c r="B1673" s="377">
        <v>849004</v>
      </c>
      <c r="C1673" s="391" t="s">
        <v>6668</v>
      </c>
      <c r="D1673" s="379">
        <v>22</v>
      </c>
      <c r="E1673" s="380">
        <v>22</v>
      </c>
      <c r="F1673" s="380">
        <v>22</v>
      </c>
      <c r="H1673" s="351">
        <f t="shared" si="130"/>
        <v>22000</v>
      </c>
      <c r="I1673" s="351">
        <f t="shared" si="131"/>
        <v>22000</v>
      </c>
      <c r="M1673" s="321">
        <v>1746104120</v>
      </c>
      <c r="N1673" s="321">
        <v>74</v>
      </c>
      <c r="O1673" s="321" t="s">
        <v>5206</v>
      </c>
      <c r="P1673" s="321">
        <v>6746104</v>
      </c>
      <c r="Q1673" s="322">
        <v>150000</v>
      </c>
      <c r="R1673" s="322">
        <v>122300</v>
      </c>
      <c r="S1673" s="322">
        <v>151000</v>
      </c>
      <c r="T1673" s="322">
        <v>151000</v>
      </c>
      <c r="U1673" s="322">
        <f t="shared" si="132"/>
        <v>0</v>
      </c>
      <c r="W1673" s="321">
        <f t="shared" si="133"/>
        <v>120</v>
      </c>
      <c r="X1673" s="321">
        <f t="shared" si="134"/>
        <v>746104</v>
      </c>
      <c r="Y1673" s="321">
        <v>1</v>
      </c>
      <c r="AA1673" s="321" t="s">
        <v>5206</v>
      </c>
    </row>
    <row r="1674" spans="1:27">
      <c r="A1674" s="376">
        <v>840</v>
      </c>
      <c r="B1674" s="377">
        <v>849005</v>
      </c>
      <c r="C1674" s="391" t="s">
        <v>7542</v>
      </c>
      <c r="D1674" s="379">
        <v>8</v>
      </c>
      <c r="E1674" s="380">
        <v>8</v>
      </c>
      <c r="F1674" s="380">
        <v>45</v>
      </c>
      <c r="H1674" s="351">
        <f t="shared" si="130"/>
        <v>8000</v>
      </c>
      <c r="I1674" s="351">
        <f t="shared" si="131"/>
        <v>45000</v>
      </c>
      <c r="M1674" s="321">
        <v>1746104130</v>
      </c>
      <c r="N1674" s="321">
        <v>74</v>
      </c>
      <c r="O1674" s="321" t="s">
        <v>2576</v>
      </c>
      <c r="P1674" s="321">
        <v>6746104</v>
      </c>
      <c r="Q1674" s="322">
        <v>56000</v>
      </c>
      <c r="R1674" s="322">
        <v>42200</v>
      </c>
      <c r="S1674" s="322">
        <v>57000</v>
      </c>
      <c r="T1674" s="322">
        <v>51300</v>
      </c>
      <c r="U1674" s="322">
        <f t="shared" si="132"/>
        <v>5700</v>
      </c>
      <c r="W1674" s="321">
        <f t="shared" si="133"/>
        <v>130</v>
      </c>
      <c r="X1674" s="321">
        <f t="shared" si="134"/>
        <v>746104</v>
      </c>
      <c r="Y1674" s="321">
        <v>1</v>
      </c>
      <c r="AA1674" s="321" t="s">
        <v>2576</v>
      </c>
    </row>
    <row r="1675" spans="1:27">
      <c r="A1675" s="376">
        <v>840</v>
      </c>
      <c r="B1675" s="377">
        <v>849006</v>
      </c>
      <c r="C1675" s="391" t="s">
        <v>6671</v>
      </c>
      <c r="D1675" s="379">
        <v>660</v>
      </c>
      <c r="E1675" s="380">
        <v>660</v>
      </c>
      <c r="F1675" s="380">
        <v>660</v>
      </c>
      <c r="H1675" s="351">
        <f t="shared" si="130"/>
        <v>660000</v>
      </c>
      <c r="I1675" s="351">
        <f t="shared" si="131"/>
        <v>660000</v>
      </c>
      <c r="M1675" s="321">
        <v>1746104140</v>
      </c>
      <c r="N1675" s="321">
        <v>74</v>
      </c>
      <c r="O1675" s="321" t="s">
        <v>5207</v>
      </c>
      <c r="P1675" s="321">
        <v>6746104</v>
      </c>
      <c r="Q1675" s="322">
        <v>177000</v>
      </c>
      <c r="R1675" s="322">
        <v>80200</v>
      </c>
      <c r="S1675" s="322">
        <v>137000</v>
      </c>
      <c r="T1675" s="322">
        <v>137000</v>
      </c>
      <c r="U1675" s="322">
        <f t="shared" si="132"/>
        <v>0</v>
      </c>
      <c r="W1675" s="321">
        <f t="shared" si="133"/>
        <v>140</v>
      </c>
      <c r="X1675" s="321">
        <f t="shared" si="134"/>
        <v>746104</v>
      </c>
      <c r="Y1675" s="321">
        <v>1</v>
      </c>
      <c r="AA1675" s="321" t="s">
        <v>5207</v>
      </c>
    </row>
    <row r="1676" spans="1:27">
      <c r="A1676" s="376">
        <v>840</v>
      </c>
      <c r="B1676" s="377">
        <v>849007</v>
      </c>
      <c r="C1676" s="391" t="s">
        <v>6672</v>
      </c>
      <c r="D1676" s="379">
        <v>31</v>
      </c>
      <c r="E1676" s="380">
        <v>31</v>
      </c>
      <c r="F1676" s="380">
        <v>31</v>
      </c>
      <c r="H1676" s="351">
        <f t="shared" si="130"/>
        <v>31000</v>
      </c>
      <c r="I1676" s="351">
        <f t="shared" si="131"/>
        <v>31000</v>
      </c>
      <c r="M1676" s="321">
        <v>1746104141</v>
      </c>
      <c r="N1676" s="321">
        <v>74</v>
      </c>
      <c r="O1676" s="321" t="s">
        <v>5208</v>
      </c>
      <c r="P1676" s="321">
        <v>6746104</v>
      </c>
      <c r="Q1676" s="322">
        <v>31000</v>
      </c>
      <c r="R1676" s="322">
        <v>28000</v>
      </c>
      <c r="S1676" s="322">
        <v>38000</v>
      </c>
      <c r="T1676" s="322">
        <v>38000</v>
      </c>
      <c r="U1676" s="322">
        <f t="shared" si="132"/>
        <v>0</v>
      </c>
      <c r="W1676" s="321">
        <f t="shared" si="133"/>
        <v>141</v>
      </c>
      <c r="X1676" s="321">
        <f t="shared" si="134"/>
        <v>746104</v>
      </c>
      <c r="Y1676" s="321">
        <v>1</v>
      </c>
      <c r="AA1676" s="321" t="s">
        <v>5208</v>
      </c>
    </row>
    <row r="1677" spans="1:27">
      <c r="A1677" s="376">
        <v>840</v>
      </c>
      <c r="B1677" s="377">
        <v>849008</v>
      </c>
      <c r="C1677" s="391" t="s">
        <v>7543</v>
      </c>
      <c r="D1677" s="379">
        <v>15</v>
      </c>
      <c r="E1677" s="380">
        <v>15</v>
      </c>
      <c r="F1677" s="380">
        <v>23</v>
      </c>
      <c r="H1677" s="351">
        <f t="shared" si="130"/>
        <v>15000</v>
      </c>
      <c r="I1677" s="351">
        <f t="shared" si="131"/>
        <v>23000</v>
      </c>
      <c r="M1677" s="321">
        <v>1746104181</v>
      </c>
      <c r="N1677" s="321">
        <v>74</v>
      </c>
      <c r="O1677" s="321" t="s">
        <v>2580</v>
      </c>
      <c r="P1677" s="321">
        <v>6746104</v>
      </c>
      <c r="Q1677" s="322">
        <v>109000</v>
      </c>
      <c r="R1677" s="322">
        <v>85700</v>
      </c>
      <c r="S1677" s="322">
        <v>116000</v>
      </c>
      <c r="T1677" s="322">
        <v>116000</v>
      </c>
      <c r="U1677" s="322">
        <f t="shared" si="132"/>
        <v>0</v>
      </c>
      <c r="W1677" s="321">
        <f t="shared" si="133"/>
        <v>181</v>
      </c>
      <c r="X1677" s="321">
        <f t="shared" si="134"/>
        <v>746104</v>
      </c>
      <c r="Y1677" s="321">
        <v>1</v>
      </c>
      <c r="AA1677" s="321" t="s">
        <v>2580</v>
      </c>
    </row>
    <row r="1678" spans="1:27">
      <c r="A1678" s="376">
        <v>840</v>
      </c>
      <c r="B1678" s="377">
        <v>849009</v>
      </c>
      <c r="C1678" s="391" t="s">
        <v>6676</v>
      </c>
      <c r="D1678" s="379">
        <v>41</v>
      </c>
      <c r="E1678" s="380">
        <v>41</v>
      </c>
      <c r="F1678" s="380">
        <v>41</v>
      </c>
      <c r="H1678" s="351">
        <f t="shared" si="130"/>
        <v>41000</v>
      </c>
      <c r="I1678" s="351">
        <f t="shared" si="131"/>
        <v>41000</v>
      </c>
      <c r="M1678" s="321">
        <v>1746104182</v>
      </c>
      <c r="N1678" s="321">
        <v>74</v>
      </c>
      <c r="O1678" s="321" t="s">
        <v>2582</v>
      </c>
      <c r="P1678" s="321">
        <v>6746104</v>
      </c>
      <c r="Q1678" s="322">
        <v>134000</v>
      </c>
      <c r="R1678" s="322">
        <v>95100</v>
      </c>
      <c r="S1678" s="322">
        <v>139000</v>
      </c>
      <c r="T1678" s="322">
        <v>139000</v>
      </c>
      <c r="U1678" s="322">
        <f t="shared" si="132"/>
        <v>0</v>
      </c>
      <c r="W1678" s="321">
        <f t="shared" si="133"/>
        <v>182</v>
      </c>
      <c r="X1678" s="321">
        <f t="shared" si="134"/>
        <v>746104</v>
      </c>
      <c r="Y1678" s="321">
        <v>1</v>
      </c>
      <c r="AA1678" s="321" t="s">
        <v>2582</v>
      </c>
    </row>
    <row r="1679" spans="1:27">
      <c r="A1679" s="376">
        <v>840</v>
      </c>
      <c r="B1679" s="377">
        <v>849010</v>
      </c>
      <c r="C1679" s="391" t="s">
        <v>7544</v>
      </c>
      <c r="D1679" s="379">
        <v>0</v>
      </c>
      <c r="E1679" s="380">
        <v>0</v>
      </c>
      <c r="F1679" s="380">
        <v>0</v>
      </c>
      <c r="H1679" s="351">
        <f t="shared" si="130"/>
        <v>0</v>
      </c>
      <c r="I1679" s="351">
        <f t="shared" si="131"/>
        <v>0</v>
      </c>
      <c r="M1679" s="321">
        <v>1746104420</v>
      </c>
      <c r="N1679" s="321">
        <v>74</v>
      </c>
      <c r="O1679" s="321" t="s">
        <v>5642</v>
      </c>
      <c r="P1679" s="321">
        <v>6746104</v>
      </c>
      <c r="Q1679" s="322">
        <v>7700</v>
      </c>
      <c r="R1679" s="322">
        <v>0</v>
      </c>
      <c r="S1679" s="322">
        <v>8000</v>
      </c>
      <c r="T1679" s="322">
        <v>8000</v>
      </c>
      <c r="U1679" s="322">
        <f t="shared" si="132"/>
        <v>0</v>
      </c>
      <c r="W1679" s="321">
        <f t="shared" si="133"/>
        <v>420</v>
      </c>
      <c r="X1679" s="321">
        <f t="shared" si="134"/>
        <v>746104</v>
      </c>
      <c r="Y1679" s="321">
        <v>1</v>
      </c>
      <c r="AA1679" s="321" t="s">
        <v>5642</v>
      </c>
    </row>
    <row r="1680" spans="1:27">
      <c r="A1680" s="376">
        <v>840</v>
      </c>
      <c r="B1680" s="377">
        <v>849011</v>
      </c>
      <c r="C1680" s="391" t="s">
        <v>6678</v>
      </c>
      <c r="D1680" s="379">
        <v>16</v>
      </c>
      <c r="E1680" s="380">
        <v>17</v>
      </c>
      <c r="F1680" s="380">
        <v>8</v>
      </c>
      <c r="H1680" s="351">
        <f t="shared" si="130"/>
        <v>16000</v>
      </c>
      <c r="I1680" s="351">
        <f t="shared" si="131"/>
        <v>8000</v>
      </c>
      <c r="M1680" s="321">
        <v>1746104433</v>
      </c>
      <c r="N1680" s="321">
        <v>74</v>
      </c>
      <c r="O1680" s="321" t="s">
        <v>5625</v>
      </c>
      <c r="P1680" s="321">
        <v>6746104</v>
      </c>
      <c r="Q1680" s="322">
        <v>1000</v>
      </c>
      <c r="R1680" s="322">
        <v>600</v>
      </c>
      <c r="S1680" s="322">
        <v>1000</v>
      </c>
      <c r="T1680" s="322">
        <v>1000</v>
      </c>
      <c r="U1680" s="322">
        <f t="shared" si="132"/>
        <v>0</v>
      </c>
      <c r="W1680" s="321">
        <f t="shared" si="133"/>
        <v>433</v>
      </c>
      <c r="X1680" s="321">
        <f t="shared" si="134"/>
        <v>746104</v>
      </c>
      <c r="Y1680" s="321">
        <v>1</v>
      </c>
      <c r="AA1680" s="321" t="s">
        <v>5625</v>
      </c>
    </row>
    <row r="1681" spans="1:27">
      <c r="A1681" s="376">
        <v>840</v>
      </c>
      <c r="B1681" s="377">
        <v>849100</v>
      </c>
      <c r="C1681" s="391" t="s">
        <v>7545</v>
      </c>
      <c r="D1681" s="379">
        <v>0</v>
      </c>
      <c r="E1681" s="380">
        <v>0</v>
      </c>
      <c r="F1681" s="380">
        <v>0</v>
      </c>
      <c r="H1681" s="351">
        <f t="shared" si="130"/>
        <v>0</v>
      </c>
      <c r="I1681" s="351">
        <f t="shared" si="131"/>
        <v>0</v>
      </c>
      <c r="M1681" s="321">
        <v>1746104470</v>
      </c>
      <c r="N1681" s="321">
        <v>74</v>
      </c>
      <c r="O1681" s="321" t="s">
        <v>2660</v>
      </c>
      <c r="P1681" s="321">
        <v>6746104</v>
      </c>
      <c r="Q1681" s="322">
        <v>4300</v>
      </c>
      <c r="R1681" s="322">
        <v>3200</v>
      </c>
      <c r="S1681" s="322">
        <v>4300</v>
      </c>
      <c r="T1681" s="322">
        <v>4300</v>
      </c>
      <c r="U1681" s="322">
        <f t="shared" si="132"/>
        <v>0</v>
      </c>
      <c r="W1681" s="321">
        <f t="shared" si="133"/>
        <v>470</v>
      </c>
      <c r="X1681" s="321">
        <f t="shared" si="134"/>
        <v>746104</v>
      </c>
      <c r="Y1681" s="321">
        <v>1</v>
      </c>
      <c r="AA1681" s="321" t="s">
        <v>2660</v>
      </c>
    </row>
    <row r="1682" spans="1:27">
      <c r="A1682" s="376">
        <v>840</v>
      </c>
      <c r="B1682" s="377">
        <v>849300</v>
      </c>
      <c r="C1682" s="391" t="s">
        <v>7546</v>
      </c>
      <c r="D1682" s="379">
        <v>0</v>
      </c>
      <c r="E1682" s="380">
        <v>0</v>
      </c>
      <c r="F1682" s="380">
        <v>0</v>
      </c>
      <c r="H1682" s="351">
        <f t="shared" ref="H1682:H1745" si="135">D1682*1000</f>
        <v>0</v>
      </c>
      <c r="I1682" s="351">
        <f t="shared" ref="I1682:I1745" si="136">F1682*1000</f>
        <v>0</v>
      </c>
      <c r="M1682" s="321">
        <v>1746104540</v>
      </c>
      <c r="N1682" s="321">
        <v>74</v>
      </c>
      <c r="O1682" s="321" t="s">
        <v>5216</v>
      </c>
      <c r="P1682" s="321">
        <v>6746104</v>
      </c>
      <c r="Q1682" s="322">
        <v>2000</v>
      </c>
      <c r="R1682" s="322">
        <v>600</v>
      </c>
      <c r="S1682" s="322">
        <v>1500</v>
      </c>
      <c r="T1682" s="322">
        <v>1500</v>
      </c>
      <c r="U1682" s="322">
        <f t="shared" si="132"/>
        <v>0</v>
      </c>
      <c r="W1682" s="321">
        <f t="shared" si="133"/>
        <v>540</v>
      </c>
      <c r="X1682" s="321">
        <f t="shared" si="134"/>
        <v>746104</v>
      </c>
      <c r="Y1682" s="321">
        <v>1</v>
      </c>
      <c r="AA1682" s="321" t="s">
        <v>5216</v>
      </c>
    </row>
    <row r="1683" spans="1:27">
      <c r="A1683" s="376">
        <v>840</v>
      </c>
      <c r="B1683" s="377">
        <v>849400</v>
      </c>
      <c r="C1683" s="397" t="s">
        <v>7547</v>
      </c>
      <c r="D1683" s="379">
        <v>0</v>
      </c>
      <c r="E1683" s="380">
        <v>0</v>
      </c>
      <c r="F1683" s="380">
        <v>0</v>
      </c>
      <c r="H1683" s="351">
        <f t="shared" si="135"/>
        <v>0</v>
      </c>
      <c r="I1683" s="351">
        <f t="shared" si="136"/>
        <v>0</v>
      </c>
      <c r="M1683" s="321">
        <v>1746104720</v>
      </c>
      <c r="N1683" s="321">
        <v>74</v>
      </c>
      <c r="O1683" s="321" t="s">
        <v>2705</v>
      </c>
      <c r="P1683" s="321">
        <v>6746104</v>
      </c>
      <c r="Q1683" s="322">
        <v>4300</v>
      </c>
      <c r="R1683" s="322">
        <v>300</v>
      </c>
      <c r="S1683" s="322">
        <v>5000</v>
      </c>
      <c r="T1683" s="322">
        <v>5000</v>
      </c>
      <c r="U1683" s="322">
        <f t="shared" si="132"/>
        <v>0</v>
      </c>
      <c r="W1683" s="321">
        <f t="shared" si="133"/>
        <v>720</v>
      </c>
      <c r="X1683" s="321">
        <f t="shared" si="134"/>
        <v>746104</v>
      </c>
      <c r="Y1683" s="321">
        <v>1</v>
      </c>
      <c r="AA1683" s="321" t="s">
        <v>2705</v>
      </c>
    </row>
    <row r="1684" spans="1:27">
      <c r="A1684" s="376">
        <v>810</v>
      </c>
      <c r="B1684" s="377">
        <v>851000</v>
      </c>
      <c r="C1684" s="382" t="s">
        <v>1557</v>
      </c>
      <c r="D1684" s="379">
        <v>4765</v>
      </c>
      <c r="E1684" s="380">
        <v>4765</v>
      </c>
      <c r="F1684" s="380">
        <v>4765</v>
      </c>
      <c r="H1684" s="351">
        <f t="shared" si="135"/>
        <v>4765000</v>
      </c>
      <c r="I1684" s="351">
        <f t="shared" si="136"/>
        <v>4765000</v>
      </c>
      <c r="M1684" s="321">
        <v>1746104730</v>
      </c>
      <c r="N1684" s="321">
        <v>74</v>
      </c>
      <c r="O1684" s="321" t="s">
        <v>5643</v>
      </c>
      <c r="P1684" s="321">
        <v>6746104</v>
      </c>
      <c r="Q1684" s="322">
        <v>25000</v>
      </c>
      <c r="R1684" s="322">
        <v>7600</v>
      </c>
      <c r="S1684" s="322">
        <v>25000</v>
      </c>
      <c r="T1684" s="322">
        <v>25000</v>
      </c>
      <c r="U1684" s="322">
        <f t="shared" si="132"/>
        <v>0</v>
      </c>
      <c r="W1684" s="321">
        <f t="shared" si="133"/>
        <v>730</v>
      </c>
      <c r="X1684" s="321">
        <f t="shared" si="134"/>
        <v>746104</v>
      </c>
      <c r="Y1684" s="321">
        <v>1</v>
      </c>
      <c r="AA1684" s="321" t="s">
        <v>5643</v>
      </c>
    </row>
    <row r="1685" spans="1:27">
      <c r="A1685" s="376">
        <v>820</v>
      </c>
      <c r="B1685" s="377">
        <v>856000</v>
      </c>
      <c r="C1685" s="382" t="s">
        <v>7548</v>
      </c>
      <c r="D1685" s="379">
        <v>1420</v>
      </c>
      <c r="E1685" s="380">
        <v>1420</v>
      </c>
      <c r="F1685" s="380">
        <v>1420</v>
      </c>
      <c r="H1685" s="351">
        <f t="shared" si="135"/>
        <v>1420000</v>
      </c>
      <c r="I1685" s="351">
        <f t="shared" si="136"/>
        <v>1420000</v>
      </c>
      <c r="M1685" s="321">
        <v>1746104740</v>
      </c>
      <c r="N1685" s="321">
        <v>74</v>
      </c>
      <c r="O1685" s="321" t="s">
        <v>5264</v>
      </c>
      <c r="P1685" s="321">
        <v>6746104</v>
      </c>
      <c r="Q1685" s="322">
        <v>1700</v>
      </c>
      <c r="R1685" s="322">
        <v>600</v>
      </c>
      <c r="S1685" s="322">
        <v>2000</v>
      </c>
      <c r="T1685" s="322">
        <v>2000</v>
      </c>
      <c r="U1685" s="322">
        <f t="shared" si="132"/>
        <v>0</v>
      </c>
      <c r="W1685" s="321">
        <f t="shared" si="133"/>
        <v>740</v>
      </c>
      <c r="X1685" s="321">
        <f t="shared" si="134"/>
        <v>746104</v>
      </c>
      <c r="Y1685" s="321">
        <v>1</v>
      </c>
      <c r="AA1685" s="321" t="s">
        <v>5264</v>
      </c>
    </row>
    <row r="1686" spans="1:27">
      <c r="A1686" s="376">
        <v>780</v>
      </c>
      <c r="B1686" s="377">
        <v>859000</v>
      </c>
      <c r="C1686" s="382" t="s">
        <v>7549</v>
      </c>
      <c r="D1686" s="379">
        <v>200</v>
      </c>
      <c r="E1686" s="380">
        <v>0</v>
      </c>
      <c r="F1686" s="380">
        <v>260</v>
      </c>
      <c r="H1686" s="351">
        <f t="shared" si="135"/>
        <v>200000</v>
      </c>
      <c r="I1686" s="351">
        <f t="shared" si="136"/>
        <v>260000</v>
      </c>
      <c r="M1686" s="321">
        <v>1746104742</v>
      </c>
      <c r="N1686" s="321">
        <v>74</v>
      </c>
      <c r="O1686" s="321" t="s">
        <v>5630</v>
      </c>
      <c r="P1686" s="321">
        <v>6746104</v>
      </c>
      <c r="Q1686" s="322">
        <v>900</v>
      </c>
      <c r="R1686" s="322">
        <v>0</v>
      </c>
      <c r="S1686" s="322">
        <v>1000</v>
      </c>
      <c r="T1686" s="322">
        <v>1000</v>
      </c>
      <c r="U1686" s="322">
        <f t="shared" si="132"/>
        <v>0</v>
      </c>
      <c r="W1686" s="321">
        <f t="shared" si="133"/>
        <v>742</v>
      </c>
      <c r="X1686" s="321">
        <f t="shared" si="134"/>
        <v>746104</v>
      </c>
      <c r="Y1686" s="321">
        <v>1</v>
      </c>
      <c r="AA1686" s="321" t="s">
        <v>5630</v>
      </c>
    </row>
    <row r="1687" spans="1:27">
      <c r="A1687" s="376">
        <v>782</v>
      </c>
      <c r="B1687" s="377">
        <v>859000</v>
      </c>
      <c r="C1687" s="382" t="s">
        <v>7550</v>
      </c>
      <c r="D1687" s="379">
        <v>150</v>
      </c>
      <c r="E1687" s="380">
        <v>0</v>
      </c>
      <c r="F1687" s="380">
        <v>0</v>
      </c>
      <c r="H1687" s="351">
        <f t="shared" si="135"/>
        <v>150000</v>
      </c>
      <c r="I1687" s="351">
        <f t="shared" si="136"/>
        <v>0</v>
      </c>
      <c r="M1687" s="321">
        <v>1746104750</v>
      </c>
      <c r="N1687" s="321">
        <v>74</v>
      </c>
      <c r="O1687" s="321" t="s">
        <v>5644</v>
      </c>
      <c r="P1687" s="321">
        <v>6746104</v>
      </c>
      <c r="Q1687" s="322">
        <v>700000</v>
      </c>
      <c r="R1687" s="322">
        <v>677100</v>
      </c>
      <c r="S1687" s="322">
        <v>1200000</v>
      </c>
      <c r="T1687" s="322">
        <v>1200000</v>
      </c>
      <c r="U1687" s="322">
        <f t="shared" si="132"/>
        <v>0</v>
      </c>
      <c r="W1687" s="321">
        <f t="shared" si="133"/>
        <v>750</v>
      </c>
      <c r="X1687" s="321">
        <f t="shared" si="134"/>
        <v>746104</v>
      </c>
      <c r="Y1687" s="321">
        <v>1</v>
      </c>
      <c r="AA1687" s="321" t="s">
        <v>5644</v>
      </c>
    </row>
    <row r="1688" spans="1:27">
      <c r="A1688" s="398">
        <v>100</v>
      </c>
      <c r="B1688" s="418">
        <v>861000</v>
      </c>
      <c r="C1688" s="385" t="s">
        <v>6747</v>
      </c>
      <c r="D1688" s="379">
        <v>91</v>
      </c>
      <c r="E1688" s="380">
        <v>81</v>
      </c>
      <c r="F1688" s="380">
        <v>81</v>
      </c>
      <c r="H1688" s="351">
        <f t="shared" si="135"/>
        <v>91000</v>
      </c>
      <c r="I1688" s="351">
        <f t="shared" si="136"/>
        <v>81000</v>
      </c>
      <c r="M1688" s="321">
        <v>1746104752</v>
      </c>
      <c r="N1688" s="321">
        <v>74</v>
      </c>
      <c r="O1688" s="321" t="s">
        <v>3801</v>
      </c>
      <c r="P1688" s="321">
        <v>6746104</v>
      </c>
      <c r="Q1688" s="322">
        <v>0</v>
      </c>
      <c r="R1688" s="322">
        <v>0</v>
      </c>
      <c r="S1688" s="322">
        <v>0</v>
      </c>
      <c r="T1688" s="322">
        <v>0</v>
      </c>
      <c r="U1688" s="322">
        <f t="shared" si="132"/>
        <v>0</v>
      </c>
      <c r="W1688" s="321">
        <f t="shared" si="133"/>
        <v>752</v>
      </c>
      <c r="X1688" s="321">
        <f t="shared" si="134"/>
        <v>746104</v>
      </c>
      <c r="Y1688" s="321">
        <v>1</v>
      </c>
      <c r="AA1688" s="321" t="s">
        <v>3801</v>
      </c>
    </row>
    <row r="1689" spans="1:27">
      <c r="A1689" s="398">
        <v>780</v>
      </c>
      <c r="B1689" s="418">
        <v>861000</v>
      </c>
      <c r="C1689" s="385" t="s">
        <v>7551</v>
      </c>
      <c r="D1689" s="379">
        <v>46</v>
      </c>
      <c r="E1689" s="380">
        <v>46</v>
      </c>
      <c r="F1689" s="380">
        <v>46</v>
      </c>
      <c r="H1689" s="351">
        <f t="shared" si="135"/>
        <v>46000</v>
      </c>
      <c r="I1689" s="351">
        <f t="shared" si="136"/>
        <v>46000</v>
      </c>
      <c r="M1689" s="321">
        <v>1746104771</v>
      </c>
      <c r="N1689" s="321">
        <v>74</v>
      </c>
      <c r="O1689" s="321" t="s">
        <v>3188</v>
      </c>
      <c r="P1689" s="321">
        <v>6746104</v>
      </c>
      <c r="Q1689" s="322">
        <v>2000</v>
      </c>
      <c r="R1689" s="322">
        <v>1700</v>
      </c>
      <c r="S1689" s="322">
        <v>3000</v>
      </c>
      <c r="T1689" s="322">
        <v>3000</v>
      </c>
      <c r="U1689" s="322">
        <f t="shared" si="132"/>
        <v>0</v>
      </c>
      <c r="W1689" s="321">
        <f t="shared" si="133"/>
        <v>771</v>
      </c>
      <c r="X1689" s="321">
        <f t="shared" si="134"/>
        <v>746104</v>
      </c>
      <c r="Y1689" s="321">
        <v>1</v>
      </c>
      <c r="AA1689" s="321" t="s">
        <v>3188</v>
      </c>
    </row>
    <row r="1690" spans="1:27">
      <c r="A1690" s="376">
        <v>862</v>
      </c>
      <c r="B1690" s="418">
        <v>861000</v>
      </c>
      <c r="C1690" s="385" t="s">
        <v>7552</v>
      </c>
      <c r="D1690" s="389">
        <v>50</v>
      </c>
      <c r="E1690" s="390">
        <v>40</v>
      </c>
      <c r="F1690" s="390">
        <v>40</v>
      </c>
      <c r="H1690" s="351">
        <f t="shared" si="135"/>
        <v>50000</v>
      </c>
      <c r="I1690" s="351">
        <f t="shared" si="136"/>
        <v>40000</v>
      </c>
      <c r="M1690" s="321">
        <v>1746104779</v>
      </c>
      <c r="N1690" s="321">
        <v>74</v>
      </c>
      <c r="O1690" s="321" t="s">
        <v>5382</v>
      </c>
      <c r="P1690" s="321">
        <v>6746104</v>
      </c>
      <c r="Q1690" s="322">
        <v>4000</v>
      </c>
      <c r="R1690" s="322">
        <v>2000</v>
      </c>
      <c r="S1690" s="322">
        <v>4000</v>
      </c>
      <c r="T1690" s="322">
        <v>4000</v>
      </c>
      <c r="U1690" s="322">
        <f t="shared" si="132"/>
        <v>0</v>
      </c>
      <c r="W1690" s="321">
        <f t="shared" si="133"/>
        <v>779</v>
      </c>
      <c r="X1690" s="321">
        <f t="shared" si="134"/>
        <v>746104</v>
      </c>
      <c r="Y1690" s="321">
        <v>1</v>
      </c>
      <c r="AA1690" s="321" t="s">
        <v>5382</v>
      </c>
    </row>
    <row r="1691" spans="1:27">
      <c r="A1691" s="376">
        <v>410</v>
      </c>
      <c r="B1691" s="377">
        <v>869000</v>
      </c>
      <c r="C1691" s="382" t="s">
        <v>6715</v>
      </c>
      <c r="D1691" s="379">
        <v>70</v>
      </c>
      <c r="E1691" s="380">
        <v>68</v>
      </c>
      <c r="F1691" s="380">
        <v>68</v>
      </c>
      <c r="H1691" s="351">
        <f t="shared" si="135"/>
        <v>70000</v>
      </c>
      <c r="I1691" s="351">
        <f t="shared" si="136"/>
        <v>68000</v>
      </c>
      <c r="M1691" s="321">
        <v>1746104781</v>
      </c>
      <c r="N1691" s="321">
        <v>74</v>
      </c>
      <c r="O1691" s="321" t="s">
        <v>5645</v>
      </c>
      <c r="P1691" s="321">
        <v>6746104</v>
      </c>
      <c r="Q1691" s="322">
        <v>4200</v>
      </c>
      <c r="R1691" s="322">
        <v>800</v>
      </c>
      <c r="S1691" s="322">
        <v>4200</v>
      </c>
      <c r="T1691" s="322">
        <v>4200</v>
      </c>
      <c r="U1691" s="322">
        <f t="shared" si="132"/>
        <v>0</v>
      </c>
      <c r="W1691" s="321">
        <f t="shared" si="133"/>
        <v>781</v>
      </c>
      <c r="X1691" s="321">
        <f t="shared" si="134"/>
        <v>746104</v>
      </c>
      <c r="Y1691" s="321">
        <v>1</v>
      </c>
      <c r="AA1691" s="321" t="s">
        <v>5645</v>
      </c>
    </row>
    <row r="1692" spans="1:27">
      <c r="A1692" s="376">
        <v>540</v>
      </c>
      <c r="B1692" s="377">
        <v>869000</v>
      </c>
      <c r="C1692" s="391" t="s">
        <v>6752</v>
      </c>
      <c r="D1692" s="379">
        <v>5</v>
      </c>
      <c r="E1692" s="380">
        <v>5</v>
      </c>
      <c r="F1692" s="380">
        <v>5</v>
      </c>
      <c r="H1692" s="351">
        <f t="shared" si="135"/>
        <v>5000</v>
      </c>
      <c r="I1692" s="351">
        <f t="shared" si="136"/>
        <v>5000</v>
      </c>
      <c r="M1692" s="321">
        <v>1746104920</v>
      </c>
      <c r="N1692" s="321">
        <v>74</v>
      </c>
      <c r="O1692" s="321" t="s">
        <v>5646</v>
      </c>
      <c r="P1692" s="321">
        <v>6746104</v>
      </c>
      <c r="Q1692" s="322">
        <v>1720000</v>
      </c>
      <c r="R1692" s="322">
        <v>587400</v>
      </c>
      <c r="S1692" s="322">
        <v>1720000</v>
      </c>
      <c r="T1692" s="322">
        <v>1400000</v>
      </c>
      <c r="U1692" s="322">
        <f t="shared" si="132"/>
        <v>320000</v>
      </c>
      <c r="W1692" s="321">
        <f t="shared" si="133"/>
        <v>920</v>
      </c>
      <c r="X1692" s="321">
        <f t="shared" si="134"/>
        <v>746104</v>
      </c>
      <c r="Y1692" s="321">
        <v>1</v>
      </c>
      <c r="AA1692" s="321" t="s">
        <v>5646</v>
      </c>
    </row>
    <row r="1693" spans="1:27">
      <c r="A1693" s="398">
        <v>750</v>
      </c>
      <c r="B1693" s="377">
        <v>869000</v>
      </c>
      <c r="C1693" s="394" t="s">
        <v>7553</v>
      </c>
      <c r="D1693" s="379">
        <v>27</v>
      </c>
      <c r="E1693" s="380">
        <v>27</v>
      </c>
      <c r="F1693" s="380">
        <v>27</v>
      </c>
      <c r="H1693" s="351">
        <f t="shared" si="135"/>
        <v>27000</v>
      </c>
      <c r="I1693" s="351">
        <f t="shared" si="136"/>
        <v>27000</v>
      </c>
      <c r="M1693" s="321">
        <v>1746104921</v>
      </c>
      <c r="N1693" s="321">
        <v>74</v>
      </c>
      <c r="O1693" s="321" t="s">
        <v>5647</v>
      </c>
      <c r="P1693" s="321">
        <v>6746104</v>
      </c>
      <c r="Q1693" s="322">
        <v>2000000</v>
      </c>
      <c r="R1693" s="322">
        <v>503700</v>
      </c>
      <c r="S1693" s="322">
        <v>2500000</v>
      </c>
      <c r="T1693" s="322">
        <v>1500000</v>
      </c>
      <c r="U1693" s="322">
        <f t="shared" si="132"/>
        <v>1000000</v>
      </c>
      <c r="W1693" s="321">
        <f t="shared" si="133"/>
        <v>921</v>
      </c>
      <c r="X1693" s="321">
        <f t="shared" si="134"/>
        <v>746104</v>
      </c>
      <c r="Y1693" s="321">
        <v>1</v>
      </c>
      <c r="AA1693" s="321" t="s">
        <v>5647</v>
      </c>
    </row>
    <row r="1694" spans="1:27">
      <c r="A1694" s="376">
        <v>780</v>
      </c>
      <c r="B1694" s="377">
        <v>869000</v>
      </c>
      <c r="C1694" s="391" t="s">
        <v>7554</v>
      </c>
      <c r="D1694" s="389">
        <v>40</v>
      </c>
      <c r="E1694" s="390">
        <v>39</v>
      </c>
      <c r="F1694" s="390">
        <v>39</v>
      </c>
      <c r="H1694" s="351">
        <f t="shared" si="135"/>
        <v>40000</v>
      </c>
      <c r="I1694" s="351">
        <f t="shared" si="136"/>
        <v>39000</v>
      </c>
      <c r="M1694" s="321">
        <v>1746104951</v>
      </c>
      <c r="N1694" s="321">
        <v>74</v>
      </c>
      <c r="O1694" s="321" t="s">
        <v>5648</v>
      </c>
      <c r="P1694" s="321">
        <v>6746104</v>
      </c>
      <c r="Q1694" s="322">
        <v>14500</v>
      </c>
      <c r="R1694" s="322">
        <v>9400</v>
      </c>
      <c r="S1694" s="322">
        <v>24000</v>
      </c>
      <c r="T1694" s="322">
        <v>24000</v>
      </c>
      <c r="U1694" s="322">
        <f t="shared" si="132"/>
        <v>0</v>
      </c>
      <c r="W1694" s="321">
        <f t="shared" si="133"/>
        <v>951</v>
      </c>
      <c r="X1694" s="321">
        <f t="shared" si="134"/>
        <v>746104</v>
      </c>
      <c r="Y1694" s="321">
        <v>1</v>
      </c>
      <c r="AA1694" s="321" t="s">
        <v>5648</v>
      </c>
    </row>
    <row r="1695" spans="1:27">
      <c r="A1695" s="376">
        <v>781</v>
      </c>
      <c r="B1695" s="377">
        <v>869000</v>
      </c>
      <c r="C1695" s="382" t="s">
        <v>7555</v>
      </c>
      <c r="D1695" s="389">
        <v>450</v>
      </c>
      <c r="E1695" s="390">
        <v>103</v>
      </c>
      <c r="F1695" s="390">
        <v>103</v>
      </c>
      <c r="H1695" s="351">
        <f t="shared" si="135"/>
        <v>450000</v>
      </c>
      <c r="I1695" s="351">
        <f t="shared" si="136"/>
        <v>103000</v>
      </c>
      <c r="M1695" s="321">
        <v>1746105110</v>
      </c>
      <c r="N1695" s="321">
        <v>74</v>
      </c>
      <c r="O1695" s="321" t="s">
        <v>5205</v>
      </c>
      <c r="P1695" s="321">
        <v>6746105</v>
      </c>
      <c r="Q1695" s="322">
        <v>312000</v>
      </c>
      <c r="R1695" s="322">
        <v>215500</v>
      </c>
      <c r="S1695" s="322">
        <v>285000</v>
      </c>
      <c r="T1695" s="322">
        <v>285000</v>
      </c>
      <c r="U1695" s="322">
        <f t="shared" si="132"/>
        <v>0</v>
      </c>
      <c r="W1695" s="321">
        <f t="shared" si="133"/>
        <v>110</v>
      </c>
      <c r="X1695" s="321">
        <f t="shared" si="134"/>
        <v>746105</v>
      </c>
      <c r="Y1695" s="321">
        <v>1</v>
      </c>
      <c r="AA1695" s="321" t="s">
        <v>5205</v>
      </c>
    </row>
    <row r="1696" spans="1:27">
      <c r="A1696" s="376">
        <v>782</v>
      </c>
      <c r="B1696" s="377">
        <v>869000</v>
      </c>
      <c r="C1696" s="382" t="s">
        <v>7556</v>
      </c>
      <c r="D1696" s="389">
        <v>15</v>
      </c>
      <c r="E1696" s="390">
        <v>15</v>
      </c>
      <c r="F1696" s="390">
        <v>15</v>
      </c>
      <c r="H1696" s="351">
        <f t="shared" si="135"/>
        <v>15000</v>
      </c>
      <c r="I1696" s="351">
        <f t="shared" si="136"/>
        <v>15000</v>
      </c>
      <c r="M1696" s="321">
        <v>1746105120</v>
      </c>
      <c r="N1696" s="321">
        <v>74</v>
      </c>
      <c r="O1696" s="321" t="s">
        <v>5206</v>
      </c>
      <c r="P1696" s="321">
        <v>6746105</v>
      </c>
      <c r="Q1696" s="322">
        <v>53000</v>
      </c>
      <c r="R1696" s="322">
        <v>48900</v>
      </c>
      <c r="S1696" s="322">
        <v>57000</v>
      </c>
      <c r="T1696" s="322">
        <v>57000</v>
      </c>
      <c r="U1696" s="322">
        <f t="shared" si="132"/>
        <v>0</v>
      </c>
      <c r="W1696" s="321">
        <f t="shared" si="133"/>
        <v>120</v>
      </c>
      <c r="X1696" s="321">
        <f t="shared" si="134"/>
        <v>746105</v>
      </c>
      <c r="Y1696" s="321">
        <v>1</v>
      </c>
      <c r="AA1696" s="321" t="s">
        <v>5206</v>
      </c>
    </row>
    <row r="1697" spans="1:27">
      <c r="A1697" s="376">
        <v>100</v>
      </c>
      <c r="B1697" s="377">
        <v>879000</v>
      </c>
      <c r="C1697" s="382" t="s">
        <v>7557</v>
      </c>
      <c r="D1697" s="379">
        <v>1194</v>
      </c>
      <c r="E1697" s="380">
        <v>1048</v>
      </c>
      <c r="F1697" s="380">
        <v>1048</v>
      </c>
      <c r="H1697" s="351">
        <f t="shared" si="135"/>
        <v>1194000</v>
      </c>
      <c r="I1697" s="351">
        <f t="shared" si="136"/>
        <v>1048000</v>
      </c>
      <c r="M1697" s="321">
        <v>1746105130</v>
      </c>
      <c r="N1697" s="321">
        <v>74</v>
      </c>
      <c r="O1697" s="321" t="s">
        <v>2576</v>
      </c>
      <c r="P1697" s="321">
        <v>6746105</v>
      </c>
      <c r="Q1697" s="322">
        <v>82000</v>
      </c>
      <c r="R1697" s="322">
        <v>63800</v>
      </c>
      <c r="S1697" s="322">
        <v>89000</v>
      </c>
      <c r="T1697" s="322">
        <v>80100</v>
      </c>
      <c r="U1697" s="322">
        <f t="shared" si="132"/>
        <v>8900</v>
      </c>
      <c r="W1697" s="321">
        <f t="shared" si="133"/>
        <v>130</v>
      </c>
      <c r="X1697" s="321">
        <f t="shared" si="134"/>
        <v>746105</v>
      </c>
      <c r="Y1697" s="321">
        <v>1</v>
      </c>
      <c r="AA1697" s="321" t="s">
        <v>2576</v>
      </c>
    </row>
    <row r="1698" spans="1:27">
      <c r="A1698" s="376">
        <v>410</v>
      </c>
      <c r="B1698" s="377">
        <v>879000</v>
      </c>
      <c r="C1698" s="382" t="s">
        <v>6715</v>
      </c>
      <c r="D1698" s="379">
        <v>0</v>
      </c>
      <c r="E1698" s="380">
        <v>0</v>
      </c>
      <c r="F1698" s="380">
        <v>0</v>
      </c>
      <c r="H1698" s="351">
        <f t="shared" si="135"/>
        <v>0</v>
      </c>
      <c r="I1698" s="351">
        <f t="shared" si="136"/>
        <v>0</v>
      </c>
      <c r="M1698" s="321">
        <v>1746105140</v>
      </c>
      <c r="N1698" s="321">
        <v>74</v>
      </c>
      <c r="O1698" s="321" t="s">
        <v>5207</v>
      </c>
      <c r="P1698" s="321">
        <v>6746105</v>
      </c>
      <c r="Q1698" s="322">
        <v>74000</v>
      </c>
      <c r="R1698" s="322">
        <v>50600</v>
      </c>
      <c r="S1698" s="322">
        <v>69000</v>
      </c>
      <c r="T1698" s="322">
        <v>69000</v>
      </c>
      <c r="U1698" s="322">
        <f t="shared" si="132"/>
        <v>0</v>
      </c>
      <c r="W1698" s="321">
        <f t="shared" si="133"/>
        <v>140</v>
      </c>
      <c r="X1698" s="321">
        <f t="shared" si="134"/>
        <v>746105</v>
      </c>
      <c r="Y1698" s="321">
        <v>1</v>
      </c>
      <c r="AA1698" s="321" t="s">
        <v>5207</v>
      </c>
    </row>
    <row r="1699" spans="1:27">
      <c r="A1699" s="376">
        <v>470</v>
      </c>
      <c r="B1699" s="377">
        <v>879000</v>
      </c>
      <c r="C1699" s="382" t="s">
        <v>6769</v>
      </c>
      <c r="D1699" s="379">
        <v>6</v>
      </c>
      <c r="E1699" s="380">
        <v>7</v>
      </c>
      <c r="F1699" s="380">
        <v>7</v>
      </c>
      <c r="H1699" s="351">
        <f t="shared" si="135"/>
        <v>6000</v>
      </c>
      <c r="I1699" s="351">
        <f t="shared" si="136"/>
        <v>7000</v>
      </c>
      <c r="M1699" s="321">
        <v>1746105141</v>
      </c>
      <c r="N1699" s="321">
        <v>74</v>
      </c>
      <c r="O1699" s="321" t="s">
        <v>5208</v>
      </c>
      <c r="P1699" s="321">
        <v>6746105</v>
      </c>
      <c r="Q1699" s="322">
        <v>25000</v>
      </c>
      <c r="R1699" s="322">
        <v>15400</v>
      </c>
      <c r="S1699" s="322">
        <v>20000</v>
      </c>
      <c r="T1699" s="322">
        <v>20000</v>
      </c>
      <c r="U1699" s="322">
        <f t="shared" si="132"/>
        <v>0</v>
      </c>
      <c r="W1699" s="321">
        <f t="shared" si="133"/>
        <v>141</v>
      </c>
      <c r="X1699" s="321">
        <f t="shared" si="134"/>
        <v>746105</v>
      </c>
      <c r="Y1699" s="321">
        <v>1</v>
      </c>
      <c r="AA1699" s="321" t="s">
        <v>5208</v>
      </c>
    </row>
    <row r="1700" spans="1:27">
      <c r="A1700" s="376">
        <v>540</v>
      </c>
      <c r="B1700" s="377">
        <v>879000</v>
      </c>
      <c r="C1700" s="382" t="s">
        <v>6752</v>
      </c>
      <c r="D1700" s="379">
        <v>11</v>
      </c>
      <c r="E1700" s="380">
        <v>11</v>
      </c>
      <c r="F1700" s="380">
        <v>10</v>
      </c>
      <c r="H1700" s="351">
        <f t="shared" si="135"/>
        <v>11000</v>
      </c>
      <c r="I1700" s="351">
        <f t="shared" si="136"/>
        <v>10000</v>
      </c>
      <c r="M1700" s="321">
        <v>1746105181</v>
      </c>
      <c r="N1700" s="321">
        <v>74</v>
      </c>
      <c r="O1700" s="321" t="s">
        <v>5649</v>
      </c>
      <c r="P1700" s="321">
        <v>6746105</v>
      </c>
      <c r="Q1700" s="322">
        <v>70000</v>
      </c>
      <c r="R1700" s="322">
        <v>53300</v>
      </c>
      <c r="S1700" s="322">
        <v>72000</v>
      </c>
      <c r="T1700" s="322">
        <v>72000</v>
      </c>
      <c r="U1700" s="322">
        <f t="shared" si="132"/>
        <v>0</v>
      </c>
      <c r="W1700" s="321">
        <f t="shared" si="133"/>
        <v>181</v>
      </c>
      <c r="X1700" s="321">
        <f t="shared" si="134"/>
        <v>746105</v>
      </c>
      <c r="Y1700" s="321">
        <v>1</v>
      </c>
      <c r="AA1700" s="321" t="s">
        <v>5649</v>
      </c>
    </row>
    <row r="1701" spans="1:27">
      <c r="A1701" s="376">
        <v>550</v>
      </c>
      <c r="B1701" s="377">
        <v>879000</v>
      </c>
      <c r="C1701" s="382" t="s">
        <v>7558</v>
      </c>
      <c r="D1701" s="379">
        <v>178</v>
      </c>
      <c r="E1701" s="380">
        <v>178</v>
      </c>
      <c r="F1701" s="380">
        <v>178</v>
      </c>
      <c r="H1701" s="351">
        <f t="shared" si="135"/>
        <v>178000</v>
      </c>
      <c r="I1701" s="351">
        <f t="shared" si="136"/>
        <v>178000</v>
      </c>
      <c r="M1701" s="321">
        <v>1746105182</v>
      </c>
      <c r="N1701" s="321">
        <v>74</v>
      </c>
      <c r="O1701" s="321" t="s">
        <v>2582</v>
      </c>
      <c r="P1701" s="321">
        <v>6746105</v>
      </c>
      <c r="Q1701" s="322">
        <v>73000</v>
      </c>
      <c r="R1701" s="322">
        <v>52000</v>
      </c>
      <c r="S1701" s="322">
        <v>72000</v>
      </c>
      <c r="T1701" s="322">
        <v>72000</v>
      </c>
      <c r="U1701" s="322">
        <f t="shared" si="132"/>
        <v>0</v>
      </c>
      <c r="W1701" s="321">
        <f t="shared" si="133"/>
        <v>182</v>
      </c>
      <c r="X1701" s="321">
        <f t="shared" si="134"/>
        <v>746105</v>
      </c>
      <c r="Y1701" s="321">
        <v>1</v>
      </c>
      <c r="AA1701" s="321" t="s">
        <v>2582</v>
      </c>
    </row>
    <row r="1702" spans="1:27">
      <c r="A1702" s="376">
        <v>730</v>
      </c>
      <c r="B1702" s="377">
        <v>879000</v>
      </c>
      <c r="C1702" s="382" t="s">
        <v>6833</v>
      </c>
      <c r="D1702" s="379">
        <v>79</v>
      </c>
      <c r="E1702" s="380">
        <v>80</v>
      </c>
      <c r="F1702" s="380">
        <v>80</v>
      </c>
      <c r="H1702" s="351">
        <f t="shared" si="135"/>
        <v>79000</v>
      </c>
      <c r="I1702" s="351">
        <f t="shared" si="136"/>
        <v>80000</v>
      </c>
      <c r="M1702" s="321">
        <v>1746105420</v>
      </c>
      <c r="N1702" s="321">
        <v>74</v>
      </c>
      <c r="O1702" s="321" t="s">
        <v>5516</v>
      </c>
      <c r="P1702" s="321">
        <v>6746105</v>
      </c>
      <c r="Q1702" s="322">
        <v>0</v>
      </c>
      <c r="R1702" s="322">
        <v>0</v>
      </c>
      <c r="S1702" s="322">
        <v>20000</v>
      </c>
      <c r="T1702" s="322">
        <v>20000</v>
      </c>
      <c r="U1702" s="322">
        <f t="shared" si="132"/>
        <v>0</v>
      </c>
      <c r="W1702" s="321">
        <f t="shared" si="133"/>
        <v>420</v>
      </c>
      <c r="X1702" s="321">
        <f t="shared" si="134"/>
        <v>746105</v>
      </c>
      <c r="Y1702" s="321">
        <v>1</v>
      </c>
      <c r="AA1702" s="321" t="s">
        <v>5516</v>
      </c>
    </row>
    <row r="1703" spans="1:27">
      <c r="A1703" s="376">
        <v>750</v>
      </c>
      <c r="B1703" s="377">
        <v>879000</v>
      </c>
      <c r="C1703" s="382" t="s">
        <v>7559</v>
      </c>
      <c r="D1703" s="379">
        <v>115</v>
      </c>
      <c r="E1703" s="380">
        <v>125</v>
      </c>
      <c r="F1703" s="380">
        <v>125</v>
      </c>
      <c r="H1703" s="351">
        <f t="shared" si="135"/>
        <v>115000</v>
      </c>
      <c r="I1703" s="351">
        <f t="shared" si="136"/>
        <v>125000</v>
      </c>
      <c r="M1703" s="321">
        <v>1746105470</v>
      </c>
      <c r="N1703" s="321">
        <v>74</v>
      </c>
      <c r="O1703" s="321" t="s">
        <v>2660</v>
      </c>
      <c r="P1703" s="321">
        <v>6746105</v>
      </c>
      <c r="Q1703" s="322">
        <v>1700</v>
      </c>
      <c r="R1703" s="322">
        <v>0</v>
      </c>
      <c r="S1703" s="322">
        <v>1700</v>
      </c>
      <c r="T1703" s="322">
        <v>1700</v>
      </c>
      <c r="U1703" s="322">
        <f t="shared" si="132"/>
        <v>0</v>
      </c>
      <c r="W1703" s="321">
        <f t="shared" si="133"/>
        <v>470</v>
      </c>
      <c r="X1703" s="321">
        <f t="shared" si="134"/>
        <v>746105</v>
      </c>
      <c r="Y1703" s="321">
        <v>1</v>
      </c>
      <c r="AA1703" s="321" t="s">
        <v>2660</v>
      </c>
    </row>
    <row r="1704" spans="1:27">
      <c r="A1704" s="376">
        <v>780</v>
      </c>
      <c r="B1704" s="377">
        <v>879000</v>
      </c>
      <c r="C1704" s="382" t="s">
        <v>7560</v>
      </c>
      <c r="D1704" s="379">
        <v>240</v>
      </c>
      <c r="E1704" s="380">
        <v>446</v>
      </c>
      <c r="F1704" s="380">
        <v>446</v>
      </c>
      <c r="H1704" s="351">
        <f t="shared" si="135"/>
        <v>240000</v>
      </c>
      <c r="I1704" s="351">
        <f t="shared" si="136"/>
        <v>446000</v>
      </c>
      <c r="M1704" s="321">
        <v>1746105730</v>
      </c>
      <c r="N1704" s="321">
        <v>74</v>
      </c>
      <c r="O1704" s="321" t="s">
        <v>5650</v>
      </c>
      <c r="P1704" s="321">
        <v>6746105</v>
      </c>
      <c r="Q1704" s="322">
        <v>0</v>
      </c>
      <c r="R1704" s="322">
        <v>0</v>
      </c>
      <c r="S1704" s="322">
        <v>0</v>
      </c>
      <c r="T1704" s="322">
        <v>0</v>
      </c>
      <c r="U1704" s="322">
        <f t="shared" si="132"/>
        <v>0</v>
      </c>
      <c r="W1704" s="321">
        <f t="shared" si="133"/>
        <v>730</v>
      </c>
      <c r="X1704" s="321">
        <f t="shared" si="134"/>
        <v>746105</v>
      </c>
      <c r="Y1704" s="321">
        <v>1</v>
      </c>
      <c r="AA1704" s="321" t="s">
        <v>5650</v>
      </c>
    </row>
    <row r="1705" spans="1:27">
      <c r="A1705" s="376">
        <v>781</v>
      </c>
      <c r="B1705" s="377">
        <v>879000</v>
      </c>
      <c r="C1705" s="382" t="s">
        <v>7561</v>
      </c>
      <c r="D1705" s="379">
        <v>200</v>
      </c>
      <c r="E1705" s="380">
        <v>0</v>
      </c>
      <c r="F1705" s="380">
        <v>0</v>
      </c>
      <c r="H1705" s="351">
        <f t="shared" si="135"/>
        <v>200000</v>
      </c>
      <c r="I1705" s="351">
        <f t="shared" si="136"/>
        <v>0</v>
      </c>
      <c r="M1705" s="321">
        <v>1746105750</v>
      </c>
      <c r="N1705" s="321">
        <v>74</v>
      </c>
      <c r="O1705" s="321" t="s">
        <v>2707</v>
      </c>
      <c r="P1705" s="321">
        <v>6746105</v>
      </c>
      <c r="Q1705" s="322">
        <v>364000</v>
      </c>
      <c r="R1705" s="322">
        <v>204600</v>
      </c>
      <c r="S1705" s="322">
        <v>376000</v>
      </c>
      <c r="T1705" s="322">
        <v>376000</v>
      </c>
      <c r="U1705" s="322">
        <f t="shared" si="132"/>
        <v>0</v>
      </c>
      <c r="W1705" s="321">
        <f t="shared" si="133"/>
        <v>750</v>
      </c>
      <c r="X1705" s="321">
        <f t="shared" si="134"/>
        <v>746105</v>
      </c>
      <c r="Y1705" s="321">
        <v>1</v>
      </c>
      <c r="AA1705" s="321" t="s">
        <v>2707</v>
      </c>
    </row>
    <row r="1706" spans="1:27">
      <c r="A1706" s="376">
        <v>782</v>
      </c>
      <c r="B1706" s="377">
        <v>879000</v>
      </c>
      <c r="C1706" s="387" t="s">
        <v>7562</v>
      </c>
      <c r="D1706" s="379">
        <v>60</v>
      </c>
      <c r="E1706" s="380">
        <v>0</v>
      </c>
      <c r="F1706" s="380">
        <v>92</v>
      </c>
      <c r="H1706" s="351">
        <f t="shared" si="135"/>
        <v>60000</v>
      </c>
      <c r="I1706" s="351">
        <f t="shared" si="136"/>
        <v>92000</v>
      </c>
      <c r="M1706" s="321">
        <v>1746105772</v>
      </c>
      <c r="N1706" s="321">
        <v>74</v>
      </c>
      <c r="O1706" s="321" t="s">
        <v>5651</v>
      </c>
      <c r="P1706" s="321">
        <v>6746105</v>
      </c>
      <c r="Q1706" s="322">
        <v>12000000</v>
      </c>
      <c r="R1706" s="322">
        <v>5727300</v>
      </c>
      <c r="S1706" s="322">
        <v>12000000</v>
      </c>
      <c r="T1706" s="322">
        <v>11500000</v>
      </c>
      <c r="U1706" s="322">
        <f t="shared" si="132"/>
        <v>500000</v>
      </c>
      <c r="W1706" s="321">
        <f t="shared" si="133"/>
        <v>772</v>
      </c>
      <c r="X1706" s="321">
        <f t="shared" si="134"/>
        <v>746105</v>
      </c>
      <c r="Y1706" s="321">
        <v>1</v>
      </c>
      <c r="AA1706" s="321" t="s">
        <v>5651</v>
      </c>
    </row>
    <row r="1707" spans="1:27">
      <c r="A1707" s="376">
        <v>820</v>
      </c>
      <c r="B1707" s="377">
        <v>879000</v>
      </c>
      <c r="C1707" s="382" t="s">
        <v>7563</v>
      </c>
      <c r="D1707" s="379">
        <v>200</v>
      </c>
      <c r="E1707" s="380">
        <v>200</v>
      </c>
      <c r="F1707" s="380">
        <v>200</v>
      </c>
      <c r="H1707" s="351">
        <f t="shared" si="135"/>
        <v>200000</v>
      </c>
      <c r="I1707" s="351">
        <f t="shared" si="136"/>
        <v>200000</v>
      </c>
      <c r="M1707" s="321">
        <v>1746105779</v>
      </c>
      <c r="N1707" s="321">
        <v>74</v>
      </c>
      <c r="O1707" s="321" t="s">
        <v>5382</v>
      </c>
      <c r="P1707" s="321">
        <v>6746105</v>
      </c>
      <c r="Q1707" s="322">
        <v>2000</v>
      </c>
      <c r="R1707" s="322">
        <v>1000</v>
      </c>
      <c r="S1707" s="322">
        <v>2000</v>
      </c>
      <c r="T1707" s="322">
        <v>2000</v>
      </c>
      <c r="U1707" s="322">
        <f t="shared" si="132"/>
        <v>0</v>
      </c>
      <c r="W1707" s="321">
        <f t="shared" si="133"/>
        <v>779</v>
      </c>
      <c r="X1707" s="321">
        <f t="shared" si="134"/>
        <v>746105</v>
      </c>
      <c r="Y1707" s="321">
        <v>1</v>
      </c>
      <c r="AA1707" s="321" t="s">
        <v>5382</v>
      </c>
    </row>
    <row r="1708" spans="1:27">
      <c r="A1708" s="376">
        <v>930</v>
      </c>
      <c r="B1708" s="377">
        <v>879000</v>
      </c>
      <c r="C1708" s="382" t="s">
        <v>164</v>
      </c>
      <c r="D1708" s="379">
        <v>5</v>
      </c>
      <c r="E1708" s="380">
        <v>7</v>
      </c>
      <c r="F1708" s="380">
        <v>7</v>
      </c>
      <c r="H1708" s="351">
        <f t="shared" si="135"/>
        <v>5000</v>
      </c>
      <c r="I1708" s="351">
        <f t="shared" si="136"/>
        <v>7000</v>
      </c>
      <c r="M1708" s="321">
        <v>1746105781</v>
      </c>
      <c r="N1708" s="321">
        <v>74</v>
      </c>
      <c r="O1708" s="321" t="s">
        <v>5652</v>
      </c>
      <c r="P1708" s="321">
        <v>6746105</v>
      </c>
      <c r="Q1708" s="322">
        <v>0</v>
      </c>
      <c r="R1708" s="322">
        <v>0</v>
      </c>
      <c r="S1708" s="322">
        <v>4200</v>
      </c>
      <c r="T1708" s="322">
        <v>4200</v>
      </c>
      <c r="U1708" s="322">
        <f t="shared" si="132"/>
        <v>0</v>
      </c>
      <c r="W1708" s="321">
        <f t="shared" si="133"/>
        <v>781</v>
      </c>
      <c r="X1708" s="321">
        <f t="shared" si="134"/>
        <v>746105</v>
      </c>
      <c r="Y1708" s="321">
        <v>1</v>
      </c>
      <c r="AA1708" s="321" t="s">
        <v>5652</v>
      </c>
    </row>
    <row r="1709" spans="1:27">
      <c r="A1709" s="376">
        <v>100</v>
      </c>
      <c r="B1709" s="377">
        <v>913200</v>
      </c>
      <c r="C1709" s="382" t="s">
        <v>7564</v>
      </c>
      <c r="D1709" s="379">
        <v>2189</v>
      </c>
      <c r="E1709" s="380">
        <v>2100</v>
      </c>
      <c r="F1709" s="380">
        <v>2250</v>
      </c>
      <c r="H1709" s="351">
        <f t="shared" si="135"/>
        <v>2189000</v>
      </c>
      <c r="I1709" s="351">
        <f t="shared" si="136"/>
        <v>2250000</v>
      </c>
      <c r="M1709" s="321">
        <v>1746105930</v>
      </c>
      <c r="N1709" s="321">
        <v>74</v>
      </c>
      <c r="O1709" s="321" t="s">
        <v>5390</v>
      </c>
      <c r="P1709" s="321">
        <v>6746105</v>
      </c>
      <c r="Q1709" s="322">
        <v>0</v>
      </c>
      <c r="R1709" s="322">
        <v>0</v>
      </c>
      <c r="S1709" s="322">
        <v>0</v>
      </c>
      <c r="T1709" s="322">
        <v>0</v>
      </c>
      <c r="U1709" s="322">
        <f t="shared" si="132"/>
        <v>0</v>
      </c>
      <c r="W1709" s="321">
        <f t="shared" si="133"/>
        <v>930</v>
      </c>
      <c r="X1709" s="321">
        <f t="shared" si="134"/>
        <v>746105</v>
      </c>
      <c r="Y1709" s="321">
        <v>1</v>
      </c>
      <c r="AA1709" s="321" t="s">
        <v>5390</v>
      </c>
    </row>
    <row r="1710" spans="1:27">
      <c r="A1710" s="376">
        <v>100</v>
      </c>
      <c r="B1710" s="377">
        <v>933000</v>
      </c>
      <c r="C1710" s="382" t="s">
        <v>7565</v>
      </c>
      <c r="D1710" s="379">
        <v>1144</v>
      </c>
      <c r="E1710" s="380">
        <v>1065</v>
      </c>
      <c r="F1710" s="380">
        <v>1065</v>
      </c>
      <c r="H1710" s="351">
        <f t="shared" si="135"/>
        <v>1144000</v>
      </c>
      <c r="I1710" s="351">
        <f t="shared" si="136"/>
        <v>1065000</v>
      </c>
      <c r="M1710" s="321">
        <v>1747200110</v>
      </c>
      <c r="N1710" s="321">
        <v>74</v>
      </c>
      <c r="O1710" s="321" t="s">
        <v>5205</v>
      </c>
      <c r="P1710" s="321">
        <v>6747200</v>
      </c>
      <c r="Q1710" s="322">
        <v>3995000</v>
      </c>
      <c r="R1710" s="322">
        <v>2870100</v>
      </c>
      <c r="S1710" s="322">
        <v>4117000</v>
      </c>
      <c r="T1710" s="322">
        <v>4117000</v>
      </c>
      <c r="U1710" s="322">
        <f t="shared" si="132"/>
        <v>0</v>
      </c>
      <c r="W1710" s="321">
        <f t="shared" si="133"/>
        <v>110</v>
      </c>
      <c r="X1710" s="321">
        <f t="shared" si="134"/>
        <v>747200</v>
      </c>
      <c r="Y1710" s="321">
        <v>1</v>
      </c>
      <c r="AA1710" s="321" t="s">
        <v>5205</v>
      </c>
    </row>
    <row r="1711" spans="1:27">
      <c r="A1711" s="376">
        <v>420</v>
      </c>
      <c r="B1711" s="377">
        <v>933000</v>
      </c>
      <c r="C1711" s="387" t="s">
        <v>7566</v>
      </c>
      <c r="D1711" s="379">
        <v>150</v>
      </c>
      <c r="E1711" s="380">
        <v>220</v>
      </c>
      <c r="F1711" s="380">
        <v>221</v>
      </c>
      <c r="H1711" s="351">
        <f t="shared" si="135"/>
        <v>150000</v>
      </c>
      <c r="I1711" s="351">
        <f t="shared" si="136"/>
        <v>221000</v>
      </c>
      <c r="M1711" s="321">
        <v>1747200120</v>
      </c>
      <c r="N1711" s="321">
        <v>74</v>
      </c>
      <c r="O1711" s="321" t="s">
        <v>5206</v>
      </c>
      <c r="P1711" s="321">
        <v>6747200</v>
      </c>
      <c r="Q1711" s="322">
        <v>1788000</v>
      </c>
      <c r="R1711" s="322">
        <v>1290400</v>
      </c>
      <c r="S1711" s="322">
        <v>1653000</v>
      </c>
      <c r="T1711" s="322">
        <v>1653000</v>
      </c>
      <c r="U1711" s="322">
        <f t="shared" si="132"/>
        <v>0</v>
      </c>
      <c r="W1711" s="321">
        <f t="shared" si="133"/>
        <v>120</v>
      </c>
      <c r="X1711" s="321">
        <f t="shared" si="134"/>
        <v>747200</v>
      </c>
      <c r="Y1711" s="321">
        <v>1</v>
      </c>
      <c r="AA1711" s="321" t="s">
        <v>5206</v>
      </c>
    </row>
    <row r="1712" spans="1:27">
      <c r="A1712" s="376">
        <v>421</v>
      </c>
      <c r="B1712" s="377">
        <v>933000</v>
      </c>
      <c r="C1712" s="387" t="s">
        <v>7567</v>
      </c>
      <c r="D1712" s="379">
        <v>235</v>
      </c>
      <c r="E1712" s="380">
        <v>235</v>
      </c>
      <c r="F1712" s="380">
        <v>235</v>
      </c>
      <c r="H1712" s="351">
        <f t="shared" si="135"/>
        <v>235000</v>
      </c>
      <c r="I1712" s="351">
        <f t="shared" si="136"/>
        <v>235000</v>
      </c>
      <c r="M1712" s="321">
        <v>1747200130</v>
      </c>
      <c r="N1712" s="321">
        <v>74</v>
      </c>
      <c r="O1712" s="321" t="s">
        <v>2576</v>
      </c>
      <c r="P1712" s="321">
        <v>6747200</v>
      </c>
      <c r="Q1712" s="322">
        <v>2194000</v>
      </c>
      <c r="R1712" s="322">
        <v>1474300</v>
      </c>
      <c r="S1712" s="322">
        <v>2078000</v>
      </c>
      <c r="T1712" s="322">
        <v>1870200</v>
      </c>
      <c r="U1712" s="322">
        <f t="shared" si="132"/>
        <v>207800</v>
      </c>
      <c r="W1712" s="321">
        <f t="shared" si="133"/>
        <v>130</v>
      </c>
      <c r="X1712" s="321">
        <f t="shared" si="134"/>
        <v>747200</v>
      </c>
      <c r="Y1712" s="321">
        <v>1</v>
      </c>
      <c r="AA1712" s="321" t="s">
        <v>2576</v>
      </c>
    </row>
    <row r="1713" spans="1:27">
      <c r="A1713" s="376">
        <v>427</v>
      </c>
      <c r="B1713" s="377">
        <v>933000</v>
      </c>
      <c r="C1713" s="382" t="s">
        <v>7568</v>
      </c>
      <c r="D1713" s="379">
        <v>135</v>
      </c>
      <c r="E1713" s="380">
        <v>120</v>
      </c>
      <c r="F1713" s="380">
        <v>131</v>
      </c>
      <c r="H1713" s="351">
        <f t="shared" si="135"/>
        <v>135000</v>
      </c>
      <c r="I1713" s="351">
        <f t="shared" si="136"/>
        <v>131000</v>
      </c>
      <c r="M1713" s="321">
        <v>1747200140</v>
      </c>
      <c r="N1713" s="321">
        <v>74</v>
      </c>
      <c r="O1713" s="321" t="s">
        <v>5207</v>
      </c>
      <c r="P1713" s="321">
        <v>6747200</v>
      </c>
      <c r="Q1713" s="322">
        <v>959000</v>
      </c>
      <c r="R1713" s="322">
        <v>628900</v>
      </c>
      <c r="S1713" s="322">
        <v>1095000</v>
      </c>
      <c r="T1713" s="322">
        <v>1095000</v>
      </c>
      <c r="U1713" s="322">
        <f t="shared" si="132"/>
        <v>0</v>
      </c>
      <c r="W1713" s="321">
        <f t="shared" si="133"/>
        <v>140</v>
      </c>
      <c r="X1713" s="321">
        <f t="shared" si="134"/>
        <v>747200</v>
      </c>
      <c r="Y1713" s="321">
        <v>1</v>
      </c>
      <c r="AA1713" s="321" t="s">
        <v>5207</v>
      </c>
    </row>
    <row r="1714" spans="1:27">
      <c r="A1714" s="376">
        <v>429</v>
      </c>
      <c r="B1714" s="377">
        <v>933000</v>
      </c>
      <c r="C1714" s="382" t="s">
        <v>7569</v>
      </c>
      <c r="D1714" s="379">
        <v>160</v>
      </c>
      <c r="E1714" s="380">
        <v>160</v>
      </c>
      <c r="F1714" s="380">
        <v>160</v>
      </c>
      <c r="H1714" s="351">
        <f t="shared" si="135"/>
        <v>160000</v>
      </c>
      <c r="I1714" s="351">
        <f t="shared" si="136"/>
        <v>160000</v>
      </c>
      <c r="M1714" s="321">
        <v>1747200141</v>
      </c>
      <c r="N1714" s="321">
        <v>74</v>
      </c>
      <c r="O1714" s="321" t="s">
        <v>5208</v>
      </c>
      <c r="P1714" s="321">
        <v>6747200</v>
      </c>
      <c r="Q1714" s="322">
        <v>535000</v>
      </c>
      <c r="R1714" s="322">
        <v>359400</v>
      </c>
      <c r="S1714" s="322">
        <v>572000</v>
      </c>
      <c r="T1714" s="322">
        <v>572000</v>
      </c>
      <c r="U1714" s="322">
        <f t="shared" si="132"/>
        <v>0</v>
      </c>
      <c r="W1714" s="321">
        <f t="shared" si="133"/>
        <v>141</v>
      </c>
      <c r="X1714" s="321">
        <f t="shared" si="134"/>
        <v>747200</v>
      </c>
      <c r="Y1714" s="321">
        <v>1</v>
      </c>
      <c r="AA1714" s="321" t="s">
        <v>5208</v>
      </c>
    </row>
    <row r="1715" spans="1:27">
      <c r="A1715" s="376">
        <v>432</v>
      </c>
      <c r="B1715" s="377">
        <v>933000</v>
      </c>
      <c r="C1715" s="382" t="s">
        <v>7570</v>
      </c>
      <c r="D1715" s="379">
        <v>450</v>
      </c>
      <c r="E1715" s="380">
        <v>400</v>
      </c>
      <c r="F1715" s="380">
        <v>430</v>
      </c>
      <c r="H1715" s="351">
        <f t="shared" si="135"/>
        <v>450000</v>
      </c>
      <c r="I1715" s="351">
        <f t="shared" si="136"/>
        <v>430000</v>
      </c>
      <c r="M1715" s="321">
        <v>1747200181</v>
      </c>
      <c r="N1715" s="321">
        <v>74</v>
      </c>
      <c r="O1715" s="321" t="s">
        <v>2580</v>
      </c>
      <c r="P1715" s="321">
        <v>6747200</v>
      </c>
      <c r="Q1715" s="322">
        <v>1062000</v>
      </c>
      <c r="R1715" s="322">
        <v>745200</v>
      </c>
      <c r="S1715" s="322">
        <v>1037000</v>
      </c>
      <c r="T1715" s="322">
        <v>1037000</v>
      </c>
      <c r="U1715" s="322">
        <f t="shared" si="132"/>
        <v>0</v>
      </c>
      <c r="W1715" s="321">
        <f t="shared" si="133"/>
        <v>181</v>
      </c>
      <c r="X1715" s="321">
        <f t="shared" si="134"/>
        <v>747200</v>
      </c>
      <c r="Y1715" s="321">
        <v>1</v>
      </c>
      <c r="AA1715" s="321" t="s">
        <v>2580</v>
      </c>
    </row>
    <row r="1716" spans="1:27">
      <c r="A1716" s="376">
        <v>540</v>
      </c>
      <c r="B1716" s="377">
        <v>933000</v>
      </c>
      <c r="C1716" s="382" t="s">
        <v>6764</v>
      </c>
      <c r="D1716" s="379">
        <v>2</v>
      </c>
      <c r="E1716" s="380">
        <v>2</v>
      </c>
      <c r="F1716" s="380">
        <v>2</v>
      </c>
      <c r="H1716" s="351">
        <f t="shared" si="135"/>
        <v>2000</v>
      </c>
      <c r="I1716" s="351">
        <f t="shared" si="136"/>
        <v>2000</v>
      </c>
      <c r="M1716" s="321">
        <v>1747200182</v>
      </c>
      <c r="N1716" s="321">
        <v>74</v>
      </c>
      <c r="O1716" s="321" t="s">
        <v>2582</v>
      </c>
      <c r="P1716" s="321">
        <v>6747200</v>
      </c>
      <c r="Q1716" s="322">
        <v>1290000</v>
      </c>
      <c r="R1716" s="322">
        <v>906900</v>
      </c>
      <c r="S1716" s="322">
        <v>1334000</v>
      </c>
      <c r="T1716" s="322">
        <v>1334000</v>
      </c>
      <c r="U1716" s="322">
        <f t="shared" si="132"/>
        <v>0</v>
      </c>
      <c r="W1716" s="321">
        <f t="shared" si="133"/>
        <v>182</v>
      </c>
      <c r="X1716" s="321">
        <f t="shared" si="134"/>
        <v>747200</v>
      </c>
      <c r="Y1716" s="321">
        <v>1</v>
      </c>
      <c r="AA1716" s="321" t="s">
        <v>2582</v>
      </c>
    </row>
    <row r="1717" spans="1:27">
      <c r="A1717" s="376">
        <v>570</v>
      </c>
      <c r="B1717" s="377">
        <v>933000</v>
      </c>
      <c r="C1717" s="382" t="s">
        <v>6739</v>
      </c>
      <c r="D1717" s="379">
        <v>27</v>
      </c>
      <c r="E1717" s="380">
        <v>21</v>
      </c>
      <c r="F1717" s="380">
        <v>21</v>
      </c>
      <c r="H1717" s="351">
        <f t="shared" si="135"/>
        <v>27000</v>
      </c>
      <c r="I1717" s="351">
        <f t="shared" si="136"/>
        <v>21000</v>
      </c>
      <c r="M1717" s="321">
        <v>1747200420</v>
      </c>
      <c r="N1717" s="321">
        <v>74</v>
      </c>
      <c r="O1717" s="321" t="s">
        <v>5384</v>
      </c>
      <c r="P1717" s="321">
        <v>6747200</v>
      </c>
      <c r="Q1717" s="322">
        <v>80000</v>
      </c>
      <c r="R1717" s="322">
        <v>66200</v>
      </c>
      <c r="S1717" s="322">
        <v>80000</v>
      </c>
      <c r="T1717" s="322">
        <v>80000</v>
      </c>
      <c r="U1717" s="322">
        <f t="shared" si="132"/>
        <v>0</v>
      </c>
      <c r="W1717" s="321">
        <f t="shared" si="133"/>
        <v>420</v>
      </c>
      <c r="X1717" s="321">
        <f t="shared" si="134"/>
        <v>747200</v>
      </c>
      <c r="Y1717" s="321">
        <v>1</v>
      </c>
      <c r="AA1717" s="321" t="s">
        <v>5384</v>
      </c>
    </row>
    <row r="1718" spans="1:27">
      <c r="A1718" s="376">
        <v>571</v>
      </c>
      <c r="B1718" s="377">
        <v>933000</v>
      </c>
      <c r="C1718" s="381" t="s">
        <v>7571</v>
      </c>
      <c r="D1718" s="379">
        <v>405</v>
      </c>
      <c r="E1718" s="380">
        <v>180</v>
      </c>
      <c r="F1718" s="380">
        <v>280</v>
      </c>
      <c r="H1718" s="351">
        <f t="shared" si="135"/>
        <v>405000</v>
      </c>
      <c r="I1718" s="351">
        <f t="shared" si="136"/>
        <v>280000</v>
      </c>
      <c r="M1718" s="321">
        <v>1747200470</v>
      </c>
      <c r="N1718" s="321">
        <v>74</v>
      </c>
      <c r="O1718" s="321" t="s">
        <v>2830</v>
      </c>
      <c r="P1718" s="321">
        <v>6747200</v>
      </c>
      <c r="Q1718" s="322">
        <v>3400</v>
      </c>
      <c r="R1718" s="322">
        <v>3300</v>
      </c>
      <c r="S1718" s="322">
        <v>3400</v>
      </c>
      <c r="T1718" s="322">
        <v>3400</v>
      </c>
      <c r="U1718" s="322">
        <f t="shared" si="132"/>
        <v>0</v>
      </c>
      <c r="W1718" s="321">
        <f t="shared" si="133"/>
        <v>470</v>
      </c>
      <c r="X1718" s="321">
        <f t="shared" si="134"/>
        <v>747200</v>
      </c>
      <c r="Y1718" s="321">
        <v>1</v>
      </c>
      <c r="AA1718" s="321" t="s">
        <v>2830</v>
      </c>
    </row>
    <row r="1719" spans="1:27">
      <c r="A1719" s="376">
        <v>782</v>
      </c>
      <c r="B1719" s="377">
        <v>933000</v>
      </c>
      <c r="C1719" s="381" t="s">
        <v>7572</v>
      </c>
      <c r="D1719" s="379">
        <v>150</v>
      </c>
      <c r="E1719" s="380">
        <v>250</v>
      </c>
      <c r="F1719" s="380">
        <v>250</v>
      </c>
      <c r="H1719" s="351">
        <f t="shared" si="135"/>
        <v>150000</v>
      </c>
      <c r="I1719" s="351">
        <f t="shared" si="136"/>
        <v>250000</v>
      </c>
      <c r="M1719" s="321">
        <v>1747200471</v>
      </c>
      <c r="N1719" s="321">
        <v>74</v>
      </c>
      <c r="O1719" s="321" t="s">
        <v>5212</v>
      </c>
      <c r="P1719" s="321">
        <v>6747200</v>
      </c>
      <c r="Q1719" s="322">
        <v>5100</v>
      </c>
      <c r="R1719" s="322">
        <v>1100</v>
      </c>
      <c r="S1719" s="322">
        <v>5500</v>
      </c>
      <c r="T1719" s="322">
        <v>5500</v>
      </c>
      <c r="U1719" s="322">
        <f t="shared" si="132"/>
        <v>0</v>
      </c>
      <c r="W1719" s="321">
        <f t="shared" si="133"/>
        <v>471</v>
      </c>
      <c r="X1719" s="321">
        <f t="shared" si="134"/>
        <v>747200</v>
      </c>
      <c r="Y1719" s="321">
        <v>1</v>
      </c>
      <c r="AA1719" s="321" t="s">
        <v>5212</v>
      </c>
    </row>
    <row r="1720" spans="1:27">
      <c r="A1720" s="376">
        <v>780</v>
      </c>
      <c r="B1720" s="377">
        <v>933000</v>
      </c>
      <c r="C1720" s="382" t="s">
        <v>7573</v>
      </c>
      <c r="D1720" s="379">
        <v>450</v>
      </c>
      <c r="E1720" s="380">
        <v>460</v>
      </c>
      <c r="F1720" s="380">
        <v>460</v>
      </c>
      <c r="H1720" s="351">
        <f t="shared" si="135"/>
        <v>450000</v>
      </c>
      <c r="I1720" s="351">
        <f t="shared" si="136"/>
        <v>460000</v>
      </c>
      <c r="M1720" s="321">
        <v>1747200510</v>
      </c>
      <c r="N1720" s="321">
        <v>74</v>
      </c>
      <c r="O1720" s="321" t="s">
        <v>2805</v>
      </c>
      <c r="P1720" s="321">
        <v>6747200</v>
      </c>
      <c r="Q1720" s="322">
        <v>0</v>
      </c>
      <c r="R1720" s="322">
        <v>-10000</v>
      </c>
      <c r="S1720" s="322">
        <v>2000</v>
      </c>
      <c r="T1720" s="322">
        <v>2000</v>
      </c>
      <c r="U1720" s="322">
        <f t="shared" si="132"/>
        <v>0</v>
      </c>
      <c r="W1720" s="321">
        <f t="shared" si="133"/>
        <v>510</v>
      </c>
      <c r="X1720" s="321">
        <f t="shared" si="134"/>
        <v>747200</v>
      </c>
      <c r="Y1720" s="321">
        <v>1</v>
      </c>
      <c r="AA1720" s="321" t="s">
        <v>2805</v>
      </c>
    </row>
    <row r="1721" spans="1:27">
      <c r="A1721" s="376">
        <v>781</v>
      </c>
      <c r="B1721" s="377">
        <v>933000</v>
      </c>
      <c r="C1721" s="382" t="s">
        <v>7574</v>
      </c>
      <c r="D1721" s="379">
        <v>280</v>
      </c>
      <c r="E1721" s="380">
        <v>280</v>
      </c>
      <c r="F1721" s="380">
        <v>280</v>
      </c>
      <c r="H1721" s="351">
        <f t="shared" si="135"/>
        <v>280000</v>
      </c>
      <c r="I1721" s="351">
        <f t="shared" si="136"/>
        <v>280000</v>
      </c>
      <c r="M1721" s="321">
        <v>1747200540</v>
      </c>
      <c r="N1721" s="321">
        <v>74</v>
      </c>
      <c r="O1721" s="321" t="s">
        <v>5216</v>
      </c>
      <c r="P1721" s="321">
        <v>6747200</v>
      </c>
      <c r="Q1721" s="322">
        <v>30000</v>
      </c>
      <c r="R1721" s="322">
        <v>18600</v>
      </c>
      <c r="S1721" s="322">
        <v>30000</v>
      </c>
      <c r="T1721" s="322">
        <v>30000</v>
      </c>
      <c r="U1721" s="322">
        <f t="shared" si="132"/>
        <v>0</v>
      </c>
      <c r="W1721" s="321">
        <f t="shared" si="133"/>
        <v>540</v>
      </c>
      <c r="X1721" s="321">
        <f t="shared" si="134"/>
        <v>747200</v>
      </c>
      <c r="Y1721" s="321">
        <v>1</v>
      </c>
      <c r="AA1721" s="321" t="s">
        <v>5216</v>
      </c>
    </row>
    <row r="1722" spans="1:27">
      <c r="A1722" s="376">
        <v>980</v>
      </c>
      <c r="B1722" s="377">
        <v>933000</v>
      </c>
      <c r="C1722" s="382" t="s">
        <v>7575</v>
      </c>
      <c r="D1722" s="379">
        <v>0</v>
      </c>
      <c r="E1722" s="380">
        <v>0</v>
      </c>
      <c r="F1722" s="380">
        <v>0</v>
      </c>
      <c r="H1722" s="351">
        <f t="shared" si="135"/>
        <v>0</v>
      </c>
      <c r="I1722" s="351">
        <f t="shared" si="136"/>
        <v>0</v>
      </c>
      <c r="M1722" s="321">
        <v>1747200542</v>
      </c>
      <c r="N1722" s="321">
        <v>74</v>
      </c>
      <c r="O1722" s="321" t="s">
        <v>5362</v>
      </c>
      <c r="P1722" s="321">
        <v>6747200</v>
      </c>
      <c r="Q1722" s="322">
        <v>27800</v>
      </c>
      <c r="R1722" s="322">
        <v>27100</v>
      </c>
      <c r="S1722" s="322">
        <v>55000</v>
      </c>
      <c r="T1722" s="322">
        <v>55000</v>
      </c>
      <c r="U1722" s="322">
        <f t="shared" si="132"/>
        <v>0</v>
      </c>
      <c r="W1722" s="321">
        <f t="shared" si="133"/>
        <v>542</v>
      </c>
      <c r="X1722" s="321">
        <f t="shared" si="134"/>
        <v>747200</v>
      </c>
      <c r="Y1722" s="321">
        <v>1</v>
      </c>
      <c r="AA1722" s="321" t="s">
        <v>5362</v>
      </c>
    </row>
    <row r="1723" spans="1:27">
      <c r="A1723" s="376">
        <v>981</v>
      </c>
      <c r="B1723" s="377">
        <v>933000</v>
      </c>
      <c r="C1723" s="382" t="s">
        <v>7576</v>
      </c>
      <c r="D1723" s="379">
        <v>0</v>
      </c>
      <c r="E1723" s="380">
        <v>0</v>
      </c>
      <c r="F1723" s="380">
        <v>0</v>
      </c>
      <c r="H1723" s="351">
        <f t="shared" si="135"/>
        <v>0</v>
      </c>
      <c r="I1723" s="351">
        <f t="shared" si="136"/>
        <v>0</v>
      </c>
      <c r="M1723" s="321">
        <v>1747200572</v>
      </c>
      <c r="N1723" s="321">
        <v>74</v>
      </c>
      <c r="O1723" s="321" t="s">
        <v>5653</v>
      </c>
      <c r="P1723" s="321">
        <v>6747200</v>
      </c>
      <c r="Q1723" s="322">
        <v>2500</v>
      </c>
      <c r="R1723" s="322">
        <v>0</v>
      </c>
      <c r="S1723" s="322">
        <v>2000</v>
      </c>
      <c r="T1723" s="322">
        <v>2000</v>
      </c>
      <c r="U1723" s="322">
        <f t="shared" si="132"/>
        <v>0</v>
      </c>
      <c r="W1723" s="321">
        <f t="shared" si="133"/>
        <v>572</v>
      </c>
      <c r="X1723" s="321">
        <f t="shared" si="134"/>
        <v>747200</v>
      </c>
      <c r="Y1723" s="321">
        <v>1</v>
      </c>
      <c r="AA1723" s="321" t="s">
        <v>5653</v>
      </c>
    </row>
    <row r="1724" spans="1:27">
      <c r="A1724" s="376">
        <v>420</v>
      </c>
      <c r="B1724" s="377">
        <v>938100</v>
      </c>
      <c r="C1724" s="348" t="s">
        <v>7577</v>
      </c>
      <c r="D1724" s="379">
        <v>370</v>
      </c>
      <c r="E1724" s="380">
        <v>470</v>
      </c>
      <c r="F1724" s="380">
        <v>422</v>
      </c>
      <c r="H1724" s="351">
        <f t="shared" si="135"/>
        <v>370000</v>
      </c>
      <c r="I1724" s="351">
        <f t="shared" si="136"/>
        <v>422000</v>
      </c>
      <c r="M1724" s="321">
        <v>1747200720</v>
      </c>
      <c r="N1724" s="321">
        <v>74</v>
      </c>
      <c r="O1724" s="321" t="s">
        <v>5654</v>
      </c>
      <c r="P1724" s="321">
        <v>6747200</v>
      </c>
      <c r="Q1724" s="322">
        <v>109700</v>
      </c>
      <c r="R1724" s="322">
        <v>105600</v>
      </c>
      <c r="S1724" s="322">
        <v>109700</v>
      </c>
      <c r="T1724" s="322">
        <v>109700</v>
      </c>
      <c r="U1724" s="322">
        <f t="shared" si="132"/>
        <v>0</v>
      </c>
      <c r="W1724" s="321">
        <f t="shared" si="133"/>
        <v>720</v>
      </c>
      <c r="X1724" s="321">
        <f t="shared" si="134"/>
        <v>747200</v>
      </c>
      <c r="Y1724" s="321">
        <v>1</v>
      </c>
      <c r="AA1724" s="321" t="s">
        <v>5654</v>
      </c>
    </row>
    <row r="1725" spans="1:27">
      <c r="A1725" s="376">
        <v>430</v>
      </c>
      <c r="B1725" s="377">
        <v>938100</v>
      </c>
      <c r="C1725" s="387" t="s">
        <v>7578</v>
      </c>
      <c r="D1725" s="379">
        <v>500</v>
      </c>
      <c r="E1725" s="380">
        <v>460</v>
      </c>
      <c r="F1725" s="380">
        <v>500</v>
      </c>
      <c r="H1725" s="351">
        <f t="shared" si="135"/>
        <v>500000</v>
      </c>
      <c r="I1725" s="351">
        <f t="shared" si="136"/>
        <v>500000</v>
      </c>
      <c r="M1725" s="321">
        <v>1747200730</v>
      </c>
      <c r="N1725" s="321">
        <v>74</v>
      </c>
      <c r="O1725" s="321" t="s">
        <v>5655</v>
      </c>
      <c r="P1725" s="321">
        <v>6747200</v>
      </c>
      <c r="Q1725" s="322">
        <v>100000</v>
      </c>
      <c r="R1725" s="322">
        <v>108600</v>
      </c>
      <c r="S1725" s="322">
        <v>131000</v>
      </c>
      <c r="T1725" s="322">
        <v>131000</v>
      </c>
      <c r="U1725" s="322">
        <f t="shared" si="132"/>
        <v>0</v>
      </c>
      <c r="W1725" s="321">
        <f t="shared" si="133"/>
        <v>730</v>
      </c>
      <c r="X1725" s="321">
        <f t="shared" si="134"/>
        <v>747200</v>
      </c>
      <c r="Y1725" s="321">
        <v>1</v>
      </c>
      <c r="AA1725" s="321" t="s">
        <v>5655</v>
      </c>
    </row>
    <row r="1726" spans="1:27">
      <c r="A1726" s="376">
        <v>433</v>
      </c>
      <c r="B1726" s="377">
        <v>938100</v>
      </c>
      <c r="C1726" s="382" t="s">
        <v>7579</v>
      </c>
      <c r="D1726" s="379">
        <v>211</v>
      </c>
      <c r="E1726" s="380">
        <v>210</v>
      </c>
      <c r="F1726" s="380">
        <v>210</v>
      </c>
      <c r="H1726" s="351">
        <f t="shared" si="135"/>
        <v>211000</v>
      </c>
      <c r="I1726" s="351">
        <f t="shared" si="136"/>
        <v>210000</v>
      </c>
      <c r="M1726" s="321">
        <v>1747200731</v>
      </c>
      <c r="N1726" s="321">
        <v>74</v>
      </c>
      <c r="O1726" s="321" t="s">
        <v>5656</v>
      </c>
      <c r="P1726" s="321">
        <v>6747200</v>
      </c>
      <c r="Q1726" s="322">
        <v>90000</v>
      </c>
      <c r="R1726" s="322">
        <v>82200</v>
      </c>
      <c r="S1726" s="322">
        <v>90000</v>
      </c>
      <c r="T1726" s="322">
        <v>90000</v>
      </c>
      <c r="U1726" s="322">
        <f t="shared" si="132"/>
        <v>0</v>
      </c>
      <c r="W1726" s="321">
        <f t="shared" si="133"/>
        <v>731</v>
      </c>
      <c r="X1726" s="321">
        <f t="shared" si="134"/>
        <v>747200</v>
      </c>
      <c r="Y1726" s="321">
        <v>1</v>
      </c>
      <c r="AA1726" s="321" t="s">
        <v>5656</v>
      </c>
    </row>
    <row r="1727" spans="1:27">
      <c r="A1727" s="376">
        <v>511</v>
      </c>
      <c r="B1727" s="377">
        <v>938100</v>
      </c>
      <c r="C1727" s="387" t="s">
        <v>7580</v>
      </c>
      <c r="D1727" s="379">
        <v>277</v>
      </c>
      <c r="E1727" s="380">
        <v>275</v>
      </c>
      <c r="F1727" s="380">
        <v>275</v>
      </c>
      <c r="H1727" s="351">
        <f t="shared" si="135"/>
        <v>277000</v>
      </c>
      <c r="I1727" s="351">
        <f t="shared" si="136"/>
        <v>275000</v>
      </c>
      <c r="M1727" s="321">
        <v>1747200732</v>
      </c>
      <c r="N1727" s="321">
        <v>74</v>
      </c>
      <c r="O1727" s="321" t="s">
        <v>5657</v>
      </c>
      <c r="P1727" s="321">
        <v>6747200</v>
      </c>
      <c r="Q1727" s="322">
        <v>5000</v>
      </c>
      <c r="R1727" s="322">
        <v>4200</v>
      </c>
      <c r="S1727" s="322">
        <v>15000</v>
      </c>
      <c r="T1727" s="322">
        <v>15000</v>
      </c>
      <c r="U1727" s="322">
        <f t="shared" si="132"/>
        <v>0</v>
      </c>
      <c r="W1727" s="321">
        <f t="shared" si="133"/>
        <v>732</v>
      </c>
      <c r="X1727" s="321">
        <f t="shared" si="134"/>
        <v>747200</v>
      </c>
      <c r="Y1727" s="321">
        <v>1</v>
      </c>
      <c r="AA1727" s="321" t="s">
        <v>5657</v>
      </c>
    </row>
    <row r="1728" spans="1:27">
      <c r="A1728" s="376">
        <v>540</v>
      </c>
      <c r="B1728" s="377">
        <v>938100</v>
      </c>
      <c r="C1728" s="382" t="s">
        <v>7581</v>
      </c>
      <c r="D1728" s="379">
        <v>270</v>
      </c>
      <c r="E1728" s="380">
        <v>350</v>
      </c>
      <c r="F1728" s="380">
        <v>350</v>
      </c>
      <c r="H1728" s="351">
        <f t="shared" si="135"/>
        <v>270000</v>
      </c>
      <c r="I1728" s="351">
        <f t="shared" si="136"/>
        <v>350000</v>
      </c>
      <c r="M1728" s="321">
        <v>1747200733</v>
      </c>
      <c r="N1728" s="321">
        <v>74</v>
      </c>
      <c r="O1728" s="321" t="s">
        <v>5473</v>
      </c>
      <c r="P1728" s="321">
        <v>6747200</v>
      </c>
      <c r="Q1728" s="322">
        <v>5000</v>
      </c>
      <c r="R1728" s="322">
        <v>100</v>
      </c>
      <c r="S1728" s="322">
        <v>5000</v>
      </c>
      <c r="T1728" s="322">
        <v>5000</v>
      </c>
      <c r="U1728" s="322">
        <f t="shared" si="132"/>
        <v>0</v>
      </c>
      <c r="W1728" s="321">
        <f t="shared" si="133"/>
        <v>733</v>
      </c>
      <c r="X1728" s="321">
        <f t="shared" si="134"/>
        <v>747200</v>
      </c>
      <c r="Y1728" s="321">
        <v>1</v>
      </c>
      <c r="AA1728" s="321" t="s">
        <v>5473</v>
      </c>
    </row>
    <row r="1729" spans="1:27">
      <c r="A1729" s="376">
        <v>541</v>
      </c>
      <c r="B1729" s="377">
        <v>938100</v>
      </c>
      <c r="C1729" s="382" t="s">
        <v>7582</v>
      </c>
      <c r="D1729" s="379">
        <v>483</v>
      </c>
      <c r="E1729" s="380">
        <v>500</v>
      </c>
      <c r="F1729" s="380">
        <v>430</v>
      </c>
      <c r="H1729" s="351">
        <f t="shared" si="135"/>
        <v>483000</v>
      </c>
      <c r="I1729" s="351">
        <f t="shared" si="136"/>
        <v>430000</v>
      </c>
      <c r="M1729" s="321">
        <v>1747200734</v>
      </c>
      <c r="N1729" s="321">
        <v>74</v>
      </c>
      <c r="O1729" s="321" t="s">
        <v>5658</v>
      </c>
      <c r="P1729" s="321">
        <v>6747200</v>
      </c>
      <c r="Q1729" s="322">
        <v>65000</v>
      </c>
      <c r="R1729" s="322">
        <v>46100</v>
      </c>
      <c r="S1729" s="322">
        <v>110000</v>
      </c>
      <c r="T1729" s="322">
        <v>110000</v>
      </c>
      <c r="U1729" s="322">
        <f t="shared" si="132"/>
        <v>0</v>
      </c>
      <c r="W1729" s="321">
        <f t="shared" si="133"/>
        <v>734</v>
      </c>
      <c r="X1729" s="321">
        <f t="shared" si="134"/>
        <v>747200</v>
      </c>
      <c r="Y1729" s="321">
        <v>1</v>
      </c>
      <c r="AA1729" s="321" t="s">
        <v>5658</v>
      </c>
    </row>
    <row r="1730" spans="1:27">
      <c r="A1730" s="376">
        <v>542</v>
      </c>
      <c r="B1730" s="377">
        <v>938100</v>
      </c>
      <c r="C1730" s="382" t="s">
        <v>7583</v>
      </c>
      <c r="D1730" s="379">
        <v>200</v>
      </c>
      <c r="E1730" s="380">
        <v>210</v>
      </c>
      <c r="F1730" s="380">
        <v>210</v>
      </c>
      <c r="H1730" s="351">
        <f t="shared" si="135"/>
        <v>200000</v>
      </c>
      <c r="I1730" s="351">
        <f t="shared" si="136"/>
        <v>210000</v>
      </c>
      <c r="M1730" s="321">
        <v>1747200735</v>
      </c>
      <c r="N1730" s="321">
        <v>74</v>
      </c>
      <c r="O1730" s="321" t="s">
        <v>5659</v>
      </c>
      <c r="P1730" s="321">
        <v>6747200</v>
      </c>
      <c r="Q1730" s="322">
        <v>80000</v>
      </c>
      <c r="R1730" s="322">
        <v>73300</v>
      </c>
      <c r="S1730" s="322">
        <v>50000</v>
      </c>
      <c r="T1730" s="322">
        <v>50000</v>
      </c>
      <c r="U1730" s="322">
        <f t="shared" ref="U1730:U1793" si="137">S1730-T1730</f>
        <v>0</v>
      </c>
      <c r="W1730" s="321">
        <f t="shared" si="133"/>
        <v>735</v>
      </c>
      <c r="X1730" s="321">
        <f t="shared" si="134"/>
        <v>747200</v>
      </c>
      <c r="Y1730" s="321">
        <v>1</v>
      </c>
      <c r="AA1730" s="321" t="s">
        <v>5659</v>
      </c>
    </row>
    <row r="1731" spans="1:27">
      <c r="A1731" s="376">
        <v>543</v>
      </c>
      <c r="B1731" s="377">
        <v>938100</v>
      </c>
      <c r="C1731" s="382" t="s">
        <v>7584</v>
      </c>
      <c r="D1731" s="379">
        <v>800</v>
      </c>
      <c r="E1731" s="380">
        <v>780</v>
      </c>
      <c r="F1731" s="380">
        <v>550</v>
      </c>
      <c r="H1731" s="351">
        <f t="shared" si="135"/>
        <v>800000</v>
      </c>
      <c r="I1731" s="351">
        <f t="shared" si="136"/>
        <v>550000</v>
      </c>
      <c r="M1731" s="321">
        <v>1747200736</v>
      </c>
      <c r="N1731" s="321">
        <v>74</v>
      </c>
      <c r="O1731" s="321" t="s">
        <v>5660</v>
      </c>
      <c r="P1731" s="321">
        <v>6747200</v>
      </c>
      <c r="Q1731" s="322">
        <v>135000</v>
      </c>
      <c r="R1731" s="322">
        <v>69100</v>
      </c>
      <c r="S1731" s="322">
        <v>135000</v>
      </c>
      <c r="T1731" s="322">
        <v>135000</v>
      </c>
      <c r="U1731" s="322">
        <f t="shared" si="137"/>
        <v>0</v>
      </c>
      <c r="W1731" s="321">
        <f t="shared" ref="W1731:W1794" si="138">M1731-1000000000-X1731*1000</f>
        <v>736</v>
      </c>
      <c r="X1731" s="321">
        <f t="shared" ref="X1731:X1794" si="139">ROUNDDOWN((M1731-1000000000)/1000,0)</f>
        <v>747200</v>
      </c>
      <c r="Y1731" s="321">
        <v>1</v>
      </c>
      <c r="AA1731" s="321" t="s">
        <v>5660</v>
      </c>
    </row>
    <row r="1732" spans="1:27">
      <c r="A1732" s="376">
        <v>550</v>
      </c>
      <c r="B1732" s="377">
        <v>938100</v>
      </c>
      <c r="C1732" s="382" t="s">
        <v>7585</v>
      </c>
      <c r="D1732" s="379">
        <v>300</v>
      </c>
      <c r="E1732" s="380">
        <v>300</v>
      </c>
      <c r="F1732" s="380">
        <v>300</v>
      </c>
      <c r="H1732" s="351">
        <f t="shared" si="135"/>
        <v>300000</v>
      </c>
      <c r="I1732" s="351">
        <f t="shared" si="136"/>
        <v>300000</v>
      </c>
      <c r="M1732" s="321">
        <v>1747200738</v>
      </c>
      <c r="N1732" s="321">
        <v>74</v>
      </c>
      <c r="O1732" s="321" t="s">
        <v>5661</v>
      </c>
      <c r="P1732" s="321">
        <v>6747200</v>
      </c>
      <c r="Q1732" s="322">
        <v>2000</v>
      </c>
      <c r="R1732" s="322">
        <v>0</v>
      </c>
      <c r="S1732" s="322">
        <v>0</v>
      </c>
      <c r="T1732" s="322">
        <v>0</v>
      </c>
      <c r="U1732" s="322">
        <f t="shared" si="137"/>
        <v>0</v>
      </c>
      <c r="W1732" s="321">
        <f t="shared" si="138"/>
        <v>738</v>
      </c>
      <c r="X1732" s="321">
        <f t="shared" si="139"/>
        <v>747200</v>
      </c>
      <c r="Y1732" s="321">
        <v>1</v>
      </c>
      <c r="AA1732" s="321" t="s">
        <v>5661</v>
      </c>
    </row>
    <row r="1733" spans="1:27">
      <c r="A1733" s="376">
        <v>747</v>
      </c>
      <c r="B1733" s="377">
        <v>938100</v>
      </c>
      <c r="C1733" s="381" t="s">
        <v>7586</v>
      </c>
      <c r="D1733" s="379">
        <v>22</v>
      </c>
      <c r="E1733" s="380">
        <v>25</v>
      </c>
      <c r="F1733" s="380">
        <v>25</v>
      </c>
      <c r="H1733" s="351">
        <f t="shared" si="135"/>
        <v>22000</v>
      </c>
      <c r="I1733" s="351">
        <f t="shared" si="136"/>
        <v>25000</v>
      </c>
      <c r="M1733" s="321">
        <v>1747200742</v>
      </c>
      <c r="N1733" s="321">
        <v>74</v>
      </c>
      <c r="O1733" s="321" t="s">
        <v>5662</v>
      </c>
      <c r="P1733" s="321">
        <v>6747200</v>
      </c>
      <c r="Q1733" s="322">
        <v>14500</v>
      </c>
      <c r="R1733" s="322">
        <v>6900</v>
      </c>
      <c r="S1733" s="322">
        <v>14500</v>
      </c>
      <c r="T1733" s="322">
        <v>14500</v>
      </c>
      <c r="U1733" s="322">
        <f t="shared" si="137"/>
        <v>0</v>
      </c>
      <c r="W1733" s="321">
        <f t="shared" si="138"/>
        <v>742</v>
      </c>
      <c r="X1733" s="321">
        <f t="shared" si="139"/>
        <v>747200</v>
      </c>
      <c r="Y1733" s="321">
        <v>1</v>
      </c>
      <c r="AA1733" s="321" t="s">
        <v>5662</v>
      </c>
    </row>
    <row r="1734" spans="1:27">
      <c r="A1734" s="376">
        <v>748</v>
      </c>
      <c r="B1734" s="377">
        <v>938100</v>
      </c>
      <c r="C1734" s="382" t="s">
        <v>7587</v>
      </c>
      <c r="D1734" s="379">
        <v>139</v>
      </c>
      <c r="E1734" s="380">
        <v>140</v>
      </c>
      <c r="F1734" s="380">
        <v>140</v>
      </c>
      <c r="H1734" s="351">
        <f t="shared" si="135"/>
        <v>139000</v>
      </c>
      <c r="I1734" s="351">
        <f t="shared" si="136"/>
        <v>140000</v>
      </c>
      <c r="M1734" s="321">
        <v>1747200743</v>
      </c>
      <c r="N1734" s="321">
        <v>74</v>
      </c>
      <c r="O1734" s="321" t="s">
        <v>4646</v>
      </c>
      <c r="P1734" s="321">
        <v>6747200</v>
      </c>
      <c r="Q1734" s="322">
        <v>246500</v>
      </c>
      <c r="R1734" s="322">
        <v>169600</v>
      </c>
      <c r="S1734" s="322">
        <v>246500</v>
      </c>
      <c r="T1734" s="322">
        <v>246500</v>
      </c>
      <c r="U1734" s="322">
        <f t="shared" si="137"/>
        <v>0</v>
      </c>
      <c r="W1734" s="321">
        <f t="shared" si="138"/>
        <v>743</v>
      </c>
      <c r="X1734" s="321">
        <f t="shared" si="139"/>
        <v>747200</v>
      </c>
      <c r="Y1734" s="321">
        <v>1</v>
      </c>
      <c r="AA1734" s="321" t="s">
        <v>4646</v>
      </c>
    </row>
    <row r="1735" spans="1:27">
      <c r="A1735" s="376">
        <v>750</v>
      </c>
      <c r="B1735" s="377">
        <v>938100</v>
      </c>
      <c r="C1735" s="382" t="s">
        <v>7588</v>
      </c>
      <c r="D1735" s="379">
        <v>339</v>
      </c>
      <c r="E1735" s="380">
        <v>342</v>
      </c>
      <c r="F1735" s="380">
        <v>342</v>
      </c>
      <c r="H1735" s="351">
        <f t="shared" si="135"/>
        <v>339000</v>
      </c>
      <c r="I1735" s="351">
        <f t="shared" si="136"/>
        <v>342000</v>
      </c>
      <c r="M1735" s="321">
        <v>1747200744</v>
      </c>
      <c r="N1735" s="321">
        <v>74</v>
      </c>
      <c r="O1735" s="321" t="s">
        <v>5663</v>
      </c>
      <c r="P1735" s="321">
        <v>6747200</v>
      </c>
      <c r="Q1735" s="322">
        <v>40800</v>
      </c>
      <c r="R1735" s="322">
        <v>32200</v>
      </c>
      <c r="S1735" s="322">
        <v>10000</v>
      </c>
      <c r="T1735" s="322">
        <v>10000</v>
      </c>
      <c r="U1735" s="322">
        <f t="shared" si="137"/>
        <v>0</v>
      </c>
      <c r="W1735" s="321">
        <f t="shared" si="138"/>
        <v>744</v>
      </c>
      <c r="X1735" s="321">
        <f t="shared" si="139"/>
        <v>747200</v>
      </c>
      <c r="Y1735" s="321">
        <v>1</v>
      </c>
      <c r="AA1735" s="321" t="s">
        <v>5663</v>
      </c>
    </row>
    <row r="1736" spans="1:27">
      <c r="A1736" s="376">
        <v>751</v>
      </c>
      <c r="B1736" s="377">
        <v>938100</v>
      </c>
      <c r="C1736" s="382" t="s">
        <v>7589</v>
      </c>
      <c r="D1736" s="379">
        <v>350</v>
      </c>
      <c r="E1736" s="380">
        <v>450</v>
      </c>
      <c r="F1736" s="380">
        <v>450</v>
      </c>
      <c r="H1736" s="351">
        <f t="shared" si="135"/>
        <v>350000</v>
      </c>
      <c r="I1736" s="351">
        <f t="shared" si="136"/>
        <v>450000</v>
      </c>
      <c r="M1736" s="321">
        <v>1747200750</v>
      </c>
      <c r="N1736" s="321">
        <v>74</v>
      </c>
      <c r="O1736" s="321" t="s">
        <v>5664</v>
      </c>
      <c r="P1736" s="321">
        <v>6747200</v>
      </c>
      <c r="Q1736" s="322">
        <v>1125600</v>
      </c>
      <c r="R1736" s="322">
        <v>662300</v>
      </c>
      <c r="S1736" s="322">
        <v>1314000</v>
      </c>
      <c r="T1736" s="322">
        <v>1314000</v>
      </c>
      <c r="U1736" s="322">
        <f t="shared" si="137"/>
        <v>0</v>
      </c>
      <c r="W1736" s="321">
        <f t="shared" si="138"/>
        <v>750</v>
      </c>
      <c r="X1736" s="321">
        <f t="shared" si="139"/>
        <v>747200</v>
      </c>
      <c r="Y1736" s="321">
        <v>1</v>
      </c>
      <c r="AA1736" s="321" t="s">
        <v>5664</v>
      </c>
    </row>
    <row r="1737" spans="1:27">
      <c r="A1737" s="376">
        <v>780</v>
      </c>
      <c r="B1737" s="377">
        <v>938100</v>
      </c>
      <c r="C1737" s="382" t="s">
        <v>7590</v>
      </c>
      <c r="D1737" s="379">
        <v>40</v>
      </c>
      <c r="E1737" s="380">
        <v>40</v>
      </c>
      <c r="F1737" s="380">
        <v>40</v>
      </c>
      <c r="H1737" s="351">
        <f t="shared" si="135"/>
        <v>40000</v>
      </c>
      <c r="I1737" s="351">
        <f t="shared" si="136"/>
        <v>40000</v>
      </c>
      <c r="M1737" s="321">
        <v>1747200751</v>
      </c>
      <c r="N1737" s="321">
        <v>74</v>
      </c>
      <c r="O1737" s="321" t="s">
        <v>5665</v>
      </c>
      <c r="P1737" s="321">
        <v>6747200</v>
      </c>
      <c r="Q1737" s="322">
        <v>333000</v>
      </c>
      <c r="R1737" s="322">
        <v>128200</v>
      </c>
      <c r="S1737" s="322">
        <v>470000</v>
      </c>
      <c r="T1737" s="322">
        <v>470000</v>
      </c>
      <c r="U1737" s="322">
        <f t="shared" si="137"/>
        <v>0</v>
      </c>
      <c r="W1737" s="321">
        <f t="shared" si="138"/>
        <v>751</v>
      </c>
      <c r="X1737" s="321">
        <f t="shared" si="139"/>
        <v>747200</v>
      </c>
      <c r="Y1737" s="321">
        <v>1</v>
      </c>
      <c r="AA1737" s="321" t="s">
        <v>5665</v>
      </c>
    </row>
    <row r="1738" spans="1:27">
      <c r="A1738" s="376">
        <v>781</v>
      </c>
      <c r="B1738" s="377">
        <v>938100</v>
      </c>
      <c r="C1738" s="382" t="s">
        <v>7591</v>
      </c>
      <c r="D1738" s="379">
        <v>120</v>
      </c>
      <c r="E1738" s="380">
        <v>130</v>
      </c>
      <c r="F1738" s="380">
        <v>130</v>
      </c>
      <c r="H1738" s="351">
        <f t="shared" si="135"/>
        <v>120000</v>
      </c>
      <c r="I1738" s="351">
        <f t="shared" si="136"/>
        <v>130000</v>
      </c>
      <c r="M1738" s="321">
        <v>1747200752</v>
      </c>
      <c r="N1738" s="321">
        <v>74</v>
      </c>
      <c r="O1738" s="321" t="s">
        <v>5666</v>
      </c>
      <c r="P1738" s="321">
        <v>6747200</v>
      </c>
      <c r="Q1738" s="322">
        <v>560000</v>
      </c>
      <c r="R1738" s="322">
        <v>490800</v>
      </c>
      <c r="S1738" s="322">
        <v>631000</v>
      </c>
      <c r="T1738" s="322">
        <v>631000</v>
      </c>
      <c r="U1738" s="322">
        <f t="shared" si="137"/>
        <v>0</v>
      </c>
      <c r="W1738" s="321">
        <f t="shared" si="138"/>
        <v>752</v>
      </c>
      <c r="X1738" s="321">
        <f t="shared" si="139"/>
        <v>747200</v>
      </c>
      <c r="Y1738" s="321">
        <v>1</v>
      </c>
      <c r="AA1738" s="321" t="s">
        <v>5666</v>
      </c>
    </row>
    <row r="1739" spans="1:27">
      <c r="A1739" s="376">
        <v>930</v>
      </c>
      <c r="B1739" s="377">
        <v>938100</v>
      </c>
      <c r="C1739" s="382" t="s">
        <v>7592</v>
      </c>
      <c r="D1739" s="379">
        <v>250</v>
      </c>
      <c r="E1739" s="380">
        <v>500</v>
      </c>
      <c r="F1739" s="380">
        <v>500</v>
      </c>
      <c r="H1739" s="351">
        <f t="shared" si="135"/>
        <v>250000</v>
      </c>
      <c r="I1739" s="351">
        <f t="shared" si="136"/>
        <v>500000</v>
      </c>
      <c r="M1739" s="321">
        <v>1747200753</v>
      </c>
      <c r="N1739" s="321">
        <v>74</v>
      </c>
      <c r="O1739" s="321" t="s">
        <v>5667</v>
      </c>
      <c r="P1739" s="321">
        <v>6747200</v>
      </c>
      <c r="Q1739" s="322">
        <v>525000</v>
      </c>
      <c r="R1739" s="322">
        <v>208200</v>
      </c>
      <c r="S1739" s="322">
        <v>525000</v>
      </c>
      <c r="T1739" s="322">
        <v>525000</v>
      </c>
      <c r="U1739" s="322">
        <f t="shared" si="137"/>
        <v>0</v>
      </c>
      <c r="W1739" s="321">
        <f t="shared" si="138"/>
        <v>753</v>
      </c>
      <c r="X1739" s="321">
        <f t="shared" si="139"/>
        <v>747200</v>
      </c>
      <c r="Y1739" s="321">
        <v>1</v>
      </c>
      <c r="AA1739" s="321" t="s">
        <v>5667</v>
      </c>
    </row>
    <row r="1740" spans="1:27">
      <c r="A1740" s="376">
        <v>100</v>
      </c>
      <c r="B1740" s="377">
        <v>938200</v>
      </c>
      <c r="C1740" s="382" t="s">
        <v>6747</v>
      </c>
      <c r="D1740" s="379">
        <v>239</v>
      </c>
      <c r="E1740" s="380">
        <v>225</v>
      </c>
      <c r="F1740" s="380">
        <v>240</v>
      </c>
      <c r="H1740" s="351">
        <f t="shared" si="135"/>
        <v>239000</v>
      </c>
      <c r="I1740" s="351">
        <f t="shared" si="136"/>
        <v>240000</v>
      </c>
      <c r="M1740" s="321">
        <v>1747200754</v>
      </c>
      <c r="N1740" s="321">
        <v>74</v>
      </c>
      <c r="O1740" s="321" t="s">
        <v>5668</v>
      </c>
      <c r="P1740" s="321">
        <v>6747200</v>
      </c>
      <c r="Q1740" s="322">
        <v>50000</v>
      </c>
      <c r="R1740" s="322">
        <v>0</v>
      </c>
      <c r="S1740" s="322">
        <v>50000</v>
      </c>
      <c r="T1740" s="322">
        <v>50000</v>
      </c>
      <c r="U1740" s="322">
        <f t="shared" si="137"/>
        <v>0</v>
      </c>
      <c r="W1740" s="321">
        <f t="shared" si="138"/>
        <v>754</v>
      </c>
      <c r="X1740" s="321">
        <f t="shared" si="139"/>
        <v>747200</v>
      </c>
      <c r="Y1740" s="321">
        <v>1</v>
      </c>
      <c r="AA1740" s="321" t="s">
        <v>5668</v>
      </c>
    </row>
    <row r="1741" spans="1:27">
      <c r="A1741" s="376">
        <v>479</v>
      </c>
      <c r="B1741" s="377">
        <v>938200</v>
      </c>
      <c r="C1741" s="385" t="s">
        <v>7593</v>
      </c>
      <c r="D1741" s="379">
        <v>25</v>
      </c>
      <c r="E1741" s="380">
        <v>25</v>
      </c>
      <c r="F1741" s="380">
        <v>25</v>
      </c>
      <c r="H1741" s="351">
        <f t="shared" si="135"/>
        <v>25000</v>
      </c>
      <c r="I1741" s="351">
        <f t="shared" si="136"/>
        <v>25000</v>
      </c>
      <c r="M1741" s="321">
        <v>1747200755</v>
      </c>
      <c r="N1741" s="321">
        <v>74</v>
      </c>
      <c r="O1741" s="321" t="s">
        <v>5669</v>
      </c>
      <c r="P1741" s="321">
        <v>6747200</v>
      </c>
      <c r="Q1741" s="322">
        <v>89000</v>
      </c>
      <c r="R1741" s="322">
        <v>89000</v>
      </c>
      <c r="S1741" s="322">
        <v>89000</v>
      </c>
      <c r="T1741" s="322">
        <v>89000</v>
      </c>
      <c r="U1741" s="322">
        <f t="shared" si="137"/>
        <v>0</v>
      </c>
      <c r="W1741" s="321">
        <f t="shared" si="138"/>
        <v>755</v>
      </c>
      <c r="X1741" s="321">
        <f t="shared" si="139"/>
        <v>747200</v>
      </c>
      <c r="Y1741" s="321">
        <v>1</v>
      </c>
      <c r="AA1741" s="321" t="s">
        <v>5669</v>
      </c>
    </row>
    <row r="1742" spans="1:27">
      <c r="A1742" s="376">
        <v>540</v>
      </c>
      <c r="B1742" s="377">
        <v>938200</v>
      </c>
      <c r="C1742" s="382" t="s">
        <v>6752</v>
      </c>
      <c r="D1742" s="379">
        <v>2</v>
      </c>
      <c r="E1742" s="380">
        <v>2</v>
      </c>
      <c r="F1742" s="380">
        <v>2</v>
      </c>
      <c r="H1742" s="351">
        <f t="shared" si="135"/>
        <v>2000</v>
      </c>
      <c r="I1742" s="351">
        <f t="shared" si="136"/>
        <v>2000</v>
      </c>
      <c r="M1742" s="321">
        <v>1747200756</v>
      </c>
      <c r="N1742" s="321">
        <v>74</v>
      </c>
      <c r="O1742" s="321" t="s">
        <v>5670</v>
      </c>
      <c r="P1742" s="321">
        <v>6747200</v>
      </c>
      <c r="Q1742" s="322">
        <v>54000</v>
      </c>
      <c r="R1742" s="322">
        <v>52400</v>
      </c>
      <c r="S1742" s="322">
        <v>54000</v>
      </c>
      <c r="T1742" s="322">
        <v>54000</v>
      </c>
      <c r="U1742" s="322">
        <f t="shared" si="137"/>
        <v>0</v>
      </c>
      <c r="W1742" s="321">
        <f t="shared" si="138"/>
        <v>756</v>
      </c>
      <c r="X1742" s="321">
        <f t="shared" si="139"/>
        <v>747200</v>
      </c>
      <c r="Y1742" s="321">
        <v>1</v>
      </c>
      <c r="AA1742" s="321" t="s">
        <v>5670</v>
      </c>
    </row>
    <row r="1743" spans="1:27">
      <c r="A1743" s="376">
        <v>742</v>
      </c>
      <c r="B1743" s="377">
        <v>938200</v>
      </c>
      <c r="C1743" s="382" t="s">
        <v>6740</v>
      </c>
      <c r="D1743" s="379">
        <v>30</v>
      </c>
      <c r="E1743" s="380">
        <v>25</v>
      </c>
      <c r="F1743" s="380">
        <v>30</v>
      </c>
      <c r="H1743" s="351">
        <f t="shared" si="135"/>
        <v>30000</v>
      </c>
      <c r="I1743" s="351">
        <f t="shared" si="136"/>
        <v>30000</v>
      </c>
      <c r="M1743" s="321">
        <v>1747200757</v>
      </c>
      <c r="N1743" s="321">
        <v>74</v>
      </c>
      <c r="O1743" s="321" t="s">
        <v>2669</v>
      </c>
      <c r="P1743" s="321">
        <v>6747200</v>
      </c>
      <c r="Q1743" s="322">
        <v>18000</v>
      </c>
      <c r="R1743" s="322">
        <v>9300</v>
      </c>
      <c r="S1743" s="322">
        <v>18000</v>
      </c>
      <c r="T1743" s="322">
        <v>18000</v>
      </c>
      <c r="U1743" s="322">
        <f t="shared" si="137"/>
        <v>0</v>
      </c>
      <c r="W1743" s="321">
        <f t="shared" si="138"/>
        <v>757</v>
      </c>
      <c r="X1743" s="321">
        <f t="shared" si="139"/>
        <v>747200</v>
      </c>
      <c r="Y1743" s="321">
        <v>1</v>
      </c>
      <c r="AA1743" s="321" t="s">
        <v>2669</v>
      </c>
    </row>
    <row r="1744" spans="1:27">
      <c r="A1744" s="376">
        <v>747</v>
      </c>
      <c r="B1744" s="377">
        <v>938200</v>
      </c>
      <c r="C1744" s="382" t="s">
        <v>7594</v>
      </c>
      <c r="D1744" s="379">
        <v>20</v>
      </c>
      <c r="E1744" s="380">
        <v>10</v>
      </c>
      <c r="F1744" s="380">
        <v>20</v>
      </c>
      <c r="H1744" s="351">
        <f t="shared" si="135"/>
        <v>20000</v>
      </c>
      <c r="I1744" s="351">
        <f t="shared" si="136"/>
        <v>20000</v>
      </c>
      <c r="M1744" s="321">
        <v>1747200758</v>
      </c>
      <c r="N1744" s="321">
        <v>74</v>
      </c>
      <c r="O1744" s="321" t="s">
        <v>5671</v>
      </c>
      <c r="P1744" s="321">
        <v>6747200</v>
      </c>
      <c r="Q1744" s="322">
        <v>243000</v>
      </c>
      <c r="R1744" s="322">
        <v>140200</v>
      </c>
      <c r="S1744" s="322">
        <v>259000</v>
      </c>
      <c r="T1744" s="322">
        <v>259000</v>
      </c>
      <c r="U1744" s="322">
        <f t="shared" si="137"/>
        <v>0</v>
      </c>
      <c r="W1744" s="321">
        <f t="shared" si="138"/>
        <v>758</v>
      </c>
      <c r="X1744" s="321">
        <f t="shared" si="139"/>
        <v>747200</v>
      </c>
      <c r="Y1744" s="321">
        <v>1</v>
      </c>
      <c r="AA1744" s="321" t="s">
        <v>5671</v>
      </c>
    </row>
    <row r="1745" spans="1:27">
      <c r="A1745" s="376">
        <v>930</v>
      </c>
      <c r="B1745" s="377">
        <v>938200</v>
      </c>
      <c r="C1745" s="382" t="s">
        <v>2834</v>
      </c>
      <c r="D1745" s="379">
        <v>15</v>
      </c>
      <c r="E1745" s="380">
        <v>0</v>
      </c>
      <c r="F1745" s="380">
        <v>0</v>
      </c>
      <c r="H1745" s="351">
        <f t="shared" si="135"/>
        <v>15000</v>
      </c>
      <c r="I1745" s="351">
        <f t="shared" si="136"/>
        <v>0</v>
      </c>
      <c r="M1745" s="321">
        <v>1747200771</v>
      </c>
      <c r="N1745" s="321">
        <v>74</v>
      </c>
      <c r="O1745" s="321" t="s">
        <v>5672</v>
      </c>
      <c r="P1745" s="321">
        <v>6747200</v>
      </c>
      <c r="Q1745" s="322">
        <v>120000</v>
      </c>
      <c r="R1745" s="322">
        <v>93900</v>
      </c>
      <c r="S1745" s="322">
        <v>120000</v>
      </c>
      <c r="T1745" s="322">
        <v>120000</v>
      </c>
      <c r="U1745" s="322">
        <f t="shared" si="137"/>
        <v>0</v>
      </c>
      <c r="W1745" s="321">
        <f t="shared" si="138"/>
        <v>771</v>
      </c>
      <c r="X1745" s="321">
        <f t="shared" si="139"/>
        <v>747200</v>
      </c>
      <c r="Y1745" s="321">
        <v>1</v>
      </c>
      <c r="AA1745" s="321" t="s">
        <v>5672</v>
      </c>
    </row>
    <row r="1746" spans="1:27">
      <c r="A1746" s="376">
        <v>100</v>
      </c>
      <c r="B1746" s="377">
        <v>938300</v>
      </c>
      <c r="C1746" s="381" t="s">
        <v>7595</v>
      </c>
      <c r="D1746" s="379">
        <v>985</v>
      </c>
      <c r="E1746" s="380">
        <v>930</v>
      </c>
      <c r="F1746" s="380">
        <v>930</v>
      </c>
      <c r="H1746" s="351">
        <f t="shared" ref="H1746:H1803" si="140">D1746*1000</f>
        <v>985000</v>
      </c>
      <c r="I1746" s="351">
        <f t="shared" ref="I1746:I1803" si="141">F1746*1000</f>
        <v>930000</v>
      </c>
      <c r="M1746" s="321">
        <v>1747200772</v>
      </c>
      <c r="N1746" s="321">
        <v>74</v>
      </c>
      <c r="O1746" s="321" t="s">
        <v>5673</v>
      </c>
      <c r="P1746" s="321">
        <v>6747200</v>
      </c>
      <c r="Q1746" s="322">
        <v>730000</v>
      </c>
      <c r="R1746" s="322">
        <v>525500</v>
      </c>
      <c r="S1746" s="322">
        <v>1000000</v>
      </c>
      <c r="T1746" s="322">
        <v>1000000</v>
      </c>
      <c r="U1746" s="322">
        <f t="shared" si="137"/>
        <v>0</v>
      </c>
      <c r="W1746" s="321">
        <f t="shared" si="138"/>
        <v>772</v>
      </c>
      <c r="X1746" s="321">
        <f t="shared" si="139"/>
        <v>747200</v>
      </c>
      <c r="Y1746" s="321">
        <v>1</v>
      </c>
      <c r="AA1746" s="321" t="s">
        <v>5673</v>
      </c>
    </row>
    <row r="1747" spans="1:27">
      <c r="A1747" s="376">
        <v>730</v>
      </c>
      <c r="B1747" s="377">
        <v>938300</v>
      </c>
      <c r="C1747" s="381" t="s">
        <v>6866</v>
      </c>
      <c r="D1747" s="379">
        <v>161</v>
      </c>
      <c r="E1747" s="380">
        <v>142</v>
      </c>
      <c r="F1747" s="380">
        <v>142</v>
      </c>
      <c r="H1747" s="351">
        <f t="shared" si="140"/>
        <v>161000</v>
      </c>
      <c r="I1747" s="351">
        <f t="shared" si="141"/>
        <v>142000</v>
      </c>
      <c r="M1747" s="321">
        <v>1747200779</v>
      </c>
      <c r="N1747" s="321">
        <v>74</v>
      </c>
      <c r="O1747" s="321" t="s">
        <v>5382</v>
      </c>
      <c r="P1747" s="321">
        <v>6747200</v>
      </c>
      <c r="Q1747" s="322">
        <v>4000</v>
      </c>
      <c r="R1747" s="322">
        <v>300</v>
      </c>
      <c r="S1747" s="322">
        <v>4000</v>
      </c>
      <c r="T1747" s="322">
        <v>4000</v>
      </c>
      <c r="U1747" s="322">
        <f t="shared" si="137"/>
        <v>0</v>
      </c>
      <c r="W1747" s="321">
        <f t="shared" si="138"/>
        <v>779</v>
      </c>
      <c r="X1747" s="321">
        <f t="shared" si="139"/>
        <v>747200</v>
      </c>
      <c r="Y1747" s="321">
        <v>1</v>
      </c>
      <c r="AA1747" s="321" t="s">
        <v>5382</v>
      </c>
    </row>
    <row r="1748" spans="1:27">
      <c r="A1748" s="376">
        <v>740</v>
      </c>
      <c r="B1748" s="377">
        <v>938300</v>
      </c>
      <c r="C1748" s="382" t="s">
        <v>6859</v>
      </c>
      <c r="D1748" s="389">
        <v>10</v>
      </c>
      <c r="E1748" s="390">
        <v>13</v>
      </c>
      <c r="F1748" s="390">
        <v>13</v>
      </c>
      <c r="H1748" s="351">
        <f t="shared" si="140"/>
        <v>10000</v>
      </c>
      <c r="I1748" s="351">
        <f t="shared" si="141"/>
        <v>13000</v>
      </c>
      <c r="M1748" s="321">
        <v>1747200780</v>
      </c>
      <c r="N1748" s="321">
        <v>74</v>
      </c>
      <c r="O1748" s="321" t="s">
        <v>5674</v>
      </c>
      <c r="P1748" s="321">
        <v>6747200</v>
      </c>
      <c r="Q1748" s="322">
        <v>100000</v>
      </c>
      <c r="R1748" s="322">
        <v>58500</v>
      </c>
      <c r="S1748" s="322">
        <v>100000</v>
      </c>
      <c r="T1748" s="322">
        <v>100000</v>
      </c>
      <c r="U1748" s="322">
        <f t="shared" si="137"/>
        <v>0</v>
      </c>
      <c r="W1748" s="321">
        <f t="shared" si="138"/>
        <v>780</v>
      </c>
      <c r="X1748" s="321">
        <f t="shared" si="139"/>
        <v>747200</v>
      </c>
      <c r="Y1748" s="321">
        <v>1</v>
      </c>
      <c r="AA1748" s="321" t="s">
        <v>5674</v>
      </c>
    </row>
    <row r="1749" spans="1:27">
      <c r="A1749" s="376">
        <v>755</v>
      </c>
      <c r="B1749" s="377">
        <v>938300</v>
      </c>
      <c r="C1749" s="381" t="s">
        <v>7596</v>
      </c>
      <c r="D1749" s="389">
        <v>396</v>
      </c>
      <c r="E1749" s="390">
        <v>716</v>
      </c>
      <c r="F1749" s="390">
        <v>717</v>
      </c>
      <c r="H1749" s="351">
        <f t="shared" si="140"/>
        <v>396000</v>
      </c>
      <c r="I1749" s="351">
        <f t="shared" si="141"/>
        <v>717000</v>
      </c>
      <c r="M1749" s="321">
        <v>1747200781</v>
      </c>
      <c r="N1749" s="321">
        <v>74</v>
      </c>
      <c r="O1749" s="321" t="s">
        <v>5383</v>
      </c>
      <c r="P1749" s="321">
        <v>6747200</v>
      </c>
      <c r="Q1749" s="322">
        <v>7500</v>
      </c>
      <c r="R1749" s="322">
        <v>3100</v>
      </c>
      <c r="S1749" s="322">
        <v>10000</v>
      </c>
      <c r="T1749" s="322">
        <v>10000</v>
      </c>
      <c r="U1749" s="322">
        <f t="shared" si="137"/>
        <v>0</v>
      </c>
      <c r="W1749" s="321">
        <f t="shared" si="138"/>
        <v>781</v>
      </c>
      <c r="X1749" s="321">
        <f t="shared" si="139"/>
        <v>747200</v>
      </c>
      <c r="Y1749" s="321">
        <v>1</v>
      </c>
      <c r="AA1749" s="321" t="s">
        <v>5383</v>
      </c>
    </row>
    <row r="1750" spans="1:27">
      <c r="A1750" s="376">
        <v>930</v>
      </c>
      <c r="B1750" s="377">
        <v>938300</v>
      </c>
      <c r="C1750" s="381" t="s">
        <v>7597</v>
      </c>
      <c r="D1750" s="389">
        <v>45</v>
      </c>
      <c r="E1750" s="390">
        <v>50</v>
      </c>
      <c r="F1750" s="390">
        <v>50</v>
      </c>
      <c r="H1750" s="351">
        <f t="shared" si="140"/>
        <v>45000</v>
      </c>
      <c r="I1750" s="351">
        <f t="shared" si="141"/>
        <v>50000</v>
      </c>
      <c r="M1750" s="321">
        <v>1747200782</v>
      </c>
      <c r="N1750" s="321">
        <v>74</v>
      </c>
      <c r="O1750" s="321" t="s">
        <v>5675</v>
      </c>
      <c r="P1750" s="321">
        <v>6747200</v>
      </c>
      <c r="Q1750" s="322">
        <v>64000</v>
      </c>
      <c r="R1750" s="322">
        <v>12000</v>
      </c>
      <c r="S1750" s="322">
        <v>32000</v>
      </c>
      <c r="T1750" s="322">
        <v>32000</v>
      </c>
      <c r="U1750" s="322">
        <f t="shared" si="137"/>
        <v>0</v>
      </c>
      <c r="W1750" s="321">
        <f t="shared" si="138"/>
        <v>782</v>
      </c>
      <c r="X1750" s="321">
        <f t="shared" si="139"/>
        <v>747200</v>
      </c>
      <c r="Y1750" s="321">
        <v>1</v>
      </c>
      <c r="AA1750" s="321" t="s">
        <v>5675</v>
      </c>
    </row>
    <row r="1751" spans="1:27">
      <c r="A1751" s="376">
        <v>100</v>
      </c>
      <c r="B1751" s="377">
        <v>938400</v>
      </c>
      <c r="C1751" s="382" t="s">
        <v>7598</v>
      </c>
      <c r="D1751" s="379">
        <v>2806</v>
      </c>
      <c r="E1751" s="380">
        <v>2626</v>
      </c>
      <c r="F1751" s="380">
        <v>2476</v>
      </c>
      <c r="H1751" s="351">
        <f t="shared" si="140"/>
        <v>2806000</v>
      </c>
      <c r="I1751" s="351">
        <f t="shared" si="141"/>
        <v>2476000</v>
      </c>
      <c r="M1751" s="321">
        <v>1747200783</v>
      </c>
      <c r="N1751" s="321">
        <v>74</v>
      </c>
      <c r="O1751" s="321" t="s">
        <v>5676</v>
      </c>
      <c r="P1751" s="321">
        <v>6747200</v>
      </c>
      <c r="Q1751" s="322">
        <v>50000</v>
      </c>
      <c r="R1751" s="322">
        <v>20000</v>
      </c>
      <c r="S1751" s="322">
        <v>80000</v>
      </c>
      <c r="T1751" s="322">
        <v>80000</v>
      </c>
      <c r="U1751" s="322">
        <f t="shared" si="137"/>
        <v>0</v>
      </c>
      <c r="W1751" s="321">
        <f t="shared" si="138"/>
        <v>783</v>
      </c>
      <c r="X1751" s="321">
        <f t="shared" si="139"/>
        <v>747200</v>
      </c>
      <c r="Y1751" s="321">
        <v>1</v>
      </c>
      <c r="AA1751" s="321" t="s">
        <v>5676</v>
      </c>
    </row>
    <row r="1752" spans="1:27">
      <c r="A1752" s="376">
        <v>101</v>
      </c>
      <c r="B1752" s="377">
        <v>938400</v>
      </c>
      <c r="C1752" s="382" t="s">
        <v>7599</v>
      </c>
      <c r="D1752" s="379">
        <v>633</v>
      </c>
      <c r="E1752" s="380">
        <v>620</v>
      </c>
      <c r="F1752" s="380">
        <v>620</v>
      </c>
      <c r="H1752" s="351">
        <f t="shared" si="140"/>
        <v>633000</v>
      </c>
      <c r="I1752" s="351">
        <f t="shared" si="141"/>
        <v>620000</v>
      </c>
      <c r="M1752" s="321">
        <v>1747200784</v>
      </c>
      <c r="N1752" s="321">
        <v>74</v>
      </c>
      <c r="O1752" s="321" t="s">
        <v>5677</v>
      </c>
      <c r="P1752" s="321">
        <v>6747200</v>
      </c>
      <c r="Q1752" s="322">
        <v>0</v>
      </c>
      <c r="R1752" s="322">
        <v>-203200</v>
      </c>
      <c r="S1752" s="322">
        <v>0</v>
      </c>
      <c r="T1752" s="322">
        <v>0</v>
      </c>
      <c r="U1752" s="322">
        <f t="shared" si="137"/>
        <v>0</v>
      </c>
      <c r="W1752" s="321">
        <f t="shared" si="138"/>
        <v>784</v>
      </c>
      <c r="X1752" s="321">
        <f t="shared" si="139"/>
        <v>747200</v>
      </c>
      <c r="Y1752" s="321">
        <v>1</v>
      </c>
      <c r="AA1752" s="321" t="s">
        <v>5677</v>
      </c>
    </row>
    <row r="1753" spans="1:27">
      <c r="A1753" s="376">
        <v>102</v>
      </c>
      <c r="B1753" s="377">
        <v>938400</v>
      </c>
      <c r="C1753" s="382" t="s">
        <v>7600</v>
      </c>
      <c r="D1753" s="379">
        <v>647</v>
      </c>
      <c r="E1753" s="380">
        <v>635</v>
      </c>
      <c r="F1753" s="380">
        <v>635</v>
      </c>
      <c r="H1753" s="351">
        <f t="shared" si="140"/>
        <v>647000</v>
      </c>
      <c r="I1753" s="351">
        <f t="shared" si="141"/>
        <v>635000</v>
      </c>
      <c r="M1753" s="321">
        <v>1747300110</v>
      </c>
      <c r="N1753" s="321">
        <v>74</v>
      </c>
      <c r="O1753" s="321" t="s">
        <v>5205</v>
      </c>
      <c r="P1753" s="321">
        <v>1747300</v>
      </c>
      <c r="Q1753" s="322">
        <v>464000</v>
      </c>
      <c r="R1753" s="322">
        <v>332500</v>
      </c>
      <c r="S1753" s="322">
        <v>498000</v>
      </c>
      <c r="T1753" s="322">
        <v>498000</v>
      </c>
      <c r="U1753" s="322">
        <f t="shared" si="137"/>
        <v>0</v>
      </c>
      <c r="W1753" s="321">
        <f t="shared" si="138"/>
        <v>110</v>
      </c>
      <c r="X1753" s="321">
        <f t="shared" si="139"/>
        <v>747300</v>
      </c>
      <c r="Y1753" s="321">
        <v>1</v>
      </c>
      <c r="AA1753" s="321" t="s">
        <v>5205</v>
      </c>
    </row>
    <row r="1754" spans="1:27">
      <c r="A1754" s="376">
        <v>103</v>
      </c>
      <c r="B1754" s="377">
        <v>938400</v>
      </c>
      <c r="C1754" s="382" t="s">
        <v>7601</v>
      </c>
      <c r="D1754" s="379">
        <v>1683</v>
      </c>
      <c r="E1754" s="380">
        <v>1565</v>
      </c>
      <c r="F1754" s="380">
        <v>1562</v>
      </c>
      <c r="H1754" s="351">
        <f t="shared" si="140"/>
        <v>1683000</v>
      </c>
      <c r="I1754" s="351">
        <f t="shared" si="141"/>
        <v>1562000</v>
      </c>
      <c r="M1754" s="321">
        <v>1747300120</v>
      </c>
      <c r="N1754" s="321">
        <v>74</v>
      </c>
      <c r="O1754" s="321" t="s">
        <v>5206</v>
      </c>
      <c r="P1754" s="321">
        <v>1747300</v>
      </c>
      <c r="Q1754" s="322">
        <v>95000</v>
      </c>
      <c r="R1754" s="322">
        <v>83000</v>
      </c>
      <c r="S1754" s="322">
        <v>95000</v>
      </c>
      <c r="T1754" s="322">
        <v>95000</v>
      </c>
      <c r="U1754" s="322">
        <f t="shared" si="137"/>
        <v>0</v>
      </c>
      <c r="W1754" s="321">
        <f t="shared" si="138"/>
        <v>120</v>
      </c>
      <c r="X1754" s="321">
        <f t="shared" si="139"/>
        <v>747300</v>
      </c>
      <c r="Y1754" s="321">
        <v>1</v>
      </c>
      <c r="AA1754" s="321" t="s">
        <v>5206</v>
      </c>
    </row>
    <row r="1755" spans="1:27">
      <c r="A1755" s="376">
        <v>104</v>
      </c>
      <c r="B1755" s="377">
        <v>938400</v>
      </c>
      <c r="C1755" s="382" t="s">
        <v>7602</v>
      </c>
      <c r="D1755" s="379">
        <f>105+225</f>
        <v>330</v>
      </c>
      <c r="E1755" s="380">
        <v>0</v>
      </c>
      <c r="F1755" s="380">
        <v>0</v>
      </c>
      <c r="H1755" s="351">
        <f t="shared" si="140"/>
        <v>330000</v>
      </c>
      <c r="I1755" s="351">
        <f t="shared" si="141"/>
        <v>0</v>
      </c>
      <c r="M1755" s="321">
        <v>1747300130</v>
      </c>
      <c r="N1755" s="321">
        <v>74</v>
      </c>
      <c r="O1755" s="321" t="s">
        <v>2576</v>
      </c>
      <c r="P1755" s="321">
        <v>1747300</v>
      </c>
      <c r="Q1755" s="322">
        <v>186000</v>
      </c>
      <c r="R1755" s="322">
        <v>129800</v>
      </c>
      <c r="S1755" s="322">
        <v>175000</v>
      </c>
      <c r="T1755" s="322">
        <v>157500</v>
      </c>
      <c r="U1755" s="322">
        <f t="shared" si="137"/>
        <v>17500</v>
      </c>
      <c r="W1755" s="321">
        <f t="shared" si="138"/>
        <v>130</v>
      </c>
      <c r="X1755" s="321">
        <f t="shared" si="139"/>
        <v>747300</v>
      </c>
      <c r="Y1755" s="321">
        <v>1</v>
      </c>
      <c r="AA1755" s="321" t="s">
        <v>2576</v>
      </c>
    </row>
    <row r="1756" spans="1:27">
      <c r="A1756" s="376">
        <v>127</v>
      </c>
      <c r="B1756" s="377">
        <v>938400</v>
      </c>
      <c r="C1756" s="382" t="s">
        <v>7603</v>
      </c>
      <c r="D1756" s="379">
        <v>50</v>
      </c>
      <c r="E1756" s="380">
        <v>30</v>
      </c>
      <c r="F1756" s="380">
        <v>30</v>
      </c>
      <c r="H1756" s="351">
        <f t="shared" si="140"/>
        <v>50000</v>
      </c>
      <c r="I1756" s="351">
        <f t="shared" si="141"/>
        <v>30000</v>
      </c>
      <c r="M1756" s="321">
        <v>1747300140</v>
      </c>
      <c r="N1756" s="321">
        <v>74</v>
      </c>
      <c r="O1756" s="321" t="s">
        <v>5207</v>
      </c>
      <c r="P1756" s="321">
        <v>1747300</v>
      </c>
      <c r="Q1756" s="322">
        <v>126000</v>
      </c>
      <c r="R1756" s="322">
        <v>71000</v>
      </c>
      <c r="S1756" s="322">
        <v>105000</v>
      </c>
      <c r="T1756" s="322">
        <v>105000</v>
      </c>
      <c r="U1756" s="322">
        <f t="shared" si="137"/>
        <v>0</v>
      </c>
      <c r="W1756" s="321">
        <f t="shared" si="138"/>
        <v>140</v>
      </c>
      <c r="X1756" s="321">
        <f t="shared" si="139"/>
        <v>747300</v>
      </c>
      <c r="Y1756" s="321">
        <v>1</v>
      </c>
      <c r="AA1756" s="321" t="s">
        <v>5207</v>
      </c>
    </row>
    <row r="1757" spans="1:27">
      <c r="A1757" s="376">
        <v>430</v>
      </c>
      <c r="B1757" s="377">
        <v>938400</v>
      </c>
      <c r="C1757" s="382" t="s">
        <v>6798</v>
      </c>
      <c r="D1757" s="379">
        <v>213</v>
      </c>
      <c r="E1757" s="380">
        <v>195</v>
      </c>
      <c r="F1757" s="380">
        <v>240</v>
      </c>
      <c r="H1757" s="351">
        <f t="shared" si="140"/>
        <v>213000</v>
      </c>
      <c r="I1757" s="351">
        <f t="shared" si="141"/>
        <v>240000</v>
      </c>
      <c r="M1757" s="321">
        <v>1747300141</v>
      </c>
      <c r="N1757" s="321">
        <v>74</v>
      </c>
      <c r="O1757" s="321" t="s">
        <v>5208</v>
      </c>
      <c r="P1757" s="321">
        <v>1747300</v>
      </c>
      <c r="Q1757" s="322">
        <v>87000</v>
      </c>
      <c r="R1757" s="322">
        <v>103900</v>
      </c>
      <c r="S1757" s="322">
        <v>132000</v>
      </c>
      <c r="T1757" s="322">
        <v>132000</v>
      </c>
      <c r="U1757" s="322">
        <f t="shared" si="137"/>
        <v>0</v>
      </c>
      <c r="W1757" s="321">
        <f t="shared" si="138"/>
        <v>141</v>
      </c>
      <c r="X1757" s="321">
        <f t="shared" si="139"/>
        <v>747300</v>
      </c>
      <c r="Y1757" s="321">
        <v>1</v>
      </c>
      <c r="AA1757" s="321" t="s">
        <v>5208</v>
      </c>
    </row>
    <row r="1758" spans="1:27">
      <c r="A1758" s="376">
        <v>470</v>
      </c>
      <c r="B1758" s="377">
        <v>938400</v>
      </c>
      <c r="C1758" s="382" t="s">
        <v>6769</v>
      </c>
      <c r="D1758" s="379">
        <v>72</v>
      </c>
      <c r="E1758" s="380">
        <v>90</v>
      </c>
      <c r="F1758" s="380">
        <v>90</v>
      </c>
      <c r="H1758" s="351">
        <f t="shared" si="140"/>
        <v>72000</v>
      </c>
      <c r="I1758" s="351">
        <f t="shared" si="141"/>
        <v>90000</v>
      </c>
      <c r="M1758" s="321">
        <v>1747300181</v>
      </c>
      <c r="N1758" s="321">
        <v>74</v>
      </c>
      <c r="O1758" s="321" t="s">
        <v>2580</v>
      </c>
      <c r="P1758" s="321">
        <v>1747300</v>
      </c>
      <c r="Q1758" s="322">
        <v>107000</v>
      </c>
      <c r="R1758" s="322">
        <v>78500</v>
      </c>
      <c r="S1758" s="322">
        <v>105000</v>
      </c>
      <c r="T1758" s="322">
        <v>105000</v>
      </c>
      <c r="U1758" s="322">
        <f t="shared" si="137"/>
        <v>0</v>
      </c>
      <c r="W1758" s="321">
        <f t="shared" si="138"/>
        <v>181</v>
      </c>
      <c r="X1758" s="321">
        <f t="shared" si="139"/>
        <v>747300</v>
      </c>
      <c r="Y1758" s="321">
        <v>1</v>
      </c>
      <c r="AA1758" s="321" t="s">
        <v>2580</v>
      </c>
    </row>
    <row r="1759" spans="1:27">
      <c r="A1759" s="376">
        <v>540</v>
      </c>
      <c r="B1759" s="377">
        <v>938400</v>
      </c>
      <c r="C1759" s="382" t="s">
        <v>6752</v>
      </c>
      <c r="D1759" s="379">
        <v>85</v>
      </c>
      <c r="E1759" s="380">
        <v>85</v>
      </c>
      <c r="F1759" s="380">
        <v>85</v>
      </c>
      <c r="H1759" s="351">
        <f t="shared" si="140"/>
        <v>85000</v>
      </c>
      <c r="I1759" s="351">
        <f t="shared" si="141"/>
        <v>85000</v>
      </c>
      <c r="M1759" s="321">
        <v>1747300182</v>
      </c>
      <c r="N1759" s="321">
        <v>74</v>
      </c>
      <c r="O1759" s="321" t="s">
        <v>2582</v>
      </c>
      <c r="P1759" s="321">
        <v>1747300</v>
      </c>
      <c r="Q1759" s="322">
        <v>129000</v>
      </c>
      <c r="R1759" s="322">
        <v>97400</v>
      </c>
      <c r="S1759" s="322">
        <v>141000</v>
      </c>
      <c r="T1759" s="322">
        <v>141000</v>
      </c>
      <c r="U1759" s="322">
        <f t="shared" si="137"/>
        <v>0</v>
      </c>
      <c r="W1759" s="321">
        <f t="shared" si="138"/>
        <v>182</v>
      </c>
      <c r="X1759" s="321">
        <f t="shared" si="139"/>
        <v>747300</v>
      </c>
      <c r="Y1759" s="321">
        <v>1</v>
      </c>
      <c r="AA1759" s="321" t="s">
        <v>2582</v>
      </c>
    </row>
    <row r="1760" spans="1:27">
      <c r="A1760" s="376">
        <v>550</v>
      </c>
      <c r="B1760" s="377">
        <v>938400</v>
      </c>
      <c r="C1760" s="382" t="s">
        <v>6737</v>
      </c>
      <c r="D1760" s="379">
        <v>30</v>
      </c>
      <c r="E1760" s="380">
        <v>20</v>
      </c>
      <c r="F1760" s="380">
        <v>20</v>
      </c>
      <c r="H1760" s="351">
        <f t="shared" si="140"/>
        <v>30000</v>
      </c>
      <c r="I1760" s="351">
        <f t="shared" si="141"/>
        <v>20000</v>
      </c>
      <c r="M1760" s="321">
        <v>1747300540</v>
      </c>
      <c r="N1760" s="321">
        <v>74</v>
      </c>
      <c r="O1760" s="321" t="s">
        <v>5678</v>
      </c>
      <c r="P1760" s="321">
        <v>1747300</v>
      </c>
      <c r="Q1760" s="322">
        <v>0</v>
      </c>
      <c r="R1760" s="322">
        <v>0</v>
      </c>
      <c r="S1760" s="322">
        <v>0</v>
      </c>
      <c r="T1760" s="322">
        <v>0</v>
      </c>
      <c r="U1760" s="322">
        <f t="shared" si="137"/>
        <v>0</v>
      </c>
      <c r="W1760" s="321">
        <f t="shared" si="138"/>
        <v>540</v>
      </c>
      <c r="X1760" s="321">
        <f t="shared" si="139"/>
        <v>747300</v>
      </c>
      <c r="Y1760" s="321">
        <v>1</v>
      </c>
      <c r="AA1760" s="321" t="s">
        <v>5678</v>
      </c>
    </row>
    <row r="1761" spans="1:27">
      <c r="A1761" s="376">
        <v>570</v>
      </c>
      <c r="B1761" s="377">
        <v>938400</v>
      </c>
      <c r="C1761" s="385" t="s">
        <v>7604</v>
      </c>
      <c r="D1761" s="379">
        <v>113</v>
      </c>
      <c r="E1761" s="380">
        <v>119</v>
      </c>
      <c r="F1761" s="380">
        <v>119</v>
      </c>
      <c r="H1761" s="351">
        <f t="shared" si="140"/>
        <v>113000</v>
      </c>
      <c r="I1761" s="351">
        <f t="shared" si="141"/>
        <v>119000</v>
      </c>
      <c r="M1761" s="321">
        <v>1747300771</v>
      </c>
      <c r="N1761" s="321">
        <v>74</v>
      </c>
      <c r="O1761" s="321" t="s">
        <v>5679</v>
      </c>
      <c r="P1761" s="321">
        <v>1747300</v>
      </c>
      <c r="Q1761" s="322">
        <v>200000</v>
      </c>
      <c r="R1761" s="322">
        <v>137800</v>
      </c>
      <c r="S1761" s="322">
        <v>200000</v>
      </c>
      <c r="T1761" s="322">
        <v>200000</v>
      </c>
      <c r="U1761" s="322">
        <f t="shared" si="137"/>
        <v>0</v>
      </c>
      <c r="W1761" s="321">
        <f t="shared" si="138"/>
        <v>771</v>
      </c>
      <c r="X1761" s="321">
        <f t="shared" si="139"/>
        <v>747300</v>
      </c>
      <c r="Y1761" s="321">
        <v>1</v>
      </c>
      <c r="AA1761" s="321" t="s">
        <v>5679</v>
      </c>
    </row>
    <row r="1762" spans="1:27">
      <c r="A1762" s="376">
        <v>730</v>
      </c>
      <c r="B1762" s="377">
        <v>938400</v>
      </c>
      <c r="C1762" s="381" t="s">
        <v>6866</v>
      </c>
      <c r="D1762" s="379">
        <v>354</v>
      </c>
      <c r="E1762" s="380">
        <v>360</v>
      </c>
      <c r="F1762" s="380">
        <v>395</v>
      </c>
      <c r="H1762" s="351">
        <f t="shared" si="140"/>
        <v>354000</v>
      </c>
      <c r="I1762" s="351">
        <f t="shared" si="141"/>
        <v>395000</v>
      </c>
      <c r="M1762" s="321">
        <v>1747300772</v>
      </c>
      <c r="N1762" s="321">
        <v>74</v>
      </c>
      <c r="O1762" s="321" t="s">
        <v>3189</v>
      </c>
      <c r="P1762" s="321">
        <v>1747300</v>
      </c>
      <c r="Q1762" s="322">
        <v>610000</v>
      </c>
      <c r="R1762" s="322">
        <v>508700</v>
      </c>
      <c r="S1762" s="322">
        <v>600000</v>
      </c>
      <c r="T1762" s="322">
        <v>600000</v>
      </c>
      <c r="U1762" s="322">
        <f t="shared" si="137"/>
        <v>0</v>
      </c>
      <c r="W1762" s="321">
        <f t="shared" si="138"/>
        <v>772</v>
      </c>
      <c r="X1762" s="321">
        <f t="shared" si="139"/>
        <v>747300</v>
      </c>
      <c r="Y1762" s="321">
        <v>1</v>
      </c>
      <c r="AA1762" s="321" t="s">
        <v>3189</v>
      </c>
    </row>
    <row r="1763" spans="1:27">
      <c r="A1763" s="376">
        <v>742</v>
      </c>
      <c r="B1763" s="377">
        <v>938400</v>
      </c>
      <c r="C1763" s="385" t="s">
        <v>6740</v>
      </c>
      <c r="D1763" s="379">
        <v>6</v>
      </c>
      <c r="E1763" s="380">
        <v>6</v>
      </c>
      <c r="F1763" s="380">
        <v>6</v>
      </c>
      <c r="H1763" s="351">
        <f t="shared" si="140"/>
        <v>6000</v>
      </c>
      <c r="I1763" s="351">
        <f t="shared" si="141"/>
        <v>6000</v>
      </c>
      <c r="M1763" s="321">
        <v>1749010110</v>
      </c>
      <c r="N1763" s="321">
        <v>74</v>
      </c>
      <c r="O1763" s="321" t="s">
        <v>5680</v>
      </c>
      <c r="P1763" s="321">
        <v>6749010</v>
      </c>
      <c r="Q1763" s="322">
        <v>730000</v>
      </c>
      <c r="R1763" s="322">
        <v>461100</v>
      </c>
      <c r="S1763" s="322">
        <v>753000</v>
      </c>
      <c r="T1763" s="322">
        <v>753000</v>
      </c>
      <c r="U1763" s="322">
        <f t="shared" si="137"/>
        <v>0</v>
      </c>
      <c r="W1763" s="321">
        <f t="shared" si="138"/>
        <v>110</v>
      </c>
      <c r="X1763" s="321">
        <f t="shared" si="139"/>
        <v>749010</v>
      </c>
      <c r="Y1763" s="321">
        <v>1</v>
      </c>
      <c r="AA1763" s="321" t="s">
        <v>5680</v>
      </c>
    </row>
    <row r="1764" spans="1:27">
      <c r="A1764" s="376">
        <v>750</v>
      </c>
      <c r="B1764" s="377">
        <v>938400</v>
      </c>
      <c r="C1764" s="382" t="s">
        <v>6819</v>
      </c>
      <c r="D1764" s="379">
        <v>580</v>
      </c>
      <c r="E1764" s="380">
        <v>600</v>
      </c>
      <c r="F1764" s="380">
        <v>600</v>
      </c>
      <c r="H1764" s="351">
        <f t="shared" si="140"/>
        <v>580000</v>
      </c>
      <c r="I1764" s="351">
        <f t="shared" si="141"/>
        <v>600000</v>
      </c>
      <c r="M1764" s="321">
        <v>1749010120</v>
      </c>
      <c r="N1764" s="321">
        <v>74</v>
      </c>
      <c r="O1764" s="321" t="s">
        <v>5681</v>
      </c>
      <c r="P1764" s="321">
        <v>6749010</v>
      </c>
      <c r="Q1764" s="322">
        <v>35000</v>
      </c>
      <c r="R1764" s="322">
        <v>55900</v>
      </c>
      <c r="S1764" s="322">
        <v>72000</v>
      </c>
      <c r="T1764" s="322">
        <v>72000</v>
      </c>
      <c r="U1764" s="322">
        <f t="shared" si="137"/>
        <v>0</v>
      </c>
      <c r="W1764" s="321">
        <f t="shared" si="138"/>
        <v>120</v>
      </c>
      <c r="X1764" s="321">
        <f t="shared" si="139"/>
        <v>749010</v>
      </c>
      <c r="Y1764" s="321">
        <v>1</v>
      </c>
      <c r="AA1764" s="321" t="s">
        <v>5681</v>
      </c>
    </row>
    <row r="1765" spans="1:27">
      <c r="A1765" s="376">
        <v>751</v>
      </c>
      <c r="B1765" s="377">
        <v>938400</v>
      </c>
      <c r="C1765" s="382" t="s">
        <v>7605</v>
      </c>
      <c r="D1765" s="379">
        <v>257</v>
      </c>
      <c r="E1765" s="380">
        <v>240</v>
      </c>
      <c r="F1765" s="380">
        <v>247</v>
      </c>
      <c r="H1765" s="351">
        <f t="shared" si="140"/>
        <v>257000</v>
      </c>
      <c r="I1765" s="351">
        <f t="shared" si="141"/>
        <v>247000</v>
      </c>
      <c r="M1765" s="321">
        <v>1749010130</v>
      </c>
      <c r="N1765" s="321">
        <v>74</v>
      </c>
      <c r="O1765" s="321" t="s">
        <v>2576</v>
      </c>
      <c r="P1765" s="321">
        <v>6749010</v>
      </c>
      <c r="Q1765" s="322">
        <v>261000</v>
      </c>
      <c r="R1765" s="322">
        <v>145400</v>
      </c>
      <c r="S1765" s="322">
        <v>252000</v>
      </c>
      <c r="T1765" s="322">
        <v>226800</v>
      </c>
      <c r="U1765" s="322">
        <f t="shared" si="137"/>
        <v>25200</v>
      </c>
      <c r="W1765" s="321">
        <f t="shared" si="138"/>
        <v>130</v>
      </c>
      <c r="X1765" s="321">
        <f t="shared" si="139"/>
        <v>749010</v>
      </c>
      <c r="Y1765" s="321">
        <v>1</v>
      </c>
      <c r="AA1765" s="321" t="s">
        <v>2576</v>
      </c>
    </row>
    <row r="1766" spans="1:27">
      <c r="A1766" s="376">
        <v>780</v>
      </c>
      <c r="B1766" s="377">
        <v>938400</v>
      </c>
      <c r="C1766" s="382" t="s">
        <v>7606</v>
      </c>
      <c r="D1766" s="379">
        <v>145</v>
      </c>
      <c r="E1766" s="380">
        <v>150</v>
      </c>
      <c r="F1766" s="380">
        <v>150</v>
      </c>
      <c r="H1766" s="351">
        <f t="shared" si="140"/>
        <v>145000</v>
      </c>
      <c r="I1766" s="351">
        <f t="shared" si="141"/>
        <v>150000</v>
      </c>
      <c r="M1766" s="321">
        <v>1749010140</v>
      </c>
      <c r="N1766" s="321">
        <v>74</v>
      </c>
      <c r="O1766" s="321" t="s">
        <v>5207</v>
      </c>
      <c r="P1766" s="321">
        <v>6749010</v>
      </c>
      <c r="Q1766" s="322">
        <v>56000</v>
      </c>
      <c r="R1766" s="322">
        <v>54600</v>
      </c>
      <c r="S1766" s="322">
        <v>43000</v>
      </c>
      <c r="T1766" s="322">
        <v>43000</v>
      </c>
      <c r="U1766" s="322">
        <f t="shared" si="137"/>
        <v>0</v>
      </c>
      <c r="W1766" s="321">
        <f t="shared" si="138"/>
        <v>140</v>
      </c>
      <c r="X1766" s="321">
        <f t="shared" si="139"/>
        <v>749010</v>
      </c>
      <c r="Y1766" s="321">
        <v>1</v>
      </c>
      <c r="AA1766" s="321" t="s">
        <v>5207</v>
      </c>
    </row>
    <row r="1767" spans="1:27">
      <c r="A1767" s="376">
        <v>781</v>
      </c>
      <c r="B1767" s="377">
        <v>938400</v>
      </c>
      <c r="C1767" s="382" t="s">
        <v>7607</v>
      </c>
      <c r="D1767" s="379">
        <v>55</v>
      </c>
      <c r="E1767" s="380">
        <v>81</v>
      </c>
      <c r="F1767" s="380">
        <v>81</v>
      </c>
      <c r="H1767" s="351">
        <f t="shared" si="140"/>
        <v>55000</v>
      </c>
      <c r="I1767" s="351">
        <f t="shared" si="141"/>
        <v>81000</v>
      </c>
      <c r="M1767" s="321">
        <v>1749010141</v>
      </c>
      <c r="N1767" s="321">
        <v>74</v>
      </c>
      <c r="O1767" s="321" t="s">
        <v>5208</v>
      </c>
      <c r="P1767" s="321">
        <v>6749010</v>
      </c>
      <c r="Q1767" s="322">
        <v>30000</v>
      </c>
      <c r="R1767" s="322">
        <v>20800</v>
      </c>
      <c r="S1767" s="322">
        <v>32000</v>
      </c>
      <c r="T1767" s="322">
        <v>32000</v>
      </c>
      <c r="U1767" s="322">
        <f t="shared" si="137"/>
        <v>0</v>
      </c>
      <c r="W1767" s="321">
        <f t="shared" si="138"/>
        <v>141</v>
      </c>
      <c r="X1767" s="321">
        <f t="shared" si="139"/>
        <v>749010</v>
      </c>
      <c r="Y1767" s="321">
        <v>1</v>
      </c>
      <c r="AA1767" s="321" t="s">
        <v>5208</v>
      </c>
    </row>
    <row r="1768" spans="1:27">
      <c r="A1768" s="376">
        <v>782</v>
      </c>
      <c r="B1768" s="377">
        <v>938400</v>
      </c>
      <c r="C1768" s="382" t="s">
        <v>7608</v>
      </c>
      <c r="D1768" s="379">
        <v>9</v>
      </c>
      <c r="E1768" s="380">
        <v>10</v>
      </c>
      <c r="F1768" s="380">
        <v>10</v>
      </c>
      <c r="H1768" s="351">
        <f t="shared" si="140"/>
        <v>9000</v>
      </c>
      <c r="I1768" s="351">
        <f t="shared" si="141"/>
        <v>10000</v>
      </c>
      <c r="M1768" s="321">
        <v>1749010181</v>
      </c>
      <c r="N1768" s="321">
        <v>74</v>
      </c>
      <c r="O1768" s="321" t="s">
        <v>5682</v>
      </c>
      <c r="P1768" s="321">
        <v>6749010</v>
      </c>
      <c r="Q1768" s="322">
        <v>183000</v>
      </c>
      <c r="R1768" s="322">
        <v>120600</v>
      </c>
      <c r="S1768" s="322">
        <v>199000</v>
      </c>
      <c r="T1768" s="322">
        <v>199000</v>
      </c>
      <c r="U1768" s="322">
        <f t="shared" si="137"/>
        <v>0</v>
      </c>
      <c r="W1768" s="321">
        <f t="shared" si="138"/>
        <v>181</v>
      </c>
      <c r="X1768" s="321">
        <f t="shared" si="139"/>
        <v>749010</v>
      </c>
      <c r="Y1768" s="321">
        <v>1</v>
      </c>
      <c r="AA1768" s="321" t="s">
        <v>5682</v>
      </c>
    </row>
    <row r="1769" spans="1:27">
      <c r="A1769" s="376">
        <v>783</v>
      </c>
      <c r="B1769" s="377">
        <v>938400</v>
      </c>
      <c r="C1769" s="382" t="s">
        <v>7609</v>
      </c>
      <c r="D1769" s="379">
        <v>31</v>
      </c>
      <c r="E1769" s="380">
        <v>0</v>
      </c>
      <c r="F1769" s="380">
        <v>0</v>
      </c>
      <c r="H1769" s="351">
        <f t="shared" si="140"/>
        <v>31000</v>
      </c>
      <c r="I1769" s="351">
        <f t="shared" si="141"/>
        <v>0</v>
      </c>
      <c r="M1769" s="321">
        <v>1749010182</v>
      </c>
      <c r="N1769" s="321">
        <v>74</v>
      </c>
      <c r="O1769" s="321" t="s">
        <v>2582</v>
      </c>
      <c r="P1769" s="321">
        <v>6749010</v>
      </c>
      <c r="Q1769" s="322">
        <v>145000</v>
      </c>
      <c r="R1769" s="322">
        <v>101400</v>
      </c>
      <c r="S1769" s="322">
        <v>162000</v>
      </c>
      <c r="T1769" s="322">
        <v>162000</v>
      </c>
      <c r="U1769" s="322">
        <f t="shared" si="137"/>
        <v>0</v>
      </c>
      <c r="W1769" s="321">
        <f t="shared" si="138"/>
        <v>182</v>
      </c>
      <c r="X1769" s="321">
        <f t="shared" si="139"/>
        <v>749010</v>
      </c>
      <c r="Y1769" s="321">
        <v>1</v>
      </c>
      <c r="AA1769" s="321" t="s">
        <v>2582</v>
      </c>
    </row>
    <row r="1770" spans="1:27">
      <c r="A1770" s="376">
        <v>100</v>
      </c>
      <c r="B1770" s="377">
        <v>943000</v>
      </c>
      <c r="C1770" s="391" t="s">
        <v>7027</v>
      </c>
      <c r="D1770" s="379">
        <v>846</v>
      </c>
      <c r="E1770" s="380">
        <v>730</v>
      </c>
      <c r="F1770" s="380">
        <v>730</v>
      </c>
      <c r="H1770" s="351">
        <f t="shared" si="140"/>
        <v>846000</v>
      </c>
      <c r="I1770" s="351">
        <f t="shared" si="141"/>
        <v>730000</v>
      </c>
      <c r="M1770" s="321">
        <v>1749010210</v>
      </c>
      <c r="N1770" s="321">
        <v>74</v>
      </c>
      <c r="O1770" s="321" t="s">
        <v>2572</v>
      </c>
      <c r="P1770" s="321">
        <v>6749010</v>
      </c>
      <c r="Q1770" s="322">
        <v>100000</v>
      </c>
      <c r="R1770" s="322">
        <v>0</v>
      </c>
      <c r="S1770" s="322">
        <v>0</v>
      </c>
      <c r="T1770" s="322">
        <v>0</v>
      </c>
      <c r="U1770" s="322">
        <f t="shared" si="137"/>
        <v>0</v>
      </c>
      <c r="W1770" s="321">
        <f t="shared" si="138"/>
        <v>210</v>
      </c>
      <c r="X1770" s="321">
        <f t="shared" si="139"/>
        <v>749010</v>
      </c>
      <c r="Y1770" s="321">
        <v>1</v>
      </c>
      <c r="AA1770" s="321" t="s">
        <v>2572</v>
      </c>
    </row>
    <row r="1771" spans="1:27">
      <c r="A1771" s="376">
        <v>550</v>
      </c>
      <c r="B1771" s="377">
        <v>943000</v>
      </c>
      <c r="C1771" s="382" t="s">
        <v>6737</v>
      </c>
      <c r="D1771" s="379">
        <v>80</v>
      </c>
      <c r="E1771" s="380">
        <v>80</v>
      </c>
      <c r="F1771" s="380">
        <v>80</v>
      </c>
      <c r="H1771" s="351">
        <f t="shared" si="140"/>
        <v>80000</v>
      </c>
      <c r="I1771" s="351">
        <f t="shared" si="141"/>
        <v>80000</v>
      </c>
      <c r="M1771" s="321">
        <v>1749010470</v>
      </c>
      <c r="N1771" s="321">
        <v>74</v>
      </c>
      <c r="O1771" s="321" t="s">
        <v>5683</v>
      </c>
      <c r="P1771" s="321">
        <v>6749010</v>
      </c>
      <c r="Q1771" s="322">
        <v>3000</v>
      </c>
      <c r="R1771" s="322">
        <v>3000</v>
      </c>
      <c r="S1771" s="322">
        <v>3000</v>
      </c>
      <c r="T1771" s="322">
        <v>3000</v>
      </c>
      <c r="U1771" s="322">
        <f t="shared" si="137"/>
        <v>0</v>
      </c>
      <c r="W1771" s="321">
        <f t="shared" si="138"/>
        <v>470</v>
      </c>
      <c r="X1771" s="321">
        <f t="shared" si="139"/>
        <v>749010</v>
      </c>
      <c r="Y1771" s="321">
        <v>1</v>
      </c>
      <c r="AA1771" s="321" t="s">
        <v>5683</v>
      </c>
    </row>
    <row r="1772" spans="1:27">
      <c r="A1772" s="376">
        <v>570</v>
      </c>
      <c r="B1772" s="377">
        <v>943000</v>
      </c>
      <c r="C1772" s="382" t="s">
        <v>7610</v>
      </c>
      <c r="D1772" s="379">
        <v>364</v>
      </c>
      <c r="E1772" s="380">
        <v>361</v>
      </c>
      <c r="F1772" s="380">
        <v>361</v>
      </c>
      <c r="H1772" s="351">
        <f t="shared" si="140"/>
        <v>364000</v>
      </c>
      <c r="I1772" s="351">
        <f t="shared" si="141"/>
        <v>361000</v>
      </c>
      <c r="M1772" s="321">
        <v>1749010510</v>
      </c>
      <c r="N1772" s="321">
        <v>74</v>
      </c>
      <c r="O1772" s="321" t="s">
        <v>2805</v>
      </c>
      <c r="P1772" s="321">
        <v>6749010</v>
      </c>
      <c r="Q1772" s="322">
        <v>1000</v>
      </c>
      <c r="R1772" s="322">
        <v>700</v>
      </c>
      <c r="S1772" s="322">
        <v>1000</v>
      </c>
      <c r="T1772" s="322">
        <v>1000</v>
      </c>
      <c r="U1772" s="322">
        <f t="shared" si="137"/>
        <v>0</v>
      </c>
      <c r="W1772" s="321">
        <f t="shared" si="138"/>
        <v>510</v>
      </c>
      <c r="X1772" s="321">
        <f t="shared" si="139"/>
        <v>749010</v>
      </c>
      <c r="Y1772" s="321">
        <v>1</v>
      </c>
      <c r="AA1772" s="321" t="s">
        <v>2805</v>
      </c>
    </row>
    <row r="1773" spans="1:27">
      <c r="A1773" s="376">
        <v>581</v>
      </c>
      <c r="B1773" s="377">
        <v>943000</v>
      </c>
      <c r="C1773" s="382" t="s">
        <v>7611</v>
      </c>
      <c r="D1773" s="379">
        <v>50</v>
      </c>
      <c r="E1773" s="380">
        <v>-50</v>
      </c>
      <c r="F1773" s="380">
        <v>100</v>
      </c>
      <c r="H1773" s="351">
        <f t="shared" si="140"/>
        <v>50000</v>
      </c>
      <c r="I1773" s="351">
        <f t="shared" si="141"/>
        <v>100000</v>
      </c>
      <c r="M1773" s="321">
        <v>1749010511</v>
      </c>
      <c r="N1773" s="321">
        <v>74</v>
      </c>
      <c r="O1773" s="321" t="s">
        <v>5684</v>
      </c>
      <c r="P1773" s="321">
        <v>6749010</v>
      </c>
      <c r="Q1773" s="322">
        <v>20000</v>
      </c>
      <c r="R1773" s="322">
        <v>12800</v>
      </c>
      <c r="S1773" s="322">
        <v>20000</v>
      </c>
      <c r="T1773" s="322">
        <v>20000</v>
      </c>
      <c r="U1773" s="322">
        <f t="shared" si="137"/>
        <v>0</v>
      </c>
      <c r="W1773" s="321">
        <f t="shared" si="138"/>
        <v>511</v>
      </c>
      <c r="X1773" s="321">
        <f t="shared" si="139"/>
        <v>749010</v>
      </c>
      <c r="Y1773" s="321">
        <v>1</v>
      </c>
      <c r="AA1773" s="321" t="s">
        <v>5684</v>
      </c>
    </row>
    <row r="1774" spans="1:27">
      <c r="A1774" s="376">
        <v>610</v>
      </c>
      <c r="B1774" s="377">
        <v>943000</v>
      </c>
      <c r="C1774" s="382" t="s">
        <v>7612</v>
      </c>
      <c r="D1774" s="379">
        <v>120</v>
      </c>
      <c r="E1774" s="380">
        <v>100</v>
      </c>
      <c r="F1774" s="380">
        <v>150</v>
      </c>
      <c r="H1774" s="351">
        <f t="shared" si="140"/>
        <v>120000</v>
      </c>
      <c r="I1774" s="351">
        <f t="shared" si="141"/>
        <v>150000</v>
      </c>
      <c r="M1774" s="321">
        <v>1749010530</v>
      </c>
      <c r="N1774" s="321">
        <v>74</v>
      </c>
      <c r="O1774" s="321" t="s">
        <v>5685</v>
      </c>
      <c r="P1774" s="321">
        <v>6749010</v>
      </c>
      <c r="Q1774" s="322">
        <v>35000</v>
      </c>
      <c r="R1774" s="322">
        <v>22900</v>
      </c>
      <c r="S1774" s="322">
        <v>35000</v>
      </c>
      <c r="T1774" s="322">
        <v>35000</v>
      </c>
      <c r="U1774" s="322">
        <f t="shared" si="137"/>
        <v>0</v>
      </c>
      <c r="W1774" s="321">
        <f t="shared" si="138"/>
        <v>530</v>
      </c>
      <c r="X1774" s="321">
        <f t="shared" si="139"/>
        <v>749010</v>
      </c>
      <c r="Y1774" s="321">
        <v>1</v>
      </c>
      <c r="AA1774" s="321" t="s">
        <v>5685</v>
      </c>
    </row>
    <row r="1775" spans="1:27">
      <c r="A1775" s="376">
        <v>751</v>
      </c>
      <c r="B1775" s="377">
        <v>943000</v>
      </c>
      <c r="C1775" s="382" t="s">
        <v>7613</v>
      </c>
      <c r="D1775" s="379">
        <v>735</v>
      </c>
      <c r="E1775" s="380">
        <v>700</v>
      </c>
      <c r="F1775" s="380">
        <v>735</v>
      </c>
      <c r="H1775" s="351">
        <f t="shared" si="140"/>
        <v>735000</v>
      </c>
      <c r="I1775" s="351">
        <f t="shared" si="141"/>
        <v>735000</v>
      </c>
      <c r="M1775" s="321">
        <v>1749010540</v>
      </c>
      <c r="N1775" s="321">
        <v>74</v>
      </c>
      <c r="O1775" s="321" t="s">
        <v>5216</v>
      </c>
      <c r="P1775" s="321">
        <v>6749010</v>
      </c>
      <c r="Q1775" s="322">
        <v>4000</v>
      </c>
      <c r="R1775" s="322">
        <v>0</v>
      </c>
      <c r="S1775" s="322">
        <v>4000</v>
      </c>
      <c r="T1775" s="322">
        <v>4000</v>
      </c>
      <c r="U1775" s="322">
        <f t="shared" si="137"/>
        <v>0</v>
      </c>
      <c r="W1775" s="321">
        <f t="shared" si="138"/>
        <v>540</v>
      </c>
      <c r="X1775" s="321">
        <f t="shared" si="139"/>
        <v>749010</v>
      </c>
      <c r="Y1775" s="321">
        <v>1</v>
      </c>
      <c r="AA1775" s="321" t="s">
        <v>5216</v>
      </c>
    </row>
    <row r="1776" spans="1:27">
      <c r="A1776" s="376">
        <v>752</v>
      </c>
      <c r="B1776" s="377">
        <v>943000</v>
      </c>
      <c r="C1776" s="382" t="s">
        <v>7614</v>
      </c>
      <c r="D1776" s="379">
        <v>270</v>
      </c>
      <c r="E1776" s="380">
        <v>310</v>
      </c>
      <c r="F1776" s="380">
        <v>310</v>
      </c>
      <c r="H1776" s="351">
        <f t="shared" si="140"/>
        <v>270000</v>
      </c>
      <c r="I1776" s="351">
        <f t="shared" si="141"/>
        <v>310000</v>
      </c>
      <c r="M1776" s="321">
        <v>1749010542</v>
      </c>
      <c r="N1776" s="321">
        <v>74</v>
      </c>
      <c r="O1776" s="321" t="s">
        <v>5409</v>
      </c>
      <c r="P1776" s="321">
        <v>6749010</v>
      </c>
      <c r="Q1776" s="322">
        <v>10000</v>
      </c>
      <c r="R1776" s="322">
        <v>0</v>
      </c>
      <c r="S1776" s="322">
        <v>4000</v>
      </c>
      <c r="T1776" s="322">
        <v>4000</v>
      </c>
      <c r="U1776" s="322">
        <f t="shared" si="137"/>
        <v>0</v>
      </c>
      <c r="W1776" s="321">
        <f t="shared" si="138"/>
        <v>542</v>
      </c>
      <c r="X1776" s="321">
        <f t="shared" si="139"/>
        <v>749010</v>
      </c>
      <c r="Y1776" s="321">
        <v>1</v>
      </c>
      <c r="AA1776" s="321" t="s">
        <v>5409</v>
      </c>
    </row>
    <row r="1777" spans="1:27">
      <c r="A1777" s="376">
        <v>760</v>
      </c>
      <c r="B1777" s="377">
        <v>943000</v>
      </c>
      <c r="C1777" s="382" t="s">
        <v>7615</v>
      </c>
      <c r="D1777" s="379">
        <v>650</v>
      </c>
      <c r="E1777" s="380">
        <v>650</v>
      </c>
      <c r="F1777" s="380">
        <v>675</v>
      </c>
      <c r="H1777" s="351">
        <f t="shared" si="140"/>
        <v>650000</v>
      </c>
      <c r="I1777" s="351">
        <f t="shared" si="141"/>
        <v>675000</v>
      </c>
      <c r="M1777" s="321">
        <v>1749010730</v>
      </c>
      <c r="N1777" s="321">
        <v>74</v>
      </c>
      <c r="O1777" s="321" t="s">
        <v>5686</v>
      </c>
      <c r="P1777" s="321">
        <v>6749010</v>
      </c>
      <c r="Q1777" s="322">
        <v>35000</v>
      </c>
      <c r="R1777" s="322">
        <v>1300</v>
      </c>
      <c r="S1777" s="322">
        <v>35000</v>
      </c>
      <c r="T1777" s="322">
        <v>35000</v>
      </c>
      <c r="U1777" s="322">
        <f t="shared" si="137"/>
        <v>0</v>
      </c>
      <c r="W1777" s="321">
        <f t="shared" si="138"/>
        <v>730</v>
      </c>
      <c r="X1777" s="321">
        <f t="shared" si="139"/>
        <v>749010</v>
      </c>
      <c r="Y1777" s="321">
        <v>1</v>
      </c>
      <c r="AA1777" s="321" t="s">
        <v>5686</v>
      </c>
    </row>
    <row r="1778" spans="1:27">
      <c r="A1778" s="376">
        <v>761</v>
      </c>
      <c r="B1778" s="377">
        <v>943000</v>
      </c>
      <c r="C1778" s="391" t="s">
        <v>7616</v>
      </c>
      <c r="D1778" s="379">
        <v>715</v>
      </c>
      <c r="E1778" s="380">
        <v>700</v>
      </c>
      <c r="F1778" s="380">
        <v>700</v>
      </c>
      <c r="H1778" s="351">
        <f t="shared" si="140"/>
        <v>715000</v>
      </c>
      <c r="I1778" s="351">
        <f t="shared" si="141"/>
        <v>700000</v>
      </c>
      <c r="M1778" s="321">
        <v>1749010731</v>
      </c>
      <c r="N1778" s="321">
        <v>74</v>
      </c>
      <c r="O1778" s="321" t="s">
        <v>5687</v>
      </c>
      <c r="P1778" s="321">
        <v>6749010</v>
      </c>
      <c r="Q1778" s="322">
        <v>10000</v>
      </c>
      <c r="R1778" s="322">
        <v>1500</v>
      </c>
      <c r="S1778" s="322">
        <v>10000</v>
      </c>
      <c r="T1778" s="322">
        <v>10000</v>
      </c>
      <c r="U1778" s="322">
        <f t="shared" si="137"/>
        <v>0</v>
      </c>
      <c r="W1778" s="321">
        <f t="shared" si="138"/>
        <v>731</v>
      </c>
      <c r="X1778" s="321">
        <f t="shared" si="139"/>
        <v>749010</v>
      </c>
      <c r="Y1778" s="321">
        <v>1</v>
      </c>
      <c r="AA1778" s="321" t="s">
        <v>5687</v>
      </c>
    </row>
    <row r="1779" spans="1:27">
      <c r="A1779" s="376">
        <v>780</v>
      </c>
      <c r="B1779" s="377">
        <v>943000</v>
      </c>
      <c r="C1779" s="382" t="s">
        <v>7617</v>
      </c>
      <c r="D1779" s="379">
        <v>120</v>
      </c>
      <c r="E1779" s="380">
        <v>110</v>
      </c>
      <c r="F1779" s="380">
        <v>110</v>
      </c>
      <c r="H1779" s="351">
        <f t="shared" si="140"/>
        <v>120000</v>
      </c>
      <c r="I1779" s="351">
        <f t="shared" si="141"/>
        <v>110000</v>
      </c>
      <c r="M1779" s="321">
        <v>1749010732</v>
      </c>
      <c r="N1779" s="321">
        <v>74</v>
      </c>
      <c r="O1779" s="321" t="s">
        <v>5688</v>
      </c>
      <c r="P1779" s="321">
        <v>6749010</v>
      </c>
      <c r="Q1779" s="322">
        <v>3000</v>
      </c>
      <c r="R1779" s="322">
        <v>0</v>
      </c>
      <c r="S1779" s="322">
        <v>3000</v>
      </c>
      <c r="T1779" s="322">
        <v>3000</v>
      </c>
      <c r="U1779" s="322">
        <f t="shared" si="137"/>
        <v>0</v>
      </c>
      <c r="W1779" s="321">
        <f t="shared" si="138"/>
        <v>732</v>
      </c>
      <c r="X1779" s="321">
        <f t="shared" si="139"/>
        <v>749010</v>
      </c>
      <c r="Y1779" s="321">
        <v>1</v>
      </c>
      <c r="AA1779" s="321" t="s">
        <v>5688</v>
      </c>
    </row>
    <row r="1780" spans="1:27">
      <c r="A1780" s="376">
        <v>691</v>
      </c>
      <c r="B1780" s="377">
        <v>971000</v>
      </c>
      <c r="C1780" s="382" t="s">
        <v>6827</v>
      </c>
      <c r="D1780" s="389">
        <v>6100</v>
      </c>
      <c r="E1780" s="390">
        <v>6100</v>
      </c>
      <c r="F1780" s="390">
        <v>6100</v>
      </c>
      <c r="H1780" s="351">
        <f t="shared" si="140"/>
        <v>6100000</v>
      </c>
      <c r="I1780" s="351">
        <f t="shared" si="141"/>
        <v>6100000</v>
      </c>
      <c r="M1780" s="321">
        <v>1749010733</v>
      </c>
      <c r="N1780" s="321">
        <v>74</v>
      </c>
      <c r="O1780" s="321" t="s">
        <v>5689</v>
      </c>
      <c r="P1780" s="321">
        <v>6749010</v>
      </c>
      <c r="Q1780" s="322">
        <v>0</v>
      </c>
      <c r="R1780" s="322">
        <v>0</v>
      </c>
      <c r="S1780" s="322">
        <v>0</v>
      </c>
      <c r="T1780" s="322">
        <v>0</v>
      </c>
      <c r="U1780" s="322">
        <f t="shared" si="137"/>
        <v>0</v>
      </c>
      <c r="W1780" s="321">
        <f t="shared" si="138"/>
        <v>733</v>
      </c>
      <c r="X1780" s="321">
        <f t="shared" si="139"/>
        <v>749010</v>
      </c>
      <c r="Y1780" s="321">
        <v>1</v>
      </c>
      <c r="AA1780" s="321" t="s">
        <v>5689</v>
      </c>
    </row>
    <row r="1781" spans="1:27">
      <c r="A1781" s="376">
        <v>692</v>
      </c>
      <c r="B1781" s="377">
        <v>971000</v>
      </c>
      <c r="C1781" s="382" t="s">
        <v>6828</v>
      </c>
      <c r="D1781" s="389">
        <v>1550</v>
      </c>
      <c r="E1781" s="390">
        <v>1550</v>
      </c>
      <c r="F1781" s="390">
        <v>1550</v>
      </c>
      <c r="H1781" s="351">
        <f t="shared" si="140"/>
        <v>1550000</v>
      </c>
      <c r="I1781" s="351">
        <f t="shared" si="141"/>
        <v>1550000</v>
      </c>
      <c r="M1781" s="321">
        <v>1749010743</v>
      </c>
      <c r="N1781" s="321">
        <v>74</v>
      </c>
      <c r="O1781" s="321" t="s">
        <v>5690</v>
      </c>
      <c r="P1781" s="321">
        <v>6749010</v>
      </c>
      <c r="Q1781" s="322">
        <v>27000</v>
      </c>
      <c r="R1781" s="322">
        <v>20900</v>
      </c>
      <c r="S1781" s="322">
        <v>50000</v>
      </c>
      <c r="T1781" s="322">
        <v>50000</v>
      </c>
      <c r="U1781" s="322">
        <f t="shared" si="137"/>
        <v>0</v>
      </c>
      <c r="W1781" s="321">
        <f t="shared" si="138"/>
        <v>743</v>
      </c>
      <c r="X1781" s="321">
        <f t="shared" si="139"/>
        <v>749010</v>
      </c>
      <c r="Y1781" s="321">
        <v>1</v>
      </c>
      <c r="AA1781" s="321" t="s">
        <v>5690</v>
      </c>
    </row>
    <row r="1782" spans="1:27">
      <c r="A1782" s="376">
        <v>693</v>
      </c>
      <c r="B1782" s="377">
        <v>971000</v>
      </c>
      <c r="C1782" s="382" t="s">
        <v>6829</v>
      </c>
      <c r="D1782" s="389">
        <v>2100</v>
      </c>
      <c r="E1782" s="390">
        <v>1900</v>
      </c>
      <c r="F1782" s="390">
        <v>2100</v>
      </c>
      <c r="H1782" s="351">
        <f t="shared" si="140"/>
        <v>2100000</v>
      </c>
      <c r="I1782" s="351">
        <f t="shared" si="141"/>
        <v>2100000</v>
      </c>
      <c r="M1782" s="321">
        <v>1749010750</v>
      </c>
      <c r="N1782" s="321">
        <v>74</v>
      </c>
      <c r="O1782" s="321" t="s">
        <v>5691</v>
      </c>
      <c r="P1782" s="321">
        <v>6749010</v>
      </c>
      <c r="Q1782" s="322">
        <v>1061000</v>
      </c>
      <c r="R1782" s="322">
        <v>573500</v>
      </c>
      <c r="S1782" s="322">
        <v>1186000</v>
      </c>
      <c r="T1782" s="322">
        <v>1186000</v>
      </c>
      <c r="U1782" s="322">
        <f t="shared" si="137"/>
        <v>0</v>
      </c>
      <c r="W1782" s="321">
        <f t="shared" si="138"/>
        <v>750</v>
      </c>
      <c r="X1782" s="321">
        <f t="shared" si="139"/>
        <v>749010</v>
      </c>
      <c r="Y1782" s="321">
        <v>1</v>
      </c>
      <c r="AA1782" s="321" t="s">
        <v>5691</v>
      </c>
    </row>
    <row r="1783" spans="1:27">
      <c r="A1783" s="376">
        <v>100</v>
      </c>
      <c r="B1783" s="377">
        <v>972000</v>
      </c>
      <c r="C1783" s="382" t="s">
        <v>7564</v>
      </c>
      <c r="D1783" s="379">
        <v>189</v>
      </c>
      <c r="E1783" s="380">
        <v>180</v>
      </c>
      <c r="F1783" s="380">
        <v>190</v>
      </c>
      <c r="H1783" s="351">
        <f t="shared" si="140"/>
        <v>189000</v>
      </c>
      <c r="I1783" s="351">
        <f t="shared" si="141"/>
        <v>190000</v>
      </c>
      <c r="M1783" s="321">
        <v>1749010751</v>
      </c>
      <c r="N1783" s="321">
        <v>74</v>
      </c>
      <c r="O1783" s="321" t="s">
        <v>5692</v>
      </c>
      <c r="P1783" s="321">
        <v>6749010</v>
      </c>
      <c r="Q1783" s="322">
        <v>432000</v>
      </c>
      <c r="R1783" s="322">
        <v>350500</v>
      </c>
      <c r="S1783" s="322">
        <v>542000</v>
      </c>
      <c r="T1783" s="322">
        <v>542000</v>
      </c>
      <c r="U1783" s="322">
        <f t="shared" si="137"/>
        <v>0</v>
      </c>
      <c r="W1783" s="321">
        <f t="shared" si="138"/>
        <v>751</v>
      </c>
      <c r="X1783" s="321">
        <f t="shared" si="139"/>
        <v>749010</v>
      </c>
      <c r="Y1783" s="321">
        <v>1</v>
      </c>
      <c r="AA1783" s="321" t="s">
        <v>5692</v>
      </c>
    </row>
    <row r="1784" spans="1:27">
      <c r="A1784" s="376">
        <v>100</v>
      </c>
      <c r="B1784" s="377">
        <v>973000</v>
      </c>
      <c r="C1784" s="382" t="s">
        <v>7564</v>
      </c>
      <c r="D1784" s="379">
        <v>1642</v>
      </c>
      <c r="E1784" s="380">
        <v>1600</v>
      </c>
      <c r="F1784" s="380">
        <v>1664</v>
      </c>
      <c r="H1784" s="351">
        <f t="shared" si="140"/>
        <v>1642000</v>
      </c>
      <c r="I1784" s="351">
        <f t="shared" si="141"/>
        <v>1664000</v>
      </c>
      <c r="M1784" s="321">
        <v>1749010752</v>
      </c>
      <c r="N1784" s="321">
        <v>74</v>
      </c>
      <c r="O1784" s="321" t="s">
        <v>5693</v>
      </c>
      <c r="P1784" s="321">
        <v>6749010</v>
      </c>
      <c r="Q1784" s="322">
        <v>600000</v>
      </c>
      <c r="R1784" s="322">
        <v>231200</v>
      </c>
      <c r="S1784" s="322">
        <v>600000</v>
      </c>
      <c r="T1784" s="322">
        <v>600000</v>
      </c>
      <c r="U1784" s="322">
        <f t="shared" si="137"/>
        <v>0</v>
      </c>
      <c r="W1784" s="321">
        <f t="shared" si="138"/>
        <v>752</v>
      </c>
      <c r="X1784" s="321">
        <f t="shared" si="139"/>
        <v>749010</v>
      </c>
      <c r="Y1784" s="321">
        <v>1</v>
      </c>
      <c r="AA1784" s="321" t="s">
        <v>5693</v>
      </c>
    </row>
    <row r="1785" spans="1:27">
      <c r="A1785" s="376">
        <v>127</v>
      </c>
      <c r="B1785" s="377">
        <v>973000</v>
      </c>
      <c r="C1785" s="382" t="s">
        <v>7618</v>
      </c>
      <c r="D1785" s="379">
        <v>6</v>
      </c>
      <c r="E1785" s="380">
        <v>6</v>
      </c>
      <c r="F1785" s="380">
        <v>6</v>
      </c>
      <c r="H1785" s="351">
        <f t="shared" si="140"/>
        <v>6000</v>
      </c>
      <c r="I1785" s="351">
        <f t="shared" si="141"/>
        <v>6000</v>
      </c>
      <c r="M1785" s="321">
        <v>1749010754</v>
      </c>
      <c r="N1785" s="321">
        <v>74</v>
      </c>
      <c r="O1785" s="321" t="s">
        <v>5694</v>
      </c>
      <c r="P1785" s="321">
        <v>6749010</v>
      </c>
      <c r="Q1785" s="322">
        <v>371000</v>
      </c>
      <c r="R1785" s="322">
        <v>260700</v>
      </c>
      <c r="S1785" s="322">
        <v>382000</v>
      </c>
      <c r="T1785" s="322">
        <v>382000</v>
      </c>
      <c r="U1785" s="322">
        <f t="shared" si="137"/>
        <v>0</v>
      </c>
      <c r="W1785" s="321">
        <f t="shared" si="138"/>
        <v>754</v>
      </c>
      <c r="X1785" s="321">
        <f t="shared" si="139"/>
        <v>749010</v>
      </c>
      <c r="Y1785" s="321">
        <v>1</v>
      </c>
      <c r="AA1785" s="321" t="s">
        <v>5694</v>
      </c>
    </row>
    <row r="1786" spans="1:27">
      <c r="A1786" s="398">
        <v>980</v>
      </c>
      <c r="B1786" s="377">
        <v>991300</v>
      </c>
      <c r="C1786" s="385" t="s">
        <v>7619</v>
      </c>
      <c r="D1786" s="379">
        <v>0</v>
      </c>
      <c r="E1786" s="380">
        <v>0</v>
      </c>
      <c r="F1786" s="380">
        <v>0</v>
      </c>
      <c r="H1786" s="351">
        <f t="shared" si="140"/>
        <v>0</v>
      </c>
      <c r="I1786" s="351">
        <f t="shared" si="141"/>
        <v>0</v>
      </c>
      <c r="M1786" s="321">
        <v>1749010756</v>
      </c>
      <c r="N1786" s="321">
        <v>74</v>
      </c>
      <c r="O1786" s="321" t="s">
        <v>5695</v>
      </c>
      <c r="P1786" s="321">
        <v>6749010</v>
      </c>
      <c r="Q1786" s="322">
        <v>0</v>
      </c>
      <c r="R1786" s="322">
        <v>0</v>
      </c>
      <c r="S1786" s="322">
        <v>0</v>
      </c>
      <c r="T1786" s="322">
        <v>0</v>
      </c>
      <c r="U1786" s="322">
        <f t="shared" si="137"/>
        <v>0</v>
      </c>
      <c r="W1786" s="321">
        <f t="shared" si="138"/>
        <v>756</v>
      </c>
      <c r="X1786" s="321">
        <f t="shared" si="139"/>
        <v>749010</v>
      </c>
      <c r="Y1786" s="321">
        <v>1</v>
      </c>
      <c r="AA1786" s="321" t="s">
        <v>5695</v>
      </c>
    </row>
    <row r="1787" spans="1:27">
      <c r="A1787" s="398">
        <v>981</v>
      </c>
      <c r="B1787" s="377">
        <v>991300</v>
      </c>
      <c r="C1787" s="388" t="s">
        <v>7620</v>
      </c>
      <c r="D1787" s="379">
        <v>200</v>
      </c>
      <c r="E1787" s="380">
        <v>200</v>
      </c>
      <c r="F1787" s="380">
        <v>200</v>
      </c>
      <c r="H1787" s="351">
        <f t="shared" si="140"/>
        <v>200000</v>
      </c>
      <c r="I1787" s="351">
        <f t="shared" si="141"/>
        <v>200000</v>
      </c>
      <c r="M1787" s="321">
        <v>1749010760</v>
      </c>
      <c r="N1787" s="321">
        <v>74</v>
      </c>
      <c r="O1787" s="321" t="s">
        <v>5696</v>
      </c>
      <c r="P1787" s="321">
        <v>6749010</v>
      </c>
      <c r="Q1787" s="322">
        <v>35000</v>
      </c>
      <c r="R1787" s="322">
        <v>16300</v>
      </c>
      <c r="S1787" s="322">
        <v>25000</v>
      </c>
      <c r="T1787" s="322">
        <v>25000</v>
      </c>
      <c r="U1787" s="322">
        <f t="shared" si="137"/>
        <v>0</v>
      </c>
      <c r="W1787" s="321">
        <f t="shared" si="138"/>
        <v>760</v>
      </c>
      <c r="X1787" s="321">
        <f t="shared" si="139"/>
        <v>749010</v>
      </c>
      <c r="Y1787" s="321">
        <v>1</v>
      </c>
      <c r="AA1787" s="321" t="s">
        <v>5696</v>
      </c>
    </row>
    <row r="1788" spans="1:27">
      <c r="A1788" s="398">
        <v>980</v>
      </c>
      <c r="B1788" s="377">
        <v>993000</v>
      </c>
      <c r="C1788" s="385" t="s">
        <v>7621</v>
      </c>
      <c r="D1788" s="379">
        <v>2045</v>
      </c>
      <c r="E1788" s="380">
        <v>2000</v>
      </c>
      <c r="F1788" s="380">
        <v>2500</v>
      </c>
      <c r="H1788" s="351">
        <f t="shared" si="140"/>
        <v>2045000</v>
      </c>
      <c r="I1788" s="351">
        <f t="shared" si="141"/>
        <v>2500000</v>
      </c>
      <c r="M1788" s="321">
        <v>1749010771</v>
      </c>
      <c r="N1788" s="321">
        <v>74</v>
      </c>
      <c r="O1788" s="321" t="s">
        <v>5697</v>
      </c>
      <c r="P1788" s="321">
        <v>6749010</v>
      </c>
      <c r="Q1788" s="322">
        <v>450000</v>
      </c>
      <c r="R1788" s="322">
        <v>282600</v>
      </c>
      <c r="S1788" s="322">
        <v>450000</v>
      </c>
      <c r="T1788" s="322">
        <v>450000</v>
      </c>
      <c r="U1788" s="322">
        <f t="shared" si="137"/>
        <v>0</v>
      </c>
      <c r="W1788" s="321">
        <f t="shared" si="138"/>
        <v>771</v>
      </c>
      <c r="X1788" s="321">
        <f t="shared" si="139"/>
        <v>749010</v>
      </c>
      <c r="Y1788" s="321">
        <v>1</v>
      </c>
      <c r="AA1788" s="321" t="s">
        <v>5697</v>
      </c>
    </row>
    <row r="1789" spans="1:27">
      <c r="A1789" s="376">
        <v>100</v>
      </c>
      <c r="B1789" s="377">
        <v>994000</v>
      </c>
      <c r="C1789" s="387" t="s">
        <v>7622</v>
      </c>
      <c r="D1789" s="379">
        <v>0</v>
      </c>
      <c r="E1789" s="380">
        <v>0</v>
      </c>
      <c r="F1789" s="380">
        <v>0</v>
      </c>
      <c r="H1789" s="351">
        <f t="shared" si="140"/>
        <v>0</v>
      </c>
      <c r="I1789" s="351">
        <f t="shared" si="141"/>
        <v>0</v>
      </c>
      <c r="M1789" s="321">
        <v>1749010772</v>
      </c>
      <c r="N1789" s="321">
        <v>74</v>
      </c>
      <c r="O1789" s="321" t="s">
        <v>5469</v>
      </c>
      <c r="P1789" s="321">
        <v>6749010</v>
      </c>
      <c r="Q1789" s="322">
        <v>1510000</v>
      </c>
      <c r="R1789" s="322">
        <v>441900</v>
      </c>
      <c r="S1789" s="322">
        <v>1500000</v>
      </c>
      <c r="T1789" s="322">
        <v>1500000</v>
      </c>
      <c r="U1789" s="322">
        <f t="shared" si="137"/>
        <v>0</v>
      </c>
      <c r="W1789" s="321">
        <f t="shared" si="138"/>
        <v>772</v>
      </c>
      <c r="X1789" s="321">
        <f t="shared" si="139"/>
        <v>749010</v>
      </c>
      <c r="Y1789" s="321">
        <v>1</v>
      </c>
      <c r="AA1789" s="321" t="s">
        <v>5469</v>
      </c>
    </row>
    <row r="1790" spans="1:27">
      <c r="A1790" s="376">
        <v>101</v>
      </c>
      <c r="B1790" s="377">
        <v>994000</v>
      </c>
      <c r="C1790" s="382" t="s">
        <v>7623</v>
      </c>
      <c r="D1790" s="379">
        <v>1200</v>
      </c>
      <c r="E1790" s="380">
        <v>0</v>
      </c>
      <c r="F1790" s="380">
        <v>0</v>
      </c>
      <c r="H1790" s="351">
        <f t="shared" si="140"/>
        <v>1200000</v>
      </c>
      <c r="I1790" s="351">
        <f t="shared" si="141"/>
        <v>0</v>
      </c>
      <c r="M1790" s="321">
        <v>1749010779</v>
      </c>
      <c r="N1790" s="321">
        <v>74</v>
      </c>
      <c r="O1790" s="321" t="s">
        <v>5382</v>
      </c>
      <c r="P1790" s="321">
        <v>6749010</v>
      </c>
      <c r="Q1790" s="322">
        <v>3000</v>
      </c>
      <c r="R1790" s="322">
        <v>1300</v>
      </c>
      <c r="S1790" s="322">
        <v>3000</v>
      </c>
      <c r="T1790" s="322">
        <v>3000</v>
      </c>
      <c r="U1790" s="322">
        <f t="shared" si="137"/>
        <v>0</v>
      </c>
      <c r="W1790" s="321">
        <f t="shared" si="138"/>
        <v>779</v>
      </c>
      <c r="X1790" s="321">
        <f t="shared" si="139"/>
        <v>749010</v>
      </c>
      <c r="Y1790" s="321">
        <v>1</v>
      </c>
      <c r="AA1790" s="321" t="s">
        <v>5382</v>
      </c>
    </row>
    <row r="1791" spans="1:27">
      <c r="A1791" s="376">
        <v>182</v>
      </c>
      <c r="B1791" s="377">
        <v>994000</v>
      </c>
      <c r="C1791" s="387" t="s">
        <v>7624</v>
      </c>
      <c r="D1791" s="379">
        <v>498</v>
      </c>
      <c r="E1791" s="380">
        <v>450</v>
      </c>
      <c r="F1791" s="380">
        <v>500</v>
      </c>
      <c r="H1791" s="351">
        <f t="shared" si="140"/>
        <v>498000</v>
      </c>
      <c r="I1791" s="351">
        <f t="shared" si="141"/>
        <v>500000</v>
      </c>
      <c r="M1791" s="321">
        <v>1749010930</v>
      </c>
      <c r="N1791" s="321">
        <v>74</v>
      </c>
      <c r="O1791" s="321" t="s">
        <v>5390</v>
      </c>
      <c r="P1791" s="321">
        <v>6749010</v>
      </c>
      <c r="Q1791" s="322">
        <v>120000</v>
      </c>
      <c r="R1791" s="322">
        <v>180500</v>
      </c>
      <c r="S1791" s="322">
        <v>273000</v>
      </c>
      <c r="T1791" s="322">
        <v>200000</v>
      </c>
      <c r="U1791" s="322">
        <f t="shared" si="137"/>
        <v>73000</v>
      </c>
      <c r="W1791" s="321">
        <f t="shared" si="138"/>
        <v>930</v>
      </c>
      <c r="X1791" s="321">
        <f t="shared" si="139"/>
        <v>749010</v>
      </c>
      <c r="Y1791" s="321">
        <v>1</v>
      </c>
      <c r="AA1791" s="321" t="s">
        <v>5390</v>
      </c>
    </row>
    <row r="1792" spans="1:27">
      <c r="A1792" s="376">
        <v>960</v>
      </c>
      <c r="B1792" s="377">
        <v>994000</v>
      </c>
      <c r="C1792" s="387" t="s">
        <v>7625</v>
      </c>
      <c r="D1792" s="379">
        <v>3000</v>
      </c>
      <c r="E1792" s="380">
        <v>3000</v>
      </c>
      <c r="F1792" s="380">
        <v>3000</v>
      </c>
      <c r="H1792" s="351">
        <f t="shared" si="140"/>
        <v>3000000</v>
      </c>
      <c r="I1792" s="351">
        <f t="shared" si="141"/>
        <v>3000000</v>
      </c>
      <c r="M1792" s="321">
        <v>1749101756</v>
      </c>
      <c r="N1792" s="321">
        <v>74</v>
      </c>
      <c r="O1792" s="321" t="s">
        <v>5698</v>
      </c>
      <c r="P1792" s="321">
        <v>6749010</v>
      </c>
      <c r="Q1792" s="322">
        <v>0</v>
      </c>
      <c r="R1792" s="322">
        <v>0</v>
      </c>
      <c r="S1792" s="322">
        <v>0</v>
      </c>
      <c r="T1792" s="322">
        <v>0</v>
      </c>
      <c r="U1792" s="322">
        <f t="shared" si="137"/>
        <v>0</v>
      </c>
      <c r="W1792" s="321">
        <f t="shared" si="138"/>
        <v>756</v>
      </c>
      <c r="X1792" s="321">
        <f t="shared" si="139"/>
        <v>749101</v>
      </c>
      <c r="Y1792" s="321">
        <v>1</v>
      </c>
      <c r="AA1792" s="321" t="s">
        <v>5698</v>
      </c>
    </row>
    <row r="1793" spans="1:27">
      <c r="A1793" s="376">
        <v>961</v>
      </c>
      <c r="B1793" s="377">
        <v>994000</v>
      </c>
      <c r="C1793" s="382" t="s">
        <v>7626</v>
      </c>
      <c r="D1793" s="379">
        <v>2350</v>
      </c>
      <c r="E1793" s="380">
        <v>1858</v>
      </c>
      <c r="F1793" s="380">
        <v>1858</v>
      </c>
      <c r="H1793" s="351">
        <f t="shared" si="140"/>
        <v>2350000</v>
      </c>
      <c r="I1793" s="351">
        <f t="shared" si="141"/>
        <v>1858000</v>
      </c>
      <c r="M1793" s="321">
        <v>1751000780</v>
      </c>
      <c r="N1793" s="321">
        <v>75</v>
      </c>
      <c r="O1793" s="321" t="s">
        <v>5699</v>
      </c>
      <c r="P1793" s="321">
        <v>1750000</v>
      </c>
      <c r="Q1793" s="322">
        <v>1000000</v>
      </c>
      <c r="R1793" s="322">
        <v>981400</v>
      </c>
      <c r="S1793" s="322">
        <v>1150000</v>
      </c>
      <c r="T1793" s="322">
        <v>1000000</v>
      </c>
      <c r="U1793" s="322">
        <f t="shared" si="137"/>
        <v>150000</v>
      </c>
      <c r="W1793" s="321">
        <f t="shared" si="138"/>
        <v>780</v>
      </c>
      <c r="X1793" s="321">
        <f t="shared" si="139"/>
        <v>751000</v>
      </c>
      <c r="Y1793" s="321">
        <v>1</v>
      </c>
      <c r="AA1793" s="321" t="s">
        <v>5699</v>
      </c>
    </row>
    <row r="1794" spans="1:27">
      <c r="A1794" s="376">
        <v>962</v>
      </c>
      <c r="B1794" s="377">
        <v>994000</v>
      </c>
      <c r="C1794" s="391" t="s">
        <v>7627</v>
      </c>
      <c r="D1794" s="379">
        <v>8510</v>
      </c>
      <c r="E1794" s="380">
        <f>F1794</f>
        <v>2912</v>
      </c>
      <c r="F1794" s="380">
        <f>4424-50-500-260-675-27</f>
        <v>2912</v>
      </c>
      <c r="H1794" s="351">
        <f t="shared" si="140"/>
        <v>8510000</v>
      </c>
      <c r="I1794" s="351">
        <f t="shared" si="141"/>
        <v>2912000</v>
      </c>
      <c r="M1794" s="321">
        <v>1752000110</v>
      </c>
      <c r="N1794" s="321">
        <v>75</v>
      </c>
      <c r="O1794" s="321" t="s">
        <v>5205</v>
      </c>
      <c r="P1794" s="321">
        <v>1750000</v>
      </c>
      <c r="Q1794" s="322">
        <v>0</v>
      </c>
      <c r="R1794" s="322">
        <v>0</v>
      </c>
      <c r="S1794" s="322">
        <v>0</v>
      </c>
      <c r="T1794" s="322">
        <v>0</v>
      </c>
      <c r="U1794" s="322">
        <f t="shared" ref="U1794:U1857" si="142">S1794-T1794</f>
        <v>0</v>
      </c>
      <c r="W1794" s="321">
        <f t="shared" si="138"/>
        <v>110</v>
      </c>
      <c r="X1794" s="321">
        <f t="shared" si="139"/>
        <v>752000</v>
      </c>
      <c r="Y1794" s="321">
        <v>1</v>
      </c>
      <c r="AA1794" s="321" t="s">
        <v>5205</v>
      </c>
    </row>
    <row r="1795" spans="1:27">
      <c r="A1795" s="376">
        <v>970</v>
      </c>
      <c r="B1795" s="377">
        <v>994000</v>
      </c>
      <c r="C1795" s="382" t="s">
        <v>7628</v>
      </c>
      <c r="D1795" s="379">
        <v>2200</v>
      </c>
      <c r="E1795" s="380">
        <v>2200</v>
      </c>
      <c r="F1795" s="380">
        <v>2219</v>
      </c>
      <c r="H1795" s="351">
        <f t="shared" si="140"/>
        <v>2200000</v>
      </c>
      <c r="I1795" s="351">
        <f t="shared" si="141"/>
        <v>2219000</v>
      </c>
      <c r="M1795" s="321">
        <v>1752000120</v>
      </c>
      <c r="N1795" s="321">
        <v>75</v>
      </c>
      <c r="O1795" s="321" t="s">
        <v>5206</v>
      </c>
      <c r="P1795" s="321">
        <v>1750000</v>
      </c>
      <c r="Q1795" s="322">
        <v>0</v>
      </c>
      <c r="R1795" s="322">
        <v>0</v>
      </c>
      <c r="S1795" s="322">
        <v>0</v>
      </c>
      <c r="T1795" s="322">
        <v>0</v>
      </c>
      <c r="U1795" s="322">
        <f t="shared" si="142"/>
        <v>0</v>
      </c>
      <c r="W1795" s="321">
        <f t="shared" ref="W1795:W1858" si="143">M1795-1000000000-X1795*1000</f>
        <v>120</v>
      </c>
      <c r="X1795" s="321">
        <f t="shared" ref="X1795:X1858" si="144">ROUNDDOWN((M1795-1000000000)/1000,0)</f>
        <v>752000</v>
      </c>
      <c r="Y1795" s="321">
        <v>1</v>
      </c>
      <c r="AA1795" s="321" t="s">
        <v>5206</v>
      </c>
    </row>
    <row r="1796" spans="1:27">
      <c r="A1796" s="376">
        <v>980</v>
      </c>
      <c r="B1796" s="377">
        <v>994000</v>
      </c>
      <c r="C1796" s="391" t="s">
        <v>7629</v>
      </c>
      <c r="D1796" s="379">
        <v>0</v>
      </c>
      <c r="E1796" s="380">
        <v>0</v>
      </c>
      <c r="F1796" s="380">
        <v>0</v>
      </c>
      <c r="H1796" s="351">
        <f t="shared" si="140"/>
        <v>0</v>
      </c>
      <c r="I1796" s="351">
        <f t="shared" si="141"/>
        <v>0</v>
      </c>
      <c r="M1796" s="321">
        <v>1752000140</v>
      </c>
      <c r="N1796" s="321">
        <v>75</v>
      </c>
      <c r="O1796" s="321" t="s">
        <v>5207</v>
      </c>
      <c r="P1796" s="321">
        <v>1750000</v>
      </c>
      <c r="Q1796" s="322">
        <v>0</v>
      </c>
      <c r="R1796" s="322">
        <v>0</v>
      </c>
      <c r="S1796" s="322">
        <v>0</v>
      </c>
      <c r="T1796" s="322">
        <v>0</v>
      </c>
      <c r="U1796" s="322">
        <f t="shared" si="142"/>
        <v>0</v>
      </c>
      <c r="W1796" s="321">
        <f t="shared" si="143"/>
        <v>140</v>
      </c>
      <c r="X1796" s="321">
        <f t="shared" si="144"/>
        <v>752000</v>
      </c>
      <c r="Y1796" s="321">
        <v>1</v>
      </c>
      <c r="AA1796" s="321" t="s">
        <v>5207</v>
      </c>
    </row>
    <row r="1797" spans="1:27">
      <c r="A1797" s="376">
        <v>981</v>
      </c>
      <c r="B1797" s="377">
        <v>994000</v>
      </c>
      <c r="C1797" s="382" t="s">
        <v>7630</v>
      </c>
      <c r="D1797" s="379">
        <v>100</v>
      </c>
      <c r="E1797" s="380">
        <v>100</v>
      </c>
      <c r="F1797" s="380">
        <v>100</v>
      </c>
      <c r="H1797" s="351">
        <f t="shared" si="140"/>
        <v>100000</v>
      </c>
      <c r="I1797" s="351">
        <f t="shared" si="141"/>
        <v>100000</v>
      </c>
      <c r="M1797" s="321">
        <v>1752000141</v>
      </c>
      <c r="N1797" s="321">
        <v>75</v>
      </c>
      <c r="O1797" s="321" t="s">
        <v>5208</v>
      </c>
      <c r="P1797" s="321">
        <v>1750000</v>
      </c>
      <c r="Q1797" s="322">
        <v>0</v>
      </c>
      <c r="R1797" s="322">
        <v>0</v>
      </c>
      <c r="S1797" s="322">
        <v>0</v>
      </c>
      <c r="T1797" s="322">
        <v>0</v>
      </c>
      <c r="U1797" s="322">
        <f t="shared" si="142"/>
        <v>0</v>
      </c>
      <c r="W1797" s="321">
        <f t="shared" si="143"/>
        <v>141</v>
      </c>
      <c r="X1797" s="321">
        <f t="shared" si="144"/>
        <v>752000</v>
      </c>
      <c r="Y1797" s="321">
        <v>1</v>
      </c>
      <c r="AA1797" s="321" t="s">
        <v>5208</v>
      </c>
    </row>
    <row r="1798" spans="1:27">
      <c r="A1798" s="376">
        <v>982</v>
      </c>
      <c r="B1798" s="377">
        <v>994000</v>
      </c>
      <c r="C1798" s="382" t="s">
        <v>7631</v>
      </c>
      <c r="D1798" s="379">
        <v>30</v>
      </c>
      <c r="E1798" s="380">
        <v>30</v>
      </c>
      <c r="F1798" s="380">
        <v>30</v>
      </c>
      <c r="H1798" s="351">
        <f t="shared" si="140"/>
        <v>30000</v>
      </c>
      <c r="I1798" s="351">
        <f t="shared" si="141"/>
        <v>30000</v>
      </c>
      <c r="M1798" s="321">
        <v>1752000181</v>
      </c>
      <c r="N1798" s="321">
        <v>75</v>
      </c>
      <c r="O1798" s="321" t="s">
        <v>2580</v>
      </c>
      <c r="P1798" s="321">
        <v>1750000</v>
      </c>
      <c r="Q1798" s="322">
        <v>0</v>
      </c>
      <c r="R1798" s="322">
        <v>0</v>
      </c>
      <c r="S1798" s="322">
        <v>0</v>
      </c>
      <c r="T1798" s="322">
        <v>0</v>
      </c>
      <c r="U1798" s="322">
        <f t="shared" si="142"/>
        <v>0</v>
      </c>
      <c r="W1798" s="321">
        <f t="shared" si="143"/>
        <v>181</v>
      </c>
      <c r="X1798" s="321">
        <f t="shared" si="144"/>
        <v>752000</v>
      </c>
      <c r="Y1798" s="321">
        <v>1</v>
      </c>
      <c r="AA1798" s="321" t="s">
        <v>2580</v>
      </c>
    </row>
    <row r="1799" spans="1:27">
      <c r="A1799" s="376">
        <v>861</v>
      </c>
      <c r="B1799" s="377">
        <v>995000</v>
      </c>
      <c r="C1799" s="387" t="s">
        <v>7632</v>
      </c>
      <c r="D1799" s="379">
        <v>46580</v>
      </c>
      <c r="E1799" s="380">
        <v>46000</v>
      </c>
      <c r="F1799" s="380">
        <v>49500</v>
      </c>
      <c r="H1799" s="351">
        <f t="shared" si="140"/>
        <v>46580000</v>
      </c>
      <c r="I1799" s="351">
        <f t="shared" si="141"/>
        <v>49500000</v>
      </c>
      <c r="M1799" s="321">
        <v>1752000182</v>
      </c>
      <c r="N1799" s="321">
        <v>75</v>
      </c>
      <c r="O1799" s="321" t="s">
        <v>2582</v>
      </c>
      <c r="P1799" s="321">
        <v>1750000</v>
      </c>
      <c r="Q1799" s="322">
        <v>0</v>
      </c>
      <c r="R1799" s="322">
        <v>0</v>
      </c>
      <c r="S1799" s="322">
        <v>0</v>
      </c>
      <c r="T1799" s="322">
        <v>0</v>
      </c>
      <c r="U1799" s="322">
        <f t="shared" si="142"/>
        <v>0</v>
      </c>
      <c r="W1799" s="321">
        <f t="shared" si="143"/>
        <v>182</v>
      </c>
      <c r="X1799" s="321">
        <f t="shared" si="144"/>
        <v>752000</v>
      </c>
      <c r="Y1799" s="321">
        <v>1</v>
      </c>
      <c r="AA1799" s="321" t="s">
        <v>2582</v>
      </c>
    </row>
    <row r="1800" spans="1:27">
      <c r="A1800" s="376">
        <v>846</v>
      </c>
      <c r="B1800" s="377">
        <v>996000</v>
      </c>
      <c r="C1800" s="382" t="s">
        <v>7633</v>
      </c>
      <c r="D1800" s="379">
        <v>0</v>
      </c>
      <c r="E1800" s="380">
        <v>400</v>
      </c>
      <c r="F1800" s="380">
        <v>400</v>
      </c>
      <c r="H1800" s="351">
        <f t="shared" si="140"/>
        <v>0</v>
      </c>
      <c r="I1800" s="351">
        <f t="shared" si="141"/>
        <v>400000</v>
      </c>
      <c r="M1800" s="321">
        <v>1752000760</v>
      </c>
      <c r="N1800" s="321">
        <v>75</v>
      </c>
      <c r="O1800" s="321" t="s">
        <v>5700</v>
      </c>
      <c r="P1800" s="321">
        <v>1750000</v>
      </c>
      <c r="Q1800" s="322">
        <v>0</v>
      </c>
      <c r="R1800" s="322">
        <v>0</v>
      </c>
      <c r="S1800" s="322">
        <v>350000</v>
      </c>
      <c r="T1800" s="322">
        <v>350000</v>
      </c>
      <c r="U1800" s="322">
        <f t="shared" si="142"/>
        <v>0</v>
      </c>
      <c r="W1800" s="321">
        <f t="shared" si="143"/>
        <v>760</v>
      </c>
      <c r="X1800" s="321">
        <f t="shared" si="144"/>
        <v>752000</v>
      </c>
      <c r="Y1800" s="321">
        <v>1</v>
      </c>
      <c r="AA1800" s="321" t="s">
        <v>5700</v>
      </c>
    </row>
    <row r="1801" spans="1:27">
      <c r="A1801" s="376">
        <v>310</v>
      </c>
      <c r="B1801" s="377">
        <v>997200</v>
      </c>
      <c r="C1801" s="382" t="s">
        <v>7024</v>
      </c>
      <c r="D1801" s="379">
        <v>28457</v>
      </c>
      <c r="E1801" s="380">
        <v>26500</v>
      </c>
      <c r="F1801" s="380">
        <f>27190+60</f>
        <v>27250</v>
      </c>
      <c r="H1801" s="351">
        <f t="shared" si="140"/>
        <v>28457000</v>
      </c>
      <c r="I1801" s="351">
        <f t="shared" si="141"/>
        <v>27250000</v>
      </c>
      <c r="M1801" s="321">
        <v>1752000761</v>
      </c>
      <c r="N1801" s="321">
        <v>75</v>
      </c>
      <c r="O1801" s="321" t="s">
        <v>5701</v>
      </c>
      <c r="P1801" s="321">
        <v>1750000</v>
      </c>
      <c r="Q1801" s="322">
        <v>0</v>
      </c>
      <c r="R1801" s="322">
        <v>0</v>
      </c>
      <c r="S1801" s="322">
        <v>2000000</v>
      </c>
      <c r="T1801" s="322">
        <v>1000000</v>
      </c>
      <c r="U1801" s="322">
        <f t="shared" si="142"/>
        <v>1000000</v>
      </c>
      <c r="W1801" s="321">
        <f t="shared" si="143"/>
        <v>761</v>
      </c>
      <c r="X1801" s="321">
        <f t="shared" si="144"/>
        <v>752000</v>
      </c>
      <c r="Y1801" s="321">
        <v>1</v>
      </c>
      <c r="AA1801" s="321" t="s">
        <v>5701</v>
      </c>
    </row>
    <row r="1802" spans="1:27">
      <c r="A1802" s="376">
        <v>320</v>
      </c>
      <c r="B1802" s="377">
        <v>997200</v>
      </c>
      <c r="C1802" s="382" t="s">
        <v>7025</v>
      </c>
      <c r="D1802" s="379">
        <v>2033</v>
      </c>
      <c r="E1802" s="380">
        <v>2000</v>
      </c>
      <c r="F1802" s="380">
        <v>2900</v>
      </c>
      <c r="H1802" s="351">
        <f t="shared" si="140"/>
        <v>2033000</v>
      </c>
      <c r="I1802" s="351">
        <f t="shared" si="141"/>
        <v>2900000</v>
      </c>
      <c r="M1802" s="321">
        <v>1752000780</v>
      </c>
      <c r="N1802" s="321">
        <v>75</v>
      </c>
      <c r="O1802" s="321" t="s">
        <v>5702</v>
      </c>
      <c r="P1802" s="321">
        <v>1750000</v>
      </c>
      <c r="Q1802" s="322">
        <v>163200</v>
      </c>
      <c r="R1802" s="322">
        <v>163200</v>
      </c>
      <c r="S1802" s="322">
        <v>254000</v>
      </c>
      <c r="T1802" s="322">
        <v>200000</v>
      </c>
      <c r="U1802" s="322">
        <f t="shared" si="142"/>
        <v>54000</v>
      </c>
      <c r="W1802" s="321">
        <f t="shared" si="143"/>
        <v>780</v>
      </c>
      <c r="X1802" s="321">
        <f t="shared" si="144"/>
        <v>752000</v>
      </c>
      <c r="Y1802" s="321">
        <v>1</v>
      </c>
      <c r="AA1802" s="321" t="s">
        <v>5702</v>
      </c>
    </row>
    <row r="1803" spans="1:27">
      <c r="A1803" s="376">
        <v>910</v>
      </c>
      <c r="B1803" s="377">
        <v>998000</v>
      </c>
      <c r="C1803" s="382" t="s">
        <v>7634</v>
      </c>
      <c r="D1803" s="379">
        <v>0</v>
      </c>
      <c r="E1803" s="380">
        <v>0</v>
      </c>
      <c r="F1803" s="380">
        <v>0</v>
      </c>
      <c r="H1803" s="351">
        <f t="shared" si="140"/>
        <v>0</v>
      </c>
      <c r="I1803" s="351">
        <f t="shared" si="141"/>
        <v>0</v>
      </c>
      <c r="M1803" s="321">
        <v>1752000781</v>
      </c>
      <c r="N1803" s="321">
        <v>75</v>
      </c>
      <c r="O1803" s="321" t="s">
        <v>5703</v>
      </c>
      <c r="P1803" s="321">
        <v>1750000</v>
      </c>
      <c r="Q1803" s="322">
        <v>272000</v>
      </c>
      <c r="R1803" s="322">
        <v>0</v>
      </c>
      <c r="S1803" s="322">
        <v>340000</v>
      </c>
      <c r="T1803" s="322">
        <v>300000</v>
      </c>
      <c r="U1803" s="322">
        <f t="shared" si="142"/>
        <v>40000</v>
      </c>
      <c r="W1803" s="321">
        <f t="shared" si="143"/>
        <v>781</v>
      </c>
      <c r="X1803" s="321">
        <f t="shared" si="144"/>
        <v>752000</v>
      </c>
      <c r="Y1803" s="321">
        <v>1</v>
      </c>
      <c r="AA1803" s="321" t="s">
        <v>5703</v>
      </c>
    </row>
    <row r="1804" spans="1:27">
      <c r="M1804" s="321">
        <v>1752000782</v>
      </c>
      <c r="N1804" s="321">
        <v>75</v>
      </c>
      <c r="O1804" s="321" t="s">
        <v>5704</v>
      </c>
      <c r="P1804" s="321">
        <v>1750000</v>
      </c>
      <c r="Q1804" s="322">
        <v>4684000</v>
      </c>
      <c r="R1804" s="322">
        <v>4300100</v>
      </c>
      <c r="S1804" s="322">
        <v>6340000</v>
      </c>
      <c r="T1804" s="322">
        <v>5500000</v>
      </c>
      <c r="U1804" s="322">
        <f t="shared" si="142"/>
        <v>840000</v>
      </c>
      <c r="W1804" s="321">
        <f t="shared" si="143"/>
        <v>782</v>
      </c>
      <c r="X1804" s="321">
        <f t="shared" si="144"/>
        <v>752000</v>
      </c>
      <c r="Y1804" s="321">
        <v>1</v>
      </c>
      <c r="AA1804" s="321" t="s">
        <v>5704</v>
      </c>
    </row>
    <row r="1805" spans="1:27">
      <c r="M1805" s="321">
        <v>1752000783</v>
      </c>
      <c r="N1805" s="321">
        <v>75</v>
      </c>
      <c r="O1805" s="321" t="s">
        <v>5700</v>
      </c>
      <c r="P1805" s="321">
        <v>1750000</v>
      </c>
      <c r="Q1805" s="322">
        <v>1330400</v>
      </c>
      <c r="R1805" s="322">
        <v>499800</v>
      </c>
      <c r="S1805" s="322">
        <v>1613000</v>
      </c>
      <c r="T1805" s="322">
        <v>1500000</v>
      </c>
      <c r="U1805" s="322">
        <f t="shared" si="142"/>
        <v>113000</v>
      </c>
      <c r="W1805" s="321">
        <f t="shared" si="143"/>
        <v>783</v>
      </c>
      <c r="X1805" s="321">
        <f t="shared" si="144"/>
        <v>752000</v>
      </c>
      <c r="Y1805" s="321">
        <v>1</v>
      </c>
      <c r="AA1805" s="321" t="s">
        <v>5700</v>
      </c>
    </row>
    <row r="1806" spans="1:27">
      <c r="M1806" s="321">
        <v>1752000784</v>
      </c>
      <c r="N1806" s="321">
        <v>75</v>
      </c>
      <c r="O1806" s="321" t="s">
        <v>5705</v>
      </c>
      <c r="P1806" s="321">
        <v>1750000</v>
      </c>
      <c r="Q1806" s="322">
        <v>684000</v>
      </c>
      <c r="R1806" s="322">
        <v>608000</v>
      </c>
      <c r="S1806" s="322">
        <v>855000</v>
      </c>
      <c r="T1806" s="322">
        <v>755000</v>
      </c>
      <c r="U1806" s="322">
        <f t="shared" si="142"/>
        <v>100000</v>
      </c>
      <c r="W1806" s="321">
        <f t="shared" si="143"/>
        <v>784</v>
      </c>
      <c r="X1806" s="321">
        <f t="shared" si="144"/>
        <v>752000</v>
      </c>
      <c r="Y1806" s="321">
        <v>1</v>
      </c>
      <c r="AA1806" s="321" t="s">
        <v>5705</v>
      </c>
    </row>
    <row r="1807" spans="1:27">
      <c r="M1807" s="321">
        <v>1752000786</v>
      </c>
      <c r="N1807" s="321">
        <v>75</v>
      </c>
      <c r="O1807" s="321" t="s">
        <v>5706</v>
      </c>
      <c r="P1807" s="321">
        <v>1750000</v>
      </c>
      <c r="Q1807" s="322">
        <v>28800</v>
      </c>
      <c r="R1807" s="322">
        <v>0</v>
      </c>
      <c r="S1807" s="322">
        <v>36000</v>
      </c>
      <c r="T1807" s="322">
        <v>36000</v>
      </c>
      <c r="U1807" s="322">
        <f t="shared" si="142"/>
        <v>0</v>
      </c>
      <c r="W1807" s="321">
        <f t="shared" si="143"/>
        <v>786</v>
      </c>
      <c r="X1807" s="321">
        <f t="shared" si="144"/>
        <v>752000</v>
      </c>
      <c r="Y1807" s="321">
        <v>1</v>
      </c>
      <c r="AA1807" s="321" t="s">
        <v>5706</v>
      </c>
    </row>
    <row r="1808" spans="1:27">
      <c r="M1808" s="321">
        <v>1752000787</v>
      </c>
      <c r="N1808" s="321">
        <v>75</v>
      </c>
      <c r="O1808" s="321" t="s">
        <v>5707</v>
      </c>
      <c r="P1808" s="321">
        <v>1750000</v>
      </c>
      <c r="Q1808" s="322">
        <v>554000</v>
      </c>
      <c r="R1808" s="322">
        <v>0</v>
      </c>
      <c r="S1808" s="322">
        <v>635000</v>
      </c>
      <c r="T1808" s="322">
        <v>600000</v>
      </c>
      <c r="U1808" s="322">
        <f t="shared" si="142"/>
        <v>35000</v>
      </c>
      <c r="W1808" s="321">
        <f t="shared" si="143"/>
        <v>787</v>
      </c>
      <c r="X1808" s="321">
        <f t="shared" si="144"/>
        <v>752000</v>
      </c>
      <c r="Y1808" s="321">
        <v>1</v>
      </c>
      <c r="AA1808" s="321" t="s">
        <v>5707</v>
      </c>
    </row>
    <row r="1809" spans="13:27">
      <c r="M1809" s="321">
        <v>1752000788</v>
      </c>
      <c r="N1809" s="321">
        <v>75</v>
      </c>
      <c r="O1809" s="321" t="s">
        <v>5708</v>
      </c>
      <c r="P1809" s="321">
        <v>1750000</v>
      </c>
      <c r="Q1809" s="322">
        <v>2100000</v>
      </c>
      <c r="R1809" s="322">
        <v>2100000</v>
      </c>
      <c r="S1809" s="322">
        <v>2500000</v>
      </c>
      <c r="T1809" s="322">
        <v>2300000</v>
      </c>
      <c r="U1809" s="322">
        <f t="shared" si="142"/>
        <v>200000</v>
      </c>
      <c r="W1809" s="321">
        <f t="shared" si="143"/>
        <v>788</v>
      </c>
      <c r="X1809" s="321">
        <f t="shared" si="144"/>
        <v>752000</v>
      </c>
      <c r="Y1809" s="321">
        <v>1</v>
      </c>
      <c r="AA1809" s="321" t="s">
        <v>5708</v>
      </c>
    </row>
    <row r="1810" spans="13:27">
      <c r="M1810" s="321">
        <v>1752000789</v>
      </c>
      <c r="N1810" s="321">
        <v>75</v>
      </c>
      <c r="O1810" s="321" t="s">
        <v>5709</v>
      </c>
      <c r="P1810" s="321">
        <v>1750000</v>
      </c>
      <c r="Q1810" s="322">
        <v>1000000</v>
      </c>
      <c r="R1810" s="322">
        <v>150000</v>
      </c>
      <c r="S1810" s="322">
        <v>1000000</v>
      </c>
      <c r="T1810" s="322">
        <v>900000</v>
      </c>
      <c r="U1810" s="322">
        <f t="shared" si="142"/>
        <v>100000</v>
      </c>
      <c r="W1810" s="321">
        <f t="shared" si="143"/>
        <v>789</v>
      </c>
      <c r="X1810" s="321">
        <f t="shared" si="144"/>
        <v>752000</v>
      </c>
      <c r="Y1810" s="321">
        <v>1</v>
      </c>
      <c r="AA1810" s="321" t="s">
        <v>5709</v>
      </c>
    </row>
    <row r="1811" spans="13:27">
      <c r="M1811" s="321">
        <v>1753000810</v>
      </c>
      <c r="N1811" s="321">
        <v>75</v>
      </c>
      <c r="O1811" s="321" t="s">
        <v>5710</v>
      </c>
      <c r="P1811" s="321">
        <v>1753000</v>
      </c>
      <c r="Q1811" s="322">
        <v>58000</v>
      </c>
      <c r="R1811" s="322">
        <v>0</v>
      </c>
      <c r="S1811" s="322">
        <v>60000</v>
      </c>
      <c r="T1811" s="322">
        <v>60000</v>
      </c>
      <c r="U1811" s="322">
        <f t="shared" si="142"/>
        <v>0</v>
      </c>
      <c r="W1811" s="321">
        <f t="shared" si="143"/>
        <v>810</v>
      </c>
      <c r="X1811" s="321">
        <f t="shared" si="144"/>
        <v>753000</v>
      </c>
      <c r="Y1811" s="321">
        <v>1</v>
      </c>
      <c r="AA1811" s="321" t="s">
        <v>5710</v>
      </c>
    </row>
    <row r="1812" spans="13:27">
      <c r="M1812" s="321">
        <v>1754000110</v>
      </c>
      <c r="N1812" s="321">
        <v>75</v>
      </c>
      <c r="O1812" s="321" t="s">
        <v>5680</v>
      </c>
      <c r="P1812" s="321">
        <v>1754000</v>
      </c>
      <c r="Q1812" s="322">
        <v>219000</v>
      </c>
      <c r="R1812" s="322">
        <v>125000</v>
      </c>
      <c r="S1812" s="322">
        <v>236000</v>
      </c>
      <c r="T1812" s="322">
        <v>236000</v>
      </c>
      <c r="U1812" s="322">
        <f t="shared" si="142"/>
        <v>0</v>
      </c>
      <c r="W1812" s="321">
        <f t="shared" si="143"/>
        <v>110</v>
      </c>
      <c r="X1812" s="321">
        <f t="shared" si="144"/>
        <v>754000</v>
      </c>
      <c r="Y1812" s="321">
        <v>1</v>
      </c>
      <c r="AA1812" s="321" t="s">
        <v>5680</v>
      </c>
    </row>
    <row r="1813" spans="13:27">
      <c r="M1813" s="321">
        <v>1754000120</v>
      </c>
      <c r="N1813" s="321">
        <v>75</v>
      </c>
      <c r="O1813" s="321" t="s">
        <v>5711</v>
      </c>
      <c r="P1813" s="321">
        <v>1754000</v>
      </c>
      <c r="Q1813" s="322">
        <v>32000</v>
      </c>
      <c r="R1813" s="322">
        <v>8900</v>
      </c>
      <c r="S1813" s="322">
        <v>10000</v>
      </c>
      <c r="T1813" s="322">
        <v>10000</v>
      </c>
      <c r="U1813" s="322">
        <f t="shared" si="142"/>
        <v>0</v>
      </c>
      <c r="W1813" s="321">
        <f t="shared" si="143"/>
        <v>120</v>
      </c>
      <c r="X1813" s="321">
        <f t="shared" si="144"/>
        <v>754000</v>
      </c>
      <c r="Y1813" s="321">
        <v>1</v>
      </c>
      <c r="AA1813" s="321" t="s">
        <v>5711</v>
      </c>
    </row>
    <row r="1814" spans="13:27">
      <c r="M1814" s="321">
        <v>1754000130</v>
      </c>
      <c r="N1814" s="321">
        <v>75</v>
      </c>
      <c r="O1814" s="321" t="s">
        <v>2576</v>
      </c>
      <c r="P1814" s="321">
        <v>1754000</v>
      </c>
      <c r="Q1814" s="322">
        <v>0</v>
      </c>
      <c r="R1814" s="322">
        <v>0</v>
      </c>
      <c r="S1814" s="322">
        <v>18000</v>
      </c>
      <c r="T1814" s="322">
        <v>16200</v>
      </c>
      <c r="U1814" s="322">
        <f t="shared" si="142"/>
        <v>1800</v>
      </c>
      <c r="W1814" s="321">
        <f t="shared" si="143"/>
        <v>130</v>
      </c>
      <c r="X1814" s="321">
        <f t="shared" si="144"/>
        <v>754000</v>
      </c>
      <c r="Y1814" s="321">
        <v>1</v>
      </c>
      <c r="AA1814" s="321" t="s">
        <v>2576</v>
      </c>
    </row>
    <row r="1815" spans="13:27">
      <c r="M1815" s="321">
        <v>1754000140</v>
      </c>
      <c r="N1815" s="321">
        <v>75</v>
      </c>
      <c r="O1815" s="321" t="s">
        <v>5404</v>
      </c>
      <c r="P1815" s="321">
        <v>1754000</v>
      </c>
      <c r="Q1815" s="322">
        <v>59000</v>
      </c>
      <c r="R1815" s="322">
        <v>28900</v>
      </c>
      <c r="S1815" s="322">
        <v>52000</v>
      </c>
      <c r="T1815" s="322">
        <v>52000</v>
      </c>
      <c r="U1815" s="322">
        <f t="shared" si="142"/>
        <v>0</v>
      </c>
      <c r="W1815" s="321">
        <f t="shared" si="143"/>
        <v>140</v>
      </c>
      <c r="X1815" s="321">
        <f t="shared" si="144"/>
        <v>754000</v>
      </c>
      <c r="Y1815" s="321">
        <v>1</v>
      </c>
      <c r="AA1815" s="321" t="s">
        <v>5404</v>
      </c>
    </row>
    <row r="1816" spans="13:27">
      <c r="M1816" s="321">
        <v>1754000141</v>
      </c>
      <c r="N1816" s="321">
        <v>75</v>
      </c>
      <c r="O1816" s="321" t="s">
        <v>5712</v>
      </c>
      <c r="P1816" s="321">
        <v>1754000</v>
      </c>
      <c r="Q1816" s="322">
        <v>13000</v>
      </c>
      <c r="R1816" s="322">
        <v>8500</v>
      </c>
      <c r="S1816" s="322">
        <v>14000</v>
      </c>
      <c r="T1816" s="322">
        <v>14000</v>
      </c>
      <c r="U1816" s="322">
        <f t="shared" si="142"/>
        <v>0</v>
      </c>
      <c r="W1816" s="321">
        <f t="shared" si="143"/>
        <v>141</v>
      </c>
      <c r="X1816" s="321">
        <f t="shared" si="144"/>
        <v>754000</v>
      </c>
      <c r="Y1816" s="321">
        <v>1</v>
      </c>
      <c r="AA1816" s="321" t="s">
        <v>5712</v>
      </c>
    </row>
    <row r="1817" spans="13:27">
      <c r="M1817" s="321">
        <v>1754000181</v>
      </c>
      <c r="N1817" s="321">
        <v>75</v>
      </c>
      <c r="O1817" s="321" t="s">
        <v>2580</v>
      </c>
      <c r="P1817" s="321">
        <v>1754000</v>
      </c>
      <c r="Q1817" s="322">
        <v>48000</v>
      </c>
      <c r="R1817" s="322">
        <v>30000</v>
      </c>
      <c r="S1817" s="322">
        <v>49000</v>
      </c>
      <c r="T1817" s="322">
        <v>49000</v>
      </c>
      <c r="U1817" s="322">
        <f t="shared" si="142"/>
        <v>0</v>
      </c>
      <c r="W1817" s="321">
        <f t="shared" si="143"/>
        <v>181</v>
      </c>
      <c r="X1817" s="321">
        <f t="shared" si="144"/>
        <v>754000</v>
      </c>
      <c r="Y1817" s="321">
        <v>1</v>
      </c>
      <c r="AA1817" s="321" t="s">
        <v>2580</v>
      </c>
    </row>
    <row r="1818" spans="13:27">
      <c r="M1818" s="321">
        <v>1754000182</v>
      </c>
      <c r="N1818" s="321">
        <v>75</v>
      </c>
      <c r="O1818" s="321" t="s">
        <v>2582</v>
      </c>
      <c r="P1818" s="321">
        <v>1754000</v>
      </c>
      <c r="Q1818" s="322">
        <v>44000</v>
      </c>
      <c r="R1818" s="322">
        <v>23100</v>
      </c>
      <c r="S1818" s="322">
        <v>45000</v>
      </c>
      <c r="T1818" s="322">
        <v>45000</v>
      </c>
      <c r="U1818" s="322">
        <f t="shared" si="142"/>
        <v>0</v>
      </c>
      <c r="W1818" s="321">
        <f t="shared" si="143"/>
        <v>182</v>
      </c>
      <c r="X1818" s="321">
        <f t="shared" si="144"/>
        <v>754000</v>
      </c>
      <c r="Y1818" s="321">
        <v>1</v>
      </c>
      <c r="AA1818" s="321" t="s">
        <v>2582</v>
      </c>
    </row>
    <row r="1819" spans="13:27">
      <c r="M1819" s="321">
        <v>1754000210</v>
      </c>
      <c r="N1819" s="321">
        <v>75</v>
      </c>
      <c r="O1819" s="321" t="s">
        <v>5221</v>
      </c>
      <c r="P1819" s="321">
        <v>1754000</v>
      </c>
      <c r="Q1819" s="322">
        <v>0</v>
      </c>
      <c r="R1819" s="322">
        <v>0</v>
      </c>
      <c r="S1819" s="322">
        <v>0</v>
      </c>
      <c r="T1819" s="322">
        <v>0</v>
      </c>
      <c r="U1819" s="322">
        <f t="shared" si="142"/>
        <v>0</v>
      </c>
      <c r="W1819" s="321">
        <f t="shared" si="143"/>
        <v>210</v>
      </c>
      <c r="X1819" s="321">
        <f t="shared" si="144"/>
        <v>754000</v>
      </c>
      <c r="Y1819" s="321">
        <v>1</v>
      </c>
      <c r="AA1819" s="321" t="s">
        <v>5221</v>
      </c>
    </row>
    <row r="1820" spans="13:27">
      <c r="M1820" s="321">
        <v>1754000540</v>
      </c>
      <c r="N1820" s="321">
        <v>75</v>
      </c>
      <c r="O1820" s="321" t="s">
        <v>5216</v>
      </c>
      <c r="P1820" s="321">
        <v>1754000</v>
      </c>
      <c r="Q1820" s="322">
        <v>2000</v>
      </c>
      <c r="R1820" s="322">
        <v>400</v>
      </c>
      <c r="S1820" s="322">
        <v>2000</v>
      </c>
      <c r="T1820" s="322">
        <v>2000</v>
      </c>
      <c r="U1820" s="322">
        <f t="shared" si="142"/>
        <v>0</v>
      </c>
      <c r="W1820" s="321">
        <f t="shared" si="143"/>
        <v>540</v>
      </c>
      <c r="X1820" s="321">
        <f t="shared" si="144"/>
        <v>754000</v>
      </c>
      <c r="Y1820" s="321">
        <v>1</v>
      </c>
      <c r="AA1820" s="321" t="s">
        <v>5216</v>
      </c>
    </row>
    <row r="1821" spans="13:27">
      <c r="M1821" s="321">
        <v>1754000542</v>
      </c>
      <c r="N1821" s="321">
        <v>75</v>
      </c>
      <c r="O1821" s="321" t="s">
        <v>5227</v>
      </c>
      <c r="P1821" s="321">
        <v>1754000</v>
      </c>
      <c r="Q1821" s="322">
        <v>2500</v>
      </c>
      <c r="R1821" s="322">
        <v>1800</v>
      </c>
      <c r="S1821" s="322">
        <v>3000</v>
      </c>
      <c r="T1821" s="322">
        <v>3000</v>
      </c>
      <c r="U1821" s="322">
        <f t="shared" si="142"/>
        <v>0</v>
      </c>
      <c r="W1821" s="321">
        <f t="shared" si="143"/>
        <v>542</v>
      </c>
      <c r="X1821" s="321">
        <f t="shared" si="144"/>
        <v>754000</v>
      </c>
      <c r="Y1821" s="321">
        <v>1</v>
      </c>
      <c r="AA1821" s="321" t="s">
        <v>5227</v>
      </c>
    </row>
    <row r="1822" spans="13:27">
      <c r="M1822" s="321">
        <v>1754000580</v>
      </c>
      <c r="N1822" s="321">
        <v>75</v>
      </c>
      <c r="O1822" s="321" t="s">
        <v>5713</v>
      </c>
      <c r="P1822" s="321">
        <v>1754000</v>
      </c>
      <c r="Q1822" s="322">
        <v>670000</v>
      </c>
      <c r="R1822" s="322">
        <v>62800</v>
      </c>
      <c r="S1822" s="322">
        <v>670000</v>
      </c>
      <c r="T1822" s="322">
        <v>400000</v>
      </c>
      <c r="U1822" s="322">
        <f t="shared" si="142"/>
        <v>270000</v>
      </c>
      <c r="W1822" s="321">
        <f t="shared" si="143"/>
        <v>580</v>
      </c>
      <c r="X1822" s="321">
        <f t="shared" si="144"/>
        <v>754000</v>
      </c>
      <c r="Y1822" s="321">
        <v>1</v>
      </c>
      <c r="AA1822" s="321" t="s">
        <v>5713</v>
      </c>
    </row>
    <row r="1823" spans="13:27">
      <c r="M1823" s="321">
        <v>1761000110</v>
      </c>
      <c r="N1823" s="321">
        <v>76</v>
      </c>
      <c r="O1823" s="321" t="s">
        <v>5205</v>
      </c>
      <c r="P1823" s="321">
        <v>6761000</v>
      </c>
      <c r="Q1823" s="322">
        <v>1727000</v>
      </c>
      <c r="R1823" s="322">
        <v>1241800</v>
      </c>
      <c r="S1823" s="322">
        <v>1727000</v>
      </c>
      <c r="T1823" s="322">
        <v>1727000</v>
      </c>
      <c r="U1823" s="322">
        <f t="shared" si="142"/>
        <v>0</v>
      </c>
      <c r="W1823" s="321">
        <f t="shared" si="143"/>
        <v>110</v>
      </c>
      <c r="X1823" s="321">
        <f t="shared" si="144"/>
        <v>761000</v>
      </c>
      <c r="Y1823" s="321">
        <v>1</v>
      </c>
      <c r="AA1823" s="321" t="s">
        <v>5205</v>
      </c>
    </row>
    <row r="1824" spans="13:27">
      <c r="M1824" s="321">
        <v>1761000120</v>
      </c>
      <c r="N1824" s="321">
        <v>76</v>
      </c>
      <c r="O1824" s="321" t="s">
        <v>5206</v>
      </c>
      <c r="P1824" s="321">
        <v>6761000</v>
      </c>
      <c r="Q1824" s="322">
        <v>581000</v>
      </c>
      <c r="R1824" s="322">
        <v>485400</v>
      </c>
      <c r="S1824" s="322">
        <v>581000</v>
      </c>
      <c r="T1824" s="322">
        <v>581000</v>
      </c>
      <c r="U1824" s="322">
        <f t="shared" si="142"/>
        <v>0</v>
      </c>
      <c r="W1824" s="321">
        <f t="shared" si="143"/>
        <v>120</v>
      </c>
      <c r="X1824" s="321">
        <f t="shared" si="144"/>
        <v>761000</v>
      </c>
      <c r="Y1824" s="321">
        <v>1</v>
      </c>
      <c r="AA1824" s="321" t="s">
        <v>5206</v>
      </c>
    </row>
    <row r="1825" spans="13:27">
      <c r="M1825" s="321">
        <v>1761000130</v>
      </c>
      <c r="N1825" s="321">
        <v>76</v>
      </c>
      <c r="O1825" s="321" t="s">
        <v>2576</v>
      </c>
      <c r="P1825" s="321">
        <v>6761000</v>
      </c>
      <c r="Q1825" s="322">
        <v>281000</v>
      </c>
      <c r="R1825" s="322">
        <v>208900</v>
      </c>
      <c r="S1825" s="322">
        <v>281000</v>
      </c>
      <c r="T1825" s="322">
        <v>252900</v>
      </c>
      <c r="U1825" s="322">
        <f t="shared" si="142"/>
        <v>28100</v>
      </c>
      <c r="W1825" s="321">
        <f t="shared" si="143"/>
        <v>130</v>
      </c>
      <c r="X1825" s="321">
        <f t="shared" si="144"/>
        <v>761000</v>
      </c>
      <c r="Y1825" s="321">
        <v>1</v>
      </c>
      <c r="AA1825" s="321" t="s">
        <v>2576</v>
      </c>
    </row>
    <row r="1826" spans="13:27">
      <c r="M1826" s="321">
        <v>1761000140</v>
      </c>
      <c r="N1826" s="321">
        <v>76</v>
      </c>
      <c r="O1826" s="321" t="s">
        <v>5207</v>
      </c>
      <c r="P1826" s="321">
        <v>6761000</v>
      </c>
      <c r="Q1826" s="322">
        <v>458000</v>
      </c>
      <c r="R1826" s="322">
        <v>293800</v>
      </c>
      <c r="S1826" s="322">
        <v>482000</v>
      </c>
      <c r="T1826" s="322">
        <v>482000</v>
      </c>
      <c r="U1826" s="322">
        <f t="shared" si="142"/>
        <v>0</v>
      </c>
      <c r="W1826" s="321">
        <f t="shared" si="143"/>
        <v>140</v>
      </c>
      <c r="X1826" s="321">
        <f t="shared" si="144"/>
        <v>761000</v>
      </c>
      <c r="Y1826" s="321">
        <v>1</v>
      </c>
      <c r="AA1826" s="321" t="s">
        <v>5207</v>
      </c>
    </row>
    <row r="1827" spans="13:27">
      <c r="M1827" s="321">
        <v>1761000141</v>
      </c>
      <c r="N1827" s="321">
        <v>76</v>
      </c>
      <c r="O1827" s="321" t="s">
        <v>5208</v>
      </c>
      <c r="P1827" s="321">
        <v>6761000</v>
      </c>
      <c r="Q1827" s="322">
        <v>55000</v>
      </c>
      <c r="R1827" s="322">
        <v>45600</v>
      </c>
      <c r="S1827" s="322">
        <v>60000</v>
      </c>
      <c r="T1827" s="322">
        <v>60000</v>
      </c>
      <c r="U1827" s="322">
        <f t="shared" si="142"/>
        <v>0</v>
      </c>
      <c r="W1827" s="321">
        <f t="shared" si="143"/>
        <v>141</v>
      </c>
      <c r="X1827" s="321">
        <f t="shared" si="144"/>
        <v>761000</v>
      </c>
      <c r="Y1827" s="321">
        <v>1</v>
      </c>
      <c r="AA1827" s="321" t="s">
        <v>5208</v>
      </c>
    </row>
    <row r="1828" spans="13:27">
      <c r="M1828" s="321">
        <v>1761000181</v>
      </c>
      <c r="N1828" s="321">
        <v>76</v>
      </c>
      <c r="O1828" s="321" t="s">
        <v>2580</v>
      </c>
      <c r="P1828" s="321">
        <v>6761000</v>
      </c>
      <c r="Q1828" s="322">
        <v>317000</v>
      </c>
      <c r="R1828" s="322">
        <v>232000</v>
      </c>
      <c r="S1828" s="322">
        <v>320000</v>
      </c>
      <c r="T1828" s="322">
        <v>320000</v>
      </c>
      <c r="U1828" s="322">
        <f t="shared" si="142"/>
        <v>0</v>
      </c>
      <c r="W1828" s="321">
        <f t="shared" si="143"/>
        <v>181</v>
      </c>
      <c r="X1828" s="321">
        <f t="shared" si="144"/>
        <v>761000</v>
      </c>
      <c r="Y1828" s="321">
        <v>1</v>
      </c>
      <c r="AA1828" s="321" t="s">
        <v>2580</v>
      </c>
    </row>
    <row r="1829" spans="13:27">
      <c r="M1829" s="321">
        <v>1761000182</v>
      </c>
      <c r="N1829" s="321">
        <v>76</v>
      </c>
      <c r="O1829" s="321" t="s">
        <v>5209</v>
      </c>
      <c r="P1829" s="321">
        <v>6761000</v>
      </c>
      <c r="Q1829" s="322">
        <v>426000</v>
      </c>
      <c r="R1829" s="322">
        <v>313000</v>
      </c>
      <c r="S1829" s="322">
        <v>430000</v>
      </c>
      <c r="T1829" s="322">
        <v>430000</v>
      </c>
      <c r="U1829" s="322">
        <f t="shared" si="142"/>
        <v>0</v>
      </c>
      <c r="W1829" s="321">
        <f t="shared" si="143"/>
        <v>182</v>
      </c>
      <c r="X1829" s="321">
        <f t="shared" si="144"/>
        <v>761000</v>
      </c>
      <c r="Y1829" s="321">
        <v>1</v>
      </c>
      <c r="AA1829" s="321" t="s">
        <v>5209</v>
      </c>
    </row>
    <row r="1830" spans="13:27">
      <c r="M1830" s="321">
        <v>1761000210</v>
      </c>
      <c r="N1830" s="321">
        <v>76</v>
      </c>
      <c r="O1830" s="321" t="s">
        <v>5285</v>
      </c>
      <c r="P1830" s="321">
        <v>6761000</v>
      </c>
      <c r="Q1830" s="322">
        <v>930000</v>
      </c>
      <c r="R1830" s="322">
        <v>763100</v>
      </c>
      <c r="S1830" s="322">
        <v>1100000</v>
      </c>
      <c r="T1830" s="322">
        <v>1100000</v>
      </c>
      <c r="U1830" s="322">
        <f t="shared" si="142"/>
        <v>0</v>
      </c>
      <c r="W1830" s="321">
        <f t="shared" si="143"/>
        <v>210</v>
      </c>
      <c r="X1830" s="321">
        <f t="shared" si="144"/>
        <v>761000</v>
      </c>
      <c r="Y1830" s="321">
        <v>1</v>
      </c>
      <c r="AA1830" s="321" t="s">
        <v>5285</v>
      </c>
    </row>
    <row r="1831" spans="13:27">
      <c r="M1831" s="321">
        <v>1761000470</v>
      </c>
      <c r="N1831" s="321">
        <v>76</v>
      </c>
      <c r="O1831" s="321" t="s">
        <v>2830</v>
      </c>
      <c r="P1831" s="321">
        <v>6761000</v>
      </c>
      <c r="Q1831" s="322">
        <v>4300</v>
      </c>
      <c r="R1831" s="322">
        <v>4000</v>
      </c>
      <c r="S1831" s="322">
        <v>4300</v>
      </c>
      <c r="T1831" s="322">
        <v>4300</v>
      </c>
      <c r="U1831" s="322">
        <f t="shared" si="142"/>
        <v>0</v>
      </c>
      <c r="W1831" s="321">
        <f t="shared" si="143"/>
        <v>470</v>
      </c>
      <c r="X1831" s="321">
        <f t="shared" si="144"/>
        <v>761000</v>
      </c>
      <c r="Y1831" s="321">
        <v>1</v>
      </c>
      <c r="AA1831" s="321" t="s">
        <v>2830</v>
      </c>
    </row>
    <row r="1832" spans="13:27">
      <c r="M1832" s="321">
        <v>1761000471</v>
      </c>
      <c r="N1832" s="321">
        <v>76</v>
      </c>
      <c r="O1832" s="321" t="s">
        <v>5212</v>
      </c>
      <c r="P1832" s="321">
        <v>6761000</v>
      </c>
      <c r="Q1832" s="322">
        <v>3500</v>
      </c>
      <c r="R1832" s="322">
        <v>0</v>
      </c>
      <c r="S1832" s="322">
        <v>3700</v>
      </c>
      <c r="T1832" s="322">
        <v>3700</v>
      </c>
      <c r="U1832" s="322">
        <f t="shared" si="142"/>
        <v>0</v>
      </c>
      <c r="W1832" s="321">
        <f t="shared" si="143"/>
        <v>471</v>
      </c>
      <c r="X1832" s="321">
        <f t="shared" si="144"/>
        <v>761000</v>
      </c>
      <c r="Y1832" s="321">
        <v>1</v>
      </c>
      <c r="AA1832" s="321" t="s">
        <v>5212</v>
      </c>
    </row>
    <row r="1833" spans="13:27">
      <c r="M1833" s="321">
        <v>1761000522</v>
      </c>
      <c r="N1833" s="321">
        <v>76</v>
      </c>
      <c r="O1833" s="321" t="s">
        <v>5214</v>
      </c>
      <c r="P1833" s="321">
        <v>6761000</v>
      </c>
      <c r="Q1833" s="322">
        <v>3000</v>
      </c>
      <c r="R1833" s="322">
        <v>1700</v>
      </c>
      <c r="S1833" s="322">
        <v>3000</v>
      </c>
      <c r="T1833" s="322">
        <v>3000</v>
      </c>
      <c r="U1833" s="322">
        <f t="shared" si="142"/>
        <v>0</v>
      </c>
      <c r="W1833" s="321">
        <f t="shared" si="143"/>
        <v>522</v>
      </c>
      <c r="X1833" s="321">
        <f t="shared" si="144"/>
        <v>761000</v>
      </c>
      <c r="Y1833" s="321">
        <v>1</v>
      </c>
      <c r="AA1833" s="321" t="s">
        <v>5214</v>
      </c>
    </row>
    <row r="1834" spans="13:27">
      <c r="M1834" s="321">
        <v>1761000530</v>
      </c>
      <c r="N1834" s="321">
        <v>76</v>
      </c>
      <c r="O1834" s="321" t="s">
        <v>5714</v>
      </c>
      <c r="P1834" s="321">
        <v>6761000</v>
      </c>
      <c r="Q1834" s="322">
        <v>50000</v>
      </c>
      <c r="R1834" s="322">
        <v>27400</v>
      </c>
      <c r="S1834" s="322">
        <v>50000</v>
      </c>
      <c r="T1834" s="322">
        <v>50000</v>
      </c>
      <c r="U1834" s="322">
        <f t="shared" si="142"/>
        <v>0</v>
      </c>
      <c r="W1834" s="321">
        <f t="shared" si="143"/>
        <v>530</v>
      </c>
      <c r="X1834" s="321">
        <f t="shared" si="144"/>
        <v>761000</v>
      </c>
      <c r="Y1834" s="321">
        <v>1</v>
      </c>
      <c r="AA1834" s="321" t="s">
        <v>5714</v>
      </c>
    </row>
    <row r="1835" spans="13:27">
      <c r="M1835" s="321">
        <v>1761000540</v>
      </c>
      <c r="N1835" s="321">
        <v>76</v>
      </c>
      <c r="O1835" s="321" t="s">
        <v>5216</v>
      </c>
      <c r="P1835" s="321">
        <v>6761000</v>
      </c>
      <c r="Q1835" s="322">
        <v>25000</v>
      </c>
      <c r="R1835" s="322">
        <v>17400</v>
      </c>
      <c r="S1835" s="322">
        <v>27000</v>
      </c>
      <c r="T1835" s="322">
        <v>27000</v>
      </c>
      <c r="U1835" s="322">
        <f t="shared" si="142"/>
        <v>0</v>
      </c>
      <c r="W1835" s="321">
        <f t="shared" si="143"/>
        <v>540</v>
      </c>
      <c r="X1835" s="321">
        <f t="shared" si="144"/>
        <v>761000</v>
      </c>
      <c r="Y1835" s="321">
        <v>1</v>
      </c>
      <c r="AA1835" s="321" t="s">
        <v>5216</v>
      </c>
    </row>
    <row r="1836" spans="13:27">
      <c r="M1836" s="321">
        <v>1761000542</v>
      </c>
      <c r="N1836" s="321">
        <v>76</v>
      </c>
      <c r="O1836" s="321" t="s">
        <v>5409</v>
      </c>
      <c r="P1836" s="321">
        <v>6761000</v>
      </c>
      <c r="Q1836" s="322">
        <v>0</v>
      </c>
      <c r="R1836" s="322">
        <v>0</v>
      </c>
      <c r="S1836" s="322">
        <v>0</v>
      </c>
      <c r="T1836" s="322">
        <v>0</v>
      </c>
      <c r="U1836" s="322">
        <f t="shared" si="142"/>
        <v>0</v>
      </c>
      <c r="W1836" s="321">
        <f t="shared" si="143"/>
        <v>542</v>
      </c>
      <c r="X1836" s="321">
        <f t="shared" si="144"/>
        <v>761000</v>
      </c>
      <c r="Y1836" s="321">
        <v>1</v>
      </c>
      <c r="AA1836" s="321" t="s">
        <v>5409</v>
      </c>
    </row>
    <row r="1837" spans="13:27">
      <c r="M1837" s="321">
        <v>1761000570</v>
      </c>
      <c r="N1837" s="321">
        <v>76</v>
      </c>
      <c r="O1837" s="321" t="s">
        <v>5715</v>
      </c>
      <c r="P1837" s="321">
        <v>6761000</v>
      </c>
      <c r="Q1837" s="322">
        <v>50000</v>
      </c>
      <c r="R1837" s="322">
        <v>15400</v>
      </c>
      <c r="S1837" s="322">
        <v>50000</v>
      </c>
      <c r="T1837" s="322">
        <v>50000</v>
      </c>
      <c r="U1837" s="322">
        <f t="shared" si="142"/>
        <v>0</v>
      </c>
      <c r="W1837" s="321">
        <f t="shared" si="143"/>
        <v>570</v>
      </c>
      <c r="X1837" s="321">
        <f t="shared" si="144"/>
        <v>761000</v>
      </c>
      <c r="Y1837" s="321">
        <v>1</v>
      </c>
      <c r="AA1837" s="321" t="s">
        <v>5715</v>
      </c>
    </row>
    <row r="1838" spans="13:27">
      <c r="M1838" s="321">
        <v>1761000572</v>
      </c>
      <c r="N1838" s="321">
        <v>76</v>
      </c>
      <c r="O1838" s="321" t="s">
        <v>5716</v>
      </c>
      <c r="P1838" s="321">
        <v>6761000</v>
      </c>
      <c r="Q1838" s="322">
        <v>99000</v>
      </c>
      <c r="R1838" s="322">
        <v>6600</v>
      </c>
      <c r="S1838" s="322">
        <v>99000</v>
      </c>
      <c r="T1838" s="322">
        <v>99000</v>
      </c>
      <c r="U1838" s="322">
        <f t="shared" si="142"/>
        <v>0</v>
      </c>
      <c r="W1838" s="321">
        <f t="shared" si="143"/>
        <v>572</v>
      </c>
      <c r="X1838" s="321">
        <f t="shared" si="144"/>
        <v>761000</v>
      </c>
      <c r="Y1838" s="321">
        <v>1</v>
      </c>
      <c r="AA1838" s="321" t="s">
        <v>5716</v>
      </c>
    </row>
    <row r="1839" spans="13:27">
      <c r="M1839" s="321">
        <v>1761000577</v>
      </c>
      <c r="N1839" s="321">
        <v>76</v>
      </c>
      <c r="O1839" s="321" t="s">
        <v>5717</v>
      </c>
      <c r="P1839" s="321">
        <v>6761000</v>
      </c>
      <c r="Q1839" s="322">
        <v>0</v>
      </c>
      <c r="R1839" s="322">
        <v>0</v>
      </c>
      <c r="S1839" s="322">
        <v>0</v>
      </c>
      <c r="T1839" s="322">
        <v>0</v>
      </c>
      <c r="U1839" s="322">
        <f t="shared" si="142"/>
        <v>0</v>
      </c>
      <c r="W1839" s="321">
        <f t="shared" si="143"/>
        <v>577</v>
      </c>
      <c r="X1839" s="321">
        <f t="shared" si="144"/>
        <v>761000</v>
      </c>
      <c r="Y1839" s="321">
        <v>1</v>
      </c>
      <c r="AA1839" s="321" t="s">
        <v>5717</v>
      </c>
    </row>
    <row r="1840" spans="13:27">
      <c r="M1840" s="321">
        <v>1761000580</v>
      </c>
      <c r="N1840" s="321">
        <v>76</v>
      </c>
      <c r="O1840" s="321" t="s">
        <v>5718</v>
      </c>
      <c r="P1840" s="321">
        <v>6761000</v>
      </c>
      <c r="Q1840" s="322">
        <v>15000</v>
      </c>
      <c r="R1840" s="322">
        <v>3900</v>
      </c>
      <c r="S1840" s="322">
        <v>10000</v>
      </c>
      <c r="T1840" s="322">
        <v>10000</v>
      </c>
      <c r="U1840" s="322">
        <f t="shared" si="142"/>
        <v>0</v>
      </c>
      <c r="W1840" s="321">
        <f t="shared" si="143"/>
        <v>580</v>
      </c>
      <c r="X1840" s="321">
        <f t="shared" si="144"/>
        <v>761000</v>
      </c>
      <c r="Y1840" s="321">
        <v>1</v>
      </c>
      <c r="AA1840" s="321" t="s">
        <v>5718</v>
      </c>
    </row>
    <row r="1841" spans="13:27">
      <c r="M1841" s="321">
        <v>1761000581</v>
      </c>
      <c r="N1841" s="321">
        <v>76</v>
      </c>
      <c r="O1841" s="321" t="s">
        <v>5719</v>
      </c>
      <c r="P1841" s="321">
        <v>6761000</v>
      </c>
      <c r="Q1841" s="322">
        <v>0</v>
      </c>
      <c r="R1841" s="322">
        <v>0</v>
      </c>
      <c r="S1841" s="322">
        <v>10000</v>
      </c>
      <c r="T1841" s="322">
        <v>5000</v>
      </c>
      <c r="U1841" s="322">
        <f t="shared" si="142"/>
        <v>5000</v>
      </c>
      <c r="W1841" s="321">
        <f t="shared" si="143"/>
        <v>581</v>
      </c>
      <c r="X1841" s="321">
        <f t="shared" si="144"/>
        <v>761000</v>
      </c>
      <c r="Y1841" s="321">
        <v>1</v>
      </c>
      <c r="AA1841" s="321" t="s">
        <v>5719</v>
      </c>
    </row>
    <row r="1842" spans="13:27">
      <c r="M1842" s="321">
        <v>1761000582</v>
      </c>
      <c r="N1842" s="321">
        <v>76</v>
      </c>
      <c r="O1842" s="321" t="s">
        <v>5720</v>
      </c>
      <c r="P1842" s="321">
        <v>6761000</v>
      </c>
      <c r="Q1842" s="322">
        <v>21000</v>
      </c>
      <c r="R1842" s="322">
        <v>13000</v>
      </c>
      <c r="S1842" s="322">
        <v>21000</v>
      </c>
      <c r="T1842" s="322">
        <v>21000</v>
      </c>
      <c r="U1842" s="322">
        <f t="shared" si="142"/>
        <v>0</v>
      </c>
      <c r="W1842" s="321">
        <f t="shared" si="143"/>
        <v>582</v>
      </c>
      <c r="X1842" s="321">
        <f t="shared" si="144"/>
        <v>761000</v>
      </c>
      <c r="Y1842" s="321">
        <v>1</v>
      </c>
      <c r="AA1842" s="321" t="s">
        <v>5720</v>
      </c>
    </row>
    <row r="1843" spans="13:27">
      <c r="M1843" s="321">
        <v>1761000730</v>
      </c>
      <c r="N1843" s="321">
        <v>76</v>
      </c>
      <c r="O1843" s="321" t="s">
        <v>5721</v>
      </c>
      <c r="P1843" s="321">
        <v>6761000</v>
      </c>
      <c r="Q1843" s="322">
        <v>0</v>
      </c>
      <c r="R1843" s="322">
        <v>0</v>
      </c>
      <c r="S1843" s="322">
        <v>0</v>
      </c>
      <c r="T1843" s="322">
        <v>0</v>
      </c>
      <c r="U1843" s="322">
        <f t="shared" si="142"/>
        <v>0</v>
      </c>
      <c r="W1843" s="321">
        <f t="shared" si="143"/>
        <v>730</v>
      </c>
      <c r="X1843" s="321">
        <f t="shared" si="144"/>
        <v>761000</v>
      </c>
      <c r="Y1843" s="321">
        <v>1</v>
      </c>
      <c r="AA1843" s="321" t="s">
        <v>5721</v>
      </c>
    </row>
    <row r="1844" spans="13:27">
      <c r="M1844" s="321">
        <v>1761000731</v>
      </c>
      <c r="N1844" s="321">
        <v>76</v>
      </c>
      <c r="O1844" s="321" t="s">
        <v>5722</v>
      </c>
      <c r="P1844" s="321">
        <v>6761000</v>
      </c>
      <c r="Q1844" s="322">
        <v>45000</v>
      </c>
      <c r="R1844" s="322">
        <v>14500</v>
      </c>
      <c r="S1844" s="322">
        <v>45000</v>
      </c>
      <c r="T1844" s="322">
        <v>45000</v>
      </c>
      <c r="U1844" s="322">
        <f t="shared" si="142"/>
        <v>0</v>
      </c>
      <c r="W1844" s="321">
        <f t="shared" si="143"/>
        <v>731</v>
      </c>
      <c r="X1844" s="321">
        <f t="shared" si="144"/>
        <v>761000</v>
      </c>
      <c r="Y1844" s="321">
        <v>1</v>
      </c>
      <c r="AA1844" s="321" t="s">
        <v>5722</v>
      </c>
    </row>
    <row r="1845" spans="13:27">
      <c r="M1845" s="321">
        <v>1761000732</v>
      </c>
      <c r="N1845" s="321">
        <v>76</v>
      </c>
      <c r="O1845" s="321" t="s">
        <v>5723</v>
      </c>
      <c r="P1845" s="321">
        <v>6761000</v>
      </c>
      <c r="Q1845" s="322">
        <v>40000</v>
      </c>
      <c r="R1845" s="322">
        <v>14700</v>
      </c>
      <c r="S1845" s="322">
        <v>30000</v>
      </c>
      <c r="T1845" s="322">
        <v>30000</v>
      </c>
      <c r="U1845" s="322">
        <f t="shared" si="142"/>
        <v>0</v>
      </c>
      <c r="W1845" s="321">
        <f t="shared" si="143"/>
        <v>732</v>
      </c>
      <c r="X1845" s="321">
        <f t="shared" si="144"/>
        <v>761000</v>
      </c>
      <c r="Y1845" s="321">
        <v>1</v>
      </c>
      <c r="AA1845" s="321" t="s">
        <v>5723</v>
      </c>
    </row>
    <row r="1846" spans="13:27">
      <c r="M1846" s="321">
        <v>1761000733</v>
      </c>
      <c r="N1846" s="321">
        <v>76</v>
      </c>
      <c r="O1846" s="321" t="s">
        <v>5724</v>
      </c>
      <c r="P1846" s="321">
        <v>6761000</v>
      </c>
      <c r="Q1846" s="322">
        <v>35000</v>
      </c>
      <c r="R1846" s="322">
        <v>12500</v>
      </c>
      <c r="S1846" s="322">
        <v>35000</v>
      </c>
      <c r="T1846" s="322">
        <v>35000</v>
      </c>
      <c r="U1846" s="322">
        <f t="shared" si="142"/>
        <v>0</v>
      </c>
      <c r="W1846" s="321">
        <f t="shared" si="143"/>
        <v>733</v>
      </c>
      <c r="X1846" s="321">
        <f t="shared" si="144"/>
        <v>761000</v>
      </c>
      <c r="Y1846" s="321">
        <v>1</v>
      </c>
      <c r="AA1846" s="321" t="s">
        <v>5724</v>
      </c>
    </row>
    <row r="1847" spans="13:27">
      <c r="M1847" s="321">
        <v>1761000734</v>
      </c>
      <c r="N1847" s="321">
        <v>76</v>
      </c>
      <c r="O1847" s="321" t="s">
        <v>5725</v>
      </c>
      <c r="P1847" s="321">
        <v>6761000</v>
      </c>
      <c r="Q1847" s="322">
        <v>0</v>
      </c>
      <c r="R1847" s="322">
        <v>0</v>
      </c>
      <c r="S1847" s="322">
        <v>0</v>
      </c>
      <c r="T1847" s="322">
        <v>0</v>
      </c>
      <c r="U1847" s="322">
        <f t="shared" si="142"/>
        <v>0</v>
      </c>
      <c r="W1847" s="321">
        <f t="shared" si="143"/>
        <v>734</v>
      </c>
      <c r="X1847" s="321">
        <f t="shared" si="144"/>
        <v>761000</v>
      </c>
      <c r="Y1847" s="321">
        <v>1</v>
      </c>
      <c r="AA1847" s="321" t="s">
        <v>5725</v>
      </c>
    </row>
    <row r="1848" spans="13:27">
      <c r="M1848" s="321">
        <v>1761000735</v>
      </c>
      <c r="N1848" s="321">
        <v>76</v>
      </c>
      <c r="O1848" s="321" t="s">
        <v>5726</v>
      </c>
      <c r="P1848" s="321">
        <v>6761000</v>
      </c>
      <c r="Q1848" s="322">
        <v>300000</v>
      </c>
      <c r="R1848" s="322">
        <v>199400</v>
      </c>
      <c r="S1848" s="322">
        <v>300000</v>
      </c>
      <c r="T1848" s="322">
        <v>300000</v>
      </c>
      <c r="U1848" s="322">
        <f t="shared" si="142"/>
        <v>0</v>
      </c>
      <c r="W1848" s="321">
        <f t="shared" si="143"/>
        <v>735</v>
      </c>
      <c r="X1848" s="321">
        <f t="shared" si="144"/>
        <v>761000</v>
      </c>
      <c r="Y1848" s="321">
        <v>1</v>
      </c>
      <c r="AA1848" s="321" t="s">
        <v>5726</v>
      </c>
    </row>
    <row r="1849" spans="13:27">
      <c r="M1849" s="321">
        <v>1761000737</v>
      </c>
      <c r="N1849" s="321">
        <v>76</v>
      </c>
      <c r="O1849" s="321" t="s">
        <v>5727</v>
      </c>
      <c r="P1849" s="321">
        <v>6761000</v>
      </c>
      <c r="Q1849" s="322">
        <v>0</v>
      </c>
      <c r="R1849" s="322">
        <v>76300</v>
      </c>
      <c r="S1849" s="322">
        <v>120000</v>
      </c>
      <c r="T1849" s="322">
        <v>120000</v>
      </c>
      <c r="U1849" s="322">
        <f t="shared" si="142"/>
        <v>0</v>
      </c>
      <c r="W1849" s="321">
        <f t="shared" si="143"/>
        <v>737</v>
      </c>
      <c r="X1849" s="321">
        <f t="shared" si="144"/>
        <v>761000</v>
      </c>
      <c r="Y1849" s="321">
        <v>1</v>
      </c>
      <c r="AA1849" s="321" t="s">
        <v>5727</v>
      </c>
    </row>
    <row r="1850" spans="13:27">
      <c r="M1850" s="321">
        <v>1761000738</v>
      </c>
      <c r="N1850" s="321">
        <v>76</v>
      </c>
      <c r="O1850" s="321" t="s">
        <v>5728</v>
      </c>
      <c r="P1850" s="321">
        <v>6761000</v>
      </c>
      <c r="Q1850" s="322">
        <v>15000</v>
      </c>
      <c r="R1850" s="322">
        <v>0</v>
      </c>
      <c r="S1850" s="322">
        <v>15000</v>
      </c>
      <c r="T1850" s="322">
        <v>15000</v>
      </c>
      <c r="U1850" s="322">
        <f t="shared" si="142"/>
        <v>0</v>
      </c>
      <c r="W1850" s="321">
        <f t="shared" si="143"/>
        <v>738</v>
      </c>
      <c r="X1850" s="321">
        <f t="shared" si="144"/>
        <v>761000</v>
      </c>
      <c r="Y1850" s="321">
        <v>1</v>
      </c>
      <c r="AA1850" s="321" t="s">
        <v>5728</v>
      </c>
    </row>
    <row r="1851" spans="13:27">
      <c r="M1851" s="321">
        <v>1761000739</v>
      </c>
      <c r="N1851" s="321">
        <v>76</v>
      </c>
      <c r="O1851" s="321" t="s">
        <v>5729</v>
      </c>
      <c r="P1851" s="321">
        <v>6761000</v>
      </c>
      <c r="Q1851" s="322">
        <v>0</v>
      </c>
      <c r="R1851" s="322">
        <v>2600</v>
      </c>
      <c r="S1851" s="322">
        <v>20000</v>
      </c>
      <c r="T1851" s="322">
        <v>20000</v>
      </c>
      <c r="U1851" s="322">
        <f t="shared" si="142"/>
        <v>0</v>
      </c>
      <c r="W1851" s="321">
        <f t="shared" si="143"/>
        <v>739</v>
      </c>
      <c r="X1851" s="321">
        <f t="shared" si="144"/>
        <v>761000</v>
      </c>
      <c r="Y1851" s="321">
        <v>1</v>
      </c>
      <c r="AA1851" s="321" t="s">
        <v>5729</v>
      </c>
    </row>
    <row r="1852" spans="13:27">
      <c r="M1852" s="321">
        <v>1761000740</v>
      </c>
      <c r="N1852" s="321">
        <v>76</v>
      </c>
      <c r="O1852" s="321" t="s">
        <v>5264</v>
      </c>
      <c r="P1852" s="321">
        <v>6761000</v>
      </c>
      <c r="Q1852" s="322">
        <v>14500</v>
      </c>
      <c r="R1852" s="322">
        <v>13600</v>
      </c>
      <c r="S1852" s="322">
        <v>14500</v>
      </c>
      <c r="T1852" s="322">
        <v>14500</v>
      </c>
      <c r="U1852" s="322">
        <f t="shared" si="142"/>
        <v>0</v>
      </c>
      <c r="W1852" s="321">
        <f t="shared" si="143"/>
        <v>740</v>
      </c>
      <c r="X1852" s="321">
        <f t="shared" si="144"/>
        <v>761000</v>
      </c>
      <c r="Y1852" s="321">
        <v>1</v>
      </c>
      <c r="AA1852" s="321" t="s">
        <v>5264</v>
      </c>
    </row>
    <row r="1853" spans="13:27">
      <c r="M1853" s="321">
        <v>1761000741</v>
      </c>
      <c r="N1853" s="321">
        <v>76</v>
      </c>
      <c r="O1853" s="321" t="s">
        <v>5730</v>
      </c>
      <c r="P1853" s="321">
        <v>6761000</v>
      </c>
      <c r="Q1853" s="322">
        <v>14500</v>
      </c>
      <c r="R1853" s="322">
        <v>7400</v>
      </c>
      <c r="S1853" s="322">
        <v>14500</v>
      </c>
      <c r="T1853" s="322">
        <v>14500</v>
      </c>
      <c r="U1853" s="322">
        <f t="shared" si="142"/>
        <v>0</v>
      </c>
      <c r="W1853" s="321">
        <f t="shared" si="143"/>
        <v>741</v>
      </c>
      <c r="X1853" s="321">
        <f t="shared" si="144"/>
        <v>761000</v>
      </c>
      <c r="Y1853" s="321">
        <v>1</v>
      </c>
      <c r="AA1853" s="321" t="s">
        <v>5730</v>
      </c>
    </row>
    <row r="1854" spans="13:27">
      <c r="M1854" s="321">
        <v>1761000742</v>
      </c>
      <c r="N1854" s="321">
        <v>76</v>
      </c>
      <c r="O1854" s="321" t="s">
        <v>5731</v>
      </c>
      <c r="P1854" s="321">
        <v>6761000</v>
      </c>
      <c r="Q1854" s="322">
        <v>6800</v>
      </c>
      <c r="R1854" s="322">
        <v>5300</v>
      </c>
      <c r="S1854" s="322">
        <v>6800</v>
      </c>
      <c r="T1854" s="322">
        <v>6800</v>
      </c>
      <c r="U1854" s="322">
        <f t="shared" si="142"/>
        <v>0</v>
      </c>
      <c r="W1854" s="321">
        <f t="shared" si="143"/>
        <v>742</v>
      </c>
      <c r="X1854" s="321">
        <f t="shared" si="144"/>
        <v>761000</v>
      </c>
      <c r="Y1854" s="321">
        <v>1</v>
      </c>
      <c r="AA1854" s="321" t="s">
        <v>5731</v>
      </c>
    </row>
    <row r="1855" spans="13:27">
      <c r="M1855" s="321">
        <v>1761000750</v>
      </c>
      <c r="N1855" s="321">
        <v>76</v>
      </c>
      <c r="O1855" s="321" t="s">
        <v>2707</v>
      </c>
      <c r="P1855" s="321">
        <v>6761000</v>
      </c>
      <c r="Q1855" s="322">
        <v>100000</v>
      </c>
      <c r="R1855" s="322">
        <v>35700</v>
      </c>
      <c r="S1855" s="322">
        <v>100000</v>
      </c>
      <c r="T1855" s="322">
        <v>100000</v>
      </c>
      <c r="U1855" s="322">
        <f t="shared" si="142"/>
        <v>0</v>
      </c>
      <c r="W1855" s="321">
        <f t="shared" si="143"/>
        <v>750</v>
      </c>
      <c r="X1855" s="321">
        <f t="shared" si="144"/>
        <v>761000</v>
      </c>
      <c r="Y1855" s="321">
        <v>1</v>
      </c>
      <c r="AA1855" s="321" t="s">
        <v>2707</v>
      </c>
    </row>
    <row r="1856" spans="13:27">
      <c r="M1856" s="321">
        <v>1761000751</v>
      </c>
      <c r="N1856" s="321">
        <v>76</v>
      </c>
      <c r="O1856" s="321" t="s">
        <v>5732</v>
      </c>
      <c r="P1856" s="321">
        <v>6761000</v>
      </c>
      <c r="Q1856" s="322">
        <v>100000</v>
      </c>
      <c r="R1856" s="322">
        <v>8400</v>
      </c>
      <c r="S1856" s="322">
        <v>100000</v>
      </c>
      <c r="T1856" s="322">
        <v>100000</v>
      </c>
      <c r="U1856" s="322">
        <f t="shared" si="142"/>
        <v>0</v>
      </c>
      <c r="W1856" s="321">
        <f t="shared" si="143"/>
        <v>751</v>
      </c>
      <c r="X1856" s="321">
        <f t="shared" si="144"/>
        <v>761000</v>
      </c>
      <c r="Y1856" s="321">
        <v>1</v>
      </c>
      <c r="AA1856" s="321" t="s">
        <v>5732</v>
      </c>
    </row>
    <row r="1857" spans="13:27">
      <c r="M1857" s="321">
        <v>1761000753</v>
      </c>
      <c r="N1857" s="321">
        <v>76</v>
      </c>
      <c r="O1857" s="321" t="s">
        <v>5733</v>
      </c>
      <c r="P1857" s="321">
        <v>6761000</v>
      </c>
      <c r="Q1857" s="322">
        <v>85000</v>
      </c>
      <c r="R1857" s="322">
        <v>5200</v>
      </c>
      <c r="S1857" s="322">
        <v>85000</v>
      </c>
      <c r="T1857" s="322">
        <v>85000</v>
      </c>
      <c r="U1857" s="322">
        <f t="shared" si="142"/>
        <v>0</v>
      </c>
      <c r="W1857" s="321">
        <f t="shared" si="143"/>
        <v>753</v>
      </c>
      <c r="X1857" s="321">
        <f t="shared" si="144"/>
        <v>761000</v>
      </c>
      <c r="Y1857" s="321">
        <v>1</v>
      </c>
      <c r="AA1857" s="321" t="s">
        <v>5733</v>
      </c>
    </row>
    <row r="1858" spans="13:27">
      <c r="M1858" s="321">
        <v>1761000756</v>
      </c>
      <c r="N1858" s="321">
        <v>76</v>
      </c>
      <c r="O1858" s="321" t="s">
        <v>5734</v>
      </c>
      <c r="P1858" s="321">
        <v>6761000</v>
      </c>
      <c r="Q1858" s="322">
        <v>9000</v>
      </c>
      <c r="R1858" s="322">
        <v>0</v>
      </c>
      <c r="S1858" s="322">
        <v>30000</v>
      </c>
      <c r="T1858" s="322">
        <v>30000</v>
      </c>
      <c r="U1858" s="322">
        <f t="shared" ref="U1858:U1921" si="145">S1858-T1858</f>
        <v>0</v>
      </c>
      <c r="W1858" s="321">
        <f t="shared" si="143"/>
        <v>756</v>
      </c>
      <c r="X1858" s="321">
        <f t="shared" si="144"/>
        <v>761000</v>
      </c>
      <c r="Y1858" s="321">
        <v>1</v>
      </c>
      <c r="AA1858" s="321" t="s">
        <v>5734</v>
      </c>
    </row>
    <row r="1859" spans="13:27">
      <c r="M1859" s="321">
        <v>1761000760</v>
      </c>
      <c r="N1859" s="321">
        <v>76</v>
      </c>
      <c r="O1859" s="321" t="s">
        <v>5371</v>
      </c>
      <c r="P1859" s="321">
        <v>6761000</v>
      </c>
      <c r="Q1859" s="322">
        <v>20000</v>
      </c>
      <c r="R1859" s="322">
        <v>12600</v>
      </c>
      <c r="S1859" s="322">
        <v>44000</v>
      </c>
      <c r="T1859" s="322">
        <v>44000</v>
      </c>
      <c r="U1859" s="322">
        <f t="shared" si="145"/>
        <v>0</v>
      </c>
      <c r="W1859" s="321">
        <f t="shared" ref="W1859:W1922" si="146">M1859-1000000000-X1859*1000</f>
        <v>760</v>
      </c>
      <c r="X1859" s="321">
        <f t="shared" ref="X1859:X1922" si="147">ROUNDDOWN((M1859-1000000000)/1000,0)</f>
        <v>761000</v>
      </c>
      <c r="Y1859" s="321">
        <v>1</v>
      </c>
      <c r="AA1859" s="321" t="s">
        <v>5371</v>
      </c>
    </row>
    <row r="1860" spans="13:27">
      <c r="M1860" s="321">
        <v>1761000779</v>
      </c>
      <c r="N1860" s="321">
        <v>76</v>
      </c>
      <c r="O1860" s="321" t="s">
        <v>5382</v>
      </c>
      <c r="P1860" s="321">
        <v>6761000</v>
      </c>
      <c r="Q1860" s="322">
        <v>9000</v>
      </c>
      <c r="R1860" s="322">
        <v>4000</v>
      </c>
      <c r="S1860" s="322">
        <v>9000</v>
      </c>
      <c r="T1860" s="322">
        <v>9000</v>
      </c>
      <c r="U1860" s="322">
        <f t="shared" si="145"/>
        <v>0</v>
      </c>
      <c r="W1860" s="321">
        <f t="shared" si="146"/>
        <v>779</v>
      </c>
      <c r="X1860" s="321">
        <f t="shared" si="147"/>
        <v>761000</v>
      </c>
      <c r="Y1860" s="321">
        <v>1</v>
      </c>
      <c r="AA1860" s="321" t="s">
        <v>5382</v>
      </c>
    </row>
    <row r="1861" spans="13:27">
      <c r="M1861" s="321">
        <v>1761000981</v>
      </c>
      <c r="N1861" s="321">
        <v>76</v>
      </c>
      <c r="O1861" s="321" t="s">
        <v>5307</v>
      </c>
      <c r="P1861" s="321">
        <v>1761000</v>
      </c>
      <c r="Q1861" s="322">
        <v>0</v>
      </c>
      <c r="R1861" s="322">
        <v>0</v>
      </c>
      <c r="S1861" s="322">
        <v>0</v>
      </c>
      <c r="T1861" s="322">
        <v>0</v>
      </c>
      <c r="U1861" s="322">
        <f t="shared" si="145"/>
        <v>0</v>
      </c>
      <c r="W1861" s="321">
        <f t="shared" si="146"/>
        <v>981</v>
      </c>
      <c r="X1861" s="321">
        <f t="shared" si="147"/>
        <v>761000</v>
      </c>
      <c r="Y1861" s="321">
        <v>1</v>
      </c>
      <c r="AA1861" s="321" t="s">
        <v>5307</v>
      </c>
    </row>
    <row r="1862" spans="13:27">
      <c r="M1862" s="321">
        <v>1762000110</v>
      </c>
      <c r="N1862" s="321">
        <v>76</v>
      </c>
      <c r="O1862" s="321" t="s">
        <v>5205</v>
      </c>
      <c r="P1862" s="321">
        <v>6762000</v>
      </c>
      <c r="Q1862" s="322">
        <v>143000</v>
      </c>
      <c r="R1862" s="322">
        <v>103700</v>
      </c>
      <c r="S1862" s="322">
        <v>142000</v>
      </c>
      <c r="T1862" s="322">
        <v>142000</v>
      </c>
      <c r="U1862" s="322">
        <f t="shared" si="145"/>
        <v>0</v>
      </c>
      <c r="W1862" s="321">
        <f t="shared" si="146"/>
        <v>110</v>
      </c>
      <c r="X1862" s="321">
        <f t="shared" si="147"/>
        <v>762000</v>
      </c>
      <c r="Y1862" s="321">
        <v>1</v>
      </c>
      <c r="AA1862" s="321" t="s">
        <v>5205</v>
      </c>
    </row>
    <row r="1863" spans="13:27">
      <c r="M1863" s="321">
        <v>1762000120</v>
      </c>
      <c r="N1863" s="321">
        <v>76</v>
      </c>
      <c r="O1863" s="321" t="s">
        <v>5711</v>
      </c>
      <c r="P1863" s="321">
        <v>6762000</v>
      </c>
      <c r="Q1863" s="322">
        <v>34000</v>
      </c>
      <c r="R1863" s="322">
        <v>29000</v>
      </c>
      <c r="S1863" s="322">
        <v>35000</v>
      </c>
      <c r="T1863" s="322">
        <v>35000</v>
      </c>
      <c r="U1863" s="322">
        <f t="shared" si="145"/>
        <v>0</v>
      </c>
      <c r="W1863" s="321">
        <f t="shared" si="146"/>
        <v>120</v>
      </c>
      <c r="X1863" s="321">
        <f t="shared" si="147"/>
        <v>762000</v>
      </c>
      <c r="Y1863" s="321">
        <v>1</v>
      </c>
      <c r="AA1863" s="321" t="s">
        <v>5711</v>
      </c>
    </row>
    <row r="1864" spans="13:27">
      <c r="M1864" s="321">
        <v>1762000140</v>
      </c>
      <c r="N1864" s="321">
        <v>76</v>
      </c>
      <c r="O1864" s="321" t="s">
        <v>2578</v>
      </c>
      <c r="P1864" s="321">
        <v>6762000</v>
      </c>
      <c r="Q1864" s="322">
        <v>32000</v>
      </c>
      <c r="R1864" s="322">
        <v>28600</v>
      </c>
      <c r="S1864" s="322">
        <v>35000</v>
      </c>
      <c r="T1864" s="322">
        <v>35000</v>
      </c>
      <c r="U1864" s="322">
        <f t="shared" si="145"/>
        <v>0</v>
      </c>
      <c r="W1864" s="321">
        <f t="shared" si="146"/>
        <v>140</v>
      </c>
      <c r="X1864" s="321">
        <f t="shared" si="147"/>
        <v>762000</v>
      </c>
      <c r="Y1864" s="321">
        <v>1</v>
      </c>
      <c r="AA1864" s="321" t="s">
        <v>2578</v>
      </c>
    </row>
    <row r="1865" spans="13:27">
      <c r="M1865" s="321">
        <v>1762000141</v>
      </c>
      <c r="N1865" s="321">
        <v>76</v>
      </c>
      <c r="O1865" s="321" t="s">
        <v>2578</v>
      </c>
      <c r="P1865" s="321">
        <v>6762000</v>
      </c>
      <c r="Q1865" s="322">
        <v>5000</v>
      </c>
      <c r="R1865" s="322">
        <v>3900</v>
      </c>
      <c r="S1865" s="322">
        <v>6000</v>
      </c>
      <c r="T1865" s="322">
        <v>6000</v>
      </c>
      <c r="U1865" s="322">
        <f t="shared" si="145"/>
        <v>0</v>
      </c>
      <c r="W1865" s="321">
        <f t="shared" si="146"/>
        <v>141</v>
      </c>
      <c r="X1865" s="321">
        <f t="shared" si="147"/>
        <v>762000</v>
      </c>
      <c r="Y1865" s="321">
        <v>1</v>
      </c>
      <c r="AA1865" s="321" t="s">
        <v>2578</v>
      </c>
    </row>
    <row r="1866" spans="13:27">
      <c r="M1866" s="321">
        <v>1762000181</v>
      </c>
      <c r="N1866" s="321">
        <v>76</v>
      </c>
      <c r="O1866" s="321" t="s">
        <v>2580</v>
      </c>
      <c r="P1866" s="321">
        <v>6762000</v>
      </c>
      <c r="Q1866" s="322">
        <v>30000</v>
      </c>
      <c r="R1866" s="322">
        <v>22700</v>
      </c>
      <c r="S1866" s="322">
        <v>31000</v>
      </c>
      <c r="T1866" s="322">
        <v>31000</v>
      </c>
      <c r="U1866" s="322">
        <f t="shared" si="145"/>
        <v>0</v>
      </c>
      <c r="W1866" s="321">
        <f t="shared" si="146"/>
        <v>181</v>
      </c>
      <c r="X1866" s="321">
        <f t="shared" si="147"/>
        <v>762000</v>
      </c>
      <c r="Y1866" s="321">
        <v>1</v>
      </c>
      <c r="AA1866" s="321" t="s">
        <v>2580</v>
      </c>
    </row>
    <row r="1867" spans="13:27">
      <c r="M1867" s="321">
        <v>1762000182</v>
      </c>
      <c r="N1867" s="321">
        <v>76</v>
      </c>
      <c r="O1867" s="321" t="s">
        <v>2582</v>
      </c>
      <c r="P1867" s="321">
        <v>6762000</v>
      </c>
      <c r="Q1867" s="322">
        <v>28000</v>
      </c>
      <c r="R1867" s="322">
        <v>21200</v>
      </c>
      <c r="S1867" s="322">
        <v>30000</v>
      </c>
      <c r="T1867" s="322">
        <v>30000</v>
      </c>
      <c r="U1867" s="322">
        <f t="shared" si="145"/>
        <v>0</v>
      </c>
      <c r="W1867" s="321">
        <f t="shared" si="146"/>
        <v>182</v>
      </c>
      <c r="X1867" s="321">
        <f t="shared" si="147"/>
        <v>762000</v>
      </c>
      <c r="Y1867" s="321">
        <v>1</v>
      </c>
      <c r="AA1867" s="321" t="s">
        <v>2582</v>
      </c>
    </row>
    <row r="1868" spans="13:27">
      <c r="M1868" s="321">
        <v>1762000470</v>
      </c>
      <c r="N1868" s="321">
        <v>76</v>
      </c>
      <c r="O1868" s="321" t="s">
        <v>2830</v>
      </c>
      <c r="P1868" s="321">
        <v>6762000</v>
      </c>
      <c r="Q1868" s="322">
        <v>4300</v>
      </c>
      <c r="R1868" s="322">
        <v>1200</v>
      </c>
      <c r="S1868" s="322">
        <v>4300</v>
      </c>
      <c r="T1868" s="322">
        <v>4300</v>
      </c>
      <c r="U1868" s="322">
        <f t="shared" si="145"/>
        <v>0</v>
      </c>
      <c r="W1868" s="321">
        <f t="shared" si="146"/>
        <v>470</v>
      </c>
      <c r="X1868" s="321">
        <f t="shared" si="147"/>
        <v>762000</v>
      </c>
      <c r="Y1868" s="321">
        <v>1</v>
      </c>
      <c r="AA1868" s="321" t="s">
        <v>2830</v>
      </c>
    </row>
    <row r="1869" spans="13:27">
      <c r="M1869" s="321">
        <v>1762000522</v>
      </c>
      <c r="N1869" s="321">
        <v>76</v>
      </c>
      <c r="O1869" s="321" t="s">
        <v>2608</v>
      </c>
      <c r="P1869" s="321">
        <v>6762000</v>
      </c>
      <c r="Q1869" s="322">
        <v>2000</v>
      </c>
      <c r="R1869" s="322">
        <v>0</v>
      </c>
      <c r="S1869" s="322">
        <v>2000</v>
      </c>
      <c r="T1869" s="322">
        <v>2000</v>
      </c>
      <c r="U1869" s="322">
        <f t="shared" si="145"/>
        <v>0</v>
      </c>
      <c r="W1869" s="321">
        <f t="shared" si="146"/>
        <v>522</v>
      </c>
      <c r="X1869" s="321">
        <f t="shared" si="147"/>
        <v>762000</v>
      </c>
      <c r="Y1869" s="321">
        <v>1</v>
      </c>
      <c r="AA1869" s="321" t="s">
        <v>2608</v>
      </c>
    </row>
    <row r="1870" spans="13:27">
      <c r="M1870" s="321">
        <v>1762000572</v>
      </c>
      <c r="N1870" s="321">
        <v>76</v>
      </c>
      <c r="O1870" s="321" t="s">
        <v>5735</v>
      </c>
      <c r="P1870" s="321">
        <v>6762000</v>
      </c>
      <c r="Q1870" s="322">
        <v>59000</v>
      </c>
      <c r="R1870" s="322">
        <v>0</v>
      </c>
      <c r="S1870" s="322">
        <v>59000</v>
      </c>
      <c r="T1870" s="322">
        <v>59000</v>
      </c>
      <c r="U1870" s="322">
        <f t="shared" si="145"/>
        <v>0</v>
      </c>
      <c r="W1870" s="321">
        <f t="shared" si="146"/>
        <v>572</v>
      </c>
      <c r="X1870" s="321">
        <f t="shared" si="147"/>
        <v>762000</v>
      </c>
      <c r="Y1870" s="321">
        <v>1</v>
      </c>
      <c r="AA1870" s="321" t="s">
        <v>5735</v>
      </c>
    </row>
    <row r="1871" spans="13:27">
      <c r="M1871" s="321">
        <v>1762000730</v>
      </c>
      <c r="N1871" s="321">
        <v>76</v>
      </c>
      <c r="O1871" s="321" t="s">
        <v>5725</v>
      </c>
      <c r="P1871" s="321">
        <v>6762000</v>
      </c>
      <c r="Q1871" s="322">
        <v>0</v>
      </c>
      <c r="R1871" s="322">
        <v>0</v>
      </c>
      <c r="S1871" s="322">
        <v>20000</v>
      </c>
      <c r="T1871" s="322">
        <v>20000</v>
      </c>
      <c r="U1871" s="322">
        <f t="shared" si="145"/>
        <v>0</v>
      </c>
      <c r="W1871" s="321">
        <f t="shared" si="146"/>
        <v>730</v>
      </c>
      <c r="X1871" s="321">
        <f t="shared" si="147"/>
        <v>762000</v>
      </c>
      <c r="Y1871" s="321">
        <v>1</v>
      </c>
      <c r="AA1871" s="321" t="s">
        <v>5725</v>
      </c>
    </row>
    <row r="1872" spans="13:27">
      <c r="M1872" s="321">
        <v>1763000110</v>
      </c>
      <c r="N1872" s="321">
        <v>76</v>
      </c>
      <c r="O1872" s="321" t="s">
        <v>5205</v>
      </c>
      <c r="P1872" s="321">
        <v>6763000</v>
      </c>
      <c r="Q1872" s="322">
        <v>3382000</v>
      </c>
      <c r="R1872" s="322">
        <v>2408900</v>
      </c>
      <c r="S1872" s="322">
        <v>3948000</v>
      </c>
      <c r="T1872" s="322">
        <v>3156000</v>
      </c>
      <c r="U1872" s="322">
        <f t="shared" si="145"/>
        <v>792000</v>
      </c>
      <c r="W1872" s="321">
        <f t="shared" si="146"/>
        <v>110</v>
      </c>
      <c r="X1872" s="321">
        <f t="shared" si="147"/>
        <v>763000</v>
      </c>
      <c r="Y1872" s="321">
        <v>1</v>
      </c>
      <c r="AA1872" s="321" t="s">
        <v>5205</v>
      </c>
    </row>
    <row r="1873" spans="13:27">
      <c r="M1873" s="321">
        <v>1763000120</v>
      </c>
      <c r="N1873" s="321">
        <v>76</v>
      </c>
      <c r="O1873" s="321" t="s">
        <v>5206</v>
      </c>
      <c r="P1873" s="321">
        <v>6763000</v>
      </c>
      <c r="Q1873" s="322">
        <v>320000</v>
      </c>
      <c r="R1873" s="322">
        <v>291900</v>
      </c>
      <c r="S1873" s="322">
        <v>363000</v>
      </c>
      <c r="T1873" s="322">
        <v>363000</v>
      </c>
      <c r="U1873" s="322">
        <f t="shared" si="145"/>
        <v>0</v>
      </c>
      <c r="W1873" s="321">
        <f t="shared" si="146"/>
        <v>120</v>
      </c>
      <c r="X1873" s="321">
        <f t="shared" si="147"/>
        <v>763000</v>
      </c>
      <c r="Y1873" s="321">
        <v>1</v>
      </c>
      <c r="AA1873" s="321" t="s">
        <v>5206</v>
      </c>
    </row>
    <row r="1874" spans="13:27">
      <c r="M1874" s="321">
        <v>1763000130</v>
      </c>
      <c r="N1874" s="321">
        <v>76</v>
      </c>
      <c r="O1874" s="321" t="s">
        <v>2576</v>
      </c>
      <c r="P1874" s="321">
        <v>6763000</v>
      </c>
      <c r="Q1874" s="322">
        <v>677000</v>
      </c>
      <c r="R1874" s="322">
        <v>461300</v>
      </c>
      <c r="S1874" s="322">
        <v>751000</v>
      </c>
      <c r="T1874" s="322">
        <v>675900</v>
      </c>
      <c r="U1874" s="322">
        <f t="shared" si="145"/>
        <v>75100</v>
      </c>
      <c r="W1874" s="321">
        <f t="shared" si="146"/>
        <v>130</v>
      </c>
      <c r="X1874" s="321">
        <f t="shared" si="147"/>
        <v>763000</v>
      </c>
      <c r="Y1874" s="321">
        <v>1</v>
      </c>
      <c r="AA1874" s="321" t="s">
        <v>2576</v>
      </c>
    </row>
    <row r="1875" spans="13:27">
      <c r="M1875" s="321">
        <v>1763000140</v>
      </c>
      <c r="N1875" s="321">
        <v>76</v>
      </c>
      <c r="O1875" s="321" t="s">
        <v>5207</v>
      </c>
      <c r="P1875" s="321">
        <v>6763000</v>
      </c>
      <c r="Q1875" s="322">
        <v>255000</v>
      </c>
      <c r="R1875" s="322">
        <v>159000</v>
      </c>
      <c r="S1875" s="322">
        <v>370000</v>
      </c>
      <c r="T1875" s="322">
        <v>370000</v>
      </c>
      <c r="U1875" s="322">
        <f t="shared" si="145"/>
        <v>0</v>
      </c>
      <c r="W1875" s="321">
        <f t="shared" si="146"/>
        <v>140</v>
      </c>
      <c r="X1875" s="321">
        <f t="shared" si="147"/>
        <v>763000</v>
      </c>
      <c r="Y1875" s="321">
        <v>1</v>
      </c>
      <c r="AA1875" s="321" t="s">
        <v>5207</v>
      </c>
    </row>
    <row r="1876" spans="13:27">
      <c r="M1876" s="321">
        <v>1763000141</v>
      </c>
      <c r="N1876" s="321">
        <v>76</v>
      </c>
      <c r="O1876" s="321" t="s">
        <v>5208</v>
      </c>
      <c r="P1876" s="321">
        <v>6763000</v>
      </c>
      <c r="Q1876" s="322">
        <v>129000</v>
      </c>
      <c r="R1876" s="322">
        <v>109700</v>
      </c>
      <c r="S1876" s="322">
        <v>177000</v>
      </c>
      <c r="T1876" s="322">
        <v>177000</v>
      </c>
      <c r="U1876" s="322">
        <f t="shared" si="145"/>
        <v>0</v>
      </c>
      <c r="W1876" s="321">
        <f t="shared" si="146"/>
        <v>141</v>
      </c>
      <c r="X1876" s="321">
        <f t="shared" si="147"/>
        <v>763000</v>
      </c>
      <c r="Y1876" s="321">
        <v>1</v>
      </c>
      <c r="AA1876" s="321" t="s">
        <v>5208</v>
      </c>
    </row>
    <row r="1877" spans="13:27">
      <c r="M1877" s="321">
        <v>1763000181</v>
      </c>
      <c r="N1877" s="321">
        <v>76</v>
      </c>
      <c r="O1877" s="321" t="s">
        <v>2580</v>
      </c>
      <c r="P1877" s="321">
        <v>6763000</v>
      </c>
      <c r="Q1877" s="322">
        <v>851000</v>
      </c>
      <c r="R1877" s="322">
        <v>615000</v>
      </c>
      <c r="S1877" s="322">
        <v>1025000</v>
      </c>
      <c r="T1877" s="322">
        <v>1025000</v>
      </c>
      <c r="U1877" s="322">
        <f t="shared" si="145"/>
        <v>0</v>
      </c>
      <c r="W1877" s="321">
        <f t="shared" si="146"/>
        <v>181</v>
      </c>
      <c r="X1877" s="321">
        <f t="shared" si="147"/>
        <v>763000</v>
      </c>
      <c r="Y1877" s="321">
        <v>1</v>
      </c>
      <c r="AA1877" s="321" t="s">
        <v>2580</v>
      </c>
    </row>
    <row r="1878" spans="13:27">
      <c r="M1878" s="321">
        <v>1763000182</v>
      </c>
      <c r="N1878" s="321">
        <v>76</v>
      </c>
      <c r="O1878" s="321" t="s">
        <v>5285</v>
      </c>
      <c r="P1878" s="321">
        <v>6763000</v>
      </c>
      <c r="Q1878" s="322">
        <v>698000</v>
      </c>
      <c r="R1878" s="322">
        <v>496900</v>
      </c>
      <c r="S1878" s="322">
        <v>829000</v>
      </c>
      <c r="T1878" s="322">
        <v>829000</v>
      </c>
      <c r="U1878" s="322">
        <f t="shared" si="145"/>
        <v>0</v>
      </c>
      <c r="W1878" s="321">
        <f t="shared" si="146"/>
        <v>182</v>
      </c>
      <c r="X1878" s="321">
        <f t="shared" si="147"/>
        <v>763000</v>
      </c>
      <c r="Y1878" s="321">
        <v>1</v>
      </c>
      <c r="AA1878" s="321" t="s">
        <v>5285</v>
      </c>
    </row>
    <row r="1879" spans="13:27">
      <c r="M1879" s="321">
        <v>1763000210</v>
      </c>
      <c r="N1879" s="321">
        <v>76</v>
      </c>
      <c r="O1879" s="321" t="s">
        <v>2572</v>
      </c>
      <c r="P1879" s="321">
        <v>6763000</v>
      </c>
      <c r="Q1879" s="322">
        <v>1100000</v>
      </c>
      <c r="R1879" s="322">
        <v>324100</v>
      </c>
      <c r="S1879" s="322">
        <v>500000</v>
      </c>
      <c r="T1879" s="322">
        <v>500000</v>
      </c>
      <c r="U1879" s="322">
        <f t="shared" si="145"/>
        <v>0</v>
      </c>
      <c r="W1879" s="321">
        <f t="shared" si="146"/>
        <v>210</v>
      </c>
      <c r="X1879" s="321">
        <f t="shared" si="147"/>
        <v>763000</v>
      </c>
      <c r="Y1879" s="321">
        <v>1</v>
      </c>
      <c r="AA1879" s="321" t="s">
        <v>2572</v>
      </c>
    </row>
    <row r="1880" spans="13:27">
      <c r="M1880" s="321">
        <v>1763000420</v>
      </c>
      <c r="N1880" s="321">
        <v>76</v>
      </c>
      <c r="O1880" s="321" t="s">
        <v>5736</v>
      </c>
      <c r="P1880" s="321">
        <v>6763000</v>
      </c>
      <c r="Q1880" s="322">
        <v>45000</v>
      </c>
      <c r="R1880" s="322">
        <v>24300</v>
      </c>
      <c r="S1880" s="322">
        <v>45000</v>
      </c>
      <c r="T1880" s="322">
        <v>45000</v>
      </c>
      <c r="U1880" s="322">
        <f t="shared" si="145"/>
        <v>0</v>
      </c>
      <c r="W1880" s="321">
        <f t="shared" si="146"/>
        <v>420</v>
      </c>
      <c r="X1880" s="321">
        <f t="shared" si="147"/>
        <v>763000</v>
      </c>
      <c r="Y1880" s="321">
        <v>1</v>
      </c>
      <c r="AA1880" s="321" t="s">
        <v>5736</v>
      </c>
    </row>
    <row r="1881" spans="13:27">
      <c r="M1881" s="321">
        <v>1763000470</v>
      </c>
      <c r="N1881" s="321">
        <v>76</v>
      </c>
      <c r="O1881" s="321" t="s">
        <v>5683</v>
      </c>
      <c r="P1881" s="321">
        <v>6763000</v>
      </c>
      <c r="Q1881" s="322">
        <v>24700</v>
      </c>
      <c r="R1881" s="322">
        <v>18100</v>
      </c>
      <c r="S1881" s="322">
        <v>26000</v>
      </c>
      <c r="T1881" s="322">
        <v>26000</v>
      </c>
      <c r="U1881" s="322">
        <f t="shared" si="145"/>
        <v>0</v>
      </c>
      <c r="W1881" s="321">
        <f t="shared" si="146"/>
        <v>470</v>
      </c>
      <c r="X1881" s="321">
        <f t="shared" si="147"/>
        <v>763000</v>
      </c>
      <c r="Y1881" s="321">
        <v>1</v>
      </c>
      <c r="AA1881" s="321" t="s">
        <v>5683</v>
      </c>
    </row>
    <row r="1882" spans="13:27">
      <c r="M1882" s="321">
        <v>1763000471</v>
      </c>
      <c r="N1882" s="321">
        <v>76</v>
      </c>
      <c r="O1882" s="321" t="s">
        <v>5212</v>
      </c>
      <c r="P1882" s="321">
        <v>6763000</v>
      </c>
      <c r="Q1882" s="322">
        <v>3500</v>
      </c>
      <c r="R1882" s="322">
        <v>0</v>
      </c>
      <c r="S1882" s="322">
        <v>3700</v>
      </c>
      <c r="T1882" s="322">
        <v>3700</v>
      </c>
      <c r="U1882" s="322">
        <f t="shared" si="145"/>
        <v>0</v>
      </c>
      <c r="W1882" s="321">
        <f t="shared" si="146"/>
        <v>471</v>
      </c>
      <c r="X1882" s="321">
        <f t="shared" si="147"/>
        <v>763000</v>
      </c>
      <c r="Y1882" s="321">
        <v>1</v>
      </c>
      <c r="AA1882" s="321" t="s">
        <v>5212</v>
      </c>
    </row>
    <row r="1883" spans="13:27">
      <c r="M1883" s="321">
        <v>1763000510</v>
      </c>
      <c r="N1883" s="321">
        <v>76</v>
      </c>
      <c r="O1883" s="321" t="s">
        <v>2805</v>
      </c>
      <c r="P1883" s="321">
        <v>6763000</v>
      </c>
      <c r="Q1883" s="322">
        <v>10000</v>
      </c>
      <c r="R1883" s="322">
        <v>7000</v>
      </c>
      <c r="S1883" s="322">
        <v>10000</v>
      </c>
      <c r="T1883" s="322">
        <v>10000</v>
      </c>
      <c r="U1883" s="322">
        <f t="shared" si="145"/>
        <v>0</v>
      </c>
      <c r="W1883" s="321">
        <f t="shared" si="146"/>
        <v>510</v>
      </c>
      <c r="X1883" s="321">
        <f t="shared" si="147"/>
        <v>763000</v>
      </c>
      <c r="Y1883" s="321">
        <v>1</v>
      </c>
      <c r="AA1883" s="321" t="s">
        <v>2805</v>
      </c>
    </row>
    <row r="1884" spans="13:27">
      <c r="M1884" s="321">
        <v>1763000530</v>
      </c>
      <c r="N1884" s="321">
        <v>76</v>
      </c>
      <c r="O1884" s="321" t="s">
        <v>5737</v>
      </c>
      <c r="P1884" s="321">
        <v>6763000</v>
      </c>
      <c r="Q1884" s="322">
        <v>0</v>
      </c>
      <c r="R1884" s="322">
        <v>0</v>
      </c>
      <c r="S1884" s="322">
        <v>30000</v>
      </c>
      <c r="T1884" s="322">
        <v>30000</v>
      </c>
      <c r="U1884" s="322">
        <f t="shared" si="145"/>
        <v>0</v>
      </c>
      <c r="W1884" s="321">
        <f t="shared" si="146"/>
        <v>530</v>
      </c>
      <c r="X1884" s="321">
        <f t="shared" si="147"/>
        <v>763000</v>
      </c>
      <c r="Y1884" s="321">
        <v>1</v>
      </c>
      <c r="AA1884" s="321" t="s">
        <v>5737</v>
      </c>
    </row>
    <row r="1885" spans="13:27">
      <c r="M1885" s="321">
        <v>1763000531</v>
      </c>
      <c r="N1885" s="321">
        <v>76</v>
      </c>
      <c r="O1885" s="321" t="s">
        <v>5738</v>
      </c>
      <c r="P1885" s="321">
        <v>6763000</v>
      </c>
      <c r="Q1885" s="322">
        <v>35000</v>
      </c>
      <c r="R1885" s="322">
        <v>15400</v>
      </c>
      <c r="S1885" s="322">
        <v>35000</v>
      </c>
      <c r="T1885" s="322">
        <v>35000</v>
      </c>
      <c r="U1885" s="322">
        <f t="shared" si="145"/>
        <v>0</v>
      </c>
      <c r="W1885" s="321">
        <f t="shared" si="146"/>
        <v>531</v>
      </c>
      <c r="X1885" s="321">
        <f t="shared" si="147"/>
        <v>763000</v>
      </c>
      <c r="Y1885" s="321">
        <v>1</v>
      </c>
      <c r="AA1885" s="321" t="s">
        <v>5738</v>
      </c>
    </row>
    <row r="1886" spans="13:27">
      <c r="M1886" s="321">
        <v>1763000532</v>
      </c>
      <c r="N1886" s="321">
        <v>76</v>
      </c>
      <c r="O1886" s="321" t="s">
        <v>5739</v>
      </c>
      <c r="P1886" s="321">
        <v>6763000</v>
      </c>
      <c r="Q1886" s="322">
        <v>35000</v>
      </c>
      <c r="R1886" s="322">
        <v>22300</v>
      </c>
      <c r="S1886" s="322">
        <v>35000</v>
      </c>
      <c r="T1886" s="322">
        <v>35000</v>
      </c>
      <c r="U1886" s="322">
        <f t="shared" si="145"/>
        <v>0</v>
      </c>
      <c r="W1886" s="321">
        <f t="shared" si="146"/>
        <v>532</v>
      </c>
      <c r="X1886" s="321">
        <f t="shared" si="147"/>
        <v>763000</v>
      </c>
      <c r="Y1886" s="321">
        <v>1</v>
      </c>
      <c r="AA1886" s="321" t="s">
        <v>5739</v>
      </c>
    </row>
    <row r="1887" spans="13:27">
      <c r="M1887" s="321">
        <v>1763000533</v>
      </c>
      <c r="N1887" s="321">
        <v>76</v>
      </c>
      <c r="O1887" s="321" t="s">
        <v>5740</v>
      </c>
      <c r="P1887" s="321">
        <v>6763000</v>
      </c>
      <c r="Q1887" s="322">
        <v>35000</v>
      </c>
      <c r="R1887" s="322">
        <v>21400</v>
      </c>
      <c r="S1887" s="322">
        <v>35000</v>
      </c>
      <c r="T1887" s="322">
        <v>35000</v>
      </c>
      <c r="U1887" s="322">
        <f t="shared" si="145"/>
        <v>0</v>
      </c>
      <c r="W1887" s="321">
        <f t="shared" si="146"/>
        <v>533</v>
      </c>
      <c r="X1887" s="321">
        <f t="shared" si="147"/>
        <v>763000</v>
      </c>
      <c r="Y1887" s="321">
        <v>1</v>
      </c>
      <c r="AA1887" s="321" t="s">
        <v>5740</v>
      </c>
    </row>
    <row r="1888" spans="13:27">
      <c r="M1888" s="321">
        <v>1763000534</v>
      </c>
      <c r="N1888" s="321">
        <v>76</v>
      </c>
      <c r="O1888" s="321" t="s">
        <v>5741</v>
      </c>
      <c r="P1888" s="321">
        <v>6763000</v>
      </c>
      <c r="Q1888" s="322">
        <v>35000</v>
      </c>
      <c r="R1888" s="322">
        <v>4800</v>
      </c>
      <c r="S1888" s="322">
        <v>60000</v>
      </c>
      <c r="T1888" s="322">
        <v>60000</v>
      </c>
      <c r="U1888" s="322">
        <f t="shared" si="145"/>
        <v>0</v>
      </c>
      <c r="W1888" s="321">
        <f t="shared" si="146"/>
        <v>534</v>
      </c>
      <c r="X1888" s="321">
        <f t="shared" si="147"/>
        <v>763000</v>
      </c>
      <c r="Y1888" s="321">
        <v>1</v>
      </c>
      <c r="AA1888" s="321" t="s">
        <v>5741</v>
      </c>
    </row>
    <row r="1889" spans="13:27">
      <c r="M1889" s="321">
        <v>1763000535</v>
      </c>
      <c r="N1889" s="321">
        <v>76</v>
      </c>
      <c r="O1889" s="321" t="s">
        <v>5742</v>
      </c>
      <c r="P1889" s="321">
        <v>6763000</v>
      </c>
      <c r="Q1889" s="322">
        <v>50000</v>
      </c>
      <c r="R1889" s="322">
        <v>21900</v>
      </c>
      <c r="S1889" s="322">
        <v>50000</v>
      </c>
      <c r="T1889" s="322">
        <v>50000</v>
      </c>
      <c r="U1889" s="322">
        <f t="shared" si="145"/>
        <v>0</v>
      </c>
      <c r="W1889" s="321">
        <f t="shared" si="146"/>
        <v>535</v>
      </c>
      <c r="X1889" s="321">
        <f t="shared" si="147"/>
        <v>763000</v>
      </c>
      <c r="Y1889" s="321">
        <v>1</v>
      </c>
      <c r="AA1889" s="321" t="s">
        <v>5742</v>
      </c>
    </row>
    <row r="1890" spans="13:27">
      <c r="M1890" s="321">
        <v>1763000536</v>
      </c>
      <c r="N1890" s="321">
        <v>76</v>
      </c>
      <c r="O1890" s="321" t="s">
        <v>5743</v>
      </c>
      <c r="P1890" s="321">
        <v>6763000</v>
      </c>
      <c r="Q1890" s="322">
        <v>50000</v>
      </c>
      <c r="R1890" s="322">
        <v>22500</v>
      </c>
      <c r="S1890" s="322">
        <v>50000</v>
      </c>
      <c r="T1890" s="322">
        <v>50000</v>
      </c>
      <c r="U1890" s="322">
        <f t="shared" si="145"/>
        <v>0</v>
      </c>
      <c r="W1890" s="321">
        <f t="shared" si="146"/>
        <v>536</v>
      </c>
      <c r="X1890" s="321">
        <f t="shared" si="147"/>
        <v>763000</v>
      </c>
      <c r="Y1890" s="321">
        <v>1</v>
      </c>
      <c r="AA1890" s="321" t="s">
        <v>5743</v>
      </c>
    </row>
    <row r="1891" spans="13:27">
      <c r="M1891" s="321">
        <v>1763000537</v>
      </c>
      <c r="N1891" s="321">
        <v>76</v>
      </c>
      <c r="O1891" s="321">
        <v>1827534</v>
      </c>
      <c r="P1891" s="321">
        <v>6763000</v>
      </c>
      <c r="Q1891" s="322">
        <v>50000</v>
      </c>
      <c r="R1891" s="322">
        <v>25400</v>
      </c>
      <c r="S1891" s="322">
        <v>50000</v>
      </c>
      <c r="T1891" s="322">
        <v>50000</v>
      </c>
      <c r="U1891" s="322">
        <f t="shared" si="145"/>
        <v>0</v>
      </c>
      <c r="W1891" s="321">
        <f t="shared" si="146"/>
        <v>537</v>
      </c>
      <c r="X1891" s="321">
        <f t="shared" si="147"/>
        <v>763000</v>
      </c>
      <c r="Y1891" s="321">
        <v>1</v>
      </c>
      <c r="AA1891" s="321">
        <v>1827534</v>
      </c>
    </row>
    <row r="1892" spans="13:27">
      <c r="M1892" s="321">
        <v>1763000538</v>
      </c>
      <c r="N1892" s="321">
        <v>76</v>
      </c>
      <c r="O1892" s="321" t="s">
        <v>5744</v>
      </c>
      <c r="P1892" s="321">
        <v>6763000</v>
      </c>
      <c r="Q1892" s="322">
        <v>50000</v>
      </c>
      <c r="R1892" s="322">
        <v>20500</v>
      </c>
      <c r="S1892" s="322">
        <v>0</v>
      </c>
      <c r="T1892" s="322">
        <v>0</v>
      </c>
      <c r="U1892" s="322">
        <f t="shared" si="145"/>
        <v>0</v>
      </c>
      <c r="W1892" s="321">
        <f t="shared" si="146"/>
        <v>538</v>
      </c>
      <c r="X1892" s="321">
        <f t="shared" si="147"/>
        <v>763000</v>
      </c>
      <c r="Y1892" s="321">
        <v>1</v>
      </c>
      <c r="AA1892" s="321" t="s">
        <v>5744</v>
      </c>
    </row>
    <row r="1893" spans="13:27">
      <c r="M1893" s="321">
        <v>1763000539</v>
      </c>
      <c r="N1893" s="321">
        <v>76</v>
      </c>
      <c r="O1893" s="321" t="s">
        <v>5745</v>
      </c>
      <c r="P1893" s="321">
        <v>6763000</v>
      </c>
      <c r="Q1893" s="322">
        <v>50000</v>
      </c>
      <c r="R1893" s="322">
        <v>28900</v>
      </c>
      <c r="S1893" s="322">
        <v>50000</v>
      </c>
      <c r="T1893" s="322">
        <v>50000</v>
      </c>
      <c r="U1893" s="322">
        <f t="shared" si="145"/>
        <v>0</v>
      </c>
      <c r="W1893" s="321">
        <f t="shared" si="146"/>
        <v>539</v>
      </c>
      <c r="X1893" s="321">
        <f t="shared" si="147"/>
        <v>763000</v>
      </c>
      <c r="Y1893" s="321">
        <v>1</v>
      </c>
      <c r="AA1893" s="321" t="s">
        <v>5745</v>
      </c>
    </row>
    <row r="1894" spans="13:27">
      <c r="M1894" s="321">
        <v>1763000540</v>
      </c>
      <c r="N1894" s="321">
        <v>76</v>
      </c>
      <c r="O1894" s="321" t="s">
        <v>5216</v>
      </c>
      <c r="P1894" s="321">
        <v>6763000</v>
      </c>
      <c r="Q1894" s="322">
        <v>72000</v>
      </c>
      <c r="R1894" s="322">
        <v>38900</v>
      </c>
      <c r="S1894" s="322">
        <v>65000</v>
      </c>
      <c r="T1894" s="322">
        <v>65000</v>
      </c>
      <c r="U1894" s="322">
        <f t="shared" si="145"/>
        <v>0</v>
      </c>
      <c r="W1894" s="321">
        <f t="shared" si="146"/>
        <v>540</v>
      </c>
      <c r="X1894" s="321">
        <f t="shared" si="147"/>
        <v>763000</v>
      </c>
      <c r="Y1894" s="321">
        <v>1</v>
      </c>
      <c r="AA1894" s="321" t="s">
        <v>5216</v>
      </c>
    </row>
    <row r="1895" spans="13:27">
      <c r="M1895" s="321">
        <v>1763000542</v>
      </c>
      <c r="N1895" s="321">
        <v>76</v>
      </c>
      <c r="O1895" s="321" t="s">
        <v>5409</v>
      </c>
      <c r="P1895" s="321">
        <v>6763000</v>
      </c>
      <c r="Q1895" s="322">
        <v>41500</v>
      </c>
      <c r="R1895" s="322">
        <v>26600</v>
      </c>
      <c r="S1895" s="322">
        <v>40000</v>
      </c>
      <c r="T1895" s="322">
        <v>40000</v>
      </c>
      <c r="U1895" s="322">
        <f t="shared" si="145"/>
        <v>0</v>
      </c>
      <c r="W1895" s="321">
        <f t="shared" si="146"/>
        <v>542</v>
      </c>
      <c r="X1895" s="321">
        <f t="shared" si="147"/>
        <v>763000</v>
      </c>
      <c r="Y1895" s="321">
        <v>1</v>
      </c>
      <c r="AA1895" s="321" t="s">
        <v>5409</v>
      </c>
    </row>
    <row r="1896" spans="13:27">
      <c r="M1896" s="321">
        <v>1763000570</v>
      </c>
      <c r="N1896" s="321">
        <v>76</v>
      </c>
      <c r="O1896" s="321" t="s">
        <v>5595</v>
      </c>
      <c r="P1896" s="321">
        <v>6763000</v>
      </c>
      <c r="Q1896" s="322">
        <v>5000</v>
      </c>
      <c r="R1896" s="322">
        <v>0</v>
      </c>
      <c r="S1896" s="322">
        <v>5000</v>
      </c>
      <c r="T1896" s="322">
        <v>5000</v>
      </c>
      <c r="U1896" s="322">
        <f t="shared" si="145"/>
        <v>0</v>
      </c>
      <c r="W1896" s="321">
        <f t="shared" si="146"/>
        <v>570</v>
      </c>
      <c r="X1896" s="321">
        <f t="shared" si="147"/>
        <v>763000</v>
      </c>
      <c r="Y1896" s="321">
        <v>1</v>
      </c>
      <c r="AA1896" s="321" t="s">
        <v>5595</v>
      </c>
    </row>
    <row r="1897" spans="13:27">
      <c r="M1897" s="321">
        <v>1763000730</v>
      </c>
      <c r="N1897" s="321">
        <v>76</v>
      </c>
      <c r="O1897" s="321" t="s">
        <v>5746</v>
      </c>
      <c r="P1897" s="321">
        <v>6763000</v>
      </c>
      <c r="Q1897" s="322">
        <v>20000</v>
      </c>
      <c r="R1897" s="322">
        <v>7000</v>
      </c>
      <c r="S1897" s="322">
        <v>20000</v>
      </c>
      <c r="T1897" s="322">
        <v>20000</v>
      </c>
      <c r="U1897" s="322">
        <f t="shared" si="145"/>
        <v>0</v>
      </c>
      <c r="W1897" s="321">
        <f t="shared" si="146"/>
        <v>730</v>
      </c>
      <c r="X1897" s="321">
        <f t="shared" si="147"/>
        <v>763000</v>
      </c>
      <c r="Y1897" s="321">
        <v>1</v>
      </c>
      <c r="AA1897" s="321" t="s">
        <v>5746</v>
      </c>
    </row>
    <row r="1898" spans="13:27">
      <c r="M1898" s="321">
        <v>1763000771</v>
      </c>
      <c r="N1898" s="321">
        <v>76</v>
      </c>
      <c r="O1898" s="321" t="s">
        <v>3188</v>
      </c>
      <c r="P1898" s="321">
        <v>6763000</v>
      </c>
      <c r="Q1898" s="322">
        <v>5000</v>
      </c>
      <c r="R1898" s="322">
        <v>2700</v>
      </c>
      <c r="S1898" s="322">
        <v>5000</v>
      </c>
      <c r="T1898" s="322">
        <v>5000</v>
      </c>
      <c r="U1898" s="322">
        <f t="shared" si="145"/>
        <v>0</v>
      </c>
      <c r="W1898" s="321">
        <f t="shared" si="146"/>
        <v>771</v>
      </c>
      <c r="X1898" s="321">
        <f t="shared" si="147"/>
        <v>763000</v>
      </c>
      <c r="Y1898" s="321">
        <v>1</v>
      </c>
      <c r="AA1898" s="321" t="s">
        <v>3188</v>
      </c>
    </row>
    <row r="1899" spans="13:27">
      <c r="M1899" s="321">
        <v>1763000780</v>
      </c>
      <c r="N1899" s="321">
        <v>76</v>
      </c>
      <c r="O1899" s="321" t="s">
        <v>5747</v>
      </c>
      <c r="P1899" s="321">
        <v>6763000</v>
      </c>
      <c r="Q1899" s="322">
        <v>30000</v>
      </c>
      <c r="R1899" s="322">
        <v>12900</v>
      </c>
      <c r="S1899" s="322">
        <v>70000</v>
      </c>
      <c r="T1899" s="322">
        <v>50000</v>
      </c>
      <c r="U1899" s="322">
        <f t="shared" si="145"/>
        <v>20000</v>
      </c>
      <c r="W1899" s="321">
        <f t="shared" si="146"/>
        <v>780</v>
      </c>
      <c r="X1899" s="321">
        <f t="shared" si="147"/>
        <v>763000</v>
      </c>
      <c r="Y1899" s="321">
        <v>1</v>
      </c>
      <c r="AA1899" s="321" t="s">
        <v>5747</v>
      </c>
    </row>
    <row r="1900" spans="13:27">
      <c r="M1900" s="321">
        <v>1763000781</v>
      </c>
      <c r="N1900" s="321">
        <v>76</v>
      </c>
      <c r="O1900" s="321" t="s">
        <v>5748</v>
      </c>
      <c r="P1900" s="321">
        <v>6763000</v>
      </c>
      <c r="Q1900" s="322">
        <v>247000</v>
      </c>
      <c r="R1900" s="322">
        <v>162600</v>
      </c>
      <c r="S1900" s="322">
        <v>247000</v>
      </c>
      <c r="T1900" s="322">
        <v>247000</v>
      </c>
      <c r="U1900" s="322">
        <f t="shared" si="145"/>
        <v>0</v>
      </c>
      <c r="W1900" s="321">
        <f t="shared" si="146"/>
        <v>781</v>
      </c>
      <c r="X1900" s="321">
        <f t="shared" si="147"/>
        <v>763000</v>
      </c>
      <c r="Y1900" s="321">
        <v>1</v>
      </c>
      <c r="AA1900" s="321" t="s">
        <v>5748</v>
      </c>
    </row>
    <row r="1901" spans="13:27">
      <c r="M1901" s="321">
        <v>1763000782</v>
      </c>
      <c r="N1901" s="321">
        <v>76</v>
      </c>
      <c r="O1901" s="321" t="s">
        <v>5355</v>
      </c>
      <c r="P1901" s="321">
        <v>6763000</v>
      </c>
      <c r="Q1901" s="322">
        <v>184000</v>
      </c>
      <c r="R1901" s="322">
        <v>65000</v>
      </c>
      <c r="S1901" s="322">
        <v>185000</v>
      </c>
      <c r="T1901" s="322">
        <v>150000</v>
      </c>
      <c r="U1901" s="322">
        <f t="shared" si="145"/>
        <v>35000</v>
      </c>
      <c r="W1901" s="321">
        <f t="shared" si="146"/>
        <v>782</v>
      </c>
      <c r="X1901" s="321">
        <f t="shared" si="147"/>
        <v>763000</v>
      </c>
      <c r="Y1901" s="321">
        <v>1</v>
      </c>
      <c r="AA1901" s="321" t="s">
        <v>5355</v>
      </c>
    </row>
    <row r="1902" spans="13:27">
      <c r="M1902" s="321">
        <v>1763000786</v>
      </c>
      <c r="N1902" s="321">
        <v>76</v>
      </c>
      <c r="O1902" s="321" t="s">
        <v>5749</v>
      </c>
      <c r="P1902" s="321">
        <v>6763000</v>
      </c>
      <c r="Q1902" s="322">
        <v>2300</v>
      </c>
      <c r="R1902" s="322">
        <v>800</v>
      </c>
      <c r="S1902" s="322">
        <v>2600</v>
      </c>
      <c r="T1902" s="322">
        <v>2600</v>
      </c>
      <c r="U1902" s="322">
        <f t="shared" si="145"/>
        <v>0</v>
      </c>
      <c r="W1902" s="321">
        <f t="shared" si="146"/>
        <v>786</v>
      </c>
      <c r="X1902" s="321">
        <f t="shared" si="147"/>
        <v>763000</v>
      </c>
      <c r="Y1902" s="321">
        <v>1</v>
      </c>
      <c r="AA1902" s="321" t="s">
        <v>5749</v>
      </c>
    </row>
    <row r="1903" spans="13:27">
      <c r="M1903" s="321">
        <v>1763000930</v>
      </c>
      <c r="N1903" s="321">
        <v>76</v>
      </c>
      <c r="O1903" s="321" t="s">
        <v>5390</v>
      </c>
      <c r="P1903" s="321">
        <v>6763000</v>
      </c>
      <c r="Q1903" s="322">
        <v>45000</v>
      </c>
      <c r="R1903" s="322">
        <v>27600</v>
      </c>
      <c r="S1903" s="322">
        <v>45000</v>
      </c>
      <c r="T1903" s="322">
        <v>30000</v>
      </c>
      <c r="U1903" s="322">
        <f t="shared" si="145"/>
        <v>15000</v>
      </c>
      <c r="W1903" s="321">
        <f t="shared" si="146"/>
        <v>930</v>
      </c>
      <c r="X1903" s="321">
        <f t="shared" si="147"/>
        <v>763000</v>
      </c>
      <c r="Y1903" s="321">
        <v>1</v>
      </c>
      <c r="AA1903" s="321" t="s">
        <v>5390</v>
      </c>
    </row>
    <row r="1904" spans="13:27">
      <c r="M1904" s="321">
        <v>1763001530</v>
      </c>
      <c r="N1904" s="321">
        <v>76</v>
      </c>
      <c r="O1904" s="321" t="s">
        <v>5750</v>
      </c>
      <c r="P1904" s="321">
        <v>6763000</v>
      </c>
      <c r="Q1904" s="322">
        <v>0</v>
      </c>
      <c r="R1904" s="322">
        <v>0</v>
      </c>
      <c r="S1904" s="322">
        <v>0</v>
      </c>
      <c r="T1904" s="322">
        <v>0</v>
      </c>
      <c r="U1904" s="322">
        <f t="shared" si="145"/>
        <v>0</v>
      </c>
      <c r="W1904" s="321">
        <f t="shared" si="146"/>
        <v>530</v>
      </c>
      <c r="X1904" s="321">
        <f t="shared" si="147"/>
        <v>763001</v>
      </c>
      <c r="Y1904" s="321">
        <v>1</v>
      </c>
      <c r="AA1904" s="321" t="s">
        <v>5750</v>
      </c>
    </row>
    <row r="1905" spans="13:27">
      <c r="M1905" s="321">
        <v>1764000110</v>
      </c>
      <c r="N1905" s="321">
        <v>76</v>
      </c>
      <c r="O1905" s="321" t="s">
        <v>5205</v>
      </c>
      <c r="P1905" s="321">
        <v>6764000</v>
      </c>
      <c r="Q1905" s="322">
        <v>401000</v>
      </c>
      <c r="R1905" s="322">
        <v>293600</v>
      </c>
      <c r="S1905" s="322">
        <v>404000</v>
      </c>
      <c r="T1905" s="322">
        <v>404000</v>
      </c>
      <c r="U1905" s="322">
        <f t="shared" si="145"/>
        <v>0</v>
      </c>
      <c r="W1905" s="321">
        <f t="shared" si="146"/>
        <v>110</v>
      </c>
      <c r="X1905" s="321">
        <f t="shared" si="147"/>
        <v>764000</v>
      </c>
      <c r="Y1905" s="321">
        <v>1</v>
      </c>
      <c r="AA1905" s="321" t="s">
        <v>5205</v>
      </c>
    </row>
    <row r="1906" spans="13:27">
      <c r="M1906" s="321">
        <v>1764000120</v>
      </c>
      <c r="N1906" s="321">
        <v>76</v>
      </c>
      <c r="O1906" s="321" t="s">
        <v>5206</v>
      </c>
      <c r="P1906" s="321">
        <v>6764000</v>
      </c>
      <c r="Q1906" s="322">
        <v>141000</v>
      </c>
      <c r="R1906" s="322">
        <v>124100</v>
      </c>
      <c r="S1906" s="322">
        <v>155000</v>
      </c>
      <c r="T1906" s="322">
        <v>155000</v>
      </c>
      <c r="U1906" s="322">
        <f t="shared" si="145"/>
        <v>0</v>
      </c>
      <c r="W1906" s="321">
        <f t="shared" si="146"/>
        <v>120</v>
      </c>
      <c r="X1906" s="321">
        <f t="shared" si="147"/>
        <v>764000</v>
      </c>
      <c r="Y1906" s="321">
        <v>1</v>
      </c>
      <c r="AA1906" s="321" t="s">
        <v>5206</v>
      </c>
    </row>
    <row r="1907" spans="13:27">
      <c r="M1907" s="321">
        <v>1764000130</v>
      </c>
      <c r="N1907" s="321">
        <v>76</v>
      </c>
      <c r="O1907" s="321" t="s">
        <v>2576</v>
      </c>
      <c r="P1907" s="321">
        <v>6764000</v>
      </c>
      <c r="Q1907" s="322">
        <v>4000</v>
      </c>
      <c r="R1907" s="322">
        <v>300</v>
      </c>
      <c r="S1907" s="322">
        <v>1000</v>
      </c>
      <c r="T1907" s="322">
        <v>900</v>
      </c>
      <c r="U1907" s="322">
        <f t="shared" si="145"/>
        <v>100</v>
      </c>
      <c r="W1907" s="321">
        <f t="shared" si="146"/>
        <v>130</v>
      </c>
      <c r="X1907" s="321">
        <f t="shared" si="147"/>
        <v>764000</v>
      </c>
      <c r="Y1907" s="321">
        <v>1</v>
      </c>
      <c r="AA1907" s="321" t="s">
        <v>2576</v>
      </c>
    </row>
    <row r="1908" spans="13:27">
      <c r="M1908" s="321">
        <v>1764000140</v>
      </c>
      <c r="N1908" s="321">
        <v>76</v>
      </c>
      <c r="O1908" s="321" t="s">
        <v>5207</v>
      </c>
      <c r="P1908" s="321">
        <v>6764000</v>
      </c>
      <c r="Q1908" s="322">
        <v>95000</v>
      </c>
      <c r="R1908" s="322">
        <v>77300</v>
      </c>
      <c r="S1908" s="322">
        <v>110000</v>
      </c>
      <c r="T1908" s="322">
        <v>110000</v>
      </c>
      <c r="U1908" s="322">
        <f t="shared" si="145"/>
        <v>0</v>
      </c>
      <c r="W1908" s="321">
        <f t="shared" si="146"/>
        <v>140</v>
      </c>
      <c r="X1908" s="321">
        <f t="shared" si="147"/>
        <v>764000</v>
      </c>
      <c r="Y1908" s="321">
        <v>1</v>
      </c>
      <c r="AA1908" s="321" t="s">
        <v>5207</v>
      </c>
    </row>
    <row r="1909" spans="13:27">
      <c r="M1909" s="321">
        <v>1764000141</v>
      </c>
      <c r="N1909" s="321">
        <v>76</v>
      </c>
      <c r="O1909" s="321" t="s">
        <v>5208</v>
      </c>
      <c r="P1909" s="321">
        <v>6764000</v>
      </c>
      <c r="Q1909" s="322">
        <v>15000</v>
      </c>
      <c r="R1909" s="322">
        <v>11300</v>
      </c>
      <c r="S1909" s="322">
        <v>16000</v>
      </c>
      <c r="T1909" s="322">
        <v>16000</v>
      </c>
      <c r="U1909" s="322">
        <f t="shared" si="145"/>
        <v>0</v>
      </c>
      <c r="W1909" s="321">
        <f t="shared" si="146"/>
        <v>141</v>
      </c>
      <c r="X1909" s="321">
        <f t="shared" si="147"/>
        <v>764000</v>
      </c>
      <c r="Y1909" s="321">
        <v>1</v>
      </c>
      <c r="AA1909" s="321" t="s">
        <v>5208</v>
      </c>
    </row>
    <row r="1910" spans="13:27">
      <c r="M1910" s="321">
        <v>1764000181</v>
      </c>
      <c r="N1910" s="321">
        <v>76</v>
      </c>
      <c r="O1910" s="321" t="s">
        <v>2580</v>
      </c>
      <c r="P1910" s="321">
        <v>6764000</v>
      </c>
      <c r="Q1910" s="322">
        <v>63000</v>
      </c>
      <c r="R1910" s="322">
        <v>49400</v>
      </c>
      <c r="S1910" s="322">
        <v>66000</v>
      </c>
      <c r="T1910" s="322">
        <v>66000</v>
      </c>
      <c r="U1910" s="322">
        <f t="shared" si="145"/>
        <v>0</v>
      </c>
      <c r="W1910" s="321">
        <f t="shared" si="146"/>
        <v>181</v>
      </c>
      <c r="X1910" s="321">
        <f t="shared" si="147"/>
        <v>764000</v>
      </c>
      <c r="Y1910" s="321">
        <v>1</v>
      </c>
      <c r="AA1910" s="321" t="s">
        <v>2580</v>
      </c>
    </row>
    <row r="1911" spans="13:27">
      <c r="M1911" s="321">
        <v>1764000182</v>
      </c>
      <c r="N1911" s="321">
        <v>76</v>
      </c>
      <c r="O1911" s="321" t="s">
        <v>2582</v>
      </c>
      <c r="P1911" s="321">
        <v>6764000</v>
      </c>
      <c r="Q1911" s="322">
        <v>88000</v>
      </c>
      <c r="R1911" s="322">
        <v>65800</v>
      </c>
      <c r="S1911" s="322">
        <v>94000</v>
      </c>
      <c r="T1911" s="322">
        <v>94000</v>
      </c>
      <c r="U1911" s="322">
        <f t="shared" si="145"/>
        <v>0</v>
      </c>
      <c r="W1911" s="321">
        <f t="shared" si="146"/>
        <v>182</v>
      </c>
      <c r="X1911" s="321">
        <f t="shared" si="147"/>
        <v>764000</v>
      </c>
      <c r="Y1911" s="321">
        <v>1</v>
      </c>
      <c r="AA1911" s="321" t="s">
        <v>2582</v>
      </c>
    </row>
    <row r="1912" spans="13:27">
      <c r="M1912" s="321">
        <v>1764000470</v>
      </c>
      <c r="N1912" s="321">
        <v>76</v>
      </c>
      <c r="O1912" s="321" t="s">
        <v>2830</v>
      </c>
      <c r="P1912" s="321">
        <v>6764000</v>
      </c>
      <c r="Q1912" s="322">
        <v>4300</v>
      </c>
      <c r="R1912" s="322">
        <v>2000</v>
      </c>
      <c r="S1912" s="322">
        <v>4300</v>
      </c>
      <c r="T1912" s="322">
        <v>4300</v>
      </c>
      <c r="U1912" s="322">
        <f t="shared" si="145"/>
        <v>0</v>
      </c>
      <c r="W1912" s="321">
        <f t="shared" si="146"/>
        <v>470</v>
      </c>
      <c r="X1912" s="321">
        <f t="shared" si="147"/>
        <v>764000</v>
      </c>
      <c r="Y1912" s="321">
        <v>1</v>
      </c>
      <c r="AA1912" s="321" t="s">
        <v>2830</v>
      </c>
    </row>
    <row r="1913" spans="13:27">
      <c r="M1913" s="321">
        <v>1764000471</v>
      </c>
      <c r="N1913" s="321">
        <v>76</v>
      </c>
      <c r="O1913" s="321" t="s">
        <v>5212</v>
      </c>
      <c r="P1913" s="321">
        <v>6764000</v>
      </c>
      <c r="Q1913" s="322">
        <v>3500</v>
      </c>
      <c r="R1913" s="322">
        <v>0</v>
      </c>
      <c r="S1913" s="322">
        <v>3700</v>
      </c>
      <c r="T1913" s="322">
        <v>3700</v>
      </c>
      <c r="U1913" s="322">
        <f t="shared" si="145"/>
        <v>0</v>
      </c>
      <c r="W1913" s="321">
        <f t="shared" si="146"/>
        <v>471</v>
      </c>
      <c r="X1913" s="321">
        <f t="shared" si="147"/>
        <v>764000</v>
      </c>
      <c r="Y1913" s="321">
        <v>1</v>
      </c>
      <c r="AA1913" s="321" t="s">
        <v>5212</v>
      </c>
    </row>
    <row r="1914" spans="13:27">
      <c r="M1914" s="321">
        <v>1764000540</v>
      </c>
      <c r="N1914" s="321">
        <v>76</v>
      </c>
      <c r="O1914" s="321" t="s">
        <v>5216</v>
      </c>
      <c r="P1914" s="321">
        <v>6764000</v>
      </c>
      <c r="Q1914" s="322">
        <v>2000</v>
      </c>
      <c r="R1914" s="322">
        <v>1000</v>
      </c>
      <c r="S1914" s="322">
        <v>2000</v>
      </c>
      <c r="T1914" s="322">
        <v>2000</v>
      </c>
      <c r="U1914" s="322">
        <f t="shared" si="145"/>
        <v>0</v>
      </c>
      <c r="W1914" s="321">
        <f t="shared" si="146"/>
        <v>540</v>
      </c>
      <c r="X1914" s="321">
        <f t="shared" si="147"/>
        <v>764000</v>
      </c>
      <c r="Y1914" s="321">
        <v>1</v>
      </c>
      <c r="AA1914" s="321" t="s">
        <v>5216</v>
      </c>
    </row>
    <row r="1915" spans="13:27">
      <c r="M1915" s="321">
        <v>1764000542</v>
      </c>
      <c r="N1915" s="321">
        <v>76</v>
      </c>
      <c r="O1915" s="321" t="s">
        <v>5217</v>
      </c>
      <c r="P1915" s="321">
        <v>6764000</v>
      </c>
      <c r="Q1915" s="322">
        <v>1300</v>
      </c>
      <c r="R1915" s="322">
        <v>800</v>
      </c>
      <c r="S1915" s="322">
        <v>2000</v>
      </c>
      <c r="T1915" s="322">
        <v>2000</v>
      </c>
      <c r="U1915" s="322">
        <f t="shared" si="145"/>
        <v>0</v>
      </c>
      <c r="W1915" s="321">
        <f t="shared" si="146"/>
        <v>542</v>
      </c>
      <c r="X1915" s="321">
        <f t="shared" si="147"/>
        <v>764000</v>
      </c>
      <c r="Y1915" s="321">
        <v>1</v>
      </c>
      <c r="AA1915" s="321" t="s">
        <v>5217</v>
      </c>
    </row>
    <row r="1916" spans="13:27">
      <c r="M1916" s="321">
        <v>1764000550</v>
      </c>
      <c r="N1916" s="321">
        <v>76</v>
      </c>
      <c r="O1916" s="321" t="s">
        <v>5272</v>
      </c>
      <c r="P1916" s="321">
        <v>6764000</v>
      </c>
      <c r="Q1916" s="322">
        <v>0</v>
      </c>
      <c r="R1916" s="322">
        <v>0</v>
      </c>
      <c r="S1916" s="322">
        <v>0</v>
      </c>
      <c r="T1916" s="322">
        <v>0</v>
      </c>
      <c r="U1916" s="322">
        <f t="shared" si="145"/>
        <v>0</v>
      </c>
      <c r="W1916" s="321">
        <f t="shared" si="146"/>
        <v>550</v>
      </c>
      <c r="X1916" s="321">
        <f t="shared" si="147"/>
        <v>764000</v>
      </c>
      <c r="Y1916" s="321">
        <v>1</v>
      </c>
      <c r="AA1916" s="321" t="s">
        <v>5272</v>
      </c>
    </row>
    <row r="1917" spans="13:27">
      <c r="M1917" s="321">
        <v>1764000740</v>
      </c>
      <c r="N1917" s="321">
        <v>76</v>
      </c>
      <c r="O1917" s="321" t="s">
        <v>5264</v>
      </c>
      <c r="P1917" s="321">
        <v>6764000</v>
      </c>
      <c r="Q1917" s="322">
        <v>24000</v>
      </c>
      <c r="R1917" s="322">
        <v>11900</v>
      </c>
      <c r="S1917" s="322">
        <v>24000</v>
      </c>
      <c r="T1917" s="322">
        <v>24000</v>
      </c>
      <c r="U1917" s="322">
        <f t="shared" si="145"/>
        <v>0</v>
      </c>
      <c r="W1917" s="321">
        <f t="shared" si="146"/>
        <v>740</v>
      </c>
      <c r="X1917" s="321">
        <f t="shared" si="147"/>
        <v>764000</v>
      </c>
      <c r="Y1917" s="321">
        <v>1</v>
      </c>
      <c r="AA1917" s="321" t="s">
        <v>5264</v>
      </c>
    </row>
    <row r="1918" spans="13:27">
      <c r="M1918" s="321">
        <v>1764000742</v>
      </c>
      <c r="N1918" s="321">
        <v>76</v>
      </c>
      <c r="O1918" s="321" t="s">
        <v>5751</v>
      </c>
      <c r="P1918" s="321">
        <v>6764000</v>
      </c>
      <c r="Q1918" s="322">
        <v>20400</v>
      </c>
      <c r="R1918" s="322">
        <v>11100</v>
      </c>
      <c r="S1918" s="322">
        <v>20400</v>
      </c>
      <c r="T1918" s="322">
        <v>20400</v>
      </c>
      <c r="U1918" s="322">
        <f t="shared" si="145"/>
        <v>0</v>
      </c>
      <c r="W1918" s="321">
        <f t="shared" si="146"/>
        <v>742</v>
      </c>
      <c r="X1918" s="321">
        <f t="shared" si="147"/>
        <v>764000</v>
      </c>
      <c r="Y1918" s="321">
        <v>1</v>
      </c>
      <c r="AA1918" s="321" t="s">
        <v>5751</v>
      </c>
    </row>
    <row r="1919" spans="13:27">
      <c r="M1919" s="321">
        <v>1764000760</v>
      </c>
      <c r="N1919" s="321">
        <v>76</v>
      </c>
      <c r="O1919" s="321" t="s">
        <v>5752</v>
      </c>
      <c r="P1919" s="321">
        <v>6764000</v>
      </c>
      <c r="Q1919" s="322">
        <v>36000</v>
      </c>
      <c r="R1919" s="322">
        <v>0</v>
      </c>
      <c r="S1919" s="322">
        <v>0</v>
      </c>
      <c r="T1919" s="322">
        <v>0</v>
      </c>
      <c r="U1919" s="322">
        <f t="shared" si="145"/>
        <v>0</v>
      </c>
      <c r="W1919" s="321">
        <f t="shared" si="146"/>
        <v>760</v>
      </c>
      <c r="X1919" s="321">
        <f t="shared" si="147"/>
        <v>764000</v>
      </c>
      <c r="Y1919" s="321">
        <v>1</v>
      </c>
      <c r="AA1919" s="321" t="s">
        <v>5752</v>
      </c>
    </row>
    <row r="1920" spans="13:27">
      <c r="M1920" s="321">
        <v>1767000441</v>
      </c>
      <c r="N1920" s="321">
        <v>76</v>
      </c>
      <c r="O1920" s="321" t="s">
        <v>3971</v>
      </c>
      <c r="P1920" s="321">
        <v>1767000</v>
      </c>
      <c r="Q1920" s="322">
        <v>4100000</v>
      </c>
      <c r="R1920" s="322">
        <v>2592100</v>
      </c>
      <c r="S1920" s="322">
        <v>4500000</v>
      </c>
      <c r="T1920" s="322">
        <v>4000000</v>
      </c>
      <c r="U1920" s="322">
        <f t="shared" si="145"/>
        <v>500000</v>
      </c>
      <c r="W1920" s="321">
        <f t="shared" si="146"/>
        <v>441</v>
      </c>
      <c r="X1920" s="321">
        <f t="shared" si="147"/>
        <v>767000</v>
      </c>
      <c r="Y1920" s="321">
        <v>1</v>
      </c>
      <c r="AA1920" s="321" t="s">
        <v>3971</v>
      </c>
    </row>
    <row r="1921" spans="13:27">
      <c r="M1921" s="321">
        <v>1767000442</v>
      </c>
      <c r="N1921" s="321">
        <v>76</v>
      </c>
      <c r="O1921" s="321" t="s">
        <v>5753</v>
      </c>
      <c r="P1921" s="321">
        <v>1767000</v>
      </c>
      <c r="Q1921" s="322">
        <v>0</v>
      </c>
      <c r="R1921" s="322">
        <v>-37200</v>
      </c>
      <c r="S1921" s="322">
        <v>0</v>
      </c>
      <c r="T1921" s="322">
        <v>0</v>
      </c>
      <c r="U1921" s="322">
        <f t="shared" si="145"/>
        <v>0</v>
      </c>
      <c r="W1921" s="321">
        <f t="shared" si="146"/>
        <v>442</v>
      </c>
      <c r="X1921" s="321">
        <f t="shared" si="147"/>
        <v>767000</v>
      </c>
      <c r="Y1921" s="321">
        <v>1</v>
      </c>
      <c r="AA1921" s="321" t="s">
        <v>5753</v>
      </c>
    </row>
    <row r="1922" spans="13:27">
      <c r="M1922" s="321">
        <v>1767000443</v>
      </c>
      <c r="N1922" s="321">
        <v>76</v>
      </c>
      <c r="O1922" s="321" t="s">
        <v>5754</v>
      </c>
      <c r="P1922" s="321">
        <v>1767000</v>
      </c>
      <c r="Q1922" s="322">
        <v>1000000</v>
      </c>
      <c r="R1922" s="322">
        <v>0</v>
      </c>
      <c r="S1922" s="322">
        <v>3000000</v>
      </c>
      <c r="T1922" s="322">
        <v>1000000</v>
      </c>
      <c r="U1922" s="322">
        <f t="shared" ref="U1922:U1985" si="148">S1922-T1922</f>
        <v>2000000</v>
      </c>
      <c r="W1922" s="321">
        <f t="shared" si="146"/>
        <v>443</v>
      </c>
      <c r="X1922" s="321">
        <f t="shared" si="147"/>
        <v>767000</v>
      </c>
      <c r="Y1922" s="321">
        <v>1</v>
      </c>
      <c r="AA1922" s="321" t="s">
        <v>5754</v>
      </c>
    </row>
    <row r="1923" spans="13:27">
      <c r="M1923" s="321">
        <v>1767000750</v>
      </c>
      <c r="N1923" s="321">
        <v>76</v>
      </c>
      <c r="O1923" s="321" t="s">
        <v>2707</v>
      </c>
      <c r="P1923" s="321">
        <v>1767000</v>
      </c>
      <c r="Q1923" s="322">
        <v>80000</v>
      </c>
      <c r="R1923" s="322">
        <v>41300</v>
      </c>
      <c r="S1923" s="322">
        <v>80000</v>
      </c>
      <c r="T1923" s="322">
        <v>80000</v>
      </c>
      <c r="U1923" s="322">
        <f t="shared" si="148"/>
        <v>0</v>
      </c>
      <c r="W1923" s="321">
        <f t="shared" ref="W1923:W1986" si="149">M1923-1000000000-X1923*1000</f>
        <v>750</v>
      </c>
      <c r="X1923" s="321">
        <f t="shared" ref="X1923:X1986" si="150">ROUNDDOWN((M1923-1000000000)/1000,0)</f>
        <v>767000</v>
      </c>
      <c r="Y1923" s="321">
        <v>1</v>
      </c>
      <c r="AA1923" s="321" t="s">
        <v>2707</v>
      </c>
    </row>
    <row r="1924" spans="13:27">
      <c r="M1924" s="321">
        <v>1769001110</v>
      </c>
      <c r="N1924" s="321">
        <v>76</v>
      </c>
      <c r="O1924" s="321" t="s">
        <v>5205</v>
      </c>
      <c r="P1924" s="321">
        <v>1769001</v>
      </c>
      <c r="Q1924" s="322">
        <v>66000</v>
      </c>
      <c r="R1924" s="322">
        <v>48800</v>
      </c>
      <c r="S1924" s="322">
        <v>67000</v>
      </c>
      <c r="T1924" s="322">
        <v>67000</v>
      </c>
      <c r="U1924" s="322">
        <f t="shared" si="148"/>
        <v>0</v>
      </c>
      <c r="W1924" s="321">
        <f t="shared" si="149"/>
        <v>110</v>
      </c>
      <c r="X1924" s="321">
        <f t="shared" si="150"/>
        <v>769001</v>
      </c>
      <c r="Y1924" s="321">
        <v>1</v>
      </c>
      <c r="AA1924" s="321" t="s">
        <v>5205</v>
      </c>
    </row>
    <row r="1925" spans="13:27">
      <c r="M1925" s="321">
        <v>1769001120</v>
      </c>
      <c r="N1925" s="321">
        <v>76</v>
      </c>
      <c r="O1925" s="321" t="s">
        <v>5206</v>
      </c>
      <c r="P1925" s="321">
        <v>1769001</v>
      </c>
      <c r="Q1925" s="322">
        <v>32000</v>
      </c>
      <c r="R1925" s="322">
        <v>25300</v>
      </c>
      <c r="S1925" s="322">
        <v>31000</v>
      </c>
      <c r="T1925" s="322">
        <v>31000</v>
      </c>
      <c r="U1925" s="322">
        <f t="shared" si="148"/>
        <v>0</v>
      </c>
      <c r="W1925" s="321">
        <f t="shared" si="149"/>
        <v>120</v>
      </c>
      <c r="X1925" s="321">
        <f t="shared" si="150"/>
        <v>769001</v>
      </c>
      <c r="Y1925" s="321">
        <v>1</v>
      </c>
      <c r="AA1925" s="321" t="s">
        <v>5206</v>
      </c>
    </row>
    <row r="1926" spans="13:27">
      <c r="M1926" s="321">
        <v>1769001130</v>
      </c>
      <c r="N1926" s="321">
        <v>76</v>
      </c>
      <c r="O1926" s="321" t="s">
        <v>2576</v>
      </c>
      <c r="P1926" s="321">
        <v>1769001</v>
      </c>
      <c r="Q1926" s="322">
        <v>0</v>
      </c>
      <c r="R1926" s="322">
        <v>0</v>
      </c>
      <c r="S1926" s="322">
        <v>0</v>
      </c>
      <c r="T1926" s="322">
        <v>0</v>
      </c>
      <c r="U1926" s="322">
        <f t="shared" si="148"/>
        <v>0</v>
      </c>
      <c r="W1926" s="321">
        <f t="shared" si="149"/>
        <v>130</v>
      </c>
      <c r="X1926" s="321">
        <f t="shared" si="150"/>
        <v>769001</v>
      </c>
      <c r="Y1926" s="321">
        <v>1</v>
      </c>
      <c r="AA1926" s="321" t="s">
        <v>2576</v>
      </c>
    </row>
    <row r="1927" spans="13:27">
      <c r="M1927" s="321">
        <v>1769001140</v>
      </c>
      <c r="N1927" s="321">
        <v>76</v>
      </c>
      <c r="O1927" s="321" t="s">
        <v>5207</v>
      </c>
      <c r="P1927" s="321">
        <v>1769001</v>
      </c>
      <c r="Q1927" s="322">
        <v>29000</v>
      </c>
      <c r="R1927" s="322">
        <v>23300</v>
      </c>
      <c r="S1927" s="322">
        <v>30000</v>
      </c>
      <c r="T1927" s="322">
        <v>30000</v>
      </c>
      <c r="U1927" s="322">
        <f t="shared" si="148"/>
        <v>0</v>
      </c>
      <c r="W1927" s="321">
        <f t="shared" si="149"/>
        <v>140</v>
      </c>
      <c r="X1927" s="321">
        <f t="shared" si="150"/>
        <v>769001</v>
      </c>
      <c r="Y1927" s="321">
        <v>1</v>
      </c>
      <c r="AA1927" s="321" t="s">
        <v>5207</v>
      </c>
    </row>
    <row r="1928" spans="13:27">
      <c r="M1928" s="321">
        <v>1769001141</v>
      </c>
      <c r="N1928" s="321">
        <v>76</v>
      </c>
      <c r="O1928" s="321" t="s">
        <v>5208</v>
      </c>
      <c r="P1928" s="321">
        <v>1769001</v>
      </c>
      <c r="Q1928" s="322">
        <v>4000</v>
      </c>
      <c r="R1928" s="322">
        <v>2900</v>
      </c>
      <c r="S1928" s="322">
        <v>4000</v>
      </c>
      <c r="T1928" s="322">
        <v>4000</v>
      </c>
      <c r="U1928" s="322">
        <f t="shared" si="148"/>
        <v>0</v>
      </c>
      <c r="W1928" s="321">
        <f t="shared" si="149"/>
        <v>141</v>
      </c>
      <c r="X1928" s="321">
        <f t="shared" si="150"/>
        <v>769001</v>
      </c>
      <c r="Y1928" s="321">
        <v>1</v>
      </c>
      <c r="AA1928" s="321" t="s">
        <v>5208</v>
      </c>
    </row>
    <row r="1929" spans="13:27">
      <c r="M1929" s="321">
        <v>1769001181</v>
      </c>
      <c r="N1929" s="321">
        <v>76</v>
      </c>
      <c r="O1929" s="321" t="s">
        <v>2580</v>
      </c>
      <c r="P1929" s="321">
        <v>1769001</v>
      </c>
      <c r="Q1929" s="322">
        <v>10000</v>
      </c>
      <c r="R1929" s="322">
        <v>7600</v>
      </c>
      <c r="S1929" s="322">
        <v>10000</v>
      </c>
      <c r="T1929" s="322">
        <v>10000</v>
      </c>
      <c r="U1929" s="322">
        <f t="shared" si="148"/>
        <v>0</v>
      </c>
      <c r="W1929" s="321">
        <f t="shared" si="149"/>
        <v>181</v>
      </c>
      <c r="X1929" s="321">
        <f t="shared" si="150"/>
        <v>769001</v>
      </c>
      <c r="Y1929" s="321">
        <v>1</v>
      </c>
      <c r="AA1929" s="321" t="s">
        <v>2580</v>
      </c>
    </row>
    <row r="1930" spans="13:27">
      <c r="M1930" s="321">
        <v>1769001182</v>
      </c>
      <c r="N1930" s="321">
        <v>76</v>
      </c>
      <c r="O1930" s="321" t="s">
        <v>2582</v>
      </c>
      <c r="P1930" s="321">
        <v>1769001</v>
      </c>
      <c r="Q1930" s="322">
        <v>17000</v>
      </c>
      <c r="R1930" s="322">
        <v>13000</v>
      </c>
      <c r="S1930" s="322">
        <v>18000</v>
      </c>
      <c r="T1930" s="322">
        <v>18000</v>
      </c>
      <c r="U1930" s="322">
        <f t="shared" si="148"/>
        <v>0</v>
      </c>
      <c r="W1930" s="321">
        <f t="shared" si="149"/>
        <v>182</v>
      </c>
      <c r="X1930" s="321">
        <f t="shared" si="150"/>
        <v>769001</v>
      </c>
      <c r="Y1930" s="321">
        <v>1</v>
      </c>
      <c r="AA1930" s="321" t="s">
        <v>2582</v>
      </c>
    </row>
    <row r="1931" spans="13:27">
      <c r="M1931" s="321">
        <v>1769003110</v>
      </c>
      <c r="N1931" s="321">
        <v>76</v>
      </c>
      <c r="O1931" s="321" t="s">
        <v>5205</v>
      </c>
      <c r="P1931" s="321">
        <v>1769003</v>
      </c>
      <c r="Q1931" s="322">
        <v>303000</v>
      </c>
      <c r="R1931" s="322">
        <v>63200</v>
      </c>
      <c r="S1931" s="322">
        <v>235000</v>
      </c>
      <c r="T1931" s="322">
        <v>235000</v>
      </c>
      <c r="U1931" s="322">
        <f t="shared" si="148"/>
        <v>0</v>
      </c>
      <c r="W1931" s="321">
        <f t="shared" si="149"/>
        <v>110</v>
      </c>
      <c r="X1931" s="321">
        <f t="shared" si="150"/>
        <v>769003</v>
      </c>
      <c r="Y1931" s="321">
        <v>1</v>
      </c>
      <c r="AA1931" s="321" t="s">
        <v>5205</v>
      </c>
    </row>
    <row r="1932" spans="13:27">
      <c r="M1932" s="321">
        <v>1769003120</v>
      </c>
      <c r="N1932" s="321">
        <v>76</v>
      </c>
      <c r="O1932" s="321" t="s">
        <v>5206</v>
      </c>
      <c r="P1932" s="321">
        <v>1769003</v>
      </c>
      <c r="Q1932" s="322">
        <v>51000</v>
      </c>
      <c r="R1932" s="322">
        <v>12600</v>
      </c>
      <c r="S1932" s="322">
        <v>40000</v>
      </c>
      <c r="T1932" s="322">
        <v>40000</v>
      </c>
      <c r="U1932" s="322">
        <f t="shared" si="148"/>
        <v>0</v>
      </c>
      <c r="W1932" s="321">
        <f t="shared" si="149"/>
        <v>120</v>
      </c>
      <c r="X1932" s="321">
        <f t="shared" si="150"/>
        <v>769003</v>
      </c>
      <c r="Y1932" s="321">
        <v>1</v>
      </c>
      <c r="AA1932" s="321" t="s">
        <v>5206</v>
      </c>
    </row>
    <row r="1933" spans="13:27">
      <c r="M1933" s="321">
        <v>1769003130</v>
      </c>
      <c r="N1933" s="321">
        <v>76</v>
      </c>
      <c r="O1933" s="321" t="s">
        <v>2576</v>
      </c>
      <c r="P1933" s="321">
        <v>1769003</v>
      </c>
      <c r="Q1933" s="322">
        <v>17000</v>
      </c>
      <c r="R1933" s="322">
        <v>0</v>
      </c>
      <c r="S1933" s="322">
        <v>9000</v>
      </c>
      <c r="T1933" s="322">
        <v>8100</v>
      </c>
      <c r="U1933" s="322">
        <f t="shared" si="148"/>
        <v>900</v>
      </c>
      <c r="W1933" s="321">
        <f t="shared" si="149"/>
        <v>130</v>
      </c>
      <c r="X1933" s="321">
        <f t="shared" si="150"/>
        <v>769003</v>
      </c>
      <c r="Y1933" s="321">
        <v>1</v>
      </c>
      <c r="AA1933" s="321" t="s">
        <v>2576</v>
      </c>
    </row>
    <row r="1934" spans="13:27">
      <c r="M1934" s="321">
        <v>1769003140</v>
      </c>
      <c r="N1934" s="321">
        <v>76</v>
      </c>
      <c r="O1934" s="321" t="s">
        <v>5207</v>
      </c>
      <c r="P1934" s="321">
        <v>1769003</v>
      </c>
      <c r="Q1934" s="322">
        <v>12000</v>
      </c>
      <c r="R1934" s="322">
        <v>3200</v>
      </c>
      <c r="S1934" s="322">
        <v>11000</v>
      </c>
      <c r="T1934" s="322">
        <v>11000</v>
      </c>
      <c r="U1934" s="322">
        <f t="shared" si="148"/>
        <v>0</v>
      </c>
      <c r="W1934" s="321">
        <f t="shared" si="149"/>
        <v>140</v>
      </c>
      <c r="X1934" s="321">
        <f t="shared" si="150"/>
        <v>769003</v>
      </c>
      <c r="Y1934" s="321">
        <v>1</v>
      </c>
      <c r="AA1934" s="321" t="s">
        <v>5207</v>
      </c>
    </row>
    <row r="1935" spans="13:27">
      <c r="M1935" s="321">
        <v>1769003141</v>
      </c>
      <c r="N1935" s="321">
        <v>76</v>
      </c>
      <c r="O1935" s="321" t="s">
        <v>5208</v>
      </c>
      <c r="P1935" s="321">
        <v>1769003</v>
      </c>
      <c r="Q1935" s="322">
        <v>0</v>
      </c>
      <c r="R1935" s="322">
        <v>2900</v>
      </c>
      <c r="S1935" s="322">
        <v>4000</v>
      </c>
      <c r="T1935" s="322">
        <v>4000</v>
      </c>
      <c r="U1935" s="322">
        <f t="shared" si="148"/>
        <v>0</v>
      </c>
      <c r="W1935" s="321">
        <f t="shared" si="149"/>
        <v>141</v>
      </c>
      <c r="X1935" s="321">
        <f t="shared" si="150"/>
        <v>769003</v>
      </c>
      <c r="Y1935" s="321">
        <v>1</v>
      </c>
      <c r="AA1935" s="321" t="s">
        <v>5208</v>
      </c>
    </row>
    <row r="1936" spans="13:27">
      <c r="M1936" s="321">
        <v>1769003181</v>
      </c>
      <c r="N1936" s="321">
        <v>76</v>
      </c>
      <c r="O1936" s="321" t="s">
        <v>2580</v>
      </c>
      <c r="P1936" s="321">
        <v>1769003</v>
      </c>
      <c r="Q1936" s="322">
        <v>41000</v>
      </c>
      <c r="R1936" s="322">
        <v>7400</v>
      </c>
      <c r="S1936" s="322">
        <v>31000</v>
      </c>
      <c r="T1936" s="322">
        <v>31000</v>
      </c>
      <c r="U1936" s="322">
        <f t="shared" si="148"/>
        <v>0</v>
      </c>
      <c r="W1936" s="321">
        <f t="shared" si="149"/>
        <v>181</v>
      </c>
      <c r="X1936" s="321">
        <f t="shared" si="150"/>
        <v>769003</v>
      </c>
      <c r="Y1936" s="321">
        <v>1</v>
      </c>
      <c r="AA1936" s="321" t="s">
        <v>2580</v>
      </c>
    </row>
    <row r="1937" spans="13:27">
      <c r="M1937" s="321">
        <v>1769003182</v>
      </c>
      <c r="N1937" s="321">
        <v>76</v>
      </c>
      <c r="O1937" s="321" t="s">
        <v>2582</v>
      </c>
      <c r="P1937" s="321">
        <v>1769003</v>
      </c>
      <c r="Q1937" s="322">
        <v>50000</v>
      </c>
      <c r="R1937" s="322">
        <v>9900</v>
      </c>
      <c r="S1937" s="322">
        <v>41000</v>
      </c>
      <c r="T1937" s="322">
        <v>41000</v>
      </c>
      <c r="U1937" s="322">
        <f t="shared" si="148"/>
        <v>0</v>
      </c>
      <c r="W1937" s="321">
        <f t="shared" si="149"/>
        <v>182</v>
      </c>
      <c r="X1937" s="321">
        <f t="shared" si="150"/>
        <v>769003</v>
      </c>
      <c r="Y1937" s="321">
        <v>1</v>
      </c>
      <c r="AA1937" s="321" t="s">
        <v>2582</v>
      </c>
    </row>
    <row r="1938" spans="13:27">
      <c r="M1938" s="321">
        <v>1769003470</v>
      </c>
      <c r="N1938" s="321">
        <v>76</v>
      </c>
      <c r="O1938" s="321" t="s">
        <v>2830</v>
      </c>
      <c r="P1938" s="321">
        <v>1769003</v>
      </c>
      <c r="Q1938" s="322">
        <v>2000</v>
      </c>
      <c r="R1938" s="322">
        <v>0</v>
      </c>
      <c r="S1938" s="322">
        <v>2000</v>
      </c>
      <c r="T1938" s="322">
        <v>2000</v>
      </c>
      <c r="U1938" s="322">
        <f t="shared" si="148"/>
        <v>0</v>
      </c>
      <c r="W1938" s="321">
        <f t="shared" si="149"/>
        <v>470</v>
      </c>
      <c r="X1938" s="321">
        <f t="shared" si="150"/>
        <v>769003</v>
      </c>
      <c r="Y1938" s="321">
        <v>1</v>
      </c>
      <c r="AA1938" s="321" t="s">
        <v>2830</v>
      </c>
    </row>
    <row r="1939" spans="13:27">
      <c r="M1939" s="321">
        <v>1769003540</v>
      </c>
      <c r="N1939" s="321">
        <v>76</v>
      </c>
      <c r="O1939" s="321" t="s">
        <v>5216</v>
      </c>
      <c r="P1939" s="321">
        <v>1769003</v>
      </c>
      <c r="Q1939" s="322">
        <v>1000</v>
      </c>
      <c r="R1939" s="322">
        <v>200</v>
      </c>
      <c r="S1939" s="322">
        <v>1000</v>
      </c>
      <c r="T1939" s="322">
        <v>1000</v>
      </c>
      <c r="U1939" s="322">
        <f t="shared" si="148"/>
        <v>0</v>
      </c>
      <c r="W1939" s="321">
        <f t="shared" si="149"/>
        <v>540</v>
      </c>
      <c r="X1939" s="321">
        <f t="shared" si="150"/>
        <v>769003</v>
      </c>
      <c r="Y1939" s="321">
        <v>1</v>
      </c>
      <c r="AA1939" s="321" t="s">
        <v>5216</v>
      </c>
    </row>
    <row r="1940" spans="13:27">
      <c r="M1940" s="321">
        <v>1769003542</v>
      </c>
      <c r="N1940" s="321">
        <v>76</v>
      </c>
      <c r="O1940" s="321" t="s">
        <v>5217</v>
      </c>
      <c r="P1940" s="321">
        <v>1769003</v>
      </c>
      <c r="Q1940" s="322">
        <v>1300</v>
      </c>
      <c r="R1940" s="322">
        <v>0</v>
      </c>
      <c r="S1940" s="322">
        <v>2000</v>
      </c>
      <c r="T1940" s="322">
        <v>2000</v>
      </c>
      <c r="U1940" s="322">
        <f t="shared" si="148"/>
        <v>0</v>
      </c>
      <c r="W1940" s="321">
        <f t="shared" si="149"/>
        <v>542</v>
      </c>
      <c r="X1940" s="321">
        <f t="shared" si="150"/>
        <v>769003</v>
      </c>
      <c r="Y1940" s="321">
        <v>1</v>
      </c>
      <c r="AA1940" s="321" t="s">
        <v>5217</v>
      </c>
    </row>
    <row r="1941" spans="13:27">
      <c r="M1941" s="321">
        <v>1769003551</v>
      </c>
      <c r="N1941" s="321">
        <v>76</v>
      </c>
      <c r="O1941" s="321" t="s">
        <v>5294</v>
      </c>
      <c r="P1941" s="321">
        <v>1769003</v>
      </c>
      <c r="Q1941" s="322">
        <v>0</v>
      </c>
      <c r="R1941" s="322">
        <v>0</v>
      </c>
      <c r="S1941" s="322">
        <v>0</v>
      </c>
      <c r="T1941" s="322">
        <v>0</v>
      </c>
      <c r="U1941" s="322">
        <f t="shared" si="148"/>
        <v>0</v>
      </c>
      <c r="W1941" s="321">
        <f t="shared" si="149"/>
        <v>551</v>
      </c>
      <c r="X1941" s="321">
        <f t="shared" si="150"/>
        <v>769003</v>
      </c>
      <c r="Y1941" s="321">
        <v>1</v>
      </c>
      <c r="AA1941" s="321" t="s">
        <v>5294</v>
      </c>
    </row>
    <row r="1942" spans="13:27">
      <c r="M1942" s="321">
        <v>1769003710</v>
      </c>
      <c r="N1942" s="321">
        <v>76</v>
      </c>
      <c r="O1942" s="321" t="s">
        <v>2798</v>
      </c>
      <c r="P1942" s="321">
        <v>1769003</v>
      </c>
      <c r="Q1942" s="322">
        <v>3000</v>
      </c>
      <c r="R1942" s="322">
        <v>0</v>
      </c>
      <c r="S1942" s="322">
        <v>3000</v>
      </c>
      <c r="T1942" s="322">
        <v>3000</v>
      </c>
      <c r="U1942" s="322">
        <f t="shared" si="148"/>
        <v>0</v>
      </c>
      <c r="W1942" s="321">
        <f t="shared" si="149"/>
        <v>710</v>
      </c>
      <c r="X1942" s="321">
        <f t="shared" si="150"/>
        <v>769003</v>
      </c>
      <c r="Y1942" s="321">
        <v>1</v>
      </c>
      <c r="AA1942" s="321" t="s">
        <v>2798</v>
      </c>
    </row>
    <row r="1943" spans="13:27">
      <c r="M1943" s="321">
        <v>1769003777</v>
      </c>
      <c r="N1943" s="321">
        <v>76</v>
      </c>
      <c r="O1943" s="321" t="s">
        <v>5755</v>
      </c>
      <c r="P1943" s="321">
        <v>1769003</v>
      </c>
      <c r="Q1943" s="322">
        <v>8000</v>
      </c>
      <c r="R1943" s="322">
        <v>0</v>
      </c>
      <c r="S1943" s="322">
        <v>8000</v>
      </c>
      <c r="T1943" s="322">
        <v>8000</v>
      </c>
      <c r="U1943" s="322">
        <f t="shared" si="148"/>
        <v>0</v>
      </c>
      <c r="W1943" s="321">
        <f t="shared" si="149"/>
        <v>777</v>
      </c>
      <c r="X1943" s="321">
        <f t="shared" si="150"/>
        <v>769003</v>
      </c>
      <c r="Y1943" s="321">
        <v>1</v>
      </c>
      <c r="AA1943" s="321" t="s">
        <v>5755</v>
      </c>
    </row>
    <row r="1944" spans="13:27">
      <c r="M1944" s="321">
        <v>1769003780</v>
      </c>
      <c r="N1944" s="321">
        <v>76</v>
      </c>
      <c r="O1944" s="321" t="s">
        <v>5756</v>
      </c>
      <c r="P1944" s="321">
        <v>1769003</v>
      </c>
      <c r="Q1944" s="322">
        <v>270000</v>
      </c>
      <c r="R1944" s="322">
        <v>6100</v>
      </c>
      <c r="S1944" s="322">
        <v>270000</v>
      </c>
      <c r="T1944" s="322">
        <v>220000</v>
      </c>
      <c r="U1944" s="322">
        <f t="shared" si="148"/>
        <v>50000</v>
      </c>
      <c r="W1944" s="321">
        <f t="shared" si="149"/>
        <v>780</v>
      </c>
      <c r="X1944" s="321">
        <f t="shared" si="150"/>
        <v>769003</v>
      </c>
      <c r="Y1944" s="321">
        <v>1</v>
      </c>
      <c r="AA1944" s="321" t="s">
        <v>5756</v>
      </c>
    </row>
    <row r="1945" spans="13:27">
      <c r="M1945" s="321">
        <v>1769003781</v>
      </c>
      <c r="N1945" s="321">
        <v>76</v>
      </c>
      <c r="O1945" s="321" t="s">
        <v>5757</v>
      </c>
      <c r="P1945" s="321">
        <v>1769003</v>
      </c>
      <c r="Q1945" s="322">
        <v>0</v>
      </c>
      <c r="R1945" s="322">
        <v>0</v>
      </c>
      <c r="S1945" s="322">
        <v>100000</v>
      </c>
      <c r="T1945" s="322">
        <v>70000</v>
      </c>
      <c r="U1945" s="322">
        <f t="shared" si="148"/>
        <v>30000</v>
      </c>
      <c r="W1945" s="321">
        <f t="shared" si="149"/>
        <v>781</v>
      </c>
      <c r="X1945" s="321">
        <f t="shared" si="150"/>
        <v>769003</v>
      </c>
      <c r="Y1945" s="321">
        <v>1</v>
      </c>
      <c r="AA1945" s="321" t="s">
        <v>5757</v>
      </c>
    </row>
    <row r="1946" spans="13:27">
      <c r="M1946" s="321">
        <v>1769004810</v>
      </c>
      <c r="N1946" s="321">
        <v>76</v>
      </c>
      <c r="O1946" s="321" t="s">
        <v>5758</v>
      </c>
      <c r="P1946" s="321">
        <v>1769004</v>
      </c>
      <c r="Q1946" s="322">
        <v>550000</v>
      </c>
      <c r="R1946" s="322">
        <v>541400</v>
      </c>
      <c r="S1946" s="322">
        <v>550000</v>
      </c>
      <c r="T1946" s="322">
        <v>550000</v>
      </c>
      <c r="U1946" s="322">
        <f t="shared" si="148"/>
        <v>0</v>
      </c>
      <c r="W1946" s="321">
        <f t="shared" si="149"/>
        <v>810</v>
      </c>
      <c r="X1946" s="321">
        <f t="shared" si="150"/>
        <v>769004</v>
      </c>
      <c r="Y1946" s="321">
        <v>1</v>
      </c>
      <c r="AA1946" s="321" t="s">
        <v>5758</v>
      </c>
    </row>
    <row r="1947" spans="13:27">
      <c r="M1947" s="321">
        <v>1769005820</v>
      </c>
      <c r="N1947" s="321">
        <v>76</v>
      </c>
      <c r="O1947" s="321" t="s">
        <v>5759</v>
      </c>
      <c r="P1947" s="321">
        <v>1769005</v>
      </c>
      <c r="Q1947" s="322">
        <v>580000</v>
      </c>
      <c r="R1947" s="322">
        <v>252600</v>
      </c>
      <c r="S1947" s="322">
        <v>580000</v>
      </c>
      <c r="T1947" s="322">
        <v>580000</v>
      </c>
      <c r="U1947" s="322">
        <f t="shared" si="148"/>
        <v>0</v>
      </c>
      <c r="W1947" s="321">
        <f t="shared" si="149"/>
        <v>820</v>
      </c>
      <c r="X1947" s="321">
        <f t="shared" si="150"/>
        <v>769005</v>
      </c>
      <c r="Y1947" s="321">
        <v>1</v>
      </c>
      <c r="AA1947" s="321" t="s">
        <v>5759</v>
      </c>
    </row>
    <row r="1948" spans="13:27">
      <c r="M1948" s="321">
        <v>1769006820</v>
      </c>
      <c r="N1948" s="321">
        <v>76</v>
      </c>
      <c r="O1948" s="321" t="s">
        <v>5760</v>
      </c>
      <c r="P1948" s="321">
        <v>1769006</v>
      </c>
      <c r="Q1948" s="322">
        <v>0</v>
      </c>
      <c r="R1948" s="322">
        <v>0</v>
      </c>
      <c r="S1948" s="322">
        <v>0</v>
      </c>
      <c r="T1948" s="322">
        <v>0</v>
      </c>
      <c r="U1948" s="322">
        <f t="shared" si="148"/>
        <v>0</v>
      </c>
      <c r="W1948" s="321">
        <f t="shared" si="149"/>
        <v>820</v>
      </c>
      <c r="X1948" s="321">
        <f t="shared" si="150"/>
        <v>769006</v>
      </c>
      <c r="Y1948" s="321">
        <v>1</v>
      </c>
      <c r="AA1948" s="321" t="s">
        <v>5760</v>
      </c>
    </row>
    <row r="1949" spans="13:27">
      <c r="M1949" s="321">
        <v>1773001540</v>
      </c>
      <c r="N1949" s="321">
        <v>77</v>
      </c>
      <c r="O1949" s="321" t="s">
        <v>5252</v>
      </c>
      <c r="P1949" s="321">
        <v>1773001</v>
      </c>
      <c r="Q1949" s="322">
        <v>0</v>
      </c>
      <c r="R1949" s="322">
        <v>0</v>
      </c>
      <c r="S1949" s="322">
        <v>0</v>
      </c>
      <c r="T1949" s="322">
        <v>0</v>
      </c>
      <c r="U1949" s="322">
        <f t="shared" si="148"/>
        <v>0</v>
      </c>
      <c r="W1949" s="321">
        <f t="shared" si="149"/>
        <v>540</v>
      </c>
      <c r="X1949" s="321">
        <f t="shared" si="150"/>
        <v>773001</v>
      </c>
      <c r="Y1949" s="321">
        <v>1</v>
      </c>
      <c r="AA1949" s="321" t="s">
        <v>5252</v>
      </c>
    </row>
    <row r="1950" spans="13:27">
      <c r="M1950" s="321">
        <v>1773001760</v>
      </c>
      <c r="N1950" s="321">
        <v>77</v>
      </c>
      <c r="O1950" s="321" t="s">
        <v>5761</v>
      </c>
      <c r="P1950" s="321">
        <v>1773001</v>
      </c>
      <c r="Q1950" s="322">
        <v>2160000</v>
      </c>
      <c r="R1950" s="322">
        <v>2087100</v>
      </c>
      <c r="S1950" s="322">
        <v>2160000</v>
      </c>
      <c r="T1950" s="322">
        <v>1950000</v>
      </c>
      <c r="U1950" s="322">
        <f t="shared" si="148"/>
        <v>210000</v>
      </c>
      <c r="W1950" s="321">
        <f t="shared" si="149"/>
        <v>760</v>
      </c>
      <c r="X1950" s="321">
        <f t="shared" si="150"/>
        <v>773001</v>
      </c>
      <c r="Y1950" s="321">
        <v>1</v>
      </c>
      <c r="AA1950" s="321" t="s">
        <v>5761</v>
      </c>
    </row>
    <row r="1951" spans="13:27">
      <c r="M1951" s="321">
        <v>1773001763</v>
      </c>
      <c r="N1951" s="321">
        <v>77</v>
      </c>
      <c r="O1951" s="321" t="s">
        <v>5762</v>
      </c>
      <c r="P1951" s="321">
        <v>1773001</v>
      </c>
      <c r="Q1951" s="322">
        <v>34000</v>
      </c>
      <c r="R1951" s="322">
        <v>15600</v>
      </c>
      <c r="S1951" s="322">
        <v>34000</v>
      </c>
      <c r="T1951" s="322">
        <v>34000</v>
      </c>
      <c r="U1951" s="322">
        <f t="shared" si="148"/>
        <v>0</v>
      </c>
      <c r="W1951" s="321">
        <f t="shared" si="149"/>
        <v>763</v>
      </c>
      <c r="X1951" s="321">
        <f t="shared" si="150"/>
        <v>773001</v>
      </c>
      <c r="Y1951" s="321">
        <v>1</v>
      </c>
      <c r="AA1951" s="321" t="s">
        <v>5762</v>
      </c>
    </row>
    <row r="1952" spans="13:27">
      <c r="M1952" s="321">
        <v>1773001766</v>
      </c>
      <c r="N1952" s="321">
        <v>77</v>
      </c>
      <c r="O1952" s="321" t="s">
        <v>5763</v>
      </c>
      <c r="P1952" s="321">
        <v>1773001</v>
      </c>
      <c r="Q1952" s="322">
        <v>71100</v>
      </c>
      <c r="R1952" s="322">
        <v>20800</v>
      </c>
      <c r="S1952" s="322">
        <v>71100</v>
      </c>
      <c r="T1952" s="322">
        <v>71100</v>
      </c>
      <c r="U1952" s="322">
        <f t="shared" si="148"/>
        <v>0</v>
      </c>
      <c r="W1952" s="321">
        <f t="shared" si="149"/>
        <v>766</v>
      </c>
      <c r="X1952" s="321">
        <f t="shared" si="150"/>
        <v>773001</v>
      </c>
      <c r="Y1952" s="321">
        <v>1</v>
      </c>
      <c r="AA1952" s="321" t="s">
        <v>5763</v>
      </c>
    </row>
    <row r="1953" spans="13:27">
      <c r="M1953" s="321">
        <v>1773001767</v>
      </c>
      <c r="N1953" s="321">
        <v>77</v>
      </c>
      <c r="O1953" s="321" t="s">
        <v>5764</v>
      </c>
      <c r="P1953" s="321">
        <v>1773001</v>
      </c>
      <c r="Q1953" s="322">
        <v>179100</v>
      </c>
      <c r="R1953" s="322">
        <v>43300</v>
      </c>
      <c r="S1953" s="322">
        <v>179100</v>
      </c>
      <c r="T1953" s="322">
        <v>179100</v>
      </c>
      <c r="U1953" s="322">
        <f t="shared" si="148"/>
        <v>0</v>
      </c>
      <c r="W1953" s="321">
        <f t="shared" si="149"/>
        <v>767</v>
      </c>
      <c r="X1953" s="321">
        <f t="shared" si="150"/>
        <v>773001</v>
      </c>
      <c r="Y1953" s="321">
        <v>1</v>
      </c>
      <c r="AA1953" s="321" t="s">
        <v>5764</v>
      </c>
    </row>
    <row r="1954" spans="13:27">
      <c r="M1954" s="321">
        <v>1773001768</v>
      </c>
      <c r="N1954" s="321">
        <v>77</v>
      </c>
      <c r="O1954" s="321" t="s">
        <v>5765</v>
      </c>
      <c r="P1954" s="321">
        <v>1773001</v>
      </c>
      <c r="Q1954" s="322">
        <v>347400</v>
      </c>
      <c r="R1954" s="322">
        <v>163200</v>
      </c>
      <c r="S1954" s="322">
        <v>347400</v>
      </c>
      <c r="T1954" s="322">
        <v>297400</v>
      </c>
      <c r="U1954" s="322">
        <f t="shared" si="148"/>
        <v>50000</v>
      </c>
      <c r="W1954" s="321">
        <f t="shared" si="149"/>
        <v>768</v>
      </c>
      <c r="X1954" s="321">
        <f t="shared" si="150"/>
        <v>773001</v>
      </c>
      <c r="Y1954" s="321">
        <v>1</v>
      </c>
      <c r="AA1954" s="321" t="s">
        <v>5765</v>
      </c>
    </row>
    <row r="1955" spans="13:27">
      <c r="M1955" s="321">
        <v>1773002760</v>
      </c>
      <c r="N1955" s="321">
        <v>77</v>
      </c>
      <c r="O1955" s="321" t="s">
        <v>5766</v>
      </c>
      <c r="P1955" s="321">
        <v>1773001</v>
      </c>
      <c r="Q1955" s="322">
        <v>35700</v>
      </c>
      <c r="R1955" s="322">
        <v>0</v>
      </c>
      <c r="S1955" s="322">
        <v>35700</v>
      </c>
      <c r="T1955" s="322">
        <v>35700</v>
      </c>
      <c r="U1955" s="322">
        <f t="shared" si="148"/>
        <v>0</v>
      </c>
      <c r="W1955" s="321">
        <f t="shared" si="149"/>
        <v>760</v>
      </c>
      <c r="X1955" s="321">
        <f t="shared" si="150"/>
        <v>773002</v>
      </c>
      <c r="Y1955" s="321">
        <v>1</v>
      </c>
      <c r="AA1955" s="321" t="s">
        <v>5766</v>
      </c>
    </row>
    <row r="1956" spans="13:27">
      <c r="M1956" s="321">
        <v>1773002761</v>
      </c>
      <c r="N1956" s="321">
        <v>77</v>
      </c>
      <c r="O1956" s="321" t="s">
        <v>5767</v>
      </c>
      <c r="P1956" s="321">
        <v>1773001</v>
      </c>
      <c r="Q1956" s="322">
        <v>500000</v>
      </c>
      <c r="R1956" s="322">
        <v>73500</v>
      </c>
      <c r="S1956" s="322">
        <v>500000</v>
      </c>
      <c r="T1956" s="322">
        <v>250000</v>
      </c>
      <c r="U1956" s="322">
        <f t="shared" si="148"/>
        <v>250000</v>
      </c>
      <c r="W1956" s="321">
        <f t="shared" si="149"/>
        <v>761</v>
      </c>
      <c r="X1956" s="321">
        <f t="shared" si="150"/>
        <v>773002</v>
      </c>
      <c r="Y1956" s="321">
        <v>1</v>
      </c>
      <c r="AA1956" s="321" t="s">
        <v>5767</v>
      </c>
    </row>
    <row r="1957" spans="13:27">
      <c r="M1957" s="321">
        <v>1773005750</v>
      </c>
      <c r="N1957" s="321">
        <v>77</v>
      </c>
      <c r="O1957" s="321" t="s">
        <v>5768</v>
      </c>
      <c r="P1957" s="321">
        <v>1773005</v>
      </c>
      <c r="Q1957" s="322">
        <v>0</v>
      </c>
      <c r="R1957" s="322">
        <v>0</v>
      </c>
      <c r="S1957" s="322">
        <v>0</v>
      </c>
      <c r="T1957" s="322">
        <v>0</v>
      </c>
      <c r="U1957" s="322">
        <f t="shared" si="148"/>
        <v>0</v>
      </c>
      <c r="W1957" s="321">
        <f t="shared" si="149"/>
        <v>750</v>
      </c>
      <c r="X1957" s="321">
        <f t="shared" si="150"/>
        <v>773005</v>
      </c>
      <c r="Y1957" s="321">
        <v>1</v>
      </c>
      <c r="AA1957" s="321" t="s">
        <v>5768</v>
      </c>
    </row>
    <row r="1958" spans="13:27">
      <c r="M1958" s="321">
        <v>1781000110</v>
      </c>
      <c r="N1958" s="321">
        <v>78</v>
      </c>
      <c r="O1958" s="321" t="s">
        <v>5205</v>
      </c>
      <c r="P1958" s="321">
        <v>6780000</v>
      </c>
      <c r="Q1958" s="322">
        <v>2465000</v>
      </c>
      <c r="R1958" s="322">
        <v>1782300</v>
      </c>
      <c r="S1958" s="322">
        <v>2728000</v>
      </c>
      <c r="T1958" s="322">
        <v>2564000</v>
      </c>
      <c r="U1958" s="322">
        <f t="shared" si="148"/>
        <v>164000</v>
      </c>
      <c r="W1958" s="321">
        <f t="shared" si="149"/>
        <v>110</v>
      </c>
      <c r="X1958" s="321">
        <f t="shared" si="150"/>
        <v>781000</v>
      </c>
      <c r="Y1958" s="321">
        <v>1</v>
      </c>
      <c r="AA1958" s="321" t="s">
        <v>5205</v>
      </c>
    </row>
    <row r="1959" spans="13:27">
      <c r="M1959" s="321">
        <v>1781000120</v>
      </c>
      <c r="N1959" s="321">
        <v>78</v>
      </c>
      <c r="O1959" s="321" t="s">
        <v>5769</v>
      </c>
      <c r="P1959" s="321">
        <v>6780000</v>
      </c>
      <c r="Q1959" s="322">
        <v>304000</v>
      </c>
      <c r="R1959" s="322">
        <v>261600</v>
      </c>
      <c r="S1959" s="322">
        <v>292000</v>
      </c>
      <c r="T1959" s="322">
        <v>292000</v>
      </c>
      <c r="U1959" s="322">
        <f t="shared" si="148"/>
        <v>0</v>
      </c>
      <c r="W1959" s="321">
        <f t="shared" si="149"/>
        <v>120</v>
      </c>
      <c r="X1959" s="321">
        <f t="shared" si="150"/>
        <v>781000</v>
      </c>
      <c r="Y1959" s="321">
        <v>1</v>
      </c>
      <c r="AA1959" s="321" t="s">
        <v>5769</v>
      </c>
    </row>
    <row r="1960" spans="13:27">
      <c r="M1960" s="321">
        <v>1781000130</v>
      </c>
      <c r="N1960" s="321">
        <v>78</v>
      </c>
      <c r="O1960" s="321" t="s">
        <v>2576</v>
      </c>
      <c r="P1960" s="321">
        <v>6780000</v>
      </c>
      <c r="Q1960" s="322">
        <v>958000</v>
      </c>
      <c r="R1960" s="322">
        <v>666600</v>
      </c>
      <c r="S1960" s="322">
        <v>944000</v>
      </c>
      <c r="T1960" s="322">
        <v>849600</v>
      </c>
      <c r="U1960" s="322">
        <f t="shared" si="148"/>
        <v>94400</v>
      </c>
      <c r="W1960" s="321">
        <f t="shared" si="149"/>
        <v>130</v>
      </c>
      <c r="X1960" s="321">
        <f t="shared" si="150"/>
        <v>781000</v>
      </c>
      <c r="Y1960" s="321">
        <v>1</v>
      </c>
      <c r="AA1960" s="321" t="s">
        <v>2576</v>
      </c>
    </row>
    <row r="1961" spans="13:27">
      <c r="M1961" s="321">
        <v>1781000140</v>
      </c>
      <c r="N1961" s="321">
        <v>78</v>
      </c>
      <c r="O1961" s="321" t="s">
        <v>5207</v>
      </c>
      <c r="P1961" s="321">
        <v>6780000</v>
      </c>
      <c r="Q1961" s="322">
        <v>529000</v>
      </c>
      <c r="R1961" s="322">
        <v>291800</v>
      </c>
      <c r="S1961" s="322">
        <v>538000</v>
      </c>
      <c r="T1961" s="322">
        <v>538000</v>
      </c>
      <c r="U1961" s="322">
        <f t="shared" si="148"/>
        <v>0</v>
      </c>
      <c r="W1961" s="321">
        <f t="shared" si="149"/>
        <v>140</v>
      </c>
      <c r="X1961" s="321">
        <f t="shared" si="150"/>
        <v>781000</v>
      </c>
      <c r="Y1961" s="321">
        <v>1</v>
      </c>
      <c r="AA1961" s="321" t="s">
        <v>5207</v>
      </c>
    </row>
    <row r="1962" spans="13:27">
      <c r="M1962" s="321">
        <v>1781000141</v>
      </c>
      <c r="N1962" s="321">
        <v>78</v>
      </c>
      <c r="O1962" s="321" t="s">
        <v>5208</v>
      </c>
      <c r="P1962" s="321">
        <v>6780000</v>
      </c>
      <c r="Q1962" s="322">
        <v>237000</v>
      </c>
      <c r="R1962" s="322">
        <v>185600</v>
      </c>
      <c r="S1962" s="322">
        <v>256000</v>
      </c>
      <c r="T1962" s="322">
        <v>256000</v>
      </c>
      <c r="U1962" s="322">
        <f t="shared" si="148"/>
        <v>0</v>
      </c>
      <c r="W1962" s="321">
        <f t="shared" si="149"/>
        <v>141</v>
      </c>
      <c r="X1962" s="321">
        <f t="shared" si="150"/>
        <v>781000</v>
      </c>
      <c r="Y1962" s="321">
        <v>1</v>
      </c>
      <c r="AA1962" s="321" t="s">
        <v>5208</v>
      </c>
    </row>
    <row r="1963" spans="13:27">
      <c r="M1963" s="321">
        <v>1781000181</v>
      </c>
      <c r="N1963" s="321">
        <v>78</v>
      </c>
      <c r="O1963" s="321" t="s">
        <v>2580</v>
      </c>
      <c r="P1963" s="321">
        <v>6780000</v>
      </c>
      <c r="Q1963" s="322">
        <v>536000</v>
      </c>
      <c r="R1963" s="322">
        <v>407500</v>
      </c>
      <c r="S1963" s="322">
        <v>624000</v>
      </c>
      <c r="T1963" s="322">
        <v>624000</v>
      </c>
      <c r="U1963" s="322">
        <f t="shared" si="148"/>
        <v>0</v>
      </c>
      <c r="W1963" s="321">
        <f t="shared" si="149"/>
        <v>181</v>
      </c>
      <c r="X1963" s="321">
        <f t="shared" si="150"/>
        <v>781000</v>
      </c>
      <c r="Y1963" s="321">
        <v>1</v>
      </c>
      <c r="AA1963" s="321" t="s">
        <v>2580</v>
      </c>
    </row>
    <row r="1964" spans="13:27">
      <c r="M1964" s="321">
        <v>1781000182</v>
      </c>
      <c r="N1964" s="321">
        <v>78</v>
      </c>
      <c r="O1964" s="321" t="s">
        <v>2582</v>
      </c>
      <c r="P1964" s="321">
        <v>6780000</v>
      </c>
      <c r="Q1964" s="322">
        <v>610000</v>
      </c>
      <c r="R1964" s="322">
        <v>426400</v>
      </c>
      <c r="S1964" s="322">
        <v>656000</v>
      </c>
      <c r="T1964" s="322">
        <v>656000</v>
      </c>
      <c r="U1964" s="322">
        <f t="shared" si="148"/>
        <v>0</v>
      </c>
      <c r="W1964" s="321">
        <f t="shared" si="149"/>
        <v>182</v>
      </c>
      <c r="X1964" s="321">
        <f t="shared" si="150"/>
        <v>781000</v>
      </c>
      <c r="Y1964" s="321">
        <v>1</v>
      </c>
      <c r="AA1964" s="321" t="s">
        <v>2582</v>
      </c>
    </row>
    <row r="1965" spans="13:27">
      <c r="M1965" s="321">
        <v>1781000210</v>
      </c>
      <c r="N1965" s="321">
        <v>78</v>
      </c>
      <c r="O1965" s="321" t="s">
        <v>2572</v>
      </c>
      <c r="P1965" s="321">
        <v>6781000</v>
      </c>
      <c r="Q1965" s="322">
        <v>270000</v>
      </c>
      <c r="R1965" s="322">
        <v>0</v>
      </c>
      <c r="S1965" s="322">
        <v>0</v>
      </c>
      <c r="T1965" s="322">
        <v>0</v>
      </c>
      <c r="U1965" s="322">
        <f t="shared" si="148"/>
        <v>0</v>
      </c>
      <c r="W1965" s="321">
        <f t="shared" si="149"/>
        <v>210</v>
      </c>
      <c r="X1965" s="321">
        <f t="shared" si="150"/>
        <v>781000</v>
      </c>
      <c r="Y1965" s="321">
        <v>1</v>
      </c>
      <c r="AA1965" s="321" t="s">
        <v>2572</v>
      </c>
    </row>
    <row r="1966" spans="13:27">
      <c r="M1966" s="321">
        <v>1781000212</v>
      </c>
      <c r="N1966" s="321">
        <v>78</v>
      </c>
      <c r="O1966" s="321" t="s">
        <v>5770</v>
      </c>
      <c r="P1966" s="321">
        <v>6781000</v>
      </c>
      <c r="Q1966" s="322">
        <v>0</v>
      </c>
      <c r="R1966" s="322">
        <v>0</v>
      </c>
      <c r="S1966" s="322">
        <v>25500</v>
      </c>
      <c r="T1966" s="322">
        <v>25500</v>
      </c>
      <c r="U1966" s="322">
        <f t="shared" si="148"/>
        <v>0</v>
      </c>
      <c r="W1966" s="321">
        <f t="shared" si="149"/>
        <v>212</v>
      </c>
      <c r="X1966" s="321">
        <f t="shared" si="150"/>
        <v>781000</v>
      </c>
      <c r="Y1966" s="321">
        <v>1</v>
      </c>
      <c r="AA1966" s="321" t="s">
        <v>5770</v>
      </c>
    </row>
    <row r="1967" spans="13:27">
      <c r="M1967" s="321">
        <v>1781000470</v>
      </c>
      <c r="N1967" s="321">
        <v>78</v>
      </c>
      <c r="O1967" s="321" t="s">
        <v>2830</v>
      </c>
      <c r="P1967" s="321">
        <v>6780000</v>
      </c>
      <c r="Q1967" s="322">
        <v>5000</v>
      </c>
      <c r="R1967" s="322">
        <v>4300</v>
      </c>
      <c r="S1967" s="322">
        <v>5000</v>
      </c>
      <c r="T1967" s="322">
        <v>5000</v>
      </c>
      <c r="U1967" s="322">
        <f t="shared" si="148"/>
        <v>0</v>
      </c>
      <c r="W1967" s="321">
        <f t="shared" si="149"/>
        <v>470</v>
      </c>
      <c r="X1967" s="321">
        <f t="shared" si="150"/>
        <v>781000</v>
      </c>
      <c r="Y1967" s="321">
        <v>1</v>
      </c>
      <c r="AA1967" s="321" t="s">
        <v>2830</v>
      </c>
    </row>
    <row r="1968" spans="13:27">
      <c r="M1968" s="321">
        <v>1781000471</v>
      </c>
      <c r="N1968" s="321">
        <v>78</v>
      </c>
      <c r="O1968" s="321" t="s">
        <v>5378</v>
      </c>
      <c r="P1968" s="321">
        <v>6780000</v>
      </c>
      <c r="Q1968" s="322">
        <v>5800</v>
      </c>
      <c r="R1968" s="322">
        <v>0</v>
      </c>
      <c r="S1968" s="322">
        <v>6200</v>
      </c>
      <c r="T1968" s="322">
        <v>6200</v>
      </c>
      <c r="U1968" s="322">
        <f t="shared" si="148"/>
        <v>0</v>
      </c>
      <c r="W1968" s="321">
        <f t="shared" si="149"/>
        <v>471</v>
      </c>
      <c r="X1968" s="321">
        <f t="shared" si="150"/>
        <v>781000</v>
      </c>
      <c r="Y1968" s="321">
        <v>1</v>
      </c>
      <c r="AA1968" s="321" t="s">
        <v>5378</v>
      </c>
    </row>
    <row r="1969" spans="13:27">
      <c r="M1969" s="321">
        <v>1781000510</v>
      </c>
      <c r="N1969" s="321">
        <v>78</v>
      </c>
      <c r="O1969" s="321" t="s">
        <v>2805</v>
      </c>
      <c r="P1969" s="321">
        <v>6781000</v>
      </c>
      <c r="Q1969" s="322">
        <v>1000</v>
      </c>
      <c r="R1969" s="322">
        <v>700</v>
      </c>
      <c r="S1969" s="322">
        <v>1000</v>
      </c>
      <c r="T1969" s="322">
        <v>1000</v>
      </c>
      <c r="U1969" s="322">
        <f t="shared" si="148"/>
        <v>0</v>
      </c>
      <c r="W1969" s="321">
        <f t="shared" si="149"/>
        <v>510</v>
      </c>
      <c r="X1969" s="321">
        <f t="shared" si="150"/>
        <v>781000</v>
      </c>
      <c r="Y1969" s="321">
        <v>1</v>
      </c>
      <c r="AA1969" s="321" t="s">
        <v>2805</v>
      </c>
    </row>
    <row r="1970" spans="13:27">
      <c r="M1970" s="321">
        <v>1781000530</v>
      </c>
      <c r="N1970" s="321">
        <v>78</v>
      </c>
      <c r="O1970" s="321" t="s">
        <v>5771</v>
      </c>
      <c r="P1970" s="321">
        <v>6780000</v>
      </c>
      <c r="Q1970" s="322">
        <v>50000</v>
      </c>
      <c r="R1970" s="322">
        <v>40200</v>
      </c>
      <c r="S1970" s="322">
        <v>30000</v>
      </c>
      <c r="T1970" s="322">
        <v>30000</v>
      </c>
      <c r="U1970" s="322">
        <f t="shared" si="148"/>
        <v>0</v>
      </c>
      <c r="W1970" s="321">
        <f t="shared" si="149"/>
        <v>530</v>
      </c>
      <c r="X1970" s="321">
        <f t="shared" si="150"/>
        <v>781000</v>
      </c>
      <c r="Y1970" s="321">
        <v>1</v>
      </c>
      <c r="AA1970" s="321" t="s">
        <v>5771</v>
      </c>
    </row>
    <row r="1971" spans="13:27">
      <c r="M1971" s="321">
        <v>1781000540</v>
      </c>
      <c r="N1971" s="321">
        <v>78</v>
      </c>
      <c r="O1971" s="321" t="s">
        <v>5216</v>
      </c>
      <c r="P1971" s="321">
        <v>6780000</v>
      </c>
      <c r="Q1971" s="322">
        <v>2000</v>
      </c>
      <c r="R1971" s="322">
        <v>1000</v>
      </c>
      <c r="S1971" s="322">
        <v>2000</v>
      </c>
      <c r="T1971" s="322">
        <v>2000</v>
      </c>
      <c r="U1971" s="322">
        <f t="shared" si="148"/>
        <v>0</v>
      </c>
      <c r="W1971" s="321">
        <f t="shared" si="149"/>
        <v>540</v>
      </c>
      <c r="X1971" s="321">
        <f t="shared" si="150"/>
        <v>781000</v>
      </c>
      <c r="Y1971" s="321">
        <v>1</v>
      </c>
      <c r="AA1971" s="321" t="s">
        <v>5216</v>
      </c>
    </row>
    <row r="1972" spans="13:27">
      <c r="M1972" s="321">
        <v>1781000542</v>
      </c>
      <c r="N1972" s="321">
        <v>78</v>
      </c>
      <c r="O1972" s="321" t="s">
        <v>5362</v>
      </c>
      <c r="P1972" s="321">
        <v>6780000</v>
      </c>
      <c r="Q1972" s="322">
        <v>80600</v>
      </c>
      <c r="R1972" s="322">
        <v>49900</v>
      </c>
      <c r="S1972" s="322">
        <v>42000</v>
      </c>
      <c r="T1972" s="322">
        <v>42000</v>
      </c>
      <c r="U1972" s="322">
        <f t="shared" si="148"/>
        <v>0</v>
      </c>
      <c r="W1972" s="321">
        <f t="shared" si="149"/>
        <v>542</v>
      </c>
      <c r="X1972" s="321">
        <f t="shared" si="150"/>
        <v>781000</v>
      </c>
      <c r="Y1972" s="321">
        <v>1</v>
      </c>
      <c r="AA1972" s="321" t="s">
        <v>5362</v>
      </c>
    </row>
    <row r="1973" spans="13:27">
      <c r="M1973" s="321">
        <v>1781000570</v>
      </c>
      <c r="N1973" s="321">
        <v>78</v>
      </c>
      <c r="O1973" s="321" t="s">
        <v>5772</v>
      </c>
      <c r="P1973" s="321">
        <v>6781000</v>
      </c>
      <c r="Q1973" s="322">
        <v>0</v>
      </c>
      <c r="R1973" s="322">
        <v>0</v>
      </c>
      <c r="S1973" s="322">
        <v>10000</v>
      </c>
      <c r="T1973" s="322">
        <v>10000</v>
      </c>
      <c r="U1973" s="322">
        <f t="shared" si="148"/>
        <v>0</v>
      </c>
      <c r="W1973" s="321">
        <f t="shared" si="149"/>
        <v>570</v>
      </c>
      <c r="X1973" s="321">
        <f t="shared" si="150"/>
        <v>781000</v>
      </c>
      <c r="Y1973" s="321">
        <v>1</v>
      </c>
      <c r="AA1973" s="321" t="s">
        <v>5772</v>
      </c>
    </row>
    <row r="1974" spans="13:27">
      <c r="M1974" s="321">
        <v>1781000572</v>
      </c>
      <c r="N1974" s="321">
        <v>78</v>
      </c>
      <c r="O1974" s="321" t="s">
        <v>5773</v>
      </c>
      <c r="P1974" s="321">
        <v>6780000</v>
      </c>
      <c r="Q1974" s="322">
        <v>120000</v>
      </c>
      <c r="R1974" s="322">
        <v>26000</v>
      </c>
      <c r="S1974" s="322">
        <v>120000</v>
      </c>
      <c r="T1974" s="322">
        <v>120000</v>
      </c>
      <c r="U1974" s="322">
        <f t="shared" si="148"/>
        <v>0</v>
      </c>
      <c r="W1974" s="321">
        <f t="shared" si="149"/>
        <v>572</v>
      </c>
      <c r="X1974" s="321">
        <f t="shared" si="150"/>
        <v>781000</v>
      </c>
      <c r="Y1974" s="321">
        <v>1</v>
      </c>
      <c r="AA1974" s="321" t="s">
        <v>5773</v>
      </c>
    </row>
    <row r="1975" spans="13:27">
      <c r="M1975" s="321">
        <v>1781000731</v>
      </c>
      <c r="N1975" s="321">
        <v>78</v>
      </c>
      <c r="O1975" s="321" t="s">
        <v>5774</v>
      </c>
      <c r="P1975" s="321">
        <v>6780000</v>
      </c>
      <c r="Q1975" s="322">
        <v>70000</v>
      </c>
      <c r="R1975" s="322">
        <v>51400</v>
      </c>
      <c r="S1975" s="322">
        <v>80000</v>
      </c>
      <c r="T1975" s="322">
        <v>80000</v>
      </c>
      <c r="U1975" s="322">
        <f t="shared" si="148"/>
        <v>0</v>
      </c>
      <c r="W1975" s="321">
        <f t="shared" si="149"/>
        <v>731</v>
      </c>
      <c r="X1975" s="321">
        <f t="shared" si="150"/>
        <v>781000</v>
      </c>
      <c r="Y1975" s="321">
        <v>1</v>
      </c>
      <c r="AA1975" s="321" t="s">
        <v>5774</v>
      </c>
    </row>
    <row r="1976" spans="13:27">
      <c r="M1976" s="321">
        <v>1781000733</v>
      </c>
      <c r="N1976" s="321">
        <v>78</v>
      </c>
      <c r="O1976" s="321" t="s">
        <v>5775</v>
      </c>
      <c r="P1976" s="321">
        <v>6780000</v>
      </c>
      <c r="Q1976" s="322">
        <v>60000</v>
      </c>
      <c r="R1976" s="322">
        <v>61800</v>
      </c>
      <c r="S1976" s="322">
        <v>80000</v>
      </c>
      <c r="T1976" s="322">
        <v>80000</v>
      </c>
      <c r="U1976" s="322">
        <f t="shared" si="148"/>
        <v>0</v>
      </c>
      <c r="W1976" s="321">
        <f t="shared" si="149"/>
        <v>733</v>
      </c>
      <c r="X1976" s="321">
        <f t="shared" si="150"/>
        <v>781000</v>
      </c>
      <c r="Y1976" s="321">
        <v>1</v>
      </c>
      <c r="AA1976" s="321" t="s">
        <v>5775</v>
      </c>
    </row>
    <row r="1977" spans="13:27">
      <c r="M1977" s="321">
        <v>1781000735</v>
      </c>
      <c r="N1977" s="321">
        <v>78</v>
      </c>
      <c r="O1977" s="321" t="s">
        <v>5776</v>
      </c>
      <c r="P1977" s="321">
        <v>6780000</v>
      </c>
      <c r="Q1977" s="322">
        <v>70000</v>
      </c>
      <c r="R1977" s="322">
        <v>59400</v>
      </c>
      <c r="S1977" s="322">
        <v>90000</v>
      </c>
      <c r="T1977" s="322">
        <v>90000</v>
      </c>
      <c r="U1977" s="322">
        <f t="shared" si="148"/>
        <v>0</v>
      </c>
      <c r="W1977" s="321">
        <f t="shared" si="149"/>
        <v>735</v>
      </c>
      <c r="X1977" s="321">
        <f t="shared" si="150"/>
        <v>781000</v>
      </c>
      <c r="Y1977" s="321">
        <v>1</v>
      </c>
      <c r="AA1977" s="321" t="s">
        <v>5776</v>
      </c>
    </row>
    <row r="1978" spans="13:27">
      <c r="M1978" s="321">
        <v>1781000736</v>
      </c>
      <c r="N1978" s="321">
        <v>78</v>
      </c>
      <c r="O1978" s="321" t="s">
        <v>5777</v>
      </c>
      <c r="P1978" s="321">
        <v>6780000</v>
      </c>
      <c r="Q1978" s="322">
        <v>30000</v>
      </c>
      <c r="R1978" s="322">
        <v>21400</v>
      </c>
      <c r="S1978" s="322">
        <v>30000</v>
      </c>
      <c r="T1978" s="322">
        <v>30000</v>
      </c>
      <c r="U1978" s="322">
        <f t="shared" si="148"/>
        <v>0</v>
      </c>
      <c r="W1978" s="321">
        <f t="shared" si="149"/>
        <v>736</v>
      </c>
      <c r="X1978" s="321">
        <f t="shared" si="150"/>
        <v>781000</v>
      </c>
      <c r="Y1978" s="321">
        <v>1</v>
      </c>
      <c r="AA1978" s="321" t="s">
        <v>5777</v>
      </c>
    </row>
    <row r="1979" spans="13:27">
      <c r="M1979" s="321">
        <v>1781000737</v>
      </c>
      <c r="N1979" s="321">
        <v>78</v>
      </c>
      <c r="O1979" s="321" t="s">
        <v>5778</v>
      </c>
      <c r="P1979" s="321">
        <v>6781000</v>
      </c>
      <c r="Q1979" s="322">
        <v>50000</v>
      </c>
      <c r="R1979" s="322">
        <v>28800</v>
      </c>
      <c r="S1979" s="322">
        <v>45000</v>
      </c>
      <c r="T1979" s="322">
        <v>45000</v>
      </c>
      <c r="U1979" s="322">
        <f t="shared" si="148"/>
        <v>0</v>
      </c>
      <c r="W1979" s="321">
        <f t="shared" si="149"/>
        <v>737</v>
      </c>
      <c r="X1979" s="321">
        <f t="shared" si="150"/>
        <v>781000</v>
      </c>
      <c r="Y1979" s="321">
        <v>1</v>
      </c>
      <c r="AA1979" s="321" t="s">
        <v>5778</v>
      </c>
    </row>
    <row r="1980" spans="13:27">
      <c r="M1980" s="321">
        <v>1781000738</v>
      </c>
      <c r="N1980" s="321">
        <v>78</v>
      </c>
      <c r="O1980" s="321" t="s">
        <v>5779</v>
      </c>
      <c r="P1980" s="321">
        <v>6781000</v>
      </c>
      <c r="Q1980" s="322">
        <v>50000</v>
      </c>
      <c r="R1980" s="322">
        <v>29700</v>
      </c>
      <c r="S1980" s="322">
        <v>50000</v>
      </c>
      <c r="T1980" s="322">
        <v>50000</v>
      </c>
      <c r="U1980" s="322">
        <f t="shared" si="148"/>
        <v>0</v>
      </c>
      <c r="W1980" s="321">
        <f t="shared" si="149"/>
        <v>738</v>
      </c>
      <c r="X1980" s="321">
        <f t="shared" si="150"/>
        <v>781000</v>
      </c>
      <c r="Y1980" s="321">
        <v>1</v>
      </c>
      <c r="AA1980" s="321" t="s">
        <v>5779</v>
      </c>
    </row>
    <row r="1981" spans="13:27">
      <c r="M1981" s="321">
        <v>1781000739</v>
      </c>
      <c r="N1981" s="321">
        <v>78</v>
      </c>
      <c r="O1981" s="321" t="s">
        <v>5780</v>
      </c>
      <c r="P1981" s="321">
        <v>6781000</v>
      </c>
      <c r="Q1981" s="322">
        <v>50000</v>
      </c>
      <c r="R1981" s="322">
        <v>29600</v>
      </c>
      <c r="S1981" s="322">
        <v>50000</v>
      </c>
      <c r="T1981" s="322">
        <v>50000</v>
      </c>
      <c r="U1981" s="322">
        <f t="shared" si="148"/>
        <v>0</v>
      </c>
      <c r="W1981" s="321">
        <f t="shared" si="149"/>
        <v>739</v>
      </c>
      <c r="X1981" s="321">
        <f t="shared" si="150"/>
        <v>781000</v>
      </c>
      <c r="Y1981" s="321">
        <v>1</v>
      </c>
      <c r="AA1981" s="321" t="s">
        <v>5780</v>
      </c>
    </row>
    <row r="1982" spans="13:27">
      <c r="M1982" s="321">
        <v>1781000750</v>
      </c>
      <c r="N1982" s="321">
        <v>78</v>
      </c>
      <c r="O1982" s="321" t="s">
        <v>2707</v>
      </c>
      <c r="P1982" s="321">
        <v>6780000</v>
      </c>
      <c r="Q1982" s="322">
        <v>35000</v>
      </c>
      <c r="R1982" s="322">
        <v>400</v>
      </c>
      <c r="S1982" s="322">
        <v>65000</v>
      </c>
      <c r="T1982" s="322">
        <v>65000</v>
      </c>
      <c r="U1982" s="322">
        <f t="shared" si="148"/>
        <v>0</v>
      </c>
      <c r="W1982" s="321">
        <f t="shared" si="149"/>
        <v>750</v>
      </c>
      <c r="X1982" s="321">
        <f t="shared" si="150"/>
        <v>781000</v>
      </c>
      <c r="Y1982" s="321">
        <v>1</v>
      </c>
      <c r="AA1982" s="321" t="s">
        <v>2707</v>
      </c>
    </row>
    <row r="1983" spans="13:27">
      <c r="M1983" s="321">
        <v>1781000760</v>
      </c>
      <c r="N1983" s="321">
        <v>78</v>
      </c>
      <c r="O1983" s="321" t="s">
        <v>5781</v>
      </c>
      <c r="P1983" s="321">
        <v>6780000</v>
      </c>
      <c r="Q1983" s="322">
        <v>21000</v>
      </c>
      <c r="R1983" s="322">
        <v>0</v>
      </c>
      <c r="S1983" s="322">
        <v>21000</v>
      </c>
      <c r="T1983" s="322">
        <v>21000</v>
      </c>
      <c r="U1983" s="322">
        <f t="shared" si="148"/>
        <v>0</v>
      </c>
      <c r="W1983" s="321">
        <f t="shared" si="149"/>
        <v>760</v>
      </c>
      <c r="X1983" s="321">
        <f t="shared" si="150"/>
        <v>781000</v>
      </c>
      <c r="Y1983" s="321">
        <v>1</v>
      </c>
      <c r="AA1983" s="321" t="s">
        <v>5781</v>
      </c>
    </row>
    <row r="1984" spans="13:27">
      <c r="M1984" s="321">
        <v>1781000761</v>
      </c>
      <c r="N1984" s="321">
        <v>78</v>
      </c>
      <c r="O1984" s="321" t="s">
        <v>5782</v>
      </c>
      <c r="P1984" s="321">
        <v>6780000</v>
      </c>
      <c r="Q1984" s="322">
        <v>5000</v>
      </c>
      <c r="R1984" s="322">
        <v>0</v>
      </c>
      <c r="S1984" s="322">
        <v>5000</v>
      </c>
      <c r="T1984" s="322">
        <v>5000</v>
      </c>
      <c r="U1984" s="322">
        <f t="shared" si="148"/>
        <v>0</v>
      </c>
      <c r="W1984" s="321">
        <f t="shared" si="149"/>
        <v>761</v>
      </c>
      <c r="X1984" s="321">
        <f t="shared" si="150"/>
        <v>781000</v>
      </c>
      <c r="Y1984" s="321">
        <v>1</v>
      </c>
      <c r="AA1984" s="321" t="s">
        <v>5782</v>
      </c>
    </row>
    <row r="1985" spans="13:27">
      <c r="M1985" s="321">
        <v>1781000778</v>
      </c>
      <c r="N1985" s="321">
        <v>78</v>
      </c>
      <c r="O1985" s="321" t="s">
        <v>5403</v>
      </c>
      <c r="P1985" s="321">
        <v>6780000</v>
      </c>
      <c r="Q1985" s="322">
        <v>50000</v>
      </c>
      <c r="R1985" s="322">
        <v>14500</v>
      </c>
      <c r="S1985" s="322">
        <v>50000</v>
      </c>
      <c r="T1985" s="322">
        <v>50000</v>
      </c>
      <c r="U1985" s="322">
        <f t="shared" si="148"/>
        <v>0</v>
      </c>
      <c r="W1985" s="321">
        <f t="shared" si="149"/>
        <v>778</v>
      </c>
      <c r="X1985" s="321">
        <f t="shared" si="150"/>
        <v>781000</v>
      </c>
      <c r="Y1985" s="321">
        <v>1</v>
      </c>
      <c r="AA1985" s="321" t="s">
        <v>5403</v>
      </c>
    </row>
    <row r="1986" spans="13:27">
      <c r="M1986" s="321">
        <v>1781000779</v>
      </c>
      <c r="N1986" s="321">
        <v>78</v>
      </c>
      <c r="O1986" s="321" t="s">
        <v>5783</v>
      </c>
      <c r="P1986" s="321">
        <v>6780000</v>
      </c>
      <c r="Q1986" s="322">
        <v>11000</v>
      </c>
      <c r="R1986" s="322">
        <v>5500</v>
      </c>
      <c r="S1986" s="322">
        <v>11000</v>
      </c>
      <c r="T1986" s="322">
        <v>11000</v>
      </c>
      <c r="U1986" s="322">
        <f t="shared" ref="U1986:U2049" si="151">S1986-T1986</f>
        <v>0</v>
      </c>
      <c r="W1986" s="321">
        <f t="shared" si="149"/>
        <v>779</v>
      </c>
      <c r="X1986" s="321">
        <f t="shared" si="150"/>
        <v>781000</v>
      </c>
      <c r="Y1986" s="321">
        <v>1</v>
      </c>
      <c r="AA1986" s="321" t="s">
        <v>5783</v>
      </c>
    </row>
    <row r="1987" spans="13:27">
      <c r="M1987" s="321">
        <v>1781000930</v>
      </c>
      <c r="N1987" s="321">
        <v>78</v>
      </c>
      <c r="O1987" s="321" t="s">
        <v>2834</v>
      </c>
      <c r="P1987" s="321">
        <v>6781000</v>
      </c>
      <c r="Q1987" s="322">
        <v>43400</v>
      </c>
      <c r="R1987" s="322">
        <v>11700</v>
      </c>
      <c r="S1987" s="322">
        <v>43400</v>
      </c>
      <c r="T1987" s="322">
        <v>20400</v>
      </c>
      <c r="U1987" s="322">
        <f t="shared" si="151"/>
        <v>23000</v>
      </c>
      <c r="W1987" s="321">
        <f t="shared" ref="W1987:W2050" si="152">M1987-1000000000-X1987*1000</f>
        <v>930</v>
      </c>
      <c r="X1987" s="321">
        <f t="shared" ref="X1987:X2050" si="153">ROUNDDOWN((M1987-1000000000)/1000,0)</f>
        <v>781000</v>
      </c>
      <c r="Y1987" s="321">
        <v>1</v>
      </c>
      <c r="AA1987" s="321" t="s">
        <v>2834</v>
      </c>
    </row>
    <row r="1988" spans="13:27">
      <c r="M1988" s="321">
        <v>1781001110</v>
      </c>
      <c r="N1988" s="321">
        <v>78</v>
      </c>
      <c r="O1988" s="321" t="s">
        <v>5205</v>
      </c>
      <c r="P1988" s="321">
        <v>6781001</v>
      </c>
      <c r="Q1988" s="322">
        <v>785000</v>
      </c>
      <c r="R1988" s="322">
        <v>558400</v>
      </c>
      <c r="S1988" s="322">
        <v>912000</v>
      </c>
      <c r="T1988" s="322">
        <v>562000</v>
      </c>
      <c r="U1988" s="322">
        <f t="shared" si="151"/>
        <v>350000</v>
      </c>
      <c r="W1988" s="321">
        <f t="shared" si="152"/>
        <v>110</v>
      </c>
      <c r="X1988" s="321">
        <f t="shared" si="153"/>
        <v>781001</v>
      </c>
      <c r="Y1988" s="321">
        <v>1</v>
      </c>
      <c r="AA1988" s="321" t="s">
        <v>5205</v>
      </c>
    </row>
    <row r="1989" spans="13:27">
      <c r="M1989" s="321">
        <v>1781001120</v>
      </c>
      <c r="N1989" s="321">
        <v>78</v>
      </c>
      <c r="O1989" s="321" t="s">
        <v>5538</v>
      </c>
      <c r="P1989" s="321">
        <v>6781001</v>
      </c>
      <c r="Q1989" s="322">
        <v>70000</v>
      </c>
      <c r="R1989" s="322">
        <v>55200</v>
      </c>
      <c r="S1989" s="322">
        <v>76000</v>
      </c>
      <c r="T1989" s="322">
        <v>76000</v>
      </c>
      <c r="U1989" s="322">
        <f t="shared" si="151"/>
        <v>0</v>
      </c>
      <c r="W1989" s="321">
        <f t="shared" si="152"/>
        <v>120</v>
      </c>
      <c r="X1989" s="321">
        <f t="shared" si="153"/>
        <v>781001</v>
      </c>
      <c r="Y1989" s="321">
        <v>1</v>
      </c>
      <c r="AA1989" s="321" t="s">
        <v>5538</v>
      </c>
    </row>
    <row r="1990" spans="13:27">
      <c r="M1990" s="321">
        <v>1781001130</v>
      </c>
      <c r="N1990" s="321">
        <v>78</v>
      </c>
      <c r="O1990" s="321" t="s">
        <v>2576</v>
      </c>
      <c r="P1990" s="321">
        <v>6781001</v>
      </c>
      <c r="Q1990" s="322">
        <v>268000</v>
      </c>
      <c r="R1990" s="322">
        <v>153700</v>
      </c>
      <c r="S1990" s="322">
        <v>264000</v>
      </c>
      <c r="T1990" s="322">
        <v>237600</v>
      </c>
      <c r="U1990" s="322">
        <f t="shared" si="151"/>
        <v>26400</v>
      </c>
      <c r="W1990" s="321">
        <f t="shared" si="152"/>
        <v>130</v>
      </c>
      <c r="X1990" s="321">
        <f t="shared" si="153"/>
        <v>781001</v>
      </c>
      <c r="Y1990" s="321">
        <v>1</v>
      </c>
      <c r="AA1990" s="321" t="s">
        <v>2576</v>
      </c>
    </row>
    <row r="1991" spans="13:27">
      <c r="M1991" s="321">
        <v>1781001140</v>
      </c>
      <c r="N1991" s="321">
        <v>78</v>
      </c>
      <c r="O1991" s="321" t="s">
        <v>5207</v>
      </c>
      <c r="P1991" s="321">
        <v>6781001</v>
      </c>
      <c r="Q1991" s="322">
        <v>121000</v>
      </c>
      <c r="R1991" s="322">
        <v>77000</v>
      </c>
      <c r="S1991" s="322">
        <v>117000</v>
      </c>
      <c r="T1991" s="322">
        <v>117000</v>
      </c>
      <c r="U1991" s="322">
        <f t="shared" si="151"/>
        <v>0</v>
      </c>
      <c r="W1991" s="321">
        <f t="shared" si="152"/>
        <v>140</v>
      </c>
      <c r="X1991" s="321">
        <f t="shared" si="153"/>
        <v>781001</v>
      </c>
      <c r="Y1991" s="321">
        <v>1</v>
      </c>
      <c r="AA1991" s="321" t="s">
        <v>5207</v>
      </c>
    </row>
    <row r="1992" spans="13:27">
      <c r="M1992" s="321">
        <v>1781001141</v>
      </c>
      <c r="N1992" s="321">
        <v>78</v>
      </c>
      <c r="O1992" s="321" t="s">
        <v>5208</v>
      </c>
      <c r="P1992" s="321">
        <v>6781001</v>
      </c>
      <c r="Q1992" s="322">
        <v>81000</v>
      </c>
      <c r="R1992" s="322">
        <v>46000</v>
      </c>
      <c r="S1992" s="322">
        <v>76000</v>
      </c>
      <c r="T1992" s="322">
        <v>76000</v>
      </c>
      <c r="U1992" s="322">
        <f t="shared" si="151"/>
        <v>0</v>
      </c>
      <c r="W1992" s="321">
        <f t="shared" si="152"/>
        <v>141</v>
      </c>
      <c r="X1992" s="321">
        <f t="shared" si="153"/>
        <v>781001</v>
      </c>
      <c r="Y1992" s="321">
        <v>1</v>
      </c>
      <c r="AA1992" s="321" t="s">
        <v>5208</v>
      </c>
    </row>
    <row r="1993" spans="13:27">
      <c r="M1993" s="321">
        <v>1781001181</v>
      </c>
      <c r="N1993" s="321">
        <v>78</v>
      </c>
      <c r="O1993" s="321" t="s">
        <v>2580</v>
      </c>
      <c r="P1993" s="321">
        <v>6781001</v>
      </c>
      <c r="Q1993" s="322">
        <v>222000</v>
      </c>
      <c r="R1993" s="322">
        <v>157100</v>
      </c>
      <c r="S1993" s="322">
        <v>255000</v>
      </c>
      <c r="T1993" s="322">
        <v>255000</v>
      </c>
      <c r="U1993" s="322">
        <f t="shared" si="151"/>
        <v>0</v>
      </c>
      <c r="W1993" s="321">
        <f t="shared" si="152"/>
        <v>181</v>
      </c>
      <c r="X1993" s="321">
        <f t="shared" si="153"/>
        <v>781001</v>
      </c>
      <c r="Y1993" s="321">
        <v>1</v>
      </c>
      <c r="AA1993" s="321" t="s">
        <v>2580</v>
      </c>
    </row>
    <row r="1994" spans="13:27">
      <c r="M1994" s="321">
        <v>1781001182</v>
      </c>
      <c r="N1994" s="321">
        <v>78</v>
      </c>
      <c r="O1994" s="321" t="s">
        <v>2582</v>
      </c>
      <c r="P1994" s="321">
        <v>6781001</v>
      </c>
      <c r="Q1994" s="322">
        <v>172000</v>
      </c>
      <c r="R1994" s="322">
        <v>119500</v>
      </c>
      <c r="S1994" s="322">
        <v>202000</v>
      </c>
      <c r="T1994" s="322">
        <v>202000</v>
      </c>
      <c r="U1994" s="322">
        <f t="shared" si="151"/>
        <v>0</v>
      </c>
      <c r="W1994" s="321">
        <f t="shared" si="152"/>
        <v>182</v>
      </c>
      <c r="X1994" s="321">
        <f t="shared" si="153"/>
        <v>781001</v>
      </c>
      <c r="Y1994" s="321">
        <v>1</v>
      </c>
      <c r="AA1994" s="321" t="s">
        <v>2582</v>
      </c>
    </row>
    <row r="1995" spans="13:27">
      <c r="M1995" s="321">
        <v>1781001470</v>
      </c>
      <c r="N1995" s="321">
        <v>78</v>
      </c>
      <c r="O1995" s="321" t="s">
        <v>2830</v>
      </c>
      <c r="P1995" s="321">
        <v>6781001</v>
      </c>
      <c r="Q1995" s="322">
        <v>1700</v>
      </c>
      <c r="R1995" s="322">
        <v>500</v>
      </c>
      <c r="S1995" s="322">
        <v>1700</v>
      </c>
      <c r="T1995" s="322">
        <v>1700</v>
      </c>
      <c r="U1995" s="322">
        <f t="shared" si="151"/>
        <v>0</v>
      </c>
      <c r="W1995" s="321">
        <f t="shared" si="152"/>
        <v>470</v>
      </c>
      <c r="X1995" s="321">
        <f t="shared" si="153"/>
        <v>781001</v>
      </c>
      <c r="Y1995" s="321">
        <v>1</v>
      </c>
      <c r="AA1995" s="321" t="s">
        <v>2830</v>
      </c>
    </row>
    <row r="1996" spans="13:27">
      <c r="M1996" s="321">
        <v>1781001471</v>
      </c>
      <c r="N1996" s="321">
        <v>78</v>
      </c>
      <c r="O1996" s="321" t="s">
        <v>5212</v>
      </c>
      <c r="P1996" s="321">
        <v>6781001</v>
      </c>
      <c r="Q1996" s="322">
        <v>0</v>
      </c>
      <c r="R1996" s="322">
        <v>0</v>
      </c>
      <c r="S1996" s="322">
        <v>0</v>
      </c>
      <c r="T1996" s="322">
        <v>0</v>
      </c>
      <c r="U1996" s="322">
        <f t="shared" si="151"/>
        <v>0</v>
      </c>
      <c r="W1996" s="321">
        <f t="shared" si="152"/>
        <v>471</v>
      </c>
      <c r="X1996" s="321">
        <f t="shared" si="153"/>
        <v>781001</v>
      </c>
      <c r="Y1996" s="321">
        <v>1</v>
      </c>
      <c r="AA1996" s="321" t="s">
        <v>5212</v>
      </c>
    </row>
    <row r="1997" spans="13:27">
      <c r="M1997" s="321">
        <v>1781001510</v>
      </c>
      <c r="N1997" s="321">
        <v>78</v>
      </c>
      <c r="O1997" s="321" t="s">
        <v>2805</v>
      </c>
      <c r="P1997" s="321">
        <v>6781001</v>
      </c>
      <c r="Q1997" s="322">
        <v>1000</v>
      </c>
      <c r="R1997" s="322">
        <v>700</v>
      </c>
      <c r="S1997" s="322">
        <v>1000</v>
      </c>
      <c r="T1997" s="322">
        <v>1000</v>
      </c>
      <c r="U1997" s="322">
        <f t="shared" si="151"/>
        <v>0</v>
      </c>
      <c r="W1997" s="321">
        <f t="shared" si="152"/>
        <v>510</v>
      </c>
      <c r="X1997" s="321">
        <f t="shared" si="153"/>
        <v>781001</v>
      </c>
      <c r="Y1997" s="321">
        <v>1</v>
      </c>
      <c r="AA1997" s="321" t="s">
        <v>2805</v>
      </c>
    </row>
    <row r="1998" spans="13:27">
      <c r="M1998" s="321">
        <v>1781001530</v>
      </c>
      <c r="N1998" s="321">
        <v>78</v>
      </c>
      <c r="O1998" s="321" t="s">
        <v>5784</v>
      </c>
      <c r="P1998" s="321">
        <v>6781001</v>
      </c>
      <c r="Q1998" s="322">
        <v>0</v>
      </c>
      <c r="R1998" s="322">
        <v>5600</v>
      </c>
      <c r="S1998" s="322">
        <v>35000</v>
      </c>
      <c r="T1998" s="322">
        <v>35000</v>
      </c>
      <c r="U1998" s="322">
        <f t="shared" si="151"/>
        <v>0</v>
      </c>
      <c r="W1998" s="321">
        <f t="shared" si="152"/>
        <v>530</v>
      </c>
      <c r="X1998" s="321">
        <f t="shared" si="153"/>
        <v>781001</v>
      </c>
      <c r="Y1998" s="321">
        <v>1</v>
      </c>
      <c r="AA1998" s="321" t="s">
        <v>5784</v>
      </c>
    </row>
    <row r="1999" spans="13:27">
      <c r="M1999" s="321">
        <v>1781001540</v>
      </c>
      <c r="N1999" s="321">
        <v>78</v>
      </c>
      <c r="O1999" s="321" t="s">
        <v>5216</v>
      </c>
      <c r="P1999" s="321">
        <v>6781001</v>
      </c>
      <c r="Q1999" s="322">
        <v>1000</v>
      </c>
      <c r="R1999" s="322">
        <v>700</v>
      </c>
      <c r="S1999" s="322">
        <v>1500</v>
      </c>
      <c r="T1999" s="322">
        <v>1500</v>
      </c>
      <c r="U1999" s="322">
        <f t="shared" si="151"/>
        <v>0</v>
      </c>
      <c r="W1999" s="321">
        <f t="shared" si="152"/>
        <v>540</v>
      </c>
      <c r="X1999" s="321">
        <f t="shared" si="153"/>
        <v>781001</v>
      </c>
      <c r="Y1999" s="321">
        <v>1</v>
      </c>
      <c r="AA1999" s="321" t="s">
        <v>5216</v>
      </c>
    </row>
    <row r="2000" spans="13:27">
      <c r="M2000" s="321">
        <v>1781001542</v>
      </c>
      <c r="N2000" s="321">
        <v>78</v>
      </c>
      <c r="O2000" s="321" t="s">
        <v>5362</v>
      </c>
      <c r="P2000" s="321">
        <v>6781001</v>
      </c>
      <c r="Q2000" s="322">
        <v>14000</v>
      </c>
      <c r="R2000" s="322">
        <v>8900</v>
      </c>
      <c r="S2000" s="322">
        <v>15000</v>
      </c>
      <c r="T2000" s="322">
        <v>15000</v>
      </c>
      <c r="U2000" s="322">
        <f t="shared" si="151"/>
        <v>0</v>
      </c>
      <c r="W2000" s="321">
        <f t="shared" si="152"/>
        <v>542</v>
      </c>
      <c r="X2000" s="321">
        <f t="shared" si="153"/>
        <v>781001</v>
      </c>
      <c r="Y2000" s="321">
        <v>1</v>
      </c>
      <c r="AA2000" s="321" t="s">
        <v>5362</v>
      </c>
    </row>
    <row r="2001" spans="13:27">
      <c r="M2001" s="321">
        <v>1781001571</v>
      </c>
      <c r="N2001" s="321">
        <v>78</v>
      </c>
      <c r="O2001" s="321" t="s">
        <v>5772</v>
      </c>
      <c r="P2001" s="321">
        <v>6781001</v>
      </c>
      <c r="Q2001" s="322">
        <v>0</v>
      </c>
      <c r="R2001" s="322">
        <v>0</v>
      </c>
      <c r="S2001" s="322">
        <v>0</v>
      </c>
      <c r="T2001" s="322">
        <v>0</v>
      </c>
      <c r="U2001" s="322">
        <f t="shared" si="151"/>
        <v>0</v>
      </c>
      <c r="W2001" s="321">
        <f t="shared" si="152"/>
        <v>571</v>
      </c>
      <c r="X2001" s="321">
        <f t="shared" si="153"/>
        <v>781001</v>
      </c>
      <c r="Y2001" s="321">
        <v>1</v>
      </c>
      <c r="AA2001" s="321" t="s">
        <v>5772</v>
      </c>
    </row>
    <row r="2002" spans="13:27">
      <c r="M2002" s="321">
        <v>1781001572</v>
      </c>
      <c r="N2002" s="321">
        <v>78</v>
      </c>
      <c r="O2002" s="321" t="s">
        <v>5785</v>
      </c>
      <c r="P2002" s="321">
        <v>6781001</v>
      </c>
      <c r="Q2002" s="322">
        <v>62000</v>
      </c>
      <c r="R2002" s="322">
        <v>0</v>
      </c>
      <c r="S2002" s="322">
        <v>92000</v>
      </c>
      <c r="T2002" s="322">
        <v>92000</v>
      </c>
      <c r="U2002" s="322">
        <f t="shared" si="151"/>
        <v>0</v>
      </c>
      <c r="W2002" s="321">
        <f t="shared" si="152"/>
        <v>572</v>
      </c>
      <c r="X2002" s="321">
        <f t="shared" si="153"/>
        <v>781001</v>
      </c>
      <c r="Y2002" s="321">
        <v>1</v>
      </c>
      <c r="AA2002" s="321" t="s">
        <v>5785</v>
      </c>
    </row>
    <row r="2003" spans="13:27">
      <c r="M2003" s="321">
        <v>1781001577</v>
      </c>
      <c r="N2003" s="321">
        <v>78</v>
      </c>
      <c r="O2003" s="321" t="s">
        <v>5786</v>
      </c>
      <c r="P2003" s="321">
        <v>6781001</v>
      </c>
      <c r="Q2003" s="322">
        <v>0</v>
      </c>
      <c r="R2003" s="322">
        <v>0</v>
      </c>
      <c r="S2003" s="322">
        <v>0</v>
      </c>
      <c r="T2003" s="322">
        <v>0</v>
      </c>
      <c r="U2003" s="322">
        <f t="shared" si="151"/>
        <v>0</v>
      </c>
      <c r="W2003" s="321">
        <f t="shared" si="152"/>
        <v>577</v>
      </c>
      <c r="X2003" s="321">
        <f t="shared" si="153"/>
        <v>781001</v>
      </c>
      <c r="Y2003" s="321">
        <v>1</v>
      </c>
      <c r="AA2003" s="321" t="s">
        <v>5786</v>
      </c>
    </row>
    <row r="2004" spans="13:27">
      <c r="M2004" s="321">
        <v>1781001730</v>
      </c>
      <c r="N2004" s="321">
        <v>78</v>
      </c>
      <c r="O2004" s="321" t="s">
        <v>5787</v>
      </c>
      <c r="P2004" s="321">
        <v>6781001</v>
      </c>
      <c r="Q2004" s="322">
        <v>15000</v>
      </c>
      <c r="R2004" s="322">
        <v>15900</v>
      </c>
      <c r="S2004" s="322">
        <v>90000</v>
      </c>
      <c r="T2004" s="322">
        <v>90000</v>
      </c>
      <c r="U2004" s="322">
        <f t="shared" si="151"/>
        <v>0</v>
      </c>
      <c r="W2004" s="321">
        <f t="shared" si="152"/>
        <v>730</v>
      </c>
      <c r="X2004" s="321">
        <f t="shared" si="153"/>
        <v>781001</v>
      </c>
      <c r="Y2004" s="321">
        <v>1</v>
      </c>
      <c r="AA2004" s="321" t="s">
        <v>5787</v>
      </c>
    </row>
    <row r="2005" spans="13:27">
      <c r="M2005" s="321">
        <v>1781001731</v>
      </c>
      <c r="N2005" s="321">
        <v>78</v>
      </c>
      <c r="O2005" s="321" t="s">
        <v>5788</v>
      </c>
      <c r="P2005" s="321">
        <v>6781001</v>
      </c>
      <c r="Q2005" s="322">
        <v>59000</v>
      </c>
      <c r="R2005" s="322">
        <v>10800</v>
      </c>
      <c r="S2005" s="322">
        <v>59000</v>
      </c>
      <c r="T2005" s="322">
        <v>59000</v>
      </c>
      <c r="U2005" s="322">
        <f t="shared" si="151"/>
        <v>0</v>
      </c>
      <c r="W2005" s="321">
        <f t="shared" si="152"/>
        <v>731</v>
      </c>
      <c r="X2005" s="321">
        <f t="shared" si="153"/>
        <v>781001</v>
      </c>
      <c r="Y2005" s="321">
        <v>1</v>
      </c>
      <c r="AA2005" s="321" t="s">
        <v>5788</v>
      </c>
    </row>
    <row r="2006" spans="13:27">
      <c r="M2006" s="321">
        <v>1781001732</v>
      </c>
      <c r="N2006" s="321">
        <v>78</v>
      </c>
      <c r="O2006" s="321" t="s">
        <v>5789</v>
      </c>
      <c r="P2006" s="321">
        <v>6781001</v>
      </c>
      <c r="Q2006" s="322">
        <v>45000</v>
      </c>
      <c r="R2006" s="322">
        <v>35500</v>
      </c>
      <c r="S2006" s="322">
        <v>48000</v>
      </c>
      <c r="T2006" s="322">
        <v>48000</v>
      </c>
      <c r="U2006" s="322">
        <f t="shared" si="151"/>
        <v>0</v>
      </c>
      <c r="W2006" s="321">
        <f t="shared" si="152"/>
        <v>732</v>
      </c>
      <c r="X2006" s="321">
        <f t="shared" si="153"/>
        <v>781001</v>
      </c>
      <c r="Y2006" s="321">
        <v>1</v>
      </c>
      <c r="AA2006" s="321" t="s">
        <v>5789</v>
      </c>
    </row>
    <row r="2007" spans="13:27">
      <c r="M2007" s="321">
        <v>1781001733</v>
      </c>
      <c r="N2007" s="321">
        <v>78</v>
      </c>
      <c r="O2007" s="321" t="s">
        <v>5790</v>
      </c>
      <c r="P2007" s="321">
        <v>6781001</v>
      </c>
      <c r="Q2007" s="322">
        <v>45000</v>
      </c>
      <c r="R2007" s="322">
        <v>27900</v>
      </c>
      <c r="S2007" s="322">
        <v>50000</v>
      </c>
      <c r="T2007" s="322">
        <v>50000</v>
      </c>
      <c r="U2007" s="322">
        <f t="shared" si="151"/>
        <v>0</v>
      </c>
      <c r="W2007" s="321">
        <f t="shared" si="152"/>
        <v>733</v>
      </c>
      <c r="X2007" s="321">
        <f t="shared" si="153"/>
        <v>781001</v>
      </c>
      <c r="Y2007" s="321">
        <v>1</v>
      </c>
      <c r="AA2007" s="321" t="s">
        <v>5790</v>
      </c>
    </row>
    <row r="2008" spans="13:27">
      <c r="M2008" s="321">
        <v>1781001734</v>
      </c>
      <c r="N2008" s="321">
        <v>78</v>
      </c>
      <c r="O2008" s="321" t="s">
        <v>5791</v>
      </c>
      <c r="P2008" s="321">
        <v>6781001</v>
      </c>
      <c r="Q2008" s="322">
        <v>0</v>
      </c>
      <c r="R2008" s="322">
        <v>100</v>
      </c>
      <c r="S2008" s="322">
        <v>15000</v>
      </c>
      <c r="T2008" s="322">
        <v>15000</v>
      </c>
      <c r="U2008" s="322">
        <f t="shared" si="151"/>
        <v>0</v>
      </c>
      <c r="W2008" s="321">
        <f t="shared" si="152"/>
        <v>734</v>
      </c>
      <c r="X2008" s="321">
        <f t="shared" si="153"/>
        <v>781001</v>
      </c>
      <c r="Y2008" s="321">
        <v>1</v>
      </c>
      <c r="AA2008" s="321" t="s">
        <v>5791</v>
      </c>
    </row>
    <row r="2009" spans="13:27">
      <c r="M2009" s="321">
        <v>1781001750</v>
      </c>
      <c r="N2009" s="321">
        <v>78</v>
      </c>
      <c r="O2009" s="321" t="s">
        <v>5792</v>
      </c>
      <c r="P2009" s="321">
        <v>6781001</v>
      </c>
      <c r="Q2009" s="322">
        <v>2768000</v>
      </c>
      <c r="R2009" s="322">
        <v>1481100</v>
      </c>
      <c r="S2009" s="322">
        <v>2824000</v>
      </c>
      <c r="T2009" s="322">
        <v>2824000</v>
      </c>
      <c r="U2009" s="322">
        <f t="shared" si="151"/>
        <v>0</v>
      </c>
      <c r="W2009" s="321">
        <f t="shared" si="152"/>
        <v>750</v>
      </c>
      <c r="X2009" s="321">
        <f t="shared" si="153"/>
        <v>781001</v>
      </c>
      <c r="Y2009" s="321">
        <v>1</v>
      </c>
      <c r="AA2009" s="321" t="s">
        <v>5792</v>
      </c>
    </row>
    <row r="2010" spans="13:27">
      <c r="M2010" s="321">
        <v>1781001751</v>
      </c>
      <c r="N2010" s="321">
        <v>78</v>
      </c>
      <c r="O2010" s="321" t="s">
        <v>5413</v>
      </c>
      <c r="P2010" s="321">
        <v>6781001</v>
      </c>
      <c r="Q2010" s="322">
        <v>1587000</v>
      </c>
      <c r="R2010" s="322">
        <v>1029400</v>
      </c>
      <c r="S2010" s="322">
        <v>1588000</v>
      </c>
      <c r="T2010" s="322">
        <v>1588000</v>
      </c>
      <c r="U2010" s="322">
        <f t="shared" si="151"/>
        <v>0</v>
      </c>
      <c r="W2010" s="321">
        <f t="shared" si="152"/>
        <v>751</v>
      </c>
      <c r="X2010" s="321">
        <f t="shared" si="153"/>
        <v>781001</v>
      </c>
      <c r="Y2010" s="321">
        <v>1</v>
      </c>
      <c r="AA2010" s="321" t="s">
        <v>5413</v>
      </c>
    </row>
    <row r="2011" spans="13:27">
      <c r="M2011" s="321">
        <v>1781001752</v>
      </c>
      <c r="N2011" s="321">
        <v>78</v>
      </c>
      <c r="O2011" s="321" t="s">
        <v>5793</v>
      </c>
      <c r="P2011" s="321">
        <v>6781001</v>
      </c>
      <c r="Q2011" s="322">
        <v>605000</v>
      </c>
      <c r="R2011" s="322">
        <v>116300</v>
      </c>
      <c r="S2011" s="322">
        <v>337000</v>
      </c>
      <c r="T2011" s="322">
        <v>337000</v>
      </c>
      <c r="U2011" s="322">
        <f t="shared" si="151"/>
        <v>0</v>
      </c>
      <c r="W2011" s="321">
        <f t="shared" si="152"/>
        <v>752</v>
      </c>
      <c r="X2011" s="321">
        <f t="shared" si="153"/>
        <v>781001</v>
      </c>
      <c r="Y2011" s="321">
        <v>1</v>
      </c>
      <c r="AA2011" s="321" t="s">
        <v>5793</v>
      </c>
    </row>
    <row r="2012" spans="13:27">
      <c r="M2012" s="321">
        <v>1781001753</v>
      </c>
      <c r="N2012" s="321">
        <v>78</v>
      </c>
      <c r="O2012" s="321" t="s">
        <v>5794</v>
      </c>
      <c r="P2012" s="321">
        <v>6781001</v>
      </c>
      <c r="Q2012" s="322">
        <v>513300</v>
      </c>
      <c r="R2012" s="322">
        <v>1400</v>
      </c>
      <c r="S2012" s="322">
        <v>5500</v>
      </c>
      <c r="T2012" s="322">
        <v>5500</v>
      </c>
      <c r="U2012" s="322">
        <f t="shared" si="151"/>
        <v>0</v>
      </c>
      <c r="W2012" s="321">
        <f t="shared" si="152"/>
        <v>753</v>
      </c>
      <c r="X2012" s="321">
        <f t="shared" si="153"/>
        <v>781001</v>
      </c>
      <c r="Y2012" s="321">
        <v>1</v>
      </c>
      <c r="AA2012" s="321" t="s">
        <v>5794</v>
      </c>
    </row>
    <row r="2013" spans="13:27">
      <c r="M2013" s="321">
        <v>1781001754</v>
      </c>
      <c r="N2013" s="321">
        <v>78</v>
      </c>
      <c r="O2013" s="321" t="s">
        <v>5795</v>
      </c>
      <c r="P2013" s="321">
        <v>6781001</v>
      </c>
      <c r="Q2013" s="322">
        <v>2600000</v>
      </c>
      <c r="R2013" s="322">
        <v>1160900</v>
      </c>
      <c r="S2013" s="322">
        <v>2600000</v>
      </c>
      <c r="T2013" s="322">
        <v>1600000</v>
      </c>
      <c r="U2013" s="322">
        <f t="shared" si="151"/>
        <v>1000000</v>
      </c>
      <c r="W2013" s="321">
        <f t="shared" si="152"/>
        <v>754</v>
      </c>
      <c r="X2013" s="321">
        <f t="shared" si="153"/>
        <v>781001</v>
      </c>
      <c r="Y2013" s="321">
        <v>1</v>
      </c>
      <c r="AA2013" s="321" t="s">
        <v>5795</v>
      </c>
    </row>
    <row r="2014" spans="13:27">
      <c r="M2014" s="321">
        <v>1781001755</v>
      </c>
      <c r="N2014" s="321">
        <v>78</v>
      </c>
      <c r="O2014" s="321" t="s">
        <v>5796</v>
      </c>
      <c r="P2014" s="321">
        <v>6781001</v>
      </c>
      <c r="Q2014" s="322">
        <v>20000</v>
      </c>
      <c r="R2014" s="322">
        <v>100</v>
      </c>
      <c r="S2014" s="322">
        <v>20000</v>
      </c>
      <c r="T2014" s="322">
        <v>20000</v>
      </c>
      <c r="U2014" s="322">
        <f t="shared" si="151"/>
        <v>0</v>
      </c>
      <c r="W2014" s="321">
        <f t="shared" si="152"/>
        <v>755</v>
      </c>
      <c r="X2014" s="321">
        <f t="shared" si="153"/>
        <v>781001</v>
      </c>
      <c r="Y2014" s="321">
        <v>1</v>
      </c>
      <c r="AA2014" s="321" t="s">
        <v>5796</v>
      </c>
    </row>
    <row r="2015" spans="13:27">
      <c r="M2015" s="321">
        <v>1781001756</v>
      </c>
      <c r="N2015" s="321">
        <v>78</v>
      </c>
      <c r="O2015" s="321" t="s">
        <v>5797</v>
      </c>
      <c r="P2015" s="321">
        <v>6781001</v>
      </c>
      <c r="Q2015" s="322">
        <v>0</v>
      </c>
      <c r="R2015" s="322">
        <v>0</v>
      </c>
      <c r="S2015" s="322">
        <v>0</v>
      </c>
      <c r="T2015" s="322">
        <v>0</v>
      </c>
      <c r="U2015" s="322">
        <f t="shared" si="151"/>
        <v>0</v>
      </c>
      <c r="W2015" s="321">
        <f t="shared" si="152"/>
        <v>756</v>
      </c>
      <c r="X2015" s="321">
        <f t="shared" si="153"/>
        <v>781001</v>
      </c>
      <c r="Y2015" s="321">
        <v>1</v>
      </c>
      <c r="AA2015" s="321" t="s">
        <v>5797</v>
      </c>
    </row>
    <row r="2016" spans="13:27">
      <c r="M2016" s="321">
        <v>1781001757</v>
      </c>
      <c r="N2016" s="321">
        <v>78</v>
      </c>
      <c r="O2016" s="321" t="s">
        <v>5798</v>
      </c>
      <c r="P2016" s="321">
        <v>6781001</v>
      </c>
      <c r="Q2016" s="322">
        <v>0</v>
      </c>
      <c r="R2016" s="322">
        <v>0</v>
      </c>
      <c r="S2016" s="322">
        <v>0</v>
      </c>
      <c r="T2016" s="322">
        <v>0</v>
      </c>
      <c r="U2016" s="322">
        <f t="shared" si="151"/>
        <v>0</v>
      </c>
      <c r="W2016" s="321">
        <f t="shared" si="152"/>
        <v>757</v>
      </c>
      <c r="X2016" s="321">
        <f t="shared" si="153"/>
        <v>781001</v>
      </c>
      <c r="Y2016" s="321">
        <v>1</v>
      </c>
      <c r="AA2016" s="321" t="s">
        <v>5798</v>
      </c>
    </row>
    <row r="2017" spans="13:27">
      <c r="M2017" s="321">
        <v>1781001778</v>
      </c>
      <c r="N2017" s="321">
        <v>78</v>
      </c>
      <c r="O2017" s="321" t="s">
        <v>5403</v>
      </c>
      <c r="P2017" s="321">
        <v>6781001</v>
      </c>
      <c r="Q2017" s="322">
        <v>0</v>
      </c>
      <c r="R2017" s="322">
        <v>0</v>
      </c>
      <c r="S2017" s="322">
        <v>0</v>
      </c>
      <c r="T2017" s="322">
        <v>0</v>
      </c>
      <c r="U2017" s="322">
        <f t="shared" si="151"/>
        <v>0</v>
      </c>
      <c r="W2017" s="321">
        <f t="shared" si="152"/>
        <v>778</v>
      </c>
      <c r="X2017" s="321">
        <f t="shared" si="153"/>
        <v>781001</v>
      </c>
      <c r="Y2017" s="321">
        <v>1</v>
      </c>
      <c r="AA2017" s="321" t="s">
        <v>5403</v>
      </c>
    </row>
    <row r="2018" spans="13:27">
      <c r="M2018" s="321">
        <v>1781001779</v>
      </c>
      <c r="N2018" s="321">
        <v>78</v>
      </c>
      <c r="O2018" s="321" t="s">
        <v>5382</v>
      </c>
      <c r="P2018" s="321">
        <v>6781001</v>
      </c>
      <c r="Q2018" s="322">
        <v>5000</v>
      </c>
      <c r="R2018" s="322">
        <v>2500</v>
      </c>
      <c r="S2018" s="322">
        <v>5000</v>
      </c>
      <c r="T2018" s="322">
        <v>5000</v>
      </c>
      <c r="U2018" s="322">
        <f t="shared" si="151"/>
        <v>0</v>
      </c>
      <c r="W2018" s="321">
        <f t="shared" si="152"/>
        <v>779</v>
      </c>
      <c r="X2018" s="321">
        <f t="shared" si="153"/>
        <v>781001</v>
      </c>
      <c r="Y2018" s="321">
        <v>1</v>
      </c>
      <c r="AA2018" s="321" t="s">
        <v>5382</v>
      </c>
    </row>
    <row r="2019" spans="13:27">
      <c r="M2019" s="321">
        <v>1781001930</v>
      </c>
      <c r="N2019" s="321">
        <v>78</v>
      </c>
      <c r="O2019" s="321" t="s">
        <v>5390</v>
      </c>
      <c r="P2019" s="321">
        <v>6781001</v>
      </c>
      <c r="Q2019" s="322">
        <v>4300</v>
      </c>
      <c r="R2019" s="322">
        <v>2500</v>
      </c>
      <c r="S2019" s="322">
        <v>3900</v>
      </c>
      <c r="T2019" s="322">
        <v>3900</v>
      </c>
      <c r="U2019" s="322">
        <f t="shared" si="151"/>
        <v>0</v>
      </c>
      <c r="W2019" s="321">
        <f t="shared" si="152"/>
        <v>930</v>
      </c>
      <c r="X2019" s="321">
        <f t="shared" si="153"/>
        <v>781001</v>
      </c>
      <c r="Y2019" s="321">
        <v>1</v>
      </c>
      <c r="AA2019" s="321" t="s">
        <v>5390</v>
      </c>
    </row>
    <row r="2020" spans="13:27">
      <c r="M2020" s="321">
        <v>1781002730</v>
      </c>
      <c r="N2020" s="321">
        <v>78</v>
      </c>
      <c r="O2020" s="321" t="s">
        <v>5799</v>
      </c>
      <c r="P2020" s="321">
        <v>6781002</v>
      </c>
      <c r="Q2020" s="322">
        <v>70000</v>
      </c>
      <c r="R2020" s="322">
        <v>52700</v>
      </c>
      <c r="S2020" s="322">
        <v>80000</v>
      </c>
      <c r="T2020" s="322">
        <v>80000</v>
      </c>
      <c r="U2020" s="322">
        <f t="shared" si="151"/>
        <v>0</v>
      </c>
      <c r="W2020" s="321">
        <f t="shared" si="152"/>
        <v>730</v>
      </c>
      <c r="X2020" s="321">
        <f t="shared" si="153"/>
        <v>781002</v>
      </c>
      <c r="Y2020" s="321">
        <v>1</v>
      </c>
      <c r="AA2020" s="321" t="s">
        <v>5799</v>
      </c>
    </row>
    <row r="2021" spans="13:27">
      <c r="M2021" s="321">
        <v>1781002751</v>
      </c>
      <c r="N2021" s="321">
        <v>78</v>
      </c>
      <c r="O2021" s="321" t="s">
        <v>5800</v>
      </c>
      <c r="P2021" s="321">
        <v>6781002</v>
      </c>
      <c r="Q2021" s="322">
        <v>1600000</v>
      </c>
      <c r="R2021" s="322">
        <v>0</v>
      </c>
      <c r="S2021" s="322">
        <v>1000000</v>
      </c>
      <c r="T2021" s="322">
        <v>800000</v>
      </c>
      <c r="U2021" s="322">
        <f t="shared" si="151"/>
        <v>200000</v>
      </c>
      <c r="W2021" s="321">
        <f t="shared" si="152"/>
        <v>751</v>
      </c>
      <c r="X2021" s="321">
        <f t="shared" si="153"/>
        <v>781002</v>
      </c>
      <c r="Y2021" s="321">
        <v>1</v>
      </c>
      <c r="AA2021" s="321" t="s">
        <v>5800</v>
      </c>
    </row>
    <row r="2022" spans="13:27">
      <c r="M2022" s="321">
        <v>1811000110</v>
      </c>
      <c r="N2022" s="321">
        <v>81</v>
      </c>
      <c r="O2022" s="321" t="s">
        <v>5205</v>
      </c>
      <c r="P2022" s="321">
        <v>4811000</v>
      </c>
      <c r="Q2022" s="322">
        <v>1995000</v>
      </c>
      <c r="R2022" s="322">
        <v>1312500</v>
      </c>
      <c r="S2022" s="322">
        <v>2196000</v>
      </c>
      <c r="T2022" s="322">
        <v>1473800</v>
      </c>
      <c r="U2022" s="322">
        <f t="shared" si="151"/>
        <v>722200</v>
      </c>
      <c r="W2022" s="321">
        <f t="shared" si="152"/>
        <v>110</v>
      </c>
      <c r="X2022" s="321">
        <f t="shared" si="153"/>
        <v>811000</v>
      </c>
      <c r="Y2022" s="321">
        <v>1</v>
      </c>
      <c r="AA2022" s="321" t="s">
        <v>5205</v>
      </c>
    </row>
    <row r="2023" spans="13:27">
      <c r="M2023" s="321">
        <v>1811000120</v>
      </c>
      <c r="N2023" s="321">
        <v>81</v>
      </c>
      <c r="O2023" s="321" t="s">
        <v>5206</v>
      </c>
      <c r="P2023" s="321">
        <v>4811000</v>
      </c>
      <c r="Q2023" s="322">
        <v>363000</v>
      </c>
      <c r="R2023" s="322">
        <v>262900</v>
      </c>
      <c r="S2023" s="322">
        <v>347000</v>
      </c>
      <c r="T2023" s="322">
        <v>347000</v>
      </c>
      <c r="U2023" s="322">
        <f t="shared" si="151"/>
        <v>0</v>
      </c>
      <c r="W2023" s="321">
        <f t="shared" si="152"/>
        <v>120</v>
      </c>
      <c r="X2023" s="321">
        <f t="shared" si="153"/>
        <v>811000</v>
      </c>
      <c r="Y2023" s="321">
        <v>1</v>
      </c>
      <c r="AA2023" s="321" t="s">
        <v>5206</v>
      </c>
    </row>
    <row r="2024" spans="13:27">
      <c r="M2024" s="321">
        <v>1811000130</v>
      </c>
      <c r="N2024" s="321">
        <v>81</v>
      </c>
      <c r="O2024" s="321" t="s">
        <v>2576</v>
      </c>
      <c r="P2024" s="321">
        <v>4811000</v>
      </c>
      <c r="Q2024" s="322">
        <v>75000</v>
      </c>
      <c r="R2024" s="322">
        <v>56400</v>
      </c>
      <c r="S2024" s="322">
        <v>142000</v>
      </c>
      <c r="T2024" s="322">
        <v>127800</v>
      </c>
      <c r="U2024" s="322">
        <f t="shared" si="151"/>
        <v>14200</v>
      </c>
      <c r="W2024" s="321">
        <f t="shared" si="152"/>
        <v>130</v>
      </c>
      <c r="X2024" s="321">
        <f t="shared" si="153"/>
        <v>811000</v>
      </c>
      <c r="Y2024" s="321">
        <v>1</v>
      </c>
      <c r="AA2024" s="321" t="s">
        <v>2576</v>
      </c>
    </row>
    <row r="2025" spans="13:27">
      <c r="M2025" s="321">
        <v>1811000140</v>
      </c>
      <c r="N2025" s="321">
        <v>81</v>
      </c>
      <c r="O2025" s="321" t="s">
        <v>5207</v>
      </c>
      <c r="P2025" s="321">
        <v>4811000</v>
      </c>
      <c r="Q2025" s="322">
        <v>369000</v>
      </c>
      <c r="R2025" s="322">
        <v>251300</v>
      </c>
      <c r="S2025" s="322">
        <v>476000</v>
      </c>
      <c r="T2025" s="322">
        <v>476000</v>
      </c>
      <c r="U2025" s="322">
        <f t="shared" si="151"/>
        <v>0</v>
      </c>
      <c r="W2025" s="321">
        <f t="shared" si="152"/>
        <v>140</v>
      </c>
      <c r="X2025" s="321">
        <f t="shared" si="153"/>
        <v>811000</v>
      </c>
      <c r="Y2025" s="321">
        <v>1</v>
      </c>
      <c r="AA2025" s="321" t="s">
        <v>5207</v>
      </c>
    </row>
    <row r="2026" spans="13:27">
      <c r="M2026" s="321">
        <v>1811000141</v>
      </c>
      <c r="N2026" s="321">
        <v>81</v>
      </c>
      <c r="O2026" s="321" t="s">
        <v>5208</v>
      </c>
      <c r="P2026" s="321">
        <v>4811000</v>
      </c>
      <c r="Q2026" s="322">
        <v>86000</v>
      </c>
      <c r="R2026" s="322">
        <v>66900</v>
      </c>
      <c r="S2026" s="322">
        <v>107000</v>
      </c>
      <c r="T2026" s="322">
        <v>107000</v>
      </c>
      <c r="U2026" s="322">
        <f t="shared" si="151"/>
        <v>0</v>
      </c>
      <c r="W2026" s="321">
        <f t="shared" si="152"/>
        <v>141</v>
      </c>
      <c r="X2026" s="321">
        <f t="shared" si="153"/>
        <v>811000</v>
      </c>
      <c r="Y2026" s="321">
        <v>1</v>
      </c>
      <c r="AA2026" s="321" t="s">
        <v>5208</v>
      </c>
    </row>
    <row r="2027" spans="13:27">
      <c r="M2027" s="321">
        <v>1811000181</v>
      </c>
      <c r="N2027" s="321">
        <v>81</v>
      </c>
      <c r="O2027" s="321" t="s">
        <v>2580</v>
      </c>
      <c r="P2027" s="321">
        <v>4811000</v>
      </c>
      <c r="Q2027" s="322">
        <v>423000</v>
      </c>
      <c r="R2027" s="322">
        <v>308400</v>
      </c>
      <c r="S2027" s="322">
        <v>495000</v>
      </c>
      <c r="T2027" s="322">
        <v>495000</v>
      </c>
      <c r="U2027" s="322">
        <f t="shared" si="151"/>
        <v>0</v>
      </c>
      <c r="W2027" s="321">
        <f t="shared" si="152"/>
        <v>181</v>
      </c>
      <c r="X2027" s="321">
        <f t="shared" si="153"/>
        <v>811000</v>
      </c>
      <c r="Y2027" s="321">
        <v>1</v>
      </c>
      <c r="AA2027" s="321" t="s">
        <v>2580</v>
      </c>
    </row>
    <row r="2028" spans="13:27">
      <c r="M2028" s="321">
        <v>1811000182</v>
      </c>
      <c r="N2028" s="321">
        <v>81</v>
      </c>
      <c r="O2028" s="321" t="s">
        <v>2582</v>
      </c>
      <c r="P2028" s="321">
        <v>4811000</v>
      </c>
      <c r="Q2028" s="322">
        <v>397000</v>
      </c>
      <c r="R2028" s="322">
        <v>262100</v>
      </c>
      <c r="S2028" s="322">
        <v>451000</v>
      </c>
      <c r="T2028" s="322">
        <v>451000</v>
      </c>
      <c r="U2028" s="322">
        <f t="shared" si="151"/>
        <v>0</v>
      </c>
      <c r="W2028" s="321">
        <f t="shared" si="152"/>
        <v>182</v>
      </c>
      <c r="X2028" s="321">
        <f t="shared" si="153"/>
        <v>811000</v>
      </c>
      <c r="Y2028" s="321">
        <v>1</v>
      </c>
      <c r="AA2028" s="321" t="s">
        <v>2582</v>
      </c>
    </row>
    <row r="2029" spans="13:27">
      <c r="M2029" s="321">
        <v>1811000210</v>
      </c>
      <c r="N2029" s="321">
        <v>81</v>
      </c>
      <c r="O2029" s="321" t="s">
        <v>5619</v>
      </c>
      <c r="P2029" s="321">
        <v>4810000</v>
      </c>
      <c r="Q2029" s="322">
        <v>0</v>
      </c>
      <c r="R2029" s="322">
        <v>0</v>
      </c>
      <c r="S2029" s="322">
        <v>100000</v>
      </c>
      <c r="T2029" s="322">
        <v>100000</v>
      </c>
      <c r="U2029" s="322">
        <f t="shared" si="151"/>
        <v>0</v>
      </c>
      <c r="W2029" s="321">
        <f t="shared" si="152"/>
        <v>210</v>
      </c>
      <c r="X2029" s="321">
        <f t="shared" si="153"/>
        <v>811000</v>
      </c>
      <c r="Y2029" s="321">
        <v>1</v>
      </c>
      <c r="AA2029" s="321" t="s">
        <v>5619</v>
      </c>
    </row>
    <row r="2030" spans="13:27">
      <c r="M2030" s="321">
        <v>1811000470</v>
      </c>
      <c r="N2030" s="321">
        <v>81</v>
      </c>
      <c r="O2030" s="321" t="s">
        <v>2830</v>
      </c>
      <c r="P2030" s="321">
        <v>4811000</v>
      </c>
      <c r="Q2030" s="322">
        <v>38300</v>
      </c>
      <c r="R2030" s="322">
        <v>19900</v>
      </c>
      <c r="S2030" s="322">
        <v>40000</v>
      </c>
      <c r="T2030" s="322">
        <v>40000</v>
      </c>
      <c r="U2030" s="322">
        <f t="shared" si="151"/>
        <v>0</v>
      </c>
      <c r="W2030" s="321">
        <f t="shared" si="152"/>
        <v>470</v>
      </c>
      <c r="X2030" s="321">
        <f t="shared" si="153"/>
        <v>811000</v>
      </c>
      <c r="Y2030" s="321">
        <v>1</v>
      </c>
      <c r="AA2030" s="321" t="s">
        <v>2830</v>
      </c>
    </row>
    <row r="2031" spans="13:27">
      <c r="M2031" s="321">
        <v>1811000471</v>
      </c>
      <c r="N2031" s="321">
        <v>81</v>
      </c>
      <c r="O2031" s="321" t="s">
        <v>5212</v>
      </c>
      <c r="P2031" s="321">
        <v>4811000</v>
      </c>
      <c r="Q2031" s="322">
        <v>12800</v>
      </c>
      <c r="R2031" s="322">
        <v>12800</v>
      </c>
      <c r="S2031" s="322">
        <v>13700</v>
      </c>
      <c r="T2031" s="322">
        <v>13700</v>
      </c>
      <c r="U2031" s="322">
        <f t="shared" si="151"/>
        <v>0</v>
      </c>
      <c r="W2031" s="321">
        <f t="shared" si="152"/>
        <v>471</v>
      </c>
      <c r="X2031" s="321">
        <f t="shared" si="153"/>
        <v>811000</v>
      </c>
      <c r="Y2031" s="321">
        <v>1</v>
      </c>
      <c r="AA2031" s="321" t="s">
        <v>5212</v>
      </c>
    </row>
    <row r="2032" spans="13:27">
      <c r="M2032" s="321">
        <v>1811000510</v>
      </c>
      <c r="N2032" s="321">
        <v>81</v>
      </c>
      <c r="O2032" s="321" t="s">
        <v>5801</v>
      </c>
      <c r="P2032" s="321">
        <v>4811000</v>
      </c>
      <c r="Q2032" s="322">
        <v>5000</v>
      </c>
      <c r="R2032" s="322">
        <v>1900</v>
      </c>
      <c r="S2032" s="322">
        <v>5000</v>
      </c>
      <c r="T2032" s="322">
        <v>5000</v>
      </c>
      <c r="U2032" s="322">
        <f t="shared" si="151"/>
        <v>0</v>
      </c>
      <c r="W2032" s="321">
        <f t="shared" si="152"/>
        <v>510</v>
      </c>
      <c r="X2032" s="321">
        <f t="shared" si="153"/>
        <v>811000</v>
      </c>
      <c r="Y2032" s="321">
        <v>1</v>
      </c>
      <c r="AA2032" s="321" t="s">
        <v>5801</v>
      </c>
    </row>
    <row r="2033" spans="13:27">
      <c r="M2033" s="321">
        <v>1811000511</v>
      </c>
      <c r="N2033" s="321">
        <v>81</v>
      </c>
      <c r="O2033" s="321" t="s">
        <v>2584</v>
      </c>
      <c r="P2033" s="321">
        <v>4811000</v>
      </c>
      <c r="Q2033" s="322">
        <v>0</v>
      </c>
      <c r="R2033" s="322">
        <v>0</v>
      </c>
      <c r="S2033" s="322">
        <v>0</v>
      </c>
      <c r="T2033" s="322">
        <v>0</v>
      </c>
      <c r="U2033" s="322">
        <f t="shared" si="151"/>
        <v>0</v>
      </c>
      <c r="W2033" s="321">
        <f t="shared" si="152"/>
        <v>511</v>
      </c>
      <c r="X2033" s="321">
        <f t="shared" si="153"/>
        <v>811000</v>
      </c>
      <c r="Y2033" s="321">
        <v>1</v>
      </c>
      <c r="AA2033" s="321" t="s">
        <v>2584</v>
      </c>
    </row>
    <row r="2034" spans="13:27">
      <c r="M2034" s="321">
        <v>1811000522</v>
      </c>
      <c r="N2034" s="321">
        <v>81</v>
      </c>
      <c r="O2034" s="321" t="s">
        <v>5214</v>
      </c>
      <c r="P2034" s="321">
        <v>4811000</v>
      </c>
      <c r="Q2034" s="322">
        <v>5000</v>
      </c>
      <c r="R2034" s="322">
        <v>2500</v>
      </c>
      <c r="S2034" s="322">
        <v>5000</v>
      </c>
      <c r="T2034" s="322">
        <v>5000</v>
      </c>
      <c r="U2034" s="322">
        <f t="shared" si="151"/>
        <v>0</v>
      </c>
      <c r="W2034" s="321">
        <f t="shared" si="152"/>
        <v>522</v>
      </c>
      <c r="X2034" s="321">
        <f t="shared" si="153"/>
        <v>811000</v>
      </c>
      <c r="Y2034" s="321">
        <v>1</v>
      </c>
      <c r="AA2034" s="321" t="s">
        <v>5214</v>
      </c>
    </row>
    <row r="2035" spans="13:27">
      <c r="M2035" s="321">
        <v>1811000530</v>
      </c>
      <c r="N2035" s="321">
        <v>81</v>
      </c>
      <c r="O2035" s="321" t="s">
        <v>5802</v>
      </c>
      <c r="P2035" s="321">
        <v>4811000</v>
      </c>
      <c r="Q2035" s="322">
        <v>60000</v>
      </c>
      <c r="R2035" s="322">
        <v>48000</v>
      </c>
      <c r="S2035" s="322">
        <v>70000</v>
      </c>
      <c r="T2035" s="322">
        <v>70000</v>
      </c>
      <c r="U2035" s="322">
        <f t="shared" si="151"/>
        <v>0</v>
      </c>
      <c r="W2035" s="321">
        <f t="shared" si="152"/>
        <v>530</v>
      </c>
      <c r="X2035" s="321">
        <f t="shared" si="153"/>
        <v>811000</v>
      </c>
      <c r="Y2035" s="321">
        <v>1</v>
      </c>
      <c r="AA2035" s="321" t="s">
        <v>5802</v>
      </c>
    </row>
    <row r="2036" spans="13:27">
      <c r="M2036" s="321">
        <v>1811000531</v>
      </c>
      <c r="N2036" s="321">
        <v>81</v>
      </c>
      <c r="O2036" s="321" t="s">
        <v>5803</v>
      </c>
      <c r="P2036" s="321">
        <v>4811000</v>
      </c>
      <c r="Q2036" s="322">
        <v>0</v>
      </c>
      <c r="R2036" s="322">
        <v>0</v>
      </c>
      <c r="S2036" s="322">
        <v>0</v>
      </c>
      <c r="T2036" s="322">
        <v>0</v>
      </c>
      <c r="U2036" s="322">
        <f t="shared" si="151"/>
        <v>0</v>
      </c>
      <c r="W2036" s="321">
        <f t="shared" si="152"/>
        <v>531</v>
      </c>
      <c r="X2036" s="321">
        <f t="shared" si="153"/>
        <v>811000</v>
      </c>
      <c r="Y2036" s="321">
        <v>1</v>
      </c>
      <c r="AA2036" s="321" t="s">
        <v>5803</v>
      </c>
    </row>
    <row r="2037" spans="13:27">
      <c r="M2037" s="321">
        <v>1811000540</v>
      </c>
      <c r="N2037" s="321">
        <v>81</v>
      </c>
      <c r="O2037" s="321" t="s">
        <v>5568</v>
      </c>
      <c r="P2037" s="321">
        <v>4811000</v>
      </c>
      <c r="Q2037" s="322">
        <v>11000</v>
      </c>
      <c r="R2037" s="322">
        <v>8400</v>
      </c>
      <c r="S2037" s="322">
        <v>14000</v>
      </c>
      <c r="T2037" s="322">
        <v>14000</v>
      </c>
      <c r="U2037" s="322">
        <f t="shared" si="151"/>
        <v>0</v>
      </c>
      <c r="W2037" s="321">
        <f t="shared" si="152"/>
        <v>540</v>
      </c>
      <c r="X2037" s="321">
        <f t="shared" si="153"/>
        <v>811000</v>
      </c>
      <c r="Y2037" s="321">
        <v>1</v>
      </c>
      <c r="AA2037" s="321" t="s">
        <v>5568</v>
      </c>
    </row>
    <row r="2038" spans="13:27">
      <c r="M2038" s="321">
        <v>1811000541</v>
      </c>
      <c r="N2038" s="321">
        <v>81</v>
      </c>
      <c r="O2038" s="321" t="s">
        <v>5804</v>
      </c>
      <c r="P2038" s="321">
        <v>4811000</v>
      </c>
      <c r="Q2038" s="322">
        <v>30000</v>
      </c>
      <c r="R2038" s="322">
        <v>17300</v>
      </c>
      <c r="S2038" s="322">
        <v>30000</v>
      </c>
      <c r="T2038" s="322">
        <v>30000</v>
      </c>
      <c r="U2038" s="322">
        <f t="shared" si="151"/>
        <v>0</v>
      </c>
      <c r="W2038" s="321">
        <f t="shared" si="152"/>
        <v>541</v>
      </c>
      <c r="X2038" s="321">
        <f t="shared" si="153"/>
        <v>811000</v>
      </c>
      <c r="Y2038" s="321">
        <v>1</v>
      </c>
      <c r="AA2038" s="321" t="s">
        <v>5804</v>
      </c>
    </row>
    <row r="2039" spans="13:27">
      <c r="M2039" s="321">
        <v>1811000542</v>
      </c>
      <c r="N2039" s="321">
        <v>81</v>
      </c>
      <c r="O2039" s="321" t="s">
        <v>5564</v>
      </c>
      <c r="P2039" s="321">
        <v>4811000</v>
      </c>
      <c r="Q2039" s="322">
        <v>18600</v>
      </c>
      <c r="R2039" s="322">
        <v>11600</v>
      </c>
      <c r="S2039" s="322">
        <v>20000</v>
      </c>
      <c r="T2039" s="322">
        <v>20000</v>
      </c>
      <c r="U2039" s="322">
        <f t="shared" si="151"/>
        <v>0</v>
      </c>
      <c r="W2039" s="321">
        <f t="shared" si="152"/>
        <v>542</v>
      </c>
      <c r="X2039" s="321">
        <f t="shared" si="153"/>
        <v>811000</v>
      </c>
      <c r="Y2039" s="321">
        <v>1</v>
      </c>
      <c r="AA2039" s="321" t="s">
        <v>5564</v>
      </c>
    </row>
    <row r="2040" spans="13:27">
      <c r="M2040" s="321">
        <v>1811000550</v>
      </c>
      <c r="N2040" s="321">
        <v>81</v>
      </c>
      <c r="O2040" s="321" t="s">
        <v>5805</v>
      </c>
      <c r="P2040" s="321">
        <v>4811000</v>
      </c>
      <c r="Q2040" s="322">
        <v>70000</v>
      </c>
      <c r="R2040" s="322">
        <v>25500</v>
      </c>
      <c r="S2040" s="322">
        <v>70000</v>
      </c>
      <c r="T2040" s="322">
        <v>70000</v>
      </c>
      <c r="U2040" s="322">
        <f t="shared" si="151"/>
        <v>0</v>
      </c>
      <c r="W2040" s="321">
        <f t="shared" si="152"/>
        <v>550</v>
      </c>
      <c r="X2040" s="321">
        <f t="shared" si="153"/>
        <v>811000</v>
      </c>
      <c r="Y2040" s="321">
        <v>1</v>
      </c>
      <c r="AA2040" s="321" t="s">
        <v>5805</v>
      </c>
    </row>
    <row r="2041" spans="13:27">
      <c r="M2041" s="321">
        <v>1811000580</v>
      </c>
      <c r="N2041" s="321">
        <v>81</v>
      </c>
      <c r="O2041" s="321" t="s">
        <v>5806</v>
      </c>
      <c r="P2041" s="321">
        <v>4811000</v>
      </c>
      <c r="Q2041" s="322">
        <v>300000</v>
      </c>
      <c r="R2041" s="322">
        <v>333300</v>
      </c>
      <c r="S2041" s="322">
        <v>300000</v>
      </c>
      <c r="T2041" s="322">
        <v>300000</v>
      </c>
      <c r="U2041" s="322">
        <f t="shared" si="151"/>
        <v>0</v>
      </c>
      <c r="W2041" s="321">
        <f t="shared" si="152"/>
        <v>580</v>
      </c>
      <c r="X2041" s="321">
        <f t="shared" si="153"/>
        <v>811000</v>
      </c>
      <c r="Y2041" s="321">
        <v>1</v>
      </c>
      <c r="AA2041" s="321" t="s">
        <v>5806</v>
      </c>
    </row>
    <row r="2042" spans="13:27">
      <c r="M2042" s="321">
        <v>1811000750</v>
      </c>
      <c r="N2042" s="321">
        <v>81</v>
      </c>
      <c r="O2042" s="321" t="s">
        <v>5807</v>
      </c>
      <c r="P2042" s="321">
        <v>4811000</v>
      </c>
      <c r="Q2042" s="322">
        <v>165000</v>
      </c>
      <c r="R2042" s="322">
        <v>158200</v>
      </c>
      <c r="S2042" s="322">
        <v>170000</v>
      </c>
      <c r="T2042" s="322">
        <v>170000</v>
      </c>
      <c r="U2042" s="322">
        <f t="shared" si="151"/>
        <v>0</v>
      </c>
      <c r="W2042" s="321">
        <f t="shared" si="152"/>
        <v>750</v>
      </c>
      <c r="X2042" s="321">
        <f t="shared" si="153"/>
        <v>811000</v>
      </c>
      <c r="Y2042" s="321">
        <v>1</v>
      </c>
      <c r="AA2042" s="321" t="s">
        <v>5807</v>
      </c>
    </row>
    <row r="2043" spans="13:27">
      <c r="M2043" s="321">
        <v>1811000760</v>
      </c>
      <c r="N2043" s="321">
        <v>81</v>
      </c>
      <c r="O2043" s="321" t="s">
        <v>5808</v>
      </c>
      <c r="P2043" s="321">
        <v>4811000</v>
      </c>
      <c r="Q2043" s="322">
        <v>30000</v>
      </c>
      <c r="R2043" s="322">
        <v>0</v>
      </c>
      <c r="S2043" s="322">
        <v>30000</v>
      </c>
      <c r="T2043" s="322">
        <v>30000</v>
      </c>
      <c r="U2043" s="322">
        <f t="shared" si="151"/>
        <v>0</v>
      </c>
      <c r="W2043" s="321">
        <f t="shared" si="152"/>
        <v>760</v>
      </c>
      <c r="X2043" s="321">
        <f t="shared" si="153"/>
        <v>811000</v>
      </c>
      <c r="Y2043" s="321">
        <v>1</v>
      </c>
      <c r="AA2043" s="321" t="s">
        <v>5808</v>
      </c>
    </row>
    <row r="2044" spans="13:27">
      <c r="M2044" s="321">
        <v>1811000763</v>
      </c>
      <c r="N2044" s="321">
        <v>81</v>
      </c>
      <c r="O2044" s="321" t="s">
        <v>5809</v>
      </c>
      <c r="P2044" s="321">
        <v>4811000</v>
      </c>
      <c r="Q2044" s="322">
        <v>0</v>
      </c>
      <c r="R2044" s="322">
        <v>684200</v>
      </c>
      <c r="S2044" s="322">
        <v>1300000</v>
      </c>
      <c r="T2044" s="322">
        <v>1300000</v>
      </c>
      <c r="U2044" s="322">
        <f t="shared" si="151"/>
        <v>0</v>
      </c>
      <c r="W2044" s="321">
        <f t="shared" si="152"/>
        <v>763</v>
      </c>
      <c r="X2044" s="321">
        <f t="shared" si="153"/>
        <v>811000</v>
      </c>
      <c r="Y2044" s="321">
        <v>1</v>
      </c>
      <c r="AA2044" s="321" t="s">
        <v>5809</v>
      </c>
    </row>
    <row r="2045" spans="13:27">
      <c r="M2045" s="321">
        <v>1811000771</v>
      </c>
      <c r="N2045" s="321">
        <v>81</v>
      </c>
      <c r="O2045" s="321" t="s">
        <v>5810</v>
      </c>
      <c r="P2045" s="321">
        <v>4811000</v>
      </c>
      <c r="Q2045" s="322">
        <v>10000</v>
      </c>
      <c r="R2045" s="322">
        <v>7400</v>
      </c>
      <c r="S2045" s="322">
        <v>10000</v>
      </c>
      <c r="T2045" s="322">
        <v>10000</v>
      </c>
      <c r="U2045" s="322">
        <f t="shared" si="151"/>
        <v>0</v>
      </c>
      <c r="W2045" s="321">
        <f t="shared" si="152"/>
        <v>771</v>
      </c>
      <c r="X2045" s="321">
        <f t="shared" si="153"/>
        <v>811000</v>
      </c>
      <c r="Y2045" s="321">
        <v>1</v>
      </c>
      <c r="AA2045" s="321" t="s">
        <v>5810</v>
      </c>
    </row>
    <row r="2046" spans="13:27">
      <c r="M2046" s="321">
        <v>1811000780</v>
      </c>
      <c r="N2046" s="321">
        <v>81</v>
      </c>
      <c r="O2046" s="321" t="s">
        <v>5811</v>
      </c>
      <c r="P2046" s="321">
        <v>4811000</v>
      </c>
      <c r="Q2046" s="322">
        <v>600000</v>
      </c>
      <c r="R2046" s="322">
        <v>613600</v>
      </c>
      <c r="S2046" s="322">
        <v>600000</v>
      </c>
      <c r="T2046" s="322">
        <v>450000</v>
      </c>
      <c r="U2046" s="322">
        <f t="shared" si="151"/>
        <v>150000</v>
      </c>
      <c r="W2046" s="321">
        <f t="shared" si="152"/>
        <v>780</v>
      </c>
      <c r="X2046" s="321">
        <f t="shared" si="153"/>
        <v>811000</v>
      </c>
      <c r="Y2046" s="321">
        <v>1</v>
      </c>
      <c r="AA2046" s="321" t="s">
        <v>5811</v>
      </c>
    </row>
    <row r="2047" spans="13:27">
      <c r="M2047" s="321">
        <v>1811000781</v>
      </c>
      <c r="N2047" s="321">
        <v>81</v>
      </c>
      <c r="O2047" s="321" t="s">
        <v>5812</v>
      </c>
      <c r="P2047" s="321">
        <v>4811000</v>
      </c>
      <c r="Q2047" s="322">
        <v>500000</v>
      </c>
      <c r="R2047" s="322">
        <v>309600</v>
      </c>
      <c r="S2047" s="322">
        <v>750000</v>
      </c>
      <c r="T2047" s="322">
        <v>500000</v>
      </c>
      <c r="U2047" s="322">
        <f t="shared" si="151"/>
        <v>250000</v>
      </c>
      <c r="W2047" s="321">
        <f t="shared" si="152"/>
        <v>781</v>
      </c>
      <c r="X2047" s="321">
        <f t="shared" si="153"/>
        <v>811000</v>
      </c>
      <c r="Y2047" s="321">
        <v>1</v>
      </c>
      <c r="AA2047" s="321" t="s">
        <v>5812</v>
      </c>
    </row>
    <row r="2048" spans="13:27">
      <c r="M2048" s="321">
        <v>1811000782</v>
      </c>
      <c r="N2048" s="321">
        <v>81</v>
      </c>
      <c r="O2048" s="321" t="s">
        <v>5813</v>
      </c>
      <c r="P2048" s="321">
        <v>4811000</v>
      </c>
      <c r="Q2048" s="322">
        <v>360000</v>
      </c>
      <c r="R2048" s="322">
        <v>139300</v>
      </c>
      <c r="S2048" s="322">
        <v>400000</v>
      </c>
      <c r="T2048" s="322">
        <v>250000</v>
      </c>
      <c r="U2048" s="322">
        <f t="shared" si="151"/>
        <v>150000</v>
      </c>
      <c r="W2048" s="321">
        <f t="shared" si="152"/>
        <v>782</v>
      </c>
      <c r="X2048" s="321">
        <f t="shared" si="153"/>
        <v>811000</v>
      </c>
      <c r="Y2048" s="321">
        <v>1</v>
      </c>
      <c r="AA2048" s="321" t="s">
        <v>5813</v>
      </c>
    </row>
    <row r="2049" spans="13:27">
      <c r="M2049" s="321">
        <v>1811000783</v>
      </c>
      <c r="N2049" s="321">
        <v>81</v>
      </c>
      <c r="O2049" s="321" t="s">
        <v>5814</v>
      </c>
      <c r="P2049" s="321">
        <v>4811000</v>
      </c>
      <c r="Q2049" s="322">
        <v>100000</v>
      </c>
      <c r="R2049" s="322">
        <v>-1200</v>
      </c>
      <c r="S2049" s="322">
        <v>0</v>
      </c>
      <c r="T2049" s="322">
        <v>0</v>
      </c>
      <c r="U2049" s="322">
        <f t="shared" si="151"/>
        <v>0</v>
      </c>
      <c r="W2049" s="321">
        <f t="shared" si="152"/>
        <v>783</v>
      </c>
      <c r="X2049" s="321">
        <f t="shared" si="153"/>
        <v>811000</v>
      </c>
      <c r="Y2049" s="321">
        <v>1</v>
      </c>
      <c r="AA2049" s="321" t="s">
        <v>5814</v>
      </c>
    </row>
    <row r="2050" spans="13:27">
      <c r="M2050" s="321">
        <v>1811000784</v>
      </c>
      <c r="N2050" s="321">
        <v>81</v>
      </c>
      <c r="O2050" s="321" t="s">
        <v>5815</v>
      </c>
      <c r="P2050" s="321">
        <v>4811000</v>
      </c>
      <c r="Q2050" s="322">
        <v>950000</v>
      </c>
      <c r="R2050" s="322">
        <v>642300</v>
      </c>
      <c r="S2050" s="322">
        <v>890000</v>
      </c>
      <c r="T2050" s="322">
        <v>890000</v>
      </c>
      <c r="U2050" s="322">
        <f t="shared" ref="U2050:U2113" si="154">S2050-T2050</f>
        <v>0</v>
      </c>
      <c r="W2050" s="321">
        <f t="shared" si="152"/>
        <v>784</v>
      </c>
      <c r="X2050" s="321">
        <f t="shared" si="153"/>
        <v>811000</v>
      </c>
      <c r="Y2050" s="321">
        <v>1</v>
      </c>
      <c r="AA2050" s="321" t="s">
        <v>5815</v>
      </c>
    </row>
    <row r="2051" spans="13:27">
      <c r="M2051" s="321">
        <v>1811000785</v>
      </c>
      <c r="N2051" s="321">
        <v>81</v>
      </c>
      <c r="O2051" s="321" t="s">
        <v>5816</v>
      </c>
      <c r="P2051" s="321">
        <v>4811000</v>
      </c>
      <c r="Q2051" s="322">
        <v>0</v>
      </c>
      <c r="R2051" s="322">
        <v>0</v>
      </c>
      <c r="S2051" s="322">
        <v>0</v>
      </c>
      <c r="T2051" s="322">
        <v>0</v>
      </c>
      <c r="U2051" s="322">
        <f t="shared" si="154"/>
        <v>0</v>
      </c>
      <c r="W2051" s="321">
        <f t="shared" ref="W2051:W2114" si="155">M2051-1000000000-X2051*1000</f>
        <v>785</v>
      </c>
      <c r="X2051" s="321">
        <f t="shared" ref="X2051:X2114" si="156">ROUNDDOWN((M2051-1000000000)/1000,0)</f>
        <v>811000</v>
      </c>
      <c r="Y2051" s="321">
        <v>1</v>
      </c>
      <c r="AA2051" s="321" t="s">
        <v>5816</v>
      </c>
    </row>
    <row r="2052" spans="13:27">
      <c r="M2052" s="321">
        <v>1811000920</v>
      </c>
      <c r="N2052" s="321">
        <v>81</v>
      </c>
      <c r="O2052" s="321" t="s">
        <v>5290</v>
      </c>
      <c r="P2052" s="321">
        <v>4811000</v>
      </c>
      <c r="Q2052" s="322">
        <v>6800000</v>
      </c>
      <c r="R2052" s="322">
        <v>3119900</v>
      </c>
      <c r="S2052" s="322">
        <v>6800000</v>
      </c>
      <c r="T2052" s="322">
        <v>6500000</v>
      </c>
      <c r="U2052" s="322">
        <f t="shared" si="154"/>
        <v>300000</v>
      </c>
      <c r="W2052" s="321">
        <f t="shared" si="155"/>
        <v>920</v>
      </c>
      <c r="X2052" s="321">
        <f t="shared" si="156"/>
        <v>811000</v>
      </c>
      <c r="Y2052" s="321">
        <v>1</v>
      </c>
      <c r="AA2052" s="321" t="s">
        <v>5290</v>
      </c>
    </row>
    <row r="2053" spans="13:27">
      <c r="M2053" s="321">
        <v>1811001110</v>
      </c>
      <c r="N2053" s="321">
        <v>81</v>
      </c>
      <c r="O2053" s="321" t="s">
        <v>5817</v>
      </c>
      <c r="P2053" s="321">
        <v>4811001</v>
      </c>
      <c r="Q2053" s="322">
        <v>332000</v>
      </c>
      <c r="R2053" s="322">
        <v>229500</v>
      </c>
      <c r="S2053" s="322">
        <v>342000</v>
      </c>
      <c r="T2053" s="322">
        <v>342000</v>
      </c>
      <c r="U2053" s="322">
        <f t="shared" si="154"/>
        <v>0</v>
      </c>
      <c r="W2053" s="321">
        <f t="shared" si="155"/>
        <v>110</v>
      </c>
      <c r="X2053" s="321">
        <f t="shared" si="156"/>
        <v>811001</v>
      </c>
      <c r="Y2053" s="321">
        <v>1</v>
      </c>
      <c r="AA2053" s="321" t="s">
        <v>5817</v>
      </c>
    </row>
    <row r="2054" spans="13:27">
      <c r="M2054" s="321">
        <v>1811001120</v>
      </c>
      <c r="N2054" s="321">
        <v>81</v>
      </c>
      <c r="O2054" s="321" t="s">
        <v>5206</v>
      </c>
      <c r="P2054" s="321">
        <v>4811001</v>
      </c>
      <c r="Q2054" s="322">
        <v>0</v>
      </c>
      <c r="R2054" s="322">
        <v>35500</v>
      </c>
      <c r="S2054" s="322">
        <v>37000</v>
      </c>
      <c r="T2054" s="322">
        <v>37000</v>
      </c>
      <c r="U2054" s="322">
        <f t="shared" si="154"/>
        <v>0</v>
      </c>
      <c r="W2054" s="321">
        <f t="shared" si="155"/>
        <v>120</v>
      </c>
      <c r="X2054" s="321">
        <f t="shared" si="156"/>
        <v>811001</v>
      </c>
      <c r="Y2054" s="321">
        <v>1</v>
      </c>
      <c r="AA2054" s="321" t="s">
        <v>5206</v>
      </c>
    </row>
    <row r="2055" spans="13:27">
      <c r="M2055" s="321">
        <v>1811001130</v>
      </c>
      <c r="N2055" s="321">
        <v>81</v>
      </c>
      <c r="O2055" s="321" t="s">
        <v>2576</v>
      </c>
      <c r="P2055" s="321">
        <v>4811001</v>
      </c>
      <c r="Q2055" s="322">
        <v>4000</v>
      </c>
      <c r="R2055" s="322">
        <v>10300</v>
      </c>
      <c r="S2055" s="322">
        <v>12000</v>
      </c>
      <c r="T2055" s="322">
        <v>10800</v>
      </c>
      <c r="U2055" s="322">
        <f t="shared" si="154"/>
        <v>1200</v>
      </c>
      <c r="W2055" s="321">
        <f t="shared" si="155"/>
        <v>130</v>
      </c>
      <c r="X2055" s="321">
        <f t="shared" si="156"/>
        <v>811001</v>
      </c>
      <c r="Y2055" s="321">
        <v>1</v>
      </c>
      <c r="AA2055" s="321" t="s">
        <v>2576</v>
      </c>
    </row>
    <row r="2056" spans="13:27">
      <c r="M2056" s="321">
        <v>1811001140</v>
      </c>
      <c r="N2056" s="321">
        <v>81</v>
      </c>
      <c r="O2056" s="321" t="s">
        <v>5207</v>
      </c>
      <c r="P2056" s="321">
        <v>4811001</v>
      </c>
      <c r="Q2056" s="322">
        <v>52000</v>
      </c>
      <c r="R2056" s="322">
        <v>47100</v>
      </c>
      <c r="S2056" s="322">
        <v>62000</v>
      </c>
      <c r="T2056" s="322">
        <v>62000</v>
      </c>
      <c r="U2056" s="322">
        <f t="shared" si="154"/>
        <v>0</v>
      </c>
      <c r="W2056" s="321">
        <f t="shared" si="155"/>
        <v>140</v>
      </c>
      <c r="X2056" s="321">
        <f t="shared" si="156"/>
        <v>811001</v>
      </c>
      <c r="Y2056" s="321">
        <v>1</v>
      </c>
      <c r="AA2056" s="321" t="s">
        <v>5207</v>
      </c>
    </row>
    <row r="2057" spans="13:27">
      <c r="M2057" s="321">
        <v>1811001141</v>
      </c>
      <c r="N2057" s="321">
        <v>81</v>
      </c>
      <c r="O2057" s="321" t="s">
        <v>5229</v>
      </c>
      <c r="P2057" s="321">
        <v>4811001</v>
      </c>
      <c r="Q2057" s="322">
        <v>34000</v>
      </c>
      <c r="R2057" s="322">
        <v>11900</v>
      </c>
      <c r="S2057" s="322">
        <v>19000</v>
      </c>
      <c r="T2057" s="322">
        <v>19000</v>
      </c>
      <c r="U2057" s="322">
        <f t="shared" si="154"/>
        <v>0</v>
      </c>
      <c r="W2057" s="321">
        <f t="shared" si="155"/>
        <v>141</v>
      </c>
      <c r="X2057" s="321">
        <f t="shared" si="156"/>
        <v>811001</v>
      </c>
      <c r="Y2057" s="321">
        <v>1</v>
      </c>
      <c r="AA2057" s="321" t="s">
        <v>5229</v>
      </c>
    </row>
    <row r="2058" spans="13:27">
      <c r="M2058" s="321">
        <v>1811001181</v>
      </c>
      <c r="N2058" s="321">
        <v>81</v>
      </c>
      <c r="O2058" s="321" t="s">
        <v>2580</v>
      </c>
      <c r="P2058" s="321">
        <v>4811001</v>
      </c>
      <c r="Q2058" s="322">
        <v>70000</v>
      </c>
      <c r="R2058" s="322">
        <v>60500</v>
      </c>
      <c r="S2058" s="322">
        <v>84000</v>
      </c>
      <c r="T2058" s="322">
        <v>84000</v>
      </c>
      <c r="U2058" s="322">
        <f t="shared" si="154"/>
        <v>0</v>
      </c>
      <c r="W2058" s="321">
        <f t="shared" si="155"/>
        <v>181</v>
      </c>
      <c r="X2058" s="321">
        <f t="shared" si="156"/>
        <v>811001</v>
      </c>
      <c r="Y2058" s="321">
        <v>1</v>
      </c>
      <c r="AA2058" s="321" t="s">
        <v>2580</v>
      </c>
    </row>
    <row r="2059" spans="13:27">
      <c r="M2059" s="321">
        <v>1811001182</v>
      </c>
      <c r="N2059" s="321">
        <v>81</v>
      </c>
      <c r="O2059" s="321" t="s">
        <v>2582</v>
      </c>
      <c r="P2059" s="321">
        <v>4811001</v>
      </c>
      <c r="Q2059" s="322">
        <v>52000</v>
      </c>
      <c r="R2059" s="322">
        <v>43000</v>
      </c>
      <c r="S2059" s="322">
        <v>61000</v>
      </c>
      <c r="T2059" s="322">
        <v>61000</v>
      </c>
      <c r="U2059" s="322">
        <f t="shared" si="154"/>
        <v>0</v>
      </c>
      <c r="W2059" s="321">
        <f t="shared" si="155"/>
        <v>182</v>
      </c>
      <c r="X2059" s="321">
        <f t="shared" si="156"/>
        <v>811001</v>
      </c>
      <c r="Y2059" s="321">
        <v>1</v>
      </c>
      <c r="AA2059" s="321" t="s">
        <v>2582</v>
      </c>
    </row>
    <row r="2060" spans="13:27">
      <c r="M2060" s="321">
        <v>1811001760</v>
      </c>
      <c r="N2060" s="321">
        <v>81</v>
      </c>
      <c r="O2060" s="321" t="s">
        <v>5818</v>
      </c>
      <c r="P2060" s="321">
        <v>4811001</v>
      </c>
      <c r="Q2060" s="322">
        <v>60000</v>
      </c>
      <c r="R2060" s="322">
        <v>11500</v>
      </c>
      <c r="S2060" s="322">
        <v>75000</v>
      </c>
      <c r="T2060" s="322">
        <v>75000</v>
      </c>
      <c r="U2060" s="322">
        <f t="shared" si="154"/>
        <v>0</v>
      </c>
      <c r="W2060" s="321">
        <f t="shared" si="155"/>
        <v>760</v>
      </c>
      <c r="X2060" s="321">
        <f t="shared" si="156"/>
        <v>811001</v>
      </c>
      <c r="Y2060" s="321">
        <v>1</v>
      </c>
      <c r="AA2060" s="321" t="s">
        <v>5818</v>
      </c>
    </row>
    <row r="2061" spans="13:27">
      <c r="M2061" s="321">
        <v>1812100110</v>
      </c>
      <c r="N2061" s="321">
        <v>81</v>
      </c>
      <c r="O2061" s="321" t="s">
        <v>5819</v>
      </c>
      <c r="P2061" s="321">
        <v>4812100</v>
      </c>
      <c r="Q2061" s="322">
        <v>703000</v>
      </c>
      <c r="R2061" s="322">
        <v>510800</v>
      </c>
      <c r="S2061" s="322">
        <v>724000</v>
      </c>
      <c r="T2061" s="322">
        <v>724000</v>
      </c>
      <c r="U2061" s="322">
        <f t="shared" si="154"/>
        <v>0</v>
      </c>
      <c r="W2061" s="321">
        <f t="shared" si="155"/>
        <v>110</v>
      </c>
      <c r="X2061" s="321">
        <f t="shared" si="156"/>
        <v>812100</v>
      </c>
      <c r="Y2061" s="321">
        <v>1</v>
      </c>
      <c r="AA2061" s="321" t="s">
        <v>5819</v>
      </c>
    </row>
    <row r="2062" spans="13:27">
      <c r="M2062" s="321">
        <v>1812100120</v>
      </c>
      <c r="N2062" s="321">
        <v>81</v>
      </c>
      <c r="O2062" s="321" t="s">
        <v>5206</v>
      </c>
      <c r="P2062" s="321">
        <v>4812100</v>
      </c>
      <c r="Q2062" s="322">
        <v>182000</v>
      </c>
      <c r="R2062" s="322">
        <v>96600</v>
      </c>
      <c r="S2062" s="322">
        <v>111000</v>
      </c>
      <c r="T2062" s="322">
        <v>111000</v>
      </c>
      <c r="U2062" s="322">
        <f t="shared" si="154"/>
        <v>0</v>
      </c>
      <c r="W2062" s="321">
        <f t="shared" si="155"/>
        <v>120</v>
      </c>
      <c r="X2062" s="321">
        <f t="shared" si="156"/>
        <v>812100</v>
      </c>
      <c r="Y2062" s="321">
        <v>1</v>
      </c>
      <c r="AA2062" s="321" t="s">
        <v>5206</v>
      </c>
    </row>
    <row r="2063" spans="13:27">
      <c r="M2063" s="321">
        <v>1812100130</v>
      </c>
      <c r="N2063" s="321">
        <v>81</v>
      </c>
      <c r="O2063" s="321" t="s">
        <v>2576</v>
      </c>
      <c r="P2063" s="321">
        <v>4812100</v>
      </c>
      <c r="Q2063" s="322">
        <v>52000</v>
      </c>
      <c r="R2063" s="322">
        <v>77900</v>
      </c>
      <c r="S2063" s="322">
        <v>112000</v>
      </c>
      <c r="T2063" s="322">
        <v>100800</v>
      </c>
      <c r="U2063" s="322">
        <f t="shared" si="154"/>
        <v>11200</v>
      </c>
      <c r="W2063" s="321">
        <f t="shared" si="155"/>
        <v>130</v>
      </c>
      <c r="X2063" s="321">
        <f t="shared" si="156"/>
        <v>812100</v>
      </c>
      <c r="Y2063" s="321">
        <v>1</v>
      </c>
      <c r="AA2063" s="321" t="s">
        <v>2576</v>
      </c>
    </row>
    <row r="2064" spans="13:27">
      <c r="M2064" s="321">
        <v>1812100140</v>
      </c>
      <c r="N2064" s="321">
        <v>81</v>
      </c>
      <c r="O2064" s="321" t="s">
        <v>5207</v>
      </c>
      <c r="P2064" s="321">
        <v>4812100</v>
      </c>
      <c r="Q2064" s="322">
        <v>99000</v>
      </c>
      <c r="R2064" s="322">
        <v>73000</v>
      </c>
      <c r="S2064" s="322">
        <v>87000</v>
      </c>
      <c r="T2064" s="322">
        <v>87000</v>
      </c>
      <c r="U2064" s="322">
        <f t="shared" si="154"/>
        <v>0</v>
      </c>
      <c r="W2064" s="321">
        <f t="shared" si="155"/>
        <v>140</v>
      </c>
      <c r="X2064" s="321">
        <f t="shared" si="156"/>
        <v>812100</v>
      </c>
      <c r="Y2064" s="321">
        <v>1</v>
      </c>
      <c r="AA2064" s="321" t="s">
        <v>5207</v>
      </c>
    </row>
    <row r="2065" spans="13:27">
      <c r="M2065" s="321">
        <v>1812100141</v>
      </c>
      <c r="N2065" s="321">
        <v>81</v>
      </c>
      <c r="O2065" s="321" t="s">
        <v>5208</v>
      </c>
      <c r="P2065" s="321">
        <v>4812100</v>
      </c>
      <c r="Q2065" s="322">
        <v>9000</v>
      </c>
      <c r="R2065" s="322">
        <v>29000</v>
      </c>
      <c r="S2065" s="322">
        <v>47000</v>
      </c>
      <c r="T2065" s="322">
        <v>47000</v>
      </c>
      <c r="U2065" s="322">
        <f t="shared" si="154"/>
        <v>0</v>
      </c>
      <c r="W2065" s="321">
        <f t="shared" si="155"/>
        <v>141</v>
      </c>
      <c r="X2065" s="321">
        <f t="shared" si="156"/>
        <v>812100</v>
      </c>
      <c r="Y2065" s="321">
        <v>1</v>
      </c>
      <c r="AA2065" s="321" t="s">
        <v>5208</v>
      </c>
    </row>
    <row r="2066" spans="13:27">
      <c r="M2066" s="321">
        <v>1812100181</v>
      </c>
      <c r="N2066" s="321">
        <v>81</v>
      </c>
      <c r="O2066" s="321" t="s">
        <v>2580</v>
      </c>
      <c r="P2066" s="321">
        <v>4812100</v>
      </c>
      <c r="Q2066" s="322">
        <v>147000</v>
      </c>
      <c r="R2066" s="322">
        <v>97600</v>
      </c>
      <c r="S2066" s="322">
        <v>136000</v>
      </c>
      <c r="T2066" s="322">
        <v>136000</v>
      </c>
      <c r="U2066" s="322">
        <f t="shared" si="154"/>
        <v>0</v>
      </c>
      <c r="W2066" s="321">
        <f t="shared" si="155"/>
        <v>181</v>
      </c>
      <c r="X2066" s="321">
        <f t="shared" si="156"/>
        <v>812100</v>
      </c>
      <c r="Y2066" s="321">
        <v>1</v>
      </c>
      <c r="AA2066" s="321" t="s">
        <v>2580</v>
      </c>
    </row>
    <row r="2067" spans="13:27">
      <c r="M2067" s="321">
        <v>1812100182</v>
      </c>
      <c r="N2067" s="321">
        <v>81</v>
      </c>
      <c r="O2067" s="321" t="s">
        <v>2582</v>
      </c>
      <c r="P2067" s="321">
        <v>4812100</v>
      </c>
      <c r="Q2067" s="322">
        <v>143000</v>
      </c>
      <c r="R2067" s="322">
        <v>106400</v>
      </c>
      <c r="S2067" s="322">
        <v>158000</v>
      </c>
      <c r="T2067" s="322">
        <v>158000</v>
      </c>
      <c r="U2067" s="322">
        <f t="shared" si="154"/>
        <v>0</v>
      </c>
      <c r="W2067" s="321">
        <f t="shared" si="155"/>
        <v>182</v>
      </c>
      <c r="X2067" s="321">
        <f t="shared" si="156"/>
        <v>812100</v>
      </c>
      <c r="Y2067" s="321">
        <v>1</v>
      </c>
      <c r="AA2067" s="321" t="s">
        <v>2582</v>
      </c>
    </row>
    <row r="2068" spans="13:27">
      <c r="M2068" s="321">
        <v>1812100471</v>
      </c>
      <c r="N2068" s="321">
        <v>81</v>
      </c>
      <c r="O2068" s="321" t="s">
        <v>5820</v>
      </c>
      <c r="P2068" s="321">
        <v>4812100</v>
      </c>
      <c r="Q2068" s="322">
        <v>7000</v>
      </c>
      <c r="R2068" s="322">
        <v>7000</v>
      </c>
      <c r="S2068" s="322">
        <v>7500</v>
      </c>
      <c r="T2068" s="322">
        <v>7500</v>
      </c>
      <c r="U2068" s="322">
        <f t="shared" si="154"/>
        <v>0</v>
      </c>
      <c r="W2068" s="321">
        <f t="shared" si="155"/>
        <v>471</v>
      </c>
      <c r="X2068" s="321">
        <f t="shared" si="156"/>
        <v>812100</v>
      </c>
      <c r="Y2068" s="321">
        <v>1</v>
      </c>
      <c r="AA2068" s="321" t="s">
        <v>5820</v>
      </c>
    </row>
    <row r="2069" spans="13:27">
      <c r="M2069" s="321">
        <v>1812100540</v>
      </c>
      <c r="N2069" s="321">
        <v>81</v>
      </c>
      <c r="O2069" s="321" t="s">
        <v>5216</v>
      </c>
      <c r="P2069" s="321">
        <v>4812100</v>
      </c>
      <c r="Q2069" s="322">
        <v>4000</v>
      </c>
      <c r="R2069" s="322">
        <v>2800</v>
      </c>
      <c r="S2069" s="322">
        <v>4500</v>
      </c>
      <c r="T2069" s="322">
        <v>4500</v>
      </c>
      <c r="U2069" s="322">
        <f t="shared" si="154"/>
        <v>0</v>
      </c>
      <c r="W2069" s="321">
        <f t="shared" si="155"/>
        <v>540</v>
      </c>
      <c r="X2069" s="321">
        <f t="shared" si="156"/>
        <v>812100</v>
      </c>
      <c r="Y2069" s="321">
        <v>1</v>
      </c>
      <c r="AA2069" s="321" t="s">
        <v>5216</v>
      </c>
    </row>
    <row r="2070" spans="13:27">
      <c r="M2070" s="321">
        <v>1812100542</v>
      </c>
      <c r="N2070" s="321">
        <v>81</v>
      </c>
      <c r="O2070" s="321" t="s">
        <v>5564</v>
      </c>
      <c r="P2070" s="321">
        <v>4812100</v>
      </c>
      <c r="Q2070" s="322">
        <v>5000</v>
      </c>
      <c r="R2070" s="322">
        <v>4200</v>
      </c>
      <c r="S2070" s="322">
        <v>5000</v>
      </c>
      <c r="T2070" s="322">
        <v>5000</v>
      </c>
      <c r="U2070" s="322">
        <f t="shared" si="154"/>
        <v>0</v>
      </c>
      <c r="W2070" s="321">
        <f t="shared" si="155"/>
        <v>542</v>
      </c>
      <c r="X2070" s="321">
        <f t="shared" si="156"/>
        <v>812100</v>
      </c>
      <c r="Y2070" s="321">
        <v>1</v>
      </c>
      <c r="AA2070" s="321" t="s">
        <v>5564</v>
      </c>
    </row>
    <row r="2071" spans="13:27">
      <c r="M2071" s="321">
        <v>1812100545</v>
      </c>
      <c r="N2071" s="321">
        <v>81</v>
      </c>
      <c r="O2071" s="321" t="s">
        <v>5821</v>
      </c>
      <c r="P2071" s="321">
        <v>4812100</v>
      </c>
      <c r="Q2071" s="322">
        <v>0</v>
      </c>
      <c r="R2071" s="322">
        <v>0</v>
      </c>
      <c r="S2071" s="322">
        <v>0</v>
      </c>
      <c r="T2071" s="322">
        <v>0</v>
      </c>
      <c r="U2071" s="322">
        <f t="shared" si="154"/>
        <v>0</v>
      </c>
      <c r="W2071" s="321">
        <f t="shared" si="155"/>
        <v>545</v>
      </c>
      <c r="X2071" s="321">
        <f t="shared" si="156"/>
        <v>812100</v>
      </c>
      <c r="Y2071" s="321">
        <v>1</v>
      </c>
      <c r="AA2071" s="321" t="s">
        <v>5821</v>
      </c>
    </row>
    <row r="2072" spans="13:27">
      <c r="M2072" s="321">
        <v>1812100730</v>
      </c>
      <c r="N2072" s="321">
        <v>81</v>
      </c>
      <c r="O2072" s="321" t="s">
        <v>5822</v>
      </c>
      <c r="P2072" s="321">
        <v>4812100</v>
      </c>
      <c r="Q2072" s="322">
        <v>28000</v>
      </c>
      <c r="R2072" s="322">
        <v>6600</v>
      </c>
      <c r="S2072" s="322">
        <v>28000</v>
      </c>
      <c r="T2072" s="322">
        <v>28000</v>
      </c>
      <c r="U2072" s="322">
        <f t="shared" si="154"/>
        <v>0</v>
      </c>
      <c r="W2072" s="321">
        <f t="shared" si="155"/>
        <v>730</v>
      </c>
      <c r="X2072" s="321">
        <f t="shared" si="156"/>
        <v>812100</v>
      </c>
      <c r="Y2072" s="321">
        <v>1</v>
      </c>
      <c r="AA2072" s="321" t="s">
        <v>5822</v>
      </c>
    </row>
    <row r="2073" spans="13:27">
      <c r="M2073" s="321">
        <v>1812100731</v>
      </c>
      <c r="N2073" s="321">
        <v>81</v>
      </c>
      <c r="O2073" s="321" t="s">
        <v>5823</v>
      </c>
      <c r="P2073" s="321">
        <v>4812100</v>
      </c>
      <c r="Q2073" s="322">
        <v>3000</v>
      </c>
      <c r="R2073" s="322">
        <v>400</v>
      </c>
      <c r="S2073" s="322">
        <v>3000</v>
      </c>
      <c r="T2073" s="322">
        <v>3000</v>
      </c>
      <c r="U2073" s="322">
        <f t="shared" si="154"/>
        <v>0</v>
      </c>
      <c r="W2073" s="321">
        <f t="shared" si="155"/>
        <v>731</v>
      </c>
      <c r="X2073" s="321">
        <f t="shared" si="156"/>
        <v>812100</v>
      </c>
      <c r="Y2073" s="321">
        <v>1</v>
      </c>
      <c r="AA2073" s="321" t="s">
        <v>5823</v>
      </c>
    </row>
    <row r="2074" spans="13:27">
      <c r="M2074" s="321">
        <v>1812100760</v>
      </c>
      <c r="N2074" s="321">
        <v>81</v>
      </c>
      <c r="O2074" s="321" t="s">
        <v>4688</v>
      </c>
      <c r="P2074" s="321">
        <v>4812100</v>
      </c>
      <c r="Q2074" s="322">
        <v>5600000</v>
      </c>
      <c r="R2074" s="322">
        <v>3396100</v>
      </c>
      <c r="S2074" s="322">
        <v>5000000</v>
      </c>
      <c r="T2074" s="322">
        <v>5000000</v>
      </c>
      <c r="U2074" s="322">
        <f t="shared" si="154"/>
        <v>0</v>
      </c>
      <c r="W2074" s="321">
        <f t="shared" si="155"/>
        <v>760</v>
      </c>
      <c r="X2074" s="321">
        <f t="shared" si="156"/>
        <v>812100</v>
      </c>
      <c r="Y2074" s="321">
        <v>1</v>
      </c>
      <c r="AA2074" s="321" t="s">
        <v>4688</v>
      </c>
    </row>
    <row r="2075" spans="13:27">
      <c r="M2075" s="321">
        <v>1812100764</v>
      </c>
      <c r="N2075" s="321">
        <v>81</v>
      </c>
      <c r="O2075" s="321" t="s">
        <v>4896</v>
      </c>
      <c r="P2075" s="321">
        <v>4812100</v>
      </c>
      <c r="Q2075" s="322">
        <v>480000</v>
      </c>
      <c r="R2075" s="322">
        <v>257900</v>
      </c>
      <c r="S2075" s="322">
        <v>480000</v>
      </c>
      <c r="T2075" s="322">
        <v>480000</v>
      </c>
      <c r="U2075" s="322">
        <f t="shared" si="154"/>
        <v>0</v>
      </c>
      <c r="W2075" s="321">
        <f t="shared" si="155"/>
        <v>764</v>
      </c>
      <c r="X2075" s="321">
        <f t="shared" si="156"/>
        <v>812100</v>
      </c>
      <c r="Y2075" s="321">
        <v>1</v>
      </c>
      <c r="AA2075" s="321" t="s">
        <v>4896</v>
      </c>
    </row>
    <row r="2076" spans="13:27">
      <c r="M2076" s="321">
        <v>1812100779</v>
      </c>
      <c r="N2076" s="321">
        <v>81</v>
      </c>
      <c r="O2076" s="321" t="s">
        <v>5382</v>
      </c>
      <c r="P2076" s="321">
        <v>4812100</v>
      </c>
      <c r="Q2076" s="322">
        <v>2000</v>
      </c>
      <c r="R2076" s="322">
        <v>1100</v>
      </c>
      <c r="S2076" s="322">
        <v>2000</v>
      </c>
      <c r="T2076" s="322">
        <v>2000</v>
      </c>
      <c r="U2076" s="322">
        <f t="shared" si="154"/>
        <v>0</v>
      </c>
      <c r="W2076" s="321">
        <f t="shared" si="155"/>
        <v>779</v>
      </c>
      <c r="X2076" s="321">
        <f t="shared" si="156"/>
        <v>812100</v>
      </c>
      <c r="Y2076" s="321">
        <v>1</v>
      </c>
      <c r="AA2076" s="321" t="s">
        <v>5382</v>
      </c>
    </row>
    <row r="2077" spans="13:27">
      <c r="M2077" s="321">
        <v>1812100780</v>
      </c>
      <c r="N2077" s="321">
        <v>81</v>
      </c>
      <c r="O2077" s="321" t="s">
        <v>5824</v>
      </c>
      <c r="P2077" s="321">
        <v>4812100</v>
      </c>
      <c r="Q2077" s="322">
        <v>160000</v>
      </c>
      <c r="R2077" s="322">
        <v>62800</v>
      </c>
      <c r="S2077" s="322">
        <v>250000</v>
      </c>
      <c r="T2077" s="322">
        <v>100000</v>
      </c>
      <c r="U2077" s="322">
        <f t="shared" si="154"/>
        <v>150000</v>
      </c>
      <c r="W2077" s="321">
        <f t="shared" si="155"/>
        <v>780</v>
      </c>
      <c r="X2077" s="321">
        <f t="shared" si="156"/>
        <v>812100</v>
      </c>
      <c r="Y2077" s="321">
        <v>1</v>
      </c>
      <c r="AA2077" s="321" t="s">
        <v>5824</v>
      </c>
    </row>
    <row r="2078" spans="13:27">
      <c r="M2078" s="321">
        <v>1812100781</v>
      </c>
      <c r="N2078" s="321">
        <v>81</v>
      </c>
      <c r="O2078" s="321" t="s">
        <v>5825</v>
      </c>
      <c r="P2078" s="321">
        <v>4812100</v>
      </c>
      <c r="Q2078" s="322">
        <v>110000</v>
      </c>
      <c r="R2078" s="322">
        <v>25900</v>
      </c>
      <c r="S2078" s="322">
        <v>110000</v>
      </c>
      <c r="T2078" s="322">
        <v>110000</v>
      </c>
      <c r="U2078" s="322">
        <f t="shared" si="154"/>
        <v>0</v>
      </c>
      <c r="W2078" s="321">
        <f t="shared" si="155"/>
        <v>781</v>
      </c>
      <c r="X2078" s="321">
        <f t="shared" si="156"/>
        <v>812100</v>
      </c>
      <c r="Y2078" s="321">
        <v>1</v>
      </c>
      <c r="AA2078" s="321" t="s">
        <v>5825</v>
      </c>
    </row>
    <row r="2079" spans="13:27">
      <c r="M2079" s="321">
        <v>1812100782</v>
      </c>
      <c r="N2079" s="321">
        <v>81</v>
      </c>
      <c r="O2079" s="321" t="s">
        <v>5826</v>
      </c>
      <c r="P2079" s="321">
        <v>4812100</v>
      </c>
      <c r="Q2079" s="322">
        <v>120000</v>
      </c>
      <c r="R2079" s="322">
        <v>26400</v>
      </c>
      <c r="S2079" s="322">
        <v>40000</v>
      </c>
      <c r="T2079" s="322">
        <v>40000</v>
      </c>
      <c r="U2079" s="322">
        <f t="shared" si="154"/>
        <v>0</v>
      </c>
      <c r="W2079" s="321">
        <f t="shared" si="155"/>
        <v>782</v>
      </c>
      <c r="X2079" s="321">
        <f t="shared" si="156"/>
        <v>812100</v>
      </c>
      <c r="Y2079" s="321">
        <v>1</v>
      </c>
      <c r="AA2079" s="321" t="s">
        <v>5826</v>
      </c>
    </row>
    <row r="2080" spans="13:27">
      <c r="M2080" s="321">
        <v>1812100783</v>
      </c>
      <c r="N2080" s="321">
        <v>81</v>
      </c>
      <c r="O2080" s="321" t="s">
        <v>5827</v>
      </c>
      <c r="P2080" s="321">
        <v>4812100</v>
      </c>
      <c r="Q2080" s="322">
        <v>850000</v>
      </c>
      <c r="R2080" s="322">
        <v>382400</v>
      </c>
      <c r="S2080" s="322">
        <v>1300000</v>
      </c>
      <c r="T2080" s="322">
        <v>850000</v>
      </c>
      <c r="U2080" s="322">
        <f t="shared" si="154"/>
        <v>450000</v>
      </c>
      <c r="W2080" s="321">
        <f t="shared" si="155"/>
        <v>783</v>
      </c>
      <c r="X2080" s="321">
        <f t="shared" si="156"/>
        <v>812100</v>
      </c>
      <c r="Y2080" s="321">
        <v>1</v>
      </c>
      <c r="AA2080" s="321" t="s">
        <v>5827</v>
      </c>
    </row>
    <row r="2081" spans="13:27">
      <c r="M2081" s="321">
        <v>1812100784</v>
      </c>
      <c r="N2081" s="321">
        <v>81</v>
      </c>
      <c r="O2081" s="321" t="s">
        <v>5828</v>
      </c>
      <c r="P2081" s="321">
        <v>4812100</v>
      </c>
      <c r="Q2081" s="322">
        <v>200000</v>
      </c>
      <c r="R2081" s="322">
        <v>78700</v>
      </c>
      <c r="S2081" s="322">
        <v>350000</v>
      </c>
      <c r="T2081" s="322">
        <v>150000</v>
      </c>
      <c r="U2081" s="322">
        <f t="shared" si="154"/>
        <v>200000</v>
      </c>
      <c r="W2081" s="321">
        <f t="shared" si="155"/>
        <v>784</v>
      </c>
      <c r="X2081" s="321">
        <f t="shared" si="156"/>
        <v>812100</v>
      </c>
      <c r="Y2081" s="321">
        <v>1</v>
      </c>
      <c r="AA2081" s="321" t="s">
        <v>5828</v>
      </c>
    </row>
    <row r="2082" spans="13:27">
      <c r="M2082" s="321">
        <v>1812101730</v>
      </c>
      <c r="N2082" s="321">
        <v>81</v>
      </c>
      <c r="O2082" s="321" t="s">
        <v>5829</v>
      </c>
      <c r="P2082" s="321">
        <v>4812100</v>
      </c>
      <c r="Q2082" s="322">
        <v>0</v>
      </c>
      <c r="R2082" s="322">
        <v>0</v>
      </c>
      <c r="S2082" s="322">
        <v>0</v>
      </c>
      <c r="T2082" s="322">
        <v>0</v>
      </c>
      <c r="U2082" s="322">
        <f t="shared" si="154"/>
        <v>0</v>
      </c>
      <c r="W2082" s="321">
        <f t="shared" si="155"/>
        <v>730</v>
      </c>
      <c r="X2082" s="321">
        <f t="shared" si="156"/>
        <v>812101</v>
      </c>
      <c r="Y2082" s="321">
        <v>1</v>
      </c>
      <c r="AA2082" s="321" t="s">
        <v>5829</v>
      </c>
    </row>
    <row r="2083" spans="13:27">
      <c r="M2083" s="321">
        <v>1812200110</v>
      </c>
      <c r="N2083" s="321">
        <v>81</v>
      </c>
      <c r="O2083" s="321" t="s">
        <v>5205</v>
      </c>
      <c r="P2083" s="321">
        <v>4812200</v>
      </c>
      <c r="Q2083" s="322">
        <v>11344000</v>
      </c>
      <c r="R2083" s="322">
        <v>8132100</v>
      </c>
      <c r="S2083" s="322">
        <v>13047000</v>
      </c>
      <c r="T2083" s="322">
        <v>13047000</v>
      </c>
      <c r="U2083" s="322">
        <f t="shared" si="154"/>
        <v>0</v>
      </c>
      <c r="W2083" s="321">
        <f t="shared" si="155"/>
        <v>110</v>
      </c>
      <c r="X2083" s="321">
        <f t="shared" si="156"/>
        <v>812200</v>
      </c>
      <c r="Y2083" s="321">
        <v>1</v>
      </c>
      <c r="AA2083" s="321" t="s">
        <v>5205</v>
      </c>
    </row>
    <row r="2084" spans="13:27">
      <c r="M2084" s="321">
        <v>1812200120</v>
      </c>
      <c r="N2084" s="321">
        <v>81</v>
      </c>
      <c r="O2084" s="321" t="s">
        <v>5206</v>
      </c>
      <c r="P2084" s="321">
        <v>4812200</v>
      </c>
      <c r="Q2084" s="322">
        <v>1005000</v>
      </c>
      <c r="R2084" s="322">
        <v>994000</v>
      </c>
      <c r="S2084" s="322">
        <v>1194000</v>
      </c>
      <c r="T2084" s="322">
        <v>1194000</v>
      </c>
      <c r="U2084" s="322">
        <f t="shared" si="154"/>
        <v>0</v>
      </c>
      <c r="W2084" s="321">
        <f t="shared" si="155"/>
        <v>120</v>
      </c>
      <c r="X2084" s="321">
        <f t="shared" si="156"/>
        <v>812200</v>
      </c>
      <c r="Y2084" s="321">
        <v>1</v>
      </c>
      <c r="AA2084" s="321" t="s">
        <v>5206</v>
      </c>
    </row>
    <row r="2085" spans="13:27">
      <c r="M2085" s="321">
        <v>1812200130</v>
      </c>
      <c r="N2085" s="321">
        <v>81</v>
      </c>
      <c r="O2085" s="321" t="s">
        <v>2576</v>
      </c>
      <c r="P2085" s="321">
        <v>4812200</v>
      </c>
      <c r="Q2085" s="322">
        <v>54000</v>
      </c>
      <c r="R2085" s="322">
        <v>28900</v>
      </c>
      <c r="S2085" s="322">
        <v>153000</v>
      </c>
      <c r="T2085" s="322">
        <v>137700</v>
      </c>
      <c r="U2085" s="322">
        <f t="shared" si="154"/>
        <v>15300</v>
      </c>
      <c r="W2085" s="321">
        <f t="shared" si="155"/>
        <v>130</v>
      </c>
      <c r="X2085" s="321">
        <f t="shared" si="156"/>
        <v>812200</v>
      </c>
      <c r="Y2085" s="321">
        <v>1</v>
      </c>
      <c r="AA2085" s="321" t="s">
        <v>2576</v>
      </c>
    </row>
    <row r="2086" spans="13:27">
      <c r="M2086" s="321">
        <v>1812200140</v>
      </c>
      <c r="N2086" s="321">
        <v>81</v>
      </c>
      <c r="O2086" s="321" t="s">
        <v>5207</v>
      </c>
      <c r="P2086" s="321">
        <v>4812200</v>
      </c>
      <c r="Q2086" s="322">
        <v>3000</v>
      </c>
      <c r="R2086" s="322">
        <v>0</v>
      </c>
      <c r="S2086" s="322">
        <v>1000</v>
      </c>
      <c r="T2086" s="322">
        <v>1000</v>
      </c>
      <c r="U2086" s="322">
        <f t="shared" si="154"/>
        <v>0</v>
      </c>
      <c r="W2086" s="321">
        <f t="shared" si="155"/>
        <v>140</v>
      </c>
      <c r="X2086" s="321">
        <f t="shared" si="156"/>
        <v>812200</v>
      </c>
      <c r="Y2086" s="321">
        <v>1</v>
      </c>
      <c r="AA2086" s="321" t="s">
        <v>5207</v>
      </c>
    </row>
    <row r="2087" spans="13:27">
      <c r="M2087" s="321">
        <v>1812200141</v>
      </c>
      <c r="N2087" s="321">
        <v>81</v>
      </c>
      <c r="O2087" s="321" t="s">
        <v>5208</v>
      </c>
      <c r="P2087" s="321">
        <v>4812200</v>
      </c>
      <c r="Q2087" s="322">
        <v>519000</v>
      </c>
      <c r="R2087" s="322">
        <v>374300</v>
      </c>
      <c r="S2087" s="322">
        <v>602000</v>
      </c>
      <c r="T2087" s="322">
        <v>602000</v>
      </c>
      <c r="U2087" s="322">
        <f t="shared" si="154"/>
        <v>0</v>
      </c>
      <c r="W2087" s="321">
        <f t="shared" si="155"/>
        <v>141</v>
      </c>
      <c r="X2087" s="321">
        <f t="shared" si="156"/>
        <v>812200</v>
      </c>
      <c r="Y2087" s="321">
        <v>1</v>
      </c>
      <c r="AA2087" s="321" t="s">
        <v>5208</v>
      </c>
    </row>
    <row r="2088" spans="13:27">
      <c r="M2088" s="321">
        <v>1812200181</v>
      </c>
      <c r="N2088" s="321">
        <v>81</v>
      </c>
      <c r="O2088" s="321" t="s">
        <v>2580</v>
      </c>
      <c r="P2088" s="321">
        <v>4812200</v>
      </c>
      <c r="Q2088" s="322">
        <v>1784000</v>
      </c>
      <c r="R2088" s="322">
        <v>1340700</v>
      </c>
      <c r="S2088" s="322">
        <v>2160000</v>
      </c>
      <c r="T2088" s="322">
        <v>2160000</v>
      </c>
      <c r="U2088" s="322">
        <f t="shared" si="154"/>
        <v>0</v>
      </c>
      <c r="W2088" s="321">
        <f t="shared" si="155"/>
        <v>181</v>
      </c>
      <c r="X2088" s="321">
        <f t="shared" si="156"/>
        <v>812200</v>
      </c>
      <c r="Y2088" s="321">
        <v>1</v>
      </c>
      <c r="AA2088" s="321" t="s">
        <v>2580</v>
      </c>
    </row>
    <row r="2089" spans="13:27">
      <c r="M2089" s="321">
        <v>1812200182</v>
      </c>
      <c r="N2089" s="321">
        <v>81</v>
      </c>
      <c r="O2089" s="321" t="s">
        <v>2582</v>
      </c>
      <c r="P2089" s="321">
        <v>4812200</v>
      </c>
      <c r="Q2089" s="322">
        <v>1603000</v>
      </c>
      <c r="R2089" s="322">
        <v>1127600</v>
      </c>
      <c r="S2089" s="322">
        <v>1894000</v>
      </c>
      <c r="T2089" s="322">
        <v>1894000</v>
      </c>
      <c r="U2089" s="322">
        <f t="shared" si="154"/>
        <v>0</v>
      </c>
      <c r="W2089" s="321">
        <f t="shared" si="155"/>
        <v>182</v>
      </c>
      <c r="X2089" s="321">
        <f t="shared" si="156"/>
        <v>812200</v>
      </c>
      <c r="Y2089" s="321">
        <v>1</v>
      </c>
      <c r="AA2089" s="321" t="s">
        <v>2582</v>
      </c>
    </row>
    <row r="2090" spans="13:27">
      <c r="M2090" s="321">
        <v>1812200210</v>
      </c>
      <c r="N2090" s="321">
        <v>81</v>
      </c>
      <c r="O2090" s="321" t="s">
        <v>5830</v>
      </c>
      <c r="P2090" s="321">
        <v>4812200</v>
      </c>
      <c r="Q2090" s="322">
        <v>2200000</v>
      </c>
      <c r="R2090" s="322">
        <v>1416200</v>
      </c>
      <c r="S2090" s="322">
        <v>0</v>
      </c>
      <c r="T2090" s="322">
        <v>0</v>
      </c>
      <c r="U2090" s="322">
        <f t="shared" si="154"/>
        <v>0</v>
      </c>
      <c r="W2090" s="321">
        <f t="shared" si="155"/>
        <v>210</v>
      </c>
      <c r="X2090" s="321">
        <f t="shared" si="156"/>
        <v>812200</v>
      </c>
      <c r="Y2090" s="321">
        <v>1</v>
      </c>
      <c r="AA2090" s="321" t="s">
        <v>5830</v>
      </c>
    </row>
    <row r="2091" spans="13:27">
      <c r="M2091" s="321">
        <v>1812200211</v>
      </c>
      <c r="N2091" s="321">
        <v>81</v>
      </c>
      <c r="O2091" s="321" t="s">
        <v>5831</v>
      </c>
      <c r="P2091" s="321">
        <v>4812200</v>
      </c>
      <c r="Q2091" s="322">
        <v>1500000</v>
      </c>
      <c r="R2091" s="322">
        <v>1294900</v>
      </c>
      <c r="S2091" s="322">
        <v>0</v>
      </c>
      <c r="T2091" s="322">
        <v>0</v>
      </c>
      <c r="U2091" s="322">
        <f t="shared" si="154"/>
        <v>0</v>
      </c>
      <c r="W2091" s="321">
        <f t="shared" si="155"/>
        <v>211</v>
      </c>
      <c r="X2091" s="321">
        <f t="shared" si="156"/>
        <v>812200</v>
      </c>
      <c r="Y2091" s="321">
        <v>1</v>
      </c>
      <c r="AA2091" s="321" t="s">
        <v>5831</v>
      </c>
    </row>
    <row r="2092" spans="13:27">
      <c r="M2092" s="321">
        <v>1812200433</v>
      </c>
      <c r="N2092" s="321">
        <v>81</v>
      </c>
      <c r="O2092" s="321" t="s">
        <v>2655</v>
      </c>
      <c r="P2092" s="321">
        <v>4812200</v>
      </c>
      <c r="Q2092" s="322">
        <v>104000</v>
      </c>
      <c r="R2092" s="322">
        <v>92000</v>
      </c>
      <c r="S2092" s="322">
        <v>270000</v>
      </c>
      <c r="T2092" s="322">
        <v>270000</v>
      </c>
      <c r="U2092" s="322">
        <f t="shared" si="154"/>
        <v>0</v>
      </c>
      <c r="W2092" s="321">
        <f t="shared" si="155"/>
        <v>433</v>
      </c>
      <c r="X2092" s="321">
        <f t="shared" si="156"/>
        <v>812200</v>
      </c>
      <c r="Y2092" s="321">
        <v>1</v>
      </c>
      <c r="AA2092" s="321" t="s">
        <v>2655</v>
      </c>
    </row>
    <row r="2093" spans="13:27">
      <c r="M2093" s="321">
        <v>1812200540</v>
      </c>
      <c r="N2093" s="321">
        <v>81</v>
      </c>
      <c r="O2093" s="321" t="s">
        <v>5216</v>
      </c>
      <c r="P2093" s="321">
        <v>4812200</v>
      </c>
      <c r="Q2093" s="322">
        <v>150000</v>
      </c>
      <c r="R2093" s="322">
        <v>102400</v>
      </c>
      <c r="S2093" s="322">
        <v>170000</v>
      </c>
      <c r="T2093" s="322">
        <v>170000</v>
      </c>
      <c r="U2093" s="322">
        <f t="shared" si="154"/>
        <v>0</v>
      </c>
      <c r="W2093" s="321">
        <f t="shared" si="155"/>
        <v>540</v>
      </c>
      <c r="X2093" s="321">
        <f t="shared" si="156"/>
        <v>812200</v>
      </c>
      <c r="Y2093" s="321">
        <v>1</v>
      </c>
      <c r="AA2093" s="321" t="s">
        <v>5216</v>
      </c>
    </row>
    <row r="2094" spans="13:27">
      <c r="M2094" s="321">
        <v>1812200575</v>
      </c>
      <c r="N2094" s="321">
        <v>81</v>
      </c>
      <c r="O2094" s="321" t="s">
        <v>5832</v>
      </c>
      <c r="P2094" s="321">
        <v>4812200</v>
      </c>
      <c r="Q2094" s="322">
        <v>140000</v>
      </c>
      <c r="R2094" s="322">
        <v>49500</v>
      </c>
      <c r="S2094" s="322">
        <v>140000</v>
      </c>
      <c r="T2094" s="322">
        <v>140000</v>
      </c>
      <c r="U2094" s="322">
        <f t="shared" si="154"/>
        <v>0</v>
      </c>
      <c r="W2094" s="321">
        <f t="shared" si="155"/>
        <v>575</v>
      </c>
      <c r="X2094" s="321">
        <f t="shared" si="156"/>
        <v>812200</v>
      </c>
      <c r="Y2094" s="321">
        <v>1</v>
      </c>
      <c r="AA2094" s="321" t="s">
        <v>5832</v>
      </c>
    </row>
    <row r="2095" spans="13:27">
      <c r="M2095" s="321">
        <v>1812200720</v>
      </c>
      <c r="N2095" s="321">
        <v>81</v>
      </c>
      <c r="O2095" s="321" t="s">
        <v>5833</v>
      </c>
      <c r="P2095" s="321">
        <v>4812200</v>
      </c>
      <c r="Q2095" s="322">
        <v>350000</v>
      </c>
      <c r="R2095" s="322">
        <v>199700</v>
      </c>
      <c r="S2095" s="322">
        <v>1050000</v>
      </c>
      <c r="T2095" s="322">
        <v>1050000</v>
      </c>
      <c r="U2095" s="322">
        <f t="shared" si="154"/>
        <v>0</v>
      </c>
      <c r="W2095" s="321">
        <f t="shared" si="155"/>
        <v>720</v>
      </c>
      <c r="X2095" s="321">
        <f t="shared" si="156"/>
        <v>812200</v>
      </c>
      <c r="Y2095" s="321">
        <v>1</v>
      </c>
      <c r="AA2095" s="321" t="s">
        <v>5833</v>
      </c>
    </row>
    <row r="2096" spans="13:27">
      <c r="M2096" s="321">
        <v>1812200722</v>
      </c>
      <c r="N2096" s="321">
        <v>81</v>
      </c>
      <c r="O2096" s="321" t="s">
        <v>5834</v>
      </c>
      <c r="P2096" s="321">
        <v>4812200</v>
      </c>
      <c r="Q2096" s="322">
        <v>30000</v>
      </c>
      <c r="R2096" s="322">
        <v>8100</v>
      </c>
      <c r="S2096" s="322">
        <v>30000</v>
      </c>
      <c r="T2096" s="322">
        <v>30000</v>
      </c>
      <c r="U2096" s="322">
        <f t="shared" si="154"/>
        <v>0</v>
      </c>
      <c r="W2096" s="321">
        <f t="shared" si="155"/>
        <v>722</v>
      </c>
      <c r="X2096" s="321">
        <f t="shared" si="156"/>
        <v>812200</v>
      </c>
      <c r="Y2096" s="321">
        <v>1</v>
      </c>
      <c r="AA2096" s="321" t="s">
        <v>5834</v>
      </c>
    </row>
    <row r="2097" spans="13:27">
      <c r="M2097" s="321">
        <v>1812200740</v>
      </c>
      <c r="N2097" s="321">
        <v>81</v>
      </c>
      <c r="O2097" s="321" t="s">
        <v>5264</v>
      </c>
      <c r="P2097" s="321">
        <v>4812200</v>
      </c>
      <c r="Q2097" s="322">
        <v>100000</v>
      </c>
      <c r="R2097" s="322">
        <v>52000</v>
      </c>
      <c r="S2097" s="322">
        <v>300000</v>
      </c>
      <c r="T2097" s="322">
        <v>300000</v>
      </c>
      <c r="U2097" s="322">
        <f t="shared" si="154"/>
        <v>0</v>
      </c>
      <c r="W2097" s="321">
        <f t="shared" si="155"/>
        <v>740</v>
      </c>
      <c r="X2097" s="321">
        <f t="shared" si="156"/>
        <v>812200</v>
      </c>
      <c r="Y2097" s="321">
        <v>1</v>
      </c>
      <c r="AA2097" s="321" t="s">
        <v>5264</v>
      </c>
    </row>
    <row r="2098" spans="13:27">
      <c r="M2098" s="321">
        <v>1812200742</v>
      </c>
      <c r="N2098" s="321">
        <v>81</v>
      </c>
      <c r="O2098" s="321" t="s">
        <v>5835</v>
      </c>
      <c r="P2098" s="321">
        <v>4812200</v>
      </c>
      <c r="Q2098" s="322">
        <v>70000</v>
      </c>
      <c r="R2098" s="322">
        <v>49900</v>
      </c>
      <c r="S2098" s="322">
        <v>70000</v>
      </c>
      <c r="T2098" s="322">
        <v>70000</v>
      </c>
      <c r="U2098" s="322">
        <f t="shared" si="154"/>
        <v>0</v>
      </c>
      <c r="W2098" s="321">
        <f t="shared" si="155"/>
        <v>742</v>
      </c>
      <c r="X2098" s="321">
        <f t="shared" si="156"/>
        <v>812200</v>
      </c>
      <c r="Y2098" s="321">
        <v>1</v>
      </c>
      <c r="AA2098" s="321" t="s">
        <v>5835</v>
      </c>
    </row>
    <row r="2099" spans="13:27">
      <c r="M2099" s="321">
        <v>1812200750</v>
      </c>
      <c r="N2099" s="321">
        <v>81</v>
      </c>
      <c r="O2099" s="321" t="s">
        <v>2707</v>
      </c>
      <c r="P2099" s="321">
        <v>4812200</v>
      </c>
      <c r="Q2099" s="322">
        <v>380000</v>
      </c>
      <c r="R2099" s="322">
        <v>170000</v>
      </c>
      <c r="S2099" s="322">
        <v>900000</v>
      </c>
      <c r="T2099" s="322">
        <v>800000</v>
      </c>
      <c r="U2099" s="322">
        <f t="shared" si="154"/>
        <v>100000</v>
      </c>
      <c r="W2099" s="321">
        <f t="shared" si="155"/>
        <v>750</v>
      </c>
      <c r="X2099" s="321">
        <f t="shared" si="156"/>
        <v>812200</v>
      </c>
      <c r="Y2099" s="321">
        <v>1</v>
      </c>
      <c r="AA2099" s="321" t="s">
        <v>2707</v>
      </c>
    </row>
    <row r="2100" spans="13:27">
      <c r="M2100" s="321">
        <v>1812200771</v>
      </c>
      <c r="N2100" s="321">
        <v>81</v>
      </c>
      <c r="O2100" s="321" t="s">
        <v>5836</v>
      </c>
      <c r="P2100" s="321">
        <v>4812200</v>
      </c>
      <c r="Q2100" s="322">
        <v>800000</v>
      </c>
      <c r="R2100" s="322">
        <v>525500</v>
      </c>
      <c r="S2100" s="322">
        <v>750000</v>
      </c>
      <c r="T2100" s="322">
        <v>750000</v>
      </c>
      <c r="U2100" s="322">
        <f t="shared" si="154"/>
        <v>0</v>
      </c>
      <c r="W2100" s="321">
        <f t="shared" si="155"/>
        <v>771</v>
      </c>
      <c r="X2100" s="321">
        <f t="shared" si="156"/>
        <v>812200</v>
      </c>
      <c r="Y2100" s="321">
        <v>1</v>
      </c>
      <c r="AA2100" s="321" t="s">
        <v>5836</v>
      </c>
    </row>
    <row r="2101" spans="13:27">
      <c r="M2101" s="321">
        <v>1812200772</v>
      </c>
      <c r="N2101" s="321">
        <v>81</v>
      </c>
      <c r="O2101" s="321" t="s">
        <v>5837</v>
      </c>
      <c r="P2101" s="321">
        <v>4812200</v>
      </c>
      <c r="Q2101" s="322">
        <v>1100000</v>
      </c>
      <c r="R2101" s="322">
        <v>421500</v>
      </c>
      <c r="S2101" s="322">
        <v>1000000</v>
      </c>
      <c r="T2101" s="322">
        <v>1000000</v>
      </c>
      <c r="U2101" s="322">
        <f t="shared" si="154"/>
        <v>0</v>
      </c>
      <c r="W2101" s="321">
        <f t="shared" si="155"/>
        <v>772</v>
      </c>
      <c r="X2101" s="321">
        <f t="shared" si="156"/>
        <v>812200</v>
      </c>
      <c r="Y2101" s="321">
        <v>1</v>
      </c>
      <c r="AA2101" s="321" t="s">
        <v>5837</v>
      </c>
    </row>
    <row r="2102" spans="13:27">
      <c r="M2102" s="321">
        <v>1812200930</v>
      </c>
      <c r="N2102" s="321">
        <v>81</v>
      </c>
      <c r="O2102" s="321" t="s">
        <v>5838</v>
      </c>
      <c r="P2102" s="321">
        <v>4812200</v>
      </c>
      <c r="Q2102" s="322">
        <v>60000</v>
      </c>
      <c r="R2102" s="322">
        <v>56900</v>
      </c>
      <c r="S2102" s="322">
        <v>100000</v>
      </c>
      <c r="T2102" s="322">
        <v>60000</v>
      </c>
      <c r="U2102" s="322">
        <f t="shared" si="154"/>
        <v>40000</v>
      </c>
      <c r="W2102" s="321">
        <f t="shared" si="155"/>
        <v>930</v>
      </c>
      <c r="X2102" s="321">
        <f t="shared" si="156"/>
        <v>812200</v>
      </c>
      <c r="Y2102" s="321">
        <v>1</v>
      </c>
      <c r="AA2102" s="321" t="s">
        <v>5838</v>
      </c>
    </row>
    <row r="2103" spans="13:27">
      <c r="M2103" s="321">
        <v>1812201110</v>
      </c>
      <c r="N2103" s="321">
        <v>81</v>
      </c>
      <c r="O2103" s="321" t="s">
        <v>5205</v>
      </c>
      <c r="P2103" s="321">
        <v>4812200</v>
      </c>
      <c r="Q2103" s="322">
        <v>5577000</v>
      </c>
      <c r="R2103" s="322">
        <v>4300300</v>
      </c>
      <c r="S2103" s="322">
        <v>5977000</v>
      </c>
      <c r="T2103" s="322">
        <v>5977000</v>
      </c>
      <c r="U2103" s="322">
        <f t="shared" si="154"/>
        <v>0</v>
      </c>
      <c r="W2103" s="321">
        <f t="shared" si="155"/>
        <v>110</v>
      </c>
      <c r="X2103" s="321">
        <f t="shared" si="156"/>
        <v>812201</v>
      </c>
      <c r="Y2103" s="321">
        <v>1</v>
      </c>
      <c r="AA2103" s="321" t="s">
        <v>5205</v>
      </c>
    </row>
    <row r="2104" spans="13:27">
      <c r="M2104" s="321">
        <v>1812201120</v>
      </c>
      <c r="N2104" s="321">
        <v>81</v>
      </c>
      <c r="O2104" s="321" t="s">
        <v>5206</v>
      </c>
      <c r="P2104" s="321">
        <v>4812200</v>
      </c>
      <c r="Q2104" s="322">
        <v>435000</v>
      </c>
      <c r="R2104" s="322">
        <v>504100</v>
      </c>
      <c r="S2104" s="322">
        <v>515000</v>
      </c>
      <c r="T2104" s="322">
        <v>515000</v>
      </c>
      <c r="U2104" s="322">
        <f t="shared" si="154"/>
        <v>0</v>
      </c>
      <c r="W2104" s="321">
        <f t="shared" si="155"/>
        <v>120</v>
      </c>
      <c r="X2104" s="321">
        <f t="shared" si="156"/>
        <v>812201</v>
      </c>
      <c r="Y2104" s="321">
        <v>1</v>
      </c>
      <c r="AA2104" s="321" t="s">
        <v>5206</v>
      </c>
    </row>
    <row r="2105" spans="13:27">
      <c r="M2105" s="321">
        <v>1812201130</v>
      </c>
      <c r="N2105" s="321">
        <v>81</v>
      </c>
      <c r="O2105" s="321" t="s">
        <v>2576</v>
      </c>
      <c r="P2105" s="321">
        <v>4812200</v>
      </c>
      <c r="Q2105" s="322">
        <v>13000</v>
      </c>
      <c r="R2105" s="322">
        <v>37900</v>
      </c>
      <c r="S2105" s="322">
        <v>508000</v>
      </c>
      <c r="T2105" s="322">
        <v>206000</v>
      </c>
      <c r="U2105" s="322">
        <f t="shared" si="154"/>
        <v>302000</v>
      </c>
      <c r="W2105" s="321">
        <f t="shared" si="155"/>
        <v>130</v>
      </c>
      <c r="X2105" s="321">
        <f t="shared" si="156"/>
        <v>812201</v>
      </c>
      <c r="Y2105" s="321">
        <v>1</v>
      </c>
      <c r="AA2105" s="321" t="s">
        <v>2576</v>
      </c>
    </row>
    <row r="2106" spans="13:27">
      <c r="M2106" s="321">
        <v>1812201141</v>
      </c>
      <c r="N2106" s="321">
        <v>81</v>
      </c>
      <c r="O2106" s="321" t="s">
        <v>5208</v>
      </c>
      <c r="P2106" s="321">
        <v>4812200</v>
      </c>
      <c r="Q2106" s="322">
        <v>243000</v>
      </c>
      <c r="R2106" s="322">
        <v>217800</v>
      </c>
      <c r="S2106" s="322">
        <v>302000</v>
      </c>
      <c r="T2106" s="322">
        <v>302000</v>
      </c>
      <c r="U2106" s="322">
        <f t="shared" si="154"/>
        <v>0</v>
      </c>
      <c r="W2106" s="321">
        <f t="shared" si="155"/>
        <v>141</v>
      </c>
      <c r="X2106" s="321">
        <f t="shared" si="156"/>
        <v>812201</v>
      </c>
      <c r="Y2106" s="321">
        <v>1</v>
      </c>
      <c r="AA2106" s="321" t="s">
        <v>5208</v>
      </c>
    </row>
    <row r="2107" spans="13:27">
      <c r="M2107" s="321">
        <v>1812201181</v>
      </c>
      <c r="N2107" s="321">
        <v>81</v>
      </c>
      <c r="O2107" s="321" t="s">
        <v>2580</v>
      </c>
      <c r="P2107" s="321">
        <v>4812200</v>
      </c>
      <c r="Q2107" s="322">
        <v>1404000</v>
      </c>
      <c r="R2107" s="322">
        <v>1122800</v>
      </c>
      <c r="S2107" s="322">
        <v>1523000</v>
      </c>
      <c r="T2107" s="322">
        <v>1523000</v>
      </c>
      <c r="U2107" s="322">
        <f t="shared" si="154"/>
        <v>0</v>
      </c>
      <c r="W2107" s="321">
        <f t="shared" si="155"/>
        <v>181</v>
      </c>
      <c r="X2107" s="321">
        <f t="shared" si="156"/>
        <v>812201</v>
      </c>
      <c r="Y2107" s="321">
        <v>1</v>
      </c>
      <c r="AA2107" s="321" t="s">
        <v>2580</v>
      </c>
    </row>
    <row r="2108" spans="13:27">
      <c r="M2108" s="321">
        <v>1812201182</v>
      </c>
      <c r="N2108" s="321">
        <v>81</v>
      </c>
      <c r="O2108" s="321" t="s">
        <v>2582</v>
      </c>
      <c r="P2108" s="321">
        <v>4812200</v>
      </c>
      <c r="Q2108" s="322">
        <v>761000</v>
      </c>
      <c r="R2108" s="322">
        <v>588400</v>
      </c>
      <c r="S2108" s="322">
        <v>934000</v>
      </c>
      <c r="T2108" s="322">
        <v>934000</v>
      </c>
      <c r="U2108" s="322">
        <f t="shared" si="154"/>
        <v>0</v>
      </c>
      <c r="W2108" s="321">
        <f t="shared" si="155"/>
        <v>182</v>
      </c>
      <c r="X2108" s="321">
        <f t="shared" si="156"/>
        <v>812201</v>
      </c>
      <c r="Y2108" s="321">
        <v>1</v>
      </c>
      <c r="AA2108" s="321" t="s">
        <v>2582</v>
      </c>
    </row>
    <row r="2109" spans="13:27">
      <c r="M2109" s="321">
        <v>1812300110</v>
      </c>
      <c r="N2109" s="321">
        <v>81</v>
      </c>
      <c r="O2109" s="321" t="s">
        <v>5205</v>
      </c>
      <c r="P2109" s="321">
        <v>4812300</v>
      </c>
      <c r="Q2109" s="322">
        <v>6581000</v>
      </c>
      <c r="R2109" s="322">
        <v>4358900</v>
      </c>
      <c r="S2109" s="322">
        <v>11130000</v>
      </c>
      <c r="T2109" s="322">
        <v>10255000</v>
      </c>
      <c r="U2109" s="322">
        <f t="shared" si="154"/>
        <v>875000</v>
      </c>
      <c r="W2109" s="321">
        <f t="shared" si="155"/>
        <v>110</v>
      </c>
      <c r="X2109" s="321">
        <f t="shared" si="156"/>
        <v>812300</v>
      </c>
      <c r="Y2109" s="321">
        <v>1</v>
      </c>
      <c r="AA2109" s="321" t="s">
        <v>5205</v>
      </c>
    </row>
    <row r="2110" spans="13:27">
      <c r="M2110" s="321">
        <v>1812300120</v>
      </c>
      <c r="N2110" s="321">
        <v>81</v>
      </c>
      <c r="O2110" s="321" t="s">
        <v>5206</v>
      </c>
      <c r="P2110" s="321">
        <v>4812300</v>
      </c>
      <c r="Q2110" s="322">
        <v>621000</v>
      </c>
      <c r="R2110" s="322">
        <v>541700</v>
      </c>
      <c r="S2110" s="322">
        <v>555000</v>
      </c>
      <c r="T2110" s="322">
        <v>555000</v>
      </c>
      <c r="U2110" s="322">
        <f t="shared" si="154"/>
        <v>0</v>
      </c>
      <c r="W2110" s="321">
        <f t="shared" si="155"/>
        <v>120</v>
      </c>
      <c r="X2110" s="321">
        <f t="shared" si="156"/>
        <v>812300</v>
      </c>
      <c r="Y2110" s="321">
        <v>1</v>
      </c>
      <c r="AA2110" s="321" t="s">
        <v>5206</v>
      </c>
    </row>
    <row r="2111" spans="13:27">
      <c r="M2111" s="321">
        <v>1812300130</v>
      </c>
      <c r="N2111" s="321">
        <v>81</v>
      </c>
      <c r="O2111" s="321" t="s">
        <v>2576</v>
      </c>
      <c r="P2111" s="321">
        <v>4812300</v>
      </c>
      <c r="Q2111" s="322">
        <v>57000</v>
      </c>
      <c r="R2111" s="322">
        <v>32400</v>
      </c>
      <c r="S2111" s="322">
        <v>84000</v>
      </c>
      <c r="T2111" s="322">
        <v>75600</v>
      </c>
      <c r="U2111" s="322">
        <f t="shared" si="154"/>
        <v>8400</v>
      </c>
      <c r="W2111" s="321">
        <f t="shared" si="155"/>
        <v>130</v>
      </c>
      <c r="X2111" s="321">
        <f t="shared" si="156"/>
        <v>812300</v>
      </c>
      <c r="Y2111" s="321">
        <v>1</v>
      </c>
      <c r="AA2111" s="321" t="s">
        <v>2576</v>
      </c>
    </row>
    <row r="2112" spans="13:27">
      <c r="M2112" s="321">
        <v>1812300140</v>
      </c>
      <c r="N2112" s="321">
        <v>81</v>
      </c>
      <c r="O2112" s="321" t="s">
        <v>5207</v>
      </c>
      <c r="P2112" s="321">
        <v>4812300</v>
      </c>
      <c r="Q2112" s="322">
        <v>20000</v>
      </c>
      <c r="R2112" s="322">
        <v>13900</v>
      </c>
      <c r="S2112" s="322">
        <v>18000</v>
      </c>
      <c r="T2112" s="322">
        <v>18000</v>
      </c>
      <c r="U2112" s="322">
        <f t="shared" si="154"/>
        <v>0</v>
      </c>
      <c r="W2112" s="321">
        <f t="shared" si="155"/>
        <v>140</v>
      </c>
      <c r="X2112" s="321">
        <f t="shared" si="156"/>
        <v>812300</v>
      </c>
      <c r="Y2112" s="321">
        <v>1</v>
      </c>
      <c r="AA2112" s="321" t="s">
        <v>5207</v>
      </c>
    </row>
    <row r="2113" spans="13:27">
      <c r="M2113" s="321">
        <v>1812300141</v>
      </c>
      <c r="N2113" s="321">
        <v>81</v>
      </c>
      <c r="O2113" s="321" t="s">
        <v>5208</v>
      </c>
      <c r="P2113" s="321">
        <v>4812300</v>
      </c>
      <c r="Q2113" s="322">
        <v>325000</v>
      </c>
      <c r="R2113" s="322">
        <v>233200</v>
      </c>
      <c r="S2113" s="322">
        <v>445000</v>
      </c>
      <c r="T2113" s="322">
        <v>423000</v>
      </c>
      <c r="U2113" s="322">
        <f t="shared" si="154"/>
        <v>22000</v>
      </c>
      <c r="W2113" s="321">
        <f t="shared" si="155"/>
        <v>141</v>
      </c>
      <c r="X2113" s="321">
        <f t="shared" si="156"/>
        <v>812300</v>
      </c>
      <c r="Y2113" s="321">
        <v>1</v>
      </c>
      <c r="AA2113" s="321" t="s">
        <v>5208</v>
      </c>
    </row>
    <row r="2114" spans="13:27">
      <c r="M2114" s="321">
        <v>1812300181</v>
      </c>
      <c r="N2114" s="321">
        <v>81</v>
      </c>
      <c r="O2114" s="321" t="s">
        <v>2580</v>
      </c>
      <c r="P2114" s="321">
        <v>4812300</v>
      </c>
      <c r="Q2114" s="322">
        <v>871000</v>
      </c>
      <c r="R2114" s="322">
        <v>603100</v>
      </c>
      <c r="S2114" s="322">
        <v>2020000</v>
      </c>
      <c r="T2114" s="322">
        <v>1816000</v>
      </c>
      <c r="U2114" s="322">
        <f t="shared" ref="U2114:U2177" si="157">S2114-T2114</f>
        <v>204000</v>
      </c>
      <c r="W2114" s="321">
        <f t="shared" si="155"/>
        <v>181</v>
      </c>
      <c r="X2114" s="321">
        <f t="shared" si="156"/>
        <v>812300</v>
      </c>
      <c r="Y2114" s="321">
        <v>1</v>
      </c>
      <c r="AA2114" s="321" t="s">
        <v>2580</v>
      </c>
    </row>
    <row r="2115" spans="13:27">
      <c r="M2115" s="321">
        <v>1812300182</v>
      </c>
      <c r="N2115" s="321">
        <v>81</v>
      </c>
      <c r="O2115" s="321" t="s">
        <v>2582</v>
      </c>
      <c r="P2115" s="321">
        <v>4812300</v>
      </c>
      <c r="Q2115" s="322">
        <v>943000</v>
      </c>
      <c r="R2115" s="322">
        <v>617600</v>
      </c>
      <c r="S2115" s="322">
        <v>1482000</v>
      </c>
      <c r="T2115" s="322">
        <v>1382000</v>
      </c>
      <c r="U2115" s="322">
        <f t="shared" si="157"/>
        <v>100000</v>
      </c>
      <c r="W2115" s="321">
        <f t="shared" ref="W2115:W2178" si="158">M2115-1000000000-X2115*1000</f>
        <v>182</v>
      </c>
      <c r="X2115" s="321">
        <f t="shared" ref="X2115:X2178" si="159">ROUNDDOWN((M2115-1000000000)/1000,0)</f>
        <v>812300</v>
      </c>
      <c r="Y2115" s="321">
        <v>1</v>
      </c>
      <c r="AA2115" s="321" t="s">
        <v>2582</v>
      </c>
    </row>
    <row r="2116" spans="13:27">
      <c r="M2116" s="321">
        <v>1812300410</v>
      </c>
      <c r="N2116" s="321">
        <v>81</v>
      </c>
      <c r="O2116" s="321" t="s">
        <v>5839</v>
      </c>
      <c r="P2116" s="321">
        <v>4812300</v>
      </c>
      <c r="Q2116" s="322">
        <v>0</v>
      </c>
      <c r="R2116" s="322">
        <v>0</v>
      </c>
      <c r="S2116" s="322">
        <v>0</v>
      </c>
      <c r="T2116" s="322">
        <v>0</v>
      </c>
      <c r="U2116" s="322">
        <f t="shared" si="157"/>
        <v>0</v>
      </c>
      <c r="W2116" s="321">
        <f t="shared" si="158"/>
        <v>410</v>
      </c>
      <c r="X2116" s="321">
        <f t="shared" si="159"/>
        <v>812300</v>
      </c>
      <c r="Y2116" s="321">
        <v>1</v>
      </c>
      <c r="AA2116" s="321" t="s">
        <v>5839</v>
      </c>
    </row>
    <row r="2117" spans="13:27">
      <c r="M2117" s="321">
        <v>1812300433</v>
      </c>
      <c r="N2117" s="321">
        <v>81</v>
      </c>
      <c r="O2117" s="321" t="s">
        <v>2655</v>
      </c>
      <c r="P2117" s="321">
        <v>4812300</v>
      </c>
      <c r="Q2117" s="322">
        <v>105000</v>
      </c>
      <c r="R2117" s="322">
        <v>81300</v>
      </c>
      <c r="S2117" s="322">
        <v>0</v>
      </c>
      <c r="T2117" s="322">
        <v>0</v>
      </c>
      <c r="U2117" s="322">
        <f t="shared" si="157"/>
        <v>0</v>
      </c>
      <c r="W2117" s="321">
        <f t="shared" si="158"/>
        <v>433</v>
      </c>
      <c r="X2117" s="321">
        <f t="shared" si="159"/>
        <v>812300</v>
      </c>
      <c r="Y2117" s="321">
        <v>1</v>
      </c>
      <c r="AA2117" s="321" t="s">
        <v>2655</v>
      </c>
    </row>
    <row r="2118" spans="13:27">
      <c r="M2118" s="321">
        <v>1812300720</v>
      </c>
      <c r="N2118" s="321">
        <v>81</v>
      </c>
      <c r="O2118" s="321" t="s">
        <v>2705</v>
      </c>
      <c r="P2118" s="321">
        <v>4812300</v>
      </c>
      <c r="Q2118" s="322">
        <v>590000</v>
      </c>
      <c r="R2118" s="322">
        <v>267900</v>
      </c>
      <c r="S2118" s="322">
        <v>0</v>
      </c>
      <c r="T2118" s="322">
        <v>0</v>
      </c>
      <c r="U2118" s="322">
        <f t="shared" si="157"/>
        <v>0</v>
      </c>
      <c r="W2118" s="321">
        <f t="shared" si="158"/>
        <v>720</v>
      </c>
      <c r="X2118" s="321">
        <f t="shared" si="159"/>
        <v>812300</v>
      </c>
      <c r="Y2118" s="321">
        <v>1</v>
      </c>
      <c r="AA2118" s="321" t="s">
        <v>2705</v>
      </c>
    </row>
    <row r="2119" spans="13:27">
      <c r="M2119" s="321">
        <v>1812300740</v>
      </c>
      <c r="N2119" s="321">
        <v>81</v>
      </c>
      <c r="O2119" s="321" t="s">
        <v>5264</v>
      </c>
      <c r="P2119" s="321">
        <v>4812300</v>
      </c>
      <c r="Q2119" s="322">
        <v>88000</v>
      </c>
      <c r="R2119" s="322">
        <v>44500</v>
      </c>
      <c r="S2119" s="322">
        <v>0</v>
      </c>
      <c r="T2119" s="322">
        <v>0</v>
      </c>
      <c r="U2119" s="322">
        <f t="shared" si="157"/>
        <v>0</v>
      </c>
      <c r="W2119" s="321">
        <f t="shared" si="158"/>
        <v>740</v>
      </c>
      <c r="X2119" s="321">
        <f t="shared" si="159"/>
        <v>812300</v>
      </c>
      <c r="Y2119" s="321">
        <v>1</v>
      </c>
      <c r="AA2119" s="321" t="s">
        <v>5264</v>
      </c>
    </row>
    <row r="2120" spans="13:27">
      <c r="M2120" s="321">
        <v>1812300742</v>
      </c>
      <c r="N2120" s="321">
        <v>81</v>
      </c>
      <c r="O2120" s="321" t="s">
        <v>5835</v>
      </c>
      <c r="P2120" s="321">
        <v>4812300</v>
      </c>
      <c r="Q2120" s="322">
        <v>30000</v>
      </c>
      <c r="R2120" s="322">
        <v>15000</v>
      </c>
      <c r="S2120" s="322">
        <v>30000</v>
      </c>
      <c r="T2120" s="322">
        <v>30000</v>
      </c>
      <c r="U2120" s="322">
        <f t="shared" si="157"/>
        <v>0</v>
      </c>
      <c r="W2120" s="321">
        <f t="shared" si="158"/>
        <v>742</v>
      </c>
      <c r="X2120" s="321">
        <f t="shared" si="159"/>
        <v>812300</v>
      </c>
      <c r="Y2120" s="321">
        <v>1</v>
      </c>
      <c r="AA2120" s="321" t="s">
        <v>5835</v>
      </c>
    </row>
    <row r="2121" spans="13:27">
      <c r="M2121" s="321">
        <v>1812300750</v>
      </c>
      <c r="N2121" s="321">
        <v>81</v>
      </c>
      <c r="O2121" s="321" t="s">
        <v>2707</v>
      </c>
      <c r="P2121" s="321">
        <v>4812300</v>
      </c>
      <c r="Q2121" s="322">
        <v>300000</v>
      </c>
      <c r="R2121" s="322">
        <v>221800</v>
      </c>
      <c r="S2121" s="322">
        <v>0</v>
      </c>
      <c r="T2121" s="322">
        <v>0</v>
      </c>
      <c r="U2121" s="322">
        <f t="shared" si="157"/>
        <v>0</v>
      </c>
      <c r="W2121" s="321">
        <f t="shared" si="158"/>
        <v>750</v>
      </c>
      <c r="X2121" s="321">
        <f t="shared" si="159"/>
        <v>812300</v>
      </c>
      <c r="Y2121" s="321">
        <v>1</v>
      </c>
      <c r="AA2121" s="321" t="s">
        <v>2707</v>
      </c>
    </row>
    <row r="2122" spans="13:27">
      <c r="M2122" s="321">
        <v>1812300765</v>
      </c>
      <c r="N2122" s="321">
        <v>81</v>
      </c>
      <c r="O2122" s="321" t="s">
        <v>5840</v>
      </c>
      <c r="P2122" s="321">
        <v>4812300</v>
      </c>
      <c r="Q2122" s="322">
        <v>20500000</v>
      </c>
      <c r="R2122" s="322">
        <v>15460800</v>
      </c>
      <c r="S2122" s="322">
        <v>25000000</v>
      </c>
      <c r="T2122" s="322">
        <v>22000000</v>
      </c>
      <c r="U2122" s="322">
        <f t="shared" si="157"/>
        <v>3000000</v>
      </c>
      <c r="W2122" s="321">
        <f t="shared" si="158"/>
        <v>765</v>
      </c>
      <c r="X2122" s="321">
        <f t="shared" si="159"/>
        <v>812300</v>
      </c>
      <c r="Y2122" s="321">
        <v>1</v>
      </c>
      <c r="AA2122" s="321" t="s">
        <v>5840</v>
      </c>
    </row>
    <row r="2123" spans="13:27">
      <c r="M2123" s="321">
        <v>1812300771</v>
      </c>
      <c r="N2123" s="321">
        <v>81</v>
      </c>
      <c r="O2123" s="321" t="s">
        <v>5841</v>
      </c>
      <c r="P2123" s="321">
        <v>4812300</v>
      </c>
      <c r="Q2123" s="322">
        <v>300000</v>
      </c>
      <c r="R2123" s="322">
        <v>190800</v>
      </c>
      <c r="S2123" s="322">
        <v>270000</v>
      </c>
      <c r="T2123" s="322">
        <v>270000</v>
      </c>
      <c r="U2123" s="322">
        <f t="shared" si="157"/>
        <v>0</v>
      </c>
      <c r="W2123" s="321">
        <f t="shared" si="158"/>
        <v>771</v>
      </c>
      <c r="X2123" s="321">
        <f t="shared" si="159"/>
        <v>812300</v>
      </c>
      <c r="Y2123" s="321">
        <v>1</v>
      </c>
      <c r="AA2123" s="321" t="s">
        <v>5841</v>
      </c>
    </row>
    <row r="2124" spans="13:27">
      <c r="M2124" s="321">
        <v>1812300930</v>
      </c>
      <c r="N2124" s="321">
        <v>81</v>
      </c>
      <c r="O2124" s="321" t="s">
        <v>5842</v>
      </c>
      <c r="P2124" s="321">
        <v>4812300</v>
      </c>
      <c r="Q2124" s="322">
        <v>70000</v>
      </c>
      <c r="R2124" s="322">
        <v>33100</v>
      </c>
      <c r="S2124" s="322">
        <v>100000</v>
      </c>
      <c r="T2124" s="322">
        <v>70000</v>
      </c>
      <c r="U2124" s="322">
        <f t="shared" si="157"/>
        <v>30000</v>
      </c>
      <c r="W2124" s="321">
        <f t="shared" si="158"/>
        <v>930</v>
      </c>
      <c r="X2124" s="321">
        <f t="shared" si="159"/>
        <v>812300</v>
      </c>
      <c r="Y2124" s="321">
        <v>1</v>
      </c>
      <c r="AA2124" s="321" t="s">
        <v>5842</v>
      </c>
    </row>
    <row r="2125" spans="13:27">
      <c r="M2125" s="321">
        <v>1812500750</v>
      </c>
      <c r="N2125" s="321">
        <v>81</v>
      </c>
      <c r="O2125" s="321" t="s">
        <v>5843</v>
      </c>
      <c r="P2125" s="321">
        <v>4812500</v>
      </c>
      <c r="Q2125" s="322">
        <v>0</v>
      </c>
      <c r="R2125" s="322">
        <v>0</v>
      </c>
      <c r="S2125" s="322">
        <v>0</v>
      </c>
      <c r="T2125" s="322">
        <v>0</v>
      </c>
      <c r="U2125" s="322">
        <f t="shared" si="157"/>
        <v>0</v>
      </c>
      <c r="W2125" s="321">
        <f t="shared" si="158"/>
        <v>750</v>
      </c>
      <c r="X2125" s="321">
        <f t="shared" si="159"/>
        <v>812500</v>
      </c>
      <c r="Y2125" s="321">
        <v>1</v>
      </c>
      <c r="AA2125" s="321" t="s">
        <v>5843</v>
      </c>
    </row>
    <row r="2126" spans="13:27">
      <c r="M2126" s="321">
        <v>1812500760</v>
      </c>
      <c r="N2126" s="321">
        <v>81</v>
      </c>
      <c r="O2126" s="321" t="s">
        <v>5844</v>
      </c>
      <c r="P2126" s="321">
        <v>4812500</v>
      </c>
      <c r="Q2126" s="322">
        <v>20000000</v>
      </c>
      <c r="R2126" s="322">
        <v>11051900</v>
      </c>
      <c r="S2126" s="322">
        <v>19600000</v>
      </c>
      <c r="T2126" s="322">
        <v>19600000</v>
      </c>
      <c r="U2126" s="322">
        <f t="shared" si="157"/>
        <v>0</v>
      </c>
      <c r="W2126" s="321">
        <f t="shared" si="158"/>
        <v>760</v>
      </c>
      <c r="X2126" s="321">
        <f t="shared" si="159"/>
        <v>812500</v>
      </c>
      <c r="Y2126" s="321">
        <v>1</v>
      </c>
      <c r="AA2126" s="321" t="s">
        <v>5844</v>
      </c>
    </row>
    <row r="2127" spans="13:27">
      <c r="M2127" s="321">
        <v>1812501760</v>
      </c>
      <c r="N2127" s="321">
        <v>81</v>
      </c>
      <c r="O2127" s="321" t="s">
        <v>4904</v>
      </c>
      <c r="P2127" s="321">
        <v>4812500</v>
      </c>
      <c r="Q2127" s="322">
        <v>350000</v>
      </c>
      <c r="R2127" s="322">
        <v>270900</v>
      </c>
      <c r="S2127" s="322">
        <v>380000</v>
      </c>
      <c r="T2127" s="322">
        <v>380000</v>
      </c>
      <c r="U2127" s="322">
        <f t="shared" si="157"/>
        <v>0</v>
      </c>
      <c r="W2127" s="321">
        <f t="shared" si="158"/>
        <v>760</v>
      </c>
      <c r="X2127" s="321">
        <f t="shared" si="159"/>
        <v>812501</v>
      </c>
      <c r="Y2127" s="321">
        <v>1</v>
      </c>
      <c r="AA2127" s="321" t="s">
        <v>4904</v>
      </c>
    </row>
    <row r="2128" spans="13:27">
      <c r="M2128" s="321">
        <v>1812600433</v>
      </c>
      <c r="N2128" s="321">
        <v>81</v>
      </c>
      <c r="O2128" s="321" t="s">
        <v>5845</v>
      </c>
      <c r="P2128" s="321">
        <v>4812100</v>
      </c>
      <c r="Q2128" s="322">
        <v>40000</v>
      </c>
      <c r="R2128" s="322">
        <v>29600</v>
      </c>
      <c r="S2128" s="322">
        <v>0</v>
      </c>
      <c r="T2128" s="322">
        <v>0</v>
      </c>
      <c r="U2128" s="322">
        <f t="shared" si="157"/>
        <v>0</v>
      </c>
      <c r="W2128" s="321">
        <f t="shared" si="158"/>
        <v>433</v>
      </c>
      <c r="X2128" s="321">
        <f t="shared" si="159"/>
        <v>812600</v>
      </c>
      <c r="Y2128" s="321">
        <v>1</v>
      </c>
      <c r="AA2128" s="321" t="s">
        <v>5845</v>
      </c>
    </row>
    <row r="2129" spans="13:27">
      <c r="M2129" s="321">
        <v>1812600720</v>
      </c>
      <c r="N2129" s="321">
        <v>81</v>
      </c>
      <c r="O2129" s="321" t="s">
        <v>5846</v>
      </c>
      <c r="P2129" s="321">
        <v>4812100</v>
      </c>
      <c r="Q2129" s="322">
        <v>71000</v>
      </c>
      <c r="R2129" s="322">
        <v>35500</v>
      </c>
      <c r="S2129" s="322">
        <v>0</v>
      </c>
      <c r="T2129" s="322">
        <v>0</v>
      </c>
      <c r="U2129" s="322">
        <f t="shared" si="157"/>
        <v>0</v>
      </c>
      <c r="W2129" s="321">
        <f t="shared" si="158"/>
        <v>720</v>
      </c>
      <c r="X2129" s="321">
        <f t="shared" si="159"/>
        <v>812600</v>
      </c>
      <c r="Y2129" s="321">
        <v>1</v>
      </c>
      <c r="AA2129" s="321" t="s">
        <v>5846</v>
      </c>
    </row>
    <row r="2130" spans="13:27">
      <c r="M2130" s="321">
        <v>1812600740</v>
      </c>
      <c r="N2130" s="321">
        <v>81</v>
      </c>
      <c r="O2130" s="321" t="s">
        <v>5264</v>
      </c>
      <c r="P2130" s="321">
        <v>4812100</v>
      </c>
      <c r="Q2130" s="322">
        <v>35000</v>
      </c>
      <c r="R2130" s="322">
        <v>12300</v>
      </c>
      <c r="S2130" s="322">
        <v>0</v>
      </c>
      <c r="T2130" s="322">
        <v>0</v>
      </c>
      <c r="U2130" s="322">
        <f t="shared" si="157"/>
        <v>0</v>
      </c>
      <c r="W2130" s="321">
        <f t="shared" si="158"/>
        <v>740</v>
      </c>
      <c r="X2130" s="321">
        <f t="shared" si="159"/>
        <v>812600</v>
      </c>
      <c r="Y2130" s="321">
        <v>1</v>
      </c>
      <c r="AA2130" s="321" t="s">
        <v>5264</v>
      </c>
    </row>
    <row r="2131" spans="13:27">
      <c r="M2131" s="321">
        <v>1812600742</v>
      </c>
      <c r="N2131" s="321">
        <v>81</v>
      </c>
      <c r="O2131" s="321" t="s">
        <v>5847</v>
      </c>
      <c r="P2131" s="321">
        <v>4812100</v>
      </c>
      <c r="Q2131" s="322">
        <v>25000</v>
      </c>
      <c r="R2131" s="322">
        <v>9100</v>
      </c>
      <c r="S2131" s="322">
        <v>0</v>
      </c>
      <c r="T2131" s="322">
        <v>0</v>
      </c>
      <c r="U2131" s="322">
        <f t="shared" si="157"/>
        <v>0</v>
      </c>
      <c r="W2131" s="321">
        <f t="shared" si="158"/>
        <v>742</v>
      </c>
      <c r="X2131" s="321">
        <f t="shared" si="159"/>
        <v>812600</v>
      </c>
      <c r="Y2131" s="321">
        <v>1</v>
      </c>
      <c r="AA2131" s="321" t="s">
        <v>5847</v>
      </c>
    </row>
    <row r="2132" spans="13:27">
      <c r="M2132" s="321">
        <v>1812600750</v>
      </c>
      <c r="N2132" s="321">
        <v>81</v>
      </c>
      <c r="O2132" s="321" t="s">
        <v>5848</v>
      </c>
      <c r="P2132" s="321">
        <v>4812100</v>
      </c>
      <c r="Q2132" s="322">
        <v>120000</v>
      </c>
      <c r="R2132" s="322">
        <v>3800</v>
      </c>
      <c r="S2132" s="322">
        <v>0</v>
      </c>
      <c r="T2132" s="322">
        <v>0</v>
      </c>
      <c r="U2132" s="322">
        <f t="shared" si="157"/>
        <v>0</v>
      </c>
      <c r="W2132" s="321">
        <f t="shared" si="158"/>
        <v>750</v>
      </c>
      <c r="X2132" s="321">
        <f t="shared" si="159"/>
        <v>812600</v>
      </c>
      <c r="Y2132" s="321">
        <v>1</v>
      </c>
      <c r="AA2132" s="321" t="s">
        <v>5848</v>
      </c>
    </row>
    <row r="2133" spans="13:27">
      <c r="M2133" s="321">
        <v>1812800760</v>
      </c>
      <c r="N2133" s="321">
        <v>81</v>
      </c>
      <c r="O2133" s="321" t="s">
        <v>5849</v>
      </c>
      <c r="P2133" s="321">
        <v>4812800</v>
      </c>
      <c r="Q2133" s="322">
        <v>0</v>
      </c>
      <c r="R2133" s="322">
        <v>0</v>
      </c>
      <c r="S2133" s="322">
        <v>0</v>
      </c>
      <c r="T2133" s="322">
        <v>0</v>
      </c>
      <c r="U2133" s="322">
        <f t="shared" si="157"/>
        <v>0</v>
      </c>
      <c r="W2133" s="321">
        <f t="shared" si="158"/>
        <v>760</v>
      </c>
      <c r="X2133" s="321">
        <f t="shared" si="159"/>
        <v>812800</v>
      </c>
      <c r="Y2133" s="321">
        <v>1</v>
      </c>
      <c r="AA2133" s="321" t="s">
        <v>5849</v>
      </c>
    </row>
    <row r="2134" spans="13:27">
      <c r="M2134" s="321">
        <v>1813100110</v>
      </c>
      <c r="N2134" s="321">
        <v>81</v>
      </c>
      <c r="O2134" s="321" t="s">
        <v>5205</v>
      </c>
      <c r="P2134" s="321">
        <v>4813100</v>
      </c>
      <c r="Q2134" s="322">
        <v>557000</v>
      </c>
      <c r="R2134" s="322">
        <v>441800</v>
      </c>
      <c r="S2134" s="322">
        <v>602000</v>
      </c>
      <c r="T2134" s="322">
        <v>602000</v>
      </c>
      <c r="U2134" s="322">
        <f t="shared" si="157"/>
        <v>0</v>
      </c>
      <c r="W2134" s="321">
        <f t="shared" si="158"/>
        <v>110</v>
      </c>
      <c r="X2134" s="321">
        <f t="shared" si="159"/>
        <v>813100</v>
      </c>
      <c r="Y2134" s="321">
        <v>1</v>
      </c>
      <c r="AA2134" s="321" t="s">
        <v>5205</v>
      </c>
    </row>
    <row r="2135" spans="13:27">
      <c r="M2135" s="321">
        <v>1813100120</v>
      </c>
      <c r="N2135" s="321">
        <v>81</v>
      </c>
      <c r="O2135" s="321" t="s">
        <v>5206</v>
      </c>
      <c r="P2135" s="321">
        <v>4813100</v>
      </c>
      <c r="Q2135" s="322">
        <v>30000</v>
      </c>
      <c r="R2135" s="322">
        <v>31900</v>
      </c>
      <c r="S2135" s="322">
        <v>33000</v>
      </c>
      <c r="T2135" s="322">
        <v>33000</v>
      </c>
      <c r="U2135" s="322">
        <f t="shared" si="157"/>
        <v>0</v>
      </c>
      <c r="W2135" s="321">
        <f t="shared" si="158"/>
        <v>120</v>
      </c>
      <c r="X2135" s="321">
        <f t="shared" si="159"/>
        <v>813100</v>
      </c>
      <c r="Y2135" s="321">
        <v>1</v>
      </c>
      <c r="AA2135" s="321" t="s">
        <v>5206</v>
      </c>
    </row>
    <row r="2136" spans="13:27">
      <c r="M2136" s="321">
        <v>1813100130</v>
      </c>
      <c r="N2136" s="321">
        <v>81</v>
      </c>
      <c r="O2136" s="321" t="s">
        <v>2576</v>
      </c>
      <c r="P2136" s="321">
        <v>4813100</v>
      </c>
      <c r="Q2136" s="322">
        <v>21000</v>
      </c>
      <c r="R2136" s="322">
        <v>27900</v>
      </c>
      <c r="S2136" s="322">
        <v>36000</v>
      </c>
      <c r="T2136" s="322">
        <v>32400</v>
      </c>
      <c r="U2136" s="322">
        <f t="shared" si="157"/>
        <v>3600</v>
      </c>
      <c r="W2136" s="321">
        <f t="shared" si="158"/>
        <v>130</v>
      </c>
      <c r="X2136" s="321">
        <f t="shared" si="159"/>
        <v>813100</v>
      </c>
      <c r="Y2136" s="321">
        <v>1</v>
      </c>
      <c r="AA2136" s="321" t="s">
        <v>2576</v>
      </c>
    </row>
    <row r="2137" spans="13:27">
      <c r="M2137" s="321">
        <v>1813100140</v>
      </c>
      <c r="N2137" s="321">
        <v>81</v>
      </c>
      <c r="O2137" s="321" t="s">
        <v>5207</v>
      </c>
      <c r="P2137" s="321">
        <v>4813100</v>
      </c>
      <c r="Q2137" s="322">
        <v>28000</v>
      </c>
      <c r="R2137" s="322">
        <v>9900</v>
      </c>
      <c r="S2137" s="322">
        <v>13000</v>
      </c>
      <c r="T2137" s="322">
        <v>13000</v>
      </c>
      <c r="U2137" s="322">
        <f t="shared" si="157"/>
        <v>0</v>
      </c>
      <c r="W2137" s="321">
        <f t="shared" si="158"/>
        <v>140</v>
      </c>
      <c r="X2137" s="321">
        <f t="shared" si="159"/>
        <v>813100</v>
      </c>
      <c r="Y2137" s="321">
        <v>1</v>
      </c>
      <c r="AA2137" s="321" t="s">
        <v>5207</v>
      </c>
    </row>
    <row r="2138" spans="13:27">
      <c r="M2138" s="321">
        <v>1813100141</v>
      </c>
      <c r="N2138" s="321">
        <v>81</v>
      </c>
      <c r="O2138" s="321" t="s">
        <v>5208</v>
      </c>
      <c r="P2138" s="321">
        <v>4813100</v>
      </c>
      <c r="Q2138" s="322">
        <v>25000</v>
      </c>
      <c r="R2138" s="322">
        <v>18800</v>
      </c>
      <c r="S2138" s="322">
        <v>26000</v>
      </c>
      <c r="T2138" s="322">
        <v>26000</v>
      </c>
      <c r="U2138" s="322">
        <f t="shared" si="157"/>
        <v>0</v>
      </c>
      <c r="W2138" s="321">
        <f t="shared" si="158"/>
        <v>141</v>
      </c>
      <c r="X2138" s="321">
        <f t="shared" si="159"/>
        <v>813100</v>
      </c>
      <c r="Y2138" s="321">
        <v>1</v>
      </c>
      <c r="AA2138" s="321" t="s">
        <v>5208</v>
      </c>
    </row>
    <row r="2139" spans="13:27">
      <c r="M2139" s="321">
        <v>1813100181</v>
      </c>
      <c r="N2139" s="321">
        <v>81</v>
      </c>
      <c r="O2139" s="321" t="s">
        <v>2580</v>
      </c>
      <c r="P2139" s="321">
        <v>4813100</v>
      </c>
      <c r="Q2139" s="322">
        <v>130000</v>
      </c>
      <c r="R2139" s="322">
        <v>111400</v>
      </c>
      <c r="S2139" s="322">
        <v>151000</v>
      </c>
      <c r="T2139" s="322">
        <v>151000</v>
      </c>
      <c r="U2139" s="322">
        <f t="shared" si="157"/>
        <v>0</v>
      </c>
      <c r="W2139" s="321">
        <f t="shared" si="158"/>
        <v>181</v>
      </c>
      <c r="X2139" s="321">
        <f t="shared" si="159"/>
        <v>813100</v>
      </c>
      <c r="Y2139" s="321">
        <v>1</v>
      </c>
      <c r="AA2139" s="321" t="s">
        <v>2580</v>
      </c>
    </row>
    <row r="2140" spans="13:27">
      <c r="M2140" s="321">
        <v>1813100182</v>
      </c>
      <c r="N2140" s="321">
        <v>81</v>
      </c>
      <c r="O2140" s="321" t="s">
        <v>2582</v>
      </c>
      <c r="P2140" s="321">
        <v>4813100</v>
      </c>
      <c r="Q2140" s="322">
        <v>101000</v>
      </c>
      <c r="R2140" s="322">
        <v>80900</v>
      </c>
      <c r="S2140" s="322">
        <v>110000</v>
      </c>
      <c r="T2140" s="322">
        <v>110000</v>
      </c>
      <c r="U2140" s="322">
        <f t="shared" si="157"/>
        <v>0</v>
      </c>
      <c r="W2140" s="321">
        <f t="shared" si="158"/>
        <v>182</v>
      </c>
      <c r="X2140" s="321">
        <f t="shared" si="159"/>
        <v>813100</v>
      </c>
      <c r="Y2140" s="321">
        <v>1</v>
      </c>
      <c r="AA2140" s="321" t="s">
        <v>2582</v>
      </c>
    </row>
    <row r="2141" spans="13:27">
      <c r="M2141" s="321">
        <v>1813100531</v>
      </c>
      <c r="N2141" s="321">
        <v>81</v>
      </c>
      <c r="O2141" s="321" t="s">
        <v>5850</v>
      </c>
      <c r="P2141" s="321">
        <v>4813100</v>
      </c>
      <c r="Q2141" s="322">
        <v>35000</v>
      </c>
      <c r="R2141" s="322">
        <v>13300</v>
      </c>
      <c r="S2141" s="322">
        <v>25000</v>
      </c>
      <c r="T2141" s="322">
        <v>25000</v>
      </c>
      <c r="U2141" s="322">
        <f t="shared" si="157"/>
        <v>0</v>
      </c>
      <c r="W2141" s="321">
        <f t="shared" si="158"/>
        <v>531</v>
      </c>
      <c r="X2141" s="321">
        <f t="shared" si="159"/>
        <v>813100</v>
      </c>
      <c r="Y2141" s="321">
        <v>1</v>
      </c>
      <c r="AA2141" s="321" t="s">
        <v>5850</v>
      </c>
    </row>
    <row r="2142" spans="13:27">
      <c r="M2142" s="321">
        <v>1813100540</v>
      </c>
      <c r="N2142" s="321">
        <v>81</v>
      </c>
      <c r="O2142" s="321" t="s">
        <v>5851</v>
      </c>
      <c r="P2142" s="321">
        <v>4813100</v>
      </c>
      <c r="Q2142" s="322">
        <v>2500</v>
      </c>
      <c r="R2142" s="322">
        <v>900</v>
      </c>
      <c r="S2142" s="322">
        <v>2500</v>
      </c>
      <c r="T2142" s="322">
        <v>2500</v>
      </c>
      <c r="U2142" s="322">
        <f t="shared" si="157"/>
        <v>0</v>
      </c>
      <c r="W2142" s="321">
        <f t="shared" si="158"/>
        <v>540</v>
      </c>
      <c r="X2142" s="321">
        <f t="shared" si="159"/>
        <v>813100</v>
      </c>
      <c r="Y2142" s="321">
        <v>1</v>
      </c>
      <c r="AA2142" s="321" t="s">
        <v>5851</v>
      </c>
    </row>
    <row r="2143" spans="13:27">
      <c r="M2143" s="321">
        <v>1813200110</v>
      </c>
      <c r="N2143" s="321">
        <v>81</v>
      </c>
      <c r="O2143" s="321" t="s">
        <v>5205</v>
      </c>
      <c r="P2143" s="321">
        <v>4813200</v>
      </c>
      <c r="Q2143" s="322">
        <v>20740000</v>
      </c>
      <c r="R2143" s="322">
        <v>15663800</v>
      </c>
      <c r="S2143" s="322">
        <v>22919000</v>
      </c>
      <c r="T2143" s="322">
        <v>22919000</v>
      </c>
      <c r="U2143" s="322">
        <f t="shared" si="157"/>
        <v>0</v>
      </c>
      <c r="W2143" s="321">
        <f t="shared" si="158"/>
        <v>110</v>
      </c>
      <c r="X2143" s="321">
        <f t="shared" si="159"/>
        <v>813200</v>
      </c>
      <c r="Y2143" s="321">
        <v>1</v>
      </c>
      <c r="AA2143" s="321" t="s">
        <v>5205</v>
      </c>
    </row>
    <row r="2144" spans="13:27">
      <c r="M2144" s="321">
        <v>1813200120</v>
      </c>
      <c r="N2144" s="321">
        <v>81</v>
      </c>
      <c r="O2144" s="321" t="s">
        <v>5206</v>
      </c>
      <c r="P2144" s="321">
        <v>4813200</v>
      </c>
      <c r="Q2144" s="322">
        <v>2168000</v>
      </c>
      <c r="R2144" s="322">
        <v>2271200</v>
      </c>
      <c r="S2144" s="322">
        <v>2537000</v>
      </c>
      <c r="T2144" s="322">
        <v>2537000</v>
      </c>
      <c r="U2144" s="322">
        <f t="shared" si="157"/>
        <v>0</v>
      </c>
      <c r="W2144" s="321">
        <f t="shared" si="158"/>
        <v>120</v>
      </c>
      <c r="X2144" s="321">
        <f t="shared" si="159"/>
        <v>813200</v>
      </c>
      <c r="Y2144" s="321">
        <v>1</v>
      </c>
      <c r="AA2144" s="321" t="s">
        <v>5206</v>
      </c>
    </row>
    <row r="2145" spans="13:27">
      <c r="M2145" s="321">
        <v>1813200130</v>
      </c>
      <c r="N2145" s="321">
        <v>81</v>
      </c>
      <c r="O2145" s="321" t="s">
        <v>2576</v>
      </c>
      <c r="P2145" s="321">
        <v>4813200</v>
      </c>
      <c r="Q2145" s="322">
        <v>1467000</v>
      </c>
      <c r="R2145" s="322">
        <v>1545200</v>
      </c>
      <c r="S2145" s="322">
        <v>2016000</v>
      </c>
      <c r="T2145" s="322">
        <v>1814400</v>
      </c>
      <c r="U2145" s="322">
        <f t="shared" si="157"/>
        <v>201600</v>
      </c>
      <c r="W2145" s="321">
        <f t="shared" si="158"/>
        <v>130</v>
      </c>
      <c r="X2145" s="321">
        <f t="shared" si="159"/>
        <v>813200</v>
      </c>
      <c r="Y2145" s="321">
        <v>1</v>
      </c>
      <c r="AA2145" s="321" t="s">
        <v>2576</v>
      </c>
    </row>
    <row r="2146" spans="13:27">
      <c r="M2146" s="321">
        <v>1813200140</v>
      </c>
      <c r="N2146" s="321">
        <v>81</v>
      </c>
      <c r="O2146" s="321" t="s">
        <v>5207</v>
      </c>
      <c r="P2146" s="321">
        <v>4813200</v>
      </c>
      <c r="Q2146" s="322">
        <v>416000</v>
      </c>
      <c r="R2146" s="322">
        <v>327800</v>
      </c>
      <c r="S2146" s="322">
        <v>504000</v>
      </c>
      <c r="T2146" s="322">
        <v>504000</v>
      </c>
      <c r="U2146" s="322">
        <f t="shared" si="157"/>
        <v>0</v>
      </c>
      <c r="W2146" s="321">
        <f t="shared" si="158"/>
        <v>140</v>
      </c>
      <c r="X2146" s="321">
        <f t="shared" si="159"/>
        <v>813200</v>
      </c>
      <c r="Y2146" s="321">
        <v>1</v>
      </c>
      <c r="AA2146" s="321" t="s">
        <v>5207</v>
      </c>
    </row>
    <row r="2147" spans="13:27">
      <c r="M2147" s="321">
        <v>1813200141</v>
      </c>
      <c r="N2147" s="321">
        <v>81</v>
      </c>
      <c r="O2147" s="321" t="s">
        <v>5208</v>
      </c>
      <c r="P2147" s="321">
        <v>4813200</v>
      </c>
      <c r="Q2147" s="322">
        <v>1338000</v>
      </c>
      <c r="R2147" s="322">
        <v>1060000</v>
      </c>
      <c r="S2147" s="322">
        <v>1572000</v>
      </c>
      <c r="T2147" s="322">
        <v>1572000</v>
      </c>
      <c r="U2147" s="322">
        <f t="shared" si="157"/>
        <v>0</v>
      </c>
      <c r="W2147" s="321">
        <f t="shared" si="158"/>
        <v>141</v>
      </c>
      <c r="X2147" s="321">
        <f t="shared" si="159"/>
        <v>813200</v>
      </c>
      <c r="Y2147" s="321">
        <v>1</v>
      </c>
      <c r="AA2147" s="321" t="s">
        <v>5208</v>
      </c>
    </row>
    <row r="2148" spans="13:27">
      <c r="M2148" s="321">
        <v>1813200181</v>
      </c>
      <c r="N2148" s="321">
        <v>81</v>
      </c>
      <c r="O2148" s="321" t="s">
        <v>2580</v>
      </c>
      <c r="P2148" s="321">
        <v>4813200</v>
      </c>
      <c r="Q2148" s="322">
        <v>4075000</v>
      </c>
      <c r="R2148" s="322">
        <v>3266400</v>
      </c>
      <c r="S2148" s="322">
        <v>4664000</v>
      </c>
      <c r="T2148" s="322">
        <v>4664000</v>
      </c>
      <c r="U2148" s="322">
        <f t="shared" si="157"/>
        <v>0</v>
      </c>
      <c r="W2148" s="321">
        <f t="shared" si="158"/>
        <v>181</v>
      </c>
      <c r="X2148" s="321">
        <f t="shared" si="159"/>
        <v>813200</v>
      </c>
      <c r="Y2148" s="321">
        <v>1</v>
      </c>
      <c r="AA2148" s="321" t="s">
        <v>2580</v>
      </c>
    </row>
    <row r="2149" spans="13:27">
      <c r="M2149" s="321">
        <v>1813200182</v>
      </c>
      <c r="N2149" s="321">
        <v>81</v>
      </c>
      <c r="O2149" s="321" t="s">
        <v>2582</v>
      </c>
      <c r="P2149" s="321">
        <v>4813200</v>
      </c>
      <c r="Q2149" s="322">
        <v>3298000</v>
      </c>
      <c r="R2149" s="322">
        <v>2463900</v>
      </c>
      <c r="S2149" s="322">
        <v>3803000</v>
      </c>
      <c r="T2149" s="322">
        <v>3803000</v>
      </c>
      <c r="U2149" s="322">
        <f t="shared" si="157"/>
        <v>0</v>
      </c>
      <c r="W2149" s="321">
        <f t="shared" si="158"/>
        <v>182</v>
      </c>
      <c r="X2149" s="321">
        <f t="shared" si="159"/>
        <v>813200</v>
      </c>
      <c r="Y2149" s="321">
        <v>1</v>
      </c>
      <c r="AA2149" s="321" t="s">
        <v>2582</v>
      </c>
    </row>
    <row r="2150" spans="13:27">
      <c r="M2150" s="321">
        <v>1813200210</v>
      </c>
      <c r="N2150" s="321">
        <v>81</v>
      </c>
      <c r="O2150" s="321" t="s">
        <v>5285</v>
      </c>
      <c r="P2150" s="321">
        <v>4813200</v>
      </c>
      <c r="Q2150" s="322">
        <v>1800000</v>
      </c>
      <c r="R2150" s="322">
        <v>1147100</v>
      </c>
      <c r="S2150" s="322">
        <v>0</v>
      </c>
      <c r="T2150" s="322">
        <v>0</v>
      </c>
      <c r="U2150" s="322">
        <f t="shared" si="157"/>
        <v>0</v>
      </c>
      <c r="W2150" s="321">
        <f t="shared" si="158"/>
        <v>210</v>
      </c>
      <c r="X2150" s="321">
        <f t="shared" si="159"/>
        <v>813200</v>
      </c>
      <c r="Y2150" s="321">
        <v>1</v>
      </c>
      <c r="AA2150" s="321" t="s">
        <v>5285</v>
      </c>
    </row>
    <row r="2151" spans="13:27">
      <c r="M2151" s="321">
        <v>1813200211</v>
      </c>
      <c r="N2151" s="321">
        <v>81</v>
      </c>
      <c r="O2151" s="321" t="s">
        <v>5831</v>
      </c>
      <c r="P2151" s="321">
        <v>4813200</v>
      </c>
      <c r="Q2151" s="322">
        <v>500000</v>
      </c>
      <c r="R2151" s="322">
        <v>370000</v>
      </c>
      <c r="S2151" s="322">
        <v>0</v>
      </c>
      <c r="T2151" s="322">
        <v>0</v>
      </c>
      <c r="U2151" s="322">
        <f t="shared" si="157"/>
        <v>0</v>
      </c>
      <c r="W2151" s="321">
        <f t="shared" si="158"/>
        <v>211</v>
      </c>
      <c r="X2151" s="321">
        <f t="shared" si="159"/>
        <v>813200</v>
      </c>
      <c r="Y2151" s="321">
        <v>1</v>
      </c>
      <c r="AA2151" s="321" t="s">
        <v>5831</v>
      </c>
    </row>
    <row r="2152" spans="13:27">
      <c r="M2152" s="321">
        <v>1813200540</v>
      </c>
      <c r="N2152" s="321">
        <v>81</v>
      </c>
      <c r="O2152" s="321" t="s">
        <v>5216</v>
      </c>
      <c r="P2152" s="321">
        <v>4813200</v>
      </c>
      <c r="Q2152" s="322">
        <v>0</v>
      </c>
      <c r="R2152" s="322">
        <v>0</v>
      </c>
      <c r="S2152" s="322">
        <v>0</v>
      </c>
      <c r="T2152" s="322">
        <v>0</v>
      </c>
      <c r="U2152" s="322">
        <f t="shared" si="157"/>
        <v>0</v>
      </c>
      <c r="W2152" s="321">
        <f t="shared" si="158"/>
        <v>540</v>
      </c>
      <c r="X2152" s="321">
        <f t="shared" si="159"/>
        <v>813200</v>
      </c>
      <c r="Y2152" s="321">
        <v>1</v>
      </c>
      <c r="AA2152" s="321" t="s">
        <v>5216</v>
      </c>
    </row>
    <row r="2153" spans="13:27">
      <c r="M2153" s="321">
        <v>1813200542</v>
      </c>
      <c r="N2153" s="321">
        <v>81</v>
      </c>
      <c r="O2153" s="321" t="s">
        <v>5564</v>
      </c>
      <c r="P2153" s="321">
        <v>4813200</v>
      </c>
      <c r="Q2153" s="322">
        <v>2500</v>
      </c>
      <c r="R2153" s="322">
        <v>800</v>
      </c>
      <c r="S2153" s="322">
        <v>2000</v>
      </c>
      <c r="T2153" s="322">
        <v>2000</v>
      </c>
      <c r="U2153" s="322">
        <f t="shared" si="157"/>
        <v>0</v>
      </c>
      <c r="W2153" s="321">
        <f t="shared" si="158"/>
        <v>542</v>
      </c>
      <c r="X2153" s="321">
        <f t="shared" si="159"/>
        <v>813200</v>
      </c>
      <c r="Y2153" s="321">
        <v>1</v>
      </c>
      <c r="AA2153" s="321" t="s">
        <v>5564</v>
      </c>
    </row>
    <row r="2154" spans="13:27">
      <c r="M2154" s="321">
        <v>1813200545</v>
      </c>
      <c r="N2154" s="321">
        <v>81</v>
      </c>
      <c r="O2154" s="321" t="s">
        <v>5852</v>
      </c>
      <c r="P2154" s="321">
        <v>4813200</v>
      </c>
      <c r="Q2154" s="322">
        <v>0</v>
      </c>
      <c r="R2154" s="322">
        <v>0</v>
      </c>
      <c r="S2154" s="322">
        <v>0</v>
      </c>
      <c r="T2154" s="322">
        <v>0</v>
      </c>
      <c r="U2154" s="322">
        <f t="shared" si="157"/>
        <v>0</v>
      </c>
      <c r="W2154" s="321">
        <f t="shared" si="158"/>
        <v>545</v>
      </c>
      <c r="X2154" s="321">
        <f t="shared" si="159"/>
        <v>813200</v>
      </c>
      <c r="Y2154" s="321">
        <v>1</v>
      </c>
      <c r="AA2154" s="321" t="s">
        <v>5852</v>
      </c>
    </row>
    <row r="2155" spans="13:27">
      <c r="M2155" s="321">
        <v>1813200720</v>
      </c>
      <c r="N2155" s="321">
        <v>81</v>
      </c>
      <c r="O2155" s="321" t="s">
        <v>5833</v>
      </c>
      <c r="P2155" s="321">
        <v>4813200</v>
      </c>
      <c r="Q2155" s="322">
        <v>540000</v>
      </c>
      <c r="R2155" s="322">
        <v>532600</v>
      </c>
      <c r="S2155" s="322">
        <v>540000</v>
      </c>
      <c r="T2155" s="322">
        <v>540000</v>
      </c>
      <c r="U2155" s="322">
        <f t="shared" si="157"/>
        <v>0</v>
      </c>
      <c r="W2155" s="321">
        <f t="shared" si="158"/>
        <v>720</v>
      </c>
      <c r="X2155" s="321">
        <f t="shared" si="159"/>
        <v>813200</v>
      </c>
      <c r="Y2155" s="321">
        <v>1</v>
      </c>
      <c r="AA2155" s="321" t="s">
        <v>5833</v>
      </c>
    </row>
    <row r="2156" spans="13:27">
      <c r="M2156" s="321">
        <v>1813200740</v>
      </c>
      <c r="N2156" s="321">
        <v>81</v>
      </c>
      <c r="O2156" s="321" t="s">
        <v>5264</v>
      </c>
      <c r="P2156" s="321">
        <v>4813200</v>
      </c>
      <c r="Q2156" s="322">
        <v>100000</v>
      </c>
      <c r="R2156" s="322">
        <v>75600</v>
      </c>
      <c r="S2156" s="322">
        <v>100000</v>
      </c>
      <c r="T2156" s="322">
        <v>100000</v>
      </c>
      <c r="U2156" s="322">
        <f t="shared" si="157"/>
        <v>0</v>
      </c>
      <c r="W2156" s="321">
        <f t="shared" si="158"/>
        <v>740</v>
      </c>
      <c r="X2156" s="321">
        <f t="shared" si="159"/>
        <v>813200</v>
      </c>
      <c r="Y2156" s="321">
        <v>1</v>
      </c>
      <c r="AA2156" s="321" t="s">
        <v>5264</v>
      </c>
    </row>
    <row r="2157" spans="13:27">
      <c r="M2157" s="321">
        <v>1813200750</v>
      </c>
      <c r="N2157" s="321">
        <v>81</v>
      </c>
      <c r="O2157" s="321" t="s">
        <v>5853</v>
      </c>
      <c r="P2157" s="321">
        <v>4813200</v>
      </c>
      <c r="Q2157" s="322">
        <v>68000</v>
      </c>
      <c r="R2157" s="322">
        <v>40000</v>
      </c>
      <c r="S2157" s="322">
        <v>250000</v>
      </c>
      <c r="T2157" s="322">
        <v>150000</v>
      </c>
      <c r="U2157" s="322">
        <f t="shared" si="157"/>
        <v>100000</v>
      </c>
      <c r="W2157" s="321">
        <f t="shared" si="158"/>
        <v>750</v>
      </c>
      <c r="X2157" s="321">
        <f t="shared" si="159"/>
        <v>813200</v>
      </c>
      <c r="Y2157" s="321">
        <v>1</v>
      </c>
      <c r="AA2157" s="321" t="s">
        <v>5853</v>
      </c>
    </row>
    <row r="2158" spans="13:27">
      <c r="M2158" s="321">
        <v>1813200751</v>
      </c>
      <c r="N2158" s="321">
        <v>81</v>
      </c>
      <c r="O2158" s="321" t="s">
        <v>5835</v>
      </c>
      <c r="P2158" s="321">
        <v>4813200</v>
      </c>
      <c r="Q2158" s="322">
        <v>80000</v>
      </c>
      <c r="R2158" s="322">
        <v>39200</v>
      </c>
      <c r="S2158" s="322">
        <v>80000</v>
      </c>
      <c r="T2158" s="322">
        <v>80000</v>
      </c>
      <c r="U2158" s="322">
        <f t="shared" si="157"/>
        <v>0</v>
      </c>
      <c r="W2158" s="321">
        <f t="shared" si="158"/>
        <v>751</v>
      </c>
      <c r="X2158" s="321">
        <f t="shared" si="159"/>
        <v>813200</v>
      </c>
      <c r="Y2158" s="321">
        <v>1</v>
      </c>
      <c r="AA2158" s="321" t="s">
        <v>5835</v>
      </c>
    </row>
    <row r="2159" spans="13:27">
      <c r="M2159" s="321">
        <v>1813200755</v>
      </c>
      <c r="N2159" s="321">
        <v>81</v>
      </c>
      <c r="O2159" s="321" t="s">
        <v>5854</v>
      </c>
      <c r="P2159" s="321">
        <v>4813200</v>
      </c>
      <c r="Q2159" s="322">
        <v>5780000</v>
      </c>
      <c r="R2159" s="322">
        <v>3608000</v>
      </c>
      <c r="S2159" s="322">
        <v>6000000</v>
      </c>
      <c r="T2159" s="322">
        <v>6000000</v>
      </c>
      <c r="U2159" s="322">
        <f t="shared" si="157"/>
        <v>0</v>
      </c>
      <c r="W2159" s="321">
        <f t="shared" si="158"/>
        <v>755</v>
      </c>
      <c r="X2159" s="321">
        <f t="shared" si="159"/>
        <v>813200</v>
      </c>
      <c r="Y2159" s="321">
        <v>1</v>
      </c>
      <c r="AA2159" s="321" t="s">
        <v>5854</v>
      </c>
    </row>
    <row r="2160" spans="13:27">
      <c r="M2160" s="321">
        <v>1813200760</v>
      </c>
      <c r="N2160" s="321">
        <v>81</v>
      </c>
      <c r="O2160" s="321" t="s">
        <v>5855</v>
      </c>
      <c r="P2160" s="321">
        <v>4813200</v>
      </c>
      <c r="Q2160" s="322">
        <v>230000</v>
      </c>
      <c r="R2160" s="322">
        <v>196500</v>
      </c>
      <c r="S2160" s="322">
        <v>240000</v>
      </c>
      <c r="T2160" s="322">
        <v>240000</v>
      </c>
      <c r="U2160" s="322">
        <f t="shared" si="157"/>
        <v>0</v>
      </c>
      <c r="W2160" s="321">
        <f t="shared" si="158"/>
        <v>760</v>
      </c>
      <c r="X2160" s="321">
        <f t="shared" si="159"/>
        <v>813200</v>
      </c>
      <c r="Y2160" s="321">
        <v>1</v>
      </c>
      <c r="AA2160" s="321" t="s">
        <v>5855</v>
      </c>
    </row>
    <row r="2161" spans="13:27">
      <c r="M2161" s="321">
        <v>1813200764</v>
      </c>
      <c r="N2161" s="321">
        <v>81</v>
      </c>
      <c r="O2161" s="321" t="s">
        <v>4909</v>
      </c>
      <c r="P2161" s="321">
        <v>4813200</v>
      </c>
      <c r="Q2161" s="322">
        <v>980000</v>
      </c>
      <c r="R2161" s="322">
        <v>671100</v>
      </c>
      <c r="S2161" s="322">
        <v>980000</v>
      </c>
      <c r="T2161" s="322">
        <v>980000</v>
      </c>
      <c r="U2161" s="322">
        <f t="shared" si="157"/>
        <v>0</v>
      </c>
      <c r="W2161" s="321">
        <f t="shared" si="158"/>
        <v>764</v>
      </c>
      <c r="X2161" s="321">
        <f t="shared" si="159"/>
        <v>813200</v>
      </c>
      <c r="Y2161" s="321">
        <v>1</v>
      </c>
      <c r="AA2161" s="321" t="s">
        <v>4909</v>
      </c>
    </row>
    <row r="2162" spans="13:27">
      <c r="M2162" s="321">
        <v>1813200771</v>
      </c>
      <c r="N2162" s="321">
        <v>81</v>
      </c>
      <c r="O2162" s="321" t="s">
        <v>5856</v>
      </c>
      <c r="P2162" s="321">
        <v>4813200</v>
      </c>
      <c r="Q2162" s="322">
        <v>3400000</v>
      </c>
      <c r="R2162" s="322">
        <v>2364700</v>
      </c>
      <c r="S2162" s="322">
        <v>3400000</v>
      </c>
      <c r="T2162" s="322">
        <v>3400000</v>
      </c>
      <c r="U2162" s="322">
        <f t="shared" si="157"/>
        <v>0</v>
      </c>
      <c r="W2162" s="321">
        <f t="shared" si="158"/>
        <v>771</v>
      </c>
      <c r="X2162" s="321">
        <f t="shared" si="159"/>
        <v>813200</v>
      </c>
      <c r="Y2162" s="321">
        <v>1</v>
      </c>
      <c r="AA2162" s="321" t="s">
        <v>5856</v>
      </c>
    </row>
    <row r="2163" spans="13:27">
      <c r="M2163" s="321">
        <v>1813200772</v>
      </c>
      <c r="N2163" s="321">
        <v>81</v>
      </c>
      <c r="O2163" s="321" t="s">
        <v>5857</v>
      </c>
      <c r="P2163" s="321">
        <v>4813200</v>
      </c>
      <c r="Q2163" s="322">
        <v>1830000</v>
      </c>
      <c r="R2163" s="322">
        <v>1157300</v>
      </c>
      <c r="S2163" s="322">
        <v>1500000</v>
      </c>
      <c r="T2163" s="322">
        <v>1500000</v>
      </c>
      <c r="U2163" s="322">
        <f t="shared" si="157"/>
        <v>0</v>
      </c>
      <c r="W2163" s="321">
        <f t="shared" si="158"/>
        <v>772</v>
      </c>
      <c r="X2163" s="321">
        <f t="shared" si="159"/>
        <v>813200</v>
      </c>
      <c r="Y2163" s="321">
        <v>1</v>
      </c>
      <c r="AA2163" s="321" t="s">
        <v>5857</v>
      </c>
    </row>
    <row r="2164" spans="13:27">
      <c r="M2164" s="321">
        <v>1813200780</v>
      </c>
      <c r="N2164" s="321">
        <v>81</v>
      </c>
      <c r="O2164" s="321" t="s">
        <v>5827</v>
      </c>
      <c r="P2164" s="321">
        <v>4813200</v>
      </c>
      <c r="Q2164" s="322">
        <v>2050000</v>
      </c>
      <c r="R2164" s="322">
        <v>1678100</v>
      </c>
      <c r="S2164" s="322">
        <v>2500000</v>
      </c>
      <c r="T2164" s="322">
        <v>2050000</v>
      </c>
      <c r="U2164" s="322">
        <f t="shared" si="157"/>
        <v>450000</v>
      </c>
      <c r="W2164" s="321">
        <f t="shared" si="158"/>
        <v>780</v>
      </c>
      <c r="X2164" s="321">
        <f t="shared" si="159"/>
        <v>813200</v>
      </c>
      <c r="Y2164" s="321">
        <v>1</v>
      </c>
      <c r="AA2164" s="321" t="s">
        <v>5827</v>
      </c>
    </row>
    <row r="2165" spans="13:27">
      <c r="M2165" s="321">
        <v>1813200820</v>
      </c>
      <c r="N2165" s="321">
        <v>81</v>
      </c>
      <c r="O2165" s="321" t="s">
        <v>5858</v>
      </c>
      <c r="P2165" s="321">
        <v>4813200</v>
      </c>
      <c r="Q2165" s="322">
        <v>250000</v>
      </c>
      <c r="R2165" s="322">
        <v>187500</v>
      </c>
      <c r="S2165" s="322">
        <v>250000</v>
      </c>
      <c r="T2165" s="322">
        <v>250000</v>
      </c>
      <c r="U2165" s="322">
        <f t="shared" si="157"/>
        <v>0</v>
      </c>
      <c r="W2165" s="321">
        <f t="shared" si="158"/>
        <v>820</v>
      </c>
      <c r="X2165" s="321">
        <f t="shared" si="159"/>
        <v>813200</v>
      </c>
      <c r="Y2165" s="321">
        <v>1</v>
      </c>
      <c r="AA2165" s="321" t="s">
        <v>5858</v>
      </c>
    </row>
    <row r="2166" spans="13:27">
      <c r="M2166" s="321">
        <v>1813201760</v>
      </c>
      <c r="N2166" s="321">
        <v>81</v>
      </c>
      <c r="O2166" s="321" t="s">
        <v>5859</v>
      </c>
      <c r="P2166" s="321">
        <v>4813200</v>
      </c>
      <c r="Q2166" s="322">
        <v>900000</v>
      </c>
      <c r="R2166" s="322">
        <v>770700</v>
      </c>
      <c r="S2166" s="322">
        <v>900000</v>
      </c>
      <c r="T2166" s="322">
        <v>900000</v>
      </c>
      <c r="U2166" s="322">
        <f t="shared" si="157"/>
        <v>0</v>
      </c>
      <c r="W2166" s="321">
        <f t="shared" si="158"/>
        <v>760</v>
      </c>
      <c r="X2166" s="321">
        <f t="shared" si="159"/>
        <v>813201</v>
      </c>
      <c r="Y2166" s="321">
        <v>1</v>
      </c>
      <c r="AA2166" s="321" t="s">
        <v>5859</v>
      </c>
    </row>
    <row r="2167" spans="13:27">
      <c r="M2167" s="321">
        <v>1813202760</v>
      </c>
      <c r="N2167" s="321">
        <v>81</v>
      </c>
      <c r="O2167" s="321" t="s">
        <v>5860</v>
      </c>
      <c r="P2167" s="321">
        <v>4813200</v>
      </c>
      <c r="Q2167" s="322">
        <v>5870000</v>
      </c>
      <c r="R2167" s="322">
        <v>4436000</v>
      </c>
      <c r="S2167" s="322">
        <v>5880000</v>
      </c>
      <c r="T2167" s="322">
        <v>5880000</v>
      </c>
      <c r="U2167" s="322">
        <f t="shared" si="157"/>
        <v>0</v>
      </c>
      <c r="W2167" s="321">
        <f t="shared" si="158"/>
        <v>760</v>
      </c>
      <c r="X2167" s="321">
        <f t="shared" si="159"/>
        <v>813202</v>
      </c>
      <c r="Y2167" s="321">
        <v>1</v>
      </c>
      <c r="AA2167" s="321" t="s">
        <v>5860</v>
      </c>
    </row>
    <row r="2168" spans="13:27">
      <c r="M2168" s="321">
        <v>1813203540</v>
      </c>
      <c r="N2168" s="321">
        <v>81</v>
      </c>
      <c r="O2168" s="321" t="s">
        <v>5861</v>
      </c>
      <c r="P2168" s="321">
        <v>4813200</v>
      </c>
      <c r="Q2168" s="322">
        <v>0</v>
      </c>
      <c r="R2168" s="322">
        <v>0</v>
      </c>
      <c r="S2168" s="322">
        <v>0</v>
      </c>
      <c r="T2168" s="322">
        <v>0</v>
      </c>
      <c r="U2168" s="322">
        <f t="shared" si="157"/>
        <v>0</v>
      </c>
      <c r="W2168" s="321">
        <f t="shared" si="158"/>
        <v>540</v>
      </c>
      <c r="X2168" s="321">
        <f t="shared" si="159"/>
        <v>813203</v>
      </c>
      <c r="Y2168" s="321">
        <v>1</v>
      </c>
      <c r="AA2168" s="321" t="s">
        <v>5861</v>
      </c>
    </row>
    <row r="2169" spans="13:27">
      <c r="M2169" s="321">
        <v>1813204580</v>
      </c>
      <c r="N2169" s="321">
        <v>81</v>
      </c>
      <c r="O2169" s="321" t="s">
        <v>5862</v>
      </c>
      <c r="P2169" s="321">
        <v>4813200</v>
      </c>
      <c r="Q2169" s="322">
        <v>200000</v>
      </c>
      <c r="R2169" s="322">
        <v>117300</v>
      </c>
      <c r="S2169" s="322">
        <v>210000</v>
      </c>
      <c r="T2169" s="322">
        <v>200000</v>
      </c>
      <c r="U2169" s="322">
        <f t="shared" si="157"/>
        <v>10000</v>
      </c>
      <c r="W2169" s="321">
        <f t="shared" si="158"/>
        <v>580</v>
      </c>
      <c r="X2169" s="321">
        <f t="shared" si="159"/>
        <v>813204</v>
      </c>
      <c r="Y2169" s="321">
        <v>1</v>
      </c>
      <c r="AA2169" s="321" t="s">
        <v>5862</v>
      </c>
    </row>
    <row r="2170" spans="13:27">
      <c r="M2170" s="321">
        <v>1813204810</v>
      </c>
      <c r="N2170" s="321">
        <v>81</v>
      </c>
      <c r="O2170" s="321" t="s">
        <v>4912</v>
      </c>
      <c r="P2170" s="321">
        <v>4813200</v>
      </c>
      <c r="Q2170" s="322">
        <v>1950000</v>
      </c>
      <c r="R2170" s="322">
        <v>1908400</v>
      </c>
      <c r="S2170" s="322">
        <v>1950000</v>
      </c>
      <c r="T2170" s="322">
        <v>1950000</v>
      </c>
      <c r="U2170" s="322">
        <f t="shared" si="157"/>
        <v>0</v>
      </c>
      <c r="W2170" s="321">
        <f t="shared" si="158"/>
        <v>810</v>
      </c>
      <c r="X2170" s="321">
        <f t="shared" si="159"/>
        <v>813204</v>
      </c>
      <c r="Y2170" s="321">
        <v>1</v>
      </c>
      <c r="AA2170" s="321" t="s">
        <v>4912</v>
      </c>
    </row>
    <row r="2171" spans="13:27">
      <c r="M2171" s="321">
        <v>1813204811</v>
      </c>
      <c r="N2171" s="321">
        <v>81</v>
      </c>
      <c r="O2171" s="321" t="s">
        <v>5863</v>
      </c>
      <c r="P2171" s="321">
        <v>4813200</v>
      </c>
      <c r="Q2171" s="322">
        <v>1350000</v>
      </c>
      <c r="R2171" s="322">
        <v>1337100</v>
      </c>
      <c r="S2171" s="322">
        <v>1350000</v>
      </c>
      <c r="T2171" s="322">
        <v>1350000</v>
      </c>
      <c r="U2171" s="322">
        <f t="shared" si="157"/>
        <v>0</v>
      </c>
      <c r="W2171" s="321">
        <f t="shared" si="158"/>
        <v>811</v>
      </c>
      <c r="X2171" s="321">
        <f t="shared" si="159"/>
        <v>813204</v>
      </c>
      <c r="Y2171" s="321">
        <v>1</v>
      </c>
      <c r="AA2171" s="321" t="s">
        <v>5863</v>
      </c>
    </row>
    <row r="2172" spans="13:27">
      <c r="M2172" s="321">
        <v>1813205750</v>
      </c>
      <c r="N2172" s="321">
        <v>81</v>
      </c>
      <c r="O2172" s="321" t="s">
        <v>4913</v>
      </c>
      <c r="P2172" s="321">
        <v>4813200</v>
      </c>
      <c r="Q2172" s="322">
        <v>425000</v>
      </c>
      <c r="R2172" s="322">
        <v>406200</v>
      </c>
      <c r="S2172" s="322">
        <v>425000</v>
      </c>
      <c r="T2172" s="322">
        <v>425000</v>
      </c>
      <c r="U2172" s="322">
        <f t="shared" si="157"/>
        <v>0</v>
      </c>
      <c r="W2172" s="321">
        <f t="shared" si="158"/>
        <v>750</v>
      </c>
      <c r="X2172" s="321">
        <f t="shared" si="159"/>
        <v>813205</v>
      </c>
      <c r="Y2172" s="321">
        <v>1</v>
      </c>
      <c r="AA2172" s="321" t="s">
        <v>4913</v>
      </c>
    </row>
    <row r="2173" spans="13:27">
      <c r="M2173" s="321">
        <v>1813205751</v>
      </c>
      <c r="N2173" s="321">
        <v>81</v>
      </c>
      <c r="O2173" s="321" t="s">
        <v>5864</v>
      </c>
      <c r="P2173" s="321">
        <v>4813200</v>
      </c>
      <c r="Q2173" s="322">
        <v>0</v>
      </c>
      <c r="R2173" s="322">
        <v>0</v>
      </c>
      <c r="S2173" s="322">
        <v>0</v>
      </c>
      <c r="T2173" s="322">
        <v>0</v>
      </c>
      <c r="U2173" s="322">
        <f t="shared" si="157"/>
        <v>0</v>
      </c>
      <c r="W2173" s="321">
        <f t="shared" si="158"/>
        <v>751</v>
      </c>
      <c r="X2173" s="321">
        <f t="shared" si="159"/>
        <v>813205</v>
      </c>
      <c r="Y2173" s="321">
        <v>1</v>
      </c>
      <c r="AA2173" s="321" t="s">
        <v>5864</v>
      </c>
    </row>
    <row r="2174" spans="13:27">
      <c r="M2174" s="321">
        <v>1813206760</v>
      </c>
      <c r="N2174" s="321">
        <v>81</v>
      </c>
      <c r="O2174" s="321" t="s">
        <v>4927</v>
      </c>
      <c r="P2174" s="321">
        <v>4813200</v>
      </c>
      <c r="Q2174" s="322">
        <v>450000</v>
      </c>
      <c r="R2174" s="322">
        <v>291500</v>
      </c>
      <c r="S2174" s="322">
        <v>450000</v>
      </c>
      <c r="T2174" s="322">
        <v>450000</v>
      </c>
      <c r="U2174" s="322">
        <f t="shared" si="157"/>
        <v>0</v>
      </c>
      <c r="W2174" s="321">
        <f t="shared" si="158"/>
        <v>760</v>
      </c>
      <c r="X2174" s="321">
        <f t="shared" si="159"/>
        <v>813206</v>
      </c>
      <c r="Y2174" s="321">
        <v>1</v>
      </c>
      <c r="AA2174" s="321" t="s">
        <v>4927</v>
      </c>
    </row>
    <row r="2175" spans="13:27">
      <c r="M2175" s="321">
        <v>1813206761</v>
      </c>
      <c r="N2175" s="321">
        <v>81</v>
      </c>
      <c r="O2175" s="321" t="s">
        <v>4915</v>
      </c>
      <c r="P2175" s="321">
        <v>4813200</v>
      </c>
      <c r="Q2175" s="322">
        <v>550000</v>
      </c>
      <c r="R2175" s="322">
        <v>504100</v>
      </c>
      <c r="S2175" s="322">
        <v>550000</v>
      </c>
      <c r="T2175" s="322">
        <v>550000</v>
      </c>
      <c r="U2175" s="322">
        <f t="shared" si="157"/>
        <v>0</v>
      </c>
      <c r="W2175" s="321">
        <f t="shared" si="158"/>
        <v>761</v>
      </c>
      <c r="X2175" s="321">
        <f t="shared" si="159"/>
        <v>813206</v>
      </c>
      <c r="Y2175" s="321">
        <v>1</v>
      </c>
      <c r="AA2175" s="321" t="s">
        <v>4915</v>
      </c>
    </row>
    <row r="2176" spans="13:27">
      <c r="M2176" s="321">
        <v>1813206762</v>
      </c>
      <c r="N2176" s="321">
        <v>81</v>
      </c>
      <c r="O2176" s="321" t="s">
        <v>4916</v>
      </c>
      <c r="P2176" s="321">
        <v>4813200</v>
      </c>
      <c r="Q2176" s="322">
        <v>150000</v>
      </c>
      <c r="R2176" s="322">
        <v>2200</v>
      </c>
      <c r="S2176" s="322">
        <v>150000</v>
      </c>
      <c r="T2176" s="322">
        <v>150000</v>
      </c>
      <c r="U2176" s="322">
        <f t="shared" si="157"/>
        <v>0</v>
      </c>
      <c r="W2176" s="321">
        <f t="shared" si="158"/>
        <v>762</v>
      </c>
      <c r="X2176" s="321">
        <f t="shared" si="159"/>
        <v>813206</v>
      </c>
      <c r="Y2176" s="321">
        <v>1</v>
      </c>
      <c r="AA2176" s="321" t="s">
        <v>4916</v>
      </c>
    </row>
    <row r="2177" spans="13:27">
      <c r="M2177" s="321">
        <v>1813207760</v>
      </c>
      <c r="N2177" s="321">
        <v>81</v>
      </c>
      <c r="O2177" s="321" t="s">
        <v>5865</v>
      </c>
      <c r="P2177" s="321">
        <v>4813200</v>
      </c>
      <c r="Q2177" s="322">
        <v>0</v>
      </c>
      <c r="R2177" s="322">
        <v>0</v>
      </c>
      <c r="S2177" s="322">
        <v>0</v>
      </c>
      <c r="T2177" s="322">
        <v>0</v>
      </c>
      <c r="U2177" s="322">
        <f t="shared" si="157"/>
        <v>0</v>
      </c>
      <c r="W2177" s="321">
        <f t="shared" si="158"/>
        <v>760</v>
      </c>
      <c r="X2177" s="321">
        <f t="shared" si="159"/>
        <v>813207</v>
      </c>
      <c r="Y2177" s="321">
        <v>1</v>
      </c>
      <c r="AA2177" s="321" t="s">
        <v>5865</v>
      </c>
    </row>
    <row r="2178" spans="13:27">
      <c r="M2178" s="321">
        <v>1813207761</v>
      </c>
      <c r="N2178" s="321">
        <v>81</v>
      </c>
      <c r="O2178" s="321" t="s">
        <v>5866</v>
      </c>
      <c r="P2178" s="321">
        <v>4813200</v>
      </c>
      <c r="Q2178" s="322">
        <v>78000</v>
      </c>
      <c r="R2178" s="322">
        <v>0</v>
      </c>
      <c r="S2178" s="322">
        <v>80000</v>
      </c>
      <c r="T2178" s="322">
        <v>80000</v>
      </c>
      <c r="U2178" s="322">
        <f t="shared" ref="U2178:U2241" si="160">S2178-T2178</f>
        <v>0</v>
      </c>
      <c r="W2178" s="321">
        <f t="shared" si="158"/>
        <v>761</v>
      </c>
      <c r="X2178" s="321">
        <f t="shared" si="159"/>
        <v>813207</v>
      </c>
      <c r="Y2178" s="321">
        <v>1</v>
      </c>
      <c r="AA2178" s="321" t="s">
        <v>5866</v>
      </c>
    </row>
    <row r="2179" spans="13:27">
      <c r="M2179" s="321">
        <v>1813208760</v>
      </c>
      <c r="N2179" s="321">
        <v>81</v>
      </c>
      <c r="O2179" s="321" t="s">
        <v>5867</v>
      </c>
      <c r="P2179" s="321">
        <v>4813200</v>
      </c>
      <c r="Q2179" s="322">
        <v>1100000</v>
      </c>
      <c r="R2179" s="322">
        <v>707100</v>
      </c>
      <c r="S2179" s="322">
        <v>1100000</v>
      </c>
      <c r="T2179" s="322">
        <v>1100000</v>
      </c>
      <c r="U2179" s="322">
        <f t="shared" si="160"/>
        <v>0</v>
      </c>
      <c r="W2179" s="321">
        <f t="shared" ref="W2179:W2242" si="161">M2179-1000000000-X2179*1000</f>
        <v>760</v>
      </c>
      <c r="X2179" s="321">
        <f t="shared" ref="X2179:X2242" si="162">ROUNDDOWN((M2179-1000000000)/1000,0)</f>
        <v>813208</v>
      </c>
      <c r="Y2179" s="321">
        <v>1</v>
      </c>
      <c r="AA2179" s="321" t="s">
        <v>5867</v>
      </c>
    </row>
    <row r="2180" spans="13:27">
      <c r="M2180" s="321">
        <v>1813209760</v>
      </c>
      <c r="N2180" s="321">
        <v>81</v>
      </c>
      <c r="O2180" s="321" t="s">
        <v>4917</v>
      </c>
      <c r="P2180" s="321">
        <v>4813200</v>
      </c>
      <c r="Q2180" s="322">
        <v>3000000</v>
      </c>
      <c r="R2180" s="322">
        <v>0</v>
      </c>
      <c r="S2180" s="322">
        <v>2500000</v>
      </c>
      <c r="T2180" s="322">
        <v>2500000</v>
      </c>
      <c r="U2180" s="322">
        <f t="shared" si="160"/>
        <v>0</v>
      </c>
      <c r="W2180" s="321">
        <f t="shared" si="161"/>
        <v>760</v>
      </c>
      <c r="X2180" s="321">
        <f t="shared" si="162"/>
        <v>813209</v>
      </c>
      <c r="Y2180" s="321">
        <v>1</v>
      </c>
      <c r="AA2180" s="321" t="s">
        <v>4917</v>
      </c>
    </row>
    <row r="2181" spans="13:27">
      <c r="M2181" s="321">
        <v>1813300530</v>
      </c>
      <c r="N2181" s="321">
        <v>81</v>
      </c>
      <c r="O2181" s="321" t="s">
        <v>5868</v>
      </c>
      <c r="P2181" s="321">
        <v>4813200</v>
      </c>
      <c r="Q2181" s="322">
        <v>45000</v>
      </c>
      <c r="R2181" s="322">
        <v>2800</v>
      </c>
      <c r="S2181" s="322">
        <v>0</v>
      </c>
      <c r="T2181" s="322">
        <v>0</v>
      </c>
      <c r="U2181" s="322">
        <f t="shared" si="160"/>
        <v>0</v>
      </c>
      <c r="W2181" s="321">
        <f t="shared" si="161"/>
        <v>530</v>
      </c>
      <c r="X2181" s="321">
        <f t="shared" si="162"/>
        <v>813300</v>
      </c>
      <c r="Y2181" s="321">
        <v>1</v>
      </c>
      <c r="AA2181" s="321" t="s">
        <v>5868</v>
      </c>
    </row>
    <row r="2182" spans="13:27">
      <c r="M2182" s="321">
        <v>1813300780</v>
      </c>
      <c r="N2182" s="321">
        <v>81</v>
      </c>
      <c r="O2182" s="321" t="s">
        <v>5869</v>
      </c>
      <c r="P2182" s="321">
        <v>4813200</v>
      </c>
      <c r="Q2182" s="322">
        <v>630000</v>
      </c>
      <c r="R2182" s="322">
        <v>223300</v>
      </c>
      <c r="S2182" s="322">
        <v>650000</v>
      </c>
      <c r="T2182" s="322">
        <v>600000</v>
      </c>
      <c r="U2182" s="322">
        <f t="shared" si="160"/>
        <v>50000</v>
      </c>
      <c r="W2182" s="321">
        <f t="shared" si="161"/>
        <v>780</v>
      </c>
      <c r="X2182" s="321">
        <f t="shared" si="162"/>
        <v>813300</v>
      </c>
      <c r="Y2182" s="321">
        <v>1</v>
      </c>
      <c r="AA2182" s="321" t="s">
        <v>5869</v>
      </c>
    </row>
    <row r="2183" spans="13:27">
      <c r="M2183" s="321">
        <v>1813400110</v>
      </c>
      <c r="N2183" s="321">
        <v>81</v>
      </c>
      <c r="O2183" s="321" t="s">
        <v>5870</v>
      </c>
      <c r="P2183" s="321">
        <v>4813400</v>
      </c>
      <c r="Q2183" s="322">
        <v>176000</v>
      </c>
      <c r="R2183" s="322">
        <v>151900</v>
      </c>
      <c r="S2183" s="322">
        <v>209000</v>
      </c>
      <c r="T2183" s="322">
        <v>209000</v>
      </c>
      <c r="U2183" s="322">
        <f t="shared" si="160"/>
        <v>0</v>
      </c>
      <c r="W2183" s="321">
        <f t="shared" si="161"/>
        <v>110</v>
      </c>
      <c r="X2183" s="321">
        <f t="shared" si="162"/>
        <v>813400</v>
      </c>
      <c r="Y2183" s="321">
        <v>1</v>
      </c>
      <c r="AA2183" s="321" t="s">
        <v>5870</v>
      </c>
    </row>
    <row r="2184" spans="13:27">
      <c r="M2184" s="321">
        <v>1813400120</v>
      </c>
      <c r="N2184" s="321">
        <v>81</v>
      </c>
      <c r="O2184" s="321" t="s">
        <v>5206</v>
      </c>
      <c r="P2184" s="321">
        <v>4813400</v>
      </c>
      <c r="Q2184" s="322">
        <v>30000</v>
      </c>
      <c r="R2184" s="322">
        <v>24600</v>
      </c>
      <c r="S2184" s="322">
        <v>29000</v>
      </c>
      <c r="T2184" s="322">
        <v>29000</v>
      </c>
      <c r="U2184" s="322">
        <f t="shared" si="160"/>
        <v>0</v>
      </c>
      <c r="W2184" s="321">
        <f t="shared" si="161"/>
        <v>120</v>
      </c>
      <c r="X2184" s="321">
        <f t="shared" si="162"/>
        <v>813400</v>
      </c>
      <c r="Y2184" s="321">
        <v>1</v>
      </c>
      <c r="AA2184" s="321" t="s">
        <v>5206</v>
      </c>
    </row>
    <row r="2185" spans="13:27">
      <c r="M2185" s="321">
        <v>1813400140</v>
      </c>
      <c r="N2185" s="321">
        <v>81</v>
      </c>
      <c r="O2185" s="321" t="s">
        <v>5207</v>
      </c>
      <c r="P2185" s="321">
        <v>4813400</v>
      </c>
      <c r="Q2185" s="322">
        <v>3000</v>
      </c>
      <c r="R2185" s="322">
        <v>0</v>
      </c>
      <c r="S2185" s="322">
        <v>0</v>
      </c>
      <c r="T2185" s="322">
        <v>0</v>
      </c>
      <c r="U2185" s="322">
        <f t="shared" si="160"/>
        <v>0</v>
      </c>
      <c r="W2185" s="321">
        <f t="shared" si="161"/>
        <v>140</v>
      </c>
      <c r="X2185" s="321">
        <f t="shared" si="162"/>
        <v>813400</v>
      </c>
      <c r="Y2185" s="321">
        <v>1</v>
      </c>
      <c r="AA2185" s="321" t="s">
        <v>5207</v>
      </c>
    </row>
    <row r="2186" spans="13:27">
      <c r="M2186" s="321">
        <v>1813400141</v>
      </c>
      <c r="N2186" s="321">
        <v>81</v>
      </c>
      <c r="O2186" s="321" t="s">
        <v>5208</v>
      </c>
      <c r="P2186" s="321">
        <v>4813400</v>
      </c>
      <c r="Q2186" s="322">
        <v>2000</v>
      </c>
      <c r="R2186" s="322">
        <v>300</v>
      </c>
      <c r="S2186" s="322">
        <v>1000</v>
      </c>
      <c r="T2186" s="322">
        <v>1000</v>
      </c>
      <c r="U2186" s="322">
        <f t="shared" si="160"/>
        <v>0</v>
      </c>
      <c r="W2186" s="321">
        <f t="shared" si="161"/>
        <v>141</v>
      </c>
      <c r="X2186" s="321">
        <f t="shared" si="162"/>
        <v>813400</v>
      </c>
      <c r="Y2186" s="321">
        <v>1</v>
      </c>
      <c r="AA2186" s="321" t="s">
        <v>5208</v>
      </c>
    </row>
    <row r="2187" spans="13:27">
      <c r="M2187" s="321">
        <v>1813400181</v>
      </c>
      <c r="N2187" s="321">
        <v>81</v>
      </c>
      <c r="O2187" s="321" t="s">
        <v>2580</v>
      </c>
      <c r="P2187" s="321">
        <v>4813400</v>
      </c>
      <c r="Q2187" s="322">
        <v>40000</v>
      </c>
      <c r="R2187" s="322">
        <v>39400</v>
      </c>
      <c r="S2187" s="322">
        <v>54000</v>
      </c>
      <c r="T2187" s="322">
        <v>54000</v>
      </c>
      <c r="U2187" s="322">
        <f t="shared" si="160"/>
        <v>0</v>
      </c>
      <c r="W2187" s="321">
        <f t="shared" si="161"/>
        <v>181</v>
      </c>
      <c r="X2187" s="321">
        <f t="shared" si="162"/>
        <v>813400</v>
      </c>
      <c r="Y2187" s="321">
        <v>1</v>
      </c>
      <c r="AA2187" s="321" t="s">
        <v>2580</v>
      </c>
    </row>
    <row r="2188" spans="13:27">
      <c r="M2188" s="321">
        <v>1813400182</v>
      </c>
      <c r="N2188" s="321">
        <v>81</v>
      </c>
      <c r="O2188" s="321" t="s">
        <v>2582</v>
      </c>
      <c r="P2188" s="321">
        <v>4813400</v>
      </c>
      <c r="Q2188" s="322">
        <v>33000</v>
      </c>
      <c r="R2188" s="322">
        <v>27500</v>
      </c>
      <c r="S2188" s="322">
        <v>38000</v>
      </c>
      <c r="T2188" s="322">
        <v>38000</v>
      </c>
      <c r="U2188" s="322">
        <f t="shared" si="160"/>
        <v>0</v>
      </c>
      <c r="W2188" s="321">
        <f t="shared" si="161"/>
        <v>182</v>
      </c>
      <c r="X2188" s="321">
        <f t="shared" si="162"/>
        <v>813400</v>
      </c>
      <c r="Y2188" s="321">
        <v>1</v>
      </c>
      <c r="AA2188" s="321" t="s">
        <v>2582</v>
      </c>
    </row>
    <row r="2189" spans="13:27">
      <c r="M2189" s="321">
        <v>1813400530</v>
      </c>
      <c r="N2189" s="321">
        <v>81</v>
      </c>
      <c r="O2189" s="321" t="s">
        <v>5871</v>
      </c>
      <c r="P2189" s="321">
        <v>4813400</v>
      </c>
      <c r="Q2189" s="322">
        <v>35000</v>
      </c>
      <c r="R2189" s="322">
        <v>18800</v>
      </c>
      <c r="S2189" s="322">
        <v>35000</v>
      </c>
      <c r="T2189" s="322">
        <v>35000</v>
      </c>
      <c r="U2189" s="322">
        <f t="shared" si="160"/>
        <v>0</v>
      </c>
      <c r="W2189" s="321">
        <f t="shared" si="161"/>
        <v>530</v>
      </c>
      <c r="X2189" s="321">
        <f t="shared" si="162"/>
        <v>813400</v>
      </c>
      <c r="Y2189" s="321">
        <v>1</v>
      </c>
      <c r="AA2189" s="321" t="s">
        <v>5871</v>
      </c>
    </row>
    <row r="2190" spans="13:27">
      <c r="M2190" s="321">
        <v>1813400750</v>
      </c>
      <c r="N2190" s="321">
        <v>81</v>
      </c>
      <c r="O2190" s="321" t="s">
        <v>5872</v>
      </c>
      <c r="P2190" s="321">
        <v>4813400</v>
      </c>
      <c r="Q2190" s="322">
        <v>40000</v>
      </c>
      <c r="R2190" s="322">
        <v>18500</v>
      </c>
      <c r="S2190" s="322">
        <v>40000</v>
      </c>
      <c r="T2190" s="322">
        <v>40000</v>
      </c>
      <c r="U2190" s="322">
        <f t="shared" si="160"/>
        <v>0</v>
      </c>
      <c r="W2190" s="321">
        <f t="shared" si="161"/>
        <v>750</v>
      </c>
      <c r="X2190" s="321">
        <f t="shared" si="162"/>
        <v>813400</v>
      </c>
      <c r="Y2190" s="321">
        <v>1</v>
      </c>
      <c r="AA2190" s="321" t="s">
        <v>5872</v>
      </c>
    </row>
    <row r="2191" spans="13:27">
      <c r="M2191" s="321">
        <v>1813405760</v>
      </c>
      <c r="N2191" s="321">
        <v>81</v>
      </c>
      <c r="O2191" s="321" t="s">
        <v>5873</v>
      </c>
      <c r="P2191" s="321">
        <v>4813400</v>
      </c>
      <c r="Q2191" s="322">
        <v>380000</v>
      </c>
      <c r="R2191" s="322">
        <v>228800</v>
      </c>
      <c r="S2191" s="322">
        <v>450000</v>
      </c>
      <c r="T2191" s="322">
        <v>380000</v>
      </c>
      <c r="U2191" s="322">
        <f t="shared" si="160"/>
        <v>70000</v>
      </c>
      <c r="W2191" s="321">
        <f t="shared" si="161"/>
        <v>760</v>
      </c>
      <c r="X2191" s="321">
        <f t="shared" si="162"/>
        <v>813405</v>
      </c>
      <c r="Y2191" s="321">
        <v>1</v>
      </c>
      <c r="AA2191" s="321" t="s">
        <v>5873</v>
      </c>
    </row>
    <row r="2192" spans="13:27">
      <c r="M2192" s="321">
        <v>1813408540</v>
      </c>
      <c r="N2192" s="321">
        <v>81</v>
      </c>
      <c r="O2192" s="321" t="s">
        <v>5874</v>
      </c>
      <c r="P2192" s="321">
        <v>4813400</v>
      </c>
      <c r="Q2192" s="322">
        <v>2500</v>
      </c>
      <c r="R2192" s="322">
        <v>1400</v>
      </c>
      <c r="S2192" s="322">
        <v>2500</v>
      </c>
      <c r="T2192" s="322">
        <v>2500</v>
      </c>
      <c r="U2192" s="322">
        <f t="shared" si="160"/>
        <v>0</v>
      </c>
      <c r="W2192" s="321">
        <f t="shared" si="161"/>
        <v>540</v>
      </c>
      <c r="X2192" s="321">
        <f t="shared" si="162"/>
        <v>813408</v>
      </c>
      <c r="Y2192" s="321">
        <v>1</v>
      </c>
      <c r="AA2192" s="321" t="s">
        <v>5874</v>
      </c>
    </row>
    <row r="2193" spans="13:27">
      <c r="M2193" s="321">
        <v>1813408750</v>
      </c>
      <c r="N2193" s="321">
        <v>81</v>
      </c>
      <c r="O2193" s="321" t="s">
        <v>5875</v>
      </c>
      <c r="P2193" s="321">
        <v>4813400</v>
      </c>
      <c r="Q2193" s="322">
        <v>0</v>
      </c>
      <c r="R2193" s="322">
        <v>0</v>
      </c>
      <c r="S2193" s="322">
        <v>0</v>
      </c>
      <c r="T2193" s="322">
        <v>0</v>
      </c>
      <c r="U2193" s="322">
        <f t="shared" si="160"/>
        <v>0</v>
      </c>
      <c r="W2193" s="321">
        <f t="shared" si="161"/>
        <v>750</v>
      </c>
      <c r="X2193" s="321">
        <f t="shared" si="162"/>
        <v>813408</v>
      </c>
      <c r="Y2193" s="321">
        <v>1</v>
      </c>
      <c r="AA2193" s="321" t="s">
        <v>5875</v>
      </c>
    </row>
    <row r="2194" spans="13:27">
      <c r="M2194" s="321">
        <v>1813408755</v>
      </c>
      <c r="N2194" s="321">
        <v>81</v>
      </c>
      <c r="O2194" s="321" t="s">
        <v>5875</v>
      </c>
      <c r="P2194" s="321">
        <v>4813400</v>
      </c>
      <c r="Q2194" s="322">
        <v>36000</v>
      </c>
      <c r="R2194" s="322">
        <v>12700</v>
      </c>
      <c r="S2194" s="322">
        <v>40000</v>
      </c>
      <c r="T2194" s="322">
        <v>40000</v>
      </c>
      <c r="U2194" s="322">
        <f t="shared" si="160"/>
        <v>0</v>
      </c>
      <c r="W2194" s="321">
        <f t="shared" si="161"/>
        <v>755</v>
      </c>
      <c r="X2194" s="321">
        <f t="shared" si="162"/>
        <v>813408</v>
      </c>
      <c r="Y2194" s="321">
        <v>1</v>
      </c>
      <c r="AA2194" s="321" t="s">
        <v>5875</v>
      </c>
    </row>
    <row r="2195" spans="13:27">
      <c r="M2195" s="321">
        <v>1813500110</v>
      </c>
      <c r="N2195" s="321">
        <v>81</v>
      </c>
      <c r="O2195" s="321" t="s">
        <v>5876</v>
      </c>
      <c r="P2195" s="321">
        <v>4813500</v>
      </c>
      <c r="Q2195" s="322">
        <v>2760000</v>
      </c>
      <c r="R2195" s="322">
        <v>1935700</v>
      </c>
      <c r="S2195" s="322">
        <v>2674000</v>
      </c>
      <c r="T2195" s="322">
        <v>2674000</v>
      </c>
      <c r="U2195" s="322">
        <f t="shared" si="160"/>
        <v>0</v>
      </c>
      <c r="W2195" s="321">
        <f t="shared" si="161"/>
        <v>110</v>
      </c>
      <c r="X2195" s="321">
        <f t="shared" si="162"/>
        <v>813500</v>
      </c>
      <c r="Y2195" s="321">
        <v>1</v>
      </c>
      <c r="AA2195" s="321" t="s">
        <v>5876</v>
      </c>
    </row>
    <row r="2196" spans="13:27">
      <c r="M2196" s="321">
        <v>1813500120</v>
      </c>
      <c r="N2196" s="321">
        <v>81</v>
      </c>
      <c r="O2196" s="321" t="s">
        <v>5206</v>
      </c>
      <c r="P2196" s="321">
        <v>4813500</v>
      </c>
      <c r="Q2196" s="322">
        <v>278000</v>
      </c>
      <c r="R2196" s="322">
        <v>269400</v>
      </c>
      <c r="S2196" s="322">
        <v>275000</v>
      </c>
      <c r="T2196" s="322">
        <v>275000</v>
      </c>
      <c r="U2196" s="322">
        <f t="shared" si="160"/>
        <v>0</v>
      </c>
      <c r="W2196" s="321">
        <f t="shared" si="161"/>
        <v>120</v>
      </c>
      <c r="X2196" s="321">
        <f t="shared" si="162"/>
        <v>813500</v>
      </c>
      <c r="Y2196" s="321">
        <v>1</v>
      </c>
      <c r="AA2196" s="321" t="s">
        <v>5206</v>
      </c>
    </row>
    <row r="2197" spans="13:27">
      <c r="M2197" s="321">
        <v>1813500130</v>
      </c>
      <c r="N2197" s="321">
        <v>81</v>
      </c>
      <c r="O2197" s="321" t="s">
        <v>2576</v>
      </c>
      <c r="P2197" s="321">
        <v>4813500</v>
      </c>
      <c r="Q2197" s="322">
        <v>198000</v>
      </c>
      <c r="R2197" s="322">
        <v>68200</v>
      </c>
      <c r="S2197" s="322">
        <v>98000</v>
      </c>
      <c r="T2197" s="322">
        <v>88200</v>
      </c>
      <c r="U2197" s="322">
        <f t="shared" si="160"/>
        <v>9800</v>
      </c>
      <c r="W2197" s="321">
        <f t="shared" si="161"/>
        <v>130</v>
      </c>
      <c r="X2197" s="321">
        <f t="shared" si="162"/>
        <v>813500</v>
      </c>
      <c r="Y2197" s="321">
        <v>1</v>
      </c>
      <c r="AA2197" s="321" t="s">
        <v>2576</v>
      </c>
    </row>
    <row r="2198" spans="13:27">
      <c r="M2198" s="321">
        <v>1813500140</v>
      </c>
      <c r="N2198" s="321">
        <v>81</v>
      </c>
      <c r="O2198" s="321" t="s">
        <v>5207</v>
      </c>
      <c r="P2198" s="321">
        <v>4813500</v>
      </c>
      <c r="Q2198" s="322">
        <v>47000</v>
      </c>
      <c r="R2198" s="322">
        <v>32200</v>
      </c>
      <c r="S2198" s="322">
        <v>44000</v>
      </c>
      <c r="T2198" s="322">
        <v>44000</v>
      </c>
      <c r="U2198" s="322">
        <f t="shared" si="160"/>
        <v>0</v>
      </c>
      <c r="W2198" s="321">
        <f t="shared" si="161"/>
        <v>140</v>
      </c>
      <c r="X2198" s="321">
        <f t="shared" si="162"/>
        <v>813500</v>
      </c>
      <c r="Y2198" s="321">
        <v>1</v>
      </c>
      <c r="AA2198" s="321" t="s">
        <v>5207</v>
      </c>
    </row>
    <row r="2199" spans="13:27">
      <c r="M2199" s="321">
        <v>1813500141</v>
      </c>
      <c r="N2199" s="321">
        <v>81</v>
      </c>
      <c r="O2199" s="321" t="s">
        <v>5208</v>
      </c>
      <c r="P2199" s="321">
        <v>4813500</v>
      </c>
      <c r="Q2199" s="322">
        <v>215000</v>
      </c>
      <c r="R2199" s="322">
        <v>158800</v>
      </c>
      <c r="S2199" s="322">
        <v>220000</v>
      </c>
      <c r="T2199" s="322">
        <v>220000</v>
      </c>
      <c r="U2199" s="322">
        <f t="shared" si="160"/>
        <v>0</v>
      </c>
      <c r="W2199" s="321">
        <f t="shared" si="161"/>
        <v>141</v>
      </c>
      <c r="X2199" s="321">
        <f t="shared" si="162"/>
        <v>813500</v>
      </c>
      <c r="Y2199" s="321">
        <v>1</v>
      </c>
      <c r="AA2199" s="321" t="s">
        <v>5208</v>
      </c>
    </row>
    <row r="2200" spans="13:27">
      <c r="M2200" s="321">
        <v>1813500181</v>
      </c>
      <c r="N2200" s="321">
        <v>81</v>
      </c>
      <c r="O2200" s="321" t="s">
        <v>2580</v>
      </c>
      <c r="P2200" s="321">
        <v>4813500</v>
      </c>
      <c r="Q2200" s="322">
        <v>516000</v>
      </c>
      <c r="R2200" s="322">
        <v>362700</v>
      </c>
      <c r="S2200" s="322">
        <v>493000</v>
      </c>
      <c r="T2200" s="322">
        <v>493000</v>
      </c>
      <c r="U2200" s="322">
        <f t="shared" si="160"/>
        <v>0</v>
      </c>
      <c r="W2200" s="321">
        <f t="shared" si="161"/>
        <v>181</v>
      </c>
      <c r="X2200" s="321">
        <f t="shared" si="162"/>
        <v>813500</v>
      </c>
      <c r="Y2200" s="321">
        <v>1</v>
      </c>
      <c r="AA2200" s="321" t="s">
        <v>2580</v>
      </c>
    </row>
    <row r="2201" spans="13:27">
      <c r="M2201" s="321">
        <v>1813500182</v>
      </c>
      <c r="N2201" s="321">
        <v>81</v>
      </c>
      <c r="O2201" s="321" t="s">
        <v>2582</v>
      </c>
      <c r="P2201" s="321">
        <v>4813500</v>
      </c>
      <c r="Q2201" s="322">
        <v>435000</v>
      </c>
      <c r="R2201" s="322">
        <v>284000</v>
      </c>
      <c r="S2201" s="322">
        <v>424000</v>
      </c>
      <c r="T2201" s="322">
        <v>424000</v>
      </c>
      <c r="U2201" s="322">
        <f t="shared" si="160"/>
        <v>0</v>
      </c>
      <c r="W2201" s="321">
        <f t="shared" si="161"/>
        <v>182</v>
      </c>
      <c r="X2201" s="321">
        <f t="shared" si="162"/>
        <v>813500</v>
      </c>
      <c r="Y2201" s="321">
        <v>1</v>
      </c>
      <c r="AA2201" s="321" t="s">
        <v>2582</v>
      </c>
    </row>
    <row r="2202" spans="13:27">
      <c r="M2202" s="321">
        <v>1813500211</v>
      </c>
      <c r="N2202" s="321">
        <v>81</v>
      </c>
      <c r="O2202" s="321" t="s">
        <v>5831</v>
      </c>
      <c r="P2202" s="321">
        <v>4813500</v>
      </c>
      <c r="Q2202" s="322">
        <v>0</v>
      </c>
      <c r="R2202" s="322">
        <v>0</v>
      </c>
      <c r="S2202" s="322">
        <v>0</v>
      </c>
      <c r="T2202" s="322">
        <v>0</v>
      </c>
      <c r="U2202" s="322">
        <f t="shared" si="160"/>
        <v>0</v>
      </c>
      <c r="W2202" s="321">
        <f t="shared" si="161"/>
        <v>211</v>
      </c>
      <c r="X2202" s="321">
        <f t="shared" si="162"/>
        <v>813500</v>
      </c>
      <c r="Y2202" s="321">
        <v>1</v>
      </c>
      <c r="AA2202" s="321" t="s">
        <v>5831</v>
      </c>
    </row>
    <row r="2203" spans="13:27">
      <c r="M2203" s="321">
        <v>1813500470</v>
      </c>
      <c r="N2203" s="321">
        <v>81</v>
      </c>
      <c r="O2203" s="321" t="s">
        <v>5877</v>
      </c>
      <c r="P2203" s="321">
        <v>4813500</v>
      </c>
      <c r="Q2203" s="322">
        <v>6000</v>
      </c>
      <c r="R2203" s="322">
        <v>4100</v>
      </c>
      <c r="S2203" s="322">
        <v>6000</v>
      </c>
      <c r="T2203" s="322">
        <v>6000</v>
      </c>
      <c r="U2203" s="322">
        <f t="shared" si="160"/>
        <v>0</v>
      </c>
      <c r="W2203" s="321">
        <f t="shared" si="161"/>
        <v>470</v>
      </c>
      <c r="X2203" s="321">
        <f t="shared" si="162"/>
        <v>813500</v>
      </c>
      <c r="Y2203" s="321">
        <v>1</v>
      </c>
      <c r="AA2203" s="321" t="s">
        <v>5877</v>
      </c>
    </row>
    <row r="2204" spans="13:27">
      <c r="M2204" s="321">
        <v>1813500471</v>
      </c>
      <c r="N2204" s="321">
        <v>81</v>
      </c>
      <c r="O2204" s="321" t="s">
        <v>5878</v>
      </c>
      <c r="P2204" s="321">
        <v>4813500</v>
      </c>
      <c r="Q2204" s="322">
        <v>3500</v>
      </c>
      <c r="R2204" s="322">
        <v>1000</v>
      </c>
      <c r="S2204" s="322">
        <v>3700</v>
      </c>
      <c r="T2204" s="322">
        <v>3700</v>
      </c>
      <c r="U2204" s="322">
        <f t="shared" si="160"/>
        <v>0</v>
      </c>
      <c r="W2204" s="321">
        <f t="shared" si="161"/>
        <v>471</v>
      </c>
      <c r="X2204" s="321">
        <f t="shared" si="162"/>
        <v>813500</v>
      </c>
      <c r="Y2204" s="321">
        <v>1</v>
      </c>
      <c r="AA2204" s="321" t="s">
        <v>5878</v>
      </c>
    </row>
    <row r="2205" spans="13:27">
      <c r="M2205" s="321">
        <v>1813500540</v>
      </c>
      <c r="N2205" s="321">
        <v>81</v>
      </c>
      <c r="O2205" s="321" t="s">
        <v>5216</v>
      </c>
      <c r="P2205" s="321">
        <v>4813500</v>
      </c>
      <c r="Q2205" s="322">
        <v>17000</v>
      </c>
      <c r="R2205" s="322">
        <v>10700</v>
      </c>
      <c r="S2205" s="322">
        <v>17000</v>
      </c>
      <c r="T2205" s="322">
        <v>17000</v>
      </c>
      <c r="U2205" s="322">
        <f t="shared" si="160"/>
        <v>0</v>
      </c>
      <c r="W2205" s="321">
        <f t="shared" si="161"/>
        <v>540</v>
      </c>
      <c r="X2205" s="321">
        <f t="shared" si="162"/>
        <v>813500</v>
      </c>
      <c r="Y2205" s="321">
        <v>1</v>
      </c>
      <c r="AA2205" s="321" t="s">
        <v>5216</v>
      </c>
    </row>
    <row r="2206" spans="13:27">
      <c r="M2206" s="321">
        <v>1813500580</v>
      </c>
      <c r="N2206" s="321">
        <v>81</v>
      </c>
      <c r="O2206" s="321" t="s">
        <v>5322</v>
      </c>
      <c r="P2206" s="321">
        <v>4813500</v>
      </c>
      <c r="Q2206" s="322">
        <v>50000</v>
      </c>
      <c r="R2206" s="322">
        <v>0</v>
      </c>
      <c r="S2206" s="322">
        <v>50000</v>
      </c>
      <c r="T2206" s="322">
        <v>50000</v>
      </c>
      <c r="U2206" s="322">
        <f t="shared" si="160"/>
        <v>0</v>
      </c>
      <c r="W2206" s="321">
        <f t="shared" si="161"/>
        <v>580</v>
      </c>
      <c r="X2206" s="321">
        <f t="shared" si="162"/>
        <v>813500</v>
      </c>
      <c r="Y2206" s="321">
        <v>1</v>
      </c>
      <c r="AA2206" s="321" t="s">
        <v>5322</v>
      </c>
    </row>
    <row r="2207" spans="13:27">
      <c r="M2207" s="321">
        <v>1813500750</v>
      </c>
      <c r="N2207" s="321">
        <v>81</v>
      </c>
      <c r="O2207" s="321" t="s">
        <v>2707</v>
      </c>
      <c r="P2207" s="321">
        <v>4813500</v>
      </c>
      <c r="Q2207" s="322">
        <v>540000</v>
      </c>
      <c r="R2207" s="322">
        <v>303800</v>
      </c>
      <c r="S2207" s="322">
        <v>540000</v>
      </c>
      <c r="T2207" s="322">
        <v>510000</v>
      </c>
      <c r="U2207" s="322">
        <f t="shared" si="160"/>
        <v>30000</v>
      </c>
      <c r="W2207" s="321">
        <f t="shared" si="161"/>
        <v>750</v>
      </c>
      <c r="X2207" s="321">
        <f t="shared" si="162"/>
        <v>813500</v>
      </c>
      <c r="Y2207" s="321">
        <v>1</v>
      </c>
      <c r="AA2207" s="321" t="s">
        <v>2707</v>
      </c>
    </row>
    <row r="2208" spans="13:27">
      <c r="M2208" s="321">
        <v>1813500751</v>
      </c>
      <c r="N2208" s="321">
        <v>81</v>
      </c>
      <c r="O2208" s="321" t="s">
        <v>5864</v>
      </c>
      <c r="P2208" s="321">
        <v>4813500</v>
      </c>
      <c r="Q2208" s="322">
        <v>0</v>
      </c>
      <c r="R2208" s="322">
        <v>0</v>
      </c>
      <c r="S2208" s="322">
        <v>0</v>
      </c>
      <c r="T2208" s="322">
        <v>0</v>
      </c>
      <c r="U2208" s="322">
        <f t="shared" si="160"/>
        <v>0</v>
      </c>
      <c r="W2208" s="321">
        <f t="shared" si="161"/>
        <v>751</v>
      </c>
      <c r="X2208" s="321">
        <f t="shared" si="162"/>
        <v>813500</v>
      </c>
      <c r="Y2208" s="321">
        <v>1</v>
      </c>
      <c r="AA2208" s="321" t="s">
        <v>5864</v>
      </c>
    </row>
    <row r="2209" spans="13:27">
      <c r="M2209" s="321">
        <v>1813500752</v>
      </c>
      <c r="N2209" s="321">
        <v>81</v>
      </c>
      <c r="O2209" s="321" t="s">
        <v>5879</v>
      </c>
      <c r="P2209" s="321">
        <v>4813500</v>
      </c>
      <c r="Q2209" s="322">
        <v>202000</v>
      </c>
      <c r="R2209" s="322">
        <v>83200</v>
      </c>
      <c r="S2209" s="322">
        <v>202000</v>
      </c>
      <c r="T2209" s="322">
        <v>202000</v>
      </c>
      <c r="U2209" s="322">
        <f t="shared" si="160"/>
        <v>0</v>
      </c>
      <c r="W2209" s="321">
        <f t="shared" si="161"/>
        <v>752</v>
      </c>
      <c r="X2209" s="321">
        <f t="shared" si="162"/>
        <v>813500</v>
      </c>
      <c r="Y2209" s="321">
        <v>1</v>
      </c>
      <c r="AA2209" s="321" t="s">
        <v>5879</v>
      </c>
    </row>
    <row r="2210" spans="13:27">
      <c r="M2210" s="321">
        <v>1813500753</v>
      </c>
      <c r="N2210" s="321">
        <v>81</v>
      </c>
      <c r="O2210" s="321" t="s">
        <v>5880</v>
      </c>
      <c r="P2210" s="321">
        <v>4813500</v>
      </c>
      <c r="Q2210" s="322">
        <v>4650000</v>
      </c>
      <c r="R2210" s="322">
        <v>2695900</v>
      </c>
      <c r="S2210" s="322">
        <v>4885000</v>
      </c>
      <c r="T2210" s="322">
        <v>4885000</v>
      </c>
      <c r="U2210" s="322">
        <f t="shared" si="160"/>
        <v>0</v>
      </c>
      <c r="W2210" s="321">
        <f t="shared" si="161"/>
        <v>753</v>
      </c>
      <c r="X2210" s="321">
        <f t="shared" si="162"/>
        <v>813500</v>
      </c>
      <c r="Y2210" s="321">
        <v>1</v>
      </c>
      <c r="AA2210" s="321" t="s">
        <v>5880</v>
      </c>
    </row>
    <row r="2211" spans="13:27">
      <c r="M2211" s="321">
        <v>1813500754</v>
      </c>
      <c r="N2211" s="321">
        <v>81</v>
      </c>
      <c r="O2211" s="321" t="s">
        <v>5881</v>
      </c>
      <c r="P2211" s="321">
        <v>4813500</v>
      </c>
      <c r="Q2211" s="322">
        <v>3885000</v>
      </c>
      <c r="R2211" s="322">
        <v>2628500</v>
      </c>
      <c r="S2211" s="322">
        <v>4700000</v>
      </c>
      <c r="T2211" s="322">
        <v>4700000</v>
      </c>
      <c r="U2211" s="322">
        <f t="shared" si="160"/>
        <v>0</v>
      </c>
      <c r="W2211" s="321">
        <f t="shared" si="161"/>
        <v>754</v>
      </c>
      <c r="X2211" s="321">
        <f t="shared" si="162"/>
        <v>813500</v>
      </c>
      <c r="Y2211" s="321">
        <v>1</v>
      </c>
      <c r="AA2211" s="321" t="s">
        <v>5881</v>
      </c>
    </row>
    <row r="2212" spans="13:27">
      <c r="M2212" s="321">
        <v>1813500755</v>
      </c>
      <c r="N2212" s="321">
        <v>81</v>
      </c>
      <c r="O2212" s="321" t="s">
        <v>5882</v>
      </c>
      <c r="P2212" s="321">
        <v>4813500</v>
      </c>
      <c r="Q2212" s="322">
        <v>500000</v>
      </c>
      <c r="R2212" s="322">
        <v>333200</v>
      </c>
      <c r="S2212" s="322">
        <v>540000</v>
      </c>
      <c r="T2212" s="322">
        <v>540000</v>
      </c>
      <c r="U2212" s="322">
        <f t="shared" si="160"/>
        <v>0</v>
      </c>
      <c r="W2212" s="321">
        <f t="shared" si="161"/>
        <v>755</v>
      </c>
      <c r="X2212" s="321">
        <f t="shared" si="162"/>
        <v>813500</v>
      </c>
      <c r="Y2212" s="321">
        <v>1</v>
      </c>
      <c r="AA2212" s="321" t="s">
        <v>5882</v>
      </c>
    </row>
    <row r="2213" spans="13:27">
      <c r="M2213" s="321">
        <v>1813500760</v>
      </c>
      <c r="N2213" s="321">
        <v>81</v>
      </c>
      <c r="O2213" s="321" t="s">
        <v>5883</v>
      </c>
      <c r="P2213" s="321">
        <v>4813500</v>
      </c>
      <c r="Q2213" s="322">
        <v>6200000</v>
      </c>
      <c r="R2213" s="322">
        <v>4206000</v>
      </c>
      <c r="S2213" s="322">
        <v>6600000</v>
      </c>
      <c r="T2213" s="322">
        <v>6200000</v>
      </c>
      <c r="U2213" s="322">
        <f t="shared" si="160"/>
        <v>400000</v>
      </c>
      <c r="W2213" s="321">
        <f t="shared" si="161"/>
        <v>760</v>
      </c>
      <c r="X2213" s="321">
        <f t="shared" si="162"/>
        <v>813500</v>
      </c>
      <c r="Y2213" s="321">
        <v>1</v>
      </c>
      <c r="AA2213" s="321" t="s">
        <v>5883</v>
      </c>
    </row>
    <row r="2214" spans="13:27">
      <c r="M2214" s="321">
        <v>1813500761</v>
      </c>
      <c r="N2214" s="321">
        <v>81</v>
      </c>
      <c r="O2214" s="321" t="s">
        <v>5884</v>
      </c>
      <c r="P2214" s="321">
        <v>4813500</v>
      </c>
      <c r="Q2214" s="322">
        <v>50000</v>
      </c>
      <c r="R2214" s="322">
        <v>0</v>
      </c>
      <c r="S2214" s="322">
        <v>50000</v>
      </c>
      <c r="T2214" s="322">
        <v>50000</v>
      </c>
      <c r="U2214" s="322">
        <f t="shared" si="160"/>
        <v>0</v>
      </c>
      <c r="W2214" s="321">
        <f t="shared" si="161"/>
        <v>761</v>
      </c>
      <c r="X2214" s="321">
        <f t="shared" si="162"/>
        <v>813500</v>
      </c>
      <c r="Y2214" s="321">
        <v>1</v>
      </c>
      <c r="AA2214" s="321" t="s">
        <v>5884</v>
      </c>
    </row>
    <row r="2215" spans="13:27">
      <c r="M2215" s="321">
        <v>1813500762</v>
      </c>
      <c r="N2215" s="321">
        <v>81</v>
      </c>
      <c r="O2215" s="321" t="s">
        <v>5885</v>
      </c>
      <c r="P2215" s="321">
        <v>4813500</v>
      </c>
      <c r="Q2215" s="322">
        <v>350000</v>
      </c>
      <c r="R2215" s="322">
        <v>126400</v>
      </c>
      <c r="S2215" s="322">
        <v>350000</v>
      </c>
      <c r="T2215" s="322">
        <v>350000</v>
      </c>
      <c r="U2215" s="322">
        <f t="shared" si="160"/>
        <v>0</v>
      </c>
      <c r="W2215" s="321">
        <f t="shared" si="161"/>
        <v>762</v>
      </c>
      <c r="X2215" s="321">
        <f t="shared" si="162"/>
        <v>813500</v>
      </c>
      <c r="Y2215" s="321">
        <v>1</v>
      </c>
      <c r="AA2215" s="321" t="s">
        <v>5885</v>
      </c>
    </row>
    <row r="2216" spans="13:27">
      <c r="M2216" s="321">
        <v>1813500763</v>
      </c>
      <c r="N2216" s="321">
        <v>81</v>
      </c>
      <c r="O2216" s="321" t="s">
        <v>5886</v>
      </c>
      <c r="P2216" s="321">
        <v>4813500</v>
      </c>
      <c r="Q2216" s="322">
        <v>4335000</v>
      </c>
      <c r="R2216" s="322">
        <v>2320900</v>
      </c>
      <c r="S2216" s="322">
        <v>5780000</v>
      </c>
      <c r="T2216" s="322">
        <v>5780000</v>
      </c>
      <c r="U2216" s="322">
        <f t="shared" si="160"/>
        <v>0</v>
      </c>
      <c r="W2216" s="321">
        <f t="shared" si="161"/>
        <v>763</v>
      </c>
      <c r="X2216" s="321">
        <f t="shared" si="162"/>
        <v>813500</v>
      </c>
      <c r="Y2216" s="321">
        <v>1</v>
      </c>
      <c r="AA2216" s="321" t="s">
        <v>5886</v>
      </c>
    </row>
    <row r="2217" spans="13:27">
      <c r="M2217" s="321">
        <v>1813500764</v>
      </c>
      <c r="N2217" s="321">
        <v>81</v>
      </c>
      <c r="O2217" s="321" t="s">
        <v>5887</v>
      </c>
      <c r="P2217" s="321">
        <v>4813500</v>
      </c>
      <c r="Q2217" s="322">
        <v>1080000</v>
      </c>
      <c r="R2217" s="322">
        <v>585900</v>
      </c>
      <c r="S2217" s="322">
        <v>1080000</v>
      </c>
      <c r="T2217" s="322">
        <v>1080000</v>
      </c>
      <c r="U2217" s="322">
        <f t="shared" si="160"/>
        <v>0</v>
      </c>
      <c r="W2217" s="321">
        <f t="shared" si="161"/>
        <v>764</v>
      </c>
      <c r="X2217" s="321">
        <f t="shared" si="162"/>
        <v>813500</v>
      </c>
      <c r="Y2217" s="321">
        <v>1</v>
      </c>
      <c r="AA2217" s="321" t="s">
        <v>5887</v>
      </c>
    </row>
    <row r="2218" spans="13:27">
      <c r="M2218" s="321">
        <v>1813500765</v>
      </c>
      <c r="N2218" s="321">
        <v>81</v>
      </c>
      <c r="O2218" s="321" t="s">
        <v>5888</v>
      </c>
      <c r="P2218" s="321">
        <v>4813500</v>
      </c>
      <c r="Q2218" s="322">
        <v>0</v>
      </c>
      <c r="R2218" s="322">
        <v>0</v>
      </c>
      <c r="S2218" s="322">
        <v>180000</v>
      </c>
      <c r="T2218" s="322">
        <v>180000</v>
      </c>
      <c r="U2218" s="322">
        <f t="shared" si="160"/>
        <v>0</v>
      </c>
      <c r="W2218" s="321">
        <f t="shared" si="161"/>
        <v>765</v>
      </c>
      <c r="X2218" s="321">
        <f t="shared" si="162"/>
        <v>813500</v>
      </c>
      <c r="Y2218" s="321">
        <v>1</v>
      </c>
      <c r="AA2218" s="321" t="s">
        <v>5888</v>
      </c>
    </row>
    <row r="2219" spans="13:27">
      <c r="M2219" s="321">
        <v>1813500771</v>
      </c>
      <c r="N2219" s="321">
        <v>81</v>
      </c>
      <c r="O2219" s="321" t="s">
        <v>5889</v>
      </c>
      <c r="P2219" s="321">
        <v>4813500</v>
      </c>
      <c r="Q2219" s="322">
        <v>3800000</v>
      </c>
      <c r="R2219" s="322">
        <v>3996300</v>
      </c>
      <c r="S2219" s="322">
        <v>4200000</v>
      </c>
      <c r="T2219" s="322">
        <v>4200000</v>
      </c>
      <c r="U2219" s="322">
        <f t="shared" si="160"/>
        <v>0</v>
      </c>
      <c r="W2219" s="321">
        <f t="shared" si="161"/>
        <v>771</v>
      </c>
      <c r="X2219" s="321">
        <f t="shared" si="162"/>
        <v>813500</v>
      </c>
      <c r="Y2219" s="321">
        <v>1</v>
      </c>
      <c r="AA2219" s="321" t="s">
        <v>5889</v>
      </c>
    </row>
    <row r="2220" spans="13:27">
      <c r="M2220" s="321">
        <v>1813500772</v>
      </c>
      <c r="N2220" s="321">
        <v>81</v>
      </c>
      <c r="O2220" s="321" t="s">
        <v>5890</v>
      </c>
      <c r="P2220" s="321">
        <v>4813500</v>
      </c>
      <c r="Q2220" s="322">
        <v>1830000</v>
      </c>
      <c r="R2220" s="322">
        <v>654600</v>
      </c>
      <c r="S2220" s="322">
        <v>1600000</v>
      </c>
      <c r="T2220" s="322">
        <v>1600000</v>
      </c>
      <c r="U2220" s="322">
        <f t="shared" si="160"/>
        <v>0</v>
      </c>
      <c r="W2220" s="321">
        <f t="shared" si="161"/>
        <v>772</v>
      </c>
      <c r="X2220" s="321">
        <f t="shared" si="162"/>
        <v>813500</v>
      </c>
      <c r="Y2220" s="321">
        <v>1</v>
      </c>
      <c r="AA2220" s="321" t="s">
        <v>5890</v>
      </c>
    </row>
    <row r="2221" spans="13:27">
      <c r="M2221" s="321">
        <v>1813500780</v>
      </c>
      <c r="N2221" s="321">
        <v>81</v>
      </c>
      <c r="O2221" s="321" t="s">
        <v>5891</v>
      </c>
      <c r="P2221" s="321">
        <v>4813500</v>
      </c>
      <c r="Q2221" s="322">
        <v>75000</v>
      </c>
      <c r="R2221" s="322">
        <v>73800</v>
      </c>
      <c r="S2221" s="322">
        <v>80000</v>
      </c>
      <c r="T2221" s="322">
        <v>80000</v>
      </c>
      <c r="U2221" s="322">
        <f t="shared" si="160"/>
        <v>0</v>
      </c>
      <c r="W2221" s="321">
        <f t="shared" si="161"/>
        <v>780</v>
      </c>
      <c r="X2221" s="321">
        <f t="shared" si="162"/>
        <v>813500</v>
      </c>
      <c r="Y2221" s="321">
        <v>1</v>
      </c>
      <c r="AA2221" s="321" t="s">
        <v>5891</v>
      </c>
    </row>
    <row r="2222" spans="13:27">
      <c r="M2222" s="321">
        <v>1813500781</v>
      </c>
      <c r="N2222" s="321">
        <v>81</v>
      </c>
      <c r="O2222" s="321" t="s">
        <v>5892</v>
      </c>
      <c r="P2222" s="321">
        <v>4813500</v>
      </c>
      <c r="Q2222" s="322">
        <v>147000</v>
      </c>
      <c r="R2222" s="322">
        <v>-13900</v>
      </c>
      <c r="S2222" s="322">
        <v>150000</v>
      </c>
      <c r="T2222" s="322">
        <v>150000</v>
      </c>
      <c r="U2222" s="322">
        <f t="shared" si="160"/>
        <v>0</v>
      </c>
      <c r="W2222" s="321">
        <f t="shared" si="161"/>
        <v>781</v>
      </c>
      <c r="X2222" s="321">
        <f t="shared" si="162"/>
        <v>813500</v>
      </c>
      <c r="Y2222" s="321">
        <v>1</v>
      </c>
      <c r="AA2222" s="321" t="s">
        <v>5892</v>
      </c>
    </row>
    <row r="2223" spans="13:27">
      <c r="M2223" s="321">
        <v>1813500810</v>
      </c>
      <c r="N2223" s="321">
        <v>81</v>
      </c>
      <c r="O2223" s="321" t="s">
        <v>5893</v>
      </c>
      <c r="P2223" s="321">
        <v>4813500</v>
      </c>
      <c r="Q2223" s="322">
        <v>2700000</v>
      </c>
      <c r="R2223" s="322">
        <v>2696700</v>
      </c>
      <c r="S2223" s="322">
        <v>4500000</v>
      </c>
      <c r="T2223" s="322">
        <v>4000000</v>
      </c>
      <c r="U2223" s="322">
        <f t="shared" si="160"/>
        <v>500000</v>
      </c>
      <c r="W2223" s="321">
        <f t="shared" si="161"/>
        <v>810</v>
      </c>
      <c r="X2223" s="321">
        <f t="shared" si="162"/>
        <v>813500</v>
      </c>
      <c r="Y2223" s="321">
        <v>1</v>
      </c>
      <c r="AA2223" s="321" t="s">
        <v>5893</v>
      </c>
    </row>
    <row r="2224" spans="13:27">
      <c r="M2224" s="321">
        <v>1813500820</v>
      </c>
      <c r="N2224" s="321">
        <v>81</v>
      </c>
      <c r="O2224" s="321" t="s">
        <v>5894</v>
      </c>
      <c r="P2224" s="321">
        <v>4813500</v>
      </c>
      <c r="Q2224" s="322">
        <v>1010000</v>
      </c>
      <c r="R2224" s="322">
        <v>459800</v>
      </c>
      <c r="S2224" s="322">
        <v>1010000</v>
      </c>
      <c r="T2224" s="322">
        <v>1010000</v>
      </c>
      <c r="U2224" s="322">
        <f t="shared" si="160"/>
        <v>0</v>
      </c>
      <c r="W2224" s="321">
        <f t="shared" si="161"/>
        <v>820</v>
      </c>
      <c r="X2224" s="321">
        <f t="shared" si="162"/>
        <v>813500</v>
      </c>
      <c r="Y2224" s="321">
        <v>1</v>
      </c>
      <c r="AA2224" s="321" t="s">
        <v>5894</v>
      </c>
    </row>
    <row r="2225" spans="13:27">
      <c r="M2225" s="321">
        <v>1813500821</v>
      </c>
      <c r="N2225" s="321">
        <v>81</v>
      </c>
      <c r="O2225" s="321" t="s">
        <v>5895</v>
      </c>
      <c r="P2225" s="321">
        <v>4813500</v>
      </c>
      <c r="Q2225" s="322">
        <v>945000</v>
      </c>
      <c r="R2225" s="322">
        <v>605200</v>
      </c>
      <c r="S2225" s="322">
        <v>800000</v>
      </c>
      <c r="T2225" s="322">
        <v>800000</v>
      </c>
      <c r="U2225" s="322">
        <f t="shared" si="160"/>
        <v>0</v>
      </c>
      <c r="W2225" s="321">
        <f t="shared" si="161"/>
        <v>821</v>
      </c>
      <c r="X2225" s="321">
        <f t="shared" si="162"/>
        <v>813500</v>
      </c>
      <c r="Y2225" s="321">
        <v>1</v>
      </c>
      <c r="AA2225" s="321" t="s">
        <v>5895</v>
      </c>
    </row>
    <row r="2226" spans="13:27">
      <c r="M2226" s="321">
        <v>1813500822</v>
      </c>
      <c r="N2226" s="321">
        <v>81</v>
      </c>
      <c r="O2226" s="321" t="s">
        <v>5896</v>
      </c>
      <c r="P2226" s="321">
        <v>4813500</v>
      </c>
      <c r="Q2226" s="322">
        <v>0</v>
      </c>
      <c r="R2226" s="322">
        <v>0</v>
      </c>
      <c r="S2226" s="322">
        <v>0</v>
      </c>
      <c r="T2226" s="322">
        <v>0</v>
      </c>
      <c r="U2226" s="322">
        <f t="shared" si="160"/>
        <v>0</v>
      </c>
      <c r="W2226" s="321">
        <f t="shared" si="161"/>
        <v>822</v>
      </c>
      <c r="X2226" s="321">
        <f t="shared" si="162"/>
        <v>813500</v>
      </c>
      <c r="Y2226" s="321">
        <v>1</v>
      </c>
      <c r="AA2226" s="321" t="s">
        <v>5896</v>
      </c>
    </row>
    <row r="2227" spans="13:27">
      <c r="M2227" s="321">
        <v>1813500850</v>
      </c>
      <c r="N2227" s="321">
        <v>81</v>
      </c>
      <c r="O2227" s="321" t="s">
        <v>5897</v>
      </c>
      <c r="P2227" s="321">
        <v>4813500</v>
      </c>
      <c r="Q2227" s="322">
        <v>620000</v>
      </c>
      <c r="R2227" s="322">
        <v>668600</v>
      </c>
      <c r="S2227" s="322">
        <v>650000</v>
      </c>
      <c r="T2227" s="322">
        <v>650000</v>
      </c>
      <c r="U2227" s="322">
        <f t="shared" si="160"/>
        <v>0</v>
      </c>
      <c r="W2227" s="321">
        <f t="shared" si="161"/>
        <v>850</v>
      </c>
      <c r="X2227" s="321">
        <f t="shared" si="162"/>
        <v>813500</v>
      </c>
      <c r="Y2227" s="321">
        <v>1</v>
      </c>
      <c r="AA2227" s="321" t="s">
        <v>5897</v>
      </c>
    </row>
    <row r="2228" spans="13:27">
      <c r="M2228" s="321">
        <v>1813500920</v>
      </c>
      <c r="N2228" s="321">
        <v>81</v>
      </c>
      <c r="O2228" s="321" t="s">
        <v>5290</v>
      </c>
      <c r="P2228" s="321">
        <v>4813500</v>
      </c>
      <c r="Q2228" s="322">
        <v>3850000</v>
      </c>
      <c r="R2228" s="322">
        <v>1178900</v>
      </c>
      <c r="S2228" s="322">
        <v>3850000</v>
      </c>
      <c r="T2228" s="322">
        <v>3655000</v>
      </c>
      <c r="U2228" s="322">
        <f t="shared" si="160"/>
        <v>195000</v>
      </c>
      <c r="W2228" s="321">
        <f t="shared" si="161"/>
        <v>920</v>
      </c>
      <c r="X2228" s="321">
        <f t="shared" si="162"/>
        <v>813500</v>
      </c>
      <c r="Y2228" s="321">
        <v>1</v>
      </c>
      <c r="AA2228" s="321" t="s">
        <v>5290</v>
      </c>
    </row>
    <row r="2229" spans="13:27">
      <c r="M2229" s="321">
        <v>1813500981</v>
      </c>
      <c r="N2229" s="321">
        <v>81</v>
      </c>
      <c r="O2229" s="321" t="s">
        <v>5898</v>
      </c>
      <c r="P2229" s="321">
        <v>4813500</v>
      </c>
      <c r="Q2229" s="322">
        <v>0</v>
      </c>
      <c r="R2229" s="322">
        <v>0</v>
      </c>
      <c r="S2229" s="322">
        <v>0</v>
      </c>
      <c r="T2229" s="322">
        <v>0</v>
      </c>
      <c r="U2229" s="322">
        <f t="shared" si="160"/>
        <v>0</v>
      </c>
      <c r="W2229" s="321">
        <f t="shared" si="161"/>
        <v>981</v>
      </c>
      <c r="X2229" s="321">
        <f t="shared" si="162"/>
        <v>813500</v>
      </c>
      <c r="Y2229" s="321">
        <v>1</v>
      </c>
      <c r="AA2229" s="321" t="s">
        <v>5898</v>
      </c>
    </row>
    <row r="2230" spans="13:27">
      <c r="M2230" s="321">
        <v>1813501110</v>
      </c>
      <c r="N2230" s="321">
        <v>81</v>
      </c>
      <c r="O2230" s="321" t="s">
        <v>5205</v>
      </c>
      <c r="P2230" s="321">
        <v>4813500</v>
      </c>
      <c r="Q2230" s="322">
        <v>1257000</v>
      </c>
      <c r="R2230" s="322">
        <v>775400</v>
      </c>
      <c r="S2230" s="322">
        <v>1119000</v>
      </c>
      <c r="T2230" s="322">
        <v>1119000</v>
      </c>
      <c r="U2230" s="322">
        <f t="shared" si="160"/>
        <v>0</v>
      </c>
      <c r="W2230" s="321">
        <f t="shared" si="161"/>
        <v>110</v>
      </c>
      <c r="X2230" s="321">
        <f t="shared" si="162"/>
        <v>813501</v>
      </c>
      <c r="Y2230" s="321">
        <v>1</v>
      </c>
      <c r="AA2230" s="321" t="s">
        <v>5205</v>
      </c>
    </row>
    <row r="2231" spans="13:27">
      <c r="M2231" s="321">
        <v>1813501120</v>
      </c>
      <c r="N2231" s="321">
        <v>81</v>
      </c>
      <c r="O2231" s="321" t="s">
        <v>5206</v>
      </c>
      <c r="P2231" s="321">
        <v>4813500</v>
      </c>
      <c r="Q2231" s="322">
        <v>73000</v>
      </c>
      <c r="R2231" s="322">
        <v>68300</v>
      </c>
      <c r="S2231" s="322">
        <v>75000</v>
      </c>
      <c r="T2231" s="322">
        <v>75000</v>
      </c>
      <c r="U2231" s="322">
        <f t="shared" si="160"/>
        <v>0</v>
      </c>
      <c r="W2231" s="321">
        <f t="shared" si="161"/>
        <v>120</v>
      </c>
      <c r="X2231" s="321">
        <f t="shared" si="162"/>
        <v>813501</v>
      </c>
      <c r="Y2231" s="321">
        <v>1</v>
      </c>
      <c r="AA2231" s="321" t="s">
        <v>5206</v>
      </c>
    </row>
    <row r="2232" spans="13:27">
      <c r="M2232" s="321">
        <v>1813501130</v>
      </c>
      <c r="N2232" s="321">
        <v>81</v>
      </c>
      <c r="O2232" s="321" t="s">
        <v>2576</v>
      </c>
      <c r="P2232" s="321">
        <v>4813500</v>
      </c>
      <c r="Q2232" s="322">
        <v>68000</v>
      </c>
      <c r="R2232" s="322">
        <v>52700</v>
      </c>
      <c r="S2232" s="322">
        <v>73000</v>
      </c>
      <c r="T2232" s="322">
        <v>65700</v>
      </c>
      <c r="U2232" s="322">
        <f t="shared" si="160"/>
        <v>7300</v>
      </c>
      <c r="W2232" s="321">
        <f t="shared" si="161"/>
        <v>130</v>
      </c>
      <c r="X2232" s="321">
        <f t="shared" si="162"/>
        <v>813501</v>
      </c>
      <c r="Y2232" s="321">
        <v>1</v>
      </c>
      <c r="AA2232" s="321" t="s">
        <v>2576</v>
      </c>
    </row>
    <row r="2233" spans="13:27">
      <c r="M2233" s="321">
        <v>1813501140</v>
      </c>
      <c r="N2233" s="321">
        <v>81</v>
      </c>
      <c r="O2233" s="321" t="s">
        <v>5207</v>
      </c>
      <c r="P2233" s="321">
        <v>4813500</v>
      </c>
      <c r="Q2233" s="322">
        <v>199000</v>
      </c>
      <c r="R2233" s="322">
        <v>195100</v>
      </c>
      <c r="S2233" s="322">
        <v>239000</v>
      </c>
      <c r="T2233" s="322">
        <v>239000</v>
      </c>
      <c r="U2233" s="322">
        <f t="shared" si="160"/>
        <v>0</v>
      </c>
      <c r="W2233" s="321">
        <f t="shared" si="161"/>
        <v>140</v>
      </c>
      <c r="X2233" s="321">
        <f t="shared" si="162"/>
        <v>813501</v>
      </c>
      <c r="Y2233" s="321">
        <v>1</v>
      </c>
      <c r="AA2233" s="321" t="s">
        <v>5207</v>
      </c>
    </row>
    <row r="2234" spans="13:27">
      <c r="M2234" s="321">
        <v>1813501141</v>
      </c>
      <c r="N2234" s="321">
        <v>81</v>
      </c>
      <c r="O2234" s="321" t="s">
        <v>5208</v>
      </c>
      <c r="P2234" s="321">
        <v>4813500</v>
      </c>
      <c r="Q2234" s="322">
        <v>54000</v>
      </c>
      <c r="R2234" s="322">
        <v>40700</v>
      </c>
      <c r="S2234" s="322">
        <v>60000</v>
      </c>
      <c r="T2234" s="322">
        <v>60000</v>
      </c>
      <c r="U2234" s="322">
        <f t="shared" si="160"/>
        <v>0</v>
      </c>
      <c r="W2234" s="321">
        <f t="shared" si="161"/>
        <v>141</v>
      </c>
      <c r="X2234" s="321">
        <f t="shared" si="162"/>
        <v>813501</v>
      </c>
      <c r="Y2234" s="321">
        <v>1</v>
      </c>
      <c r="AA2234" s="321" t="s">
        <v>5208</v>
      </c>
    </row>
    <row r="2235" spans="13:27">
      <c r="M2235" s="321">
        <v>1813501181</v>
      </c>
      <c r="N2235" s="321">
        <v>81</v>
      </c>
      <c r="O2235" s="321" t="s">
        <v>2580</v>
      </c>
      <c r="P2235" s="321">
        <v>4813500</v>
      </c>
      <c r="Q2235" s="322">
        <v>288000</v>
      </c>
      <c r="R2235" s="322">
        <v>199400</v>
      </c>
      <c r="S2235" s="322">
        <v>280000</v>
      </c>
      <c r="T2235" s="322">
        <v>280000</v>
      </c>
      <c r="U2235" s="322">
        <f t="shared" si="160"/>
        <v>0</v>
      </c>
      <c r="W2235" s="321">
        <f t="shared" si="161"/>
        <v>181</v>
      </c>
      <c r="X2235" s="321">
        <f t="shared" si="162"/>
        <v>813501</v>
      </c>
      <c r="Y2235" s="321">
        <v>1</v>
      </c>
      <c r="AA2235" s="321" t="s">
        <v>2580</v>
      </c>
    </row>
    <row r="2236" spans="13:27">
      <c r="M2236" s="321">
        <v>1813501182</v>
      </c>
      <c r="N2236" s="321">
        <v>81</v>
      </c>
      <c r="O2236" s="321" t="s">
        <v>2582</v>
      </c>
      <c r="P2236" s="321">
        <v>4813500</v>
      </c>
      <c r="Q2236" s="322">
        <v>224000</v>
      </c>
      <c r="R2236" s="322">
        <v>156100</v>
      </c>
      <c r="S2236" s="322">
        <v>216000</v>
      </c>
      <c r="T2236" s="322">
        <v>216000</v>
      </c>
      <c r="U2236" s="322">
        <f t="shared" si="160"/>
        <v>0</v>
      </c>
      <c r="W2236" s="321">
        <f t="shared" si="161"/>
        <v>182</v>
      </c>
      <c r="X2236" s="321">
        <f t="shared" si="162"/>
        <v>813501</v>
      </c>
      <c r="Y2236" s="321">
        <v>1</v>
      </c>
      <c r="AA2236" s="321" t="s">
        <v>2582</v>
      </c>
    </row>
    <row r="2237" spans="13:27">
      <c r="M2237" s="321">
        <v>1813501540</v>
      </c>
      <c r="N2237" s="321">
        <v>81</v>
      </c>
      <c r="O2237" s="321" t="s">
        <v>5899</v>
      </c>
      <c r="P2237" s="321">
        <v>4813500</v>
      </c>
      <c r="Q2237" s="322">
        <v>2000</v>
      </c>
      <c r="R2237" s="322">
        <v>1100</v>
      </c>
      <c r="S2237" s="322">
        <v>2000</v>
      </c>
      <c r="T2237" s="322">
        <v>2000</v>
      </c>
      <c r="U2237" s="322">
        <f t="shared" si="160"/>
        <v>0</v>
      </c>
      <c r="W2237" s="321">
        <f t="shared" si="161"/>
        <v>540</v>
      </c>
      <c r="X2237" s="321">
        <f t="shared" si="162"/>
        <v>813501</v>
      </c>
      <c r="Y2237" s="321">
        <v>1</v>
      </c>
      <c r="AA2237" s="321" t="s">
        <v>5899</v>
      </c>
    </row>
    <row r="2238" spans="13:27">
      <c r="M2238" s="321">
        <v>1813501542</v>
      </c>
      <c r="N2238" s="321">
        <v>81</v>
      </c>
      <c r="O2238" s="321" t="s">
        <v>5564</v>
      </c>
      <c r="P2238" s="321">
        <v>4813500</v>
      </c>
      <c r="Q2238" s="322">
        <v>3400</v>
      </c>
      <c r="R2238" s="322">
        <v>2000</v>
      </c>
      <c r="S2238" s="322">
        <v>2000</v>
      </c>
      <c r="T2238" s="322">
        <v>2000</v>
      </c>
      <c r="U2238" s="322">
        <f t="shared" si="160"/>
        <v>0</v>
      </c>
      <c r="W2238" s="321">
        <f t="shared" si="161"/>
        <v>542</v>
      </c>
      <c r="X2238" s="321">
        <f t="shared" si="162"/>
        <v>813501</v>
      </c>
      <c r="Y2238" s="321">
        <v>1</v>
      </c>
      <c r="AA2238" s="321" t="s">
        <v>5564</v>
      </c>
    </row>
    <row r="2239" spans="13:27">
      <c r="M2239" s="321">
        <v>1813501760</v>
      </c>
      <c r="N2239" s="321">
        <v>81</v>
      </c>
      <c r="O2239" s="321" t="s">
        <v>5900</v>
      </c>
      <c r="P2239" s="321">
        <v>4813500</v>
      </c>
      <c r="Q2239" s="322">
        <v>1500000</v>
      </c>
      <c r="R2239" s="322">
        <v>961800</v>
      </c>
      <c r="S2239" s="322">
        <v>1500000</v>
      </c>
      <c r="T2239" s="322">
        <v>1500000</v>
      </c>
      <c r="U2239" s="322">
        <f t="shared" si="160"/>
        <v>0</v>
      </c>
      <c r="W2239" s="321">
        <f t="shared" si="161"/>
        <v>760</v>
      </c>
      <c r="X2239" s="321">
        <f t="shared" si="162"/>
        <v>813501</v>
      </c>
      <c r="Y2239" s="321">
        <v>1</v>
      </c>
      <c r="AA2239" s="321" t="s">
        <v>5900</v>
      </c>
    </row>
    <row r="2240" spans="13:27">
      <c r="M2240" s="321">
        <v>1813502930</v>
      </c>
      <c r="N2240" s="321">
        <v>81</v>
      </c>
      <c r="O2240" s="321" t="s">
        <v>5901</v>
      </c>
      <c r="P2240" s="321">
        <v>4813500</v>
      </c>
      <c r="Q2240" s="322">
        <v>110500</v>
      </c>
      <c r="R2240" s="322">
        <v>50700</v>
      </c>
      <c r="S2240" s="322">
        <v>111000</v>
      </c>
      <c r="T2240" s="322">
        <v>111000</v>
      </c>
      <c r="U2240" s="322">
        <f t="shared" si="160"/>
        <v>0</v>
      </c>
      <c r="W2240" s="321">
        <f t="shared" si="161"/>
        <v>930</v>
      </c>
      <c r="X2240" s="321">
        <f t="shared" si="162"/>
        <v>813502</v>
      </c>
      <c r="Y2240" s="321">
        <v>1</v>
      </c>
      <c r="AA2240" s="321" t="s">
        <v>5901</v>
      </c>
    </row>
    <row r="2241" spans="13:27">
      <c r="M2241" s="321">
        <v>1813503930</v>
      </c>
      <c r="N2241" s="321">
        <v>81</v>
      </c>
      <c r="O2241" s="321" t="s">
        <v>5902</v>
      </c>
      <c r="P2241" s="321">
        <v>4813500</v>
      </c>
      <c r="Q2241" s="322">
        <v>253300</v>
      </c>
      <c r="R2241" s="322">
        <v>68200</v>
      </c>
      <c r="S2241" s="322">
        <v>255000</v>
      </c>
      <c r="T2241" s="322">
        <v>255000</v>
      </c>
      <c r="U2241" s="322">
        <f t="shared" si="160"/>
        <v>0</v>
      </c>
      <c r="W2241" s="321">
        <f t="shared" si="161"/>
        <v>930</v>
      </c>
      <c r="X2241" s="321">
        <f t="shared" si="162"/>
        <v>813503</v>
      </c>
      <c r="Y2241" s="321">
        <v>1</v>
      </c>
      <c r="AA2241" s="321" t="s">
        <v>5902</v>
      </c>
    </row>
    <row r="2242" spans="13:27">
      <c r="M2242" s="321">
        <v>1813504750</v>
      </c>
      <c r="N2242" s="321">
        <v>81</v>
      </c>
      <c r="O2242" s="321" t="s">
        <v>5903</v>
      </c>
      <c r="P2242" s="321">
        <v>4813500</v>
      </c>
      <c r="Q2242" s="322">
        <v>212000</v>
      </c>
      <c r="R2242" s="322">
        <v>18500</v>
      </c>
      <c r="S2242" s="322">
        <v>212000</v>
      </c>
      <c r="T2242" s="322">
        <v>112000</v>
      </c>
      <c r="U2242" s="322">
        <f t="shared" ref="U2242:U2305" si="163">S2242-T2242</f>
        <v>100000</v>
      </c>
      <c r="W2242" s="321">
        <f t="shared" si="161"/>
        <v>750</v>
      </c>
      <c r="X2242" s="321">
        <f t="shared" si="162"/>
        <v>813504</v>
      </c>
      <c r="Y2242" s="321">
        <v>1</v>
      </c>
      <c r="AA2242" s="321" t="s">
        <v>5903</v>
      </c>
    </row>
    <row r="2243" spans="13:27">
      <c r="M2243" s="321">
        <v>1813505760</v>
      </c>
      <c r="N2243" s="321">
        <v>81</v>
      </c>
      <c r="O2243" s="321" t="s">
        <v>3526</v>
      </c>
      <c r="P2243" s="321">
        <v>4813500</v>
      </c>
      <c r="Q2243" s="322">
        <v>250000</v>
      </c>
      <c r="R2243" s="322">
        <v>133300</v>
      </c>
      <c r="S2243" s="322">
        <v>200000</v>
      </c>
      <c r="T2243" s="322">
        <v>200000</v>
      </c>
      <c r="U2243" s="322">
        <f t="shared" si="163"/>
        <v>0</v>
      </c>
      <c r="W2243" s="321">
        <f t="shared" ref="W2243:W2306" si="164">M2243-1000000000-X2243*1000</f>
        <v>760</v>
      </c>
      <c r="X2243" s="321">
        <f t="shared" ref="X2243:X2306" si="165">ROUNDDOWN((M2243-1000000000)/1000,0)</f>
        <v>813505</v>
      </c>
      <c r="Y2243" s="321">
        <v>1</v>
      </c>
      <c r="AA2243" s="321" t="s">
        <v>3526</v>
      </c>
    </row>
    <row r="2244" spans="13:27">
      <c r="M2244" s="321">
        <v>1813506760</v>
      </c>
      <c r="N2244" s="321">
        <v>81</v>
      </c>
      <c r="O2244" s="321" t="s">
        <v>5904</v>
      </c>
      <c r="P2244" s="321">
        <v>4813500</v>
      </c>
      <c r="Q2244" s="322">
        <v>350000</v>
      </c>
      <c r="R2244" s="322">
        <v>0</v>
      </c>
      <c r="S2244" s="322">
        <v>350000</v>
      </c>
      <c r="T2244" s="322">
        <v>350000</v>
      </c>
      <c r="U2244" s="322">
        <f t="shared" si="163"/>
        <v>0</v>
      </c>
      <c r="W2244" s="321">
        <f t="shared" si="164"/>
        <v>760</v>
      </c>
      <c r="X2244" s="321">
        <f t="shared" si="165"/>
        <v>813506</v>
      </c>
      <c r="Y2244" s="321">
        <v>1</v>
      </c>
      <c r="AA2244" s="321" t="s">
        <v>5904</v>
      </c>
    </row>
    <row r="2245" spans="13:27">
      <c r="M2245" s="321">
        <v>1813507760</v>
      </c>
      <c r="N2245" s="321">
        <v>81</v>
      </c>
      <c r="O2245" s="321" t="s">
        <v>5905</v>
      </c>
      <c r="P2245" s="321">
        <v>4813500</v>
      </c>
      <c r="Q2245" s="322">
        <v>1532600</v>
      </c>
      <c r="R2245" s="322">
        <v>814300</v>
      </c>
      <c r="S2245" s="322">
        <v>1600000</v>
      </c>
      <c r="T2245" s="322">
        <v>1550000</v>
      </c>
      <c r="U2245" s="322">
        <f t="shared" si="163"/>
        <v>50000</v>
      </c>
      <c r="W2245" s="321">
        <f t="shared" si="164"/>
        <v>760</v>
      </c>
      <c r="X2245" s="321">
        <f t="shared" si="165"/>
        <v>813507</v>
      </c>
      <c r="Y2245" s="321">
        <v>1</v>
      </c>
      <c r="AA2245" s="321" t="s">
        <v>5905</v>
      </c>
    </row>
    <row r="2246" spans="13:27">
      <c r="M2246" s="321">
        <v>1813508760</v>
      </c>
      <c r="N2246" s="321">
        <v>81</v>
      </c>
      <c r="O2246" s="321" t="s">
        <v>5906</v>
      </c>
      <c r="P2246" s="321">
        <v>4813500</v>
      </c>
      <c r="Q2246" s="322">
        <v>0</v>
      </c>
      <c r="R2246" s="322">
        <v>0</v>
      </c>
      <c r="S2246" s="322">
        <v>0</v>
      </c>
      <c r="T2246" s="322">
        <v>0</v>
      </c>
      <c r="U2246" s="322">
        <f t="shared" si="163"/>
        <v>0</v>
      </c>
      <c r="W2246" s="321">
        <f t="shared" si="164"/>
        <v>760</v>
      </c>
      <c r="X2246" s="321">
        <f t="shared" si="165"/>
        <v>813508</v>
      </c>
      <c r="Y2246" s="321">
        <v>1</v>
      </c>
      <c r="AA2246" s="321" t="s">
        <v>5906</v>
      </c>
    </row>
    <row r="2247" spans="13:27">
      <c r="M2247" s="321">
        <v>1813509760</v>
      </c>
      <c r="N2247" s="321">
        <v>81</v>
      </c>
      <c r="O2247" s="321" t="s">
        <v>5907</v>
      </c>
      <c r="P2247" s="321">
        <v>4813500</v>
      </c>
      <c r="Q2247" s="322">
        <v>60000</v>
      </c>
      <c r="R2247" s="322">
        <v>0</v>
      </c>
      <c r="S2247" s="322">
        <v>60000</v>
      </c>
      <c r="T2247" s="322">
        <v>60000</v>
      </c>
      <c r="U2247" s="322">
        <f t="shared" si="163"/>
        <v>0</v>
      </c>
      <c r="W2247" s="321">
        <f t="shared" si="164"/>
        <v>760</v>
      </c>
      <c r="X2247" s="321">
        <f t="shared" si="165"/>
        <v>813509</v>
      </c>
      <c r="Y2247" s="321">
        <v>1</v>
      </c>
      <c r="AA2247" s="321" t="s">
        <v>5907</v>
      </c>
    </row>
    <row r="2248" spans="13:27">
      <c r="M2248" s="321">
        <v>1813510110</v>
      </c>
      <c r="N2248" s="321">
        <v>81</v>
      </c>
      <c r="O2248" s="321" t="s">
        <v>5205</v>
      </c>
      <c r="P2248" s="321">
        <v>4813500</v>
      </c>
      <c r="Q2248" s="322">
        <v>0</v>
      </c>
      <c r="R2248" s="322">
        <v>0</v>
      </c>
      <c r="S2248" s="322">
        <v>0</v>
      </c>
      <c r="T2248" s="322">
        <v>0</v>
      </c>
      <c r="U2248" s="322">
        <f t="shared" si="163"/>
        <v>0</v>
      </c>
      <c r="W2248" s="321">
        <f t="shared" si="164"/>
        <v>110</v>
      </c>
      <c r="X2248" s="321">
        <f t="shared" si="165"/>
        <v>813510</v>
      </c>
      <c r="Y2248" s="321">
        <v>1</v>
      </c>
      <c r="AA2248" s="321" t="s">
        <v>5205</v>
      </c>
    </row>
    <row r="2249" spans="13:27">
      <c r="M2249" s="321">
        <v>1813510120</v>
      </c>
      <c r="N2249" s="321">
        <v>81</v>
      </c>
      <c r="O2249" s="321" t="s">
        <v>5206</v>
      </c>
      <c r="P2249" s="321">
        <v>4813500</v>
      </c>
      <c r="Q2249" s="322">
        <v>0</v>
      </c>
      <c r="R2249" s="322">
        <v>0</v>
      </c>
      <c r="S2249" s="322">
        <v>0</v>
      </c>
      <c r="T2249" s="322">
        <v>0</v>
      </c>
      <c r="U2249" s="322">
        <f t="shared" si="163"/>
        <v>0</v>
      </c>
      <c r="W2249" s="321">
        <f t="shared" si="164"/>
        <v>120</v>
      </c>
      <c r="X2249" s="321">
        <f t="shared" si="165"/>
        <v>813510</v>
      </c>
      <c r="Y2249" s="321">
        <v>1</v>
      </c>
      <c r="AA2249" s="321" t="s">
        <v>5206</v>
      </c>
    </row>
    <row r="2250" spans="13:27">
      <c r="M2250" s="321">
        <v>1813510130</v>
      </c>
      <c r="N2250" s="321">
        <v>81</v>
      </c>
      <c r="O2250" s="321" t="s">
        <v>2576</v>
      </c>
      <c r="P2250" s="321">
        <v>4813500</v>
      </c>
      <c r="Q2250" s="322">
        <v>0</v>
      </c>
      <c r="R2250" s="322">
        <v>0</v>
      </c>
      <c r="S2250" s="322">
        <v>0</v>
      </c>
      <c r="T2250" s="322">
        <v>0</v>
      </c>
      <c r="U2250" s="322">
        <f t="shared" si="163"/>
        <v>0</v>
      </c>
      <c r="W2250" s="321">
        <f t="shared" si="164"/>
        <v>130</v>
      </c>
      <c r="X2250" s="321">
        <f t="shared" si="165"/>
        <v>813510</v>
      </c>
      <c r="Y2250" s="321">
        <v>1</v>
      </c>
      <c r="AA2250" s="321" t="s">
        <v>2576</v>
      </c>
    </row>
    <row r="2251" spans="13:27">
      <c r="M2251" s="321">
        <v>1813510140</v>
      </c>
      <c r="N2251" s="321">
        <v>81</v>
      </c>
      <c r="O2251" s="321" t="s">
        <v>5207</v>
      </c>
      <c r="P2251" s="321">
        <v>4813500</v>
      </c>
      <c r="Q2251" s="322">
        <v>0</v>
      </c>
      <c r="R2251" s="322">
        <v>0</v>
      </c>
      <c r="S2251" s="322">
        <v>0</v>
      </c>
      <c r="T2251" s="322">
        <v>0</v>
      </c>
      <c r="U2251" s="322">
        <f t="shared" si="163"/>
        <v>0</v>
      </c>
      <c r="W2251" s="321">
        <f t="shared" si="164"/>
        <v>140</v>
      </c>
      <c r="X2251" s="321">
        <f t="shared" si="165"/>
        <v>813510</v>
      </c>
      <c r="Y2251" s="321">
        <v>1</v>
      </c>
      <c r="AA2251" s="321" t="s">
        <v>5207</v>
      </c>
    </row>
    <row r="2252" spans="13:27">
      <c r="M2252" s="321">
        <v>1813510141</v>
      </c>
      <c r="N2252" s="321">
        <v>81</v>
      </c>
      <c r="O2252" s="321" t="s">
        <v>5208</v>
      </c>
      <c r="P2252" s="321">
        <v>4813500</v>
      </c>
      <c r="Q2252" s="322">
        <v>0</v>
      </c>
      <c r="R2252" s="322">
        <v>0</v>
      </c>
      <c r="S2252" s="322">
        <v>0</v>
      </c>
      <c r="T2252" s="322">
        <v>0</v>
      </c>
      <c r="U2252" s="322">
        <f t="shared" si="163"/>
        <v>0</v>
      </c>
      <c r="W2252" s="321">
        <f t="shared" si="164"/>
        <v>141</v>
      </c>
      <c r="X2252" s="321">
        <f t="shared" si="165"/>
        <v>813510</v>
      </c>
      <c r="Y2252" s="321">
        <v>1</v>
      </c>
      <c r="AA2252" s="321" t="s">
        <v>5208</v>
      </c>
    </row>
    <row r="2253" spans="13:27">
      <c r="M2253" s="321">
        <v>1813510181</v>
      </c>
      <c r="N2253" s="321">
        <v>81</v>
      </c>
      <c r="O2253" s="321" t="s">
        <v>2580</v>
      </c>
      <c r="P2253" s="321">
        <v>4813500</v>
      </c>
      <c r="Q2253" s="322">
        <v>0</v>
      </c>
      <c r="R2253" s="322">
        <v>0</v>
      </c>
      <c r="S2253" s="322">
        <v>0</v>
      </c>
      <c r="T2253" s="322">
        <v>0</v>
      </c>
      <c r="U2253" s="322">
        <f t="shared" si="163"/>
        <v>0</v>
      </c>
      <c r="W2253" s="321">
        <f t="shared" si="164"/>
        <v>181</v>
      </c>
      <c r="X2253" s="321">
        <f t="shared" si="165"/>
        <v>813510</v>
      </c>
      <c r="Y2253" s="321">
        <v>1</v>
      </c>
      <c r="AA2253" s="321" t="s">
        <v>2580</v>
      </c>
    </row>
    <row r="2254" spans="13:27">
      <c r="M2254" s="321">
        <v>1813510182</v>
      </c>
      <c r="N2254" s="321">
        <v>81</v>
      </c>
      <c r="O2254" s="321" t="s">
        <v>2582</v>
      </c>
      <c r="P2254" s="321">
        <v>4813500</v>
      </c>
      <c r="Q2254" s="322">
        <v>0</v>
      </c>
      <c r="R2254" s="322">
        <v>0</v>
      </c>
      <c r="S2254" s="322">
        <v>0</v>
      </c>
      <c r="T2254" s="322">
        <v>0</v>
      </c>
      <c r="U2254" s="322">
        <f t="shared" si="163"/>
        <v>0</v>
      </c>
      <c r="W2254" s="321">
        <f t="shared" si="164"/>
        <v>182</v>
      </c>
      <c r="X2254" s="321">
        <f t="shared" si="165"/>
        <v>813510</v>
      </c>
      <c r="Y2254" s="321">
        <v>1</v>
      </c>
      <c r="AA2254" s="321" t="s">
        <v>2582</v>
      </c>
    </row>
    <row r="2255" spans="13:27">
      <c r="M2255" s="321">
        <v>1813600540</v>
      </c>
      <c r="N2255" s="321">
        <v>81</v>
      </c>
      <c r="O2255" s="321" t="s">
        <v>5908</v>
      </c>
      <c r="P2255" s="321">
        <v>4813600</v>
      </c>
      <c r="Q2255" s="322">
        <v>3500</v>
      </c>
      <c r="R2255" s="322">
        <v>2400</v>
      </c>
      <c r="S2255" s="322">
        <v>3500</v>
      </c>
      <c r="T2255" s="322">
        <v>3500</v>
      </c>
      <c r="U2255" s="322">
        <f t="shared" si="163"/>
        <v>0</v>
      </c>
      <c r="W2255" s="321">
        <f t="shared" si="164"/>
        <v>540</v>
      </c>
      <c r="X2255" s="321">
        <f t="shared" si="165"/>
        <v>813600</v>
      </c>
      <c r="Y2255" s="321">
        <v>1</v>
      </c>
      <c r="AA2255" s="321" t="s">
        <v>5908</v>
      </c>
    </row>
    <row r="2256" spans="13:27">
      <c r="M2256" s="321">
        <v>1813600760</v>
      </c>
      <c r="N2256" s="321">
        <v>81</v>
      </c>
      <c r="O2256" s="321" t="s">
        <v>4924</v>
      </c>
      <c r="P2256" s="321">
        <v>4813600</v>
      </c>
      <c r="Q2256" s="322">
        <v>824000</v>
      </c>
      <c r="R2256" s="322">
        <v>564900</v>
      </c>
      <c r="S2256" s="322">
        <v>1000000</v>
      </c>
      <c r="T2256" s="322">
        <v>1000000</v>
      </c>
      <c r="U2256" s="322">
        <f t="shared" si="163"/>
        <v>0</v>
      </c>
      <c r="W2256" s="321">
        <f t="shared" si="164"/>
        <v>760</v>
      </c>
      <c r="X2256" s="321">
        <f t="shared" si="165"/>
        <v>813600</v>
      </c>
      <c r="Y2256" s="321">
        <v>1</v>
      </c>
      <c r="AA2256" s="321" t="s">
        <v>4924</v>
      </c>
    </row>
    <row r="2257" spans="13:27">
      <c r="M2257" s="321">
        <v>1813600761</v>
      </c>
      <c r="N2257" s="321">
        <v>81</v>
      </c>
      <c r="O2257" s="321" t="s">
        <v>5909</v>
      </c>
      <c r="P2257" s="321">
        <v>4813600</v>
      </c>
      <c r="Q2257" s="322">
        <v>250000</v>
      </c>
      <c r="R2257" s="322">
        <v>135500</v>
      </c>
      <c r="S2257" s="322">
        <v>250000</v>
      </c>
      <c r="T2257" s="322">
        <v>250000</v>
      </c>
      <c r="U2257" s="322">
        <f t="shared" si="163"/>
        <v>0</v>
      </c>
      <c r="W2257" s="321">
        <f t="shared" si="164"/>
        <v>761</v>
      </c>
      <c r="X2257" s="321">
        <f t="shared" si="165"/>
        <v>813600</v>
      </c>
      <c r="Y2257" s="321">
        <v>1</v>
      </c>
      <c r="AA2257" s="321" t="s">
        <v>5909</v>
      </c>
    </row>
    <row r="2258" spans="13:27">
      <c r="M2258" s="321">
        <v>1813700110</v>
      </c>
      <c r="N2258" s="321">
        <v>81</v>
      </c>
      <c r="O2258" s="321" t="s">
        <v>5205</v>
      </c>
      <c r="P2258" s="321">
        <v>4813700</v>
      </c>
      <c r="Q2258" s="322">
        <v>262000</v>
      </c>
      <c r="R2258" s="322">
        <v>194400</v>
      </c>
      <c r="S2258" s="322">
        <v>267000</v>
      </c>
      <c r="T2258" s="322">
        <v>267000</v>
      </c>
      <c r="U2258" s="322">
        <f t="shared" si="163"/>
        <v>0</v>
      </c>
      <c r="W2258" s="321">
        <f t="shared" si="164"/>
        <v>110</v>
      </c>
      <c r="X2258" s="321">
        <f t="shared" si="165"/>
        <v>813700</v>
      </c>
      <c r="Y2258" s="321">
        <v>1</v>
      </c>
      <c r="AA2258" s="321" t="s">
        <v>5205</v>
      </c>
    </row>
    <row r="2259" spans="13:27">
      <c r="M2259" s="321">
        <v>1813700120</v>
      </c>
      <c r="N2259" s="321">
        <v>81</v>
      </c>
      <c r="O2259" s="321" t="s">
        <v>5206</v>
      </c>
      <c r="P2259" s="321">
        <v>4813700</v>
      </c>
      <c r="Q2259" s="322">
        <v>26000</v>
      </c>
      <c r="R2259" s="322">
        <v>26400</v>
      </c>
      <c r="S2259" s="322">
        <v>27000</v>
      </c>
      <c r="T2259" s="322">
        <v>27000</v>
      </c>
      <c r="U2259" s="322">
        <f t="shared" si="163"/>
        <v>0</v>
      </c>
      <c r="W2259" s="321">
        <f t="shared" si="164"/>
        <v>120</v>
      </c>
      <c r="X2259" s="321">
        <f t="shared" si="165"/>
        <v>813700</v>
      </c>
      <c r="Y2259" s="321">
        <v>1</v>
      </c>
      <c r="AA2259" s="321" t="s">
        <v>5206</v>
      </c>
    </row>
    <row r="2260" spans="13:27">
      <c r="M2260" s="321">
        <v>1813700130</v>
      </c>
      <c r="N2260" s="321">
        <v>81</v>
      </c>
      <c r="O2260" s="321" t="s">
        <v>2576</v>
      </c>
      <c r="P2260" s="321">
        <v>4813700</v>
      </c>
      <c r="Q2260" s="322">
        <v>64000</v>
      </c>
      <c r="R2260" s="322">
        <v>50000</v>
      </c>
      <c r="S2260" s="322">
        <v>67000</v>
      </c>
      <c r="T2260" s="322">
        <v>60300</v>
      </c>
      <c r="U2260" s="322">
        <f t="shared" si="163"/>
        <v>6700</v>
      </c>
      <c r="W2260" s="321">
        <f t="shared" si="164"/>
        <v>130</v>
      </c>
      <c r="X2260" s="321">
        <f t="shared" si="165"/>
        <v>813700</v>
      </c>
      <c r="Y2260" s="321">
        <v>1</v>
      </c>
      <c r="AA2260" s="321" t="s">
        <v>2576</v>
      </c>
    </row>
    <row r="2261" spans="13:27">
      <c r="M2261" s="321">
        <v>1813700140</v>
      </c>
      <c r="N2261" s="321">
        <v>81</v>
      </c>
      <c r="O2261" s="321" t="s">
        <v>5207</v>
      </c>
      <c r="P2261" s="321">
        <v>4813700</v>
      </c>
      <c r="Q2261" s="322">
        <v>14000</v>
      </c>
      <c r="R2261" s="322">
        <v>8300</v>
      </c>
      <c r="S2261" s="322">
        <v>12000</v>
      </c>
      <c r="T2261" s="322">
        <v>12000</v>
      </c>
      <c r="U2261" s="322">
        <f t="shared" si="163"/>
        <v>0</v>
      </c>
      <c r="W2261" s="321">
        <f t="shared" si="164"/>
        <v>140</v>
      </c>
      <c r="X2261" s="321">
        <f t="shared" si="165"/>
        <v>813700</v>
      </c>
      <c r="Y2261" s="321">
        <v>1</v>
      </c>
      <c r="AA2261" s="321" t="s">
        <v>5207</v>
      </c>
    </row>
    <row r="2262" spans="13:27">
      <c r="M2262" s="321">
        <v>1813700141</v>
      </c>
      <c r="N2262" s="321">
        <v>81</v>
      </c>
      <c r="O2262" s="321" t="s">
        <v>5208</v>
      </c>
      <c r="P2262" s="321">
        <v>4813700</v>
      </c>
      <c r="Q2262" s="322">
        <v>19000</v>
      </c>
      <c r="R2262" s="322">
        <v>14500</v>
      </c>
      <c r="S2262" s="322">
        <v>21000</v>
      </c>
      <c r="T2262" s="322">
        <v>21000</v>
      </c>
      <c r="U2262" s="322">
        <f t="shared" si="163"/>
        <v>0</v>
      </c>
      <c r="W2262" s="321">
        <f t="shared" si="164"/>
        <v>141</v>
      </c>
      <c r="X2262" s="321">
        <f t="shared" si="165"/>
        <v>813700</v>
      </c>
      <c r="Y2262" s="321">
        <v>1</v>
      </c>
      <c r="AA2262" s="321" t="s">
        <v>5208</v>
      </c>
    </row>
    <row r="2263" spans="13:27">
      <c r="M2263" s="321">
        <v>1813700181</v>
      </c>
      <c r="N2263" s="321">
        <v>81</v>
      </c>
      <c r="O2263" s="321" t="s">
        <v>2580</v>
      </c>
      <c r="P2263" s="321">
        <v>4813700</v>
      </c>
      <c r="Q2263" s="322">
        <v>37000</v>
      </c>
      <c r="R2263" s="322">
        <v>28300</v>
      </c>
      <c r="S2263" s="322">
        <v>38000</v>
      </c>
      <c r="T2263" s="322">
        <v>38000</v>
      </c>
      <c r="U2263" s="322">
        <f t="shared" si="163"/>
        <v>0</v>
      </c>
      <c r="W2263" s="321">
        <f t="shared" si="164"/>
        <v>181</v>
      </c>
      <c r="X2263" s="321">
        <f t="shared" si="165"/>
        <v>813700</v>
      </c>
      <c r="Y2263" s="321">
        <v>1</v>
      </c>
      <c r="AA2263" s="321" t="s">
        <v>2580</v>
      </c>
    </row>
    <row r="2264" spans="13:27">
      <c r="M2264" s="321">
        <v>1813700182</v>
      </c>
      <c r="N2264" s="321">
        <v>81</v>
      </c>
      <c r="O2264" s="321" t="s">
        <v>2582</v>
      </c>
      <c r="P2264" s="321">
        <v>4813700</v>
      </c>
      <c r="Q2264" s="322">
        <v>50000</v>
      </c>
      <c r="R2264" s="322">
        <v>36400</v>
      </c>
      <c r="S2264" s="322">
        <v>52000</v>
      </c>
      <c r="T2264" s="322">
        <v>52000</v>
      </c>
      <c r="U2264" s="322">
        <f t="shared" si="163"/>
        <v>0</v>
      </c>
      <c r="W2264" s="321">
        <f t="shared" si="164"/>
        <v>182</v>
      </c>
      <c r="X2264" s="321">
        <f t="shared" si="165"/>
        <v>813700</v>
      </c>
      <c r="Y2264" s="321">
        <v>1</v>
      </c>
      <c r="AA2264" s="321" t="s">
        <v>2582</v>
      </c>
    </row>
    <row r="2265" spans="13:27">
      <c r="M2265" s="321">
        <v>1813700730</v>
      </c>
      <c r="N2265" s="321">
        <v>81</v>
      </c>
      <c r="O2265" s="321" t="s">
        <v>5910</v>
      </c>
      <c r="P2265" s="321">
        <v>4813700</v>
      </c>
      <c r="Q2265" s="322">
        <v>25000</v>
      </c>
      <c r="R2265" s="322">
        <v>100</v>
      </c>
      <c r="S2265" s="322">
        <v>25000</v>
      </c>
      <c r="T2265" s="322">
        <v>25000</v>
      </c>
      <c r="U2265" s="322">
        <f t="shared" si="163"/>
        <v>0</v>
      </c>
      <c r="W2265" s="321">
        <f t="shared" si="164"/>
        <v>730</v>
      </c>
      <c r="X2265" s="321">
        <f t="shared" si="165"/>
        <v>813700</v>
      </c>
      <c r="Y2265" s="321">
        <v>1</v>
      </c>
      <c r="AA2265" s="321" t="s">
        <v>5910</v>
      </c>
    </row>
    <row r="2266" spans="13:27">
      <c r="M2266" s="321">
        <v>1813700771</v>
      </c>
      <c r="N2266" s="321">
        <v>81</v>
      </c>
      <c r="O2266" s="321" t="s">
        <v>5911</v>
      </c>
      <c r="P2266" s="321">
        <v>4813700</v>
      </c>
      <c r="Q2266" s="322">
        <v>17000</v>
      </c>
      <c r="R2266" s="322">
        <v>18600</v>
      </c>
      <c r="S2266" s="322">
        <v>25000</v>
      </c>
      <c r="T2266" s="322">
        <v>25000</v>
      </c>
      <c r="U2266" s="322">
        <f t="shared" si="163"/>
        <v>0</v>
      </c>
      <c r="W2266" s="321">
        <f t="shared" si="164"/>
        <v>771</v>
      </c>
      <c r="X2266" s="321">
        <f t="shared" si="165"/>
        <v>813700</v>
      </c>
      <c r="Y2266" s="321">
        <v>1</v>
      </c>
      <c r="AA2266" s="321" t="s">
        <v>5911</v>
      </c>
    </row>
    <row r="2267" spans="13:27">
      <c r="M2267" s="321">
        <v>1813700772</v>
      </c>
      <c r="N2267" s="321">
        <v>81</v>
      </c>
      <c r="O2267" s="321" t="s">
        <v>5912</v>
      </c>
      <c r="P2267" s="321">
        <v>4813700</v>
      </c>
      <c r="Q2267" s="322">
        <v>365000</v>
      </c>
      <c r="R2267" s="322">
        <v>55500</v>
      </c>
      <c r="S2267" s="322">
        <v>220500</v>
      </c>
      <c r="T2267" s="322">
        <v>220500</v>
      </c>
      <c r="U2267" s="322">
        <f t="shared" si="163"/>
        <v>0</v>
      </c>
      <c r="W2267" s="321">
        <f t="shared" si="164"/>
        <v>772</v>
      </c>
      <c r="X2267" s="321">
        <f t="shared" si="165"/>
        <v>813700</v>
      </c>
      <c r="Y2267" s="321">
        <v>1</v>
      </c>
      <c r="AA2267" s="321" t="s">
        <v>5912</v>
      </c>
    </row>
    <row r="2268" spans="13:27">
      <c r="M2268" s="321">
        <v>1813700870</v>
      </c>
      <c r="N2268" s="321">
        <v>81</v>
      </c>
      <c r="O2268" s="321" t="s">
        <v>5913</v>
      </c>
      <c r="P2268" s="321">
        <v>4813700</v>
      </c>
      <c r="Q2268" s="322">
        <v>70000</v>
      </c>
      <c r="R2268" s="322">
        <v>49900</v>
      </c>
      <c r="S2268" s="322">
        <v>70000</v>
      </c>
      <c r="T2268" s="322">
        <v>70000</v>
      </c>
      <c r="U2268" s="322">
        <f t="shared" si="163"/>
        <v>0</v>
      </c>
      <c r="W2268" s="321">
        <f t="shared" si="164"/>
        <v>870</v>
      </c>
      <c r="X2268" s="321">
        <f t="shared" si="165"/>
        <v>813700</v>
      </c>
      <c r="Y2268" s="321">
        <v>1</v>
      </c>
      <c r="AA2268" s="321" t="s">
        <v>5913</v>
      </c>
    </row>
    <row r="2269" spans="13:27">
      <c r="M2269" s="321">
        <v>1815100110</v>
      </c>
      <c r="N2269" s="321">
        <v>81</v>
      </c>
      <c r="O2269" s="321" t="s">
        <v>5205</v>
      </c>
      <c r="P2269" s="321">
        <v>4815100</v>
      </c>
      <c r="Q2269" s="322">
        <v>487000</v>
      </c>
      <c r="R2269" s="322">
        <v>388400</v>
      </c>
      <c r="S2269" s="322">
        <v>520000</v>
      </c>
      <c r="T2269" s="322">
        <v>520000</v>
      </c>
      <c r="U2269" s="322">
        <f t="shared" si="163"/>
        <v>0</v>
      </c>
      <c r="W2269" s="321">
        <f t="shared" si="164"/>
        <v>110</v>
      </c>
      <c r="X2269" s="321">
        <f t="shared" si="165"/>
        <v>815100</v>
      </c>
      <c r="Y2269" s="321">
        <v>1</v>
      </c>
      <c r="AA2269" s="321" t="s">
        <v>5205</v>
      </c>
    </row>
    <row r="2270" spans="13:27">
      <c r="M2270" s="321">
        <v>1815100120</v>
      </c>
      <c r="N2270" s="321">
        <v>81</v>
      </c>
      <c r="O2270" s="321" t="s">
        <v>5206</v>
      </c>
      <c r="P2270" s="321">
        <v>4815100</v>
      </c>
      <c r="Q2270" s="322">
        <v>85000</v>
      </c>
      <c r="R2270" s="322">
        <v>42700</v>
      </c>
      <c r="S2270" s="322">
        <v>49000</v>
      </c>
      <c r="T2270" s="322">
        <v>49000</v>
      </c>
      <c r="U2270" s="322">
        <f t="shared" si="163"/>
        <v>0</v>
      </c>
      <c r="W2270" s="321">
        <f t="shared" si="164"/>
        <v>120</v>
      </c>
      <c r="X2270" s="321">
        <f t="shared" si="165"/>
        <v>815100</v>
      </c>
      <c r="Y2270" s="321">
        <v>1</v>
      </c>
      <c r="AA2270" s="321" t="s">
        <v>5206</v>
      </c>
    </row>
    <row r="2271" spans="13:27">
      <c r="M2271" s="321">
        <v>1815100130</v>
      </c>
      <c r="N2271" s="321">
        <v>81</v>
      </c>
      <c r="O2271" s="321" t="s">
        <v>2576</v>
      </c>
      <c r="P2271" s="321">
        <v>4815100</v>
      </c>
      <c r="Q2271" s="322">
        <v>2000</v>
      </c>
      <c r="R2271" s="322">
        <v>6800</v>
      </c>
      <c r="S2271" s="322">
        <v>9000</v>
      </c>
      <c r="T2271" s="322">
        <v>8100</v>
      </c>
      <c r="U2271" s="322">
        <f t="shared" si="163"/>
        <v>900</v>
      </c>
      <c r="W2271" s="321">
        <f t="shared" si="164"/>
        <v>130</v>
      </c>
      <c r="X2271" s="321">
        <f t="shared" si="165"/>
        <v>815100</v>
      </c>
      <c r="Y2271" s="321">
        <v>1</v>
      </c>
      <c r="AA2271" s="321" t="s">
        <v>2576</v>
      </c>
    </row>
    <row r="2272" spans="13:27">
      <c r="M2272" s="321">
        <v>1815100140</v>
      </c>
      <c r="N2272" s="321">
        <v>81</v>
      </c>
      <c r="O2272" s="321" t="s">
        <v>5207</v>
      </c>
      <c r="P2272" s="321">
        <v>4815100</v>
      </c>
      <c r="Q2272" s="322">
        <v>69000</v>
      </c>
      <c r="R2272" s="322">
        <v>58700</v>
      </c>
      <c r="S2272" s="322">
        <v>103000</v>
      </c>
      <c r="T2272" s="322">
        <v>103000</v>
      </c>
      <c r="U2272" s="322">
        <f t="shared" si="163"/>
        <v>0</v>
      </c>
      <c r="W2272" s="321">
        <f t="shared" si="164"/>
        <v>140</v>
      </c>
      <c r="X2272" s="321">
        <f t="shared" si="165"/>
        <v>815100</v>
      </c>
      <c r="Y2272" s="321">
        <v>1</v>
      </c>
      <c r="AA2272" s="321" t="s">
        <v>5207</v>
      </c>
    </row>
    <row r="2273" spans="13:27">
      <c r="M2273" s="321">
        <v>1815100141</v>
      </c>
      <c r="N2273" s="321">
        <v>81</v>
      </c>
      <c r="O2273" s="321" t="s">
        <v>5208</v>
      </c>
      <c r="P2273" s="321">
        <v>4815100</v>
      </c>
      <c r="Q2273" s="322">
        <v>9000</v>
      </c>
      <c r="R2273" s="322">
        <v>16300</v>
      </c>
      <c r="S2273" s="322">
        <v>23000</v>
      </c>
      <c r="T2273" s="322">
        <v>23000</v>
      </c>
      <c r="U2273" s="322">
        <f t="shared" si="163"/>
        <v>0</v>
      </c>
      <c r="W2273" s="321">
        <f t="shared" si="164"/>
        <v>141</v>
      </c>
      <c r="X2273" s="321">
        <f t="shared" si="165"/>
        <v>815100</v>
      </c>
      <c r="Y2273" s="321">
        <v>1</v>
      </c>
      <c r="AA2273" s="321" t="s">
        <v>5208</v>
      </c>
    </row>
    <row r="2274" spans="13:27">
      <c r="M2274" s="321">
        <v>1815100181</v>
      </c>
      <c r="N2274" s="321">
        <v>81</v>
      </c>
      <c r="O2274" s="321" t="s">
        <v>2580</v>
      </c>
      <c r="P2274" s="321">
        <v>4815100</v>
      </c>
      <c r="Q2274" s="322">
        <v>109000</v>
      </c>
      <c r="R2274" s="322">
        <v>88200</v>
      </c>
      <c r="S2274" s="322">
        <v>119000</v>
      </c>
      <c r="T2274" s="322">
        <v>119000</v>
      </c>
      <c r="U2274" s="322">
        <f t="shared" si="163"/>
        <v>0</v>
      </c>
      <c r="W2274" s="321">
        <f t="shared" si="164"/>
        <v>181</v>
      </c>
      <c r="X2274" s="321">
        <f t="shared" si="165"/>
        <v>815100</v>
      </c>
      <c r="Y2274" s="321">
        <v>1</v>
      </c>
      <c r="AA2274" s="321" t="s">
        <v>2580</v>
      </c>
    </row>
    <row r="2275" spans="13:27">
      <c r="M2275" s="321">
        <v>1815100182</v>
      </c>
      <c r="N2275" s="321">
        <v>81</v>
      </c>
      <c r="O2275" s="321" t="s">
        <v>5914</v>
      </c>
      <c r="P2275" s="321">
        <v>4815100</v>
      </c>
      <c r="Q2275" s="322">
        <v>95000</v>
      </c>
      <c r="R2275" s="322">
        <v>65900</v>
      </c>
      <c r="S2275" s="322">
        <v>96000</v>
      </c>
      <c r="T2275" s="322">
        <v>96000</v>
      </c>
      <c r="U2275" s="322">
        <f t="shared" si="163"/>
        <v>0</v>
      </c>
      <c r="W2275" s="321">
        <f t="shared" si="164"/>
        <v>182</v>
      </c>
      <c r="X2275" s="321">
        <f t="shared" si="165"/>
        <v>815100</v>
      </c>
      <c r="Y2275" s="321">
        <v>1</v>
      </c>
      <c r="AA2275" s="321" t="s">
        <v>5914</v>
      </c>
    </row>
    <row r="2276" spans="13:27">
      <c r="M2276" s="321">
        <v>1815100530</v>
      </c>
      <c r="N2276" s="321">
        <v>81</v>
      </c>
      <c r="O2276" s="321" t="s">
        <v>5915</v>
      </c>
      <c r="P2276" s="321">
        <v>4810000</v>
      </c>
      <c r="Q2276" s="322">
        <v>35000</v>
      </c>
      <c r="R2276" s="322">
        <v>4000</v>
      </c>
      <c r="S2276" s="322">
        <v>0</v>
      </c>
      <c r="T2276" s="322">
        <v>0</v>
      </c>
      <c r="U2276" s="322">
        <f t="shared" si="163"/>
        <v>0</v>
      </c>
      <c r="W2276" s="321">
        <f t="shared" si="164"/>
        <v>530</v>
      </c>
      <c r="X2276" s="321">
        <f t="shared" si="165"/>
        <v>815100</v>
      </c>
      <c r="Y2276" s="321">
        <v>1</v>
      </c>
      <c r="AA2276" s="321" t="s">
        <v>5915</v>
      </c>
    </row>
    <row r="2277" spans="13:27">
      <c r="M2277" s="321">
        <v>1815100540</v>
      </c>
      <c r="N2277" s="321">
        <v>81</v>
      </c>
      <c r="O2277" s="321" t="s">
        <v>5916</v>
      </c>
      <c r="P2277" s="321">
        <v>4815100</v>
      </c>
      <c r="Q2277" s="322">
        <v>2000</v>
      </c>
      <c r="R2277" s="322">
        <v>1100</v>
      </c>
      <c r="S2277" s="322">
        <v>2000</v>
      </c>
      <c r="T2277" s="322">
        <v>2000</v>
      </c>
      <c r="U2277" s="322">
        <f t="shared" si="163"/>
        <v>0</v>
      </c>
      <c r="W2277" s="321">
        <f t="shared" si="164"/>
        <v>540</v>
      </c>
      <c r="X2277" s="321">
        <f t="shared" si="165"/>
        <v>815100</v>
      </c>
      <c r="Y2277" s="321">
        <v>1</v>
      </c>
      <c r="AA2277" s="321" t="s">
        <v>5916</v>
      </c>
    </row>
    <row r="2278" spans="13:27">
      <c r="M2278" s="321">
        <v>1815100542</v>
      </c>
      <c r="N2278" s="321">
        <v>81</v>
      </c>
      <c r="O2278" s="321" t="s">
        <v>5564</v>
      </c>
      <c r="P2278" s="321">
        <v>4815100</v>
      </c>
      <c r="Q2278" s="322">
        <v>2500</v>
      </c>
      <c r="R2278" s="322">
        <v>2500</v>
      </c>
      <c r="S2278" s="322">
        <v>3000</v>
      </c>
      <c r="T2278" s="322">
        <v>3000</v>
      </c>
      <c r="U2278" s="322">
        <f t="shared" si="163"/>
        <v>0</v>
      </c>
      <c r="W2278" s="321">
        <f t="shared" si="164"/>
        <v>542</v>
      </c>
      <c r="X2278" s="321">
        <f t="shared" si="165"/>
        <v>815100</v>
      </c>
      <c r="Y2278" s="321">
        <v>1</v>
      </c>
      <c r="AA2278" s="321" t="s">
        <v>5564</v>
      </c>
    </row>
    <row r="2279" spans="13:27">
      <c r="M2279" s="321">
        <v>1815201760</v>
      </c>
      <c r="N2279" s="321">
        <v>81</v>
      </c>
      <c r="O2279" s="321" t="s">
        <v>5859</v>
      </c>
      <c r="P2279" s="321">
        <v>4815200</v>
      </c>
      <c r="Q2279" s="322">
        <v>150000</v>
      </c>
      <c r="R2279" s="322">
        <v>108300</v>
      </c>
      <c r="S2279" s="322">
        <v>120000</v>
      </c>
      <c r="T2279" s="322">
        <v>120000</v>
      </c>
      <c r="U2279" s="322">
        <f t="shared" si="163"/>
        <v>0</v>
      </c>
      <c r="W2279" s="321">
        <f t="shared" si="164"/>
        <v>760</v>
      </c>
      <c r="X2279" s="321">
        <f t="shared" si="165"/>
        <v>815201</v>
      </c>
      <c r="Y2279" s="321">
        <v>1</v>
      </c>
      <c r="AA2279" s="321" t="s">
        <v>5859</v>
      </c>
    </row>
    <row r="2280" spans="13:27">
      <c r="M2280" s="321">
        <v>1815202760</v>
      </c>
      <c r="N2280" s="321">
        <v>81</v>
      </c>
      <c r="O2280" s="321" t="s">
        <v>4927</v>
      </c>
      <c r="P2280" s="321">
        <v>4815200</v>
      </c>
      <c r="Q2280" s="322">
        <v>320000</v>
      </c>
      <c r="R2280" s="322">
        <v>33000</v>
      </c>
      <c r="S2280" s="322">
        <v>320000</v>
      </c>
      <c r="T2280" s="322">
        <v>320000</v>
      </c>
      <c r="U2280" s="322">
        <f t="shared" si="163"/>
        <v>0</v>
      </c>
      <c r="W2280" s="321">
        <f t="shared" si="164"/>
        <v>760</v>
      </c>
      <c r="X2280" s="321">
        <f t="shared" si="165"/>
        <v>815202</v>
      </c>
      <c r="Y2280" s="321">
        <v>1</v>
      </c>
      <c r="AA2280" s="321" t="s">
        <v>4927</v>
      </c>
    </row>
    <row r="2281" spans="13:27">
      <c r="M2281" s="321">
        <v>1815202761</v>
      </c>
      <c r="N2281" s="321">
        <v>81</v>
      </c>
      <c r="O2281" s="321" t="s">
        <v>5917</v>
      </c>
      <c r="P2281" s="321">
        <v>4815200</v>
      </c>
      <c r="Q2281" s="322">
        <v>650000</v>
      </c>
      <c r="R2281" s="322">
        <v>67700</v>
      </c>
      <c r="S2281" s="322">
        <v>650000</v>
      </c>
      <c r="T2281" s="322">
        <v>650000</v>
      </c>
      <c r="U2281" s="322">
        <f t="shared" si="163"/>
        <v>0</v>
      </c>
      <c r="W2281" s="321">
        <f t="shared" si="164"/>
        <v>761</v>
      </c>
      <c r="X2281" s="321">
        <f t="shared" si="165"/>
        <v>815202</v>
      </c>
      <c r="Y2281" s="321">
        <v>1</v>
      </c>
      <c r="AA2281" s="321" t="s">
        <v>5917</v>
      </c>
    </row>
    <row r="2282" spans="13:27">
      <c r="M2282" s="321">
        <v>1815202762</v>
      </c>
      <c r="N2282" s="321">
        <v>81</v>
      </c>
      <c r="O2282" s="321" t="s">
        <v>4916</v>
      </c>
      <c r="P2282" s="321">
        <v>4815200</v>
      </c>
      <c r="Q2282" s="322">
        <v>150000</v>
      </c>
      <c r="R2282" s="322">
        <v>30300</v>
      </c>
      <c r="S2282" s="322">
        <v>150000</v>
      </c>
      <c r="T2282" s="322">
        <v>150000</v>
      </c>
      <c r="U2282" s="322">
        <f t="shared" si="163"/>
        <v>0</v>
      </c>
      <c r="W2282" s="321">
        <f t="shared" si="164"/>
        <v>762</v>
      </c>
      <c r="X2282" s="321">
        <f t="shared" si="165"/>
        <v>815202</v>
      </c>
      <c r="Y2282" s="321">
        <v>1</v>
      </c>
      <c r="AA2282" s="321" t="s">
        <v>4916</v>
      </c>
    </row>
    <row r="2283" spans="13:27">
      <c r="M2283" s="321">
        <v>1815203750</v>
      </c>
      <c r="N2283" s="321">
        <v>81</v>
      </c>
      <c r="O2283" s="321" t="s">
        <v>4913</v>
      </c>
      <c r="P2283" s="321">
        <v>4815200</v>
      </c>
      <c r="Q2283" s="322">
        <v>385000</v>
      </c>
      <c r="R2283" s="322">
        <v>282300</v>
      </c>
      <c r="S2283" s="322">
        <v>380000</v>
      </c>
      <c r="T2283" s="322">
        <v>350000</v>
      </c>
      <c r="U2283" s="322">
        <f t="shared" si="163"/>
        <v>30000</v>
      </c>
      <c r="W2283" s="321">
        <f t="shared" si="164"/>
        <v>750</v>
      </c>
      <c r="X2283" s="321">
        <f t="shared" si="165"/>
        <v>815203</v>
      </c>
      <c r="Y2283" s="321">
        <v>1</v>
      </c>
      <c r="AA2283" s="321" t="s">
        <v>4913</v>
      </c>
    </row>
    <row r="2284" spans="13:27">
      <c r="M2284" s="321">
        <v>1815203751</v>
      </c>
      <c r="N2284" s="321">
        <v>81</v>
      </c>
      <c r="O2284" s="321" t="s">
        <v>5864</v>
      </c>
      <c r="P2284" s="321">
        <v>4815200</v>
      </c>
      <c r="Q2284" s="322">
        <v>0</v>
      </c>
      <c r="R2284" s="322">
        <v>0</v>
      </c>
      <c r="S2284" s="322">
        <v>0</v>
      </c>
      <c r="T2284" s="322">
        <v>0</v>
      </c>
      <c r="U2284" s="322">
        <f t="shared" si="163"/>
        <v>0</v>
      </c>
      <c r="W2284" s="321">
        <f t="shared" si="164"/>
        <v>751</v>
      </c>
      <c r="X2284" s="321">
        <f t="shared" si="165"/>
        <v>815203</v>
      </c>
      <c r="Y2284" s="321">
        <v>1</v>
      </c>
      <c r="AA2284" s="321" t="s">
        <v>5864</v>
      </c>
    </row>
    <row r="2285" spans="13:27">
      <c r="M2285" s="321">
        <v>1815204760</v>
      </c>
      <c r="N2285" s="321">
        <v>81</v>
      </c>
      <c r="O2285" s="321" t="s">
        <v>4930</v>
      </c>
      <c r="P2285" s="321">
        <v>4815200</v>
      </c>
      <c r="Q2285" s="322">
        <v>1700000</v>
      </c>
      <c r="R2285" s="322">
        <v>930900</v>
      </c>
      <c r="S2285" s="322">
        <v>1700000</v>
      </c>
      <c r="T2285" s="322">
        <v>1700000</v>
      </c>
      <c r="U2285" s="322">
        <f t="shared" si="163"/>
        <v>0</v>
      </c>
      <c r="W2285" s="321">
        <f t="shared" si="164"/>
        <v>760</v>
      </c>
      <c r="X2285" s="321">
        <f t="shared" si="165"/>
        <v>815204</v>
      </c>
      <c r="Y2285" s="321">
        <v>1</v>
      </c>
      <c r="AA2285" s="321" t="s">
        <v>4930</v>
      </c>
    </row>
    <row r="2286" spans="13:27">
      <c r="M2286" s="321">
        <v>1815204764</v>
      </c>
      <c r="N2286" s="321">
        <v>81</v>
      </c>
      <c r="O2286" s="321" t="s">
        <v>4931</v>
      </c>
      <c r="P2286" s="321">
        <v>4815100</v>
      </c>
      <c r="Q2286" s="322">
        <v>375000</v>
      </c>
      <c r="R2286" s="322">
        <v>375000</v>
      </c>
      <c r="S2286" s="322">
        <v>375000</v>
      </c>
      <c r="T2286" s="322">
        <v>375000</v>
      </c>
      <c r="U2286" s="322">
        <f t="shared" si="163"/>
        <v>0</v>
      </c>
      <c r="W2286" s="321">
        <f t="shared" si="164"/>
        <v>764</v>
      </c>
      <c r="X2286" s="321">
        <f t="shared" si="165"/>
        <v>815204</v>
      </c>
      <c r="Y2286" s="321">
        <v>1</v>
      </c>
      <c r="AA2286" s="321" t="s">
        <v>4931</v>
      </c>
    </row>
    <row r="2287" spans="13:27">
      <c r="M2287" s="321">
        <v>1815205580</v>
      </c>
      <c r="N2287" s="321">
        <v>81</v>
      </c>
      <c r="O2287" s="321" t="s">
        <v>5918</v>
      </c>
      <c r="P2287" s="321">
        <v>4815200</v>
      </c>
      <c r="Q2287" s="322">
        <v>235000</v>
      </c>
      <c r="R2287" s="322">
        <v>137400</v>
      </c>
      <c r="S2287" s="322">
        <v>250000</v>
      </c>
      <c r="T2287" s="322">
        <v>200000</v>
      </c>
      <c r="U2287" s="322">
        <f t="shared" si="163"/>
        <v>50000</v>
      </c>
      <c r="W2287" s="321">
        <f t="shared" si="164"/>
        <v>580</v>
      </c>
      <c r="X2287" s="321">
        <f t="shared" si="165"/>
        <v>815205</v>
      </c>
      <c r="Y2287" s="321">
        <v>1</v>
      </c>
      <c r="AA2287" s="321" t="s">
        <v>5918</v>
      </c>
    </row>
    <row r="2288" spans="13:27">
      <c r="M2288" s="321">
        <v>1815206760</v>
      </c>
      <c r="N2288" s="321">
        <v>81</v>
      </c>
      <c r="O2288" s="321" t="s">
        <v>5919</v>
      </c>
      <c r="P2288" s="321">
        <v>4815200</v>
      </c>
      <c r="Q2288" s="322">
        <v>0</v>
      </c>
      <c r="R2288" s="322">
        <v>0</v>
      </c>
      <c r="S2288" s="322">
        <v>0</v>
      </c>
      <c r="T2288" s="322">
        <v>0</v>
      </c>
      <c r="U2288" s="322">
        <f t="shared" si="163"/>
        <v>0</v>
      </c>
      <c r="W2288" s="321">
        <f t="shared" si="164"/>
        <v>760</v>
      </c>
      <c r="X2288" s="321">
        <f t="shared" si="165"/>
        <v>815206</v>
      </c>
      <c r="Y2288" s="321">
        <v>1</v>
      </c>
      <c r="AA2288" s="321" t="s">
        <v>5919</v>
      </c>
    </row>
    <row r="2289" spans="13:27">
      <c r="M2289" s="321">
        <v>1815207760</v>
      </c>
      <c r="N2289" s="321">
        <v>81</v>
      </c>
      <c r="O2289" s="321" t="s">
        <v>5920</v>
      </c>
      <c r="P2289" s="321">
        <v>4815200</v>
      </c>
      <c r="Q2289" s="322">
        <v>88000</v>
      </c>
      <c r="R2289" s="322">
        <v>0</v>
      </c>
      <c r="S2289" s="322">
        <v>70000</v>
      </c>
      <c r="T2289" s="322">
        <v>70000</v>
      </c>
      <c r="U2289" s="322">
        <f t="shared" si="163"/>
        <v>0</v>
      </c>
      <c r="W2289" s="321">
        <f t="shared" si="164"/>
        <v>760</v>
      </c>
      <c r="X2289" s="321">
        <f t="shared" si="165"/>
        <v>815207</v>
      </c>
      <c r="Y2289" s="321">
        <v>1</v>
      </c>
      <c r="AA2289" s="321" t="s">
        <v>5920</v>
      </c>
    </row>
    <row r="2290" spans="13:27">
      <c r="M2290" s="321">
        <v>1815208760</v>
      </c>
      <c r="N2290" s="321">
        <v>81</v>
      </c>
      <c r="O2290" s="321" t="s">
        <v>5906</v>
      </c>
      <c r="P2290" s="321">
        <v>4815200</v>
      </c>
      <c r="Q2290" s="322">
        <v>0</v>
      </c>
      <c r="R2290" s="322">
        <v>0</v>
      </c>
      <c r="S2290" s="322">
        <v>0</v>
      </c>
      <c r="T2290" s="322">
        <v>0</v>
      </c>
      <c r="U2290" s="322">
        <f t="shared" si="163"/>
        <v>0</v>
      </c>
      <c r="W2290" s="321">
        <f t="shared" si="164"/>
        <v>760</v>
      </c>
      <c r="X2290" s="321">
        <f t="shared" si="165"/>
        <v>815208</v>
      </c>
      <c r="Y2290" s="321">
        <v>1</v>
      </c>
      <c r="AA2290" s="321" t="s">
        <v>5906</v>
      </c>
    </row>
    <row r="2291" spans="13:27">
      <c r="M2291" s="321">
        <v>1815700211</v>
      </c>
      <c r="N2291" s="321">
        <v>81</v>
      </c>
      <c r="O2291" s="321" t="s">
        <v>5921</v>
      </c>
      <c r="P2291" s="321">
        <v>4815700</v>
      </c>
      <c r="Q2291" s="322">
        <v>0</v>
      </c>
      <c r="R2291" s="322">
        <v>0</v>
      </c>
      <c r="S2291" s="322">
        <v>0</v>
      </c>
      <c r="T2291" s="322">
        <v>0</v>
      </c>
      <c r="U2291" s="322">
        <f t="shared" si="163"/>
        <v>0</v>
      </c>
      <c r="W2291" s="321">
        <f t="shared" si="164"/>
        <v>211</v>
      </c>
      <c r="X2291" s="321">
        <f t="shared" si="165"/>
        <v>815700</v>
      </c>
      <c r="Y2291" s="321">
        <v>1</v>
      </c>
      <c r="AA2291" s="321" t="s">
        <v>5921</v>
      </c>
    </row>
    <row r="2292" spans="13:27">
      <c r="M2292" s="321">
        <v>1815700545</v>
      </c>
      <c r="N2292" s="321">
        <v>81</v>
      </c>
      <c r="O2292" s="321" t="s">
        <v>5922</v>
      </c>
      <c r="P2292" s="321">
        <v>4815700</v>
      </c>
      <c r="Q2292" s="322">
        <v>0</v>
      </c>
      <c r="R2292" s="322">
        <v>0</v>
      </c>
      <c r="S2292" s="322">
        <v>0</v>
      </c>
      <c r="T2292" s="322">
        <v>0</v>
      </c>
      <c r="U2292" s="322">
        <f t="shared" si="163"/>
        <v>0</v>
      </c>
      <c r="W2292" s="321">
        <f t="shared" si="164"/>
        <v>545</v>
      </c>
      <c r="X2292" s="321">
        <f t="shared" si="165"/>
        <v>815700</v>
      </c>
      <c r="Y2292" s="321">
        <v>1</v>
      </c>
      <c r="AA2292" s="321" t="s">
        <v>5922</v>
      </c>
    </row>
    <row r="2293" spans="13:27">
      <c r="M2293" s="321">
        <v>1815700752</v>
      </c>
      <c r="N2293" s="321">
        <v>81</v>
      </c>
      <c r="O2293" s="321" t="s">
        <v>5923</v>
      </c>
      <c r="P2293" s="321">
        <v>4815700</v>
      </c>
      <c r="Q2293" s="322">
        <v>10000</v>
      </c>
      <c r="R2293" s="322">
        <v>0</v>
      </c>
      <c r="S2293" s="322">
        <v>0</v>
      </c>
      <c r="T2293" s="322">
        <v>0</v>
      </c>
      <c r="U2293" s="322">
        <f t="shared" si="163"/>
        <v>0</v>
      </c>
      <c r="W2293" s="321">
        <f t="shared" si="164"/>
        <v>752</v>
      </c>
      <c r="X2293" s="321">
        <f t="shared" si="165"/>
        <v>815700</v>
      </c>
      <c r="Y2293" s="321">
        <v>1</v>
      </c>
      <c r="AA2293" s="321" t="s">
        <v>5923</v>
      </c>
    </row>
    <row r="2294" spans="13:27">
      <c r="M2294" s="321">
        <v>1815700766</v>
      </c>
      <c r="N2294" s="321">
        <v>81</v>
      </c>
      <c r="O2294" s="321" t="s">
        <v>4949</v>
      </c>
      <c r="P2294" s="321">
        <v>4815700</v>
      </c>
      <c r="Q2294" s="322">
        <v>0</v>
      </c>
      <c r="R2294" s="322">
        <v>0</v>
      </c>
      <c r="S2294" s="322">
        <v>0</v>
      </c>
      <c r="T2294" s="322">
        <v>0</v>
      </c>
      <c r="U2294" s="322">
        <f t="shared" si="163"/>
        <v>0</v>
      </c>
      <c r="W2294" s="321">
        <f t="shared" si="164"/>
        <v>766</v>
      </c>
      <c r="X2294" s="321">
        <f t="shared" si="165"/>
        <v>815700</v>
      </c>
      <c r="Y2294" s="321">
        <v>1</v>
      </c>
      <c r="AA2294" s="321" t="s">
        <v>4949</v>
      </c>
    </row>
    <row r="2295" spans="13:27">
      <c r="M2295" s="321">
        <v>1815700780</v>
      </c>
      <c r="N2295" s="321">
        <v>81</v>
      </c>
      <c r="O2295" s="321" t="s">
        <v>5827</v>
      </c>
      <c r="P2295" s="321">
        <v>4815700</v>
      </c>
      <c r="Q2295" s="322">
        <v>2400000</v>
      </c>
      <c r="R2295" s="322">
        <v>1516900</v>
      </c>
      <c r="S2295" s="322">
        <v>2600000</v>
      </c>
      <c r="T2295" s="322">
        <v>2360000</v>
      </c>
      <c r="U2295" s="322">
        <f t="shared" si="163"/>
        <v>240000</v>
      </c>
      <c r="W2295" s="321">
        <f t="shared" si="164"/>
        <v>780</v>
      </c>
      <c r="X2295" s="321">
        <f t="shared" si="165"/>
        <v>815700</v>
      </c>
      <c r="Y2295" s="321">
        <v>1</v>
      </c>
      <c r="AA2295" s="321" t="s">
        <v>5827</v>
      </c>
    </row>
    <row r="2296" spans="13:27">
      <c r="M2296" s="321">
        <v>1815700781</v>
      </c>
      <c r="N2296" s="321">
        <v>81</v>
      </c>
      <c r="O2296" s="321" t="s">
        <v>5924</v>
      </c>
      <c r="P2296" s="321">
        <v>4815700</v>
      </c>
      <c r="Q2296" s="322">
        <v>575000</v>
      </c>
      <c r="R2296" s="322">
        <v>160800</v>
      </c>
      <c r="S2296" s="322">
        <v>920000</v>
      </c>
      <c r="T2296" s="322">
        <v>820000</v>
      </c>
      <c r="U2296" s="322">
        <f t="shared" si="163"/>
        <v>100000</v>
      </c>
      <c r="W2296" s="321">
        <f t="shared" si="164"/>
        <v>781</v>
      </c>
      <c r="X2296" s="321">
        <f t="shared" si="165"/>
        <v>815700</v>
      </c>
      <c r="Y2296" s="321">
        <v>1</v>
      </c>
      <c r="AA2296" s="321" t="s">
        <v>5924</v>
      </c>
    </row>
    <row r="2297" spans="13:27">
      <c r="M2297" s="321">
        <v>1815701110</v>
      </c>
      <c r="N2297" s="321">
        <v>81</v>
      </c>
      <c r="O2297" s="321" t="s">
        <v>5205</v>
      </c>
      <c r="P2297" s="321">
        <v>4815701</v>
      </c>
      <c r="Q2297" s="322">
        <v>7257000</v>
      </c>
      <c r="R2297" s="322">
        <v>5464600</v>
      </c>
      <c r="S2297" s="322">
        <v>7414000</v>
      </c>
      <c r="T2297" s="322">
        <v>7414000</v>
      </c>
      <c r="U2297" s="322">
        <f t="shared" si="163"/>
        <v>0</v>
      </c>
      <c r="W2297" s="321">
        <f t="shared" si="164"/>
        <v>110</v>
      </c>
      <c r="X2297" s="321">
        <f t="shared" si="165"/>
        <v>815701</v>
      </c>
      <c r="Y2297" s="321">
        <v>1</v>
      </c>
      <c r="AA2297" s="321" t="s">
        <v>5205</v>
      </c>
    </row>
    <row r="2298" spans="13:27">
      <c r="M2298" s="321">
        <v>1815701120</v>
      </c>
      <c r="N2298" s="321">
        <v>81</v>
      </c>
      <c r="O2298" s="321" t="s">
        <v>5206</v>
      </c>
      <c r="P2298" s="321">
        <v>4815701</v>
      </c>
      <c r="Q2298" s="322">
        <v>531000</v>
      </c>
      <c r="R2298" s="322">
        <v>550500</v>
      </c>
      <c r="S2298" s="322">
        <v>571000</v>
      </c>
      <c r="T2298" s="322">
        <v>571000</v>
      </c>
      <c r="U2298" s="322">
        <f t="shared" si="163"/>
        <v>0</v>
      </c>
      <c r="W2298" s="321">
        <f t="shared" si="164"/>
        <v>120</v>
      </c>
      <c r="X2298" s="321">
        <f t="shared" si="165"/>
        <v>815701</v>
      </c>
      <c r="Y2298" s="321">
        <v>1</v>
      </c>
      <c r="AA2298" s="321" t="s">
        <v>5206</v>
      </c>
    </row>
    <row r="2299" spans="13:27">
      <c r="M2299" s="321">
        <v>1815701130</v>
      </c>
      <c r="N2299" s="321">
        <v>81</v>
      </c>
      <c r="O2299" s="321" t="s">
        <v>2576</v>
      </c>
      <c r="P2299" s="321">
        <v>4815701</v>
      </c>
      <c r="Q2299" s="322">
        <v>147000</v>
      </c>
      <c r="R2299" s="322">
        <v>129500</v>
      </c>
      <c r="S2299" s="322">
        <v>177000</v>
      </c>
      <c r="T2299" s="322">
        <v>159300</v>
      </c>
      <c r="U2299" s="322">
        <f t="shared" si="163"/>
        <v>17700</v>
      </c>
      <c r="W2299" s="321">
        <f t="shared" si="164"/>
        <v>130</v>
      </c>
      <c r="X2299" s="321">
        <f t="shared" si="165"/>
        <v>815701</v>
      </c>
      <c r="Y2299" s="321">
        <v>1</v>
      </c>
      <c r="AA2299" s="321" t="s">
        <v>2576</v>
      </c>
    </row>
    <row r="2300" spans="13:27">
      <c r="M2300" s="321">
        <v>1815701140</v>
      </c>
      <c r="N2300" s="321">
        <v>81</v>
      </c>
      <c r="O2300" s="321" t="s">
        <v>5207</v>
      </c>
      <c r="P2300" s="321">
        <v>4815701</v>
      </c>
      <c r="Q2300" s="322">
        <v>170000</v>
      </c>
      <c r="R2300" s="322">
        <v>100300</v>
      </c>
      <c r="S2300" s="322">
        <v>143000</v>
      </c>
      <c r="T2300" s="322">
        <v>143000</v>
      </c>
      <c r="U2300" s="322">
        <f t="shared" si="163"/>
        <v>0</v>
      </c>
      <c r="W2300" s="321">
        <f t="shared" si="164"/>
        <v>140</v>
      </c>
      <c r="X2300" s="321">
        <f t="shared" si="165"/>
        <v>815701</v>
      </c>
      <c r="Y2300" s="321">
        <v>1</v>
      </c>
      <c r="AA2300" s="321" t="s">
        <v>5207</v>
      </c>
    </row>
    <row r="2301" spans="13:27">
      <c r="M2301" s="321">
        <v>1815701141</v>
      </c>
      <c r="N2301" s="321">
        <v>81</v>
      </c>
      <c r="O2301" s="321" t="s">
        <v>5208</v>
      </c>
      <c r="P2301" s="321">
        <v>4815701</v>
      </c>
      <c r="Q2301" s="322">
        <v>224000</v>
      </c>
      <c r="R2301" s="322">
        <v>202700</v>
      </c>
      <c r="S2301" s="322">
        <v>241000</v>
      </c>
      <c r="T2301" s="322">
        <v>241000</v>
      </c>
      <c r="U2301" s="322">
        <f t="shared" si="163"/>
        <v>0</v>
      </c>
      <c r="W2301" s="321">
        <f t="shared" si="164"/>
        <v>141</v>
      </c>
      <c r="X2301" s="321">
        <f t="shared" si="165"/>
        <v>815701</v>
      </c>
      <c r="Y2301" s="321">
        <v>1</v>
      </c>
      <c r="AA2301" s="321" t="s">
        <v>5208</v>
      </c>
    </row>
    <row r="2302" spans="13:27">
      <c r="M2302" s="321">
        <v>1815701181</v>
      </c>
      <c r="N2302" s="321">
        <v>81</v>
      </c>
      <c r="O2302" s="321" t="s">
        <v>2580</v>
      </c>
      <c r="P2302" s="321">
        <v>4815701</v>
      </c>
      <c r="Q2302" s="322">
        <v>1508000</v>
      </c>
      <c r="R2302" s="322">
        <v>1206200</v>
      </c>
      <c r="S2302" s="322">
        <v>1618000</v>
      </c>
      <c r="T2302" s="322">
        <v>1618000</v>
      </c>
      <c r="U2302" s="322">
        <f t="shared" si="163"/>
        <v>0</v>
      </c>
      <c r="W2302" s="321">
        <f t="shared" si="164"/>
        <v>181</v>
      </c>
      <c r="X2302" s="321">
        <f t="shared" si="165"/>
        <v>815701</v>
      </c>
      <c r="Y2302" s="321">
        <v>1</v>
      </c>
      <c r="AA2302" s="321" t="s">
        <v>2580</v>
      </c>
    </row>
    <row r="2303" spans="13:27">
      <c r="M2303" s="321">
        <v>1815701182</v>
      </c>
      <c r="N2303" s="321">
        <v>81</v>
      </c>
      <c r="O2303" s="321" t="s">
        <v>2582</v>
      </c>
      <c r="P2303" s="321">
        <v>4815701</v>
      </c>
      <c r="Q2303" s="322">
        <v>1071000</v>
      </c>
      <c r="R2303" s="322">
        <v>799800</v>
      </c>
      <c r="S2303" s="322">
        <v>1090000</v>
      </c>
      <c r="T2303" s="322">
        <v>1090000</v>
      </c>
      <c r="U2303" s="322">
        <f t="shared" si="163"/>
        <v>0</v>
      </c>
      <c r="W2303" s="321">
        <f t="shared" si="164"/>
        <v>182</v>
      </c>
      <c r="X2303" s="321">
        <f t="shared" si="165"/>
        <v>815701</v>
      </c>
      <c r="Y2303" s="321">
        <v>1</v>
      </c>
      <c r="AA2303" s="321" t="s">
        <v>2582</v>
      </c>
    </row>
    <row r="2304" spans="13:27">
      <c r="M2304" s="321">
        <v>1815701720</v>
      </c>
      <c r="N2304" s="321">
        <v>81</v>
      </c>
      <c r="O2304" s="321" t="s">
        <v>2705</v>
      </c>
      <c r="P2304" s="321">
        <v>4815701</v>
      </c>
      <c r="Q2304" s="322">
        <v>240000</v>
      </c>
      <c r="R2304" s="322">
        <v>151300</v>
      </c>
      <c r="S2304" s="322">
        <v>200000</v>
      </c>
      <c r="T2304" s="322">
        <v>200000</v>
      </c>
      <c r="U2304" s="322">
        <f t="shared" si="163"/>
        <v>0</v>
      </c>
      <c r="W2304" s="321">
        <f t="shared" si="164"/>
        <v>720</v>
      </c>
      <c r="X2304" s="321">
        <f t="shared" si="165"/>
        <v>815701</v>
      </c>
      <c r="Y2304" s="321">
        <v>1</v>
      </c>
      <c r="AA2304" s="321" t="s">
        <v>2705</v>
      </c>
    </row>
    <row r="2305" spans="13:27">
      <c r="M2305" s="321">
        <v>1815701721</v>
      </c>
      <c r="N2305" s="321">
        <v>81</v>
      </c>
      <c r="O2305" s="321" t="s">
        <v>5925</v>
      </c>
      <c r="P2305" s="321">
        <v>4815701</v>
      </c>
      <c r="Q2305" s="322">
        <v>23000</v>
      </c>
      <c r="R2305" s="322">
        <v>23400</v>
      </c>
      <c r="S2305" s="322">
        <v>25000</v>
      </c>
      <c r="T2305" s="322">
        <v>25000</v>
      </c>
      <c r="U2305" s="322">
        <f t="shared" si="163"/>
        <v>0</v>
      </c>
      <c r="W2305" s="321">
        <f t="shared" si="164"/>
        <v>721</v>
      </c>
      <c r="X2305" s="321">
        <f t="shared" si="165"/>
        <v>815701</v>
      </c>
      <c r="Y2305" s="321">
        <v>1</v>
      </c>
      <c r="AA2305" s="321" t="s">
        <v>5925</v>
      </c>
    </row>
    <row r="2306" spans="13:27">
      <c r="M2306" s="321">
        <v>1815701755</v>
      </c>
      <c r="N2306" s="321">
        <v>81</v>
      </c>
      <c r="O2306" s="321" t="s">
        <v>5926</v>
      </c>
      <c r="P2306" s="321">
        <v>4815701</v>
      </c>
      <c r="Q2306" s="322">
        <v>150000</v>
      </c>
      <c r="R2306" s="322">
        <v>112500</v>
      </c>
      <c r="S2306" s="322">
        <v>153500</v>
      </c>
      <c r="T2306" s="322">
        <v>153500</v>
      </c>
      <c r="U2306" s="322">
        <f t="shared" ref="U2306:U2369" si="166">S2306-T2306</f>
        <v>0</v>
      </c>
      <c r="W2306" s="321">
        <f t="shared" si="164"/>
        <v>755</v>
      </c>
      <c r="X2306" s="321">
        <f t="shared" si="165"/>
        <v>815701</v>
      </c>
      <c r="Y2306" s="321">
        <v>1</v>
      </c>
      <c r="AA2306" s="321" t="s">
        <v>5926</v>
      </c>
    </row>
    <row r="2307" spans="13:27">
      <c r="M2307" s="321">
        <v>1815701765</v>
      </c>
      <c r="N2307" s="321">
        <v>81</v>
      </c>
      <c r="O2307" s="321" t="s">
        <v>3354</v>
      </c>
      <c r="P2307" s="321">
        <v>4815701</v>
      </c>
      <c r="Q2307" s="322">
        <v>3550000</v>
      </c>
      <c r="R2307" s="322">
        <v>2624700</v>
      </c>
      <c r="S2307" s="322">
        <v>3700000</v>
      </c>
      <c r="T2307" s="322">
        <v>3700000</v>
      </c>
      <c r="U2307" s="322">
        <f t="shared" si="166"/>
        <v>0</v>
      </c>
      <c r="W2307" s="321">
        <f t="shared" ref="W2307:W2370" si="167">M2307-1000000000-X2307*1000</f>
        <v>765</v>
      </c>
      <c r="X2307" s="321">
        <f t="shared" ref="X2307:X2370" si="168">ROUNDDOWN((M2307-1000000000)/1000,0)</f>
        <v>815701</v>
      </c>
      <c r="Y2307" s="321">
        <v>1</v>
      </c>
      <c r="AA2307" s="321" t="s">
        <v>3354</v>
      </c>
    </row>
    <row r="2308" spans="13:27">
      <c r="M2308" s="321">
        <v>1815701771</v>
      </c>
      <c r="N2308" s="321">
        <v>81</v>
      </c>
      <c r="O2308" s="321" t="s">
        <v>5927</v>
      </c>
      <c r="P2308" s="321">
        <v>4815701</v>
      </c>
      <c r="Q2308" s="322">
        <v>220000</v>
      </c>
      <c r="R2308" s="322">
        <v>163800</v>
      </c>
      <c r="S2308" s="322">
        <v>220000</v>
      </c>
      <c r="T2308" s="322">
        <v>220000</v>
      </c>
      <c r="U2308" s="322">
        <f t="shared" si="166"/>
        <v>0</v>
      </c>
      <c r="W2308" s="321">
        <f t="shared" si="167"/>
        <v>771</v>
      </c>
      <c r="X2308" s="321">
        <f t="shared" si="168"/>
        <v>815701</v>
      </c>
      <c r="Y2308" s="321">
        <v>1</v>
      </c>
      <c r="AA2308" s="321" t="s">
        <v>5927</v>
      </c>
    </row>
    <row r="2309" spans="13:27">
      <c r="M2309" s="321">
        <v>1815701772</v>
      </c>
      <c r="N2309" s="321">
        <v>81</v>
      </c>
      <c r="O2309" s="321" t="s">
        <v>5928</v>
      </c>
      <c r="P2309" s="321">
        <v>4815701</v>
      </c>
      <c r="Q2309" s="322">
        <v>61000</v>
      </c>
      <c r="R2309" s="322">
        <v>38200</v>
      </c>
      <c r="S2309" s="322">
        <v>60000</v>
      </c>
      <c r="T2309" s="322">
        <v>60000</v>
      </c>
      <c r="U2309" s="322">
        <f t="shared" si="166"/>
        <v>0</v>
      </c>
      <c r="W2309" s="321">
        <f t="shared" si="167"/>
        <v>772</v>
      </c>
      <c r="X2309" s="321">
        <f t="shared" si="168"/>
        <v>815701</v>
      </c>
      <c r="Y2309" s="321">
        <v>1</v>
      </c>
      <c r="AA2309" s="321" t="s">
        <v>5928</v>
      </c>
    </row>
    <row r="2310" spans="13:27">
      <c r="M2310" s="321">
        <v>1815701780</v>
      </c>
      <c r="N2310" s="321">
        <v>81</v>
      </c>
      <c r="O2310" s="321" t="s">
        <v>5929</v>
      </c>
      <c r="P2310" s="321">
        <v>4815701</v>
      </c>
      <c r="Q2310" s="322">
        <v>0</v>
      </c>
      <c r="R2310" s="322">
        <v>800</v>
      </c>
      <c r="S2310" s="322">
        <v>0</v>
      </c>
      <c r="T2310" s="322">
        <v>0</v>
      </c>
      <c r="U2310" s="322">
        <f t="shared" si="166"/>
        <v>0</v>
      </c>
      <c r="W2310" s="321">
        <f t="shared" si="167"/>
        <v>780</v>
      </c>
      <c r="X2310" s="321">
        <f t="shared" si="168"/>
        <v>815701</v>
      </c>
      <c r="Y2310" s="321">
        <v>1</v>
      </c>
      <c r="AA2310" s="321" t="s">
        <v>5929</v>
      </c>
    </row>
    <row r="2311" spans="13:27">
      <c r="M2311" s="321">
        <v>1815702110</v>
      </c>
      <c r="N2311" s="321">
        <v>81</v>
      </c>
      <c r="O2311" s="321" t="s">
        <v>5205</v>
      </c>
      <c r="P2311" s="321">
        <v>4815702</v>
      </c>
      <c r="Q2311" s="322">
        <v>3399000</v>
      </c>
      <c r="R2311" s="322">
        <v>2404900</v>
      </c>
      <c r="S2311" s="322">
        <v>3281000</v>
      </c>
      <c r="T2311" s="322">
        <v>3281000</v>
      </c>
      <c r="U2311" s="322">
        <f t="shared" si="166"/>
        <v>0</v>
      </c>
      <c r="W2311" s="321">
        <f t="shared" si="167"/>
        <v>110</v>
      </c>
      <c r="X2311" s="321">
        <f t="shared" si="168"/>
        <v>815702</v>
      </c>
      <c r="Y2311" s="321">
        <v>1</v>
      </c>
      <c r="AA2311" s="321" t="s">
        <v>5205</v>
      </c>
    </row>
    <row r="2312" spans="13:27">
      <c r="M2312" s="321">
        <v>1815702120</v>
      </c>
      <c r="N2312" s="321">
        <v>81</v>
      </c>
      <c r="O2312" s="321" t="s">
        <v>5206</v>
      </c>
      <c r="P2312" s="321">
        <v>4815702</v>
      </c>
      <c r="Q2312" s="322">
        <v>252000</v>
      </c>
      <c r="R2312" s="322">
        <v>271800</v>
      </c>
      <c r="S2312" s="322">
        <v>282000</v>
      </c>
      <c r="T2312" s="322">
        <v>282000</v>
      </c>
      <c r="U2312" s="322">
        <f t="shared" si="166"/>
        <v>0</v>
      </c>
      <c r="W2312" s="321">
        <f t="shared" si="167"/>
        <v>120</v>
      </c>
      <c r="X2312" s="321">
        <f t="shared" si="168"/>
        <v>815702</v>
      </c>
      <c r="Y2312" s="321">
        <v>1</v>
      </c>
      <c r="AA2312" s="321" t="s">
        <v>5206</v>
      </c>
    </row>
    <row r="2313" spans="13:27">
      <c r="M2313" s="321">
        <v>1815702130</v>
      </c>
      <c r="N2313" s="321">
        <v>81</v>
      </c>
      <c r="O2313" s="321" t="s">
        <v>2576</v>
      </c>
      <c r="P2313" s="321">
        <v>4815702</v>
      </c>
      <c r="Q2313" s="322">
        <v>73000</v>
      </c>
      <c r="R2313" s="322">
        <v>39800</v>
      </c>
      <c r="S2313" s="322">
        <v>62000</v>
      </c>
      <c r="T2313" s="322">
        <v>55800</v>
      </c>
      <c r="U2313" s="322">
        <f t="shared" si="166"/>
        <v>6200</v>
      </c>
      <c r="W2313" s="321">
        <f t="shared" si="167"/>
        <v>130</v>
      </c>
      <c r="X2313" s="321">
        <f t="shared" si="168"/>
        <v>815702</v>
      </c>
      <c r="Y2313" s="321">
        <v>1</v>
      </c>
      <c r="AA2313" s="321" t="s">
        <v>2576</v>
      </c>
    </row>
    <row r="2314" spans="13:27">
      <c r="M2314" s="321">
        <v>1815702140</v>
      </c>
      <c r="N2314" s="321">
        <v>81</v>
      </c>
      <c r="O2314" s="321" t="s">
        <v>5207</v>
      </c>
      <c r="P2314" s="321">
        <v>4815702</v>
      </c>
      <c r="Q2314" s="322">
        <v>98000</v>
      </c>
      <c r="R2314" s="322">
        <v>36800</v>
      </c>
      <c r="S2314" s="322">
        <v>104000</v>
      </c>
      <c r="T2314" s="322">
        <v>104000</v>
      </c>
      <c r="U2314" s="322">
        <f t="shared" si="166"/>
        <v>0</v>
      </c>
      <c r="W2314" s="321">
        <f t="shared" si="167"/>
        <v>140</v>
      </c>
      <c r="X2314" s="321">
        <f t="shared" si="168"/>
        <v>815702</v>
      </c>
      <c r="Y2314" s="321">
        <v>1</v>
      </c>
      <c r="AA2314" s="321" t="s">
        <v>5207</v>
      </c>
    </row>
    <row r="2315" spans="13:27">
      <c r="M2315" s="321">
        <v>1815702141</v>
      </c>
      <c r="N2315" s="321">
        <v>81</v>
      </c>
      <c r="O2315" s="321" t="s">
        <v>5208</v>
      </c>
      <c r="P2315" s="321">
        <v>4815702</v>
      </c>
      <c r="Q2315" s="322">
        <v>116000</v>
      </c>
      <c r="R2315" s="322">
        <v>96700</v>
      </c>
      <c r="S2315" s="322">
        <v>123000</v>
      </c>
      <c r="T2315" s="322">
        <v>123000</v>
      </c>
      <c r="U2315" s="322">
        <f t="shared" si="166"/>
        <v>0</v>
      </c>
      <c r="W2315" s="321">
        <f t="shared" si="167"/>
        <v>141</v>
      </c>
      <c r="X2315" s="321">
        <f t="shared" si="168"/>
        <v>815702</v>
      </c>
      <c r="Y2315" s="321">
        <v>1</v>
      </c>
      <c r="AA2315" s="321" t="s">
        <v>5208</v>
      </c>
    </row>
    <row r="2316" spans="13:27">
      <c r="M2316" s="321">
        <v>1815702181</v>
      </c>
      <c r="N2316" s="321">
        <v>81</v>
      </c>
      <c r="O2316" s="321" t="s">
        <v>2580</v>
      </c>
      <c r="P2316" s="321">
        <v>4815702</v>
      </c>
      <c r="Q2316" s="322">
        <v>744000</v>
      </c>
      <c r="R2316" s="322">
        <v>548600</v>
      </c>
      <c r="S2316" s="322">
        <v>741000</v>
      </c>
      <c r="T2316" s="322">
        <v>741000</v>
      </c>
      <c r="U2316" s="322">
        <f t="shared" si="166"/>
        <v>0</v>
      </c>
      <c r="W2316" s="321">
        <f t="shared" si="167"/>
        <v>181</v>
      </c>
      <c r="X2316" s="321">
        <f t="shared" si="168"/>
        <v>815702</v>
      </c>
      <c r="Y2316" s="321">
        <v>1</v>
      </c>
      <c r="AA2316" s="321" t="s">
        <v>2580</v>
      </c>
    </row>
    <row r="2317" spans="13:27">
      <c r="M2317" s="321">
        <v>1815702182</v>
      </c>
      <c r="N2317" s="321">
        <v>81</v>
      </c>
      <c r="O2317" s="321" t="s">
        <v>2582</v>
      </c>
      <c r="P2317" s="321">
        <v>4815702</v>
      </c>
      <c r="Q2317" s="322">
        <v>508000</v>
      </c>
      <c r="R2317" s="322">
        <v>369400</v>
      </c>
      <c r="S2317" s="322">
        <v>508000</v>
      </c>
      <c r="T2317" s="322">
        <v>508000</v>
      </c>
      <c r="U2317" s="322">
        <f t="shared" si="166"/>
        <v>0</v>
      </c>
      <c r="W2317" s="321">
        <f t="shared" si="167"/>
        <v>182</v>
      </c>
      <c r="X2317" s="321">
        <f t="shared" si="168"/>
        <v>815702</v>
      </c>
      <c r="Y2317" s="321">
        <v>1</v>
      </c>
      <c r="AA2317" s="321" t="s">
        <v>2582</v>
      </c>
    </row>
    <row r="2318" spans="13:27">
      <c r="M2318" s="321">
        <v>1815702720</v>
      </c>
      <c r="N2318" s="321">
        <v>81</v>
      </c>
      <c r="O2318" s="321" t="s">
        <v>2705</v>
      </c>
      <c r="P2318" s="321">
        <v>4815702</v>
      </c>
      <c r="Q2318" s="322">
        <v>0</v>
      </c>
      <c r="R2318" s="322">
        <v>0</v>
      </c>
      <c r="S2318" s="322">
        <v>0</v>
      </c>
      <c r="T2318" s="322">
        <v>0</v>
      </c>
      <c r="U2318" s="322">
        <f t="shared" si="166"/>
        <v>0</v>
      </c>
      <c r="W2318" s="321">
        <f t="shared" si="167"/>
        <v>720</v>
      </c>
      <c r="X2318" s="321">
        <f t="shared" si="168"/>
        <v>815702</v>
      </c>
      <c r="Y2318" s="321">
        <v>1</v>
      </c>
      <c r="AA2318" s="321" t="s">
        <v>2705</v>
      </c>
    </row>
    <row r="2319" spans="13:27">
      <c r="M2319" s="321">
        <v>1815702721</v>
      </c>
      <c r="N2319" s="321">
        <v>81</v>
      </c>
      <c r="O2319" s="321" t="s">
        <v>5930</v>
      </c>
      <c r="P2319" s="321">
        <v>4815702</v>
      </c>
      <c r="Q2319" s="322">
        <v>0</v>
      </c>
      <c r="R2319" s="322">
        <v>0</v>
      </c>
      <c r="S2319" s="322">
        <v>0</v>
      </c>
      <c r="T2319" s="322">
        <v>0</v>
      </c>
      <c r="U2319" s="322">
        <f t="shared" si="166"/>
        <v>0</v>
      </c>
      <c r="W2319" s="321">
        <f t="shared" si="167"/>
        <v>721</v>
      </c>
      <c r="X2319" s="321">
        <f t="shared" si="168"/>
        <v>815702</v>
      </c>
      <c r="Y2319" s="321">
        <v>1</v>
      </c>
      <c r="AA2319" s="321" t="s">
        <v>5930</v>
      </c>
    </row>
    <row r="2320" spans="13:27">
      <c r="M2320" s="321">
        <v>1815702755</v>
      </c>
      <c r="N2320" s="321">
        <v>81</v>
      </c>
      <c r="O2320" s="321" t="s">
        <v>5931</v>
      </c>
      <c r="P2320" s="321">
        <v>4815702</v>
      </c>
      <c r="Q2320" s="322">
        <v>0</v>
      </c>
      <c r="R2320" s="322">
        <v>0</v>
      </c>
      <c r="S2320" s="322">
        <v>0</v>
      </c>
      <c r="T2320" s="322">
        <v>0</v>
      </c>
      <c r="U2320" s="322">
        <f t="shared" si="166"/>
        <v>0</v>
      </c>
      <c r="W2320" s="321">
        <f t="shared" si="167"/>
        <v>755</v>
      </c>
      <c r="X2320" s="321">
        <f t="shared" si="168"/>
        <v>815702</v>
      </c>
      <c r="Y2320" s="321">
        <v>1</v>
      </c>
      <c r="AA2320" s="321" t="s">
        <v>5931</v>
      </c>
    </row>
    <row r="2321" spans="13:27">
      <c r="M2321" s="321">
        <v>1815702765</v>
      </c>
      <c r="N2321" s="321">
        <v>81</v>
      </c>
      <c r="O2321" s="321" t="s">
        <v>5932</v>
      </c>
      <c r="P2321" s="321">
        <v>4815702</v>
      </c>
      <c r="Q2321" s="322">
        <v>0</v>
      </c>
      <c r="R2321" s="322">
        <v>0</v>
      </c>
      <c r="S2321" s="322">
        <v>0</v>
      </c>
      <c r="T2321" s="322">
        <v>0</v>
      </c>
      <c r="U2321" s="322">
        <f t="shared" si="166"/>
        <v>0</v>
      </c>
      <c r="W2321" s="321">
        <f t="shared" si="167"/>
        <v>765</v>
      </c>
      <c r="X2321" s="321">
        <f t="shared" si="168"/>
        <v>815702</v>
      </c>
      <c r="Y2321" s="321">
        <v>1</v>
      </c>
      <c r="AA2321" s="321" t="s">
        <v>5932</v>
      </c>
    </row>
    <row r="2322" spans="13:27">
      <c r="M2322" s="321">
        <v>1815702771</v>
      </c>
      <c r="N2322" s="321">
        <v>81</v>
      </c>
      <c r="O2322" s="321" t="s">
        <v>5933</v>
      </c>
      <c r="P2322" s="321">
        <v>4815702</v>
      </c>
      <c r="Q2322" s="322">
        <v>60000</v>
      </c>
      <c r="R2322" s="322">
        <v>33000</v>
      </c>
      <c r="S2322" s="322">
        <v>60000</v>
      </c>
      <c r="T2322" s="322">
        <v>60000</v>
      </c>
      <c r="U2322" s="322">
        <f t="shared" si="166"/>
        <v>0</v>
      </c>
      <c r="W2322" s="321">
        <f t="shared" si="167"/>
        <v>771</v>
      </c>
      <c r="X2322" s="321">
        <f t="shared" si="168"/>
        <v>815702</v>
      </c>
      <c r="Y2322" s="321">
        <v>1</v>
      </c>
      <c r="AA2322" s="321" t="s">
        <v>5933</v>
      </c>
    </row>
    <row r="2323" spans="13:27">
      <c r="M2323" s="321">
        <v>1815702772</v>
      </c>
      <c r="N2323" s="321">
        <v>81</v>
      </c>
      <c r="O2323" s="321" t="s">
        <v>5934</v>
      </c>
      <c r="P2323" s="321">
        <v>4815702</v>
      </c>
      <c r="Q2323" s="322">
        <v>61000</v>
      </c>
      <c r="R2323" s="322">
        <v>20200</v>
      </c>
      <c r="S2323" s="322">
        <v>60000</v>
      </c>
      <c r="T2323" s="322">
        <v>60000</v>
      </c>
      <c r="U2323" s="322">
        <f t="shared" si="166"/>
        <v>0</v>
      </c>
      <c r="W2323" s="321">
        <f t="shared" si="167"/>
        <v>772</v>
      </c>
      <c r="X2323" s="321">
        <f t="shared" si="168"/>
        <v>815702</v>
      </c>
      <c r="Y2323" s="321">
        <v>1</v>
      </c>
      <c r="AA2323" s="321" t="s">
        <v>5934</v>
      </c>
    </row>
    <row r="2324" spans="13:27">
      <c r="M2324" s="321">
        <v>1815702780</v>
      </c>
      <c r="N2324" s="321">
        <v>81</v>
      </c>
      <c r="O2324" s="321" t="s">
        <v>5935</v>
      </c>
      <c r="P2324" s="321">
        <v>4815702</v>
      </c>
      <c r="Q2324" s="322">
        <v>0</v>
      </c>
      <c r="R2324" s="322">
        <v>0</v>
      </c>
      <c r="S2324" s="322">
        <v>0</v>
      </c>
      <c r="T2324" s="322">
        <v>0</v>
      </c>
      <c r="U2324" s="322">
        <f t="shared" si="166"/>
        <v>0</v>
      </c>
      <c r="W2324" s="321">
        <f t="shared" si="167"/>
        <v>780</v>
      </c>
      <c r="X2324" s="321">
        <f t="shared" si="168"/>
        <v>815702</v>
      </c>
      <c r="Y2324" s="321">
        <v>1</v>
      </c>
      <c r="AA2324" s="321" t="s">
        <v>5935</v>
      </c>
    </row>
    <row r="2325" spans="13:27">
      <c r="M2325" s="321">
        <v>1815703110</v>
      </c>
      <c r="N2325" s="321">
        <v>81</v>
      </c>
      <c r="O2325" s="321" t="s">
        <v>5205</v>
      </c>
      <c r="P2325" s="321">
        <v>4815703</v>
      </c>
      <c r="Q2325" s="322">
        <v>8257000</v>
      </c>
      <c r="R2325" s="322">
        <v>5877800</v>
      </c>
      <c r="S2325" s="322">
        <v>7917000</v>
      </c>
      <c r="T2325" s="322">
        <v>7917000</v>
      </c>
      <c r="U2325" s="322">
        <f t="shared" si="166"/>
        <v>0</v>
      </c>
      <c r="W2325" s="321">
        <f t="shared" si="167"/>
        <v>110</v>
      </c>
      <c r="X2325" s="321">
        <f t="shared" si="168"/>
        <v>815703</v>
      </c>
      <c r="Y2325" s="321">
        <v>1</v>
      </c>
      <c r="AA2325" s="321" t="s">
        <v>5205</v>
      </c>
    </row>
    <row r="2326" spans="13:27">
      <c r="M2326" s="321">
        <v>1815703120</v>
      </c>
      <c r="N2326" s="321">
        <v>81</v>
      </c>
      <c r="O2326" s="321" t="s">
        <v>5206</v>
      </c>
      <c r="P2326" s="321">
        <v>4815703</v>
      </c>
      <c r="Q2326" s="322">
        <v>646000</v>
      </c>
      <c r="R2326" s="322">
        <v>612500</v>
      </c>
      <c r="S2326" s="322">
        <v>642000</v>
      </c>
      <c r="T2326" s="322">
        <v>642000</v>
      </c>
      <c r="U2326" s="322">
        <f t="shared" si="166"/>
        <v>0</v>
      </c>
      <c r="W2326" s="321">
        <f t="shared" si="167"/>
        <v>120</v>
      </c>
      <c r="X2326" s="321">
        <f t="shared" si="168"/>
        <v>815703</v>
      </c>
      <c r="Y2326" s="321">
        <v>1</v>
      </c>
      <c r="AA2326" s="321" t="s">
        <v>5206</v>
      </c>
    </row>
    <row r="2327" spans="13:27">
      <c r="M2327" s="321">
        <v>1815703130</v>
      </c>
      <c r="N2327" s="321">
        <v>81</v>
      </c>
      <c r="O2327" s="321" t="s">
        <v>2576</v>
      </c>
      <c r="P2327" s="321">
        <v>4815703</v>
      </c>
      <c r="Q2327" s="322">
        <v>149000</v>
      </c>
      <c r="R2327" s="322">
        <v>111600</v>
      </c>
      <c r="S2327" s="322">
        <v>147000</v>
      </c>
      <c r="T2327" s="322">
        <v>132300</v>
      </c>
      <c r="U2327" s="322">
        <f t="shared" si="166"/>
        <v>14700</v>
      </c>
      <c r="W2327" s="321">
        <f t="shared" si="167"/>
        <v>130</v>
      </c>
      <c r="X2327" s="321">
        <f t="shared" si="168"/>
        <v>815703</v>
      </c>
      <c r="Y2327" s="321">
        <v>1</v>
      </c>
      <c r="AA2327" s="321" t="s">
        <v>2576</v>
      </c>
    </row>
    <row r="2328" spans="13:27">
      <c r="M2328" s="321">
        <v>1815703140</v>
      </c>
      <c r="N2328" s="321">
        <v>81</v>
      </c>
      <c r="O2328" s="321" t="s">
        <v>5207</v>
      </c>
      <c r="P2328" s="321">
        <v>4815703</v>
      </c>
      <c r="Q2328" s="322">
        <v>157000</v>
      </c>
      <c r="R2328" s="322">
        <v>90500</v>
      </c>
      <c r="S2328" s="322">
        <v>174000</v>
      </c>
      <c r="T2328" s="322">
        <v>174000</v>
      </c>
      <c r="U2328" s="322">
        <f t="shared" si="166"/>
        <v>0</v>
      </c>
      <c r="W2328" s="321">
        <f t="shared" si="167"/>
        <v>140</v>
      </c>
      <c r="X2328" s="321">
        <f t="shared" si="168"/>
        <v>815703</v>
      </c>
      <c r="Y2328" s="321">
        <v>1</v>
      </c>
      <c r="AA2328" s="321" t="s">
        <v>5207</v>
      </c>
    </row>
    <row r="2329" spans="13:27">
      <c r="M2329" s="321">
        <v>1815703141</v>
      </c>
      <c r="N2329" s="321">
        <v>81</v>
      </c>
      <c r="O2329" s="321" t="s">
        <v>5208</v>
      </c>
      <c r="P2329" s="321">
        <v>4815703</v>
      </c>
      <c r="Q2329" s="322">
        <v>246000</v>
      </c>
      <c r="R2329" s="322">
        <v>219700</v>
      </c>
      <c r="S2329" s="322">
        <v>269000</v>
      </c>
      <c r="T2329" s="322">
        <v>269000</v>
      </c>
      <c r="U2329" s="322">
        <f t="shared" si="166"/>
        <v>0</v>
      </c>
      <c r="W2329" s="321">
        <f t="shared" si="167"/>
        <v>141</v>
      </c>
      <c r="X2329" s="321">
        <f t="shared" si="168"/>
        <v>815703</v>
      </c>
      <c r="Y2329" s="321">
        <v>1</v>
      </c>
      <c r="AA2329" s="321" t="s">
        <v>5208</v>
      </c>
    </row>
    <row r="2330" spans="13:27">
      <c r="M2330" s="321">
        <v>1815703181</v>
      </c>
      <c r="N2330" s="321">
        <v>81</v>
      </c>
      <c r="O2330" s="321" t="s">
        <v>2580</v>
      </c>
      <c r="P2330" s="321">
        <v>4815703</v>
      </c>
      <c r="Q2330" s="322">
        <v>1753000</v>
      </c>
      <c r="R2330" s="322">
        <v>1292300</v>
      </c>
      <c r="S2330" s="322">
        <v>1712000</v>
      </c>
      <c r="T2330" s="322">
        <v>1712000</v>
      </c>
      <c r="U2330" s="322">
        <f t="shared" si="166"/>
        <v>0</v>
      </c>
      <c r="W2330" s="321">
        <f t="shared" si="167"/>
        <v>181</v>
      </c>
      <c r="X2330" s="321">
        <f t="shared" si="168"/>
        <v>815703</v>
      </c>
      <c r="Y2330" s="321">
        <v>1</v>
      </c>
      <c r="AA2330" s="321" t="s">
        <v>2580</v>
      </c>
    </row>
    <row r="2331" spans="13:27">
      <c r="M2331" s="321">
        <v>1815703182</v>
      </c>
      <c r="N2331" s="321">
        <v>81</v>
      </c>
      <c r="O2331" s="321" t="s">
        <v>2582</v>
      </c>
      <c r="P2331" s="321">
        <v>4815703</v>
      </c>
      <c r="Q2331" s="322">
        <v>1206000</v>
      </c>
      <c r="R2331" s="322">
        <v>874100</v>
      </c>
      <c r="S2331" s="322">
        <v>1175000</v>
      </c>
      <c r="T2331" s="322">
        <v>1175000</v>
      </c>
      <c r="U2331" s="322">
        <f t="shared" si="166"/>
        <v>0</v>
      </c>
      <c r="W2331" s="321">
        <f t="shared" si="167"/>
        <v>182</v>
      </c>
      <c r="X2331" s="321">
        <f t="shared" si="168"/>
        <v>815703</v>
      </c>
      <c r="Y2331" s="321">
        <v>1</v>
      </c>
      <c r="AA2331" s="321" t="s">
        <v>2582</v>
      </c>
    </row>
    <row r="2332" spans="13:27">
      <c r="M2332" s="321">
        <v>1815703210</v>
      </c>
      <c r="N2332" s="321">
        <v>81</v>
      </c>
      <c r="O2332" s="321" t="s">
        <v>5285</v>
      </c>
      <c r="P2332" s="321">
        <v>4815703</v>
      </c>
      <c r="Q2332" s="322">
        <v>222000</v>
      </c>
      <c r="R2332" s="322">
        <v>105600</v>
      </c>
      <c r="S2332" s="322">
        <v>0</v>
      </c>
      <c r="T2332" s="322">
        <v>0</v>
      </c>
      <c r="U2332" s="322">
        <f t="shared" si="166"/>
        <v>0</v>
      </c>
      <c r="W2332" s="321">
        <f t="shared" si="167"/>
        <v>210</v>
      </c>
      <c r="X2332" s="321">
        <f t="shared" si="168"/>
        <v>815703</v>
      </c>
      <c r="Y2332" s="321">
        <v>1</v>
      </c>
      <c r="AA2332" s="321" t="s">
        <v>5285</v>
      </c>
    </row>
    <row r="2333" spans="13:27">
      <c r="M2333" s="321">
        <v>1815703720</v>
      </c>
      <c r="N2333" s="321">
        <v>81</v>
      </c>
      <c r="O2333" s="321" t="s">
        <v>5936</v>
      </c>
      <c r="P2333" s="321">
        <v>4815703</v>
      </c>
      <c r="Q2333" s="322">
        <v>265000</v>
      </c>
      <c r="R2333" s="322">
        <v>164000</v>
      </c>
      <c r="S2333" s="322">
        <v>270000</v>
      </c>
      <c r="T2333" s="322">
        <v>270000</v>
      </c>
      <c r="U2333" s="322">
        <f t="shared" si="166"/>
        <v>0</v>
      </c>
      <c r="W2333" s="321">
        <f t="shared" si="167"/>
        <v>720</v>
      </c>
      <c r="X2333" s="321">
        <f t="shared" si="168"/>
        <v>815703</v>
      </c>
      <c r="Y2333" s="321">
        <v>1</v>
      </c>
      <c r="AA2333" s="321" t="s">
        <v>5936</v>
      </c>
    </row>
    <row r="2334" spans="13:27">
      <c r="M2334" s="321">
        <v>1815703721</v>
      </c>
      <c r="N2334" s="321">
        <v>81</v>
      </c>
      <c r="O2334" s="321" t="s">
        <v>5925</v>
      </c>
      <c r="P2334" s="321">
        <v>4815703</v>
      </c>
      <c r="Q2334" s="322">
        <v>37000</v>
      </c>
      <c r="R2334" s="322">
        <v>36200</v>
      </c>
      <c r="S2334" s="322">
        <v>35500</v>
      </c>
      <c r="T2334" s="322">
        <v>35500</v>
      </c>
      <c r="U2334" s="322">
        <f t="shared" si="166"/>
        <v>0</v>
      </c>
      <c r="W2334" s="321">
        <f t="shared" si="167"/>
        <v>721</v>
      </c>
      <c r="X2334" s="321">
        <f t="shared" si="168"/>
        <v>815703</v>
      </c>
      <c r="Y2334" s="321">
        <v>1</v>
      </c>
      <c r="AA2334" s="321" t="s">
        <v>5925</v>
      </c>
    </row>
    <row r="2335" spans="13:27">
      <c r="M2335" s="321">
        <v>1815703755</v>
      </c>
      <c r="N2335" s="321">
        <v>81</v>
      </c>
      <c r="O2335" s="321" t="s">
        <v>5937</v>
      </c>
      <c r="P2335" s="321">
        <v>4815703</v>
      </c>
      <c r="Q2335" s="322">
        <v>300000</v>
      </c>
      <c r="R2335" s="322">
        <v>224200</v>
      </c>
      <c r="S2335" s="322">
        <v>330000</v>
      </c>
      <c r="T2335" s="322">
        <v>330000</v>
      </c>
      <c r="U2335" s="322">
        <f t="shared" si="166"/>
        <v>0</v>
      </c>
      <c r="W2335" s="321">
        <f t="shared" si="167"/>
        <v>755</v>
      </c>
      <c r="X2335" s="321">
        <f t="shared" si="168"/>
        <v>815703</v>
      </c>
      <c r="Y2335" s="321">
        <v>1</v>
      </c>
      <c r="AA2335" s="321" t="s">
        <v>5937</v>
      </c>
    </row>
    <row r="2336" spans="13:27">
      <c r="M2336" s="321">
        <v>1815703765</v>
      </c>
      <c r="N2336" s="321">
        <v>81</v>
      </c>
      <c r="O2336" s="321" t="s">
        <v>3387</v>
      </c>
      <c r="P2336" s="321">
        <v>4815703</v>
      </c>
      <c r="Q2336" s="322">
        <v>4220000</v>
      </c>
      <c r="R2336" s="322">
        <v>2841800</v>
      </c>
      <c r="S2336" s="322">
        <v>4000000</v>
      </c>
      <c r="T2336" s="322">
        <v>4000000</v>
      </c>
      <c r="U2336" s="322">
        <f t="shared" si="166"/>
        <v>0</v>
      </c>
      <c r="W2336" s="321">
        <f t="shared" si="167"/>
        <v>765</v>
      </c>
      <c r="X2336" s="321">
        <f t="shared" si="168"/>
        <v>815703</v>
      </c>
      <c r="Y2336" s="321">
        <v>1</v>
      </c>
      <c r="AA2336" s="321" t="s">
        <v>3387</v>
      </c>
    </row>
    <row r="2337" spans="13:27">
      <c r="M2337" s="321">
        <v>1815703771</v>
      </c>
      <c r="N2337" s="321">
        <v>81</v>
      </c>
      <c r="O2337" s="321" t="s">
        <v>5938</v>
      </c>
      <c r="P2337" s="321">
        <v>4815703</v>
      </c>
      <c r="Q2337" s="322">
        <v>300000</v>
      </c>
      <c r="R2337" s="322">
        <v>177300</v>
      </c>
      <c r="S2337" s="322">
        <v>300000</v>
      </c>
      <c r="T2337" s="322">
        <v>300000</v>
      </c>
      <c r="U2337" s="322">
        <f t="shared" si="166"/>
        <v>0</v>
      </c>
      <c r="W2337" s="321">
        <f t="shared" si="167"/>
        <v>771</v>
      </c>
      <c r="X2337" s="321">
        <f t="shared" si="168"/>
        <v>815703</v>
      </c>
      <c r="Y2337" s="321">
        <v>1</v>
      </c>
      <c r="AA2337" s="321" t="s">
        <v>5938</v>
      </c>
    </row>
    <row r="2338" spans="13:27">
      <c r="M2338" s="321">
        <v>1815703772</v>
      </c>
      <c r="N2338" s="321">
        <v>81</v>
      </c>
      <c r="O2338" s="321" t="s">
        <v>5939</v>
      </c>
      <c r="P2338" s="321">
        <v>4815703</v>
      </c>
      <c r="Q2338" s="322">
        <v>122000</v>
      </c>
      <c r="R2338" s="322">
        <v>43700</v>
      </c>
      <c r="S2338" s="322">
        <v>122000</v>
      </c>
      <c r="T2338" s="322">
        <v>122000</v>
      </c>
      <c r="U2338" s="322">
        <f t="shared" si="166"/>
        <v>0</v>
      </c>
      <c r="W2338" s="321">
        <f t="shared" si="167"/>
        <v>772</v>
      </c>
      <c r="X2338" s="321">
        <f t="shared" si="168"/>
        <v>815703</v>
      </c>
      <c r="Y2338" s="321">
        <v>1</v>
      </c>
      <c r="AA2338" s="321" t="s">
        <v>5939</v>
      </c>
    </row>
    <row r="2339" spans="13:27">
      <c r="M2339" s="321">
        <v>1815703780</v>
      </c>
      <c r="N2339" s="321">
        <v>81</v>
      </c>
      <c r="O2339" s="321" t="s">
        <v>5940</v>
      </c>
      <c r="P2339" s="321">
        <v>4815703</v>
      </c>
      <c r="Q2339" s="322">
        <v>0</v>
      </c>
      <c r="R2339" s="322">
        <v>600</v>
      </c>
      <c r="S2339" s="322">
        <v>0</v>
      </c>
      <c r="T2339" s="322">
        <v>0</v>
      </c>
      <c r="U2339" s="322">
        <f t="shared" si="166"/>
        <v>0</v>
      </c>
      <c r="W2339" s="321">
        <f t="shared" si="167"/>
        <v>780</v>
      </c>
      <c r="X2339" s="321">
        <f t="shared" si="168"/>
        <v>815703</v>
      </c>
      <c r="Y2339" s="321">
        <v>1</v>
      </c>
      <c r="AA2339" s="321" t="s">
        <v>5940</v>
      </c>
    </row>
    <row r="2340" spans="13:27">
      <c r="M2340" s="321">
        <v>1815704110</v>
      </c>
      <c r="N2340" s="321">
        <v>81</v>
      </c>
      <c r="O2340" s="321" t="s">
        <v>5205</v>
      </c>
      <c r="P2340" s="321">
        <v>4815704</v>
      </c>
      <c r="Q2340" s="322">
        <v>9211000</v>
      </c>
      <c r="R2340" s="322">
        <v>6864500</v>
      </c>
      <c r="S2340" s="322">
        <v>9232000</v>
      </c>
      <c r="T2340" s="322">
        <v>9232000</v>
      </c>
      <c r="U2340" s="322">
        <f t="shared" si="166"/>
        <v>0</v>
      </c>
      <c r="W2340" s="321">
        <f t="shared" si="167"/>
        <v>110</v>
      </c>
      <c r="X2340" s="321">
        <f t="shared" si="168"/>
        <v>815704</v>
      </c>
      <c r="Y2340" s="321">
        <v>1</v>
      </c>
      <c r="AA2340" s="321" t="s">
        <v>5205</v>
      </c>
    </row>
    <row r="2341" spans="13:27">
      <c r="M2341" s="321">
        <v>1815704120</v>
      </c>
      <c r="N2341" s="321">
        <v>81</v>
      </c>
      <c r="O2341" s="321" t="s">
        <v>5206</v>
      </c>
      <c r="P2341" s="321">
        <v>4815704</v>
      </c>
      <c r="Q2341" s="322">
        <v>611000</v>
      </c>
      <c r="R2341" s="322">
        <v>652800</v>
      </c>
      <c r="S2341" s="322">
        <v>675000</v>
      </c>
      <c r="T2341" s="322">
        <v>675000</v>
      </c>
      <c r="U2341" s="322">
        <f t="shared" si="166"/>
        <v>0</v>
      </c>
      <c r="W2341" s="321">
        <f t="shared" si="167"/>
        <v>120</v>
      </c>
      <c r="X2341" s="321">
        <f t="shared" si="168"/>
        <v>815704</v>
      </c>
      <c r="Y2341" s="321">
        <v>1</v>
      </c>
      <c r="AA2341" s="321" t="s">
        <v>5206</v>
      </c>
    </row>
    <row r="2342" spans="13:27">
      <c r="M2342" s="321">
        <v>1815704130</v>
      </c>
      <c r="N2342" s="321">
        <v>81</v>
      </c>
      <c r="O2342" s="321" t="s">
        <v>2576</v>
      </c>
      <c r="P2342" s="321">
        <v>4815704</v>
      </c>
      <c r="Q2342" s="322">
        <v>140000</v>
      </c>
      <c r="R2342" s="322">
        <v>112300</v>
      </c>
      <c r="S2342" s="322">
        <v>134000</v>
      </c>
      <c r="T2342" s="322">
        <v>120600</v>
      </c>
      <c r="U2342" s="322">
        <f t="shared" si="166"/>
        <v>13400</v>
      </c>
      <c r="W2342" s="321">
        <f t="shared" si="167"/>
        <v>130</v>
      </c>
      <c r="X2342" s="321">
        <f t="shared" si="168"/>
        <v>815704</v>
      </c>
      <c r="Y2342" s="321">
        <v>1</v>
      </c>
      <c r="AA2342" s="321" t="s">
        <v>2576</v>
      </c>
    </row>
    <row r="2343" spans="13:27">
      <c r="M2343" s="321">
        <v>1815704140</v>
      </c>
      <c r="N2343" s="321">
        <v>81</v>
      </c>
      <c r="O2343" s="321" t="s">
        <v>5207</v>
      </c>
      <c r="P2343" s="321">
        <v>4815704</v>
      </c>
      <c r="Q2343" s="322">
        <v>188000</v>
      </c>
      <c r="R2343" s="322">
        <v>133300</v>
      </c>
      <c r="S2343" s="322">
        <v>199000</v>
      </c>
      <c r="T2343" s="322">
        <v>199000</v>
      </c>
      <c r="U2343" s="322">
        <f t="shared" si="166"/>
        <v>0</v>
      </c>
      <c r="W2343" s="321">
        <f t="shared" si="167"/>
        <v>140</v>
      </c>
      <c r="X2343" s="321">
        <f t="shared" si="168"/>
        <v>815704</v>
      </c>
      <c r="Y2343" s="321">
        <v>1</v>
      </c>
      <c r="AA2343" s="321" t="s">
        <v>5207</v>
      </c>
    </row>
    <row r="2344" spans="13:27">
      <c r="M2344" s="321">
        <v>1815704141</v>
      </c>
      <c r="N2344" s="321">
        <v>81</v>
      </c>
      <c r="O2344" s="321" t="s">
        <v>5208</v>
      </c>
      <c r="P2344" s="321">
        <v>4815704</v>
      </c>
      <c r="Q2344" s="322">
        <v>267000</v>
      </c>
      <c r="R2344" s="322">
        <v>223900</v>
      </c>
      <c r="S2344" s="322">
        <v>291000</v>
      </c>
      <c r="T2344" s="322">
        <v>291000</v>
      </c>
      <c r="U2344" s="322">
        <f t="shared" si="166"/>
        <v>0</v>
      </c>
      <c r="W2344" s="321">
        <f t="shared" si="167"/>
        <v>141</v>
      </c>
      <c r="X2344" s="321">
        <f t="shared" si="168"/>
        <v>815704</v>
      </c>
      <c r="Y2344" s="321">
        <v>1</v>
      </c>
      <c r="AA2344" s="321" t="s">
        <v>5208</v>
      </c>
    </row>
    <row r="2345" spans="13:27">
      <c r="M2345" s="321">
        <v>1815704181</v>
      </c>
      <c r="N2345" s="321">
        <v>81</v>
      </c>
      <c r="O2345" s="321" t="s">
        <v>2580</v>
      </c>
      <c r="P2345" s="321">
        <v>4815704</v>
      </c>
      <c r="Q2345" s="322">
        <v>2016000</v>
      </c>
      <c r="R2345" s="322">
        <v>1547000</v>
      </c>
      <c r="S2345" s="322">
        <v>2051000</v>
      </c>
      <c r="T2345" s="322">
        <v>2051000</v>
      </c>
      <c r="U2345" s="322">
        <f t="shared" si="166"/>
        <v>0</v>
      </c>
      <c r="W2345" s="321">
        <f t="shared" si="167"/>
        <v>181</v>
      </c>
      <c r="X2345" s="321">
        <f t="shared" si="168"/>
        <v>815704</v>
      </c>
      <c r="Y2345" s="321">
        <v>1</v>
      </c>
      <c r="AA2345" s="321" t="s">
        <v>2580</v>
      </c>
    </row>
    <row r="2346" spans="13:27">
      <c r="M2346" s="321">
        <v>1815704182</v>
      </c>
      <c r="N2346" s="321">
        <v>81</v>
      </c>
      <c r="O2346" s="321" t="s">
        <v>2582</v>
      </c>
      <c r="P2346" s="321">
        <v>4815704</v>
      </c>
      <c r="Q2346" s="322">
        <v>1305000</v>
      </c>
      <c r="R2346" s="322">
        <v>1034800</v>
      </c>
      <c r="S2346" s="322">
        <v>1387000</v>
      </c>
      <c r="T2346" s="322">
        <v>1387000</v>
      </c>
      <c r="U2346" s="322">
        <f t="shared" si="166"/>
        <v>0</v>
      </c>
      <c r="W2346" s="321">
        <f t="shared" si="167"/>
        <v>182</v>
      </c>
      <c r="X2346" s="321">
        <f t="shared" si="168"/>
        <v>815704</v>
      </c>
      <c r="Y2346" s="321">
        <v>1</v>
      </c>
      <c r="AA2346" s="321" t="s">
        <v>2582</v>
      </c>
    </row>
    <row r="2347" spans="13:27">
      <c r="M2347" s="321">
        <v>1815704210</v>
      </c>
      <c r="N2347" s="321">
        <v>81</v>
      </c>
      <c r="O2347" s="321" t="s">
        <v>5285</v>
      </c>
      <c r="P2347" s="321">
        <v>4815704</v>
      </c>
      <c r="Q2347" s="322">
        <v>84000</v>
      </c>
      <c r="R2347" s="322">
        <v>42000</v>
      </c>
      <c r="S2347" s="322">
        <v>0</v>
      </c>
      <c r="T2347" s="322">
        <v>0</v>
      </c>
      <c r="U2347" s="322">
        <f t="shared" si="166"/>
        <v>0</v>
      </c>
      <c r="W2347" s="321">
        <f t="shared" si="167"/>
        <v>210</v>
      </c>
      <c r="X2347" s="321">
        <f t="shared" si="168"/>
        <v>815704</v>
      </c>
      <c r="Y2347" s="321">
        <v>1</v>
      </c>
      <c r="AA2347" s="321" t="s">
        <v>5285</v>
      </c>
    </row>
    <row r="2348" spans="13:27">
      <c r="M2348" s="321">
        <v>1815704720</v>
      </c>
      <c r="N2348" s="321">
        <v>81</v>
      </c>
      <c r="O2348" s="321" t="s">
        <v>5941</v>
      </c>
      <c r="P2348" s="321">
        <v>4815704</v>
      </c>
      <c r="Q2348" s="322">
        <v>340000</v>
      </c>
      <c r="R2348" s="322">
        <v>213400</v>
      </c>
      <c r="S2348" s="322">
        <v>350000</v>
      </c>
      <c r="T2348" s="322">
        <v>350000</v>
      </c>
      <c r="U2348" s="322">
        <f t="shared" si="166"/>
        <v>0</v>
      </c>
      <c r="W2348" s="321">
        <f t="shared" si="167"/>
        <v>720</v>
      </c>
      <c r="X2348" s="321">
        <f t="shared" si="168"/>
        <v>815704</v>
      </c>
      <c r="Y2348" s="321">
        <v>1</v>
      </c>
      <c r="AA2348" s="321" t="s">
        <v>5941</v>
      </c>
    </row>
    <row r="2349" spans="13:27">
      <c r="M2349" s="321">
        <v>1815704721</v>
      </c>
      <c r="N2349" s="321">
        <v>81</v>
      </c>
      <c r="O2349" s="321" t="s">
        <v>5925</v>
      </c>
      <c r="P2349" s="321">
        <v>4815704</v>
      </c>
      <c r="Q2349" s="322">
        <v>33000</v>
      </c>
      <c r="R2349" s="322">
        <v>30500</v>
      </c>
      <c r="S2349" s="322">
        <v>30000</v>
      </c>
      <c r="T2349" s="322">
        <v>30000</v>
      </c>
      <c r="U2349" s="322">
        <f t="shared" si="166"/>
        <v>0</v>
      </c>
      <c r="W2349" s="321">
        <f t="shared" si="167"/>
        <v>721</v>
      </c>
      <c r="X2349" s="321">
        <f t="shared" si="168"/>
        <v>815704</v>
      </c>
      <c r="Y2349" s="321">
        <v>1</v>
      </c>
      <c r="AA2349" s="321" t="s">
        <v>5925</v>
      </c>
    </row>
    <row r="2350" spans="13:27">
      <c r="M2350" s="321">
        <v>1815704755</v>
      </c>
      <c r="N2350" s="321">
        <v>81</v>
      </c>
      <c r="O2350" s="321" t="s">
        <v>5942</v>
      </c>
      <c r="P2350" s="321">
        <v>4815704</v>
      </c>
      <c r="Q2350" s="322">
        <v>320000</v>
      </c>
      <c r="R2350" s="322">
        <v>235000</v>
      </c>
      <c r="S2350" s="322">
        <v>350000</v>
      </c>
      <c r="T2350" s="322">
        <v>350000</v>
      </c>
      <c r="U2350" s="322">
        <f t="shared" si="166"/>
        <v>0</v>
      </c>
      <c r="W2350" s="321">
        <f t="shared" si="167"/>
        <v>755</v>
      </c>
      <c r="X2350" s="321">
        <f t="shared" si="168"/>
        <v>815704</v>
      </c>
      <c r="Y2350" s="321">
        <v>1</v>
      </c>
      <c r="AA2350" s="321" t="s">
        <v>5942</v>
      </c>
    </row>
    <row r="2351" spans="13:27">
      <c r="M2351" s="321">
        <v>1815704765</v>
      </c>
      <c r="N2351" s="321">
        <v>81</v>
      </c>
      <c r="O2351" s="321" t="s">
        <v>5943</v>
      </c>
      <c r="P2351" s="321">
        <v>4815704</v>
      </c>
      <c r="Q2351" s="322">
        <v>5220000</v>
      </c>
      <c r="R2351" s="322">
        <v>4313200</v>
      </c>
      <c r="S2351" s="322">
        <v>4700000</v>
      </c>
      <c r="T2351" s="322">
        <v>4700000</v>
      </c>
      <c r="U2351" s="322">
        <f t="shared" si="166"/>
        <v>0</v>
      </c>
      <c r="W2351" s="321">
        <f t="shared" si="167"/>
        <v>765</v>
      </c>
      <c r="X2351" s="321">
        <f t="shared" si="168"/>
        <v>815704</v>
      </c>
      <c r="Y2351" s="321">
        <v>1</v>
      </c>
      <c r="AA2351" s="321" t="s">
        <v>5943</v>
      </c>
    </row>
    <row r="2352" spans="13:27">
      <c r="M2352" s="321">
        <v>1815704771</v>
      </c>
      <c r="N2352" s="321">
        <v>81</v>
      </c>
      <c r="O2352" s="321" t="s">
        <v>5944</v>
      </c>
      <c r="P2352" s="321">
        <v>4815704</v>
      </c>
      <c r="Q2352" s="322">
        <v>350000</v>
      </c>
      <c r="R2352" s="322">
        <v>248700</v>
      </c>
      <c r="S2352" s="322">
        <v>350000</v>
      </c>
      <c r="T2352" s="322">
        <v>350000</v>
      </c>
      <c r="U2352" s="322">
        <f t="shared" si="166"/>
        <v>0</v>
      </c>
      <c r="W2352" s="321">
        <f t="shared" si="167"/>
        <v>771</v>
      </c>
      <c r="X2352" s="321">
        <f t="shared" si="168"/>
        <v>815704</v>
      </c>
      <c r="Y2352" s="321">
        <v>1</v>
      </c>
      <c r="AA2352" s="321" t="s">
        <v>5944</v>
      </c>
    </row>
    <row r="2353" spans="13:27">
      <c r="M2353" s="321">
        <v>1815704772</v>
      </c>
      <c r="N2353" s="321">
        <v>81</v>
      </c>
      <c r="O2353" s="321" t="s">
        <v>5945</v>
      </c>
      <c r="P2353" s="321">
        <v>4815704</v>
      </c>
      <c r="Q2353" s="322">
        <v>122000</v>
      </c>
      <c r="R2353" s="322">
        <v>12500</v>
      </c>
      <c r="S2353" s="322">
        <v>122000</v>
      </c>
      <c r="T2353" s="322">
        <v>122000</v>
      </c>
      <c r="U2353" s="322">
        <f t="shared" si="166"/>
        <v>0</v>
      </c>
      <c r="W2353" s="321">
        <f t="shared" si="167"/>
        <v>772</v>
      </c>
      <c r="X2353" s="321">
        <f t="shared" si="168"/>
        <v>815704</v>
      </c>
      <c r="Y2353" s="321">
        <v>1</v>
      </c>
      <c r="AA2353" s="321" t="s">
        <v>5945</v>
      </c>
    </row>
    <row r="2354" spans="13:27">
      <c r="M2354" s="321">
        <v>1815704780</v>
      </c>
      <c r="N2354" s="321">
        <v>81</v>
      </c>
      <c r="O2354" s="321" t="s">
        <v>5946</v>
      </c>
      <c r="P2354" s="321">
        <v>4815704</v>
      </c>
      <c r="Q2354" s="322">
        <v>0</v>
      </c>
      <c r="R2354" s="322">
        <v>700</v>
      </c>
      <c r="S2354" s="322">
        <v>0</v>
      </c>
      <c r="T2354" s="322">
        <v>0</v>
      </c>
      <c r="U2354" s="322">
        <f t="shared" si="166"/>
        <v>0</v>
      </c>
      <c r="W2354" s="321">
        <f t="shared" si="167"/>
        <v>780</v>
      </c>
      <c r="X2354" s="321">
        <f t="shared" si="168"/>
        <v>815704</v>
      </c>
      <c r="Y2354" s="321">
        <v>1</v>
      </c>
      <c r="AA2354" s="321" t="s">
        <v>5946</v>
      </c>
    </row>
    <row r="2355" spans="13:27">
      <c r="M2355" s="321">
        <v>1815705110</v>
      </c>
      <c r="N2355" s="321">
        <v>81</v>
      </c>
      <c r="O2355" s="321" t="s">
        <v>5205</v>
      </c>
      <c r="P2355" s="321">
        <v>4815705</v>
      </c>
      <c r="Q2355" s="322">
        <v>6527000</v>
      </c>
      <c r="R2355" s="322">
        <v>4926800</v>
      </c>
      <c r="S2355" s="322">
        <v>6662000</v>
      </c>
      <c r="T2355" s="322">
        <v>6662000</v>
      </c>
      <c r="U2355" s="322">
        <f t="shared" si="166"/>
        <v>0</v>
      </c>
      <c r="W2355" s="321">
        <f t="shared" si="167"/>
        <v>110</v>
      </c>
      <c r="X2355" s="321">
        <f t="shared" si="168"/>
        <v>815705</v>
      </c>
      <c r="Y2355" s="321">
        <v>1</v>
      </c>
      <c r="AA2355" s="321" t="s">
        <v>5205</v>
      </c>
    </row>
    <row r="2356" spans="13:27">
      <c r="M2356" s="321">
        <v>1815705120</v>
      </c>
      <c r="N2356" s="321">
        <v>81</v>
      </c>
      <c r="O2356" s="321" t="s">
        <v>5206</v>
      </c>
      <c r="P2356" s="321">
        <v>4815705</v>
      </c>
      <c r="Q2356" s="322">
        <v>472000</v>
      </c>
      <c r="R2356" s="322">
        <v>504200</v>
      </c>
      <c r="S2356" s="322">
        <v>538000</v>
      </c>
      <c r="T2356" s="322">
        <v>538000</v>
      </c>
      <c r="U2356" s="322">
        <f t="shared" si="166"/>
        <v>0</v>
      </c>
      <c r="W2356" s="321">
        <f t="shared" si="167"/>
        <v>120</v>
      </c>
      <c r="X2356" s="321">
        <f t="shared" si="168"/>
        <v>815705</v>
      </c>
      <c r="Y2356" s="321">
        <v>1</v>
      </c>
      <c r="AA2356" s="321" t="s">
        <v>5206</v>
      </c>
    </row>
    <row r="2357" spans="13:27">
      <c r="M2357" s="321">
        <v>1815705130</v>
      </c>
      <c r="N2357" s="321">
        <v>81</v>
      </c>
      <c r="O2357" s="321" t="s">
        <v>2576</v>
      </c>
      <c r="P2357" s="321">
        <v>4815705</v>
      </c>
      <c r="Q2357" s="322">
        <v>157000</v>
      </c>
      <c r="R2357" s="322">
        <v>122400</v>
      </c>
      <c r="S2357" s="322">
        <v>160000</v>
      </c>
      <c r="T2357" s="322">
        <v>144000</v>
      </c>
      <c r="U2357" s="322">
        <f t="shared" si="166"/>
        <v>16000</v>
      </c>
      <c r="W2357" s="321">
        <f t="shared" si="167"/>
        <v>130</v>
      </c>
      <c r="X2357" s="321">
        <f t="shared" si="168"/>
        <v>815705</v>
      </c>
      <c r="Y2357" s="321">
        <v>1</v>
      </c>
      <c r="AA2357" s="321" t="s">
        <v>2576</v>
      </c>
    </row>
    <row r="2358" spans="13:27">
      <c r="M2358" s="321">
        <v>1815705140</v>
      </c>
      <c r="N2358" s="321">
        <v>81</v>
      </c>
      <c r="O2358" s="321" t="s">
        <v>5207</v>
      </c>
      <c r="P2358" s="321">
        <v>4815705</v>
      </c>
      <c r="Q2358" s="322">
        <v>182000</v>
      </c>
      <c r="R2358" s="322">
        <v>125400</v>
      </c>
      <c r="S2358" s="322">
        <v>162000</v>
      </c>
      <c r="T2358" s="322">
        <v>162000</v>
      </c>
      <c r="U2358" s="322">
        <f t="shared" si="166"/>
        <v>0</v>
      </c>
      <c r="W2358" s="321">
        <f t="shared" si="167"/>
        <v>140</v>
      </c>
      <c r="X2358" s="321">
        <f t="shared" si="168"/>
        <v>815705</v>
      </c>
      <c r="Y2358" s="321">
        <v>1</v>
      </c>
      <c r="AA2358" s="321" t="s">
        <v>5207</v>
      </c>
    </row>
    <row r="2359" spans="13:27">
      <c r="M2359" s="321">
        <v>1815705141</v>
      </c>
      <c r="N2359" s="321">
        <v>81</v>
      </c>
      <c r="O2359" s="321" t="s">
        <v>5208</v>
      </c>
      <c r="P2359" s="321">
        <v>4815705</v>
      </c>
      <c r="Q2359" s="322">
        <v>227000</v>
      </c>
      <c r="R2359" s="322">
        <v>201100</v>
      </c>
      <c r="S2359" s="322">
        <v>251000</v>
      </c>
      <c r="T2359" s="322">
        <v>251000</v>
      </c>
      <c r="U2359" s="322">
        <f t="shared" si="166"/>
        <v>0</v>
      </c>
      <c r="W2359" s="321">
        <f t="shared" si="167"/>
        <v>141</v>
      </c>
      <c r="X2359" s="321">
        <f t="shared" si="168"/>
        <v>815705</v>
      </c>
      <c r="Y2359" s="321">
        <v>1</v>
      </c>
      <c r="AA2359" s="321" t="s">
        <v>5208</v>
      </c>
    </row>
    <row r="2360" spans="13:27">
      <c r="M2360" s="321">
        <v>1815705181</v>
      </c>
      <c r="N2360" s="321">
        <v>81</v>
      </c>
      <c r="O2360" s="321" t="s">
        <v>2580</v>
      </c>
      <c r="P2360" s="321">
        <v>4815705</v>
      </c>
      <c r="Q2360" s="322">
        <v>1354000</v>
      </c>
      <c r="R2360" s="322">
        <v>1049300</v>
      </c>
      <c r="S2360" s="322">
        <v>1415000</v>
      </c>
      <c r="T2360" s="322">
        <v>1415000</v>
      </c>
      <c r="U2360" s="322">
        <f t="shared" si="166"/>
        <v>0</v>
      </c>
      <c r="W2360" s="321">
        <f t="shared" si="167"/>
        <v>181</v>
      </c>
      <c r="X2360" s="321">
        <f t="shared" si="168"/>
        <v>815705</v>
      </c>
      <c r="Y2360" s="321">
        <v>1</v>
      </c>
      <c r="AA2360" s="321" t="s">
        <v>2580</v>
      </c>
    </row>
    <row r="2361" spans="13:27">
      <c r="M2361" s="321">
        <v>1815705182</v>
      </c>
      <c r="N2361" s="321">
        <v>81</v>
      </c>
      <c r="O2361" s="321" t="s">
        <v>2582</v>
      </c>
      <c r="P2361" s="321">
        <v>4815705</v>
      </c>
      <c r="Q2361" s="322">
        <v>942000</v>
      </c>
      <c r="R2361" s="322">
        <v>735300</v>
      </c>
      <c r="S2361" s="322">
        <v>997000</v>
      </c>
      <c r="T2361" s="322">
        <v>997000</v>
      </c>
      <c r="U2361" s="322">
        <f t="shared" si="166"/>
        <v>0</v>
      </c>
      <c r="W2361" s="321">
        <f t="shared" si="167"/>
        <v>182</v>
      </c>
      <c r="X2361" s="321">
        <f t="shared" si="168"/>
        <v>815705</v>
      </c>
      <c r="Y2361" s="321">
        <v>1</v>
      </c>
      <c r="AA2361" s="321" t="s">
        <v>2582</v>
      </c>
    </row>
    <row r="2362" spans="13:27">
      <c r="M2362" s="321">
        <v>1815705210</v>
      </c>
      <c r="N2362" s="321">
        <v>81</v>
      </c>
      <c r="O2362" s="321" t="s">
        <v>5285</v>
      </c>
      <c r="P2362" s="321">
        <v>4815705</v>
      </c>
      <c r="Q2362" s="322">
        <v>194000</v>
      </c>
      <c r="R2362" s="322">
        <v>77000</v>
      </c>
      <c r="S2362" s="322">
        <v>0</v>
      </c>
      <c r="T2362" s="322">
        <v>0</v>
      </c>
      <c r="U2362" s="322">
        <f t="shared" si="166"/>
        <v>0</v>
      </c>
      <c r="W2362" s="321">
        <f t="shared" si="167"/>
        <v>210</v>
      </c>
      <c r="X2362" s="321">
        <f t="shared" si="168"/>
        <v>815705</v>
      </c>
      <c r="Y2362" s="321">
        <v>1</v>
      </c>
      <c r="AA2362" s="321" t="s">
        <v>5285</v>
      </c>
    </row>
    <row r="2363" spans="13:27">
      <c r="M2363" s="321">
        <v>1815705720</v>
      </c>
      <c r="N2363" s="321">
        <v>81</v>
      </c>
      <c r="O2363" s="321" t="s">
        <v>5936</v>
      </c>
      <c r="P2363" s="321">
        <v>4815705</v>
      </c>
      <c r="Q2363" s="322">
        <v>425000</v>
      </c>
      <c r="R2363" s="322">
        <v>246800</v>
      </c>
      <c r="S2363" s="322">
        <v>310000</v>
      </c>
      <c r="T2363" s="322">
        <v>310000</v>
      </c>
      <c r="U2363" s="322">
        <f t="shared" si="166"/>
        <v>0</v>
      </c>
      <c r="W2363" s="321">
        <f t="shared" si="167"/>
        <v>720</v>
      </c>
      <c r="X2363" s="321">
        <f t="shared" si="168"/>
        <v>815705</v>
      </c>
      <c r="Y2363" s="321">
        <v>1</v>
      </c>
      <c r="AA2363" s="321" t="s">
        <v>5936</v>
      </c>
    </row>
    <row r="2364" spans="13:27">
      <c r="M2364" s="321">
        <v>1815705721</v>
      </c>
      <c r="N2364" s="321">
        <v>81</v>
      </c>
      <c r="O2364" s="321" t="s">
        <v>5833</v>
      </c>
      <c r="P2364" s="321">
        <v>4815705</v>
      </c>
      <c r="Q2364" s="322">
        <v>41000</v>
      </c>
      <c r="R2364" s="322">
        <v>38700</v>
      </c>
      <c r="S2364" s="322">
        <v>38000</v>
      </c>
      <c r="T2364" s="322">
        <v>38000</v>
      </c>
      <c r="U2364" s="322">
        <f t="shared" si="166"/>
        <v>0</v>
      </c>
      <c r="W2364" s="321">
        <f t="shared" si="167"/>
        <v>721</v>
      </c>
      <c r="X2364" s="321">
        <f t="shared" si="168"/>
        <v>815705</v>
      </c>
      <c r="Y2364" s="321">
        <v>1</v>
      </c>
      <c r="AA2364" s="321" t="s">
        <v>5833</v>
      </c>
    </row>
    <row r="2365" spans="13:27">
      <c r="M2365" s="321">
        <v>1815705755</v>
      </c>
      <c r="N2365" s="321">
        <v>81</v>
      </c>
      <c r="O2365" s="321" t="s">
        <v>5947</v>
      </c>
      <c r="P2365" s="321">
        <v>4815705</v>
      </c>
      <c r="Q2365" s="322">
        <v>300000</v>
      </c>
      <c r="R2365" s="322">
        <v>220000</v>
      </c>
      <c r="S2365" s="322">
        <v>350000</v>
      </c>
      <c r="T2365" s="322">
        <v>350000</v>
      </c>
      <c r="U2365" s="322">
        <f t="shared" si="166"/>
        <v>0</v>
      </c>
      <c r="W2365" s="321">
        <f t="shared" si="167"/>
        <v>755</v>
      </c>
      <c r="X2365" s="321">
        <f t="shared" si="168"/>
        <v>815705</v>
      </c>
      <c r="Y2365" s="321">
        <v>1</v>
      </c>
      <c r="AA2365" s="321" t="s">
        <v>5947</v>
      </c>
    </row>
    <row r="2366" spans="13:27">
      <c r="M2366" s="321">
        <v>1815705765</v>
      </c>
      <c r="N2366" s="321">
        <v>81</v>
      </c>
      <c r="O2366" s="321" t="s">
        <v>5948</v>
      </c>
      <c r="P2366" s="321">
        <v>4815705</v>
      </c>
      <c r="Q2366" s="322">
        <v>10300000</v>
      </c>
      <c r="R2366" s="322">
        <v>8182400</v>
      </c>
      <c r="S2366" s="322">
        <v>10000000</v>
      </c>
      <c r="T2366" s="322">
        <v>10000000</v>
      </c>
      <c r="U2366" s="322">
        <f t="shared" si="166"/>
        <v>0</v>
      </c>
      <c r="W2366" s="321">
        <f t="shared" si="167"/>
        <v>765</v>
      </c>
      <c r="X2366" s="321">
        <f t="shared" si="168"/>
        <v>815705</v>
      </c>
      <c r="Y2366" s="321">
        <v>1</v>
      </c>
      <c r="AA2366" s="321" t="s">
        <v>5948</v>
      </c>
    </row>
    <row r="2367" spans="13:27">
      <c r="M2367" s="321">
        <v>1815705771</v>
      </c>
      <c r="N2367" s="321">
        <v>81</v>
      </c>
      <c r="O2367" s="321" t="s">
        <v>5949</v>
      </c>
      <c r="P2367" s="321">
        <v>4815705</v>
      </c>
      <c r="Q2367" s="322">
        <v>340000</v>
      </c>
      <c r="R2367" s="322">
        <v>223600</v>
      </c>
      <c r="S2367" s="322">
        <v>340000</v>
      </c>
      <c r="T2367" s="322">
        <v>340000</v>
      </c>
      <c r="U2367" s="322">
        <f t="shared" si="166"/>
        <v>0</v>
      </c>
      <c r="W2367" s="321">
        <f t="shared" si="167"/>
        <v>771</v>
      </c>
      <c r="X2367" s="321">
        <f t="shared" si="168"/>
        <v>815705</v>
      </c>
      <c r="Y2367" s="321">
        <v>1</v>
      </c>
      <c r="AA2367" s="321" t="s">
        <v>5949</v>
      </c>
    </row>
    <row r="2368" spans="13:27">
      <c r="M2368" s="321">
        <v>1815705772</v>
      </c>
      <c r="N2368" s="321">
        <v>81</v>
      </c>
      <c r="O2368" s="321" t="s">
        <v>5950</v>
      </c>
      <c r="P2368" s="321">
        <v>4815705</v>
      </c>
      <c r="Q2368" s="322">
        <v>61000</v>
      </c>
      <c r="R2368" s="322">
        <v>24200</v>
      </c>
      <c r="S2368" s="322">
        <v>60000</v>
      </c>
      <c r="T2368" s="322">
        <v>60000</v>
      </c>
      <c r="U2368" s="322">
        <f t="shared" si="166"/>
        <v>0</v>
      </c>
      <c r="W2368" s="321">
        <f t="shared" si="167"/>
        <v>772</v>
      </c>
      <c r="X2368" s="321">
        <f t="shared" si="168"/>
        <v>815705</v>
      </c>
      <c r="Y2368" s="321">
        <v>1</v>
      </c>
      <c r="AA2368" s="321" t="s">
        <v>5950</v>
      </c>
    </row>
    <row r="2369" spans="13:27">
      <c r="M2369" s="321">
        <v>1815705780</v>
      </c>
      <c r="N2369" s="321">
        <v>81</v>
      </c>
      <c r="O2369" s="321" t="s">
        <v>5951</v>
      </c>
      <c r="P2369" s="321">
        <v>4815705</v>
      </c>
      <c r="Q2369" s="322">
        <v>0</v>
      </c>
      <c r="R2369" s="322">
        <v>900</v>
      </c>
      <c r="S2369" s="322">
        <v>0</v>
      </c>
      <c r="T2369" s="322">
        <v>0</v>
      </c>
      <c r="U2369" s="322">
        <f t="shared" si="166"/>
        <v>0</v>
      </c>
      <c r="W2369" s="321">
        <f t="shared" si="167"/>
        <v>780</v>
      </c>
      <c r="X2369" s="321">
        <f t="shared" si="168"/>
        <v>815705</v>
      </c>
      <c r="Y2369" s="321">
        <v>1</v>
      </c>
      <c r="AA2369" s="321" t="s">
        <v>5951</v>
      </c>
    </row>
    <row r="2370" spans="13:27">
      <c r="M2370" s="321">
        <v>1815706110</v>
      </c>
      <c r="N2370" s="321">
        <v>81</v>
      </c>
      <c r="O2370" s="321" t="s">
        <v>5205</v>
      </c>
      <c r="P2370" s="321">
        <v>4815706</v>
      </c>
      <c r="Q2370" s="322">
        <v>6963000</v>
      </c>
      <c r="R2370" s="322">
        <v>5293600</v>
      </c>
      <c r="S2370" s="322">
        <v>7124000</v>
      </c>
      <c r="T2370" s="322">
        <v>7124000</v>
      </c>
      <c r="U2370" s="322">
        <f t="shared" ref="U2370:U2433" si="169">S2370-T2370</f>
        <v>0</v>
      </c>
      <c r="W2370" s="321">
        <f t="shared" si="167"/>
        <v>110</v>
      </c>
      <c r="X2370" s="321">
        <f t="shared" si="168"/>
        <v>815706</v>
      </c>
      <c r="Y2370" s="321">
        <v>1</v>
      </c>
      <c r="AA2370" s="321" t="s">
        <v>5205</v>
      </c>
    </row>
    <row r="2371" spans="13:27">
      <c r="M2371" s="321">
        <v>1815706120</v>
      </c>
      <c r="N2371" s="321">
        <v>81</v>
      </c>
      <c r="O2371" s="321" t="s">
        <v>5206</v>
      </c>
      <c r="P2371" s="321">
        <v>4815706</v>
      </c>
      <c r="Q2371" s="322">
        <v>542000</v>
      </c>
      <c r="R2371" s="322">
        <v>561200</v>
      </c>
      <c r="S2371" s="322">
        <v>588000</v>
      </c>
      <c r="T2371" s="322">
        <v>588000</v>
      </c>
      <c r="U2371" s="322">
        <f t="shared" si="169"/>
        <v>0</v>
      </c>
      <c r="W2371" s="321">
        <f t="shared" ref="W2371:W2434" si="170">M2371-1000000000-X2371*1000</f>
        <v>120</v>
      </c>
      <c r="X2371" s="321">
        <f t="shared" ref="X2371:X2434" si="171">ROUNDDOWN((M2371-1000000000)/1000,0)</f>
        <v>815706</v>
      </c>
      <c r="Y2371" s="321">
        <v>1</v>
      </c>
      <c r="AA2371" s="321" t="s">
        <v>5206</v>
      </c>
    </row>
    <row r="2372" spans="13:27">
      <c r="M2372" s="321">
        <v>1815706130</v>
      </c>
      <c r="N2372" s="321">
        <v>81</v>
      </c>
      <c r="O2372" s="321" t="s">
        <v>2576</v>
      </c>
      <c r="P2372" s="321">
        <v>4815706</v>
      </c>
      <c r="Q2372" s="322">
        <v>172000</v>
      </c>
      <c r="R2372" s="322">
        <v>130400</v>
      </c>
      <c r="S2372" s="322">
        <v>191000</v>
      </c>
      <c r="T2372" s="322">
        <v>171900</v>
      </c>
      <c r="U2372" s="322">
        <f t="shared" si="169"/>
        <v>19100</v>
      </c>
      <c r="W2372" s="321">
        <f t="shared" si="170"/>
        <v>130</v>
      </c>
      <c r="X2372" s="321">
        <f t="shared" si="171"/>
        <v>815706</v>
      </c>
      <c r="Y2372" s="321">
        <v>1</v>
      </c>
      <c r="AA2372" s="321" t="s">
        <v>2576</v>
      </c>
    </row>
    <row r="2373" spans="13:27">
      <c r="M2373" s="321">
        <v>1815706140</v>
      </c>
      <c r="N2373" s="321">
        <v>81</v>
      </c>
      <c r="O2373" s="321" t="s">
        <v>5207</v>
      </c>
      <c r="P2373" s="321">
        <v>4815706</v>
      </c>
      <c r="Q2373" s="322">
        <v>132000</v>
      </c>
      <c r="R2373" s="322">
        <v>100800</v>
      </c>
      <c r="S2373" s="322">
        <v>139000</v>
      </c>
      <c r="T2373" s="322">
        <v>139000</v>
      </c>
      <c r="U2373" s="322">
        <f t="shared" si="169"/>
        <v>0</v>
      </c>
      <c r="W2373" s="321">
        <f t="shared" si="170"/>
        <v>140</v>
      </c>
      <c r="X2373" s="321">
        <f t="shared" si="171"/>
        <v>815706</v>
      </c>
      <c r="Y2373" s="321">
        <v>1</v>
      </c>
      <c r="AA2373" s="321" t="s">
        <v>5207</v>
      </c>
    </row>
    <row r="2374" spans="13:27">
      <c r="M2374" s="321">
        <v>1815706141</v>
      </c>
      <c r="N2374" s="321">
        <v>81</v>
      </c>
      <c r="O2374" s="321" t="s">
        <v>5208</v>
      </c>
      <c r="P2374" s="321">
        <v>4815706</v>
      </c>
      <c r="Q2374" s="322">
        <v>242000</v>
      </c>
      <c r="R2374" s="322">
        <v>219100</v>
      </c>
      <c r="S2374" s="322">
        <v>269000</v>
      </c>
      <c r="T2374" s="322">
        <v>269000</v>
      </c>
      <c r="U2374" s="322">
        <f t="shared" si="169"/>
        <v>0</v>
      </c>
      <c r="W2374" s="321">
        <f t="shared" si="170"/>
        <v>141</v>
      </c>
      <c r="X2374" s="321">
        <f t="shared" si="171"/>
        <v>815706</v>
      </c>
      <c r="Y2374" s="321">
        <v>1</v>
      </c>
      <c r="AA2374" s="321" t="s">
        <v>5208</v>
      </c>
    </row>
    <row r="2375" spans="13:27">
      <c r="M2375" s="321">
        <v>1815706181</v>
      </c>
      <c r="N2375" s="321">
        <v>81</v>
      </c>
      <c r="O2375" s="321" t="s">
        <v>2580</v>
      </c>
      <c r="P2375" s="321">
        <v>4815706</v>
      </c>
      <c r="Q2375" s="322">
        <v>1410000</v>
      </c>
      <c r="R2375" s="322">
        <v>1068800</v>
      </c>
      <c r="S2375" s="322">
        <v>1431000</v>
      </c>
      <c r="T2375" s="322">
        <v>1431000</v>
      </c>
      <c r="U2375" s="322">
        <f t="shared" si="169"/>
        <v>0</v>
      </c>
      <c r="W2375" s="321">
        <f t="shared" si="170"/>
        <v>181</v>
      </c>
      <c r="X2375" s="321">
        <f t="shared" si="171"/>
        <v>815706</v>
      </c>
      <c r="Y2375" s="321">
        <v>1</v>
      </c>
      <c r="AA2375" s="321" t="s">
        <v>2580</v>
      </c>
    </row>
    <row r="2376" spans="13:27">
      <c r="M2376" s="321">
        <v>1815706182</v>
      </c>
      <c r="N2376" s="321">
        <v>81</v>
      </c>
      <c r="O2376" s="321" t="s">
        <v>2582</v>
      </c>
      <c r="P2376" s="321">
        <v>4815706</v>
      </c>
      <c r="Q2376" s="322">
        <v>1026000</v>
      </c>
      <c r="R2376" s="322">
        <v>800300</v>
      </c>
      <c r="S2376" s="322">
        <v>1077000</v>
      </c>
      <c r="T2376" s="322">
        <v>1077000</v>
      </c>
      <c r="U2376" s="322">
        <f t="shared" si="169"/>
        <v>0</v>
      </c>
      <c r="W2376" s="321">
        <f t="shared" si="170"/>
        <v>182</v>
      </c>
      <c r="X2376" s="321">
        <f t="shared" si="171"/>
        <v>815706</v>
      </c>
      <c r="Y2376" s="321">
        <v>1</v>
      </c>
      <c r="AA2376" s="321" t="s">
        <v>2582</v>
      </c>
    </row>
    <row r="2377" spans="13:27">
      <c r="M2377" s="321">
        <v>1815706210</v>
      </c>
      <c r="N2377" s="321">
        <v>81</v>
      </c>
      <c r="O2377" s="321" t="s">
        <v>5285</v>
      </c>
      <c r="P2377" s="321">
        <v>4815706</v>
      </c>
      <c r="Q2377" s="322">
        <v>48000</v>
      </c>
      <c r="R2377" s="322">
        <v>24000</v>
      </c>
      <c r="S2377" s="322">
        <v>0</v>
      </c>
      <c r="T2377" s="322">
        <v>0</v>
      </c>
      <c r="U2377" s="322">
        <f t="shared" si="169"/>
        <v>0</v>
      </c>
      <c r="W2377" s="321">
        <f t="shared" si="170"/>
        <v>210</v>
      </c>
      <c r="X2377" s="321">
        <f t="shared" si="171"/>
        <v>815706</v>
      </c>
      <c r="Y2377" s="321">
        <v>1</v>
      </c>
      <c r="AA2377" s="321" t="s">
        <v>5285</v>
      </c>
    </row>
    <row r="2378" spans="13:27">
      <c r="M2378" s="321">
        <v>1815706720</v>
      </c>
      <c r="N2378" s="321">
        <v>81</v>
      </c>
      <c r="O2378" s="321" t="s">
        <v>5936</v>
      </c>
      <c r="P2378" s="321">
        <v>4815706</v>
      </c>
      <c r="Q2378" s="322">
        <v>290000</v>
      </c>
      <c r="R2378" s="322">
        <v>170300</v>
      </c>
      <c r="S2378" s="322">
        <v>270000</v>
      </c>
      <c r="T2378" s="322">
        <v>270000</v>
      </c>
      <c r="U2378" s="322">
        <f t="shared" si="169"/>
        <v>0</v>
      </c>
      <c r="W2378" s="321">
        <f t="shared" si="170"/>
        <v>720</v>
      </c>
      <c r="X2378" s="321">
        <f t="shared" si="171"/>
        <v>815706</v>
      </c>
      <c r="Y2378" s="321">
        <v>1</v>
      </c>
      <c r="AA2378" s="321" t="s">
        <v>5936</v>
      </c>
    </row>
    <row r="2379" spans="13:27">
      <c r="M2379" s="321">
        <v>1815706721</v>
      </c>
      <c r="N2379" s="321">
        <v>81</v>
      </c>
      <c r="O2379" s="321" t="s">
        <v>5925</v>
      </c>
      <c r="P2379" s="321">
        <v>4815706</v>
      </c>
      <c r="Q2379" s="322">
        <v>46000</v>
      </c>
      <c r="R2379" s="322">
        <v>43900</v>
      </c>
      <c r="S2379" s="322">
        <v>43000</v>
      </c>
      <c r="T2379" s="322">
        <v>43000</v>
      </c>
      <c r="U2379" s="322">
        <f t="shared" si="169"/>
        <v>0</v>
      </c>
      <c r="W2379" s="321">
        <f t="shared" si="170"/>
        <v>721</v>
      </c>
      <c r="X2379" s="321">
        <f t="shared" si="171"/>
        <v>815706</v>
      </c>
      <c r="Y2379" s="321">
        <v>1</v>
      </c>
      <c r="AA2379" s="321" t="s">
        <v>5925</v>
      </c>
    </row>
    <row r="2380" spans="13:27">
      <c r="M2380" s="321">
        <v>1815706755</v>
      </c>
      <c r="N2380" s="321">
        <v>81</v>
      </c>
      <c r="O2380" s="321" t="s">
        <v>5952</v>
      </c>
      <c r="P2380" s="321">
        <v>4815706</v>
      </c>
      <c r="Q2380" s="322">
        <v>350000</v>
      </c>
      <c r="R2380" s="322">
        <v>261900</v>
      </c>
      <c r="S2380" s="322">
        <v>400000</v>
      </c>
      <c r="T2380" s="322">
        <v>400000</v>
      </c>
      <c r="U2380" s="322">
        <f t="shared" si="169"/>
        <v>0</v>
      </c>
      <c r="W2380" s="321">
        <f t="shared" si="170"/>
        <v>755</v>
      </c>
      <c r="X2380" s="321">
        <f t="shared" si="171"/>
        <v>815706</v>
      </c>
      <c r="Y2380" s="321">
        <v>1</v>
      </c>
      <c r="AA2380" s="321" t="s">
        <v>5952</v>
      </c>
    </row>
    <row r="2381" spans="13:27">
      <c r="M2381" s="321">
        <v>1815706765</v>
      </c>
      <c r="N2381" s="321">
        <v>81</v>
      </c>
      <c r="O2381" s="321" t="s">
        <v>3401</v>
      </c>
      <c r="P2381" s="321">
        <v>4815706</v>
      </c>
      <c r="Q2381" s="322">
        <v>6000000</v>
      </c>
      <c r="R2381" s="322">
        <v>4132200</v>
      </c>
      <c r="S2381" s="322">
        <v>5300000</v>
      </c>
      <c r="T2381" s="322">
        <v>5300000</v>
      </c>
      <c r="U2381" s="322">
        <f t="shared" si="169"/>
        <v>0</v>
      </c>
      <c r="W2381" s="321">
        <f t="shared" si="170"/>
        <v>765</v>
      </c>
      <c r="X2381" s="321">
        <f t="shared" si="171"/>
        <v>815706</v>
      </c>
      <c r="Y2381" s="321">
        <v>1</v>
      </c>
      <c r="AA2381" s="321" t="s">
        <v>3401</v>
      </c>
    </row>
    <row r="2382" spans="13:27">
      <c r="M2382" s="321">
        <v>1815706771</v>
      </c>
      <c r="N2382" s="321">
        <v>81</v>
      </c>
      <c r="O2382" s="321" t="s">
        <v>5953</v>
      </c>
      <c r="P2382" s="321">
        <v>4815706</v>
      </c>
      <c r="Q2382" s="322">
        <v>400000</v>
      </c>
      <c r="R2382" s="322">
        <v>230900</v>
      </c>
      <c r="S2382" s="322">
        <v>400000</v>
      </c>
      <c r="T2382" s="322">
        <v>400000</v>
      </c>
      <c r="U2382" s="322">
        <f t="shared" si="169"/>
        <v>0</v>
      </c>
      <c r="W2382" s="321">
        <f t="shared" si="170"/>
        <v>771</v>
      </c>
      <c r="X2382" s="321">
        <f t="shared" si="171"/>
        <v>815706</v>
      </c>
      <c r="Y2382" s="321">
        <v>1</v>
      </c>
      <c r="AA2382" s="321" t="s">
        <v>5953</v>
      </c>
    </row>
    <row r="2383" spans="13:27">
      <c r="M2383" s="321">
        <v>1815706772</v>
      </c>
      <c r="N2383" s="321">
        <v>81</v>
      </c>
      <c r="O2383" s="321" t="s">
        <v>5954</v>
      </c>
      <c r="P2383" s="321">
        <v>4815706</v>
      </c>
      <c r="Q2383" s="322">
        <v>61000</v>
      </c>
      <c r="R2383" s="322">
        <v>39900</v>
      </c>
      <c r="S2383" s="322">
        <v>60000</v>
      </c>
      <c r="T2383" s="322">
        <v>60000</v>
      </c>
      <c r="U2383" s="322">
        <f t="shared" si="169"/>
        <v>0</v>
      </c>
      <c r="W2383" s="321">
        <f t="shared" si="170"/>
        <v>772</v>
      </c>
      <c r="X2383" s="321">
        <f t="shared" si="171"/>
        <v>815706</v>
      </c>
      <c r="Y2383" s="321">
        <v>1</v>
      </c>
      <c r="AA2383" s="321" t="s">
        <v>5954</v>
      </c>
    </row>
    <row r="2384" spans="13:27">
      <c r="M2384" s="321">
        <v>1815706780</v>
      </c>
      <c r="N2384" s="321">
        <v>81</v>
      </c>
      <c r="O2384" s="321" t="s">
        <v>5955</v>
      </c>
      <c r="P2384" s="321">
        <v>4815706</v>
      </c>
      <c r="Q2384" s="322">
        <v>0</v>
      </c>
      <c r="R2384" s="322">
        <v>1000</v>
      </c>
      <c r="S2384" s="322">
        <v>0</v>
      </c>
      <c r="T2384" s="322">
        <v>0</v>
      </c>
      <c r="U2384" s="322">
        <f t="shared" si="169"/>
        <v>0</v>
      </c>
      <c r="W2384" s="321">
        <f t="shared" si="170"/>
        <v>780</v>
      </c>
      <c r="X2384" s="321">
        <f t="shared" si="171"/>
        <v>815706</v>
      </c>
      <c r="Y2384" s="321">
        <v>1</v>
      </c>
      <c r="AA2384" s="321" t="s">
        <v>5955</v>
      </c>
    </row>
    <row r="2385" spans="13:27">
      <c r="M2385" s="321">
        <v>1815707110</v>
      </c>
      <c r="N2385" s="321">
        <v>81</v>
      </c>
      <c r="O2385" s="321" t="s">
        <v>5205</v>
      </c>
      <c r="P2385" s="321">
        <v>4815707</v>
      </c>
      <c r="Q2385" s="322">
        <v>7904000</v>
      </c>
      <c r="R2385" s="322">
        <v>6197000</v>
      </c>
      <c r="S2385" s="322">
        <v>8252000</v>
      </c>
      <c r="T2385" s="322">
        <v>8252000</v>
      </c>
      <c r="U2385" s="322">
        <f t="shared" si="169"/>
        <v>0</v>
      </c>
      <c r="W2385" s="321">
        <f t="shared" si="170"/>
        <v>110</v>
      </c>
      <c r="X2385" s="321">
        <f t="shared" si="171"/>
        <v>815707</v>
      </c>
      <c r="Y2385" s="321">
        <v>1</v>
      </c>
      <c r="AA2385" s="321" t="s">
        <v>5205</v>
      </c>
    </row>
    <row r="2386" spans="13:27">
      <c r="M2386" s="321">
        <v>1815707120</v>
      </c>
      <c r="N2386" s="321">
        <v>81</v>
      </c>
      <c r="O2386" s="321" t="s">
        <v>5206</v>
      </c>
      <c r="P2386" s="321">
        <v>4815707</v>
      </c>
      <c r="Q2386" s="322">
        <v>669000</v>
      </c>
      <c r="R2386" s="322">
        <v>665700</v>
      </c>
      <c r="S2386" s="322">
        <v>697000</v>
      </c>
      <c r="T2386" s="322">
        <v>697000</v>
      </c>
      <c r="U2386" s="322">
        <f t="shared" si="169"/>
        <v>0</v>
      </c>
      <c r="W2386" s="321">
        <f t="shared" si="170"/>
        <v>120</v>
      </c>
      <c r="X2386" s="321">
        <f t="shared" si="171"/>
        <v>815707</v>
      </c>
      <c r="Y2386" s="321">
        <v>1</v>
      </c>
      <c r="AA2386" s="321" t="s">
        <v>5206</v>
      </c>
    </row>
    <row r="2387" spans="13:27">
      <c r="M2387" s="321">
        <v>1815707130</v>
      </c>
      <c r="N2387" s="321">
        <v>81</v>
      </c>
      <c r="O2387" s="321" t="s">
        <v>2576</v>
      </c>
      <c r="P2387" s="321">
        <v>4815707</v>
      </c>
      <c r="Q2387" s="322">
        <v>114000</v>
      </c>
      <c r="R2387" s="322">
        <v>121300</v>
      </c>
      <c r="S2387" s="322">
        <v>162000</v>
      </c>
      <c r="T2387" s="322">
        <v>145800</v>
      </c>
      <c r="U2387" s="322">
        <f t="shared" si="169"/>
        <v>16200</v>
      </c>
      <c r="W2387" s="321">
        <f t="shared" si="170"/>
        <v>130</v>
      </c>
      <c r="X2387" s="321">
        <f t="shared" si="171"/>
        <v>815707</v>
      </c>
      <c r="Y2387" s="321">
        <v>1</v>
      </c>
      <c r="AA2387" s="321" t="s">
        <v>2576</v>
      </c>
    </row>
    <row r="2388" spans="13:27">
      <c r="M2388" s="321">
        <v>1815707140</v>
      </c>
      <c r="N2388" s="321">
        <v>81</v>
      </c>
      <c r="O2388" s="321" t="s">
        <v>5207</v>
      </c>
      <c r="P2388" s="321">
        <v>4815707</v>
      </c>
      <c r="Q2388" s="322">
        <v>240000</v>
      </c>
      <c r="R2388" s="322">
        <v>157100</v>
      </c>
      <c r="S2388" s="322">
        <v>215000</v>
      </c>
      <c r="T2388" s="322">
        <v>215000</v>
      </c>
      <c r="U2388" s="322">
        <f t="shared" si="169"/>
        <v>0</v>
      </c>
      <c r="W2388" s="321">
        <f t="shared" si="170"/>
        <v>140</v>
      </c>
      <c r="X2388" s="321">
        <f t="shared" si="171"/>
        <v>815707</v>
      </c>
      <c r="Y2388" s="321">
        <v>1</v>
      </c>
      <c r="AA2388" s="321" t="s">
        <v>5207</v>
      </c>
    </row>
    <row r="2389" spans="13:27">
      <c r="M2389" s="321">
        <v>1815707141</v>
      </c>
      <c r="N2389" s="321">
        <v>81</v>
      </c>
      <c r="O2389" s="321" t="s">
        <v>5208</v>
      </c>
      <c r="P2389" s="321">
        <v>4815707</v>
      </c>
      <c r="Q2389" s="322">
        <v>288000</v>
      </c>
      <c r="R2389" s="322">
        <v>241300</v>
      </c>
      <c r="S2389" s="322">
        <v>303000</v>
      </c>
      <c r="T2389" s="322">
        <v>303000</v>
      </c>
      <c r="U2389" s="322">
        <f t="shared" si="169"/>
        <v>0</v>
      </c>
      <c r="W2389" s="321">
        <f t="shared" si="170"/>
        <v>141</v>
      </c>
      <c r="X2389" s="321">
        <f t="shared" si="171"/>
        <v>815707</v>
      </c>
      <c r="Y2389" s="321">
        <v>1</v>
      </c>
      <c r="AA2389" s="321" t="s">
        <v>5208</v>
      </c>
    </row>
    <row r="2390" spans="13:27">
      <c r="M2390" s="321">
        <v>1815707181</v>
      </c>
      <c r="N2390" s="321">
        <v>81</v>
      </c>
      <c r="O2390" s="321" t="s">
        <v>2580</v>
      </c>
      <c r="P2390" s="321">
        <v>4815707</v>
      </c>
      <c r="Q2390" s="322">
        <v>1723000</v>
      </c>
      <c r="R2390" s="322">
        <v>1387400</v>
      </c>
      <c r="S2390" s="322">
        <v>1822000</v>
      </c>
      <c r="T2390" s="322">
        <v>1822000</v>
      </c>
      <c r="U2390" s="322">
        <f t="shared" si="169"/>
        <v>0</v>
      </c>
      <c r="W2390" s="321">
        <f t="shared" si="170"/>
        <v>181</v>
      </c>
      <c r="X2390" s="321">
        <f t="shared" si="171"/>
        <v>815707</v>
      </c>
      <c r="Y2390" s="321">
        <v>1</v>
      </c>
      <c r="AA2390" s="321" t="s">
        <v>2580</v>
      </c>
    </row>
    <row r="2391" spans="13:27">
      <c r="M2391" s="321">
        <v>1815707182</v>
      </c>
      <c r="N2391" s="321">
        <v>81</v>
      </c>
      <c r="O2391" s="321" t="s">
        <v>2582</v>
      </c>
      <c r="P2391" s="321">
        <v>4815707</v>
      </c>
      <c r="Q2391" s="322">
        <v>1185000</v>
      </c>
      <c r="R2391" s="322">
        <v>948000</v>
      </c>
      <c r="S2391" s="322">
        <v>1263000</v>
      </c>
      <c r="T2391" s="322">
        <v>1263000</v>
      </c>
      <c r="U2391" s="322">
        <f t="shared" si="169"/>
        <v>0</v>
      </c>
      <c r="W2391" s="321">
        <f t="shared" si="170"/>
        <v>182</v>
      </c>
      <c r="X2391" s="321">
        <f t="shared" si="171"/>
        <v>815707</v>
      </c>
      <c r="Y2391" s="321">
        <v>1</v>
      </c>
      <c r="AA2391" s="321" t="s">
        <v>2582</v>
      </c>
    </row>
    <row r="2392" spans="13:27">
      <c r="M2392" s="321">
        <v>1815707210</v>
      </c>
      <c r="N2392" s="321">
        <v>81</v>
      </c>
      <c r="O2392" s="321" t="s">
        <v>5285</v>
      </c>
      <c r="P2392" s="321">
        <v>4815707</v>
      </c>
      <c r="Q2392" s="322">
        <v>48000</v>
      </c>
      <c r="R2392" s="322">
        <v>24000</v>
      </c>
      <c r="S2392" s="322">
        <v>0</v>
      </c>
      <c r="T2392" s="322">
        <v>0</v>
      </c>
      <c r="U2392" s="322">
        <f t="shared" si="169"/>
        <v>0</v>
      </c>
      <c r="W2392" s="321">
        <f t="shared" si="170"/>
        <v>210</v>
      </c>
      <c r="X2392" s="321">
        <f t="shared" si="171"/>
        <v>815707</v>
      </c>
      <c r="Y2392" s="321">
        <v>1</v>
      </c>
      <c r="AA2392" s="321" t="s">
        <v>5285</v>
      </c>
    </row>
    <row r="2393" spans="13:27">
      <c r="M2393" s="321">
        <v>1815707720</v>
      </c>
      <c r="N2393" s="321">
        <v>81</v>
      </c>
      <c r="O2393" s="321" t="s">
        <v>5936</v>
      </c>
      <c r="P2393" s="321">
        <v>4815707</v>
      </c>
      <c r="Q2393" s="322">
        <v>220000</v>
      </c>
      <c r="R2393" s="322">
        <v>142200</v>
      </c>
      <c r="S2393" s="322">
        <v>215000</v>
      </c>
      <c r="T2393" s="322">
        <v>215000</v>
      </c>
      <c r="U2393" s="322">
        <f t="shared" si="169"/>
        <v>0</v>
      </c>
      <c r="W2393" s="321">
        <f t="shared" si="170"/>
        <v>720</v>
      </c>
      <c r="X2393" s="321">
        <f t="shared" si="171"/>
        <v>815707</v>
      </c>
      <c r="Y2393" s="321">
        <v>1</v>
      </c>
      <c r="AA2393" s="321" t="s">
        <v>5936</v>
      </c>
    </row>
    <row r="2394" spans="13:27">
      <c r="M2394" s="321">
        <v>1815707721</v>
      </c>
      <c r="N2394" s="321">
        <v>81</v>
      </c>
      <c r="O2394" s="321" t="s">
        <v>5925</v>
      </c>
      <c r="P2394" s="321">
        <v>4815707</v>
      </c>
      <c r="Q2394" s="322">
        <v>45000</v>
      </c>
      <c r="R2394" s="322">
        <v>43100</v>
      </c>
      <c r="S2394" s="322">
        <v>43000</v>
      </c>
      <c r="T2394" s="322">
        <v>43000</v>
      </c>
      <c r="U2394" s="322">
        <f t="shared" si="169"/>
        <v>0</v>
      </c>
      <c r="W2394" s="321">
        <f t="shared" si="170"/>
        <v>721</v>
      </c>
      <c r="X2394" s="321">
        <f t="shared" si="171"/>
        <v>815707</v>
      </c>
      <c r="Y2394" s="321">
        <v>1</v>
      </c>
      <c r="AA2394" s="321" t="s">
        <v>5925</v>
      </c>
    </row>
    <row r="2395" spans="13:27">
      <c r="M2395" s="321">
        <v>1815707755</v>
      </c>
      <c r="N2395" s="321">
        <v>81</v>
      </c>
      <c r="O2395" s="321" t="s">
        <v>5956</v>
      </c>
      <c r="P2395" s="321">
        <v>4815707</v>
      </c>
      <c r="Q2395" s="322">
        <v>230000</v>
      </c>
      <c r="R2395" s="322">
        <v>150400</v>
      </c>
      <c r="S2395" s="322">
        <v>300000</v>
      </c>
      <c r="T2395" s="322">
        <v>300000</v>
      </c>
      <c r="U2395" s="322">
        <f t="shared" si="169"/>
        <v>0</v>
      </c>
      <c r="W2395" s="321">
        <f t="shared" si="170"/>
        <v>755</v>
      </c>
      <c r="X2395" s="321">
        <f t="shared" si="171"/>
        <v>815707</v>
      </c>
      <c r="Y2395" s="321">
        <v>1</v>
      </c>
      <c r="AA2395" s="321" t="s">
        <v>5956</v>
      </c>
    </row>
    <row r="2396" spans="13:27">
      <c r="M2396" s="321">
        <v>1815707765</v>
      </c>
      <c r="N2396" s="321">
        <v>81</v>
      </c>
      <c r="O2396" s="321" t="s">
        <v>5957</v>
      </c>
      <c r="P2396" s="321">
        <v>4815707</v>
      </c>
      <c r="Q2396" s="322">
        <v>4320000</v>
      </c>
      <c r="R2396" s="322">
        <v>3087900</v>
      </c>
      <c r="S2396" s="322">
        <v>4500000</v>
      </c>
      <c r="T2396" s="322">
        <v>4500000</v>
      </c>
      <c r="U2396" s="322">
        <f t="shared" si="169"/>
        <v>0</v>
      </c>
      <c r="W2396" s="321">
        <f t="shared" si="170"/>
        <v>765</v>
      </c>
      <c r="X2396" s="321">
        <f t="shared" si="171"/>
        <v>815707</v>
      </c>
      <c r="Y2396" s="321">
        <v>1</v>
      </c>
      <c r="AA2396" s="321" t="s">
        <v>5957</v>
      </c>
    </row>
    <row r="2397" spans="13:27">
      <c r="M2397" s="321">
        <v>1815707771</v>
      </c>
      <c r="N2397" s="321">
        <v>81</v>
      </c>
      <c r="O2397" s="321" t="s">
        <v>5958</v>
      </c>
      <c r="P2397" s="321">
        <v>4815707</v>
      </c>
      <c r="Q2397" s="322">
        <v>490000</v>
      </c>
      <c r="R2397" s="322">
        <v>303300</v>
      </c>
      <c r="S2397" s="322">
        <v>490000</v>
      </c>
      <c r="T2397" s="322">
        <v>490000</v>
      </c>
      <c r="U2397" s="322">
        <f t="shared" si="169"/>
        <v>0</v>
      </c>
      <c r="W2397" s="321">
        <f t="shared" si="170"/>
        <v>771</v>
      </c>
      <c r="X2397" s="321">
        <f t="shared" si="171"/>
        <v>815707</v>
      </c>
      <c r="Y2397" s="321">
        <v>1</v>
      </c>
      <c r="AA2397" s="321" t="s">
        <v>5958</v>
      </c>
    </row>
    <row r="2398" spans="13:27">
      <c r="M2398" s="321">
        <v>1815707772</v>
      </c>
      <c r="N2398" s="321">
        <v>81</v>
      </c>
      <c r="O2398" s="321" t="s">
        <v>5959</v>
      </c>
      <c r="P2398" s="321">
        <v>4815707</v>
      </c>
      <c r="Q2398" s="322">
        <v>245000</v>
      </c>
      <c r="R2398" s="322">
        <v>95200</v>
      </c>
      <c r="S2398" s="322">
        <v>245000</v>
      </c>
      <c r="T2398" s="322">
        <v>245000</v>
      </c>
      <c r="U2398" s="322">
        <f t="shared" si="169"/>
        <v>0</v>
      </c>
      <c r="W2398" s="321">
        <f t="shared" si="170"/>
        <v>772</v>
      </c>
      <c r="X2398" s="321">
        <f t="shared" si="171"/>
        <v>815707</v>
      </c>
      <c r="Y2398" s="321">
        <v>1</v>
      </c>
      <c r="AA2398" s="321" t="s">
        <v>5959</v>
      </c>
    </row>
    <row r="2399" spans="13:27">
      <c r="M2399" s="321">
        <v>1815707780</v>
      </c>
      <c r="N2399" s="321">
        <v>81</v>
      </c>
      <c r="O2399" s="321" t="s">
        <v>5960</v>
      </c>
      <c r="P2399" s="321">
        <v>4815707</v>
      </c>
      <c r="Q2399" s="322">
        <v>0</v>
      </c>
      <c r="R2399" s="322">
        <v>600</v>
      </c>
      <c r="S2399" s="322">
        <v>0</v>
      </c>
      <c r="T2399" s="322">
        <v>0</v>
      </c>
      <c r="U2399" s="322">
        <f t="shared" si="169"/>
        <v>0</v>
      </c>
      <c r="W2399" s="321">
        <f t="shared" si="170"/>
        <v>780</v>
      </c>
      <c r="X2399" s="321">
        <f t="shared" si="171"/>
        <v>815707</v>
      </c>
      <c r="Y2399" s="321">
        <v>1</v>
      </c>
      <c r="AA2399" s="321" t="s">
        <v>5960</v>
      </c>
    </row>
    <row r="2400" spans="13:27">
      <c r="M2400" s="321">
        <v>1815708110</v>
      </c>
      <c r="N2400" s="321">
        <v>81</v>
      </c>
      <c r="O2400" s="321" t="s">
        <v>5205</v>
      </c>
      <c r="P2400" s="321">
        <v>4815708</v>
      </c>
      <c r="Q2400" s="322">
        <v>6677000</v>
      </c>
      <c r="R2400" s="322">
        <v>4763400</v>
      </c>
      <c r="S2400" s="322">
        <v>6665000</v>
      </c>
      <c r="T2400" s="322">
        <v>6665000</v>
      </c>
      <c r="U2400" s="322">
        <f t="shared" si="169"/>
        <v>0</v>
      </c>
      <c r="W2400" s="321">
        <f t="shared" si="170"/>
        <v>110</v>
      </c>
      <c r="X2400" s="321">
        <f t="shared" si="171"/>
        <v>815708</v>
      </c>
      <c r="Y2400" s="321">
        <v>1</v>
      </c>
      <c r="AA2400" s="321" t="s">
        <v>5205</v>
      </c>
    </row>
    <row r="2401" spans="13:27">
      <c r="M2401" s="321">
        <v>1815708120</v>
      </c>
      <c r="N2401" s="321">
        <v>81</v>
      </c>
      <c r="O2401" s="321" t="s">
        <v>5206</v>
      </c>
      <c r="P2401" s="321">
        <v>4815708</v>
      </c>
      <c r="Q2401" s="322">
        <v>505000</v>
      </c>
      <c r="R2401" s="322">
        <v>484300</v>
      </c>
      <c r="S2401" s="322">
        <v>500000</v>
      </c>
      <c r="T2401" s="322">
        <v>500000</v>
      </c>
      <c r="U2401" s="322">
        <f t="shared" si="169"/>
        <v>0</v>
      </c>
      <c r="W2401" s="321">
        <f t="shared" si="170"/>
        <v>120</v>
      </c>
      <c r="X2401" s="321">
        <f t="shared" si="171"/>
        <v>815708</v>
      </c>
      <c r="Y2401" s="321">
        <v>1</v>
      </c>
      <c r="AA2401" s="321" t="s">
        <v>5206</v>
      </c>
    </row>
    <row r="2402" spans="13:27">
      <c r="M2402" s="321">
        <v>1815708130</v>
      </c>
      <c r="N2402" s="321">
        <v>81</v>
      </c>
      <c r="O2402" s="321" t="s">
        <v>2576</v>
      </c>
      <c r="P2402" s="321">
        <v>4815708</v>
      </c>
      <c r="Q2402" s="322">
        <v>135000</v>
      </c>
      <c r="R2402" s="322">
        <v>113300</v>
      </c>
      <c r="S2402" s="322">
        <v>150000</v>
      </c>
      <c r="T2402" s="322">
        <v>135000</v>
      </c>
      <c r="U2402" s="322">
        <f t="shared" si="169"/>
        <v>15000</v>
      </c>
      <c r="W2402" s="321">
        <f t="shared" si="170"/>
        <v>130</v>
      </c>
      <c r="X2402" s="321">
        <f t="shared" si="171"/>
        <v>815708</v>
      </c>
      <c r="Y2402" s="321">
        <v>1</v>
      </c>
      <c r="AA2402" s="321" t="s">
        <v>2576</v>
      </c>
    </row>
    <row r="2403" spans="13:27">
      <c r="M2403" s="321">
        <v>1815708140</v>
      </c>
      <c r="N2403" s="321">
        <v>81</v>
      </c>
      <c r="O2403" s="321" t="s">
        <v>5207</v>
      </c>
      <c r="P2403" s="321">
        <v>4815708</v>
      </c>
      <c r="Q2403" s="322">
        <v>197000</v>
      </c>
      <c r="R2403" s="322">
        <v>117200</v>
      </c>
      <c r="S2403" s="322">
        <v>166000</v>
      </c>
      <c r="T2403" s="322">
        <v>166000</v>
      </c>
      <c r="U2403" s="322">
        <f t="shared" si="169"/>
        <v>0</v>
      </c>
      <c r="W2403" s="321">
        <f t="shared" si="170"/>
        <v>140</v>
      </c>
      <c r="X2403" s="321">
        <f t="shared" si="171"/>
        <v>815708</v>
      </c>
      <c r="Y2403" s="321">
        <v>1</v>
      </c>
      <c r="AA2403" s="321" t="s">
        <v>5207</v>
      </c>
    </row>
    <row r="2404" spans="13:27">
      <c r="M2404" s="321">
        <v>1815708141</v>
      </c>
      <c r="N2404" s="321">
        <v>81</v>
      </c>
      <c r="O2404" s="321" t="s">
        <v>5208</v>
      </c>
      <c r="P2404" s="321">
        <v>4815708</v>
      </c>
      <c r="Q2404" s="322">
        <v>275000</v>
      </c>
      <c r="R2404" s="322">
        <v>232300</v>
      </c>
      <c r="S2404" s="322">
        <v>308000</v>
      </c>
      <c r="T2404" s="322">
        <v>308000</v>
      </c>
      <c r="U2404" s="322">
        <f t="shared" si="169"/>
        <v>0</v>
      </c>
      <c r="W2404" s="321">
        <f t="shared" si="170"/>
        <v>141</v>
      </c>
      <c r="X2404" s="321">
        <f t="shared" si="171"/>
        <v>815708</v>
      </c>
      <c r="Y2404" s="321">
        <v>1</v>
      </c>
      <c r="AA2404" s="321" t="s">
        <v>5208</v>
      </c>
    </row>
    <row r="2405" spans="13:27">
      <c r="M2405" s="321">
        <v>1815708181</v>
      </c>
      <c r="N2405" s="321">
        <v>81</v>
      </c>
      <c r="O2405" s="321" t="s">
        <v>2580</v>
      </c>
      <c r="P2405" s="321">
        <v>4815708</v>
      </c>
      <c r="Q2405" s="322">
        <v>1453000</v>
      </c>
      <c r="R2405" s="322">
        <v>1072400</v>
      </c>
      <c r="S2405" s="322">
        <v>1477000</v>
      </c>
      <c r="T2405" s="322">
        <v>1477000</v>
      </c>
      <c r="U2405" s="322">
        <f t="shared" si="169"/>
        <v>0</v>
      </c>
      <c r="W2405" s="321">
        <f t="shared" si="170"/>
        <v>181</v>
      </c>
      <c r="X2405" s="321">
        <f t="shared" si="171"/>
        <v>815708</v>
      </c>
      <c r="Y2405" s="321">
        <v>1</v>
      </c>
      <c r="AA2405" s="321" t="s">
        <v>2580</v>
      </c>
    </row>
    <row r="2406" spans="13:27">
      <c r="M2406" s="321">
        <v>1815708182</v>
      </c>
      <c r="N2406" s="321">
        <v>81</v>
      </c>
      <c r="O2406" s="321" t="s">
        <v>2582</v>
      </c>
      <c r="P2406" s="321">
        <v>4815708</v>
      </c>
      <c r="Q2406" s="322">
        <v>976000</v>
      </c>
      <c r="R2406" s="322">
        <v>714400</v>
      </c>
      <c r="S2406" s="322">
        <v>1002000</v>
      </c>
      <c r="T2406" s="322">
        <v>1002000</v>
      </c>
      <c r="U2406" s="322">
        <f t="shared" si="169"/>
        <v>0</v>
      </c>
      <c r="W2406" s="321">
        <f t="shared" si="170"/>
        <v>182</v>
      </c>
      <c r="X2406" s="321">
        <f t="shared" si="171"/>
        <v>815708</v>
      </c>
      <c r="Y2406" s="321">
        <v>1</v>
      </c>
      <c r="AA2406" s="321" t="s">
        <v>2582</v>
      </c>
    </row>
    <row r="2407" spans="13:27">
      <c r="M2407" s="321">
        <v>1815708210</v>
      </c>
      <c r="N2407" s="321">
        <v>81</v>
      </c>
      <c r="O2407" s="321" t="s">
        <v>5225</v>
      </c>
      <c r="P2407" s="321">
        <v>4815708</v>
      </c>
      <c r="Q2407" s="322">
        <v>36000</v>
      </c>
      <c r="R2407" s="322">
        <v>18000</v>
      </c>
      <c r="S2407" s="322">
        <v>0</v>
      </c>
      <c r="T2407" s="322">
        <v>0</v>
      </c>
      <c r="U2407" s="322">
        <f t="shared" si="169"/>
        <v>0</v>
      </c>
      <c r="W2407" s="321">
        <f t="shared" si="170"/>
        <v>210</v>
      </c>
      <c r="X2407" s="321">
        <f t="shared" si="171"/>
        <v>815708</v>
      </c>
      <c r="Y2407" s="321">
        <v>1</v>
      </c>
      <c r="AA2407" s="321" t="s">
        <v>5225</v>
      </c>
    </row>
    <row r="2408" spans="13:27">
      <c r="M2408" s="321">
        <v>1815708720</v>
      </c>
      <c r="N2408" s="321">
        <v>81</v>
      </c>
      <c r="O2408" s="321" t="s">
        <v>2705</v>
      </c>
      <c r="P2408" s="321">
        <v>4815708</v>
      </c>
      <c r="Q2408" s="322">
        <v>335000</v>
      </c>
      <c r="R2408" s="322">
        <v>218400</v>
      </c>
      <c r="S2408" s="322">
        <v>320000</v>
      </c>
      <c r="T2408" s="322">
        <v>320000</v>
      </c>
      <c r="U2408" s="322">
        <f t="shared" si="169"/>
        <v>0</v>
      </c>
      <c r="W2408" s="321">
        <f t="shared" si="170"/>
        <v>720</v>
      </c>
      <c r="X2408" s="321">
        <f t="shared" si="171"/>
        <v>815708</v>
      </c>
      <c r="Y2408" s="321">
        <v>1</v>
      </c>
      <c r="AA2408" s="321" t="s">
        <v>2705</v>
      </c>
    </row>
    <row r="2409" spans="13:27">
      <c r="M2409" s="321">
        <v>1815708721</v>
      </c>
      <c r="N2409" s="321">
        <v>81</v>
      </c>
      <c r="O2409" s="321" t="s">
        <v>5961</v>
      </c>
      <c r="P2409" s="321">
        <v>4815708</v>
      </c>
      <c r="Q2409" s="322">
        <v>42000</v>
      </c>
      <c r="R2409" s="322">
        <v>39000</v>
      </c>
      <c r="S2409" s="322">
        <v>38000</v>
      </c>
      <c r="T2409" s="322">
        <v>38000</v>
      </c>
      <c r="U2409" s="322">
        <f t="shared" si="169"/>
        <v>0</v>
      </c>
      <c r="W2409" s="321">
        <f t="shared" si="170"/>
        <v>721</v>
      </c>
      <c r="X2409" s="321">
        <f t="shared" si="171"/>
        <v>815708</v>
      </c>
      <c r="Y2409" s="321">
        <v>1</v>
      </c>
      <c r="AA2409" s="321" t="s">
        <v>5961</v>
      </c>
    </row>
    <row r="2410" spans="13:27">
      <c r="M2410" s="321">
        <v>1815708755</v>
      </c>
      <c r="N2410" s="321">
        <v>81</v>
      </c>
      <c r="O2410" s="321" t="s">
        <v>5962</v>
      </c>
      <c r="P2410" s="321">
        <v>4815708</v>
      </c>
      <c r="Q2410" s="322">
        <v>300000</v>
      </c>
      <c r="R2410" s="322">
        <v>203200</v>
      </c>
      <c r="S2410" s="322">
        <v>350000</v>
      </c>
      <c r="T2410" s="322">
        <v>350000</v>
      </c>
      <c r="U2410" s="322">
        <f t="shared" si="169"/>
        <v>0</v>
      </c>
      <c r="W2410" s="321">
        <f t="shared" si="170"/>
        <v>755</v>
      </c>
      <c r="X2410" s="321">
        <f t="shared" si="171"/>
        <v>815708</v>
      </c>
      <c r="Y2410" s="321">
        <v>1</v>
      </c>
      <c r="AA2410" s="321" t="s">
        <v>5962</v>
      </c>
    </row>
    <row r="2411" spans="13:27">
      <c r="M2411" s="321">
        <v>1815708765</v>
      </c>
      <c r="N2411" s="321">
        <v>81</v>
      </c>
      <c r="O2411" s="321" t="s">
        <v>5963</v>
      </c>
      <c r="P2411" s="321">
        <v>4815708</v>
      </c>
      <c r="Q2411" s="322">
        <v>5450000</v>
      </c>
      <c r="R2411" s="322">
        <v>3360100</v>
      </c>
      <c r="S2411" s="322">
        <v>4450000</v>
      </c>
      <c r="T2411" s="322">
        <v>4450000</v>
      </c>
      <c r="U2411" s="322">
        <f t="shared" si="169"/>
        <v>0</v>
      </c>
      <c r="W2411" s="321">
        <f t="shared" si="170"/>
        <v>765</v>
      </c>
      <c r="X2411" s="321">
        <f t="shared" si="171"/>
        <v>815708</v>
      </c>
      <c r="Y2411" s="321">
        <v>1</v>
      </c>
      <c r="AA2411" s="321" t="s">
        <v>5963</v>
      </c>
    </row>
    <row r="2412" spans="13:27">
      <c r="M2412" s="321">
        <v>1815708771</v>
      </c>
      <c r="N2412" s="321">
        <v>81</v>
      </c>
      <c r="O2412" s="321" t="s">
        <v>5964</v>
      </c>
      <c r="P2412" s="321">
        <v>4815708</v>
      </c>
      <c r="Q2412" s="322">
        <v>370000</v>
      </c>
      <c r="R2412" s="322">
        <v>247800</v>
      </c>
      <c r="S2412" s="322">
        <v>370000</v>
      </c>
      <c r="T2412" s="322">
        <v>370000</v>
      </c>
      <c r="U2412" s="322">
        <f t="shared" si="169"/>
        <v>0</v>
      </c>
      <c r="W2412" s="321">
        <f t="shared" si="170"/>
        <v>771</v>
      </c>
      <c r="X2412" s="321">
        <f t="shared" si="171"/>
        <v>815708</v>
      </c>
      <c r="Y2412" s="321">
        <v>1</v>
      </c>
      <c r="AA2412" s="321" t="s">
        <v>5964</v>
      </c>
    </row>
    <row r="2413" spans="13:27">
      <c r="M2413" s="321">
        <v>1815708772</v>
      </c>
      <c r="N2413" s="321">
        <v>81</v>
      </c>
      <c r="O2413" s="321" t="s">
        <v>5965</v>
      </c>
      <c r="P2413" s="321">
        <v>4815708</v>
      </c>
      <c r="Q2413" s="322">
        <v>245000</v>
      </c>
      <c r="R2413" s="322">
        <v>65000</v>
      </c>
      <c r="S2413" s="322">
        <v>245000</v>
      </c>
      <c r="T2413" s="322">
        <v>245000</v>
      </c>
      <c r="U2413" s="322">
        <f t="shared" si="169"/>
        <v>0</v>
      </c>
      <c r="W2413" s="321">
        <f t="shared" si="170"/>
        <v>772</v>
      </c>
      <c r="X2413" s="321">
        <f t="shared" si="171"/>
        <v>815708</v>
      </c>
      <c r="Y2413" s="321">
        <v>1</v>
      </c>
      <c r="AA2413" s="321" t="s">
        <v>5965</v>
      </c>
    </row>
    <row r="2414" spans="13:27">
      <c r="M2414" s="321">
        <v>1815708780</v>
      </c>
      <c r="N2414" s="321">
        <v>81</v>
      </c>
      <c r="O2414" s="321" t="s">
        <v>5966</v>
      </c>
      <c r="P2414" s="321">
        <v>4815708</v>
      </c>
      <c r="Q2414" s="322">
        <v>0</v>
      </c>
      <c r="R2414" s="322">
        <v>800</v>
      </c>
      <c r="S2414" s="322">
        <v>0</v>
      </c>
      <c r="T2414" s="322">
        <v>0</v>
      </c>
      <c r="U2414" s="322">
        <f t="shared" si="169"/>
        <v>0</v>
      </c>
      <c r="W2414" s="321">
        <f t="shared" si="170"/>
        <v>780</v>
      </c>
      <c r="X2414" s="321">
        <f t="shared" si="171"/>
        <v>815708</v>
      </c>
      <c r="Y2414" s="321">
        <v>1</v>
      </c>
      <c r="AA2414" s="321" t="s">
        <v>5966</v>
      </c>
    </row>
    <row r="2415" spans="13:27">
      <c r="M2415" s="321">
        <v>1815709110</v>
      </c>
      <c r="N2415" s="321">
        <v>81</v>
      </c>
      <c r="O2415" s="321" t="s">
        <v>5205</v>
      </c>
      <c r="P2415" s="321">
        <v>4815709</v>
      </c>
      <c r="Q2415" s="322">
        <v>6760000</v>
      </c>
      <c r="R2415" s="322">
        <v>5249300</v>
      </c>
      <c r="S2415" s="322">
        <v>7366000</v>
      </c>
      <c r="T2415" s="322">
        <v>7366000</v>
      </c>
      <c r="U2415" s="322">
        <f t="shared" si="169"/>
        <v>0</v>
      </c>
      <c r="W2415" s="321">
        <f t="shared" si="170"/>
        <v>110</v>
      </c>
      <c r="X2415" s="321">
        <f t="shared" si="171"/>
        <v>815709</v>
      </c>
      <c r="Y2415" s="321">
        <v>1</v>
      </c>
      <c r="AA2415" s="321" t="s">
        <v>5205</v>
      </c>
    </row>
    <row r="2416" spans="13:27">
      <c r="M2416" s="321">
        <v>1815709120</v>
      </c>
      <c r="N2416" s="321">
        <v>81</v>
      </c>
      <c r="O2416" s="321" t="s">
        <v>5206</v>
      </c>
      <c r="P2416" s="321">
        <v>4815709</v>
      </c>
      <c r="Q2416" s="322">
        <v>577000</v>
      </c>
      <c r="R2416" s="322">
        <v>526300</v>
      </c>
      <c r="S2416" s="322">
        <v>567000</v>
      </c>
      <c r="T2416" s="322">
        <v>567000</v>
      </c>
      <c r="U2416" s="322">
        <f t="shared" si="169"/>
        <v>0</v>
      </c>
      <c r="W2416" s="321">
        <f t="shared" si="170"/>
        <v>120</v>
      </c>
      <c r="X2416" s="321">
        <f t="shared" si="171"/>
        <v>815709</v>
      </c>
      <c r="Y2416" s="321">
        <v>1</v>
      </c>
      <c r="AA2416" s="321" t="s">
        <v>5206</v>
      </c>
    </row>
    <row r="2417" spans="13:27">
      <c r="M2417" s="321">
        <v>1815709130</v>
      </c>
      <c r="N2417" s="321">
        <v>81</v>
      </c>
      <c r="O2417" s="321" t="s">
        <v>2576</v>
      </c>
      <c r="P2417" s="321">
        <v>4815709</v>
      </c>
      <c r="Q2417" s="322">
        <v>126000</v>
      </c>
      <c r="R2417" s="322">
        <v>106600</v>
      </c>
      <c r="S2417" s="322">
        <v>162000</v>
      </c>
      <c r="T2417" s="322">
        <v>145800</v>
      </c>
      <c r="U2417" s="322">
        <f t="shared" si="169"/>
        <v>16200</v>
      </c>
      <c r="W2417" s="321">
        <f t="shared" si="170"/>
        <v>130</v>
      </c>
      <c r="X2417" s="321">
        <f t="shared" si="171"/>
        <v>815709</v>
      </c>
      <c r="Y2417" s="321">
        <v>1</v>
      </c>
      <c r="AA2417" s="321" t="s">
        <v>2576</v>
      </c>
    </row>
    <row r="2418" spans="13:27">
      <c r="M2418" s="321">
        <v>1815709140</v>
      </c>
      <c r="N2418" s="321">
        <v>81</v>
      </c>
      <c r="O2418" s="321" t="s">
        <v>5207</v>
      </c>
      <c r="P2418" s="321">
        <v>4815709</v>
      </c>
      <c r="Q2418" s="322">
        <v>215000</v>
      </c>
      <c r="R2418" s="322">
        <v>161400</v>
      </c>
      <c r="S2418" s="322">
        <v>231000</v>
      </c>
      <c r="T2418" s="322">
        <v>231000</v>
      </c>
      <c r="U2418" s="322">
        <f t="shared" si="169"/>
        <v>0</v>
      </c>
      <c r="W2418" s="321">
        <f t="shared" si="170"/>
        <v>140</v>
      </c>
      <c r="X2418" s="321">
        <f t="shared" si="171"/>
        <v>815709</v>
      </c>
      <c r="Y2418" s="321">
        <v>1</v>
      </c>
      <c r="AA2418" s="321" t="s">
        <v>5207</v>
      </c>
    </row>
    <row r="2419" spans="13:27">
      <c r="M2419" s="321">
        <v>1815709141</v>
      </c>
      <c r="N2419" s="321">
        <v>81</v>
      </c>
      <c r="O2419" s="321" t="s">
        <v>5208</v>
      </c>
      <c r="P2419" s="321">
        <v>4815709</v>
      </c>
      <c r="Q2419" s="322">
        <v>292000</v>
      </c>
      <c r="R2419" s="322">
        <v>259800</v>
      </c>
      <c r="S2419" s="322">
        <v>346000</v>
      </c>
      <c r="T2419" s="322">
        <v>346000</v>
      </c>
      <c r="U2419" s="322">
        <f t="shared" si="169"/>
        <v>0</v>
      </c>
      <c r="W2419" s="321">
        <f t="shared" si="170"/>
        <v>141</v>
      </c>
      <c r="X2419" s="321">
        <f t="shared" si="171"/>
        <v>815709</v>
      </c>
      <c r="Y2419" s="321">
        <v>1</v>
      </c>
      <c r="AA2419" s="321" t="s">
        <v>5208</v>
      </c>
    </row>
    <row r="2420" spans="13:27">
      <c r="M2420" s="321">
        <v>1815709181</v>
      </c>
      <c r="N2420" s="321">
        <v>81</v>
      </c>
      <c r="O2420" s="321" t="s">
        <v>2580</v>
      </c>
      <c r="P2420" s="321">
        <v>4815709</v>
      </c>
      <c r="Q2420" s="322">
        <v>1583000</v>
      </c>
      <c r="R2420" s="322">
        <v>1182900</v>
      </c>
      <c r="S2420" s="322">
        <v>1641000</v>
      </c>
      <c r="T2420" s="322">
        <v>1641000</v>
      </c>
      <c r="U2420" s="322">
        <f t="shared" si="169"/>
        <v>0</v>
      </c>
      <c r="W2420" s="321">
        <f t="shared" si="170"/>
        <v>181</v>
      </c>
      <c r="X2420" s="321">
        <f t="shared" si="171"/>
        <v>815709</v>
      </c>
      <c r="Y2420" s="321">
        <v>1</v>
      </c>
      <c r="AA2420" s="321" t="s">
        <v>2580</v>
      </c>
    </row>
    <row r="2421" spans="13:27">
      <c r="M2421" s="321">
        <v>1815709182</v>
      </c>
      <c r="N2421" s="321">
        <v>81</v>
      </c>
      <c r="O2421" s="321" t="s">
        <v>2582</v>
      </c>
      <c r="P2421" s="321">
        <v>4815709</v>
      </c>
      <c r="Q2421" s="322">
        <v>998000</v>
      </c>
      <c r="R2421" s="322">
        <v>785400</v>
      </c>
      <c r="S2421" s="322">
        <v>1103000</v>
      </c>
      <c r="T2421" s="322">
        <v>1103000</v>
      </c>
      <c r="U2421" s="322">
        <f t="shared" si="169"/>
        <v>0</v>
      </c>
      <c r="W2421" s="321">
        <f t="shared" si="170"/>
        <v>182</v>
      </c>
      <c r="X2421" s="321">
        <f t="shared" si="171"/>
        <v>815709</v>
      </c>
      <c r="Y2421" s="321">
        <v>1</v>
      </c>
      <c r="AA2421" s="321" t="s">
        <v>2582</v>
      </c>
    </row>
    <row r="2422" spans="13:27">
      <c r="M2422" s="321">
        <v>1815709210</v>
      </c>
      <c r="N2422" s="321">
        <v>81</v>
      </c>
      <c r="O2422" s="321" t="s">
        <v>5285</v>
      </c>
      <c r="P2422" s="321">
        <v>4815709</v>
      </c>
      <c r="Q2422" s="322">
        <v>300000</v>
      </c>
      <c r="R2422" s="322">
        <v>138300</v>
      </c>
      <c r="S2422" s="322">
        <v>0</v>
      </c>
      <c r="T2422" s="322">
        <v>0</v>
      </c>
      <c r="U2422" s="322">
        <f t="shared" si="169"/>
        <v>0</v>
      </c>
      <c r="W2422" s="321">
        <f t="shared" si="170"/>
        <v>210</v>
      </c>
      <c r="X2422" s="321">
        <f t="shared" si="171"/>
        <v>815709</v>
      </c>
      <c r="Y2422" s="321">
        <v>1</v>
      </c>
      <c r="AA2422" s="321" t="s">
        <v>5285</v>
      </c>
    </row>
    <row r="2423" spans="13:27">
      <c r="M2423" s="321">
        <v>1815709720</v>
      </c>
      <c r="N2423" s="321">
        <v>81</v>
      </c>
      <c r="O2423" s="321" t="s">
        <v>5936</v>
      </c>
      <c r="P2423" s="321">
        <v>4815709</v>
      </c>
      <c r="Q2423" s="322">
        <v>280000</v>
      </c>
      <c r="R2423" s="322">
        <v>173400</v>
      </c>
      <c r="S2423" s="322">
        <v>275000</v>
      </c>
      <c r="T2423" s="322">
        <v>275000</v>
      </c>
      <c r="U2423" s="322">
        <f t="shared" si="169"/>
        <v>0</v>
      </c>
      <c r="W2423" s="321">
        <f t="shared" si="170"/>
        <v>720</v>
      </c>
      <c r="X2423" s="321">
        <f t="shared" si="171"/>
        <v>815709</v>
      </c>
      <c r="Y2423" s="321">
        <v>1</v>
      </c>
      <c r="AA2423" s="321" t="s">
        <v>5936</v>
      </c>
    </row>
    <row r="2424" spans="13:27">
      <c r="M2424" s="321">
        <v>1815709721</v>
      </c>
      <c r="N2424" s="321">
        <v>81</v>
      </c>
      <c r="O2424" s="321" t="s">
        <v>5961</v>
      </c>
      <c r="P2424" s="321">
        <v>4815709</v>
      </c>
      <c r="Q2424" s="322">
        <v>42000</v>
      </c>
      <c r="R2424" s="322">
        <v>42700</v>
      </c>
      <c r="S2424" s="322">
        <v>43000</v>
      </c>
      <c r="T2424" s="322">
        <v>43000</v>
      </c>
      <c r="U2424" s="322">
        <f t="shared" si="169"/>
        <v>0</v>
      </c>
      <c r="W2424" s="321">
        <f t="shared" si="170"/>
        <v>721</v>
      </c>
      <c r="X2424" s="321">
        <f t="shared" si="171"/>
        <v>815709</v>
      </c>
      <c r="Y2424" s="321">
        <v>1</v>
      </c>
      <c r="AA2424" s="321" t="s">
        <v>5961</v>
      </c>
    </row>
    <row r="2425" spans="13:27">
      <c r="M2425" s="321">
        <v>1815709755</v>
      </c>
      <c r="N2425" s="321">
        <v>81</v>
      </c>
      <c r="O2425" s="321" t="s">
        <v>5967</v>
      </c>
      <c r="P2425" s="321">
        <v>4815709</v>
      </c>
      <c r="Q2425" s="322">
        <v>470000</v>
      </c>
      <c r="R2425" s="322">
        <v>235000</v>
      </c>
      <c r="S2425" s="322">
        <v>460500</v>
      </c>
      <c r="T2425" s="322">
        <v>460500</v>
      </c>
      <c r="U2425" s="322">
        <f t="shared" si="169"/>
        <v>0</v>
      </c>
      <c r="W2425" s="321">
        <f t="shared" si="170"/>
        <v>755</v>
      </c>
      <c r="X2425" s="321">
        <f t="shared" si="171"/>
        <v>815709</v>
      </c>
      <c r="Y2425" s="321">
        <v>1</v>
      </c>
      <c r="AA2425" s="321" t="s">
        <v>5967</v>
      </c>
    </row>
    <row r="2426" spans="13:27">
      <c r="M2426" s="321">
        <v>1815709765</v>
      </c>
      <c r="N2426" s="321">
        <v>81</v>
      </c>
      <c r="O2426" s="321" t="s">
        <v>5968</v>
      </c>
      <c r="P2426" s="321">
        <v>4815709</v>
      </c>
      <c r="Q2426" s="322">
        <v>3450000</v>
      </c>
      <c r="R2426" s="322">
        <v>2812300</v>
      </c>
      <c r="S2426" s="322">
        <v>3500000</v>
      </c>
      <c r="T2426" s="322">
        <v>3500000</v>
      </c>
      <c r="U2426" s="322">
        <f t="shared" si="169"/>
        <v>0</v>
      </c>
      <c r="W2426" s="321">
        <f t="shared" si="170"/>
        <v>765</v>
      </c>
      <c r="X2426" s="321">
        <f t="shared" si="171"/>
        <v>815709</v>
      </c>
      <c r="Y2426" s="321">
        <v>1</v>
      </c>
      <c r="AA2426" s="321" t="s">
        <v>5968</v>
      </c>
    </row>
    <row r="2427" spans="13:27">
      <c r="M2427" s="321">
        <v>1815709771</v>
      </c>
      <c r="N2427" s="321">
        <v>81</v>
      </c>
      <c r="O2427" s="321" t="s">
        <v>5969</v>
      </c>
      <c r="P2427" s="321">
        <v>4815709</v>
      </c>
      <c r="Q2427" s="322">
        <v>260000</v>
      </c>
      <c r="R2427" s="322">
        <v>229200</v>
      </c>
      <c r="S2427" s="322">
        <v>260000</v>
      </c>
      <c r="T2427" s="322">
        <v>260000</v>
      </c>
      <c r="U2427" s="322">
        <f t="shared" si="169"/>
        <v>0</v>
      </c>
      <c r="W2427" s="321">
        <f t="shared" si="170"/>
        <v>771</v>
      </c>
      <c r="X2427" s="321">
        <f t="shared" si="171"/>
        <v>815709</v>
      </c>
      <c r="Y2427" s="321">
        <v>1</v>
      </c>
      <c r="AA2427" s="321" t="s">
        <v>5969</v>
      </c>
    </row>
    <row r="2428" spans="13:27">
      <c r="M2428" s="321">
        <v>1815709772</v>
      </c>
      <c r="N2428" s="321">
        <v>81</v>
      </c>
      <c r="O2428" s="321" t="s">
        <v>5970</v>
      </c>
      <c r="P2428" s="321">
        <v>4815709</v>
      </c>
      <c r="Q2428" s="322">
        <v>245000</v>
      </c>
      <c r="R2428" s="322">
        <v>75700</v>
      </c>
      <c r="S2428" s="322">
        <v>245000</v>
      </c>
      <c r="T2428" s="322">
        <v>245000</v>
      </c>
      <c r="U2428" s="322">
        <f t="shared" si="169"/>
        <v>0</v>
      </c>
      <c r="W2428" s="321">
        <f t="shared" si="170"/>
        <v>772</v>
      </c>
      <c r="X2428" s="321">
        <f t="shared" si="171"/>
        <v>815709</v>
      </c>
      <c r="Y2428" s="321">
        <v>1</v>
      </c>
      <c r="AA2428" s="321" t="s">
        <v>5970</v>
      </c>
    </row>
    <row r="2429" spans="13:27">
      <c r="M2429" s="321">
        <v>1815709780</v>
      </c>
      <c r="N2429" s="321">
        <v>81</v>
      </c>
      <c r="O2429" s="321" t="s">
        <v>5971</v>
      </c>
      <c r="P2429" s="321">
        <v>4815709</v>
      </c>
      <c r="Q2429" s="322">
        <v>0</v>
      </c>
      <c r="R2429" s="322">
        <v>600</v>
      </c>
      <c r="S2429" s="322">
        <v>0</v>
      </c>
      <c r="T2429" s="322">
        <v>0</v>
      </c>
      <c r="U2429" s="322">
        <f t="shared" si="169"/>
        <v>0</v>
      </c>
      <c r="W2429" s="321">
        <f t="shared" si="170"/>
        <v>780</v>
      </c>
      <c r="X2429" s="321">
        <f t="shared" si="171"/>
        <v>815709</v>
      </c>
      <c r="Y2429" s="321">
        <v>1</v>
      </c>
      <c r="AA2429" s="321" t="s">
        <v>5971</v>
      </c>
    </row>
    <row r="2430" spans="13:27">
      <c r="M2430" s="321">
        <v>1815710110</v>
      </c>
      <c r="N2430" s="321">
        <v>81</v>
      </c>
      <c r="O2430" s="321" t="s">
        <v>5205</v>
      </c>
      <c r="P2430" s="321">
        <v>4815710</v>
      </c>
      <c r="Q2430" s="322">
        <v>3424000</v>
      </c>
      <c r="R2430" s="322">
        <v>1967800</v>
      </c>
      <c r="S2430" s="322">
        <v>2592000</v>
      </c>
      <c r="T2430" s="322">
        <v>2592000</v>
      </c>
      <c r="U2430" s="322">
        <f t="shared" si="169"/>
        <v>0</v>
      </c>
      <c r="W2430" s="321">
        <f t="shared" si="170"/>
        <v>110</v>
      </c>
      <c r="X2430" s="321">
        <f t="shared" si="171"/>
        <v>815710</v>
      </c>
      <c r="Y2430" s="321">
        <v>1</v>
      </c>
      <c r="AA2430" s="321" t="s">
        <v>5205</v>
      </c>
    </row>
    <row r="2431" spans="13:27">
      <c r="M2431" s="321">
        <v>1815710120</v>
      </c>
      <c r="N2431" s="321">
        <v>81</v>
      </c>
      <c r="O2431" s="321" t="s">
        <v>5206</v>
      </c>
      <c r="P2431" s="321">
        <v>4815710</v>
      </c>
      <c r="Q2431" s="322">
        <v>274000</v>
      </c>
      <c r="R2431" s="322">
        <v>213000</v>
      </c>
      <c r="S2431" s="322">
        <v>228000</v>
      </c>
      <c r="T2431" s="322">
        <v>228000</v>
      </c>
      <c r="U2431" s="322">
        <f t="shared" si="169"/>
        <v>0</v>
      </c>
      <c r="W2431" s="321">
        <f t="shared" si="170"/>
        <v>120</v>
      </c>
      <c r="X2431" s="321">
        <f t="shared" si="171"/>
        <v>815710</v>
      </c>
      <c r="Y2431" s="321">
        <v>1</v>
      </c>
      <c r="AA2431" s="321" t="s">
        <v>5206</v>
      </c>
    </row>
    <row r="2432" spans="13:27">
      <c r="M2432" s="321">
        <v>1815710130</v>
      </c>
      <c r="N2432" s="321">
        <v>81</v>
      </c>
      <c r="O2432" s="321" t="s">
        <v>2576</v>
      </c>
      <c r="P2432" s="321">
        <v>4815710</v>
      </c>
      <c r="Q2432" s="322">
        <v>0</v>
      </c>
      <c r="R2432" s="322">
        <v>1200</v>
      </c>
      <c r="S2432" s="322">
        <v>2000</v>
      </c>
      <c r="T2432" s="322">
        <v>1800</v>
      </c>
      <c r="U2432" s="322">
        <f t="shared" si="169"/>
        <v>200</v>
      </c>
      <c r="W2432" s="321">
        <f t="shared" si="170"/>
        <v>130</v>
      </c>
      <c r="X2432" s="321">
        <f t="shared" si="171"/>
        <v>815710</v>
      </c>
      <c r="Y2432" s="321">
        <v>1</v>
      </c>
      <c r="AA2432" s="321" t="s">
        <v>2576</v>
      </c>
    </row>
    <row r="2433" spans="13:27">
      <c r="M2433" s="321">
        <v>1815710140</v>
      </c>
      <c r="N2433" s="321">
        <v>81</v>
      </c>
      <c r="O2433" s="321" t="s">
        <v>5207</v>
      </c>
      <c r="P2433" s="321">
        <v>4815710</v>
      </c>
      <c r="Q2433" s="322">
        <v>82000</v>
      </c>
      <c r="R2433" s="322">
        <v>36000</v>
      </c>
      <c r="S2433" s="322">
        <v>74000</v>
      </c>
      <c r="T2433" s="322">
        <v>74000</v>
      </c>
      <c r="U2433" s="322">
        <f t="shared" si="169"/>
        <v>0</v>
      </c>
      <c r="W2433" s="321">
        <f t="shared" si="170"/>
        <v>140</v>
      </c>
      <c r="X2433" s="321">
        <f t="shared" si="171"/>
        <v>815710</v>
      </c>
      <c r="Y2433" s="321">
        <v>1</v>
      </c>
      <c r="AA2433" s="321" t="s">
        <v>5207</v>
      </c>
    </row>
    <row r="2434" spans="13:27">
      <c r="M2434" s="321">
        <v>1815710141</v>
      </c>
      <c r="N2434" s="321">
        <v>81</v>
      </c>
      <c r="O2434" s="321" t="s">
        <v>5208</v>
      </c>
      <c r="P2434" s="321">
        <v>4815710</v>
      </c>
      <c r="Q2434" s="322">
        <v>146000</v>
      </c>
      <c r="R2434" s="322">
        <v>94700</v>
      </c>
      <c r="S2434" s="322">
        <v>116000</v>
      </c>
      <c r="T2434" s="322">
        <v>116000</v>
      </c>
      <c r="U2434" s="322">
        <f t="shared" ref="U2434:U2497" si="172">S2434-T2434</f>
        <v>0</v>
      </c>
      <c r="W2434" s="321">
        <f t="shared" si="170"/>
        <v>141</v>
      </c>
      <c r="X2434" s="321">
        <f t="shared" si="171"/>
        <v>815710</v>
      </c>
      <c r="Y2434" s="321">
        <v>1</v>
      </c>
      <c r="AA2434" s="321" t="s">
        <v>5208</v>
      </c>
    </row>
    <row r="2435" spans="13:27">
      <c r="M2435" s="321">
        <v>1815710181</v>
      </c>
      <c r="N2435" s="321">
        <v>81</v>
      </c>
      <c r="O2435" s="321" t="s">
        <v>2580</v>
      </c>
      <c r="P2435" s="321">
        <v>4815710</v>
      </c>
      <c r="Q2435" s="322">
        <v>773000</v>
      </c>
      <c r="R2435" s="322">
        <v>486200</v>
      </c>
      <c r="S2435" s="322">
        <v>629000</v>
      </c>
      <c r="T2435" s="322">
        <v>629000</v>
      </c>
      <c r="U2435" s="322">
        <f t="shared" si="172"/>
        <v>0</v>
      </c>
      <c r="W2435" s="321">
        <f t="shared" ref="W2435:W2498" si="173">M2435-1000000000-X2435*1000</f>
        <v>181</v>
      </c>
      <c r="X2435" s="321">
        <f t="shared" ref="X2435:X2498" si="174">ROUNDDOWN((M2435-1000000000)/1000,0)</f>
        <v>815710</v>
      </c>
      <c r="Y2435" s="321">
        <v>1</v>
      </c>
      <c r="AA2435" s="321" t="s">
        <v>2580</v>
      </c>
    </row>
    <row r="2436" spans="13:27">
      <c r="M2436" s="321">
        <v>1815710182</v>
      </c>
      <c r="N2436" s="321">
        <v>81</v>
      </c>
      <c r="O2436" s="321" t="s">
        <v>2582</v>
      </c>
      <c r="P2436" s="321">
        <v>4815710</v>
      </c>
      <c r="Q2436" s="322">
        <v>500000</v>
      </c>
      <c r="R2436" s="322">
        <v>296200</v>
      </c>
      <c r="S2436" s="322">
        <v>391000</v>
      </c>
      <c r="T2436" s="322">
        <v>391000</v>
      </c>
      <c r="U2436" s="322">
        <f t="shared" si="172"/>
        <v>0</v>
      </c>
      <c r="W2436" s="321">
        <f t="shared" si="173"/>
        <v>182</v>
      </c>
      <c r="X2436" s="321">
        <f t="shared" si="174"/>
        <v>815710</v>
      </c>
      <c r="Y2436" s="321">
        <v>1</v>
      </c>
      <c r="AA2436" s="321" t="s">
        <v>2582</v>
      </c>
    </row>
    <row r="2437" spans="13:27">
      <c r="M2437" s="321">
        <v>1815710210</v>
      </c>
      <c r="N2437" s="321">
        <v>81</v>
      </c>
      <c r="O2437" s="321" t="s">
        <v>5291</v>
      </c>
      <c r="P2437" s="321">
        <v>4815710</v>
      </c>
      <c r="Q2437" s="322">
        <v>0</v>
      </c>
      <c r="R2437" s="322">
        <v>0</v>
      </c>
      <c r="S2437" s="322">
        <v>0</v>
      </c>
      <c r="T2437" s="322">
        <v>0</v>
      </c>
      <c r="U2437" s="322">
        <f t="shared" si="172"/>
        <v>0</v>
      </c>
      <c r="W2437" s="321">
        <f t="shared" si="173"/>
        <v>210</v>
      </c>
      <c r="X2437" s="321">
        <f t="shared" si="174"/>
        <v>815710</v>
      </c>
      <c r="Y2437" s="321">
        <v>1</v>
      </c>
      <c r="AA2437" s="321" t="s">
        <v>5291</v>
      </c>
    </row>
    <row r="2438" spans="13:27">
      <c r="M2438" s="321">
        <v>1815710720</v>
      </c>
      <c r="N2438" s="321">
        <v>81</v>
      </c>
      <c r="O2438" s="321" t="s">
        <v>4960</v>
      </c>
      <c r="P2438" s="321">
        <v>4815710</v>
      </c>
      <c r="Q2438" s="322">
        <v>0</v>
      </c>
      <c r="R2438" s="322">
        <v>0</v>
      </c>
      <c r="S2438" s="322">
        <v>0</v>
      </c>
      <c r="T2438" s="322">
        <v>0</v>
      </c>
      <c r="U2438" s="322">
        <f t="shared" si="172"/>
        <v>0</v>
      </c>
      <c r="W2438" s="321">
        <f t="shared" si="173"/>
        <v>720</v>
      </c>
      <c r="X2438" s="321">
        <f t="shared" si="174"/>
        <v>815710</v>
      </c>
      <c r="Y2438" s="321">
        <v>1</v>
      </c>
      <c r="AA2438" s="321" t="s">
        <v>4960</v>
      </c>
    </row>
    <row r="2439" spans="13:27">
      <c r="M2439" s="321">
        <v>1815710721</v>
      </c>
      <c r="N2439" s="321">
        <v>81</v>
      </c>
      <c r="O2439" s="321" t="s">
        <v>5972</v>
      </c>
      <c r="P2439" s="321">
        <v>4815710</v>
      </c>
      <c r="Q2439" s="322">
        <v>0</v>
      </c>
      <c r="R2439" s="322">
        <v>0</v>
      </c>
      <c r="S2439" s="322">
        <v>0</v>
      </c>
      <c r="T2439" s="322">
        <v>0</v>
      </c>
      <c r="U2439" s="322">
        <f t="shared" si="172"/>
        <v>0</v>
      </c>
      <c r="W2439" s="321">
        <f t="shared" si="173"/>
        <v>721</v>
      </c>
      <c r="X2439" s="321">
        <f t="shared" si="174"/>
        <v>815710</v>
      </c>
      <c r="Y2439" s="321">
        <v>1</v>
      </c>
      <c r="AA2439" s="321" t="s">
        <v>5972</v>
      </c>
    </row>
    <row r="2440" spans="13:27">
      <c r="M2440" s="321">
        <v>1815710755</v>
      </c>
      <c r="N2440" s="321">
        <v>81</v>
      </c>
      <c r="O2440" s="321" t="s">
        <v>5973</v>
      </c>
      <c r="P2440" s="321">
        <v>4815710</v>
      </c>
      <c r="Q2440" s="322">
        <v>0</v>
      </c>
      <c r="R2440" s="322">
        <v>0</v>
      </c>
      <c r="S2440" s="322">
        <v>0</v>
      </c>
      <c r="T2440" s="322">
        <v>0</v>
      </c>
      <c r="U2440" s="322">
        <f t="shared" si="172"/>
        <v>0</v>
      </c>
      <c r="W2440" s="321">
        <f t="shared" si="173"/>
        <v>755</v>
      </c>
      <c r="X2440" s="321">
        <f t="shared" si="174"/>
        <v>815710</v>
      </c>
      <c r="Y2440" s="321">
        <v>1</v>
      </c>
      <c r="AA2440" s="321" t="s">
        <v>5973</v>
      </c>
    </row>
    <row r="2441" spans="13:27">
      <c r="M2441" s="321">
        <v>1815710765</v>
      </c>
      <c r="N2441" s="321">
        <v>81</v>
      </c>
      <c r="O2441" s="321" t="s">
        <v>5974</v>
      </c>
      <c r="P2441" s="321">
        <v>4815710</v>
      </c>
      <c r="Q2441" s="322">
        <v>0</v>
      </c>
      <c r="R2441" s="322">
        <v>0</v>
      </c>
      <c r="S2441" s="322">
        <v>0</v>
      </c>
      <c r="T2441" s="322">
        <v>0</v>
      </c>
      <c r="U2441" s="322">
        <f t="shared" si="172"/>
        <v>0</v>
      </c>
      <c r="W2441" s="321">
        <f t="shared" si="173"/>
        <v>765</v>
      </c>
      <c r="X2441" s="321">
        <f t="shared" si="174"/>
        <v>815710</v>
      </c>
      <c r="Y2441" s="321">
        <v>1</v>
      </c>
      <c r="AA2441" s="321" t="s">
        <v>5974</v>
      </c>
    </row>
    <row r="2442" spans="13:27">
      <c r="M2442" s="321">
        <v>1815710771</v>
      </c>
      <c r="N2442" s="321">
        <v>81</v>
      </c>
      <c r="O2442" s="321" t="s">
        <v>5975</v>
      </c>
      <c r="P2442" s="321">
        <v>4815710</v>
      </c>
      <c r="Q2442" s="322">
        <v>150000</v>
      </c>
      <c r="R2442" s="322">
        <v>79900</v>
      </c>
      <c r="S2442" s="322">
        <v>150000</v>
      </c>
      <c r="T2442" s="322">
        <v>150000</v>
      </c>
      <c r="U2442" s="322">
        <f t="shared" si="172"/>
        <v>0</v>
      </c>
      <c r="W2442" s="321">
        <f t="shared" si="173"/>
        <v>771</v>
      </c>
      <c r="X2442" s="321">
        <f t="shared" si="174"/>
        <v>815710</v>
      </c>
      <c r="Y2442" s="321">
        <v>1</v>
      </c>
      <c r="AA2442" s="321" t="s">
        <v>5975</v>
      </c>
    </row>
    <row r="2443" spans="13:27">
      <c r="M2443" s="321">
        <v>1815710772</v>
      </c>
      <c r="N2443" s="321">
        <v>81</v>
      </c>
      <c r="O2443" s="321" t="s">
        <v>5976</v>
      </c>
      <c r="P2443" s="321">
        <v>4815710</v>
      </c>
      <c r="Q2443" s="322">
        <v>110000</v>
      </c>
      <c r="R2443" s="322">
        <v>44200</v>
      </c>
      <c r="S2443" s="322">
        <v>110000</v>
      </c>
      <c r="T2443" s="322">
        <v>110000</v>
      </c>
      <c r="U2443" s="322">
        <f t="shared" si="172"/>
        <v>0</v>
      </c>
      <c r="W2443" s="321">
        <f t="shared" si="173"/>
        <v>772</v>
      </c>
      <c r="X2443" s="321">
        <f t="shared" si="174"/>
        <v>815710</v>
      </c>
      <c r="Y2443" s="321">
        <v>1</v>
      </c>
      <c r="AA2443" s="321" t="s">
        <v>5976</v>
      </c>
    </row>
    <row r="2444" spans="13:27">
      <c r="M2444" s="321">
        <v>1815710780</v>
      </c>
      <c r="N2444" s="321">
        <v>81</v>
      </c>
      <c r="O2444" s="321" t="s">
        <v>5977</v>
      </c>
      <c r="P2444" s="321">
        <v>4815700</v>
      </c>
      <c r="Q2444" s="322">
        <v>0</v>
      </c>
      <c r="R2444" s="322">
        <v>0</v>
      </c>
      <c r="S2444" s="322">
        <v>0</v>
      </c>
      <c r="T2444" s="322">
        <v>0</v>
      </c>
      <c r="U2444" s="322">
        <f t="shared" si="172"/>
        <v>0</v>
      </c>
      <c r="W2444" s="321">
        <f t="shared" si="173"/>
        <v>780</v>
      </c>
      <c r="X2444" s="321">
        <f t="shared" si="174"/>
        <v>815710</v>
      </c>
      <c r="Y2444" s="321">
        <v>1</v>
      </c>
      <c r="AA2444" s="321" t="s">
        <v>5977</v>
      </c>
    </row>
    <row r="2445" spans="13:27">
      <c r="M2445" s="321">
        <v>1815711110</v>
      </c>
      <c r="N2445" s="321">
        <v>81</v>
      </c>
      <c r="O2445" s="321" t="s">
        <v>5205</v>
      </c>
      <c r="P2445" s="321">
        <v>4815711</v>
      </c>
      <c r="Q2445" s="322">
        <v>4474000</v>
      </c>
      <c r="R2445" s="322">
        <v>3377200</v>
      </c>
      <c r="S2445" s="322">
        <v>4481000</v>
      </c>
      <c r="T2445" s="322">
        <v>4481000</v>
      </c>
      <c r="U2445" s="322">
        <f t="shared" si="172"/>
        <v>0</v>
      </c>
      <c r="W2445" s="321">
        <f t="shared" si="173"/>
        <v>110</v>
      </c>
      <c r="X2445" s="321">
        <f t="shared" si="174"/>
        <v>815711</v>
      </c>
      <c r="Y2445" s="321">
        <v>1</v>
      </c>
      <c r="AA2445" s="321" t="s">
        <v>5205</v>
      </c>
    </row>
    <row r="2446" spans="13:27">
      <c r="M2446" s="321">
        <v>1815711120</v>
      </c>
      <c r="N2446" s="321">
        <v>81</v>
      </c>
      <c r="O2446" s="321" t="s">
        <v>5206</v>
      </c>
      <c r="P2446" s="321">
        <v>4815711</v>
      </c>
      <c r="Q2446" s="322">
        <v>372000</v>
      </c>
      <c r="R2446" s="322">
        <v>333900</v>
      </c>
      <c r="S2446" s="322">
        <v>345000</v>
      </c>
      <c r="T2446" s="322">
        <v>345000</v>
      </c>
      <c r="U2446" s="322">
        <f t="shared" si="172"/>
        <v>0</v>
      </c>
      <c r="W2446" s="321">
        <f t="shared" si="173"/>
        <v>120</v>
      </c>
      <c r="X2446" s="321">
        <f t="shared" si="174"/>
        <v>815711</v>
      </c>
      <c r="Y2446" s="321">
        <v>1</v>
      </c>
      <c r="AA2446" s="321" t="s">
        <v>5206</v>
      </c>
    </row>
    <row r="2447" spans="13:27">
      <c r="M2447" s="321">
        <v>1815711130</v>
      </c>
      <c r="N2447" s="321">
        <v>81</v>
      </c>
      <c r="O2447" s="321" t="s">
        <v>2576</v>
      </c>
      <c r="P2447" s="321">
        <v>4815711</v>
      </c>
      <c r="Q2447" s="322">
        <v>99000</v>
      </c>
      <c r="R2447" s="322">
        <v>75900</v>
      </c>
      <c r="S2447" s="322">
        <v>125000</v>
      </c>
      <c r="T2447" s="322">
        <v>112500</v>
      </c>
      <c r="U2447" s="322">
        <f t="shared" si="172"/>
        <v>12500</v>
      </c>
      <c r="W2447" s="321">
        <f t="shared" si="173"/>
        <v>130</v>
      </c>
      <c r="X2447" s="321">
        <f t="shared" si="174"/>
        <v>815711</v>
      </c>
      <c r="Y2447" s="321">
        <v>1</v>
      </c>
      <c r="AA2447" s="321" t="s">
        <v>2576</v>
      </c>
    </row>
    <row r="2448" spans="13:27">
      <c r="M2448" s="321">
        <v>1815711140</v>
      </c>
      <c r="N2448" s="321">
        <v>81</v>
      </c>
      <c r="O2448" s="321" t="s">
        <v>5207</v>
      </c>
      <c r="P2448" s="321">
        <v>4815711</v>
      </c>
      <c r="Q2448" s="322">
        <v>119000</v>
      </c>
      <c r="R2448" s="322">
        <v>73300</v>
      </c>
      <c r="S2448" s="322">
        <v>96000</v>
      </c>
      <c r="T2448" s="322">
        <v>96000</v>
      </c>
      <c r="U2448" s="322">
        <f t="shared" si="172"/>
        <v>0</v>
      </c>
      <c r="W2448" s="321">
        <f t="shared" si="173"/>
        <v>140</v>
      </c>
      <c r="X2448" s="321">
        <f t="shared" si="174"/>
        <v>815711</v>
      </c>
      <c r="Y2448" s="321">
        <v>1</v>
      </c>
      <c r="AA2448" s="321" t="s">
        <v>5207</v>
      </c>
    </row>
    <row r="2449" spans="13:27">
      <c r="M2449" s="321">
        <v>1815711141</v>
      </c>
      <c r="N2449" s="321">
        <v>81</v>
      </c>
      <c r="O2449" s="321" t="s">
        <v>5208</v>
      </c>
      <c r="P2449" s="321">
        <v>4815711</v>
      </c>
      <c r="Q2449" s="322">
        <v>164000</v>
      </c>
      <c r="R2449" s="322">
        <v>159100</v>
      </c>
      <c r="S2449" s="322">
        <v>205000</v>
      </c>
      <c r="T2449" s="322">
        <v>205000</v>
      </c>
      <c r="U2449" s="322">
        <f t="shared" si="172"/>
        <v>0</v>
      </c>
      <c r="W2449" s="321">
        <f t="shared" si="173"/>
        <v>141</v>
      </c>
      <c r="X2449" s="321">
        <f t="shared" si="174"/>
        <v>815711</v>
      </c>
      <c r="Y2449" s="321">
        <v>1</v>
      </c>
      <c r="AA2449" s="321" t="s">
        <v>5208</v>
      </c>
    </row>
    <row r="2450" spans="13:27">
      <c r="M2450" s="321">
        <v>1815711181</v>
      </c>
      <c r="N2450" s="321">
        <v>81</v>
      </c>
      <c r="O2450" s="321" t="s">
        <v>2580</v>
      </c>
      <c r="P2450" s="321">
        <v>4815711</v>
      </c>
      <c r="Q2450" s="322">
        <v>983000</v>
      </c>
      <c r="R2450" s="322">
        <v>770200</v>
      </c>
      <c r="S2450" s="322">
        <v>1016000</v>
      </c>
      <c r="T2450" s="322">
        <v>1016000</v>
      </c>
      <c r="U2450" s="322">
        <f t="shared" si="172"/>
        <v>0</v>
      </c>
      <c r="W2450" s="321">
        <f t="shared" si="173"/>
        <v>181</v>
      </c>
      <c r="X2450" s="321">
        <f t="shared" si="174"/>
        <v>815711</v>
      </c>
      <c r="Y2450" s="321">
        <v>1</v>
      </c>
      <c r="AA2450" s="321" t="s">
        <v>2580</v>
      </c>
    </row>
    <row r="2451" spans="13:27">
      <c r="M2451" s="321">
        <v>1815711182</v>
      </c>
      <c r="N2451" s="321">
        <v>81</v>
      </c>
      <c r="O2451" s="321" t="s">
        <v>2582</v>
      </c>
      <c r="P2451" s="321">
        <v>4815711</v>
      </c>
      <c r="Q2451" s="322">
        <v>655000</v>
      </c>
      <c r="R2451" s="322">
        <v>509100</v>
      </c>
      <c r="S2451" s="322">
        <v>677000</v>
      </c>
      <c r="T2451" s="322">
        <v>677000</v>
      </c>
      <c r="U2451" s="322">
        <f t="shared" si="172"/>
        <v>0</v>
      </c>
      <c r="W2451" s="321">
        <f t="shared" si="173"/>
        <v>182</v>
      </c>
      <c r="X2451" s="321">
        <f t="shared" si="174"/>
        <v>815711</v>
      </c>
      <c r="Y2451" s="321">
        <v>1</v>
      </c>
      <c r="AA2451" s="321" t="s">
        <v>2582</v>
      </c>
    </row>
    <row r="2452" spans="13:27">
      <c r="M2452" s="321">
        <v>1815711720</v>
      </c>
      <c r="N2452" s="321">
        <v>81</v>
      </c>
      <c r="O2452" s="321" t="s">
        <v>2705</v>
      </c>
      <c r="P2452" s="321">
        <v>4815711</v>
      </c>
      <c r="Q2452" s="322">
        <v>170000</v>
      </c>
      <c r="R2452" s="322">
        <v>94300</v>
      </c>
      <c r="S2452" s="322">
        <v>170000</v>
      </c>
      <c r="T2452" s="322">
        <v>170000</v>
      </c>
      <c r="U2452" s="322">
        <f t="shared" si="172"/>
        <v>0</v>
      </c>
      <c r="W2452" s="321">
        <f t="shared" si="173"/>
        <v>720</v>
      </c>
      <c r="X2452" s="321">
        <f t="shared" si="174"/>
        <v>815711</v>
      </c>
      <c r="Y2452" s="321">
        <v>1</v>
      </c>
      <c r="AA2452" s="321" t="s">
        <v>2705</v>
      </c>
    </row>
    <row r="2453" spans="13:27">
      <c r="M2453" s="321">
        <v>1815711721</v>
      </c>
      <c r="N2453" s="321">
        <v>81</v>
      </c>
      <c r="O2453" s="321" t="s">
        <v>5978</v>
      </c>
      <c r="P2453" s="321">
        <v>4815711</v>
      </c>
      <c r="Q2453" s="322">
        <v>21500</v>
      </c>
      <c r="R2453" s="322">
        <v>22200</v>
      </c>
      <c r="S2453" s="322">
        <v>21500</v>
      </c>
      <c r="T2453" s="322">
        <v>21500</v>
      </c>
      <c r="U2453" s="322">
        <f t="shared" si="172"/>
        <v>0</v>
      </c>
      <c r="W2453" s="321">
        <f t="shared" si="173"/>
        <v>721</v>
      </c>
      <c r="X2453" s="321">
        <f t="shared" si="174"/>
        <v>815711</v>
      </c>
      <c r="Y2453" s="321">
        <v>1</v>
      </c>
      <c r="AA2453" s="321" t="s">
        <v>5978</v>
      </c>
    </row>
    <row r="2454" spans="13:27">
      <c r="M2454" s="321">
        <v>1815711755</v>
      </c>
      <c r="N2454" s="321">
        <v>81</v>
      </c>
      <c r="O2454" s="321" t="s">
        <v>5979</v>
      </c>
      <c r="P2454" s="321">
        <v>4815711</v>
      </c>
      <c r="Q2454" s="322">
        <v>220000</v>
      </c>
      <c r="R2454" s="322">
        <v>147200</v>
      </c>
      <c r="S2454" s="322">
        <v>240000</v>
      </c>
      <c r="T2454" s="322">
        <v>240000</v>
      </c>
      <c r="U2454" s="322">
        <f t="shared" si="172"/>
        <v>0</v>
      </c>
      <c r="W2454" s="321">
        <f t="shared" si="173"/>
        <v>755</v>
      </c>
      <c r="X2454" s="321">
        <f t="shared" si="174"/>
        <v>815711</v>
      </c>
      <c r="Y2454" s="321">
        <v>1</v>
      </c>
      <c r="AA2454" s="321" t="s">
        <v>5979</v>
      </c>
    </row>
    <row r="2455" spans="13:27">
      <c r="M2455" s="321">
        <v>1815711765</v>
      </c>
      <c r="N2455" s="321">
        <v>81</v>
      </c>
      <c r="O2455" s="321" t="s">
        <v>5980</v>
      </c>
      <c r="P2455" s="321">
        <v>4815711</v>
      </c>
      <c r="Q2455" s="322">
        <v>2300000</v>
      </c>
      <c r="R2455" s="322">
        <v>1939400</v>
      </c>
      <c r="S2455" s="322">
        <v>3000000</v>
      </c>
      <c r="T2455" s="322">
        <v>3000000</v>
      </c>
      <c r="U2455" s="322">
        <f t="shared" si="172"/>
        <v>0</v>
      </c>
      <c r="W2455" s="321">
        <f t="shared" si="173"/>
        <v>765</v>
      </c>
      <c r="X2455" s="321">
        <f t="shared" si="174"/>
        <v>815711</v>
      </c>
      <c r="Y2455" s="321">
        <v>1</v>
      </c>
      <c r="AA2455" s="321" t="s">
        <v>5980</v>
      </c>
    </row>
    <row r="2456" spans="13:27">
      <c r="M2456" s="321">
        <v>1815711771</v>
      </c>
      <c r="N2456" s="321">
        <v>81</v>
      </c>
      <c r="O2456" s="321" t="s">
        <v>3188</v>
      </c>
      <c r="P2456" s="321">
        <v>4815711</v>
      </c>
      <c r="Q2456" s="322">
        <v>125000</v>
      </c>
      <c r="R2456" s="322">
        <v>149400</v>
      </c>
      <c r="S2456" s="322">
        <v>125000</v>
      </c>
      <c r="T2456" s="322">
        <v>125000</v>
      </c>
      <c r="U2456" s="322">
        <f t="shared" si="172"/>
        <v>0</v>
      </c>
      <c r="W2456" s="321">
        <f t="shared" si="173"/>
        <v>771</v>
      </c>
      <c r="X2456" s="321">
        <f t="shared" si="174"/>
        <v>815711</v>
      </c>
      <c r="Y2456" s="321">
        <v>1</v>
      </c>
      <c r="AA2456" s="321" t="s">
        <v>3188</v>
      </c>
    </row>
    <row r="2457" spans="13:27">
      <c r="M2457" s="321">
        <v>1815711772</v>
      </c>
      <c r="N2457" s="321">
        <v>81</v>
      </c>
      <c r="O2457" s="321" t="s">
        <v>5981</v>
      </c>
      <c r="P2457" s="321">
        <v>4815711</v>
      </c>
      <c r="Q2457" s="322">
        <v>61000</v>
      </c>
      <c r="R2457" s="322">
        <v>9200</v>
      </c>
      <c r="S2457" s="322">
        <v>61000</v>
      </c>
      <c r="T2457" s="322">
        <v>61000</v>
      </c>
      <c r="U2457" s="322">
        <f t="shared" si="172"/>
        <v>0</v>
      </c>
      <c r="W2457" s="321">
        <f t="shared" si="173"/>
        <v>772</v>
      </c>
      <c r="X2457" s="321">
        <f t="shared" si="174"/>
        <v>815711</v>
      </c>
      <c r="Y2457" s="321">
        <v>1</v>
      </c>
      <c r="AA2457" s="321" t="s">
        <v>5981</v>
      </c>
    </row>
    <row r="2458" spans="13:27">
      <c r="M2458" s="321">
        <v>1815711780</v>
      </c>
      <c r="N2458" s="321">
        <v>81</v>
      </c>
      <c r="O2458" s="321" t="s">
        <v>5982</v>
      </c>
      <c r="P2458" s="321">
        <v>4815711</v>
      </c>
      <c r="Q2458" s="322">
        <v>0</v>
      </c>
      <c r="R2458" s="322">
        <v>0</v>
      </c>
      <c r="S2458" s="322">
        <v>0</v>
      </c>
      <c r="T2458" s="322">
        <v>0</v>
      </c>
      <c r="U2458" s="322">
        <f t="shared" si="172"/>
        <v>0</v>
      </c>
      <c r="W2458" s="321">
        <f t="shared" si="173"/>
        <v>780</v>
      </c>
      <c r="X2458" s="321">
        <f t="shared" si="174"/>
        <v>815711</v>
      </c>
      <c r="Y2458" s="321">
        <v>1</v>
      </c>
      <c r="AA2458" s="321" t="s">
        <v>5982</v>
      </c>
    </row>
    <row r="2459" spans="13:27">
      <c r="M2459" s="321">
        <v>1815712760</v>
      </c>
      <c r="N2459" s="321">
        <v>81</v>
      </c>
      <c r="O2459" s="321" t="s">
        <v>5983</v>
      </c>
      <c r="P2459" s="321">
        <v>4815712</v>
      </c>
      <c r="Q2459" s="322">
        <v>200000</v>
      </c>
      <c r="R2459" s="322">
        <v>163500</v>
      </c>
      <c r="S2459" s="322">
        <v>200000</v>
      </c>
      <c r="T2459" s="322">
        <v>200000</v>
      </c>
      <c r="U2459" s="322">
        <f t="shared" si="172"/>
        <v>0</v>
      </c>
      <c r="W2459" s="321">
        <f t="shared" si="173"/>
        <v>760</v>
      </c>
      <c r="X2459" s="321">
        <f t="shared" si="174"/>
        <v>815712</v>
      </c>
      <c r="Y2459" s="321">
        <v>1</v>
      </c>
      <c r="AA2459" s="321" t="s">
        <v>5983</v>
      </c>
    </row>
    <row r="2460" spans="13:27">
      <c r="M2460" s="321">
        <v>1815712820</v>
      </c>
      <c r="N2460" s="321">
        <v>81</v>
      </c>
      <c r="O2460" s="321" t="s">
        <v>5984</v>
      </c>
      <c r="P2460" s="321">
        <v>4815712</v>
      </c>
      <c r="Q2460" s="322">
        <v>100000</v>
      </c>
      <c r="R2460" s="322">
        <v>0</v>
      </c>
      <c r="S2460" s="322">
        <v>100000</v>
      </c>
      <c r="T2460" s="322">
        <v>100000</v>
      </c>
      <c r="U2460" s="322">
        <f t="shared" si="172"/>
        <v>0</v>
      </c>
      <c r="W2460" s="321">
        <f t="shared" si="173"/>
        <v>820</v>
      </c>
      <c r="X2460" s="321">
        <f t="shared" si="174"/>
        <v>815712</v>
      </c>
      <c r="Y2460" s="321">
        <v>1</v>
      </c>
      <c r="AA2460" s="321" t="s">
        <v>5984</v>
      </c>
    </row>
    <row r="2461" spans="13:27">
      <c r="M2461" s="321">
        <v>1815713110</v>
      </c>
      <c r="N2461" s="321">
        <v>81</v>
      </c>
      <c r="O2461" s="321" t="s">
        <v>5205</v>
      </c>
      <c r="P2461" s="321">
        <v>4815713</v>
      </c>
      <c r="Q2461" s="322">
        <v>418000</v>
      </c>
      <c r="R2461" s="322">
        <v>304700</v>
      </c>
      <c r="S2461" s="322">
        <v>418000</v>
      </c>
      <c r="T2461" s="322">
        <v>418000</v>
      </c>
      <c r="U2461" s="322">
        <f t="shared" si="172"/>
        <v>0</v>
      </c>
      <c r="W2461" s="321">
        <f t="shared" si="173"/>
        <v>110</v>
      </c>
      <c r="X2461" s="321">
        <f t="shared" si="174"/>
        <v>815713</v>
      </c>
      <c r="Y2461" s="321">
        <v>1</v>
      </c>
      <c r="AA2461" s="321" t="s">
        <v>5205</v>
      </c>
    </row>
    <row r="2462" spans="13:27">
      <c r="M2462" s="321">
        <v>1815713120</v>
      </c>
      <c r="N2462" s="321">
        <v>81</v>
      </c>
      <c r="O2462" s="321" t="s">
        <v>5206</v>
      </c>
      <c r="P2462" s="321">
        <v>4815713</v>
      </c>
      <c r="Q2462" s="322">
        <v>38000</v>
      </c>
      <c r="R2462" s="322">
        <v>40400</v>
      </c>
      <c r="S2462" s="322">
        <v>42000</v>
      </c>
      <c r="T2462" s="322">
        <v>42000</v>
      </c>
      <c r="U2462" s="322">
        <f t="shared" si="172"/>
        <v>0</v>
      </c>
      <c r="W2462" s="321">
        <f t="shared" si="173"/>
        <v>120</v>
      </c>
      <c r="X2462" s="321">
        <f t="shared" si="174"/>
        <v>815713</v>
      </c>
      <c r="Y2462" s="321">
        <v>1</v>
      </c>
      <c r="AA2462" s="321" t="s">
        <v>5206</v>
      </c>
    </row>
    <row r="2463" spans="13:27">
      <c r="M2463" s="321">
        <v>1815713130</v>
      </c>
      <c r="N2463" s="321">
        <v>81</v>
      </c>
      <c r="O2463" s="321" t="s">
        <v>2576</v>
      </c>
      <c r="P2463" s="321">
        <v>4815713</v>
      </c>
      <c r="Q2463" s="322">
        <v>53000</v>
      </c>
      <c r="R2463" s="322">
        <v>55400</v>
      </c>
      <c r="S2463" s="322">
        <v>71000</v>
      </c>
      <c r="T2463" s="322">
        <v>63900</v>
      </c>
      <c r="U2463" s="322">
        <f t="shared" si="172"/>
        <v>7100</v>
      </c>
      <c r="W2463" s="321">
        <f t="shared" si="173"/>
        <v>130</v>
      </c>
      <c r="X2463" s="321">
        <f t="shared" si="174"/>
        <v>815713</v>
      </c>
      <c r="Y2463" s="321">
        <v>1</v>
      </c>
      <c r="AA2463" s="321" t="s">
        <v>2576</v>
      </c>
    </row>
    <row r="2464" spans="13:27">
      <c r="M2464" s="321">
        <v>1815713140</v>
      </c>
      <c r="N2464" s="321">
        <v>81</v>
      </c>
      <c r="O2464" s="321" t="s">
        <v>5207</v>
      </c>
      <c r="P2464" s="321">
        <v>4815713</v>
      </c>
      <c r="Q2464" s="322">
        <v>54000</v>
      </c>
      <c r="R2464" s="322">
        <v>41400</v>
      </c>
      <c r="S2464" s="322">
        <v>53000</v>
      </c>
      <c r="T2464" s="322">
        <v>53000</v>
      </c>
      <c r="U2464" s="322">
        <f t="shared" si="172"/>
        <v>0</v>
      </c>
      <c r="W2464" s="321">
        <f t="shared" si="173"/>
        <v>140</v>
      </c>
      <c r="X2464" s="321">
        <f t="shared" si="174"/>
        <v>815713</v>
      </c>
      <c r="Y2464" s="321">
        <v>1</v>
      </c>
      <c r="AA2464" s="321" t="s">
        <v>5207</v>
      </c>
    </row>
    <row r="2465" spans="13:27">
      <c r="M2465" s="321">
        <v>1815713141</v>
      </c>
      <c r="N2465" s="321">
        <v>81</v>
      </c>
      <c r="O2465" s="321" t="s">
        <v>5208</v>
      </c>
      <c r="P2465" s="321">
        <v>4815713</v>
      </c>
      <c r="Q2465" s="322">
        <v>26000</v>
      </c>
      <c r="R2465" s="322">
        <v>23400</v>
      </c>
      <c r="S2465" s="322">
        <v>32000</v>
      </c>
      <c r="T2465" s="322">
        <v>32000</v>
      </c>
      <c r="U2465" s="322">
        <f t="shared" si="172"/>
        <v>0</v>
      </c>
      <c r="W2465" s="321">
        <f t="shared" si="173"/>
        <v>141</v>
      </c>
      <c r="X2465" s="321">
        <f t="shared" si="174"/>
        <v>815713</v>
      </c>
      <c r="Y2465" s="321">
        <v>1</v>
      </c>
      <c r="AA2465" s="321" t="s">
        <v>5208</v>
      </c>
    </row>
    <row r="2466" spans="13:27">
      <c r="M2466" s="321">
        <v>1815713181</v>
      </c>
      <c r="N2466" s="321">
        <v>81</v>
      </c>
      <c r="O2466" s="321" t="s">
        <v>2580</v>
      </c>
      <c r="P2466" s="321">
        <v>4815713</v>
      </c>
      <c r="Q2466" s="322">
        <v>87000</v>
      </c>
      <c r="R2466" s="322">
        <v>68600</v>
      </c>
      <c r="S2466" s="322">
        <v>92000</v>
      </c>
      <c r="T2466" s="322">
        <v>92000</v>
      </c>
      <c r="U2466" s="322">
        <f t="shared" si="172"/>
        <v>0</v>
      </c>
      <c r="W2466" s="321">
        <f t="shared" si="173"/>
        <v>181</v>
      </c>
      <c r="X2466" s="321">
        <f t="shared" si="174"/>
        <v>815713</v>
      </c>
      <c r="Y2466" s="321">
        <v>1</v>
      </c>
      <c r="AA2466" s="321" t="s">
        <v>2580</v>
      </c>
    </row>
    <row r="2467" spans="13:27">
      <c r="M2467" s="321">
        <v>1815713182</v>
      </c>
      <c r="N2467" s="321">
        <v>81</v>
      </c>
      <c r="O2467" s="321" t="s">
        <v>2582</v>
      </c>
      <c r="P2467" s="321">
        <v>4815713</v>
      </c>
      <c r="Q2467" s="322">
        <v>76000</v>
      </c>
      <c r="R2467" s="322">
        <v>59200</v>
      </c>
      <c r="S2467" s="322">
        <v>83000</v>
      </c>
      <c r="T2467" s="322">
        <v>83000</v>
      </c>
      <c r="U2467" s="322">
        <f t="shared" si="172"/>
        <v>0</v>
      </c>
      <c r="W2467" s="321">
        <f t="shared" si="173"/>
        <v>182</v>
      </c>
      <c r="X2467" s="321">
        <f t="shared" si="174"/>
        <v>815713</v>
      </c>
      <c r="Y2467" s="321">
        <v>1</v>
      </c>
      <c r="AA2467" s="321" t="s">
        <v>2582</v>
      </c>
    </row>
    <row r="2468" spans="13:27">
      <c r="M2468" s="321">
        <v>1815713755</v>
      </c>
      <c r="N2468" s="321">
        <v>81</v>
      </c>
      <c r="O2468" s="321" t="s">
        <v>5985</v>
      </c>
      <c r="P2468" s="321">
        <v>4815713</v>
      </c>
      <c r="Q2468" s="322">
        <v>20000</v>
      </c>
      <c r="R2468" s="322">
        <v>9800</v>
      </c>
      <c r="S2468" s="322">
        <v>45000</v>
      </c>
      <c r="T2468" s="322">
        <v>45000</v>
      </c>
      <c r="U2468" s="322">
        <f t="shared" si="172"/>
        <v>0</v>
      </c>
      <c r="W2468" s="321">
        <f t="shared" si="173"/>
        <v>755</v>
      </c>
      <c r="X2468" s="321">
        <f t="shared" si="174"/>
        <v>815713</v>
      </c>
      <c r="Y2468" s="321">
        <v>1</v>
      </c>
      <c r="AA2468" s="321" t="s">
        <v>5985</v>
      </c>
    </row>
    <row r="2469" spans="13:27">
      <c r="M2469" s="321">
        <v>1815713760</v>
      </c>
      <c r="N2469" s="321">
        <v>81</v>
      </c>
      <c r="O2469" s="321" t="s">
        <v>5986</v>
      </c>
      <c r="P2469" s="321">
        <v>4815713</v>
      </c>
      <c r="Q2469" s="322">
        <v>106300</v>
      </c>
      <c r="R2469" s="322">
        <v>48600</v>
      </c>
      <c r="S2469" s="322">
        <v>110000</v>
      </c>
      <c r="T2469" s="322">
        <v>110000</v>
      </c>
      <c r="U2469" s="322">
        <f t="shared" si="172"/>
        <v>0</v>
      </c>
      <c r="W2469" s="321">
        <f t="shared" si="173"/>
        <v>760</v>
      </c>
      <c r="X2469" s="321">
        <f t="shared" si="174"/>
        <v>815713</v>
      </c>
      <c r="Y2469" s="321">
        <v>1</v>
      </c>
      <c r="AA2469" s="321" t="s">
        <v>5986</v>
      </c>
    </row>
    <row r="2470" spans="13:27">
      <c r="M2470" s="321">
        <v>1815713771</v>
      </c>
      <c r="N2470" s="321">
        <v>81</v>
      </c>
      <c r="O2470" s="321" t="s">
        <v>5987</v>
      </c>
      <c r="P2470" s="321">
        <v>4815713</v>
      </c>
      <c r="Q2470" s="322">
        <v>170000</v>
      </c>
      <c r="R2470" s="322">
        <v>116100</v>
      </c>
      <c r="S2470" s="322">
        <v>170000</v>
      </c>
      <c r="T2470" s="322">
        <v>170000</v>
      </c>
      <c r="U2470" s="322">
        <f t="shared" si="172"/>
        <v>0</v>
      </c>
      <c r="W2470" s="321">
        <f t="shared" si="173"/>
        <v>771</v>
      </c>
      <c r="X2470" s="321">
        <f t="shared" si="174"/>
        <v>815713</v>
      </c>
      <c r="Y2470" s="321">
        <v>1</v>
      </c>
      <c r="AA2470" s="321" t="s">
        <v>5987</v>
      </c>
    </row>
    <row r="2471" spans="13:27">
      <c r="M2471" s="321">
        <v>1815714110</v>
      </c>
      <c r="N2471" s="321">
        <v>81</v>
      </c>
      <c r="O2471" s="321" t="s">
        <v>5205</v>
      </c>
      <c r="P2471" s="321">
        <v>4815714</v>
      </c>
      <c r="Q2471" s="322">
        <v>2027000</v>
      </c>
      <c r="R2471" s="322">
        <v>1473200</v>
      </c>
      <c r="S2471" s="322">
        <v>1840000</v>
      </c>
      <c r="T2471" s="322">
        <v>1840000</v>
      </c>
      <c r="U2471" s="322">
        <f t="shared" si="172"/>
        <v>0</v>
      </c>
      <c r="W2471" s="321">
        <f t="shared" si="173"/>
        <v>110</v>
      </c>
      <c r="X2471" s="321">
        <f t="shared" si="174"/>
        <v>815714</v>
      </c>
      <c r="Y2471" s="321">
        <v>1</v>
      </c>
      <c r="AA2471" s="321" t="s">
        <v>5205</v>
      </c>
    </row>
    <row r="2472" spans="13:27">
      <c r="M2472" s="321">
        <v>1815714120</v>
      </c>
      <c r="N2472" s="321">
        <v>81</v>
      </c>
      <c r="O2472" s="321" t="s">
        <v>5206</v>
      </c>
      <c r="P2472" s="321">
        <v>4815714</v>
      </c>
      <c r="Q2472" s="322">
        <v>153000</v>
      </c>
      <c r="R2472" s="322">
        <v>123600</v>
      </c>
      <c r="S2472" s="322">
        <v>115000</v>
      </c>
      <c r="T2472" s="322">
        <v>115000</v>
      </c>
      <c r="U2472" s="322">
        <f t="shared" si="172"/>
        <v>0</v>
      </c>
      <c r="W2472" s="321">
        <f t="shared" si="173"/>
        <v>120</v>
      </c>
      <c r="X2472" s="321">
        <f t="shared" si="174"/>
        <v>815714</v>
      </c>
      <c r="Y2472" s="321">
        <v>1</v>
      </c>
      <c r="AA2472" s="321" t="s">
        <v>5206</v>
      </c>
    </row>
    <row r="2473" spans="13:27">
      <c r="M2473" s="321">
        <v>1815714140</v>
      </c>
      <c r="N2473" s="321">
        <v>81</v>
      </c>
      <c r="O2473" s="321" t="s">
        <v>2578</v>
      </c>
      <c r="P2473" s="321">
        <v>4815714</v>
      </c>
      <c r="Q2473" s="322">
        <v>0</v>
      </c>
      <c r="R2473" s="322">
        <v>0</v>
      </c>
      <c r="S2473" s="322">
        <v>0</v>
      </c>
      <c r="T2473" s="322">
        <v>0</v>
      </c>
      <c r="U2473" s="322">
        <f t="shared" si="172"/>
        <v>0</v>
      </c>
      <c r="W2473" s="321">
        <f t="shared" si="173"/>
        <v>140</v>
      </c>
      <c r="X2473" s="321">
        <f t="shared" si="174"/>
        <v>815714</v>
      </c>
      <c r="Y2473" s="321">
        <v>1</v>
      </c>
      <c r="AA2473" s="321" t="s">
        <v>2578</v>
      </c>
    </row>
    <row r="2474" spans="13:27">
      <c r="M2474" s="321">
        <v>1815714141</v>
      </c>
      <c r="N2474" s="321">
        <v>81</v>
      </c>
      <c r="O2474" s="321" t="s">
        <v>5208</v>
      </c>
      <c r="P2474" s="321">
        <v>4815714</v>
      </c>
      <c r="Q2474" s="322">
        <v>63000</v>
      </c>
      <c r="R2474" s="322">
        <v>17600</v>
      </c>
      <c r="S2474" s="322">
        <v>18000</v>
      </c>
      <c r="T2474" s="322">
        <v>18000</v>
      </c>
      <c r="U2474" s="322">
        <f t="shared" si="172"/>
        <v>0</v>
      </c>
      <c r="W2474" s="321">
        <f t="shared" si="173"/>
        <v>141</v>
      </c>
      <c r="X2474" s="321">
        <f t="shared" si="174"/>
        <v>815714</v>
      </c>
      <c r="Y2474" s="321">
        <v>1</v>
      </c>
      <c r="AA2474" s="321" t="s">
        <v>5208</v>
      </c>
    </row>
    <row r="2475" spans="13:27">
      <c r="M2475" s="321">
        <v>1815714181</v>
      </c>
      <c r="N2475" s="321">
        <v>81</v>
      </c>
      <c r="O2475" s="321" t="s">
        <v>2580</v>
      </c>
      <c r="P2475" s="321">
        <v>4815714</v>
      </c>
      <c r="Q2475" s="322">
        <v>467000</v>
      </c>
      <c r="R2475" s="322">
        <v>338100</v>
      </c>
      <c r="S2475" s="322">
        <v>420000</v>
      </c>
      <c r="T2475" s="322">
        <v>420000</v>
      </c>
      <c r="U2475" s="322">
        <f t="shared" si="172"/>
        <v>0</v>
      </c>
      <c r="W2475" s="321">
        <f t="shared" si="173"/>
        <v>181</v>
      </c>
      <c r="X2475" s="321">
        <f t="shared" si="174"/>
        <v>815714</v>
      </c>
      <c r="Y2475" s="321">
        <v>1</v>
      </c>
      <c r="AA2475" s="321" t="s">
        <v>2580</v>
      </c>
    </row>
    <row r="2476" spans="13:27">
      <c r="M2476" s="321">
        <v>1815714182</v>
      </c>
      <c r="N2476" s="321">
        <v>81</v>
      </c>
      <c r="O2476" s="321" t="s">
        <v>2582</v>
      </c>
      <c r="P2476" s="321">
        <v>4815714</v>
      </c>
      <c r="Q2476" s="322">
        <v>280000</v>
      </c>
      <c r="R2476" s="322">
        <v>211200</v>
      </c>
      <c r="S2476" s="322">
        <v>260000</v>
      </c>
      <c r="T2476" s="322">
        <v>260000</v>
      </c>
      <c r="U2476" s="322">
        <f t="shared" si="172"/>
        <v>0</v>
      </c>
      <c r="W2476" s="321">
        <f t="shared" si="173"/>
        <v>182</v>
      </c>
      <c r="X2476" s="321">
        <f t="shared" si="174"/>
        <v>815714</v>
      </c>
      <c r="Y2476" s="321">
        <v>1</v>
      </c>
      <c r="AA2476" s="321" t="s">
        <v>2582</v>
      </c>
    </row>
    <row r="2477" spans="13:27">
      <c r="M2477" s="321">
        <v>1815714721</v>
      </c>
      <c r="N2477" s="321">
        <v>81</v>
      </c>
      <c r="O2477" s="321" t="s">
        <v>5988</v>
      </c>
      <c r="P2477" s="321">
        <v>4815714</v>
      </c>
      <c r="Q2477" s="322">
        <v>0</v>
      </c>
      <c r="R2477" s="322">
        <v>0</v>
      </c>
      <c r="S2477" s="322">
        <v>0</v>
      </c>
      <c r="T2477" s="322">
        <v>0</v>
      </c>
      <c r="U2477" s="322">
        <f t="shared" si="172"/>
        <v>0</v>
      </c>
      <c r="W2477" s="321">
        <f t="shared" si="173"/>
        <v>721</v>
      </c>
      <c r="X2477" s="321">
        <f t="shared" si="174"/>
        <v>815714</v>
      </c>
      <c r="Y2477" s="321">
        <v>1</v>
      </c>
      <c r="AA2477" s="321" t="s">
        <v>5988</v>
      </c>
    </row>
    <row r="2478" spans="13:27">
      <c r="M2478" s="321">
        <v>1815715755</v>
      </c>
      <c r="N2478" s="321">
        <v>81</v>
      </c>
      <c r="O2478" s="321" t="s">
        <v>5989</v>
      </c>
      <c r="P2478" s="321">
        <v>4815715</v>
      </c>
      <c r="Q2478" s="322">
        <v>48000</v>
      </c>
      <c r="R2478" s="322">
        <v>16900</v>
      </c>
      <c r="S2478" s="322">
        <v>50000</v>
      </c>
      <c r="T2478" s="322">
        <v>50000</v>
      </c>
      <c r="U2478" s="322">
        <f t="shared" si="172"/>
        <v>0</v>
      </c>
      <c r="W2478" s="321">
        <f t="shared" si="173"/>
        <v>755</v>
      </c>
      <c r="X2478" s="321">
        <f t="shared" si="174"/>
        <v>815715</v>
      </c>
      <c r="Y2478" s="321">
        <v>1</v>
      </c>
      <c r="AA2478" s="321" t="s">
        <v>5989</v>
      </c>
    </row>
    <row r="2479" spans="13:27">
      <c r="M2479" s="321">
        <v>1815715760</v>
      </c>
      <c r="N2479" s="321">
        <v>81</v>
      </c>
      <c r="O2479" s="321" t="s">
        <v>5990</v>
      </c>
      <c r="P2479" s="321">
        <v>4817150</v>
      </c>
      <c r="Q2479" s="322">
        <v>0</v>
      </c>
      <c r="R2479" s="322">
        <v>533800</v>
      </c>
      <c r="S2479" s="322">
        <v>0</v>
      </c>
      <c r="T2479" s="322">
        <v>0</v>
      </c>
      <c r="U2479" s="322">
        <f t="shared" si="172"/>
        <v>0</v>
      </c>
      <c r="W2479" s="321">
        <f t="shared" si="173"/>
        <v>760</v>
      </c>
      <c r="X2479" s="321">
        <f t="shared" si="174"/>
        <v>815715</v>
      </c>
      <c r="Y2479" s="321">
        <v>1</v>
      </c>
      <c r="AA2479" s="321" t="s">
        <v>5990</v>
      </c>
    </row>
    <row r="2480" spans="13:27">
      <c r="M2480" s="321">
        <v>1815715771</v>
      </c>
      <c r="N2480" s="321">
        <v>81</v>
      </c>
      <c r="O2480" s="321" t="s">
        <v>5991</v>
      </c>
      <c r="P2480" s="321">
        <v>4815715</v>
      </c>
      <c r="Q2480" s="322">
        <v>70000</v>
      </c>
      <c r="R2480" s="322">
        <v>63600</v>
      </c>
      <c r="S2480" s="322">
        <v>80000</v>
      </c>
      <c r="T2480" s="322">
        <v>80000</v>
      </c>
      <c r="U2480" s="322">
        <f t="shared" si="172"/>
        <v>0</v>
      </c>
      <c r="W2480" s="321">
        <f t="shared" si="173"/>
        <v>771</v>
      </c>
      <c r="X2480" s="321">
        <f t="shared" si="174"/>
        <v>815715</v>
      </c>
      <c r="Y2480" s="321">
        <v>1</v>
      </c>
      <c r="AA2480" s="321" t="s">
        <v>5991</v>
      </c>
    </row>
    <row r="2481" spans="13:27">
      <c r="M2481" s="321">
        <v>1815715772</v>
      </c>
      <c r="N2481" s="321">
        <v>81</v>
      </c>
      <c r="O2481" s="321" t="s">
        <v>5992</v>
      </c>
      <c r="P2481" s="321">
        <v>4817150</v>
      </c>
      <c r="Q2481" s="322">
        <v>61000</v>
      </c>
      <c r="R2481" s="322">
        <v>0</v>
      </c>
      <c r="S2481" s="322">
        <v>61000</v>
      </c>
      <c r="T2481" s="322">
        <v>61000</v>
      </c>
      <c r="U2481" s="322">
        <f t="shared" si="172"/>
        <v>0</v>
      </c>
      <c r="W2481" s="321">
        <f t="shared" si="173"/>
        <v>772</v>
      </c>
      <c r="X2481" s="321">
        <f t="shared" si="174"/>
        <v>815715</v>
      </c>
      <c r="Y2481" s="321">
        <v>1</v>
      </c>
      <c r="AA2481" s="321" t="s">
        <v>5992</v>
      </c>
    </row>
    <row r="2482" spans="13:27">
      <c r="M2482" s="321">
        <v>1815716110</v>
      </c>
      <c r="N2482" s="321">
        <v>81</v>
      </c>
      <c r="O2482" s="321" t="s">
        <v>5205</v>
      </c>
      <c r="P2482" s="321">
        <v>4815716</v>
      </c>
      <c r="Q2482" s="322">
        <v>276000</v>
      </c>
      <c r="R2482" s="322">
        <v>252300</v>
      </c>
      <c r="S2482" s="322">
        <v>416000</v>
      </c>
      <c r="T2482" s="322">
        <v>416000</v>
      </c>
      <c r="U2482" s="322">
        <f t="shared" si="172"/>
        <v>0</v>
      </c>
      <c r="W2482" s="321">
        <f t="shared" si="173"/>
        <v>110</v>
      </c>
      <c r="X2482" s="321">
        <f t="shared" si="174"/>
        <v>815716</v>
      </c>
      <c r="Y2482" s="321">
        <v>1</v>
      </c>
      <c r="AA2482" s="321" t="s">
        <v>5205</v>
      </c>
    </row>
    <row r="2483" spans="13:27">
      <c r="M2483" s="321">
        <v>1815716120</v>
      </c>
      <c r="N2483" s="321">
        <v>81</v>
      </c>
      <c r="O2483" s="321" t="s">
        <v>5206</v>
      </c>
      <c r="P2483" s="321">
        <v>4815716</v>
      </c>
      <c r="Q2483" s="322">
        <v>13000</v>
      </c>
      <c r="R2483" s="322">
        <v>41300</v>
      </c>
      <c r="S2483" s="322">
        <v>50000</v>
      </c>
      <c r="T2483" s="322">
        <v>50000</v>
      </c>
      <c r="U2483" s="322">
        <f t="shared" si="172"/>
        <v>0</v>
      </c>
      <c r="W2483" s="321">
        <f t="shared" si="173"/>
        <v>120</v>
      </c>
      <c r="X2483" s="321">
        <f t="shared" si="174"/>
        <v>815716</v>
      </c>
      <c r="Y2483" s="321">
        <v>1</v>
      </c>
      <c r="AA2483" s="321" t="s">
        <v>5206</v>
      </c>
    </row>
    <row r="2484" spans="13:27">
      <c r="M2484" s="321">
        <v>1815716130</v>
      </c>
      <c r="N2484" s="321">
        <v>81</v>
      </c>
      <c r="O2484" s="321" t="s">
        <v>2576</v>
      </c>
      <c r="P2484" s="321">
        <v>4815716</v>
      </c>
      <c r="Q2484" s="322">
        <v>46000</v>
      </c>
      <c r="R2484" s="322">
        <v>23300</v>
      </c>
      <c r="S2484" s="322">
        <v>49000</v>
      </c>
      <c r="T2484" s="322">
        <v>44100</v>
      </c>
      <c r="U2484" s="322">
        <f t="shared" si="172"/>
        <v>4900</v>
      </c>
      <c r="W2484" s="321">
        <f t="shared" si="173"/>
        <v>130</v>
      </c>
      <c r="X2484" s="321">
        <f t="shared" si="174"/>
        <v>815716</v>
      </c>
      <c r="Y2484" s="321">
        <v>1</v>
      </c>
      <c r="AA2484" s="321" t="s">
        <v>2576</v>
      </c>
    </row>
    <row r="2485" spans="13:27">
      <c r="M2485" s="321">
        <v>1815716140</v>
      </c>
      <c r="N2485" s="321">
        <v>81</v>
      </c>
      <c r="O2485" s="321" t="s">
        <v>5207</v>
      </c>
      <c r="P2485" s="321">
        <v>4815716</v>
      </c>
      <c r="Q2485" s="322">
        <v>71000</v>
      </c>
      <c r="R2485" s="322">
        <v>33900</v>
      </c>
      <c r="S2485" s="322">
        <v>95000</v>
      </c>
      <c r="T2485" s="322">
        <v>95000</v>
      </c>
      <c r="U2485" s="322">
        <f t="shared" si="172"/>
        <v>0</v>
      </c>
      <c r="W2485" s="321">
        <f t="shared" si="173"/>
        <v>140</v>
      </c>
      <c r="X2485" s="321">
        <f t="shared" si="174"/>
        <v>815716</v>
      </c>
      <c r="Y2485" s="321">
        <v>1</v>
      </c>
      <c r="AA2485" s="321" t="s">
        <v>5207</v>
      </c>
    </row>
    <row r="2486" spans="13:27">
      <c r="M2486" s="321">
        <v>1815716141</v>
      </c>
      <c r="N2486" s="321">
        <v>81</v>
      </c>
      <c r="O2486" s="321" t="s">
        <v>5208</v>
      </c>
      <c r="P2486" s="321">
        <v>4815716</v>
      </c>
      <c r="Q2486" s="322">
        <v>32000</v>
      </c>
      <c r="R2486" s="322">
        <v>18500</v>
      </c>
      <c r="S2486" s="322">
        <v>32000</v>
      </c>
      <c r="T2486" s="322">
        <v>32000</v>
      </c>
      <c r="U2486" s="322">
        <f t="shared" si="172"/>
        <v>0</v>
      </c>
      <c r="W2486" s="321">
        <f t="shared" si="173"/>
        <v>141</v>
      </c>
      <c r="X2486" s="321">
        <f t="shared" si="174"/>
        <v>815716</v>
      </c>
      <c r="Y2486" s="321">
        <v>1</v>
      </c>
      <c r="AA2486" s="321" t="s">
        <v>5208</v>
      </c>
    </row>
    <row r="2487" spans="13:27">
      <c r="M2487" s="321">
        <v>1815716181</v>
      </c>
      <c r="N2487" s="321">
        <v>81</v>
      </c>
      <c r="O2487" s="321" t="s">
        <v>2580</v>
      </c>
      <c r="P2487" s="321">
        <v>4815716</v>
      </c>
      <c r="Q2487" s="322">
        <v>85000</v>
      </c>
      <c r="R2487" s="322">
        <v>46600</v>
      </c>
      <c r="S2487" s="322">
        <v>86000</v>
      </c>
      <c r="T2487" s="322">
        <v>86000</v>
      </c>
      <c r="U2487" s="322">
        <f t="shared" si="172"/>
        <v>0</v>
      </c>
      <c r="W2487" s="321">
        <f t="shared" si="173"/>
        <v>181</v>
      </c>
      <c r="X2487" s="321">
        <f t="shared" si="174"/>
        <v>815716</v>
      </c>
      <c r="Y2487" s="321">
        <v>1</v>
      </c>
      <c r="AA2487" s="321" t="s">
        <v>2580</v>
      </c>
    </row>
    <row r="2488" spans="13:27">
      <c r="M2488" s="321">
        <v>1815716182</v>
      </c>
      <c r="N2488" s="321">
        <v>81</v>
      </c>
      <c r="O2488" s="321" t="s">
        <v>2582</v>
      </c>
      <c r="P2488" s="321">
        <v>4815716</v>
      </c>
      <c r="Q2488" s="322">
        <v>68000</v>
      </c>
      <c r="R2488" s="322">
        <v>46800</v>
      </c>
      <c r="S2488" s="322">
        <v>85000</v>
      </c>
      <c r="T2488" s="322">
        <v>85000</v>
      </c>
      <c r="U2488" s="322">
        <f t="shared" si="172"/>
        <v>0</v>
      </c>
      <c r="W2488" s="321">
        <f t="shared" si="173"/>
        <v>182</v>
      </c>
      <c r="X2488" s="321">
        <f t="shared" si="174"/>
        <v>815716</v>
      </c>
      <c r="Y2488" s="321">
        <v>1</v>
      </c>
      <c r="AA2488" s="321" t="s">
        <v>2582</v>
      </c>
    </row>
    <row r="2489" spans="13:27">
      <c r="M2489" s="321">
        <v>1815716210</v>
      </c>
      <c r="N2489" s="321">
        <v>81</v>
      </c>
      <c r="O2489" s="321" t="s">
        <v>5225</v>
      </c>
      <c r="P2489" s="321">
        <v>4815716</v>
      </c>
      <c r="Q2489" s="322">
        <v>337000</v>
      </c>
      <c r="R2489" s="322">
        <v>0</v>
      </c>
      <c r="S2489" s="322">
        <v>0</v>
      </c>
      <c r="T2489" s="322">
        <v>0</v>
      </c>
      <c r="U2489" s="322">
        <f t="shared" si="172"/>
        <v>0</v>
      </c>
      <c r="W2489" s="321">
        <f t="shared" si="173"/>
        <v>210</v>
      </c>
      <c r="X2489" s="321">
        <f t="shared" si="174"/>
        <v>815716</v>
      </c>
      <c r="Y2489" s="321">
        <v>1</v>
      </c>
      <c r="AA2489" s="321" t="s">
        <v>5225</v>
      </c>
    </row>
    <row r="2490" spans="13:27">
      <c r="M2490" s="321">
        <v>1815716721</v>
      </c>
      <c r="N2490" s="321">
        <v>81</v>
      </c>
      <c r="O2490" s="321" t="s">
        <v>5993</v>
      </c>
      <c r="P2490" s="321">
        <v>4815716</v>
      </c>
      <c r="Q2490" s="322">
        <v>120000</v>
      </c>
      <c r="R2490" s="322">
        <v>71400</v>
      </c>
      <c r="S2490" s="322">
        <v>160000</v>
      </c>
      <c r="T2490" s="322">
        <v>160000</v>
      </c>
      <c r="U2490" s="322">
        <f t="shared" si="172"/>
        <v>0</v>
      </c>
      <c r="W2490" s="321">
        <f t="shared" si="173"/>
        <v>721</v>
      </c>
      <c r="X2490" s="321">
        <f t="shared" si="174"/>
        <v>815716</v>
      </c>
      <c r="Y2490" s="321">
        <v>1</v>
      </c>
      <c r="AA2490" s="321" t="s">
        <v>5993</v>
      </c>
    </row>
    <row r="2491" spans="13:27">
      <c r="M2491" s="321">
        <v>1815716755</v>
      </c>
      <c r="N2491" s="321">
        <v>81</v>
      </c>
      <c r="O2491" s="321" t="s">
        <v>5994</v>
      </c>
      <c r="P2491" s="321">
        <v>4815716</v>
      </c>
      <c r="Q2491" s="322">
        <v>100000</v>
      </c>
      <c r="R2491" s="322">
        <v>50000</v>
      </c>
      <c r="S2491" s="322">
        <v>170000</v>
      </c>
      <c r="T2491" s="322">
        <v>170000</v>
      </c>
      <c r="U2491" s="322">
        <f t="shared" si="172"/>
        <v>0</v>
      </c>
      <c r="W2491" s="321">
        <f t="shared" si="173"/>
        <v>755</v>
      </c>
      <c r="X2491" s="321">
        <f t="shared" si="174"/>
        <v>815716</v>
      </c>
      <c r="Y2491" s="321">
        <v>1</v>
      </c>
      <c r="AA2491" s="321" t="s">
        <v>5994</v>
      </c>
    </row>
    <row r="2492" spans="13:27">
      <c r="M2492" s="321">
        <v>1815716771</v>
      </c>
      <c r="N2492" s="321">
        <v>81</v>
      </c>
      <c r="O2492" s="321" t="s">
        <v>5995</v>
      </c>
      <c r="P2492" s="321">
        <v>4815716</v>
      </c>
      <c r="Q2492" s="322">
        <v>80000</v>
      </c>
      <c r="R2492" s="322">
        <v>44400</v>
      </c>
      <c r="S2492" s="322">
        <v>80000</v>
      </c>
      <c r="T2492" s="322">
        <v>80000</v>
      </c>
      <c r="U2492" s="322">
        <f t="shared" si="172"/>
        <v>0</v>
      </c>
      <c r="W2492" s="321">
        <f t="shared" si="173"/>
        <v>771</v>
      </c>
      <c r="X2492" s="321">
        <f t="shared" si="174"/>
        <v>815716</v>
      </c>
      <c r="Y2492" s="321">
        <v>1</v>
      </c>
      <c r="AA2492" s="321" t="s">
        <v>5995</v>
      </c>
    </row>
    <row r="2493" spans="13:27">
      <c r="M2493" s="321">
        <v>1815716772</v>
      </c>
      <c r="N2493" s="321">
        <v>81</v>
      </c>
      <c r="O2493" s="321" t="s">
        <v>5996</v>
      </c>
      <c r="P2493" s="321">
        <v>4815716</v>
      </c>
      <c r="Q2493" s="322">
        <v>61000</v>
      </c>
      <c r="R2493" s="322">
        <v>5500</v>
      </c>
      <c r="S2493" s="322">
        <v>50000</v>
      </c>
      <c r="T2493" s="322">
        <v>50000</v>
      </c>
      <c r="U2493" s="322">
        <f t="shared" si="172"/>
        <v>0</v>
      </c>
      <c r="W2493" s="321">
        <f t="shared" si="173"/>
        <v>772</v>
      </c>
      <c r="X2493" s="321">
        <f t="shared" si="174"/>
        <v>815716</v>
      </c>
      <c r="Y2493" s="321">
        <v>1</v>
      </c>
      <c r="AA2493" s="321" t="s">
        <v>5996</v>
      </c>
    </row>
    <row r="2494" spans="13:27">
      <c r="M2494" s="321">
        <v>1815717721</v>
      </c>
      <c r="N2494" s="321">
        <v>81</v>
      </c>
      <c r="O2494" s="321" t="s">
        <v>4948</v>
      </c>
      <c r="P2494" s="321">
        <v>4815700</v>
      </c>
      <c r="Q2494" s="322">
        <v>0</v>
      </c>
      <c r="R2494" s="322">
        <v>0</v>
      </c>
      <c r="S2494" s="322">
        <v>350000</v>
      </c>
      <c r="T2494" s="322">
        <v>300000</v>
      </c>
      <c r="U2494" s="322">
        <f t="shared" si="172"/>
        <v>50000</v>
      </c>
      <c r="W2494" s="321">
        <f t="shared" si="173"/>
        <v>721</v>
      </c>
      <c r="X2494" s="321">
        <f t="shared" si="174"/>
        <v>815717</v>
      </c>
      <c r="Y2494" s="321">
        <v>1</v>
      </c>
      <c r="AA2494" s="321" t="s">
        <v>4948</v>
      </c>
    </row>
    <row r="2495" spans="13:27">
      <c r="M2495" s="321">
        <v>1816200110</v>
      </c>
      <c r="N2495" s="321">
        <v>81</v>
      </c>
      <c r="O2495" s="321" t="s">
        <v>5205</v>
      </c>
      <c r="P2495" s="321">
        <v>4816200</v>
      </c>
      <c r="Q2495" s="322">
        <v>187000</v>
      </c>
      <c r="R2495" s="322">
        <v>137800</v>
      </c>
      <c r="S2495" s="322">
        <v>187000</v>
      </c>
      <c r="T2495" s="322">
        <v>187000</v>
      </c>
      <c r="U2495" s="322">
        <f t="shared" si="172"/>
        <v>0</v>
      </c>
      <c r="W2495" s="321">
        <f t="shared" si="173"/>
        <v>110</v>
      </c>
      <c r="X2495" s="321">
        <f t="shared" si="174"/>
        <v>816200</v>
      </c>
      <c r="Y2495" s="321">
        <v>1</v>
      </c>
      <c r="AA2495" s="321" t="s">
        <v>5205</v>
      </c>
    </row>
    <row r="2496" spans="13:27">
      <c r="M2496" s="321">
        <v>1816200120</v>
      </c>
      <c r="N2496" s="321">
        <v>81</v>
      </c>
      <c r="O2496" s="321" t="s">
        <v>5206</v>
      </c>
      <c r="P2496" s="321">
        <v>4816200</v>
      </c>
      <c r="Q2496" s="322">
        <v>11000</v>
      </c>
      <c r="R2496" s="322">
        <v>17500</v>
      </c>
      <c r="S2496" s="322">
        <v>18000</v>
      </c>
      <c r="T2496" s="322">
        <v>18000</v>
      </c>
      <c r="U2496" s="322">
        <f t="shared" si="172"/>
        <v>0</v>
      </c>
      <c r="W2496" s="321">
        <f t="shared" si="173"/>
        <v>120</v>
      </c>
      <c r="X2496" s="321">
        <f t="shared" si="174"/>
        <v>816200</v>
      </c>
      <c r="Y2496" s="321">
        <v>1</v>
      </c>
      <c r="AA2496" s="321" t="s">
        <v>5206</v>
      </c>
    </row>
    <row r="2497" spans="13:27">
      <c r="M2497" s="321">
        <v>1816200130</v>
      </c>
      <c r="N2497" s="321">
        <v>81</v>
      </c>
      <c r="O2497" s="321" t="s">
        <v>2576</v>
      </c>
      <c r="P2497" s="321">
        <v>4816200</v>
      </c>
      <c r="Q2497" s="322">
        <v>12000</v>
      </c>
      <c r="R2497" s="322">
        <v>9100</v>
      </c>
      <c r="S2497" s="322">
        <v>11000</v>
      </c>
      <c r="T2497" s="322">
        <v>9900</v>
      </c>
      <c r="U2497" s="322">
        <f t="shared" si="172"/>
        <v>1100</v>
      </c>
      <c r="W2497" s="321">
        <f t="shared" si="173"/>
        <v>130</v>
      </c>
      <c r="X2497" s="321">
        <f t="shared" si="174"/>
        <v>816200</v>
      </c>
      <c r="Y2497" s="321">
        <v>1</v>
      </c>
      <c r="AA2497" s="321" t="s">
        <v>2576</v>
      </c>
    </row>
    <row r="2498" spans="13:27">
      <c r="M2498" s="321">
        <v>1816200140</v>
      </c>
      <c r="N2498" s="321">
        <v>81</v>
      </c>
      <c r="O2498" s="321" t="s">
        <v>5207</v>
      </c>
      <c r="P2498" s="321">
        <v>4816200</v>
      </c>
      <c r="Q2498" s="322">
        <v>30000</v>
      </c>
      <c r="R2498" s="322">
        <v>24600</v>
      </c>
      <c r="S2498" s="322">
        <v>32000</v>
      </c>
      <c r="T2498" s="322">
        <v>32000</v>
      </c>
      <c r="U2498" s="322">
        <f t="shared" ref="U2498:U2561" si="175">S2498-T2498</f>
        <v>0</v>
      </c>
      <c r="W2498" s="321">
        <f t="shared" si="173"/>
        <v>140</v>
      </c>
      <c r="X2498" s="321">
        <f t="shared" si="174"/>
        <v>816200</v>
      </c>
      <c r="Y2498" s="321">
        <v>1</v>
      </c>
      <c r="AA2498" s="321" t="s">
        <v>5207</v>
      </c>
    </row>
    <row r="2499" spans="13:27">
      <c r="M2499" s="321">
        <v>1816200141</v>
      </c>
      <c r="N2499" s="321">
        <v>81</v>
      </c>
      <c r="O2499" s="321" t="s">
        <v>5208</v>
      </c>
      <c r="P2499" s="321">
        <v>4816200</v>
      </c>
      <c r="Q2499" s="322">
        <v>20000</v>
      </c>
      <c r="R2499" s="322">
        <v>14800</v>
      </c>
      <c r="S2499" s="322">
        <v>21000</v>
      </c>
      <c r="T2499" s="322">
        <v>21000</v>
      </c>
      <c r="U2499" s="322">
        <f t="shared" si="175"/>
        <v>0</v>
      </c>
      <c r="W2499" s="321">
        <f t="shared" ref="W2499:W2562" si="176">M2499-1000000000-X2499*1000</f>
        <v>141</v>
      </c>
      <c r="X2499" s="321">
        <f t="shared" ref="X2499:X2562" si="177">ROUNDDOWN((M2499-1000000000)/1000,0)</f>
        <v>816200</v>
      </c>
      <c r="Y2499" s="321">
        <v>1</v>
      </c>
      <c r="AA2499" s="321" t="s">
        <v>5208</v>
      </c>
    </row>
    <row r="2500" spans="13:27">
      <c r="M2500" s="321">
        <v>1816200181</v>
      </c>
      <c r="N2500" s="321">
        <v>81</v>
      </c>
      <c r="O2500" s="321" t="s">
        <v>2580</v>
      </c>
      <c r="P2500" s="321">
        <v>4816200</v>
      </c>
      <c r="Q2500" s="322">
        <v>47000</v>
      </c>
      <c r="R2500" s="322">
        <v>36800</v>
      </c>
      <c r="S2500" s="322">
        <v>49000</v>
      </c>
      <c r="T2500" s="322">
        <v>49000</v>
      </c>
      <c r="U2500" s="322">
        <f t="shared" si="175"/>
        <v>0</v>
      </c>
      <c r="W2500" s="321">
        <f t="shared" si="176"/>
        <v>181</v>
      </c>
      <c r="X2500" s="321">
        <f t="shared" si="177"/>
        <v>816200</v>
      </c>
      <c r="Y2500" s="321">
        <v>1</v>
      </c>
      <c r="AA2500" s="321" t="s">
        <v>2580</v>
      </c>
    </row>
    <row r="2501" spans="13:27">
      <c r="M2501" s="321">
        <v>1816200182</v>
      </c>
      <c r="N2501" s="321">
        <v>81</v>
      </c>
      <c r="O2501" s="321" t="s">
        <v>2582</v>
      </c>
      <c r="P2501" s="321">
        <v>4816200</v>
      </c>
      <c r="Q2501" s="322">
        <v>35000</v>
      </c>
      <c r="R2501" s="322">
        <v>27600</v>
      </c>
      <c r="S2501" s="322">
        <v>38000</v>
      </c>
      <c r="T2501" s="322">
        <v>38000</v>
      </c>
      <c r="U2501" s="322">
        <f t="shared" si="175"/>
        <v>0</v>
      </c>
      <c r="W2501" s="321">
        <f t="shared" si="176"/>
        <v>182</v>
      </c>
      <c r="X2501" s="321">
        <f t="shared" si="177"/>
        <v>816200</v>
      </c>
      <c r="Y2501" s="321">
        <v>1</v>
      </c>
      <c r="AA2501" s="321" t="s">
        <v>2582</v>
      </c>
    </row>
    <row r="2502" spans="13:27">
      <c r="M2502" s="321">
        <v>1816200210</v>
      </c>
      <c r="N2502" s="321">
        <v>81</v>
      </c>
      <c r="O2502" s="321" t="s">
        <v>5291</v>
      </c>
      <c r="P2502" s="321">
        <v>4816200</v>
      </c>
      <c r="Q2502" s="322">
        <v>0</v>
      </c>
      <c r="R2502" s="322">
        <v>0</v>
      </c>
      <c r="S2502" s="322">
        <v>0</v>
      </c>
      <c r="T2502" s="322">
        <v>0</v>
      </c>
      <c r="U2502" s="322">
        <f t="shared" si="175"/>
        <v>0</v>
      </c>
      <c r="W2502" s="321">
        <f t="shared" si="176"/>
        <v>210</v>
      </c>
      <c r="X2502" s="321">
        <f t="shared" si="177"/>
        <v>816200</v>
      </c>
      <c r="Y2502" s="321">
        <v>1</v>
      </c>
      <c r="AA2502" s="321" t="s">
        <v>5291</v>
      </c>
    </row>
    <row r="2503" spans="13:27">
      <c r="M2503" s="321">
        <v>1816200420</v>
      </c>
      <c r="N2503" s="321">
        <v>81</v>
      </c>
      <c r="O2503" s="321" t="s">
        <v>5997</v>
      </c>
      <c r="P2503" s="321">
        <v>4816200</v>
      </c>
      <c r="Q2503" s="322">
        <v>0</v>
      </c>
      <c r="R2503" s="322">
        <v>0</v>
      </c>
      <c r="S2503" s="322">
        <v>0</v>
      </c>
      <c r="T2503" s="322">
        <v>0</v>
      </c>
      <c r="U2503" s="322">
        <f t="shared" si="175"/>
        <v>0</v>
      </c>
      <c r="W2503" s="321">
        <f t="shared" si="176"/>
        <v>420</v>
      </c>
      <c r="X2503" s="321">
        <f t="shared" si="177"/>
        <v>816200</v>
      </c>
      <c r="Y2503" s="321">
        <v>1</v>
      </c>
      <c r="AA2503" s="321" t="s">
        <v>5997</v>
      </c>
    </row>
    <row r="2504" spans="13:27">
      <c r="M2504" s="321">
        <v>1816200470</v>
      </c>
      <c r="N2504" s="321">
        <v>81</v>
      </c>
      <c r="O2504" s="321" t="s">
        <v>2660</v>
      </c>
      <c r="P2504" s="321">
        <v>4816200</v>
      </c>
      <c r="Q2504" s="322">
        <v>1700</v>
      </c>
      <c r="R2504" s="322">
        <v>1000</v>
      </c>
      <c r="S2504" s="322">
        <v>1700</v>
      </c>
      <c r="T2504" s="322">
        <v>1700</v>
      </c>
      <c r="U2504" s="322">
        <f t="shared" si="175"/>
        <v>0</v>
      </c>
      <c r="W2504" s="321">
        <f t="shared" si="176"/>
        <v>470</v>
      </c>
      <c r="X2504" s="321">
        <f t="shared" si="177"/>
        <v>816200</v>
      </c>
      <c r="Y2504" s="321">
        <v>1</v>
      </c>
      <c r="AA2504" s="321" t="s">
        <v>2660</v>
      </c>
    </row>
    <row r="2505" spans="13:27">
      <c r="M2505" s="321">
        <v>1816200471</v>
      </c>
      <c r="N2505" s="321">
        <v>81</v>
      </c>
      <c r="O2505" s="321" t="s">
        <v>5998</v>
      </c>
      <c r="P2505" s="321">
        <v>4816200</v>
      </c>
      <c r="Q2505" s="322">
        <v>3500</v>
      </c>
      <c r="R2505" s="322">
        <v>2600</v>
      </c>
      <c r="S2505" s="322">
        <v>3700</v>
      </c>
      <c r="T2505" s="322">
        <v>3700</v>
      </c>
      <c r="U2505" s="322">
        <f t="shared" si="175"/>
        <v>0</v>
      </c>
      <c r="W2505" s="321">
        <f t="shared" si="176"/>
        <v>471</v>
      </c>
      <c r="X2505" s="321">
        <f t="shared" si="177"/>
        <v>816200</v>
      </c>
      <c r="Y2505" s="321">
        <v>1</v>
      </c>
      <c r="AA2505" s="321" t="s">
        <v>5998</v>
      </c>
    </row>
    <row r="2506" spans="13:27">
      <c r="M2506" s="321">
        <v>1816200510</v>
      </c>
      <c r="N2506" s="321">
        <v>81</v>
      </c>
      <c r="O2506" s="321" t="s">
        <v>2805</v>
      </c>
      <c r="P2506" s="321">
        <v>4816200</v>
      </c>
      <c r="Q2506" s="322">
        <v>1000</v>
      </c>
      <c r="R2506" s="322">
        <v>800</v>
      </c>
      <c r="S2506" s="322">
        <v>1000</v>
      </c>
      <c r="T2506" s="322">
        <v>1000</v>
      </c>
      <c r="U2506" s="322">
        <f t="shared" si="175"/>
        <v>0</v>
      </c>
      <c r="W2506" s="321">
        <f t="shared" si="176"/>
        <v>510</v>
      </c>
      <c r="X2506" s="321">
        <f t="shared" si="177"/>
        <v>816200</v>
      </c>
      <c r="Y2506" s="321">
        <v>1</v>
      </c>
      <c r="AA2506" s="321" t="s">
        <v>2805</v>
      </c>
    </row>
    <row r="2507" spans="13:27">
      <c r="M2507" s="321">
        <v>1816200540</v>
      </c>
      <c r="N2507" s="321">
        <v>81</v>
      </c>
      <c r="O2507" s="321" t="s">
        <v>5999</v>
      </c>
      <c r="P2507" s="321">
        <v>4816200</v>
      </c>
      <c r="Q2507" s="322">
        <v>48000</v>
      </c>
      <c r="R2507" s="322">
        <v>22400</v>
      </c>
      <c r="S2507" s="322">
        <v>40000</v>
      </c>
      <c r="T2507" s="322">
        <v>40000</v>
      </c>
      <c r="U2507" s="322">
        <f t="shared" si="175"/>
        <v>0</v>
      </c>
      <c r="W2507" s="321">
        <f t="shared" si="176"/>
        <v>540</v>
      </c>
      <c r="X2507" s="321">
        <f t="shared" si="177"/>
        <v>816200</v>
      </c>
      <c r="Y2507" s="321">
        <v>1</v>
      </c>
      <c r="AA2507" s="321" t="s">
        <v>5999</v>
      </c>
    </row>
    <row r="2508" spans="13:27">
      <c r="M2508" s="321">
        <v>1816200542</v>
      </c>
      <c r="N2508" s="321">
        <v>81</v>
      </c>
      <c r="O2508" s="321" t="s">
        <v>6000</v>
      </c>
      <c r="P2508" s="321">
        <v>4816200</v>
      </c>
      <c r="Q2508" s="322">
        <v>5700</v>
      </c>
      <c r="R2508" s="322">
        <v>800</v>
      </c>
      <c r="S2508" s="322">
        <v>5700</v>
      </c>
      <c r="T2508" s="322">
        <v>5700</v>
      </c>
      <c r="U2508" s="322">
        <f t="shared" si="175"/>
        <v>0</v>
      </c>
      <c r="W2508" s="321">
        <f t="shared" si="176"/>
        <v>542</v>
      </c>
      <c r="X2508" s="321">
        <f t="shared" si="177"/>
        <v>816200</v>
      </c>
      <c r="Y2508" s="321">
        <v>1</v>
      </c>
      <c r="AA2508" s="321" t="s">
        <v>6000</v>
      </c>
    </row>
    <row r="2509" spans="13:27">
      <c r="M2509" s="321">
        <v>1816200755</v>
      </c>
      <c r="N2509" s="321">
        <v>81</v>
      </c>
      <c r="O2509" s="321" t="s">
        <v>6001</v>
      </c>
      <c r="P2509" s="321">
        <v>4816200</v>
      </c>
      <c r="Q2509" s="322">
        <v>35000</v>
      </c>
      <c r="R2509" s="322">
        <v>28000</v>
      </c>
      <c r="S2509" s="322">
        <v>50000</v>
      </c>
      <c r="T2509" s="322">
        <v>50000</v>
      </c>
      <c r="U2509" s="322">
        <f t="shared" si="175"/>
        <v>0</v>
      </c>
      <c r="W2509" s="321">
        <f t="shared" si="176"/>
        <v>755</v>
      </c>
      <c r="X2509" s="321">
        <f t="shared" si="177"/>
        <v>816200</v>
      </c>
      <c r="Y2509" s="321">
        <v>1</v>
      </c>
      <c r="AA2509" s="321" t="s">
        <v>6001</v>
      </c>
    </row>
    <row r="2510" spans="13:27">
      <c r="M2510" s="321">
        <v>1816200760</v>
      </c>
      <c r="N2510" s="321">
        <v>81</v>
      </c>
      <c r="O2510" s="321" t="s">
        <v>6002</v>
      </c>
      <c r="P2510" s="321">
        <v>4816200</v>
      </c>
      <c r="Q2510" s="322">
        <v>0</v>
      </c>
      <c r="R2510" s="322">
        <v>0</v>
      </c>
      <c r="S2510" s="322">
        <v>0</v>
      </c>
      <c r="T2510" s="322">
        <v>0</v>
      </c>
      <c r="U2510" s="322">
        <f t="shared" si="175"/>
        <v>0</v>
      </c>
      <c r="W2510" s="321">
        <f t="shared" si="176"/>
        <v>760</v>
      </c>
      <c r="X2510" s="321">
        <f t="shared" si="177"/>
        <v>816200</v>
      </c>
      <c r="Y2510" s="321">
        <v>1</v>
      </c>
      <c r="AA2510" s="321" t="s">
        <v>6002</v>
      </c>
    </row>
    <row r="2511" spans="13:27">
      <c r="M2511" s="321">
        <v>1816200771</v>
      </c>
      <c r="N2511" s="321">
        <v>81</v>
      </c>
      <c r="O2511" s="321" t="s">
        <v>6003</v>
      </c>
      <c r="P2511" s="321">
        <v>4816200</v>
      </c>
      <c r="Q2511" s="322">
        <v>50000</v>
      </c>
      <c r="R2511" s="322">
        <v>78700</v>
      </c>
      <c r="S2511" s="322">
        <v>100000</v>
      </c>
      <c r="T2511" s="322">
        <v>100000</v>
      </c>
      <c r="U2511" s="322">
        <f t="shared" si="175"/>
        <v>0</v>
      </c>
      <c r="W2511" s="321">
        <f t="shared" si="176"/>
        <v>771</v>
      </c>
      <c r="X2511" s="321">
        <f t="shared" si="177"/>
        <v>816200</v>
      </c>
      <c r="Y2511" s="321">
        <v>1</v>
      </c>
      <c r="AA2511" s="321" t="s">
        <v>6003</v>
      </c>
    </row>
    <row r="2512" spans="13:27">
      <c r="M2512" s="321">
        <v>1816200772</v>
      </c>
      <c r="N2512" s="321">
        <v>81</v>
      </c>
      <c r="O2512" s="321" t="s">
        <v>6004</v>
      </c>
      <c r="P2512" s="321">
        <v>4816200</v>
      </c>
      <c r="Q2512" s="322">
        <v>61000</v>
      </c>
      <c r="R2512" s="322">
        <v>5600</v>
      </c>
      <c r="S2512" s="322">
        <v>61000</v>
      </c>
      <c r="T2512" s="322">
        <v>61000</v>
      </c>
      <c r="U2512" s="322">
        <f t="shared" si="175"/>
        <v>0</v>
      </c>
      <c r="W2512" s="321">
        <f t="shared" si="176"/>
        <v>772</v>
      </c>
      <c r="X2512" s="321">
        <f t="shared" si="177"/>
        <v>816200</v>
      </c>
      <c r="Y2512" s="321">
        <v>1</v>
      </c>
      <c r="AA2512" s="321" t="s">
        <v>6004</v>
      </c>
    </row>
    <row r="2513" spans="13:27">
      <c r="M2513" s="321">
        <v>1816200780</v>
      </c>
      <c r="N2513" s="321">
        <v>81</v>
      </c>
      <c r="O2513" s="321" t="s">
        <v>6005</v>
      </c>
      <c r="P2513" s="321">
        <v>4816200</v>
      </c>
      <c r="Q2513" s="322">
        <v>150000</v>
      </c>
      <c r="R2513" s="322">
        <v>56600</v>
      </c>
      <c r="S2513" s="322">
        <v>160000</v>
      </c>
      <c r="T2513" s="322">
        <v>150000</v>
      </c>
      <c r="U2513" s="322">
        <f t="shared" si="175"/>
        <v>10000</v>
      </c>
      <c r="W2513" s="321">
        <f t="shared" si="176"/>
        <v>780</v>
      </c>
      <c r="X2513" s="321">
        <f t="shared" si="177"/>
        <v>816200</v>
      </c>
      <c r="Y2513" s="321">
        <v>1</v>
      </c>
      <c r="AA2513" s="321" t="s">
        <v>6005</v>
      </c>
    </row>
    <row r="2514" spans="13:27">
      <c r="M2514" s="321">
        <v>1816200781</v>
      </c>
      <c r="N2514" s="321">
        <v>81</v>
      </c>
      <c r="O2514" s="321" t="s">
        <v>6006</v>
      </c>
      <c r="P2514" s="321">
        <v>4816200</v>
      </c>
      <c r="Q2514" s="322">
        <v>430000</v>
      </c>
      <c r="R2514" s="322">
        <v>95700</v>
      </c>
      <c r="S2514" s="322">
        <v>400000</v>
      </c>
      <c r="T2514" s="322">
        <v>310000</v>
      </c>
      <c r="U2514" s="322">
        <f t="shared" si="175"/>
        <v>90000</v>
      </c>
      <c r="W2514" s="321">
        <f t="shared" si="176"/>
        <v>781</v>
      </c>
      <c r="X2514" s="321">
        <f t="shared" si="177"/>
        <v>816200</v>
      </c>
      <c r="Y2514" s="321">
        <v>1</v>
      </c>
      <c r="AA2514" s="321" t="s">
        <v>6006</v>
      </c>
    </row>
    <row r="2515" spans="13:27">
      <c r="M2515" s="321">
        <v>1816200782</v>
      </c>
      <c r="N2515" s="321">
        <v>81</v>
      </c>
      <c r="O2515" s="321" t="s">
        <v>6007</v>
      </c>
      <c r="P2515" s="321">
        <v>4816200</v>
      </c>
      <c r="Q2515" s="322">
        <v>100000</v>
      </c>
      <c r="R2515" s="322">
        <v>72700</v>
      </c>
      <c r="S2515" s="322">
        <v>100000</v>
      </c>
      <c r="T2515" s="322">
        <v>100000</v>
      </c>
      <c r="U2515" s="322">
        <f t="shared" si="175"/>
        <v>0</v>
      </c>
      <c r="W2515" s="321">
        <f t="shared" si="176"/>
        <v>782</v>
      </c>
      <c r="X2515" s="321">
        <f t="shared" si="177"/>
        <v>816200</v>
      </c>
      <c r="Y2515" s="321">
        <v>1</v>
      </c>
      <c r="AA2515" s="321" t="s">
        <v>6007</v>
      </c>
    </row>
    <row r="2516" spans="13:27">
      <c r="M2516" s="321">
        <v>1816200783</v>
      </c>
      <c r="N2516" s="321">
        <v>81</v>
      </c>
      <c r="O2516" s="321" t="s">
        <v>6008</v>
      </c>
      <c r="P2516" s="321">
        <v>4816200</v>
      </c>
      <c r="Q2516" s="322">
        <v>190000</v>
      </c>
      <c r="R2516" s="322">
        <v>35800</v>
      </c>
      <c r="S2516" s="322">
        <v>190000</v>
      </c>
      <c r="T2516" s="322">
        <v>190000</v>
      </c>
      <c r="U2516" s="322">
        <f t="shared" si="175"/>
        <v>0</v>
      </c>
      <c r="W2516" s="321">
        <f t="shared" si="176"/>
        <v>783</v>
      </c>
      <c r="X2516" s="321">
        <f t="shared" si="177"/>
        <v>816200</v>
      </c>
      <c r="Y2516" s="321">
        <v>1</v>
      </c>
      <c r="AA2516" s="321" t="s">
        <v>6008</v>
      </c>
    </row>
    <row r="2517" spans="13:27">
      <c r="M2517" s="321">
        <v>1816200810</v>
      </c>
      <c r="N2517" s="321">
        <v>81</v>
      </c>
      <c r="O2517" s="321" t="s">
        <v>6009</v>
      </c>
      <c r="P2517" s="321">
        <v>4816200</v>
      </c>
      <c r="Q2517" s="322">
        <v>360000</v>
      </c>
      <c r="R2517" s="322">
        <v>386100</v>
      </c>
      <c r="S2517" s="322">
        <v>500000</v>
      </c>
      <c r="T2517" s="322">
        <v>360000</v>
      </c>
      <c r="U2517" s="322">
        <f t="shared" si="175"/>
        <v>140000</v>
      </c>
      <c r="W2517" s="321">
        <f t="shared" si="176"/>
        <v>810</v>
      </c>
      <c r="X2517" s="321">
        <f t="shared" si="177"/>
        <v>816200</v>
      </c>
      <c r="Y2517" s="321">
        <v>1</v>
      </c>
      <c r="AA2517" s="321" t="s">
        <v>6009</v>
      </c>
    </row>
    <row r="2518" spans="13:27">
      <c r="M2518" s="321">
        <v>1816200850</v>
      </c>
      <c r="N2518" s="321">
        <v>81</v>
      </c>
      <c r="O2518" s="321" t="s">
        <v>6010</v>
      </c>
      <c r="P2518" s="321">
        <v>4816200</v>
      </c>
      <c r="Q2518" s="322">
        <v>300000</v>
      </c>
      <c r="R2518" s="322">
        <v>42600</v>
      </c>
      <c r="S2518" s="322">
        <v>300000</v>
      </c>
      <c r="T2518" s="322">
        <v>300000</v>
      </c>
      <c r="U2518" s="322">
        <f t="shared" si="175"/>
        <v>0</v>
      </c>
      <c r="W2518" s="321">
        <f t="shared" si="176"/>
        <v>850</v>
      </c>
      <c r="X2518" s="321">
        <f t="shared" si="177"/>
        <v>816200</v>
      </c>
      <c r="Y2518" s="321">
        <v>1</v>
      </c>
      <c r="AA2518" s="321" t="s">
        <v>6010</v>
      </c>
    </row>
    <row r="2519" spans="13:27">
      <c r="M2519" s="321">
        <v>1816300771</v>
      </c>
      <c r="N2519" s="321">
        <v>81</v>
      </c>
      <c r="O2519" s="321" t="s">
        <v>6011</v>
      </c>
      <c r="P2519" s="321">
        <v>4816200</v>
      </c>
      <c r="Q2519" s="322">
        <v>150000</v>
      </c>
      <c r="R2519" s="322">
        <v>0</v>
      </c>
      <c r="S2519" s="322">
        <v>150000</v>
      </c>
      <c r="T2519" s="322">
        <v>150000</v>
      </c>
      <c r="U2519" s="322">
        <f t="shared" si="175"/>
        <v>0</v>
      </c>
      <c r="W2519" s="321">
        <f t="shared" si="176"/>
        <v>771</v>
      </c>
      <c r="X2519" s="321">
        <f t="shared" si="177"/>
        <v>816300</v>
      </c>
      <c r="Y2519" s="321">
        <v>1</v>
      </c>
      <c r="AA2519" s="321" t="s">
        <v>6011</v>
      </c>
    </row>
    <row r="2520" spans="13:27">
      <c r="M2520" s="321">
        <v>1816405760</v>
      </c>
      <c r="N2520" s="321">
        <v>81</v>
      </c>
      <c r="O2520" s="321" t="s">
        <v>6012</v>
      </c>
      <c r="P2520" s="321">
        <v>4816200</v>
      </c>
      <c r="Q2520" s="322">
        <v>350000</v>
      </c>
      <c r="R2520" s="322">
        <v>338400</v>
      </c>
      <c r="S2520" s="322">
        <v>450000</v>
      </c>
      <c r="T2520" s="322">
        <v>350000</v>
      </c>
      <c r="U2520" s="322">
        <f t="shared" si="175"/>
        <v>100000</v>
      </c>
      <c r="W2520" s="321">
        <f t="shared" si="176"/>
        <v>760</v>
      </c>
      <c r="X2520" s="321">
        <f t="shared" si="177"/>
        <v>816405</v>
      </c>
      <c r="Y2520" s="321">
        <v>1</v>
      </c>
      <c r="AA2520" s="321" t="s">
        <v>6012</v>
      </c>
    </row>
    <row r="2521" spans="13:27">
      <c r="M2521" s="321">
        <v>1816600771</v>
      </c>
      <c r="N2521" s="321">
        <v>81</v>
      </c>
      <c r="O2521" s="321" t="s">
        <v>6013</v>
      </c>
      <c r="P2521" s="321">
        <v>4811000</v>
      </c>
      <c r="Q2521" s="322">
        <v>570000</v>
      </c>
      <c r="R2521" s="322">
        <v>436100</v>
      </c>
      <c r="S2521" s="322">
        <v>570000</v>
      </c>
      <c r="T2521" s="322">
        <v>570000</v>
      </c>
      <c r="U2521" s="322">
        <f t="shared" si="175"/>
        <v>0</v>
      </c>
      <c r="W2521" s="321">
        <f t="shared" si="176"/>
        <v>771</v>
      </c>
      <c r="X2521" s="321">
        <f t="shared" si="177"/>
        <v>816600</v>
      </c>
      <c r="Y2521" s="321">
        <v>1</v>
      </c>
      <c r="AA2521" s="321" t="s">
        <v>6013</v>
      </c>
    </row>
    <row r="2522" spans="13:27">
      <c r="M2522" s="321">
        <v>1816800850</v>
      </c>
      <c r="N2522" s="321">
        <v>81</v>
      </c>
      <c r="O2522" s="321" t="s">
        <v>6014</v>
      </c>
      <c r="P2522" s="321">
        <v>4816800</v>
      </c>
      <c r="Q2522" s="322">
        <v>1702000</v>
      </c>
      <c r="R2522" s="322">
        <v>1427200</v>
      </c>
      <c r="S2522" s="322">
        <v>1700000</v>
      </c>
      <c r="T2522" s="322">
        <v>1600000</v>
      </c>
      <c r="U2522" s="322">
        <f t="shared" si="175"/>
        <v>100000</v>
      </c>
      <c r="W2522" s="321">
        <f t="shared" si="176"/>
        <v>850</v>
      </c>
      <c r="X2522" s="321">
        <f t="shared" si="177"/>
        <v>816800</v>
      </c>
      <c r="Y2522" s="321">
        <v>1</v>
      </c>
      <c r="AA2522" s="321" t="s">
        <v>6014</v>
      </c>
    </row>
    <row r="2523" spans="13:27">
      <c r="M2523" s="321">
        <v>1816802810</v>
      </c>
      <c r="N2523" s="321">
        <v>81</v>
      </c>
      <c r="O2523" s="321" t="s">
        <v>6015</v>
      </c>
      <c r="P2523" s="321">
        <v>4816800</v>
      </c>
      <c r="Q2523" s="322">
        <v>400000</v>
      </c>
      <c r="R2523" s="322">
        <v>87200</v>
      </c>
      <c r="S2523" s="322">
        <v>0</v>
      </c>
      <c r="T2523" s="322">
        <v>0</v>
      </c>
      <c r="U2523" s="322">
        <f t="shared" si="175"/>
        <v>0</v>
      </c>
      <c r="W2523" s="321">
        <f t="shared" si="176"/>
        <v>810</v>
      </c>
      <c r="X2523" s="321">
        <f t="shared" si="177"/>
        <v>816802</v>
      </c>
      <c r="Y2523" s="321">
        <v>1</v>
      </c>
      <c r="AA2523" s="321" t="s">
        <v>6015</v>
      </c>
    </row>
    <row r="2524" spans="13:27">
      <c r="M2524" s="321">
        <v>1817100110</v>
      </c>
      <c r="N2524" s="321">
        <v>81</v>
      </c>
      <c r="O2524" s="321" t="s">
        <v>5205</v>
      </c>
      <c r="P2524" s="321">
        <v>4817100</v>
      </c>
      <c r="Q2524" s="322">
        <v>330000</v>
      </c>
      <c r="R2524" s="322">
        <v>185700</v>
      </c>
      <c r="S2524" s="322">
        <v>313000</v>
      </c>
      <c r="T2524" s="322">
        <v>313000</v>
      </c>
      <c r="U2524" s="322">
        <f t="shared" si="175"/>
        <v>0</v>
      </c>
      <c r="W2524" s="321">
        <f t="shared" si="176"/>
        <v>110</v>
      </c>
      <c r="X2524" s="321">
        <f t="shared" si="177"/>
        <v>817100</v>
      </c>
      <c r="Y2524" s="321">
        <v>1</v>
      </c>
      <c r="AA2524" s="321" t="s">
        <v>5205</v>
      </c>
    </row>
    <row r="2525" spans="13:27">
      <c r="M2525" s="321">
        <v>1817100120</v>
      </c>
      <c r="N2525" s="321">
        <v>81</v>
      </c>
      <c r="O2525" s="321" t="s">
        <v>5206</v>
      </c>
      <c r="P2525" s="321">
        <v>4817100</v>
      </c>
      <c r="Q2525" s="322">
        <v>96000</v>
      </c>
      <c r="R2525" s="322">
        <v>39100</v>
      </c>
      <c r="S2525" s="322">
        <v>63000</v>
      </c>
      <c r="T2525" s="322">
        <v>63000</v>
      </c>
      <c r="U2525" s="322">
        <f t="shared" si="175"/>
        <v>0</v>
      </c>
      <c r="W2525" s="321">
        <f t="shared" si="176"/>
        <v>120</v>
      </c>
      <c r="X2525" s="321">
        <f t="shared" si="177"/>
        <v>817100</v>
      </c>
      <c r="Y2525" s="321">
        <v>1</v>
      </c>
      <c r="AA2525" s="321" t="s">
        <v>5206</v>
      </c>
    </row>
    <row r="2526" spans="13:27">
      <c r="M2526" s="321">
        <v>1817100130</v>
      </c>
      <c r="N2526" s="321">
        <v>81</v>
      </c>
      <c r="O2526" s="321" t="s">
        <v>2576</v>
      </c>
      <c r="P2526" s="321">
        <v>4817100</v>
      </c>
      <c r="Q2526" s="322">
        <v>149000</v>
      </c>
      <c r="R2526" s="322">
        <v>99700</v>
      </c>
      <c r="S2526" s="322">
        <v>162000</v>
      </c>
      <c r="T2526" s="322">
        <v>145800</v>
      </c>
      <c r="U2526" s="322">
        <f t="shared" si="175"/>
        <v>16200</v>
      </c>
      <c r="W2526" s="321">
        <f t="shared" si="176"/>
        <v>130</v>
      </c>
      <c r="X2526" s="321">
        <f t="shared" si="177"/>
        <v>817100</v>
      </c>
      <c r="Y2526" s="321">
        <v>1</v>
      </c>
      <c r="AA2526" s="321" t="s">
        <v>2576</v>
      </c>
    </row>
    <row r="2527" spans="13:27">
      <c r="M2527" s="321">
        <v>1817100140</v>
      </c>
      <c r="N2527" s="321">
        <v>81</v>
      </c>
      <c r="O2527" s="321" t="s">
        <v>5207</v>
      </c>
      <c r="P2527" s="321">
        <v>4817100</v>
      </c>
      <c r="Q2527" s="322">
        <v>161000</v>
      </c>
      <c r="R2527" s="322">
        <v>70300</v>
      </c>
      <c r="S2527" s="322">
        <v>134000</v>
      </c>
      <c r="T2527" s="322">
        <v>134000</v>
      </c>
      <c r="U2527" s="322">
        <f t="shared" si="175"/>
        <v>0</v>
      </c>
      <c r="W2527" s="321">
        <f t="shared" si="176"/>
        <v>140</v>
      </c>
      <c r="X2527" s="321">
        <f t="shared" si="177"/>
        <v>817100</v>
      </c>
      <c r="Y2527" s="321">
        <v>1</v>
      </c>
      <c r="AA2527" s="321" t="s">
        <v>5207</v>
      </c>
    </row>
    <row r="2528" spans="13:27">
      <c r="M2528" s="321">
        <v>1817100141</v>
      </c>
      <c r="N2528" s="321">
        <v>81</v>
      </c>
      <c r="O2528" s="321" t="s">
        <v>5208</v>
      </c>
      <c r="P2528" s="321">
        <v>4817100</v>
      </c>
      <c r="Q2528" s="322">
        <v>15000</v>
      </c>
      <c r="R2528" s="322">
        <v>9100</v>
      </c>
      <c r="S2528" s="322">
        <v>15000</v>
      </c>
      <c r="T2528" s="322">
        <v>15000</v>
      </c>
      <c r="U2528" s="322">
        <f t="shared" si="175"/>
        <v>0</v>
      </c>
      <c r="W2528" s="321">
        <f t="shared" si="176"/>
        <v>141</v>
      </c>
      <c r="X2528" s="321">
        <f t="shared" si="177"/>
        <v>817100</v>
      </c>
      <c r="Y2528" s="321">
        <v>1</v>
      </c>
      <c r="AA2528" s="321" t="s">
        <v>5208</v>
      </c>
    </row>
    <row r="2529" spans="13:27">
      <c r="M2529" s="321">
        <v>1817100181</v>
      </c>
      <c r="N2529" s="321">
        <v>81</v>
      </c>
      <c r="O2529" s="321" t="s">
        <v>2580</v>
      </c>
      <c r="P2529" s="321">
        <v>4817100</v>
      </c>
      <c r="Q2529" s="322">
        <v>66000</v>
      </c>
      <c r="R2529" s="322">
        <v>36700</v>
      </c>
      <c r="S2529" s="322">
        <v>62000</v>
      </c>
      <c r="T2529" s="322">
        <v>62000</v>
      </c>
      <c r="U2529" s="322">
        <f t="shared" si="175"/>
        <v>0</v>
      </c>
      <c r="W2529" s="321">
        <f t="shared" si="176"/>
        <v>181</v>
      </c>
      <c r="X2529" s="321">
        <f t="shared" si="177"/>
        <v>817100</v>
      </c>
      <c r="Y2529" s="321">
        <v>1</v>
      </c>
      <c r="AA2529" s="321" t="s">
        <v>2580</v>
      </c>
    </row>
    <row r="2530" spans="13:27">
      <c r="M2530" s="321">
        <v>1817100182</v>
      </c>
      <c r="N2530" s="321">
        <v>81</v>
      </c>
      <c r="O2530" s="321" t="s">
        <v>2582</v>
      </c>
      <c r="P2530" s="321">
        <v>4817100</v>
      </c>
      <c r="Q2530" s="322">
        <v>103000</v>
      </c>
      <c r="R2530" s="322">
        <v>54800</v>
      </c>
      <c r="S2530" s="322">
        <v>96000</v>
      </c>
      <c r="T2530" s="322">
        <v>96000</v>
      </c>
      <c r="U2530" s="322">
        <f t="shared" si="175"/>
        <v>0</v>
      </c>
      <c r="W2530" s="321">
        <f t="shared" si="176"/>
        <v>182</v>
      </c>
      <c r="X2530" s="321">
        <f t="shared" si="177"/>
        <v>817100</v>
      </c>
      <c r="Y2530" s="321">
        <v>1</v>
      </c>
      <c r="AA2530" s="321" t="s">
        <v>2582</v>
      </c>
    </row>
    <row r="2531" spans="13:27">
      <c r="M2531" s="321">
        <v>1817100750</v>
      </c>
      <c r="N2531" s="321">
        <v>81</v>
      </c>
      <c r="O2531" s="321" t="s">
        <v>6016</v>
      </c>
      <c r="P2531" s="321">
        <v>4817100</v>
      </c>
      <c r="Q2531" s="322">
        <v>7000000</v>
      </c>
      <c r="R2531" s="322">
        <v>3635300</v>
      </c>
      <c r="S2531" s="322">
        <v>7700000</v>
      </c>
      <c r="T2531" s="322">
        <v>7700000</v>
      </c>
      <c r="U2531" s="322">
        <f t="shared" si="175"/>
        <v>0</v>
      </c>
      <c r="W2531" s="321">
        <f t="shared" si="176"/>
        <v>750</v>
      </c>
      <c r="X2531" s="321">
        <f t="shared" si="177"/>
        <v>817100</v>
      </c>
      <c r="Y2531" s="321">
        <v>1</v>
      </c>
      <c r="AA2531" s="321" t="s">
        <v>6016</v>
      </c>
    </row>
    <row r="2532" spans="13:27">
      <c r="M2532" s="321">
        <v>1817104750</v>
      </c>
      <c r="N2532" s="321">
        <v>81</v>
      </c>
      <c r="O2532" s="321" t="s">
        <v>6017</v>
      </c>
      <c r="P2532" s="321">
        <v>4817100</v>
      </c>
      <c r="Q2532" s="322">
        <v>4000000</v>
      </c>
      <c r="R2532" s="322">
        <v>2068900</v>
      </c>
      <c r="S2532" s="322">
        <v>4000000</v>
      </c>
      <c r="T2532" s="322">
        <v>4000000</v>
      </c>
      <c r="U2532" s="322">
        <f t="shared" si="175"/>
        <v>0</v>
      </c>
      <c r="W2532" s="321">
        <f t="shared" si="176"/>
        <v>750</v>
      </c>
      <c r="X2532" s="321">
        <f t="shared" si="177"/>
        <v>817104</v>
      </c>
      <c r="Y2532" s="321">
        <v>1</v>
      </c>
      <c r="AA2532" s="321" t="s">
        <v>6017</v>
      </c>
    </row>
    <row r="2533" spans="13:27">
      <c r="M2533" s="321">
        <v>1817200110</v>
      </c>
      <c r="N2533" s="321">
        <v>81</v>
      </c>
      <c r="O2533" s="321" t="s">
        <v>5205</v>
      </c>
      <c r="P2533" s="321">
        <v>4817200</v>
      </c>
      <c r="Q2533" s="322">
        <v>152000</v>
      </c>
      <c r="R2533" s="322">
        <v>104400</v>
      </c>
      <c r="S2533" s="322">
        <v>125000</v>
      </c>
      <c r="T2533" s="322">
        <v>125000</v>
      </c>
      <c r="U2533" s="322">
        <f t="shared" si="175"/>
        <v>0</v>
      </c>
      <c r="W2533" s="321">
        <f t="shared" si="176"/>
        <v>110</v>
      </c>
      <c r="X2533" s="321">
        <f t="shared" si="177"/>
        <v>817200</v>
      </c>
      <c r="Y2533" s="321">
        <v>1</v>
      </c>
      <c r="AA2533" s="321" t="s">
        <v>5205</v>
      </c>
    </row>
    <row r="2534" spans="13:27">
      <c r="M2534" s="321">
        <v>1817200120</v>
      </c>
      <c r="N2534" s="321">
        <v>81</v>
      </c>
      <c r="O2534" s="321" t="s">
        <v>5206</v>
      </c>
      <c r="P2534" s="321">
        <v>4817200</v>
      </c>
      <c r="Q2534" s="322">
        <v>15000</v>
      </c>
      <c r="R2534" s="322">
        <v>14500</v>
      </c>
      <c r="S2534" s="322">
        <v>15000</v>
      </c>
      <c r="T2534" s="322">
        <v>15000</v>
      </c>
      <c r="U2534" s="322">
        <f t="shared" si="175"/>
        <v>0</v>
      </c>
      <c r="W2534" s="321">
        <f t="shared" si="176"/>
        <v>120</v>
      </c>
      <c r="X2534" s="321">
        <f t="shared" si="177"/>
        <v>817200</v>
      </c>
      <c r="Y2534" s="321">
        <v>1</v>
      </c>
      <c r="AA2534" s="321" t="s">
        <v>5206</v>
      </c>
    </row>
    <row r="2535" spans="13:27">
      <c r="M2535" s="321">
        <v>1817200130</v>
      </c>
      <c r="N2535" s="321">
        <v>81</v>
      </c>
      <c r="O2535" s="321" t="s">
        <v>2576</v>
      </c>
      <c r="P2535" s="321">
        <v>4817200</v>
      </c>
      <c r="Q2535" s="322">
        <v>1000</v>
      </c>
      <c r="R2535" s="322">
        <v>0</v>
      </c>
      <c r="S2535" s="322">
        <v>0</v>
      </c>
      <c r="T2535" s="322">
        <v>0</v>
      </c>
      <c r="U2535" s="322">
        <f t="shared" si="175"/>
        <v>0</v>
      </c>
      <c r="W2535" s="321">
        <f t="shared" si="176"/>
        <v>130</v>
      </c>
      <c r="X2535" s="321">
        <f t="shared" si="177"/>
        <v>817200</v>
      </c>
      <c r="Y2535" s="321">
        <v>1</v>
      </c>
      <c r="AA2535" s="321" t="s">
        <v>2576</v>
      </c>
    </row>
    <row r="2536" spans="13:27">
      <c r="M2536" s="321">
        <v>1817200141</v>
      </c>
      <c r="N2536" s="321">
        <v>81</v>
      </c>
      <c r="O2536" s="321" t="s">
        <v>5208</v>
      </c>
      <c r="P2536" s="321">
        <v>4817200</v>
      </c>
      <c r="Q2536" s="322">
        <v>12000</v>
      </c>
      <c r="R2536" s="322">
        <v>6300</v>
      </c>
      <c r="S2536" s="322">
        <v>8000</v>
      </c>
      <c r="T2536" s="322">
        <v>8000</v>
      </c>
      <c r="U2536" s="322">
        <f t="shared" si="175"/>
        <v>0</v>
      </c>
      <c r="W2536" s="321">
        <f t="shared" si="176"/>
        <v>141</v>
      </c>
      <c r="X2536" s="321">
        <f t="shared" si="177"/>
        <v>817200</v>
      </c>
      <c r="Y2536" s="321">
        <v>1</v>
      </c>
      <c r="AA2536" s="321" t="s">
        <v>5208</v>
      </c>
    </row>
    <row r="2537" spans="13:27">
      <c r="M2537" s="321">
        <v>1817200181</v>
      </c>
      <c r="N2537" s="321">
        <v>81</v>
      </c>
      <c r="O2537" s="321" t="s">
        <v>2580</v>
      </c>
      <c r="P2537" s="321">
        <v>4817200</v>
      </c>
      <c r="Q2537" s="322">
        <v>19000</v>
      </c>
      <c r="R2537" s="322">
        <v>18800</v>
      </c>
      <c r="S2537" s="322">
        <v>21000</v>
      </c>
      <c r="T2537" s="322">
        <v>21000</v>
      </c>
      <c r="U2537" s="322">
        <f t="shared" si="175"/>
        <v>0</v>
      </c>
      <c r="W2537" s="321">
        <f t="shared" si="176"/>
        <v>181</v>
      </c>
      <c r="X2537" s="321">
        <f t="shared" si="177"/>
        <v>817200</v>
      </c>
      <c r="Y2537" s="321">
        <v>1</v>
      </c>
      <c r="AA2537" s="321" t="s">
        <v>2580</v>
      </c>
    </row>
    <row r="2538" spans="13:27">
      <c r="M2538" s="321">
        <v>1817200182</v>
      </c>
      <c r="N2538" s="321">
        <v>81</v>
      </c>
      <c r="O2538" s="321" t="s">
        <v>2582</v>
      </c>
      <c r="P2538" s="321">
        <v>4817200</v>
      </c>
      <c r="Q2538" s="322">
        <v>23000</v>
      </c>
      <c r="R2538" s="322">
        <v>14800</v>
      </c>
      <c r="S2538" s="322">
        <v>20000</v>
      </c>
      <c r="T2538" s="322">
        <v>20000</v>
      </c>
      <c r="U2538" s="322">
        <f t="shared" si="175"/>
        <v>0</v>
      </c>
      <c r="W2538" s="321">
        <f t="shared" si="176"/>
        <v>182</v>
      </c>
      <c r="X2538" s="321">
        <f t="shared" si="177"/>
        <v>817200</v>
      </c>
      <c r="Y2538" s="321">
        <v>1</v>
      </c>
      <c r="AA2538" s="321" t="s">
        <v>2582</v>
      </c>
    </row>
    <row r="2539" spans="13:27">
      <c r="M2539" s="321">
        <v>1817200210</v>
      </c>
      <c r="N2539" s="321">
        <v>81</v>
      </c>
      <c r="O2539" s="321" t="s">
        <v>5619</v>
      </c>
      <c r="P2539" s="321">
        <v>4810000</v>
      </c>
      <c r="Q2539" s="322">
        <v>0</v>
      </c>
      <c r="R2539" s="322">
        <v>0</v>
      </c>
      <c r="S2539" s="322">
        <v>0</v>
      </c>
      <c r="T2539" s="322">
        <v>0</v>
      </c>
      <c r="U2539" s="322">
        <f t="shared" si="175"/>
        <v>0</v>
      </c>
      <c r="W2539" s="321">
        <f t="shared" si="176"/>
        <v>210</v>
      </c>
      <c r="X2539" s="321">
        <f t="shared" si="177"/>
        <v>817200</v>
      </c>
      <c r="Y2539" s="321">
        <v>1</v>
      </c>
      <c r="AA2539" s="321" t="s">
        <v>5619</v>
      </c>
    </row>
    <row r="2540" spans="13:27">
      <c r="M2540" s="321">
        <v>1817200420</v>
      </c>
      <c r="N2540" s="321">
        <v>81</v>
      </c>
      <c r="O2540" s="321" t="s">
        <v>6018</v>
      </c>
      <c r="P2540" s="321">
        <v>4817200</v>
      </c>
      <c r="Q2540" s="322">
        <v>100000</v>
      </c>
      <c r="R2540" s="322">
        <v>65400</v>
      </c>
      <c r="S2540" s="322">
        <v>100000</v>
      </c>
      <c r="T2540" s="322">
        <v>100000</v>
      </c>
      <c r="U2540" s="322">
        <f t="shared" si="175"/>
        <v>0</v>
      </c>
      <c r="W2540" s="321">
        <f t="shared" si="176"/>
        <v>420</v>
      </c>
      <c r="X2540" s="321">
        <f t="shared" si="177"/>
        <v>817200</v>
      </c>
      <c r="Y2540" s="321">
        <v>1</v>
      </c>
      <c r="AA2540" s="321" t="s">
        <v>6018</v>
      </c>
    </row>
    <row r="2541" spans="13:27">
      <c r="M2541" s="321">
        <v>1817200470</v>
      </c>
      <c r="N2541" s="321">
        <v>81</v>
      </c>
      <c r="O2541" s="321" t="s">
        <v>2830</v>
      </c>
      <c r="P2541" s="321">
        <v>4817200</v>
      </c>
      <c r="Q2541" s="322">
        <v>2600</v>
      </c>
      <c r="R2541" s="322">
        <v>1900</v>
      </c>
      <c r="S2541" s="322">
        <v>2600</v>
      </c>
      <c r="T2541" s="322">
        <v>2600</v>
      </c>
      <c r="U2541" s="322">
        <f t="shared" si="175"/>
        <v>0</v>
      </c>
      <c r="W2541" s="321">
        <f t="shared" si="176"/>
        <v>470</v>
      </c>
      <c r="X2541" s="321">
        <f t="shared" si="177"/>
        <v>817200</v>
      </c>
      <c r="Y2541" s="321">
        <v>1</v>
      </c>
      <c r="AA2541" s="321" t="s">
        <v>2830</v>
      </c>
    </row>
    <row r="2542" spans="13:27">
      <c r="M2542" s="321">
        <v>1817200471</v>
      </c>
      <c r="N2542" s="321">
        <v>81</v>
      </c>
      <c r="O2542" s="321" t="s">
        <v>5212</v>
      </c>
      <c r="P2542" s="321">
        <v>4817200</v>
      </c>
      <c r="Q2542" s="322">
        <v>3500</v>
      </c>
      <c r="R2542" s="322">
        <v>0</v>
      </c>
      <c r="S2542" s="322">
        <v>3700</v>
      </c>
      <c r="T2542" s="322">
        <v>3700</v>
      </c>
      <c r="U2542" s="322">
        <f t="shared" si="175"/>
        <v>0</v>
      </c>
      <c r="W2542" s="321">
        <f t="shared" si="176"/>
        <v>471</v>
      </c>
      <c r="X2542" s="321">
        <f t="shared" si="177"/>
        <v>817200</v>
      </c>
      <c r="Y2542" s="321">
        <v>1</v>
      </c>
      <c r="AA2542" s="321" t="s">
        <v>5212</v>
      </c>
    </row>
    <row r="2543" spans="13:27">
      <c r="M2543" s="321">
        <v>1817200540</v>
      </c>
      <c r="N2543" s="321">
        <v>81</v>
      </c>
      <c r="O2543" s="321" t="s">
        <v>5216</v>
      </c>
      <c r="P2543" s="321">
        <v>4817200</v>
      </c>
      <c r="Q2543" s="322">
        <v>7000</v>
      </c>
      <c r="R2543" s="322">
        <v>4300</v>
      </c>
      <c r="S2543" s="322">
        <v>7000</v>
      </c>
      <c r="T2543" s="322">
        <v>7000</v>
      </c>
      <c r="U2543" s="322">
        <f t="shared" si="175"/>
        <v>0</v>
      </c>
      <c r="W2543" s="321">
        <f t="shared" si="176"/>
        <v>540</v>
      </c>
      <c r="X2543" s="321">
        <f t="shared" si="177"/>
        <v>817200</v>
      </c>
      <c r="Y2543" s="321">
        <v>1</v>
      </c>
      <c r="AA2543" s="321" t="s">
        <v>5216</v>
      </c>
    </row>
    <row r="2544" spans="13:27">
      <c r="M2544" s="321">
        <v>1817200750</v>
      </c>
      <c r="N2544" s="321">
        <v>81</v>
      </c>
      <c r="O2544" s="321" t="s">
        <v>6019</v>
      </c>
      <c r="P2544" s="321">
        <v>4817200</v>
      </c>
      <c r="Q2544" s="322">
        <v>0</v>
      </c>
      <c r="R2544" s="322">
        <v>0</v>
      </c>
      <c r="S2544" s="322">
        <v>0</v>
      </c>
      <c r="T2544" s="322">
        <v>0</v>
      </c>
      <c r="U2544" s="322">
        <f t="shared" si="175"/>
        <v>0</v>
      </c>
      <c r="W2544" s="321">
        <f t="shared" si="176"/>
        <v>750</v>
      </c>
      <c r="X2544" s="321">
        <f t="shared" si="177"/>
        <v>817200</v>
      </c>
      <c r="Y2544" s="321">
        <v>1</v>
      </c>
      <c r="AA2544" s="321" t="s">
        <v>6019</v>
      </c>
    </row>
    <row r="2545" spans="13:27">
      <c r="M2545" s="321">
        <v>1817200755</v>
      </c>
      <c r="N2545" s="321">
        <v>81</v>
      </c>
      <c r="O2545" s="321" t="s">
        <v>6020</v>
      </c>
      <c r="P2545" s="321">
        <v>4817200</v>
      </c>
      <c r="Q2545" s="322">
        <v>100000</v>
      </c>
      <c r="R2545" s="322">
        <v>63300</v>
      </c>
      <c r="S2545" s="322">
        <v>120000</v>
      </c>
      <c r="T2545" s="322">
        <v>120000</v>
      </c>
      <c r="U2545" s="322">
        <f t="shared" si="175"/>
        <v>0</v>
      </c>
      <c r="W2545" s="321">
        <f t="shared" si="176"/>
        <v>755</v>
      </c>
      <c r="X2545" s="321">
        <f t="shared" si="177"/>
        <v>817200</v>
      </c>
      <c r="Y2545" s="321">
        <v>1</v>
      </c>
      <c r="AA2545" s="321" t="s">
        <v>6020</v>
      </c>
    </row>
    <row r="2546" spans="13:27">
      <c r="M2546" s="321">
        <v>1817200760</v>
      </c>
      <c r="N2546" s="321">
        <v>81</v>
      </c>
      <c r="O2546" s="321" t="s">
        <v>6021</v>
      </c>
      <c r="P2546" s="321">
        <v>4817200</v>
      </c>
      <c r="Q2546" s="322">
        <v>20000</v>
      </c>
      <c r="R2546" s="322">
        <v>0</v>
      </c>
      <c r="S2546" s="322">
        <v>20000</v>
      </c>
      <c r="T2546" s="322">
        <v>20000</v>
      </c>
      <c r="U2546" s="322">
        <f t="shared" si="175"/>
        <v>0</v>
      </c>
      <c r="W2546" s="321">
        <f t="shared" si="176"/>
        <v>760</v>
      </c>
      <c r="X2546" s="321">
        <f t="shared" si="177"/>
        <v>817200</v>
      </c>
      <c r="Y2546" s="321">
        <v>1</v>
      </c>
      <c r="AA2546" s="321" t="s">
        <v>6021</v>
      </c>
    </row>
    <row r="2547" spans="13:27">
      <c r="M2547" s="321">
        <v>1817200771</v>
      </c>
      <c r="N2547" s="321">
        <v>81</v>
      </c>
      <c r="O2547" s="321" t="s">
        <v>6022</v>
      </c>
      <c r="P2547" s="321">
        <v>4817200</v>
      </c>
      <c r="Q2547" s="322">
        <v>285000</v>
      </c>
      <c r="R2547" s="322">
        <v>222500</v>
      </c>
      <c r="S2547" s="322">
        <v>285000</v>
      </c>
      <c r="T2547" s="322">
        <v>285000</v>
      </c>
      <c r="U2547" s="322">
        <f t="shared" si="175"/>
        <v>0</v>
      </c>
      <c r="W2547" s="321">
        <f t="shared" si="176"/>
        <v>771</v>
      </c>
      <c r="X2547" s="321">
        <f t="shared" si="177"/>
        <v>817200</v>
      </c>
      <c r="Y2547" s="321">
        <v>1</v>
      </c>
      <c r="AA2547" s="321" t="s">
        <v>6022</v>
      </c>
    </row>
    <row r="2548" spans="13:27">
      <c r="M2548" s="321">
        <v>1817200772</v>
      </c>
      <c r="N2548" s="321">
        <v>81</v>
      </c>
      <c r="O2548" s="321" t="s">
        <v>6023</v>
      </c>
      <c r="P2548" s="321">
        <v>4817200</v>
      </c>
      <c r="Q2548" s="322">
        <v>37000</v>
      </c>
      <c r="R2548" s="322">
        <v>15600</v>
      </c>
      <c r="S2548" s="322">
        <v>37000</v>
      </c>
      <c r="T2548" s="322">
        <v>37000</v>
      </c>
      <c r="U2548" s="322">
        <f t="shared" si="175"/>
        <v>0</v>
      </c>
      <c r="W2548" s="321">
        <f t="shared" si="176"/>
        <v>772</v>
      </c>
      <c r="X2548" s="321">
        <f t="shared" si="177"/>
        <v>817200</v>
      </c>
      <c r="Y2548" s="321">
        <v>1</v>
      </c>
      <c r="AA2548" s="321" t="s">
        <v>6023</v>
      </c>
    </row>
    <row r="2549" spans="13:27">
      <c r="M2549" s="321">
        <v>1817300110</v>
      </c>
      <c r="N2549" s="321">
        <v>81</v>
      </c>
      <c r="O2549" s="321" t="s">
        <v>5205</v>
      </c>
      <c r="P2549" s="321">
        <v>4817300</v>
      </c>
      <c r="Q2549" s="322">
        <v>3517000</v>
      </c>
      <c r="R2549" s="322">
        <v>2437800</v>
      </c>
      <c r="S2549" s="322">
        <v>3703000</v>
      </c>
      <c r="T2549" s="322">
        <v>3703000</v>
      </c>
      <c r="U2549" s="322">
        <f t="shared" si="175"/>
        <v>0</v>
      </c>
      <c r="W2549" s="321">
        <f t="shared" si="176"/>
        <v>110</v>
      </c>
      <c r="X2549" s="321">
        <f t="shared" si="177"/>
        <v>817300</v>
      </c>
      <c r="Y2549" s="321">
        <v>1</v>
      </c>
      <c r="AA2549" s="321" t="s">
        <v>5205</v>
      </c>
    </row>
    <row r="2550" spans="13:27">
      <c r="M2550" s="321">
        <v>1817300120</v>
      </c>
      <c r="N2550" s="321">
        <v>81</v>
      </c>
      <c r="O2550" s="321" t="s">
        <v>5206</v>
      </c>
      <c r="P2550" s="321">
        <v>4817300</v>
      </c>
      <c r="Q2550" s="322">
        <v>388000</v>
      </c>
      <c r="R2550" s="322">
        <v>229100</v>
      </c>
      <c r="S2550" s="322">
        <v>258000</v>
      </c>
      <c r="T2550" s="322">
        <v>258000</v>
      </c>
      <c r="U2550" s="322">
        <f t="shared" si="175"/>
        <v>0</v>
      </c>
      <c r="W2550" s="321">
        <f t="shared" si="176"/>
        <v>120</v>
      </c>
      <c r="X2550" s="321">
        <f t="shared" si="177"/>
        <v>817300</v>
      </c>
      <c r="Y2550" s="321">
        <v>1</v>
      </c>
      <c r="AA2550" s="321" t="s">
        <v>5206</v>
      </c>
    </row>
    <row r="2551" spans="13:27">
      <c r="M2551" s="321">
        <v>1817300130</v>
      </c>
      <c r="N2551" s="321">
        <v>81</v>
      </c>
      <c r="O2551" s="321" t="s">
        <v>2576</v>
      </c>
      <c r="P2551" s="321">
        <v>4817300</v>
      </c>
      <c r="Q2551" s="322">
        <v>349000</v>
      </c>
      <c r="R2551" s="322">
        <v>310400</v>
      </c>
      <c r="S2551" s="322">
        <v>387000</v>
      </c>
      <c r="T2551" s="322">
        <v>348300</v>
      </c>
      <c r="U2551" s="322">
        <f t="shared" si="175"/>
        <v>38700</v>
      </c>
      <c r="W2551" s="321">
        <f t="shared" si="176"/>
        <v>130</v>
      </c>
      <c r="X2551" s="321">
        <f t="shared" si="177"/>
        <v>817300</v>
      </c>
      <c r="Y2551" s="321">
        <v>1</v>
      </c>
      <c r="AA2551" s="321" t="s">
        <v>2576</v>
      </c>
    </row>
    <row r="2552" spans="13:27">
      <c r="M2552" s="321">
        <v>1817300140</v>
      </c>
      <c r="N2552" s="321">
        <v>81</v>
      </c>
      <c r="O2552" s="321" t="s">
        <v>5207</v>
      </c>
      <c r="P2552" s="321">
        <v>4817300</v>
      </c>
      <c r="Q2552" s="322">
        <v>615000</v>
      </c>
      <c r="R2552" s="322">
        <v>425800</v>
      </c>
      <c r="S2552" s="322">
        <v>686000</v>
      </c>
      <c r="T2552" s="322">
        <v>686000</v>
      </c>
      <c r="U2552" s="322">
        <f t="shared" si="175"/>
        <v>0</v>
      </c>
      <c r="W2552" s="321">
        <f t="shared" si="176"/>
        <v>140</v>
      </c>
      <c r="X2552" s="321">
        <f t="shared" si="177"/>
        <v>817300</v>
      </c>
      <c r="Y2552" s="321">
        <v>1</v>
      </c>
      <c r="AA2552" s="321" t="s">
        <v>5207</v>
      </c>
    </row>
    <row r="2553" spans="13:27">
      <c r="M2553" s="321">
        <v>1817300141</v>
      </c>
      <c r="N2553" s="321">
        <v>81</v>
      </c>
      <c r="O2553" s="321" t="s">
        <v>5208</v>
      </c>
      <c r="P2553" s="321">
        <v>4817300</v>
      </c>
      <c r="Q2553" s="322">
        <v>215000</v>
      </c>
      <c r="R2553" s="322">
        <v>183400</v>
      </c>
      <c r="S2553" s="322">
        <v>285000</v>
      </c>
      <c r="T2553" s="322">
        <v>285000</v>
      </c>
      <c r="U2553" s="322">
        <f t="shared" si="175"/>
        <v>0</v>
      </c>
      <c r="W2553" s="321">
        <f t="shared" si="176"/>
        <v>141</v>
      </c>
      <c r="X2553" s="321">
        <f t="shared" si="177"/>
        <v>817300</v>
      </c>
      <c r="Y2553" s="321">
        <v>1</v>
      </c>
      <c r="AA2553" s="321" t="s">
        <v>5208</v>
      </c>
    </row>
    <row r="2554" spans="13:27">
      <c r="M2554" s="321">
        <v>1817300181</v>
      </c>
      <c r="N2554" s="321">
        <v>81</v>
      </c>
      <c r="O2554" s="321" t="s">
        <v>2580</v>
      </c>
      <c r="P2554" s="321">
        <v>4817300</v>
      </c>
      <c r="Q2554" s="322">
        <v>1031000</v>
      </c>
      <c r="R2554" s="322">
        <v>591400</v>
      </c>
      <c r="S2554" s="322">
        <v>871000</v>
      </c>
      <c r="T2554" s="322">
        <v>871000</v>
      </c>
      <c r="U2554" s="322">
        <f t="shared" si="175"/>
        <v>0</v>
      </c>
      <c r="W2554" s="321">
        <f t="shared" si="176"/>
        <v>181</v>
      </c>
      <c r="X2554" s="321">
        <f t="shared" si="177"/>
        <v>817300</v>
      </c>
      <c r="Y2554" s="321">
        <v>1</v>
      </c>
      <c r="AA2554" s="321" t="s">
        <v>2580</v>
      </c>
    </row>
    <row r="2555" spans="13:27">
      <c r="M2555" s="321">
        <v>1817300182</v>
      </c>
      <c r="N2555" s="321">
        <v>81</v>
      </c>
      <c r="O2555" s="321" t="s">
        <v>2582</v>
      </c>
      <c r="P2555" s="321">
        <v>4817300</v>
      </c>
      <c r="Q2555" s="322">
        <v>733000</v>
      </c>
      <c r="R2555" s="322">
        <v>514300</v>
      </c>
      <c r="S2555" s="322">
        <v>776000</v>
      </c>
      <c r="T2555" s="322">
        <v>776000</v>
      </c>
      <c r="U2555" s="322">
        <f t="shared" si="175"/>
        <v>0</v>
      </c>
      <c r="W2555" s="321">
        <f t="shared" si="176"/>
        <v>182</v>
      </c>
      <c r="X2555" s="321">
        <f t="shared" si="177"/>
        <v>817300</v>
      </c>
      <c r="Y2555" s="321">
        <v>1</v>
      </c>
      <c r="AA2555" s="321" t="s">
        <v>2582</v>
      </c>
    </row>
    <row r="2556" spans="13:27">
      <c r="M2556" s="321">
        <v>1817300433</v>
      </c>
      <c r="N2556" s="321">
        <v>81</v>
      </c>
      <c r="O2556" s="321" t="s">
        <v>2655</v>
      </c>
      <c r="P2556" s="321">
        <v>4817300</v>
      </c>
      <c r="Q2556" s="322">
        <v>1500</v>
      </c>
      <c r="R2556" s="322">
        <v>1000</v>
      </c>
      <c r="S2556" s="322">
        <v>1500</v>
      </c>
      <c r="T2556" s="322">
        <v>1500</v>
      </c>
      <c r="U2556" s="322">
        <f t="shared" si="175"/>
        <v>0</v>
      </c>
      <c r="W2556" s="321">
        <f t="shared" si="176"/>
        <v>433</v>
      </c>
      <c r="X2556" s="321">
        <f t="shared" si="177"/>
        <v>817300</v>
      </c>
      <c r="Y2556" s="321">
        <v>1</v>
      </c>
      <c r="AA2556" s="321" t="s">
        <v>2655</v>
      </c>
    </row>
    <row r="2557" spans="13:27">
      <c r="M2557" s="321">
        <v>1817300470</v>
      </c>
      <c r="N2557" s="321">
        <v>81</v>
      </c>
      <c r="O2557" s="321" t="s">
        <v>2830</v>
      </c>
      <c r="P2557" s="321">
        <v>4817300</v>
      </c>
      <c r="Q2557" s="322">
        <v>10200</v>
      </c>
      <c r="R2557" s="322">
        <v>7100</v>
      </c>
      <c r="S2557" s="322">
        <v>10200</v>
      </c>
      <c r="T2557" s="322">
        <v>10200</v>
      </c>
      <c r="U2557" s="322">
        <f t="shared" si="175"/>
        <v>0</v>
      </c>
      <c r="W2557" s="321">
        <f t="shared" si="176"/>
        <v>470</v>
      </c>
      <c r="X2557" s="321">
        <f t="shared" si="177"/>
        <v>817300</v>
      </c>
      <c r="Y2557" s="321">
        <v>1</v>
      </c>
      <c r="AA2557" s="321" t="s">
        <v>2830</v>
      </c>
    </row>
    <row r="2558" spans="13:27">
      <c r="M2558" s="321">
        <v>1817300471</v>
      </c>
      <c r="N2558" s="321">
        <v>81</v>
      </c>
      <c r="O2558" s="321" t="s">
        <v>5212</v>
      </c>
      <c r="P2558" s="321">
        <v>4817300</v>
      </c>
      <c r="Q2558" s="322">
        <v>3500</v>
      </c>
      <c r="R2558" s="322">
        <v>0</v>
      </c>
      <c r="S2558" s="322">
        <v>3700</v>
      </c>
      <c r="T2558" s="322">
        <v>3700</v>
      </c>
      <c r="U2558" s="322">
        <f t="shared" si="175"/>
        <v>0</v>
      </c>
      <c r="W2558" s="321">
        <f t="shared" si="176"/>
        <v>471</v>
      </c>
      <c r="X2558" s="321">
        <f t="shared" si="177"/>
        <v>817300</v>
      </c>
      <c r="Y2558" s="321">
        <v>1</v>
      </c>
      <c r="AA2558" s="321" t="s">
        <v>5212</v>
      </c>
    </row>
    <row r="2559" spans="13:27">
      <c r="M2559" s="321">
        <v>1817300521</v>
      </c>
      <c r="N2559" s="321">
        <v>81</v>
      </c>
      <c r="O2559" s="321" t="s">
        <v>2734</v>
      </c>
      <c r="P2559" s="321">
        <v>4817300</v>
      </c>
      <c r="Q2559" s="322">
        <v>100000</v>
      </c>
      <c r="R2559" s="322">
        <v>83900</v>
      </c>
      <c r="S2559" s="322">
        <v>150000</v>
      </c>
      <c r="T2559" s="322">
        <v>150000</v>
      </c>
      <c r="U2559" s="322">
        <f t="shared" si="175"/>
        <v>0</v>
      </c>
      <c r="W2559" s="321">
        <f t="shared" si="176"/>
        <v>521</v>
      </c>
      <c r="X2559" s="321">
        <f t="shared" si="177"/>
        <v>817300</v>
      </c>
      <c r="Y2559" s="321">
        <v>1</v>
      </c>
      <c r="AA2559" s="321" t="s">
        <v>2734</v>
      </c>
    </row>
    <row r="2560" spans="13:27">
      <c r="M2560" s="321">
        <v>1817300523</v>
      </c>
      <c r="N2560" s="321">
        <v>81</v>
      </c>
      <c r="O2560" s="321" t="s">
        <v>2615</v>
      </c>
      <c r="P2560" s="321">
        <v>4817300</v>
      </c>
      <c r="Q2560" s="322">
        <v>27000</v>
      </c>
      <c r="R2560" s="322">
        <v>0</v>
      </c>
      <c r="S2560" s="322">
        <v>27000</v>
      </c>
      <c r="T2560" s="322">
        <v>27000</v>
      </c>
      <c r="U2560" s="322">
        <f t="shared" si="175"/>
        <v>0</v>
      </c>
      <c r="W2560" s="321">
        <f t="shared" si="176"/>
        <v>523</v>
      </c>
      <c r="X2560" s="321">
        <f t="shared" si="177"/>
        <v>817300</v>
      </c>
      <c r="Y2560" s="321">
        <v>1</v>
      </c>
      <c r="AA2560" s="321" t="s">
        <v>2615</v>
      </c>
    </row>
    <row r="2561" spans="13:27">
      <c r="M2561" s="321">
        <v>1817300530</v>
      </c>
      <c r="N2561" s="321">
        <v>81</v>
      </c>
      <c r="O2561" s="321" t="s">
        <v>6024</v>
      </c>
      <c r="P2561" s="321">
        <v>4817300</v>
      </c>
      <c r="Q2561" s="322">
        <v>35000</v>
      </c>
      <c r="R2561" s="322">
        <v>0</v>
      </c>
      <c r="S2561" s="322">
        <v>0</v>
      </c>
      <c r="T2561" s="322">
        <v>0</v>
      </c>
      <c r="U2561" s="322">
        <f t="shared" si="175"/>
        <v>0</v>
      </c>
      <c r="W2561" s="321">
        <f t="shared" si="176"/>
        <v>530</v>
      </c>
      <c r="X2561" s="321">
        <f t="shared" si="177"/>
        <v>817300</v>
      </c>
      <c r="Y2561" s="321">
        <v>1</v>
      </c>
      <c r="AA2561" s="321" t="s">
        <v>6024</v>
      </c>
    </row>
    <row r="2562" spans="13:27">
      <c r="M2562" s="321">
        <v>1817300540</v>
      </c>
      <c r="N2562" s="321">
        <v>81</v>
      </c>
      <c r="O2562" s="321" t="s">
        <v>5216</v>
      </c>
      <c r="P2562" s="321">
        <v>4817300</v>
      </c>
      <c r="Q2562" s="322">
        <v>37000</v>
      </c>
      <c r="R2562" s="322">
        <v>19400</v>
      </c>
      <c r="S2562" s="322">
        <v>37000</v>
      </c>
      <c r="T2562" s="322">
        <v>37000</v>
      </c>
      <c r="U2562" s="322">
        <f t="shared" ref="U2562:U2625" si="178">S2562-T2562</f>
        <v>0</v>
      </c>
      <c r="W2562" s="321">
        <f t="shared" si="176"/>
        <v>540</v>
      </c>
      <c r="X2562" s="321">
        <f t="shared" si="177"/>
        <v>817300</v>
      </c>
      <c r="Y2562" s="321">
        <v>1</v>
      </c>
      <c r="AA2562" s="321" t="s">
        <v>5216</v>
      </c>
    </row>
    <row r="2563" spans="13:27">
      <c r="M2563" s="321">
        <v>1817300542</v>
      </c>
      <c r="N2563" s="321">
        <v>81</v>
      </c>
      <c r="O2563" s="321" t="s">
        <v>6025</v>
      </c>
      <c r="P2563" s="321">
        <v>4817300</v>
      </c>
      <c r="Q2563" s="322">
        <v>39700</v>
      </c>
      <c r="R2563" s="322">
        <v>25300</v>
      </c>
      <c r="S2563" s="322">
        <v>43000</v>
      </c>
      <c r="T2563" s="322">
        <v>43000</v>
      </c>
      <c r="U2563" s="322">
        <f t="shared" si="178"/>
        <v>0</v>
      </c>
      <c r="W2563" s="321">
        <f t="shared" ref="W2563:W2626" si="179">M2563-1000000000-X2563*1000</f>
        <v>542</v>
      </c>
      <c r="X2563" s="321">
        <f t="shared" ref="X2563:X2626" si="180">ROUNDDOWN((M2563-1000000000)/1000,0)</f>
        <v>817300</v>
      </c>
      <c r="Y2563" s="321">
        <v>1</v>
      </c>
      <c r="AA2563" s="321" t="s">
        <v>6025</v>
      </c>
    </row>
    <row r="2564" spans="13:27">
      <c r="M2564" s="321">
        <v>1817300720</v>
      </c>
      <c r="N2564" s="321">
        <v>81</v>
      </c>
      <c r="O2564" s="321" t="s">
        <v>2705</v>
      </c>
      <c r="P2564" s="321">
        <v>4817300</v>
      </c>
      <c r="Q2564" s="322">
        <v>25000</v>
      </c>
      <c r="R2564" s="322">
        <v>100</v>
      </c>
      <c r="S2564" s="322">
        <v>30000</v>
      </c>
      <c r="T2564" s="322">
        <v>30000</v>
      </c>
      <c r="U2564" s="322">
        <f t="shared" si="178"/>
        <v>0</v>
      </c>
      <c r="W2564" s="321">
        <f t="shared" si="179"/>
        <v>720</v>
      </c>
      <c r="X2564" s="321">
        <f t="shared" si="180"/>
        <v>817300</v>
      </c>
      <c r="Y2564" s="321">
        <v>1</v>
      </c>
      <c r="AA2564" s="321" t="s">
        <v>2705</v>
      </c>
    </row>
    <row r="2565" spans="13:27">
      <c r="M2565" s="321">
        <v>1817300764</v>
      </c>
      <c r="N2565" s="321">
        <v>81</v>
      </c>
      <c r="O2565" s="321" t="s">
        <v>6026</v>
      </c>
      <c r="P2565" s="321">
        <v>4817300</v>
      </c>
      <c r="Q2565" s="322">
        <v>247000</v>
      </c>
      <c r="R2565" s="322">
        <v>153500</v>
      </c>
      <c r="S2565" s="322">
        <v>247000</v>
      </c>
      <c r="T2565" s="322">
        <v>247000</v>
      </c>
      <c r="U2565" s="322">
        <f t="shared" si="178"/>
        <v>0</v>
      </c>
      <c r="W2565" s="321">
        <f t="shared" si="179"/>
        <v>764</v>
      </c>
      <c r="X2565" s="321">
        <f t="shared" si="180"/>
        <v>817300</v>
      </c>
      <c r="Y2565" s="321">
        <v>1</v>
      </c>
      <c r="AA2565" s="321" t="s">
        <v>6026</v>
      </c>
    </row>
    <row r="2566" spans="13:27">
      <c r="M2566" s="321">
        <v>1817300771</v>
      </c>
      <c r="N2566" s="321">
        <v>81</v>
      </c>
      <c r="O2566" s="321" t="s">
        <v>6027</v>
      </c>
      <c r="P2566" s="321">
        <v>4817300</v>
      </c>
      <c r="Q2566" s="322">
        <v>17000</v>
      </c>
      <c r="R2566" s="322">
        <v>19500</v>
      </c>
      <c r="S2566" s="322">
        <v>30000</v>
      </c>
      <c r="T2566" s="322">
        <v>30000</v>
      </c>
      <c r="U2566" s="322">
        <f t="shared" si="178"/>
        <v>0</v>
      </c>
      <c r="W2566" s="321">
        <f t="shared" si="179"/>
        <v>771</v>
      </c>
      <c r="X2566" s="321">
        <f t="shared" si="180"/>
        <v>817300</v>
      </c>
      <c r="Y2566" s="321">
        <v>1</v>
      </c>
      <c r="AA2566" s="321" t="s">
        <v>6027</v>
      </c>
    </row>
    <row r="2567" spans="13:27">
      <c r="M2567" s="321">
        <v>1817300772</v>
      </c>
      <c r="N2567" s="321">
        <v>81</v>
      </c>
      <c r="O2567" s="321" t="s">
        <v>6028</v>
      </c>
      <c r="P2567" s="321">
        <v>4817300</v>
      </c>
      <c r="Q2567" s="322">
        <v>7000</v>
      </c>
      <c r="R2567" s="322">
        <v>1600</v>
      </c>
      <c r="S2567" s="322">
        <v>7000</v>
      </c>
      <c r="T2567" s="322">
        <v>7000</v>
      </c>
      <c r="U2567" s="322">
        <f t="shared" si="178"/>
        <v>0</v>
      </c>
      <c r="W2567" s="321">
        <f t="shared" si="179"/>
        <v>772</v>
      </c>
      <c r="X2567" s="321">
        <f t="shared" si="180"/>
        <v>817300</v>
      </c>
      <c r="Y2567" s="321">
        <v>1</v>
      </c>
      <c r="AA2567" s="321" t="s">
        <v>6028</v>
      </c>
    </row>
    <row r="2568" spans="13:27">
      <c r="M2568" s="321">
        <v>1817500441</v>
      </c>
      <c r="N2568" s="321">
        <v>81</v>
      </c>
      <c r="O2568" s="321" t="s">
        <v>4975</v>
      </c>
      <c r="P2568" s="321">
        <v>4817500</v>
      </c>
      <c r="Q2568" s="322">
        <v>1800000</v>
      </c>
      <c r="R2568" s="322">
        <v>251800</v>
      </c>
      <c r="S2568" s="322">
        <v>2700000</v>
      </c>
      <c r="T2568" s="322">
        <v>2700000</v>
      </c>
      <c r="U2568" s="322">
        <f t="shared" si="178"/>
        <v>0</v>
      </c>
      <c r="W2568" s="321">
        <f t="shared" si="179"/>
        <v>441</v>
      </c>
      <c r="X2568" s="321">
        <f t="shared" si="180"/>
        <v>817500</v>
      </c>
      <c r="Y2568" s="321">
        <v>1</v>
      </c>
      <c r="AA2568" s="321" t="s">
        <v>4975</v>
      </c>
    </row>
    <row r="2569" spans="13:27">
      <c r="M2569" s="321">
        <v>1817600110</v>
      </c>
      <c r="N2569" s="321">
        <v>81</v>
      </c>
      <c r="O2569" s="321" t="s">
        <v>5205</v>
      </c>
      <c r="P2569" s="321">
        <v>4817600</v>
      </c>
      <c r="Q2569" s="322">
        <v>77000</v>
      </c>
      <c r="R2569" s="322">
        <v>56900</v>
      </c>
      <c r="S2569" s="322">
        <v>78000</v>
      </c>
      <c r="T2569" s="322">
        <v>78000</v>
      </c>
      <c r="U2569" s="322">
        <f t="shared" si="178"/>
        <v>0</v>
      </c>
      <c r="W2569" s="321">
        <f t="shared" si="179"/>
        <v>110</v>
      </c>
      <c r="X2569" s="321">
        <f t="shared" si="180"/>
        <v>817600</v>
      </c>
      <c r="Y2569" s="321">
        <v>1</v>
      </c>
      <c r="AA2569" s="321" t="s">
        <v>5205</v>
      </c>
    </row>
    <row r="2570" spans="13:27">
      <c r="M2570" s="321">
        <v>1817600120</v>
      </c>
      <c r="N2570" s="321">
        <v>81</v>
      </c>
      <c r="O2570" s="321" t="s">
        <v>5206</v>
      </c>
      <c r="P2570" s="321">
        <v>4817600</v>
      </c>
      <c r="Q2570" s="322">
        <v>8000</v>
      </c>
      <c r="R2570" s="322">
        <v>8100</v>
      </c>
      <c r="S2570" s="322">
        <v>9000</v>
      </c>
      <c r="T2570" s="322">
        <v>9000</v>
      </c>
      <c r="U2570" s="322">
        <f t="shared" si="178"/>
        <v>0</v>
      </c>
      <c r="W2570" s="321">
        <f t="shared" si="179"/>
        <v>120</v>
      </c>
      <c r="X2570" s="321">
        <f t="shared" si="180"/>
        <v>817600</v>
      </c>
      <c r="Y2570" s="321">
        <v>1</v>
      </c>
      <c r="AA2570" s="321" t="s">
        <v>5206</v>
      </c>
    </row>
    <row r="2571" spans="13:27">
      <c r="M2571" s="321">
        <v>1817600130</v>
      </c>
      <c r="N2571" s="321">
        <v>81</v>
      </c>
      <c r="O2571" s="321" t="s">
        <v>2576</v>
      </c>
      <c r="P2571" s="321">
        <v>4817600</v>
      </c>
      <c r="Q2571" s="322">
        <v>2000</v>
      </c>
      <c r="R2571" s="322">
        <v>800</v>
      </c>
      <c r="S2571" s="322">
        <v>1000</v>
      </c>
      <c r="T2571" s="322">
        <v>900</v>
      </c>
      <c r="U2571" s="322">
        <f t="shared" si="178"/>
        <v>100</v>
      </c>
      <c r="W2571" s="321">
        <f t="shared" si="179"/>
        <v>130</v>
      </c>
      <c r="X2571" s="321">
        <f t="shared" si="180"/>
        <v>817600</v>
      </c>
      <c r="Y2571" s="321">
        <v>1</v>
      </c>
      <c r="AA2571" s="321" t="s">
        <v>2576</v>
      </c>
    </row>
    <row r="2572" spans="13:27">
      <c r="M2572" s="321">
        <v>1817600140</v>
      </c>
      <c r="N2572" s="321">
        <v>81</v>
      </c>
      <c r="O2572" s="321" t="s">
        <v>5207</v>
      </c>
      <c r="P2572" s="321">
        <v>4817600</v>
      </c>
      <c r="Q2572" s="322">
        <v>7000</v>
      </c>
      <c r="R2572" s="322">
        <v>5000</v>
      </c>
      <c r="S2572" s="322">
        <v>7000</v>
      </c>
      <c r="T2572" s="322">
        <v>7000</v>
      </c>
      <c r="U2572" s="322">
        <f t="shared" si="178"/>
        <v>0</v>
      </c>
      <c r="W2572" s="321">
        <f t="shared" si="179"/>
        <v>140</v>
      </c>
      <c r="X2572" s="321">
        <f t="shared" si="180"/>
        <v>817600</v>
      </c>
      <c r="Y2572" s="321">
        <v>1</v>
      </c>
      <c r="AA2572" s="321" t="s">
        <v>5207</v>
      </c>
    </row>
    <row r="2573" spans="13:27">
      <c r="M2573" s="321">
        <v>1817600141</v>
      </c>
      <c r="N2573" s="321">
        <v>81</v>
      </c>
      <c r="O2573" s="321" t="s">
        <v>5208</v>
      </c>
      <c r="P2573" s="321">
        <v>4817600</v>
      </c>
      <c r="Q2573" s="322">
        <v>4000</v>
      </c>
      <c r="R2573" s="322">
        <v>2900</v>
      </c>
      <c r="S2573" s="322">
        <v>4000</v>
      </c>
      <c r="T2573" s="322">
        <v>4000</v>
      </c>
      <c r="U2573" s="322">
        <f t="shared" si="178"/>
        <v>0</v>
      </c>
      <c r="W2573" s="321">
        <f t="shared" si="179"/>
        <v>141</v>
      </c>
      <c r="X2573" s="321">
        <f t="shared" si="180"/>
        <v>817600</v>
      </c>
      <c r="Y2573" s="321">
        <v>1</v>
      </c>
      <c r="AA2573" s="321" t="s">
        <v>5208</v>
      </c>
    </row>
    <row r="2574" spans="13:27">
      <c r="M2574" s="321">
        <v>1817600181</v>
      </c>
      <c r="N2574" s="321">
        <v>81</v>
      </c>
      <c r="O2574" s="321" t="s">
        <v>2580</v>
      </c>
      <c r="P2574" s="321">
        <v>4817600</v>
      </c>
      <c r="Q2574" s="322">
        <v>20000</v>
      </c>
      <c r="R2574" s="322">
        <v>15200</v>
      </c>
      <c r="S2574" s="322">
        <v>21000</v>
      </c>
      <c r="T2574" s="322">
        <v>21000</v>
      </c>
      <c r="U2574" s="322">
        <f t="shared" si="178"/>
        <v>0</v>
      </c>
      <c r="W2574" s="321">
        <f t="shared" si="179"/>
        <v>181</v>
      </c>
      <c r="X2574" s="321">
        <f t="shared" si="180"/>
        <v>817600</v>
      </c>
      <c r="Y2574" s="321">
        <v>1</v>
      </c>
      <c r="AA2574" s="321" t="s">
        <v>2580</v>
      </c>
    </row>
    <row r="2575" spans="13:27">
      <c r="M2575" s="321">
        <v>1817600182</v>
      </c>
      <c r="N2575" s="321">
        <v>81</v>
      </c>
      <c r="O2575" s="321" t="s">
        <v>2582</v>
      </c>
      <c r="P2575" s="321">
        <v>4817600</v>
      </c>
      <c r="Q2575" s="322">
        <v>13000</v>
      </c>
      <c r="R2575" s="322">
        <v>9700</v>
      </c>
      <c r="S2575" s="322">
        <v>14000</v>
      </c>
      <c r="T2575" s="322">
        <v>14000</v>
      </c>
      <c r="U2575" s="322">
        <f t="shared" si="178"/>
        <v>0</v>
      </c>
      <c r="W2575" s="321">
        <f t="shared" si="179"/>
        <v>182</v>
      </c>
      <c r="X2575" s="321">
        <f t="shared" si="180"/>
        <v>817600</v>
      </c>
      <c r="Y2575" s="321">
        <v>1</v>
      </c>
      <c r="AA2575" s="321" t="s">
        <v>2582</v>
      </c>
    </row>
    <row r="2576" spans="13:27">
      <c r="M2576" s="321">
        <v>1817600760</v>
      </c>
      <c r="N2576" s="321">
        <v>81</v>
      </c>
      <c r="O2576" s="321" t="s">
        <v>6029</v>
      </c>
      <c r="P2576" s="321">
        <v>4817600</v>
      </c>
      <c r="Q2576" s="322">
        <v>1520000</v>
      </c>
      <c r="R2576" s="322">
        <v>1006600</v>
      </c>
      <c r="S2576" s="322">
        <v>1500000</v>
      </c>
      <c r="T2576" s="322">
        <v>1500000</v>
      </c>
      <c r="U2576" s="322">
        <f t="shared" si="178"/>
        <v>0</v>
      </c>
      <c r="W2576" s="321">
        <f t="shared" si="179"/>
        <v>760</v>
      </c>
      <c r="X2576" s="321">
        <f t="shared" si="180"/>
        <v>817600</v>
      </c>
      <c r="Y2576" s="321">
        <v>1</v>
      </c>
      <c r="AA2576" s="321" t="s">
        <v>6029</v>
      </c>
    </row>
    <row r="2577" spans="13:27">
      <c r="M2577" s="321">
        <v>1817600761</v>
      </c>
      <c r="N2577" s="321">
        <v>81</v>
      </c>
      <c r="O2577" s="321" t="s">
        <v>4976</v>
      </c>
      <c r="P2577" s="321">
        <v>4817600</v>
      </c>
      <c r="Q2577" s="322">
        <v>600000</v>
      </c>
      <c r="R2577" s="322">
        <v>283400</v>
      </c>
      <c r="S2577" s="322">
        <v>600000</v>
      </c>
      <c r="T2577" s="322">
        <v>600000</v>
      </c>
      <c r="U2577" s="322">
        <f t="shared" si="178"/>
        <v>0</v>
      </c>
      <c r="W2577" s="321">
        <f t="shared" si="179"/>
        <v>761</v>
      </c>
      <c r="X2577" s="321">
        <f t="shared" si="180"/>
        <v>817600</v>
      </c>
      <c r="Y2577" s="321">
        <v>1</v>
      </c>
      <c r="AA2577" s="321" t="s">
        <v>4976</v>
      </c>
    </row>
    <row r="2578" spans="13:27">
      <c r="M2578" s="321">
        <v>1817700110</v>
      </c>
      <c r="N2578" s="321">
        <v>81</v>
      </c>
      <c r="O2578" s="321" t="s">
        <v>5205</v>
      </c>
      <c r="P2578" s="321">
        <v>4817700</v>
      </c>
      <c r="Q2578" s="322">
        <v>1374000</v>
      </c>
      <c r="R2578" s="322">
        <v>752000</v>
      </c>
      <c r="S2578" s="322">
        <v>1151000</v>
      </c>
      <c r="T2578" s="322">
        <v>1151000</v>
      </c>
      <c r="U2578" s="322">
        <f t="shared" si="178"/>
        <v>0</v>
      </c>
      <c r="W2578" s="321">
        <f t="shared" si="179"/>
        <v>110</v>
      </c>
      <c r="X2578" s="321">
        <f t="shared" si="180"/>
        <v>817700</v>
      </c>
      <c r="Y2578" s="321">
        <v>1</v>
      </c>
      <c r="AA2578" s="321" t="s">
        <v>5205</v>
      </c>
    </row>
    <row r="2579" spans="13:27">
      <c r="M2579" s="321">
        <v>1817700120</v>
      </c>
      <c r="N2579" s="321">
        <v>81</v>
      </c>
      <c r="O2579" s="321" t="s">
        <v>5206</v>
      </c>
      <c r="P2579" s="321">
        <v>4817700</v>
      </c>
      <c r="Q2579" s="322">
        <v>148000</v>
      </c>
      <c r="R2579" s="322">
        <v>100500</v>
      </c>
      <c r="S2579" s="322">
        <v>132000</v>
      </c>
      <c r="T2579" s="322">
        <v>132000</v>
      </c>
      <c r="U2579" s="322">
        <f t="shared" si="178"/>
        <v>0</v>
      </c>
      <c r="W2579" s="321">
        <f t="shared" si="179"/>
        <v>120</v>
      </c>
      <c r="X2579" s="321">
        <f t="shared" si="180"/>
        <v>817700</v>
      </c>
      <c r="Y2579" s="321">
        <v>1</v>
      </c>
      <c r="AA2579" s="321" t="s">
        <v>5206</v>
      </c>
    </row>
    <row r="2580" spans="13:27">
      <c r="M2580" s="321">
        <v>1817700130</v>
      </c>
      <c r="N2580" s="321">
        <v>81</v>
      </c>
      <c r="O2580" s="321" t="s">
        <v>2576</v>
      </c>
      <c r="P2580" s="321">
        <v>4817700</v>
      </c>
      <c r="Q2580" s="322">
        <v>65000</v>
      </c>
      <c r="R2580" s="322">
        <v>35900</v>
      </c>
      <c r="S2580" s="322">
        <v>55000</v>
      </c>
      <c r="T2580" s="322">
        <v>49500</v>
      </c>
      <c r="U2580" s="322">
        <f t="shared" si="178"/>
        <v>5500</v>
      </c>
      <c r="W2580" s="321">
        <f t="shared" si="179"/>
        <v>130</v>
      </c>
      <c r="X2580" s="321">
        <f t="shared" si="180"/>
        <v>817700</v>
      </c>
      <c r="Y2580" s="321">
        <v>1</v>
      </c>
      <c r="AA2580" s="321" t="s">
        <v>2576</v>
      </c>
    </row>
    <row r="2581" spans="13:27">
      <c r="M2581" s="321">
        <v>1817700140</v>
      </c>
      <c r="N2581" s="321">
        <v>81</v>
      </c>
      <c r="O2581" s="321" t="s">
        <v>5207</v>
      </c>
      <c r="P2581" s="321">
        <v>4817700</v>
      </c>
      <c r="Q2581" s="322">
        <v>259000</v>
      </c>
      <c r="R2581" s="322">
        <v>143900</v>
      </c>
      <c r="S2581" s="322">
        <v>216000</v>
      </c>
      <c r="T2581" s="322">
        <v>216000</v>
      </c>
      <c r="U2581" s="322">
        <f t="shared" si="178"/>
        <v>0</v>
      </c>
      <c r="W2581" s="321">
        <f t="shared" si="179"/>
        <v>140</v>
      </c>
      <c r="X2581" s="321">
        <f t="shared" si="180"/>
        <v>817700</v>
      </c>
      <c r="Y2581" s="321">
        <v>1</v>
      </c>
      <c r="AA2581" s="321" t="s">
        <v>5207</v>
      </c>
    </row>
    <row r="2582" spans="13:27">
      <c r="M2582" s="321">
        <v>1817700141</v>
      </c>
      <c r="N2582" s="321">
        <v>81</v>
      </c>
      <c r="O2582" s="321" t="s">
        <v>5208</v>
      </c>
      <c r="P2582" s="321">
        <v>4817700</v>
      </c>
      <c r="Q2582" s="322">
        <v>59000</v>
      </c>
      <c r="R2582" s="322">
        <v>36700</v>
      </c>
      <c r="S2582" s="322">
        <v>65000</v>
      </c>
      <c r="T2582" s="322">
        <v>65000</v>
      </c>
      <c r="U2582" s="322">
        <f t="shared" si="178"/>
        <v>0</v>
      </c>
      <c r="W2582" s="321">
        <f t="shared" si="179"/>
        <v>141</v>
      </c>
      <c r="X2582" s="321">
        <f t="shared" si="180"/>
        <v>817700</v>
      </c>
      <c r="Y2582" s="321">
        <v>1</v>
      </c>
      <c r="AA2582" s="321" t="s">
        <v>5208</v>
      </c>
    </row>
    <row r="2583" spans="13:27">
      <c r="M2583" s="321">
        <v>1817700181</v>
      </c>
      <c r="N2583" s="321">
        <v>81</v>
      </c>
      <c r="O2583" s="321" t="s">
        <v>2580</v>
      </c>
      <c r="P2583" s="321">
        <v>4817700</v>
      </c>
      <c r="Q2583" s="322">
        <v>333000</v>
      </c>
      <c r="R2583" s="322">
        <v>185100</v>
      </c>
      <c r="S2583" s="322">
        <v>286000</v>
      </c>
      <c r="T2583" s="322">
        <v>286000</v>
      </c>
      <c r="U2583" s="322">
        <f t="shared" si="178"/>
        <v>0</v>
      </c>
      <c r="W2583" s="321">
        <f t="shared" si="179"/>
        <v>181</v>
      </c>
      <c r="X2583" s="321">
        <f t="shared" si="180"/>
        <v>817700</v>
      </c>
      <c r="Y2583" s="321">
        <v>1</v>
      </c>
      <c r="AA2583" s="321" t="s">
        <v>2580</v>
      </c>
    </row>
    <row r="2584" spans="13:27">
      <c r="M2584" s="321">
        <v>1817700182</v>
      </c>
      <c r="N2584" s="321">
        <v>81</v>
      </c>
      <c r="O2584" s="321" t="s">
        <v>2582</v>
      </c>
      <c r="P2584" s="321">
        <v>4817700</v>
      </c>
      <c r="Q2584" s="322">
        <v>251000</v>
      </c>
      <c r="R2584" s="322">
        <v>137300</v>
      </c>
      <c r="S2584" s="322">
        <v>225000</v>
      </c>
      <c r="T2584" s="322">
        <v>225000</v>
      </c>
      <c r="U2584" s="322">
        <f t="shared" si="178"/>
        <v>0</v>
      </c>
      <c r="W2584" s="321">
        <f t="shared" si="179"/>
        <v>182</v>
      </c>
      <c r="X2584" s="321">
        <f t="shared" si="180"/>
        <v>817700</v>
      </c>
      <c r="Y2584" s="321">
        <v>1</v>
      </c>
      <c r="AA2584" s="321" t="s">
        <v>2582</v>
      </c>
    </row>
    <row r="2585" spans="13:27">
      <c r="M2585" s="321">
        <v>1817701470</v>
      </c>
      <c r="N2585" s="321">
        <v>81</v>
      </c>
      <c r="O2585" s="321" t="s">
        <v>2830</v>
      </c>
      <c r="P2585" s="321">
        <v>4817700</v>
      </c>
      <c r="Q2585" s="322">
        <v>3400</v>
      </c>
      <c r="R2585" s="322">
        <v>3000</v>
      </c>
      <c r="S2585" s="322">
        <v>3400</v>
      </c>
      <c r="T2585" s="322">
        <v>3400</v>
      </c>
      <c r="U2585" s="322">
        <f t="shared" si="178"/>
        <v>0</v>
      </c>
      <c r="W2585" s="321">
        <f t="shared" si="179"/>
        <v>470</v>
      </c>
      <c r="X2585" s="321">
        <f t="shared" si="180"/>
        <v>817701</v>
      </c>
      <c r="Y2585" s="321">
        <v>1</v>
      </c>
      <c r="AA2585" s="321" t="s">
        <v>2830</v>
      </c>
    </row>
    <row r="2586" spans="13:27">
      <c r="M2586" s="321">
        <v>1817701471</v>
      </c>
      <c r="N2586" s="321">
        <v>81</v>
      </c>
      <c r="O2586" s="321" t="s">
        <v>5212</v>
      </c>
      <c r="P2586" s="321">
        <v>4817700</v>
      </c>
      <c r="Q2586" s="322">
        <v>3500</v>
      </c>
      <c r="R2586" s="322">
        <v>0</v>
      </c>
      <c r="S2586" s="322">
        <v>3700</v>
      </c>
      <c r="T2586" s="322">
        <v>3700</v>
      </c>
      <c r="U2586" s="322">
        <f t="shared" si="178"/>
        <v>0</v>
      </c>
      <c r="W2586" s="321">
        <f t="shared" si="179"/>
        <v>471</v>
      </c>
      <c r="X2586" s="321">
        <f t="shared" si="180"/>
        <v>817701</v>
      </c>
      <c r="Y2586" s="321">
        <v>1</v>
      </c>
      <c r="AA2586" s="321" t="s">
        <v>5212</v>
      </c>
    </row>
    <row r="2587" spans="13:27">
      <c r="M2587" s="321">
        <v>1817701510</v>
      </c>
      <c r="N2587" s="321">
        <v>81</v>
      </c>
      <c r="O2587" s="321" t="s">
        <v>2805</v>
      </c>
      <c r="P2587" s="321">
        <v>4817700</v>
      </c>
      <c r="Q2587" s="322">
        <v>1000</v>
      </c>
      <c r="R2587" s="322">
        <v>300</v>
      </c>
      <c r="S2587" s="322">
        <v>1000</v>
      </c>
      <c r="T2587" s="322">
        <v>1000</v>
      </c>
      <c r="U2587" s="322">
        <f t="shared" si="178"/>
        <v>0</v>
      </c>
      <c r="W2587" s="321">
        <f t="shared" si="179"/>
        <v>510</v>
      </c>
      <c r="X2587" s="321">
        <f t="shared" si="180"/>
        <v>817701</v>
      </c>
      <c r="Y2587" s="321">
        <v>1</v>
      </c>
      <c r="AA2587" s="321" t="s">
        <v>2805</v>
      </c>
    </row>
    <row r="2588" spans="13:27">
      <c r="M2588" s="321">
        <v>1817701540</v>
      </c>
      <c r="N2588" s="321">
        <v>81</v>
      </c>
      <c r="O2588" s="321" t="s">
        <v>6030</v>
      </c>
      <c r="P2588" s="321">
        <v>4817700</v>
      </c>
      <c r="Q2588" s="322">
        <v>39000</v>
      </c>
      <c r="R2588" s="322">
        <v>23500</v>
      </c>
      <c r="S2588" s="322">
        <v>39000</v>
      </c>
      <c r="T2588" s="322">
        <v>39000</v>
      </c>
      <c r="U2588" s="322">
        <f t="shared" si="178"/>
        <v>0</v>
      </c>
      <c r="W2588" s="321">
        <f t="shared" si="179"/>
        <v>540</v>
      </c>
      <c r="X2588" s="321">
        <f t="shared" si="180"/>
        <v>817701</v>
      </c>
      <c r="Y2588" s="321">
        <v>1</v>
      </c>
      <c r="AA2588" s="321" t="s">
        <v>6030</v>
      </c>
    </row>
    <row r="2589" spans="13:27">
      <c r="M2589" s="321">
        <v>1817701542</v>
      </c>
      <c r="N2589" s="321">
        <v>81</v>
      </c>
      <c r="O2589" s="321" t="s">
        <v>6031</v>
      </c>
      <c r="P2589" s="321">
        <v>4817700</v>
      </c>
      <c r="Q2589" s="322">
        <v>16400</v>
      </c>
      <c r="R2589" s="322">
        <v>11700</v>
      </c>
      <c r="S2589" s="322">
        <v>18000</v>
      </c>
      <c r="T2589" s="322">
        <v>18000</v>
      </c>
      <c r="U2589" s="322">
        <f t="shared" si="178"/>
        <v>0</v>
      </c>
      <c r="W2589" s="321">
        <f t="shared" si="179"/>
        <v>542</v>
      </c>
      <c r="X2589" s="321">
        <f t="shared" si="180"/>
        <v>817701</v>
      </c>
      <c r="Y2589" s="321">
        <v>1</v>
      </c>
      <c r="AA2589" s="321" t="s">
        <v>6031</v>
      </c>
    </row>
    <row r="2590" spans="13:27">
      <c r="M2590" s="321">
        <v>1817701750</v>
      </c>
      <c r="N2590" s="321">
        <v>81</v>
      </c>
      <c r="O2590" s="321" t="s">
        <v>6032</v>
      </c>
      <c r="P2590" s="321">
        <v>4817700</v>
      </c>
      <c r="Q2590" s="322">
        <v>0</v>
      </c>
      <c r="R2590" s="322">
        <v>0</v>
      </c>
      <c r="S2590" s="322">
        <v>0</v>
      </c>
      <c r="T2590" s="322">
        <v>0</v>
      </c>
      <c r="U2590" s="322">
        <f t="shared" si="178"/>
        <v>0</v>
      </c>
      <c r="W2590" s="321">
        <f t="shared" si="179"/>
        <v>750</v>
      </c>
      <c r="X2590" s="321">
        <f t="shared" si="180"/>
        <v>817701</v>
      </c>
      <c r="Y2590" s="321">
        <v>1</v>
      </c>
      <c r="AA2590" s="321" t="s">
        <v>6032</v>
      </c>
    </row>
    <row r="2591" spans="13:27">
      <c r="M2591" s="321">
        <v>1817701751</v>
      </c>
      <c r="N2591" s="321">
        <v>81</v>
      </c>
      <c r="O2591" s="321" t="s">
        <v>6033</v>
      </c>
      <c r="P2591" s="321">
        <v>4817700</v>
      </c>
      <c r="Q2591" s="322">
        <v>18000</v>
      </c>
      <c r="R2591" s="322">
        <v>0</v>
      </c>
      <c r="S2591" s="322">
        <v>18000</v>
      </c>
      <c r="T2591" s="322">
        <v>18000</v>
      </c>
      <c r="U2591" s="322">
        <f t="shared" si="178"/>
        <v>0</v>
      </c>
      <c r="W2591" s="321">
        <f t="shared" si="179"/>
        <v>751</v>
      </c>
      <c r="X2591" s="321">
        <f t="shared" si="180"/>
        <v>817701</v>
      </c>
      <c r="Y2591" s="321">
        <v>1</v>
      </c>
      <c r="AA2591" s="321" t="s">
        <v>6033</v>
      </c>
    </row>
    <row r="2592" spans="13:27">
      <c r="M2592" s="321">
        <v>1817701755</v>
      </c>
      <c r="N2592" s="321">
        <v>81</v>
      </c>
      <c r="O2592" s="321" t="s">
        <v>6034</v>
      </c>
      <c r="P2592" s="321">
        <v>4817700</v>
      </c>
      <c r="Q2592" s="322">
        <v>50000</v>
      </c>
      <c r="R2592" s="322">
        <v>21200</v>
      </c>
      <c r="S2592" s="322">
        <v>55000</v>
      </c>
      <c r="T2592" s="322">
        <v>55000</v>
      </c>
      <c r="U2592" s="322">
        <f t="shared" si="178"/>
        <v>0</v>
      </c>
      <c r="W2592" s="321">
        <f t="shared" si="179"/>
        <v>755</v>
      </c>
      <c r="X2592" s="321">
        <f t="shared" si="180"/>
        <v>817701</v>
      </c>
      <c r="Y2592" s="321">
        <v>1</v>
      </c>
      <c r="AA2592" s="321" t="s">
        <v>6034</v>
      </c>
    </row>
    <row r="2593" spans="13:27">
      <c r="M2593" s="321">
        <v>1817701760</v>
      </c>
      <c r="N2593" s="321">
        <v>81</v>
      </c>
      <c r="O2593" s="321" t="s">
        <v>6035</v>
      </c>
      <c r="P2593" s="321">
        <v>4817700</v>
      </c>
      <c r="Q2593" s="322">
        <v>1200000</v>
      </c>
      <c r="R2593" s="322">
        <v>1022100</v>
      </c>
      <c r="S2593" s="322">
        <v>1420000</v>
      </c>
      <c r="T2593" s="322">
        <v>1420000</v>
      </c>
      <c r="U2593" s="322">
        <f t="shared" si="178"/>
        <v>0</v>
      </c>
      <c r="W2593" s="321">
        <f t="shared" si="179"/>
        <v>760</v>
      </c>
      <c r="X2593" s="321">
        <f t="shared" si="180"/>
        <v>817701</v>
      </c>
      <c r="Y2593" s="321">
        <v>1</v>
      </c>
      <c r="AA2593" s="321" t="s">
        <v>6035</v>
      </c>
    </row>
    <row r="2594" spans="13:27">
      <c r="M2594" s="321">
        <v>1817701762</v>
      </c>
      <c r="N2594" s="321">
        <v>81</v>
      </c>
      <c r="O2594" s="321" t="s">
        <v>4980</v>
      </c>
      <c r="P2594" s="321">
        <v>4817700</v>
      </c>
      <c r="Q2594" s="322">
        <v>80000</v>
      </c>
      <c r="R2594" s="322">
        <v>39900</v>
      </c>
      <c r="S2594" s="322">
        <v>80000</v>
      </c>
      <c r="T2594" s="322">
        <v>80000</v>
      </c>
      <c r="U2594" s="322">
        <f t="shared" si="178"/>
        <v>0</v>
      </c>
      <c r="W2594" s="321">
        <f t="shared" si="179"/>
        <v>762</v>
      </c>
      <c r="X2594" s="321">
        <f t="shared" si="180"/>
        <v>817701</v>
      </c>
      <c r="Y2594" s="321">
        <v>1</v>
      </c>
      <c r="AA2594" s="321" t="s">
        <v>4980</v>
      </c>
    </row>
    <row r="2595" spans="13:27">
      <c r="M2595" s="321">
        <v>1817701764</v>
      </c>
      <c r="N2595" s="321">
        <v>81</v>
      </c>
      <c r="O2595" s="321" t="s">
        <v>4981</v>
      </c>
      <c r="P2595" s="321">
        <v>4817700</v>
      </c>
      <c r="Q2595" s="322">
        <v>850000</v>
      </c>
      <c r="R2595" s="322">
        <v>522500</v>
      </c>
      <c r="S2595" s="322">
        <v>850000</v>
      </c>
      <c r="T2595" s="322">
        <v>850000</v>
      </c>
      <c r="U2595" s="322">
        <f t="shared" si="178"/>
        <v>0</v>
      </c>
      <c r="W2595" s="321">
        <f t="shared" si="179"/>
        <v>764</v>
      </c>
      <c r="X2595" s="321">
        <f t="shared" si="180"/>
        <v>817701</v>
      </c>
      <c r="Y2595" s="321">
        <v>1</v>
      </c>
      <c r="AA2595" s="321" t="s">
        <v>4981</v>
      </c>
    </row>
    <row r="2596" spans="13:27">
      <c r="M2596" s="321">
        <v>1817701780</v>
      </c>
      <c r="N2596" s="321">
        <v>81</v>
      </c>
      <c r="O2596" s="321" t="s">
        <v>6036</v>
      </c>
      <c r="P2596" s="321">
        <v>4817700</v>
      </c>
      <c r="Q2596" s="322">
        <v>70000</v>
      </c>
      <c r="R2596" s="322">
        <v>32100</v>
      </c>
      <c r="S2596" s="322">
        <v>100000</v>
      </c>
      <c r="T2596" s="322">
        <v>70000</v>
      </c>
      <c r="U2596" s="322">
        <f t="shared" si="178"/>
        <v>30000</v>
      </c>
      <c r="W2596" s="321">
        <f t="shared" si="179"/>
        <v>780</v>
      </c>
      <c r="X2596" s="321">
        <f t="shared" si="180"/>
        <v>817701</v>
      </c>
      <c r="Y2596" s="321">
        <v>1</v>
      </c>
      <c r="AA2596" s="321" t="s">
        <v>6036</v>
      </c>
    </row>
    <row r="2597" spans="13:27">
      <c r="M2597" s="321">
        <v>1817701781</v>
      </c>
      <c r="N2597" s="321">
        <v>81</v>
      </c>
      <c r="O2597" s="321" t="s">
        <v>5824</v>
      </c>
      <c r="P2597" s="321">
        <v>4817700</v>
      </c>
      <c r="Q2597" s="322">
        <v>115000</v>
      </c>
      <c r="R2597" s="322">
        <v>89400</v>
      </c>
      <c r="S2597" s="322">
        <v>115000</v>
      </c>
      <c r="T2597" s="322">
        <v>115000</v>
      </c>
      <c r="U2597" s="322">
        <f t="shared" si="178"/>
        <v>0</v>
      </c>
      <c r="W2597" s="321">
        <f t="shared" si="179"/>
        <v>781</v>
      </c>
      <c r="X2597" s="321">
        <f t="shared" si="180"/>
        <v>817701</v>
      </c>
      <c r="Y2597" s="321">
        <v>1</v>
      </c>
      <c r="AA2597" s="321" t="s">
        <v>5824</v>
      </c>
    </row>
    <row r="2598" spans="13:27">
      <c r="M2598" s="321">
        <v>1817701820</v>
      </c>
      <c r="N2598" s="321">
        <v>81</v>
      </c>
      <c r="O2598" s="321" t="s">
        <v>6037</v>
      </c>
      <c r="P2598" s="321">
        <v>4817700</v>
      </c>
      <c r="Q2598" s="322">
        <v>300000</v>
      </c>
      <c r="R2598" s="322">
        <v>116700</v>
      </c>
      <c r="S2598" s="322">
        <v>300000</v>
      </c>
      <c r="T2598" s="322">
        <v>300000</v>
      </c>
      <c r="U2598" s="322">
        <f t="shared" si="178"/>
        <v>0</v>
      </c>
      <c r="W2598" s="321">
        <f t="shared" si="179"/>
        <v>820</v>
      </c>
      <c r="X2598" s="321">
        <f t="shared" si="180"/>
        <v>817701</v>
      </c>
      <c r="Y2598" s="321">
        <v>1</v>
      </c>
      <c r="AA2598" s="321" t="s">
        <v>6037</v>
      </c>
    </row>
    <row r="2599" spans="13:27">
      <c r="M2599" s="321">
        <v>1817800110</v>
      </c>
      <c r="N2599" s="321">
        <v>81</v>
      </c>
      <c r="O2599" s="321" t="s">
        <v>5205</v>
      </c>
      <c r="P2599" s="321">
        <v>4817800</v>
      </c>
      <c r="Q2599" s="322">
        <v>3062000</v>
      </c>
      <c r="R2599" s="322">
        <v>1678700</v>
      </c>
      <c r="S2599" s="322">
        <v>2258000</v>
      </c>
      <c r="T2599" s="322">
        <v>2258000</v>
      </c>
      <c r="U2599" s="322">
        <f t="shared" si="178"/>
        <v>0</v>
      </c>
      <c r="W2599" s="321">
        <f t="shared" si="179"/>
        <v>110</v>
      </c>
      <c r="X2599" s="321">
        <f t="shared" si="180"/>
        <v>817800</v>
      </c>
      <c r="Y2599" s="321">
        <v>1</v>
      </c>
      <c r="AA2599" s="321" t="s">
        <v>5205</v>
      </c>
    </row>
    <row r="2600" spans="13:27">
      <c r="M2600" s="321">
        <v>1817800120</v>
      </c>
      <c r="N2600" s="321">
        <v>81</v>
      </c>
      <c r="O2600" s="321" t="s">
        <v>5206</v>
      </c>
      <c r="P2600" s="321">
        <v>4817800</v>
      </c>
      <c r="Q2600" s="322">
        <v>201000</v>
      </c>
      <c r="R2600" s="322">
        <v>205400</v>
      </c>
      <c r="S2600" s="322">
        <v>210000</v>
      </c>
      <c r="T2600" s="322">
        <v>210000</v>
      </c>
      <c r="U2600" s="322">
        <f t="shared" si="178"/>
        <v>0</v>
      </c>
      <c r="W2600" s="321">
        <f t="shared" si="179"/>
        <v>120</v>
      </c>
      <c r="X2600" s="321">
        <f t="shared" si="180"/>
        <v>817800</v>
      </c>
      <c r="Y2600" s="321">
        <v>1</v>
      </c>
      <c r="AA2600" s="321" t="s">
        <v>5206</v>
      </c>
    </row>
    <row r="2601" spans="13:27">
      <c r="M2601" s="321">
        <v>1817800130</v>
      </c>
      <c r="N2601" s="321">
        <v>81</v>
      </c>
      <c r="O2601" s="321" t="s">
        <v>2576</v>
      </c>
      <c r="P2601" s="321">
        <v>4817800</v>
      </c>
      <c r="Q2601" s="322">
        <v>61000</v>
      </c>
      <c r="R2601" s="322">
        <v>67700</v>
      </c>
      <c r="S2601" s="322">
        <v>87000</v>
      </c>
      <c r="T2601" s="322">
        <v>78300</v>
      </c>
      <c r="U2601" s="322">
        <f t="shared" si="178"/>
        <v>8700</v>
      </c>
      <c r="W2601" s="321">
        <f t="shared" si="179"/>
        <v>130</v>
      </c>
      <c r="X2601" s="321">
        <f t="shared" si="180"/>
        <v>817800</v>
      </c>
      <c r="Y2601" s="321">
        <v>1</v>
      </c>
      <c r="AA2601" s="321" t="s">
        <v>2576</v>
      </c>
    </row>
    <row r="2602" spans="13:27">
      <c r="M2602" s="321">
        <v>1817800131</v>
      </c>
      <c r="N2602" s="321">
        <v>81</v>
      </c>
      <c r="O2602" s="321" t="s">
        <v>6038</v>
      </c>
      <c r="P2602" s="321">
        <v>4817800</v>
      </c>
      <c r="Q2602" s="322">
        <v>537000</v>
      </c>
      <c r="R2602" s="322">
        <v>225200</v>
      </c>
      <c r="S2602" s="322">
        <v>235000</v>
      </c>
      <c r="T2602" s="322">
        <v>235000</v>
      </c>
      <c r="U2602" s="322">
        <f t="shared" si="178"/>
        <v>0</v>
      </c>
      <c r="W2602" s="321">
        <f t="shared" si="179"/>
        <v>131</v>
      </c>
      <c r="X2602" s="321">
        <f t="shared" si="180"/>
        <v>817800</v>
      </c>
      <c r="Y2602" s="321">
        <v>1</v>
      </c>
      <c r="AA2602" s="321" t="s">
        <v>6038</v>
      </c>
    </row>
    <row r="2603" spans="13:27">
      <c r="M2603" s="321">
        <v>1817800140</v>
      </c>
      <c r="N2603" s="321">
        <v>81</v>
      </c>
      <c r="O2603" s="321" t="s">
        <v>2578</v>
      </c>
      <c r="P2603" s="321">
        <v>4817800</v>
      </c>
      <c r="Q2603" s="322">
        <v>10000</v>
      </c>
      <c r="R2603" s="322">
        <v>5700</v>
      </c>
      <c r="S2603" s="322">
        <v>8000</v>
      </c>
      <c r="T2603" s="322">
        <v>8000</v>
      </c>
      <c r="U2603" s="322">
        <f t="shared" si="178"/>
        <v>0</v>
      </c>
      <c r="W2603" s="321">
        <f t="shared" si="179"/>
        <v>140</v>
      </c>
      <c r="X2603" s="321">
        <f t="shared" si="180"/>
        <v>817800</v>
      </c>
      <c r="Y2603" s="321">
        <v>1</v>
      </c>
      <c r="AA2603" s="321" t="s">
        <v>2578</v>
      </c>
    </row>
    <row r="2604" spans="13:27">
      <c r="M2604" s="321">
        <v>1817800141</v>
      </c>
      <c r="N2604" s="321">
        <v>81</v>
      </c>
      <c r="O2604" s="321" t="s">
        <v>5208</v>
      </c>
      <c r="P2604" s="321">
        <v>4817800</v>
      </c>
      <c r="Q2604" s="322">
        <v>459000</v>
      </c>
      <c r="R2604" s="322">
        <v>288700</v>
      </c>
      <c r="S2604" s="322">
        <v>406000</v>
      </c>
      <c r="T2604" s="322">
        <v>406000</v>
      </c>
      <c r="U2604" s="322">
        <f t="shared" si="178"/>
        <v>0</v>
      </c>
      <c r="W2604" s="321">
        <f t="shared" si="179"/>
        <v>141</v>
      </c>
      <c r="X2604" s="321">
        <f t="shared" si="180"/>
        <v>817800</v>
      </c>
      <c r="Y2604" s="321">
        <v>1</v>
      </c>
      <c r="AA2604" s="321" t="s">
        <v>5208</v>
      </c>
    </row>
    <row r="2605" spans="13:27">
      <c r="M2605" s="321">
        <v>1817800181</v>
      </c>
      <c r="N2605" s="321">
        <v>81</v>
      </c>
      <c r="O2605" s="321" t="s">
        <v>2580</v>
      </c>
      <c r="P2605" s="321">
        <v>4817800</v>
      </c>
      <c r="Q2605" s="322">
        <v>727000</v>
      </c>
      <c r="R2605" s="322">
        <v>430700</v>
      </c>
      <c r="S2605" s="322">
        <v>569000</v>
      </c>
      <c r="T2605" s="322">
        <v>569000</v>
      </c>
      <c r="U2605" s="322">
        <f t="shared" si="178"/>
        <v>0</v>
      </c>
      <c r="W2605" s="321">
        <f t="shared" si="179"/>
        <v>181</v>
      </c>
      <c r="X2605" s="321">
        <f t="shared" si="180"/>
        <v>817800</v>
      </c>
      <c r="Y2605" s="321">
        <v>1</v>
      </c>
      <c r="AA2605" s="321" t="s">
        <v>2580</v>
      </c>
    </row>
    <row r="2606" spans="13:27">
      <c r="M2606" s="321">
        <v>1817800182</v>
      </c>
      <c r="N2606" s="321">
        <v>81</v>
      </c>
      <c r="O2606" s="321" t="s">
        <v>2582</v>
      </c>
      <c r="P2606" s="321">
        <v>4817800</v>
      </c>
      <c r="Q2606" s="322">
        <v>451000</v>
      </c>
      <c r="R2606" s="322">
        <v>245700</v>
      </c>
      <c r="S2606" s="322">
        <v>387000</v>
      </c>
      <c r="T2606" s="322">
        <v>387000</v>
      </c>
      <c r="U2606" s="322">
        <f t="shared" si="178"/>
        <v>0</v>
      </c>
      <c r="W2606" s="321">
        <f t="shared" si="179"/>
        <v>182</v>
      </c>
      <c r="X2606" s="321">
        <f t="shared" si="180"/>
        <v>817800</v>
      </c>
      <c r="Y2606" s="321">
        <v>1</v>
      </c>
      <c r="AA2606" s="321" t="s">
        <v>2582</v>
      </c>
    </row>
    <row r="2607" spans="13:27">
      <c r="M2607" s="321">
        <v>1817800211</v>
      </c>
      <c r="N2607" s="321">
        <v>81</v>
      </c>
      <c r="O2607" s="321" t="s">
        <v>5831</v>
      </c>
      <c r="P2607" s="321">
        <v>4817800</v>
      </c>
      <c r="Q2607" s="322">
        <v>1300000</v>
      </c>
      <c r="R2607" s="322">
        <v>951800</v>
      </c>
      <c r="S2607" s="322">
        <v>1300000</v>
      </c>
      <c r="T2607" s="322">
        <v>1300000</v>
      </c>
      <c r="U2607" s="322">
        <f t="shared" si="178"/>
        <v>0</v>
      </c>
      <c r="W2607" s="321">
        <f t="shared" si="179"/>
        <v>211</v>
      </c>
      <c r="X2607" s="321">
        <f t="shared" si="180"/>
        <v>817800</v>
      </c>
      <c r="Y2607" s="321">
        <v>1</v>
      </c>
      <c r="AA2607" s="321" t="s">
        <v>5831</v>
      </c>
    </row>
    <row r="2608" spans="13:27">
      <c r="M2608" s="321">
        <v>1817800750</v>
      </c>
      <c r="N2608" s="321">
        <v>81</v>
      </c>
      <c r="O2608" s="321" t="s">
        <v>5881</v>
      </c>
      <c r="P2608" s="321">
        <v>4817800</v>
      </c>
      <c r="Q2608" s="322">
        <v>10285000</v>
      </c>
      <c r="R2608" s="322">
        <v>7255600</v>
      </c>
      <c r="S2608" s="322">
        <v>10885000</v>
      </c>
      <c r="T2608" s="322">
        <v>10885000</v>
      </c>
      <c r="U2608" s="322">
        <f t="shared" si="178"/>
        <v>0</v>
      </c>
      <c r="W2608" s="321">
        <f t="shared" si="179"/>
        <v>750</v>
      </c>
      <c r="X2608" s="321">
        <f t="shared" si="180"/>
        <v>817800</v>
      </c>
      <c r="Y2608" s="321">
        <v>1</v>
      </c>
      <c r="AA2608" s="321" t="s">
        <v>5881</v>
      </c>
    </row>
    <row r="2609" spans="13:27">
      <c r="M2609" s="321">
        <v>1817800760</v>
      </c>
      <c r="N2609" s="321">
        <v>81</v>
      </c>
      <c r="O2609" s="321" t="s">
        <v>3250</v>
      </c>
      <c r="P2609" s="321">
        <v>4817800</v>
      </c>
      <c r="Q2609" s="322">
        <v>1000000</v>
      </c>
      <c r="R2609" s="322">
        <v>523800</v>
      </c>
      <c r="S2609" s="322">
        <v>1000000</v>
      </c>
      <c r="T2609" s="322">
        <v>1000000</v>
      </c>
      <c r="U2609" s="322">
        <f t="shared" si="178"/>
        <v>0</v>
      </c>
      <c r="W2609" s="321">
        <f t="shared" si="179"/>
        <v>760</v>
      </c>
      <c r="X2609" s="321">
        <f t="shared" si="180"/>
        <v>817800</v>
      </c>
      <c r="Y2609" s="321">
        <v>1</v>
      </c>
      <c r="AA2609" s="321" t="s">
        <v>3250</v>
      </c>
    </row>
    <row r="2610" spans="13:27">
      <c r="M2610" s="321">
        <v>1817800810</v>
      </c>
      <c r="N2610" s="321">
        <v>81</v>
      </c>
      <c r="O2610" s="321" t="s">
        <v>6039</v>
      </c>
      <c r="P2610" s="321">
        <v>4817800</v>
      </c>
      <c r="Q2610" s="322">
        <v>100000</v>
      </c>
      <c r="R2610" s="322">
        <v>40000</v>
      </c>
      <c r="S2610" s="322">
        <v>100000</v>
      </c>
      <c r="T2610" s="322">
        <v>100000</v>
      </c>
      <c r="U2610" s="322">
        <f t="shared" si="178"/>
        <v>0</v>
      </c>
      <c r="W2610" s="321">
        <f t="shared" si="179"/>
        <v>810</v>
      </c>
      <c r="X2610" s="321">
        <f t="shared" si="180"/>
        <v>817800</v>
      </c>
      <c r="Y2610" s="321">
        <v>1</v>
      </c>
      <c r="AA2610" s="321" t="s">
        <v>6039</v>
      </c>
    </row>
    <row r="2611" spans="13:27">
      <c r="M2611" s="321">
        <v>1817800981</v>
      </c>
      <c r="N2611" s="321">
        <v>81</v>
      </c>
      <c r="O2611" s="321" t="s">
        <v>6040</v>
      </c>
      <c r="P2611" s="321">
        <v>4817800</v>
      </c>
      <c r="Q2611" s="322">
        <v>0</v>
      </c>
      <c r="R2611" s="322">
        <v>0</v>
      </c>
      <c r="S2611" s="322">
        <v>0</v>
      </c>
      <c r="T2611" s="322">
        <v>0</v>
      </c>
      <c r="U2611" s="322">
        <f t="shared" si="178"/>
        <v>0</v>
      </c>
      <c r="W2611" s="321">
        <f t="shared" si="179"/>
        <v>981</v>
      </c>
      <c r="X2611" s="321">
        <f t="shared" si="180"/>
        <v>817800</v>
      </c>
      <c r="Y2611" s="321">
        <v>1</v>
      </c>
      <c r="AA2611" s="321" t="s">
        <v>6040</v>
      </c>
    </row>
    <row r="2612" spans="13:27">
      <c r="M2612" s="321">
        <v>1817900542</v>
      </c>
      <c r="N2612" s="321">
        <v>81</v>
      </c>
      <c r="O2612" s="321" t="s">
        <v>5564</v>
      </c>
      <c r="P2612" s="321">
        <v>4817900</v>
      </c>
      <c r="Q2612" s="322">
        <v>0</v>
      </c>
      <c r="R2612" s="322">
        <v>0</v>
      </c>
      <c r="S2612" s="322">
        <v>2000</v>
      </c>
      <c r="T2612" s="322">
        <v>2000</v>
      </c>
      <c r="U2612" s="322">
        <f t="shared" si="178"/>
        <v>0</v>
      </c>
      <c r="W2612" s="321">
        <f t="shared" si="179"/>
        <v>542</v>
      </c>
      <c r="X2612" s="321">
        <f t="shared" si="180"/>
        <v>817900</v>
      </c>
      <c r="Y2612" s="321">
        <v>1</v>
      </c>
      <c r="AA2612" s="321" t="s">
        <v>5564</v>
      </c>
    </row>
    <row r="2613" spans="13:27">
      <c r="M2613" s="321">
        <v>1817900760</v>
      </c>
      <c r="N2613" s="321">
        <v>81</v>
      </c>
      <c r="O2613" s="321" t="s">
        <v>6041</v>
      </c>
      <c r="P2613" s="321">
        <v>4817900</v>
      </c>
      <c r="Q2613" s="322">
        <v>390000</v>
      </c>
      <c r="R2613" s="322">
        <v>79300</v>
      </c>
      <c r="S2613" s="322">
        <v>490000</v>
      </c>
      <c r="T2613" s="322">
        <v>490000</v>
      </c>
      <c r="U2613" s="322">
        <f t="shared" si="178"/>
        <v>0</v>
      </c>
      <c r="W2613" s="321">
        <f t="shared" si="179"/>
        <v>760</v>
      </c>
      <c r="X2613" s="321">
        <f t="shared" si="180"/>
        <v>817900</v>
      </c>
      <c r="Y2613" s="321">
        <v>1</v>
      </c>
      <c r="AA2613" s="321" t="s">
        <v>6041</v>
      </c>
    </row>
    <row r="2614" spans="13:27">
      <c r="M2614" s="321">
        <v>1817901572</v>
      </c>
      <c r="N2614" s="321">
        <v>81</v>
      </c>
      <c r="O2614" s="321" t="s">
        <v>6042</v>
      </c>
      <c r="P2614" s="321">
        <v>4817900</v>
      </c>
      <c r="Q2614" s="322">
        <v>413000</v>
      </c>
      <c r="R2614" s="322">
        <v>210600</v>
      </c>
      <c r="S2614" s="322">
        <v>415000</v>
      </c>
      <c r="T2614" s="322">
        <v>415000</v>
      </c>
      <c r="U2614" s="322">
        <f t="shared" si="178"/>
        <v>0</v>
      </c>
      <c r="W2614" s="321">
        <f t="shared" si="179"/>
        <v>572</v>
      </c>
      <c r="X2614" s="321">
        <f t="shared" si="180"/>
        <v>817901</v>
      </c>
      <c r="Y2614" s="321">
        <v>1</v>
      </c>
      <c r="AA2614" s="321" t="s">
        <v>6042</v>
      </c>
    </row>
    <row r="2615" spans="13:27">
      <c r="M2615" s="321">
        <v>1817901577</v>
      </c>
      <c r="N2615" s="321">
        <v>81</v>
      </c>
      <c r="O2615" s="321" t="s">
        <v>6043</v>
      </c>
      <c r="P2615" s="321">
        <v>4817900</v>
      </c>
      <c r="Q2615" s="322">
        <v>38000</v>
      </c>
      <c r="R2615" s="322">
        <v>25900</v>
      </c>
      <c r="S2615" s="322">
        <v>38000</v>
      </c>
      <c r="T2615" s="322">
        <v>38000</v>
      </c>
      <c r="U2615" s="322">
        <f t="shared" si="178"/>
        <v>0</v>
      </c>
      <c r="W2615" s="321">
        <f t="shared" si="179"/>
        <v>577</v>
      </c>
      <c r="X2615" s="321">
        <f t="shared" si="180"/>
        <v>817901</v>
      </c>
      <c r="Y2615" s="321">
        <v>1</v>
      </c>
      <c r="AA2615" s="321" t="s">
        <v>6043</v>
      </c>
    </row>
    <row r="2616" spans="13:27">
      <c r="M2616" s="321">
        <v>1817903810</v>
      </c>
      <c r="N2616" s="321">
        <v>81</v>
      </c>
      <c r="O2616" s="321" t="s">
        <v>6044</v>
      </c>
      <c r="P2616" s="321">
        <v>4817900</v>
      </c>
      <c r="Q2616" s="322">
        <v>1120000</v>
      </c>
      <c r="R2616" s="322">
        <v>997000</v>
      </c>
      <c r="S2616" s="322">
        <v>1500000</v>
      </c>
      <c r="T2616" s="322">
        <v>1500000</v>
      </c>
      <c r="U2616" s="322">
        <f t="shared" si="178"/>
        <v>0</v>
      </c>
      <c r="W2616" s="321">
        <f t="shared" si="179"/>
        <v>810</v>
      </c>
      <c r="X2616" s="321">
        <f t="shared" si="180"/>
        <v>817903</v>
      </c>
      <c r="Y2616" s="321">
        <v>1</v>
      </c>
      <c r="AA2616" s="321" t="s">
        <v>6044</v>
      </c>
    </row>
    <row r="2617" spans="13:27">
      <c r="M2617" s="321">
        <v>1817903811</v>
      </c>
      <c r="N2617" s="321">
        <v>81</v>
      </c>
      <c r="O2617" s="321" t="s">
        <v>6045</v>
      </c>
      <c r="P2617" s="321">
        <v>4817900</v>
      </c>
      <c r="Q2617" s="322">
        <v>1400000</v>
      </c>
      <c r="R2617" s="322">
        <v>1379700</v>
      </c>
      <c r="S2617" s="322">
        <v>1650000</v>
      </c>
      <c r="T2617" s="322">
        <v>1650000</v>
      </c>
      <c r="U2617" s="322">
        <f t="shared" si="178"/>
        <v>0</v>
      </c>
      <c r="W2617" s="321">
        <f t="shared" si="179"/>
        <v>811</v>
      </c>
      <c r="X2617" s="321">
        <f t="shared" si="180"/>
        <v>817903</v>
      </c>
      <c r="Y2617" s="321">
        <v>1</v>
      </c>
      <c r="AA2617" s="321" t="s">
        <v>6045</v>
      </c>
    </row>
    <row r="2618" spans="13:27">
      <c r="M2618" s="321">
        <v>1817904750</v>
      </c>
      <c r="N2618" s="321">
        <v>81</v>
      </c>
      <c r="O2618" s="321" t="s">
        <v>6046</v>
      </c>
      <c r="P2618" s="321">
        <v>4817900</v>
      </c>
      <c r="Q2618" s="322">
        <v>300000</v>
      </c>
      <c r="R2618" s="322">
        <v>197300</v>
      </c>
      <c r="S2618" s="322">
        <v>400000</v>
      </c>
      <c r="T2618" s="322">
        <v>400000</v>
      </c>
      <c r="U2618" s="322">
        <f t="shared" si="178"/>
        <v>0</v>
      </c>
      <c r="W2618" s="321">
        <f t="shared" si="179"/>
        <v>750</v>
      </c>
      <c r="X2618" s="321">
        <f t="shared" si="180"/>
        <v>817904</v>
      </c>
      <c r="Y2618" s="321">
        <v>1</v>
      </c>
      <c r="AA2618" s="321" t="s">
        <v>6046</v>
      </c>
    </row>
    <row r="2619" spans="13:27">
      <c r="M2619" s="321">
        <v>1817905750</v>
      </c>
      <c r="N2619" s="321">
        <v>81</v>
      </c>
      <c r="O2619" s="321" t="s">
        <v>6047</v>
      </c>
      <c r="P2619" s="321">
        <v>4817900</v>
      </c>
      <c r="Q2619" s="322">
        <v>0</v>
      </c>
      <c r="R2619" s="322">
        <v>-16000</v>
      </c>
      <c r="S2619" s="322">
        <v>0</v>
      </c>
      <c r="T2619" s="322">
        <v>0</v>
      </c>
      <c r="U2619" s="322">
        <f t="shared" si="178"/>
        <v>0</v>
      </c>
      <c r="W2619" s="321">
        <f t="shared" si="179"/>
        <v>750</v>
      </c>
      <c r="X2619" s="321">
        <f t="shared" si="180"/>
        <v>817905</v>
      </c>
      <c r="Y2619" s="321">
        <v>1</v>
      </c>
      <c r="AA2619" s="321" t="s">
        <v>6047</v>
      </c>
    </row>
    <row r="2620" spans="13:27">
      <c r="M2620" s="321">
        <v>1817905760</v>
      </c>
      <c r="N2620" s="321">
        <v>81</v>
      </c>
      <c r="O2620" s="321" t="s">
        <v>6048</v>
      </c>
      <c r="P2620" s="321">
        <v>4817900</v>
      </c>
      <c r="Q2620" s="322">
        <v>250000</v>
      </c>
      <c r="R2620" s="322">
        <v>14400</v>
      </c>
      <c r="S2620" s="322">
        <v>250000</v>
      </c>
      <c r="T2620" s="322">
        <v>250000</v>
      </c>
      <c r="U2620" s="322">
        <f t="shared" si="178"/>
        <v>0</v>
      </c>
      <c r="W2620" s="321">
        <f t="shared" si="179"/>
        <v>760</v>
      </c>
      <c r="X2620" s="321">
        <f t="shared" si="180"/>
        <v>817905</v>
      </c>
      <c r="Y2620" s="321">
        <v>1</v>
      </c>
      <c r="AA2620" s="321" t="s">
        <v>6048</v>
      </c>
    </row>
    <row r="2621" spans="13:27">
      <c r="M2621" s="321">
        <v>1817906760</v>
      </c>
      <c r="N2621" s="321">
        <v>81</v>
      </c>
      <c r="O2621" s="321" t="s">
        <v>6049</v>
      </c>
      <c r="P2621" s="321">
        <v>4817900</v>
      </c>
      <c r="Q2621" s="322">
        <v>3500000</v>
      </c>
      <c r="R2621" s="322">
        <v>57500</v>
      </c>
      <c r="S2621" s="322">
        <v>3000000</v>
      </c>
      <c r="T2621" s="322">
        <v>3000000</v>
      </c>
      <c r="U2621" s="322">
        <f t="shared" si="178"/>
        <v>0</v>
      </c>
      <c r="W2621" s="321">
        <f t="shared" si="179"/>
        <v>760</v>
      </c>
      <c r="X2621" s="321">
        <f t="shared" si="180"/>
        <v>817906</v>
      </c>
      <c r="Y2621" s="321">
        <v>1</v>
      </c>
      <c r="AA2621" s="321" t="s">
        <v>6049</v>
      </c>
    </row>
    <row r="2622" spans="13:27">
      <c r="M2622" s="321">
        <v>1817907720</v>
      </c>
      <c r="N2622" s="321">
        <v>81</v>
      </c>
      <c r="O2622" s="321" t="s">
        <v>6050</v>
      </c>
      <c r="P2622" s="321">
        <v>4817900</v>
      </c>
      <c r="Q2622" s="322">
        <v>60000</v>
      </c>
      <c r="R2622" s="322">
        <v>0</v>
      </c>
      <c r="S2622" s="322">
        <v>60000</v>
      </c>
      <c r="T2622" s="322">
        <v>60000</v>
      </c>
      <c r="U2622" s="322">
        <f t="shared" si="178"/>
        <v>0</v>
      </c>
      <c r="W2622" s="321">
        <f t="shared" si="179"/>
        <v>720</v>
      </c>
      <c r="X2622" s="321">
        <f t="shared" si="180"/>
        <v>817907</v>
      </c>
      <c r="Y2622" s="321">
        <v>1</v>
      </c>
      <c r="AA2622" s="321" t="s">
        <v>6050</v>
      </c>
    </row>
    <row r="2623" spans="13:27">
      <c r="M2623" s="321">
        <v>1817907750</v>
      </c>
      <c r="N2623" s="321">
        <v>81</v>
      </c>
      <c r="O2623" s="321" t="s">
        <v>6051</v>
      </c>
      <c r="P2623" s="321">
        <v>4817900</v>
      </c>
      <c r="Q2623" s="322">
        <v>1550000</v>
      </c>
      <c r="R2623" s="322">
        <v>931900</v>
      </c>
      <c r="S2623" s="322">
        <v>1600000</v>
      </c>
      <c r="T2623" s="322">
        <v>1600000</v>
      </c>
      <c r="U2623" s="322">
        <f t="shared" si="178"/>
        <v>0</v>
      </c>
      <c r="W2623" s="321">
        <f t="shared" si="179"/>
        <v>750</v>
      </c>
      <c r="X2623" s="321">
        <f t="shared" si="180"/>
        <v>817907</v>
      </c>
      <c r="Y2623" s="321">
        <v>1</v>
      </c>
      <c r="AA2623" s="321" t="s">
        <v>6051</v>
      </c>
    </row>
    <row r="2624" spans="13:27">
      <c r="M2624" s="321">
        <v>1817908750</v>
      </c>
      <c r="N2624" s="321">
        <v>81</v>
      </c>
      <c r="O2624" s="321" t="s">
        <v>6052</v>
      </c>
      <c r="P2624" s="321">
        <v>4817900</v>
      </c>
      <c r="Q2624" s="322">
        <v>150000</v>
      </c>
      <c r="R2624" s="322">
        <v>134500</v>
      </c>
      <c r="S2624" s="322">
        <v>150000</v>
      </c>
      <c r="T2624" s="322">
        <v>150000</v>
      </c>
      <c r="U2624" s="322">
        <f t="shared" si="178"/>
        <v>0</v>
      </c>
      <c r="W2624" s="321">
        <f t="shared" si="179"/>
        <v>750</v>
      </c>
      <c r="X2624" s="321">
        <f t="shared" si="180"/>
        <v>817908</v>
      </c>
      <c r="Y2624" s="321">
        <v>1</v>
      </c>
      <c r="AA2624" s="321" t="s">
        <v>6052</v>
      </c>
    </row>
    <row r="2625" spans="13:27">
      <c r="M2625" s="321">
        <v>1817909750</v>
      </c>
      <c r="N2625" s="321">
        <v>81</v>
      </c>
      <c r="O2625" s="321" t="s">
        <v>6053</v>
      </c>
      <c r="P2625" s="321">
        <v>4817900</v>
      </c>
      <c r="Q2625" s="322">
        <v>530000</v>
      </c>
      <c r="R2625" s="322">
        <v>307500</v>
      </c>
      <c r="S2625" s="322">
        <v>950000</v>
      </c>
      <c r="T2625" s="322">
        <v>950000</v>
      </c>
      <c r="U2625" s="322">
        <f t="shared" si="178"/>
        <v>0</v>
      </c>
      <c r="W2625" s="321">
        <f t="shared" si="179"/>
        <v>750</v>
      </c>
      <c r="X2625" s="321">
        <f t="shared" si="180"/>
        <v>817909</v>
      </c>
      <c r="Y2625" s="321">
        <v>1</v>
      </c>
      <c r="AA2625" s="321" t="s">
        <v>6053</v>
      </c>
    </row>
    <row r="2626" spans="13:27">
      <c r="M2626" s="321">
        <v>1817909760</v>
      </c>
      <c r="N2626" s="321">
        <v>81</v>
      </c>
      <c r="O2626" s="321" t="s">
        <v>6054</v>
      </c>
      <c r="P2626" s="321">
        <v>4817900</v>
      </c>
      <c r="Q2626" s="322">
        <v>1500000</v>
      </c>
      <c r="R2626" s="322">
        <v>681000</v>
      </c>
      <c r="S2626" s="322">
        <v>1300000</v>
      </c>
      <c r="T2626" s="322">
        <v>1300000</v>
      </c>
      <c r="U2626" s="322">
        <f t="shared" ref="U2626:U2689" si="181">S2626-T2626</f>
        <v>0</v>
      </c>
      <c r="W2626" s="321">
        <f t="shared" si="179"/>
        <v>760</v>
      </c>
      <c r="X2626" s="321">
        <f t="shared" si="180"/>
        <v>817909</v>
      </c>
      <c r="Y2626" s="321">
        <v>1</v>
      </c>
      <c r="AA2626" s="321" t="s">
        <v>6054</v>
      </c>
    </row>
    <row r="2627" spans="13:27">
      <c r="M2627" s="321">
        <v>1817910755</v>
      </c>
      <c r="N2627" s="321">
        <v>81</v>
      </c>
      <c r="O2627" s="321" t="s">
        <v>6055</v>
      </c>
      <c r="P2627" s="321">
        <v>4817900</v>
      </c>
      <c r="Q2627" s="322">
        <v>600000</v>
      </c>
      <c r="R2627" s="322">
        <v>269200</v>
      </c>
      <c r="S2627" s="322">
        <v>600000</v>
      </c>
      <c r="T2627" s="322">
        <v>600000</v>
      </c>
      <c r="U2627" s="322">
        <f t="shared" si="181"/>
        <v>0</v>
      </c>
      <c r="W2627" s="321">
        <f t="shared" ref="W2627:W2690" si="182">M2627-1000000000-X2627*1000</f>
        <v>755</v>
      </c>
      <c r="X2627" s="321">
        <f t="shared" ref="X2627:X2690" si="183">ROUNDDOWN((M2627-1000000000)/1000,0)</f>
        <v>817910</v>
      </c>
      <c r="Y2627" s="321">
        <v>1</v>
      </c>
      <c r="AA2627" s="321" t="s">
        <v>6055</v>
      </c>
    </row>
    <row r="2628" spans="13:27">
      <c r="M2628" s="321">
        <v>1817912930</v>
      </c>
      <c r="N2628" s="321">
        <v>81</v>
      </c>
      <c r="O2628" s="321" t="s">
        <v>5864</v>
      </c>
      <c r="P2628" s="321">
        <v>4811000</v>
      </c>
      <c r="Q2628" s="322">
        <v>40000</v>
      </c>
      <c r="R2628" s="322">
        <v>29900</v>
      </c>
      <c r="S2628" s="322">
        <v>40000</v>
      </c>
      <c r="T2628" s="322">
        <v>40000</v>
      </c>
      <c r="U2628" s="322">
        <f t="shared" si="181"/>
        <v>0</v>
      </c>
      <c r="W2628" s="321">
        <f t="shared" si="182"/>
        <v>930</v>
      </c>
      <c r="X2628" s="321">
        <f t="shared" si="183"/>
        <v>817912</v>
      </c>
      <c r="Y2628" s="321">
        <v>1</v>
      </c>
      <c r="AA2628" s="321" t="s">
        <v>5864</v>
      </c>
    </row>
    <row r="2629" spans="13:27">
      <c r="M2629" s="321">
        <v>1818000110</v>
      </c>
      <c r="N2629" s="321">
        <v>81</v>
      </c>
      <c r="O2629" s="321" t="s">
        <v>5205</v>
      </c>
      <c r="P2629" s="321">
        <v>4818000</v>
      </c>
      <c r="Q2629" s="322">
        <v>386000</v>
      </c>
      <c r="R2629" s="322">
        <v>229100</v>
      </c>
      <c r="S2629" s="322">
        <v>406000</v>
      </c>
      <c r="T2629" s="322">
        <v>406000</v>
      </c>
      <c r="U2629" s="322">
        <f t="shared" si="181"/>
        <v>0</v>
      </c>
      <c r="W2629" s="321">
        <f t="shared" si="182"/>
        <v>110</v>
      </c>
      <c r="X2629" s="321">
        <f t="shared" si="183"/>
        <v>818000</v>
      </c>
      <c r="Y2629" s="321">
        <v>1</v>
      </c>
      <c r="AA2629" s="321" t="s">
        <v>5205</v>
      </c>
    </row>
    <row r="2630" spans="13:27">
      <c r="M2630" s="321">
        <v>1818000120</v>
      </c>
      <c r="N2630" s="321">
        <v>81</v>
      </c>
      <c r="O2630" s="321" t="s">
        <v>6056</v>
      </c>
      <c r="P2630" s="321">
        <v>4818000</v>
      </c>
      <c r="Q2630" s="322">
        <v>98000</v>
      </c>
      <c r="R2630" s="322">
        <v>58000</v>
      </c>
      <c r="S2630" s="322">
        <v>90000</v>
      </c>
      <c r="T2630" s="322">
        <v>90000</v>
      </c>
      <c r="U2630" s="322">
        <f t="shared" si="181"/>
        <v>0</v>
      </c>
      <c r="W2630" s="321">
        <f t="shared" si="182"/>
        <v>120</v>
      </c>
      <c r="X2630" s="321">
        <f t="shared" si="183"/>
        <v>818000</v>
      </c>
      <c r="Y2630" s="321">
        <v>1</v>
      </c>
      <c r="AA2630" s="321" t="s">
        <v>6056</v>
      </c>
    </row>
    <row r="2631" spans="13:27">
      <c r="M2631" s="321">
        <v>1818000130</v>
      </c>
      <c r="N2631" s="321">
        <v>81</v>
      </c>
      <c r="O2631" s="321" t="s">
        <v>2576</v>
      </c>
      <c r="P2631" s="321">
        <v>4818000</v>
      </c>
      <c r="Q2631" s="322">
        <v>64000</v>
      </c>
      <c r="R2631" s="322">
        <v>34400</v>
      </c>
      <c r="S2631" s="322">
        <v>68000</v>
      </c>
      <c r="T2631" s="322">
        <v>61200</v>
      </c>
      <c r="U2631" s="322">
        <f t="shared" si="181"/>
        <v>6800</v>
      </c>
      <c r="W2631" s="321">
        <f t="shared" si="182"/>
        <v>130</v>
      </c>
      <c r="X2631" s="321">
        <f t="shared" si="183"/>
        <v>818000</v>
      </c>
      <c r="Y2631" s="321">
        <v>1</v>
      </c>
      <c r="AA2631" s="321" t="s">
        <v>2576</v>
      </c>
    </row>
    <row r="2632" spans="13:27">
      <c r="M2632" s="321">
        <v>1818000140</v>
      </c>
      <c r="N2632" s="321">
        <v>81</v>
      </c>
      <c r="O2632" s="321" t="s">
        <v>5207</v>
      </c>
      <c r="P2632" s="321">
        <v>4818000</v>
      </c>
      <c r="Q2632" s="322">
        <v>52000</v>
      </c>
      <c r="R2632" s="322">
        <v>31900</v>
      </c>
      <c r="S2632" s="322">
        <v>61000</v>
      </c>
      <c r="T2632" s="322">
        <v>61000</v>
      </c>
      <c r="U2632" s="322">
        <f t="shared" si="181"/>
        <v>0</v>
      </c>
      <c r="W2632" s="321">
        <f t="shared" si="182"/>
        <v>140</v>
      </c>
      <c r="X2632" s="321">
        <f t="shared" si="183"/>
        <v>818000</v>
      </c>
      <c r="Y2632" s="321">
        <v>1</v>
      </c>
      <c r="AA2632" s="321" t="s">
        <v>5207</v>
      </c>
    </row>
    <row r="2633" spans="13:27">
      <c r="M2633" s="321">
        <v>1818000141</v>
      </c>
      <c r="N2633" s="321">
        <v>81</v>
      </c>
      <c r="O2633" s="321" t="s">
        <v>5208</v>
      </c>
      <c r="P2633" s="321">
        <v>4818000</v>
      </c>
      <c r="Q2633" s="322">
        <v>9000</v>
      </c>
      <c r="R2633" s="322">
        <v>16200</v>
      </c>
      <c r="S2633" s="322">
        <v>25000</v>
      </c>
      <c r="T2633" s="322">
        <v>25000</v>
      </c>
      <c r="U2633" s="322">
        <f t="shared" si="181"/>
        <v>0</v>
      </c>
      <c r="W2633" s="321">
        <f t="shared" si="182"/>
        <v>141</v>
      </c>
      <c r="X2633" s="321">
        <f t="shared" si="183"/>
        <v>818000</v>
      </c>
      <c r="Y2633" s="321">
        <v>1</v>
      </c>
      <c r="AA2633" s="321" t="s">
        <v>5208</v>
      </c>
    </row>
    <row r="2634" spans="13:27">
      <c r="M2634" s="321">
        <v>1818000181</v>
      </c>
      <c r="N2634" s="321">
        <v>81</v>
      </c>
      <c r="O2634" s="321" t="s">
        <v>2580</v>
      </c>
      <c r="P2634" s="321">
        <v>4818000</v>
      </c>
      <c r="Q2634" s="322">
        <v>65000</v>
      </c>
      <c r="R2634" s="322">
        <v>39700</v>
      </c>
      <c r="S2634" s="322">
        <v>69000</v>
      </c>
      <c r="T2634" s="322">
        <v>69000</v>
      </c>
      <c r="U2634" s="322">
        <f t="shared" si="181"/>
        <v>0</v>
      </c>
      <c r="W2634" s="321">
        <f t="shared" si="182"/>
        <v>181</v>
      </c>
      <c r="X2634" s="321">
        <f t="shared" si="183"/>
        <v>818000</v>
      </c>
      <c r="Y2634" s="321">
        <v>1</v>
      </c>
      <c r="AA2634" s="321" t="s">
        <v>2580</v>
      </c>
    </row>
    <row r="2635" spans="13:27">
      <c r="M2635" s="321">
        <v>1818000182</v>
      </c>
      <c r="N2635" s="321">
        <v>81</v>
      </c>
      <c r="O2635" s="321" t="s">
        <v>2582</v>
      </c>
      <c r="P2635" s="321">
        <v>4818000</v>
      </c>
      <c r="Q2635" s="322">
        <v>81000</v>
      </c>
      <c r="R2635" s="322">
        <v>47300</v>
      </c>
      <c r="S2635" s="322">
        <v>87000</v>
      </c>
      <c r="T2635" s="322">
        <v>87000</v>
      </c>
      <c r="U2635" s="322">
        <f t="shared" si="181"/>
        <v>0</v>
      </c>
      <c r="W2635" s="321">
        <f t="shared" si="182"/>
        <v>182</v>
      </c>
      <c r="X2635" s="321">
        <f t="shared" si="183"/>
        <v>818000</v>
      </c>
      <c r="Y2635" s="321">
        <v>1</v>
      </c>
      <c r="AA2635" s="321" t="s">
        <v>2582</v>
      </c>
    </row>
    <row r="2636" spans="13:27">
      <c r="M2636" s="321">
        <v>1818000410</v>
      </c>
      <c r="N2636" s="321">
        <v>81</v>
      </c>
      <c r="O2636" s="321" t="s">
        <v>5839</v>
      </c>
      <c r="P2636" s="321">
        <v>4818000</v>
      </c>
      <c r="Q2636" s="322">
        <v>58800</v>
      </c>
      <c r="R2636" s="322">
        <v>58800</v>
      </c>
      <c r="S2636" s="322">
        <v>60000</v>
      </c>
      <c r="T2636" s="322">
        <v>60000</v>
      </c>
      <c r="U2636" s="322">
        <f t="shared" si="181"/>
        <v>0</v>
      </c>
      <c r="W2636" s="321">
        <f t="shared" si="182"/>
        <v>410</v>
      </c>
      <c r="X2636" s="321">
        <f t="shared" si="183"/>
        <v>818000</v>
      </c>
      <c r="Y2636" s="321">
        <v>1</v>
      </c>
      <c r="AA2636" s="321" t="s">
        <v>5839</v>
      </c>
    </row>
    <row r="2637" spans="13:27">
      <c r="M2637" s="321">
        <v>1818000420</v>
      </c>
      <c r="N2637" s="321">
        <v>81</v>
      </c>
      <c r="O2637" s="321" t="s">
        <v>5642</v>
      </c>
      <c r="P2637" s="321">
        <v>4818000</v>
      </c>
      <c r="Q2637" s="322">
        <v>4300</v>
      </c>
      <c r="R2637" s="322">
        <v>2700</v>
      </c>
      <c r="S2637" s="322">
        <v>5000</v>
      </c>
      <c r="T2637" s="322">
        <v>5000</v>
      </c>
      <c r="U2637" s="322">
        <f t="shared" si="181"/>
        <v>0</v>
      </c>
      <c r="W2637" s="321">
        <f t="shared" si="182"/>
        <v>420</v>
      </c>
      <c r="X2637" s="321">
        <f t="shared" si="183"/>
        <v>818000</v>
      </c>
      <c r="Y2637" s="321">
        <v>1</v>
      </c>
      <c r="AA2637" s="321" t="s">
        <v>5642</v>
      </c>
    </row>
    <row r="2638" spans="13:27">
      <c r="M2638" s="321">
        <v>1818000433</v>
      </c>
      <c r="N2638" s="321">
        <v>81</v>
      </c>
      <c r="O2638" s="321" t="s">
        <v>2655</v>
      </c>
      <c r="P2638" s="321">
        <v>4818000</v>
      </c>
      <c r="Q2638" s="322">
        <v>4000</v>
      </c>
      <c r="R2638" s="322">
        <v>4000</v>
      </c>
      <c r="S2638" s="322">
        <v>4000</v>
      </c>
      <c r="T2638" s="322">
        <v>4000</v>
      </c>
      <c r="U2638" s="322">
        <f t="shared" si="181"/>
        <v>0</v>
      </c>
      <c r="W2638" s="321">
        <f t="shared" si="182"/>
        <v>433</v>
      </c>
      <c r="X2638" s="321">
        <f t="shared" si="183"/>
        <v>818000</v>
      </c>
      <c r="Y2638" s="321">
        <v>1</v>
      </c>
      <c r="AA2638" s="321" t="s">
        <v>2655</v>
      </c>
    </row>
    <row r="2639" spans="13:27">
      <c r="M2639" s="321">
        <v>1818000470</v>
      </c>
      <c r="N2639" s="321">
        <v>81</v>
      </c>
      <c r="O2639" s="321" t="s">
        <v>2830</v>
      </c>
      <c r="P2639" s="321">
        <v>4818000</v>
      </c>
      <c r="Q2639" s="322">
        <v>6000</v>
      </c>
      <c r="R2639" s="322">
        <v>6000</v>
      </c>
      <c r="S2639" s="322">
        <v>6000</v>
      </c>
      <c r="T2639" s="322">
        <v>6000</v>
      </c>
      <c r="U2639" s="322">
        <f t="shared" si="181"/>
        <v>0</v>
      </c>
      <c r="W2639" s="321">
        <f t="shared" si="182"/>
        <v>470</v>
      </c>
      <c r="X2639" s="321">
        <f t="shared" si="183"/>
        <v>818000</v>
      </c>
      <c r="Y2639" s="321">
        <v>1</v>
      </c>
      <c r="AA2639" s="321" t="s">
        <v>2830</v>
      </c>
    </row>
    <row r="2640" spans="13:27">
      <c r="M2640" s="321">
        <v>1818000471</v>
      </c>
      <c r="N2640" s="321">
        <v>81</v>
      </c>
      <c r="O2640" s="321" t="s">
        <v>5212</v>
      </c>
      <c r="P2640" s="321">
        <v>4818000</v>
      </c>
      <c r="Q2640" s="322">
        <v>5800</v>
      </c>
      <c r="R2640" s="322">
        <v>0</v>
      </c>
      <c r="S2640" s="322">
        <v>6200</v>
      </c>
      <c r="T2640" s="322">
        <v>6200</v>
      </c>
      <c r="U2640" s="322">
        <f t="shared" si="181"/>
        <v>0</v>
      </c>
      <c r="W2640" s="321">
        <f t="shared" si="182"/>
        <v>471</v>
      </c>
      <c r="X2640" s="321">
        <f t="shared" si="183"/>
        <v>818000</v>
      </c>
      <c r="Y2640" s="321">
        <v>1</v>
      </c>
      <c r="AA2640" s="321" t="s">
        <v>5212</v>
      </c>
    </row>
    <row r="2641" spans="13:27">
      <c r="M2641" s="321">
        <v>1818000510</v>
      </c>
      <c r="N2641" s="321">
        <v>81</v>
      </c>
      <c r="O2641" s="321" t="s">
        <v>2805</v>
      </c>
      <c r="P2641" s="321">
        <v>4818000</v>
      </c>
      <c r="Q2641" s="322">
        <v>1000</v>
      </c>
      <c r="R2641" s="322">
        <v>200</v>
      </c>
      <c r="S2641" s="322">
        <v>1000</v>
      </c>
      <c r="T2641" s="322">
        <v>1000</v>
      </c>
      <c r="U2641" s="322">
        <f t="shared" si="181"/>
        <v>0</v>
      </c>
      <c r="W2641" s="321">
        <f t="shared" si="182"/>
        <v>510</v>
      </c>
      <c r="X2641" s="321">
        <f t="shared" si="183"/>
        <v>818000</v>
      </c>
      <c r="Y2641" s="321">
        <v>1</v>
      </c>
      <c r="AA2641" s="321" t="s">
        <v>2805</v>
      </c>
    </row>
    <row r="2642" spans="13:27">
      <c r="M2642" s="321">
        <v>1818000522</v>
      </c>
      <c r="N2642" s="321">
        <v>81</v>
      </c>
      <c r="O2642" s="321" t="s">
        <v>5214</v>
      </c>
      <c r="P2642" s="321">
        <v>4818000</v>
      </c>
      <c r="Q2642" s="322">
        <v>70000</v>
      </c>
      <c r="R2642" s="322">
        <v>37600</v>
      </c>
      <c r="S2642" s="322">
        <v>70000</v>
      </c>
      <c r="T2642" s="322">
        <v>70000</v>
      </c>
      <c r="U2642" s="322">
        <f t="shared" si="181"/>
        <v>0</v>
      </c>
      <c r="W2642" s="321">
        <f t="shared" si="182"/>
        <v>522</v>
      </c>
      <c r="X2642" s="321">
        <f t="shared" si="183"/>
        <v>818000</v>
      </c>
      <c r="Y2642" s="321">
        <v>1</v>
      </c>
      <c r="AA2642" s="321" t="s">
        <v>5214</v>
      </c>
    </row>
    <row r="2643" spans="13:27">
      <c r="M2643" s="321">
        <v>1818000540</v>
      </c>
      <c r="N2643" s="321">
        <v>81</v>
      </c>
      <c r="O2643" s="321" t="s">
        <v>6057</v>
      </c>
      <c r="P2643" s="321">
        <v>4818000</v>
      </c>
      <c r="Q2643" s="322">
        <v>20000</v>
      </c>
      <c r="R2643" s="322">
        <v>12400</v>
      </c>
      <c r="S2643" s="322">
        <v>20000</v>
      </c>
      <c r="T2643" s="322">
        <v>20000</v>
      </c>
      <c r="U2643" s="322">
        <f t="shared" si="181"/>
        <v>0</v>
      </c>
      <c r="W2643" s="321">
        <f t="shared" si="182"/>
        <v>540</v>
      </c>
      <c r="X2643" s="321">
        <f t="shared" si="183"/>
        <v>818000</v>
      </c>
      <c r="Y2643" s="321">
        <v>1</v>
      </c>
      <c r="AA2643" s="321" t="s">
        <v>6057</v>
      </c>
    </row>
    <row r="2644" spans="13:27">
      <c r="M2644" s="321">
        <v>1818000542</v>
      </c>
      <c r="N2644" s="321">
        <v>81</v>
      </c>
      <c r="O2644" s="321" t="s">
        <v>5564</v>
      </c>
      <c r="P2644" s="321">
        <v>4818000</v>
      </c>
      <c r="Q2644" s="322">
        <v>0</v>
      </c>
      <c r="R2644" s="322">
        <v>0</v>
      </c>
      <c r="S2644" s="322">
        <v>2000</v>
      </c>
      <c r="T2644" s="322">
        <v>2000</v>
      </c>
      <c r="U2644" s="322">
        <f t="shared" si="181"/>
        <v>0</v>
      </c>
      <c r="W2644" s="321">
        <f t="shared" si="182"/>
        <v>542</v>
      </c>
      <c r="X2644" s="321">
        <f t="shared" si="183"/>
        <v>818000</v>
      </c>
      <c r="Y2644" s="321">
        <v>1</v>
      </c>
      <c r="AA2644" s="321" t="s">
        <v>5564</v>
      </c>
    </row>
    <row r="2645" spans="13:27">
      <c r="M2645" s="321">
        <v>1818000750</v>
      </c>
      <c r="N2645" s="321">
        <v>81</v>
      </c>
      <c r="O2645" s="321" t="s">
        <v>2707</v>
      </c>
      <c r="P2645" s="321">
        <v>4818000</v>
      </c>
      <c r="Q2645" s="322">
        <v>0</v>
      </c>
      <c r="R2645" s="322">
        <v>0</v>
      </c>
      <c r="S2645" s="322">
        <v>0</v>
      </c>
      <c r="T2645" s="322">
        <v>0</v>
      </c>
      <c r="U2645" s="322">
        <f t="shared" si="181"/>
        <v>0</v>
      </c>
      <c r="W2645" s="321">
        <f t="shared" si="182"/>
        <v>750</v>
      </c>
      <c r="X2645" s="321">
        <f t="shared" si="183"/>
        <v>818000</v>
      </c>
      <c r="Y2645" s="321">
        <v>1</v>
      </c>
      <c r="AA2645" s="321" t="s">
        <v>2707</v>
      </c>
    </row>
    <row r="2646" spans="13:27">
      <c r="M2646" s="321">
        <v>1818000755</v>
      </c>
      <c r="N2646" s="321">
        <v>81</v>
      </c>
      <c r="O2646" s="321" t="s">
        <v>6058</v>
      </c>
      <c r="P2646" s="321">
        <v>4818000</v>
      </c>
      <c r="Q2646" s="322">
        <v>100000</v>
      </c>
      <c r="R2646" s="322">
        <v>52800</v>
      </c>
      <c r="S2646" s="322">
        <v>120000</v>
      </c>
      <c r="T2646" s="322">
        <v>120000</v>
      </c>
      <c r="U2646" s="322">
        <f t="shared" si="181"/>
        <v>0</v>
      </c>
      <c r="W2646" s="321">
        <f t="shared" si="182"/>
        <v>755</v>
      </c>
      <c r="X2646" s="321">
        <f t="shared" si="183"/>
        <v>818000</v>
      </c>
      <c r="Y2646" s="321">
        <v>1</v>
      </c>
      <c r="AA2646" s="321" t="s">
        <v>6058</v>
      </c>
    </row>
    <row r="2647" spans="13:27">
      <c r="M2647" s="321">
        <v>1818000760</v>
      </c>
      <c r="N2647" s="321">
        <v>81</v>
      </c>
      <c r="O2647" s="321" t="s">
        <v>6059</v>
      </c>
      <c r="P2647" s="321">
        <v>4818000</v>
      </c>
      <c r="Q2647" s="322">
        <v>250000</v>
      </c>
      <c r="R2647" s="322">
        <v>145900</v>
      </c>
      <c r="S2647" s="322">
        <v>260000</v>
      </c>
      <c r="T2647" s="322">
        <v>260000</v>
      </c>
      <c r="U2647" s="322">
        <f t="shared" si="181"/>
        <v>0</v>
      </c>
      <c r="W2647" s="321">
        <f t="shared" si="182"/>
        <v>760</v>
      </c>
      <c r="X2647" s="321">
        <f t="shared" si="183"/>
        <v>818000</v>
      </c>
      <c r="Y2647" s="321">
        <v>1</v>
      </c>
      <c r="AA2647" s="321" t="s">
        <v>6059</v>
      </c>
    </row>
    <row r="2648" spans="13:27">
      <c r="M2648" s="321">
        <v>1818000772</v>
      </c>
      <c r="N2648" s="321">
        <v>81</v>
      </c>
      <c r="O2648" s="321" t="s">
        <v>6060</v>
      </c>
      <c r="P2648" s="321">
        <v>4818000</v>
      </c>
      <c r="Q2648" s="322">
        <v>7000</v>
      </c>
      <c r="R2648" s="322">
        <v>2000</v>
      </c>
      <c r="S2648" s="322">
        <v>7000</v>
      </c>
      <c r="T2648" s="322">
        <v>7000</v>
      </c>
      <c r="U2648" s="322">
        <f t="shared" si="181"/>
        <v>0</v>
      </c>
      <c r="W2648" s="321">
        <f t="shared" si="182"/>
        <v>772</v>
      </c>
      <c r="X2648" s="321">
        <f t="shared" si="183"/>
        <v>818000</v>
      </c>
      <c r="Y2648" s="321">
        <v>1</v>
      </c>
      <c r="AA2648" s="321" t="s">
        <v>6060</v>
      </c>
    </row>
    <row r="2649" spans="13:27">
      <c r="M2649" s="321">
        <v>1818000780</v>
      </c>
      <c r="N2649" s="321">
        <v>81</v>
      </c>
      <c r="O2649" s="321" t="s">
        <v>6061</v>
      </c>
      <c r="P2649" s="321">
        <v>4818000</v>
      </c>
      <c r="Q2649" s="322">
        <v>30000</v>
      </c>
      <c r="R2649" s="322">
        <v>8300</v>
      </c>
      <c r="S2649" s="322">
        <v>30000</v>
      </c>
      <c r="T2649" s="322">
        <v>30000</v>
      </c>
      <c r="U2649" s="322">
        <f t="shared" si="181"/>
        <v>0</v>
      </c>
      <c r="W2649" s="321">
        <f t="shared" si="182"/>
        <v>780</v>
      </c>
      <c r="X2649" s="321">
        <f t="shared" si="183"/>
        <v>818000</v>
      </c>
      <c r="Y2649" s="321">
        <v>1</v>
      </c>
      <c r="AA2649" s="321" t="s">
        <v>6061</v>
      </c>
    </row>
    <row r="2650" spans="13:27">
      <c r="M2650" s="321">
        <v>1818100110</v>
      </c>
      <c r="N2650" s="321">
        <v>81</v>
      </c>
      <c r="O2650" s="321" t="s">
        <v>5205</v>
      </c>
      <c r="P2650" s="321">
        <v>4818000</v>
      </c>
      <c r="Q2650" s="322">
        <v>164000</v>
      </c>
      <c r="R2650" s="322">
        <v>157200</v>
      </c>
      <c r="S2650" s="322">
        <v>201000</v>
      </c>
      <c r="T2650" s="322">
        <v>201000</v>
      </c>
      <c r="U2650" s="322">
        <f t="shared" si="181"/>
        <v>0</v>
      </c>
      <c r="W2650" s="321">
        <f t="shared" si="182"/>
        <v>110</v>
      </c>
      <c r="X2650" s="321">
        <f t="shared" si="183"/>
        <v>818100</v>
      </c>
      <c r="Y2650" s="321">
        <v>1</v>
      </c>
      <c r="AA2650" s="321" t="s">
        <v>5205</v>
      </c>
    </row>
    <row r="2651" spans="13:27">
      <c r="M2651" s="321">
        <v>1818100120</v>
      </c>
      <c r="N2651" s="321">
        <v>81</v>
      </c>
      <c r="O2651" s="321" t="s">
        <v>5206</v>
      </c>
      <c r="P2651" s="321">
        <v>4818000</v>
      </c>
      <c r="Q2651" s="322">
        <v>18000</v>
      </c>
      <c r="R2651" s="322">
        <v>16400</v>
      </c>
      <c r="S2651" s="322">
        <v>10000</v>
      </c>
      <c r="T2651" s="322">
        <v>10000</v>
      </c>
      <c r="U2651" s="322">
        <f t="shared" si="181"/>
        <v>0</v>
      </c>
      <c r="W2651" s="321">
        <f t="shared" si="182"/>
        <v>120</v>
      </c>
      <c r="X2651" s="321">
        <f t="shared" si="183"/>
        <v>818100</v>
      </c>
      <c r="Y2651" s="321">
        <v>1</v>
      </c>
      <c r="AA2651" s="321" t="s">
        <v>5206</v>
      </c>
    </row>
    <row r="2652" spans="13:27">
      <c r="M2652" s="321">
        <v>1818100141</v>
      </c>
      <c r="N2652" s="321">
        <v>81</v>
      </c>
      <c r="O2652" s="321" t="s">
        <v>5208</v>
      </c>
      <c r="P2652" s="321">
        <v>4818000</v>
      </c>
      <c r="Q2652" s="322">
        <v>4000</v>
      </c>
      <c r="R2652" s="322">
        <v>6800</v>
      </c>
      <c r="S2652" s="322">
        <v>10000</v>
      </c>
      <c r="T2652" s="322">
        <v>10000</v>
      </c>
      <c r="U2652" s="322">
        <f t="shared" si="181"/>
        <v>0</v>
      </c>
      <c r="W2652" s="321">
        <f t="shared" si="182"/>
        <v>141</v>
      </c>
      <c r="X2652" s="321">
        <f t="shared" si="183"/>
        <v>818100</v>
      </c>
      <c r="Y2652" s="321">
        <v>1</v>
      </c>
      <c r="AA2652" s="321" t="s">
        <v>5208</v>
      </c>
    </row>
    <row r="2653" spans="13:27">
      <c r="M2653" s="321">
        <v>1818100181</v>
      </c>
      <c r="N2653" s="321">
        <v>81</v>
      </c>
      <c r="O2653" s="321" t="s">
        <v>2580</v>
      </c>
      <c r="P2653" s="321">
        <v>4818000</v>
      </c>
      <c r="Q2653" s="322">
        <v>23000</v>
      </c>
      <c r="R2653" s="322">
        <v>23600</v>
      </c>
      <c r="S2653" s="322">
        <v>30000</v>
      </c>
      <c r="T2653" s="322">
        <v>30000</v>
      </c>
      <c r="U2653" s="322">
        <f t="shared" si="181"/>
        <v>0</v>
      </c>
      <c r="W2653" s="321">
        <f t="shared" si="182"/>
        <v>181</v>
      </c>
      <c r="X2653" s="321">
        <f t="shared" si="183"/>
        <v>818100</v>
      </c>
      <c r="Y2653" s="321">
        <v>1</v>
      </c>
      <c r="AA2653" s="321" t="s">
        <v>2580</v>
      </c>
    </row>
    <row r="2654" spans="13:27">
      <c r="M2654" s="321">
        <v>1818100182</v>
      </c>
      <c r="N2654" s="321">
        <v>81</v>
      </c>
      <c r="O2654" s="321" t="s">
        <v>2582</v>
      </c>
      <c r="P2654" s="321">
        <v>4818000</v>
      </c>
      <c r="Q2654" s="322">
        <v>21000</v>
      </c>
      <c r="R2654" s="322">
        <v>17700</v>
      </c>
      <c r="S2654" s="322">
        <v>25000</v>
      </c>
      <c r="T2654" s="322">
        <v>25000</v>
      </c>
      <c r="U2654" s="322">
        <f t="shared" si="181"/>
        <v>0</v>
      </c>
      <c r="W2654" s="321">
        <f t="shared" si="182"/>
        <v>182</v>
      </c>
      <c r="X2654" s="321">
        <f t="shared" si="183"/>
        <v>818100</v>
      </c>
      <c r="Y2654" s="321">
        <v>1</v>
      </c>
      <c r="AA2654" s="321" t="s">
        <v>2582</v>
      </c>
    </row>
    <row r="2655" spans="13:27">
      <c r="M2655" s="321">
        <v>1821000110</v>
      </c>
      <c r="N2655" s="321">
        <v>82</v>
      </c>
      <c r="O2655" s="321" t="s">
        <v>5205</v>
      </c>
      <c r="P2655" s="321">
        <v>1821000</v>
      </c>
      <c r="Q2655" s="322">
        <v>223000</v>
      </c>
      <c r="R2655" s="322">
        <v>208100</v>
      </c>
      <c r="S2655" s="322">
        <v>238000</v>
      </c>
      <c r="T2655" s="322">
        <v>238000</v>
      </c>
      <c r="U2655" s="322">
        <f t="shared" si="181"/>
        <v>0</v>
      </c>
      <c r="W2655" s="321">
        <f t="shared" si="182"/>
        <v>110</v>
      </c>
      <c r="X2655" s="321">
        <f t="shared" si="183"/>
        <v>821000</v>
      </c>
      <c r="Y2655" s="321">
        <v>1</v>
      </c>
      <c r="AA2655" s="321" t="s">
        <v>5205</v>
      </c>
    </row>
    <row r="2656" spans="13:27">
      <c r="M2656" s="321">
        <v>1821000120</v>
      </c>
      <c r="N2656" s="321">
        <v>82</v>
      </c>
      <c r="O2656" s="321" t="s">
        <v>5206</v>
      </c>
      <c r="P2656" s="321">
        <v>1821000</v>
      </c>
      <c r="Q2656" s="322">
        <v>76000</v>
      </c>
      <c r="R2656" s="322">
        <v>76700</v>
      </c>
      <c r="S2656" s="322">
        <v>94000</v>
      </c>
      <c r="T2656" s="322">
        <v>94000</v>
      </c>
      <c r="U2656" s="322">
        <f t="shared" si="181"/>
        <v>0</v>
      </c>
      <c r="W2656" s="321">
        <f t="shared" si="182"/>
        <v>120</v>
      </c>
      <c r="X2656" s="321">
        <f t="shared" si="183"/>
        <v>821000</v>
      </c>
      <c r="Y2656" s="321">
        <v>1</v>
      </c>
      <c r="AA2656" s="321" t="s">
        <v>5206</v>
      </c>
    </row>
    <row r="2657" spans="13:27">
      <c r="M2657" s="321">
        <v>1821000130</v>
      </c>
      <c r="N2657" s="321">
        <v>82</v>
      </c>
      <c r="O2657" s="321" t="s">
        <v>2576</v>
      </c>
      <c r="P2657" s="321">
        <v>1821000</v>
      </c>
      <c r="Q2657" s="322">
        <v>49000</v>
      </c>
      <c r="R2657" s="322">
        <v>36100</v>
      </c>
      <c r="S2657" s="322">
        <v>50000</v>
      </c>
      <c r="T2657" s="322">
        <v>45000</v>
      </c>
      <c r="U2657" s="322">
        <f t="shared" si="181"/>
        <v>5000</v>
      </c>
      <c r="W2657" s="321">
        <f t="shared" si="182"/>
        <v>130</v>
      </c>
      <c r="X2657" s="321">
        <f t="shared" si="183"/>
        <v>821000</v>
      </c>
      <c r="Y2657" s="321">
        <v>1</v>
      </c>
      <c r="AA2657" s="321" t="s">
        <v>2576</v>
      </c>
    </row>
    <row r="2658" spans="13:27">
      <c r="M2658" s="321">
        <v>1821000140</v>
      </c>
      <c r="N2658" s="321">
        <v>82</v>
      </c>
      <c r="O2658" s="321" t="s">
        <v>5207</v>
      </c>
      <c r="P2658" s="321">
        <v>1821000</v>
      </c>
      <c r="Q2658" s="322">
        <v>53000</v>
      </c>
      <c r="R2658" s="322">
        <v>54300</v>
      </c>
      <c r="S2658" s="322">
        <v>63000</v>
      </c>
      <c r="T2658" s="322">
        <v>63000</v>
      </c>
      <c r="U2658" s="322">
        <f t="shared" si="181"/>
        <v>0</v>
      </c>
      <c r="W2658" s="321">
        <f t="shared" si="182"/>
        <v>140</v>
      </c>
      <c r="X2658" s="321">
        <f t="shared" si="183"/>
        <v>821000</v>
      </c>
      <c r="Y2658" s="321">
        <v>1</v>
      </c>
      <c r="AA2658" s="321" t="s">
        <v>5207</v>
      </c>
    </row>
    <row r="2659" spans="13:27">
      <c r="M2659" s="321">
        <v>1821000141</v>
      </c>
      <c r="N2659" s="321">
        <v>82</v>
      </c>
      <c r="O2659" s="321" t="s">
        <v>5229</v>
      </c>
      <c r="P2659" s="321">
        <v>1821000</v>
      </c>
      <c r="Q2659" s="322">
        <v>12000</v>
      </c>
      <c r="R2659" s="322">
        <v>11000</v>
      </c>
      <c r="S2659" s="322">
        <v>15000</v>
      </c>
      <c r="T2659" s="322">
        <v>15000</v>
      </c>
      <c r="U2659" s="322">
        <f t="shared" si="181"/>
        <v>0</v>
      </c>
      <c r="W2659" s="321">
        <f t="shared" si="182"/>
        <v>141</v>
      </c>
      <c r="X2659" s="321">
        <f t="shared" si="183"/>
        <v>821000</v>
      </c>
      <c r="Y2659" s="321">
        <v>1</v>
      </c>
      <c r="AA2659" s="321" t="s">
        <v>5229</v>
      </c>
    </row>
    <row r="2660" spans="13:27">
      <c r="M2660" s="321">
        <v>1821000181</v>
      </c>
      <c r="N2660" s="321">
        <v>82</v>
      </c>
      <c r="O2660" s="321" t="s">
        <v>2580</v>
      </c>
      <c r="P2660" s="321">
        <v>1821000</v>
      </c>
      <c r="Q2660" s="322">
        <v>43000</v>
      </c>
      <c r="R2660" s="322">
        <v>37400</v>
      </c>
      <c r="S2660" s="322">
        <v>48000</v>
      </c>
      <c r="T2660" s="322">
        <v>48000</v>
      </c>
      <c r="U2660" s="322">
        <f t="shared" si="181"/>
        <v>0</v>
      </c>
      <c r="W2660" s="321">
        <f t="shared" si="182"/>
        <v>181</v>
      </c>
      <c r="X2660" s="321">
        <f t="shared" si="183"/>
        <v>821000</v>
      </c>
      <c r="Y2660" s="321">
        <v>1</v>
      </c>
      <c r="AA2660" s="321" t="s">
        <v>2580</v>
      </c>
    </row>
    <row r="2661" spans="13:27">
      <c r="M2661" s="321">
        <v>1821000182</v>
      </c>
      <c r="N2661" s="321">
        <v>82</v>
      </c>
      <c r="O2661" s="321" t="s">
        <v>6062</v>
      </c>
      <c r="P2661" s="321">
        <v>1821000</v>
      </c>
      <c r="Q2661" s="322">
        <v>56000</v>
      </c>
      <c r="R2661" s="322">
        <v>50700</v>
      </c>
      <c r="S2661" s="322">
        <v>69000</v>
      </c>
      <c r="T2661" s="322">
        <v>69000</v>
      </c>
      <c r="U2661" s="322">
        <f t="shared" si="181"/>
        <v>0</v>
      </c>
      <c r="W2661" s="321">
        <f t="shared" si="182"/>
        <v>182</v>
      </c>
      <c r="X2661" s="321">
        <f t="shared" si="183"/>
        <v>821000</v>
      </c>
      <c r="Y2661" s="321">
        <v>1</v>
      </c>
      <c r="AA2661" s="321" t="s">
        <v>6062</v>
      </c>
    </row>
    <row r="2662" spans="13:27">
      <c r="M2662" s="321">
        <v>1821000540</v>
      </c>
      <c r="N2662" s="321">
        <v>82</v>
      </c>
      <c r="O2662" s="321" t="s">
        <v>5568</v>
      </c>
      <c r="P2662" s="321">
        <v>1821000</v>
      </c>
      <c r="Q2662" s="322">
        <v>0</v>
      </c>
      <c r="R2662" s="322">
        <v>0</v>
      </c>
      <c r="S2662" s="322">
        <v>0</v>
      </c>
      <c r="T2662" s="322">
        <v>0</v>
      </c>
      <c r="U2662" s="322">
        <f t="shared" si="181"/>
        <v>0</v>
      </c>
      <c r="W2662" s="321">
        <f t="shared" si="182"/>
        <v>540</v>
      </c>
      <c r="X2662" s="321">
        <f t="shared" si="183"/>
        <v>821000</v>
      </c>
      <c r="Y2662" s="321">
        <v>1</v>
      </c>
      <c r="AA2662" s="321" t="s">
        <v>5568</v>
      </c>
    </row>
    <row r="2663" spans="13:27">
      <c r="M2663" s="321">
        <v>1821000760</v>
      </c>
      <c r="N2663" s="321">
        <v>82</v>
      </c>
      <c r="O2663" s="321" t="s">
        <v>6063</v>
      </c>
      <c r="P2663" s="321">
        <v>1821000</v>
      </c>
      <c r="Q2663" s="322">
        <v>758000</v>
      </c>
      <c r="R2663" s="322">
        <v>341100</v>
      </c>
      <c r="S2663" s="322">
        <v>758000</v>
      </c>
      <c r="T2663" s="322">
        <v>700000</v>
      </c>
      <c r="U2663" s="322">
        <f t="shared" si="181"/>
        <v>58000</v>
      </c>
      <c r="W2663" s="321">
        <f t="shared" si="182"/>
        <v>760</v>
      </c>
      <c r="X2663" s="321">
        <f t="shared" si="183"/>
        <v>821000</v>
      </c>
      <c r="Y2663" s="321">
        <v>1</v>
      </c>
      <c r="AA2663" s="321" t="s">
        <v>6063</v>
      </c>
    </row>
    <row r="2664" spans="13:27">
      <c r="M2664" s="321">
        <v>1821000772</v>
      </c>
      <c r="N2664" s="321">
        <v>82</v>
      </c>
      <c r="O2664" s="321" t="s">
        <v>6064</v>
      </c>
      <c r="P2664" s="321">
        <v>1821000</v>
      </c>
      <c r="Q2664" s="322">
        <v>970000</v>
      </c>
      <c r="R2664" s="322">
        <v>565800</v>
      </c>
      <c r="S2664" s="322">
        <v>1370000</v>
      </c>
      <c r="T2664" s="322">
        <v>1301500</v>
      </c>
      <c r="U2664" s="322">
        <f t="shared" si="181"/>
        <v>68500</v>
      </c>
      <c r="W2664" s="321">
        <f t="shared" si="182"/>
        <v>772</v>
      </c>
      <c r="X2664" s="321">
        <f t="shared" si="183"/>
        <v>821000</v>
      </c>
      <c r="Y2664" s="321">
        <v>1</v>
      </c>
      <c r="AA2664" s="321" t="s">
        <v>6064</v>
      </c>
    </row>
    <row r="2665" spans="13:27">
      <c r="M2665" s="321">
        <v>1821000773</v>
      </c>
      <c r="N2665" s="321">
        <v>82</v>
      </c>
      <c r="O2665" s="321" t="s">
        <v>6065</v>
      </c>
      <c r="P2665" s="321">
        <v>1821000</v>
      </c>
      <c r="Q2665" s="322">
        <v>1200000</v>
      </c>
      <c r="R2665" s="322">
        <v>0</v>
      </c>
      <c r="S2665" s="322">
        <v>1329000</v>
      </c>
      <c r="T2665" s="322">
        <v>1262600</v>
      </c>
      <c r="U2665" s="322">
        <f t="shared" si="181"/>
        <v>66400</v>
      </c>
      <c r="W2665" s="321">
        <f t="shared" si="182"/>
        <v>773</v>
      </c>
      <c r="X2665" s="321">
        <f t="shared" si="183"/>
        <v>821000</v>
      </c>
      <c r="Y2665" s="321">
        <v>1</v>
      </c>
      <c r="AA2665" s="321" t="s">
        <v>6065</v>
      </c>
    </row>
    <row r="2666" spans="13:27">
      <c r="M2666" s="321">
        <v>1821000870</v>
      </c>
      <c r="N2666" s="321">
        <v>82</v>
      </c>
      <c r="O2666" s="321" t="s">
        <v>6066</v>
      </c>
      <c r="P2666" s="321">
        <v>1821000</v>
      </c>
      <c r="Q2666" s="322">
        <v>1703620</v>
      </c>
      <c r="R2666" s="322">
        <v>1240500</v>
      </c>
      <c r="S2666" s="322">
        <v>1703600</v>
      </c>
      <c r="T2666" s="322">
        <v>1618400</v>
      </c>
      <c r="U2666" s="322">
        <f t="shared" si="181"/>
        <v>85200</v>
      </c>
      <c r="W2666" s="321">
        <f t="shared" si="182"/>
        <v>870</v>
      </c>
      <c r="X2666" s="321">
        <f t="shared" si="183"/>
        <v>821000</v>
      </c>
      <c r="Y2666" s="321">
        <v>1</v>
      </c>
      <c r="AA2666" s="321" t="s">
        <v>6066</v>
      </c>
    </row>
    <row r="2667" spans="13:27">
      <c r="M2667" s="321">
        <v>1821000871</v>
      </c>
      <c r="N2667" s="321">
        <v>82</v>
      </c>
      <c r="O2667" s="321" t="s">
        <v>6067</v>
      </c>
      <c r="P2667" s="321">
        <v>1821000</v>
      </c>
      <c r="Q2667" s="322">
        <v>1800000</v>
      </c>
      <c r="R2667" s="322">
        <v>860000</v>
      </c>
      <c r="S2667" s="322">
        <v>1800000</v>
      </c>
      <c r="T2667" s="322">
        <v>1500000</v>
      </c>
      <c r="U2667" s="322">
        <f t="shared" si="181"/>
        <v>300000</v>
      </c>
      <c r="W2667" s="321">
        <f t="shared" si="182"/>
        <v>871</v>
      </c>
      <c r="X2667" s="321">
        <f t="shared" si="183"/>
        <v>821000</v>
      </c>
      <c r="Y2667" s="321">
        <v>1</v>
      </c>
      <c r="AA2667" s="321" t="s">
        <v>6067</v>
      </c>
    </row>
    <row r="2668" spans="13:27">
      <c r="M2668" s="321">
        <v>1821000920</v>
      </c>
      <c r="N2668" s="321">
        <v>82</v>
      </c>
      <c r="O2668" s="321" t="s">
        <v>6068</v>
      </c>
      <c r="P2668" s="321">
        <v>1821000</v>
      </c>
      <c r="Q2668" s="322">
        <v>500000</v>
      </c>
      <c r="R2668" s="322">
        <v>500000</v>
      </c>
      <c r="S2668" s="322">
        <v>700000</v>
      </c>
      <c r="T2668" s="322">
        <v>500000</v>
      </c>
      <c r="U2668" s="322">
        <f t="shared" si="181"/>
        <v>200000</v>
      </c>
      <c r="W2668" s="321">
        <f t="shared" si="182"/>
        <v>920</v>
      </c>
      <c r="X2668" s="321">
        <f t="shared" si="183"/>
        <v>821000</v>
      </c>
      <c r="Y2668" s="321">
        <v>1</v>
      </c>
      <c r="AA2668" s="321" t="s">
        <v>6068</v>
      </c>
    </row>
    <row r="2669" spans="13:27">
      <c r="M2669" s="321">
        <v>1821000981</v>
      </c>
      <c r="N2669" s="321">
        <v>82</v>
      </c>
      <c r="O2669" s="321" t="s">
        <v>5307</v>
      </c>
      <c r="P2669" s="321">
        <v>1821000</v>
      </c>
      <c r="Q2669" s="322">
        <v>0</v>
      </c>
      <c r="R2669" s="322">
        <v>0</v>
      </c>
      <c r="S2669" s="322">
        <v>0</v>
      </c>
      <c r="T2669" s="322">
        <v>0</v>
      </c>
      <c r="U2669" s="322">
        <f t="shared" si="181"/>
        <v>0</v>
      </c>
      <c r="W2669" s="321">
        <f t="shared" si="182"/>
        <v>981</v>
      </c>
      <c r="X2669" s="321">
        <f t="shared" si="183"/>
        <v>821000</v>
      </c>
      <c r="Y2669" s="321">
        <v>1</v>
      </c>
      <c r="AA2669" s="321" t="s">
        <v>5307</v>
      </c>
    </row>
    <row r="2670" spans="13:27">
      <c r="M2670" s="321">
        <v>1822000760</v>
      </c>
      <c r="N2670" s="321">
        <v>82</v>
      </c>
      <c r="O2670" s="321" t="s">
        <v>6069</v>
      </c>
      <c r="P2670" s="321">
        <v>1822000</v>
      </c>
      <c r="Q2670" s="322">
        <v>114000</v>
      </c>
      <c r="R2670" s="322">
        <v>0</v>
      </c>
      <c r="S2670" s="322">
        <v>114000</v>
      </c>
      <c r="T2670" s="322">
        <v>108300</v>
      </c>
      <c r="U2670" s="322">
        <f t="shared" si="181"/>
        <v>5700</v>
      </c>
      <c r="W2670" s="321">
        <f t="shared" si="182"/>
        <v>760</v>
      </c>
      <c r="X2670" s="321">
        <f t="shared" si="183"/>
        <v>822000</v>
      </c>
      <c r="Y2670" s="321">
        <v>1</v>
      </c>
      <c r="AA2670" s="321" t="s">
        <v>6069</v>
      </c>
    </row>
    <row r="2671" spans="13:27">
      <c r="M2671" s="321">
        <v>1822000870</v>
      </c>
      <c r="N2671" s="321">
        <v>82</v>
      </c>
      <c r="O2671" s="321" t="s">
        <v>6070</v>
      </c>
      <c r="P2671" s="321">
        <v>1822000</v>
      </c>
      <c r="Q2671" s="322">
        <v>1184090</v>
      </c>
      <c r="R2671" s="322">
        <v>878700</v>
      </c>
      <c r="S2671" s="322">
        <v>1422000</v>
      </c>
      <c r="T2671" s="322">
        <v>1350900</v>
      </c>
      <c r="U2671" s="322">
        <f t="shared" si="181"/>
        <v>71100</v>
      </c>
      <c r="W2671" s="321">
        <f t="shared" si="182"/>
        <v>870</v>
      </c>
      <c r="X2671" s="321">
        <f t="shared" si="183"/>
        <v>822000</v>
      </c>
      <c r="Y2671" s="321">
        <v>1</v>
      </c>
      <c r="AA2671" s="321" t="s">
        <v>6070</v>
      </c>
    </row>
    <row r="2672" spans="13:27">
      <c r="M2672" s="321">
        <v>1822001870</v>
      </c>
      <c r="N2672" s="321">
        <v>82</v>
      </c>
      <c r="O2672" s="321" t="s">
        <v>6071</v>
      </c>
      <c r="P2672" s="321">
        <v>1822000</v>
      </c>
      <c r="Q2672" s="322">
        <v>474100</v>
      </c>
      <c r="R2672" s="322">
        <v>350500</v>
      </c>
      <c r="S2672" s="322">
        <v>894100</v>
      </c>
      <c r="T2672" s="322">
        <v>849400</v>
      </c>
      <c r="U2672" s="322">
        <f t="shared" si="181"/>
        <v>44700</v>
      </c>
      <c r="W2672" s="321">
        <f t="shared" si="182"/>
        <v>870</v>
      </c>
      <c r="X2672" s="321">
        <f t="shared" si="183"/>
        <v>822001</v>
      </c>
      <c r="Y2672" s="321">
        <v>1</v>
      </c>
      <c r="AA2672" s="321" t="s">
        <v>6071</v>
      </c>
    </row>
    <row r="2673" spans="13:27">
      <c r="M2673" s="321">
        <v>1822002870</v>
      </c>
      <c r="N2673" s="321">
        <v>82</v>
      </c>
      <c r="O2673" s="321" t="s">
        <v>6072</v>
      </c>
      <c r="P2673" s="321">
        <v>1822000</v>
      </c>
      <c r="Q2673" s="322">
        <v>298400</v>
      </c>
      <c r="R2673" s="322">
        <v>223700</v>
      </c>
      <c r="S2673" s="322">
        <v>300000</v>
      </c>
      <c r="T2673" s="322">
        <v>285000</v>
      </c>
      <c r="U2673" s="322">
        <f t="shared" si="181"/>
        <v>15000</v>
      </c>
      <c r="W2673" s="321">
        <f t="shared" si="182"/>
        <v>870</v>
      </c>
      <c r="X2673" s="321">
        <f t="shared" si="183"/>
        <v>822002</v>
      </c>
      <c r="Y2673" s="321">
        <v>1</v>
      </c>
      <c r="AA2673" s="321" t="s">
        <v>6072</v>
      </c>
    </row>
    <row r="2674" spans="13:27">
      <c r="M2674" s="321">
        <v>1823000870</v>
      </c>
      <c r="N2674" s="321">
        <v>82</v>
      </c>
      <c r="O2674" s="321" t="s">
        <v>6073</v>
      </c>
      <c r="P2674" s="321">
        <v>1823000</v>
      </c>
      <c r="Q2674" s="322">
        <v>1200000</v>
      </c>
      <c r="R2674" s="322">
        <v>899600</v>
      </c>
      <c r="S2674" s="322">
        <v>1400000</v>
      </c>
      <c r="T2674" s="322">
        <v>1330000</v>
      </c>
      <c r="U2674" s="322">
        <f t="shared" si="181"/>
        <v>70000</v>
      </c>
      <c r="W2674" s="321">
        <f t="shared" si="182"/>
        <v>870</v>
      </c>
      <c r="X2674" s="321">
        <f t="shared" si="183"/>
        <v>823000</v>
      </c>
      <c r="Y2674" s="321">
        <v>1</v>
      </c>
      <c r="AA2674" s="321" t="s">
        <v>6073</v>
      </c>
    </row>
    <row r="2675" spans="13:27">
      <c r="M2675" s="321">
        <v>1823000872</v>
      </c>
      <c r="N2675" s="321">
        <v>82</v>
      </c>
      <c r="O2675" s="321" t="s">
        <v>6074</v>
      </c>
      <c r="P2675" s="321">
        <v>1823000</v>
      </c>
      <c r="Q2675" s="322">
        <v>1421000</v>
      </c>
      <c r="R2675" s="322">
        <v>1065300</v>
      </c>
      <c r="S2675" s="322">
        <v>1421000</v>
      </c>
      <c r="T2675" s="322">
        <v>1350000</v>
      </c>
      <c r="U2675" s="322">
        <f t="shared" si="181"/>
        <v>71000</v>
      </c>
      <c r="W2675" s="321">
        <f t="shared" si="182"/>
        <v>872</v>
      </c>
      <c r="X2675" s="321">
        <f t="shared" si="183"/>
        <v>823000</v>
      </c>
      <c r="Y2675" s="321">
        <v>1</v>
      </c>
      <c r="AA2675" s="321" t="s">
        <v>6074</v>
      </c>
    </row>
    <row r="2676" spans="13:27">
      <c r="M2676" s="321">
        <v>1823000930</v>
      </c>
      <c r="N2676" s="321">
        <v>82</v>
      </c>
      <c r="O2676" s="321" t="s">
        <v>6075</v>
      </c>
      <c r="P2676" s="321">
        <v>1823000</v>
      </c>
      <c r="Q2676" s="322">
        <v>0</v>
      </c>
      <c r="R2676" s="322">
        <v>0</v>
      </c>
      <c r="S2676" s="322">
        <v>0</v>
      </c>
      <c r="T2676" s="322">
        <v>0</v>
      </c>
      <c r="U2676" s="322">
        <f t="shared" si="181"/>
        <v>0</v>
      </c>
      <c r="W2676" s="321">
        <f t="shared" si="182"/>
        <v>930</v>
      </c>
      <c r="X2676" s="321">
        <f t="shared" si="183"/>
        <v>823000</v>
      </c>
      <c r="Y2676" s="321">
        <v>1</v>
      </c>
      <c r="AA2676" s="321" t="s">
        <v>6075</v>
      </c>
    </row>
    <row r="2677" spans="13:27">
      <c r="M2677" s="321">
        <v>1823001870</v>
      </c>
      <c r="N2677" s="321">
        <v>82</v>
      </c>
      <c r="O2677" s="321" t="s">
        <v>6076</v>
      </c>
      <c r="P2677" s="321">
        <v>1823000</v>
      </c>
      <c r="Q2677" s="322">
        <v>337500</v>
      </c>
      <c r="R2677" s="322">
        <v>253000</v>
      </c>
      <c r="S2677" s="322">
        <v>340000</v>
      </c>
      <c r="T2677" s="322">
        <v>323000</v>
      </c>
      <c r="U2677" s="322">
        <f t="shared" si="181"/>
        <v>17000</v>
      </c>
      <c r="W2677" s="321">
        <f t="shared" si="182"/>
        <v>870</v>
      </c>
      <c r="X2677" s="321">
        <f t="shared" si="183"/>
        <v>823001</v>
      </c>
      <c r="Y2677" s="321">
        <v>1</v>
      </c>
      <c r="AA2677" s="321" t="s">
        <v>6076</v>
      </c>
    </row>
    <row r="2678" spans="13:27">
      <c r="M2678" s="321">
        <v>1824000760</v>
      </c>
      <c r="N2678" s="321">
        <v>82</v>
      </c>
      <c r="O2678" s="321" t="s">
        <v>6077</v>
      </c>
      <c r="P2678" s="321">
        <v>1824000</v>
      </c>
      <c r="Q2678" s="322">
        <v>0</v>
      </c>
      <c r="R2678" s="322">
        <v>0</v>
      </c>
      <c r="S2678" s="322">
        <v>1000000</v>
      </c>
      <c r="T2678" s="322">
        <v>900000</v>
      </c>
      <c r="U2678" s="322">
        <f t="shared" si="181"/>
        <v>100000</v>
      </c>
      <c r="W2678" s="321">
        <f t="shared" si="182"/>
        <v>760</v>
      </c>
      <c r="X2678" s="321">
        <f t="shared" si="183"/>
        <v>824000</v>
      </c>
      <c r="Y2678" s="321">
        <v>1</v>
      </c>
      <c r="AA2678" s="321" t="s">
        <v>6077</v>
      </c>
    </row>
    <row r="2679" spans="13:27">
      <c r="M2679" s="321">
        <v>1824000870</v>
      </c>
      <c r="N2679" s="321">
        <v>82</v>
      </c>
      <c r="O2679" s="321" t="s">
        <v>6078</v>
      </c>
      <c r="P2679" s="321">
        <v>1824000</v>
      </c>
      <c r="Q2679" s="322">
        <v>13000000</v>
      </c>
      <c r="R2679" s="322">
        <v>9746100</v>
      </c>
      <c r="S2679" s="322">
        <v>13512000</v>
      </c>
      <c r="T2679" s="322">
        <v>12912000</v>
      </c>
      <c r="U2679" s="322">
        <f t="shared" si="181"/>
        <v>600000</v>
      </c>
      <c r="W2679" s="321">
        <f t="shared" si="182"/>
        <v>870</v>
      </c>
      <c r="X2679" s="321">
        <f t="shared" si="183"/>
        <v>824000</v>
      </c>
      <c r="Y2679" s="321">
        <v>1</v>
      </c>
      <c r="AA2679" s="321" t="s">
        <v>6078</v>
      </c>
    </row>
    <row r="2680" spans="13:27">
      <c r="M2680" s="321">
        <v>1824000871</v>
      </c>
      <c r="N2680" s="321">
        <v>82</v>
      </c>
      <c r="O2680" s="321" t="s">
        <v>6079</v>
      </c>
      <c r="P2680" s="321">
        <v>1824000</v>
      </c>
      <c r="Q2680" s="322">
        <v>589100</v>
      </c>
      <c r="R2680" s="322">
        <v>441600</v>
      </c>
      <c r="S2680" s="322">
        <v>590000</v>
      </c>
      <c r="T2680" s="322">
        <v>560500</v>
      </c>
      <c r="U2680" s="322">
        <f t="shared" si="181"/>
        <v>29500</v>
      </c>
      <c r="W2680" s="321">
        <f t="shared" si="182"/>
        <v>871</v>
      </c>
      <c r="X2680" s="321">
        <f t="shared" si="183"/>
        <v>824000</v>
      </c>
      <c r="Y2680" s="321">
        <v>1</v>
      </c>
      <c r="AA2680" s="321" t="s">
        <v>6079</v>
      </c>
    </row>
    <row r="2681" spans="13:27">
      <c r="M2681" s="321">
        <v>1824000872</v>
      </c>
      <c r="N2681" s="321">
        <v>82</v>
      </c>
      <c r="O2681" s="321" t="s">
        <v>6080</v>
      </c>
      <c r="P2681" s="321">
        <v>1824000</v>
      </c>
      <c r="Q2681" s="322">
        <v>0</v>
      </c>
      <c r="R2681" s="322">
        <v>220000</v>
      </c>
      <c r="S2681" s="322">
        <v>400000</v>
      </c>
      <c r="T2681" s="322">
        <v>300000</v>
      </c>
      <c r="U2681" s="322">
        <f t="shared" si="181"/>
        <v>100000</v>
      </c>
      <c r="W2681" s="321">
        <f t="shared" si="182"/>
        <v>872</v>
      </c>
      <c r="X2681" s="321">
        <f t="shared" si="183"/>
        <v>824000</v>
      </c>
      <c r="Y2681" s="321">
        <v>1</v>
      </c>
      <c r="AA2681" s="321" t="s">
        <v>6080</v>
      </c>
    </row>
    <row r="2682" spans="13:27">
      <c r="M2682" s="321">
        <v>1825000820</v>
      </c>
      <c r="N2682" s="321">
        <v>82</v>
      </c>
      <c r="O2682" s="321" t="s">
        <v>6081</v>
      </c>
      <c r="P2682" s="321">
        <v>1825000</v>
      </c>
      <c r="Q2682" s="322">
        <v>0</v>
      </c>
      <c r="R2682" s="322">
        <v>0</v>
      </c>
      <c r="S2682" s="322">
        <v>0</v>
      </c>
      <c r="T2682" s="322">
        <v>0</v>
      </c>
      <c r="U2682" s="322">
        <f t="shared" si="181"/>
        <v>0</v>
      </c>
      <c r="W2682" s="321">
        <f t="shared" si="182"/>
        <v>820</v>
      </c>
      <c r="X2682" s="321">
        <f t="shared" si="183"/>
        <v>825000</v>
      </c>
      <c r="Y2682" s="321">
        <v>1</v>
      </c>
      <c r="AA2682" s="321" t="s">
        <v>6081</v>
      </c>
    </row>
    <row r="2683" spans="13:27">
      <c r="M2683" s="321">
        <v>1825000870</v>
      </c>
      <c r="N2683" s="321">
        <v>82</v>
      </c>
      <c r="O2683" s="321" t="s">
        <v>6082</v>
      </c>
      <c r="P2683" s="321">
        <v>1825000</v>
      </c>
      <c r="Q2683" s="322">
        <v>2125000</v>
      </c>
      <c r="R2683" s="322">
        <v>1593100</v>
      </c>
      <c r="S2683" s="322">
        <v>2500000</v>
      </c>
      <c r="T2683" s="322">
        <v>2375000</v>
      </c>
      <c r="U2683" s="322">
        <f t="shared" si="181"/>
        <v>125000</v>
      </c>
      <c r="W2683" s="321">
        <f t="shared" si="182"/>
        <v>870</v>
      </c>
      <c r="X2683" s="321">
        <f t="shared" si="183"/>
        <v>825000</v>
      </c>
      <c r="Y2683" s="321">
        <v>1</v>
      </c>
      <c r="AA2683" s="321" t="s">
        <v>6082</v>
      </c>
    </row>
    <row r="2684" spans="13:27">
      <c r="M2684" s="321">
        <v>1825001820</v>
      </c>
      <c r="N2684" s="321">
        <v>82</v>
      </c>
      <c r="O2684" s="321" t="s">
        <v>6083</v>
      </c>
      <c r="P2684" s="321">
        <v>1825000</v>
      </c>
      <c r="Q2684" s="322">
        <v>1800000</v>
      </c>
      <c r="R2684" s="322">
        <v>1270200</v>
      </c>
      <c r="S2684" s="322">
        <v>1800000</v>
      </c>
      <c r="T2684" s="322">
        <v>1800000</v>
      </c>
      <c r="U2684" s="322">
        <f t="shared" si="181"/>
        <v>0</v>
      </c>
      <c r="W2684" s="321">
        <f t="shared" si="182"/>
        <v>820</v>
      </c>
      <c r="X2684" s="321">
        <f t="shared" si="183"/>
        <v>825001</v>
      </c>
      <c r="Y2684" s="321">
        <v>1</v>
      </c>
      <c r="AA2684" s="321" t="s">
        <v>6083</v>
      </c>
    </row>
    <row r="2685" spans="13:27">
      <c r="M2685" s="321">
        <v>1825001870</v>
      </c>
      <c r="N2685" s="321">
        <v>82</v>
      </c>
      <c r="O2685" s="321" t="s">
        <v>6081</v>
      </c>
      <c r="P2685" s="321">
        <v>1825000</v>
      </c>
      <c r="Q2685" s="322">
        <v>1300000</v>
      </c>
      <c r="R2685" s="322">
        <v>974600</v>
      </c>
      <c r="S2685" s="322">
        <v>1539000</v>
      </c>
      <c r="T2685" s="322">
        <v>1462000</v>
      </c>
      <c r="U2685" s="322">
        <f t="shared" si="181"/>
        <v>77000</v>
      </c>
      <c r="W2685" s="321">
        <f t="shared" si="182"/>
        <v>870</v>
      </c>
      <c r="X2685" s="321">
        <f t="shared" si="183"/>
        <v>825001</v>
      </c>
      <c r="Y2685" s="321">
        <v>1</v>
      </c>
      <c r="AA2685" s="321" t="s">
        <v>6081</v>
      </c>
    </row>
    <row r="2686" spans="13:27">
      <c r="M2686" s="321">
        <v>1825002820</v>
      </c>
      <c r="N2686" s="321">
        <v>82</v>
      </c>
      <c r="O2686" s="321" t="s">
        <v>6084</v>
      </c>
      <c r="P2686" s="321">
        <v>1825000</v>
      </c>
      <c r="Q2686" s="322">
        <v>2000000</v>
      </c>
      <c r="R2686" s="322">
        <v>1581600</v>
      </c>
      <c r="S2686" s="322">
        <v>2000000</v>
      </c>
      <c r="T2686" s="322">
        <v>2000000</v>
      </c>
      <c r="U2686" s="322">
        <f t="shared" si="181"/>
        <v>0</v>
      </c>
      <c r="W2686" s="321">
        <f t="shared" si="182"/>
        <v>820</v>
      </c>
      <c r="X2686" s="321">
        <f t="shared" si="183"/>
        <v>825002</v>
      </c>
      <c r="Y2686" s="321">
        <v>1</v>
      </c>
      <c r="AA2686" s="321" t="s">
        <v>6084</v>
      </c>
    </row>
    <row r="2687" spans="13:27">
      <c r="M2687" s="321">
        <v>1826000771</v>
      </c>
      <c r="N2687" s="321">
        <v>82</v>
      </c>
      <c r="O2687" s="321" t="s">
        <v>6085</v>
      </c>
      <c r="P2687" s="321">
        <v>1826000</v>
      </c>
      <c r="Q2687" s="322">
        <v>0</v>
      </c>
      <c r="R2687" s="322">
        <v>0</v>
      </c>
      <c r="S2687" s="322">
        <v>0</v>
      </c>
      <c r="T2687" s="322">
        <v>0</v>
      </c>
      <c r="U2687" s="322">
        <f t="shared" si="181"/>
        <v>0</v>
      </c>
      <c r="W2687" s="321">
        <f t="shared" si="182"/>
        <v>771</v>
      </c>
      <c r="X2687" s="321">
        <f t="shared" si="183"/>
        <v>826000</v>
      </c>
      <c r="Y2687" s="321">
        <v>1</v>
      </c>
      <c r="AA2687" s="321" t="s">
        <v>6085</v>
      </c>
    </row>
    <row r="2688" spans="13:27">
      <c r="M2688" s="321">
        <v>1826000820</v>
      </c>
      <c r="N2688" s="321">
        <v>82</v>
      </c>
      <c r="O2688" s="321" t="s">
        <v>6086</v>
      </c>
      <c r="P2688" s="321">
        <v>1826000</v>
      </c>
      <c r="Q2688" s="322">
        <v>587000</v>
      </c>
      <c r="R2688" s="322">
        <v>440200</v>
      </c>
      <c r="S2688" s="322">
        <v>587000</v>
      </c>
      <c r="T2688" s="322">
        <v>587000</v>
      </c>
      <c r="U2688" s="322">
        <f t="shared" si="181"/>
        <v>0</v>
      </c>
      <c r="W2688" s="321">
        <f t="shared" si="182"/>
        <v>820</v>
      </c>
      <c r="X2688" s="321">
        <f t="shared" si="183"/>
        <v>826000</v>
      </c>
      <c r="Y2688" s="321">
        <v>1</v>
      </c>
      <c r="AA2688" s="321" t="s">
        <v>6086</v>
      </c>
    </row>
    <row r="2689" spans="13:27">
      <c r="M2689" s="321">
        <v>1826200760</v>
      </c>
      <c r="N2689" s="321">
        <v>82</v>
      </c>
      <c r="O2689" s="321" t="s">
        <v>6087</v>
      </c>
      <c r="P2689" s="321">
        <v>1826200</v>
      </c>
      <c r="Q2689" s="322">
        <v>1000000</v>
      </c>
      <c r="R2689" s="322">
        <v>0</v>
      </c>
      <c r="S2689" s="322">
        <v>0</v>
      </c>
      <c r="T2689" s="322">
        <v>0</v>
      </c>
      <c r="U2689" s="322">
        <f t="shared" si="181"/>
        <v>0</v>
      </c>
      <c r="W2689" s="321">
        <f t="shared" si="182"/>
        <v>760</v>
      </c>
      <c r="X2689" s="321">
        <f t="shared" si="183"/>
        <v>826200</v>
      </c>
      <c r="Y2689" s="321">
        <v>1</v>
      </c>
      <c r="AA2689" s="321" t="s">
        <v>6087</v>
      </c>
    </row>
    <row r="2690" spans="13:27">
      <c r="M2690" s="321">
        <v>1826200771</v>
      </c>
      <c r="N2690" s="321">
        <v>82</v>
      </c>
      <c r="O2690" s="321" t="s">
        <v>6088</v>
      </c>
      <c r="P2690" s="321">
        <v>1826200</v>
      </c>
      <c r="Q2690" s="322">
        <v>1035000</v>
      </c>
      <c r="R2690" s="322">
        <v>903400</v>
      </c>
      <c r="S2690" s="322">
        <v>1200000</v>
      </c>
      <c r="T2690" s="322">
        <v>1200000</v>
      </c>
      <c r="U2690" s="322">
        <f t="shared" ref="U2690:U2753" si="184">S2690-T2690</f>
        <v>0</v>
      </c>
      <c r="W2690" s="321">
        <f t="shared" si="182"/>
        <v>771</v>
      </c>
      <c r="X2690" s="321">
        <f t="shared" si="183"/>
        <v>826200</v>
      </c>
      <c r="Y2690" s="321">
        <v>1</v>
      </c>
      <c r="AA2690" s="321" t="s">
        <v>6088</v>
      </c>
    </row>
    <row r="2691" spans="13:27">
      <c r="M2691" s="321">
        <v>1826200870</v>
      </c>
      <c r="N2691" s="321">
        <v>82</v>
      </c>
      <c r="O2691" s="321" t="s">
        <v>6089</v>
      </c>
      <c r="P2691" s="321">
        <v>1826200</v>
      </c>
      <c r="Q2691" s="322">
        <v>3000000</v>
      </c>
      <c r="R2691" s="322">
        <v>3099100</v>
      </c>
      <c r="S2691" s="322">
        <v>4000000</v>
      </c>
      <c r="T2691" s="322">
        <v>3800000</v>
      </c>
      <c r="U2691" s="322">
        <f t="shared" si="184"/>
        <v>200000</v>
      </c>
      <c r="W2691" s="321">
        <f t="shared" ref="W2691:W2754" si="185">M2691-1000000000-X2691*1000</f>
        <v>870</v>
      </c>
      <c r="X2691" s="321">
        <f t="shared" ref="X2691:X2754" si="186">ROUNDDOWN((M2691-1000000000)/1000,0)</f>
        <v>826200</v>
      </c>
      <c r="Y2691" s="321">
        <v>1</v>
      </c>
      <c r="AA2691" s="321" t="s">
        <v>6089</v>
      </c>
    </row>
    <row r="2692" spans="13:27">
      <c r="M2692" s="321">
        <v>1826200871</v>
      </c>
      <c r="N2692" s="321">
        <v>82</v>
      </c>
      <c r="O2692" s="321" t="s">
        <v>6090</v>
      </c>
      <c r="P2692" s="321">
        <v>1826000</v>
      </c>
      <c r="Q2692" s="322">
        <v>901000</v>
      </c>
      <c r="R2692" s="322">
        <v>675500</v>
      </c>
      <c r="S2692" s="322">
        <v>901000</v>
      </c>
      <c r="T2692" s="322">
        <v>856000</v>
      </c>
      <c r="U2692" s="322">
        <f t="shared" si="184"/>
        <v>45000</v>
      </c>
      <c r="W2692" s="321">
        <f t="shared" si="185"/>
        <v>871</v>
      </c>
      <c r="X2692" s="321">
        <f t="shared" si="186"/>
        <v>826200</v>
      </c>
      <c r="Y2692" s="321">
        <v>1</v>
      </c>
      <c r="AA2692" s="321" t="s">
        <v>6090</v>
      </c>
    </row>
    <row r="2693" spans="13:27">
      <c r="M2693" s="321">
        <v>1826201760</v>
      </c>
      <c r="N2693" s="321">
        <v>82</v>
      </c>
      <c r="O2693" s="321" t="s">
        <v>6091</v>
      </c>
      <c r="P2693" s="321">
        <v>1826200</v>
      </c>
      <c r="Q2693" s="322">
        <v>0</v>
      </c>
      <c r="R2693" s="322">
        <v>0</v>
      </c>
      <c r="S2693" s="322">
        <v>0</v>
      </c>
      <c r="T2693" s="322">
        <v>0</v>
      </c>
      <c r="U2693" s="322">
        <f t="shared" si="184"/>
        <v>0</v>
      </c>
      <c r="W2693" s="321">
        <f t="shared" si="185"/>
        <v>760</v>
      </c>
      <c r="X2693" s="321">
        <f t="shared" si="186"/>
        <v>826201</v>
      </c>
      <c r="Y2693" s="321">
        <v>1</v>
      </c>
      <c r="AA2693" s="321" t="s">
        <v>6091</v>
      </c>
    </row>
    <row r="2694" spans="13:27">
      <c r="M2694" s="321">
        <v>1826201870</v>
      </c>
      <c r="N2694" s="321">
        <v>82</v>
      </c>
      <c r="O2694" s="321" t="s">
        <v>6092</v>
      </c>
      <c r="P2694" s="321">
        <v>1826200</v>
      </c>
      <c r="Q2694" s="322">
        <v>1679800</v>
      </c>
      <c r="R2694" s="322">
        <v>1259300</v>
      </c>
      <c r="S2694" s="322">
        <v>1715800</v>
      </c>
      <c r="T2694" s="322">
        <v>1530000</v>
      </c>
      <c r="U2694" s="322">
        <f t="shared" si="184"/>
        <v>185800</v>
      </c>
      <c r="W2694" s="321">
        <f t="shared" si="185"/>
        <v>870</v>
      </c>
      <c r="X2694" s="321">
        <f t="shared" si="186"/>
        <v>826201</v>
      </c>
      <c r="Y2694" s="321">
        <v>1</v>
      </c>
      <c r="AA2694" s="321" t="s">
        <v>6092</v>
      </c>
    </row>
    <row r="2695" spans="13:27">
      <c r="M2695" s="321">
        <v>1826400110</v>
      </c>
      <c r="N2695" s="321">
        <v>82</v>
      </c>
      <c r="O2695" s="321" t="s">
        <v>5205</v>
      </c>
      <c r="P2695" s="321">
        <v>1826401</v>
      </c>
      <c r="Q2695" s="322">
        <v>92000</v>
      </c>
      <c r="R2695" s="322">
        <v>57900</v>
      </c>
      <c r="S2695" s="322">
        <v>78000</v>
      </c>
      <c r="T2695" s="322">
        <v>78000</v>
      </c>
      <c r="U2695" s="322">
        <f t="shared" si="184"/>
        <v>0</v>
      </c>
      <c r="W2695" s="321">
        <f t="shared" si="185"/>
        <v>110</v>
      </c>
      <c r="X2695" s="321">
        <f t="shared" si="186"/>
        <v>826400</v>
      </c>
      <c r="Y2695" s="321">
        <v>1</v>
      </c>
      <c r="AA2695" s="321" t="s">
        <v>5205</v>
      </c>
    </row>
    <row r="2696" spans="13:27">
      <c r="M2696" s="321">
        <v>1826400120</v>
      </c>
      <c r="N2696" s="321">
        <v>82</v>
      </c>
      <c r="O2696" s="321" t="s">
        <v>5206</v>
      </c>
      <c r="P2696" s="321">
        <v>1826401</v>
      </c>
      <c r="Q2696" s="322">
        <v>29000</v>
      </c>
      <c r="R2696" s="322">
        <v>45100</v>
      </c>
      <c r="S2696" s="322">
        <v>58000</v>
      </c>
      <c r="T2696" s="322">
        <v>58000</v>
      </c>
      <c r="U2696" s="322">
        <f t="shared" si="184"/>
        <v>0</v>
      </c>
      <c r="W2696" s="321">
        <f t="shared" si="185"/>
        <v>120</v>
      </c>
      <c r="X2696" s="321">
        <f t="shared" si="186"/>
        <v>826400</v>
      </c>
      <c r="Y2696" s="321">
        <v>1</v>
      </c>
      <c r="AA2696" s="321" t="s">
        <v>5206</v>
      </c>
    </row>
    <row r="2697" spans="13:27">
      <c r="M2697" s="321">
        <v>1826400130</v>
      </c>
      <c r="N2697" s="321">
        <v>82</v>
      </c>
      <c r="O2697" s="321" t="s">
        <v>2576</v>
      </c>
      <c r="P2697" s="321">
        <v>1826401</v>
      </c>
      <c r="Q2697" s="322">
        <v>0</v>
      </c>
      <c r="R2697" s="322">
        <v>0</v>
      </c>
      <c r="S2697" s="322">
        <v>0</v>
      </c>
      <c r="T2697" s="322">
        <v>0</v>
      </c>
      <c r="U2697" s="322">
        <f t="shared" si="184"/>
        <v>0</v>
      </c>
      <c r="W2697" s="321">
        <f t="shared" si="185"/>
        <v>130</v>
      </c>
      <c r="X2697" s="321">
        <f t="shared" si="186"/>
        <v>826400</v>
      </c>
      <c r="Y2697" s="321">
        <v>1</v>
      </c>
      <c r="AA2697" s="321" t="s">
        <v>2576</v>
      </c>
    </row>
    <row r="2698" spans="13:27">
      <c r="M2698" s="321">
        <v>1826400140</v>
      </c>
      <c r="N2698" s="321">
        <v>82</v>
      </c>
      <c r="O2698" s="321" t="s">
        <v>5207</v>
      </c>
      <c r="P2698" s="321">
        <v>1826401</v>
      </c>
      <c r="Q2698" s="322">
        <v>21000</v>
      </c>
      <c r="R2698" s="322">
        <v>25400</v>
      </c>
      <c r="S2698" s="322">
        <v>26000</v>
      </c>
      <c r="T2698" s="322">
        <v>26000</v>
      </c>
      <c r="U2698" s="322">
        <f t="shared" si="184"/>
        <v>0</v>
      </c>
      <c r="W2698" s="321">
        <f t="shared" si="185"/>
        <v>140</v>
      </c>
      <c r="X2698" s="321">
        <f t="shared" si="186"/>
        <v>826400</v>
      </c>
      <c r="Y2698" s="321">
        <v>1</v>
      </c>
      <c r="AA2698" s="321" t="s">
        <v>5207</v>
      </c>
    </row>
    <row r="2699" spans="13:27">
      <c r="M2699" s="321">
        <v>1826400141</v>
      </c>
      <c r="N2699" s="321">
        <v>82</v>
      </c>
      <c r="O2699" s="321" t="s">
        <v>5208</v>
      </c>
      <c r="P2699" s="321">
        <v>1826401</v>
      </c>
      <c r="Q2699" s="322">
        <v>3000</v>
      </c>
      <c r="R2699" s="322">
        <v>2900</v>
      </c>
      <c r="S2699" s="322">
        <v>4000</v>
      </c>
      <c r="T2699" s="322">
        <v>4000</v>
      </c>
      <c r="U2699" s="322">
        <f t="shared" si="184"/>
        <v>0</v>
      </c>
      <c r="W2699" s="321">
        <f t="shared" si="185"/>
        <v>141</v>
      </c>
      <c r="X2699" s="321">
        <f t="shared" si="186"/>
        <v>826400</v>
      </c>
      <c r="Y2699" s="321">
        <v>1</v>
      </c>
      <c r="AA2699" s="321" t="s">
        <v>5208</v>
      </c>
    </row>
    <row r="2700" spans="13:27">
      <c r="M2700" s="321">
        <v>1826400181</v>
      </c>
      <c r="N2700" s="321">
        <v>82</v>
      </c>
      <c r="O2700" s="321" t="s">
        <v>2580</v>
      </c>
      <c r="P2700" s="321">
        <v>1826401</v>
      </c>
      <c r="Q2700" s="322">
        <v>8000</v>
      </c>
      <c r="R2700" s="322">
        <v>10100</v>
      </c>
      <c r="S2700" s="322">
        <v>14000</v>
      </c>
      <c r="T2700" s="322">
        <v>14000</v>
      </c>
      <c r="U2700" s="322">
        <f t="shared" si="184"/>
        <v>0</v>
      </c>
      <c r="W2700" s="321">
        <f t="shared" si="185"/>
        <v>181</v>
      </c>
      <c r="X2700" s="321">
        <f t="shared" si="186"/>
        <v>826400</v>
      </c>
      <c r="Y2700" s="321">
        <v>1</v>
      </c>
      <c r="AA2700" s="321" t="s">
        <v>2580</v>
      </c>
    </row>
    <row r="2701" spans="13:27">
      <c r="M2701" s="321">
        <v>1826400182</v>
      </c>
      <c r="N2701" s="321">
        <v>82</v>
      </c>
      <c r="O2701" s="321" t="s">
        <v>2582</v>
      </c>
      <c r="P2701" s="321">
        <v>1826401</v>
      </c>
      <c r="Q2701" s="322">
        <v>14000</v>
      </c>
      <c r="R2701" s="322">
        <v>17500</v>
      </c>
      <c r="S2701" s="322">
        <v>23000</v>
      </c>
      <c r="T2701" s="322">
        <v>23000</v>
      </c>
      <c r="U2701" s="322">
        <f t="shared" si="184"/>
        <v>0</v>
      </c>
      <c r="W2701" s="321">
        <f t="shared" si="185"/>
        <v>182</v>
      </c>
      <c r="X2701" s="321">
        <f t="shared" si="186"/>
        <v>826400</v>
      </c>
      <c r="Y2701" s="321">
        <v>1</v>
      </c>
      <c r="AA2701" s="321" t="s">
        <v>2582</v>
      </c>
    </row>
    <row r="2702" spans="13:27">
      <c r="M2702" s="321">
        <v>1826401760</v>
      </c>
      <c r="N2702" s="321">
        <v>82</v>
      </c>
      <c r="O2702" s="321" t="s">
        <v>6093</v>
      </c>
      <c r="P2702" s="321">
        <v>1826401</v>
      </c>
      <c r="Q2702" s="322">
        <v>70000</v>
      </c>
      <c r="R2702" s="322">
        <v>28700</v>
      </c>
      <c r="S2702" s="322">
        <v>170000</v>
      </c>
      <c r="T2702" s="322">
        <v>150000</v>
      </c>
      <c r="U2702" s="322">
        <f t="shared" si="184"/>
        <v>20000</v>
      </c>
      <c r="W2702" s="321">
        <f t="shared" si="185"/>
        <v>760</v>
      </c>
      <c r="X2702" s="321">
        <f t="shared" si="186"/>
        <v>826401</v>
      </c>
      <c r="Y2702" s="321">
        <v>1</v>
      </c>
      <c r="AA2702" s="321" t="s">
        <v>6093</v>
      </c>
    </row>
    <row r="2703" spans="13:27">
      <c r="M2703" s="321">
        <v>1826401771</v>
      </c>
      <c r="N2703" s="321">
        <v>82</v>
      </c>
      <c r="O2703" s="321" t="s">
        <v>6094</v>
      </c>
      <c r="P2703" s="321">
        <v>1826401</v>
      </c>
      <c r="Q2703" s="322">
        <v>140000</v>
      </c>
      <c r="R2703" s="322">
        <v>85600</v>
      </c>
      <c r="S2703" s="322">
        <v>165000</v>
      </c>
      <c r="T2703" s="322">
        <v>165000</v>
      </c>
      <c r="U2703" s="322">
        <f t="shared" si="184"/>
        <v>0</v>
      </c>
      <c r="W2703" s="321">
        <f t="shared" si="185"/>
        <v>771</v>
      </c>
      <c r="X2703" s="321">
        <f t="shared" si="186"/>
        <v>826401</v>
      </c>
      <c r="Y2703" s="321">
        <v>1</v>
      </c>
      <c r="AA2703" s="321" t="s">
        <v>6094</v>
      </c>
    </row>
    <row r="2704" spans="13:27">
      <c r="M2704" s="321">
        <v>1826401870</v>
      </c>
      <c r="N2704" s="321">
        <v>82</v>
      </c>
      <c r="O2704" s="321" t="s">
        <v>6095</v>
      </c>
      <c r="P2704" s="321">
        <v>1826401</v>
      </c>
      <c r="Q2704" s="322">
        <v>0</v>
      </c>
      <c r="R2704" s="322">
        <v>0</v>
      </c>
      <c r="S2704" s="322">
        <v>0</v>
      </c>
      <c r="T2704" s="322">
        <v>0</v>
      </c>
      <c r="U2704" s="322">
        <f t="shared" si="184"/>
        <v>0</v>
      </c>
      <c r="W2704" s="321">
        <f t="shared" si="185"/>
        <v>870</v>
      </c>
      <c r="X2704" s="321">
        <f t="shared" si="186"/>
        <v>826401</v>
      </c>
      <c r="Y2704" s="321">
        <v>1</v>
      </c>
      <c r="AA2704" s="321" t="s">
        <v>6095</v>
      </c>
    </row>
    <row r="2705" spans="13:27">
      <c r="M2705" s="321">
        <v>1826402420</v>
      </c>
      <c r="N2705" s="321">
        <v>82</v>
      </c>
      <c r="O2705" s="321" t="s">
        <v>6096</v>
      </c>
      <c r="P2705" s="321">
        <v>1826400</v>
      </c>
      <c r="Q2705" s="322">
        <v>0</v>
      </c>
      <c r="R2705" s="322">
        <v>0</v>
      </c>
      <c r="S2705" s="322">
        <v>0</v>
      </c>
      <c r="T2705" s="322">
        <v>0</v>
      </c>
      <c r="U2705" s="322">
        <f t="shared" si="184"/>
        <v>0</v>
      </c>
      <c r="W2705" s="321">
        <f t="shared" si="185"/>
        <v>420</v>
      </c>
      <c r="X2705" s="321">
        <f t="shared" si="186"/>
        <v>826402</v>
      </c>
      <c r="Y2705" s="321">
        <v>1</v>
      </c>
      <c r="AA2705" s="321" t="s">
        <v>6096</v>
      </c>
    </row>
    <row r="2706" spans="13:27">
      <c r="M2706" s="321">
        <v>1826402760</v>
      </c>
      <c r="N2706" s="321">
        <v>82</v>
      </c>
      <c r="O2706" s="321" t="s">
        <v>6097</v>
      </c>
      <c r="P2706" s="321">
        <v>1826400</v>
      </c>
      <c r="Q2706" s="322">
        <v>5000000</v>
      </c>
      <c r="R2706" s="322">
        <v>3333300</v>
      </c>
      <c r="S2706" s="322">
        <v>5000000</v>
      </c>
      <c r="T2706" s="322">
        <v>4750000</v>
      </c>
      <c r="U2706" s="322">
        <f t="shared" si="184"/>
        <v>250000</v>
      </c>
      <c r="W2706" s="321">
        <f t="shared" si="185"/>
        <v>760</v>
      </c>
      <c r="X2706" s="321">
        <f t="shared" si="186"/>
        <v>826402</v>
      </c>
      <c r="Y2706" s="321">
        <v>1</v>
      </c>
      <c r="AA2706" s="321" t="s">
        <v>6097</v>
      </c>
    </row>
    <row r="2707" spans="13:27">
      <c r="M2707" s="321">
        <v>1826402761</v>
      </c>
      <c r="N2707" s="321">
        <v>82</v>
      </c>
      <c r="O2707" s="321" t="s">
        <v>6098</v>
      </c>
      <c r="P2707" s="321">
        <v>1826400</v>
      </c>
      <c r="Q2707" s="322">
        <v>548900</v>
      </c>
      <c r="R2707" s="322">
        <v>365900</v>
      </c>
      <c r="S2707" s="322">
        <v>550000</v>
      </c>
      <c r="T2707" s="322">
        <v>300000</v>
      </c>
      <c r="U2707" s="322">
        <f t="shared" si="184"/>
        <v>250000</v>
      </c>
      <c r="W2707" s="321">
        <f t="shared" si="185"/>
        <v>761</v>
      </c>
      <c r="X2707" s="321">
        <f t="shared" si="186"/>
        <v>826402</v>
      </c>
      <c r="Y2707" s="321">
        <v>1</v>
      </c>
      <c r="AA2707" s="321" t="s">
        <v>6098</v>
      </c>
    </row>
    <row r="2708" spans="13:27">
      <c r="M2708" s="321">
        <v>1826402771</v>
      </c>
      <c r="N2708" s="321">
        <v>82</v>
      </c>
      <c r="O2708" s="321" t="s">
        <v>6099</v>
      </c>
      <c r="P2708" s="321">
        <v>1826400</v>
      </c>
      <c r="Q2708" s="322">
        <v>520000</v>
      </c>
      <c r="R2708" s="322">
        <v>393700</v>
      </c>
      <c r="S2708" s="322">
        <v>560000</v>
      </c>
      <c r="T2708" s="322">
        <v>560000</v>
      </c>
      <c r="U2708" s="322">
        <f t="shared" si="184"/>
        <v>0</v>
      </c>
      <c r="W2708" s="321">
        <f t="shared" si="185"/>
        <v>771</v>
      </c>
      <c r="X2708" s="321">
        <f t="shared" si="186"/>
        <v>826402</v>
      </c>
      <c r="Y2708" s="321">
        <v>1</v>
      </c>
      <c r="AA2708" s="321" t="s">
        <v>6099</v>
      </c>
    </row>
    <row r="2709" spans="13:27">
      <c r="M2709" s="321">
        <v>1826402780</v>
      </c>
      <c r="N2709" s="321">
        <v>82</v>
      </c>
      <c r="O2709" s="321" t="s">
        <v>6100</v>
      </c>
      <c r="P2709" s="321">
        <v>1826400</v>
      </c>
      <c r="Q2709" s="322">
        <v>250000</v>
      </c>
      <c r="R2709" s="322">
        <v>0</v>
      </c>
      <c r="S2709" s="322">
        <v>0</v>
      </c>
      <c r="T2709" s="322">
        <v>0</v>
      </c>
      <c r="U2709" s="322">
        <f t="shared" si="184"/>
        <v>0</v>
      </c>
      <c r="W2709" s="321">
        <f t="shared" si="185"/>
        <v>780</v>
      </c>
      <c r="X2709" s="321">
        <f t="shared" si="186"/>
        <v>826402</v>
      </c>
      <c r="Y2709" s="321">
        <v>1</v>
      </c>
      <c r="AA2709" s="321" t="s">
        <v>6100</v>
      </c>
    </row>
    <row r="2710" spans="13:27">
      <c r="M2710" s="321">
        <v>1826402820</v>
      </c>
      <c r="N2710" s="321">
        <v>82</v>
      </c>
      <c r="O2710" s="321" t="s">
        <v>6100</v>
      </c>
      <c r="P2710" s="321">
        <v>1826400</v>
      </c>
      <c r="Q2710" s="322">
        <v>0</v>
      </c>
      <c r="R2710" s="322">
        <v>0</v>
      </c>
      <c r="S2710" s="322">
        <v>250000</v>
      </c>
      <c r="T2710" s="322">
        <v>250000</v>
      </c>
      <c r="U2710" s="322">
        <f t="shared" si="184"/>
        <v>0</v>
      </c>
      <c r="W2710" s="321">
        <f t="shared" si="185"/>
        <v>820</v>
      </c>
      <c r="X2710" s="321">
        <f t="shared" si="186"/>
        <v>826402</v>
      </c>
      <c r="Y2710" s="321">
        <v>1</v>
      </c>
      <c r="AA2710" s="321" t="s">
        <v>6100</v>
      </c>
    </row>
    <row r="2711" spans="13:27">
      <c r="M2711" s="321">
        <v>1826403870</v>
      </c>
      <c r="N2711" s="321">
        <v>82</v>
      </c>
      <c r="O2711" s="321" t="s">
        <v>6101</v>
      </c>
      <c r="P2711" s="321">
        <v>1826000</v>
      </c>
      <c r="Q2711" s="322">
        <v>1912000</v>
      </c>
      <c r="R2711" s="322">
        <v>1433400</v>
      </c>
      <c r="S2711" s="322">
        <v>1912000</v>
      </c>
      <c r="T2711" s="322">
        <v>1816400</v>
      </c>
      <c r="U2711" s="322">
        <f t="shared" si="184"/>
        <v>95600</v>
      </c>
      <c r="W2711" s="321">
        <f t="shared" si="185"/>
        <v>870</v>
      </c>
      <c r="X2711" s="321">
        <f t="shared" si="186"/>
        <v>826403</v>
      </c>
      <c r="Y2711" s="321">
        <v>1</v>
      </c>
      <c r="AA2711" s="321" t="s">
        <v>6101</v>
      </c>
    </row>
    <row r="2712" spans="13:27">
      <c r="M2712" s="321">
        <v>1826404760</v>
      </c>
      <c r="N2712" s="321">
        <v>82</v>
      </c>
      <c r="O2712" s="321" t="s">
        <v>6102</v>
      </c>
      <c r="P2712" s="321">
        <v>1826400</v>
      </c>
      <c r="Q2712" s="322">
        <v>1870000</v>
      </c>
      <c r="R2712" s="322">
        <v>467500</v>
      </c>
      <c r="S2712" s="322">
        <v>1970000</v>
      </c>
      <c r="T2712" s="322">
        <v>1871500</v>
      </c>
      <c r="U2712" s="322">
        <f t="shared" si="184"/>
        <v>98500</v>
      </c>
      <c r="W2712" s="321">
        <f t="shared" si="185"/>
        <v>760</v>
      </c>
      <c r="X2712" s="321">
        <f t="shared" si="186"/>
        <v>826404</v>
      </c>
      <c r="Y2712" s="321">
        <v>1</v>
      </c>
      <c r="AA2712" s="321" t="s">
        <v>6102</v>
      </c>
    </row>
    <row r="2713" spans="13:27">
      <c r="M2713" s="321">
        <v>1826404870</v>
      </c>
      <c r="N2713" s="321">
        <v>82</v>
      </c>
      <c r="O2713" s="321" t="s">
        <v>6103</v>
      </c>
      <c r="P2713" s="321">
        <v>1826000</v>
      </c>
      <c r="Q2713" s="322">
        <v>0</v>
      </c>
      <c r="R2713" s="322">
        <v>0</v>
      </c>
      <c r="S2713" s="322">
        <v>0</v>
      </c>
      <c r="T2713" s="322">
        <v>0</v>
      </c>
      <c r="U2713" s="322">
        <f t="shared" si="184"/>
        <v>0</v>
      </c>
      <c r="W2713" s="321">
        <f t="shared" si="185"/>
        <v>870</v>
      </c>
      <c r="X2713" s="321">
        <f t="shared" si="186"/>
        <v>826404</v>
      </c>
      <c r="Y2713" s="321">
        <v>1</v>
      </c>
      <c r="AA2713" s="321" t="s">
        <v>6103</v>
      </c>
    </row>
    <row r="2714" spans="13:27">
      <c r="M2714" s="321">
        <v>1827010870</v>
      </c>
      <c r="N2714" s="321">
        <v>82</v>
      </c>
      <c r="O2714" s="321" t="s">
        <v>3639</v>
      </c>
      <c r="P2714" s="321">
        <v>1827000</v>
      </c>
      <c r="Q2714" s="322">
        <v>2737000</v>
      </c>
      <c r="R2714" s="322">
        <v>2051900</v>
      </c>
      <c r="S2714" s="322">
        <v>2800000</v>
      </c>
      <c r="T2714" s="322">
        <v>2660000</v>
      </c>
      <c r="U2714" s="322">
        <f t="shared" si="184"/>
        <v>140000</v>
      </c>
      <c r="W2714" s="321">
        <f t="shared" si="185"/>
        <v>870</v>
      </c>
      <c r="X2714" s="321">
        <f t="shared" si="186"/>
        <v>827010</v>
      </c>
      <c r="Y2714" s="321">
        <v>1</v>
      </c>
      <c r="AA2714" s="321" t="s">
        <v>3639</v>
      </c>
    </row>
    <row r="2715" spans="13:27">
      <c r="M2715" s="321">
        <v>1827010871</v>
      </c>
      <c r="N2715" s="321">
        <v>82</v>
      </c>
      <c r="O2715" s="321" t="s">
        <v>3639</v>
      </c>
      <c r="P2715" s="321">
        <v>1827000</v>
      </c>
      <c r="Q2715" s="322">
        <v>1700000</v>
      </c>
      <c r="R2715" s="322">
        <v>1274500</v>
      </c>
      <c r="S2715" s="322">
        <v>1700000</v>
      </c>
      <c r="T2715" s="322">
        <v>1615000</v>
      </c>
      <c r="U2715" s="322">
        <f t="shared" si="184"/>
        <v>85000</v>
      </c>
      <c r="W2715" s="321">
        <f t="shared" si="185"/>
        <v>871</v>
      </c>
      <c r="X2715" s="321">
        <f t="shared" si="186"/>
        <v>827010</v>
      </c>
      <c r="Y2715" s="321">
        <v>1</v>
      </c>
      <c r="AA2715" s="321" t="s">
        <v>3639</v>
      </c>
    </row>
    <row r="2716" spans="13:27">
      <c r="M2716" s="321">
        <v>1827020820</v>
      </c>
      <c r="N2716" s="321">
        <v>82</v>
      </c>
      <c r="O2716" s="321" t="s">
        <v>6104</v>
      </c>
      <c r="P2716" s="321">
        <v>1827000</v>
      </c>
      <c r="Q2716" s="322">
        <v>665000</v>
      </c>
      <c r="R2716" s="322">
        <v>751800</v>
      </c>
      <c r="S2716" s="322">
        <v>665000</v>
      </c>
      <c r="T2716" s="322">
        <v>665000</v>
      </c>
      <c r="U2716" s="322">
        <f t="shared" si="184"/>
        <v>0</v>
      </c>
      <c r="W2716" s="321">
        <f t="shared" si="185"/>
        <v>820</v>
      </c>
      <c r="X2716" s="321">
        <f t="shared" si="186"/>
        <v>827020</v>
      </c>
      <c r="Y2716" s="321">
        <v>1</v>
      </c>
      <c r="AA2716" s="321" t="s">
        <v>6104</v>
      </c>
    </row>
    <row r="2717" spans="13:27">
      <c r="M2717" s="321">
        <v>1828200760</v>
      </c>
      <c r="N2717" s="321">
        <v>82</v>
      </c>
      <c r="O2717" s="321" t="s">
        <v>6105</v>
      </c>
      <c r="P2717" s="321">
        <v>1828000</v>
      </c>
      <c r="Q2717" s="322">
        <v>240000</v>
      </c>
      <c r="R2717" s="322">
        <v>116500</v>
      </c>
      <c r="S2717" s="322">
        <v>240000</v>
      </c>
      <c r="T2717" s="322">
        <v>240000</v>
      </c>
      <c r="U2717" s="322">
        <f t="shared" si="184"/>
        <v>0</v>
      </c>
      <c r="W2717" s="321">
        <f t="shared" si="185"/>
        <v>760</v>
      </c>
      <c r="X2717" s="321">
        <f t="shared" si="186"/>
        <v>828200</v>
      </c>
      <c r="Y2717" s="321">
        <v>1</v>
      </c>
      <c r="AA2717" s="321" t="s">
        <v>6105</v>
      </c>
    </row>
    <row r="2718" spans="13:27">
      <c r="M2718" s="321">
        <v>1828200761</v>
      </c>
      <c r="N2718" s="321">
        <v>82</v>
      </c>
      <c r="O2718" s="321" t="s">
        <v>6106</v>
      </c>
      <c r="P2718" s="321">
        <v>1828000</v>
      </c>
      <c r="Q2718" s="322">
        <v>0</v>
      </c>
      <c r="R2718" s="322">
        <v>0</v>
      </c>
      <c r="S2718" s="322">
        <v>300000</v>
      </c>
      <c r="T2718" s="322">
        <v>200000</v>
      </c>
      <c r="U2718" s="322">
        <f t="shared" si="184"/>
        <v>100000</v>
      </c>
      <c r="W2718" s="321">
        <f t="shared" si="185"/>
        <v>761</v>
      </c>
      <c r="X2718" s="321">
        <f t="shared" si="186"/>
        <v>828200</v>
      </c>
      <c r="Y2718" s="321">
        <v>1</v>
      </c>
      <c r="AA2718" s="321" t="s">
        <v>6106</v>
      </c>
    </row>
    <row r="2719" spans="13:27">
      <c r="M2719" s="321">
        <v>1828200870</v>
      </c>
      <c r="N2719" s="321">
        <v>82</v>
      </c>
      <c r="O2719" s="321" t="s">
        <v>6107</v>
      </c>
      <c r="P2719" s="321">
        <v>1828000</v>
      </c>
      <c r="Q2719" s="322">
        <v>3086000</v>
      </c>
      <c r="R2719" s="322">
        <v>2313600</v>
      </c>
      <c r="S2719" s="322">
        <v>3156000</v>
      </c>
      <c r="T2719" s="322">
        <v>2998200</v>
      </c>
      <c r="U2719" s="322">
        <f t="shared" si="184"/>
        <v>157800</v>
      </c>
      <c r="W2719" s="321">
        <f t="shared" si="185"/>
        <v>870</v>
      </c>
      <c r="X2719" s="321">
        <f t="shared" si="186"/>
        <v>828200</v>
      </c>
      <c r="Y2719" s="321">
        <v>1</v>
      </c>
      <c r="AA2719" s="321" t="s">
        <v>6107</v>
      </c>
    </row>
    <row r="2720" spans="13:27">
      <c r="M2720" s="321">
        <v>1828200871</v>
      </c>
      <c r="N2720" s="321">
        <v>82</v>
      </c>
      <c r="O2720" s="321" t="s">
        <v>6108</v>
      </c>
      <c r="P2720" s="321">
        <v>1828000</v>
      </c>
      <c r="Q2720" s="322">
        <v>78200</v>
      </c>
      <c r="R2720" s="322">
        <v>0</v>
      </c>
      <c r="S2720" s="322">
        <v>78200</v>
      </c>
      <c r="T2720" s="322">
        <v>70000</v>
      </c>
      <c r="U2720" s="322">
        <f t="shared" si="184"/>
        <v>8200</v>
      </c>
      <c r="W2720" s="321">
        <f t="shared" si="185"/>
        <v>871</v>
      </c>
      <c r="X2720" s="321">
        <f t="shared" si="186"/>
        <v>828200</v>
      </c>
      <c r="Y2720" s="321">
        <v>1</v>
      </c>
      <c r="AA2720" s="321" t="s">
        <v>6108</v>
      </c>
    </row>
    <row r="2721" spans="13:27">
      <c r="M2721" s="321">
        <v>1828200872</v>
      </c>
      <c r="N2721" s="321">
        <v>82</v>
      </c>
      <c r="O2721" s="321" t="s">
        <v>6109</v>
      </c>
      <c r="P2721" s="321">
        <v>1828000</v>
      </c>
      <c r="Q2721" s="322">
        <v>0</v>
      </c>
      <c r="R2721" s="322">
        <v>0</v>
      </c>
      <c r="S2721" s="322">
        <v>0</v>
      </c>
      <c r="T2721" s="322">
        <v>0</v>
      </c>
      <c r="U2721" s="322">
        <f t="shared" si="184"/>
        <v>0</v>
      </c>
      <c r="W2721" s="321">
        <f t="shared" si="185"/>
        <v>872</v>
      </c>
      <c r="X2721" s="321">
        <f t="shared" si="186"/>
        <v>828200</v>
      </c>
      <c r="Y2721" s="321">
        <v>1</v>
      </c>
      <c r="AA2721" s="321" t="s">
        <v>6109</v>
      </c>
    </row>
    <row r="2722" spans="13:27">
      <c r="M2722" s="321">
        <v>1828900870</v>
      </c>
      <c r="N2722" s="321">
        <v>82</v>
      </c>
      <c r="O2722" s="321" t="s">
        <v>3557</v>
      </c>
      <c r="P2722" s="321">
        <v>1828000</v>
      </c>
      <c r="Q2722" s="322">
        <v>1500000</v>
      </c>
      <c r="R2722" s="322">
        <v>1124600</v>
      </c>
      <c r="S2722" s="322">
        <v>1650000</v>
      </c>
      <c r="T2722" s="322">
        <v>1650000</v>
      </c>
      <c r="U2722" s="322">
        <f t="shared" si="184"/>
        <v>0</v>
      </c>
      <c r="W2722" s="321">
        <f t="shared" si="185"/>
        <v>870</v>
      </c>
      <c r="X2722" s="321">
        <f t="shared" si="186"/>
        <v>828900</v>
      </c>
      <c r="Y2722" s="321">
        <v>1</v>
      </c>
      <c r="AA2722" s="321" t="s">
        <v>3557</v>
      </c>
    </row>
    <row r="2723" spans="13:27">
      <c r="M2723" s="321">
        <v>1829100110</v>
      </c>
      <c r="N2723" s="321">
        <v>82</v>
      </c>
      <c r="O2723" s="321" t="s">
        <v>5205</v>
      </c>
      <c r="P2723" s="321">
        <v>1829200</v>
      </c>
      <c r="Q2723" s="322">
        <v>849000</v>
      </c>
      <c r="R2723" s="322">
        <v>638200</v>
      </c>
      <c r="S2723" s="322">
        <v>872000</v>
      </c>
      <c r="T2723" s="322">
        <v>872000</v>
      </c>
      <c r="U2723" s="322">
        <f t="shared" si="184"/>
        <v>0</v>
      </c>
      <c r="W2723" s="321">
        <f t="shared" si="185"/>
        <v>110</v>
      </c>
      <c r="X2723" s="321">
        <f t="shared" si="186"/>
        <v>829100</v>
      </c>
      <c r="Y2723" s="321">
        <v>1</v>
      </c>
      <c r="AA2723" s="321" t="s">
        <v>5205</v>
      </c>
    </row>
    <row r="2724" spans="13:27">
      <c r="M2724" s="321">
        <v>1829100120</v>
      </c>
      <c r="N2724" s="321">
        <v>82</v>
      </c>
      <c r="O2724" s="321" t="s">
        <v>5206</v>
      </c>
      <c r="P2724" s="321">
        <v>1829200</v>
      </c>
      <c r="Q2724" s="322">
        <v>289000</v>
      </c>
      <c r="R2724" s="322">
        <v>241300</v>
      </c>
      <c r="S2724" s="322">
        <v>299000</v>
      </c>
      <c r="T2724" s="322">
        <v>299000</v>
      </c>
      <c r="U2724" s="322">
        <f t="shared" si="184"/>
        <v>0</v>
      </c>
      <c r="W2724" s="321">
        <f t="shared" si="185"/>
        <v>120</v>
      </c>
      <c r="X2724" s="321">
        <f t="shared" si="186"/>
        <v>829100</v>
      </c>
      <c r="Y2724" s="321">
        <v>1</v>
      </c>
      <c r="AA2724" s="321" t="s">
        <v>5206</v>
      </c>
    </row>
    <row r="2725" spans="13:27">
      <c r="M2725" s="321">
        <v>1829100130</v>
      </c>
      <c r="N2725" s="321">
        <v>82</v>
      </c>
      <c r="O2725" s="321" t="s">
        <v>2576</v>
      </c>
      <c r="P2725" s="321">
        <v>1829200</v>
      </c>
      <c r="Q2725" s="322">
        <v>248000</v>
      </c>
      <c r="R2725" s="322">
        <v>184000</v>
      </c>
      <c r="S2725" s="322">
        <v>258000</v>
      </c>
      <c r="T2725" s="322">
        <v>232200</v>
      </c>
      <c r="U2725" s="322">
        <f t="shared" si="184"/>
        <v>25800</v>
      </c>
      <c r="W2725" s="321">
        <f t="shared" si="185"/>
        <v>130</v>
      </c>
      <c r="X2725" s="321">
        <f t="shared" si="186"/>
        <v>829100</v>
      </c>
      <c r="Y2725" s="321">
        <v>1</v>
      </c>
      <c r="AA2725" s="321" t="s">
        <v>2576</v>
      </c>
    </row>
    <row r="2726" spans="13:27">
      <c r="M2726" s="321">
        <v>1829100140</v>
      </c>
      <c r="N2726" s="321">
        <v>82</v>
      </c>
      <c r="O2726" s="321" t="s">
        <v>5207</v>
      </c>
      <c r="P2726" s="321">
        <v>1829200</v>
      </c>
      <c r="Q2726" s="322">
        <v>275000</v>
      </c>
      <c r="R2726" s="322">
        <v>154500</v>
      </c>
      <c r="S2726" s="322">
        <v>230000</v>
      </c>
      <c r="T2726" s="322">
        <v>230000</v>
      </c>
      <c r="U2726" s="322">
        <f t="shared" si="184"/>
        <v>0</v>
      </c>
      <c r="W2726" s="321">
        <f t="shared" si="185"/>
        <v>140</v>
      </c>
      <c r="X2726" s="321">
        <f t="shared" si="186"/>
        <v>829100</v>
      </c>
      <c r="Y2726" s="321">
        <v>1</v>
      </c>
      <c r="AA2726" s="321" t="s">
        <v>5207</v>
      </c>
    </row>
    <row r="2727" spans="13:27">
      <c r="M2727" s="321">
        <v>1829100141</v>
      </c>
      <c r="N2727" s="321">
        <v>82</v>
      </c>
      <c r="O2727" s="321" t="s">
        <v>5208</v>
      </c>
      <c r="P2727" s="321">
        <v>1829200</v>
      </c>
      <c r="Q2727" s="322">
        <v>30000</v>
      </c>
      <c r="R2727" s="322">
        <v>23600</v>
      </c>
      <c r="S2727" s="322">
        <v>32000</v>
      </c>
      <c r="T2727" s="322">
        <v>32000</v>
      </c>
      <c r="U2727" s="322">
        <f t="shared" si="184"/>
        <v>0</v>
      </c>
      <c r="W2727" s="321">
        <f t="shared" si="185"/>
        <v>141</v>
      </c>
      <c r="X2727" s="321">
        <f t="shared" si="186"/>
        <v>829100</v>
      </c>
      <c r="Y2727" s="321">
        <v>1</v>
      </c>
      <c r="AA2727" s="321" t="s">
        <v>5208</v>
      </c>
    </row>
    <row r="2728" spans="13:27">
      <c r="M2728" s="321">
        <v>1829100181</v>
      </c>
      <c r="N2728" s="321">
        <v>82</v>
      </c>
      <c r="O2728" s="321" t="s">
        <v>2580</v>
      </c>
      <c r="P2728" s="321">
        <v>1829200</v>
      </c>
      <c r="Q2728" s="322">
        <v>150000</v>
      </c>
      <c r="R2728" s="322">
        <v>113200</v>
      </c>
      <c r="S2728" s="322">
        <v>156000</v>
      </c>
      <c r="T2728" s="322">
        <v>156000</v>
      </c>
      <c r="U2728" s="322">
        <f t="shared" si="184"/>
        <v>0</v>
      </c>
      <c r="W2728" s="321">
        <f t="shared" si="185"/>
        <v>181</v>
      </c>
      <c r="X2728" s="321">
        <f t="shared" si="186"/>
        <v>829100</v>
      </c>
      <c r="Y2728" s="321">
        <v>1</v>
      </c>
      <c r="AA2728" s="321" t="s">
        <v>2580</v>
      </c>
    </row>
    <row r="2729" spans="13:27">
      <c r="M2729" s="321">
        <v>1829100182</v>
      </c>
      <c r="N2729" s="321">
        <v>82</v>
      </c>
      <c r="O2729" s="321" t="s">
        <v>2582</v>
      </c>
      <c r="P2729" s="321">
        <v>1829200</v>
      </c>
      <c r="Q2729" s="322">
        <v>230000</v>
      </c>
      <c r="R2729" s="322">
        <v>170100</v>
      </c>
      <c r="S2729" s="322">
        <v>239000</v>
      </c>
      <c r="T2729" s="322">
        <v>239000</v>
      </c>
      <c r="U2729" s="322">
        <f t="shared" si="184"/>
        <v>0</v>
      </c>
      <c r="W2729" s="321">
        <f t="shared" si="185"/>
        <v>182</v>
      </c>
      <c r="X2729" s="321">
        <f t="shared" si="186"/>
        <v>829100</v>
      </c>
      <c r="Y2729" s="321">
        <v>1</v>
      </c>
      <c r="AA2729" s="321" t="s">
        <v>2582</v>
      </c>
    </row>
    <row r="2730" spans="13:27">
      <c r="M2730" s="321">
        <v>1829200771</v>
      </c>
      <c r="N2730" s="321">
        <v>82</v>
      </c>
      <c r="O2730" s="321" t="s">
        <v>6110</v>
      </c>
      <c r="P2730" s="321">
        <v>1829200</v>
      </c>
      <c r="Q2730" s="322">
        <v>180000</v>
      </c>
      <c r="R2730" s="322">
        <v>166600</v>
      </c>
      <c r="S2730" s="322">
        <v>220000</v>
      </c>
      <c r="T2730" s="322">
        <v>220000</v>
      </c>
      <c r="U2730" s="322">
        <f t="shared" si="184"/>
        <v>0</v>
      </c>
      <c r="W2730" s="321">
        <f t="shared" si="185"/>
        <v>771</v>
      </c>
      <c r="X2730" s="321">
        <f t="shared" si="186"/>
        <v>829200</v>
      </c>
      <c r="Y2730" s="321">
        <v>1</v>
      </c>
      <c r="AA2730" s="321" t="s">
        <v>6110</v>
      </c>
    </row>
    <row r="2731" spans="13:27">
      <c r="M2731" s="321">
        <v>1829201110</v>
      </c>
      <c r="N2731" s="321">
        <v>82</v>
      </c>
      <c r="O2731" s="321" t="s">
        <v>5205</v>
      </c>
      <c r="P2731" s="321">
        <v>1829200</v>
      </c>
      <c r="Q2731" s="322">
        <v>291000</v>
      </c>
      <c r="R2731" s="322">
        <v>195000</v>
      </c>
      <c r="S2731" s="322">
        <v>263000</v>
      </c>
      <c r="T2731" s="322">
        <v>263000</v>
      </c>
      <c r="U2731" s="322">
        <f t="shared" si="184"/>
        <v>0</v>
      </c>
      <c r="W2731" s="321">
        <f t="shared" si="185"/>
        <v>110</v>
      </c>
      <c r="X2731" s="321">
        <f t="shared" si="186"/>
        <v>829201</v>
      </c>
      <c r="Y2731" s="321">
        <v>1</v>
      </c>
      <c r="AA2731" s="321" t="s">
        <v>5205</v>
      </c>
    </row>
    <row r="2732" spans="13:27">
      <c r="M2732" s="321">
        <v>1829201120</v>
      </c>
      <c r="N2732" s="321">
        <v>82</v>
      </c>
      <c r="O2732" s="321" t="s">
        <v>5206</v>
      </c>
      <c r="P2732" s="321">
        <v>1829200</v>
      </c>
      <c r="Q2732" s="322">
        <v>59000</v>
      </c>
      <c r="R2732" s="322">
        <v>48900</v>
      </c>
      <c r="S2732" s="322">
        <v>58000</v>
      </c>
      <c r="T2732" s="322">
        <v>58000</v>
      </c>
      <c r="U2732" s="322">
        <f t="shared" si="184"/>
        <v>0</v>
      </c>
      <c r="W2732" s="321">
        <f t="shared" si="185"/>
        <v>120</v>
      </c>
      <c r="X2732" s="321">
        <f t="shared" si="186"/>
        <v>829201</v>
      </c>
      <c r="Y2732" s="321">
        <v>1</v>
      </c>
      <c r="AA2732" s="321" t="s">
        <v>5206</v>
      </c>
    </row>
    <row r="2733" spans="13:27">
      <c r="M2733" s="321">
        <v>1829201130</v>
      </c>
      <c r="N2733" s="321">
        <v>82</v>
      </c>
      <c r="O2733" s="321" t="s">
        <v>2576</v>
      </c>
      <c r="P2733" s="321">
        <v>1829200</v>
      </c>
      <c r="Q2733" s="322">
        <v>37000</v>
      </c>
      <c r="R2733" s="322">
        <v>50800</v>
      </c>
      <c r="S2733" s="322">
        <v>70000</v>
      </c>
      <c r="T2733" s="322">
        <v>63000</v>
      </c>
      <c r="U2733" s="322">
        <f t="shared" si="184"/>
        <v>7000</v>
      </c>
      <c r="W2733" s="321">
        <f t="shared" si="185"/>
        <v>130</v>
      </c>
      <c r="X2733" s="321">
        <f t="shared" si="186"/>
        <v>829201</v>
      </c>
      <c r="Y2733" s="321">
        <v>1</v>
      </c>
      <c r="AA2733" s="321" t="s">
        <v>2576</v>
      </c>
    </row>
    <row r="2734" spans="13:27">
      <c r="M2734" s="321">
        <v>1829201140</v>
      </c>
      <c r="N2734" s="321">
        <v>82</v>
      </c>
      <c r="O2734" s="321" t="s">
        <v>5242</v>
      </c>
      <c r="P2734" s="321">
        <v>1829200</v>
      </c>
      <c r="Q2734" s="322">
        <v>73000</v>
      </c>
      <c r="R2734" s="322">
        <v>40500</v>
      </c>
      <c r="S2734" s="322">
        <v>74000</v>
      </c>
      <c r="T2734" s="322">
        <v>74000</v>
      </c>
      <c r="U2734" s="322">
        <f t="shared" si="184"/>
        <v>0</v>
      </c>
      <c r="W2734" s="321">
        <f t="shared" si="185"/>
        <v>140</v>
      </c>
      <c r="X2734" s="321">
        <f t="shared" si="186"/>
        <v>829201</v>
      </c>
      <c r="Y2734" s="321">
        <v>1</v>
      </c>
      <c r="AA2734" s="321" t="s">
        <v>5242</v>
      </c>
    </row>
    <row r="2735" spans="13:27">
      <c r="M2735" s="321">
        <v>1829201141</v>
      </c>
      <c r="N2735" s="321">
        <v>82</v>
      </c>
      <c r="O2735" s="321" t="s">
        <v>5208</v>
      </c>
      <c r="P2735" s="321">
        <v>1829200</v>
      </c>
      <c r="Q2735" s="322">
        <v>16000</v>
      </c>
      <c r="R2735" s="322">
        <v>9200</v>
      </c>
      <c r="S2735" s="322">
        <v>13000</v>
      </c>
      <c r="T2735" s="322">
        <v>13000</v>
      </c>
      <c r="U2735" s="322">
        <f t="shared" si="184"/>
        <v>0</v>
      </c>
      <c r="W2735" s="321">
        <f t="shared" si="185"/>
        <v>141</v>
      </c>
      <c r="X2735" s="321">
        <f t="shared" si="186"/>
        <v>829201</v>
      </c>
      <c r="Y2735" s="321">
        <v>1</v>
      </c>
      <c r="AA2735" s="321" t="s">
        <v>5208</v>
      </c>
    </row>
    <row r="2736" spans="13:27">
      <c r="M2736" s="321">
        <v>1829201181</v>
      </c>
      <c r="N2736" s="321">
        <v>82</v>
      </c>
      <c r="O2736" s="321" t="s">
        <v>2580</v>
      </c>
      <c r="P2736" s="321">
        <v>1829200</v>
      </c>
      <c r="Q2736" s="322">
        <v>46000</v>
      </c>
      <c r="R2736" s="322">
        <v>30700</v>
      </c>
      <c r="S2736" s="322">
        <v>42000</v>
      </c>
      <c r="T2736" s="322">
        <v>42000</v>
      </c>
      <c r="U2736" s="322">
        <f t="shared" si="184"/>
        <v>0</v>
      </c>
      <c r="W2736" s="321">
        <f t="shared" si="185"/>
        <v>181</v>
      </c>
      <c r="X2736" s="321">
        <f t="shared" si="186"/>
        <v>829201</v>
      </c>
      <c r="Y2736" s="321">
        <v>1</v>
      </c>
      <c r="AA2736" s="321" t="s">
        <v>2580</v>
      </c>
    </row>
    <row r="2737" spans="13:27">
      <c r="M2737" s="321">
        <v>1829201182</v>
      </c>
      <c r="N2737" s="321">
        <v>82</v>
      </c>
      <c r="O2737" s="321" t="s">
        <v>2582</v>
      </c>
      <c r="P2737" s="321">
        <v>1829200</v>
      </c>
      <c r="Q2737" s="322">
        <v>80000</v>
      </c>
      <c r="R2737" s="322">
        <v>45400</v>
      </c>
      <c r="S2737" s="322">
        <v>66000</v>
      </c>
      <c r="T2737" s="322">
        <v>66000</v>
      </c>
      <c r="U2737" s="322">
        <f t="shared" si="184"/>
        <v>0</v>
      </c>
      <c r="W2737" s="321">
        <f t="shared" si="185"/>
        <v>182</v>
      </c>
      <c r="X2737" s="321">
        <f t="shared" si="186"/>
        <v>829201</v>
      </c>
      <c r="Y2737" s="321">
        <v>1</v>
      </c>
      <c r="AA2737" s="321" t="s">
        <v>2582</v>
      </c>
    </row>
    <row r="2738" spans="13:27">
      <c r="M2738" s="321">
        <v>1829201540</v>
      </c>
      <c r="N2738" s="321">
        <v>82</v>
      </c>
      <c r="O2738" s="321" t="s">
        <v>5216</v>
      </c>
      <c r="P2738" s="321">
        <v>1829200</v>
      </c>
      <c r="Q2738" s="322">
        <v>3000</v>
      </c>
      <c r="R2738" s="322">
        <v>1600</v>
      </c>
      <c r="S2738" s="322">
        <v>3000</v>
      </c>
      <c r="T2738" s="322">
        <v>3000</v>
      </c>
      <c r="U2738" s="322">
        <f t="shared" si="184"/>
        <v>0</v>
      </c>
      <c r="W2738" s="321">
        <f t="shared" si="185"/>
        <v>540</v>
      </c>
      <c r="X2738" s="321">
        <f t="shared" si="186"/>
        <v>829201</v>
      </c>
      <c r="Y2738" s="321">
        <v>1</v>
      </c>
      <c r="AA2738" s="321" t="s">
        <v>5216</v>
      </c>
    </row>
    <row r="2739" spans="13:27">
      <c r="M2739" s="321">
        <v>1829201720</v>
      </c>
      <c r="N2739" s="321">
        <v>82</v>
      </c>
      <c r="O2739" s="321" t="s">
        <v>2705</v>
      </c>
      <c r="P2739" s="321">
        <v>1829200</v>
      </c>
      <c r="Q2739" s="322">
        <v>149000</v>
      </c>
      <c r="R2739" s="322">
        <v>38100</v>
      </c>
      <c r="S2739" s="322">
        <v>149000</v>
      </c>
      <c r="T2739" s="322">
        <v>141600</v>
      </c>
      <c r="U2739" s="322">
        <f t="shared" si="184"/>
        <v>7400</v>
      </c>
      <c r="W2739" s="321">
        <f t="shared" si="185"/>
        <v>720</v>
      </c>
      <c r="X2739" s="321">
        <f t="shared" si="186"/>
        <v>829201</v>
      </c>
      <c r="Y2739" s="321">
        <v>1</v>
      </c>
      <c r="AA2739" s="321" t="s">
        <v>2705</v>
      </c>
    </row>
    <row r="2740" spans="13:27">
      <c r="M2740" s="321">
        <v>1829201730</v>
      </c>
      <c r="N2740" s="321">
        <v>82</v>
      </c>
      <c r="O2740" s="321" t="s">
        <v>6111</v>
      </c>
      <c r="P2740" s="321">
        <v>1829200</v>
      </c>
      <c r="Q2740" s="322">
        <v>25000</v>
      </c>
      <c r="R2740" s="322">
        <v>7400</v>
      </c>
      <c r="S2740" s="322">
        <v>25000</v>
      </c>
      <c r="T2740" s="322">
        <v>25000</v>
      </c>
      <c r="U2740" s="322">
        <f t="shared" si="184"/>
        <v>0</v>
      </c>
      <c r="W2740" s="321">
        <f t="shared" si="185"/>
        <v>730</v>
      </c>
      <c r="X2740" s="321">
        <f t="shared" si="186"/>
        <v>829201</v>
      </c>
      <c r="Y2740" s="321">
        <v>1</v>
      </c>
      <c r="AA2740" s="321" t="s">
        <v>6111</v>
      </c>
    </row>
    <row r="2741" spans="13:27">
      <c r="M2741" s="321">
        <v>1829201740</v>
      </c>
      <c r="N2741" s="321">
        <v>82</v>
      </c>
      <c r="O2741" s="321" t="s">
        <v>5264</v>
      </c>
      <c r="P2741" s="321">
        <v>1829200</v>
      </c>
      <c r="Q2741" s="322">
        <v>23000</v>
      </c>
      <c r="R2741" s="322">
        <v>0</v>
      </c>
      <c r="S2741" s="322">
        <v>23000</v>
      </c>
      <c r="T2741" s="322">
        <v>23000</v>
      </c>
      <c r="U2741" s="322">
        <f t="shared" si="184"/>
        <v>0</v>
      </c>
      <c r="W2741" s="321">
        <f t="shared" si="185"/>
        <v>740</v>
      </c>
      <c r="X2741" s="321">
        <f t="shared" si="186"/>
        <v>829201</v>
      </c>
      <c r="Y2741" s="321">
        <v>1</v>
      </c>
      <c r="AA2741" s="321" t="s">
        <v>5264</v>
      </c>
    </row>
    <row r="2742" spans="13:27">
      <c r="M2742" s="321">
        <v>1829201750</v>
      </c>
      <c r="N2742" s="321">
        <v>82</v>
      </c>
      <c r="O2742" s="321" t="s">
        <v>2707</v>
      </c>
      <c r="P2742" s="321">
        <v>1829200</v>
      </c>
      <c r="Q2742" s="322">
        <v>146000</v>
      </c>
      <c r="R2742" s="322">
        <v>59900</v>
      </c>
      <c r="S2742" s="322">
        <v>146000</v>
      </c>
      <c r="T2742" s="322">
        <v>146000</v>
      </c>
      <c r="U2742" s="322">
        <f t="shared" si="184"/>
        <v>0</v>
      </c>
      <c r="W2742" s="321">
        <f t="shared" si="185"/>
        <v>750</v>
      </c>
      <c r="X2742" s="321">
        <f t="shared" si="186"/>
        <v>829201</v>
      </c>
      <c r="Y2742" s="321">
        <v>1</v>
      </c>
      <c r="AA2742" s="321" t="s">
        <v>2707</v>
      </c>
    </row>
    <row r="2743" spans="13:27">
      <c r="M2743" s="321">
        <v>1829201772</v>
      </c>
      <c r="N2743" s="321">
        <v>82</v>
      </c>
      <c r="O2743" s="321" t="s">
        <v>3189</v>
      </c>
      <c r="P2743" s="321">
        <v>1829200</v>
      </c>
      <c r="Q2743" s="322">
        <v>680000</v>
      </c>
      <c r="R2743" s="322">
        <v>0</v>
      </c>
      <c r="S2743" s="322">
        <v>680000</v>
      </c>
      <c r="T2743" s="322">
        <v>680000</v>
      </c>
      <c r="U2743" s="322">
        <f t="shared" si="184"/>
        <v>0</v>
      </c>
      <c r="W2743" s="321">
        <f t="shared" si="185"/>
        <v>772</v>
      </c>
      <c r="X2743" s="321">
        <f t="shared" si="186"/>
        <v>829201</v>
      </c>
      <c r="Y2743" s="321">
        <v>1</v>
      </c>
      <c r="AA2743" s="321" t="s">
        <v>3189</v>
      </c>
    </row>
    <row r="2744" spans="13:27">
      <c r="M2744" s="321">
        <v>1829201779</v>
      </c>
      <c r="N2744" s="321">
        <v>82</v>
      </c>
      <c r="O2744" s="321" t="s">
        <v>5382</v>
      </c>
      <c r="P2744" s="321">
        <v>1829200</v>
      </c>
      <c r="Q2744" s="322">
        <v>3000</v>
      </c>
      <c r="R2744" s="322">
        <v>1800</v>
      </c>
      <c r="S2744" s="322">
        <v>3000</v>
      </c>
      <c r="T2744" s="322">
        <v>3000</v>
      </c>
      <c r="U2744" s="322">
        <f t="shared" si="184"/>
        <v>0</v>
      </c>
      <c r="W2744" s="321">
        <f t="shared" si="185"/>
        <v>779</v>
      </c>
      <c r="X2744" s="321">
        <f t="shared" si="186"/>
        <v>829201</v>
      </c>
      <c r="Y2744" s="321">
        <v>1</v>
      </c>
      <c r="AA2744" s="321" t="s">
        <v>5382</v>
      </c>
    </row>
    <row r="2745" spans="13:27">
      <c r="M2745" s="321">
        <v>1829201781</v>
      </c>
      <c r="N2745" s="321">
        <v>82</v>
      </c>
      <c r="O2745" s="321" t="s">
        <v>6112</v>
      </c>
      <c r="P2745" s="321">
        <v>1829200</v>
      </c>
      <c r="Q2745" s="322">
        <v>2000</v>
      </c>
      <c r="R2745" s="322">
        <v>0</v>
      </c>
      <c r="S2745" s="322">
        <v>2000</v>
      </c>
      <c r="T2745" s="322">
        <v>2000</v>
      </c>
      <c r="U2745" s="322">
        <f t="shared" si="184"/>
        <v>0</v>
      </c>
      <c r="W2745" s="321">
        <f t="shared" si="185"/>
        <v>781</v>
      </c>
      <c r="X2745" s="321">
        <f t="shared" si="186"/>
        <v>829201</v>
      </c>
      <c r="Y2745" s="321">
        <v>1</v>
      </c>
      <c r="AA2745" s="321" t="s">
        <v>6112</v>
      </c>
    </row>
    <row r="2746" spans="13:27">
      <c r="M2746" s="321">
        <v>1829201820</v>
      </c>
      <c r="N2746" s="321">
        <v>82</v>
      </c>
      <c r="O2746" s="321" t="s">
        <v>6113</v>
      </c>
      <c r="P2746" s="321">
        <v>1829200</v>
      </c>
      <c r="Q2746" s="322">
        <v>4200000</v>
      </c>
      <c r="R2746" s="322">
        <v>3861600</v>
      </c>
      <c r="S2746" s="322">
        <v>4200000</v>
      </c>
      <c r="T2746" s="322">
        <v>4200000</v>
      </c>
      <c r="U2746" s="322">
        <f t="shared" si="184"/>
        <v>0</v>
      </c>
      <c r="W2746" s="321">
        <f t="shared" si="185"/>
        <v>820</v>
      </c>
      <c r="X2746" s="321">
        <f t="shared" si="186"/>
        <v>829201</v>
      </c>
      <c r="Y2746" s="321">
        <v>1</v>
      </c>
      <c r="AA2746" s="321" t="s">
        <v>6113</v>
      </c>
    </row>
    <row r="2747" spans="13:27">
      <c r="M2747" s="321">
        <v>1829202110</v>
      </c>
      <c r="N2747" s="321">
        <v>82</v>
      </c>
      <c r="O2747" s="321" t="s">
        <v>5205</v>
      </c>
      <c r="P2747" s="321">
        <v>1829200</v>
      </c>
      <c r="Q2747" s="322">
        <v>148000</v>
      </c>
      <c r="R2747" s="322">
        <v>119200</v>
      </c>
      <c r="S2747" s="322">
        <v>163000</v>
      </c>
      <c r="T2747" s="322">
        <v>163000</v>
      </c>
      <c r="U2747" s="322">
        <f t="shared" si="184"/>
        <v>0</v>
      </c>
      <c r="W2747" s="321">
        <f t="shared" si="185"/>
        <v>110</v>
      </c>
      <c r="X2747" s="321">
        <f t="shared" si="186"/>
        <v>829202</v>
      </c>
      <c r="Y2747" s="321">
        <v>1</v>
      </c>
      <c r="AA2747" s="321" t="s">
        <v>5205</v>
      </c>
    </row>
    <row r="2748" spans="13:27">
      <c r="M2748" s="321">
        <v>1829202120</v>
      </c>
      <c r="N2748" s="321">
        <v>82</v>
      </c>
      <c r="O2748" s="321" t="s">
        <v>5206</v>
      </c>
      <c r="P2748" s="321">
        <v>1829200</v>
      </c>
      <c r="Q2748" s="322">
        <v>40000</v>
      </c>
      <c r="R2748" s="322">
        <v>36800</v>
      </c>
      <c r="S2748" s="322">
        <v>44000</v>
      </c>
      <c r="T2748" s="322">
        <v>44000</v>
      </c>
      <c r="U2748" s="322">
        <f t="shared" si="184"/>
        <v>0</v>
      </c>
      <c r="W2748" s="321">
        <f t="shared" si="185"/>
        <v>120</v>
      </c>
      <c r="X2748" s="321">
        <f t="shared" si="186"/>
        <v>829202</v>
      </c>
      <c r="Y2748" s="321">
        <v>1</v>
      </c>
      <c r="AA2748" s="321" t="s">
        <v>5206</v>
      </c>
    </row>
    <row r="2749" spans="13:27">
      <c r="M2749" s="321">
        <v>1829202130</v>
      </c>
      <c r="N2749" s="321">
        <v>82</v>
      </c>
      <c r="O2749" s="321" t="s">
        <v>2576</v>
      </c>
      <c r="P2749" s="321">
        <v>1829200</v>
      </c>
      <c r="Q2749" s="322">
        <v>31000</v>
      </c>
      <c r="R2749" s="322">
        <v>14200</v>
      </c>
      <c r="S2749" s="322">
        <v>22000</v>
      </c>
      <c r="T2749" s="322">
        <v>19800</v>
      </c>
      <c r="U2749" s="322">
        <f t="shared" si="184"/>
        <v>2200</v>
      </c>
      <c r="W2749" s="321">
        <f t="shared" si="185"/>
        <v>130</v>
      </c>
      <c r="X2749" s="321">
        <f t="shared" si="186"/>
        <v>829202</v>
      </c>
      <c r="Y2749" s="321">
        <v>1</v>
      </c>
      <c r="AA2749" s="321" t="s">
        <v>2576</v>
      </c>
    </row>
    <row r="2750" spans="13:27">
      <c r="M2750" s="321">
        <v>1829202140</v>
      </c>
      <c r="N2750" s="321">
        <v>82</v>
      </c>
      <c r="O2750" s="321" t="s">
        <v>5207</v>
      </c>
      <c r="P2750" s="321">
        <v>1829200</v>
      </c>
      <c r="Q2750" s="322">
        <v>33000</v>
      </c>
      <c r="R2750" s="322">
        <v>16500</v>
      </c>
      <c r="S2750" s="322">
        <v>59000</v>
      </c>
      <c r="T2750" s="322">
        <v>59000</v>
      </c>
      <c r="U2750" s="322">
        <f t="shared" si="184"/>
        <v>0</v>
      </c>
      <c r="W2750" s="321">
        <f t="shared" si="185"/>
        <v>140</v>
      </c>
      <c r="X2750" s="321">
        <f t="shared" si="186"/>
        <v>829202</v>
      </c>
      <c r="Y2750" s="321">
        <v>1</v>
      </c>
      <c r="AA2750" s="321" t="s">
        <v>5207</v>
      </c>
    </row>
    <row r="2751" spans="13:27">
      <c r="M2751" s="321">
        <v>1829202141</v>
      </c>
      <c r="N2751" s="321">
        <v>82</v>
      </c>
      <c r="O2751" s="321" t="s">
        <v>5208</v>
      </c>
      <c r="P2751" s="321">
        <v>1829200</v>
      </c>
      <c r="Q2751" s="322">
        <v>11000</v>
      </c>
      <c r="R2751" s="322">
        <v>7800</v>
      </c>
      <c r="S2751" s="322">
        <v>11000</v>
      </c>
      <c r="T2751" s="322">
        <v>11000</v>
      </c>
      <c r="U2751" s="322">
        <f t="shared" si="184"/>
        <v>0</v>
      </c>
      <c r="W2751" s="321">
        <f t="shared" si="185"/>
        <v>141</v>
      </c>
      <c r="X2751" s="321">
        <f t="shared" si="186"/>
        <v>829202</v>
      </c>
      <c r="Y2751" s="321">
        <v>1</v>
      </c>
      <c r="AA2751" s="321" t="s">
        <v>5208</v>
      </c>
    </row>
    <row r="2752" spans="13:27">
      <c r="M2752" s="321">
        <v>1829202181</v>
      </c>
      <c r="N2752" s="321">
        <v>82</v>
      </c>
      <c r="O2752" s="321" t="s">
        <v>2580</v>
      </c>
      <c r="P2752" s="321">
        <v>1829200</v>
      </c>
      <c r="Q2752" s="322">
        <v>23000</v>
      </c>
      <c r="R2752" s="322">
        <v>17000</v>
      </c>
      <c r="S2752" s="322">
        <v>25000</v>
      </c>
      <c r="T2752" s="322">
        <v>25000</v>
      </c>
      <c r="U2752" s="322">
        <f t="shared" si="184"/>
        <v>0</v>
      </c>
      <c r="W2752" s="321">
        <f t="shared" si="185"/>
        <v>181</v>
      </c>
      <c r="X2752" s="321">
        <f t="shared" si="186"/>
        <v>829202</v>
      </c>
      <c r="Y2752" s="321">
        <v>1</v>
      </c>
      <c r="AA2752" s="321" t="s">
        <v>2580</v>
      </c>
    </row>
    <row r="2753" spans="13:27">
      <c r="M2753" s="321">
        <v>1829202182</v>
      </c>
      <c r="N2753" s="321">
        <v>82</v>
      </c>
      <c r="O2753" s="321" t="s">
        <v>2582</v>
      </c>
      <c r="P2753" s="321">
        <v>1829200</v>
      </c>
      <c r="Q2753" s="322">
        <v>34000</v>
      </c>
      <c r="R2753" s="322">
        <v>25500</v>
      </c>
      <c r="S2753" s="322">
        <v>42000</v>
      </c>
      <c r="T2753" s="322">
        <v>42000</v>
      </c>
      <c r="U2753" s="322">
        <f t="shared" si="184"/>
        <v>0</v>
      </c>
      <c r="W2753" s="321">
        <f t="shared" si="185"/>
        <v>182</v>
      </c>
      <c r="X2753" s="321">
        <f t="shared" si="186"/>
        <v>829202</v>
      </c>
      <c r="Y2753" s="321">
        <v>1</v>
      </c>
      <c r="AA2753" s="321" t="s">
        <v>2582</v>
      </c>
    </row>
    <row r="2754" spans="13:27">
      <c r="M2754" s="321">
        <v>1829202420</v>
      </c>
      <c r="N2754" s="321">
        <v>82</v>
      </c>
      <c r="O2754" s="321" t="s">
        <v>5384</v>
      </c>
      <c r="P2754" s="321">
        <v>1829200</v>
      </c>
      <c r="Q2754" s="322">
        <v>3836700</v>
      </c>
      <c r="R2754" s="322">
        <v>3196000</v>
      </c>
      <c r="S2754" s="322">
        <v>4250000</v>
      </c>
      <c r="T2754" s="322">
        <v>4050000</v>
      </c>
      <c r="U2754" s="322">
        <f t="shared" ref="U2754:U2817" si="187">S2754-T2754</f>
        <v>200000</v>
      </c>
      <c r="W2754" s="321">
        <f t="shared" si="185"/>
        <v>420</v>
      </c>
      <c r="X2754" s="321">
        <f t="shared" si="186"/>
        <v>829202</v>
      </c>
      <c r="Y2754" s="321">
        <v>1</v>
      </c>
      <c r="AA2754" s="321" t="s">
        <v>5384</v>
      </c>
    </row>
    <row r="2755" spans="13:27">
      <c r="M2755" s="321">
        <v>1829202772</v>
      </c>
      <c r="N2755" s="321">
        <v>82</v>
      </c>
      <c r="O2755" s="321" t="s">
        <v>3189</v>
      </c>
      <c r="P2755" s="321">
        <v>1829200</v>
      </c>
      <c r="Q2755" s="322">
        <v>0</v>
      </c>
      <c r="R2755" s="322">
        <v>0</v>
      </c>
      <c r="S2755" s="322">
        <v>0</v>
      </c>
      <c r="T2755" s="322">
        <v>0</v>
      </c>
      <c r="U2755" s="322">
        <f t="shared" si="187"/>
        <v>0</v>
      </c>
      <c r="W2755" s="321">
        <f t="shared" ref="W2755:W2818" si="188">M2755-1000000000-X2755*1000</f>
        <v>772</v>
      </c>
      <c r="X2755" s="321">
        <f t="shared" ref="X2755:X2818" si="189">ROUNDDOWN((M2755-1000000000)/1000,0)</f>
        <v>829202</v>
      </c>
      <c r="Y2755" s="321">
        <v>1</v>
      </c>
      <c r="AA2755" s="321" t="s">
        <v>3189</v>
      </c>
    </row>
    <row r="2756" spans="13:27">
      <c r="M2756" s="321">
        <v>1829202920</v>
      </c>
      <c r="N2756" s="321">
        <v>82</v>
      </c>
      <c r="O2756" s="321" t="s">
        <v>6114</v>
      </c>
      <c r="P2756" s="321">
        <v>1829200</v>
      </c>
      <c r="Q2756" s="322">
        <v>1037000</v>
      </c>
      <c r="R2756" s="322">
        <v>427200</v>
      </c>
      <c r="S2756" s="322">
        <v>700000</v>
      </c>
      <c r="T2756" s="322">
        <v>700000</v>
      </c>
      <c r="U2756" s="322">
        <f t="shared" si="187"/>
        <v>0</v>
      </c>
      <c r="W2756" s="321">
        <f t="shared" si="188"/>
        <v>920</v>
      </c>
      <c r="X2756" s="321">
        <f t="shared" si="189"/>
        <v>829202</v>
      </c>
      <c r="Y2756" s="321">
        <v>1</v>
      </c>
      <c r="AA2756" s="321" t="s">
        <v>6114</v>
      </c>
    </row>
    <row r="2757" spans="13:27">
      <c r="M2757" s="321">
        <v>1829202921</v>
      </c>
      <c r="N2757" s="321">
        <v>82</v>
      </c>
      <c r="O2757" s="321" t="s">
        <v>6115</v>
      </c>
      <c r="P2757" s="321">
        <v>1829200</v>
      </c>
      <c r="Q2757" s="322">
        <v>300000</v>
      </c>
      <c r="R2757" s="322">
        <v>300000</v>
      </c>
      <c r="S2757" s="322">
        <v>800000</v>
      </c>
      <c r="T2757" s="322">
        <v>800000</v>
      </c>
      <c r="U2757" s="322">
        <f t="shared" si="187"/>
        <v>0</v>
      </c>
      <c r="W2757" s="321">
        <f t="shared" si="188"/>
        <v>921</v>
      </c>
      <c r="X2757" s="321">
        <f t="shared" si="189"/>
        <v>829202</v>
      </c>
      <c r="Y2757" s="321">
        <v>1</v>
      </c>
      <c r="AA2757" s="321" t="s">
        <v>6115</v>
      </c>
    </row>
    <row r="2758" spans="13:27">
      <c r="M2758" s="321">
        <v>1829300540</v>
      </c>
      <c r="N2758" s="321">
        <v>82</v>
      </c>
      <c r="O2758" s="321" t="s">
        <v>5252</v>
      </c>
      <c r="P2758" s="321">
        <v>1829300</v>
      </c>
      <c r="Q2758" s="322">
        <v>0</v>
      </c>
      <c r="R2758" s="322">
        <v>400</v>
      </c>
      <c r="S2758" s="322">
        <v>0</v>
      </c>
      <c r="T2758" s="322">
        <v>0</v>
      </c>
      <c r="U2758" s="322">
        <f t="shared" si="187"/>
        <v>0</v>
      </c>
      <c r="W2758" s="321">
        <f t="shared" si="188"/>
        <v>540</v>
      </c>
      <c r="X2758" s="321">
        <f t="shared" si="189"/>
        <v>829300</v>
      </c>
      <c r="Y2758" s="321">
        <v>1</v>
      </c>
      <c r="AA2758" s="321" t="s">
        <v>5252</v>
      </c>
    </row>
    <row r="2759" spans="13:27">
      <c r="M2759" s="321">
        <v>1829300750</v>
      </c>
      <c r="N2759" s="321">
        <v>82</v>
      </c>
      <c r="O2759" s="321" t="s">
        <v>6116</v>
      </c>
      <c r="P2759" s="321">
        <v>1829300</v>
      </c>
      <c r="Q2759" s="322">
        <v>883800</v>
      </c>
      <c r="R2759" s="322">
        <v>737100</v>
      </c>
      <c r="S2759" s="322">
        <v>900000</v>
      </c>
      <c r="T2759" s="322">
        <v>900000</v>
      </c>
      <c r="U2759" s="322">
        <f t="shared" si="187"/>
        <v>0</v>
      </c>
      <c r="W2759" s="321">
        <f t="shared" si="188"/>
        <v>750</v>
      </c>
      <c r="X2759" s="321">
        <f t="shared" si="189"/>
        <v>829300</v>
      </c>
      <c r="Y2759" s="321">
        <v>1</v>
      </c>
      <c r="AA2759" s="321" t="s">
        <v>6116</v>
      </c>
    </row>
    <row r="2760" spans="13:27">
      <c r="M2760" s="321">
        <v>1829300870</v>
      </c>
      <c r="N2760" s="321">
        <v>82</v>
      </c>
      <c r="O2760" s="321" t="s">
        <v>6117</v>
      </c>
      <c r="P2760" s="321">
        <v>1829300</v>
      </c>
      <c r="Q2760" s="322">
        <v>1251200</v>
      </c>
      <c r="R2760" s="322">
        <v>1042300</v>
      </c>
      <c r="S2760" s="322">
        <v>1300000</v>
      </c>
      <c r="T2760" s="322">
        <v>1300000</v>
      </c>
      <c r="U2760" s="322">
        <f t="shared" si="187"/>
        <v>0</v>
      </c>
      <c r="W2760" s="321">
        <f t="shared" si="188"/>
        <v>870</v>
      </c>
      <c r="X2760" s="321">
        <f t="shared" si="189"/>
        <v>829300</v>
      </c>
      <c r="Y2760" s="321">
        <v>1</v>
      </c>
      <c r="AA2760" s="321" t="s">
        <v>6117</v>
      </c>
    </row>
    <row r="2761" spans="13:27">
      <c r="M2761" s="321">
        <v>1829300871</v>
      </c>
      <c r="N2761" s="321">
        <v>82</v>
      </c>
      <c r="O2761" s="321" t="s">
        <v>6118</v>
      </c>
      <c r="P2761" s="321">
        <v>1829300</v>
      </c>
      <c r="Q2761" s="322">
        <v>508300</v>
      </c>
      <c r="R2761" s="322">
        <v>423400</v>
      </c>
      <c r="S2761" s="322">
        <v>508300</v>
      </c>
      <c r="T2761" s="322">
        <v>508300</v>
      </c>
      <c r="U2761" s="322">
        <f t="shared" si="187"/>
        <v>0</v>
      </c>
      <c r="W2761" s="321">
        <f t="shared" si="188"/>
        <v>871</v>
      </c>
      <c r="X2761" s="321">
        <f t="shared" si="189"/>
        <v>829300</v>
      </c>
      <c r="Y2761" s="321">
        <v>1</v>
      </c>
      <c r="AA2761" s="321" t="s">
        <v>6118</v>
      </c>
    </row>
    <row r="2762" spans="13:27">
      <c r="M2762" s="321">
        <v>1829300872</v>
      </c>
      <c r="N2762" s="321">
        <v>82</v>
      </c>
      <c r="O2762" s="321" t="s">
        <v>6119</v>
      </c>
      <c r="P2762" s="321">
        <v>1829300</v>
      </c>
      <c r="Q2762" s="322">
        <v>58700</v>
      </c>
      <c r="R2762" s="322">
        <v>58700</v>
      </c>
      <c r="S2762" s="322">
        <v>83700</v>
      </c>
      <c r="T2762" s="322">
        <v>83700</v>
      </c>
      <c r="U2762" s="322">
        <f t="shared" si="187"/>
        <v>0</v>
      </c>
      <c r="W2762" s="321">
        <f t="shared" si="188"/>
        <v>872</v>
      </c>
      <c r="X2762" s="321">
        <f t="shared" si="189"/>
        <v>829300</v>
      </c>
      <c r="Y2762" s="321">
        <v>1</v>
      </c>
      <c r="AA2762" s="321" t="s">
        <v>6119</v>
      </c>
    </row>
    <row r="2763" spans="13:27">
      <c r="M2763" s="321">
        <v>1829300873</v>
      </c>
      <c r="N2763" s="321">
        <v>82</v>
      </c>
      <c r="O2763" s="321" t="s">
        <v>6120</v>
      </c>
      <c r="P2763" s="321">
        <v>1829300</v>
      </c>
      <c r="Q2763" s="322">
        <v>586000</v>
      </c>
      <c r="R2763" s="322">
        <v>488100</v>
      </c>
      <c r="S2763" s="322">
        <v>586000</v>
      </c>
      <c r="T2763" s="322">
        <v>586000</v>
      </c>
      <c r="U2763" s="322">
        <f t="shared" si="187"/>
        <v>0</v>
      </c>
      <c r="W2763" s="321">
        <f t="shared" si="188"/>
        <v>873</v>
      </c>
      <c r="X2763" s="321">
        <f t="shared" si="189"/>
        <v>829300</v>
      </c>
      <c r="Y2763" s="321">
        <v>1</v>
      </c>
      <c r="AA2763" s="321" t="s">
        <v>6120</v>
      </c>
    </row>
    <row r="2764" spans="13:27">
      <c r="M2764" s="321">
        <v>1829300981</v>
      </c>
      <c r="N2764" s="321">
        <v>82</v>
      </c>
      <c r="O2764" s="321" t="s">
        <v>5307</v>
      </c>
      <c r="P2764" s="321">
        <v>1829300</v>
      </c>
      <c r="Q2764" s="322">
        <v>0</v>
      </c>
      <c r="R2764" s="322">
        <v>0</v>
      </c>
      <c r="S2764" s="322">
        <v>0</v>
      </c>
      <c r="T2764" s="322">
        <v>0</v>
      </c>
      <c r="U2764" s="322">
        <f t="shared" si="187"/>
        <v>0</v>
      </c>
      <c r="W2764" s="321">
        <f t="shared" si="188"/>
        <v>981</v>
      </c>
      <c r="X2764" s="321">
        <f t="shared" si="189"/>
        <v>829300</v>
      </c>
      <c r="Y2764" s="321">
        <v>1</v>
      </c>
      <c r="AA2764" s="321" t="s">
        <v>5307</v>
      </c>
    </row>
    <row r="2765" spans="13:27">
      <c r="M2765" s="321">
        <v>1829900820</v>
      </c>
      <c r="N2765" s="321">
        <v>82</v>
      </c>
      <c r="O2765" s="321" t="s">
        <v>6121</v>
      </c>
      <c r="P2765" s="321">
        <v>1829900</v>
      </c>
      <c r="Q2765" s="322">
        <v>13000000</v>
      </c>
      <c r="R2765" s="322">
        <v>12000</v>
      </c>
      <c r="S2765" s="322">
        <v>13000000</v>
      </c>
      <c r="T2765" s="322">
        <v>13000000</v>
      </c>
      <c r="U2765" s="322">
        <f t="shared" si="187"/>
        <v>0</v>
      </c>
      <c r="W2765" s="321">
        <f t="shared" si="188"/>
        <v>820</v>
      </c>
      <c r="X2765" s="321">
        <f t="shared" si="189"/>
        <v>829900</v>
      </c>
      <c r="Y2765" s="321">
        <v>1</v>
      </c>
      <c r="AA2765" s="321" t="s">
        <v>6121</v>
      </c>
    </row>
    <row r="2766" spans="13:27">
      <c r="M2766" s="321">
        <v>1829901820</v>
      </c>
      <c r="N2766" s="321">
        <v>82</v>
      </c>
      <c r="O2766" s="321" t="s">
        <v>6122</v>
      </c>
      <c r="P2766" s="321">
        <v>1829900</v>
      </c>
      <c r="Q2766" s="322">
        <v>0</v>
      </c>
      <c r="R2766" s="322">
        <v>3087000</v>
      </c>
      <c r="S2766" s="322">
        <v>0</v>
      </c>
      <c r="T2766" s="322">
        <v>0</v>
      </c>
      <c r="U2766" s="322">
        <f t="shared" si="187"/>
        <v>0</v>
      </c>
      <c r="W2766" s="321">
        <f t="shared" si="188"/>
        <v>820</v>
      </c>
      <c r="X2766" s="321">
        <f t="shared" si="189"/>
        <v>829901</v>
      </c>
      <c r="Y2766" s="321">
        <v>1</v>
      </c>
      <c r="AA2766" s="321" t="s">
        <v>6122</v>
      </c>
    </row>
    <row r="2767" spans="13:27">
      <c r="M2767" s="321">
        <v>1829902820</v>
      </c>
      <c r="N2767" s="321">
        <v>82</v>
      </c>
      <c r="O2767" s="321" t="s">
        <v>6123</v>
      </c>
      <c r="P2767" s="321">
        <v>1829900</v>
      </c>
      <c r="Q2767" s="322">
        <v>0</v>
      </c>
      <c r="R2767" s="322">
        <v>5501600</v>
      </c>
      <c r="S2767" s="322">
        <v>0</v>
      </c>
      <c r="T2767" s="322">
        <v>0</v>
      </c>
      <c r="U2767" s="322">
        <f t="shared" si="187"/>
        <v>0</v>
      </c>
      <c r="W2767" s="321">
        <f t="shared" si="188"/>
        <v>820</v>
      </c>
      <c r="X2767" s="321">
        <f t="shared" si="189"/>
        <v>829902</v>
      </c>
      <c r="Y2767" s="321">
        <v>1</v>
      </c>
      <c r="AA2767" s="321" t="s">
        <v>6123</v>
      </c>
    </row>
    <row r="2768" spans="13:27">
      <c r="M2768" s="321">
        <v>1829903820</v>
      </c>
      <c r="N2768" s="321">
        <v>82</v>
      </c>
      <c r="O2768" s="321" t="s">
        <v>6124</v>
      </c>
      <c r="P2768" s="321">
        <v>1829900</v>
      </c>
      <c r="Q2768" s="322">
        <v>0</v>
      </c>
      <c r="R2768" s="322">
        <v>5893200</v>
      </c>
      <c r="S2768" s="322">
        <v>0</v>
      </c>
      <c r="T2768" s="322">
        <v>0</v>
      </c>
      <c r="U2768" s="322">
        <f t="shared" si="187"/>
        <v>0</v>
      </c>
      <c r="W2768" s="321">
        <f t="shared" si="188"/>
        <v>820</v>
      </c>
      <c r="X2768" s="321">
        <f t="shared" si="189"/>
        <v>829903</v>
      </c>
      <c r="Y2768" s="321">
        <v>1</v>
      </c>
      <c r="AA2768" s="321" t="s">
        <v>6124</v>
      </c>
    </row>
    <row r="2769" spans="13:27">
      <c r="M2769" s="321">
        <v>1829904820</v>
      </c>
      <c r="N2769" s="321">
        <v>82</v>
      </c>
      <c r="O2769" s="321" t="s">
        <v>6125</v>
      </c>
      <c r="P2769" s="321">
        <v>1829900</v>
      </c>
      <c r="Q2769" s="322">
        <v>0</v>
      </c>
      <c r="R2769" s="322">
        <v>283200</v>
      </c>
      <c r="S2769" s="322">
        <v>0</v>
      </c>
      <c r="T2769" s="322">
        <v>0</v>
      </c>
      <c r="U2769" s="322">
        <f t="shared" si="187"/>
        <v>0</v>
      </c>
      <c r="W2769" s="321">
        <f t="shared" si="188"/>
        <v>820</v>
      </c>
      <c r="X2769" s="321">
        <f t="shared" si="189"/>
        <v>829904</v>
      </c>
      <c r="Y2769" s="321">
        <v>1</v>
      </c>
      <c r="AA2769" s="321" t="s">
        <v>6125</v>
      </c>
    </row>
    <row r="2770" spans="13:27">
      <c r="M2770" s="321">
        <v>1829905820</v>
      </c>
      <c r="N2770" s="321">
        <v>82</v>
      </c>
      <c r="O2770" s="321" t="s">
        <v>6126</v>
      </c>
      <c r="P2770" s="321">
        <v>1829900</v>
      </c>
      <c r="Q2770" s="322">
        <v>0</v>
      </c>
      <c r="R2770" s="322">
        <v>40900</v>
      </c>
      <c r="S2770" s="322">
        <v>0</v>
      </c>
      <c r="T2770" s="322">
        <v>0</v>
      </c>
      <c r="U2770" s="322">
        <f t="shared" si="187"/>
        <v>0</v>
      </c>
      <c r="W2770" s="321">
        <f t="shared" si="188"/>
        <v>820</v>
      </c>
      <c r="X2770" s="321">
        <f t="shared" si="189"/>
        <v>829905</v>
      </c>
      <c r="Y2770" s="321">
        <v>1</v>
      </c>
      <c r="AA2770" s="321" t="s">
        <v>6126</v>
      </c>
    </row>
    <row r="2771" spans="13:27">
      <c r="M2771" s="321">
        <v>1829906820</v>
      </c>
      <c r="N2771" s="321">
        <v>82</v>
      </c>
      <c r="O2771" s="321" t="s">
        <v>6127</v>
      </c>
      <c r="P2771" s="321">
        <v>1829900</v>
      </c>
      <c r="Q2771" s="322">
        <v>0</v>
      </c>
      <c r="R2771" s="322">
        <v>702700</v>
      </c>
      <c r="S2771" s="322">
        <v>0</v>
      </c>
      <c r="T2771" s="322">
        <v>0</v>
      </c>
      <c r="U2771" s="322">
        <f t="shared" si="187"/>
        <v>0</v>
      </c>
      <c r="W2771" s="321">
        <f t="shared" si="188"/>
        <v>820</v>
      </c>
      <c r="X2771" s="321">
        <f t="shared" si="189"/>
        <v>829906</v>
      </c>
      <c r="Y2771" s="321">
        <v>1</v>
      </c>
      <c r="AA2771" s="321" t="s">
        <v>6127</v>
      </c>
    </row>
    <row r="2772" spans="13:27">
      <c r="M2772" s="321">
        <v>1829907820</v>
      </c>
      <c r="N2772" s="321">
        <v>82</v>
      </c>
      <c r="O2772" s="321" t="s">
        <v>6128</v>
      </c>
      <c r="P2772" s="321">
        <v>1829900</v>
      </c>
      <c r="Q2772" s="322">
        <v>0</v>
      </c>
      <c r="R2772" s="322">
        <v>14800</v>
      </c>
      <c r="S2772" s="322">
        <v>0</v>
      </c>
      <c r="T2772" s="322">
        <v>0</v>
      </c>
      <c r="U2772" s="322">
        <f t="shared" si="187"/>
        <v>0</v>
      </c>
      <c r="W2772" s="321">
        <f t="shared" si="188"/>
        <v>820</v>
      </c>
      <c r="X2772" s="321">
        <f t="shared" si="189"/>
        <v>829907</v>
      </c>
      <c r="Y2772" s="321">
        <v>1</v>
      </c>
      <c r="AA2772" s="321" t="s">
        <v>6128</v>
      </c>
    </row>
    <row r="2773" spans="13:27">
      <c r="M2773" s="321">
        <v>1829908820</v>
      </c>
      <c r="N2773" s="321">
        <v>82</v>
      </c>
      <c r="O2773" s="321" t="s">
        <v>6129</v>
      </c>
      <c r="P2773" s="321">
        <v>1829900</v>
      </c>
      <c r="Q2773" s="322">
        <v>0</v>
      </c>
      <c r="R2773" s="322">
        <v>155300</v>
      </c>
      <c r="S2773" s="322">
        <v>0</v>
      </c>
      <c r="T2773" s="322">
        <v>0</v>
      </c>
      <c r="U2773" s="322">
        <f t="shared" si="187"/>
        <v>0</v>
      </c>
      <c r="W2773" s="321">
        <f t="shared" si="188"/>
        <v>820</v>
      </c>
      <c r="X2773" s="321">
        <f t="shared" si="189"/>
        <v>829908</v>
      </c>
      <c r="Y2773" s="321">
        <v>1</v>
      </c>
      <c r="AA2773" s="321" t="s">
        <v>6129</v>
      </c>
    </row>
    <row r="2774" spans="13:27">
      <c r="M2774" s="321">
        <v>1829909820</v>
      </c>
      <c r="N2774" s="321">
        <v>82</v>
      </c>
      <c r="O2774" s="321" t="s">
        <v>6130</v>
      </c>
      <c r="P2774" s="321">
        <v>1829900</v>
      </c>
      <c r="Q2774" s="322">
        <v>0</v>
      </c>
      <c r="R2774" s="322">
        <v>39100</v>
      </c>
      <c r="S2774" s="322">
        <v>0</v>
      </c>
      <c r="T2774" s="322">
        <v>0</v>
      </c>
      <c r="U2774" s="322">
        <f t="shared" si="187"/>
        <v>0</v>
      </c>
      <c r="W2774" s="321">
        <f t="shared" si="188"/>
        <v>820</v>
      </c>
      <c r="X2774" s="321">
        <f t="shared" si="189"/>
        <v>829909</v>
      </c>
      <c r="Y2774" s="321">
        <v>1</v>
      </c>
      <c r="AA2774" s="321" t="s">
        <v>6130</v>
      </c>
    </row>
    <row r="2775" spans="13:27">
      <c r="M2775" s="321">
        <v>1829910820</v>
      </c>
      <c r="N2775" s="321">
        <v>82</v>
      </c>
      <c r="O2775" s="321" t="s">
        <v>6131</v>
      </c>
      <c r="P2775" s="321">
        <v>1829900</v>
      </c>
      <c r="Q2775" s="322">
        <v>0</v>
      </c>
      <c r="R2775" s="322">
        <v>25800</v>
      </c>
      <c r="S2775" s="322">
        <v>0</v>
      </c>
      <c r="T2775" s="322">
        <v>0</v>
      </c>
      <c r="U2775" s="322">
        <f t="shared" si="187"/>
        <v>0</v>
      </c>
      <c r="W2775" s="321">
        <f t="shared" si="188"/>
        <v>820</v>
      </c>
      <c r="X2775" s="321">
        <f t="shared" si="189"/>
        <v>829910</v>
      </c>
      <c r="Y2775" s="321">
        <v>1</v>
      </c>
      <c r="AA2775" s="321" t="s">
        <v>6131</v>
      </c>
    </row>
    <row r="2776" spans="13:27">
      <c r="M2776" s="321">
        <v>1829911820</v>
      </c>
      <c r="N2776" s="321">
        <v>82</v>
      </c>
      <c r="O2776" s="321" t="s">
        <v>6132</v>
      </c>
      <c r="P2776" s="321">
        <v>1829900</v>
      </c>
      <c r="Q2776" s="322">
        <v>0</v>
      </c>
      <c r="R2776" s="322">
        <v>268500</v>
      </c>
      <c r="S2776" s="322">
        <v>0</v>
      </c>
      <c r="T2776" s="322">
        <v>0</v>
      </c>
      <c r="U2776" s="322">
        <f t="shared" si="187"/>
        <v>0</v>
      </c>
      <c r="W2776" s="321">
        <f t="shared" si="188"/>
        <v>820</v>
      </c>
      <c r="X2776" s="321">
        <f t="shared" si="189"/>
        <v>829911</v>
      </c>
      <c r="Y2776" s="321">
        <v>1</v>
      </c>
      <c r="AA2776" s="321" t="s">
        <v>6132</v>
      </c>
    </row>
    <row r="2777" spans="13:27">
      <c r="M2777" s="321">
        <v>1829912820</v>
      </c>
      <c r="N2777" s="321">
        <v>82</v>
      </c>
      <c r="O2777" s="321" t="s">
        <v>6133</v>
      </c>
      <c r="P2777" s="321">
        <v>1829900</v>
      </c>
      <c r="Q2777" s="322">
        <v>0</v>
      </c>
      <c r="R2777" s="322">
        <v>37600</v>
      </c>
      <c r="S2777" s="322">
        <v>0</v>
      </c>
      <c r="T2777" s="322">
        <v>0</v>
      </c>
      <c r="U2777" s="322">
        <f t="shared" si="187"/>
        <v>0</v>
      </c>
      <c r="W2777" s="321">
        <f t="shared" si="188"/>
        <v>820</v>
      </c>
      <c r="X2777" s="321">
        <f t="shared" si="189"/>
        <v>829912</v>
      </c>
      <c r="Y2777" s="321">
        <v>1</v>
      </c>
      <c r="AA2777" s="321" t="s">
        <v>6133</v>
      </c>
    </row>
    <row r="2778" spans="13:27">
      <c r="M2778" s="321">
        <v>1829913820</v>
      </c>
      <c r="N2778" s="321">
        <v>82</v>
      </c>
      <c r="O2778" s="321" t="s">
        <v>6134</v>
      </c>
      <c r="P2778" s="321">
        <v>1829900</v>
      </c>
      <c r="Q2778" s="322">
        <v>0</v>
      </c>
      <c r="R2778" s="322">
        <v>7500</v>
      </c>
      <c r="S2778" s="322">
        <v>0</v>
      </c>
      <c r="T2778" s="322">
        <v>0</v>
      </c>
      <c r="U2778" s="322">
        <f t="shared" si="187"/>
        <v>0</v>
      </c>
      <c r="W2778" s="321">
        <f t="shared" si="188"/>
        <v>820</v>
      </c>
      <c r="X2778" s="321">
        <f t="shared" si="189"/>
        <v>829913</v>
      </c>
      <c r="Y2778" s="321">
        <v>1</v>
      </c>
      <c r="AA2778" s="321" t="s">
        <v>6134</v>
      </c>
    </row>
    <row r="2779" spans="13:27">
      <c r="M2779" s="321">
        <v>1829914820</v>
      </c>
      <c r="N2779" s="321">
        <v>82</v>
      </c>
      <c r="O2779" s="321" t="s">
        <v>6135</v>
      </c>
      <c r="P2779" s="321">
        <v>1829900</v>
      </c>
      <c r="Q2779" s="322">
        <v>0</v>
      </c>
      <c r="R2779" s="322">
        <v>36900</v>
      </c>
      <c r="S2779" s="322">
        <v>0</v>
      </c>
      <c r="T2779" s="322">
        <v>0</v>
      </c>
      <c r="U2779" s="322">
        <f t="shared" si="187"/>
        <v>0</v>
      </c>
      <c r="W2779" s="321">
        <f t="shared" si="188"/>
        <v>820</v>
      </c>
      <c r="X2779" s="321">
        <f t="shared" si="189"/>
        <v>829914</v>
      </c>
      <c r="Y2779" s="321">
        <v>1</v>
      </c>
      <c r="AA2779" s="321" t="s">
        <v>6135</v>
      </c>
    </row>
    <row r="2780" spans="13:27">
      <c r="M2780" s="321">
        <v>1829915820</v>
      </c>
      <c r="N2780" s="321">
        <v>82</v>
      </c>
      <c r="O2780" s="321" t="s">
        <v>6136</v>
      </c>
      <c r="P2780" s="321">
        <v>1829900</v>
      </c>
      <c r="Q2780" s="322">
        <v>0</v>
      </c>
      <c r="R2780" s="322">
        <v>350900</v>
      </c>
      <c r="S2780" s="322">
        <v>0</v>
      </c>
      <c r="T2780" s="322">
        <v>0</v>
      </c>
      <c r="U2780" s="322">
        <f t="shared" si="187"/>
        <v>0</v>
      </c>
      <c r="W2780" s="321">
        <f t="shared" si="188"/>
        <v>820</v>
      </c>
      <c r="X2780" s="321">
        <f t="shared" si="189"/>
        <v>829915</v>
      </c>
      <c r="Y2780" s="321">
        <v>1</v>
      </c>
      <c r="AA2780" s="321" t="s">
        <v>6136</v>
      </c>
    </row>
    <row r="2781" spans="13:27">
      <c r="M2781" s="321">
        <v>1829916820</v>
      </c>
      <c r="N2781" s="321">
        <v>82</v>
      </c>
      <c r="O2781" s="321" t="s">
        <v>6137</v>
      </c>
      <c r="P2781" s="321">
        <v>1829900</v>
      </c>
      <c r="Q2781" s="322">
        <v>0</v>
      </c>
      <c r="R2781" s="322">
        <v>10300</v>
      </c>
      <c r="S2781" s="322">
        <v>0</v>
      </c>
      <c r="T2781" s="322">
        <v>0</v>
      </c>
      <c r="U2781" s="322">
        <f t="shared" si="187"/>
        <v>0</v>
      </c>
      <c r="W2781" s="321">
        <f t="shared" si="188"/>
        <v>820</v>
      </c>
      <c r="X2781" s="321">
        <f t="shared" si="189"/>
        <v>829916</v>
      </c>
      <c r="Y2781" s="321">
        <v>1</v>
      </c>
      <c r="AA2781" s="321" t="s">
        <v>6137</v>
      </c>
    </row>
    <row r="2782" spans="13:27">
      <c r="M2782" s="321">
        <v>1829918820</v>
      </c>
      <c r="N2782" s="321">
        <v>82</v>
      </c>
      <c r="O2782" s="321" t="s">
        <v>6138</v>
      </c>
      <c r="P2782" s="321">
        <v>1829900</v>
      </c>
      <c r="Q2782" s="322">
        <v>0</v>
      </c>
      <c r="R2782" s="322">
        <v>22500</v>
      </c>
      <c r="S2782" s="322">
        <v>0</v>
      </c>
      <c r="T2782" s="322">
        <v>0</v>
      </c>
      <c r="U2782" s="322">
        <f t="shared" si="187"/>
        <v>0</v>
      </c>
      <c r="W2782" s="321">
        <f t="shared" si="188"/>
        <v>820</v>
      </c>
      <c r="X2782" s="321">
        <f t="shared" si="189"/>
        <v>829918</v>
      </c>
      <c r="Y2782" s="321">
        <v>1</v>
      </c>
      <c r="AA2782" s="321" t="s">
        <v>6138</v>
      </c>
    </row>
    <row r="2783" spans="13:27">
      <c r="M2783" s="321">
        <v>1829921820</v>
      </c>
      <c r="N2783" s="321">
        <v>82</v>
      </c>
      <c r="O2783" s="321" t="s">
        <v>6139</v>
      </c>
      <c r="P2783" s="321">
        <v>1829900</v>
      </c>
      <c r="Q2783" s="322">
        <v>0</v>
      </c>
      <c r="R2783" s="322">
        <v>92200</v>
      </c>
      <c r="S2783" s="322">
        <v>0</v>
      </c>
      <c r="T2783" s="322">
        <v>0</v>
      </c>
      <c r="U2783" s="322">
        <f t="shared" si="187"/>
        <v>0</v>
      </c>
      <c r="W2783" s="321">
        <f t="shared" si="188"/>
        <v>820</v>
      </c>
      <c r="X2783" s="321">
        <f t="shared" si="189"/>
        <v>829921</v>
      </c>
      <c r="Y2783" s="321">
        <v>1</v>
      </c>
      <c r="AA2783" s="321" t="s">
        <v>6139</v>
      </c>
    </row>
    <row r="2784" spans="13:27">
      <c r="M2784" s="321">
        <v>1829924820</v>
      </c>
      <c r="N2784" s="321">
        <v>82</v>
      </c>
      <c r="O2784" s="321" t="s">
        <v>6140</v>
      </c>
      <c r="P2784" s="321">
        <v>1829900</v>
      </c>
      <c r="Q2784" s="322">
        <v>0</v>
      </c>
      <c r="R2784" s="322">
        <v>50400</v>
      </c>
      <c r="S2784" s="322">
        <v>0</v>
      </c>
      <c r="T2784" s="322">
        <v>0</v>
      </c>
      <c r="U2784" s="322">
        <f t="shared" si="187"/>
        <v>0</v>
      </c>
      <c r="W2784" s="321">
        <f t="shared" si="188"/>
        <v>820</v>
      </c>
      <c r="X2784" s="321">
        <f t="shared" si="189"/>
        <v>829924</v>
      </c>
      <c r="Y2784" s="321">
        <v>1</v>
      </c>
      <c r="AA2784" s="321" t="s">
        <v>6140</v>
      </c>
    </row>
    <row r="2785" spans="13:27">
      <c r="M2785" s="321">
        <v>1829925820</v>
      </c>
      <c r="N2785" s="321">
        <v>82</v>
      </c>
      <c r="O2785" s="321" t="s">
        <v>6141</v>
      </c>
      <c r="P2785" s="321">
        <v>1829900</v>
      </c>
      <c r="Q2785" s="322">
        <v>0</v>
      </c>
      <c r="R2785" s="322">
        <v>0</v>
      </c>
      <c r="S2785" s="322">
        <v>0</v>
      </c>
      <c r="T2785" s="322">
        <v>0</v>
      </c>
      <c r="U2785" s="322">
        <f t="shared" si="187"/>
        <v>0</v>
      </c>
      <c r="W2785" s="321">
        <f t="shared" si="188"/>
        <v>820</v>
      </c>
      <c r="X2785" s="321">
        <f t="shared" si="189"/>
        <v>829925</v>
      </c>
      <c r="Y2785" s="321">
        <v>1</v>
      </c>
      <c r="AA2785" s="321" t="s">
        <v>6141</v>
      </c>
    </row>
    <row r="2786" spans="13:27">
      <c r="M2786" s="321">
        <v>1829926820</v>
      </c>
      <c r="N2786" s="321">
        <v>82</v>
      </c>
      <c r="O2786" s="321" t="s">
        <v>6142</v>
      </c>
      <c r="P2786" s="321">
        <v>1829900</v>
      </c>
      <c r="Q2786" s="322">
        <v>0</v>
      </c>
      <c r="R2786" s="322">
        <v>68800</v>
      </c>
      <c r="S2786" s="322">
        <v>0</v>
      </c>
      <c r="T2786" s="322">
        <v>0</v>
      </c>
      <c r="U2786" s="322">
        <f t="shared" si="187"/>
        <v>0</v>
      </c>
      <c r="W2786" s="321">
        <f t="shared" si="188"/>
        <v>820</v>
      </c>
      <c r="X2786" s="321">
        <f t="shared" si="189"/>
        <v>829926</v>
      </c>
      <c r="Y2786" s="321">
        <v>1</v>
      </c>
      <c r="AA2786" s="321" t="s">
        <v>6142</v>
      </c>
    </row>
    <row r="2787" spans="13:27">
      <c r="M2787" s="321">
        <v>1829930820</v>
      </c>
      <c r="N2787" s="321">
        <v>82</v>
      </c>
      <c r="O2787" s="321" t="s">
        <v>6143</v>
      </c>
      <c r="P2787" s="321">
        <v>1829900</v>
      </c>
      <c r="Q2787" s="322">
        <v>0</v>
      </c>
      <c r="R2787" s="322">
        <v>0</v>
      </c>
      <c r="S2787" s="322">
        <v>0</v>
      </c>
      <c r="T2787" s="322">
        <v>0</v>
      </c>
      <c r="U2787" s="322">
        <f t="shared" si="187"/>
        <v>0</v>
      </c>
      <c r="W2787" s="321">
        <f t="shared" si="188"/>
        <v>820</v>
      </c>
      <c r="X2787" s="321">
        <f t="shared" si="189"/>
        <v>829930</v>
      </c>
      <c r="Y2787" s="321">
        <v>1</v>
      </c>
      <c r="AA2787" s="321" t="s">
        <v>6143</v>
      </c>
    </row>
    <row r="2788" spans="13:27">
      <c r="M2788" s="321">
        <v>1829931820</v>
      </c>
      <c r="N2788" s="321">
        <v>82</v>
      </c>
      <c r="O2788" s="321" t="s">
        <v>6144</v>
      </c>
      <c r="P2788" s="321">
        <v>1829900</v>
      </c>
      <c r="Q2788" s="322">
        <v>0</v>
      </c>
      <c r="R2788" s="322">
        <v>22100</v>
      </c>
      <c r="S2788" s="322">
        <v>0</v>
      </c>
      <c r="T2788" s="322">
        <v>0</v>
      </c>
      <c r="U2788" s="322">
        <f t="shared" si="187"/>
        <v>0</v>
      </c>
      <c r="W2788" s="321">
        <f t="shared" si="188"/>
        <v>820</v>
      </c>
      <c r="X2788" s="321">
        <f t="shared" si="189"/>
        <v>829931</v>
      </c>
      <c r="Y2788" s="321">
        <v>1</v>
      </c>
      <c r="AA2788" s="321" t="s">
        <v>6144</v>
      </c>
    </row>
    <row r="2789" spans="13:27">
      <c r="M2789" s="321">
        <v>1829932820</v>
      </c>
      <c r="N2789" s="321">
        <v>82</v>
      </c>
      <c r="O2789" s="321" t="s">
        <v>6145</v>
      </c>
      <c r="P2789" s="321">
        <v>1829900</v>
      </c>
      <c r="Q2789" s="322">
        <v>0</v>
      </c>
      <c r="R2789" s="322">
        <v>14800</v>
      </c>
      <c r="S2789" s="322">
        <v>0</v>
      </c>
      <c r="T2789" s="322">
        <v>0</v>
      </c>
      <c r="U2789" s="322">
        <f t="shared" si="187"/>
        <v>0</v>
      </c>
      <c r="W2789" s="321">
        <f t="shared" si="188"/>
        <v>820</v>
      </c>
      <c r="X2789" s="321">
        <f t="shared" si="189"/>
        <v>829932</v>
      </c>
      <c r="Y2789" s="321">
        <v>1</v>
      </c>
      <c r="AA2789" s="321" t="s">
        <v>6145</v>
      </c>
    </row>
    <row r="2790" spans="13:27">
      <c r="M2790" s="321">
        <v>1829933820</v>
      </c>
      <c r="N2790" s="321">
        <v>82</v>
      </c>
      <c r="O2790" s="321" t="s">
        <v>6146</v>
      </c>
      <c r="P2790" s="321">
        <v>1829900</v>
      </c>
      <c r="Q2790" s="322">
        <v>0</v>
      </c>
      <c r="R2790" s="322">
        <v>11300</v>
      </c>
      <c r="S2790" s="322">
        <v>0</v>
      </c>
      <c r="T2790" s="322">
        <v>0</v>
      </c>
      <c r="U2790" s="322">
        <f t="shared" si="187"/>
        <v>0</v>
      </c>
      <c r="W2790" s="321">
        <f t="shared" si="188"/>
        <v>820</v>
      </c>
      <c r="X2790" s="321">
        <f t="shared" si="189"/>
        <v>829933</v>
      </c>
      <c r="Y2790" s="321">
        <v>1</v>
      </c>
      <c r="AA2790" s="321" t="s">
        <v>6146</v>
      </c>
    </row>
    <row r="2791" spans="13:27">
      <c r="M2791" s="321">
        <v>1829934820</v>
      </c>
      <c r="N2791" s="321">
        <v>82</v>
      </c>
      <c r="O2791" s="321" t="s">
        <v>6120</v>
      </c>
      <c r="P2791" s="321">
        <v>1829900</v>
      </c>
      <c r="Q2791" s="322">
        <v>0</v>
      </c>
      <c r="R2791" s="322">
        <v>3800</v>
      </c>
      <c r="S2791" s="322">
        <v>0</v>
      </c>
      <c r="T2791" s="322">
        <v>0</v>
      </c>
      <c r="U2791" s="322">
        <f t="shared" si="187"/>
        <v>0</v>
      </c>
      <c r="W2791" s="321">
        <f t="shared" si="188"/>
        <v>820</v>
      </c>
      <c r="X2791" s="321">
        <f t="shared" si="189"/>
        <v>829934</v>
      </c>
      <c r="Y2791" s="321">
        <v>1</v>
      </c>
      <c r="AA2791" s="321" t="s">
        <v>6120</v>
      </c>
    </row>
    <row r="2792" spans="13:27">
      <c r="M2792" s="321">
        <v>1832200760</v>
      </c>
      <c r="N2792" s="321">
        <v>83</v>
      </c>
      <c r="O2792" s="321" t="s">
        <v>6147</v>
      </c>
      <c r="P2792" s="321">
        <v>5832200</v>
      </c>
      <c r="Q2792" s="322">
        <v>0</v>
      </c>
      <c r="R2792" s="322">
        <v>0</v>
      </c>
      <c r="S2792" s="322">
        <v>0</v>
      </c>
      <c r="T2792" s="322">
        <v>0</v>
      </c>
      <c r="U2792" s="322">
        <f t="shared" si="187"/>
        <v>0</v>
      </c>
      <c r="W2792" s="321">
        <f t="shared" si="188"/>
        <v>760</v>
      </c>
      <c r="X2792" s="321">
        <f t="shared" si="189"/>
        <v>832200</v>
      </c>
      <c r="Y2792" s="321">
        <v>1</v>
      </c>
      <c r="AA2792" s="321" t="s">
        <v>6147</v>
      </c>
    </row>
    <row r="2793" spans="13:27">
      <c r="M2793" s="321">
        <v>1832300410</v>
      </c>
      <c r="N2793" s="321">
        <v>83</v>
      </c>
      <c r="O2793" s="321" t="s">
        <v>6148</v>
      </c>
      <c r="P2793" s="321">
        <v>5832300</v>
      </c>
      <c r="Q2793" s="322">
        <v>0</v>
      </c>
      <c r="R2793" s="322">
        <v>0</v>
      </c>
      <c r="S2793" s="322">
        <v>0</v>
      </c>
      <c r="T2793" s="322">
        <v>0</v>
      </c>
      <c r="U2793" s="322">
        <f t="shared" si="187"/>
        <v>0</v>
      </c>
      <c r="W2793" s="321">
        <f t="shared" si="188"/>
        <v>410</v>
      </c>
      <c r="X2793" s="321">
        <f t="shared" si="189"/>
        <v>832300</v>
      </c>
      <c r="Y2793" s="321">
        <v>1</v>
      </c>
      <c r="AA2793" s="321" t="s">
        <v>6148</v>
      </c>
    </row>
    <row r="2794" spans="13:27">
      <c r="M2794" s="321">
        <v>1832300540</v>
      </c>
      <c r="N2794" s="321">
        <v>83</v>
      </c>
      <c r="O2794" s="321" t="s">
        <v>5216</v>
      </c>
      <c r="P2794" s="321">
        <v>5832300</v>
      </c>
      <c r="Q2794" s="322">
        <v>0</v>
      </c>
      <c r="R2794" s="322">
        <v>0</v>
      </c>
      <c r="S2794" s="322">
        <v>0</v>
      </c>
      <c r="T2794" s="322">
        <v>0</v>
      </c>
      <c r="U2794" s="322">
        <f t="shared" si="187"/>
        <v>0</v>
      </c>
      <c r="W2794" s="321">
        <f t="shared" si="188"/>
        <v>540</v>
      </c>
      <c r="X2794" s="321">
        <f t="shared" si="189"/>
        <v>832300</v>
      </c>
      <c r="Y2794" s="321">
        <v>1</v>
      </c>
      <c r="AA2794" s="321" t="s">
        <v>5216</v>
      </c>
    </row>
    <row r="2795" spans="13:27">
      <c r="M2795" s="321">
        <v>1832300760</v>
      </c>
      <c r="N2795" s="321">
        <v>83</v>
      </c>
      <c r="O2795" s="321" t="s">
        <v>6149</v>
      </c>
      <c r="P2795" s="321">
        <v>5832300</v>
      </c>
      <c r="Q2795" s="322">
        <v>0</v>
      </c>
      <c r="R2795" s="322">
        <v>0</v>
      </c>
      <c r="S2795" s="322">
        <v>0</v>
      </c>
      <c r="T2795" s="322">
        <v>0</v>
      </c>
      <c r="U2795" s="322">
        <f t="shared" si="187"/>
        <v>0</v>
      </c>
      <c r="W2795" s="321">
        <f t="shared" si="188"/>
        <v>760</v>
      </c>
      <c r="X2795" s="321">
        <f t="shared" si="189"/>
        <v>832300</v>
      </c>
      <c r="Y2795" s="321">
        <v>1</v>
      </c>
      <c r="AA2795" s="321" t="s">
        <v>6149</v>
      </c>
    </row>
    <row r="2796" spans="13:27">
      <c r="M2796" s="321">
        <v>1832301760</v>
      </c>
      <c r="N2796" s="321">
        <v>83</v>
      </c>
      <c r="O2796" s="321" t="s">
        <v>6150</v>
      </c>
      <c r="P2796" s="321">
        <v>5832300</v>
      </c>
      <c r="Q2796" s="322">
        <v>0</v>
      </c>
      <c r="R2796" s="322">
        <v>0</v>
      </c>
      <c r="S2796" s="322">
        <v>0</v>
      </c>
      <c r="T2796" s="322">
        <v>0</v>
      </c>
      <c r="U2796" s="322">
        <f t="shared" si="187"/>
        <v>0</v>
      </c>
      <c r="W2796" s="321">
        <f t="shared" si="188"/>
        <v>760</v>
      </c>
      <c r="X2796" s="321">
        <f t="shared" si="189"/>
        <v>832301</v>
      </c>
      <c r="Y2796" s="321">
        <v>1</v>
      </c>
      <c r="AA2796" s="321" t="s">
        <v>6150</v>
      </c>
    </row>
    <row r="2797" spans="13:27">
      <c r="M2797" s="321">
        <v>1832400110</v>
      </c>
      <c r="N2797" s="321">
        <v>83</v>
      </c>
      <c r="O2797" s="321" t="s">
        <v>5205</v>
      </c>
      <c r="P2797" s="321">
        <v>5832400</v>
      </c>
      <c r="Q2797" s="322">
        <v>410000</v>
      </c>
      <c r="R2797" s="322">
        <v>307800</v>
      </c>
      <c r="S2797" s="322">
        <v>413000</v>
      </c>
      <c r="T2797" s="322">
        <v>413000</v>
      </c>
      <c r="U2797" s="322">
        <f t="shared" si="187"/>
        <v>0</v>
      </c>
      <c r="W2797" s="321">
        <f t="shared" si="188"/>
        <v>110</v>
      </c>
      <c r="X2797" s="321">
        <f t="shared" si="189"/>
        <v>832400</v>
      </c>
      <c r="Y2797" s="321">
        <v>1</v>
      </c>
      <c r="AA2797" s="321" t="s">
        <v>5205</v>
      </c>
    </row>
    <row r="2798" spans="13:27">
      <c r="M2798" s="321">
        <v>1832400120</v>
      </c>
      <c r="N2798" s="321">
        <v>83</v>
      </c>
      <c r="O2798" s="321" t="s">
        <v>5206</v>
      </c>
      <c r="P2798" s="321">
        <v>5832400</v>
      </c>
      <c r="Q2798" s="322">
        <v>44000</v>
      </c>
      <c r="R2798" s="322">
        <v>43400</v>
      </c>
      <c r="S2798" s="322">
        <v>45000</v>
      </c>
      <c r="T2798" s="322">
        <v>45000</v>
      </c>
      <c r="U2798" s="322">
        <f t="shared" si="187"/>
        <v>0</v>
      </c>
      <c r="W2798" s="321">
        <f t="shared" si="188"/>
        <v>120</v>
      </c>
      <c r="X2798" s="321">
        <f t="shared" si="189"/>
        <v>832400</v>
      </c>
      <c r="Y2798" s="321">
        <v>1</v>
      </c>
      <c r="AA2798" s="321" t="s">
        <v>5206</v>
      </c>
    </row>
    <row r="2799" spans="13:27">
      <c r="M2799" s="321">
        <v>1832400130</v>
      </c>
      <c r="N2799" s="321">
        <v>83</v>
      </c>
      <c r="O2799" s="321" t="s">
        <v>2576</v>
      </c>
      <c r="P2799" s="321">
        <v>5832400</v>
      </c>
      <c r="Q2799" s="322">
        <v>36000</v>
      </c>
      <c r="R2799" s="322">
        <v>19000</v>
      </c>
      <c r="S2799" s="322">
        <v>20000</v>
      </c>
      <c r="T2799" s="322">
        <v>18000</v>
      </c>
      <c r="U2799" s="322">
        <f t="shared" si="187"/>
        <v>2000</v>
      </c>
      <c r="W2799" s="321">
        <f t="shared" si="188"/>
        <v>130</v>
      </c>
      <c r="X2799" s="321">
        <f t="shared" si="189"/>
        <v>832400</v>
      </c>
      <c r="Y2799" s="321">
        <v>1</v>
      </c>
      <c r="AA2799" s="321" t="s">
        <v>2576</v>
      </c>
    </row>
    <row r="2800" spans="13:27">
      <c r="M2800" s="321">
        <v>1832400141</v>
      </c>
      <c r="N2800" s="321">
        <v>83</v>
      </c>
      <c r="O2800" s="321" t="s">
        <v>5208</v>
      </c>
      <c r="P2800" s="321">
        <v>5832400</v>
      </c>
      <c r="Q2800" s="322">
        <v>28000</v>
      </c>
      <c r="R2800" s="322">
        <v>20800</v>
      </c>
      <c r="S2800" s="322">
        <v>28000</v>
      </c>
      <c r="T2800" s="322">
        <v>28000</v>
      </c>
      <c r="U2800" s="322">
        <f t="shared" si="187"/>
        <v>0</v>
      </c>
      <c r="W2800" s="321">
        <f t="shared" si="188"/>
        <v>141</v>
      </c>
      <c r="X2800" s="321">
        <f t="shared" si="189"/>
        <v>832400</v>
      </c>
      <c r="Y2800" s="321">
        <v>1</v>
      </c>
      <c r="AA2800" s="321" t="s">
        <v>5208</v>
      </c>
    </row>
    <row r="2801" spans="13:27">
      <c r="M2801" s="321">
        <v>1832400181</v>
      </c>
      <c r="N2801" s="321">
        <v>83</v>
      </c>
      <c r="O2801" s="321" t="s">
        <v>2580</v>
      </c>
      <c r="P2801" s="321">
        <v>5832400</v>
      </c>
      <c r="Q2801" s="322">
        <v>62000</v>
      </c>
      <c r="R2801" s="322">
        <v>45900</v>
      </c>
      <c r="S2801" s="322">
        <v>59000</v>
      </c>
      <c r="T2801" s="322">
        <v>59000</v>
      </c>
      <c r="U2801" s="322">
        <f t="shared" si="187"/>
        <v>0</v>
      </c>
      <c r="W2801" s="321">
        <f t="shared" si="188"/>
        <v>181</v>
      </c>
      <c r="X2801" s="321">
        <f t="shared" si="189"/>
        <v>832400</v>
      </c>
      <c r="Y2801" s="321">
        <v>1</v>
      </c>
      <c r="AA2801" s="321" t="s">
        <v>2580</v>
      </c>
    </row>
    <row r="2802" spans="13:27">
      <c r="M2802" s="321">
        <v>1832400182</v>
      </c>
      <c r="N2802" s="321">
        <v>83</v>
      </c>
      <c r="O2802" s="321" t="s">
        <v>2582</v>
      </c>
      <c r="P2802" s="321">
        <v>5832400</v>
      </c>
      <c r="Q2802" s="322">
        <v>62000</v>
      </c>
      <c r="R2802" s="322">
        <v>42200</v>
      </c>
      <c r="S2802" s="322">
        <v>62000</v>
      </c>
      <c r="T2802" s="322">
        <v>62000</v>
      </c>
      <c r="U2802" s="322">
        <f t="shared" si="187"/>
        <v>0</v>
      </c>
      <c r="W2802" s="321">
        <f t="shared" si="188"/>
        <v>182</v>
      </c>
      <c r="X2802" s="321">
        <f t="shared" si="189"/>
        <v>832400</v>
      </c>
      <c r="Y2802" s="321">
        <v>1</v>
      </c>
      <c r="AA2802" s="321" t="s">
        <v>2582</v>
      </c>
    </row>
    <row r="2803" spans="13:27">
      <c r="M2803" s="321">
        <v>1832400211</v>
      </c>
      <c r="N2803" s="321">
        <v>83</v>
      </c>
      <c r="O2803" s="321" t="s">
        <v>6151</v>
      </c>
      <c r="P2803" s="321">
        <v>5832400</v>
      </c>
      <c r="Q2803" s="322">
        <v>0</v>
      </c>
      <c r="R2803" s="322">
        <v>0</v>
      </c>
      <c r="S2803" s="322">
        <v>0</v>
      </c>
      <c r="T2803" s="322">
        <v>0</v>
      </c>
      <c r="U2803" s="322">
        <f t="shared" si="187"/>
        <v>0</v>
      </c>
      <c r="W2803" s="321">
        <f t="shared" si="188"/>
        <v>211</v>
      </c>
      <c r="X2803" s="321">
        <f t="shared" si="189"/>
        <v>832400</v>
      </c>
      <c r="Y2803" s="321">
        <v>1</v>
      </c>
      <c r="AA2803" s="321" t="s">
        <v>6151</v>
      </c>
    </row>
    <row r="2804" spans="13:27">
      <c r="M2804" s="321">
        <v>1832400750</v>
      </c>
      <c r="N2804" s="321">
        <v>83</v>
      </c>
      <c r="O2804" s="321" t="s">
        <v>6152</v>
      </c>
      <c r="P2804" s="321">
        <v>5832400</v>
      </c>
      <c r="Q2804" s="322">
        <v>153000</v>
      </c>
      <c r="R2804" s="322">
        <v>0</v>
      </c>
      <c r="S2804" s="322">
        <v>180000</v>
      </c>
      <c r="T2804" s="322">
        <v>130000</v>
      </c>
      <c r="U2804" s="322">
        <f t="shared" si="187"/>
        <v>50000</v>
      </c>
      <c r="W2804" s="321">
        <f t="shared" si="188"/>
        <v>750</v>
      </c>
      <c r="X2804" s="321">
        <f t="shared" si="189"/>
        <v>832400</v>
      </c>
      <c r="Y2804" s="321">
        <v>1</v>
      </c>
      <c r="AA2804" s="321" t="s">
        <v>6152</v>
      </c>
    </row>
    <row r="2805" spans="13:27">
      <c r="M2805" s="321">
        <v>1832400771</v>
      </c>
      <c r="N2805" s="321">
        <v>83</v>
      </c>
      <c r="O2805" s="321" t="s">
        <v>6153</v>
      </c>
      <c r="P2805" s="321">
        <v>5832400</v>
      </c>
      <c r="Q2805" s="322">
        <v>110000</v>
      </c>
      <c r="R2805" s="322">
        <v>76700</v>
      </c>
      <c r="S2805" s="322">
        <v>110000</v>
      </c>
      <c r="T2805" s="322">
        <v>110000</v>
      </c>
      <c r="U2805" s="322">
        <f t="shared" si="187"/>
        <v>0</v>
      </c>
      <c r="W2805" s="321">
        <f t="shared" si="188"/>
        <v>771</v>
      </c>
      <c r="X2805" s="321">
        <f t="shared" si="189"/>
        <v>832400</v>
      </c>
      <c r="Y2805" s="321">
        <v>1</v>
      </c>
      <c r="AA2805" s="321" t="s">
        <v>6153</v>
      </c>
    </row>
    <row r="2806" spans="13:27">
      <c r="M2806" s="321">
        <v>1835000421</v>
      </c>
      <c r="N2806" s="321">
        <v>83</v>
      </c>
      <c r="O2806" s="321" t="s">
        <v>6154</v>
      </c>
      <c r="P2806" s="321">
        <v>5835001</v>
      </c>
      <c r="Q2806" s="322">
        <v>26000</v>
      </c>
      <c r="R2806" s="322">
        <v>26000</v>
      </c>
      <c r="S2806" s="322">
        <v>26000</v>
      </c>
      <c r="T2806" s="322">
        <v>26000</v>
      </c>
      <c r="U2806" s="322">
        <f t="shared" si="187"/>
        <v>0</v>
      </c>
      <c r="W2806" s="321">
        <f t="shared" si="188"/>
        <v>421</v>
      </c>
      <c r="X2806" s="321">
        <f t="shared" si="189"/>
        <v>835000</v>
      </c>
      <c r="Y2806" s="321">
        <v>1</v>
      </c>
      <c r="AA2806" s="321" t="s">
        <v>6154</v>
      </c>
    </row>
    <row r="2807" spans="13:27">
      <c r="M2807" s="321">
        <v>1835000530</v>
      </c>
      <c r="N2807" s="321">
        <v>83</v>
      </c>
      <c r="O2807" s="321" t="s">
        <v>6155</v>
      </c>
      <c r="P2807" s="321">
        <v>5835000</v>
      </c>
      <c r="Q2807" s="322">
        <v>35000</v>
      </c>
      <c r="R2807" s="322">
        <v>17300</v>
      </c>
      <c r="S2807" s="322">
        <v>30000</v>
      </c>
      <c r="T2807" s="322">
        <v>30000</v>
      </c>
      <c r="U2807" s="322">
        <f t="shared" si="187"/>
        <v>0</v>
      </c>
      <c r="W2807" s="321">
        <f t="shared" si="188"/>
        <v>530</v>
      </c>
      <c r="X2807" s="321">
        <f t="shared" si="189"/>
        <v>835000</v>
      </c>
      <c r="Y2807" s="321">
        <v>1</v>
      </c>
      <c r="AA2807" s="321" t="s">
        <v>6155</v>
      </c>
    </row>
    <row r="2808" spans="13:27">
      <c r="M2808" s="321">
        <v>1835000760</v>
      </c>
      <c r="N2808" s="321">
        <v>83</v>
      </c>
      <c r="O2808" s="321" t="s">
        <v>4999</v>
      </c>
      <c r="P2808" s="321">
        <v>5835000</v>
      </c>
      <c r="Q2808" s="322">
        <v>250000</v>
      </c>
      <c r="R2808" s="322">
        <v>61700</v>
      </c>
      <c r="S2808" s="322">
        <v>250000</v>
      </c>
      <c r="T2808" s="322">
        <v>250000</v>
      </c>
      <c r="U2808" s="322">
        <f t="shared" si="187"/>
        <v>0</v>
      </c>
      <c r="W2808" s="321">
        <f t="shared" si="188"/>
        <v>760</v>
      </c>
      <c r="X2808" s="321">
        <f t="shared" si="189"/>
        <v>835000</v>
      </c>
      <c r="Y2808" s="321">
        <v>1</v>
      </c>
      <c r="AA2808" s="321" t="s">
        <v>4999</v>
      </c>
    </row>
    <row r="2809" spans="13:27">
      <c r="M2809" s="321">
        <v>1835001410</v>
      </c>
      <c r="N2809" s="321">
        <v>83</v>
      </c>
      <c r="O2809" s="321" t="s">
        <v>6156</v>
      </c>
      <c r="P2809" s="321">
        <v>5835000</v>
      </c>
      <c r="Q2809" s="322">
        <v>10000</v>
      </c>
      <c r="R2809" s="322">
        <v>0</v>
      </c>
      <c r="S2809" s="322">
        <v>10000</v>
      </c>
      <c r="T2809" s="322">
        <v>10000</v>
      </c>
      <c r="U2809" s="322">
        <f t="shared" si="187"/>
        <v>0</v>
      </c>
      <c r="W2809" s="321">
        <f t="shared" si="188"/>
        <v>410</v>
      </c>
      <c r="X2809" s="321">
        <f t="shared" si="189"/>
        <v>835001</v>
      </c>
      <c r="Y2809" s="321">
        <v>1</v>
      </c>
      <c r="AA2809" s="321" t="s">
        <v>6156</v>
      </c>
    </row>
    <row r="2810" spans="13:27">
      <c r="M2810" s="321">
        <v>1835001750</v>
      </c>
      <c r="N2810" s="321">
        <v>83</v>
      </c>
      <c r="O2810" s="321" t="s">
        <v>6157</v>
      </c>
      <c r="P2810" s="321">
        <v>5835000</v>
      </c>
      <c r="Q2810" s="322">
        <v>250000</v>
      </c>
      <c r="R2810" s="322">
        <v>215600</v>
      </c>
      <c r="S2810" s="322">
        <v>500000</v>
      </c>
      <c r="T2810" s="322">
        <v>400000</v>
      </c>
      <c r="U2810" s="322">
        <f t="shared" si="187"/>
        <v>100000</v>
      </c>
      <c r="W2810" s="321">
        <f t="shared" si="188"/>
        <v>750</v>
      </c>
      <c r="X2810" s="321">
        <f t="shared" si="189"/>
        <v>835001</v>
      </c>
      <c r="Y2810" s="321">
        <v>1</v>
      </c>
      <c r="AA2810" s="321" t="s">
        <v>6157</v>
      </c>
    </row>
    <row r="2811" spans="13:27">
      <c r="M2811" s="321">
        <v>1835001760</v>
      </c>
      <c r="N2811" s="321">
        <v>83</v>
      </c>
      <c r="O2811" s="321" t="s">
        <v>6158</v>
      </c>
      <c r="P2811" s="321">
        <v>5835001</v>
      </c>
      <c r="Q2811" s="322">
        <v>1100000</v>
      </c>
      <c r="R2811" s="322">
        <v>866600</v>
      </c>
      <c r="S2811" s="322">
        <v>1100000</v>
      </c>
      <c r="T2811" s="322">
        <v>1050000</v>
      </c>
      <c r="U2811" s="322">
        <f t="shared" si="187"/>
        <v>50000</v>
      </c>
      <c r="W2811" s="321">
        <f t="shared" si="188"/>
        <v>760</v>
      </c>
      <c r="X2811" s="321">
        <f t="shared" si="189"/>
        <v>835001</v>
      </c>
      <c r="Y2811" s="321">
        <v>1</v>
      </c>
      <c r="AA2811" s="321" t="s">
        <v>6158</v>
      </c>
    </row>
    <row r="2812" spans="13:27">
      <c r="M2812" s="321">
        <v>1835001771</v>
      </c>
      <c r="N2812" s="321">
        <v>83</v>
      </c>
      <c r="O2812" s="321" t="s">
        <v>6159</v>
      </c>
      <c r="P2812" s="321">
        <v>5835001</v>
      </c>
      <c r="Q2812" s="322">
        <v>120000</v>
      </c>
      <c r="R2812" s="322">
        <v>120000</v>
      </c>
      <c r="S2812" s="322">
        <v>150000</v>
      </c>
      <c r="T2812" s="322">
        <v>150000</v>
      </c>
      <c r="U2812" s="322">
        <f t="shared" si="187"/>
        <v>0</v>
      </c>
      <c r="W2812" s="321">
        <f t="shared" si="188"/>
        <v>771</v>
      </c>
      <c r="X2812" s="321">
        <f t="shared" si="189"/>
        <v>835001</v>
      </c>
      <c r="Y2812" s="321">
        <v>1</v>
      </c>
      <c r="AA2812" s="321" t="s">
        <v>6159</v>
      </c>
    </row>
    <row r="2813" spans="13:27">
      <c r="M2813" s="321">
        <v>1835001920</v>
      </c>
      <c r="N2813" s="321">
        <v>83</v>
      </c>
      <c r="O2813" s="321" t="s">
        <v>6160</v>
      </c>
      <c r="P2813" s="321">
        <v>5835001</v>
      </c>
      <c r="Q2813" s="322">
        <v>200000</v>
      </c>
      <c r="R2813" s="322">
        <v>0</v>
      </c>
      <c r="S2813" s="322">
        <v>200000</v>
      </c>
      <c r="T2813" s="322">
        <v>200000</v>
      </c>
      <c r="U2813" s="322">
        <f t="shared" si="187"/>
        <v>0</v>
      </c>
      <c r="W2813" s="321">
        <f t="shared" si="188"/>
        <v>920</v>
      </c>
      <c r="X2813" s="321">
        <f t="shared" si="189"/>
        <v>835001</v>
      </c>
      <c r="Y2813" s="321">
        <v>1</v>
      </c>
      <c r="AA2813" s="321" t="s">
        <v>6160</v>
      </c>
    </row>
    <row r="2814" spans="13:27">
      <c r="M2814" s="321">
        <v>1835002750</v>
      </c>
      <c r="N2814" s="321">
        <v>83</v>
      </c>
      <c r="O2814" s="321" t="s">
        <v>5003</v>
      </c>
      <c r="P2814" s="321">
        <v>5835000</v>
      </c>
      <c r="Q2814" s="322">
        <v>0</v>
      </c>
      <c r="R2814" s="322">
        <v>0</v>
      </c>
      <c r="S2814" s="322">
        <v>0</v>
      </c>
      <c r="T2814" s="322">
        <v>0</v>
      </c>
      <c r="U2814" s="322">
        <f t="shared" si="187"/>
        <v>0</v>
      </c>
      <c r="W2814" s="321">
        <f t="shared" si="188"/>
        <v>750</v>
      </c>
      <c r="X2814" s="321">
        <f t="shared" si="189"/>
        <v>835002</v>
      </c>
      <c r="Y2814" s="321">
        <v>1</v>
      </c>
      <c r="AA2814" s="321" t="s">
        <v>5003</v>
      </c>
    </row>
    <row r="2815" spans="13:27">
      <c r="M2815" s="321">
        <v>1835002760</v>
      </c>
      <c r="N2815" s="321">
        <v>83</v>
      </c>
      <c r="O2815" s="321" t="s">
        <v>6161</v>
      </c>
      <c r="P2815" s="321">
        <v>5835000</v>
      </c>
      <c r="Q2815" s="322">
        <v>0</v>
      </c>
      <c r="R2815" s="322">
        <v>0</v>
      </c>
      <c r="S2815" s="322">
        <v>0</v>
      </c>
      <c r="T2815" s="322">
        <v>0</v>
      </c>
      <c r="U2815" s="322">
        <f t="shared" si="187"/>
        <v>0</v>
      </c>
      <c r="W2815" s="321">
        <f t="shared" si="188"/>
        <v>760</v>
      </c>
      <c r="X2815" s="321">
        <f t="shared" si="189"/>
        <v>835002</v>
      </c>
      <c r="Y2815" s="321">
        <v>1</v>
      </c>
      <c r="AA2815" s="321" t="s">
        <v>6161</v>
      </c>
    </row>
    <row r="2816" spans="13:27">
      <c r="M2816" s="321">
        <v>1835003410</v>
      </c>
      <c r="N2816" s="321">
        <v>83</v>
      </c>
      <c r="O2816" s="321" t="s">
        <v>6162</v>
      </c>
      <c r="P2816" s="321">
        <v>5835001</v>
      </c>
      <c r="Q2816" s="322">
        <v>245000</v>
      </c>
      <c r="R2816" s="322">
        <v>222900</v>
      </c>
      <c r="S2816" s="322">
        <v>245000</v>
      </c>
      <c r="T2816" s="322">
        <v>245000</v>
      </c>
      <c r="U2816" s="322">
        <f t="shared" si="187"/>
        <v>0</v>
      </c>
      <c r="W2816" s="321">
        <f t="shared" si="188"/>
        <v>410</v>
      </c>
      <c r="X2816" s="321">
        <f t="shared" si="189"/>
        <v>835003</v>
      </c>
      <c r="Y2816" s="321">
        <v>1</v>
      </c>
      <c r="AA2816" s="321" t="s">
        <v>6162</v>
      </c>
    </row>
    <row r="2817" spans="13:27">
      <c r="M2817" s="321">
        <v>1835003760</v>
      </c>
      <c r="N2817" s="321">
        <v>83</v>
      </c>
      <c r="O2817" s="321" t="s">
        <v>6163</v>
      </c>
      <c r="P2817" s="321">
        <v>5835001</v>
      </c>
      <c r="Q2817" s="322">
        <v>2120000</v>
      </c>
      <c r="R2817" s="322">
        <v>1608700</v>
      </c>
      <c r="S2817" s="322">
        <v>2120000</v>
      </c>
      <c r="T2817" s="322">
        <v>2020000</v>
      </c>
      <c r="U2817" s="322">
        <f t="shared" si="187"/>
        <v>100000</v>
      </c>
      <c r="W2817" s="321">
        <f t="shared" si="188"/>
        <v>760</v>
      </c>
      <c r="X2817" s="321">
        <f t="shared" si="189"/>
        <v>835003</v>
      </c>
      <c r="Y2817" s="321">
        <v>1</v>
      </c>
      <c r="AA2817" s="321" t="s">
        <v>6163</v>
      </c>
    </row>
    <row r="2818" spans="13:27">
      <c r="M2818" s="321">
        <v>1835003761</v>
      </c>
      <c r="N2818" s="321">
        <v>83</v>
      </c>
      <c r="O2818" s="321" t="s">
        <v>6164</v>
      </c>
      <c r="P2818" s="321">
        <v>5835001</v>
      </c>
      <c r="Q2818" s="322">
        <v>500000</v>
      </c>
      <c r="R2818" s="322">
        <v>464000</v>
      </c>
      <c r="S2818" s="322">
        <v>640000</v>
      </c>
      <c r="T2818" s="322">
        <v>600000</v>
      </c>
      <c r="U2818" s="322">
        <f t="shared" ref="U2818:U2881" si="190">S2818-T2818</f>
        <v>40000</v>
      </c>
      <c r="W2818" s="321">
        <f t="shared" si="188"/>
        <v>761</v>
      </c>
      <c r="X2818" s="321">
        <f t="shared" si="189"/>
        <v>835003</v>
      </c>
      <c r="Y2818" s="321">
        <v>1</v>
      </c>
      <c r="AA2818" s="321" t="s">
        <v>6164</v>
      </c>
    </row>
    <row r="2819" spans="13:27">
      <c r="M2819" s="321">
        <v>1835003762</v>
      </c>
      <c r="N2819" s="321">
        <v>83</v>
      </c>
      <c r="O2819" s="321" t="s">
        <v>6165</v>
      </c>
      <c r="P2819" s="321">
        <v>5835001</v>
      </c>
      <c r="Q2819" s="322">
        <v>200000</v>
      </c>
      <c r="R2819" s="322">
        <v>150000</v>
      </c>
      <c r="S2819" s="322">
        <v>200000</v>
      </c>
      <c r="T2819" s="322">
        <v>190000</v>
      </c>
      <c r="U2819" s="322">
        <f t="shared" si="190"/>
        <v>10000</v>
      </c>
      <c r="W2819" s="321">
        <f t="shared" ref="W2819:W2882" si="191">M2819-1000000000-X2819*1000</f>
        <v>762</v>
      </c>
      <c r="X2819" s="321">
        <f t="shared" ref="X2819:X2882" si="192">ROUNDDOWN((M2819-1000000000)/1000,0)</f>
        <v>835003</v>
      </c>
      <c r="Y2819" s="321">
        <v>1</v>
      </c>
      <c r="AA2819" s="321" t="s">
        <v>6165</v>
      </c>
    </row>
    <row r="2820" spans="13:27">
      <c r="M2820" s="321">
        <v>1835003763</v>
      </c>
      <c r="N2820" s="321">
        <v>83</v>
      </c>
      <c r="O2820" s="321" t="s">
        <v>6166</v>
      </c>
      <c r="P2820" s="321">
        <v>5835001</v>
      </c>
      <c r="Q2820" s="322">
        <v>0</v>
      </c>
      <c r="R2820" s="322">
        <v>0</v>
      </c>
      <c r="S2820" s="322">
        <v>897000</v>
      </c>
      <c r="T2820" s="322">
        <v>597000</v>
      </c>
      <c r="U2820" s="322">
        <f t="shared" si="190"/>
        <v>300000</v>
      </c>
      <c r="W2820" s="321">
        <f t="shared" si="191"/>
        <v>763</v>
      </c>
      <c r="X2820" s="321">
        <f t="shared" si="192"/>
        <v>835003</v>
      </c>
      <c r="Y2820" s="321">
        <v>1</v>
      </c>
      <c r="AA2820" s="321" t="s">
        <v>6166</v>
      </c>
    </row>
    <row r="2821" spans="13:27">
      <c r="M2821" s="321">
        <v>1835003772</v>
      </c>
      <c r="N2821" s="321">
        <v>83</v>
      </c>
      <c r="O2821" s="321" t="s">
        <v>6167</v>
      </c>
      <c r="P2821" s="321">
        <v>5835001</v>
      </c>
      <c r="Q2821" s="322">
        <v>48000</v>
      </c>
      <c r="R2821" s="322">
        <v>0</v>
      </c>
      <c r="S2821" s="322">
        <v>48000</v>
      </c>
      <c r="T2821" s="322">
        <v>48000</v>
      </c>
      <c r="U2821" s="322">
        <f t="shared" si="190"/>
        <v>0</v>
      </c>
      <c r="W2821" s="321">
        <f t="shared" si="191"/>
        <v>772</v>
      </c>
      <c r="X2821" s="321">
        <f t="shared" si="192"/>
        <v>835003</v>
      </c>
      <c r="Y2821" s="321">
        <v>1</v>
      </c>
      <c r="AA2821" s="321" t="s">
        <v>6167</v>
      </c>
    </row>
    <row r="2822" spans="13:27">
      <c r="M2822" s="321">
        <v>1835003773</v>
      </c>
      <c r="N2822" s="321">
        <v>83</v>
      </c>
      <c r="O2822" s="321" t="s">
        <v>6168</v>
      </c>
      <c r="P2822" s="321">
        <v>5835001</v>
      </c>
      <c r="Q2822" s="322">
        <v>140000</v>
      </c>
      <c r="R2822" s="322">
        <v>140000</v>
      </c>
      <c r="S2822" s="322">
        <v>140000</v>
      </c>
      <c r="T2822" s="322">
        <v>140000</v>
      </c>
      <c r="U2822" s="322">
        <f t="shared" si="190"/>
        <v>0</v>
      </c>
      <c r="W2822" s="321">
        <f t="shared" si="191"/>
        <v>773</v>
      </c>
      <c r="X2822" s="321">
        <f t="shared" si="192"/>
        <v>835003</v>
      </c>
      <c r="Y2822" s="321">
        <v>1</v>
      </c>
      <c r="AA2822" s="321" t="s">
        <v>6168</v>
      </c>
    </row>
    <row r="2823" spans="13:27">
      <c r="M2823" s="321">
        <v>1835003810</v>
      </c>
      <c r="N2823" s="321">
        <v>83</v>
      </c>
      <c r="O2823" s="321" t="s">
        <v>6169</v>
      </c>
      <c r="P2823" s="321">
        <v>5835001</v>
      </c>
      <c r="Q2823" s="322">
        <v>1095000</v>
      </c>
      <c r="R2823" s="322">
        <v>821300</v>
      </c>
      <c r="S2823" s="322">
        <v>1160000</v>
      </c>
      <c r="T2823" s="322">
        <v>1060000</v>
      </c>
      <c r="U2823" s="322">
        <f t="shared" si="190"/>
        <v>100000</v>
      </c>
      <c r="W2823" s="321">
        <f t="shared" si="191"/>
        <v>810</v>
      </c>
      <c r="X2823" s="321">
        <f t="shared" si="192"/>
        <v>835003</v>
      </c>
      <c r="Y2823" s="321">
        <v>1</v>
      </c>
      <c r="AA2823" s="321" t="s">
        <v>6169</v>
      </c>
    </row>
    <row r="2824" spans="13:27">
      <c r="M2824" s="321">
        <v>1835003811</v>
      </c>
      <c r="N2824" s="321">
        <v>83</v>
      </c>
      <c r="O2824" s="321" t="s">
        <v>5005</v>
      </c>
      <c r="P2824" s="321">
        <v>5835001</v>
      </c>
      <c r="Q2824" s="322">
        <v>1564000</v>
      </c>
      <c r="R2824" s="322">
        <v>1227700</v>
      </c>
      <c r="S2824" s="322">
        <v>1564000</v>
      </c>
      <c r="T2824" s="322">
        <v>1564000</v>
      </c>
      <c r="U2824" s="322">
        <f t="shared" si="190"/>
        <v>0</v>
      </c>
      <c r="W2824" s="321">
        <f t="shared" si="191"/>
        <v>811</v>
      </c>
      <c r="X2824" s="321">
        <f t="shared" si="192"/>
        <v>835003</v>
      </c>
      <c r="Y2824" s="321">
        <v>1</v>
      </c>
      <c r="AA2824" s="321" t="s">
        <v>5005</v>
      </c>
    </row>
    <row r="2825" spans="13:27">
      <c r="M2825" s="321">
        <v>1835004760</v>
      </c>
      <c r="N2825" s="321">
        <v>83</v>
      </c>
      <c r="O2825" s="321" t="s">
        <v>6170</v>
      </c>
      <c r="P2825" s="321">
        <v>5835001</v>
      </c>
      <c r="Q2825" s="322">
        <v>369000</v>
      </c>
      <c r="R2825" s="322">
        <v>317100</v>
      </c>
      <c r="S2825" s="322">
        <v>369000</v>
      </c>
      <c r="T2825" s="322">
        <v>369000</v>
      </c>
      <c r="U2825" s="322">
        <f t="shared" si="190"/>
        <v>0</v>
      </c>
      <c r="W2825" s="321">
        <f t="shared" si="191"/>
        <v>760</v>
      </c>
      <c r="X2825" s="321">
        <f t="shared" si="192"/>
        <v>835004</v>
      </c>
      <c r="Y2825" s="321">
        <v>1</v>
      </c>
      <c r="AA2825" s="321" t="s">
        <v>6170</v>
      </c>
    </row>
    <row r="2826" spans="13:27">
      <c r="M2826" s="321">
        <v>1835005750</v>
      </c>
      <c r="N2826" s="321">
        <v>83</v>
      </c>
      <c r="O2826" s="321" t="s">
        <v>5001</v>
      </c>
      <c r="P2826" s="321">
        <v>5835000</v>
      </c>
      <c r="Q2826" s="322">
        <v>60000</v>
      </c>
      <c r="R2826" s="322">
        <v>0</v>
      </c>
      <c r="S2826" s="322">
        <v>0</v>
      </c>
      <c r="T2826" s="322">
        <v>0</v>
      </c>
      <c r="U2826" s="322">
        <f t="shared" si="190"/>
        <v>0</v>
      </c>
      <c r="W2826" s="321">
        <f t="shared" si="191"/>
        <v>750</v>
      </c>
      <c r="X2826" s="321">
        <f t="shared" si="192"/>
        <v>835005</v>
      </c>
      <c r="Y2826" s="321">
        <v>1</v>
      </c>
      <c r="AA2826" s="321" t="s">
        <v>5001</v>
      </c>
    </row>
    <row r="2827" spans="13:27">
      <c r="M2827" s="321">
        <v>1835005760</v>
      </c>
      <c r="N2827" s="321">
        <v>83</v>
      </c>
      <c r="O2827" s="321" t="s">
        <v>5002</v>
      </c>
      <c r="P2827" s="321">
        <v>5835001</v>
      </c>
      <c r="Q2827" s="322">
        <v>1736000</v>
      </c>
      <c r="R2827" s="322">
        <v>1555800</v>
      </c>
      <c r="S2827" s="322">
        <v>1736000</v>
      </c>
      <c r="T2827" s="322">
        <v>1736000</v>
      </c>
      <c r="U2827" s="322">
        <f t="shared" si="190"/>
        <v>0</v>
      </c>
      <c r="W2827" s="321">
        <f t="shared" si="191"/>
        <v>760</v>
      </c>
      <c r="X2827" s="321">
        <f t="shared" si="192"/>
        <v>835005</v>
      </c>
      <c r="Y2827" s="321">
        <v>1</v>
      </c>
      <c r="AA2827" s="321" t="s">
        <v>5002</v>
      </c>
    </row>
    <row r="2828" spans="13:27">
      <c r="M2828" s="321">
        <v>1835006760</v>
      </c>
      <c r="N2828" s="321">
        <v>83</v>
      </c>
      <c r="O2828" s="321" t="s">
        <v>6171</v>
      </c>
      <c r="P2828" s="321">
        <v>5835001</v>
      </c>
      <c r="Q2828" s="322">
        <v>115000</v>
      </c>
      <c r="R2828" s="322">
        <v>65600</v>
      </c>
      <c r="S2828" s="322">
        <v>115000</v>
      </c>
      <c r="T2828" s="322">
        <v>115000</v>
      </c>
      <c r="U2828" s="322">
        <f t="shared" si="190"/>
        <v>0</v>
      </c>
      <c r="W2828" s="321">
        <f t="shared" si="191"/>
        <v>760</v>
      </c>
      <c r="X2828" s="321">
        <f t="shared" si="192"/>
        <v>835006</v>
      </c>
      <c r="Y2828" s="321">
        <v>1</v>
      </c>
      <c r="AA2828" s="321" t="s">
        <v>6171</v>
      </c>
    </row>
    <row r="2829" spans="13:27">
      <c r="M2829" s="321">
        <v>1835007760</v>
      </c>
      <c r="N2829" s="321">
        <v>83</v>
      </c>
      <c r="O2829" s="321" t="s">
        <v>5004</v>
      </c>
      <c r="P2829" s="321">
        <v>5835000</v>
      </c>
      <c r="Q2829" s="322">
        <v>24000</v>
      </c>
      <c r="R2829" s="322">
        <v>0</v>
      </c>
      <c r="S2829" s="322">
        <v>0</v>
      </c>
      <c r="T2829" s="322">
        <v>0</v>
      </c>
      <c r="U2829" s="322">
        <f t="shared" si="190"/>
        <v>0</v>
      </c>
      <c r="W2829" s="321">
        <f t="shared" si="191"/>
        <v>760</v>
      </c>
      <c r="X2829" s="321">
        <f t="shared" si="192"/>
        <v>835007</v>
      </c>
      <c r="Y2829" s="321">
        <v>1</v>
      </c>
      <c r="AA2829" s="321" t="s">
        <v>5004</v>
      </c>
    </row>
    <row r="2830" spans="13:27">
      <c r="M2830" s="321">
        <v>1836200810</v>
      </c>
      <c r="N2830" s="321">
        <v>83</v>
      </c>
      <c r="O2830" s="321" t="s">
        <v>6172</v>
      </c>
      <c r="P2830" s="321">
        <v>5836000</v>
      </c>
      <c r="Q2830" s="322">
        <v>505000</v>
      </c>
      <c r="R2830" s="322">
        <v>378700</v>
      </c>
      <c r="S2830" s="322">
        <v>505000</v>
      </c>
      <c r="T2830" s="322">
        <v>505000</v>
      </c>
      <c r="U2830" s="322">
        <f t="shared" si="190"/>
        <v>0</v>
      </c>
      <c r="W2830" s="321">
        <f t="shared" si="191"/>
        <v>810</v>
      </c>
      <c r="X2830" s="321">
        <f t="shared" si="192"/>
        <v>836200</v>
      </c>
      <c r="Y2830" s="321">
        <v>1</v>
      </c>
      <c r="AA2830" s="321" t="s">
        <v>6172</v>
      </c>
    </row>
    <row r="2831" spans="13:27">
      <c r="M2831" s="321">
        <v>1836201810</v>
      </c>
      <c r="N2831" s="321">
        <v>83</v>
      </c>
      <c r="O2831" s="321" t="s">
        <v>6173</v>
      </c>
      <c r="P2831" s="321">
        <v>5836000</v>
      </c>
      <c r="Q2831" s="322">
        <v>575000</v>
      </c>
      <c r="R2831" s="322">
        <v>431200</v>
      </c>
      <c r="S2831" s="322">
        <v>575000</v>
      </c>
      <c r="T2831" s="322">
        <v>575000</v>
      </c>
      <c r="U2831" s="322">
        <f t="shared" si="190"/>
        <v>0</v>
      </c>
      <c r="W2831" s="321">
        <f t="shared" si="191"/>
        <v>810</v>
      </c>
      <c r="X2831" s="321">
        <f t="shared" si="192"/>
        <v>836201</v>
      </c>
      <c r="Y2831" s="321">
        <v>1</v>
      </c>
      <c r="AA2831" s="321" t="s">
        <v>6173</v>
      </c>
    </row>
    <row r="2832" spans="13:27">
      <c r="M2832" s="321">
        <v>1841000110</v>
      </c>
      <c r="N2832" s="321">
        <v>84</v>
      </c>
      <c r="O2832" s="321" t="s">
        <v>5205</v>
      </c>
      <c r="P2832" s="321">
        <v>5841000</v>
      </c>
      <c r="Q2832" s="322">
        <v>2903000</v>
      </c>
      <c r="R2832" s="322">
        <v>1980800</v>
      </c>
      <c r="S2832" s="322">
        <v>3042000</v>
      </c>
      <c r="T2832" s="322">
        <v>3042000</v>
      </c>
      <c r="U2832" s="322">
        <f t="shared" si="190"/>
        <v>0</v>
      </c>
      <c r="W2832" s="321">
        <f t="shared" si="191"/>
        <v>110</v>
      </c>
      <c r="X2832" s="321">
        <f t="shared" si="192"/>
        <v>841000</v>
      </c>
      <c r="Y2832" s="321">
        <v>1</v>
      </c>
      <c r="AA2832" s="321" t="s">
        <v>5205</v>
      </c>
    </row>
    <row r="2833" spans="13:27">
      <c r="M2833" s="321">
        <v>1841000120</v>
      </c>
      <c r="N2833" s="321">
        <v>84</v>
      </c>
      <c r="O2833" s="321" t="s">
        <v>5343</v>
      </c>
      <c r="P2833" s="321">
        <v>5841000</v>
      </c>
      <c r="Q2833" s="322">
        <v>387000</v>
      </c>
      <c r="R2833" s="322">
        <v>325900</v>
      </c>
      <c r="S2833" s="322">
        <v>433000</v>
      </c>
      <c r="T2833" s="322">
        <v>433000</v>
      </c>
      <c r="U2833" s="322">
        <f t="shared" si="190"/>
        <v>0</v>
      </c>
      <c r="W2833" s="321">
        <f t="shared" si="191"/>
        <v>120</v>
      </c>
      <c r="X2833" s="321">
        <f t="shared" si="192"/>
        <v>841000</v>
      </c>
      <c r="Y2833" s="321">
        <v>1</v>
      </c>
      <c r="AA2833" s="321" t="s">
        <v>5343</v>
      </c>
    </row>
    <row r="2834" spans="13:27">
      <c r="M2834" s="321">
        <v>1841000130</v>
      </c>
      <c r="N2834" s="321">
        <v>84</v>
      </c>
      <c r="O2834" s="321" t="s">
        <v>2576</v>
      </c>
      <c r="P2834" s="321">
        <v>5841000</v>
      </c>
      <c r="Q2834" s="322">
        <v>91000</v>
      </c>
      <c r="R2834" s="322">
        <v>39200</v>
      </c>
      <c r="S2834" s="322">
        <v>63000</v>
      </c>
      <c r="T2834" s="322">
        <v>56700</v>
      </c>
      <c r="U2834" s="322">
        <f t="shared" si="190"/>
        <v>6300</v>
      </c>
      <c r="W2834" s="321">
        <f t="shared" si="191"/>
        <v>130</v>
      </c>
      <c r="X2834" s="321">
        <f t="shared" si="192"/>
        <v>841000</v>
      </c>
      <c r="Y2834" s="321">
        <v>1</v>
      </c>
      <c r="AA2834" s="321" t="s">
        <v>2576</v>
      </c>
    </row>
    <row r="2835" spans="13:27">
      <c r="M2835" s="321">
        <v>1841000140</v>
      </c>
      <c r="N2835" s="321">
        <v>84</v>
      </c>
      <c r="O2835" s="321" t="s">
        <v>5207</v>
      </c>
      <c r="P2835" s="321">
        <v>5841000</v>
      </c>
      <c r="Q2835" s="322">
        <v>356000</v>
      </c>
      <c r="R2835" s="322">
        <v>205900</v>
      </c>
      <c r="S2835" s="322">
        <v>358000</v>
      </c>
      <c r="T2835" s="322">
        <v>358000</v>
      </c>
      <c r="U2835" s="322">
        <f t="shared" si="190"/>
        <v>0</v>
      </c>
      <c r="W2835" s="321">
        <f t="shared" si="191"/>
        <v>140</v>
      </c>
      <c r="X2835" s="321">
        <f t="shared" si="192"/>
        <v>841000</v>
      </c>
      <c r="Y2835" s="321">
        <v>1</v>
      </c>
      <c r="AA2835" s="321" t="s">
        <v>5207</v>
      </c>
    </row>
    <row r="2836" spans="13:27">
      <c r="M2836" s="321">
        <v>1841000141</v>
      </c>
      <c r="N2836" s="321">
        <v>84</v>
      </c>
      <c r="O2836" s="321" t="s">
        <v>5208</v>
      </c>
      <c r="P2836" s="321">
        <v>5841000</v>
      </c>
      <c r="Q2836" s="322">
        <v>93000</v>
      </c>
      <c r="R2836" s="322">
        <v>85000</v>
      </c>
      <c r="S2836" s="322">
        <v>126000</v>
      </c>
      <c r="T2836" s="322">
        <v>126000</v>
      </c>
      <c r="U2836" s="322">
        <f t="shared" si="190"/>
        <v>0</v>
      </c>
      <c r="W2836" s="321">
        <f t="shared" si="191"/>
        <v>141</v>
      </c>
      <c r="X2836" s="321">
        <f t="shared" si="192"/>
        <v>841000</v>
      </c>
      <c r="Y2836" s="321">
        <v>1</v>
      </c>
      <c r="AA2836" s="321" t="s">
        <v>5208</v>
      </c>
    </row>
    <row r="2837" spans="13:27">
      <c r="M2837" s="321">
        <v>1841000181</v>
      </c>
      <c r="N2837" s="321">
        <v>84</v>
      </c>
      <c r="O2837" s="321" t="s">
        <v>2580</v>
      </c>
      <c r="P2837" s="321">
        <v>5841000</v>
      </c>
      <c r="Q2837" s="322">
        <v>558000</v>
      </c>
      <c r="R2837" s="322">
        <v>380600</v>
      </c>
      <c r="S2837" s="322">
        <v>585000</v>
      </c>
      <c r="T2837" s="322">
        <v>585000</v>
      </c>
      <c r="U2837" s="322">
        <f t="shared" si="190"/>
        <v>0</v>
      </c>
      <c r="W2837" s="321">
        <f t="shared" si="191"/>
        <v>181</v>
      </c>
      <c r="X2837" s="321">
        <f t="shared" si="192"/>
        <v>841000</v>
      </c>
      <c r="Y2837" s="321">
        <v>1</v>
      </c>
      <c r="AA2837" s="321" t="s">
        <v>2580</v>
      </c>
    </row>
    <row r="2838" spans="13:27">
      <c r="M2838" s="321">
        <v>1841000182</v>
      </c>
      <c r="N2838" s="321">
        <v>84</v>
      </c>
      <c r="O2838" s="321" t="s">
        <v>2582</v>
      </c>
      <c r="P2838" s="321">
        <v>5841000</v>
      </c>
      <c r="Q2838" s="322">
        <v>542000</v>
      </c>
      <c r="R2838" s="322">
        <v>369400</v>
      </c>
      <c r="S2838" s="322">
        <v>577000</v>
      </c>
      <c r="T2838" s="322">
        <v>577000</v>
      </c>
      <c r="U2838" s="322">
        <f t="shared" si="190"/>
        <v>0</v>
      </c>
      <c r="W2838" s="321">
        <f t="shared" si="191"/>
        <v>182</v>
      </c>
      <c r="X2838" s="321">
        <f t="shared" si="192"/>
        <v>841000</v>
      </c>
      <c r="Y2838" s="321">
        <v>1</v>
      </c>
      <c r="AA2838" s="321" t="s">
        <v>2582</v>
      </c>
    </row>
    <row r="2839" spans="13:27">
      <c r="M2839" s="321">
        <v>1841000210</v>
      </c>
      <c r="N2839" s="321">
        <v>84</v>
      </c>
      <c r="O2839" s="321" t="s">
        <v>5285</v>
      </c>
      <c r="P2839" s="321">
        <v>5841000</v>
      </c>
      <c r="Q2839" s="322">
        <v>100000</v>
      </c>
      <c r="R2839" s="322">
        <v>36200</v>
      </c>
      <c r="S2839" s="322">
        <v>0</v>
      </c>
      <c r="T2839" s="322">
        <v>0</v>
      </c>
      <c r="U2839" s="322">
        <f t="shared" si="190"/>
        <v>0</v>
      </c>
      <c r="W2839" s="321">
        <f t="shared" si="191"/>
        <v>210</v>
      </c>
      <c r="X2839" s="321">
        <f t="shared" si="192"/>
        <v>841000</v>
      </c>
      <c r="Y2839" s="321">
        <v>1</v>
      </c>
      <c r="AA2839" s="321" t="s">
        <v>5285</v>
      </c>
    </row>
    <row r="2840" spans="13:27">
      <c r="M2840" s="321">
        <v>1841000211</v>
      </c>
      <c r="N2840" s="321">
        <v>84</v>
      </c>
      <c r="O2840" s="321" t="s">
        <v>6174</v>
      </c>
      <c r="P2840" s="321">
        <v>5845200</v>
      </c>
      <c r="Q2840" s="322">
        <v>0</v>
      </c>
      <c r="R2840" s="322">
        <v>0</v>
      </c>
      <c r="S2840" s="322">
        <v>0</v>
      </c>
      <c r="T2840" s="322">
        <v>0</v>
      </c>
      <c r="U2840" s="322">
        <f t="shared" si="190"/>
        <v>0</v>
      </c>
      <c r="W2840" s="321">
        <f t="shared" si="191"/>
        <v>211</v>
      </c>
      <c r="X2840" s="321">
        <f t="shared" si="192"/>
        <v>841000</v>
      </c>
      <c r="Y2840" s="321">
        <v>1</v>
      </c>
      <c r="AA2840" s="321" t="s">
        <v>6174</v>
      </c>
    </row>
    <row r="2841" spans="13:27">
      <c r="M2841" s="321">
        <v>1841000410</v>
      </c>
      <c r="N2841" s="321">
        <v>84</v>
      </c>
      <c r="O2841" s="321" t="s">
        <v>4893</v>
      </c>
      <c r="P2841" s="321">
        <v>5841000</v>
      </c>
      <c r="Q2841" s="322">
        <v>602000</v>
      </c>
      <c r="R2841" s="322">
        <v>386700</v>
      </c>
      <c r="S2841" s="322">
        <v>571000</v>
      </c>
      <c r="T2841" s="322">
        <v>571000</v>
      </c>
      <c r="U2841" s="322">
        <f t="shared" si="190"/>
        <v>0</v>
      </c>
      <c r="W2841" s="321">
        <f t="shared" si="191"/>
        <v>410</v>
      </c>
      <c r="X2841" s="321">
        <f t="shared" si="192"/>
        <v>841000</v>
      </c>
      <c r="Y2841" s="321">
        <v>1</v>
      </c>
      <c r="AA2841" s="321" t="s">
        <v>4893</v>
      </c>
    </row>
    <row r="2842" spans="13:27">
      <c r="M2842" s="321">
        <v>1841000411</v>
      </c>
      <c r="N2842" s="321">
        <v>84</v>
      </c>
      <c r="O2842" s="321" t="s">
        <v>6175</v>
      </c>
      <c r="P2842" s="321">
        <v>5841000</v>
      </c>
      <c r="Q2842" s="322">
        <v>0</v>
      </c>
      <c r="R2842" s="322">
        <v>0</v>
      </c>
      <c r="S2842" s="322">
        <v>57000</v>
      </c>
      <c r="T2842" s="322">
        <v>57000</v>
      </c>
      <c r="U2842" s="322">
        <f t="shared" si="190"/>
        <v>0</v>
      </c>
      <c r="W2842" s="321">
        <f t="shared" si="191"/>
        <v>411</v>
      </c>
      <c r="X2842" s="321">
        <f t="shared" si="192"/>
        <v>841000</v>
      </c>
      <c r="Y2842" s="321">
        <v>1</v>
      </c>
      <c r="AA2842" s="321" t="s">
        <v>6175</v>
      </c>
    </row>
    <row r="2843" spans="13:27">
      <c r="M2843" s="321">
        <v>1841000420</v>
      </c>
      <c r="N2843" s="321">
        <v>84</v>
      </c>
      <c r="O2843" s="321" t="s">
        <v>6176</v>
      </c>
      <c r="P2843" s="321">
        <v>5841000</v>
      </c>
      <c r="Q2843" s="322">
        <v>64000</v>
      </c>
      <c r="R2843" s="322">
        <v>31000</v>
      </c>
      <c r="S2843" s="322">
        <v>65000</v>
      </c>
      <c r="T2843" s="322">
        <v>65000</v>
      </c>
      <c r="U2843" s="322">
        <f t="shared" si="190"/>
        <v>0</v>
      </c>
      <c r="W2843" s="321">
        <f t="shared" si="191"/>
        <v>420</v>
      </c>
      <c r="X2843" s="321">
        <f t="shared" si="192"/>
        <v>841000</v>
      </c>
      <c r="Y2843" s="321">
        <v>1</v>
      </c>
      <c r="AA2843" s="321" t="s">
        <v>6176</v>
      </c>
    </row>
    <row r="2844" spans="13:27">
      <c r="M2844" s="321">
        <v>1841000421</v>
      </c>
      <c r="N2844" s="321">
        <v>84</v>
      </c>
      <c r="O2844" s="321" t="s">
        <v>6177</v>
      </c>
      <c r="P2844" s="321">
        <v>5841000</v>
      </c>
      <c r="Q2844" s="322">
        <v>400000</v>
      </c>
      <c r="R2844" s="322">
        <v>148300</v>
      </c>
      <c r="S2844" s="322">
        <v>470000</v>
      </c>
      <c r="T2844" s="322">
        <v>420000</v>
      </c>
      <c r="U2844" s="322">
        <f t="shared" si="190"/>
        <v>50000</v>
      </c>
      <c r="W2844" s="321">
        <f t="shared" si="191"/>
        <v>421</v>
      </c>
      <c r="X2844" s="321">
        <f t="shared" si="192"/>
        <v>841000</v>
      </c>
      <c r="Y2844" s="321">
        <v>1</v>
      </c>
      <c r="AA2844" s="321" t="s">
        <v>6177</v>
      </c>
    </row>
    <row r="2845" spans="13:27">
      <c r="M2845" s="321">
        <v>1841000422</v>
      </c>
      <c r="N2845" s="321">
        <v>84</v>
      </c>
      <c r="O2845" s="321" t="s">
        <v>6178</v>
      </c>
      <c r="P2845" s="321">
        <v>5841000</v>
      </c>
      <c r="Q2845" s="322">
        <v>0</v>
      </c>
      <c r="R2845" s="322">
        <v>0</v>
      </c>
      <c r="S2845" s="322">
        <v>0</v>
      </c>
      <c r="T2845" s="322">
        <v>0</v>
      </c>
      <c r="U2845" s="322">
        <f t="shared" si="190"/>
        <v>0</v>
      </c>
      <c r="W2845" s="321">
        <f t="shared" si="191"/>
        <v>422</v>
      </c>
      <c r="X2845" s="321">
        <f t="shared" si="192"/>
        <v>841000</v>
      </c>
      <c r="Y2845" s="321">
        <v>1</v>
      </c>
      <c r="AA2845" s="321" t="s">
        <v>6178</v>
      </c>
    </row>
    <row r="2846" spans="13:27">
      <c r="M2846" s="321">
        <v>1841000423</v>
      </c>
      <c r="N2846" s="321">
        <v>84</v>
      </c>
      <c r="O2846" s="321" t="s">
        <v>6179</v>
      </c>
      <c r="P2846" s="321">
        <v>5841000</v>
      </c>
      <c r="Q2846" s="322">
        <v>0</v>
      </c>
      <c r="R2846" s="322">
        <v>0</v>
      </c>
      <c r="S2846" s="322">
        <v>0</v>
      </c>
      <c r="T2846" s="322">
        <v>0</v>
      </c>
      <c r="U2846" s="322">
        <f t="shared" si="190"/>
        <v>0</v>
      </c>
      <c r="W2846" s="321">
        <f t="shared" si="191"/>
        <v>423</v>
      </c>
      <c r="X2846" s="321">
        <f t="shared" si="192"/>
        <v>841000</v>
      </c>
      <c r="Y2846" s="321">
        <v>1</v>
      </c>
      <c r="AA2846" s="321" t="s">
        <v>6179</v>
      </c>
    </row>
    <row r="2847" spans="13:27">
      <c r="M2847" s="321">
        <v>1841000424</v>
      </c>
      <c r="N2847" s="321">
        <v>84</v>
      </c>
      <c r="O2847" s="321" t="s">
        <v>6180</v>
      </c>
      <c r="P2847" s="321">
        <v>5841000</v>
      </c>
      <c r="Q2847" s="322">
        <v>0</v>
      </c>
      <c r="R2847" s="322">
        <v>0</v>
      </c>
      <c r="S2847" s="322">
        <v>0</v>
      </c>
      <c r="T2847" s="322">
        <v>0</v>
      </c>
      <c r="U2847" s="322">
        <f t="shared" si="190"/>
        <v>0</v>
      </c>
      <c r="W2847" s="321">
        <f t="shared" si="191"/>
        <v>424</v>
      </c>
      <c r="X2847" s="321">
        <f t="shared" si="192"/>
        <v>841000</v>
      </c>
      <c r="Y2847" s="321">
        <v>1</v>
      </c>
      <c r="AA2847" s="321" t="s">
        <v>6180</v>
      </c>
    </row>
    <row r="2848" spans="13:27">
      <c r="M2848" s="321">
        <v>1841000425</v>
      </c>
      <c r="N2848" s="321">
        <v>84</v>
      </c>
      <c r="O2848" s="321" t="s">
        <v>6181</v>
      </c>
      <c r="P2848" s="321">
        <v>5841000</v>
      </c>
      <c r="Q2848" s="322">
        <v>0</v>
      </c>
      <c r="R2848" s="322">
        <v>0</v>
      </c>
      <c r="S2848" s="322">
        <v>0</v>
      </c>
      <c r="T2848" s="322">
        <v>0</v>
      </c>
      <c r="U2848" s="322">
        <f t="shared" si="190"/>
        <v>0</v>
      </c>
      <c r="W2848" s="321">
        <f t="shared" si="191"/>
        <v>425</v>
      </c>
      <c r="X2848" s="321">
        <f t="shared" si="192"/>
        <v>841000</v>
      </c>
      <c r="Y2848" s="321">
        <v>1</v>
      </c>
      <c r="AA2848" s="321" t="s">
        <v>6181</v>
      </c>
    </row>
    <row r="2849" spans="13:27">
      <c r="M2849" s="321">
        <v>1841000433</v>
      </c>
      <c r="N2849" s="321">
        <v>84</v>
      </c>
      <c r="O2849" s="321" t="s">
        <v>5625</v>
      </c>
      <c r="P2849" s="321">
        <v>5841000</v>
      </c>
      <c r="Q2849" s="322">
        <v>20000</v>
      </c>
      <c r="R2849" s="322">
        <v>16900</v>
      </c>
      <c r="S2849" s="322">
        <v>20000</v>
      </c>
      <c r="T2849" s="322">
        <v>20000</v>
      </c>
      <c r="U2849" s="322">
        <f t="shared" si="190"/>
        <v>0</v>
      </c>
      <c r="W2849" s="321">
        <f t="shared" si="191"/>
        <v>433</v>
      </c>
      <c r="X2849" s="321">
        <f t="shared" si="192"/>
        <v>841000</v>
      </c>
      <c r="Y2849" s="321">
        <v>1</v>
      </c>
      <c r="AA2849" s="321" t="s">
        <v>5625</v>
      </c>
    </row>
    <row r="2850" spans="13:27">
      <c r="M2850" s="321">
        <v>1841000434</v>
      </c>
      <c r="N2850" s="321">
        <v>84</v>
      </c>
      <c r="O2850" s="321" t="s">
        <v>6182</v>
      </c>
      <c r="P2850" s="321">
        <v>5841000</v>
      </c>
      <c r="Q2850" s="322">
        <v>530000</v>
      </c>
      <c r="R2850" s="322">
        <v>509700</v>
      </c>
      <c r="S2850" s="322">
        <v>706000</v>
      </c>
      <c r="T2850" s="322">
        <v>706000</v>
      </c>
      <c r="U2850" s="322">
        <f t="shared" si="190"/>
        <v>0</v>
      </c>
      <c r="W2850" s="321">
        <f t="shared" si="191"/>
        <v>434</v>
      </c>
      <c r="X2850" s="321">
        <f t="shared" si="192"/>
        <v>841000</v>
      </c>
      <c r="Y2850" s="321">
        <v>1</v>
      </c>
      <c r="AA2850" s="321" t="s">
        <v>6182</v>
      </c>
    </row>
    <row r="2851" spans="13:27">
      <c r="M2851" s="321">
        <v>1841000450</v>
      </c>
      <c r="N2851" s="321">
        <v>84</v>
      </c>
      <c r="O2851" s="321" t="s">
        <v>6183</v>
      </c>
      <c r="P2851" s="321">
        <v>5841000</v>
      </c>
      <c r="Q2851" s="322">
        <v>43000</v>
      </c>
      <c r="R2851" s="322">
        <v>10300</v>
      </c>
      <c r="S2851" s="322">
        <v>43000</v>
      </c>
      <c r="T2851" s="322">
        <v>43000</v>
      </c>
      <c r="U2851" s="322">
        <f t="shared" si="190"/>
        <v>0</v>
      </c>
      <c r="W2851" s="321">
        <f t="shared" si="191"/>
        <v>450</v>
      </c>
      <c r="X2851" s="321">
        <f t="shared" si="192"/>
        <v>841000</v>
      </c>
      <c r="Y2851" s="321">
        <v>1</v>
      </c>
      <c r="AA2851" s="321" t="s">
        <v>6183</v>
      </c>
    </row>
    <row r="2852" spans="13:27">
      <c r="M2852" s="321">
        <v>1841000470</v>
      </c>
      <c r="N2852" s="321">
        <v>84</v>
      </c>
      <c r="O2852" s="321" t="s">
        <v>2830</v>
      </c>
      <c r="P2852" s="321">
        <v>5841000</v>
      </c>
      <c r="Q2852" s="322">
        <v>65000</v>
      </c>
      <c r="R2852" s="322">
        <v>46800</v>
      </c>
      <c r="S2852" s="322">
        <v>65000</v>
      </c>
      <c r="T2852" s="322">
        <v>65000</v>
      </c>
      <c r="U2852" s="322">
        <f t="shared" si="190"/>
        <v>0</v>
      </c>
      <c r="W2852" s="321">
        <f t="shared" si="191"/>
        <v>470</v>
      </c>
      <c r="X2852" s="321">
        <f t="shared" si="192"/>
        <v>841000</v>
      </c>
      <c r="Y2852" s="321">
        <v>1</v>
      </c>
      <c r="AA2852" s="321" t="s">
        <v>2830</v>
      </c>
    </row>
    <row r="2853" spans="13:27">
      <c r="M2853" s="321">
        <v>1841000471</v>
      </c>
      <c r="N2853" s="321">
        <v>84</v>
      </c>
      <c r="O2853" s="321" t="s">
        <v>6184</v>
      </c>
      <c r="P2853" s="321">
        <v>5841000</v>
      </c>
      <c r="Q2853" s="322">
        <v>36000</v>
      </c>
      <c r="R2853" s="322">
        <v>36000</v>
      </c>
      <c r="S2853" s="322">
        <v>39600</v>
      </c>
      <c r="T2853" s="322">
        <v>39600</v>
      </c>
      <c r="U2853" s="322">
        <f t="shared" si="190"/>
        <v>0</v>
      </c>
      <c r="W2853" s="321">
        <f t="shared" si="191"/>
        <v>471</v>
      </c>
      <c r="X2853" s="321">
        <f t="shared" si="192"/>
        <v>841000</v>
      </c>
      <c r="Y2853" s="321">
        <v>1</v>
      </c>
      <c r="AA2853" s="321" t="s">
        <v>6184</v>
      </c>
    </row>
    <row r="2854" spans="13:27">
      <c r="M2854" s="321">
        <v>1841000510</v>
      </c>
      <c r="N2854" s="321">
        <v>84</v>
      </c>
      <c r="O2854" s="321" t="s">
        <v>5801</v>
      </c>
      <c r="P2854" s="321">
        <v>5841000</v>
      </c>
      <c r="Q2854" s="322">
        <v>5000</v>
      </c>
      <c r="R2854" s="322">
        <v>2700</v>
      </c>
      <c r="S2854" s="322">
        <v>5000</v>
      </c>
      <c r="T2854" s="322">
        <v>5000</v>
      </c>
      <c r="U2854" s="322">
        <f t="shared" si="190"/>
        <v>0</v>
      </c>
      <c r="W2854" s="321">
        <f t="shared" si="191"/>
        <v>510</v>
      </c>
      <c r="X2854" s="321">
        <f t="shared" si="192"/>
        <v>841000</v>
      </c>
      <c r="Y2854" s="321">
        <v>1</v>
      </c>
      <c r="AA2854" s="321" t="s">
        <v>5801</v>
      </c>
    </row>
    <row r="2855" spans="13:27">
      <c r="M2855" s="321">
        <v>1841000511</v>
      </c>
      <c r="N2855" s="321">
        <v>84</v>
      </c>
      <c r="O2855" s="321" t="s">
        <v>6185</v>
      </c>
      <c r="P2855" s="321">
        <v>5841000</v>
      </c>
      <c r="Q2855" s="322">
        <v>0</v>
      </c>
      <c r="R2855" s="322">
        <v>0</v>
      </c>
      <c r="S2855" s="322">
        <v>0</v>
      </c>
      <c r="T2855" s="322">
        <v>0</v>
      </c>
      <c r="U2855" s="322">
        <f t="shared" si="190"/>
        <v>0</v>
      </c>
      <c r="W2855" s="321">
        <f t="shared" si="191"/>
        <v>511</v>
      </c>
      <c r="X2855" s="321">
        <f t="shared" si="192"/>
        <v>841000</v>
      </c>
      <c r="Y2855" s="321">
        <v>1</v>
      </c>
      <c r="AA2855" s="321" t="s">
        <v>6185</v>
      </c>
    </row>
    <row r="2856" spans="13:27">
      <c r="M2856" s="321">
        <v>1841000521</v>
      </c>
      <c r="N2856" s="321">
        <v>84</v>
      </c>
      <c r="O2856" s="321" t="s">
        <v>5543</v>
      </c>
      <c r="P2856" s="321">
        <v>5841000</v>
      </c>
      <c r="Q2856" s="322">
        <v>7000</v>
      </c>
      <c r="R2856" s="322">
        <v>6400</v>
      </c>
      <c r="S2856" s="322">
        <v>7000</v>
      </c>
      <c r="T2856" s="322">
        <v>7000</v>
      </c>
      <c r="U2856" s="322">
        <f t="shared" si="190"/>
        <v>0</v>
      </c>
      <c r="W2856" s="321">
        <f t="shared" si="191"/>
        <v>521</v>
      </c>
      <c r="X2856" s="321">
        <f t="shared" si="192"/>
        <v>841000</v>
      </c>
      <c r="Y2856" s="321">
        <v>1</v>
      </c>
      <c r="AA2856" s="321" t="s">
        <v>5543</v>
      </c>
    </row>
    <row r="2857" spans="13:27">
      <c r="M2857" s="321">
        <v>1841000522</v>
      </c>
      <c r="N2857" s="321">
        <v>84</v>
      </c>
      <c r="O2857" s="321" t="s">
        <v>5214</v>
      </c>
      <c r="P2857" s="321">
        <v>5841000</v>
      </c>
      <c r="Q2857" s="322">
        <v>5000</v>
      </c>
      <c r="R2857" s="322">
        <v>600</v>
      </c>
      <c r="S2857" s="322">
        <v>5000</v>
      </c>
      <c r="T2857" s="322">
        <v>5000</v>
      </c>
      <c r="U2857" s="322">
        <f t="shared" si="190"/>
        <v>0</v>
      </c>
      <c r="W2857" s="321">
        <f t="shared" si="191"/>
        <v>522</v>
      </c>
      <c r="X2857" s="321">
        <f t="shared" si="192"/>
        <v>841000</v>
      </c>
      <c r="Y2857" s="321">
        <v>1</v>
      </c>
      <c r="AA2857" s="321" t="s">
        <v>5214</v>
      </c>
    </row>
    <row r="2858" spans="13:27">
      <c r="M2858" s="321">
        <v>1841000540</v>
      </c>
      <c r="N2858" s="321">
        <v>84</v>
      </c>
      <c r="O2858" s="321" t="s">
        <v>5216</v>
      </c>
      <c r="P2858" s="321">
        <v>5841000</v>
      </c>
      <c r="Q2858" s="322">
        <v>125000</v>
      </c>
      <c r="R2858" s="322">
        <v>80800</v>
      </c>
      <c r="S2858" s="322">
        <v>125000</v>
      </c>
      <c r="T2858" s="322">
        <v>125000</v>
      </c>
      <c r="U2858" s="322">
        <f t="shared" si="190"/>
        <v>0</v>
      </c>
      <c r="W2858" s="321">
        <f t="shared" si="191"/>
        <v>540</v>
      </c>
      <c r="X2858" s="321">
        <f t="shared" si="192"/>
        <v>841000</v>
      </c>
      <c r="Y2858" s="321">
        <v>1</v>
      </c>
      <c r="AA2858" s="321" t="s">
        <v>5216</v>
      </c>
    </row>
    <row r="2859" spans="13:27">
      <c r="M2859" s="321">
        <v>1841000542</v>
      </c>
      <c r="N2859" s="321">
        <v>84</v>
      </c>
      <c r="O2859" s="321" t="s">
        <v>5362</v>
      </c>
      <c r="P2859" s="321">
        <v>5841000</v>
      </c>
      <c r="Q2859" s="322">
        <v>98100</v>
      </c>
      <c r="R2859" s="322">
        <v>74100</v>
      </c>
      <c r="S2859" s="322">
        <v>112000</v>
      </c>
      <c r="T2859" s="322">
        <v>112000</v>
      </c>
      <c r="U2859" s="322">
        <f t="shared" si="190"/>
        <v>0</v>
      </c>
      <c r="W2859" s="321">
        <f t="shared" si="191"/>
        <v>542</v>
      </c>
      <c r="X2859" s="321">
        <f t="shared" si="192"/>
        <v>841000</v>
      </c>
      <c r="Y2859" s="321">
        <v>1</v>
      </c>
      <c r="AA2859" s="321" t="s">
        <v>5362</v>
      </c>
    </row>
    <row r="2860" spans="13:27">
      <c r="M2860" s="321">
        <v>1841000571</v>
      </c>
      <c r="N2860" s="321">
        <v>84</v>
      </c>
      <c r="O2860" s="321" t="s">
        <v>5255</v>
      </c>
      <c r="P2860" s="321">
        <v>5841000</v>
      </c>
      <c r="Q2860" s="322">
        <v>100000</v>
      </c>
      <c r="R2860" s="322">
        <v>83100</v>
      </c>
      <c r="S2860" s="322">
        <v>100000</v>
      </c>
      <c r="T2860" s="322">
        <v>100000</v>
      </c>
      <c r="U2860" s="322">
        <f t="shared" si="190"/>
        <v>0</v>
      </c>
      <c r="W2860" s="321">
        <f t="shared" si="191"/>
        <v>571</v>
      </c>
      <c r="X2860" s="321">
        <f t="shared" si="192"/>
        <v>841000</v>
      </c>
      <c r="Y2860" s="321">
        <v>1</v>
      </c>
      <c r="AA2860" s="321" t="s">
        <v>5255</v>
      </c>
    </row>
    <row r="2861" spans="13:27">
      <c r="M2861" s="321">
        <v>1841000572</v>
      </c>
      <c r="N2861" s="321">
        <v>84</v>
      </c>
      <c r="O2861" s="321" t="s">
        <v>5253</v>
      </c>
      <c r="P2861" s="321">
        <v>5840000</v>
      </c>
      <c r="Q2861" s="322">
        <v>105000</v>
      </c>
      <c r="R2861" s="322">
        <v>41400</v>
      </c>
      <c r="S2861" s="322">
        <v>100000</v>
      </c>
      <c r="T2861" s="322">
        <v>100000</v>
      </c>
      <c r="U2861" s="322">
        <f t="shared" si="190"/>
        <v>0</v>
      </c>
      <c r="W2861" s="321">
        <f t="shared" si="191"/>
        <v>572</v>
      </c>
      <c r="X2861" s="321">
        <f t="shared" si="192"/>
        <v>841000</v>
      </c>
      <c r="Y2861" s="321">
        <v>1</v>
      </c>
      <c r="AA2861" s="321" t="s">
        <v>5253</v>
      </c>
    </row>
    <row r="2862" spans="13:27">
      <c r="M2862" s="321">
        <v>1841000575</v>
      </c>
      <c r="N2862" s="321">
        <v>84</v>
      </c>
      <c r="O2862" s="321" t="s">
        <v>5375</v>
      </c>
      <c r="P2862" s="321">
        <v>5840000</v>
      </c>
      <c r="Q2862" s="322">
        <v>19000</v>
      </c>
      <c r="R2862" s="322">
        <v>14500</v>
      </c>
      <c r="S2862" s="322">
        <v>19000</v>
      </c>
      <c r="T2862" s="322">
        <v>19000</v>
      </c>
      <c r="U2862" s="322">
        <f t="shared" si="190"/>
        <v>0</v>
      </c>
      <c r="W2862" s="321">
        <f t="shared" si="191"/>
        <v>575</v>
      </c>
      <c r="X2862" s="321">
        <f t="shared" si="192"/>
        <v>841000</v>
      </c>
      <c r="Y2862" s="321">
        <v>1</v>
      </c>
      <c r="AA2862" s="321" t="s">
        <v>5375</v>
      </c>
    </row>
    <row r="2863" spans="13:27">
      <c r="M2863" s="321">
        <v>1841000577</v>
      </c>
      <c r="N2863" s="321">
        <v>84</v>
      </c>
      <c r="O2863" s="321" t="s">
        <v>2648</v>
      </c>
      <c r="P2863" s="321">
        <v>5840000</v>
      </c>
      <c r="Q2863" s="322">
        <v>20000</v>
      </c>
      <c r="R2863" s="322">
        <v>15700</v>
      </c>
      <c r="S2863" s="322">
        <v>20000</v>
      </c>
      <c r="T2863" s="322">
        <v>20000</v>
      </c>
      <c r="U2863" s="322">
        <f t="shared" si="190"/>
        <v>0</v>
      </c>
      <c r="W2863" s="321">
        <f t="shared" si="191"/>
        <v>577</v>
      </c>
      <c r="X2863" s="321">
        <f t="shared" si="192"/>
        <v>841000</v>
      </c>
      <c r="Y2863" s="321">
        <v>1</v>
      </c>
      <c r="AA2863" s="321" t="s">
        <v>2648</v>
      </c>
    </row>
    <row r="2864" spans="13:27">
      <c r="M2864" s="321">
        <v>1841000580</v>
      </c>
      <c r="N2864" s="321">
        <v>84</v>
      </c>
      <c r="O2864" s="321" t="s">
        <v>6186</v>
      </c>
      <c r="P2864" s="321">
        <v>5841000</v>
      </c>
      <c r="Q2864" s="322">
        <v>0</v>
      </c>
      <c r="R2864" s="322">
        <v>2000</v>
      </c>
      <c r="S2864" s="322">
        <v>0</v>
      </c>
      <c r="T2864" s="322">
        <v>0</v>
      </c>
      <c r="U2864" s="322">
        <f t="shared" si="190"/>
        <v>0</v>
      </c>
      <c r="W2864" s="321">
        <f t="shared" si="191"/>
        <v>580</v>
      </c>
      <c r="X2864" s="321">
        <f t="shared" si="192"/>
        <v>841000</v>
      </c>
      <c r="Y2864" s="321">
        <v>1</v>
      </c>
      <c r="AA2864" s="321" t="s">
        <v>6186</v>
      </c>
    </row>
    <row r="2865" spans="13:27">
      <c r="M2865" s="321">
        <v>1841000710</v>
      </c>
      <c r="N2865" s="321">
        <v>84</v>
      </c>
      <c r="O2865" s="321" t="s">
        <v>2798</v>
      </c>
      <c r="P2865" s="321">
        <v>5841000</v>
      </c>
      <c r="Q2865" s="322">
        <v>23000</v>
      </c>
      <c r="R2865" s="322">
        <v>17000</v>
      </c>
      <c r="S2865" s="322">
        <v>43000</v>
      </c>
      <c r="T2865" s="322">
        <v>43000</v>
      </c>
      <c r="U2865" s="322">
        <f t="shared" si="190"/>
        <v>0</v>
      </c>
      <c r="W2865" s="321">
        <f t="shared" si="191"/>
        <v>710</v>
      </c>
      <c r="X2865" s="321">
        <f t="shared" si="192"/>
        <v>841000</v>
      </c>
      <c r="Y2865" s="321">
        <v>1</v>
      </c>
      <c r="AA2865" s="321" t="s">
        <v>2798</v>
      </c>
    </row>
    <row r="2866" spans="13:27">
      <c r="M2866" s="321">
        <v>1841000720</v>
      </c>
      <c r="N2866" s="321">
        <v>84</v>
      </c>
      <c r="O2866" s="321" t="s">
        <v>6187</v>
      </c>
      <c r="P2866" s="321">
        <v>5841000</v>
      </c>
      <c r="Q2866" s="322">
        <v>0</v>
      </c>
      <c r="R2866" s="322">
        <v>0</v>
      </c>
      <c r="S2866" s="322">
        <v>0</v>
      </c>
      <c r="T2866" s="322">
        <v>0</v>
      </c>
      <c r="U2866" s="322">
        <f t="shared" si="190"/>
        <v>0</v>
      </c>
      <c r="W2866" s="321">
        <f t="shared" si="191"/>
        <v>720</v>
      </c>
      <c r="X2866" s="321">
        <f t="shared" si="192"/>
        <v>841000</v>
      </c>
      <c r="Y2866" s="321">
        <v>1</v>
      </c>
      <c r="AA2866" s="321" t="s">
        <v>6187</v>
      </c>
    </row>
    <row r="2867" spans="13:27">
      <c r="M2867" s="321">
        <v>1841000730</v>
      </c>
      <c r="N2867" s="321">
        <v>84</v>
      </c>
      <c r="O2867" s="321" t="s">
        <v>6188</v>
      </c>
      <c r="P2867" s="321">
        <v>5840000</v>
      </c>
      <c r="Q2867" s="322">
        <v>30000</v>
      </c>
      <c r="R2867" s="322">
        <v>11300</v>
      </c>
      <c r="S2867" s="322">
        <v>30000</v>
      </c>
      <c r="T2867" s="322">
        <v>30000</v>
      </c>
      <c r="U2867" s="322">
        <f t="shared" si="190"/>
        <v>0</v>
      </c>
      <c r="W2867" s="321">
        <f t="shared" si="191"/>
        <v>730</v>
      </c>
      <c r="X2867" s="321">
        <f t="shared" si="192"/>
        <v>841000</v>
      </c>
      <c r="Y2867" s="321">
        <v>1</v>
      </c>
      <c r="AA2867" s="321" t="s">
        <v>6188</v>
      </c>
    </row>
    <row r="2868" spans="13:27">
      <c r="M2868" s="321">
        <v>1841000751</v>
      </c>
      <c r="N2868" s="321">
        <v>84</v>
      </c>
      <c r="O2868" s="321" t="s">
        <v>6189</v>
      </c>
      <c r="P2868" s="321">
        <v>5841000</v>
      </c>
      <c r="Q2868" s="322">
        <v>43000</v>
      </c>
      <c r="R2868" s="322">
        <v>24200</v>
      </c>
      <c r="S2868" s="322">
        <v>43000</v>
      </c>
      <c r="T2868" s="322">
        <v>43000</v>
      </c>
      <c r="U2868" s="322">
        <f t="shared" si="190"/>
        <v>0</v>
      </c>
      <c r="W2868" s="321">
        <f t="shared" si="191"/>
        <v>751</v>
      </c>
      <c r="X2868" s="321">
        <f t="shared" si="192"/>
        <v>841000</v>
      </c>
      <c r="Y2868" s="321">
        <v>1</v>
      </c>
      <c r="AA2868" s="321" t="s">
        <v>6189</v>
      </c>
    </row>
    <row r="2869" spans="13:27">
      <c r="M2869" s="321">
        <v>1841000752</v>
      </c>
      <c r="N2869" s="321">
        <v>84</v>
      </c>
      <c r="O2869" s="321" t="s">
        <v>6190</v>
      </c>
      <c r="P2869" s="321">
        <v>5841000</v>
      </c>
      <c r="Q2869" s="322">
        <v>524000</v>
      </c>
      <c r="R2869" s="322">
        <v>170800</v>
      </c>
      <c r="S2869" s="322">
        <v>400000</v>
      </c>
      <c r="T2869" s="322">
        <v>400000</v>
      </c>
      <c r="U2869" s="322">
        <f t="shared" si="190"/>
        <v>0</v>
      </c>
      <c r="W2869" s="321">
        <f t="shared" si="191"/>
        <v>752</v>
      </c>
      <c r="X2869" s="321">
        <f t="shared" si="192"/>
        <v>841000</v>
      </c>
      <c r="Y2869" s="321">
        <v>1</v>
      </c>
      <c r="AA2869" s="321" t="s">
        <v>6190</v>
      </c>
    </row>
    <row r="2870" spans="13:27">
      <c r="M2870" s="321">
        <v>1841000753</v>
      </c>
      <c r="N2870" s="321">
        <v>84</v>
      </c>
      <c r="O2870" s="321" t="s">
        <v>6191</v>
      </c>
      <c r="P2870" s="321">
        <v>5841000</v>
      </c>
      <c r="Q2870" s="322">
        <v>80000</v>
      </c>
      <c r="R2870" s="322">
        <v>4900</v>
      </c>
      <c r="S2870" s="322">
        <v>80000</v>
      </c>
      <c r="T2870" s="322">
        <v>80000</v>
      </c>
      <c r="U2870" s="322">
        <f t="shared" si="190"/>
        <v>0</v>
      </c>
      <c r="W2870" s="321">
        <f t="shared" si="191"/>
        <v>753</v>
      </c>
      <c r="X2870" s="321">
        <f t="shared" si="192"/>
        <v>841000</v>
      </c>
      <c r="Y2870" s="321">
        <v>1</v>
      </c>
      <c r="AA2870" s="321" t="s">
        <v>6191</v>
      </c>
    </row>
    <row r="2871" spans="13:27">
      <c r="M2871" s="321">
        <v>1841000754</v>
      </c>
      <c r="N2871" s="321">
        <v>84</v>
      </c>
      <c r="O2871" s="321" t="s">
        <v>6192</v>
      </c>
      <c r="P2871" s="321">
        <v>5841000</v>
      </c>
      <c r="Q2871" s="322">
        <v>35000</v>
      </c>
      <c r="R2871" s="322">
        <v>0</v>
      </c>
      <c r="S2871" s="322">
        <v>35000</v>
      </c>
      <c r="T2871" s="322">
        <v>35000</v>
      </c>
      <c r="U2871" s="322">
        <f t="shared" si="190"/>
        <v>0</v>
      </c>
      <c r="W2871" s="321">
        <f t="shared" si="191"/>
        <v>754</v>
      </c>
      <c r="X2871" s="321">
        <f t="shared" si="192"/>
        <v>841000</v>
      </c>
      <c r="Y2871" s="321">
        <v>1</v>
      </c>
      <c r="AA2871" s="321" t="s">
        <v>6192</v>
      </c>
    </row>
    <row r="2872" spans="13:27">
      <c r="M2872" s="321">
        <v>1841000760</v>
      </c>
      <c r="N2872" s="321">
        <v>84</v>
      </c>
      <c r="O2872" s="321" t="s">
        <v>6193</v>
      </c>
      <c r="P2872" s="321">
        <v>5841000</v>
      </c>
      <c r="Q2872" s="322">
        <v>130000</v>
      </c>
      <c r="R2872" s="322">
        <v>0</v>
      </c>
      <c r="S2872" s="322">
        <v>130000</v>
      </c>
      <c r="T2872" s="322">
        <v>100000</v>
      </c>
      <c r="U2872" s="322">
        <f t="shared" si="190"/>
        <v>30000</v>
      </c>
      <c r="W2872" s="321">
        <f t="shared" si="191"/>
        <v>760</v>
      </c>
      <c r="X2872" s="321">
        <f t="shared" si="192"/>
        <v>841000</v>
      </c>
      <c r="Y2872" s="321">
        <v>1</v>
      </c>
      <c r="AA2872" s="321" t="s">
        <v>6193</v>
      </c>
    </row>
    <row r="2873" spans="13:27">
      <c r="M2873" s="321">
        <v>1841000761</v>
      </c>
      <c r="N2873" s="321">
        <v>84</v>
      </c>
      <c r="O2873" s="321" t="s">
        <v>6194</v>
      </c>
      <c r="P2873" s="321">
        <v>5841000</v>
      </c>
      <c r="Q2873" s="322">
        <v>210000</v>
      </c>
      <c r="R2873" s="322">
        <v>71300</v>
      </c>
      <c r="S2873" s="322">
        <v>210000</v>
      </c>
      <c r="T2873" s="322">
        <v>210000</v>
      </c>
      <c r="U2873" s="322">
        <f t="shared" si="190"/>
        <v>0</v>
      </c>
      <c r="W2873" s="321">
        <f t="shared" si="191"/>
        <v>761</v>
      </c>
      <c r="X2873" s="321">
        <f t="shared" si="192"/>
        <v>841000</v>
      </c>
      <c r="Y2873" s="321">
        <v>1</v>
      </c>
      <c r="AA2873" s="321" t="s">
        <v>6194</v>
      </c>
    </row>
    <row r="2874" spans="13:27">
      <c r="M2874" s="321">
        <v>1841000762</v>
      </c>
      <c r="N2874" s="321">
        <v>84</v>
      </c>
      <c r="O2874" s="321" t="s">
        <v>6195</v>
      </c>
      <c r="P2874" s="321">
        <v>5841000</v>
      </c>
      <c r="Q2874" s="322">
        <v>12000</v>
      </c>
      <c r="R2874" s="322">
        <v>10200</v>
      </c>
      <c r="S2874" s="322">
        <v>12000</v>
      </c>
      <c r="T2874" s="322">
        <v>12000</v>
      </c>
      <c r="U2874" s="322">
        <f t="shared" si="190"/>
        <v>0</v>
      </c>
      <c r="W2874" s="321">
        <f t="shared" si="191"/>
        <v>762</v>
      </c>
      <c r="X2874" s="321">
        <f t="shared" si="192"/>
        <v>841000</v>
      </c>
      <c r="Y2874" s="321">
        <v>1</v>
      </c>
      <c r="AA2874" s="321" t="s">
        <v>6195</v>
      </c>
    </row>
    <row r="2875" spans="13:27">
      <c r="M2875" s="321">
        <v>1841000771</v>
      </c>
      <c r="N2875" s="321">
        <v>84</v>
      </c>
      <c r="O2875" s="321" t="s">
        <v>6196</v>
      </c>
      <c r="P2875" s="321">
        <v>5841000</v>
      </c>
      <c r="Q2875" s="322">
        <v>800000</v>
      </c>
      <c r="R2875" s="322">
        <v>641400</v>
      </c>
      <c r="S2875" s="322">
        <v>850000</v>
      </c>
      <c r="T2875" s="322">
        <v>850000</v>
      </c>
      <c r="U2875" s="322">
        <f t="shared" si="190"/>
        <v>0</v>
      </c>
      <c r="W2875" s="321">
        <f t="shared" si="191"/>
        <v>771</v>
      </c>
      <c r="X2875" s="321">
        <f t="shared" si="192"/>
        <v>841000</v>
      </c>
      <c r="Y2875" s="321">
        <v>1</v>
      </c>
      <c r="AA2875" s="321" t="s">
        <v>6196</v>
      </c>
    </row>
    <row r="2876" spans="13:27">
      <c r="M2876" s="321">
        <v>1841000772</v>
      </c>
      <c r="N2876" s="321">
        <v>84</v>
      </c>
      <c r="O2876" s="321" t="s">
        <v>6197</v>
      </c>
      <c r="P2876" s="321">
        <v>5841000</v>
      </c>
      <c r="Q2876" s="322">
        <v>360000</v>
      </c>
      <c r="R2876" s="322">
        <v>182700</v>
      </c>
      <c r="S2876" s="322">
        <v>400000</v>
      </c>
      <c r="T2876" s="322">
        <v>400000</v>
      </c>
      <c r="U2876" s="322">
        <f t="shared" si="190"/>
        <v>0</v>
      </c>
      <c r="W2876" s="321">
        <f t="shared" si="191"/>
        <v>772</v>
      </c>
      <c r="X2876" s="321">
        <f t="shared" si="192"/>
        <v>841000</v>
      </c>
      <c r="Y2876" s="321">
        <v>1</v>
      </c>
      <c r="AA2876" s="321" t="s">
        <v>6197</v>
      </c>
    </row>
    <row r="2877" spans="13:27">
      <c r="M2877" s="321">
        <v>1841000779</v>
      </c>
      <c r="N2877" s="321">
        <v>84</v>
      </c>
      <c r="O2877" s="321" t="s">
        <v>5382</v>
      </c>
      <c r="P2877" s="321">
        <v>5841000</v>
      </c>
      <c r="Q2877" s="322">
        <v>8000</v>
      </c>
      <c r="R2877" s="322">
        <v>3300</v>
      </c>
      <c r="S2877" s="322">
        <v>10000</v>
      </c>
      <c r="T2877" s="322">
        <v>10000</v>
      </c>
      <c r="U2877" s="322">
        <f t="shared" si="190"/>
        <v>0</v>
      </c>
      <c r="W2877" s="321">
        <f t="shared" si="191"/>
        <v>779</v>
      </c>
      <c r="X2877" s="321">
        <f t="shared" si="192"/>
        <v>841000</v>
      </c>
      <c r="Y2877" s="321">
        <v>1</v>
      </c>
      <c r="AA2877" s="321" t="s">
        <v>5382</v>
      </c>
    </row>
    <row r="2878" spans="13:27">
      <c r="M2878" s="321">
        <v>1841000840</v>
      </c>
      <c r="N2878" s="321">
        <v>84</v>
      </c>
      <c r="O2878" s="321" t="s">
        <v>6198</v>
      </c>
      <c r="P2878" s="321">
        <v>5841000</v>
      </c>
      <c r="Q2878" s="322">
        <v>227000</v>
      </c>
      <c r="R2878" s="322">
        <v>0</v>
      </c>
      <c r="S2878" s="322">
        <v>227000</v>
      </c>
      <c r="T2878" s="322">
        <v>227000</v>
      </c>
      <c r="U2878" s="322">
        <f t="shared" si="190"/>
        <v>0</v>
      </c>
      <c r="W2878" s="321">
        <f t="shared" si="191"/>
        <v>840</v>
      </c>
      <c r="X2878" s="321">
        <f t="shared" si="192"/>
        <v>841000</v>
      </c>
      <c r="Y2878" s="321">
        <v>1</v>
      </c>
      <c r="AA2878" s="321" t="s">
        <v>6198</v>
      </c>
    </row>
    <row r="2879" spans="13:27">
      <c r="M2879" s="321">
        <v>1841000920</v>
      </c>
      <c r="N2879" s="321">
        <v>84</v>
      </c>
      <c r="O2879" s="321" t="s">
        <v>5265</v>
      </c>
      <c r="P2879" s="321">
        <v>5841000</v>
      </c>
      <c r="Q2879" s="322">
        <v>180000</v>
      </c>
      <c r="R2879" s="322">
        <v>51500</v>
      </c>
      <c r="S2879" s="322">
        <v>180000</v>
      </c>
      <c r="T2879" s="322">
        <v>180000</v>
      </c>
      <c r="U2879" s="322">
        <f t="shared" si="190"/>
        <v>0</v>
      </c>
      <c r="W2879" s="321">
        <f t="shared" si="191"/>
        <v>920</v>
      </c>
      <c r="X2879" s="321">
        <f t="shared" si="192"/>
        <v>841000</v>
      </c>
      <c r="Y2879" s="321">
        <v>1</v>
      </c>
      <c r="AA2879" s="321" t="s">
        <v>5265</v>
      </c>
    </row>
    <row r="2880" spans="13:27">
      <c r="M2880" s="321">
        <v>1841001110</v>
      </c>
      <c r="N2880" s="321">
        <v>84</v>
      </c>
      <c r="O2880" s="321" t="s">
        <v>5205</v>
      </c>
      <c r="P2880" s="321">
        <v>5841000</v>
      </c>
      <c r="Q2880" s="322">
        <v>2677000</v>
      </c>
      <c r="R2880" s="322">
        <v>1754600</v>
      </c>
      <c r="S2880" s="322">
        <v>2511000</v>
      </c>
      <c r="T2880" s="322">
        <v>2511000</v>
      </c>
      <c r="U2880" s="322">
        <f t="shared" si="190"/>
        <v>0</v>
      </c>
      <c r="W2880" s="321">
        <f t="shared" si="191"/>
        <v>110</v>
      </c>
      <c r="X2880" s="321">
        <f t="shared" si="192"/>
        <v>841001</v>
      </c>
      <c r="Y2880" s="321">
        <v>1</v>
      </c>
      <c r="AA2880" s="321" t="s">
        <v>5205</v>
      </c>
    </row>
    <row r="2881" spans="13:27">
      <c r="M2881" s="321">
        <v>1841001120</v>
      </c>
      <c r="N2881" s="321">
        <v>84</v>
      </c>
      <c r="O2881" s="321" t="s">
        <v>5206</v>
      </c>
      <c r="P2881" s="321">
        <v>5841000</v>
      </c>
      <c r="Q2881" s="322">
        <v>257000</v>
      </c>
      <c r="R2881" s="322">
        <v>217300</v>
      </c>
      <c r="S2881" s="322">
        <v>247000</v>
      </c>
      <c r="T2881" s="322">
        <v>247000</v>
      </c>
      <c r="U2881" s="322">
        <f t="shared" si="190"/>
        <v>0</v>
      </c>
      <c r="W2881" s="321">
        <f t="shared" si="191"/>
        <v>120</v>
      </c>
      <c r="X2881" s="321">
        <f t="shared" si="192"/>
        <v>841001</v>
      </c>
      <c r="Y2881" s="321">
        <v>1</v>
      </c>
      <c r="AA2881" s="321" t="s">
        <v>5206</v>
      </c>
    </row>
    <row r="2882" spans="13:27">
      <c r="M2882" s="321">
        <v>1841001130</v>
      </c>
      <c r="N2882" s="321">
        <v>84</v>
      </c>
      <c r="O2882" s="321" t="s">
        <v>2576</v>
      </c>
      <c r="P2882" s="321">
        <v>5841000</v>
      </c>
      <c r="Q2882" s="322">
        <v>47000</v>
      </c>
      <c r="R2882" s="322">
        <v>93000</v>
      </c>
      <c r="S2882" s="322">
        <v>76000</v>
      </c>
      <c r="T2882" s="322">
        <v>68400</v>
      </c>
      <c r="U2882" s="322">
        <f t="shared" ref="U2882:U2945" si="193">S2882-T2882</f>
        <v>7600</v>
      </c>
      <c r="W2882" s="321">
        <f t="shared" si="191"/>
        <v>130</v>
      </c>
      <c r="X2882" s="321">
        <f t="shared" si="192"/>
        <v>841001</v>
      </c>
      <c r="Y2882" s="321">
        <v>1</v>
      </c>
      <c r="AA2882" s="321" t="s">
        <v>2576</v>
      </c>
    </row>
    <row r="2883" spans="13:27">
      <c r="M2883" s="321">
        <v>1841001140</v>
      </c>
      <c r="N2883" s="321">
        <v>84</v>
      </c>
      <c r="O2883" s="321" t="s">
        <v>5207</v>
      </c>
      <c r="P2883" s="321">
        <v>5841000</v>
      </c>
      <c r="Q2883" s="322">
        <v>228000</v>
      </c>
      <c r="R2883" s="322">
        <v>125000</v>
      </c>
      <c r="S2883" s="322">
        <v>178000</v>
      </c>
      <c r="T2883" s="322">
        <v>178000</v>
      </c>
      <c r="U2883" s="322">
        <f t="shared" si="193"/>
        <v>0</v>
      </c>
      <c r="W2883" s="321">
        <f t="shared" ref="W2883:W2946" si="194">M2883-1000000000-X2883*1000</f>
        <v>140</v>
      </c>
      <c r="X2883" s="321">
        <f t="shared" ref="X2883:X2946" si="195">ROUNDDOWN((M2883-1000000000)/1000,0)</f>
        <v>841001</v>
      </c>
      <c r="Y2883" s="321">
        <v>1</v>
      </c>
      <c r="AA2883" s="321" t="s">
        <v>5207</v>
      </c>
    </row>
    <row r="2884" spans="13:27">
      <c r="M2884" s="321">
        <v>1841001141</v>
      </c>
      <c r="N2884" s="321">
        <v>84</v>
      </c>
      <c r="O2884" s="321" t="s">
        <v>5208</v>
      </c>
      <c r="P2884" s="321">
        <v>5841000</v>
      </c>
      <c r="Q2884" s="322">
        <v>112000</v>
      </c>
      <c r="R2884" s="322">
        <v>80600</v>
      </c>
      <c r="S2884" s="322">
        <v>115000</v>
      </c>
      <c r="T2884" s="322">
        <v>115000</v>
      </c>
      <c r="U2884" s="322">
        <f t="shared" si="193"/>
        <v>0</v>
      </c>
      <c r="W2884" s="321">
        <f t="shared" si="194"/>
        <v>141</v>
      </c>
      <c r="X2884" s="321">
        <f t="shared" si="195"/>
        <v>841001</v>
      </c>
      <c r="Y2884" s="321">
        <v>1</v>
      </c>
      <c r="AA2884" s="321" t="s">
        <v>5208</v>
      </c>
    </row>
    <row r="2885" spans="13:27">
      <c r="M2885" s="321">
        <v>1841001181</v>
      </c>
      <c r="N2885" s="321">
        <v>84</v>
      </c>
      <c r="O2885" s="321" t="s">
        <v>2580</v>
      </c>
      <c r="P2885" s="321">
        <v>5841000</v>
      </c>
      <c r="Q2885" s="322">
        <v>470000</v>
      </c>
      <c r="R2885" s="322">
        <v>311900</v>
      </c>
      <c r="S2885" s="322">
        <v>444000</v>
      </c>
      <c r="T2885" s="322">
        <v>444000</v>
      </c>
      <c r="U2885" s="322">
        <f t="shared" si="193"/>
        <v>0</v>
      </c>
      <c r="W2885" s="321">
        <f t="shared" si="194"/>
        <v>181</v>
      </c>
      <c r="X2885" s="321">
        <f t="shared" si="195"/>
        <v>841001</v>
      </c>
      <c r="Y2885" s="321">
        <v>1</v>
      </c>
      <c r="AA2885" s="321" t="s">
        <v>2580</v>
      </c>
    </row>
    <row r="2886" spans="13:27">
      <c r="M2886" s="321">
        <v>1841001182</v>
      </c>
      <c r="N2886" s="321">
        <v>84</v>
      </c>
      <c r="O2886" s="321" t="s">
        <v>5209</v>
      </c>
      <c r="P2886" s="321">
        <v>5841000</v>
      </c>
      <c r="Q2886" s="322">
        <v>434000</v>
      </c>
      <c r="R2886" s="322">
        <v>292900</v>
      </c>
      <c r="S2886" s="322">
        <v>439000</v>
      </c>
      <c r="T2886" s="322">
        <v>439000</v>
      </c>
      <c r="U2886" s="322">
        <f t="shared" si="193"/>
        <v>0</v>
      </c>
      <c r="W2886" s="321">
        <f t="shared" si="194"/>
        <v>182</v>
      </c>
      <c r="X2886" s="321">
        <f t="shared" si="195"/>
        <v>841001</v>
      </c>
      <c r="Y2886" s="321">
        <v>1</v>
      </c>
      <c r="AA2886" s="321" t="s">
        <v>5209</v>
      </c>
    </row>
    <row r="2887" spans="13:27">
      <c r="M2887" s="321">
        <v>1841001471</v>
      </c>
      <c r="N2887" s="321">
        <v>84</v>
      </c>
      <c r="O2887" s="321" t="s">
        <v>6199</v>
      </c>
      <c r="P2887" s="321">
        <v>5841000</v>
      </c>
      <c r="Q2887" s="322">
        <v>3500</v>
      </c>
      <c r="R2887" s="322">
        <v>3500</v>
      </c>
      <c r="S2887" s="322">
        <v>3900</v>
      </c>
      <c r="T2887" s="322">
        <v>3900</v>
      </c>
      <c r="U2887" s="322">
        <f t="shared" si="193"/>
        <v>0</v>
      </c>
      <c r="W2887" s="321">
        <f t="shared" si="194"/>
        <v>471</v>
      </c>
      <c r="X2887" s="321">
        <f t="shared" si="195"/>
        <v>841001</v>
      </c>
      <c r="Y2887" s="321">
        <v>1</v>
      </c>
      <c r="AA2887" s="321" t="s">
        <v>6199</v>
      </c>
    </row>
    <row r="2888" spans="13:27">
      <c r="M2888" s="321">
        <v>1841001510</v>
      </c>
      <c r="N2888" s="321">
        <v>84</v>
      </c>
      <c r="O2888" s="321" t="s">
        <v>6200</v>
      </c>
      <c r="P2888" s="321">
        <v>5841000</v>
      </c>
      <c r="Q2888" s="322">
        <v>13000</v>
      </c>
      <c r="R2888" s="322">
        <v>9700</v>
      </c>
      <c r="S2888" s="322">
        <v>13000</v>
      </c>
      <c r="T2888" s="322">
        <v>13000</v>
      </c>
      <c r="U2888" s="322">
        <f t="shared" si="193"/>
        <v>0</v>
      </c>
      <c r="W2888" s="321">
        <f t="shared" si="194"/>
        <v>510</v>
      </c>
      <c r="X2888" s="321">
        <f t="shared" si="195"/>
        <v>841001</v>
      </c>
      <c r="Y2888" s="321">
        <v>1</v>
      </c>
      <c r="AA2888" s="321" t="s">
        <v>6200</v>
      </c>
    </row>
    <row r="2889" spans="13:27">
      <c r="M2889" s="321">
        <v>1841001530</v>
      </c>
      <c r="N2889" s="321">
        <v>84</v>
      </c>
      <c r="O2889" s="321" t="s">
        <v>6201</v>
      </c>
      <c r="P2889" s="321">
        <v>5841000</v>
      </c>
      <c r="Q2889" s="322">
        <v>35000</v>
      </c>
      <c r="R2889" s="322">
        <v>5300</v>
      </c>
      <c r="S2889" s="322">
        <v>35000</v>
      </c>
      <c r="T2889" s="322">
        <v>35000</v>
      </c>
      <c r="U2889" s="322">
        <f t="shared" si="193"/>
        <v>0</v>
      </c>
      <c r="W2889" s="321">
        <f t="shared" si="194"/>
        <v>530</v>
      </c>
      <c r="X2889" s="321">
        <f t="shared" si="195"/>
        <v>841001</v>
      </c>
      <c r="Y2889" s="321">
        <v>1</v>
      </c>
      <c r="AA2889" s="321" t="s">
        <v>6201</v>
      </c>
    </row>
    <row r="2890" spans="13:27">
      <c r="M2890" s="321">
        <v>1841001580</v>
      </c>
      <c r="N2890" s="321">
        <v>84</v>
      </c>
      <c r="O2890" s="321" t="s">
        <v>6202</v>
      </c>
      <c r="P2890" s="321">
        <v>5841000</v>
      </c>
      <c r="Q2890" s="322">
        <v>250000</v>
      </c>
      <c r="R2890" s="322">
        <v>164300</v>
      </c>
      <c r="S2890" s="322">
        <v>250000</v>
      </c>
      <c r="T2890" s="322">
        <v>250000</v>
      </c>
      <c r="U2890" s="322">
        <f t="shared" si="193"/>
        <v>0</v>
      </c>
      <c r="W2890" s="321">
        <f t="shared" si="194"/>
        <v>580</v>
      </c>
      <c r="X2890" s="321">
        <f t="shared" si="195"/>
        <v>841001</v>
      </c>
      <c r="Y2890" s="321">
        <v>1</v>
      </c>
      <c r="AA2890" s="321" t="s">
        <v>6202</v>
      </c>
    </row>
    <row r="2891" spans="13:27">
      <c r="M2891" s="321">
        <v>1841001750</v>
      </c>
      <c r="N2891" s="321">
        <v>84</v>
      </c>
      <c r="O2891" s="321" t="s">
        <v>6203</v>
      </c>
      <c r="P2891" s="321">
        <v>5841000</v>
      </c>
      <c r="Q2891" s="322">
        <v>200000</v>
      </c>
      <c r="R2891" s="322">
        <v>3500</v>
      </c>
      <c r="S2891" s="322">
        <v>200000</v>
      </c>
      <c r="T2891" s="322">
        <v>150000</v>
      </c>
      <c r="U2891" s="322">
        <f t="shared" si="193"/>
        <v>50000</v>
      </c>
      <c r="W2891" s="321">
        <f t="shared" si="194"/>
        <v>750</v>
      </c>
      <c r="X2891" s="321">
        <f t="shared" si="195"/>
        <v>841001</v>
      </c>
      <c r="Y2891" s="321">
        <v>1</v>
      </c>
      <c r="AA2891" s="321" t="s">
        <v>6203</v>
      </c>
    </row>
    <row r="2892" spans="13:27">
      <c r="M2892" s="321">
        <v>1841001760</v>
      </c>
      <c r="N2892" s="321">
        <v>84</v>
      </c>
      <c r="O2892" s="321" t="s">
        <v>6204</v>
      </c>
      <c r="P2892" s="321">
        <v>5841000</v>
      </c>
      <c r="Q2892" s="322">
        <v>82000</v>
      </c>
      <c r="R2892" s="322">
        <v>68000</v>
      </c>
      <c r="S2892" s="322">
        <v>87000</v>
      </c>
      <c r="T2892" s="322">
        <v>87000</v>
      </c>
      <c r="U2892" s="322">
        <f t="shared" si="193"/>
        <v>0</v>
      </c>
      <c r="W2892" s="321">
        <f t="shared" si="194"/>
        <v>760</v>
      </c>
      <c r="X2892" s="321">
        <f t="shared" si="195"/>
        <v>841001</v>
      </c>
      <c r="Y2892" s="321">
        <v>1</v>
      </c>
      <c r="AA2892" s="321" t="s">
        <v>6204</v>
      </c>
    </row>
    <row r="2893" spans="13:27">
      <c r="M2893" s="321">
        <v>1841001840</v>
      </c>
      <c r="N2893" s="321">
        <v>84</v>
      </c>
      <c r="O2893" s="321" t="s">
        <v>5010</v>
      </c>
      <c r="P2893" s="321">
        <v>5841000</v>
      </c>
      <c r="Q2893" s="322">
        <v>20000</v>
      </c>
      <c r="R2893" s="322">
        <v>7100</v>
      </c>
      <c r="S2893" s="322">
        <v>20000</v>
      </c>
      <c r="T2893" s="322">
        <v>20000</v>
      </c>
      <c r="U2893" s="322">
        <f t="shared" si="193"/>
        <v>0</v>
      </c>
      <c r="W2893" s="321">
        <f t="shared" si="194"/>
        <v>840</v>
      </c>
      <c r="X2893" s="321">
        <f t="shared" si="195"/>
        <v>841001</v>
      </c>
      <c r="Y2893" s="321">
        <v>1</v>
      </c>
      <c r="AA2893" s="321" t="s">
        <v>5010</v>
      </c>
    </row>
    <row r="2894" spans="13:27">
      <c r="M2894" s="321">
        <v>1841002530</v>
      </c>
      <c r="N2894" s="321">
        <v>84</v>
      </c>
      <c r="O2894" s="321" t="s">
        <v>6205</v>
      </c>
      <c r="P2894" s="321">
        <v>5841000</v>
      </c>
      <c r="Q2894" s="322">
        <v>50000</v>
      </c>
      <c r="R2894" s="322">
        <v>24600</v>
      </c>
      <c r="S2894" s="322">
        <v>50000</v>
      </c>
      <c r="T2894" s="322">
        <v>50000</v>
      </c>
      <c r="U2894" s="322">
        <f t="shared" si="193"/>
        <v>0</v>
      </c>
      <c r="W2894" s="321">
        <f t="shared" si="194"/>
        <v>530</v>
      </c>
      <c r="X2894" s="321">
        <f t="shared" si="195"/>
        <v>841002</v>
      </c>
      <c r="Y2894" s="321">
        <v>1</v>
      </c>
      <c r="AA2894" s="321" t="s">
        <v>6205</v>
      </c>
    </row>
    <row r="2895" spans="13:27">
      <c r="M2895" s="321">
        <v>1841002760</v>
      </c>
      <c r="N2895" s="321">
        <v>84</v>
      </c>
      <c r="O2895" s="321" t="s">
        <v>6206</v>
      </c>
      <c r="P2895" s="321">
        <v>5840000</v>
      </c>
      <c r="Q2895" s="322">
        <v>230000</v>
      </c>
      <c r="R2895" s="322">
        <v>109400</v>
      </c>
      <c r="S2895" s="322">
        <v>300000</v>
      </c>
      <c r="T2895" s="322">
        <v>250000</v>
      </c>
      <c r="U2895" s="322">
        <f t="shared" si="193"/>
        <v>50000</v>
      </c>
      <c r="W2895" s="321">
        <f t="shared" si="194"/>
        <v>760</v>
      </c>
      <c r="X2895" s="321">
        <f t="shared" si="195"/>
        <v>841002</v>
      </c>
      <c r="Y2895" s="321">
        <v>1</v>
      </c>
      <c r="AA2895" s="321" t="s">
        <v>6206</v>
      </c>
    </row>
    <row r="2896" spans="13:27">
      <c r="M2896" s="321">
        <v>1841003530</v>
      </c>
      <c r="N2896" s="321">
        <v>84</v>
      </c>
      <c r="O2896" s="321" t="s">
        <v>6207</v>
      </c>
      <c r="P2896" s="321">
        <v>5841000</v>
      </c>
      <c r="Q2896" s="322">
        <v>60000</v>
      </c>
      <c r="R2896" s="322">
        <v>43000</v>
      </c>
      <c r="S2896" s="322">
        <v>65000</v>
      </c>
      <c r="T2896" s="322">
        <v>65000</v>
      </c>
      <c r="U2896" s="322">
        <f t="shared" si="193"/>
        <v>0</v>
      </c>
      <c r="W2896" s="321">
        <f t="shared" si="194"/>
        <v>530</v>
      </c>
      <c r="X2896" s="321">
        <f t="shared" si="195"/>
        <v>841003</v>
      </c>
      <c r="Y2896" s="321">
        <v>1</v>
      </c>
      <c r="AA2896" s="321" t="s">
        <v>6207</v>
      </c>
    </row>
    <row r="2897" spans="13:27">
      <c r="M2897" s="321">
        <v>1841003760</v>
      </c>
      <c r="N2897" s="321">
        <v>84</v>
      </c>
      <c r="O2897" s="321" t="s">
        <v>6208</v>
      </c>
      <c r="P2897" s="321">
        <v>5841000</v>
      </c>
      <c r="Q2897" s="322">
        <v>0</v>
      </c>
      <c r="R2897" s="322">
        <v>0</v>
      </c>
      <c r="S2897" s="322">
        <v>0</v>
      </c>
      <c r="T2897" s="322">
        <v>0</v>
      </c>
      <c r="U2897" s="322">
        <f t="shared" si="193"/>
        <v>0</v>
      </c>
      <c r="W2897" s="321">
        <f t="shared" si="194"/>
        <v>760</v>
      </c>
      <c r="X2897" s="321">
        <f t="shared" si="195"/>
        <v>841003</v>
      </c>
      <c r="Y2897" s="321">
        <v>1</v>
      </c>
      <c r="AA2897" s="321" t="s">
        <v>6208</v>
      </c>
    </row>
    <row r="2898" spans="13:27">
      <c r="M2898" s="321">
        <v>1841004530</v>
      </c>
      <c r="N2898" s="321">
        <v>84</v>
      </c>
      <c r="O2898" s="321" t="s">
        <v>6209</v>
      </c>
      <c r="P2898" s="321">
        <v>5840000</v>
      </c>
      <c r="Q2898" s="322">
        <v>0</v>
      </c>
      <c r="R2898" s="322">
        <v>0</v>
      </c>
      <c r="S2898" s="322">
        <v>30000</v>
      </c>
      <c r="T2898" s="322">
        <v>30000</v>
      </c>
      <c r="U2898" s="322">
        <f t="shared" si="193"/>
        <v>0</v>
      </c>
      <c r="W2898" s="321">
        <f t="shared" si="194"/>
        <v>530</v>
      </c>
      <c r="X2898" s="321">
        <f t="shared" si="195"/>
        <v>841004</v>
      </c>
      <c r="Y2898" s="321">
        <v>1</v>
      </c>
      <c r="AA2898" s="321" t="s">
        <v>6209</v>
      </c>
    </row>
    <row r="2899" spans="13:27">
      <c r="M2899" s="321">
        <v>1841004760</v>
      </c>
      <c r="N2899" s="321">
        <v>84</v>
      </c>
      <c r="O2899" s="321" t="s">
        <v>6210</v>
      </c>
      <c r="P2899" s="321">
        <v>5843900</v>
      </c>
      <c r="Q2899" s="322">
        <v>206000</v>
      </c>
      <c r="R2899" s="322">
        <v>118300</v>
      </c>
      <c r="S2899" s="322">
        <v>207000</v>
      </c>
      <c r="T2899" s="322">
        <v>207000</v>
      </c>
      <c r="U2899" s="322">
        <f t="shared" si="193"/>
        <v>0</v>
      </c>
      <c r="W2899" s="321">
        <f t="shared" si="194"/>
        <v>760</v>
      </c>
      <c r="X2899" s="321">
        <f t="shared" si="195"/>
        <v>841004</v>
      </c>
      <c r="Y2899" s="321">
        <v>1</v>
      </c>
      <c r="AA2899" s="321" t="s">
        <v>6210</v>
      </c>
    </row>
    <row r="2900" spans="13:27">
      <c r="M2900" s="321">
        <v>1841005760</v>
      </c>
      <c r="N2900" s="321">
        <v>84</v>
      </c>
      <c r="O2900" s="321" t="s">
        <v>6211</v>
      </c>
      <c r="P2900" s="321">
        <v>5841000</v>
      </c>
      <c r="Q2900" s="322">
        <v>3000</v>
      </c>
      <c r="R2900" s="322">
        <v>0</v>
      </c>
      <c r="S2900" s="322">
        <v>3000</v>
      </c>
      <c r="T2900" s="322">
        <v>3000</v>
      </c>
      <c r="U2900" s="322">
        <f t="shared" si="193"/>
        <v>0</v>
      </c>
      <c r="W2900" s="321">
        <f t="shared" si="194"/>
        <v>760</v>
      </c>
      <c r="X2900" s="321">
        <f t="shared" si="195"/>
        <v>841005</v>
      </c>
      <c r="Y2900" s="321">
        <v>1</v>
      </c>
      <c r="AA2900" s="321" t="s">
        <v>6211</v>
      </c>
    </row>
    <row r="2901" spans="13:27">
      <c r="M2901" s="321">
        <v>1841005840</v>
      </c>
      <c r="N2901" s="321">
        <v>84</v>
      </c>
      <c r="O2901" s="321" t="s">
        <v>5014</v>
      </c>
      <c r="P2901" s="321">
        <v>5841000</v>
      </c>
      <c r="Q2901" s="322">
        <v>33000</v>
      </c>
      <c r="R2901" s="322">
        <v>5200</v>
      </c>
      <c r="S2901" s="322">
        <v>33000</v>
      </c>
      <c r="T2901" s="322">
        <v>33000</v>
      </c>
      <c r="U2901" s="322">
        <f t="shared" si="193"/>
        <v>0</v>
      </c>
      <c r="W2901" s="321">
        <f t="shared" si="194"/>
        <v>840</v>
      </c>
      <c r="X2901" s="321">
        <f t="shared" si="195"/>
        <v>841005</v>
      </c>
      <c r="Y2901" s="321">
        <v>1</v>
      </c>
      <c r="AA2901" s="321" t="s">
        <v>5014</v>
      </c>
    </row>
    <row r="2902" spans="13:27">
      <c r="M2902" s="321">
        <v>1841006110</v>
      </c>
      <c r="N2902" s="321">
        <v>84</v>
      </c>
      <c r="O2902" s="321" t="s">
        <v>5205</v>
      </c>
      <c r="P2902" s="321">
        <v>5841000</v>
      </c>
      <c r="Q2902" s="322">
        <v>3977000</v>
      </c>
      <c r="R2902" s="322">
        <v>3038800</v>
      </c>
      <c r="S2902" s="322">
        <v>4239000</v>
      </c>
      <c r="T2902" s="322">
        <v>4239000</v>
      </c>
      <c r="U2902" s="322">
        <f t="shared" si="193"/>
        <v>0</v>
      </c>
      <c r="W2902" s="321">
        <f t="shared" si="194"/>
        <v>110</v>
      </c>
      <c r="X2902" s="321">
        <f t="shared" si="195"/>
        <v>841006</v>
      </c>
      <c r="Y2902" s="321">
        <v>1</v>
      </c>
      <c r="AA2902" s="321" t="s">
        <v>5205</v>
      </c>
    </row>
    <row r="2903" spans="13:27">
      <c r="M2903" s="321">
        <v>1841006120</v>
      </c>
      <c r="N2903" s="321">
        <v>84</v>
      </c>
      <c r="O2903" s="321" t="s">
        <v>5206</v>
      </c>
      <c r="P2903" s="321">
        <v>5841000</v>
      </c>
      <c r="Q2903" s="322">
        <v>538000</v>
      </c>
      <c r="R2903" s="322">
        <v>438300</v>
      </c>
      <c r="S2903" s="322">
        <v>499000</v>
      </c>
      <c r="T2903" s="322">
        <v>499000</v>
      </c>
      <c r="U2903" s="322">
        <f t="shared" si="193"/>
        <v>0</v>
      </c>
      <c r="W2903" s="321">
        <f t="shared" si="194"/>
        <v>120</v>
      </c>
      <c r="X2903" s="321">
        <f t="shared" si="195"/>
        <v>841006</v>
      </c>
      <c r="Y2903" s="321">
        <v>1</v>
      </c>
      <c r="AA2903" s="321" t="s">
        <v>5206</v>
      </c>
    </row>
    <row r="2904" spans="13:27">
      <c r="M2904" s="321">
        <v>1841006130</v>
      </c>
      <c r="N2904" s="321">
        <v>84</v>
      </c>
      <c r="O2904" s="321" t="s">
        <v>2576</v>
      </c>
      <c r="P2904" s="321">
        <v>5841000</v>
      </c>
      <c r="Q2904" s="322">
        <v>225000</v>
      </c>
      <c r="R2904" s="322">
        <v>190800</v>
      </c>
      <c r="S2904" s="322">
        <v>258000</v>
      </c>
      <c r="T2904" s="322">
        <v>232200</v>
      </c>
      <c r="U2904" s="322">
        <f t="shared" si="193"/>
        <v>25800</v>
      </c>
      <c r="W2904" s="321">
        <f t="shared" si="194"/>
        <v>130</v>
      </c>
      <c r="X2904" s="321">
        <f t="shared" si="195"/>
        <v>841006</v>
      </c>
      <c r="Y2904" s="321">
        <v>1</v>
      </c>
      <c r="AA2904" s="321" t="s">
        <v>2576</v>
      </c>
    </row>
    <row r="2905" spans="13:27">
      <c r="M2905" s="321">
        <v>1841006140</v>
      </c>
      <c r="N2905" s="321">
        <v>84</v>
      </c>
      <c r="O2905" s="321" t="s">
        <v>5207</v>
      </c>
      <c r="P2905" s="321">
        <v>5841000</v>
      </c>
      <c r="Q2905" s="322">
        <v>612000</v>
      </c>
      <c r="R2905" s="322">
        <v>445600</v>
      </c>
      <c r="S2905" s="322">
        <v>726000</v>
      </c>
      <c r="T2905" s="322">
        <v>726000</v>
      </c>
      <c r="U2905" s="322">
        <f t="shared" si="193"/>
        <v>0</v>
      </c>
      <c r="W2905" s="321">
        <f t="shared" si="194"/>
        <v>140</v>
      </c>
      <c r="X2905" s="321">
        <f t="shared" si="195"/>
        <v>841006</v>
      </c>
      <c r="Y2905" s="321">
        <v>1</v>
      </c>
      <c r="AA2905" s="321" t="s">
        <v>5207</v>
      </c>
    </row>
    <row r="2906" spans="13:27">
      <c r="M2906" s="321">
        <v>1841006141</v>
      </c>
      <c r="N2906" s="321">
        <v>84</v>
      </c>
      <c r="O2906" s="321" t="s">
        <v>5208</v>
      </c>
      <c r="P2906" s="321">
        <v>5841000</v>
      </c>
      <c r="Q2906" s="322">
        <v>256000</v>
      </c>
      <c r="R2906" s="322">
        <v>216000</v>
      </c>
      <c r="S2906" s="322">
        <v>299000</v>
      </c>
      <c r="T2906" s="322">
        <v>299000</v>
      </c>
      <c r="U2906" s="322">
        <f t="shared" si="193"/>
        <v>0</v>
      </c>
      <c r="W2906" s="321">
        <f t="shared" si="194"/>
        <v>141</v>
      </c>
      <c r="X2906" s="321">
        <f t="shared" si="195"/>
        <v>841006</v>
      </c>
      <c r="Y2906" s="321">
        <v>1</v>
      </c>
      <c r="AA2906" s="321" t="s">
        <v>5208</v>
      </c>
    </row>
    <row r="2907" spans="13:27">
      <c r="M2907" s="321">
        <v>1841006181</v>
      </c>
      <c r="N2907" s="321">
        <v>84</v>
      </c>
      <c r="O2907" s="321" t="s">
        <v>2580</v>
      </c>
      <c r="P2907" s="321">
        <v>5841000</v>
      </c>
      <c r="Q2907" s="322">
        <v>805000</v>
      </c>
      <c r="R2907" s="322">
        <v>607900</v>
      </c>
      <c r="S2907" s="322">
        <v>842000</v>
      </c>
      <c r="T2907" s="322">
        <v>842000</v>
      </c>
      <c r="U2907" s="322">
        <f t="shared" si="193"/>
        <v>0</v>
      </c>
      <c r="W2907" s="321">
        <f t="shared" si="194"/>
        <v>181</v>
      </c>
      <c r="X2907" s="321">
        <f t="shared" si="195"/>
        <v>841006</v>
      </c>
      <c r="Y2907" s="321">
        <v>1</v>
      </c>
      <c r="AA2907" s="321" t="s">
        <v>2580</v>
      </c>
    </row>
    <row r="2908" spans="13:27">
      <c r="M2908" s="321">
        <v>1841006182</v>
      </c>
      <c r="N2908" s="321">
        <v>84</v>
      </c>
      <c r="O2908" s="321" t="s">
        <v>2582</v>
      </c>
      <c r="P2908" s="321">
        <v>5841000</v>
      </c>
      <c r="Q2908" s="322">
        <v>740000</v>
      </c>
      <c r="R2908" s="322">
        <v>556600</v>
      </c>
      <c r="S2908" s="322">
        <v>815000</v>
      </c>
      <c r="T2908" s="322">
        <v>815000</v>
      </c>
      <c r="U2908" s="322">
        <f t="shared" si="193"/>
        <v>0</v>
      </c>
      <c r="W2908" s="321">
        <f t="shared" si="194"/>
        <v>182</v>
      </c>
      <c r="X2908" s="321">
        <f t="shared" si="195"/>
        <v>841006</v>
      </c>
      <c r="Y2908" s="321">
        <v>1</v>
      </c>
      <c r="AA2908" s="321" t="s">
        <v>2582</v>
      </c>
    </row>
    <row r="2909" spans="13:27">
      <c r="M2909" s="321">
        <v>1841010110</v>
      </c>
      <c r="N2909" s="321">
        <v>84</v>
      </c>
      <c r="O2909" s="321" t="s">
        <v>5205</v>
      </c>
      <c r="P2909" s="321">
        <v>5841000</v>
      </c>
      <c r="Q2909" s="322">
        <v>2577000</v>
      </c>
      <c r="R2909" s="322">
        <v>1959900</v>
      </c>
      <c r="S2909" s="322">
        <v>2656000</v>
      </c>
      <c r="T2909" s="322">
        <v>2656000</v>
      </c>
      <c r="U2909" s="322">
        <f t="shared" si="193"/>
        <v>0</v>
      </c>
      <c r="W2909" s="321">
        <f t="shared" si="194"/>
        <v>110</v>
      </c>
      <c r="X2909" s="321">
        <f t="shared" si="195"/>
        <v>841010</v>
      </c>
      <c r="Y2909" s="321">
        <v>1</v>
      </c>
      <c r="AA2909" s="321" t="s">
        <v>5205</v>
      </c>
    </row>
    <row r="2910" spans="13:27">
      <c r="M2910" s="321">
        <v>1841010120</v>
      </c>
      <c r="N2910" s="321">
        <v>84</v>
      </c>
      <c r="O2910" s="321" t="s">
        <v>5206</v>
      </c>
      <c r="P2910" s="321">
        <v>5841000</v>
      </c>
      <c r="Q2910" s="322">
        <v>405000</v>
      </c>
      <c r="R2910" s="322">
        <v>347000</v>
      </c>
      <c r="S2910" s="322">
        <v>426000</v>
      </c>
      <c r="T2910" s="322">
        <v>426000</v>
      </c>
      <c r="U2910" s="322">
        <f t="shared" si="193"/>
        <v>0</v>
      </c>
      <c r="W2910" s="321">
        <f t="shared" si="194"/>
        <v>120</v>
      </c>
      <c r="X2910" s="321">
        <f t="shared" si="195"/>
        <v>841010</v>
      </c>
      <c r="Y2910" s="321">
        <v>1</v>
      </c>
      <c r="AA2910" s="321" t="s">
        <v>5206</v>
      </c>
    </row>
    <row r="2911" spans="13:27">
      <c r="M2911" s="321">
        <v>1841010130</v>
      </c>
      <c r="N2911" s="321">
        <v>84</v>
      </c>
      <c r="O2911" s="321" t="s">
        <v>2576</v>
      </c>
      <c r="P2911" s="321">
        <v>5841000</v>
      </c>
      <c r="Q2911" s="322">
        <v>220000</v>
      </c>
      <c r="R2911" s="322">
        <v>158700</v>
      </c>
      <c r="S2911" s="322">
        <v>220000</v>
      </c>
      <c r="T2911" s="322">
        <v>198000</v>
      </c>
      <c r="U2911" s="322">
        <f t="shared" si="193"/>
        <v>22000</v>
      </c>
      <c r="W2911" s="321">
        <f t="shared" si="194"/>
        <v>130</v>
      </c>
      <c r="X2911" s="321">
        <f t="shared" si="195"/>
        <v>841010</v>
      </c>
      <c r="Y2911" s="321">
        <v>1</v>
      </c>
      <c r="AA2911" s="321" t="s">
        <v>2576</v>
      </c>
    </row>
    <row r="2912" spans="13:27">
      <c r="M2912" s="321">
        <v>1841010140</v>
      </c>
      <c r="N2912" s="321">
        <v>84</v>
      </c>
      <c r="O2912" s="321" t="s">
        <v>5207</v>
      </c>
      <c r="P2912" s="321">
        <v>5841000</v>
      </c>
      <c r="Q2912" s="322">
        <v>547000</v>
      </c>
      <c r="R2912" s="322">
        <v>366700</v>
      </c>
      <c r="S2912" s="322">
        <v>536000</v>
      </c>
      <c r="T2912" s="322">
        <v>536000</v>
      </c>
      <c r="U2912" s="322">
        <f t="shared" si="193"/>
        <v>0</v>
      </c>
      <c r="W2912" s="321">
        <f t="shared" si="194"/>
        <v>140</v>
      </c>
      <c r="X2912" s="321">
        <f t="shared" si="195"/>
        <v>841010</v>
      </c>
      <c r="Y2912" s="321">
        <v>1</v>
      </c>
      <c r="AA2912" s="321" t="s">
        <v>5207</v>
      </c>
    </row>
    <row r="2913" spans="13:27">
      <c r="M2913" s="321">
        <v>1841010141</v>
      </c>
      <c r="N2913" s="321">
        <v>84</v>
      </c>
      <c r="O2913" s="321" t="s">
        <v>5208</v>
      </c>
      <c r="P2913" s="321">
        <v>5841000</v>
      </c>
      <c r="Q2913" s="322">
        <v>147000</v>
      </c>
      <c r="R2913" s="322">
        <v>120500</v>
      </c>
      <c r="S2913" s="322">
        <v>162000</v>
      </c>
      <c r="T2913" s="322">
        <v>162000</v>
      </c>
      <c r="U2913" s="322">
        <f t="shared" si="193"/>
        <v>0</v>
      </c>
      <c r="W2913" s="321">
        <f t="shared" si="194"/>
        <v>141</v>
      </c>
      <c r="X2913" s="321">
        <f t="shared" si="195"/>
        <v>841010</v>
      </c>
      <c r="Y2913" s="321">
        <v>1</v>
      </c>
      <c r="AA2913" s="321" t="s">
        <v>5208</v>
      </c>
    </row>
    <row r="2914" spans="13:27">
      <c r="M2914" s="321">
        <v>1841010181</v>
      </c>
      <c r="N2914" s="321">
        <v>84</v>
      </c>
      <c r="O2914" s="321" t="s">
        <v>6212</v>
      </c>
      <c r="P2914" s="321">
        <v>5841000</v>
      </c>
      <c r="Q2914" s="322">
        <v>618000</v>
      </c>
      <c r="R2914" s="322">
        <v>449100</v>
      </c>
      <c r="S2914" s="322">
        <v>608000</v>
      </c>
      <c r="T2914" s="322">
        <v>608000</v>
      </c>
      <c r="U2914" s="322">
        <f t="shared" si="193"/>
        <v>0</v>
      </c>
      <c r="W2914" s="321">
        <f t="shared" si="194"/>
        <v>181</v>
      </c>
      <c r="X2914" s="321">
        <f t="shared" si="195"/>
        <v>841010</v>
      </c>
      <c r="Y2914" s="321">
        <v>1</v>
      </c>
      <c r="AA2914" s="321" t="s">
        <v>6212</v>
      </c>
    </row>
    <row r="2915" spans="13:27">
      <c r="M2915" s="321">
        <v>1841010182</v>
      </c>
      <c r="N2915" s="321">
        <v>84</v>
      </c>
      <c r="O2915" s="321" t="s">
        <v>2582</v>
      </c>
      <c r="P2915" s="321">
        <v>5841000</v>
      </c>
      <c r="Q2915" s="322">
        <v>522000</v>
      </c>
      <c r="R2915" s="322">
        <v>391100</v>
      </c>
      <c r="S2915" s="322">
        <v>555000</v>
      </c>
      <c r="T2915" s="322">
        <v>555000</v>
      </c>
      <c r="U2915" s="322">
        <f t="shared" si="193"/>
        <v>0</v>
      </c>
      <c r="W2915" s="321">
        <f t="shared" si="194"/>
        <v>182</v>
      </c>
      <c r="X2915" s="321">
        <f t="shared" si="195"/>
        <v>841010</v>
      </c>
      <c r="Y2915" s="321">
        <v>1</v>
      </c>
      <c r="AA2915" s="321" t="s">
        <v>2582</v>
      </c>
    </row>
    <row r="2916" spans="13:27">
      <c r="M2916" s="321">
        <v>1841010471</v>
      </c>
      <c r="N2916" s="321">
        <v>84</v>
      </c>
      <c r="O2916" s="321" t="s">
        <v>6213</v>
      </c>
      <c r="P2916" s="321">
        <v>5841000</v>
      </c>
      <c r="Q2916" s="322">
        <v>7000</v>
      </c>
      <c r="R2916" s="322">
        <v>5400</v>
      </c>
      <c r="S2916" s="322">
        <v>7700</v>
      </c>
      <c r="T2916" s="322">
        <v>7700</v>
      </c>
      <c r="U2916" s="322">
        <f t="shared" si="193"/>
        <v>0</v>
      </c>
      <c r="W2916" s="321">
        <f t="shared" si="194"/>
        <v>471</v>
      </c>
      <c r="X2916" s="321">
        <f t="shared" si="195"/>
        <v>841010</v>
      </c>
      <c r="Y2916" s="321">
        <v>1</v>
      </c>
      <c r="AA2916" s="321" t="s">
        <v>6213</v>
      </c>
    </row>
    <row r="2917" spans="13:27">
      <c r="M2917" s="321">
        <v>1841010540</v>
      </c>
      <c r="N2917" s="321">
        <v>84</v>
      </c>
      <c r="O2917" s="321" t="s">
        <v>6214</v>
      </c>
      <c r="P2917" s="321">
        <v>5841000</v>
      </c>
      <c r="Q2917" s="322">
        <v>60000</v>
      </c>
      <c r="R2917" s="322">
        <v>34700</v>
      </c>
      <c r="S2917" s="322">
        <v>85000</v>
      </c>
      <c r="T2917" s="322">
        <v>85000</v>
      </c>
      <c r="U2917" s="322">
        <f t="shared" si="193"/>
        <v>0</v>
      </c>
      <c r="W2917" s="321">
        <f t="shared" si="194"/>
        <v>540</v>
      </c>
      <c r="X2917" s="321">
        <f t="shared" si="195"/>
        <v>841010</v>
      </c>
      <c r="Y2917" s="321">
        <v>1</v>
      </c>
      <c r="AA2917" s="321" t="s">
        <v>6214</v>
      </c>
    </row>
    <row r="2918" spans="13:27">
      <c r="M2918" s="321">
        <v>1841020110</v>
      </c>
      <c r="N2918" s="321">
        <v>84</v>
      </c>
      <c r="O2918" s="321" t="s">
        <v>5205</v>
      </c>
      <c r="P2918" s="321">
        <v>5841000</v>
      </c>
      <c r="Q2918" s="322">
        <v>2331000</v>
      </c>
      <c r="R2918" s="322">
        <v>1589600</v>
      </c>
      <c r="S2918" s="322">
        <v>2256000</v>
      </c>
      <c r="T2918" s="322">
        <v>2256000</v>
      </c>
      <c r="U2918" s="322">
        <f t="shared" si="193"/>
        <v>0</v>
      </c>
      <c r="W2918" s="321">
        <f t="shared" si="194"/>
        <v>110</v>
      </c>
      <c r="X2918" s="321">
        <f t="shared" si="195"/>
        <v>841020</v>
      </c>
      <c r="Y2918" s="321">
        <v>1</v>
      </c>
      <c r="AA2918" s="321" t="s">
        <v>5205</v>
      </c>
    </row>
    <row r="2919" spans="13:27">
      <c r="M2919" s="321">
        <v>1841020120</v>
      </c>
      <c r="N2919" s="321">
        <v>84</v>
      </c>
      <c r="O2919" s="321" t="s">
        <v>5206</v>
      </c>
      <c r="P2919" s="321">
        <v>5841000</v>
      </c>
      <c r="Q2919" s="322">
        <v>302000</v>
      </c>
      <c r="R2919" s="322">
        <v>274800</v>
      </c>
      <c r="S2919" s="322">
        <v>335000</v>
      </c>
      <c r="T2919" s="322">
        <v>335000</v>
      </c>
      <c r="U2919" s="322">
        <f t="shared" si="193"/>
        <v>0</v>
      </c>
      <c r="W2919" s="321">
        <f t="shared" si="194"/>
        <v>120</v>
      </c>
      <c r="X2919" s="321">
        <f t="shared" si="195"/>
        <v>841020</v>
      </c>
      <c r="Y2919" s="321">
        <v>1</v>
      </c>
      <c r="AA2919" s="321" t="s">
        <v>5206</v>
      </c>
    </row>
    <row r="2920" spans="13:27">
      <c r="M2920" s="321">
        <v>1841020130</v>
      </c>
      <c r="N2920" s="321">
        <v>84</v>
      </c>
      <c r="O2920" s="321" t="s">
        <v>2576</v>
      </c>
      <c r="P2920" s="321">
        <v>5841000</v>
      </c>
      <c r="Q2920" s="322">
        <v>106000</v>
      </c>
      <c r="R2920" s="322">
        <v>84000</v>
      </c>
      <c r="S2920" s="322">
        <v>119000</v>
      </c>
      <c r="T2920" s="322">
        <v>107100</v>
      </c>
      <c r="U2920" s="322">
        <f t="shared" si="193"/>
        <v>11900</v>
      </c>
      <c r="W2920" s="321">
        <f t="shared" si="194"/>
        <v>130</v>
      </c>
      <c r="X2920" s="321">
        <f t="shared" si="195"/>
        <v>841020</v>
      </c>
      <c r="Y2920" s="321">
        <v>1</v>
      </c>
      <c r="AA2920" s="321" t="s">
        <v>2576</v>
      </c>
    </row>
    <row r="2921" spans="13:27">
      <c r="M2921" s="321">
        <v>1841020140</v>
      </c>
      <c r="N2921" s="321">
        <v>84</v>
      </c>
      <c r="O2921" s="321" t="s">
        <v>5207</v>
      </c>
      <c r="P2921" s="321">
        <v>5841000</v>
      </c>
      <c r="Q2921" s="322">
        <v>367000</v>
      </c>
      <c r="R2921" s="322">
        <v>211300</v>
      </c>
      <c r="S2921" s="322">
        <v>317000</v>
      </c>
      <c r="T2921" s="322">
        <v>317000</v>
      </c>
      <c r="U2921" s="322">
        <f t="shared" si="193"/>
        <v>0</v>
      </c>
      <c r="W2921" s="321">
        <f t="shared" si="194"/>
        <v>140</v>
      </c>
      <c r="X2921" s="321">
        <f t="shared" si="195"/>
        <v>841020</v>
      </c>
      <c r="Y2921" s="321">
        <v>1</v>
      </c>
      <c r="AA2921" s="321" t="s">
        <v>5207</v>
      </c>
    </row>
    <row r="2922" spans="13:27">
      <c r="M2922" s="321">
        <v>1841020141</v>
      </c>
      <c r="N2922" s="321">
        <v>84</v>
      </c>
      <c r="O2922" s="321" t="s">
        <v>6215</v>
      </c>
      <c r="P2922" s="321">
        <v>5841000</v>
      </c>
      <c r="Q2922" s="322">
        <v>147000</v>
      </c>
      <c r="R2922" s="322">
        <v>109300</v>
      </c>
      <c r="S2922" s="322">
        <v>154000</v>
      </c>
      <c r="T2922" s="322">
        <v>154000</v>
      </c>
      <c r="U2922" s="322">
        <f t="shared" si="193"/>
        <v>0</v>
      </c>
      <c r="W2922" s="321">
        <f t="shared" si="194"/>
        <v>141</v>
      </c>
      <c r="X2922" s="321">
        <f t="shared" si="195"/>
        <v>841020</v>
      </c>
      <c r="Y2922" s="321">
        <v>1</v>
      </c>
      <c r="AA2922" s="321" t="s">
        <v>6215</v>
      </c>
    </row>
    <row r="2923" spans="13:27">
      <c r="M2923" s="321">
        <v>1841020181</v>
      </c>
      <c r="N2923" s="321">
        <v>84</v>
      </c>
      <c r="O2923" s="321" t="s">
        <v>2580</v>
      </c>
      <c r="P2923" s="321">
        <v>5841000</v>
      </c>
      <c r="Q2923" s="322">
        <v>570000</v>
      </c>
      <c r="R2923" s="322">
        <v>373700</v>
      </c>
      <c r="S2923" s="322">
        <v>534000</v>
      </c>
      <c r="T2923" s="322">
        <v>534000</v>
      </c>
      <c r="U2923" s="322">
        <f t="shared" si="193"/>
        <v>0</v>
      </c>
      <c r="W2923" s="321">
        <f t="shared" si="194"/>
        <v>181</v>
      </c>
      <c r="X2923" s="321">
        <f t="shared" si="195"/>
        <v>841020</v>
      </c>
      <c r="Y2923" s="321">
        <v>1</v>
      </c>
      <c r="AA2923" s="321" t="s">
        <v>2580</v>
      </c>
    </row>
    <row r="2924" spans="13:27">
      <c r="M2924" s="321">
        <v>1841020182</v>
      </c>
      <c r="N2924" s="321">
        <v>84</v>
      </c>
      <c r="O2924" s="321" t="s">
        <v>2582</v>
      </c>
      <c r="P2924" s="321">
        <v>5841000</v>
      </c>
      <c r="Q2924" s="322">
        <v>429000</v>
      </c>
      <c r="R2924" s="322">
        <v>294800</v>
      </c>
      <c r="S2924" s="322">
        <v>438000</v>
      </c>
      <c r="T2924" s="322">
        <v>438000</v>
      </c>
      <c r="U2924" s="322">
        <f t="shared" si="193"/>
        <v>0</v>
      </c>
      <c r="W2924" s="321">
        <f t="shared" si="194"/>
        <v>182</v>
      </c>
      <c r="X2924" s="321">
        <f t="shared" si="195"/>
        <v>841020</v>
      </c>
      <c r="Y2924" s="321">
        <v>1</v>
      </c>
      <c r="AA2924" s="321" t="s">
        <v>2582</v>
      </c>
    </row>
    <row r="2925" spans="13:27">
      <c r="M2925" s="321">
        <v>1841020471</v>
      </c>
      <c r="N2925" s="321">
        <v>84</v>
      </c>
      <c r="O2925" s="321" t="s">
        <v>6216</v>
      </c>
      <c r="P2925" s="321">
        <v>5841000</v>
      </c>
      <c r="Q2925" s="322">
        <v>5800</v>
      </c>
      <c r="R2925" s="322">
        <v>5000</v>
      </c>
      <c r="S2925" s="322">
        <v>6400</v>
      </c>
      <c r="T2925" s="322">
        <v>6400</v>
      </c>
      <c r="U2925" s="322">
        <f t="shared" si="193"/>
        <v>0</v>
      </c>
      <c r="W2925" s="321">
        <f t="shared" si="194"/>
        <v>471</v>
      </c>
      <c r="X2925" s="321">
        <f t="shared" si="195"/>
        <v>841020</v>
      </c>
      <c r="Y2925" s="321">
        <v>1</v>
      </c>
      <c r="AA2925" s="321" t="s">
        <v>6216</v>
      </c>
    </row>
    <row r="2926" spans="13:27">
      <c r="M2926" s="321">
        <v>1841020540</v>
      </c>
      <c r="N2926" s="321">
        <v>84</v>
      </c>
      <c r="O2926" s="321" t="s">
        <v>6217</v>
      </c>
      <c r="P2926" s="321">
        <v>5841000</v>
      </c>
      <c r="Q2926" s="322">
        <v>80000</v>
      </c>
      <c r="R2926" s="322">
        <v>43000</v>
      </c>
      <c r="S2926" s="322">
        <v>80000</v>
      </c>
      <c r="T2926" s="322">
        <v>80000</v>
      </c>
      <c r="U2926" s="322">
        <f t="shared" si="193"/>
        <v>0</v>
      </c>
      <c r="W2926" s="321">
        <f t="shared" si="194"/>
        <v>540</v>
      </c>
      <c r="X2926" s="321">
        <f t="shared" si="195"/>
        <v>841020</v>
      </c>
      <c r="Y2926" s="321">
        <v>1</v>
      </c>
      <c r="AA2926" s="321" t="s">
        <v>6217</v>
      </c>
    </row>
    <row r="2927" spans="13:27">
      <c r="M2927" s="321">
        <v>1841021471</v>
      </c>
      <c r="N2927" s="321">
        <v>84</v>
      </c>
      <c r="O2927" s="321" t="s">
        <v>6218</v>
      </c>
      <c r="P2927" s="321">
        <v>5841000</v>
      </c>
      <c r="Q2927" s="322">
        <v>0</v>
      </c>
      <c r="R2927" s="322">
        <v>0</v>
      </c>
      <c r="S2927" s="322">
        <v>1500</v>
      </c>
      <c r="T2927" s="322">
        <v>1500</v>
      </c>
      <c r="U2927" s="322">
        <f t="shared" si="193"/>
        <v>0</v>
      </c>
      <c r="W2927" s="321">
        <f t="shared" si="194"/>
        <v>471</v>
      </c>
      <c r="X2927" s="321">
        <f t="shared" si="195"/>
        <v>841021</v>
      </c>
      <c r="Y2927" s="321">
        <v>1</v>
      </c>
      <c r="AA2927" s="321" t="s">
        <v>6218</v>
      </c>
    </row>
    <row r="2928" spans="13:27">
      <c r="M2928" s="321">
        <v>1841030110</v>
      </c>
      <c r="N2928" s="321">
        <v>84</v>
      </c>
      <c r="O2928" s="321" t="s">
        <v>5205</v>
      </c>
      <c r="P2928" s="321">
        <v>5841000</v>
      </c>
      <c r="Q2928" s="322">
        <v>2479000</v>
      </c>
      <c r="R2928" s="322">
        <v>1964400</v>
      </c>
      <c r="S2928" s="322">
        <v>2836000</v>
      </c>
      <c r="T2928" s="322">
        <v>2836000</v>
      </c>
      <c r="U2928" s="322">
        <f t="shared" si="193"/>
        <v>0</v>
      </c>
      <c r="W2928" s="321">
        <f t="shared" si="194"/>
        <v>110</v>
      </c>
      <c r="X2928" s="321">
        <f t="shared" si="195"/>
        <v>841030</v>
      </c>
      <c r="Y2928" s="321">
        <v>1</v>
      </c>
      <c r="AA2928" s="321" t="s">
        <v>5205</v>
      </c>
    </row>
    <row r="2929" spans="13:27">
      <c r="M2929" s="321">
        <v>1841030120</v>
      </c>
      <c r="N2929" s="321">
        <v>84</v>
      </c>
      <c r="O2929" s="321" t="s">
        <v>5206</v>
      </c>
      <c r="P2929" s="321">
        <v>5841000</v>
      </c>
      <c r="Q2929" s="322">
        <v>361000</v>
      </c>
      <c r="R2929" s="322">
        <v>304500</v>
      </c>
      <c r="S2929" s="322">
        <v>359000</v>
      </c>
      <c r="T2929" s="322">
        <v>359000</v>
      </c>
      <c r="U2929" s="322">
        <f t="shared" si="193"/>
        <v>0</v>
      </c>
      <c r="W2929" s="321">
        <f t="shared" si="194"/>
        <v>120</v>
      </c>
      <c r="X2929" s="321">
        <f t="shared" si="195"/>
        <v>841030</v>
      </c>
      <c r="Y2929" s="321">
        <v>1</v>
      </c>
      <c r="AA2929" s="321" t="s">
        <v>5206</v>
      </c>
    </row>
    <row r="2930" spans="13:27">
      <c r="M2930" s="321">
        <v>1841030130</v>
      </c>
      <c r="N2930" s="321">
        <v>84</v>
      </c>
      <c r="O2930" s="321" t="s">
        <v>2576</v>
      </c>
      <c r="P2930" s="321">
        <v>5841000</v>
      </c>
      <c r="Q2930" s="322">
        <v>87000</v>
      </c>
      <c r="R2930" s="322">
        <v>74000</v>
      </c>
      <c r="S2930" s="322">
        <v>108000</v>
      </c>
      <c r="T2930" s="322">
        <v>97200</v>
      </c>
      <c r="U2930" s="322">
        <f t="shared" si="193"/>
        <v>10800</v>
      </c>
      <c r="W2930" s="321">
        <f t="shared" si="194"/>
        <v>130</v>
      </c>
      <c r="X2930" s="321">
        <f t="shared" si="195"/>
        <v>841030</v>
      </c>
      <c r="Y2930" s="321">
        <v>1</v>
      </c>
      <c r="AA2930" s="321" t="s">
        <v>2576</v>
      </c>
    </row>
    <row r="2931" spans="13:27">
      <c r="M2931" s="321">
        <v>1841030140</v>
      </c>
      <c r="N2931" s="321">
        <v>84</v>
      </c>
      <c r="O2931" s="321" t="s">
        <v>5207</v>
      </c>
      <c r="P2931" s="321">
        <v>5841000</v>
      </c>
      <c r="Q2931" s="322">
        <v>355000</v>
      </c>
      <c r="R2931" s="322">
        <v>302900</v>
      </c>
      <c r="S2931" s="322">
        <v>433000</v>
      </c>
      <c r="T2931" s="322">
        <v>433000</v>
      </c>
      <c r="U2931" s="322">
        <f t="shared" si="193"/>
        <v>0</v>
      </c>
      <c r="W2931" s="321">
        <f t="shared" si="194"/>
        <v>140</v>
      </c>
      <c r="X2931" s="321">
        <f t="shared" si="195"/>
        <v>841030</v>
      </c>
      <c r="Y2931" s="321">
        <v>1</v>
      </c>
      <c r="AA2931" s="321" t="s">
        <v>5207</v>
      </c>
    </row>
    <row r="2932" spans="13:27">
      <c r="M2932" s="321">
        <v>1841030141</v>
      </c>
      <c r="N2932" s="321">
        <v>84</v>
      </c>
      <c r="O2932" s="321" t="s">
        <v>5208</v>
      </c>
      <c r="P2932" s="321">
        <v>5841000</v>
      </c>
      <c r="Q2932" s="322">
        <v>173000</v>
      </c>
      <c r="R2932" s="322">
        <v>147400</v>
      </c>
      <c r="S2932" s="322">
        <v>217000</v>
      </c>
      <c r="T2932" s="322">
        <v>217000</v>
      </c>
      <c r="U2932" s="322">
        <f t="shared" si="193"/>
        <v>0</v>
      </c>
      <c r="W2932" s="321">
        <f t="shared" si="194"/>
        <v>141</v>
      </c>
      <c r="X2932" s="321">
        <f t="shared" si="195"/>
        <v>841030</v>
      </c>
      <c r="Y2932" s="321">
        <v>1</v>
      </c>
      <c r="AA2932" s="321" t="s">
        <v>5208</v>
      </c>
    </row>
    <row r="2933" spans="13:27">
      <c r="M2933" s="321">
        <v>1841030181</v>
      </c>
      <c r="N2933" s="321">
        <v>84</v>
      </c>
      <c r="O2933" s="321" t="s">
        <v>2580</v>
      </c>
      <c r="P2933" s="321">
        <v>5841000</v>
      </c>
      <c r="Q2933" s="322">
        <v>491000</v>
      </c>
      <c r="R2933" s="322">
        <v>431300</v>
      </c>
      <c r="S2933" s="322">
        <v>617000</v>
      </c>
      <c r="T2933" s="322">
        <v>617000</v>
      </c>
      <c r="U2933" s="322">
        <f t="shared" si="193"/>
        <v>0</v>
      </c>
      <c r="W2933" s="321">
        <f t="shared" si="194"/>
        <v>181</v>
      </c>
      <c r="X2933" s="321">
        <f t="shared" si="195"/>
        <v>841030</v>
      </c>
      <c r="Y2933" s="321">
        <v>1</v>
      </c>
      <c r="AA2933" s="321" t="s">
        <v>2580</v>
      </c>
    </row>
    <row r="2934" spans="13:27">
      <c r="M2934" s="321">
        <v>1841030182</v>
      </c>
      <c r="N2934" s="321">
        <v>84</v>
      </c>
      <c r="O2934" s="321" t="s">
        <v>2582</v>
      </c>
      <c r="P2934" s="321">
        <v>5841000</v>
      </c>
      <c r="Q2934" s="322">
        <v>457000</v>
      </c>
      <c r="R2934" s="322">
        <v>364900</v>
      </c>
      <c r="S2934" s="322">
        <v>541000</v>
      </c>
      <c r="T2934" s="322">
        <v>541000</v>
      </c>
      <c r="U2934" s="322">
        <f t="shared" si="193"/>
        <v>0</v>
      </c>
      <c r="W2934" s="321">
        <f t="shared" si="194"/>
        <v>182</v>
      </c>
      <c r="X2934" s="321">
        <f t="shared" si="195"/>
        <v>841030</v>
      </c>
      <c r="Y2934" s="321">
        <v>1</v>
      </c>
      <c r="AA2934" s="321" t="s">
        <v>2582</v>
      </c>
    </row>
    <row r="2935" spans="13:27">
      <c r="M2935" s="321">
        <v>1841030471</v>
      </c>
      <c r="N2935" s="321">
        <v>84</v>
      </c>
      <c r="O2935" s="321" t="s">
        <v>6219</v>
      </c>
      <c r="P2935" s="321">
        <v>5841000</v>
      </c>
      <c r="Q2935" s="322">
        <v>7000</v>
      </c>
      <c r="R2935" s="322">
        <v>0</v>
      </c>
      <c r="S2935" s="322">
        <v>7700</v>
      </c>
      <c r="T2935" s="322">
        <v>7700</v>
      </c>
      <c r="U2935" s="322">
        <f t="shared" si="193"/>
        <v>0</v>
      </c>
      <c r="W2935" s="321">
        <f t="shared" si="194"/>
        <v>471</v>
      </c>
      <c r="X2935" s="321">
        <f t="shared" si="195"/>
        <v>841030</v>
      </c>
      <c r="Y2935" s="321">
        <v>1</v>
      </c>
      <c r="AA2935" s="321" t="s">
        <v>6219</v>
      </c>
    </row>
    <row r="2936" spans="13:27">
      <c r="M2936" s="321">
        <v>1841030540</v>
      </c>
      <c r="N2936" s="321">
        <v>84</v>
      </c>
      <c r="O2936" s="321" t="s">
        <v>6220</v>
      </c>
      <c r="P2936" s="321">
        <v>5841000</v>
      </c>
      <c r="Q2936" s="322">
        <v>55000</v>
      </c>
      <c r="R2936" s="322">
        <v>31300</v>
      </c>
      <c r="S2936" s="322">
        <v>55000</v>
      </c>
      <c r="T2936" s="322">
        <v>55000</v>
      </c>
      <c r="U2936" s="322">
        <f t="shared" si="193"/>
        <v>0</v>
      </c>
      <c r="W2936" s="321">
        <f t="shared" si="194"/>
        <v>540</v>
      </c>
      <c r="X2936" s="321">
        <f t="shared" si="195"/>
        <v>841030</v>
      </c>
      <c r="Y2936" s="321">
        <v>1</v>
      </c>
      <c r="AA2936" s="321" t="s">
        <v>6220</v>
      </c>
    </row>
    <row r="2937" spans="13:27">
      <c r="M2937" s="321">
        <v>1841040110</v>
      </c>
      <c r="N2937" s="321">
        <v>84</v>
      </c>
      <c r="O2937" s="321" t="s">
        <v>5205</v>
      </c>
      <c r="P2937" s="321">
        <v>5841000</v>
      </c>
      <c r="Q2937" s="322">
        <v>2082000</v>
      </c>
      <c r="R2937" s="322">
        <v>1656900</v>
      </c>
      <c r="S2937" s="322">
        <v>2239000</v>
      </c>
      <c r="T2937" s="322">
        <v>2239000</v>
      </c>
      <c r="U2937" s="322">
        <f t="shared" si="193"/>
        <v>0</v>
      </c>
      <c r="W2937" s="321">
        <f t="shared" si="194"/>
        <v>110</v>
      </c>
      <c r="X2937" s="321">
        <f t="shared" si="195"/>
        <v>841040</v>
      </c>
      <c r="Y2937" s="321">
        <v>1</v>
      </c>
      <c r="AA2937" s="321" t="s">
        <v>5205</v>
      </c>
    </row>
    <row r="2938" spans="13:27">
      <c r="M2938" s="321">
        <v>1841040120</v>
      </c>
      <c r="N2938" s="321">
        <v>84</v>
      </c>
      <c r="O2938" s="321" t="s">
        <v>5206</v>
      </c>
      <c r="P2938" s="321">
        <v>5841000</v>
      </c>
      <c r="Q2938" s="322">
        <v>266000</v>
      </c>
      <c r="R2938" s="322">
        <v>239600</v>
      </c>
      <c r="S2938" s="322">
        <v>272000</v>
      </c>
      <c r="T2938" s="322">
        <v>272000</v>
      </c>
      <c r="U2938" s="322">
        <f t="shared" si="193"/>
        <v>0</v>
      </c>
      <c r="W2938" s="321">
        <f t="shared" si="194"/>
        <v>120</v>
      </c>
      <c r="X2938" s="321">
        <f t="shared" si="195"/>
        <v>841040</v>
      </c>
      <c r="Y2938" s="321">
        <v>1</v>
      </c>
      <c r="AA2938" s="321" t="s">
        <v>5206</v>
      </c>
    </row>
    <row r="2939" spans="13:27">
      <c r="M2939" s="321">
        <v>1841040130</v>
      </c>
      <c r="N2939" s="321">
        <v>84</v>
      </c>
      <c r="O2939" s="321" t="s">
        <v>2576</v>
      </c>
      <c r="P2939" s="321">
        <v>5841000</v>
      </c>
      <c r="Q2939" s="322">
        <v>68000</v>
      </c>
      <c r="R2939" s="322">
        <v>67400</v>
      </c>
      <c r="S2939" s="322">
        <v>88000</v>
      </c>
      <c r="T2939" s="322">
        <v>79200</v>
      </c>
      <c r="U2939" s="322">
        <f t="shared" si="193"/>
        <v>8800</v>
      </c>
      <c r="W2939" s="321">
        <f t="shared" si="194"/>
        <v>130</v>
      </c>
      <c r="X2939" s="321">
        <f t="shared" si="195"/>
        <v>841040</v>
      </c>
      <c r="Y2939" s="321">
        <v>1</v>
      </c>
      <c r="AA2939" s="321" t="s">
        <v>2576</v>
      </c>
    </row>
    <row r="2940" spans="13:27">
      <c r="M2940" s="321">
        <v>1841040140</v>
      </c>
      <c r="N2940" s="321">
        <v>84</v>
      </c>
      <c r="O2940" s="321" t="s">
        <v>5207</v>
      </c>
      <c r="P2940" s="321">
        <v>5841000</v>
      </c>
      <c r="Q2940" s="322">
        <v>349000</v>
      </c>
      <c r="R2940" s="322">
        <v>299000</v>
      </c>
      <c r="S2940" s="322">
        <v>364000</v>
      </c>
      <c r="T2940" s="322">
        <v>364000</v>
      </c>
      <c r="U2940" s="322">
        <f t="shared" si="193"/>
        <v>0</v>
      </c>
      <c r="W2940" s="321">
        <f t="shared" si="194"/>
        <v>140</v>
      </c>
      <c r="X2940" s="321">
        <f t="shared" si="195"/>
        <v>841040</v>
      </c>
      <c r="Y2940" s="321">
        <v>1</v>
      </c>
      <c r="AA2940" s="321" t="s">
        <v>5207</v>
      </c>
    </row>
    <row r="2941" spans="13:27">
      <c r="M2941" s="321">
        <v>1841040141</v>
      </c>
      <c r="N2941" s="321">
        <v>84</v>
      </c>
      <c r="O2941" s="321" t="s">
        <v>5208</v>
      </c>
      <c r="P2941" s="321">
        <v>5841000</v>
      </c>
      <c r="Q2941" s="322">
        <v>138000</v>
      </c>
      <c r="R2941" s="322">
        <v>118400</v>
      </c>
      <c r="S2941" s="322">
        <v>158000</v>
      </c>
      <c r="T2941" s="322">
        <v>158000</v>
      </c>
      <c r="U2941" s="322">
        <f t="shared" si="193"/>
        <v>0</v>
      </c>
      <c r="W2941" s="321">
        <f t="shared" si="194"/>
        <v>141</v>
      </c>
      <c r="X2941" s="321">
        <f t="shared" si="195"/>
        <v>841040</v>
      </c>
      <c r="Y2941" s="321">
        <v>1</v>
      </c>
      <c r="AA2941" s="321" t="s">
        <v>5208</v>
      </c>
    </row>
    <row r="2942" spans="13:27">
      <c r="M2942" s="321">
        <v>1841040181</v>
      </c>
      <c r="N2942" s="321">
        <v>84</v>
      </c>
      <c r="O2942" s="321" t="s">
        <v>2580</v>
      </c>
      <c r="P2942" s="321">
        <v>5841000</v>
      </c>
      <c r="Q2942" s="322">
        <v>472000</v>
      </c>
      <c r="R2942" s="322">
        <v>366100</v>
      </c>
      <c r="S2942" s="322">
        <v>489000</v>
      </c>
      <c r="T2942" s="322">
        <v>489000</v>
      </c>
      <c r="U2942" s="322">
        <f t="shared" si="193"/>
        <v>0</v>
      </c>
      <c r="W2942" s="321">
        <f t="shared" si="194"/>
        <v>181</v>
      </c>
      <c r="X2942" s="321">
        <f t="shared" si="195"/>
        <v>841040</v>
      </c>
      <c r="Y2942" s="321">
        <v>1</v>
      </c>
      <c r="AA2942" s="321" t="s">
        <v>2580</v>
      </c>
    </row>
    <row r="2943" spans="13:27">
      <c r="M2943" s="321">
        <v>1841040182</v>
      </c>
      <c r="N2943" s="321">
        <v>84</v>
      </c>
      <c r="O2943" s="321" t="s">
        <v>2582</v>
      </c>
      <c r="P2943" s="321">
        <v>5841000</v>
      </c>
      <c r="Q2943" s="322">
        <v>383000</v>
      </c>
      <c r="R2943" s="322">
        <v>309600</v>
      </c>
      <c r="S2943" s="322">
        <v>423000</v>
      </c>
      <c r="T2943" s="322">
        <v>423000</v>
      </c>
      <c r="U2943" s="322">
        <f t="shared" si="193"/>
        <v>0</v>
      </c>
      <c r="W2943" s="321">
        <f t="shared" si="194"/>
        <v>182</v>
      </c>
      <c r="X2943" s="321">
        <f t="shared" si="195"/>
        <v>841040</v>
      </c>
      <c r="Y2943" s="321">
        <v>1</v>
      </c>
      <c r="AA2943" s="321" t="s">
        <v>2582</v>
      </c>
    </row>
    <row r="2944" spans="13:27">
      <c r="M2944" s="321">
        <v>1841040471</v>
      </c>
      <c r="N2944" s="321">
        <v>84</v>
      </c>
      <c r="O2944" s="321" t="s">
        <v>6221</v>
      </c>
      <c r="P2944" s="321">
        <v>5841000</v>
      </c>
      <c r="Q2944" s="322">
        <v>4700</v>
      </c>
      <c r="R2944" s="322">
        <v>0</v>
      </c>
      <c r="S2944" s="322">
        <v>5200</v>
      </c>
      <c r="T2944" s="322">
        <v>5200</v>
      </c>
      <c r="U2944" s="322">
        <f t="shared" si="193"/>
        <v>0</v>
      </c>
      <c r="W2944" s="321">
        <f t="shared" si="194"/>
        <v>471</v>
      </c>
      <c r="X2944" s="321">
        <f t="shared" si="195"/>
        <v>841040</v>
      </c>
      <c r="Y2944" s="321">
        <v>1</v>
      </c>
      <c r="AA2944" s="321" t="s">
        <v>6221</v>
      </c>
    </row>
    <row r="2945" spans="13:27">
      <c r="M2945" s="321">
        <v>1841040540</v>
      </c>
      <c r="N2945" s="321">
        <v>84</v>
      </c>
      <c r="O2945" s="321" t="s">
        <v>6222</v>
      </c>
      <c r="P2945" s="321">
        <v>5841000</v>
      </c>
      <c r="Q2945" s="322">
        <v>40000</v>
      </c>
      <c r="R2945" s="322">
        <v>21700</v>
      </c>
      <c r="S2945" s="322">
        <v>40000</v>
      </c>
      <c r="T2945" s="322">
        <v>40000</v>
      </c>
      <c r="U2945" s="322">
        <f t="shared" si="193"/>
        <v>0</v>
      </c>
      <c r="W2945" s="321">
        <f t="shared" si="194"/>
        <v>540</v>
      </c>
      <c r="X2945" s="321">
        <f t="shared" si="195"/>
        <v>841040</v>
      </c>
      <c r="Y2945" s="321">
        <v>1</v>
      </c>
      <c r="AA2945" s="321" t="s">
        <v>6222</v>
      </c>
    </row>
    <row r="2946" spans="13:27">
      <c r="M2946" s="321">
        <v>1841050110</v>
      </c>
      <c r="N2946" s="321">
        <v>84</v>
      </c>
      <c r="O2946" s="321" t="s">
        <v>5205</v>
      </c>
      <c r="P2946" s="321">
        <v>5841000</v>
      </c>
      <c r="Q2946" s="322">
        <v>1848000</v>
      </c>
      <c r="R2946" s="322">
        <v>1369900</v>
      </c>
      <c r="S2946" s="322">
        <v>1949000</v>
      </c>
      <c r="T2946" s="322">
        <v>1949000</v>
      </c>
      <c r="U2946" s="322">
        <f t="shared" ref="U2946:U3009" si="196">S2946-T2946</f>
        <v>0</v>
      </c>
      <c r="W2946" s="321">
        <f t="shared" si="194"/>
        <v>110</v>
      </c>
      <c r="X2946" s="321">
        <f t="shared" si="195"/>
        <v>841050</v>
      </c>
      <c r="Y2946" s="321">
        <v>1</v>
      </c>
      <c r="AA2946" s="321" t="s">
        <v>5205</v>
      </c>
    </row>
    <row r="2947" spans="13:27">
      <c r="M2947" s="321">
        <v>1841050120</v>
      </c>
      <c r="N2947" s="321">
        <v>84</v>
      </c>
      <c r="O2947" s="321" t="s">
        <v>5206</v>
      </c>
      <c r="P2947" s="321">
        <v>5841000</v>
      </c>
      <c r="Q2947" s="322">
        <v>294000</v>
      </c>
      <c r="R2947" s="322">
        <v>265700</v>
      </c>
      <c r="S2947" s="322">
        <v>329000</v>
      </c>
      <c r="T2947" s="322">
        <v>329000</v>
      </c>
      <c r="U2947" s="322">
        <f t="shared" si="196"/>
        <v>0</v>
      </c>
      <c r="W2947" s="321">
        <f t="shared" ref="W2947:W3010" si="197">M2947-1000000000-X2947*1000</f>
        <v>120</v>
      </c>
      <c r="X2947" s="321">
        <f t="shared" ref="X2947:X3010" si="198">ROUNDDOWN((M2947-1000000000)/1000,0)</f>
        <v>841050</v>
      </c>
      <c r="Y2947" s="321">
        <v>1</v>
      </c>
      <c r="AA2947" s="321" t="s">
        <v>5206</v>
      </c>
    </row>
    <row r="2948" spans="13:27">
      <c r="M2948" s="321">
        <v>1841050130</v>
      </c>
      <c r="N2948" s="321">
        <v>84</v>
      </c>
      <c r="O2948" s="321" t="s">
        <v>2576</v>
      </c>
      <c r="P2948" s="321">
        <v>5841000</v>
      </c>
      <c r="Q2948" s="322">
        <v>121000</v>
      </c>
      <c r="R2948" s="322">
        <v>89500</v>
      </c>
      <c r="S2948" s="322">
        <v>129000</v>
      </c>
      <c r="T2948" s="322">
        <v>116100</v>
      </c>
      <c r="U2948" s="322">
        <f t="shared" si="196"/>
        <v>12900</v>
      </c>
      <c r="W2948" s="321">
        <f t="shared" si="197"/>
        <v>130</v>
      </c>
      <c r="X2948" s="321">
        <f t="shared" si="198"/>
        <v>841050</v>
      </c>
      <c r="Y2948" s="321">
        <v>1</v>
      </c>
      <c r="AA2948" s="321" t="s">
        <v>2576</v>
      </c>
    </row>
    <row r="2949" spans="13:27">
      <c r="M2949" s="321">
        <v>1841050140</v>
      </c>
      <c r="N2949" s="321">
        <v>84</v>
      </c>
      <c r="O2949" s="321" t="s">
        <v>5207</v>
      </c>
      <c r="P2949" s="321">
        <v>5841000</v>
      </c>
      <c r="Q2949" s="322">
        <v>267000</v>
      </c>
      <c r="R2949" s="322">
        <v>233100</v>
      </c>
      <c r="S2949" s="322">
        <v>328000</v>
      </c>
      <c r="T2949" s="322">
        <v>328000</v>
      </c>
      <c r="U2949" s="322">
        <f t="shared" si="196"/>
        <v>0</v>
      </c>
      <c r="W2949" s="321">
        <f t="shared" si="197"/>
        <v>140</v>
      </c>
      <c r="X2949" s="321">
        <f t="shared" si="198"/>
        <v>841050</v>
      </c>
      <c r="Y2949" s="321">
        <v>1</v>
      </c>
      <c r="AA2949" s="321" t="s">
        <v>5207</v>
      </c>
    </row>
    <row r="2950" spans="13:27">
      <c r="M2950" s="321">
        <v>1841050141</v>
      </c>
      <c r="N2950" s="321">
        <v>84</v>
      </c>
      <c r="O2950" s="321" t="s">
        <v>5208</v>
      </c>
      <c r="P2950" s="321">
        <v>5841000</v>
      </c>
      <c r="Q2950" s="322">
        <v>140000</v>
      </c>
      <c r="R2950" s="322">
        <v>113900</v>
      </c>
      <c r="S2950" s="322">
        <v>163000</v>
      </c>
      <c r="T2950" s="322">
        <v>163000</v>
      </c>
      <c r="U2950" s="322">
        <f t="shared" si="196"/>
        <v>0</v>
      </c>
      <c r="W2950" s="321">
        <f t="shared" si="197"/>
        <v>141</v>
      </c>
      <c r="X2950" s="321">
        <f t="shared" si="198"/>
        <v>841050</v>
      </c>
      <c r="Y2950" s="321">
        <v>1</v>
      </c>
      <c r="AA2950" s="321" t="s">
        <v>5208</v>
      </c>
    </row>
    <row r="2951" spans="13:27">
      <c r="M2951" s="321">
        <v>1841050181</v>
      </c>
      <c r="N2951" s="321">
        <v>84</v>
      </c>
      <c r="O2951" s="321" t="s">
        <v>2580</v>
      </c>
      <c r="P2951" s="321">
        <v>5841000</v>
      </c>
      <c r="Q2951" s="322">
        <v>375000</v>
      </c>
      <c r="R2951" s="322">
        <v>297300</v>
      </c>
      <c r="S2951" s="322">
        <v>428000</v>
      </c>
      <c r="T2951" s="322">
        <v>428000</v>
      </c>
      <c r="U2951" s="322">
        <f t="shared" si="196"/>
        <v>0</v>
      </c>
      <c r="W2951" s="321">
        <f t="shared" si="197"/>
        <v>181</v>
      </c>
      <c r="X2951" s="321">
        <f t="shared" si="198"/>
        <v>841050</v>
      </c>
      <c r="Y2951" s="321">
        <v>1</v>
      </c>
      <c r="AA2951" s="321" t="s">
        <v>2580</v>
      </c>
    </row>
    <row r="2952" spans="13:27">
      <c r="M2952" s="321">
        <v>1841050182</v>
      </c>
      <c r="N2952" s="321">
        <v>84</v>
      </c>
      <c r="O2952" s="321" t="s">
        <v>2582</v>
      </c>
      <c r="P2952" s="321">
        <v>5841000</v>
      </c>
      <c r="Q2952" s="322">
        <v>353000</v>
      </c>
      <c r="R2952" s="322">
        <v>269600</v>
      </c>
      <c r="S2952" s="322">
        <v>394000</v>
      </c>
      <c r="T2952" s="322">
        <v>394000</v>
      </c>
      <c r="U2952" s="322">
        <f t="shared" si="196"/>
        <v>0</v>
      </c>
      <c r="W2952" s="321">
        <f t="shared" si="197"/>
        <v>182</v>
      </c>
      <c r="X2952" s="321">
        <f t="shared" si="198"/>
        <v>841050</v>
      </c>
      <c r="Y2952" s="321">
        <v>1</v>
      </c>
      <c r="AA2952" s="321" t="s">
        <v>2582</v>
      </c>
    </row>
    <row r="2953" spans="13:27">
      <c r="M2953" s="321">
        <v>1841050471</v>
      </c>
      <c r="N2953" s="321">
        <v>84</v>
      </c>
      <c r="O2953" s="321" t="s">
        <v>6223</v>
      </c>
      <c r="P2953" s="321">
        <v>5841000</v>
      </c>
      <c r="Q2953" s="322">
        <v>7000</v>
      </c>
      <c r="R2953" s="322">
        <v>0</v>
      </c>
      <c r="S2953" s="322">
        <v>7700</v>
      </c>
      <c r="T2953" s="322">
        <v>7700</v>
      </c>
      <c r="U2953" s="322">
        <f t="shared" si="196"/>
        <v>0</v>
      </c>
      <c r="W2953" s="321">
        <f t="shared" si="197"/>
        <v>471</v>
      </c>
      <c r="X2953" s="321">
        <f t="shared" si="198"/>
        <v>841050</v>
      </c>
      <c r="Y2953" s="321">
        <v>1</v>
      </c>
      <c r="AA2953" s="321" t="s">
        <v>6223</v>
      </c>
    </row>
    <row r="2954" spans="13:27">
      <c r="M2954" s="321">
        <v>1841060110</v>
      </c>
      <c r="N2954" s="321">
        <v>84</v>
      </c>
      <c r="O2954" s="321" t="s">
        <v>5205</v>
      </c>
      <c r="P2954" s="321">
        <v>5841000</v>
      </c>
      <c r="Q2954" s="322">
        <v>906000</v>
      </c>
      <c r="R2954" s="322">
        <v>693800</v>
      </c>
      <c r="S2954" s="322">
        <v>963000</v>
      </c>
      <c r="T2954" s="322">
        <v>963000</v>
      </c>
      <c r="U2954" s="322">
        <f t="shared" si="196"/>
        <v>0</v>
      </c>
      <c r="W2954" s="321">
        <f t="shared" si="197"/>
        <v>110</v>
      </c>
      <c r="X2954" s="321">
        <f t="shared" si="198"/>
        <v>841060</v>
      </c>
      <c r="Y2954" s="321">
        <v>1</v>
      </c>
      <c r="AA2954" s="321" t="s">
        <v>5205</v>
      </c>
    </row>
    <row r="2955" spans="13:27">
      <c r="M2955" s="321">
        <v>1841060120</v>
      </c>
      <c r="N2955" s="321">
        <v>84</v>
      </c>
      <c r="O2955" s="321" t="s">
        <v>5206</v>
      </c>
      <c r="P2955" s="321">
        <v>5841000</v>
      </c>
      <c r="Q2955" s="322">
        <v>115000</v>
      </c>
      <c r="R2955" s="322">
        <v>125600</v>
      </c>
      <c r="S2955" s="322">
        <v>151000</v>
      </c>
      <c r="T2955" s="322">
        <v>151000</v>
      </c>
      <c r="U2955" s="322">
        <f t="shared" si="196"/>
        <v>0</v>
      </c>
      <c r="W2955" s="321">
        <f t="shared" si="197"/>
        <v>120</v>
      </c>
      <c r="X2955" s="321">
        <f t="shared" si="198"/>
        <v>841060</v>
      </c>
      <c r="Y2955" s="321">
        <v>1</v>
      </c>
      <c r="AA2955" s="321" t="s">
        <v>5206</v>
      </c>
    </row>
    <row r="2956" spans="13:27">
      <c r="M2956" s="321">
        <v>1841060130</v>
      </c>
      <c r="N2956" s="321">
        <v>84</v>
      </c>
      <c r="O2956" s="321" t="s">
        <v>2576</v>
      </c>
      <c r="P2956" s="321">
        <v>5841000</v>
      </c>
      <c r="Q2956" s="322">
        <v>38000</v>
      </c>
      <c r="R2956" s="322">
        <v>29000</v>
      </c>
      <c r="S2956" s="322">
        <v>40000</v>
      </c>
      <c r="T2956" s="322">
        <v>36000</v>
      </c>
      <c r="U2956" s="322">
        <f t="shared" si="196"/>
        <v>4000</v>
      </c>
      <c r="W2956" s="321">
        <f t="shared" si="197"/>
        <v>130</v>
      </c>
      <c r="X2956" s="321">
        <f t="shared" si="198"/>
        <v>841060</v>
      </c>
      <c r="Y2956" s="321">
        <v>1</v>
      </c>
      <c r="AA2956" s="321" t="s">
        <v>2576</v>
      </c>
    </row>
    <row r="2957" spans="13:27">
      <c r="M2957" s="321">
        <v>1841060140</v>
      </c>
      <c r="N2957" s="321">
        <v>84</v>
      </c>
      <c r="O2957" s="321" t="s">
        <v>5207</v>
      </c>
      <c r="P2957" s="321">
        <v>5841000</v>
      </c>
      <c r="Q2957" s="322">
        <v>172000</v>
      </c>
      <c r="R2957" s="322">
        <v>107800</v>
      </c>
      <c r="S2957" s="322">
        <v>163000</v>
      </c>
      <c r="T2957" s="322">
        <v>163000</v>
      </c>
      <c r="U2957" s="322">
        <f t="shared" si="196"/>
        <v>0</v>
      </c>
      <c r="W2957" s="321">
        <f t="shared" si="197"/>
        <v>140</v>
      </c>
      <c r="X2957" s="321">
        <f t="shared" si="198"/>
        <v>841060</v>
      </c>
      <c r="Y2957" s="321">
        <v>1</v>
      </c>
      <c r="AA2957" s="321" t="s">
        <v>5207</v>
      </c>
    </row>
    <row r="2958" spans="13:27">
      <c r="M2958" s="321">
        <v>1841060141</v>
      </c>
      <c r="N2958" s="321">
        <v>84</v>
      </c>
      <c r="O2958" s="321" t="s">
        <v>5208</v>
      </c>
      <c r="P2958" s="321">
        <v>5841000</v>
      </c>
      <c r="Q2958" s="322">
        <v>41000</v>
      </c>
      <c r="R2958" s="322">
        <v>43600</v>
      </c>
      <c r="S2958" s="322">
        <v>60000</v>
      </c>
      <c r="T2958" s="322">
        <v>60000</v>
      </c>
      <c r="U2958" s="322">
        <f t="shared" si="196"/>
        <v>0</v>
      </c>
      <c r="W2958" s="321">
        <f t="shared" si="197"/>
        <v>141</v>
      </c>
      <c r="X2958" s="321">
        <f t="shared" si="198"/>
        <v>841060</v>
      </c>
      <c r="Y2958" s="321">
        <v>1</v>
      </c>
      <c r="AA2958" s="321" t="s">
        <v>5208</v>
      </c>
    </row>
    <row r="2959" spans="13:27">
      <c r="M2959" s="321">
        <v>1841060181</v>
      </c>
      <c r="N2959" s="321">
        <v>84</v>
      </c>
      <c r="O2959" s="321" t="s">
        <v>2580</v>
      </c>
      <c r="P2959" s="321">
        <v>5841000</v>
      </c>
      <c r="Q2959" s="322">
        <v>165000</v>
      </c>
      <c r="R2959" s="322">
        <v>135300</v>
      </c>
      <c r="S2959" s="322">
        <v>184000</v>
      </c>
      <c r="T2959" s="322">
        <v>184000</v>
      </c>
      <c r="U2959" s="322">
        <f t="shared" si="196"/>
        <v>0</v>
      </c>
      <c r="W2959" s="321">
        <f t="shared" si="197"/>
        <v>181</v>
      </c>
      <c r="X2959" s="321">
        <f t="shared" si="198"/>
        <v>841060</v>
      </c>
      <c r="Y2959" s="321">
        <v>1</v>
      </c>
      <c r="AA2959" s="321" t="s">
        <v>2580</v>
      </c>
    </row>
    <row r="2960" spans="13:27">
      <c r="M2960" s="321">
        <v>1841060182</v>
      </c>
      <c r="N2960" s="321">
        <v>84</v>
      </c>
      <c r="O2960" s="321" t="s">
        <v>2582</v>
      </c>
      <c r="P2960" s="321">
        <v>5841000</v>
      </c>
      <c r="Q2960" s="322">
        <v>169000</v>
      </c>
      <c r="R2960" s="322">
        <v>126500</v>
      </c>
      <c r="S2960" s="322">
        <v>184000</v>
      </c>
      <c r="T2960" s="322">
        <v>184000</v>
      </c>
      <c r="U2960" s="322">
        <f t="shared" si="196"/>
        <v>0</v>
      </c>
      <c r="W2960" s="321">
        <f t="shared" si="197"/>
        <v>182</v>
      </c>
      <c r="X2960" s="321">
        <f t="shared" si="198"/>
        <v>841060</v>
      </c>
      <c r="Y2960" s="321">
        <v>1</v>
      </c>
      <c r="AA2960" s="321" t="s">
        <v>2582</v>
      </c>
    </row>
    <row r="2961" spans="13:27">
      <c r="M2961" s="321">
        <v>1841060471</v>
      </c>
      <c r="N2961" s="321">
        <v>84</v>
      </c>
      <c r="O2961" s="321" t="s">
        <v>6224</v>
      </c>
      <c r="P2961" s="321">
        <v>5841000</v>
      </c>
      <c r="Q2961" s="322">
        <v>4700</v>
      </c>
      <c r="R2961" s="322">
        <v>0</v>
      </c>
      <c r="S2961" s="322">
        <v>5200</v>
      </c>
      <c r="T2961" s="322">
        <v>5200</v>
      </c>
      <c r="U2961" s="322">
        <f t="shared" si="196"/>
        <v>0</v>
      </c>
      <c r="W2961" s="321">
        <f t="shared" si="197"/>
        <v>471</v>
      </c>
      <c r="X2961" s="321">
        <f t="shared" si="198"/>
        <v>841060</v>
      </c>
      <c r="Y2961" s="321">
        <v>1</v>
      </c>
      <c r="AA2961" s="321" t="s">
        <v>6224</v>
      </c>
    </row>
    <row r="2962" spans="13:27">
      <c r="M2962" s="321">
        <v>1842200760</v>
      </c>
      <c r="N2962" s="321">
        <v>84</v>
      </c>
      <c r="O2962" s="321" t="s">
        <v>5017</v>
      </c>
      <c r="P2962" s="321">
        <v>5842200</v>
      </c>
      <c r="Q2962" s="322">
        <v>630000</v>
      </c>
      <c r="R2962" s="322">
        <v>232500</v>
      </c>
      <c r="S2962" s="322">
        <v>830000</v>
      </c>
      <c r="T2962" s="322">
        <v>830000</v>
      </c>
      <c r="U2962" s="322">
        <f t="shared" si="196"/>
        <v>0</v>
      </c>
      <c r="W2962" s="321">
        <f t="shared" si="197"/>
        <v>760</v>
      </c>
      <c r="X2962" s="321">
        <f t="shared" si="198"/>
        <v>842200</v>
      </c>
      <c r="Y2962" s="321">
        <v>1</v>
      </c>
      <c r="AA2962" s="321" t="s">
        <v>5017</v>
      </c>
    </row>
    <row r="2963" spans="13:27">
      <c r="M2963" s="321">
        <v>1842201840</v>
      </c>
      <c r="N2963" s="321">
        <v>84</v>
      </c>
      <c r="O2963" s="321" t="s">
        <v>5018</v>
      </c>
      <c r="P2963" s="321">
        <v>5842200</v>
      </c>
      <c r="Q2963" s="322">
        <v>463000</v>
      </c>
      <c r="R2963" s="322">
        <v>236700</v>
      </c>
      <c r="S2963" s="322">
        <v>463000</v>
      </c>
      <c r="T2963" s="322">
        <v>463000</v>
      </c>
      <c r="U2963" s="322">
        <f t="shared" si="196"/>
        <v>0</v>
      </c>
      <c r="W2963" s="321">
        <f t="shared" si="197"/>
        <v>840</v>
      </c>
      <c r="X2963" s="321">
        <f t="shared" si="198"/>
        <v>842201</v>
      </c>
      <c r="Y2963" s="321">
        <v>1</v>
      </c>
      <c r="AA2963" s="321" t="s">
        <v>5018</v>
      </c>
    </row>
    <row r="2964" spans="13:27">
      <c r="M2964" s="321">
        <v>1842202760</v>
      </c>
      <c r="N2964" s="321">
        <v>84</v>
      </c>
      <c r="O2964" s="321" t="s">
        <v>6063</v>
      </c>
      <c r="P2964" s="321">
        <v>5842200</v>
      </c>
      <c r="Q2964" s="322">
        <v>0</v>
      </c>
      <c r="R2964" s="322">
        <v>0</v>
      </c>
      <c r="S2964" s="322">
        <v>0</v>
      </c>
      <c r="T2964" s="322">
        <v>0</v>
      </c>
      <c r="U2964" s="322">
        <f t="shared" si="196"/>
        <v>0</v>
      </c>
      <c r="W2964" s="321">
        <f t="shared" si="197"/>
        <v>760</v>
      </c>
      <c r="X2964" s="321">
        <f t="shared" si="198"/>
        <v>842202</v>
      </c>
      <c r="Y2964" s="321">
        <v>1</v>
      </c>
      <c r="AA2964" s="321" t="s">
        <v>6063</v>
      </c>
    </row>
    <row r="2965" spans="13:27">
      <c r="M2965" s="321">
        <v>1842202841</v>
      </c>
      <c r="N2965" s="321">
        <v>84</v>
      </c>
      <c r="O2965" s="321" t="s">
        <v>6225</v>
      </c>
      <c r="P2965" s="321">
        <v>5842200</v>
      </c>
      <c r="Q2965" s="322">
        <v>72000</v>
      </c>
      <c r="R2965" s="322">
        <v>0</v>
      </c>
      <c r="S2965" s="322">
        <v>72000</v>
      </c>
      <c r="T2965" s="322">
        <v>72000</v>
      </c>
      <c r="U2965" s="322">
        <f t="shared" si="196"/>
        <v>0</v>
      </c>
      <c r="W2965" s="321">
        <f t="shared" si="197"/>
        <v>841</v>
      </c>
      <c r="X2965" s="321">
        <f t="shared" si="198"/>
        <v>842202</v>
      </c>
      <c r="Y2965" s="321">
        <v>1</v>
      </c>
      <c r="AA2965" s="321" t="s">
        <v>6225</v>
      </c>
    </row>
    <row r="2966" spans="13:27">
      <c r="M2966" s="321">
        <v>1842203840</v>
      </c>
      <c r="N2966" s="321">
        <v>84</v>
      </c>
      <c r="O2966" s="321" t="s">
        <v>5019</v>
      </c>
      <c r="P2966" s="321">
        <v>5842200</v>
      </c>
      <c r="Q2966" s="322">
        <v>698000</v>
      </c>
      <c r="R2966" s="322">
        <v>670500</v>
      </c>
      <c r="S2966" s="322">
        <v>698000</v>
      </c>
      <c r="T2966" s="322">
        <v>698000</v>
      </c>
      <c r="U2966" s="322">
        <f t="shared" si="196"/>
        <v>0</v>
      </c>
      <c r="W2966" s="321">
        <f t="shared" si="197"/>
        <v>840</v>
      </c>
      <c r="X2966" s="321">
        <f t="shared" si="198"/>
        <v>842203</v>
      </c>
      <c r="Y2966" s="321">
        <v>1</v>
      </c>
      <c r="AA2966" s="321" t="s">
        <v>5019</v>
      </c>
    </row>
    <row r="2967" spans="13:27">
      <c r="M2967" s="321">
        <v>1842203841</v>
      </c>
      <c r="N2967" s="321">
        <v>84</v>
      </c>
      <c r="O2967" s="321" t="s">
        <v>6226</v>
      </c>
      <c r="P2967" s="321">
        <v>5842200</v>
      </c>
      <c r="Q2967" s="322">
        <v>196000</v>
      </c>
      <c r="R2967" s="322">
        <v>0</v>
      </c>
      <c r="S2967" s="322">
        <v>196000</v>
      </c>
      <c r="T2967" s="322">
        <v>146000</v>
      </c>
      <c r="U2967" s="322">
        <f t="shared" si="196"/>
        <v>50000</v>
      </c>
      <c r="W2967" s="321">
        <f t="shared" si="197"/>
        <v>841</v>
      </c>
      <c r="X2967" s="321">
        <f t="shared" si="198"/>
        <v>842203</v>
      </c>
      <c r="Y2967" s="321">
        <v>1</v>
      </c>
      <c r="AA2967" s="321" t="s">
        <v>6226</v>
      </c>
    </row>
    <row r="2968" spans="13:27">
      <c r="M2968" s="321">
        <v>1842205840</v>
      </c>
      <c r="N2968" s="321">
        <v>84</v>
      </c>
      <c r="O2968" s="321" t="s">
        <v>5020</v>
      </c>
      <c r="P2968" s="321">
        <v>5842200</v>
      </c>
      <c r="Q2968" s="322">
        <v>1000000</v>
      </c>
      <c r="R2968" s="322">
        <v>858100</v>
      </c>
      <c r="S2968" s="322">
        <v>1273000</v>
      </c>
      <c r="T2968" s="322">
        <v>1273000</v>
      </c>
      <c r="U2968" s="322">
        <f t="shared" si="196"/>
        <v>0</v>
      </c>
      <c r="W2968" s="321">
        <f t="shared" si="197"/>
        <v>840</v>
      </c>
      <c r="X2968" s="321">
        <f t="shared" si="198"/>
        <v>842205</v>
      </c>
      <c r="Y2968" s="321">
        <v>1</v>
      </c>
      <c r="AA2968" s="321" t="s">
        <v>5020</v>
      </c>
    </row>
    <row r="2969" spans="13:27">
      <c r="M2969" s="321">
        <v>1842206840</v>
      </c>
      <c r="N2969" s="321">
        <v>84</v>
      </c>
      <c r="O2969" s="321" t="s">
        <v>5021</v>
      </c>
      <c r="P2969" s="321">
        <v>5842200</v>
      </c>
      <c r="Q2969" s="322">
        <v>301000</v>
      </c>
      <c r="R2969" s="322">
        <v>72900</v>
      </c>
      <c r="S2969" s="322">
        <v>301000</v>
      </c>
      <c r="T2969" s="322">
        <v>301000</v>
      </c>
      <c r="U2969" s="322">
        <f t="shared" si="196"/>
        <v>0</v>
      </c>
      <c r="W2969" s="321">
        <f t="shared" si="197"/>
        <v>840</v>
      </c>
      <c r="X2969" s="321">
        <f t="shared" si="198"/>
        <v>842206</v>
      </c>
      <c r="Y2969" s="321">
        <v>1</v>
      </c>
      <c r="AA2969" s="321" t="s">
        <v>5021</v>
      </c>
    </row>
    <row r="2970" spans="13:27">
      <c r="M2970" s="321">
        <v>1842207810</v>
      </c>
      <c r="N2970" s="321">
        <v>84</v>
      </c>
      <c r="O2970" s="321" t="s">
        <v>4425</v>
      </c>
      <c r="P2970" s="321">
        <v>5842200</v>
      </c>
      <c r="Q2970" s="322">
        <v>118000</v>
      </c>
      <c r="R2970" s="322">
        <v>118000</v>
      </c>
      <c r="S2970" s="322">
        <v>118000</v>
      </c>
      <c r="T2970" s="322">
        <v>118000</v>
      </c>
      <c r="U2970" s="322">
        <f t="shared" si="196"/>
        <v>0</v>
      </c>
      <c r="W2970" s="321">
        <f t="shared" si="197"/>
        <v>810</v>
      </c>
      <c r="X2970" s="321">
        <f t="shared" si="198"/>
        <v>842207</v>
      </c>
      <c r="Y2970" s="321">
        <v>1</v>
      </c>
      <c r="AA2970" s="321" t="s">
        <v>4425</v>
      </c>
    </row>
    <row r="2971" spans="13:27">
      <c r="M2971" s="321">
        <v>1842207811</v>
      </c>
      <c r="N2971" s="321">
        <v>84</v>
      </c>
      <c r="O2971" s="321" t="s">
        <v>6227</v>
      </c>
      <c r="P2971" s="321">
        <v>5842200</v>
      </c>
      <c r="Q2971" s="322">
        <v>83000</v>
      </c>
      <c r="R2971" s="322">
        <v>263800</v>
      </c>
      <c r="S2971" s="322">
        <v>83000</v>
      </c>
      <c r="T2971" s="322">
        <v>83000</v>
      </c>
      <c r="U2971" s="322">
        <f t="shared" si="196"/>
        <v>0</v>
      </c>
      <c r="W2971" s="321">
        <f t="shared" si="197"/>
        <v>811</v>
      </c>
      <c r="X2971" s="321">
        <f t="shared" si="198"/>
        <v>842207</v>
      </c>
      <c r="Y2971" s="321">
        <v>1</v>
      </c>
      <c r="AA2971" s="321" t="s">
        <v>6227</v>
      </c>
    </row>
    <row r="2972" spans="13:27">
      <c r="M2972" s="321">
        <v>1842207840</v>
      </c>
      <c r="N2972" s="321">
        <v>84</v>
      </c>
      <c r="O2972" s="321" t="s">
        <v>5022</v>
      </c>
      <c r="P2972" s="321">
        <v>5842200</v>
      </c>
      <c r="Q2972" s="322">
        <v>581300</v>
      </c>
      <c r="R2972" s="322">
        <v>532200</v>
      </c>
      <c r="S2972" s="322">
        <v>587600</v>
      </c>
      <c r="T2972" s="322">
        <v>587600</v>
      </c>
      <c r="U2972" s="322">
        <f t="shared" si="196"/>
        <v>0</v>
      </c>
      <c r="W2972" s="321">
        <f t="shared" si="197"/>
        <v>840</v>
      </c>
      <c r="X2972" s="321">
        <f t="shared" si="198"/>
        <v>842207</v>
      </c>
      <c r="Y2972" s="321">
        <v>1</v>
      </c>
      <c r="AA2972" s="321" t="s">
        <v>5022</v>
      </c>
    </row>
    <row r="2973" spans="13:27">
      <c r="M2973" s="321">
        <v>1842211840</v>
      </c>
      <c r="N2973" s="321">
        <v>84</v>
      </c>
      <c r="O2973" s="321" t="s">
        <v>5023</v>
      </c>
      <c r="P2973" s="321">
        <v>5842200</v>
      </c>
      <c r="Q2973" s="322">
        <v>651000</v>
      </c>
      <c r="R2973" s="322">
        <v>-40000</v>
      </c>
      <c r="S2973" s="322">
        <v>691000</v>
      </c>
      <c r="T2973" s="322">
        <v>691000</v>
      </c>
      <c r="U2973" s="322">
        <f t="shared" si="196"/>
        <v>0</v>
      </c>
      <c r="W2973" s="321">
        <f t="shared" si="197"/>
        <v>840</v>
      </c>
      <c r="X2973" s="321">
        <f t="shared" si="198"/>
        <v>842211</v>
      </c>
      <c r="Y2973" s="321">
        <v>1</v>
      </c>
      <c r="AA2973" s="321" t="s">
        <v>5023</v>
      </c>
    </row>
    <row r="2974" spans="13:27">
      <c r="M2974" s="321">
        <v>1842212840</v>
      </c>
      <c r="N2974" s="321">
        <v>84</v>
      </c>
      <c r="O2974" s="321" t="s">
        <v>5024</v>
      </c>
      <c r="P2974" s="321">
        <v>5842200</v>
      </c>
      <c r="Q2974" s="322">
        <v>20000</v>
      </c>
      <c r="R2974" s="322">
        <v>0</v>
      </c>
      <c r="S2974" s="322">
        <v>20000</v>
      </c>
      <c r="T2974" s="322">
        <v>20000</v>
      </c>
      <c r="U2974" s="322">
        <f t="shared" si="196"/>
        <v>0</v>
      </c>
      <c r="W2974" s="321">
        <f t="shared" si="197"/>
        <v>840</v>
      </c>
      <c r="X2974" s="321">
        <f t="shared" si="198"/>
        <v>842212</v>
      </c>
      <c r="Y2974" s="321">
        <v>1</v>
      </c>
      <c r="AA2974" s="321" t="s">
        <v>5024</v>
      </c>
    </row>
    <row r="2975" spans="13:27">
      <c r="M2975" s="321">
        <v>1842213840</v>
      </c>
      <c r="N2975" s="321">
        <v>84</v>
      </c>
      <c r="O2975" s="321" t="s">
        <v>5025</v>
      </c>
      <c r="P2975" s="321">
        <v>5842200</v>
      </c>
      <c r="Q2975" s="322">
        <v>3779000</v>
      </c>
      <c r="R2975" s="322">
        <v>20000</v>
      </c>
      <c r="S2975" s="322">
        <v>3779000</v>
      </c>
      <c r="T2975" s="322">
        <v>3779000</v>
      </c>
      <c r="U2975" s="322">
        <f t="shared" si="196"/>
        <v>0</v>
      </c>
      <c r="W2975" s="321">
        <f t="shared" si="197"/>
        <v>840</v>
      </c>
      <c r="X2975" s="321">
        <f t="shared" si="198"/>
        <v>842213</v>
      </c>
      <c r="Y2975" s="321">
        <v>1</v>
      </c>
      <c r="AA2975" s="321" t="s">
        <v>5025</v>
      </c>
    </row>
    <row r="2976" spans="13:27">
      <c r="M2976" s="321">
        <v>1842401840</v>
      </c>
      <c r="N2976" s="321">
        <v>84</v>
      </c>
      <c r="O2976" s="321" t="s">
        <v>5027</v>
      </c>
      <c r="P2976" s="321">
        <v>5842400</v>
      </c>
      <c r="Q2976" s="322">
        <v>113000</v>
      </c>
      <c r="R2976" s="322">
        <v>2600</v>
      </c>
      <c r="S2976" s="322">
        <v>113000</v>
      </c>
      <c r="T2976" s="322">
        <v>113000</v>
      </c>
      <c r="U2976" s="322">
        <f t="shared" si="196"/>
        <v>0</v>
      </c>
      <c r="W2976" s="321">
        <f t="shared" si="197"/>
        <v>840</v>
      </c>
      <c r="X2976" s="321">
        <f t="shared" si="198"/>
        <v>842401</v>
      </c>
      <c r="Y2976" s="321">
        <v>1</v>
      </c>
      <c r="AA2976" s="321" t="s">
        <v>5027</v>
      </c>
    </row>
    <row r="2977" spans="13:27">
      <c r="M2977" s="321">
        <v>1842402840</v>
      </c>
      <c r="N2977" s="321">
        <v>84</v>
      </c>
      <c r="O2977" s="321" t="s">
        <v>5028</v>
      </c>
      <c r="P2977" s="321">
        <v>5842400</v>
      </c>
      <c r="Q2977" s="322">
        <v>0</v>
      </c>
      <c r="R2977" s="322">
        <v>0</v>
      </c>
      <c r="S2977" s="322">
        <v>0</v>
      </c>
      <c r="T2977" s="322">
        <v>0</v>
      </c>
      <c r="U2977" s="322">
        <f t="shared" si="196"/>
        <v>0</v>
      </c>
      <c r="W2977" s="321">
        <f t="shared" si="197"/>
        <v>840</v>
      </c>
      <c r="X2977" s="321">
        <f t="shared" si="198"/>
        <v>842402</v>
      </c>
      <c r="Y2977" s="321">
        <v>1</v>
      </c>
      <c r="AA2977" s="321" t="s">
        <v>5028</v>
      </c>
    </row>
    <row r="2978" spans="13:27">
      <c r="M2978" s="321">
        <v>1842403840</v>
      </c>
      <c r="N2978" s="321">
        <v>84</v>
      </c>
      <c r="O2978" s="321" t="s">
        <v>5029</v>
      </c>
      <c r="P2978" s="321">
        <v>5842400</v>
      </c>
      <c r="Q2978" s="322">
        <v>536700</v>
      </c>
      <c r="R2978" s="322">
        <v>328300</v>
      </c>
      <c r="S2978" s="322">
        <v>590000</v>
      </c>
      <c r="T2978" s="322">
        <v>590000</v>
      </c>
      <c r="U2978" s="322">
        <f t="shared" si="196"/>
        <v>0</v>
      </c>
      <c r="W2978" s="321">
        <f t="shared" si="197"/>
        <v>840</v>
      </c>
      <c r="X2978" s="321">
        <f t="shared" si="198"/>
        <v>842403</v>
      </c>
      <c r="Y2978" s="321">
        <v>1</v>
      </c>
      <c r="AA2978" s="321" t="s">
        <v>5029</v>
      </c>
    </row>
    <row r="2979" spans="13:27">
      <c r="M2979" s="321">
        <v>1842404840</v>
      </c>
      <c r="N2979" s="321">
        <v>84</v>
      </c>
      <c r="O2979" s="321" t="s">
        <v>5030</v>
      </c>
      <c r="P2979" s="321">
        <v>5842400</v>
      </c>
      <c r="Q2979" s="322">
        <v>59100</v>
      </c>
      <c r="R2979" s="322">
        <v>63300</v>
      </c>
      <c r="S2979" s="322">
        <v>63000</v>
      </c>
      <c r="T2979" s="322">
        <v>63000</v>
      </c>
      <c r="U2979" s="322">
        <f t="shared" si="196"/>
        <v>0</v>
      </c>
      <c r="W2979" s="321">
        <f t="shared" si="197"/>
        <v>840</v>
      </c>
      <c r="X2979" s="321">
        <f t="shared" si="198"/>
        <v>842404</v>
      </c>
      <c r="Y2979" s="321">
        <v>1</v>
      </c>
      <c r="AA2979" s="321" t="s">
        <v>5030</v>
      </c>
    </row>
    <row r="2980" spans="13:27">
      <c r="M2980" s="321">
        <v>1842407840</v>
      </c>
      <c r="N2980" s="321">
        <v>84</v>
      </c>
      <c r="O2980" s="321" t="s">
        <v>5031</v>
      </c>
      <c r="P2980" s="321">
        <v>5842400</v>
      </c>
      <c r="Q2980" s="322">
        <v>38700</v>
      </c>
      <c r="R2980" s="322">
        <v>23600</v>
      </c>
      <c r="S2980" s="322">
        <v>38700</v>
      </c>
      <c r="T2980" s="322">
        <v>38700</v>
      </c>
      <c r="U2980" s="322">
        <f t="shared" si="196"/>
        <v>0</v>
      </c>
      <c r="W2980" s="321">
        <f t="shared" si="197"/>
        <v>840</v>
      </c>
      <c r="X2980" s="321">
        <f t="shared" si="198"/>
        <v>842407</v>
      </c>
      <c r="Y2980" s="321">
        <v>1</v>
      </c>
      <c r="AA2980" s="321" t="s">
        <v>5031</v>
      </c>
    </row>
    <row r="2981" spans="13:27">
      <c r="M2981" s="321">
        <v>1842408840</v>
      </c>
      <c r="N2981" s="321">
        <v>84</v>
      </c>
      <c r="O2981" s="321" t="s">
        <v>5032</v>
      </c>
      <c r="P2981" s="321">
        <v>5842400</v>
      </c>
      <c r="Q2981" s="322">
        <v>23000</v>
      </c>
      <c r="R2981" s="322">
        <v>21200</v>
      </c>
      <c r="S2981" s="322">
        <v>36000</v>
      </c>
      <c r="T2981" s="322">
        <v>36000</v>
      </c>
      <c r="U2981" s="322">
        <f t="shared" si="196"/>
        <v>0</v>
      </c>
      <c r="W2981" s="321">
        <f t="shared" si="197"/>
        <v>840</v>
      </c>
      <c r="X2981" s="321">
        <f t="shared" si="198"/>
        <v>842408</v>
      </c>
      <c r="Y2981" s="321">
        <v>1</v>
      </c>
      <c r="AA2981" s="321" t="s">
        <v>5032</v>
      </c>
    </row>
    <row r="2982" spans="13:27">
      <c r="M2982" s="321">
        <v>1842409840</v>
      </c>
      <c r="N2982" s="321">
        <v>84</v>
      </c>
      <c r="O2982" s="321" t="s">
        <v>5033</v>
      </c>
      <c r="P2982" s="321">
        <v>5842400</v>
      </c>
      <c r="Q2982" s="322">
        <v>2190000</v>
      </c>
      <c r="R2982" s="322">
        <v>22400</v>
      </c>
      <c r="S2982" s="322">
        <v>729900</v>
      </c>
      <c r="T2982" s="322">
        <v>729900</v>
      </c>
      <c r="U2982" s="322">
        <f t="shared" si="196"/>
        <v>0</v>
      </c>
      <c r="W2982" s="321">
        <f t="shared" si="197"/>
        <v>840</v>
      </c>
      <c r="X2982" s="321">
        <f t="shared" si="198"/>
        <v>842409</v>
      </c>
      <c r="Y2982" s="321">
        <v>1</v>
      </c>
      <c r="AA2982" s="321" t="s">
        <v>5033</v>
      </c>
    </row>
    <row r="2983" spans="13:27">
      <c r="M2983" s="321">
        <v>1843240772</v>
      </c>
      <c r="N2983" s="321">
        <v>84</v>
      </c>
      <c r="O2983" s="321" t="s">
        <v>6228</v>
      </c>
      <c r="P2983" s="321">
        <v>5335000</v>
      </c>
      <c r="Q2983" s="322">
        <v>30000</v>
      </c>
      <c r="R2983" s="322">
        <v>20300</v>
      </c>
      <c r="S2983" s="322">
        <v>30000</v>
      </c>
      <c r="T2983" s="322">
        <v>30000</v>
      </c>
      <c r="U2983" s="322">
        <f t="shared" si="196"/>
        <v>0</v>
      </c>
      <c r="W2983" s="321">
        <f t="shared" si="197"/>
        <v>772</v>
      </c>
      <c r="X2983" s="321">
        <f t="shared" si="198"/>
        <v>843240</v>
      </c>
      <c r="Y2983" s="321">
        <v>1</v>
      </c>
      <c r="AA2983" s="321" t="s">
        <v>6228</v>
      </c>
    </row>
    <row r="2984" spans="13:27">
      <c r="M2984" s="321">
        <v>1843500471</v>
      </c>
      <c r="N2984" s="321">
        <v>84</v>
      </c>
      <c r="O2984" s="321" t="s">
        <v>6229</v>
      </c>
      <c r="P2984" s="321">
        <v>5843500</v>
      </c>
      <c r="Q2984" s="322">
        <v>3500</v>
      </c>
      <c r="R2984" s="322">
        <v>0</v>
      </c>
      <c r="S2984" s="322">
        <v>3700</v>
      </c>
      <c r="T2984" s="322">
        <v>3700</v>
      </c>
      <c r="U2984" s="322">
        <f t="shared" si="196"/>
        <v>0</v>
      </c>
      <c r="W2984" s="321">
        <f t="shared" si="197"/>
        <v>471</v>
      </c>
      <c r="X2984" s="321">
        <f t="shared" si="198"/>
        <v>843500</v>
      </c>
      <c r="Y2984" s="321">
        <v>1</v>
      </c>
      <c r="AA2984" s="321" t="s">
        <v>6229</v>
      </c>
    </row>
    <row r="2985" spans="13:27">
      <c r="M2985" s="321">
        <v>1843500760</v>
      </c>
      <c r="N2985" s="321">
        <v>84</v>
      </c>
      <c r="O2985" s="321" t="s">
        <v>6230</v>
      </c>
      <c r="P2985" s="321">
        <v>5843500</v>
      </c>
      <c r="Q2985" s="322">
        <v>390000</v>
      </c>
      <c r="R2985" s="322">
        <v>285200</v>
      </c>
      <c r="S2985" s="322">
        <v>390000</v>
      </c>
      <c r="T2985" s="322">
        <v>390000</v>
      </c>
      <c r="U2985" s="322">
        <f t="shared" si="196"/>
        <v>0</v>
      </c>
      <c r="W2985" s="321">
        <f t="shared" si="197"/>
        <v>760</v>
      </c>
      <c r="X2985" s="321">
        <f t="shared" si="198"/>
        <v>843500</v>
      </c>
      <c r="Y2985" s="321">
        <v>1</v>
      </c>
      <c r="AA2985" s="321" t="s">
        <v>6230</v>
      </c>
    </row>
    <row r="2986" spans="13:27">
      <c r="M2986" s="321">
        <v>1843500810</v>
      </c>
      <c r="N2986" s="321">
        <v>84</v>
      </c>
      <c r="O2986" s="321" t="s">
        <v>6231</v>
      </c>
      <c r="P2986" s="321">
        <v>5843500</v>
      </c>
      <c r="Q2986" s="322">
        <v>54000</v>
      </c>
      <c r="R2986" s="322">
        <v>0</v>
      </c>
      <c r="S2986" s="322">
        <v>54000</v>
      </c>
      <c r="T2986" s="322">
        <v>54000</v>
      </c>
      <c r="U2986" s="322">
        <f t="shared" si="196"/>
        <v>0</v>
      </c>
      <c r="W2986" s="321">
        <f t="shared" si="197"/>
        <v>810</v>
      </c>
      <c r="X2986" s="321">
        <f t="shared" si="198"/>
        <v>843500</v>
      </c>
      <c r="Y2986" s="321">
        <v>1</v>
      </c>
      <c r="AA2986" s="321" t="s">
        <v>6231</v>
      </c>
    </row>
    <row r="2987" spans="13:27">
      <c r="M2987" s="321">
        <v>1843500840</v>
      </c>
      <c r="N2987" s="321">
        <v>84</v>
      </c>
      <c r="O2987" s="321" t="s">
        <v>5036</v>
      </c>
      <c r="P2987" s="321">
        <v>5843500</v>
      </c>
      <c r="Q2987" s="322">
        <v>2162400</v>
      </c>
      <c r="R2987" s="322">
        <v>1537500</v>
      </c>
      <c r="S2987" s="322">
        <v>2162400</v>
      </c>
      <c r="T2987" s="322">
        <v>2162400</v>
      </c>
      <c r="U2987" s="322">
        <f t="shared" si="196"/>
        <v>0</v>
      </c>
      <c r="W2987" s="321">
        <f t="shared" si="197"/>
        <v>840</v>
      </c>
      <c r="X2987" s="321">
        <f t="shared" si="198"/>
        <v>843500</v>
      </c>
      <c r="Y2987" s="321">
        <v>1</v>
      </c>
      <c r="AA2987" s="321" t="s">
        <v>5036</v>
      </c>
    </row>
    <row r="2988" spans="13:27">
      <c r="M2988" s="321">
        <v>1843501471</v>
      </c>
      <c r="N2988" s="321">
        <v>84</v>
      </c>
      <c r="O2988" s="321" t="s">
        <v>6232</v>
      </c>
      <c r="P2988" s="321">
        <v>5843500</v>
      </c>
      <c r="Q2988" s="322">
        <v>3500</v>
      </c>
      <c r="R2988" s="322">
        <v>0</v>
      </c>
      <c r="S2988" s="322">
        <v>3700</v>
      </c>
      <c r="T2988" s="322">
        <v>3700</v>
      </c>
      <c r="U2988" s="322">
        <f t="shared" si="196"/>
        <v>0</v>
      </c>
      <c r="W2988" s="321">
        <f t="shared" si="197"/>
        <v>471</v>
      </c>
      <c r="X2988" s="321">
        <f t="shared" si="198"/>
        <v>843501</v>
      </c>
      <c r="Y2988" s="321">
        <v>1</v>
      </c>
      <c r="AA2988" s="321" t="s">
        <v>6232</v>
      </c>
    </row>
    <row r="2989" spans="13:27">
      <c r="M2989" s="321">
        <v>1843501760</v>
      </c>
      <c r="N2989" s="321">
        <v>84</v>
      </c>
      <c r="O2989" s="321" t="s">
        <v>6233</v>
      </c>
      <c r="P2989" s="321">
        <v>5843500</v>
      </c>
      <c r="Q2989" s="322">
        <v>14000</v>
      </c>
      <c r="R2989" s="322">
        <v>0</v>
      </c>
      <c r="S2989" s="322">
        <v>14000</v>
      </c>
      <c r="T2989" s="322">
        <v>14000</v>
      </c>
      <c r="U2989" s="322">
        <f t="shared" si="196"/>
        <v>0</v>
      </c>
      <c r="W2989" s="321">
        <f t="shared" si="197"/>
        <v>760</v>
      </c>
      <c r="X2989" s="321">
        <f t="shared" si="198"/>
        <v>843501</v>
      </c>
      <c r="Y2989" s="321">
        <v>1</v>
      </c>
      <c r="AA2989" s="321" t="s">
        <v>6233</v>
      </c>
    </row>
    <row r="2990" spans="13:27">
      <c r="M2990" s="321">
        <v>1843501840</v>
      </c>
      <c r="N2990" s="321">
        <v>84</v>
      </c>
      <c r="O2990" s="321" t="s">
        <v>5038</v>
      </c>
      <c r="P2990" s="321">
        <v>5843500</v>
      </c>
      <c r="Q2990" s="322">
        <v>891000</v>
      </c>
      <c r="R2990" s="322">
        <v>751100</v>
      </c>
      <c r="S2990" s="322">
        <v>975000</v>
      </c>
      <c r="T2990" s="322">
        <v>975000</v>
      </c>
      <c r="U2990" s="322">
        <f t="shared" si="196"/>
        <v>0</v>
      </c>
      <c r="W2990" s="321">
        <f t="shared" si="197"/>
        <v>840</v>
      </c>
      <c r="X2990" s="321">
        <f t="shared" si="198"/>
        <v>843501</v>
      </c>
      <c r="Y2990" s="321">
        <v>1</v>
      </c>
      <c r="AA2990" s="321" t="s">
        <v>5038</v>
      </c>
    </row>
    <row r="2991" spans="13:27">
      <c r="M2991" s="321">
        <v>1843502840</v>
      </c>
      <c r="N2991" s="321">
        <v>84</v>
      </c>
      <c r="O2991" s="321" t="s">
        <v>6234</v>
      </c>
      <c r="P2991" s="321">
        <v>5843500</v>
      </c>
      <c r="Q2991" s="322">
        <v>688800</v>
      </c>
      <c r="R2991" s="322">
        <v>346900</v>
      </c>
      <c r="S2991" s="322">
        <v>691200</v>
      </c>
      <c r="T2991" s="322">
        <v>691200</v>
      </c>
      <c r="U2991" s="322">
        <f t="shared" si="196"/>
        <v>0</v>
      </c>
      <c r="W2991" s="321">
        <f t="shared" si="197"/>
        <v>840</v>
      </c>
      <c r="X2991" s="321">
        <f t="shared" si="198"/>
        <v>843502</v>
      </c>
      <c r="Y2991" s="321">
        <v>1</v>
      </c>
      <c r="AA2991" s="321" t="s">
        <v>6234</v>
      </c>
    </row>
    <row r="2992" spans="13:27">
      <c r="M2992" s="321">
        <v>1843503840</v>
      </c>
      <c r="N2992" s="321">
        <v>84</v>
      </c>
      <c r="O2992" s="321" t="s">
        <v>6235</v>
      </c>
      <c r="P2992" s="321">
        <v>5843500</v>
      </c>
      <c r="Q2992" s="322">
        <v>153300</v>
      </c>
      <c r="R2992" s="322">
        <v>129800</v>
      </c>
      <c r="S2992" s="322">
        <v>157700</v>
      </c>
      <c r="T2992" s="322">
        <v>157700</v>
      </c>
      <c r="U2992" s="322">
        <f t="shared" si="196"/>
        <v>0</v>
      </c>
      <c r="W2992" s="321">
        <f t="shared" si="197"/>
        <v>840</v>
      </c>
      <c r="X2992" s="321">
        <f t="shared" si="198"/>
        <v>843503</v>
      </c>
      <c r="Y2992" s="321">
        <v>1</v>
      </c>
      <c r="AA2992" s="321" t="s">
        <v>6235</v>
      </c>
    </row>
    <row r="2993" spans="13:27">
      <c r="M2993" s="321">
        <v>1843504840</v>
      </c>
      <c r="N2993" s="321">
        <v>84</v>
      </c>
      <c r="O2993" s="321" t="s">
        <v>5041</v>
      </c>
      <c r="P2993" s="321">
        <v>5843500</v>
      </c>
      <c r="Q2993" s="322">
        <v>3537000</v>
      </c>
      <c r="R2993" s="322">
        <v>3026600</v>
      </c>
      <c r="S2993" s="322">
        <v>3537000</v>
      </c>
      <c r="T2993" s="322">
        <v>3537000</v>
      </c>
      <c r="U2993" s="322">
        <f t="shared" si="196"/>
        <v>0</v>
      </c>
      <c r="W2993" s="321">
        <f t="shared" si="197"/>
        <v>840</v>
      </c>
      <c r="X2993" s="321">
        <f t="shared" si="198"/>
        <v>843504</v>
      </c>
      <c r="Y2993" s="321">
        <v>1</v>
      </c>
      <c r="AA2993" s="321" t="s">
        <v>5041</v>
      </c>
    </row>
    <row r="2994" spans="13:27">
      <c r="M2994" s="321">
        <v>1843504930</v>
      </c>
      <c r="N2994" s="321">
        <v>84</v>
      </c>
      <c r="O2994" s="321" t="s">
        <v>6236</v>
      </c>
      <c r="P2994" s="321">
        <v>5843500</v>
      </c>
      <c r="Q2994" s="322">
        <v>59000</v>
      </c>
      <c r="R2994" s="322">
        <v>25100</v>
      </c>
      <c r="S2994" s="322">
        <v>59000</v>
      </c>
      <c r="T2994" s="322">
        <v>59000</v>
      </c>
      <c r="U2994" s="322">
        <f t="shared" si="196"/>
        <v>0</v>
      </c>
      <c r="W2994" s="321">
        <f t="shared" si="197"/>
        <v>930</v>
      </c>
      <c r="X2994" s="321">
        <f t="shared" si="198"/>
        <v>843504</v>
      </c>
      <c r="Y2994" s="321">
        <v>1</v>
      </c>
      <c r="AA2994" s="321" t="s">
        <v>6236</v>
      </c>
    </row>
    <row r="2995" spans="13:27">
      <c r="M2995" s="321">
        <v>1843505840</v>
      </c>
      <c r="N2995" s="321">
        <v>84</v>
      </c>
      <c r="O2995" s="321" t="s">
        <v>5042</v>
      </c>
      <c r="P2995" s="321">
        <v>5843500</v>
      </c>
      <c r="Q2995" s="322">
        <v>426700</v>
      </c>
      <c r="R2995" s="322">
        <v>106000</v>
      </c>
      <c r="S2995" s="322">
        <v>426700</v>
      </c>
      <c r="T2995" s="322">
        <v>426700</v>
      </c>
      <c r="U2995" s="322">
        <f t="shared" si="196"/>
        <v>0</v>
      </c>
      <c r="W2995" s="321">
        <f t="shared" si="197"/>
        <v>840</v>
      </c>
      <c r="X2995" s="321">
        <f t="shared" si="198"/>
        <v>843505</v>
      </c>
      <c r="Y2995" s="321">
        <v>1</v>
      </c>
      <c r="AA2995" s="321" t="s">
        <v>5042</v>
      </c>
    </row>
    <row r="2996" spans="13:27">
      <c r="M2996" s="321">
        <v>1843507760</v>
      </c>
      <c r="N2996" s="321">
        <v>84</v>
      </c>
      <c r="O2996" s="321" t="s">
        <v>6237</v>
      </c>
      <c r="P2996" s="321">
        <v>5843500</v>
      </c>
      <c r="Q2996" s="322">
        <v>200000</v>
      </c>
      <c r="R2996" s="322">
        <v>200000</v>
      </c>
      <c r="S2996" s="322">
        <v>200000</v>
      </c>
      <c r="T2996" s="322">
        <v>200000</v>
      </c>
      <c r="U2996" s="322">
        <f t="shared" si="196"/>
        <v>0</v>
      </c>
      <c r="W2996" s="321">
        <f t="shared" si="197"/>
        <v>760</v>
      </c>
      <c r="X2996" s="321">
        <f t="shared" si="198"/>
        <v>843507</v>
      </c>
      <c r="Y2996" s="321">
        <v>1</v>
      </c>
      <c r="AA2996" s="321" t="s">
        <v>6237</v>
      </c>
    </row>
    <row r="2997" spans="13:27">
      <c r="M2997" s="321">
        <v>1843507810</v>
      </c>
      <c r="N2997" s="321">
        <v>84</v>
      </c>
      <c r="O2997" s="321" t="s">
        <v>6238</v>
      </c>
      <c r="P2997" s="321">
        <v>5843500</v>
      </c>
      <c r="Q2997" s="322">
        <v>300000</v>
      </c>
      <c r="R2997" s="322">
        <v>279100</v>
      </c>
      <c r="S2997" s="322">
        <v>300000</v>
      </c>
      <c r="T2997" s="322">
        <v>300000</v>
      </c>
      <c r="U2997" s="322">
        <f t="shared" si="196"/>
        <v>0</v>
      </c>
      <c r="W2997" s="321">
        <f t="shared" si="197"/>
        <v>810</v>
      </c>
      <c r="X2997" s="321">
        <f t="shared" si="198"/>
        <v>843507</v>
      </c>
      <c r="Y2997" s="321">
        <v>1</v>
      </c>
      <c r="AA2997" s="321" t="s">
        <v>6238</v>
      </c>
    </row>
    <row r="2998" spans="13:27">
      <c r="M2998" s="321">
        <v>1843507840</v>
      </c>
      <c r="N2998" s="321">
        <v>84</v>
      </c>
      <c r="O2998" s="321" t="s">
        <v>5043</v>
      </c>
      <c r="P2998" s="321">
        <v>5843500</v>
      </c>
      <c r="Q2998" s="322">
        <v>97000</v>
      </c>
      <c r="R2998" s="322">
        <v>132600</v>
      </c>
      <c r="S2998" s="322">
        <v>120000</v>
      </c>
      <c r="T2998" s="322">
        <v>120000</v>
      </c>
      <c r="U2998" s="322">
        <f t="shared" si="196"/>
        <v>0</v>
      </c>
      <c r="W2998" s="321">
        <f t="shared" si="197"/>
        <v>840</v>
      </c>
      <c r="X2998" s="321">
        <f t="shared" si="198"/>
        <v>843507</v>
      </c>
      <c r="Y2998" s="321">
        <v>1</v>
      </c>
      <c r="AA2998" s="321" t="s">
        <v>5043</v>
      </c>
    </row>
    <row r="2999" spans="13:27">
      <c r="M2999" s="321">
        <v>1843508760</v>
      </c>
      <c r="N2999" s="321">
        <v>84</v>
      </c>
      <c r="O2999" s="321" t="s">
        <v>6239</v>
      </c>
      <c r="P2999" s="321">
        <v>5843500</v>
      </c>
      <c r="Q2999" s="322">
        <v>69000</v>
      </c>
      <c r="R2999" s="322">
        <v>55600</v>
      </c>
      <c r="S2999" s="322">
        <v>69000</v>
      </c>
      <c r="T2999" s="322">
        <v>69000</v>
      </c>
      <c r="U2999" s="322">
        <f t="shared" si="196"/>
        <v>0</v>
      </c>
      <c r="W2999" s="321">
        <f t="shared" si="197"/>
        <v>760</v>
      </c>
      <c r="X2999" s="321">
        <f t="shared" si="198"/>
        <v>843508</v>
      </c>
      <c r="Y2999" s="321">
        <v>1</v>
      </c>
      <c r="AA2999" s="321" t="s">
        <v>6239</v>
      </c>
    </row>
    <row r="3000" spans="13:27">
      <c r="M3000" s="321">
        <v>1843508840</v>
      </c>
      <c r="N3000" s="321">
        <v>84</v>
      </c>
      <c r="O3000" s="321" t="s">
        <v>5044</v>
      </c>
      <c r="P3000" s="321">
        <v>5843500</v>
      </c>
      <c r="Q3000" s="322">
        <v>16000</v>
      </c>
      <c r="R3000" s="322">
        <v>45100</v>
      </c>
      <c r="S3000" s="322">
        <v>42300</v>
      </c>
      <c r="T3000" s="322">
        <v>42300</v>
      </c>
      <c r="U3000" s="322">
        <f t="shared" si="196"/>
        <v>0</v>
      </c>
      <c r="W3000" s="321">
        <f t="shared" si="197"/>
        <v>840</v>
      </c>
      <c r="X3000" s="321">
        <f t="shared" si="198"/>
        <v>843508</v>
      </c>
      <c r="Y3000" s="321">
        <v>1</v>
      </c>
      <c r="AA3000" s="321" t="s">
        <v>5044</v>
      </c>
    </row>
    <row r="3001" spans="13:27">
      <c r="M3001" s="321">
        <v>1843509760</v>
      </c>
      <c r="N3001" s="321">
        <v>84</v>
      </c>
      <c r="O3001" s="321" t="s">
        <v>6240</v>
      </c>
      <c r="P3001" s="321">
        <v>5843500</v>
      </c>
      <c r="Q3001" s="322">
        <v>36000</v>
      </c>
      <c r="R3001" s="322">
        <v>0</v>
      </c>
      <c r="S3001" s="322">
        <v>36000</v>
      </c>
      <c r="T3001" s="322">
        <v>36000</v>
      </c>
      <c r="U3001" s="322">
        <f t="shared" si="196"/>
        <v>0</v>
      </c>
      <c r="W3001" s="321">
        <f t="shared" si="197"/>
        <v>760</v>
      </c>
      <c r="X3001" s="321">
        <f t="shared" si="198"/>
        <v>843509</v>
      </c>
      <c r="Y3001" s="321">
        <v>1</v>
      </c>
      <c r="AA3001" s="321" t="s">
        <v>6240</v>
      </c>
    </row>
    <row r="3002" spans="13:27">
      <c r="M3002" s="321">
        <v>1843510760</v>
      </c>
      <c r="N3002" s="321">
        <v>84</v>
      </c>
      <c r="O3002" s="321" t="s">
        <v>6241</v>
      </c>
      <c r="P3002" s="321">
        <v>5843500</v>
      </c>
      <c r="Q3002" s="322">
        <v>0</v>
      </c>
      <c r="R3002" s="322">
        <v>0</v>
      </c>
      <c r="S3002" s="322">
        <v>0</v>
      </c>
      <c r="T3002" s="322">
        <v>0</v>
      </c>
      <c r="U3002" s="322">
        <f t="shared" si="196"/>
        <v>0</v>
      </c>
      <c r="W3002" s="321">
        <f t="shared" si="197"/>
        <v>760</v>
      </c>
      <c r="X3002" s="321">
        <f t="shared" si="198"/>
        <v>843510</v>
      </c>
      <c r="Y3002" s="321">
        <v>1</v>
      </c>
      <c r="AA3002" s="321" t="s">
        <v>6241</v>
      </c>
    </row>
    <row r="3003" spans="13:27">
      <c r="M3003" s="321">
        <v>1843800840</v>
      </c>
      <c r="N3003" s="321">
        <v>84</v>
      </c>
      <c r="O3003" s="321" t="s">
        <v>5045</v>
      </c>
      <c r="P3003" s="321">
        <v>5843800</v>
      </c>
      <c r="Q3003" s="322">
        <v>26491000</v>
      </c>
      <c r="R3003" s="322">
        <v>20986700</v>
      </c>
      <c r="S3003" s="322">
        <v>28418500</v>
      </c>
      <c r="T3003" s="322">
        <v>28418500</v>
      </c>
      <c r="U3003" s="322">
        <f t="shared" si="196"/>
        <v>0</v>
      </c>
      <c r="W3003" s="321">
        <f t="shared" si="197"/>
        <v>840</v>
      </c>
      <c r="X3003" s="321">
        <f t="shared" si="198"/>
        <v>843800</v>
      </c>
      <c r="Y3003" s="321">
        <v>1</v>
      </c>
      <c r="AA3003" s="321" t="s">
        <v>5045</v>
      </c>
    </row>
    <row r="3004" spans="13:27">
      <c r="M3004" s="321">
        <v>1843801840</v>
      </c>
      <c r="N3004" s="321">
        <v>84</v>
      </c>
      <c r="O3004" s="321" t="s">
        <v>6242</v>
      </c>
      <c r="P3004" s="321">
        <v>5843800</v>
      </c>
      <c r="Q3004" s="322">
        <v>0</v>
      </c>
      <c r="R3004" s="322">
        <v>8500</v>
      </c>
      <c r="S3004" s="322">
        <v>0</v>
      </c>
      <c r="T3004" s="322">
        <v>0</v>
      </c>
      <c r="U3004" s="322">
        <f t="shared" si="196"/>
        <v>0</v>
      </c>
      <c r="W3004" s="321">
        <f t="shared" si="197"/>
        <v>840</v>
      </c>
      <c r="X3004" s="321">
        <f t="shared" si="198"/>
        <v>843801</v>
      </c>
      <c r="Y3004" s="321">
        <v>1</v>
      </c>
      <c r="AA3004" s="321" t="s">
        <v>6242</v>
      </c>
    </row>
    <row r="3005" spans="13:27">
      <c r="M3005" s="321">
        <v>1843900441</v>
      </c>
      <c r="N3005" s="321">
        <v>84</v>
      </c>
      <c r="O3005" s="321" t="s">
        <v>6243</v>
      </c>
      <c r="P3005" s="321">
        <v>5843900</v>
      </c>
      <c r="Q3005" s="322">
        <v>20000</v>
      </c>
      <c r="R3005" s="322">
        <v>200</v>
      </c>
      <c r="S3005" s="322">
        <v>18000</v>
      </c>
      <c r="T3005" s="322">
        <v>18000</v>
      </c>
      <c r="U3005" s="322">
        <f t="shared" si="196"/>
        <v>0</v>
      </c>
      <c r="W3005" s="321">
        <f t="shared" si="197"/>
        <v>441</v>
      </c>
      <c r="X3005" s="321">
        <f t="shared" si="198"/>
        <v>843900</v>
      </c>
      <c r="Y3005" s="321">
        <v>1</v>
      </c>
      <c r="AA3005" s="321" t="s">
        <v>6243</v>
      </c>
    </row>
    <row r="3006" spans="13:27">
      <c r="M3006" s="321">
        <v>1843900810</v>
      </c>
      <c r="N3006" s="321">
        <v>84</v>
      </c>
      <c r="O3006" s="321" t="s">
        <v>5049</v>
      </c>
      <c r="P3006" s="321">
        <v>5843900</v>
      </c>
      <c r="Q3006" s="322">
        <v>4800000</v>
      </c>
      <c r="R3006" s="322">
        <v>4310700</v>
      </c>
      <c r="S3006" s="322">
        <v>4800000</v>
      </c>
      <c r="T3006" s="322">
        <v>4800000</v>
      </c>
      <c r="U3006" s="322">
        <f t="shared" si="196"/>
        <v>0</v>
      </c>
      <c r="W3006" s="321">
        <f t="shared" si="197"/>
        <v>810</v>
      </c>
      <c r="X3006" s="321">
        <f t="shared" si="198"/>
        <v>843900</v>
      </c>
      <c r="Y3006" s="321">
        <v>1</v>
      </c>
      <c r="AA3006" s="321" t="s">
        <v>5049</v>
      </c>
    </row>
    <row r="3007" spans="13:27">
      <c r="M3007" s="321">
        <v>1843900840</v>
      </c>
      <c r="N3007" s="321">
        <v>84</v>
      </c>
      <c r="O3007" s="321" t="s">
        <v>5048</v>
      </c>
      <c r="P3007" s="321">
        <v>5843900</v>
      </c>
      <c r="Q3007" s="322">
        <v>13145100</v>
      </c>
      <c r="R3007" s="322">
        <v>9372800</v>
      </c>
      <c r="S3007" s="322">
        <v>13846300</v>
      </c>
      <c r="T3007" s="322">
        <v>13846300</v>
      </c>
      <c r="U3007" s="322">
        <f t="shared" si="196"/>
        <v>0</v>
      </c>
      <c r="W3007" s="321">
        <f t="shared" si="197"/>
        <v>840</v>
      </c>
      <c r="X3007" s="321">
        <f t="shared" si="198"/>
        <v>843900</v>
      </c>
      <c r="Y3007" s="321">
        <v>1</v>
      </c>
      <c r="AA3007" s="321" t="s">
        <v>5048</v>
      </c>
    </row>
    <row r="3008" spans="13:27">
      <c r="M3008" s="321">
        <v>1844300840</v>
      </c>
      <c r="N3008" s="321">
        <v>84</v>
      </c>
      <c r="O3008" s="321" t="s">
        <v>5050</v>
      </c>
      <c r="P3008" s="321">
        <v>5844300</v>
      </c>
      <c r="Q3008" s="322">
        <v>16058900</v>
      </c>
      <c r="R3008" s="322">
        <v>8564300</v>
      </c>
      <c r="S3008" s="322">
        <v>11862200</v>
      </c>
      <c r="T3008" s="322">
        <v>11862200</v>
      </c>
      <c r="U3008" s="322">
        <f t="shared" si="196"/>
        <v>0</v>
      </c>
      <c r="W3008" s="321">
        <f t="shared" si="197"/>
        <v>840</v>
      </c>
      <c r="X3008" s="321">
        <f t="shared" si="198"/>
        <v>844300</v>
      </c>
      <c r="Y3008" s="321">
        <v>1</v>
      </c>
      <c r="AA3008" s="321" t="s">
        <v>5050</v>
      </c>
    </row>
    <row r="3009" spans="13:27">
      <c r="M3009" s="321">
        <v>1844301840</v>
      </c>
      <c r="N3009" s="321">
        <v>84</v>
      </c>
      <c r="O3009" s="321" t="s">
        <v>5051</v>
      </c>
      <c r="P3009" s="321">
        <v>5844300</v>
      </c>
      <c r="Q3009" s="322">
        <v>26700</v>
      </c>
      <c r="R3009" s="322">
        <v>55500</v>
      </c>
      <c r="S3009" s="322">
        <v>53300</v>
      </c>
      <c r="T3009" s="322">
        <v>53300</v>
      </c>
      <c r="U3009" s="322">
        <f t="shared" si="196"/>
        <v>0</v>
      </c>
      <c r="W3009" s="321">
        <f t="shared" si="197"/>
        <v>840</v>
      </c>
      <c r="X3009" s="321">
        <f t="shared" si="198"/>
        <v>844301</v>
      </c>
      <c r="Y3009" s="321">
        <v>1</v>
      </c>
      <c r="AA3009" s="321" t="s">
        <v>5051</v>
      </c>
    </row>
    <row r="3010" spans="13:27">
      <c r="M3010" s="321">
        <v>1844400750</v>
      </c>
      <c r="N3010" s="321">
        <v>84</v>
      </c>
      <c r="O3010" s="321" t="s">
        <v>6244</v>
      </c>
      <c r="P3010" s="321">
        <v>5844400</v>
      </c>
      <c r="Q3010" s="322">
        <v>90000</v>
      </c>
      <c r="R3010" s="322">
        <v>67500</v>
      </c>
      <c r="S3010" s="322">
        <v>90000</v>
      </c>
      <c r="T3010" s="322">
        <v>90000</v>
      </c>
      <c r="U3010" s="322">
        <f t="shared" ref="U3010:U3073" si="199">S3010-T3010</f>
        <v>0</v>
      </c>
      <c r="W3010" s="321">
        <f t="shared" si="197"/>
        <v>750</v>
      </c>
      <c r="X3010" s="321">
        <f t="shared" si="198"/>
        <v>844400</v>
      </c>
      <c r="Y3010" s="321">
        <v>1</v>
      </c>
      <c r="AA3010" s="321" t="s">
        <v>6244</v>
      </c>
    </row>
    <row r="3011" spans="13:27">
      <c r="M3011" s="321">
        <v>1844400840</v>
      </c>
      <c r="N3011" s="321">
        <v>84</v>
      </c>
      <c r="O3011" s="321" t="s">
        <v>5053</v>
      </c>
      <c r="P3011" s="321">
        <v>5844400</v>
      </c>
      <c r="Q3011" s="322">
        <v>400000</v>
      </c>
      <c r="R3011" s="322">
        <v>400000</v>
      </c>
      <c r="S3011" s="322">
        <v>400000</v>
      </c>
      <c r="T3011" s="322">
        <v>400000</v>
      </c>
      <c r="U3011" s="322">
        <f t="shared" si="199"/>
        <v>0</v>
      </c>
      <c r="W3011" s="321">
        <f t="shared" ref="W3011:W3074" si="200">M3011-1000000000-X3011*1000</f>
        <v>840</v>
      </c>
      <c r="X3011" s="321">
        <f t="shared" ref="X3011:X3074" si="201">ROUNDDOWN((M3011-1000000000)/1000,0)</f>
        <v>844400</v>
      </c>
      <c r="Y3011" s="321">
        <v>1</v>
      </c>
      <c r="AA3011" s="321" t="s">
        <v>5053</v>
      </c>
    </row>
    <row r="3012" spans="13:27">
      <c r="M3012" s="321">
        <v>1844400930</v>
      </c>
      <c r="N3012" s="321">
        <v>84</v>
      </c>
      <c r="O3012" s="321" t="s">
        <v>6245</v>
      </c>
      <c r="P3012" s="321">
        <v>5844400</v>
      </c>
      <c r="Q3012" s="322">
        <v>20000</v>
      </c>
      <c r="R3012" s="322">
        <v>4100</v>
      </c>
      <c r="S3012" s="322">
        <v>20000</v>
      </c>
      <c r="T3012" s="322">
        <v>20000</v>
      </c>
      <c r="U3012" s="322">
        <f t="shared" si="199"/>
        <v>0</v>
      </c>
      <c r="W3012" s="321">
        <f t="shared" si="200"/>
        <v>930</v>
      </c>
      <c r="X3012" s="321">
        <f t="shared" si="201"/>
        <v>844400</v>
      </c>
      <c r="Y3012" s="321">
        <v>1</v>
      </c>
      <c r="AA3012" s="321" t="s">
        <v>6245</v>
      </c>
    </row>
    <row r="3013" spans="13:27">
      <c r="M3013" s="321">
        <v>1844401760</v>
      </c>
      <c r="N3013" s="321">
        <v>84</v>
      </c>
      <c r="O3013" s="321" t="s">
        <v>6246</v>
      </c>
      <c r="P3013" s="321">
        <v>5844400</v>
      </c>
      <c r="Q3013" s="322">
        <v>83000</v>
      </c>
      <c r="R3013" s="322">
        <v>12800</v>
      </c>
      <c r="S3013" s="322">
        <v>83000</v>
      </c>
      <c r="T3013" s="322">
        <v>83000</v>
      </c>
      <c r="U3013" s="322">
        <f t="shared" si="199"/>
        <v>0</v>
      </c>
      <c r="W3013" s="321">
        <f t="shared" si="200"/>
        <v>760</v>
      </c>
      <c r="X3013" s="321">
        <f t="shared" si="201"/>
        <v>844401</v>
      </c>
      <c r="Y3013" s="321">
        <v>1</v>
      </c>
      <c r="AA3013" s="321" t="s">
        <v>6246</v>
      </c>
    </row>
    <row r="3014" spans="13:27">
      <c r="M3014" s="321">
        <v>1844401840</v>
      </c>
      <c r="N3014" s="321">
        <v>84</v>
      </c>
      <c r="O3014" s="321" t="s">
        <v>5054</v>
      </c>
      <c r="P3014" s="321">
        <v>5844400</v>
      </c>
      <c r="Q3014" s="322">
        <v>510000</v>
      </c>
      <c r="R3014" s="322">
        <v>522200</v>
      </c>
      <c r="S3014" s="322">
        <v>510000</v>
      </c>
      <c r="T3014" s="322">
        <v>510000</v>
      </c>
      <c r="U3014" s="322">
        <f t="shared" si="199"/>
        <v>0</v>
      </c>
      <c r="W3014" s="321">
        <f t="shared" si="200"/>
        <v>840</v>
      </c>
      <c r="X3014" s="321">
        <f t="shared" si="201"/>
        <v>844401</v>
      </c>
      <c r="Y3014" s="321">
        <v>1</v>
      </c>
      <c r="AA3014" s="321" t="s">
        <v>5054</v>
      </c>
    </row>
    <row r="3015" spans="13:27">
      <c r="M3015" s="321">
        <v>1844402760</v>
      </c>
      <c r="N3015" s="321">
        <v>84</v>
      </c>
      <c r="O3015" s="321" t="s">
        <v>6247</v>
      </c>
      <c r="P3015" s="321">
        <v>5844400</v>
      </c>
      <c r="Q3015" s="322">
        <v>64000</v>
      </c>
      <c r="R3015" s="322">
        <v>0</v>
      </c>
      <c r="S3015" s="322">
        <v>64000</v>
      </c>
      <c r="T3015" s="322">
        <v>64000</v>
      </c>
      <c r="U3015" s="322">
        <f t="shared" si="199"/>
        <v>0</v>
      </c>
      <c r="W3015" s="321">
        <f t="shared" si="200"/>
        <v>760</v>
      </c>
      <c r="X3015" s="321">
        <f t="shared" si="201"/>
        <v>844402</v>
      </c>
      <c r="Y3015" s="321">
        <v>1</v>
      </c>
      <c r="AA3015" s="321" t="s">
        <v>6247</v>
      </c>
    </row>
    <row r="3016" spans="13:27">
      <c r="M3016" s="321">
        <v>1844402840</v>
      </c>
      <c r="N3016" s="321">
        <v>84</v>
      </c>
      <c r="O3016" s="321" t="s">
        <v>5055</v>
      </c>
      <c r="P3016" s="321">
        <v>5844400</v>
      </c>
      <c r="Q3016" s="322">
        <v>40000</v>
      </c>
      <c r="R3016" s="322">
        <v>0</v>
      </c>
      <c r="S3016" s="322">
        <v>40000</v>
      </c>
      <c r="T3016" s="322">
        <v>40000</v>
      </c>
      <c r="U3016" s="322">
        <f t="shared" si="199"/>
        <v>0</v>
      </c>
      <c r="W3016" s="321">
        <f t="shared" si="200"/>
        <v>840</v>
      </c>
      <c r="X3016" s="321">
        <f t="shared" si="201"/>
        <v>844402</v>
      </c>
      <c r="Y3016" s="321">
        <v>1</v>
      </c>
      <c r="AA3016" s="321" t="s">
        <v>5055</v>
      </c>
    </row>
    <row r="3017" spans="13:27">
      <c r="M3017" s="321">
        <v>1844404840</v>
      </c>
      <c r="N3017" s="321">
        <v>84</v>
      </c>
      <c r="O3017" s="321" t="s">
        <v>5057</v>
      </c>
      <c r="P3017" s="321">
        <v>5844400</v>
      </c>
      <c r="Q3017" s="322">
        <v>135000</v>
      </c>
      <c r="R3017" s="322">
        <v>140000</v>
      </c>
      <c r="S3017" s="322">
        <v>140000</v>
      </c>
      <c r="T3017" s="322">
        <v>140000</v>
      </c>
      <c r="U3017" s="322">
        <f t="shared" si="199"/>
        <v>0</v>
      </c>
      <c r="W3017" s="321">
        <f t="shared" si="200"/>
        <v>840</v>
      </c>
      <c r="X3017" s="321">
        <f t="shared" si="201"/>
        <v>844404</v>
      </c>
      <c r="Y3017" s="321">
        <v>1</v>
      </c>
      <c r="AA3017" s="321" t="s">
        <v>5057</v>
      </c>
    </row>
    <row r="3018" spans="13:27">
      <c r="M3018" s="321">
        <v>1844404841</v>
      </c>
      <c r="N3018" s="321">
        <v>84</v>
      </c>
      <c r="O3018" s="321" t="s">
        <v>6248</v>
      </c>
      <c r="P3018" s="321">
        <v>5844400</v>
      </c>
      <c r="Q3018" s="322">
        <v>29000</v>
      </c>
      <c r="R3018" s="322">
        <v>0</v>
      </c>
      <c r="S3018" s="322">
        <v>0</v>
      </c>
      <c r="T3018" s="322">
        <v>0</v>
      </c>
      <c r="U3018" s="322">
        <f t="shared" si="199"/>
        <v>0</v>
      </c>
      <c r="W3018" s="321">
        <f t="shared" si="200"/>
        <v>841</v>
      </c>
      <c r="X3018" s="321">
        <f t="shared" si="201"/>
        <v>844404</v>
      </c>
      <c r="Y3018" s="321">
        <v>1</v>
      </c>
      <c r="AA3018" s="321" t="s">
        <v>6248</v>
      </c>
    </row>
    <row r="3019" spans="13:27">
      <c r="M3019" s="321">
        <v>1844405760</v>
      </c>
      <c r="N3019" s="321">
        <v>84</v>
      </c>
      <c r="O3019" s="321" t="s">
        <v>6249</v>
      </c>
      <c r="P3019" s="321">
        <v>5844400</v>
      </c>
      <c r="Q3019" s="322">
        <v>1325000</v>
      </c>
      <c r="R3019" s="322">
        <v>1083300</v>
      </c>
      <c r="S3019" s="322">
        <v>1525000</v>
      </c>
      <c r="T3019" s="322">
        <v>1375000</v>
      </c>
      <c r="U3019" s="322">
        <f t="shared" si="199"/>
        <v>150000</v>
      </c>
      <c r="W3019" s="321">
        <f t="shared" si="200"/>
        <v>760</v>
      </c>
      <c r="X3019" s="321">
        <f t="shared" si="201"/>
        <v>844405</v>
      </c>
      <c r="Y3019" s="321">
        <v>1</v>
      </c>
      <c r="AA3019" s="321" t="s">
        <v>6249</v>
      </c>
    </row>
    <row r="3020" spans="13:27">
      <c r="M3020" s="321">
        <v>1844405840</v>
      </c>
      <c r="N3020" s="321">
        <v>84</v>
      </c>
      <c r="O3020" s="321" t="s">
        <v>5058</v>
      </c>
      <c r="P3020" s="321">
        <v>5844400</v>
      </c>
      <c r="Q3020" s="322">
        <v>15000</v>
      </c>
      <c r="R3020" s="322">
        <v>0</v>
      </c>
      <c r="S3020" s="322">
        <v>15000</v>
      </c>
      <c r="T3020" s="322">
        <v>15000</v>
      </c>
      <c r="U3020" s="322">
        <f t="shared" si="199"/>
        <v>0</v>
      </c>
      <c r="W3020" s="321">
        <f t="shared" si="200"/>
        <v>840</v>
      </c>
      <c r="X3020" s="321">
        <f t="shared" si="201"/>
        <v>844405</v>
      </c>
      <c r="Y3020" s="321">
        <v>1</v>
      </c>
      <c r="AA3020" s="321" t="s">
        <v>5058</v>
      </c>
    </row>
    <row r="3021" spans="13:27">
      <c r="M3021" s="321">
        <v>1844406760</v>
      </c>
      <c r="N3021" s="321">
        <v>84</v>
      </c>
      <c r="O3021" s="321" t="s">
        <v>3883</v>
      </c>
      <c r="P3021" s="321">
        <v>5844400</v>
      </c>
      <c r="Q3021" s="322">
        <v>60000</v>
      </c>
      <c r="R3021" s="322">
        <v>30000</v>
      </c>
      <c r="S3021" s="322">
        <v>60000</v>
      </c>
      <c r="T3021" s="322">
        <v>60000</v>
      </c>
      <c r="U3021" s="322">
        <f t="shared" si="199"/>
        <v>0</v>
      </c>
      <c r="W3021" s="321">
        <f t="shared" si="200"/>
        <v>760</v>
      </c>
      <c r="X3021" s="321">
        <f t="shared" si="201"/>
        <v>844406</v>
      </c>
      <c r="Y3021" s="321">
        <v>1</v>
      </c>
      <c r="AA3021" s="321" t="s">
        <v>3883</v>
      </c>
    </row>
    <row r="3022" spans="13:27">
      <c r="M3022" s="321">
        <v>1844406840</v>
      </c>
      <c r="N3022" s="321">
        <v>84</v>
      </c>
      <c r="O3022" s="321" t="s">
        <v>5059</v>
      </c>
      <c r="P3022" s="321">
        <v>5844400</v>
      </c>
      <c r="Q3022" s="322">
        <v>260000</v>
      </c>
      <c r="R3022" s="322">
        <v>243100</v>
      </c>
      <c r="S3022" s="322">
        <v>260000</v>
      </c>
      <c r="T3022" s="322">
        <v>260000</v>
      </c>
      <c r="U3022" s="322">
        <f t="shared" si="199"/>
        <v>0</v>
      </c>
      <c r="W3022" s="321">
        <f t="shared" si="200"/>
        <v>840</v>
      </c>
      <c r="X3022" s="321">
        <f t="shared" si="201"/>
        <v>844406</v>
      </c>
      <c r="Y3022" s="321">
        <v>1</v>
      </c>
      <c r="AA3022" s="321" t="s">
        <v>5059</v>
      </c>
    </row>
    <row r="3023" spans="13:27">
      <c r="M3023" s="321">
        <v>1844407840</v>
      </c>
      <c r="N3023" s="321">
        <v>84</v>
      </c>
      <c r="O3023" s="321" t="s">
        <v>5060</v>
      </c>
      <c r="P3023" s="321">
        <v>5844400</v>
      </c>
      <c r="Q3023" s="322">
        <v>146700</v>
      </c>
      <c r="R3023" s="322">
        <v>109000</v>
      </c>
      <c r="S3023" s="322">
        <v>146700</v>
      </c>
      <c r="T3023" s="322">
        <v>146700</v>
      </c>
      <c r="U3023" s="322">
        <f t="shared" si="199"/>
        <v>0</v>
      </c>
      <c r="W3023" s="321">
        <f t="shared" si="200"/>
        <v>840</v>
      </c>
      <c r="X3023" s="321">
        <f t="shared" si="201"/>
        <v>844407</v>
      </c>
      <c r="Y3023" s="321">
        <v>1</v>
      </c>
      <c r="AA3023" s="321" t="s">
        <v>5060</v>
      </c>
    </row>
    <row r="3024" spans="13:27">
      <c r="M3024" s="321">
        <v>1844408840</v>
      </c>
      <c r="N3024" s="321">
        <v>84</v>
      </c>
      <c r="O3024" s="321" t="s">
        <v>5061</v>
      </c>
      <c r="P3024" s="321">
        <v>5844400</v>
      </c>
      <c r="Q3024" s="322">
        <v>19800</v>
      </c>
      <c r="R3024" s="322">
        <v>0</v>
      </c>
      <c r="S3024" s="322">
        <v>19800</v>
      </c>
      <c r="T3024" s="322">
        <v>19800</v>
      </c>
      <c r="U3024" s="322">
        <f t="shared" si="199"/>
        <v>0</v>
      </c>
      <c r="W3024" s="321">
        <f t="shared" si="200"/>
        <v>840</v>
      </c>
      <c r="X3024" s="321">
        <f t="shared" si="201"/>
        <v>844408</v>
      </c>
      <c r="Y3024" s="321">
        <v>1</v>
      </c>
      <c r="AA3024" s="321" t="s">
        <v>5061</v>
      </c>
    </row>
    <row r="3025" spans="13:27">
      <c r="M3025" s="321">
        <v>1844409840</v>
      </c>
      <c r="N3025" s="321">
        <v>84</v>
      </c>
      <c r="O3025" s="321" t="s">
        <v>5062</v>
      </c>
      <c r="P3025" s="321">
        <v>5844400</v>
      </c>
      <c r="Q3025" s="322">
        <v>100000</v>
      </c>
      <c r="R3025" s="322">
        <v>-2300</v>
      </c>
      <c r="S3025" s="322">
        <v>102300</v>
      </c>
      <c r="T3025" s="322">
        <v>102300</v>
      </c>
      <c r="U3025" s="322">
        <f t="shared" si="199"/>
        <v>0</v>
      </c>
      <c r="W3025" s="321">
        <f t="shared" si="200"/>
        <v>840</v>
      </c>
      <c r="X3025" s="321">
        <f t="shared" si="201"/>
        <v>844409</v>
      </c>
      <c r="Y3025" s="321">
        <v>1</v>
      </c>
      <c r="AA3025" s="321" t="s">
        <v>5062</v>
      </c>
    </row>
    <row r="3026" spans="13:27">
      <c r="M3026" s="321">
        <v>1844500760</v>
      </c>
      <c r="N3026" s="321">
        <v>84</v>
      </c>
      <c r="O3026" s="321" t="s">
        <v>6250</v>
      </c>
      <c r="P3026" s="321">
        <v>5844500</v>
      </c>
      <c r="Q3026" s="322">
        <v>50000</v>
      </c>
      <c r="R3026" s="322">
        <v>44500</v>
      </c>
      <c r="S3026" s="322">
        <v>50000</v>
      </c>
      <c r="T3026" s="322">
        <v>50000</v>
      </c>
      <c r="U3026" s="322">
        <f t="shared" si="199"/>
        <v>0</v>
      </c>
      <c r="W3026" s="321">
        <f t="shared" si="200"/>
        <v>760</v>
      </c>
      <c r="X3026" s="321">
        <f t="shared" si="201"/>
        <v>844500</v>
      </c>
      <c r="Y3026" s="321">
        <v>1</v>
      </c>
      <c r="AA3026" s="321" t="s">
        <v>6250</v>
      </c>
    </row>
    <row r="3027" spans="13:27">
      <c r="M3027" s="321">
        <v>1844500840</v>
      </c>
      <c r="N3027" s="321">
        <v>84</v>
      </c>
      <c r="O3027" s="321" t="s">
        <v>5064</v>
      </c>
      <c r="P3027" s="321">
        <v>5844500</v>
      </c>
      <c r="Q3027" s="322">
        <v>1333000</v>
      </c>
      <c r="R3027" s="322">
        <v>1133600</v>
      </c>
      <c r="S3027" s="322">
        <v>1333000</v>
      </c>
      <c r="T3027" s="322">
        <v>1333000</v>
      </c>
      <c r="U3027" s="322">
        <f t="shared" si="199"/>
        <v>0</v>
      </c>
      <c r="W3027" s="321">
        <f t="shared" si="200"/>
        <v>840</v>
      </c>
      <c r="X3027" s="321">
        <f t="shared" si="201"/>
        <v>844500</v>
      </c>
      <c r="Y3027" s="321">
        <v>1</v>
      </c>
      <c r="AA3027" s="321" t="s">
        <v>5064</v>
      </c>
    </row>
    <row r="3028" spans="13:27">
      <c r="M3028" s="321">
        <v>1844501840</v>
      </c>
      <c r="N3028" s="321">
        <v>84</v>
      </c>
      <c r="O3028" s="321" t="s">
        <v>5065</v>
      </c>
      <c r="P3028" s="321">
        <v>5844500</v>
      </c>
      <c r="Q3028" s="322">
        <v>0</v>
      </c>
      <c r="R3028" s="322">
        <v>361300</v>
      </c>
      <c r="S3028" s="322">
        <v>464000</v>
      </c>
      <c r="T3028" s="322">
        <v>464000</v>
      </c>
      <c r="U3028" s="322">
        <f t="shared" si="199"/>
        <v>0</v>
      </c>
      <c r="W3028" s="321">
        <f t="shared" si="200"/>
        <v>840</v>
      </c>
      <c r="X3028" s="321">
        <f t="shared" si="201"/>
        <v>844501</v>
      </c>
      <c r="Y3028" s="321">
        <v>1</v>
      </c>
      <c r="AA3028" s="321" t="s">
        <v>5065</v>
      </c>
    </row>
    <row r="3029" spans="13:27">
      <c r="M3029" s="321">
        <v>1844502810</v>
      </c>
      <c r="N3029" s="321">
        <v>84</v>
      </c>
      <c r="O3029" s="321" t="s">
        <v>6251</v>
      </c>
      <c r="P3029" s="321">
        <v>5844500</v>
      </c>
      <c r="Q3029" s="322">
        <v>43000</v>
      </c>
      <c r="R3029" s="322">
        <v>12300</v>
      </c>
      <c r="S3029" s="322">
        <v>43000</v>
      </c>
      <c r="T3029" s="322">
        <v>43000</v>
      </c>
      <c r="U3029" s="322">
        <f t="shared" si="199"/>
        <v>0</v>
      </c>
      <c r="W3029" s="321">
        <f t="shared" si="200"/>
        <v>810</v>
      </c>
      <c r="X3029" s="321">
        <f t="shared" si="201"/>
        <v>844502</v>
      </c>
      <c r="Y3029" s="321">
        <v>1</v>
      </c>
      <c r="AA3029" s="321" t="s">
        <v>6251</v>
      </c>
    </row>
    <row r="3030" spans="13:27">
      <c r="M3030" s="321">
        <v>1844502840</v>
      </c>
      <c r="N3030" s="321">
        <v>84</v>
      </c>
      <c r="O3030" s="321" t="s">
        <v>5066</v>
      </c>
      <c r="P3030" s="321">
        <v>5844500</v>
      </c>
      <c r="Q3030" s="322">
        <v>0</v>
      </c>
      <c r="R3030" s="322">
        <v>0</v>
      </c>
      <c r="S3030" s="322">
        <v>0</v>
      </c>
      <c r="T3030" s="322">
        <v>0</v>
      </c>
      <c r="U3030" s="322">
        <f t="shared" si="199"/>
        <v>0</v>
      </c>
      <c r="W3030" s="321">
        <f t="shared" si="200"/>
        <v>840</v>
      </c>
      <c r="X3030" s="321">
        <f t="shared" si="201"/>
        <v>844502</v>
      </c>
      <c r="Y3030" s="321">
        <v>1</v>
      </c>
      <c r="AA3030" s="321" t="s">
        <v>5066</v>
      </c>
    </row>
    <row r="3031" spans="13:27">
      <c r="M3031" s="321">
        <v>1844503840</v>
      </c>
      <c r="N3031" s="321">
        <v>84</v>
      </c>
      <c r="O3031" s="321" t="s">
        <v>5067</v>
      </c>
      <c r="P3031" s="321">
        <v>5844500</v>
      </c>
      <c r="Q3031" s="322">
        <v>0</v>
      </c>
      <c r="R3031" s="322">
        <v>0</v>
      </c>
      <c r="S3031" s="322">
        <v>0</v>
      </c>
      <c r="T3031" s="322">
        <v>0</v>
      </c>
      <c r="U3031" s="322">
        <f t="shared" si="199"/>
        <v>0</v>
      </c>
      <c r="W3031" s="321">
        <f t="shared" si="200"/>
        <v>840</v>
      </c>
      <c r="X3031" s="321">
        <f t="shared" si="201"/>
        <v>844503</v>
      </c>
      <c r="Y3031" s="321">
        <v>1</v>
      </c>
      <c r="AA3031" s="321" t="s">
        <v>5067</v>
      </c>
    </row>
    <row r="3032" spans="13:27">
      <c r="M3032" s="321">
        <v>1844900840</v>
      </c>
      <c r="N3032" s="321">
        <v>84</v>
      </c>
      <c r="O3032" s="321" t="s">
        <v>5068</v>
      </c>
      <c r="P3032" s="321">
        <v>5844400</v>
      </c>
      <c r="Q3032" s="322">
        <v>24500</v>
      </c>
      <c r="R3032" s="322">
        <v>24400</v>
      </c>
      <c r="S3032" s="322">
        <v>40000</v>
      </c>
      <c r="T3032" s="322">
        <v>40000</v>
      </c>
      <c r="U3032" s="322">
        <f t="shared" si="199"/>
        <v>0</v>
      </c>
      <c r="W3032" s="321">
        <f t="shared" si="200"/>
        <v>840</v>
      </c>
      <c r="X3032" s="321">
        <f t="shared" si="201"/>
        <v>844900</v>
      </c>
      <c r="Y3032" s="321">
        <v>1</v>
      </c>
      <c r="AA3032" s="321" t="s">
        <v>5068</v>
      </c>
    </row>
    <row r="3033" spans="13:27">
      <c r="M3033" s="321">
        <v>1845100840</v>
      </c>
      <c r="N3033" s="321">
        <v>84</v>
      </c>
      <c r="O3033" s="321" t="s">
        <v>5070</v>
      </c>
      <c r="P3033" s="321">
        <v>5845100</v>
      </c>
      <c r="Q3033" s="322">
        <v>30912200</v>
      </c>
      <c r="R3033" s="322">
        <v>25213800</v>
      </c>
      <c r="S3033" s="322">
        <v>33939300</v>
      </c>
      <c r="T3033" s="322">
        <v>33939300</v>
      </c>
      <c r="U3033" s="322">
        <f t="shared" si="199"/>
        <v>0</v>
      </c>
      <c r="W3033" s="321">
        <f t="shared" si="200"/>
        <v>840</v>
      </c>
      <c r="X3033" s="321">
        <f t="shared" si="201"/>
        <v>845100</v>
      </c>
      <c r="Y3033" s="321">
        <v>1</v>
      </c>
      <c r="AA3033" s="321" t="s">
        <v>5070</v>
      </c>
    </row>
    <row r="3034" spans="13:27">
      <c r="M3034" s="321">
        <v>1845101840</v>
      </c>
      <c r="N3034" s="321">
        <v>84</v>
      </c>
      <c r="O3034" s="321" t="s">
        <v>5071</v>
      </c>
      <c r="P3034" s="321">
        <v>5845100</v>
      </c>
      <c r="Q3034" s="322">
        <v>4680000</v>
      </c>
      <c r="R3034" s="322">
        <v>2536000</v>
      </c>
      <c r="S3034" s="322">
        <v>4680000</v>
      </c>
      <c r="T3034" s="322">
        <v>4680000</v>
      </c>
      <c r="U3034" s="322">
        <f t="shared" si="199"/>
        <v>0</v>
      </c>
      <c r="W3034" s="321">
        <f t="shared" si="200"/>
        <v>840</v>
      </c>
      <c r="X3034" s="321">
        <f t="shared" si="201"/>
        <v>845101</v>
      </c>
      <c r="Y3034" s="321">
        <v>1</v>
      </c>
      <c r="AA3034" s="321" t="s">
        <v>5071</v>
      </c>
    </row>
    <row r="3035" spans="13:27">
      <c r="M3035" s="321">
        <v>1845102840</v>
      </c>
      <c r="N3035" s="321">
        <v>84</v>
      </c>
      <c r="O3035" s="321" t="s">
        <v>5072</v>
      </c>
      <c r="P3035" s="321">
        <v>5845100</v>
      </c>
      <c r="Q3035" s="322">
        <v>3118000</v>
      </c>
      <c r="R3035" s="322">
        <v>2891400</v>
      </c>
      <c r="S3035" s="322">
        <v>3944700</v>
      </c>
      <c r="T3035" s="322">
        <v>3944700</v>
      </c>
      <c r="U3035" s="322">
        <f t="shared" si="199"/>
        <v>0</v>
      </c>
      <c r="W3035" s="321">
        <f t="shared" si="200"/>
        <v>840</v>
      </c>
      <c r="X3035" s="321">
        <f t="shared" si="201"/>
        <v>845102</v>
      </c>
      <c r="Y3035" s="321">
        <v>1</v>
      </c>
      <c r="AA3035" s="321" t="s">
        <v>5072</v>
      </c>
    </row>
    <row r="3036" spans="13:27">
      <c r="M3036" s="321">
        <v>1845103840</v>
      </c>
      <c r="N3036" s="321">
        <v>84</v>
      </c>
      <c r="O3036" s="321" t="s">
        <v>5073</v>
      </c>
      <c r="P3036" s="321">
        <v>5845100</v>
      </c>
      <c r="Q3036" s="322">
        <v>533300</v>
      </c>
      <c r="R3036" s="322">
        <v>473300</v>
      </c>
      <c r="S3036" s="322">
        <v>533300</v>
      </c>
      <c r="T3036" s="322">
        <v>533300</v>
      </c>
      <c r="U3036" s="322">
        <f t="shared" si="199"/>
        <v>0</v>
      </c>
      <c r="W3036" s="321">
        <f t="shared" si="200"/>
        <v>840</v>
      </c>
      <c r="X3036" s="321">
        <f t="shared" si="201"/>
        <v>845103</v>
      </c>
      <c r="Y3036" s="321">
        <v>1</v>
      </c>
      <c r="AA3036" s="321" t="s">
        <v>5073</v>
      </c>
    </row>
    <row r="3037" spans="13:27">
      <c r="M3037" s="321">
        <v>1845104840</v>
      </c>
      <c r="N3037" s="321">
        <v>84</v>
      </c>
      <c r="O3037" s="321" t="s">
        <v>5074</v>
      </c>
      <c r="P3037" s="321">
        <v>5845100</v>
      </c>
      <c r="Q3037" s="322">
        <v>1058000</v>
      </c>
      <c r="R3037" s="322">
        <v>62600</v>
      </c>
      <c r="S3037" s="322">
        <v>1058000</v>
      </c>
      <c r="T3037" s="322">
        <v>1058000</v>
      </c>
      <c r="U3037" s="322">
        <f t="shared" si="199"/>
        <v>0</v>
      </c>
      <c r="W3037" s="321">
        <f t="shared" si="200"/>
        <v>840</v>
      </c>
      <c r="X3037" s="321">
        <f t="shared" si="201"/>
        <v>845104</v>
      </c>
      <c r="Y3037" s="321">
        <v>1</v>
      </c>
      <c r="AA3037" s="321" t="s">
        <v>5074</v>
      </c>
    </row>
    <row r="3038" spans="13:27">
      <c r="M3038" s="321">
        <v>1845105840</v>
      </c>
      <c r="N3038" s="321">
        <v>84</v>
      </c>
      <c r="O3038" s="321" t="s">
        <v>5075</v>
      </c>
      <c r="P3038" s="321">
        <v>5845100</v>
      </c>
      <c r="Q3038" s="322">
        <v>173300</v>
      </c>
      <c r="R3038" s="322">
        <v>115000</v>
      </c>
      <c r="S3038" s="322">
        <v>173300</v>
      </c>
      <c r="T3038" s="322">
        <v>173300</v>
      </c>
      <c r="U3038" s="322">
        <f t="shared" si="199"/>
        <v>0</v>
      </c>
      <c r="W3038" s="321">
        <f t="shared" si="200"/>
        <v>840</v>
      </c>
      <c r="X3038" s="321">
        <f t="shared" si="201"/>
        <v>845105</v>
      </c>
      <c r="Y3038" s="321">
        <v>1</v>
      </c>
      <c r="AA3038" s="321" t="s">
        <v>5075</v>
      </c>
    </row>
    <row r="3039" spans="13:27">
      <c r="M3039" s="321">
        <v>1845106840</v>
      </c>
      <c r="N3039" s="321">
        <v>84</v>
      </c>
      <c r="O3039" s="321" t="s">
        <v>5076</v>
      </c>
      <c r="P3039" s="321">
        <v>5845100</v>
      </c>
      <c r="Q3039" s="322">
        <v>85300</v>
      </c>
      <c r="R3039" s="322">
        <v>82600</v>
      </c>
      <c r="S3039" s="322">
        <v>90700</v>
      </c>
      <c r="T3039" s="322">
        <v>90700</v>
      </c>
      <c r="U3039" s="322">
        <f t="shared" si="199"/>
        <v>0</v>
      </c>
      <c r="W3039" s="321">
        <f t="shared" si="200"/>
        <v>840</v>
      </c>
      <c r="X3039" s="321">
        <f t="shared" si="201"/>
        <v>845106</v>
      </c>
      <c r="Y3039" s="321">
        <v>1</v>
      </c>
      <c r="AA3039" s="321" t="s">
        <v>5076</v>
      </c>
    </row>
    <row r="3040" spans="13:27">
      <c r="M3040" s="321">
        <v>1845107840</v>
      </c>
      <c r="N3040" s="321">
        <v>84</v>
      </c>
      <c r="O3040" s="321" t="s">
        <v>5077</v>
      </c>
      <c r="P3040" s="321">
        <v>5845100</v>
      </c>
      <c r="Q3040" s="322">
        <v>48000</v>
      </c>
      <c r="R3040" s="322">
        <v>35900</v>
      </c>
      <c r="S3040" s="322">
        <v>48000</v>
      </c>
      <c r="T3040" s="322">
        <v>48000</v>
      </c>
      <c r="U3040" s="322">
        <f t="shared" si="199"/>
        <v>0</v>
      </c>
      <c r="W3040" s="321">
        <f t="shared" si="200"/>
        <v>840</v>
      </c>
      <c r="X3040" s="321">
        <f t="shared" si="201"/>
        <v>845107</v>
      </c>
      <c r="Y3040" s="321">
        <v>1</v>
      </c>
      <c r="AA3040" s="321" t="s">
        <v>5077</v>
      </c>
    </row>
    <row r="3041" spans="13:27">
      <c r="M3041" s="321">
        <v>1845108840</v>
      </c>
      <c r="N3041" s="321">
        <v>84</v>
      </c>
      <c r="O3041" s="321" t="s">
        <v>5078</v>
      </c>
      <c r="P3041" s="321">
        <v>5845100</v>
      </c>
      <c r="Q3041" s="322">
        <v>369300</v>
      </c>
      <c r="R3041" s="322">
        <v>139600</v>
      </c>
      <c r="S3041" s="322">
        <v>369300</v>
      </c>
      <c r="T3041" s="322">
        <v>369300</v>
      </c>
      <c r="U3041" s="322">
        <f t="shared" si="199"/>
        <v>0</v>
      </c>
      <c r="W3041" s="321">
        <f t="shared" si="200"/>
        <v>840</v>
      </c>
      <c r="X3041" s="321">
        <f t="shared" si="201"/>
        <v>845108</v>
      </c>
      <c r="Y3041" s="321">
        <v>1</v>
      </c>
      <c r="AA3041" s="321" t="s">
        <v>5078</v>
      </c>
    </row>
    <row r="3042" spans="13:27">
      <c r="M3042" s="321">
        <v>1845109840</v>
      </c>
      <c r="N3042" s="321">
        <v>84</v>
      </c>
      <c r="O3042" s="321" t="s">
        <v>5079</v>
      </c>
      <c r="P3042" s="321">
        <v>5845100</v>
      </c>
      <c r="Q3042" s="322">
        <v>828000</v>
      </c>
      <c r="R3042" s="322">
        <v>356400</v>
      </c>
      <c r="S3042" s="322">
        <v>828000</v>
      </c>
      <c r="T3042" s="322">
        <v>828000</v>
      </c>
      <c r="U3042" s="322">
        <f t="shared" si="199"/>
        <v>0</v>
      </c>
      <c r="W3042" s="321">
        <f t="shared" si="200"/>
        <v>840</v>
      </c>
      <c r="X3042" s="321">
        <f t="shared" si="201"/>
        <v>845109</v>
      </c>
      <c r="Y3042" s="321">
        <v>1</v>
      </c>
      <c r="AA3042" s="321" t="s">
        <v>5079</v>
      </c>
    </row>
    <row r="3043" spans="13:27">
      <c r="M3043" s="321">
        <v>1845111840</v>
      </c>
      <c r="N3043" s="321">
        <v>84</v>
      </c>
      <c r="O3043" s="321" t="s">
        <v>6252</v>
      </c>
      <c r="P3043" s="321">
        <v>5845100</v>
      </c>
      <c r="Q3043" s="322">
        <v>466700</v>
      </c>
      <c r="R3043" s="322">
        <v>228800</v>
      </c>
      <c r="S3043" s="322">
        <v>466700</v>
      </c>
      <c r="T3043" s="322">
        <v>466700</v>
      </c>
      <c r="U3043" s="322">
        <f t="shared" si="199"/>
        <v>0</v>
      </c>
      <c r="W3043" s="321">
        <f t="shared" si="200"/>
        <v>840</v>
      </c>
      <c r="X3043" s="321">
        <f t="shared" si="201"/>
        <v>845111</v>
      </c>
      <c r="Y3043" s="321">
        <v>1</v>
      </c>
      <c r="AA3043" s="321" t="s">
        <v>6252</v>
      </c>
    </row>
    <row r="3044" spans="13:27">
      <c r="M3044" s="321">
        <v>1845112840</v>
      </c>
      <c r="N3044" s="321">
        <v>84</v>
      </c>
      <c r="O3044" s="321" t="s">
        <v>5081</v>
      </c>
      <c r="P3044" s="321">
        <v>5845100</v>
      </c>
      <c r="Q3044" s="322">
        <v>66700</v>
      </c>
      <c r="R3044" s="322">
        <v>0</v>
      </c>
      <c r="S3044" s="322">
        <v>66700</v>
      </c>
      <c r="T3044" s="322">
        <v>66700</v>
      </c>
      <c r="U3044" s="322">
        <f t="shared" si="199"/>
        <v>0</v>
      </c>
      <c r="W3044" s="321">
        <f t="shared" si="200"/>
        <v>840</v>
      </c>
      <c r="X3044" s="321">
        <f t="shared" si="201"/>
        <v>845112</v>
      </c>
      <c r="Y3044" s="321">
        <v>1</v>
      </c>
      <c r="AA3044" s="321" t="s">
        <v>5081</v>
      </c>
    </row>
    <row r="3045" spans="13:27">
      <c r="M3045" s="321">
        <v>1845201840</v>
      </c>
      <c r="N3045" s="321">
        <v>84</v>
      </c>
      <c r="O3045" s="321" t="s">
        <v>5085</v>
      </c>
      <c r="P3045" s="321">
        <v>5845200</v>
      </c>
      <c r="Q3045" s="322">
        <v>86400</v>
      </c>
      <c r="R3045" s="322">
        <v>54200</v>
      </c>
      <c r="S3045" s="322">
        <v>86400</v>
      </c>
      <c r="T3045" s="322">
        <v>86400</v>
      </c>
      <c r="U3045" s="322">
        <f t="shared" si="199"/>
        <v>0</v>
      </c>
      <c r="W3045" s="321">
        <f t="shared" si="200"/>
        <v>840</v>
      </c>
      <c r="X3045" s="321">
        <f t="shared" si="201"/>
        <v>845201</v>
      </c>
      <c r="Y3045" s="321">
        <v>1</v>
      </c>
      <c r="AA3045" s="321" t="s">
        <v>5085</v>
      </c>
    </row>
    <row r="3046" spans="13:27">
      <c r="M3046" s="321">
        <v>1845202780</v>
      </c>
      <c r="N3046" s="321">
        <v>84</v>
      </c>
      <c r="O3046" s="321" t="s">
        <v>6253</v>
      </c>
      <c r="P3046" s="321">
        <v>5845200</v>
      </c>
      <c r="Q3046" s="322">
        <v>10000</v>
      </c>
      <c r="R3046" s="322">
        <v>3100</v>
      </c>
      <c r="S3046" s="322">
        <v>10000</v>
      </c>
      <c r="T3046" s="322">
        <v>10000</v>
      </c>
      <c r="U3046" s="322">
        <f t="shared" si="199"/>
        <v>0</v>
      </c>
      <c r="W3046" s="321">
        <f t="shared" si="200"/>
        <v>780</v>
      </c>
      <c r="X3046" s="321">
        <f t="shared" si="201"/>
        <v>845202</v>
      </c>
      <c r="Y3046" s="321">
        <v>1</v>
      </c>
      <c r="AA3046" s="321" t="s">
        <v>6253</v>
      </c>
    </row>
    <row r="3047" spans="13:27">
      <c r="M3047" s="321">
        <v>1845202840</v>
      </c>
      <c r="N3047" s="321">
        <v>84</v>
      </c>
      <c r="O3047" s="321" t="s">
        <v>5087</v>
      </c>
      <c r="P3047" s="321">
        <v>5845200</v>
      </c>
      <c r="Q3047" s="322">
        <v>4677000</v>
      </c>
      <c r="R3047" s="322">
        <v>4091200</v>
      </c>
      <c r="S3047" s="322">
        <v>5183000</v>
      </c>
      <c r="T3047" s="322">
        <v>5183000</v>
      </c>
      <c r="U3047" s="322">
        <f t="shared" si="199"/>
        <v>0</v>
      </c>
      <c r="W3047" s="321">
        <f t="shared" si="200"/>
        <v>840</v>
      </c>
      <c r="X3047" s="321">
        <f t="shared" si="201"/>
        <v>845202</v>
      </c>
      <c r="Y3047" s="321">
        <v>1</v>
      </c>
      <c r="AA3047" s="321" t="s">
        <v>5087</v>
      </c>
    </row>
    <row r="3048" spans="13:27">
      <c r="M3048" s="321">
        <v>1845203441</v>
      </c>
      <c r="N3048" s="321">
        <v>84</v>
      </c>
      <c r="O3048" s="321" t="s">
        <v>6254</v>
      </c>
      <c r="P3048" s="321">
        <v>5845200</v>
      </c>
      <c r="Q3048" s="322">
        <v>2000</v>
      </c>
      <c r="R3048" s="322">
        <v>0</v>
      </c>
      <c r="S3048" s="322">
        <v>2000</v>
      </c>
      <c r="T3048" s="322">
        <v>2000</v>
      </c>
      <c r="U3048" s="322">
        <f t="shared" si="199"/>
        <v>0</v>
      </c>
      <c r="W3048" s="321">
        <f t="shared" si="200"/>
        <v>441</v>
      </c>
      <c r="X3048" s="321">
        <f t="shared" si="201"/>
        <v>845203</v>
      </c>
      <c r="Y3048" s="321">
        <v>1</v>
      </c>
      <c r="AA3048" s="321" t="s">
        <v>6254</v>
      </c>
    </row>
    <row r="3049" spans="13:27">
      <c r="M3049" s="321">
        <v>1845203760</v>
      </c>
      <c r="N3049" s="321">
        <v>84</v>
      </c>
      <c r="O3049" s="321" t="s">
        <v>6255</v>
      </c>
      <c r="P3049" s="321">
        <v>5845200</v>
      </c>
      <c r="Q3049" s="322">
        <v>562000</v>
      </c>
      <c r="R3049" s="322">
        <v>465200</v>
      </c>
      <c r="S3049" s="322">
        <v>562000</v>
      </c>
      <c r="T3049" s="322">
        <v>562000</v>
      </c>
      <c r="U3049" s="322">
        <f t="shared" si="199"/>
        <v>0</v>
      </c>
      <c r="W3049" s="321">
        <f t="shared" si="200"/>
        <v>760</v>
      </c>
      <c r="X3049" s="321">
        <f t="shared" si="201"/>
        <v>845203</v>
      </c>
      <c r="Y3049" s="321">
        <v>1</v>
      </c>
      <c r="AA3049" s="321" t="s">
        <v>6255</v>
      </c>
    </row>
    <row r="3050" spans="13:27">
      <c r="M3050" s="321">
        <v>1845203840</v>
      </c>
      <c r="N3050" s="321">
        <v>84</v>
      </c>
      <c r="O3050" s="321" t="s">
        <v>5089</v>
      </c>
      <c r="P3050" s="321">
        <v>5845200</v>
      </c>
      <c r="Q3050" s="322">
        <v>89500</v>
      </c>
      <c r="R3050" s="322">
        <v>0</v>
      </c>
      <c r="S3050" s="322">
        <v>89500</v>
      </c>
      <c r="T3050" s="322">
        <v>89500</v>
      </c>
      <c r="U3050" s="322">
        <f t="shared" si="199"/>
        <v>0</v>
      </c>
      <c r="W3050" s="321">
        <f t="shared" si="200"/>
        <v>840</v>
      </c>
      <c r="X3050" s="321">
        <f t="shared" si="201"/>
        <v>845203</v>
      </c>
      <c r="Y3050" s="321">
        <v>1</v>
      </c>
      <c r="AA3050" s="321" t="s">
        <v>5089</v>
      </c>
    </row>
    <row r="3051" spans="13:27">
      <c r="M3051" s="321">
        <v>1845204760</v>
      </c>
      <c r="N3051" s="321">
        <v>84</v>
      </c>
      <c r="O3051" s="321" t="s">
        <v>5090</v>
      </c>
      <c r="P3051" s="321">
        <v>5845200</v>
      </c>
      <c r="Q3051" s="322">
        <v>562000</v>
      </c>
      <c r="R3051" s="322">
        <v>534600</v>
      </c>
      <c r="S3051" s="322">
        <v>562000</v>
      </c>
      <c r="T3051" s="322">
        <v>562000</v>
      </c>
      <c r="U3051" s="322">
        <f t="shared" si="199"/>
        <v>0</v>
      </c>
      <c r="W3051" s="321">
        <f t="shared" si="200"/>
        <v>760</v>
      </c>
      <c r="X3051" s="321">
        <f t="shared" si="201"/>
        <v>845204</v>
      </c>
      <c r="Y3051" s="321">
        <v>1</v>
      </c>
      <c r="AA3051" s="321" t="s">
        <v>5090</v>
      </c>
    </row>
    <row r="3052" spans="13:27">
      <c r="M3052" s="321">
        <v>1845204840</v>
      </c>
      <c r="N3052" s="321">
        <v>84</v>
      </c>
      <c r="O3052" s="321" t="s">
        <v>6256</v>
      </c>
      <c r="P3052" s="321">
        <v>5845400</v>
      </c>
      <c r="Q3052" s="322">
        <v>2493500</v>
      </c>
      <c r="R3052" s="322">
        <v>2045700</v>
      </c>
      <c r="S3052" s="322">
        <v>2681900</v>
      </c>
      <c r="T3052" s="322">
        <v>2681900</v>
      </c>
      <c r="U3052" s="322">
        <f t="shared" si="199"/>
        <v>0</v>
      </c>
      <c r="W3052" s="321">
        <f t="shared" si="200"/>
        <v>840</v>
      </c>
      <c r="X3052" s="321">
        <f t="shared" si="201"/>
        <v>845204</v>
      </c>
      <c r="Y3052" s="321">
        <v>1</v>
      </c>
      <c r="AA3052" s="321" t="s">
        <v>6256</v>
      </c>
    </row>
    <row r="3053" spans="13:27">
      <c r="M3053" s="321">
        <v>1845205760</v>
      </c>
      <c r="N3053" s="321">
        <v>84</v>
      </c>
      <c r="O3053" s="321" t="s">
        <v>6257</v>
      </c>
      <c r="P3053" s="321">
        <v>5845200</v>
      </c>
      <c r="Q3053" s="322">
        <v>40000</v>
      </c>
      <c r="R3053" s="322">
        <v>40000</v>
      </c>
      <c r="S3053" s="322">
        <v>40000</v>
      </c>
      <c r="T3053" s="322">
        <v>40000</v>
      </c>
      <c r="U3053" s="322">
        <f t="shared" si="199"/>
        <v>0</v>
      </c>
      <c r="W3053" s="321">
        <f t="shared" si="200"/>
        <v>760</v>
      </c>
      <c r="X3053" s="321">
        <f t="shared" si="201"/>
        <v>845205</v>
      </c>
      <c r="Y3053" s="321">
        <v>1</v>
      </c>
      <c r="AA3053" s="321" t="s">
        <v>6257</v>
      </c>
    </row>
    <row r="3054" spans="13:27">
      <c r="M3054" s="321">
        <v>1845300840</v>
      </c>
      <c r="N3054" s="321">
        <v>84</v>
      </c>
      <c r="O3054" s="321" t="s">
        <v>5093</v>
      </c>
      <c r="P3054" s="321">
        <v>5845300</v>
      </c>
      <c r="Q3054" s="322">
        <v>143000</v>
      </c>
      <c r="R3054" s="322">
        <v>80500</v>
      </c>
      <c r="S3054" s="322">
        <v>171000</v>
      </c>
      <c r="T3054" s="322">
        <v>171000</v>
      </c>
      <c r="U3054" s="322">
        <f t="shared" si="199"/>
        <v>0</v>
      </c>
      <c r="W3054" s="321">
        <f t="shared" si="200"/>
        <v>840</v>
      </c>
      <c r="X3054" s="321">
        <f t="shared" si="201"/>
        <v>845300</v>
      </c>
      <c r="Y3054" s="321">
        <v>1</v>
      </c>
      <c r="AA3054" s="321" t="s">
        <v>5093</v>
      </c>
    </row>
    <row r="3055" spans="13:27">
      <c r="M3055" s="321">
        <v>1845301840</v>
      </c>
      <c r="N3055" s="321">
        <v>84</v>
      </c>
      <c r="O3055" s="321" t="s">
        <v>5094</v>
      </c>
      <c r="P3055" s="321">
        <v>5845300</v>
      </c>
      <c r="Q3055" s="322">
        <v>542000</v>
      </c>
      <c r="R3055" s="322">
        <v>365700</v>
      </c>
      <c r="S3055" s="322">
        <v>542000</v>
      </c>
      <c r="T3055" s="322">
        <v>542000</v>
      </c>
      <c r="U3055" s="322">
        <f t="shared" si="199"/>
        <v>0</v>
      </c>
      <c r="W3055" s="321">
        <f t="shared" si="200"/>
        <v>840</v>
      </c>
      <c r="X3055" s="321">
        <f t="shared" si="201"/>
        <v>845301</v>
      </c>
      <c r="Y3055" s="321">
        <v>1</v>
      </c>
      <c r="AA3055" s="321" t="s">
        <v>5094</v>
      </c>
    </row>
    <row r="3056" spans="13:27">
      <c r="M3056" s="321">
        <v>1845302840</v>
      </c>
      <c r="N3056" s="321">
        <v>84</v>
      </c>
      <c r="O3056" s="321" t="s">
        <v>5095</v>
      </c>
      <c r="P3056" s="321">
        <v>5845300</v>
      </c>
      <c r="Q3056" s="322">
        <v>187000</v>
      </c>
      <c r="R3056" s="322">
        <v>40600</v>
      </c>
      <c r="S3056" s="322">
        <v>266700</v>
      </c>
      <c r="T3056" s="322">
        <v>266700</v>
      </c>
      <c r="U3056" s="322">
        <f t="shared" si="199"/>
        <v>0</v>
      </c>
      <c r="W3056" s="321">
        <f t="shared" si="200"/>
        <v>840</v>
      </c>
      <c r="X3056" s="321">
        <f t="shared" si="201"/>
        <v>845302</v>
      </c>
      <c r="Y3056" s="321">
        <v>1</v>
      </c>
      <c r="AA3056" s="321" t="s">
        <v>5095</v>
      </c>
    </row>
    <row r="3057" spans="13:27">
      <c r="M3057" s="321">
        <v>1845303840</v>
      </c>
      <c r="N3057" s="321">
        <v>84</v>
      </c>
      <c r="O3057" s="321" t="s">
        <v>5096</v>
      </c>
      <c r="P3057" s="321">
        <v>5845300</v>
      </c>
      <c r="Q3057" s="322">
        <v>600000</v>
      </c>
      <c r="R3057" s="322">
        <v>655200</v>
      </c>
      <c r="S3057" s="322">
        <v>600000</v>
      </c>
      <c r="T3057" s="322">
        <v>600000</v>
      </c>
      <c r="U3057" s="322">
        <f t="shared" si="199"/>
        <v>0</v>
      </c>
      <c r="W3057" s="321">
        <f t="shared" si="200"/>
        <v>840</v>
      </c>
      <c r="X3057" s="321">
        <f t="shared" si="201"/>
        <v>845303</v>
      </c>
      <c r="Y3057" s="321">
        <v>1</v>
      </c>
      <c r="AA3057" s="321" t="s">
        <v>5096</v>
      </c>
    </row>
    <row r="3058" spans="13:27">
      <c r="M3058" s="321">
        <v>1846100840</v>
      </c>
      <c r="N3058" s="321">
        <v>84</v>
      </c>
      <c r="O3058" s="321" t="s">
        <v>5098</v>
      </c>
      <c r="P3058" s="321">
        <v>5846100</v>
      </c>
      <c r="Q3058" s="322">
        <v>228000</v>
      </c>
      <c r="R3058" s="322">
        <v>98200</v>
      </c>
      <c r="S3058" s="322">
        <v>228000</v>
      </c>
      <c r="T3058" s="322">
        <v>228000</v>
      </c>
      <c r="U3058" s="322">
        <f t="shared" si="199"/>
        <v>0</v>
      </c>
      <c r="W3058" s="321">
        <f t="shared" si="200"/>
        <v>840</v>
      </c>
      <c r="X3058" s="321">
        <f t="shared" si="201"/>
        <v>846100</v>
      </c>
      <c r="Y3058" s="321">
        <v>1</v>
      </c>
      <c r="AA3058" s="321" t="s">
        <v>5098</v>
      </c>
    </row>
    <row r="3059" spans="13:27">
      <c r="M3059" s="321">
        <v>1846300840</v>
      </c>
      <c r="N3059" s="321">
        <v>84</v>
      </c>
      <c r="O3059" s="321" t="s">
        <v>5099</v>
      </c>
      <c r="P3059" s="321">
        <v>5846300</v>
      </c>
      <c r="Q3059" s="322">
        <v>86700</v>
      </c>
      <c r="R3059" s="322">
        <v>62000</v>
      </c>
      <c r="S3059" s="322">
        <v>86700</v>
      </c>
      <c r="T3059" s="322">
        <v>86700</v>
      </c>
      <c r="U3059" s="322">
        <f t="shared" si="199"/>
        <v>0</v>
      </c>
      <c r="W3059" s="321">
        <f t="shared" si="200"/>
        <v>840</v>
      </c>
      <c r="X3059" s="321">
        <f t="shared" si="201"/>
        <v>846300</v>
      </c>
      <c r="Y3059" s="321">
        <v>1</v>
      </c>
      <c r="AA3059" s="321" t="s">
        <v>5099</v>
      </c>
    </row>
    <row r="3060" spans="13:27">
      <c r="M3060" s="321">
        <v>1846302840</v>
      </c>
      <c r="N3060" s="321">
        <v>84</v>
      </c>
      <c r="O3060" s="321" t="s">
        <v>5100</v>
      </c>
      <c r="P3060" s="321">
        <v>5846300</v>
      </c>
      <c r="Q3060" s="322">
        <v>346700</v>
      </c>
      <c r="R3060" s="322">
        <v>205200</v>
      </c>
      <c r="S3060" s="322">
        <v>346700</v>
      </c>
      <c r="T3060" s="322">
        <v>346700</v>
      </c>
      <c r="U3060" s="322">
        <f t="shared" si="199"/>
        <v>0</v>
      </c>
      <c r="W3060" s="321">
        <f t="shared" si="200"/>
        <v>840</v>
      </c>
      <c r="X3060" s="321">
        <f t="shared" si="201"/>
        <v>846302</v>
      </c>
      <c r="Y3060" s="321">
        <v>1</v>
      </c>
      <c r="AA3060" s="321" t="s">
        <v>5100</v>
      </c>
    </row>
    <row r="3061" spans="13:27">
      <c r="M3061" s="321">
        <v>1846400840</v>
      </c>
      <c r="N3061" s="321">
        <v>84</v>
      </c>
      <c r="O3061" s="321" t="s">
        <v>5101</v>
      </c>
      <c r="P3061" s="321">
        <v>5846400</v>
      </c>
      <c r="Q3061" s="322">
        <v>69300</v>
      </c>
      <c r="R3061" s="322">
        <v>46900</v>
      </c>
      <c r="S3061" s="322">
        <v>69300</v>
      </c>
      <c r="T3061" s="322">
        <v>69300</v>
      </c>
      <c r="U3061" s="322">
        <f t="shared" si="199"/>
        <v>0</v>
      </c>
      <c r="W3061" s="321">
        <f t="shared" si="200"/>
        <v>840</v>
      </c>
      <c r="X3061" s="321">
        <f t="shared" si="201"/>
        <v>846400</v>
      </c>
      <c r="Y3061" s="321">
        <v>1</v>
      </c>
      <c r="AA3061" s="321" t="s">
        <v>5101</v>
      </c>
    </row>
    <row r="3062" spans="13:27">
      <c r="M3062" s="321">
        <v>1846402471</v>
      </c>
      <c r="N3062" s="321">
        <v>84</v>
      </c>
      <c r="O3062" s="321" t="s">
        <v>5212</v>
      </c>
      <c r="P3062" s="321">
        <v>5846400</v>
      </c>
      <c r="Q3062" s="322">
        <v>3500</v>
      </c>
      <c r="R3062" s="322">
        <v>0</v>
      </c>
      <c r="S3062" s="322">
        <v>3900</v>
      </c>
      <c r="T3062" s="322">
        <v>3900</v>
      </c>
      <c r="U3062" s="322">
        <f t="shared" si="199"/>
        <v>0</v>
      </c>
      <c r="W3062" s="321">
        <f t="shared" si="200"/>
        <v>471</v>
      </c>
      <c r="X3062" s="321">
        <f t="shared" si="201"/>
        <v>846402</v>
      </c>
      <c r="Y3062" s="321">
        <v>1</v>
      </c>
      <c r="AA3062" s="321" t="s">
        <v>5212</v>
      </c>
    </row>
    <row r="3063" spans="13:27">
      <c r="M3063" s="321">
        <v>1846402840</v>
      </c>
      <c r="N3063" s="321">
        <v>84</v>
      </c>
      <c r="O3063" s="321" t="s">
        <v>5102</v>
      </c>
      <c r="P3063" s="321">
        <v>5846400</v>
      </c>
      <c r="Q3063" s="322">
        <v>606700</v>
      </c>
      <c r="R3063" s="322">
        <v>788600</v>
      </c>
      <c r="S3063" s="322">
        <v>1066700</v>
      </c>
      <c r="T3063" s="322">
        <v>1066700</v>
      </c>
      <c r="U3063" s="322">
        <f t="shared" si="199"/>
        <v>0</v>
      </c>
      <c r="W3063" s="321">
        <f t="shared" si="200"/>
        <v>840</v>
      </c>
      <c r="X3063" s="321">
        <f t="shared" si="201"/>
        <v>846402</v>
      </c>
      <c r="Y3063" s="321">
        <v>1</v>
      </c>
      <c r="AA3063" s="321" t="s">
        <v>5102</v>
      </c>
    </row>
    <row r="3064" spans="13:27">
      <c r="M3064" s="321">
        <v>1846500840</v>
      </c>
      <c r="N3064" s="321">
        <v>84</v>
      </c>
      <c r="O3064" s="321" t="s">
        <v>6258</v>
      </c>
      <c r="P3064" s="321">
        <v>5846500</v>
      </c>
      <c r="Q3064" s="322">
        <v>7992300</v>
      </c>
      <c r="R3064" s="322">
        <v>6162100</v>
      </c>
      <c r="S3064" s="322">
        <v>8583900</v>
      </c>
      <c r="T3064" s="322">
        <v>8583900</v>
      </c>
      <c r="U3064" s="322">
        <f t="shared" si="199"/>
        <v>0</v>
      </c>
      <c r="W3064" s="321">
        <f t="shared" si="200"/>
        <v>840</v>
      </c>
      <c r="X3064" s="321">
        <f t="shared" si="201"/>
        <v>846500</v>
      </c>
      <c r="Y3064" s="321">
        <v>1</v>
      </c>
      <c r="AA3064" s="321" t="s">
        <v>6258</v>
      </c>
    </row>
    <row r="3065" spans="13:27">
      <c r="M3065" s="321">
        <v>1846501840</v>
      </c>
      <c r="N3065" s="321">
        <v>84</v>
      </c>
      <c r="O3065" s="321" t="s">
        <v>6259</v>
      </c>
      <c r="P3065" s="321">
        <v>5846500</v>
      </c>
      <c r="Q3065" s="322">
        <v>764500</v>
      </c>
      <c r="R3065" s="322">
        <v>333500</v>
      </c>
      <c r="S3065" s="322">
        <v>764500</v>
      </c>
      <c r="T3065" s="322">
        <v>764500</v>
      </c>
      <c r="U3065" s="322">
        <f t="shared" si="199"/>
        <v>0</v>
      </c>
      <c r="W3065" s="321">
        <f t="shared" si="200"/>
        <v>840</v>
      </c>
      <c r="X3065" s="321">
        <f t="shared" si="201"/>
        <v>846501</v>
      </c>
      <c r="Y3065" s="321">
        <v>1</v>
      </c>
      <c r="AA3065" s="321" t="s">
        <v>6259</v>
      </c>
    </row>
    <row r="3066" spans="13:27">
      <c r="M3066" s="321">
        <v>1846600840</v>
      </c>
      <c r="N3066" s="321">
        <v>84</v>
      </c>
      <c r="O3066" s="321" t="s">
        <v>5105</v>
      </c>
      <c r="P3066" s="321">
        <v>5846600</v>
      </c>
      <c r="Q3066" s="322">
        <v>766700</v>
      </c>
      <c r="R3066" s="322">
        <v>1123200</v>
      </c>
      <c r="S3066" s="322">
        <v>1386700</v>
      </c>
      <c r="T3066" s="322">
        <v>1386700</v>
      </c>
      <c r="U3066" s="322">
        <f t="shared" si="199"/>
        <v>0</v>
      </c>
      <c r="W3066" s="321">
        <f t="shared" si="200"/>
        <v>840</v>
      </c>
      <c r="X3066" s="321">
        <f t="shared" si="201"/>
        <v>846600</v>
      </c>
      <c r="Y3066" s="321">
        <v>1</v>
      </c>
      <c r="AA3066" s="321" t="s">
        <v>5105</v>
      </c>
    </row>
    <row r="3067" spans="13:27">
      <c r="M3067" s="321">
        <v>1846601840</v>
      </c>
      <c r="N3067" s="321">
        <v>84</v>
      </c>
      <c r="O3067" s="321" t="s">
        <v>5107</v>
      </c>
      <c r="P3067" s="321">
        <v>5846600</v>
      </c>
      <c r="Q3067" s="322">
        <v>713000</v>
      </c>
      <c r="R3067" s="322">
        <v>538700</v>
      </c>
      <c r="S3067" s="322">
        <v>935300</v>
      </c>
      <c r="T3067" s="322">
        <v>935300</v>
      </c>
      <c r="U3067" s="322">
        <f t="shared" si="199"/>
        <v>0</v>
      </c>
      <c r="W3067" s="321">
        <f t="shared" si="200"/>
        <v>840</v>
      </c>
      <c r="X3067" s="321">
        <f t="shared" si="201"/>
        <v>846601</v>
      </c>
      <c r="Y3067" s="321">
        <v>1</v>
      </c>
      <c r="AA3067" s="321" t="s">
        <v>5107</v>
      </c>
    </row>
    <row r="3068" spans="13:27">
      <c r="M3068" s="321">
        <v>1846602840</v>
      </c>
      <c r="N3068" s="321">
        <v>84</v>
      </c>
      <c r="O3068" s="321" t="s">
        <v>5108</v>
      </c>
      <c r="P3068" s="321">
        <v>5846600</v>
      </c>
      <c r="Q3068" s="322">
        <v>226700</v>
      </c>
      <c r="R3068" s="322">
        <v>139000</v>
      </c>
      <c r="S3068" s="322">
        <v>266700</v>
      </c>
      <c r="T3068" s="322">
        <v>266700</v>
      </c>
      <c r="U3068" s="322">
        <f t="shared" si="199"/>
        <v>0</v>
      </c>
      <c r="W3068" s="321">
        <f t="shared" si="200"/>
        <v>840</v>
      </c>
      <c r="X3068" s="321">
        <f t="shared" si="201"/>
        <v>846602</v>
      </c>
      <c r="Y3068" s="321">
        <v>1</v>
      </c>
      <c r="AA3068" s="321" t="s">
        <v>5108</v>
      </c>
    </row>
    <row r="3069" spans="13:27">
      <c r="M3069" s="321">
        <v>1846700760</v>
      </c>
      <c r="N3069" s="321">
        <v>84</v>
      </c>
      <c r="O3069" s="321" t="s">
        <v>6260</v>
      </c>
      <c r="P3069" s="321">
        <v>5846700</v>
      </c>
      <c r="Q3069" s="322">
        <v>0</v>
      </c>
      <c r="R3069" s="322">
        <v>0</v>
      </c>
      <c r="S3069" s="322">
        <v>0</v>
      </c>
      <c r="T3069" s="322">
        <v>0</v>
      </c>
      <c r="U3069" s="322">
        <f t="shared" si="199"/>
        <v>0</v>
      </c>
      <c r="W3069" s="321">
        <f t="shared" si="200"/>
        <v>760</v>
      </c>
      <c r="X3069" s="321">
        <f t="shared" si="201"/>
        <v>846700</v>
      </c>
      <c r="Y3069" s="321">
        <v>1</v>
      </c>
      <c r="AA3069" s="321" t="s">
        <v>6260</v>
      </c>
    </row>
    <row r="3070" spans="13:27">
      <c r="M3070" s="321">
        <v>1846700840</v>
      </c>
      <c r="N3070" s="321">
        <v>84</v>
      </c>
      <c r="O3070" s="321" t="s">
        <v>5110</v>
      </c>
      <c r="P3070" s="321">
        <v>5846700</v>
      </c>
      <c r="Q3070" s="322">
        <v>293300</v>
      </c>
      <c r="R3070" s="322">
        <v>208700</v>
      </c>
      <c r="S3070" s="322">
        <v>293300</v>
      </c>
      <c r="T3070" s="322">
        <v>293300</v>
      </c>
      <c r="U3070" s="322">
        <f t="shared" si="199"/>
        <v>0</v>
      </c>
      <c r="W3070" s="321">
        <f t="shared" si="200"/>
        <v>840</v>
      </c>
      <c r="X3070" s="321">
        <f t="shared" si="201"/>
        <v>846700</v>
      </c>
      <c r="Y3070" s="321">
        <v>1</v>
      </c>
      <c r="AA3070" s="321" t="s">
        <v>5110</v>
      </c>
    </row>
    <row r="3071" spans="13:27">
      <c r="M3071" s="321">
        <v>1846701840</v>
      </c>
      <c r="N3071" s="321">
        <v>84</v>
      </c>
      <c r="O3071" s="321" t="s">
        <v>6261</v>
      </c>
      <c r="P3071" s="321">
        <v>5846700</v>
      </c>
      <c r="Q3071" s="322">
        <v>0</v>
      </c>
      <c r="R3071" s="322">
        <v>0</v>
      </c>
      <c r="S3071" s="322">
        <v>0</v>
      </c>
      <c r="T3071" s="322">
        <v>0</v>
      </c>
      <c r="U3071" s="322">
        <f t="shared" si="199"/>
        <v>0</v>
      </c>
      <c r="W3071" s="321">
        <f t="shared" si="200"/>
        <v>840</v>
      </c>
      <c r="X3071" s="321">
        <f t="shared" si="201"/>
        <v>846701</v>
      </c>
      <c r="Y3071" s="321">
        <v>1</v>
      </c>
      <c r="AA3071" s="321" t="s">
        <v>6261</v>
      </c>
    </row>
    <row r="3072" spans="13:27">
      <c r="M3072" s="321">
        <v>1846702840</v>
      </c>
      <c r="N3072" s="321">
        <v>84</v>
      </c>
      <c r="O3072" s="321" t="s">
        <v>5111</v>
      </c>
      <c r="P3072" s="321">
        <v>5846700</v>
      </c>
      <c r="Q3072" s="322">
        <v>346700</v>
      </c>
      <c r="R3072" s="322">
        <v>520600</v>
      </c>
      <c r="S3072" s="322">
        <v>346700</v>
      </c>
      <c r="T3072" s="322">
        <v>346700</v>
      </c>
      <c r="U3072" s="322">
        <f t="shared" si="199"/>
        <v>0</v>
      </c>
      <c r="W3072" s="321">
        <f t="shared" si="200"/>
        <v>840</v>
      </c>
      <c r="X3072" s="321">
        <f t="shared" si="201"/>
        <v>846702</v>
      </c>
      <c r="Y3072" s="321">
        <v>1</v>
      </c>
      <c r="AA3072" s="321" t="s">
        <v>5111</v>
      </c>
    </row>
    <row r="3073" spans="13:27">
      <c r="M3073" s="321">
        <v>1846703840</v>
      </c>
      <c r="N3073" s="321">
        <v>84</v>
      </c>
      <c r="O3073" s="321" t="s">
        <v>6262</v>
      </c>
      <c r="P3073" s="321">
        <v>5846700</v>
      </c>
      <c r="Q3073" s="322">
        <v>2872000</v>
      </c>
      <c r="R3073" s="322">
        <v>2286500</v>
      </c>
      <c r="S3073" s="322">
        <v>2872000</v>
      </c>
      <c r="T3073" s="322">
        <v>2872000</v>
      </c>
      <c r="U3073" s="322">
        <f t="shared" si="199"/>
        <v>0</v>
      </c>
      <c r="W3073" s="321">
        <f t="shared" si="200"/>
        <v>840</v>
      </c>
      <c r="X3073" s="321">
        <f t="shared" si="201"/>
        <v>846703</v>
      </c>
      <c r="Y3073" s="321">
        <v>1</v>
      </c>
      <c r="AA3073" s="321" t="s">
        <v>6262</v>
      </c>
    </row>
    <row r="3074" spans="13:27">
      <c r="M3074" s="321">
        <v>1846704840</v>
      </c>
      <c r="N3074" s="321">
        <v>84</v>
      </c>
      <c r="O3074" s="321" t="s">
        <v>5113</v>
      </c>
      <c r="P3074" s="321">
        <v>5846700</v>
      </c>
      <c r="Q3074" s="322">
        <v>166700</v>
      </c>
      <c r="R3074" s="322">
        <v>103000</v>
      </c>
      <c r="S3074" s="322">
        <v>166700</v>
      </c>
      <c r="T3074" s="322">
        <v>166700</v>
      </c>
      <c r="U3074" s="322">
        <f t="shared" ref="U3074:U3137" si="202">S3074-T3074</f>
        <v>0</v>
      </c>
      <c r="W3074" s="321">
        <f t="shared" si="200"/>
        <v>840</v>
      </c>
      <c r="X3074" s="321">
        <f t="shared" si="201"/>
        <v>846704</v>
      </c>
      <c r="Y3074" s="321">
        <v>1</v>
      </c>
      <c r="AA3074" s="321" t="s">
        <v>5113</v>
      </c>
    </row>
    <row r="3075" spans="13:27">
      <c r="M3075" s="321">
        <v>1846705840</v>
      </c>
      <c r="N3075" s="321">
        <v>84</v>
      </c>
      <c r="O3075" s="321" t="s">
        <v>5114</v>
      </c>
      <c r="P3075" s="321">
        <v>5846700</v>
      </c>
      <c r="Q3075" s="322">
        <v>600000</v>
      </c>
      <c r="R3075" s="322">
        <v>492500</v>
      </c>
      <c r="S3075" s="322">
        <v>906700</v>
      </c>
      <c r="T3075" s="322">
        <v>906700</v>
      </c>
      <c r="U3075" s="322">
        <f t="shared" si="202"/>
        <v>0</v>
      </c>
      <c r="W3075" s="321">
        <f t="shared" ref="W3075:W3138" si="203">M3075-1000000000-X3075*1000</f>
        <v>840</v>
      </c>
      <c r="X3075" s="321">
        <f t="shared" ref="X3075:X3138" si="204">ROUNDDOWN((M3075-1000000000)/1000,0)</f>
        <v>846705</v>
      </c>
      <c r="Y3075" s="321">
        <v>1</v>
      </c>
      <c r="AA3075" s="321" t="s">
        <v>5114</v>
      </c>
    </row>
    <row r="3076" spans="13:27">
      <c r="M3076" s="321">
        <v>1846706840</v>
      </c>
      <c r="N3076" s="321">
        <v>84</v>
      </c>
      <c r="O3076" s="321" t="s">
        <v>5115</v>
      </c>
      <c r="P3076" s="321">
        <v>5846700</v>
      </c>
      <c r="Q3076" s="322">
        <v>133000</v>
      </c>
      <c r="R3076" s="322">
        <v>258600</v>
      </c>
      <c r="S3076" s="322">
        <v>333300</v>
      </c>
      <c r="T3076" s="322">
        <v>333300</v>
      </c>
      <c r="U3076" s="322">
        <f t="shared" si="202"/>
        <v>0</v>
      </c>
      <c r="W3076" s="321">
        <f t="shared" si="203"/>
        <v>840</v>
      </c>
      <c r="X3076" s="321">
        <f t="shared" si="204"/>
        <v>846706</v>
      </c>
      <c r="Y3076" s="321">
        <v>1</v>
      </c>
      <c r="AA3076" s="321" t="s">
        <v>5115</v>
      </c>
    </row>
    <row r="3077" spans="13:27">
      <c r="M3077" s="321">
        <v>1846707840</v>
      </c>
      <c r="N3077" s="321">
        <v>84</v>
      </c>
      <c r="O3077" s="321" t="s">
        <v>5116</v>
      </c>
      <c r="P3077" s="321">
        <v>5846700</v>
      </c>
      <c r="Q3077" s="322">
        <v>460000</v>
      </c>
      <c r="R3077" s="322">
        <v>347900</v>
      </c>
      <c r="S3077" s="322">
        <v>464400</v>
      </c>
      <c r="T3077" s="322">
        <v>464400</v>
      </c>
      <c r="U3077" s="322">
        <f t="shared" si="202"/>
        <v>0</v>
      </c>
      <c r="W3077" s="321">
        <f t="shared" si="203"/>
        <v>840</v>
      </c>
      <c r="X3077" s="321">
        <f t="shared" si="204"/>
        <v>846707</v>
      </c>
      <c r="Y3077" s="321">
        <v>1</v>
      </c>
      <c r="AA3077" s="321" t="s">
        <v>5116</v>
      </c>
    </row>
    <row r="3078" spans="13:27">
      <c r="M3078" s="321">
        <v>1846710840</v>
      </c>
      <c r="N3078" s="321">
        <v>84</v>
      </c>
      <c r="O3078" s="321" t="s">
        <v>6263</v>
      </c>
      <c r="P3078" s="321">
        <v>5846700</v>
      </c>
      <c r="Q3078" s="322">
        <v>600000</v>
      </c>
      <c r="R3078" s="322">
        <v>251400</v>
      </c>
      <c r="S3078" s="322">
        <v>600000</v>
      </c>
      <c r="T3078" s="322">
        <v>600000</v>
      </c>
      <c r="U3078" s="322">
        <f t="shared" si="202"/>
        <v>0</v>
      </c>
      <c r="W3078" s="321">
        <f t="shared" si="203"/>
        <v>840</v>
      </c>
      <c r="X3078" s="321">
        <f t="shared" si="204"/>
        <v>846710</v>
      </c>
      <c r="Y3078" s="321">
        <v>1</v>
      </c>
      <c r="AA3078" s="321" t="s">
        <v>6263</v>
      </c>
    </row>
    <row r="3079" spans="13:27">
      <c r="M3079" s="321">
        <v>1846711840</v>
      </c>
      <c r="N3079" s="321">
        <v>84</v>
      </c>
      <c r="O3079" s="321" t="s">
        <v>5117</v>
      </c>
      <c r="P3079" s="321">
        <v>5846700</v>
      </c>
      <c r="Q3079" s="322">
        <v>253300</v>
      </c>
      <c r="R3079" s="322">
        <v>108600</v>
      </c>
      <c r="S3079" s="322">
        <v>551300</v>
      </c>
      <c r="T3079" s="322">
        <v>551300</v>
      </c>
      <c r="U3079" s="322">
        <f t="shared" si="202"/>
        <v>0</v>
      </c>
      <c r="W3079" s="321">
        <f t="shared" si="203"/>
        <v>840</v>
      </c>
      <c r="X3079" s="321">
        <f t="shared" si="204"/>
        <v>846711</v>
      </c>
      <c r="Y3079" s="321">
        <v>1</v>
      </c>
      <c r="AA3079" s="321" t="s">
        <v>5117</v>
      </c>
    </row>
    <row r="3080" spans="13:27">
      <c r="M3080" s="321">
        <v>1846712840</v>
      </c>
      <c r="N3080" s="321">
        <v>84</v>
      </c>
      <c r="O3080" s="321" t="s">
        <v>5118</v>
      </c>
      <c r="P3080" s="321">
        <v>5846700</v>
      </c>
      <c r="Q3080" s="322">
        <v>206700</v>
      </c>
      <c r="R3080" s="322">
        <v>145900</v>
      </c>
      <c r="S3080" s="322">
        <v>228300</v>
      </c>
      <c r="T3080" s="322">
        <v>228300</v>
      </c>
      <c r="U3080" s="322">
        <f t="shared" si="202"/>
        <v>0</v>
      </c>
      <c r="W3080" s="321">
        <f t="shared" si="203"/>
        <v>840</v>
      </c>
      <c r="X3080" s="321">
        <f t="shared" si="204"/>
        <v>846712</v>
      </c>
      <c r="Y3080" s="321">
        <v>1</v>
      </c>
      <c r="AA3080" s="321" t="s">
        <v>5118</v>
      </c>
    </row>
    <row r="3081" spans="13:27">
      <c r="M3081" s="321">
        <v>1846714840</v>
      </c>
      <c r="N3081" s="321">
        <v>84</v>
      </c>
      <c r="O3081" s="321" t="s">
        <v>5119</v>
      </c>
      <c r="P3081" s="321">
        <v>5846700</v>
      </c>
      <c r="Q3081" s="322">
        <v>37500</v>
      </c>
      <c r="R3081" s="322">
        <v>0</v>
      </c>
      <c r="S3081" s="322">
        <v>37500</v>
      </c>
      <c r="T3081" s="322">
        <v>37500</v>
      </c>
      <c r="U3081" s="322">
        <f t="shared" si="202"/>
        <v>0</v>
      </c>
      <c r="W3081" s="321">
        <f t="shared" si="203"/>
        <v>840</v>
      </c>
      <c r="X3081" s="321">
        <f t="shared" si="204"/>
        <v>846714</v>
      </c>
      <c r="Y3081" s="321">
        <v>1</v>
      </c>
      <c r="AA3081" s="321" t="s">
        <v>5119</v>
      </c>
    </row>
    <row r="3082" spans="13:27">
      <c r="M3082" s="321">
        <v>1846715840</v>
      </c>
      <c r="N3082" s="321">
        <v>84</v>
      </c>
      <c r="O3082" s="321" t="s">
        <v>5120</v>
      </c>
      <c r="P3082" s="321">
        <v>5846700</v>
      </c>
      <c r="Q3082" s="322">
        <v>40000</v>
      </c>
      <c r="R3082" s="322">
        <v>35000</v>
      </c>
      <c r="S3082" s="322">
        <v>40000</v>
      </c>
      <c r="T3082" s="322">
        <v>40000</v>
      </c>
      <c r="U3082" s="322">
        <f t="shared" si="202"/>
        <v>0</v>
      </c>
      <c r="W3082" s="321">
        <f t="shared" si="203"/>
        <v>840</v>
      </c>
      <c r="X3082" s="321">
        <f t="shared" si="204"/>
        <v>846715</v>
      </c>
      <c r="Y3082" s="321">
        <v>1</v>
      </c>
      <c r="AA3082" s="321" t="s">
        <v>5120</v>
      </c>
    </row>
    <row r="3083" spans="13:27">
      <c r="M3083" s="321">
        <v>1846716840</v>
      </c>
      <c r="N3083" s="321">
        <v>84</v>
      </c>
      <c r="O3083" s="321" t="s">
        <v>5121</v>
      </c>
      <c r="P3083" s="321">
        <v>5846700</v>
      </c>
      <c r="Q3083" s="322">
        <v>0</v>
      </c>
      <c r="R3083" s="322">
        <v>0</v>
      </c>
      <c r="S3083" s="322">
        <v>0</v>
      </c>
      <c r="T3083" s="322">
        <v>0</v>
      </c>
      <c r="U3083" s="322">
        <f t="shared" si="202"/>
        <v>0</v>
      </c>
      <c r="W3083" s="321">
        <f t="shared" si="203"/>
        <v>840</v>
      </c>
      <c r="X3083" s="321">
        <f t="shared" si="204"/>
        <v>846716</v>
      </c>
      <c r="Y3083" s="321">
        <v>1</v>
      </c>
      <c r="AA3083" s="321" t="s">
        <v>5121</v>
      </c>
    </row>
    <row r="3084" spans="13:27">
      <c r="M3084" s="321">
        <v>1846800840</v>
      </c>
      <c r="N3084" s="321">
        <v>84</v>
      </c>
      <c r="O3084" s="321" t="s">
        <v>6264</v>
      </c>
      <c r="P3084" s="321">
        <v>5846800</v>
      </c>
      <c r="Q3084" s="322">
        <v>246700</v>
      </c>
      <c r="R3084" s="322">
        <v>57800</v>
      </c>
      <c r="S3084" s="322">
        <v>80000</v>
      </c>
      <c r="T3084" s="322">
        <v>80000</v>
      </c>
      <c r="U3084" s="322">
        <f t="shared" si="202"/>
        <v>0</v>
      </c>
      <c r="W3084" s="321">
        <f t="shared" si="203"/>
        <v>840</v>
      </c>
      <c r="X3084" s="321">
        <f t="shared" si="204"/>
        <v>846800</v>
      </c>
      <c r="Y3084" s="321">
        <v>1</v>
      </c>
      <c r="AA3084" s="321" t="s">
        <v>6264</v>
      </c>
    </row>
    <row r="3085" spans="13:27">
      <c r="M3085" s="321">
        <v>1846801840</v>
      </c>
      <c r="N3085" s="321">
        <v>84</v>
      </c>
      <c r="O3085" s="321" t="s">
        <v>6265</v>
      </c>
      <c r="P3085" s="321">
        <v>5846800</v>
      </c>
      <c r="Q3085" s="322">
        <v>73300</v>
      </c>
      <c r="R3085" s="322">
        <v>39100</v>
      </c>
      <c r="S3085" s="322">
        <v>84000</v>
      </c>
      <c r="T3085" s="322">
        <v>84000</v>
      </c>
      <c r="U3085" s="322">
        <f t="shared" si="202"/>
        <v>0</v>
      </c>
      <c r="W3085" s="321">
        <f t="shared" si="203"/>
        <v>840</v>
      </c>
      <c r="X3085" s="321">
        <f t="shared" si="204"/>
        <v>846801</v>
      </c>
      <c r="Y3085" s="321">
        <v>1</v>
      </c>
      <c r="AA3085" s="321" t="s">
        <v>6265</v>
      </c>
    </row>
    <row r="3086" spans="13:27">
      <c r="M3086" s="321">
        <v>1846801841</v>
      </c>
      <c r="N3086" s="321">
        <v>84</v>
      </c>
      <c r="O3086" s="321" t="s">
        <v>6266</v>
      </c>
      <c r="P3086" s="321">
        <v>5846800</v>
      </c>
      <c r="Q3086" s="322">
        <v>49000</v>
      </c>
      <c r="R3086" s="322">
        <v>36500</v>
      </c>
      <c r="S3086" s="322">
        <v>49000</v>
      </c>
      <c r="T3086" s="322">
        <v>49000</v>
      </c>
      <c r="U3086" s="322">
        <f t="shared" si="202"/>
        <v>0</v>
      </c>
      <c r="W3086" s="321">
        <f t="shared" si="203"/>
        <v>841</v>
      </c>
      <c r="X3086" s="321">
        <f t="shared" si="204"/>
        <v>846801</v>
      </c>
      <c r="Y3086" s="321">
        <v>1</v>
      </c>
      <c r="AA3086" s="321" t="s">
        <v>6266</v>
      </c>
    </row>
    <row r="3087" spans="13:27">
      <c r="M3087" s="321">
        <v>1846802840</v>
      </c>
      <c r="N3087" s="321">
        <v>84</v>
      </c>
      <c r="O3087" s="321" t="s">
        <v>5124</v>
      </c>
      <c r="P3087" s="321">
        <v>5846800</v>
      </c>
      <c r="Q3087" s="322">
        <v>65600</v>
      </c>
      <c r="R3087" s="322">
        <v>109300</v>
      </c>
      <c r="S3087" s="322">
        <v>134600</v>
      </c>
      <c r="T3087" s="322">
        <v>134600</v>
      </c>
      <c r="U3087" s="322">
        <f t="shared" si="202"/>
        <v>0</v>
      </c>
      <c r="W3087" s="321">
        <f t="shared" si="203"/>
        <v>840</v>
      </c>
      <c r="X3087" s="321">
        <f t="shared" si="204"/>
        <v>846802</v>
      </c>
      <c r="Y3087" s="321">
        <v>1</v>
      </c>
      <c r="AA3087" s="321" t="s">
        <v>5124</v>
      </c>
    </row>
    <row r="3088" spans="13:27">
      <c r="M3088" s="321">
        <v>1846803841</v>
      </c>
      <c r="N3088" s="321">
        <v>84</v>
      </c>
      <c r="O3088" s="321" t="s">
        <v>6267</v>
      </c>
      <c r="P3088" s="321">
        <v>5846800</v>
      </c>
      <c r="Q3088" s="322">
        <v>32000</v>
      </c>
      <c r="R3088" s="322">
        <v>21200</v>
      </c>
      <c r="S3088" s="322">
        <v>32000</v>
      </c>
      <c r="T3088" s="322">
        <v>32000</v>
      </c>
      <c r="U3088" s="322">
        <f t="shared" si="202"/>
        <v>0</v>
      </c>
      <c r="W3088" s="321">
        <f t="shared" si="203"/>
        <v>841</v>
      </c>
      <c r="X3088" s="321">
        <f t="shared" si="204"/>
        <v>846803</v>
      </c>
      <c r="Y3088" s="321">
        <v>1</v>
      </c>
      <c r="AA3088" s="321" t="s">
        <v>6267</v>
      </c>
    </row>
    <row r="3089" spans="13:27">
      <c r="M3089" s="321">
        <v>1846804840</v>
      </c>
      <c r="N3089" s="321">
        <v>84</v>
      </c>
      <c r="O3089" s="321" t="s">
        <v>5125</v>
      </c>
      <c r="P3089" s="321">
        <v>5846800</v>
      </c>
      <c r="Q3089" s="322">
        <v>440000</v>
      </c>
      <c r="R3089" s="322">
        <v>359600</v>
      </c>
      <c r="S3089" s="322">
        <v>440000</v>
      </c>
      <c r="T3089" s="322">
        <v>440000</v>
      </c>
      <c r="U3089" s="322">
        <f t="shared" si="202"/>
        <v>0</v>
      </c>
      <c r="W3089" s="321">
        <f t="shared" si="203"/>
        <v>840</v>
      </c>
      <c r="X3089" s="321">
        <f t="shared" si="204"/>
        <v>846804</v>
      </c>
      <c r="Y3089" s="321">
        <v>1</v>
      </c>
      <c r="AA3089" s="321" t="s">
        <v>5125</v>
      </c>
    </row>
    <row r="3090" spans="13:27">
      <c r="M3090" s="321">
        <v>1846805840</v>
      </c>
      <c r="N3090" s="321">
        <v>84</v>
      </c>
      <c r="O3090" s="321" t="s">
        <v>5126</v>
      </c>
      <c r="P3090" s="321">
        <v>5846800</v>
      </c>
      <c r="Q3090" s="322">
        <v>90700</v>
      </c>
      <c r="R3090" s="322">
        <v>10000</v>
      </c>
      <c r="S3090" s="322">
        <v>99000</v>
      </c>
      <c r="T3090" s="322">
        <v>99000</v>
      </c>
      <c r="U3090" s="322">
        <f t="shared" si="202"/>
        <v>0</v>
      </c>
      <c r="W3090" s="321">
        <f t="shared" si="203"/>
        <v>840</v>
      </c>
      <c r="X3090" s="321">
        <f t="shared" si="204"/>
        <v>846805</v>
      </c>
      <c r="Y3090" s="321">
        <v>1</v>
      </c>
      <c r="AA3090" s="321" t="s">
        <v>5126</v>
      </c>
    </row>
    <row r="3091" spans="13:27">
      <c r="M3091" s="321">
        <v>1847100840</v>
      </c>
      <c r="N3091" s="321">
        <v>84</v>
      </c>
      <c r="O3091" s="321" t="s">
        <v>6268</v>
      </c>
      <c r="P3091" s="321">
        <v>5847100</v>
      </c>
      <c r="Q3091" s="322">
        <v>685000</v>
      </c>
      <c r="R3091" s="322">
        <v>565300</v>
      </c>
      <c r="S3091" s="322">
        <v>685000</v>
      </c>
      <c r="T3091" s="322">
        <v>685000</v>
      </c>
      <c r="U3091" s="322">
        <f t="shared" si="202"/>
        <v>0</v>
      </c>
      <c r="W3091" s="321">
        <f t="shared" si="203"/>
        <v>840</v>
      </c>
      <c r="X3091" s="321">
        <f t="shared" si="204"/>
        <v>847100</v>
      </c>
      <c r="Y3091" s="321">
        <v>1</v>
      </c>
      <c r="AA3091" s="321" t="s">
        <v>6268</v>
      </c>
    </row>
    <row r="3092" spans="13:27">
      <c r="M3092" s="321">
        <v>1847103840</v>
      </c>
      <c r="N3092" s="321">
        <v>84</v>
      </c>
      <c r="O3092" s="321" t="s">
        <v>5129</v>
      </c>
      <c r="P3092" s="321">
        <v>5847100</v>
      </c>
      <c r="Q3092" s="322">
        <v>90700</v>
      </c>
      <c r="R3092" s="322">
        <v>29600</v>
      </c>
      <c r="S3092" s="322">
        <v>90700</v>
      </c>
      <c r="T3092" s="322">
        <v>90700</v>
      </c>
      <c r="U3092" s="322">
        <f t="shared" si="202"/>
        <v>0</v>
      </c>
      <c r="W3092" s="321">
        <f t="shared" si="203"/>
        <v>840</v>
      </c>
      <c r="X3092" s="321">
        <f t="shared" si="204"/>
        <v>847103</v>
      </c>
      <c r="Y3092" s="321">
        <v>1</v>
      </c>
      <c r="AA3092" s="321" t="s">
        <v>5129</v>
      </c>
    </row>
    <row r="3093" spans="13:27">
      <c r="M3093" s="321">
        <v>1847105840</v>
      </c>
      <c r="N3093" s="321">
        <v>84</v>
      </c>
      <c r="O3093" s="321" t="s">
        <v>5130</v>
      </c>
      <c r="P3093" s="321">
        <v>5847100</v>
      </c>
      <c r="Q3093" s="322">
        <v>0</v>
      </c>
      <c r="R3093" s="322">
        <v>0</v>
      </c>
      <c r="S3093" s="322">
        <v>0</v>
      </c>
      <c r="T3093" s="322">
        <v>0</v>
      </c>
      <c r="U3093" s="322">
        <f t="shared" si="202"/>
        <v>0</v>
      </c>
      <c r="W3093" s="321">
        <f t="shared" si="203"/>
        <v>840</v>
      </c>
      <c r="X3093" s="321">
        <f t="shared" si="204"/>
        <v>847105</v>
      </c>
      <c r="Y3093" s="321">
        <v>1</v>
      </c>
      <c r="AA3093" s="321" t="s">
        <v>5130</v>
      </c>
    </row>
    <row r="3094" spans="13:27">
      <c r="M3094" s="321">
        <v>1847106840</v>
      </c>
      <c r="N3094" s="321">
        <v>84</v>
      </c>
      <c r="O3094" s="321" t="s">
        <v>5131</v>
      </c>
      <c r="P3094" s="321">
        <v>5847100</v>
      </c>
      <c r="Q3094" s="322">
        <v>1030700</v>
      </c>
      <c r="R3094" s="322">
        <v>704800</v>
      </c>
      <c r="S3094" s="322">
        <v>1030700</v>
      </c>
      <c r="T3094" s="322">
        <v>1030700</v>
      </c>
      <c r="U3094" s="322">
        <f t="shared" si="202"/>
        <v>0</v>
      </c>
      <c r="W3094" s="321">
        <f t="shared" si="203"/>
        <v>840</v>
      </c>
      <c r="X3094" s="321">
        <f t="shared" si="204"/>
        <v>847106</v>
      </c>
      <c r="Y3094" s="321">
        <v>1</v>
      </c>
      <c r="AA3094" s="321" t="s">
        <v>5131</v>
      </c>
    </row>
    <row r="3095" spans="13:27">
      <c r="M3095" s="321">
        <v>1847106841</v>
      </c>
      <c r="N3095" s="321">
        <v>84</v>
      </c>
      <c r="O3095" s="321" t="s">
        <v>6269</v>
      </c>
      <c r="P3095" s="321">
        <v>5847100</v>
      </c>
      <c r="Q3095" s="322">
        <v>0</v>
      </c>
      <c r="R3095" s="322">
        <v>0</v>
      </c>
      <c r="S3095" s="322">
        <v>0</v>
      </c>
      <c r="T3095" s="322">
        <v>0</v>
      </c>
      <c r="U3095" s="322">
        <f t="shared" si="202"/>
        <v>0</v>
      </c>
      <c r="W3095" s="321">
        <f t="shared" si="203"/>
        <v>841</v>
      </c>
      <c r="X3095" s="321">
        <f t="shared" si="204"/>
        <v>847106</v>
      </c>
      <c r="Y3095" s="321">
        <v>1</v>
      </c>
      <c r="AA3095" s="321" t="s">
        <v>6269</v>
      </c>
    </row>
    <row r="3096" spans="13:27">
      <c r="M3096" s="321">
        <v>1847107840</v>
      </c>
      <c r="N3096" s="321">
        <v>84</v>
      </c>
      <c r="O3096" s="321" t="s">
        <v>5132</v>
      </c>
      <c r="P3096" s="321">
        <v>5847100</v>
      </c>
      <c r="Q3096" s="322">
        <v>128000</v>
      </c>
      <c r="R3096" s="322">
        <v>198500</v>
      </c>
      <c r="S3096" s="322">
        <v>198500</v>
      </c>
      <c r="T3096" s="322">
        <v>198500</v>
      </c>
      <c r="U3096" s="322">
        <f t="shared" si="202"/>
        <v>0</v>
      </c>
      <c r="W3096" s="321">
        <f t="shared" si="203"/>
        <v>840</v>
      </c>
      <c r="X3096" s="321">
        <f t="shared" si="204"/>
        <v>847107</v>
      </c>
      <c r="Y3096" s="321">
        <v>1</v>
      </c>
      <c r="AA3096" s="321" t="s">
        <v>5132</v>
      </c>
    </row>
    <row r="3097" spans="13:27">
      <c r="M3097" s="321">
        <v>1847108840</v>
      </c>
      <c r="N3097" s="321">
        <v>84</v>
      </c>
      <c r="O3097" s="321" t="s">
        <v>5133</v>
      </c>
      <c r="P3097" s="321">
        <v>5847100</v>
      </c>
      <c r="Q3097" s="322">
        <v>172000</v>
      </c>
      <c r="R3097" s="322">
        <v>159600</v>
      </c>
      <c r="S3097" s="322">
        <v>660000</v>
      </c>
      <c r="T3097" s="322">
        <v>660000</v>
      </c>
      <c r="U3097" s="322">
        <f t="shared" si="202"/>
        <v>0</v>
      </c>
      <c r="W3097" s="321">
        <f t="shared" si="203"/>
        <v>840</v>
      </c>
      <c r="X3097" s="321">
        <f t="shared" si="204"/>
        <v>847108</v>
      </c>
      <c r="Y3097" s="321">
        <v>1</v>
      </c>
      <c r="AA3097" s="321" t="s">
        <v>5133</v>
      </c>
    </row>
    <row r="3098" spans="13:27">
      <c r="M3098" s="321">
        <v>1847111840</v>
      </c>
      <c r="N3098" s="321">
        <v>84</v>
      </c>
      <c r="O3098" s="321" t="s">
        <v>5134</v>
      </c>
      <c r="P3098" s="321">
        <v>5847100</v>
      </c>
      <c r="Q3098" s="322">
        <v>219500</v>
      </c>
      <c r="R3098" s="322">
        <v>167300</v>
      </c>
      <c r="S3098" s="322">
        <v>220000</v>
      </c>
      <c r="T3098" s="322">
        <v>220000</v>
      </c>
      <c r="U3098" s="322">
        <f t="shared" si="202"/>
        <v>0</v>
      </c>
      <c r="W3098" s="321">
        <f t="shared" si="203"/>
        <v>840</v>
      </c>
      <c r="X3098" s="321">
        <f t="shared" si="204"/>
        <v>847111</v>
      </c>
      <c r="Y3098" s="321">
        <v>1</v>
      </c>
      <c r="AA3098" s="321" t="s">
        <v>5134</v>
      </c>
    </row>
    <row r="3099" spans="13:27">
      <c r="M3099" s="321">
        <v>1847112840</v>
      </c>
      <c r="N3099" s="321">
        <v>84</v>
      </c>
      <c r="O3099" s="321" t="s">
        <v>5135</v>
      </c>
      <c r="P3099" s="321">
        <v>5847100</v>
      </c>
      <c r="Q3099" s="322">
        <v>877000</v>
      </c>
      <c r="R3099" s="322">
        <v>637500</v>
      </c>
      <c r="S3099" s="322">
        <v>928000</v>
      </c>
      <c r="T3099" s="322">
        <v>928000</v>
      </c>
      <c r="U3099" s="322">
        <f t="shared" si="202"/>
        <v>0</v>
      </c>
      <c r="W3099" s="321">
        <f t="shared" si="203"/>
        <v>840</v>
      </c>
      <c r="X3099" s="321">
        <f t="shared" si="204"/>
        <v>847112</v>
      </c>
      <c r="Y3099" s="321">
        <v>1</v>
      </c>
      <c r="AA3099" s="321" t="s">
        <v>5135</v>
      </c>
    </row>
    <row r="3100" spans="13:27">
      <c r="M3100" s="321">
        <v>1847113840</v>
      </c>
      <c r="N3100" s="321">
        <v>84</v>
      </c>
      <c r="O3100" s="321" t="s">
        <v>5136</v>
      </c>
      <c r="P3100" s="321">
        <v>5847100</v>
      </c>
      <c r="Q3100" s="322">
        <v>51200</v>
      </c>
      <c r="R3100" s="322">
        <v>0</v>
      </c>
      <c r="S3100" s="322">
        <v>51200</v>
      </c>
      <c r="T3100" s="322">
        <v>51200</v>
      </c>
      <c r="U3100" s="322">
        <f t="shared" si="202"/>
        <v>0</v>
      </c>
      <c r="W3100" s="321">
        <f t="shared" si="203"/>
        <v>840</v>
      </c>
      <c r="X3100" s="321">
        <f t="shared" si="204"/>
        <v>847113</v>
      </c>
      <c r="Y3100" s="321">
        <v>1</v>
      </c>
      <c r="AA3100" s="321" t="s">
        <v>5136</v>
      </c>
    </row>
    <row r="3101" spans="13:27">
      <c r="M3101" s="321">
        <v>1847114840</v>
      </c>
      <c r="N3101" s="321">
        <v>84</v>
      </c>
      <c r="O3101" s="321" t="s">
        <v>5137</v>
      </c>
      <c r="P3101" s="321">
        <v>5847100</v>
      </c>
      <c r="Q3101" s="322">
        <v>149000</v>
      </c>
      <c r="R3101" s="322">
        <v>105700</v>
      </c>
      <c r="S3101" s="322">
        <v>173000</v>
      </c>
      <c r="T3101" s="322">
        <v>173000</v>
      </c>
      <c r="U3101" s="322">
        <f t="shared" si="202"/>
        <v>0</v>
      </c>
      <c r="W3101" s="321">
        <f t="shared" si="203"/>
        <v>840</v>
      </c>
      <c r="X3101" s="321">
        <f t="shared" si="204"/>
        <v>847114</v>
      </c>
      <c r="Y3101" s="321">
        <v>1</v>
      </c>
      <c r="AA3101" s="321" t="s">
        <v>5137</v>
      </c>
    </row>
    <row r="3102" spans="13:27">
      <c r="M3102" s="321">
        <v>1847124840</v>
      </c>
      <c r="N3102" s="321">
        <v>84</v>
      </c>
      <c r="O3102" s="321" t="s">
        <v>5138</v>
      </c>
      <c r="P3102" s="321">
        <v>5847100</v>
      </c>
      <c r="Q3102" s="322">
        <v>0</v>
      </c>
      <c r="R3102" s="322">
        <v>0</v>
      </c>
      <c r="S3102" s="322">
        <v>0</v>
      </c>
      <c r="T3102" s="322">
        <v>0</v>
      </c>
      <c r="U3102" s="322">
        <f t="shared" si="202"/>
        <v>0</v>
      </c>
      <c r="W3102" s="321">
        <f t="shared" si="203"/>
        <v>840</v>
      </c>
      <c r="X3102" s="321">
        <f t="shared" si="204"/>
        <v>847124</v>
      </c>
      <c r="Y3102" s="321">
        <v>1</v>
      </c>
      <c r="AA3102" s="321" t="s">
        <v>5138</v>
      </c>
    </row>
    <row r="3103" spans="13:27">
      <c r="M3103" s="321">
        <v>1847200840</v>
      </c>
      <c r="N3103" s="321">
        <v>84</v>
      </c>
      <c r="O3103" s="321" t="s">
        <v>6270</v>
      </c>
      <c r="P3103" s="321">
        <v>5847200</v>
      </c>
      <c r="Q3103" s="322">
        <v>0</v>
      </c>
      <c r="R3103" s="322">
        <v>51800</v>
      </c>
      <c r="S3103" s="322">
        <v>0</v>
      </c>
      <c r="T3103" s="322">
        <v>0</v>
      </c>
      <c r="U3103" s="322">
        <f t="shared" si="202"/>
        <v>0</v>
      </c>
      <c r="W3103" s="321">
        <f t="shared" si="203"/>
        <v>840</v>
      </c>
      <c r="X3103" s="321">
        <f t="shared" si="204"/>
        <v>847200</v>
      </c>
      <c r="Y3103" s="321">
        <v>1</v>
      </c>
      <c r="AA3103" s="321" t="s">
        <v>6270</v>
      </c>
    </row>
    <row r="3104" spans="13:27">
      <c r="M3104" s="321">
        <v>1847300810</v>
      </c>
      <c r="N3104" s="321">
        <v>84</v>
      </c>
      <c r="O3104" s="321" t="s">
        <v>6271</v>
      </c>
      <c r="P3104" s="321">
        <v>5847300</v>
      </c>
      <c r="Q3104" s="322">
        <v>66000</v>
      </c>
      <c r="R3104" s="322">
        <v>41200</v>
      </c>
      <c r="S3104" s="322">
        <v>66000</v>
      </c>
      <c r="T3104" s="322">
        <v>66000</v>
      </c>
      <c r="U3104" s="322">
        <f t="shared" si="202"/>
        <v>0</v>
      </c>
      <c r="W3104" s="321">
        <f t="shared" si="203"/>
        <v>810</v>
      </c>
      <c r="X3104" s="321">
        <f t="shared" si="204"/>
        <v>847300</v>
      </c>
      <c r="Y3104" s="321">
        <v>1</v>
      </c>
      <c r="AA3104" s="321" t="s">
        <v>6271</v>
      </c>
    </row>
    <row r="3105" spans="13:27">
      <c r="M3105" s="321">
        <v>1847300840</v>
      </c>
      <c r="N3105" s="321">
        <v>84</v>
      </c>
      <c r="O3105" s="321" t="s">
        <v>5140</v>
      </c>
      <c r="P3105" s="321">
        <v>5847300</v>
      </c>
      <c r="Q3105" s="322">
        <v>1272000</v>
      </c>
      <c r="R3105" s="322">
        <v>797400</v>
      </c>
      <c r="S3105" s="322">
        <v>1308000</v>
      </c>
      <c r="T3105" s="322">
        <v>1308000</v>
      </c>
      <c r="U3105" s="322">
        <f t="shared" si="202"/>
        <v>0</v>
      </c>
      <c r="W3105" s="321">
        <f t="shared" si="203"/>
        <v>840</v>
      </c>
      <c r="X3105" s="321">
        <f t="shared" si="204"/>
        <v>847300</v>
      </c>
      <c r="Y3105" s="321">
        <v>1</v>
      </c>
      <c r="AA3105" s="321" t="s">
        <v>5140</v>
      </c>
    </row>
    <row r="3106" spans="13:27">
      <c r="M3106" s="321">
        <v>1847300841</v>
      </c>
      <c r="N3106" s="321">
        <v>84</v>
      </c>
      <c r="O3106" s="321" t="s">
        <v>6272</v>
      </c>
      <c r="P3106" s="321">
        <v>5847300</v>
      </c>
      <c r="Q3106" s="322">
        <v>0</v>
      </c>
      <c r="R3106" s="322">
        <v>0</v>
      </c>
      <c r="S3106" s="322">
        <v>66000</v>
      </c>
      <c r="T3106" s="322">
        <v>66000</v>
      </c>
      <c r="U3106" s="322">
        <f t="shared" si="202"/>
        <v>0</v>
      </c>
      <c r="W3106" s="321">
        <f t="shared" si="203"/>
        <v>841</v>
      </c>
      <c r="X3106" s="321">
        <f t="shared" si="204"/>
        <v>847300</v>
      </c>
      <c r="Y3106" s="321">
        <v>1</v>
      </c>
      <c r="AA3106" s="321" t="s">
        <v>6272</v>
      </c>
    </row>
    <row r="3107" spans="13:27">
      <c r="M3107" s="321">
        <v>1847301840</v>
      </c>
      <c r="N3107" s="321">
        <v>84</v>
      </c>
      <c r="O3107" s="321" t="s">
        <v>5141</v>
      </c>
      <c r="P3107" s="321">
        <v>5847300</v>
      </c>
      <c r="Q3107" s="322">
        <v>33300</v>
      </c>
      <c r="R3107" s="322">
        <v>20000</v>
      </c>
      <c r="S3107" s="322">
        <v>33300</v>
      </c>
      <c r="T3107" s="322">
        <v>33300</v>
      </c>
      <c r="U3107" s="322">
        <f t="shared" si="202"/>
        <v>0</v>
      </c>
      <c r="W3107" s="321">
        <f t="shared" si="203"/>
        <v>840</v>
      </c>
      <c r="X3107" s="321">
        <f t="shared" si="204"/>
        <v>847301</v>
      </c>
      <c r="Y3107" s="321">
        <v>1</v>
      </c>
      <c r="AA3107" s="321" t="s">
        <v>5141</v>
      </c>
    </row>
    <row r="3108" spans="13:27">
      <c r="M3108" s="321">
        <v>1847302760</v>
      </c>
      <c r="N3108" s="321">
        <v>84</v>
      </c>
      <c r="O3108" s="321" t="s">
        <v>6273</v>
      </c>
      <c r="P3108" s="321">
        <v>5835001</v>
      </c>
      <c r="Q3108" s="322">
        <v>47000</v>
      </c>
      <c r="R3108" s="322">
        <v>23900</v>
      </c>
      <c r="S3108" s="322">
        <v>47000</v>
      </c>
      <c r="T3108" s="322">
        <v>47000</v>
      </c>
      <c r="U3108" s="322">
        <f t="shared" si="202"/>
        <v>0</v>
      </c>
      <c r="W3108" s="321">
        <f t="shared" si="203"/>
        <v>760</v>
      </c>
      <c r="X3108" s="321">
        <f t="shared" si="204"/>
        <v>847302</v>
      </c>
      <c r="Y3108" s="321">
        <v>1</v>
      </c>
      <c r="AA3108" s="321" t="s">
        <v>6273</v>
      </c>
    </row>
    <row r="3109" spans="13:27">
      <c r="M3109" s="321">
        <v>1847303840</v>
      </c>
      <c r="N3109" s="321">
        <v>84</v>
      </c>
      <c r="O3109" s="321" t="s">
        <v>5142</v>
      </c>
      <c r="P3109" s="321">
        <v>5847300</v>
      </c>
      <c r="Q3109" s="322">
        <v>273300</v>
      </c>
      <c r="R3109" s="322">
        <v>210700</v>
      </c>
      <c r="S3109" s="322">
        <v>274000</v>
      </c>
      <c r="T3109" s="322">
        <v>274000</v>
      </c>
      <c r="U3109" s="322">
        <f t="shared" si="202"/>
        <v>0</v>
      </c>
      <c r="W3109" s="321">
        <f t="shared" si="203"/>
        <v>840</v>
      </c>
      <c r="X3109" s="321">
        <f t="shared" si="204"/>
        <v>847303</v>
      </c>
      <c r="Y3109" s="321">
        <v>1</v>
      </c>
      <c r="AA3109" s="321" t="s">
        <v>5142</v>
      </c>
    </row>
    <row r="3110" spans="13:27">
      <c r="M3110" s="321">
        <v>1847305840</v>
      </c>
      <c r="N3110" s="321">
        <v>84</v>
      </c>
      <c r="O3110" s="321" t="s">
        <v>5143</v>
      </c>
      <c r="P3110" s="321">
        <v>5847300</v>
      </c>
      <c r="Q3110" s="322">
        <v>198700</v>
      </c>
      <c r="R3110" s="322">
        <v>178000</v>
      </c>
      <c r="S3110" s="322">
        <v>198700</v>
      </c>
      <c r="T3110" s="322">
        <v>198700</v>
      </c>
      <c r="U3110" s="322">
        <f t="shared" si="202"/>
        <v>0</v>
      </c>
      <c r="W3110" s="321">
        <f t="shared" si="203"/>
        <v>840</v>
      </c>
      <c r="X3110" s="321">
        <f t="shared" si="204"/>
        <v>847305</v>
      </c>
      <c r="Y3110" s="321">
        <v>1</v>
      </c>
      <c r="AA3110" s="321" t="s">
        <v>5143</v>
      </c>
    </row>
    <row r="3111" spans="13:27">
      <c r="M3111" s="321">
        <v>1847306840</v>
      </c>
      <c r="N3111" s="321">
        <v>84</v>
      </c>
      <c r="O3111" s="321" t="s">
        <v>5144</v>
      </c>
      <c r="P3111" s="321">
        <v>5847100</v>
      </c>
      <c r="Q3111" s="322">
        <v>500000</v>
      </c>
      <c r="R3111" s="322">
        <v>343600</v>
      </c>
      <c r="S3111" s="322">
        <v>500000</v>
      </c>
      <c r="T3111" s="322">
        <v>500000</v>
      </c>
      <c r="U3111" s="322">
        <f t="shared" si="202"/>
        <v>0</v>
      </c>
      <c r="W3111" s="321">
        <f t="shared" si="203"/>
        <v>840</v>
      </c>
      <c r="X3111" s="321">
        <f t="shared" si="204"/>
        <v>847306</v>
      </c>
      <c r="Y3111" s="321">
        <v>1</v>
      </c>
      <c r="AA3111" s="321" t="s">
        <v>5144</v>
      </c>
    </row>
    <row r="3112" spans="13:27">
      <c r="M3112" s="321">
        <v>1847307840</v>
      </c>
      <c r="N3112" s="321">
        <v>84</v>
      </c>
      <c r="O3112" s="321" t="s">
        <v>5145</v>
      </c>
      <c r="P3112" s="321">
        <v>5847300</v>
      </c>
      <c r="Q3112" s="322">
        <v>126700</v>
      </c>
      <c r="R3112" s="322">
        <v>67100</v>
      </c>
      <c r="S3112" s="322">
        <v>166400</v>
      </c>
      <c r="T3112" s="322">
        <v>166400</v>
      </c>
      <c r="U3112" s="322">
        <f t="shared" si="202"/>
        <v>0</v>
      </c>
      <c r="W3112" s="321">
        <f t="shared" si="203"/>
        <v>840</v>
      </c>
      <c r="X3112" s="321">
        <f t="shared" si="204"/>
        <v>847307</v>
      </c>
      <c r="Y3112" s="321">
        <v>1</v>
      </c>
      <c r="AA3112" s="321" t="s">
        <v>5145</v>
      </c>
    </row>
    <row r="3113" spans="13:27">
      <c r="M3113" s="321">
        <v>1847400771</v>
      </c>
      <c r="N3113" s="321">
        <v>84</v>
      </c>
      <c r="O3113" s="321" t="s">
        <v>6274</v>
      </c>
      <c r="P3113" s="321">
        <v>5847400</v>
      </c>
      <c r="Q3113" s="322">
        <v>90000</v>
      </c>
      <c r="R3113" s="322">
        <v>62200</v>
      </c>
      <c r="S3113" s="322">
        <v>90000</v>
      </c>
      <c r="T3113" s="322">
        <v>90000</v>
      </c>
      <c r="U3113" s="322">
        <f t="shared" si="202"/>
        <v>0</v>
      </c>
      <c r="W3113" s="321">
        <f t="shared" si="203"/>
        <v>771</v>
      </c>
      <c r="X3113" s="321">
        <f t="shared" si="204"/>
        <v>847400</v>
      </c>
      <c r="Y3113" s="321">
        <v>1</v>
      </c>
      <c r="AA3113" s="321" t="s">
        <v>6274</v>
      </c>
    </row>
    <row r="3114" spans="13:27">
      <c r="M3114" s="321">
        <v>1847400840</v>
      </c>
      <c r="N3114" s="321">
        <v>84</v>
      </c>
      <c r="O3114" s="321" t="s">
        <v>6275</v>
      </c>
      <c r="P3114" s="321">
        <v>5847400</v>
      </c>
      <c r="Q3114" s="322">
        <v>14500</v>
      </c>
      <c r="R3114" s="322">
        <v>0</v>
      </c>
      <c r="S3114" s="322">
        <v>14500</v>
      </c>
      <c r="T3114" s="322">
        <v>14500</v>
      </c>
      <c r="U3114" s="322">
        <f t="shared" si="202"/>
        <v>0</v>
      </c>
      <c r="W3114" s="321">
        <f t="shared" si="203"/>
        <v>840</v>
      </c>
      <c r="X3114" s="321">
        <f t="shared" si="204"/>
        <v>847400</v>
      </c>
      <c r="Y3114" s="321">
        <v>1</v>
      </c>
      <c r="AA3114" s="321" t="s">
        <v>6275</v>
      </c>
    </row>
    <row r="3115" spans="13:27">
      <c r="M3115" s="321">
        <v>1847401840</v>
      </c>
      <c r="N3115" s="321">
        <v>84</v>
      </c>
      <c r="O3115" s="321" t="s">
        <v>6276</v>
      </c>
      <c r="P3115" s="321">
        <v>5847400</v>
      </c>
      <c r="Q3115" s="322">
        <v>728200</v>
      </c>
      <c r="R3115" s="322">
        <v>548600</v>
      </c>
      <c r="S3115" s="322">
        <v>728200</v>
      </c>
      <c r="T3115" s="322">
        <v>728200</v>
      </c>
      <c r="U3115" s="322">
        <f t="shared" si="202"/>
        <v>0</v>
      </c>
      <c r="W3115" s="321">
        <f t="shared" si="203"/>
        <v>840</v>
      </c>
      <c r="X3115" s="321">
        <f t="shared" si="204"/>
        <v>847401</v>
      </c>
      <c r="Y3115" s="321">
        <v>1</v>
      </c>
      <c r="AA3115" s="321" t="s">
        <v>6276</v>
      </c>
    </row>
    <row r="3116" spans="13:27">
      <c r="M3116" s="321">
        <v>1847402840</v>
      </c>
      <c r="N3116" s="321">
        <v>84</v>
      </c>
      <c r="O3116" s="321" t="s">
        <v>6277</v>
      </c>
      <c r="P3116" s="321">
        <v>5847400</v>
      </c>
      <c r="Q3116" s="322">
        <v>105300</v>
      </c>
      <c r="R3116" s="322">
        <v>46900</v>
      </c>
      <c r="S3116" s="322">
        <v>105300</v>
      </c>
      <c r="T3116" s="322">
        <v>105300</v>
      </c>
      <c r="U3116" s="322">
        <f t="shared" si="202"/>
        <v>0</v>
      </c>
      <c r="W3116" s="321">
        <f t="shared" si="203"/>
        <v>840</v>
      </c>
      <c r="X3116" s="321">
        <f t="shared" si="204"/>
        <v>847402</v>
      </c>
      <c r="Y3116" s="321">
        <v>1</v>
      </c>
      <c r="AA3116" s="321" t="s">
        <v>6277</v>
      </c>
    </row>
    <row r="3117" spans="13:27">
      <c r="M3117" s="321">
        <v>1847403840</v>
      </c>
      <c r="N3117" s="321">
        <v>84</v>
      </c>
      <c r="O3117" s="321" t="s">
        <v>5149</v>
      </c>
      <c r="P3117" s="321">
        <v>5847400</v>
      </c>
      <c r="Q3117" s="322">
        <v>645200</v>
      </c>
      <c r="R3117" s="322">
        <v>123900</v>
      </c>
      <c r="S3117" s="322">
        <v>700200</v>
      </c>
      <c r="T3117" s="322">
        <v>700200</v>
      </c>
      <c r="U3117" s="322">
        <f t="shared" si="202"/>
        <v>0</v>
      </c>
      <c r="W3117" s="321">
        <f t="shared" si="203"/>
        <v>840</v>
      </c>
      <c r="X3117" s="321">
        <f t="shared" si="204"/>
        <v>847403</v>
      </c>
      <c r="Y3117" s="321">
        <v>1</v>
      </c>
      <c r="AA3117" s="321" t="s">
        <v>5149</v>
      </c>
    </row>
    <row r="3118" spans="13:27">
      <c r="M3118" s="321">
        <v>1847405840</v>
      </c>
      <c r="N3118" s="321">
        <v>84</v>
      </c>
      <c r="O3118" s="321" t="s">
        <v>5150</v>
      </c>
      <c r="P3118" s="321">
        <v>5847400</v>
      </c>
      <c r="Q3118" s="322">
        <v>90000</v>
      </c>
      <c r="R3118" s="322">
        <v>14900</v>
      </c>
      <c r="S3118" s="322">
        <v>90000</v>
      </c>
      <c r="T3118" s="322">
        <v>90000</v>
      </c>
      <c r="U3118" s="322">
        <f t="shared" si="202"/>
        <v>0</v>
      </c>
      <c r="W3118" s="321">
        <f t="shared" si="203"/>
        <v>840</v>
      </c>
      <c r="X3118" s="321">
        <f t="shared" si="204"/>
        <v>847405</v>
      </c>
      <c r="Y3118" s="321">
        <v>1</v>
      </c>
      <c r="AA3118" s="321" t="s">
        <v>5150</v>
      </c>
    </row>
    <row r="3119" spans="13:27">
      <c r="M3119" s="321">
        <v>1847408840</v>
      </c>
      <c r="N3119" s="321">
        <v>84</v>
      </c>
      <c r="O3119" s="321" t="s">
        <v>5151</v>
      </c>
      <c r="P3119" s="321">
        <v>5847400</v>
      </c>
      <c r="Q3119" s="322">
        <v>21000</v>
      </c>
      <c r="R3119" s="322">
        <v>0</v>
      </c>
      <c r="S3119" s="322">
        <v>21000</v>
      </c>
      <c r="T3119" s="322">
        <v>21000</v>
      </c>
      <c r="U3119" s="322">
        <f t="shared" si="202"/>
        <v>0</v>
      </c>
      <c r="W3119" s="321">
        <f t="shared" si="203"/>
        <v>840</v>
      </c>
      <c r="X3119" s="321">
        <f t="shared" si="204"/>
        <v>847408</v>
      </c>
      <c r="Y3119" s="321">
        <v>1</v>
      </c>
      <c r="AA3119" s="321" t="s">
        <v>5151</v>
      </c>
    </row>
    <row r="3120" spans="13:27">
      <c r="M3120" s="321">
        <v>1848200760</v>
      </c>
      <c r="N3120" s="321">
        <v>84</v>
      </c>
      <c r="O3120" s="321" t="s">
        <v>6278</v>
      </c>
      <c r="P3120" s="321">
        <v>5848200</v>
      </c>
      <c r="Q3120" s="322">
        <v>20000</v>
      </c>
      <c r="R3120" s="322">
        <v>14100</v>
      </c>
      <c r="S3120" s="322">
        <v>20000</v>
      </c>
      <c r="T3120" s="322">
        <v>20000</v>
      </c>
      <c r="U3120" s="322">
        <f t="shared" si="202"/>
        <v>0</v>
      </c>
      <c r="W3120" s="321">
        <f t="shared" si="203"/>
        <v>760</v>
      </c>
      <c r="X3120" s="321">
        <f t="shared" si="204"/>
        <v>848200</v>
      </c>
      <c r="Y3120" s="321">
        <v>1</v>
      </c>
      <c r="AA3120" s="321" t="s">
        <v>6278</v>
      </c>
    </row>
    <row r="3121" spans="13:27">
      <c r="M3121" s="321">
        <v>1848200810</v>
      </c>
      <c r="N3121" s="321">
        <v>84</v>
      </c>
      <c r="O3121" s="321" t="s">
        <v>5152</v>
      </c>
      <c r="P3121" s="321">
        <v>5848200</v>
      </c>
      <c r="Q3121" s="322">
        <v>0</v>
      </c>
      <c r="R3121" s="322">
        <v>300</v>
      </c>
      <c r="S3121" s="322">
        <v>400000</v>
      </c>
      <c r="T3121" s="322">
        <v>400000</v>
      </c>
      <c r="U3121" s="322">
        <f t="shared" si="202"/>
        <v>0</v>
      </c>
      <c r="W3121" s="321">
        <f t="shared" si="203"/>
        <v>810</v>
      </c>
      <c r="X3121" s="321">
        <f t="shared" si="204"/>
        <v>848200</v>
      </c>
      <c r="Y3121" s="321">
        <v>1</v>
      </c>
      <c r="AA3121" s="321" t="s">
        <v>5152</v>
      </c>
    </row>
    <row r="3122" spans="13:27">
      <c r="M3122" s="321">
        <v>1848200820</v>
      </c>
      <c r="N3122" s="321">
        <v>84</v>
      </c>
      <c r="O3122" s="321" t="s">
        <v>6279</v>
      </c>
      <c r="P3122" s="321">
        <v>5848200</v>
      </c>
      <c r="Q3122" s="322">
        <v>868000</v>
      </c>
      <c r="R3122" s="322">
        <v>273200</v>
      </c>
      <c r="S3122" s="322">
        <v>868000</v>
      </c>
      <c r="T3122" s="322">
        <v>868000</v>
      </c>
      <c r="U3122" s="322">
        <f t="shared" si="202"/>
        <v>0</v>
      </c>
      <c r="W3122" s="321">
        <f t="shared" si="203"/>
        <v>820</v>
      </c>
      <c r="X3122" s="321">
        <f t="shared" si="204"/>
        <v>848200</v>
      </c>
      <c r="Y3122" s="321">
        <v>1</v>
      </c>
      <c r="AA3122" s="321" t="s">
        <v>6279</v>
      </c>
    </row>
    <row r="3123" spans="13:27">
      <c r="M3123" s="321">
        <v>1848200840</v>
      </c>
      <c r="N3123" s="321">
        <v>84</v>
      </c>
      <c r="O3123" s="321" t="s">
        <v>5153</v>
      </c>
      <c r="P3123" s="321">
        <v>5848200</v>
      </c>
      <c r="Q3123" s="322">
        <v>33300</v>
      </c>
      <c r="R3123" s="322">
        <v>35500</v>
      </c>
      <c r="S3123" s="322">
        <v>41000</v>
      </c>
      <c r="T3123" s="322">
        <v>41000</v>
      </c>
      <c r="U3123" s="322">
        <f t="shared" si="202"/>
        <v>0</v>
      </c>
      <c r="W3123" s="321">
        <f t="shared" si="203"/>
        <v>840</v>
      </c>
      <c r="X3123" s="321">
        <f t="shared" si="204"/>
        <v>848200</v>
      </c>
      <c r="Y3123" s="321">
        <v>1</v>
      </c>
      <c r="AA3123" s="321" t="s">
        <v>5153</v>
      </c>
    </row>
    <row r="3124" spans="13:27">
      <c r="M3124" s="321">
        <v>1848300760</v>
      </c>
      <c r="N3124" s="321">
        <v>84</v>
      </c>
      <c r="O3124" s="321" t="s">
        <v>6280</v>
      </c>
      <c r="P3124" s="321">
        <v>5848300</v>
      </c>
      <c r="Q3124" s="322">
        <v>38000</v>
      </c>
      <c r="R3124" s="322">
        <v>10300</v>
      </c>
      <c r="S3124" s="322">
        <v>38000</v>
      </c>
      <c r="T3124" s="322">
        <v>38000</v>
      </c>
      <c r="U3124" s="322">
        <f t="shared" si="202"/>
        <v>0</v>
      </c>
      <c r="W3124" s="321">
        <f t="shared" si="203"/>
        <v>760</v>
      </c>
      <c r="X3124" s="321">
        <f t="shared" si="204"/>
        <v>848300</v>
      </c>
      <c r="Y3124" s="321">
        <v>1</v>
      </c>
      <c r="AA3124" s="321" t="s">
        <v>6280</v>
      </c>
    </row>
    <row r="3125" spans="13:27">
      <c r="M3125" s="321">
        <v>1848300840</v>
      </c>
      <c r="N3125" s="321">
        <v>84</v>
      </c>
      <c r="O3125" s="321" t="s">
        <v>5154</v>
      </c>
      <c r="P3125" s="321">
        <v>5848300</v>
      </c>
      <c r="Q3125" s="322">
        <v>96000</v>
      </c>
      <c r="R3125" s="322">
        <v>90200</v>
      </c>
      <c r="S3125" s="322">
        <v>96000</v>
      </c>
      <c r="T3125" s="322">
        <v>96000</v>
      </c>
      <c r="U3125" s="322">
        <f t="shared" si="202"/>
        <v>0</v>
      </c>
      <c r="W3125" s="321">
        <f t="shared" si="203"/>
        <v>840</v>
      </c>
      <c r="X3125" s="321">
        <f t="shared" si="204"/>
        <v>848300</v>
      </c>
      <c r="Y3125" s="321">
        <v>1</v>
      </c>
      <c r="AA3125" s="321" t="s">
        <v>5154</v>
      </c>
    </row>
    <row r="3126" spans="13:27">
      <c r="M3126" s="321">
        <v>1848300841</v>
      </c>
      <c r="N3126" s="321">
        <v>84</v>
      </c>
      <c r="O3126" s="321" t="s">
        <v>6281</v>
      </c>
      <c r="P3126" s="321">
        <v>5848300</v>
      </c>
      <c r="Q3126" s="322">
        <v>104000</v>
      </c>
      <c r="R3126" s="322">
        <v>94900</v>
      </c>
      <c r="S3126" s="322">
        <v>104000</v>
      </c>
      <c r="T3126" s="322">
        <v>104000</v>
      </c>
      <c r="U3126" s="322">
        <f t="shared" si="202"/>
        <v>0</v>
      </c>
      <c r="W3126" s="321">
        <f t="shared" si="203"/>
        <v>841</v>
      </c>
      <c r="X3126" s="321">
        <f t="shared" si="204"/>
        <v>848300</v>
      </c>
      <c r="Y3126" s="321">
        <v>1</v>
      </c>
      <c r="AA3126" s="321" t="s">
        <v>6281</v>
      </c>
    </row>
    <row r="3127" spans="13:27">
      <c r="M3127" s="321">
        <v>1848400840</v>
      </c>
      <c r="N3127" s="321">
        <v>84</v>
      </c>
      <c r="O3127" s="321" t="s">
        <v>5155</v>
      </c>
      <c r="P3127" s="321">
        <v>5848400</v>
      </c>
      <c r="Q3127" s="322">
        <v>16000</v>
      </c>
      <c r="R3127" s="322">
        <v>900</v>
      </c>
      <c r="S3127" s="322">
        <v>16000</v>
      </c>
      <c r="T3127" s="322">
        <v>16000</v>
      </c>
      <c r="U3127" s="322">
        <f t="shared" si="202"/>
        <v>0</v>
      </c>
      <c r="W3127" s="321">
        <f t="shared" si="203"/>
        <v>840</v>
      </c>
      <c r="X3127" s="321">
        <f t="shared" si="204"/>
        <v>848400</v>
      </c>
      <c r="Y3127" s="321">
        <v>1</v>
      </c>
      <c r="AA3127" s="321" t="s">
        <v>5155</v>
      </c>
    </row>
    <row r="3128" spans="13:27">
      <c r="M3128" s="321">
        <v>1848500760</v>
      </c>
      <c r="N3128" s="321">
        <v>84</v>
      </c>
      <c r="O3128" s="321" t="s">
        <v>6282</v>
      </c>
      <c r="P3128" s="321">
        <v>5848500</v>
      </c>
      <c r="Q3128" s="322">
        <v>270000</v>
      </c>
      <c r="R3128" s="322">
        <v>231600</v>
      </c>
      <c r="S3128" s="322">
        <v>305000</v>
      </c>
      <c r="T3128" s="322">
        <v>305000</v>
      </c>
      <c r="U3128" s="322">
        <f t="shared" si="202"/>
        <v>0</v>
      </c>
      <c r="W3128" s="321">
        <f t="shared" si="203"/>
        <v>760</v>
      </c>
      <c r="X3128" s="321">
        <f t="shared" si="204"/>
        <v>848500</v>
      </c>
      <c r="Y3128" s="321">
        <v>1</v>
      </c>
      <c r="AA3128" s="321" t="s">
        <v>6282</v>
      </c>
    </row>
    <row r="3129" spans="13:27">
      <c r="M3129" s="321">
        <v>1848500840</v>
      </c>
      <c r="N3129" s="321">
        <v>84</v>
      </c>
      <c r="O3129" s="321" t="s">
        <v>5156</v>
      </c>
      <c r="P3129" s="321">
        <v>5848500</v>
      </c>
      <c r="Q3129" s="322">
        <v>30000</v>
      </c>
      <c r="R3129" s="322">
        <v>12000</v>
      </c>
      <c r="S3129" s="322">
        <v>30000</v>
      </c>
      <c r="T3129" s="322">
        <v>30000</v>
      </c>
      <c r="U3129" s="322">
        <f t="shared" si="202"/>
        <v>0</v>
      </c>
      <c r="W3129" s="321">
        <f t="shared" si="203"/>
        <v>840</v>
      </c>
      <c r="X3129" s="321">
        <f t="shared" si="204"/>
        <v>848500</v>
      </c>
      <c r="Y3129" s="321">
        <v>1</v>
      </c>
      <c r="AA3129" s="321" t="s">
        <v>5156</v>
      </c>
    </row>
    <row r="3130" spans="13:27">
      <c r="M3130" s="321">
        <v>1849000110</v>
      </c>
      <c r="N3130" s="321">
        <v>84</v>
      </c>
      <c r="O3130" s="321" t="s">
        <v>5205</v>
      </c>
      <c r="P3130" s="321">
        <v>5849000</v>
      </c>
      <c r="Q3130" s="322">
        <v>530000</v>
      </c>
      <c r="R3130" s="322">
        <v>378100</v>
      </c>
      <c r="S3130" s="322">
        <v>520000</v>
      </c>
      <c r="T3130" s="322">
        <v>520000</v>
      </c>
      <c r="U3130" s="322">
        <f t="shared" si="202"/>
        <v>0</v>
      </c>
      <c r="W3130" s="321">
        <f t="shared" si="203"/>
        <v>110</v>
      </c>
      <c r="X3130" s="321">
        <f t="shared" si="204"/>
        <v>849000</v>
      </c>
      <c r="Y3130" s="321">
        <v>1</v>
      </c>
      <c r="AA3130" s="321" t="s">
        <v>5205</v>
      </c>
    </row>
    <row r="3131" spans="13:27">
      <c r="M3131" s="321">
        <v>1849000120</v>
      </c>
      <c r="N3131" s="321">
        <v>84</v>
      </c>
      <c r="O3131" s="321" t="s">
        <v>5206</v>
      </c>
      <c r="P3131" s="321">
        <v>5849000</v>
      </c>
      <c r="Q3131" s="322">
        <v>81000</v>
      </c>
      <c r="R3131" s="322">
        <v>58900</v>
      </c>
      <c r="S3131" s="322">
        <v>66000</v>
      </c>
      <c r="T3131" s="322">
        <v>66000</v>
      </c>
      <c r="U3131" s="322">
        <f t="shared" si="202"/>
        <v>0</v>
      </c>
      <c r="W3131" s="321">
        <f t="shared" si="203"/>
        <v>120</v>
      </c>
      <c r="X3131" s="321">
        <f t="shared" si="204"/>
        <v>849000</v>
      </c>
      <c r="Y3131" s="321">
        <v>1</v>
      </c>
      <c r="AA3131" s="321" t="s">
        <v>5206</v>
      </c>
    </row>
    <row r="3132" spans="13:27">
      <c r="M3132" s="321">
        <v>1849000130</v>
      </c>
      <c r="N3132" s="321">
        <v>84</v>
      </c>
      <c r="O3132" s="321" t="s">
        <v>2576</v>
      </c>
      <c r="P3132" s="321">
        <v>5849000</v>
      </c>
      <c r="Q3132" s="322">
        <v>12000</v>
      </c>
      <c r="R3132" s="322">
        <v>10400</v>
      </c>
      <c r="S3132" s="322">
        <v>13000</v>
      </c>
      <c r="T3132" s="322">
        <v>11700</v>
      </c>
      <c r="U3132" s="322">
        <f t="shared" si="202"/>
        <v>1300</v>
      </c>
      <c r="W3132" s="321">
        <f t="shared" si="203"/>
        <v>130</v>
      </c>
      <c r="X3132" s="321">
        <f t="shared" si="204"/>
        <v>849000</v>
      </c>
      <c r="Y3132" s="321">
        <v>1</v>
      </c>
      <c r="AA3132" s="321" t="s">
        <v>2576</v>
      </c>
    </row>
    <row r="3133" spans="13:27">
      <c r="M3133" s="321">
        <v>1849000140</v>
      </c>
      <c r="N3133" s="321">
        <v>84</v>
      </c>
      <c r="O3133" s="321" t="s">
        <v>5207</v>
      </c>
      <c r="P3133" s="321">
        <v>5849000</v>
      </c>
      <c r="Q3133" s="322">
        <v>61000</v>
      </c>
      <c r="R3133" s="322">
        <v>36800</v>
      </c>
      <c r="S3133" s="322">
        <v>58000</v>
      </c>
      <c r="T3133" s="322">
        <v>58000</v>
      </c>
      <c r="U3133" s="322">
        <f t="shared" si="202"/>
        <v>0</v>
      </c>
      <c r="W3133" s="321">
        <f t="shared" si="203"/>
        <v>140</v>
      </c>
      <c r="X3133" s="321">
        <f t="shared" si="204"/>
        <v>849000</v>
      </c>
      <c r="Y3133" s="321">
        <v>1</v>
      </c>
      <c r="AA3133" s="321" t="s">
        <v>5207</v>
      </c>
    </row>
    <row r="3134" spans="13:27">
      <c r="M3134" s="321">
        <v>1849000141</v>
      </c>
      <c r="N3134" s="321">
        <v>84</v>
      </c>
      <c r="O3134" s="321" t="s">
        <v>5208</v>
      </c>
      <c r="P3134" s="321">
        <v>5849000</v>
      </c>
      <c r="Q3134" s="322">
        <v>29000</v>
      </c>
      <c r="R3134" s="322">
        <v>18700</v>
      </c>
      <c r="S3134" s="322">
        <v>26000</v>
      </c>
      <c r="T3134" s="322">
        <v>26000</v>
      </c>
      <c r="U3134" s="322">
        <f t="shared" si="202"/>
        <v>0</v>
      </c>
      <c r="W3134" s="321">
        <f t="shared" si="203"/>
        <v>141</v>
      </c>
      <c r="X3134" s="321">
        <f t="shared" si="204"/>
        <v>849000</v>
      </c>
      <c r="Y3134" s="321">
        <v>1</v>
      </c>
      <c r="AA3134" s="321" t="s">
        <v>5208</v>
      </c>
    </row>
    <row r="3135" spans="13:27">
      <c r="M3135" s="321">
        <v>1849000181</v>
      </c>
      <c r="N3135" s="321">
        <v>84</v>
      </c>
      <c r="O3135" s="321" t="s">
        <v>2580</v>
      </c>
      <c r="P3135" s="321">
        <v>5849000</v>
      </c>
      <c r="Q3135" s="322">
        <v>94000</v>
      </c>
      <c r="R3135" s="322">
        <v>64600</v>
      </c>
      <c r="S3135" s="322">
        <v>87000</v>
      </c>
      <c r="T3135" s="322">
        <v>87000</v>
      </c>
      <c r="U3135" s="322">
        <f t="shared" si="202"/>
        <v>0</v>
      </c>
      <c r="W3135" s="321">
        <f t="shared" si="203"/>
        <v>181</v>
      </c>
      <c r="X3135" s="321">
        <f t="shared" si="204"/>
        <v>849000</v>
      </c>
      <c r="Y3135" s="321">
        <v>1</v>
      </c>
      <c r="AA3135" s="321" t="s">
        <v>2580</v>
      </c>
    </row>
    <row r="3136" spans="13:27">
      <c r="M3136" s="321">
        <v>1849000182</v>
      </c>
      <c r="N3136" s="321">
        <v>84</v>
      </c>
      <c r="O3136" s="321" t="s">
        <v>2582</v>
      </c>
      <c r="P3136" s="321">
        <v>5849000</v>
      </c>
      <c r="Q3136" s="322">
        <v>93000</v>
      </c>
      <c r="R3136" s="322">
        <v>62700</v>
      </c>
      <c r="S3136" s="322">
        <v>91000</v>
      </c>
      <c r="T3136" s="322">
        <v>91000</v>
      </c>
      <c r="U3136" s="322">
        <f t="shared" si="202"/>
        <v>0</v>
      </c>
      <c r="W3136" s="321">
        <f t="shared" si="203"/>
        <v>182</v>
      </c>
      <c r="X3136" s="321">
        <f t="shared" si="204"/>
        <v>849000</v>
      </c>
      <c r="Y3136" s="321">
        <v>1</v>
      </c>
      <c r="AA3136" s="321" t="s">
        <v>2582</v>
      </c>
    </row>
    <row r="3137" spans="13:27">
      <c r="M3137" s="321">
        <v>1849000840</v>
      </c>
      <c r="N3137" s="321">
        <v>84</v>
      </c>
      <c r="O3137" s="321" t="s">
        <v>5157</v>
      </c>
      <c r="P3137" s="321">
        <v>5849000</v>
      </c>
      <c r="Q3137" s="322">
        <v>86400</v>
      </c>
      <c r="R3137" s="322">
        <v>0</v>
      </c>
      <c r="S3137" s="322">
        <v>86400</v>
      </c>
      <c r="T3137" s="322">
        <v>86400</v>
      </c>
      <c r="U3137" s="322">
        <f t="shared" si="202"/>
        <v>0</v>
      </c>
      <c r="W3137" s="321">
        <f t="shared" si="203"/>
        <v>840</v>
      </c>
      <c r="X3137" s="321">
        <f t="shared" si="204"/>
        <v>849000</v>
      </c>
      <c r="Y3137" s="321">
        <v>1</v>
      </c>
      <c r="AA3137" s="321" t="s">
        <v>5157</v>
      </c>
    </row>
    <row r="3138" spans="13:27">
      <c r="M3138" s="321">
        <v>1849002840</v>
      </c>
      <c r="N3138" s="321">
        <v>84</v>
      </c>
      <c r="O3138" s="321" t="s">
        <v>5158</v>
      </c>
      <c r="P3138" s="321">
        <v>5846300</v>
      </c>
      <c r="Q3138" s="322">
        <v>133300</v>
      </c>
      <c r="R3138" s="322">
        <v>83400</v>
      </c>
      <c r="S3138" s="322">
        <v>133300</v>
      </c>
      <c r="T3138" s="322">
        <v>133300</v>
      </c>
      <c r="U3138" s="322">
        <f t="shared" ref="U3138:U3201" si="205">S3138-T3138</f>
        <v>0</v>
      </c>
      <c r="W3138" s="321">
        <f t="shared" si="203"/>
        <v>840</v>
      </c>
      <c r="X3138" s="321">
        <f t="shared" si="204"/>
        <v>849002</v>
      </c>
      <c r="Y3138" s="321">
        <v>1</v>
      </c>
      <c r="AA3138" s="321" t="s">
        <v>5158</v>
      </c>
    </row>
    <row r="3139" spans="13:27">
      <c r="M3139" s="321">
        <v>1849003840</v>
      </c>
      <c r="N3139" s="321">
        <v>84</v>
      </c>
      <c r="O3139" s="321" t="s">
        <v>5159</v>
      </c>
      <c r="P3139" s="321">
        <v>5849000</v>
      </c>
      <c r="Q3139" s="322">
        <v>750000</v>
      </c>
      <c r="R3139" s="322">
        <v>0</v>
      </c>
      <c r="S3139" s="322">
        <v>750000</v>
      </c>
      <c r="T3139" s="322">
        <v>750000</v>
      </c>
      <c r="U3139" s="322">
        <f t="shared" si="205"/>
        <v>0</v>
      </c>
      <c r="W3139" s="321">
        <f t="shared" ref="W3139:W3202" si="206">M3139-1000000000-X3139*1000</f>
        <v>840</v>
      </c>
      <c r="X3139" s="321">
        <f t="shared" ref="X3139:X3202" si="207">ROUNDDOWN((M3139-1000000000)/1000,0)</f>
        <v>849003</v>
      </c>
      <c r="Y3139" s="321">
        <v>1</v>
      </c>
      <c r="AA3139" s="321" t="s">
        <v>5159</v>
      </c>
    </row>
    <row r="3140" spans="13:27">
      <c r="M3140" s="321">
        <v>1849005840</v>
      </c>
      <c r="N3140" s="321">
        <v>84</v>
      </c>
      <c r="O3140" s="321" t="s">
        <v>5160</v>
      </c>
      <c r="P3140" s="321">
        <v>5845200</v>
      </c>
      <c r="Q3140" s="322">
        <v>78700</v>
      </c>
      <c r="R3140" s="322">
        <v>17200</v>
      </c>
      <c r="S3140" s="322">
        <v>78700</v>
      </c>
      <c r="T3140" s="322">
        <v>78700</v>
      </c>
      <c r="U3140" s="322">
        <f t="shared" si="205"/>
        <v>0</v>
      </c>
      <c r="W3140" s="321">
        <f t="shared" si="206"/>
        <v>840</v>
      </c>
      <c r="X3140" s="321">
        <f t="shared" si="207"/>
        <v>849005</v>
      </c>
      <c r="Y3140" s="321">
        <v>1</v>
      </c>
      <c r="AA3140" s="321" t="s">
        <v>5160</v>
      </c>
    </row>
    <row r="3141" spans="13:27">
      <c r="M3141" s="321">
        <v>1849006840</v>
      </c>
      <c r="N3141" s="321">
        <v>84</v>
      </c>
      <c r="O3141" s="321" t="s">
        <v>6283</v>
      </c>
      <c r="P3141" s="321">
        <v>5845400</v>
      </c>
      <c r="Q3141" s="322">
        <v>57800</v>
      </c>
      <c r="R3141" s="322">
        <v>5200</v>
      </c>
      <c r="S3141" s="322">
        <v>60800</v>
      </c>
      <c r="T3141" s="322">
        <v>60800</v>
      </c>
      <c r="U3141" s="322">
        <f t="shared" si="205"/>
        <v>0</v>
      </c>
      <c r="W3141" s="321">
        <f t="shared" si="206"/>
        <v>840</v>
      </c>
      <c r="X3141" s="321">
        <f t="shared" si="207"/>
        <v>849006</v>
      </c>
      <c r="Y3141" s="321">
        <v>1</v>
      </c>
      <c r="AA3141" s="321" t="s">
        <v>6283</v>
      </c>
    </row>
    <row r="3142" spans="13:27">
      <c r="M3142" s="321">
        <v>1849007840</v>
      </c>
      <c r="N3142" s="321">
        <v>84</v>
      </c>
      <c r="O3142" s="321" t="s">
        <v>5162</v>
      </c>
      <c r="P3142" s="321">
        <v>5845100</v>
      </c>
      <c r="Q3142" s="322">
        <v>1183000</v>
      </c>
      <c r="R3142" s="322">
        <v>1047500</v>
      </c>
      <c r="S3142" s="322">
        <v>1394600</v>
      </c>
      <c r="T3142" s="322">
        <v>1394600</v>
      </c>
      <c r="U3142" s="322">
        <f t="shared" si="205"/>
        <v>0</v>
      </c>
      <c r="W3142" s="321">
        <f t="shared" si="206"/>
        <v>840</v>
      </c>
      <c r="X3142" s="321">
        <f t="shared" si="207"/>
        <v>849007</v>
      </c>
      <c r="Y3142" s="321">
        <v>1</v>
      </c>
      <c r="AA3142" s="321" t="s">
        <v>5162</v>
      </c>
    </row>
    <row r="3143" spans="13:27">
      <c r="M3143" s="321">
        <v>1849008840</v>
      </c>
      <c r="N3143" s="321">
        <v>84</v>
      </c>
      <c r="O3143" s="321" t="s">
        <v>6284</v>
      </c>
      <c r="P3143" s="321">
        <v>5842200</v>
      </c>
      <c r="Q3143" s="322">
        <v>142700</v>
      </c>
      <c r="R3143" s="322">
        <v>116100</v>
      </c>
      <c r="S3143" s="322">
        <v>142700</v>
      </c>
      <c r="T3143" s="322">
        <v>142700</v>
      </c>
      <c r="U3143" s="322">
        <f t="shared" si="205"/>
        <v>0</v>
      </c>
      <c r="W3143" s="321">
        <f t="shared" si="206"/>
        <v>840</v>
      </c>
      <c r="X3143" s="321">
        <f t="shared" si="207"/>
        <v>849008</v>
      </c>
      <c r="Y3143" s="321">
        <v>1</v>
      </c>
      <c r="AA3143" s="321" t="s">
        <v>6284</v>
      </c>
    </row>
    <row r="3144" spans="13:27">
      <c r="M3144" s="321">
        <v>1849009840</v>
      </c>
      <c r="N3144" s="321">
        <v>84</v>
      </c>
      <c r="O3144" s="321" t="s">
        <v>5163</v>
      </c>
      <c r="P3144" s="321">
        <v>5843900</v>
      </c>
      <c r="Q3144" s="322">
        <v>44000</v>
      </c>
      <c r="R3144" s="322">
        <v>0</v>
      </c>
      <c r="S3144" s="322">
        <v>44000</v>
      </c>
      <c r="T3144" s="322">
        <v>44000</v>
      </c>
      <c r="U3144" s="322">
        <f t="shared" si="205"/>
        <v>0</v>
      </c>
      <c r="W3144" s="321">
        <f t="shared" si="206"/>
        <v>840</v>
      </c>
      <c r="X3144" s="321">
        <f t="shared" si="207"/>
        <v>849009</v>
      </c>
      <c r="Y3144" s="321">
        <v>1</v>
      </c>
      <c r="AA3144" s="321" t="s">
        <v>5163</v>
      </c>
    </row>
    <row r="3145" spans="13:27">
      <c r="M3145" s="321">
        <v>1849010840</v>
      </c>
      <c r="N3145" s="321">
        <v>84</v>
      </c>
      <c r="O3145" s="321" t="s">
        <v>6285</v>
      </c>
      <c r="P3145" s="321">
        <v>5843800</v>
      </c>
      <c r="Q3145" s="322">
        <v>753000</v>
      </c>
      <c r="R3145" s="322">
        <v>2406900</v>
      </c>
      <c r="S3145" s="322">
        <v>3290300</v>
      </c>
      <c r="T3145" s="322">
        <v>3290300</v>
      </c>
      <c r="U3145" s="322">
        <f t="shared" si="205"/>
        <v>0</v>
      </c>
      <c r="W3145" s="321">
        <f t="shared" si="206"/>
        <v>840</v>
      </c>
      <c r="X3145" s="321">
        <f t="shared" si="207"/>
        <v>849010</v>
      </c>
      <c r="Y3145" s="321">
        <v>1</v>
      </c>
      <c r="AA3145" s="321" t="s">
        <v>6285</v>
      </c>
    </row>
    <row r="3146" spans="13:27">
      <c r="M3146" s="321">
        <v>1849011840</v>
      </c>
      <c r="N3146" s="321">
        <v>84</v>
      </c>
      <c r="O3146" s="321" t="s">
        <v>5165</v>
      </c>
      <c r="P3146" s="321">
        <v>5843000</v>
      </c>
      <c r="Q3146" s="322">
        <v>260000</v>
      </c>
      <c r="R3146" s="322">
        <v>113200</v>
      </c>
      <c r="S3146" s="322">
        <v>260000</v>
      </c>
      <c r="T3146" s="322">
        <v>260000</v>
      </c>
      <c r="U3146" s="322">
        <f t="shared" si="205"/>
        <v>0</v>
      </c>
      <c r="W3146" s="321">
        <f t="shared" si="206"/>
        <v>840</v>
      </c>
      <c r="X3146" s="321">
        <f t="shared" si="207"/>
        <v>849011</v>
      </c>
      <c r="Y3146" s="321">
        <v>1</v>
      </c>
      <c r="AA3146" s="321" t="s">
        <v>5165</v>
      </c>
    </row>
    <row r="3147" spans="13:27">
      <c r="M3147" s="321">
        <v>1849012840</v>
      </c>
      <c r="N3147" s="321">
        <v>84</v>
      </c>
      <c r="O3147" s="321" t="s">
        <v>5166</v>
      </c>
      <c r="P3147" s="321">
        <v>5844400</v>
      </c>
      <c r="Q3147" s="322">
        <v>394100</v>
      </c>
      <c r="R3147" s="322">
        <v>301400</v>
      </c>
      <c r="S3147" s="322">
        <v>396700</v>
      </c>
      <c r="T3147" s="322">
        <v>396700</v>
      </c>
      <c r="U3147" s="322">
        <f t="shared" si="205"/>
        <v>0</v>
      </c>
      <c r="W3147" s="321">
        <f t="shared" si="206"/>
        <v>840</v>
      </c>
      <c r="X3147" s="321">
        <f t="shared" si="207"/>
        <v>849012</v>
      </c>
      <c r="Y3147" s="321">
        <v>1</v>
      </c>
      <c r="AA3147" s="321" t="s">
        <v>5166</v>
      </c>
    </row>
    <row r="3148" spans="13:27">
      <c r="M3148" s="321">
        <v>1849013840</v>
      </c>
      <c r="N3148" s="321">
        <v>84</v>
      </c>
      <c r="O3148" s="321" t="s">
        <v>5167</v>
      </c>
      <c r="P3148" s="321">
        <v>5849000</v>
      </c>
      <c r="Q3148" s="322">
        <v>317000</v>
      </c>
      <c r="R3148" s="322">
        <v>246300</v>
      </c>
      <c r="S3148" s="322">
        <v>428000</v>
      </c>
      <c r="T3148" s="322">
        <v>428000</v>
      </c>
      <c r="U3148" s="322">
        <f t="shared" si="205"/>
        <v>0</v>
      </c>
      <c r="W3148" s="321">
        <f t="shared" si="206"/>
        <v>840</v>
      </c>
      <c r="X3148" s="321">
        <f t="shared" si="207"/>
        <v>849013</v>
      </c>
      <c r="Y3148" s="321">
        <v>1</v>
      </c>
      <c r="AA3148" s="321" t="s">
        <v>5167</v>
      </c>
    </row>
    <row r="3149" spans="13:27">
      <c r="M3149" s="321">
        <v>1849014840</v>
      </c>
      <c r="N3149" s="321">
        <v>84</v>
      </c>
      <c r="O3149" s="321" t="s">
        <v>5168</v>
      </c>
      <c r="P3149" s="321">
        <v>5849000</v>
      </c>
      <c r="Q3149" s="322">
        <v>87000</v>
      </c>
      <c r="R3149" s="322">
        <v>66000</v>
      </c>
      <c r="S3149" s="322">
        <v>102000</v>
      </c>
      <c r="T3149" s="322">
        <v>102000</v>
      </c>
      <c r="U3149" s="322">
        <f t="shared" si="205"/>
        <v>0</v>
      </c>
      <c r="W3149" s="321">
        <f t="shared" si="206"/>
        <v>840</v>
      </c>
      <c r="X3149" s="321">
        <f t="shared" si="207"/>
        <v>849014</v>
      </c>
      <c r="Y3149" s="321">
        <v>1</v>
      </c>
      <c r="AA3149" s="321" t="s">
        <v>5168</v>
      </c>
    </row>
    <row r="3150" spans="13:27">
      <c r="M3150" s="321">
        <v>1849017840</v>
      </c>
      <c r="N3150" s="321">
        <v>84</v>
      </c>
      <c r="O3150" s="321" t="s">
        <v>6286</v>
      </c>
      <c r="P3150" s="321">
        <v>5846800</v>
      </c>
      <c r="Q3150" s="322">
        <v>270000</v>
      </c>
      <c r="R3150" s="322">
        <v>341500</v>
      </c>
      <c r="S3150" s="322">
        <v>426700</v>
      </c>
      <c r="T3150" s="322">
        <v>426700</v>
      </c>
      <c r="U3150" s="322">
        <f t="shared" si="205"/>
        <v>0</v>
      </c>
      <c r="W3150" s="321">
        <f t="shared" si="206"/>
        <v>840</v>
      </c>
      <c r="X3150" s="321">
        <f t="shared" si="207"/>
        <v>849017</v>
      </c>
      <c r="Y3150" s="321">
        <v>1</v>
      </c>
      <c r="AA3150" s="321" t="s">
        <v>6286</v>
      </c>
    </row>
    <row r="3151" spans="13:27">
      <c r="M3151" s="321">
        <v>1849018760</v>
      </c>
      <c r="N3151" s="321">
        <v>84</v>
      </c>
      <c r="O3151" s="321" t="s">
        <v>5171</v>
      </c>
      <c r="P3151" s="321">
        <v>5848200</v>
      </c>
      <c r="Q3151" s="322">
        <v>0</v>
      </c>
      <c r="R3151" s="322">
        <v>0</v>
      </c>
      <c r="S3151" s="322">
        <v>0</v>
      </c>
      <c r="T3151" s="322">
        <v>0</v>
      </c>
      <c r="U3151" s="322">
        <f t="shared" si="205"/>
        <v>0</v>
      </c>
      <c r="W3151" s="321">
        <f t="shared" si="206"/>
        <v>760</v>
      </c>
      <c r="X3151" s="321">
        <f t="shared" si="207"/>
        <v>849018</v>
      </c>
      <c r="Y3151" s="321">
        <v>1</v>
      </c>
      <c r="AA3151" s="321" t="s">
        <v>5171</v>
      </c>
    </row>
    <row r="3152" spans="13:27">
      <c r="M3152" s="321">
        <v>1849021840</v>
      </c>
      <c r="N3152" s="321">
        <v>84</v>
      </c>
      <c r="O3152" s="321" t="s">
        <v>5172</v>
      </c>
      <c r="P3152" s="321">
        <v>5849000</v>
      </c>
      <c r="Q3152" s="322">
        <v>0</v>
      </c>
      <c r="R3152" s="322">
        <v>157100</v>
      </c>
      <c r="S3152" s="322">
        <v>302400</v>
      </c>
      <c r="T3152" s="322">
        <v>302400</v>
      </c>
      <c r="U3152" s="322">
        <f t="shared" si="205"/>
        <v>0</v>
      </c>
      <c r="W3152" s="321">
        <f t="shared" si="206"/>
        <v>840</v>
      </c>
      <c r="X3152" s="321">
        <f t="shared" si="207"/>
        <v>849021</v>
      </c>
      <c r="Y3152" s="321">
        <v>1</v>
      </c>
      <c r="AA3152" s="321" t="s">
        <v>5172</v>
      </c>
    </row>
    <row r="3153" spans="13:27">
      <c r="M3153" s="321">
        <v>1849022840</v>
      </c>
      <c r="N3153" s="321">
        <v>84</v>
      </c>
      <c r="O3153" s="321" t="s">
        <v>6287</v>
      </c>
      <c r="P3153" s="321">
        <v>5847300</v>
      </c>
      <c r="Q3153" s="322">
        <v>190700</v>
      </c>
      <c r="R3153" s="322">
        <v>117200</v>
      </c>
      <c r="S3153" s="322">
        <v>190700</v>
      </c>
      <c r="T3153" s="322">
        <v>190700</v>
      </c>
      <c r="U3153" s="322">
        <f t="shared" si="205"/>
        <v>0</v>
      </c>
      <c r="W3153" s="321">
        <f t="shared" si="206"/>
        <v>840</v>
      </c>
      <c r="X3153" s="321">
        <f t="shared" si="207"/>
        <v>849022</v>
      </c>
      <c r="Y3153" s="321">
        <v>1</v>
      </c>
      <c r="AA3153" s="321" t="s">
        <v>6287</v>
      </c>
    </row>
    <row r="3154" spans="13:27">
      <c r="M3154" s="321">
        <v>1849023840</v>
      </c>
      <c r="N3154" s="321">
        <v>84</v>
      </c>
      <c r="O3154" s="321" t="s">
        <v>6288</v>
      </c>
      <c r="P3154" s="321">
        <v>5842400</v>
      </c>
      <c r="Q3154" s="322">
        <v>309300</v>
      </c>
      <c r="R3154" s="322">
        <v>198400</v>
      </c>
      <c r="S3154" s="322">
        <v>390300</v>
      </c>
      <c r="T3154" s="322">
        <v>390300</v>
      </c>
      <c r="U3154" s="322">
        <f t="shared" si="205"/>
        <v>0</v>
      </c>
      <c r="W3154" s="321">
        <f t="shared" si="206"/>
        <v>840</v>
      </c>
      <c r="X3154" s="321">
        <f t="shared" si="207"/>
        <v>849023</v>
      </c>
      <c r="Y3154" s="321">
        <v>1</v>
      </c>
      <c r="AA3154" s="321" t="s">
        <v>6288</v>
      </c>
    </row>
    <row r="3155" spans="13:27">
      <c r="M3155" s="321">
        <v>1849024840</v>
      </c>
      <c r="N3155" s="321">
        <v>84</v>
      </c>
      <c r="O3155" s="321" t="s">
        <v>5175</v>
      </c>
      <c r="P3155" s="321">
        <v>5849000</v>
      </c>
      <c r="Q3155" s="322">
        <v>68000</v>
      </c>
      <c r="R3155" s="322">
        <v>59600</v>
      </c>
      <c r="S3155" s="322">
        <v>95000</v>
      </c>
      <c r="T3155" s="322">
        <v>95000</v>
      </c>
      <c r="U3155" s="322">
        <f t="shared" si="205"/>
        <v>0</v>
      </c>
      <c r="W3155" s="321">
        <f t="shared" si="206"/>
        <v>840</v>
      </c>
      <c r="X3155" s="321">
        <f t="shared" si="207"/>
        <v>849024</v>
      </c>
      <c r="Y3155" s="321">
        <v>1</v>
      </c>
      <c r="AA3155" s="321" t="s">
        <v>5175</v>
      </c>
    </row>
    <row r="3156" spans="13:27">
      <c r="M3156" s="321">
        <v>1849025840</v>
      </c>
      <c r="N3156" s="321">
        <v>84</v>
      </c>
      <c r="O3156" s="321" t="s">
        <v>5176</v>
      </c>
      <c r="P3156" s="321">
        <v>5849000</v>
      </c>
      <c r="Q3156" s="322">
        <v>0</v>
      </c>
      <c r="R3156" s="322">
        <v>0</v>
      </c>
      <c r="S3156" s="322">
        <v>0</v>
      </c>
      <c r="T3156" s="322">
        <v>0</v>
      </c>
      <c r="U3156" s="322">
        <f t="shared" si="205"/>
        <v>0</v>
      </c>
      <c r="W3156" s="321">
        <f t="shared" si="206"/>
        <v>840</v>
      </c>
      <c r="X3156" s="321">
        <f t="shared" si="207"/>
        <v>849025</v>
      </c>
      <c r="Y3156" s="321">
        <v>1</v>
      </c>
      <c r="AA3156" s="321" t="s">
        <v>5176</v>
      </c>
    </row>
    <row r="3157" spans="13:27">
      <c r="M3157" s="321">
        <v>1851000810</v>
      </c>
      <c r="N3157" s="321">
        <v>85</v>
      </c>
      <c r="O3157" s="321" t="s">
        <v>6289</v>
      </c>
      <c r="P3157" s="321">
        <v>1850000</v>
      </c>
      <c r="Q3157" s="322">
        <v>7000000</v>
      </c>
      <c r="R3157" s="322">
        <v>5965000</v>
      </c>
      <c r="S3157" s="322">
        <v>7000000</v>
      </c>
      <c r="T3157" s="322">
        <v>7000000</v>
      </c>
      <c r="U3157" s="322">
        <f t="shared" si="205"/>
        <v>0</v>
      </c>
      <c r="W3157" s="321">
        <f t="shared" si="206"/>
        <v>810</v>
      </c>
      <c r="X3157" s="321">
        <f t="shared" si="207"/>
        <v>851000</v>
      </c>
      <c r="Y3157" s="321">
        <v>1</v>
      </c>
      <c r="AA3157" s="321" t="s">
        <v>6289</v>
      </c>
    </row>
    <row r="3158" spans="13:27">
      <c r="M3158" s="321">
        <v>1852000820</v>
      </c>
      <c r="N3158" s="321">
        <v>85</v>
      </c>
      <c r="O3158" s="321" t="s">
        <v>6290</v>
      </c>
      <c r="P3158" s="321">
        <v>1850000</v>
      </c>
      <c r="Q3158" s="322">
        <v>393000</v>
      </c>
      <c r="R3158" s="322">
        <v>271900</v>
      </c>
      <c r="S3158" s="322">
        <v>393000</v>
      </c>
      <c r="T3158" s="322">
        <v>393000</v>
      </c>
      <c r="U3158" s="322">
        <f t="shared" si="205"/>
        <v>0</v>
      </c>
      <c r="W3158" s="321">
        <f t="shared" si="206"/>
        <v>820</v>
      </c>
      <c r="X3158" s="321">
        <f t="shared" si="207"/>
        <v>852000</v>
      </c>
      <c r="Y3158" s="321">
        <v>1</v>
      </c>
      <c r="AA3158" s="321" t="s">
        <v>6290</v>
      </c>
    </row>
    <row r="3159" spans="13:27">
      <c r="M3159" s="321">
        <v>1860000433</v>
      </c>
      <c r="N3159" s="321">
        <v>86</v>
      </c>
      <c r="O3159" s="321" t="s">
        <v>2655</v>
      </c>
      <c r="P3159" s="321">
        <v>1860000</v>
      </c>
      <c r="Q3159" s="322">
        <v>5000</v>
      </c>
      <c r="R3159" s="322">
        <v>3300</v>
      </c>
      <c r="S3159" s="322">
        <v>5000</v>
      </c>
      <c r="T3159" s="322">
        <v>5000</v>
      </c>
      <c r="U3159" s="322">
        <f t="shared" si="205"/>
        <v>0</v>
      </c>
      <c r="W3159" s="321">
        <f t="shared" si="206"/>
        <v>433</v>
      </c>
      <c r="X3159" s="321">
        <f t="shared" si="207"/>
        <v>860000</v>
      </c>
      <c r="Y3159" s="321">
        <v>1</v>
      </c>
      <c r="AA3159" s="321" t="s">
        <v>2655</v>
      </c>
    </row>
    <row r="3160" spans="13:27">
      <c r="M3160" s="321">
        <v>1860000470</v>
      </c>
      <c r="N3160" s="321">
        <v>86</v>
      </c>
      <c r="O3160" s="321" t="s">
        <v>2660</v>
      </c>
      <c r="P3160" s="321">
        <v>1860000</v>
      </c>
      <c r="Q3160" s="322">
        <v>4000</v>
      </c>
      <c r="R3160" s="322">
        <v>3000</v>
      </c>
      <c r="S3160" s="322">
        <v>4000</v>
      </c>
      <c r="T3160" s="322">
        <v>4000</v>
      </c>
      <c r="U3160" s="322">
        <f t="shared" si="205"/>
        <v>0</v>
      </c>
      <c r="W3160" s="321">
        <f t="shared" si="206"/>
        <v>470</v>
      </c>
      <c r="X3160" s="321">
        <f t="shared" si="207"/>
        <v>860000</v>
      </c>
      <c r="Y3160" s="321">
        <v>1</v>
      </c>
      <c r="AA3160" s="321" t="s">
        <v>2660</v>
      </c>
    </row>
    <row r="3161" spans="13:27">
      <c r="M3161" s="321">
        <v>1860000471</v>
      </c>
      <c r="N3161" s="321">
        <v>86</v>
      </c>
      <c r="O3161" s="321" t="s">
        <v>5557</v>
      </c>
      <c r="P3161" s="321">
        <v>1860000</v>
      </c>
      <c r="Q3161" s="322">
        <v>11000</v>
      </c>
      <c r="R3161" s="322">
        <v>0</v>
      </c>
      <c r="S3161" s="322">
        <v>11800</v>
      </c>
      <c r="T3161" s="322">
        <v>11800</v>
      </c>
      <c r="U3161" s="322">
        <f t="shared" si="205"/>
        <v>0</v>
      </c>
      <c r="W3161" s="321">
        <f t="shared" si="206"/>
        <v>471</v>
      </c>
      <c r="X3161" s="321">
        <f t="shared" si="207"/>
        <v>860000</v>
      </c>
      <c r="Y3161" s="321">
        <v>1</v>
      </c>
      <c r="AA3161" s="321" t="s">
        <v>5557</v>
      </c>
    </row>
    <row r="3162" spans="13:27">
      <c r="M3162" s="321">
        <v>1860000540</v>
      </c>
      <c r="N3162" s="321">
        <v>86</v>
      </c>
      <c r="O3162" s="321" t="s">
        <v>5216</v>
      </c>
      <c r="P3162" s="321">
        <v>1860000</v>
      </c>
      <c r="Q3162" s="322">
        <v>22000</v>
      </c>
      <c r="R3162" s="322">
        <v>14400</v>
      </c>
      <c r="S3162" s="322">
        <v>22000</v>
      </c>
      <c r="T3162" s="322">
        <v>22000</v>
      </c>
      <c r="U3162" s="322">
        <f t="shared" si="205"/>
        <v>0</v>
      </c>
      <c r="W3162" s="321">
        <f t="shared" si="206"/>
        <v>540</v>
      </c>
      <c r="X3162" s="321">
        <f t="shared" si="207"/>
        <v>860000</v>
      </c>
      <c r="Y3162" s="321">
        <v>1</v>
      </c>
      <c r="AA3162" s="321" t="s">
        <v>5216</v>
      </c>
    </row>
    <row r="3163" spans="13:27">
      <c r="M3163" s="321">
        <v>1860000542</v>
      </c>
      <c r="N3163" s="321">
        <v>86</v>
      </c>
      <c r="O3163" s="321" t="s">
        <v>5217</v>
      </c>
      <c r="P3163" s="321">
        <v>1860000</v>
      </c>
      <c r="Q3163" s="322">
        <v>2500</v>
      </c>
      <c r="R3163" s="322">
        <v>1700</v>
      </c>
      <c r="S3163" s="322">
        <v>4000</v>
      </c>
      <c r="T3163" s="322">
        <v>4000</v>
      </c>
      <c r="U3163" s="322">
        <f t="shared" si="205"/>
        <v>0</v>
      </c>
      <c r="W3163" s="321">
        <f t="shared" si="206"/>
        <v>542</v>
      </c>
      <c r="X3163" s="321">
        <f t="shared" si="207"/>
        <v>860000</v>
      </c>
      <c r="Y3163" s="321">
        <v>1</v>
      </c>
      <c r="AA3163" s="321" t="s">
        <v>5217</v>
      </c>
    </row>
    <row r="3164" spans="13:27">
      <c r="M3164" s="321">
        <v>1860000750</v>
      </c>
      <c r="N3164" s="321">
        <v>86</v>
      </c>
      <c r="O3164" s="321" t="s">
        <v>2707</v>
      </c>
      <c r="P3164" s="321">
        <v>1860000</v>
      </c>
      <c r="Q3164" s="322">
        <v>250000</v>
      </c>
      <c r="R3164" s="322">
        <v>44900</v>
      </c>
      <c r="S3164" s="322">
        <v>250000</v>
      </c>
      <c r="T3164" s="322">
        <v>250000</v>
      </c>
      <c r="U3164" s="322">
        <f t="shared" si="205"/>
        <v>0</v>
      </c>
      <c r="W3164" s="321">
        <f t="shared" si="206"/>
        <v>750</v>
      </c>
      <c r="X3164" s="321">
        <f t="shared" si="207"/>
        <v>860000</v>
      </c>
      <c r="Y3164" s="321">
        <v>1</v>
      </c>
      <c r="AA3164" s="321" t="s">
        <v>2707</v>
      </c>
    </row>
    <row r="3165" spans="13:27">
      <c r="M3165" s="321">
        <v>1860000751</v>
      </c>
      <c r="N3165" s="321">
        <v>86</v>
      </c>
      <c r="O3165" s="321" t="s">
        <v>6291</v>
      </c>
      <c r="P3165" s="321">
        <v>1860000</v>
      </c>
      <c r="Q3165" s="322">
        <v>500000</v>
      </c>
      <c r="R3165" s="322">
        <v>135000</v>
      </c>
      <c r="S3165" s="322">
        <v>500000</v>
      </c>
      <c r="T3165" s="322">
        <v>500000</v>
      </c>
      <c r="U3165" s="322">
        <f t="shared" si="205"/>
        <v>0</v>
      </c>
      <c r="W3165" s="321">
        <f t="shared" si="206"/>
        <v>751</v>
      </c>
      <c r="X3165" s="321">
        <f t="shared" si="207"/>
        <v>860000</v>
      </c>
      <c r="Y3165" s="321">
        <v>1</v>
      </c>
      <c r="AA3165" s="321" t="s">
        <v>6291</v>
      </c>
    </row>
    <row r="3166" spans="13:27">
      <c r="M3166" s="321">
        <v>1860000752</v>
      </c>
      <c r="N3166" s="321">
        <v>86</v>
      </c>
      <c r="O3166" s="321" t="s">
        <v>6292</v>
      </c>
      <c r="P3166" s="321">
        <v>1860000</v>
      </c>
      <c r="Q3166" s="322">
        <v>80000</v>
      </c>
      <c r="R3166" s="322">
        <v>0</v>
      </c>
      <c r="S3166" s="322">
        <v>80000</v>
      </c>
      <c r="T3166" s="322">
        <v>80000</v>
      </c>
      <c r="U3166" s="322">
        <f t="shared" si="205"/>
        <v>0</v>
      </c>
      <c r="W3166" s="321">
        <f t="shared" si="206"/>
        <v>752</v>
      </c>
      <c r="X3166" s="321">
        <f t="shared" si="207"/>
        <v>860000</v>
      </c>
      <c r="Y3166" s="321">
        <v>1</v>
      </c>
      <c r="AA3166" s="321" t="s">
        <v>6292</v>
      </c>
    </row>
    <row r="3167" spans="13:27">
      <c r="M3167" s="321">
        <v>1860000753</v>
      </c>
      <c r="N3167" s="321">
        <v>86</v>
      </c>
      <c r="O3167" s="321" t="s">
        <v>6293</v>
      </c>
      <c r="P3167" s="321">
        <v>1860000</v>
      </c>
      <c r="Q3167" s="322">
        <v>75000</v>
      </c>
      <c r="R3167" s="322">
        <v>74700</v>
      </c>
      <c r="S3167" s="322">
        <v>75000</v>
      </c>
      <c r="T3167" s="322">
        <v>75000</v>
      </c>
      <c r="U3167" s="322">
        <f t="shared" si="205"/>
        <v>0</v>
      </c>
      <c r="W3167" s="321">
        <f t="shared" si="206"/>
        <v>753</v>
      </c>
      <c r="X3167" s="321">
        <f t="shared" si="207"/>
        <v>860000</v>
      </c>
      <c r="Y3167" s="321">
        <v>1</v>
      </c>
      <c r="AA3167" s="321" t="s">
        <v>6293</v>
      </c>
    </row>
    <row r="3168" spans="13:27">
      <c r="M3168" s="321">
        <v>1860000754</v>
      </c>
      <c r="N3168" s="321">
        <v>86</v>
      </c>
      <c r="O3168" s="321" t="s">
        <v>6294</v>
      </c>
      <c r="P3168" s="321">
        <v>1860000</v>
      </c>
      <c r="Q3168" s="322">
        <v>46000</v>
      </c>
      <c r="R3168" s="322">
        <v>19000</v>
      </c>
      <c r="S3168" s="322">
        <v>46000</v>
      </c>
      <c r="T3168" s="322">
        <v>46000</v>
      </c>
      <c r="U3168" s="322">
        <f t="shared" si="205"/>
        <v>0</v>
      </c>
      <c r="W3168" s="321">
        <f t="shared" si="206"/>
        <v>754</v>
      </c>
      <c r="X3168" s="321">
        <f t="shared" si="207"/>
        <v>860000</v>
      </c>
      <c r="Y3168" s="321">
        <v>1</v>
      </c>
      <c r="AA3168" s="321" t="s">
        <v>6294</v>
      </c>
    </row>
    <row r="3169" spans="13:27">
      <c r="M3169" s="321">
        <v>1860000755</v>
      </c>
      <c r="N3169" s="321">
        <v>86</v>
      </c>
      <c r="O3169" s="321" t="s">
        <v>6295</v>
      </c>
      <c r="P3169" s="321">
        <v>1860000</v>
      </c>
      <c r="Q3169" s="322">
        <v>0</v>
      </c>
      <c r="R3169" s="322">
        <v>0</v>
      </c>
      <c r="S3169" s="322">
        <v>100000</v>
      </c>
      <c r="T3169" s="322">
        <v>50000</v>
      </c>
      <c r="U3169" s="322">
        <f t="shared" si="205"/>
        <v>50000</v>
      </c>
      <c r="W3169" s="321">
        <f t="shared" si="206"/>
        <v>755</v>
      </c>
      <c r="X3169" s="321">
        <f t="shared" si="207"/>
        <v>860000</v>
      </c>
      <c r="Y3169" s="321">
        <v>1</v>
      </c>
      <c r="AA3169" s="321" t="s">
        <v>6295</v>
      </c>
    </row>
    <row r="3170" spans="13:27">
      <c r="M3170" s="321">
        <v>1860000756</v>
      </c>
      <c r="N3170" s="321">
        <v>86</v>
      </c>
      <c r="O3170" s="321" t="s">
        <v>6296</v>
      </c>
      <c r="P3170" s="321">
        <v>1860000</v>
      </c>
      <c r="Q3170" s="322">
        <v>0</v>
      </c>
      <c r="R3170" s="322">
        <v>0</v>
      </c>
      <c r="S3170" s="322">
        <v>150000</v>
      </c>
      <c r="T3170" s="322">
        <v>150000</v>
      </c>
      <c r="U3170" s="322">
        <f t="shared" si="205"/>
        <v>0</v>
      </c>
      <c r="W3170" s="321">
        <f t="shared" si="206"/>
        <v>756</v>
      </c>
      <c r="X3170" s="321">
        <f t="shared" si="207"/>
        <v>860000</v>
      </c>
      <c r="Y3170" s="321">
        <v>1</v>
      </c>
      <c r="AA3170" s="321" t="s">
        <v>6296</v>
      </c>
    </row>
    <row r="3171" spans="13:27">
      <c r="M3171" s="321">
        <v>1860000760</v>
      </c>
      <c r="N3171" s="321">
        <v>86</v>
      </c>
      <c r="O3171" s="321" t="s">
        <v>6297</v>
      </c>
      <c r="P3171" s="321">
        <v>1860000</v>
      </c>
      <c r="Q3171" s="322">
        <v>1600000</v>
      </c>
      <c r="R3171" s="322">
        <v>1131800</v>
      </c>
      <c r="S3171" s="322">
        <v>1600000</v>
      </c>
      <c r="T3171" s="322">
        <v>1600000</v>
      </c>
      <c r="U3171" s="322">
        <f t="shared" si="205"/>
        <v>0</v>
      </c>
      <c r="W3171" s="321">
        <f t="shared" si="206"/>
        <v>760</v>
      </c>
      <c r="X3171" s="321">
        <f t="shared" si="207"/>
        <v>860000</v>
      </c>
      <c r="Y3171" s="321">
        <v>1</v>
      </c>
      <c r="AA3171" s="321" t="s">
        <v>6297</v>
      </c>
    </row>
    <row r="3172" spans="13:27">
      <c r="M3172" s="321">
        <v>1860000762</v>
      </c>
      <c r="N3172" s="321">
        <v>86</v>
      </c>
      <c r="O3172" s="321" t="s">
        <v>6298</v>
      </c>
      <c r="P3172" s="321">
        <v>1860001</v>
      </c>
      <c r="Q3172" s="322">
        <v>700000</v>
      </c>
      <c r="R3172" s="322">
        <v>0</v>
      </c>
      <c r="S3172" s="322">
        <v>700000</v>
      </c>
      <c r="T3172" s="322">
        <v>700000</v>
      </c>
      <c r="U3172" s="322">
        <f t="shared" si="205"/>
        <v>0</v>
      </c>
      <c r="W3172" s="321">
        <f t="shared" si="206"/>
        <v>762</v>
      </c>
      <c r="X3172" s="321">
        <f t="shared" si="207"/>
        <v>860000</v>
      </c>
      <c r="Y3172" s="321">
        <v>1</v>
      </c>
      <c r="AA3172" s="321" t="s">
        <v>6298</v>
      </c>
    </row>
    <row r="3173" spans="13:27">
      <c r="M3173" s="321">
        <v>1860000771</v>
      </c>
      <c r="N3173" s="321">
        <v>86</v>
      </c>
      <c r="O3173" s="321" t="s">
        <v>3188</v>
      </c>
      <c r="P3173" s="321">
        <v>1860000</v>
      </c>
      <c r="Q3173" s="322">
        <v>0</v>
      </c>
      <c r="R3173" s="322">
        <v>0</v>
      </c>
      <c r="S3173" s="322">
        <v>0</v>
      </c>
      <c r="T3173" s="322">
        <v>0</v>
      </c>
      <c r="U3173" s="322">
        <f t="shared" si="205"/>
        <v>0</v>
      </c>
      <c r="W3173" s="321">
        <f t="shared" si="206"/>
        <v>771</v>
      </c>
      <c r="X3173" s="321">
        <f t="shared" si="207"/>
        <v>860000</v>
      </c>
      <c r="Y3173" s="321">
        <v>1</v>
      </c>
      <c r="AA3173" s="321" t="s">
        <v>3188</v>
      </c>
    </row>
    <row r="3174" spans="13:27">
      <c r="M3174" s="321">
        <v>1860000779</v>
      </c>
      <c r="N3174" s="321">
        <v>86</v>
      </c>
      <c r="O3174" s="321" t="s">
        <v>5382</v>
      </c>
      <c r="P3174" s="321">
        <v>1860000</v>
      </c>
      <c r="Q3174" s="322">
        <v>0</v>
      </c>
      <c r="R3174" s="322">
        <v>0</v>
      </c>
      <c r="S3174" s="322">
        <v>0</v>
      </c>
      <c r="T3174" s="322">
        <v>0</v>
      </c>
      <c r="U3174" s="322">
        <f t="shared" si="205"/>
        <v>0</v>
      </c>
      <c r="W3174" s="321">
        <f t="shared" si="206"/>
        <v>779</v>
      </c>
      <c r="X3174" s="321">
        <f t="shared" si="207"/>
        <v>860000</v>
      </c>
      <c r="Y3174" s="321">
        <v>1</v>
      </c>
      <c r="AA3174" s="321" t="s">
        <v>5382</v>
      </c>
    </row>
    <row r="3175" spans="13:27">
      <c r="M3175" s="321">
        <v>1860000811</v>
      </c>
      <c r="N3175" s="321">
        <v>86</v>
      </c>
      <c r="O3175" s="321" t="s">
        <v>6299</v>
      </c>
      <c r="P3175" s="321">
        <v>1860000</v>
      </c>
      <c r="Q3175" s="322">
        <v>25000</v>
      </c>
      <c r="R3175" s="322">
        <v>0</v>
      </c>
      <c r="S3175" s="322">
        <v>25000</v>
      </c>
      <c r="T3175" s="322">
        <v>25000</v>
      </c>
      <c r="U3175" s="322">
        <f t="shared" si="205"/>
        <v>0</v>
      </c>
      <c r="W3175" s="321">
        <f t="shared" si="206"/>
        <v>811</v>
      </c>
      <c r="X3175" s="321">
        <f t="shared" si="207"/>
        <v>860000</v>
      </c>
      <c r="Y3175" s="321">
        <v>1</v>
      </c>
      <c r="AA3175" s="321" t="s">
        <v>6299</v>
      </c>
    </row>
    <row r="3176" spans="13:27">
      <c r="M3176" s="321">
        <v>1860000920</v>
      </c>
      <c r="N3176" s="321">
        <v>86</v>
      </c>
      <c r="O3176" s="321" t="s">
        <v>6068</v>
      </c>
      <c r="P3176" s="321">
        <v>1860000</v>
      </c>
      <c r="Q3176" s="322">
        <v>0</v>
      </c>
      <c r="R3176" s="322">
        <v>0</v>
      </c>
      <c r="S3176" s="322">
        <v>0</v>
      </c>
      <c r="T3176" s="322">
        <v>0</v>
      </c>
      <c r="U3176" s="322">
        <f t="shared" si="205"/>
        <v>0</v>
      </c>
      <c r="W3176" s="321">
        <f t="shared" si="206"/>
        <v>920</v>
      </c>
      <c r="X3176" s="321">
        <f t="shared" si="207"/>
        <v>860000</v>
      </c>
      <c r="Y3176" s="321">
        <v>1</v>
      </c>
      <c r="AA3176" s="321" t="s">
        <v>6068</v>
      </c>
    </row>
    <row r="3177" spans="13:27">
      <c r="M3177" s="321">
        <v>1860002763</v>
      </c>
      <c r="N3177" s="321">
        <v>86</v>
      </c>
      <c r="O3177" s="321" t="s">
        <v>5183</v>
      </c>
      <c r="P3177" s="321">
        <v>1860002</v>
      </c>
      <c r="Q3177" s="322">
        <v>200000</v>
      </c>
      <c r="R3177" s="322">
        <v>108700</v>
      </c>
      <c r="S3177" s="322">
        <v>200000</v>
      </c>
      <c r="T3177" s="322">
        <v>200000</v>
      </c>
      <c r="U3177" s="322">
        <f t="shared" si="205"/>
        <v>0</v>
      </c>
      <c r="W3177" s="321">
        <f t="shared" si="206"/>
        <v>763</v>
      </c>
      <c r="X3177" s="321">
        <f t="shared" si="207"/>
        <v>860002</v>
      </c>
      <c r="Y3177" s="321">
        <v>1</v>
      </c>
      <c r="AA3177" s="321" t="s">
        <v>5183</v>
      </c>
    </row>
    <row r="3178" spans="13:27">
      <c r="M3178" s="321">
        <v>1860003750</v>
      </c>
      <c r="N3178" s="321">
        <v>86</v>
      </c>
      <c r="O3178" s="321" t="s">
        <v>6300</v>
      </c>
      <c r="P3178" s="321">
        <v>1860003</v>
      </c>
      <c r="Q3178" s="322">
        <v>0</v>
      </c>
      <c r="R3178" s="322">
        <v>0</v>
      </c>
      <c r="S3178" s="322">
        <v>0</v>
      </c>
      <c r="T3178" s="322">
        <v>0</v>
      </c>
      <c r="U3178" s="322">
        <f t="shared" si="205"/>
        <v>0</v>
      </c>
      <c r="W3178" s="321">
        <f t="shared" si="206"/>
        <v>750</v>
      </c>
      <c r="X3178" s="321">
        <f t="shared" si="207"/>
        <v>860003</v>
      </c>
      <c r="Y3178" s="321">
        <v>1</v>
      </c>
      <c r="AA3178" s="321" t="s">
        <v>6300</v>
      </c>
    </row>
    <row r="3179" spans="13:27">
      <c r="M3179" s="321">
        <v>1860004760</v>
      </c>
      <c r="N3179" s="321">
        <v>86</v>
      </c>
      <c r="O3179" s="321" t="s">
        <v>6301</v>
      </c>
      <c r="P3179" s="321">
        <v>1860004</v>
      </c>
      <c r="Q3179" s="322">
        <v>100000</v>
      </c>
      <c r="R3179" s="322">
        <v>0</v>
      </c>
      <c r="S3179" s="322">
        <v>100000</v>
      </c>
      <c r="T3179" s="322">
        <v>100000</v>
      </c>
      <c r="U3179" s="322">
        <f t="shared" si="205"/>
        <v>0</v>
      </c>
      <c r="W3179" s="321">
        <f t="shared" si="206"/>
        <v>760</v>
      </c>
      <c r="X3179" s="321">
        <f t="shared" si="207"/>
        <v>860004</v>
      </c>
      <c r="Y3179" s="321">
        <v>1</v>
      </c>
      <c r="AA3179" s="321" t="s">
        <v>6301</v>
      </c>
    </row>
    <row r="3180" spans="13:27">
      <c r="M3180" s="321">
        <v>1860005760</v>
      </c>
      <c r="N3180" s="321">
        <v>86</v>
      </c>
      <c r="O3180" s="321" t="s">
        <v>5187</v>
      </c>
      <c r="P3180" s="321">
        <v>1860005</v>
      </c>
      <c r="Q3180" s="322">
        <v>0</v>
      </c>
      <c r="R3180" s="322">
        <v>0</v>
      </c>
      <c r="S3180" s="322">
        <v>0</v>
      </c>
      <c r="T3180" s="322">
        <v>0</v>
      </c>
      <c r="U3180" s="322">
        <f t="shared" si="205"/>
        <v>0</v>
      </c>
      <c r="W3180" s="321">
        <f t="shared" si="206"/>
        <v>760</v>
      </c>
      <c r="X3180" s="321">
        <f t="shared" si="207"/>
        <v>860005</v>
      </c>
      <c r="Y3180" s="321">
        <v>1</v>
      </c>
      <c r="AA3180" s="321" t="s">
        <v>5187</v>
      </c>
    </row>
    <row r="3181" spans="13:27">
      <c r="M3181" s="321">
        <v>1860006760</v>
      </c>
      <c r="N3181" s="321">
        <v>86</v>
      </c>
      <c r="O3181" s="321" t="s">
        <v>6302</v>
      </c>
      <c r="P3181" s="321">
        <v>1860006</v>
      </c>
      <c r="Q3181" s="322">
        <v>0</v>
      </c>
      <c r="R3181" s="322">
        <v>0</v>
      </c>
      <c r="S3181" s="322">
        <v>0</v>
      </c>
      <c r="T3181" s="322">
        <v>0</v>
      </c>
      <c r="U3181" s="322">
        <f t="shared" si="205"/>
        <v>0</v>
      </c>
      <c r="W3181" s="321">
        <f t="shared" si="206"/>
        <v>760</v>
      </c>
      <c r="X3181" s="321">
        <f t="shared" si="207"/>
        <v>860006</v>
      </c>
      <c r="Y3181" s="321">
        <v>1</v>
      </c>
      <c r="AA3181" s="321" t="s">
        <v>6302</v>
      </c>
    </row>
    <row r="3182" spans="13:27">
      <c r="M3182" s="321">
        <v>1860007760</v>
      </c>
      <c r="N3182" s="321">
        <v>86</v>
      </c>
      <c r="O3182" s="321" t="s">
        <v>6303</v>
      </c>
      <c r="P3182" s="321">
        <v>1860007</v>
      </c>
      <c r="Q3182" s="322">
        <v>0</v>
      </c>
      <c r="R3182" s="322">
        <v>0</v>
      </c>
      <c r="S3182" s="322">
        <v>0</v>
      </c>
      <c r="T3182" s="322">
        <v>0</v>
      </c>
      <c r="U3182" s="322">
        <f t="shared" si="205"/>
        <v>0</v>
      </c>
      <c r="W3182" s="321">
        <f t="shared" si="206"/>
        <v>760</v>
      </c>
      <c r="X3182" s="321">
        <f t="shared" si="207"/>
        <v>860007</v>
      </c>
      <c r="Y3182" s="321">
        <v>1</v>
      </c>
      <c r="AA3182" s="321" t="s">
        <v>6303</v>
      </c>
    </row>
    <row r="3183" spans="13:27">
      <c r="M3183" s="321">
        <v>1869000110</v>
      </c>
      <c r="N3183" s="321">
        <v>86</v>
      </c>
      <c r="O3183" s="321" t="s">
        <v>5205</v>
      </c>
      <c r="P3183" s="321">
        <v>1860000</v>
      </c>
      <c r="Q3183" s="322">
        <v>232000</v>
      </c>
      <c r="R3183" s="322">
        <v>168100</v>
      </c>
      <c r="S3183" s="322">
        <v>237000</v>
      </c>
      <c r="T3183" s="322">
        <v>237000</v>
      </c>
      <c r="U3183" s="322">
        <f t="shared" si="205"/>
        <v>0</v>
      </c>
      <c r="W3183" s="321">
        <f t="shared" si="206"/>
        <v>110</v>
      </c>
      <c r="X3183" s="321">
        <f t="shared" si="207"/>
        <v>869000</v>
      </c>
      <c r="Y3183" s="321">
        <v>1</v>
      </c>
      <c r="AA3183" s="321" t="s">
        <v>5205</v>
      </c>
    </row>
    <row r="3184" spans="13:27">
      <c r="M3184" s="321">
        <v>1869000120</v>
      </c>
      <c r="N3184" s="321">
        <v>86</v>
      </c>
      <c r="O3184" s="321" t="s">
        <v>5206</v>
      </c>
      <c r="P3184" s="321">
        <v>1860000</v>
      </c>
      <c r="Q3184" s="322">
        <v>45000</v>
      </c>
      <c r="R3184" s="322">
        <v>38800</v>
      </c>
      <c r="S3184" s="322">
        <v>46000</v>
      </c>
      <c r="T3184" s="322">
        <v>46000</v>
      </c>
      <c r="U3184" s="322">
        <f t="shared" si="205"/>
        <v>0</v>
      </c>
      <c r="W3184" s="321">
        <f t="shared" si="206"/>
        <v>120</v>
      </c>
      <c r="X3184" s="321">
        <f t="shared" si="207"/>
        <v>869000</v>
      </c>
      <c r="Y3184" s="321">
        <v>1</v>
      </c>
      <c r="AA3184" s="321" t="s">
        <v>5206</v>
      </c>
    </row>
    <row r="3185" spans="13:27">
      <c r="M3185" s="321">
        <v>1869000130</v>
      </c>
      <c r="N3185" s="321">
        <v>86</v>
      </c>
      <c r="O3185" s="321" t="s">
        <v>2576</v>
      </c>
      <c r="P3185" s="321">
        <v>1860000</v>
      </c>
      <c r="Q3185" s="322">
        <v>8000</v>
      </c>
      <c r="R3185" s="322">
        <v>4700</v>
      </c>
      <c r="S3185" s="322">
        <v>5000</v>
      </c>
      <c r="T3185" s="322">
        <v>4500</v>
      </c>
      <c r="U3185" s="322">
        <f t="shared" si="205"/>
        <v>500</v>
      </c>
      <c r="W3185" s="321">
        <f t="shared" si="206"/>
        <v>130</v>
      </c>
      <c r="X3185" s="321">
        <f t="shared" si="207"/>
        <v>869000</v>
      </c>
      <c r="Y3185" s="321">
        <v>1</v>
      </c>
      <c r="AA3185" s="321" t="s">
        <v>2576</v>
      </c>
    </row>
    <row r="3186" spans="13:27">
      <c r="M3186" s="321">
        <v>1869000140</v>
      </c>
      <c r="N3186" s="321">
        <v>86</v>
      </c>
      <c r="O3186" s="321" t="s">
        <v>5207</v>
      </c>
      <c r="P3186" s="321">
        <v>1860000</v>
      </c>
      <c r="Q3186" s="322">
        <v>28000</v>
      </c>
      <c r="R3186" s="322">
        <v>20500</v>
      </c>
      <c r="S3186" s="322">
        <v>28000</v>
      </c>
      <c r="T3186" s="322">
        <v>28000</v>
      </c>
      <c r="U3186" s="322">
        <f t="shared" si="205"/>
        <v>0</v>
      </c>
      <c r="W3186" s="321">
        <f t="shared" si="206"/>
        <v>140</v>
      </c>
      <c r="X3186" s="321">
        <f t="shared" si="207"/>
        <v>869000</v>
      </c>
      <c r="Y3186" s="321">
        <v>1</v>
      </c>
      <c r="AA3186" s="321" t="s">
        <v>5207</v>
      </c>
    </row>
    <row r="3187" spans="13:27">
      <c r="M3187" s="321">
        <v>1869000141</v>
      </c>
      <c r="N3187" s="321">
        <v>86</v>
      </c>
      <c r="O3187" s="321" t="s">
        <v>5208</v>
      </c>
      <c r="P3187" s="321">
        <v>1860000</v>
      </c>
      <c r="Q3187" s="322">
        <v>12000</v>
      </c>
      <c r="R3187" s="322">
        <v>8700</v>
      </c>
      <c r="S3187" s="322">
        <v>12000</v>
      </c>
      <c r="T3187" s="322">
        <v>12000</v>
      </c>
      <c r="U3187" s="322">
        <f t="shared" si="205"/>
        <v>0</v>
      </c>
      <c r="W3187" s="321">
        <f t="shared" si="206"/>
        <v>141</v>
      </c>
      <c r="X3187" s="321">
        <f t="shared" si="207"/>
        <v>869000</v>
      </c>
      <c r="Y3187" s="321">
        <v>1</v>
      </c>
      <c r="AA3187" s="321" t="s">
        <v>5208</v>
      </c>
    </row>
    <row r="3188" spans="13:27">
      <c r="M3188" s="321">
        <v>1869000181</v>
      </c>
      <c r="N3188" s="321">
        <v>86</v>
      </c>
      <c r="O3188" s="321" t="s">
        <v>2580</v>
      </c>
      <c r="P3188" s="321">
        <v>1860000</v>
      </c>
      <c r="Q3188" s="322">
        <v>52000</v>
      </c>
      <c r="R3188" s="322">
        <v>39500</v>
      </c>
      <c r="S3188" s="322">
        <v>53000</v>
      </c>
      <c r="T3188" s="322">
        <v>53000</v>
      </c>
      <c r="U3188" s="322">
        <f t="shared" si="205"/>
        <v>0</v>
      </c>
      <c r="W3188" s="321">
        <f t="shared" si="206"/>
        <v>181</v>
      </c>
      <c r="X3188" s="321">
        <f t="shared" si="207"/>
        <v>869000</v>
      </c>
      <c r="Y3188" s="321">
        <v>1</v>
      </c>
      <c r="AA3188" s="321" t="s">
        <v>2580</v>
      </c>
    </row>
    <row r="3189" spans="13:27">
      <c r="M3189" s="321">
        <v>1869000182</v>
      </c>
      <c r="N3189" s="321">
        <v>86</v>
      </c>
      <c r="O3189" s="321" t="s">
        <v>2582</v>
      </c>
      <c r="P3189" s="321">
        <v>1860000</v>
      </c>
      <c r="Q3189" s="322">
        <v>42000</v>
      </c>
      <c r="R3189" s="322">
        <v>29600</v>
      </c>
      <c r="S3189" s="322">
        <v>43000</v>
      </c>
      <c r="T3189" s="322">
        <v>43000</v>
      </c>
      <c r="U3189" s="322">
        <f t="shared" si="205"/>
        <v>0</v>
      </c>
      <c r="W3189" s="321">
        <f t="shared" si="206"/>
        <v>182</v>
      </c>
      <c r="X3189" s="321">
        <f t="shared" si="207"/>
        <v>869000</v>
      </c>
      <c r="Y3189" s="321">
        <v>1</v>
      </c>
      <c r="AA3189" s="321" t="s">
        <v>2582</v>
      </c>
    </row>
    <row r="3190" spans="13:27">
      <c r="M3190" s="321">
        <v>1869001110</v>
      </c>
      <c r="N3190" s="321">
        <v>86</v>
      </c>
      <c r="O3190" s="321" t="s">
        <v>5205</v>
      </c>
      <c r="P3190" s="321">
        <v>1860001</v>
      </c>
      <c r="Q3190" s="322">
        <v>224000</v>
      </c>
      <c r="R3190" s="322">
        <v>165100</v>
      </c>
      <c r="S3190" s="322">
        <v>226000</v>
      </c>
      <c r="T3190" s="322">
        <v>226000</v>
      </c>
      <c r="U3190" s="322">
        <f t="shared" si="205"/>
        <v>0</v>
      </c>
      <c r="W3190" s="321">
        <f t="shared" si="206"/>
        <v>110</v>
      </c>
      <c r="X3190" s="321">
        <f t="shared" si="207"/>
        <v>869001</v>
      </c>
      <c r="Y3190" s="321">
        <v>1</v>
      </c>
      <c r="AA3190" s="321" t="s">
        <v>5205</v>
      </c>
    </row>
    <row r="3191" spans="13:27">
      <c r="M3191" s="321">
        <v>1869001120</v>
      </c>
      <c r="N3191" s="321">
        <v>86</v>
      </c>
      <c r="O3191" s="321" t="s">
        <v>5206</v>
      </c>
      <c r="P3191" s="321">
        <v>1860001</v>
      </c>
      <c r="Q3191" s="322">
        <v>16000</v>
      </c>
      <c r="R3191" s="322">
        <v>15400</v>
      </c>
      <c r="S3191" s="322">
        <v>16000</v>
      </c>
      <c r="T3191" s="322">
        <v>16000</v>
      </c>
      <c r="U3191" s="322">
        <f t="shared" si="205"/>
        <v>0</v>
      </c>
      <c r="W3191" s="321">
        <f t="shared" si="206"/>
        <v>120</v>
      </c>
      <c r="X3191" s="321">
        <f t="shared" si="207"/>
        <v>869001</v>
      </c>
      <c r="Y3191" s="321">
        <v>1</v>
      </c>
      <c r="AA3191" s="321" t="s">
        <v>5206</v>
      </c>
    </row>
    <row r="3192" spans="13:27">
      <c r="M3192" s="321">
        <v>1869001141</v>
      </c>
      <c r="N3192" s="321">
        <v>86</v>
      </c>
      <c r="O3192" s="321" t="s">
        <v>5208</v>
      </c>
      <c r="P3192" s="321">
        <v>1860001</v>
      </c>
      <c r="Q3192" s="322">
        <v>8000</v>
      </c>
      <c r="R3192" s="322">
        <v>5900</v>
      </c>
      <c r="S3192" s="322">
        <v>9000</v>
      </c>
      <c r="T3192" s="322">
        <v>9000</v>
      </c>
      <c r="U3192" s="322">
        <f t="shared" si="205"/>
        <v>0</v>
      </c>
      <c r="W3192" s="321">
        <f t="shared" si="206"/>
        <v>141</v>
      </c>
      <c r="X3192" s="321">
        <f t="shared" si="207"/>
        <v>869001</v>
      </c>
      <c r="Y3192" s="321">
        <v>1</v>
      </c>
      <c r="AA3192" s="321" t="s">
        <v>5208</v>
      </c>
    </row>
    <row r="3193" spans="13:27">
      <c r="M3193" s="321">
        <v>1869001181</v>
      </c>
      <c r="N3193" s="321">
        <v>86</v>
      </c>
      <c r="O3193" s="321" t="s">
        <v>2580</v>
      </c>
      <c r="P3193" s="321">
        <v>1860001</v>
      </c>
      <c r="Q3193" s="322">
        <v>54000</v>
      </c>
      <c r="R3193" s="322">
        <v>40300</v>
      </c>
      <c r="S3193" s="322">
        <v>54000</v>
      </c>
      <c r="T3193" s="322">
        <v>54000</v>
      </c>
      <c r="U3193" s="322">
        <f t="shared" si="205"/>
        <v>0</v>
      </c>
      <c r="W3193" s="321">
        <f t="shared" si="206"/>
        <v>181</v>
      </c>
      <c r="X3193" s="321">
        <f t="shared" si="207"/>
        <v>869001</v>
      </c>
      <c r="Y3193" s="321">
        <v>1</v>
      </c>
      <c r="AA3193" s="321" t="s">
        <v>2580</v>
      </c>
    </row>
    <row r="3194" spans="13:27">
      <c r="M3194" s="321">
        <v>1869001182</v>
      </c>
      <c r="N3194" s="321">
        <v>86</v>
      </c>
      <c r="O3194" s="321" t="s">
        <v>2582</v>
      </c>
      <c r="P3194" s="321">
        <v>1860001</v>
      </c>
      <c r="Q3194" s="322">
        <v>33000</v>
      </c>
      <c r="R3194" s="322">
        <v>23000</v>
      </c>
      <c r="S3194" s="322">
        <v>34000</v>
      </c>
      <c r="T3194" s="322">
        <v>34000</v>
      </c>
      <c r="U3194" s="322">
        <f t="shared" si="205"/>
        <v>0</v>
      </c>
      <c r="W3194" s="321">
        <f t="shared" si="206"/>
        <v>182</v>
      </c>
      <c r="X3194" s="321">
        <f t="shared" si="207"/>
        <v>869001</v>
      </c>
      <c r="Y3194" s="321">
        <v>1</v>
      </c>
      <c r="AA3194" s="321" t="s">
        <v>2582</v>
      </c>
    </row>
    <row r="3195" spans="13:27">
      <c r="M3195" s="321">
        <v>1879000110</v>
      </c>
      <c r="N3195" s="321">
        <v>87</v>
      </c>
      <c r="O3195" s="321" t="s">
        <v>6304</v>
      </c>
      <c r="P3195" s="321">
        <v>6879000</v>
      </c>
      <c r="Q3195" s="322">
        <v>390000</v>
      </c>
      <c r="R3195" s="322">
        <v>309400</v>
      </c>
      <c r="S3195" s="322">
        <v>374000</v>
      </c>
      <c r="T3195" s="322">
        <v>374000</v>
      </c>
      <c r="U3195" s="322">
        <f t="shared" si="205"/>
        <v>0</v>
      </c>
      <c r="W3195" s="321">
        <f t="shared" si="206"/>
        <v>110</v>
      </c>
      <c r="X3195" s="321">
        <f t="shared" si="207"/>
        <v>879000</v>
      </c>
      <c r="Y3195" s="321">
        <v>1</v>
      </c>
      <c r="AA3195" s="321" t="s">
        <v>6304</v>
      </c>
    </row>
    <row r="3196" spans="13:27">
      <c r="M3196" s="321">
        <v>1879000120</v>
      </c>
      <c r="N3196" s="321">
        <v>87</v>
      </c>
      <c r="O3196" s="321" t="s">
        <v>5711</v>
      </c>
      <c r="P3196" s="321">
        <v>6879000</v>
      </c>
      <c r="Q3196" s="322">
        <v>74000</v>
      </c>
      <c r="R3196" s="322">
        <v>57500</v>
      </c>
      <c r="S3196" s="322">
        <v>65000</v>
      </c>
      <c r="T3196" s="322">
        <v>65000</v>
      </c>
      <c r="U3196" s="322">
        <f t="shared" si="205"/>
        <v>0</v>
      </c>
      <c r="W3196" s="321">
        <f t="shared" si="206"/>
        <v>120</v>
      </c>
      <c r="X3196" s="321">
        <f t="shared" si="207"/>
        <v>879000</v>
      </c>
      <c r="Y3196" s="321">
        <v>1</v>
      </c>
      <c r="AA3196" s="321" t="s">
        <v>5711</v>
      </c>
    </row>
    <row r="3197" spans="13:27">
      <c r="M3197" s="321">
        <v>1879000130</v>
      </c>
      <c r="N3197" s="321">
        <v>87</v>
      </c>
      <c r="O3197" s="321" t="s">
        <v>2576</v>
      </c>
      <c r="P3197" s="321">
        <v>6879000</v>
      </c>
      <c r="Q3197" s="322">
        <v>136000</v>
      </c>
      <c r="R3197" s="322">
        <v>99700</v>
      </c>
      <c r="S3197" s="322">
        <v>145000</v>
      </c>
      <c r="T3197" s="322">
        <v>130500</v>
      </c>
      <c r="U3197" s="322">
        <f t="shared" si="205"/>
        <v>14500</v>
      </c>
      <c r="W3197" s="321">
        <f t="shared" si="206"/>
        <v>130</v>
      </c>
      <c r="X3197" s="321">
        <f t="shared" si="207"/>
        <v>879000</v>
      </c>
      <c r="Y3197" s="321">
        <v>1</v>
      </c>
      <c r="AA3197" s="321" t="s">
        <v>2576</v>
      </c>
    </row>
    <row r="3198" spans="13:27">
      <c r="M3198" s="321">
        <v>1879000140</v>
      </c>
      <c r="N3198" s="321">
        <v>87</v>
      </c>
      <c r="O3198" s="321" t="s">
        <v>5207</v>
      </c>
      <c r="P3198" s="321">
        <v>6879000</v>
      </c>
      <c r="Q3198" s="322">
        <v>62000</v>
      </c>
      <c r="R3198" s="322">
        <v>43400</v>
      </c>
      <c r="S3198" s="322">
        <v>58000</v>
      </c>
      <c r="T3198" s="322">
        <v>58000</v>
      </c>
      <c r="U3198" s="322">
        <f t="shared" si="205"/>
        <v>0</v>
      </c>
      <c r="W3198" s="321">
        <f t="shared" si="206"/>
        <v>140</v>
      </c>
      <c r="X3198" s="321">
        <f t="shared" si="207"/>
        <v>879000</v>
      </c>
      <c r="Y3198" s="321">
        <v>1</v>
      </c>
      <c r="AA3198" s="321" t="s">
        <v>5207</v>
      </c>
    </row>
    <row r="3199" spans="13:27">
      <c r="M3199" s="321">
        <v>1879000141</v>
      </c>
      <c r="N3199" s="321">
        <v>87</v>
      </c>
      <c r="O3199" s="321" t="s">
        <v>6305</v>
      </c>
      <c r="P3199" s="321">
        <v>6879000</v>
      </c>
      <c r="Q3199" s="322">
        <v>33000</v>
      </c>
      <c r="R3199" s="322">
        <v>40300</v>
      </c>
      <c r="S3199" s="322">
        <v>56000</v>
      </c>
      <c r="T3199" s="322">
        <v>56000</v>
      </c>
      <c r="U3199" s="322">
        <f t="shared" si="205"/>
        <v>0</v>
      </c>
      <c r="W3199" s="321">
        <f t="shared" si="206"/>
        <v>141</v>
      </c>
      <c r="X3199" s="321">
        <f t="shared" si="207"/>
        <v>879000</v>
      </c>
      <c r="Y3199" s="321">
        <v>1</v>
      </c>
      <c r="AA3199" s="321" t="s">
        <v>6305</v>
      </c>
    </row>
    <row r="3200" spans="13:27">
      <c r="M3200" s="321">
        <v>1879000181</v>
      </c>
      <c r="N3200" s="321">
        <v>87</v>
      </c>
      <c r="O3200" s="321" t="s">
        <v>6306</v>
      </c>
      <c r="P3200" s="321">
        <v>6879000</v>
      </c>
      <c r="Q3200" s="322">
        <v>110000</v>
      </c>
      <c r="R3200" s="322">
        <v>126000</v>
      </c>
      <c r="S3200" s="322">
        <v>145000</v>
      </c>
      <c r="T3200" s="322">
        <v>145000</v>
      </c>
      <c r="U3200" s="322">
        <f t="shared" si="205"/>
        <v>0</v>
      </c>
      <c r="W3200" s="321">
        <f t="shared" si="206"/>
        <v>181</v>
      </c>
      <c r="X3200" s="321">
        <f t="shared" si="207"/>
        <v>879000</v>
      </c>
      <c r="Y3200" s="321">
        <v>1</v>
      </c>
      <c r="AA3200" s="321" t="s">
        <v>6306</v>
      </c>
    </row>
    <row r="3201" spans="13:27">
      <c r="M3201" s="321">
        <v>1879000182</v>
      </c>
      <c r="N3201" s="321">
        <v>87</v>
      </c>
      <c r="O3201" s="321" t="s">
        <v>2582</v>
      </c>
      <c r="P3201" s="321">
        <v>6879000</v>
      </c>
      <c r="Q3201" s="322">
        <v>95000</v>
      </c>
      <c r="R3201" s="322">
        <v>38200</v>
      </c>
      <c r="S3201" s="322">
        <v>63000</v>
      </c>
      <c r="T3201" s="322">
        <v>63000</v>
      </c>
      <c r="U3201" s="322">
        <f t="shared" si="205"/>
        <v>0</v>
      </c>
      <c r="W3201" s="321">
        <f t="shared" si="206"/>
        <v>182</v>
      </c>
      <c r="X3201" s="321">
        <f t="shared" si="207"/>
        <v>879000</v>
      </c>
      <c r="Y3201" s="321">
        <v>1</v>
      </c>
      <c r="AA3201" s="321" t="s">
        <v>2582</v>
      </c>
    </row>
    <row r="3202" spans="13:27">
      <c r="M3202" s="321">
        <v>1879000470</v>
      </c>
      <c r="N3202" s="321">
        <v>87</v>
      </c>
      <c r="O3202" s="321" t="s">
        <v>2660</v>
      </c>
      <c r="P3202" s="321">
        <v>6879000</v>
      </c>
      <c r="Q3202" s="322">
        <v>2000</v>
      </c>
      <c r="R3202" s="322">
        <v>500</v>
      </c>
      <c r="S3202" s="322">
        <v>2000</v>
      </c>
      <c r="T3202" s="322">
        <v>2000</v>
      </c>
      <c r="U3202" s="322">
        <f t="shared" ref="U3202:U3265" si="208">S3202-T3202</f>
        <v>0</v>
      </c>
      <c r="W3202" s="321">
        <f t="shared" si="206"/>
        <v>470</v>
      </c>
      <c r="X3202" s="321">
        <f t="shared" si="207"/>
        <v>879000</v>
      </c>
      <c r="Y3202" s="321">
        <v>1</v>
      </c>
      <c r="AA3202" s="321" t="s">
        <v>2660</v>
      </c>
    </row>
    <row r="3203" spans="13:27">
      <c r="M3203" s="321">
        <v>1879000471</v>
      </c>
      <c r="N3203" s="321">
        <v>87</v>
      </c>
      <c r="O3203" s="321" t="s">
        <v>5475</v>
      </c>
      <c r="P3203" s="321">
        <v>6879000</v>
      </c>
      <c r="Q3203" s="322">
        <v>3500</v>
      </c>
      <c r="R3203" s="322">
        <v>0</v>
      </c>
      <c r="S3203" s="322">
        <v>3700</v>
      </c>
      <c r="T3203" s="322">
        <v>3700</v>
      </c>
      <c r="U3203" s="322">
        <f t="shared" si="208"/>
        <v>0</v>
      </c>
      <c r="W3203" s="321">
        <f t="shared" ref="W3203:W3266" si="209">M3203-1000000000-X3203*1000</f>
        <v>471</v>
      </c>
      <c r="X3203" s="321">
        <f t="shared" ref="X3203:X3266" si="210">ROUNDDOWN((M3203-1000000000)/1000,0)</f>
        <v>879000</v>
      </c>
      <c r="Y3203" s="321">
        <v>1</v>
      </c>
      <c r="AA3203" s="321" t="s">
        <v>5475</v>
      </c>
    </row>
    <row r="3204" spans="13:27">
      <c r="M3204" s="321">
        <v>1879000472</v>
      </c>
      <c r="N3204" s="321">
        <v>87</v>
      </c>
      <c r="O3204" s="321" t="s">
        <v>6307</v>
      </c>
      <c r="P3204" s="321">
        <v>6879000</v>
      </c>
      <c r="Q3204" s="322">
        <v>0</v>
      </c>
      <c r="R3204" s="322">
        <v>0</v>
      </c>
      <c r="S3204" s="322">
        <v>0</v>
      </c>
      <c r="T3204" s="322">
        <v>0</v>
      </c>
      <c r="U3204" s="322">
        <f t="shared" si="208"/>
        <v>0</v>
      </c>
      <c r="W3204" s="321">
        <f t="shared" si="209"/>
        <v>472</v>
      </c>
      <c r="X3204" s="321">
        <f t="shared" si="210"/>
        <v>879000</v>
      </c>
      <c r="Y3204" s="321">
        <v>1</v>
      </c>
      <c r="AA3204" s="321" t="s">
        <v>6307</v>
      </c>
    </row>
    <row r="3205" spans="13:27">
      <c r="M3205" s="321">
        <v>1879000473</v>
      </c>
      <c r="N3205" s="321">
        <v>87</v>
      </c>
      <c r="O3205" s="321" t="s">
        <v>6308</v>
      </c>
      <c r="P3205" s="321">
        <v>6879000</v>
      </c>
      <c r="Q3205" s="322">
        <v>0</v>
      </c>
      <c r="R3205" s="322">
        <v>0</v>
      </c>
      <c r="S3205" s="322">
        <v>0</v>
      </c>
      <c r="T3205" s="322">
        <v>0</v>
      </c>
      <c r="U3205" s="322">
        <f t="shared" si="208"/>
        <v>0</v>
      </c>
      <c r="W3205" s="321">
        <f t="shared" si="209"/>
        <v>473</v>
      </c>
      <c r="X3205" s="321">
        <f t="shared" si="210"/>
        <v>879000</v>
      </c>
      <c r="Y3205" s="321">
        <v>1</v>
      </c>
      <c r="AA3205" s="321" t="s">
        <v>6308</v>
      </c>
    </row>
    <row r="3206" spans="13:27">
      <c r="M3206" s="321">
        <v>1879000510</v>
      </c>
      <c r="N3206" s="321">
        <v>87</v>
      </c>
      <c r="O3206" s="321" t="s">
        <v>5309</v>
      </c>
      <c r="P3206" s="321">
        <v>6879000</v>
      </c>
      <c r="Q3206" s="322">
        <v>0</v>
      </c>
      <c r="R3206" s="322">
        <v>0</v>
      </c>
      <c r="S3206" s="322">
        <v>0</v>
      </c>
      <c r="T3206" s="322">
        <v>0</v>
      </c>
      <c r="U3206" s="322">
        <f t="shared" si="208"/>
        <v>0</v>
      </c>
      <c r="W3206" s="321">
        <f t="shared" si="209"/>
        <v>510</v>
      </c>
      <c r="X3206" s="321">
        <f t="shared" si="210"/>
        <v>879000</v>
      </c>
      <c r="Y3206" s="321">
        <v>1</v>
      </c>
      <c r="AA3206" s="321" t="s">
        <v>5309</v>
      </c>
    </row>
    <row r="3207" spans="13:27">
      <c r="M3207" s="321">
        <v>1879000522</v>
      </c>
      <c r="N3207" s="321">
        <v>87</v>
      </c>
      <c r="O3207" s="321" t="s">
        <v>6309</v>
      </c>
      <c r="P3207" s="321">
        <v>6879000</v>
      </c>
      <c r="Q3207" s="322">
        <v>0</v>
      </c>
      <c r="R3207" s="322">
        <v>0</v>
      </c>
      <c r="S3207" s="322">
        <v>0</v>
      </c>
      <c r="T3207" s="322">
        <v>0</v>
      </c>
      <c r="U3207" s="322">
        <f t="shared" si="208"/>
        <v>0</v>
      </c>
      <c r="W3207" s="321">
        <f t="shared" si="209"/>
        <v>522</v>
      </c>
      <c r="X3207" s="321">
        <f t="shared" si="210"/>
        <v>879000</v>
      </c>
      <c r="Y3207" s="321">
        <v>1</v>
      </c>
      <c r="AA3207" s="321" t="s">
        <v>6309</v>
      </c>
    </row>
    <row r="3208" spans="13:27">
      <c r="M3208" s="321">
        <v>1879000530</v>
      </c>
      <c r="N3208" s="321">
        <v>87</v>
      </c>
      <c r="O3208" s="321" t="s">
        <v>6310</v>
      </c>
      <c r="P3208" s="321">
        <v>6879000</v>
      </c>
      <c r="Q3208" s="322">
        <v>0</v>
      </c>
      <c r="R3208" s="322">
        <v>400</v>
      </c>
      <c r="S3208" s="322">
        <v>0</v>
      </c>
      <c r="T3208" s="322">
        <v>0</v>
      </c>
      <c r="U3208" s="322">
        <f t="shared" si="208"/>
        <v>0</v>
      </c>
      <c r="W3208" s="321">
        <f t="shared" si="209"/>
        <v>530</v>
      </c>
      <c r="X3208" s="321">
        <f t="shared" si="210"/>
        <v>879000</v>
      </c>
      <c r="Y3208" s="321">
        <v>1</v>
      </c>
      <c r="AA3208" s="321" t="s">
        <v>6310</v>
      </c>
    </row>
    <row r="3209" spans="13:27">
      <c r="M3209" s="321">
        <v>1879000540</v>
      </c>
      <c r="N3209" s="321">
        <v>87</v>
      </c>
      <c r="O3209" s="321" t="s">
        <v>5216</v>
      </c>
      <c r="P3209" s="321">
        <v>6879000</v>
      </c>
      <c r="Q3209" s="322">
        <v>2000</v>
      </c>
      <c r="R3209" s="322">
        <v>700</v>
      </c>
      <c r="S3209" s="322">
        <v>2000</v>
      </c>
      <c r="T3209" s="322">
        <v>2000</v>
      </c>
      <c r="U3209" s="322">
        <f t="shared" si="208"/>
        <v>0</v>
      </c>
      <c r="W3209" s="321">
        <f t="shared" si="209"/>
        <v>540</v>
      </c>
      <c r="X3209" s="321">
        <f t="shared" si="210"/>
        <v>879000</v>
      </c>
      <c r="Y3209" s="321">
        <v>1</v>
      </c>
      <c r="AA3209" s="321" t="s">
        <v>5216</v>
      </c>
    </row>
    <row r="3210" spans="13:27">
      <c r="M3210" s="321">
        <v>1879000542</v>
      </c>
      <c r="N3210" s="321">
        <v>87</v>
      </c>
      <c r="O3210" s="321" t="s">
        <v>5409</v>
      </c>
      <c r="P3210" s="321">
        <v>6879000</v>
      </c>
      <c r="Q3210" s="322">
        <v>8800</v>
      </c>
      <c r="R3210" s="322">
        <v>7600</v>
      </c>
      <c r="S3210" s="322">
        <v>8000</v>
      </c>
      <c r="T3210" s="322">
        <v>8000</v>
      </c>
      <c r="U3210" s="322">
        <f t="shared" si="208"/>
        <v>0</v>
      </c>
      <c r="W3210" s="321">
        <f t="shared" si="209"/>
        <v>542</v>
      </c>
      <c r="X3210" s="321">
        <f t="shared" si="210"/>
        <v>879000</v>
      </c>
      <c r="Y3210" s="321">
        <v>1</v>
      </c>
      <c r="AA3210" s="321" t="s">
        <v>5409</v>
      </c>
    </row>
    <row r="3211" spans="13:27">
      <c r="M3211" s="321">
        <v>1879000580</v>
      </c>
      <c r="N3211" s="321">
        <v>87</v>
      </c>
      <c r="O3211" s="321" t="s">
        <v>6311</v>
      </c>
      <c r="P3211" s="321">
        <v>6879000</v>
      </c>
      <c r="Q3211" s="322">
        <v>400000</v>
      </c>
      <c r="R3211" s="322">
        <v>0</v>
      </c>
      <c r="S3211" s="322">
        <v>0</v>
      </c>
      <c r="T3211" s="322">
        <v>0</v>
      </c>
      <c r="U3211" s="322">
        <f t="shared" si="208"/>
        <v>0</v>
      </c>
      <c r="W3211" s="321">
        <f t="shared" si="209"/>
        <v>580</v>
      </c>
      <c r="X3211" s="321">
        <f t="shared" si="210"/>
        <v>879000</v>
      </c>
      <c r="Y3211" s="321">
        <v>1</v>
      </c>
      <c r="AA3211" s="321" t="s">
        <v>6311</v>
      </c>
    </row>
    <row r="3212" spans="13:27">
      <c r="M3212" s="321">
        <v>1879000730</v>
      </c>
      <c r="N3212" s="321">
        <v>87</v>
      </c>
      <c r="O3212" s="321" t="s">
        <v>6312</v>
      </c>
      <c r="P3212" s="321">
        <v>6879000</v>
      </c>
      <c r="Q3212" s="322">
        <v>0</v>
      </c>
      <c r="R3212" s="322">
        <v>4400</v>
      </c>
      <c r="S3212" s="322">
        <v>0</v>
      </c>
      <c r="T3212" s="322">
        <v>0</v>
      </c>
      <c r="U3212" s="322">
        <f t="shared" si="208"/>
        <v>0</v>
      </c>
      <c r="W3212" s="321">
        <f t="shared" si="209"/>
        <v>730</v>
      </c>
      <c r="X3212" s="321">
        <f t="shared" si="210"/>
        <v>879000</v>
      </c>
      <c r="Y3212" s="321">
        <v>1</v>
      </c>
      <c r="AA3212" s="321" t="s">
        <v>6312</v>
      </c>
    </row>
    <row r="3213" spans="13:27">
      <c r="M3213" s="321">
        <v>1879000731</v>
      </c>
      <c r="N3213" s="321">
        <v>87</v>
      </c>
      <c r="O3213" s="321" t="s">
        <v>6313</v>
      </c>
      <c r="P3213" s="321">
        <v>6879000</v>
      </c>
      <c r="Q3213" s="322">
        <v>0</v>
      </c>
      <c r="R3213" s="322">
        <v>30600</v>
      </c>
      <c r="S3213" s="322">
        <v>0</v>
      </c>
      <c r="T3213" s="322">
        <v>0</v>
      </c>
      <c r="U3213" s="322">
        <f t="shared" si="208"/>
        <v>0</v>
      </c>
      <c r="W3213" s="321">
        <f t="shared" si="209"/>
        <v>731</v>
      </c>
      <c r="X3213" s="321">
        <f t="shared" si="210"/>
        <v>879000</v>
      </c>
      <c r="Y3213" s="321">
        <v>1</v>
      </c>
      <c r="AA3213" s="321" t="s">
        <v>6313</v>
      </c>
    </row>
    <row r="3214" spans="13:27">
      <c r="M3214" s="321">
        <v>1879000732</v>
      </c>
      <c r="N3214" s="321">
        <v>87</v>
      </c>
      <c r="O3214" s="321" t="s">
        <v>6314</v>
      </c>
      <c r="P3214" s="321">
        <v>6879000</v>
      </c>
      <c r="Q3214" s="322">
        <v>0</v>
      </c>
      <c r="R3214" s="322">
        <v>0</v>
      </c>
      <c r="S3214" s="322">
        <v>0</v>
      </c>
      <c r="T3214" s="322">
        <v>0</v>
      </c>
      <c r="U3214" s="322">
        <f t="shared" si="208"/>
        <v>0</v>
      </c>
      <c r="W3214" s="321">
        <f t="shared" si="209"/>
        <v>732</v>
      </c>
      <c r="X3214" s="321">
        <f t="shared" si="210"/>
        <v>879000</v>
      </c>
      <c r="Y3214" s="321">
        <v>1</v>
      </c>
      <c r="AA3214" s="321" t="s">
        <v>6314</v>
      </c>
    </row>
    <row r="3215" spans="13:27">
      <c r="M3215" s="321">
        <v>1879000779</v>
      </c>
      <c r="N3215" s="321">
        <v>87</v>
      </c>
      <c r="O3215" s="321" t="s">
        <v>5382</v>
      </c>
      <c r="P3215" s="321">
        <v>6879000</v>
      </c>
      <c r="Q3215" s="322">
        <v>0</v>
      </c>
      <c r="R3215" s="322">
        <v>0</v>
      </c>
      <c r="S3215" s="322">
        <v>0</v>
      </c>
      <c r="T3215" s="322">
        <v>0</v>
      </c>
      <c r="U3215" s="322">
        <f t="shared" si="208"/>
        <v>0</v>
      </c>
      <c r="W3215" s="321">
        <f t="shared" si="209"/>
        <v>779</v>
      </c>
      <c r="X3215" s="321">
        <f t="shared" si="210"/>
        <v>879000</v>
      </c>
      <c r="Y3215" s="321">
        <v>1</v>
      </c>
      <c r="AA3215" s="321" t="s">
        <v>5382</v>
      </c>
    </row>
    <row r="3216" spans="13:27">
      <c r="M3216" s="321">
        <v>1879000780</v>
      </c>
      <c r="N3216" s="321">
        <v>87</v>
      </c>
      <c r="O3216" s="321" t="s">
        <v>6315</v>
      </c>
      <c r="P3216" s="321">
        <v>6879000</v>
      </c>
      <c r="Q3216" s="322">
        <v>50000</v>
      </c>
      <c r="R3216" s="322">
        <v>0</v>
      </c>
      <c r="S3216" s="322">
        <v>25000</v>
      </c>
      <c r="T3216" s="322">
        <v>25000</v>
      </c>
      <c r="U3216" s="322">
        <f t="shared" si="208"/>
        <v>0</v>
      </c>
      <c r="W3216" s="321">
        <f t="shared" si="209"/>
        <v>780</v>
      </c>
      <c r="X3216" s="321">
        <f t="shared" si="210"/>
        <v>879000</v>
      </c>
      <c r="Y3216" s="321">
        <v>1</v>
      </c>
      <c r="AA3216" s="321" t="s">
        <v>6315</v>
      </c>
    </row>
    <row r="3217" spans="13:27">
      <c r="M3217" s="321">
        <v>1879000781</v>
      </c>
      <c r="N3217" s="321">
        <v>87</v>
      </c>
      <c r="O3217" s="321" t="s">
        <v>6316</v>
      </c>
      <c r="P3217" s="321">
        <v>6879000</v>
      </c>
      <c r="Q3217" s="322">
        <v>105000</v>
      </c>
      <c r="R3217" s="322">
        <v>22000</v>
      </c>
      <c r="S3217" s="322">
        <v>130000</v>
      </c>
      <c r="T3217" s="322">
        <v>130000</v>
      </c>
      <c r="U3217" s="322">
        <f t="shared" si="208"/>
        <v>0</v>
      </c>
      <c r="W3217" s="321">
        <f t="shared" si="209"/>
        <v>781</v>
      </c>
      <c r="X3217" s="321">
        <f t="shared" si="210"/>
        <v>879000</v>
      </c>
      <c r="Y3217" s="321">
        <v>1</v>
      </c>
      <c r="AA3217" s="321" t="s">
        <v>6316</v>
      </c>
    </row>
    <row r="3218" spans="13:27">
      <c r="M3218" s="321">
        <v>1879000782</v>
      </c>
      <c r="N3218" s="321">
        <v>87</v>
      </c>
      <c r="O3218" s="321" t="s">
        <v>6317</v>
      </c>
      <c r="P3218" s="321">
        <v>6879000</v>
      </c>
      <c r="Q3218" s="322">
        <v>432000</v>
      </c>
      <c r="R3218" s="322">
        <v>0</v>
      </c>
      <c r="S3218" s="322">
        <v>345000</v>
      </c>
      <c r="T3218" s="322">
        <v>300000</v>
      </c>
      <c r="U3218" s="322">
        <f t="shared" si="208"/>
        <v>45000</v>
      </c>
      <c r="W3218" s="321">
        <f t="shared" si="209"/>
        <v>782</v>
      </c>
      <c r="X3218" s="321">
        <f t="shared" si="210"/>
        <v>879000</v>
      </c>
      <c r="Y3218" s="321">
        <v>1</v>
      </c>
      <c r="AA3218" s="321" t="s">
        <v>6317</v>
      </c>
    </row>
    <row r="3219" spans="13:27">
      <c r="M3219" s="321">
        <v>1879000830</v>
      </c>
      <c r="N3219" s="321">
        <v>87</v>
      </c>
      <c r="O3219" s="321" t="s">
        <v>6318</v>
      </c>
      <c r="P3219" s="321">
        <v>1879000</v>
      </c>
      <c r="Q3219" s="322">
        <v>640000</v>
      </c>
      <c r="R3219" s="322">
        <v>479500</v>
      </c>
      <c r="S3219" s="322">
        <v>640000</v>
      </c>
      <c r="T3219" s="322">
        <v>640000</v>
      </c>
      <c r="U3219" s="322">
        <f t="shared" si="208"/>
        <v>0</v>
      </c>
      <c r="W3219" s="321">
        <f t="shared" si="209"/>
        <v>830</v>
      </c>
      <c r="X3219" s="321">
        <f t="shared" si="210"/>
        <v>879000</v>
      </c>
      <c r="Y3219" s="321">
        <v>1</v>
      </c>
      <c r="AA3219" s="321" t="s">
        <v>6318</v>
      </c>
    </row>
    <row r="3220" spans="13:27">
      <c r="M3220" s="321">
        <v>1879000930</v>
      </c>
      <c r="N3220" s="321">
        <v>87</v>
      </c>
      <c r="O3220" s="321" t="s">
        <v>5390</v>
      </c>
      <c r="P3220" s="321">
        <v>6879000</v>
      </c>
      <c r="Q3220" s="322">
        <v>0</v>
      </c>
      <c r="R3220" s="322">
        <v>0</v>
      </c>
      <c r="S3220" s="322">
        <v>0</v>
      </c>
      <c r="T3220" s="322">
        <v>0</v>
      </c>
      <c r="U3220" s="322">
        <f t="shared" si="208"/>
        <v>0</v>
      </c>
      <c r="W3220" s="321">
        <f t="shared" si="209"/>
        <v>930</v>
      </c>
      <c r="X3220" s="321">
        <f t="shared" si="210"/>
        <v>879000</v>
      </c>
      <c r="Y3220" s="321">
        <v>1</v>
      </c>
      <c r="AA3220" s="321" t="s">
        <v>5390</v>
      </c>
    </row>
    <row r="3221" spans="13:27">
      <c r="M3221" s="321">
        <v>1879001110</v>
      </c>
      <c r="N3221" s="321">
        <v>87</v>
      </c>
      <c r="O3221" s="321" t="s">
        <v>6319</v>
      </c>
      <c r="P3221" s="321">
        <v>6879000</v>
      </c>
      <c r="Q3221" s="322">
        <v>227000</v>
      </c>
      <c r="R3221" s="322">
        <v>137400</v>
      </c>
      <c r="S3221" s="322">
        <v>271000</v>
      </c>
      <c r="T3221" s="322">
        <v>271000</v>
      </c>
      <c r="U3221" s="322">
        <f t="shared" si="208"/>
        <v>0</v>
      </c>
      <c r="W3221" s="321">
        <f t="shared" si="209"/>
        <v>110</v>
      </c>
      <c r="X3221" s="321">
        <f t="shared" si="210"/>
        <v>879001</v>
      </c>
      <c r="Y3221" s="321">
        <v>1</v>
      </c>
      <c r="AA3221" s="321" t="s">
        <v>6319</v>
      </c>
    </row>
    <row r="3222" spans="13:27">
      <c r="M3222" s="321">
        <v>1879001120</v>
      </c>
      <c r="N3222" s="321">
        <v>87</v>
      </c>
      <c r="O3222" s="321" t="s">
        <v>6320</v>
      </c>
      <c r="P3222" s="321">
        <v>6879000</v>
      </c>
      <c r="Q3222" s="322">
        <v>0</v>
      </c>
      <c r="R3222" s="322">
        <v>0</v>
      </c>
      <c r="S3222" s="322">
        <v>0</v>
      </c>
      <c r="T3222" s="322">
        <v>0</v>
      </c>
      <c r="U3222" s="322">
        <f t="shared" si="208"/>
        <v>0</v>
      </c>
      <c r="W3222" s="321">
        <f t="shared" si="209"/>
        <v>120</v>
      </c>
      <c r="X3222" s="321">
        <f t="shared" si="210"/>
        <v>879001</v>
      </c>
      <c r="Y3222" s="321">
        <v>1</v>
      </c>
      <c r="AA3222" s="321" t="s">
        <v>6320</v>
      </c>
    </row>
    <row r="3223" spans="13:27">
      <c r="M3223" s="321">
        <v>1879001130</v>
      </c>
      <c r="N3223" s="321">
        <v>87</v>
      </c>
      <c r="O3223" s="321" t="s">
        <v>2576</v>
      </c>
      <c r="P3223" s="321">
        <v>6879000</v>
      </c>
      <c r="Q3223" s="322">
        <v>37000</v>
      </c>
      <c r="R3223" s="322">
        <v>24400</v>
      </c>
      <c r="S3223" s="322">
        <v>29000</v>
      </c>
      <c r="T3223" s="322">
        <v>26100</v>
      </c>
      <c r="U3223" s="322">
        <f t="shared" si="208"/>
        <v>2900</v>
      </c>
      <c r="W3223" s="321">
        <f t="shared" si="209"/>
        <v>130</v>
      </c>
      <c r="X3223" s="321">
        <f t="shared" si="210"/>
        <v>879001</v>
      </c>
      <c r="Y3223" s="321">
        <v>1</v>
      </c>
      <c r="AA3223" s="321" t="s">
        <v>2576</v>
      </c>
    </row>
    <row r="3224" spans="13:27">
      <c r="M3224" s="321">
        <v>1879001140</v>
      </c>
      <c r="N3224" s="321">
        <v>87</v>
      </c>
      <c r="O3224" s="321" t="s">
        <v>5404</v>
      </c>
      <c r="P3224" s="321">
        <v>6879000</v>
      </c>
      <c r="Q3224" s="322">
        <v>43000</v>
      </c>
      <c r="R3224" s="322">
        <v>30000</v>
      </c>
      <c r="S3224" s="322">
        <v>52000</v>
      </c>
      <c r="T3224" s="322">
        <v>52000</v>
      </c>
      <c r="U3224" s="322">
        <f t="shared" si="208"/>
        <v>0</v>
      </c>
      <c r="W3224" s="321">
        <f t="shared" si="209"/>
        <v>140</v>
      </c>
      <c r="X3224" s="321">
        <f t="shared" si="210"/>
        <v>879001</v>
      </c>
      <c r="Y3224" s="321">
        <v>1</v>
      </c>
      <c r="AA3224" s="321" t="s">
        <v>5404</v>
      </c>
    </row>
    <row r="3225" spans="13:27">
      <c r="M3225" s="321">
        <v>1879001141</v>
      </c>
      <c r="N3225" s="321">
        <v>87</v>
      </c>
      <c r="O3225" s="321" t="s">
        <v>5712</v>
      </c>
      <c r="P3225" s="321">
        <v>6879000</v>
      </c>
      <c r="Q3225" s="322">
        <v>17000</v>
      </c>
      <c r="R3225" s="322">
        <v>5000</v>
      </c>
      <c r="S3225" s="322">
        <v>9000</v>
      </c>
      <c r="T3225" s="322">
        <v>9000</v>
      </c>
      <c r="U3225" s="322">
        <f t="shared" si="208"/>
        <v>0</v>
      </c>
      <c r="W3225" s="321">
        <f t="shared" si="209"/>
        <v>141</v>
      </c>
      <c r="X3225" s="321">
        <f t="shared" si="210"/>
        <v>879001</v>
      </c>
      <c r="Y3225" s="321">
        <v>1</v>
      </c>
      <c r="AA3225" s="321" t="s">
        <v>5712</v>
      </c>
    </row>
    <row r="3226" spans="13:27">
      <c r="M3226" s="321">
        <v>1879001181</v>
      </c>
      <c r="N3226" s="321">
        <v>87</v>
      </c>
      <c r="O3226" s="321" t="s">
        <v>6321</v>
      </c>
      <c r="P3226" s="321">
        <v>6879000</v>
      </c>
      <c r="Q3226" s="322">
        <v>58000</v>
      </c>
      <c r="R3226" s="322">
        <v>40700</v>
      </c>
      <c r="S3226" s="322">
        <v>74000</v>
      </c>
      <c r="T3226" s="322">
        <v>74000</v>
      </c>
      <c r="U3226" s="322">
        <f t="shared" si="208"/>
        <v>0</v>
      </c>
      <c r="W3226" s="321">
        <f t="shared" si="209"/>
        <v>181</v>
      </c>
      <c r="X3226" s="321">
        <f t="shared" si="210"/>
        <v>879001</v>
      </c>
      <c r="Y3226" s="321">
        <v>1</v>
      </c>
      <c r="AA3226" s="321" t="s">
        <v>6321</v>
      </c>
    </row>
    <row r="3227" spans="13:27">
      <c r="M3227" s="321">
        <v>1879001182</v>
      </c>
      <c r="N3227" s="321">
        <v>87</v>
      </c>
      <c r="O3227" s="321" t="s">
        <v>2582</v>
      </c>
      <c r="P3227" s="321">
        <v>6879000</v>
      </c>
      <c r="Q3227" s="322">
        <v>44000</v>
      </c>
      <c r="R3227" s="322">
        <v>27300</v>
      </c>
      <c r="S3227" s="322">
        <v>47000</v>
      </c>
      <c r="T3227" s="322">
        <v>47000</v>
      </c>
      <c r="U3227" s="322">
        <f t="shared" si="208"/>
        <v>0</v>
      </c>
      <c r="W3227" s="321">
        <f t="shared" si="209"/>
        <v>182</v>
      </c>
      <c r="X3227" s="321">
        <f t="shared" si="210"/>
        <v>879001</v>
      </c>
      <c r="Y3227" s="321">
        <v>1</v>
      </c>
      <c r="AA3227" s="321" t="s">
        <v>2582</v>
      </c>
    </row>
    <row r="3228" spans="13:27">
      <c r="M3228" s="321">
        <v>1879001470</v>
      </c>
      <c r="N3228" s="321">
        <v>87</v>
      </c>
      <c r="O3228" s="321" t="s">
        <v>2660</v>
      </c>
      <c r="P3228" s="321">
        <v>6879000</v>
      </c>
      <c r="Q3228" s="322">
        <v>1700</v>
      </c>
      <c r="R3228" s="322">
        <v>800</v>
      </c>
      <c r="S3228" s="322">
        <v>1700</v>
      </c>
      <c r="T3228" s="322">
        <v>1700</v>
      </c>
      <c r="U3228" s="322">
        <f t="shared" si="208"/>
        <v>0</v>
      </c>
      <c r="W3228" s="321">
        <f t="shared" si="209"/>
        <v>470</v>
      </c>
      <c r="X3228" s="321">
        <f t="shared" si="210"/>
        <v>879001</v>
      </c>
      <c r="Y3228" s="321">
        <v>1</v>
      </c>
      <c r="AA3228" s="321" t="s">
        <v>2660</v>
      </c>
    </row>
    <row r="3229" spans="13:27">
      <c r="M3229" s="321">
        <v>1879001471</v>
      </c>
      <c r="N3229" s="321">
        <v>87</v>
      </c>
      <c r="O3229" s="321" t="s">
        <v>5475</v>
      </c>
      <c r="P3229" s="321">
        <v>1879000</v>
      </c>
      <c r="Q3229" s="322">
        <v>0</v>
      </c>
      <c r="R3229" s="322">
        <v>0</v>
      </c>
      <c r="S3229" s="322">
        <v>0</v>
      </c>
      <c r="T3229" s="322">
        <v>0</v>
      </c>
      <c r="U3229" s="322">
        <f t="shared" si="208"/>
        <v>0</v>
      </c>
      <c r="W3229" s="321">
        <f t="shared" si="209"/>
        <v>471</v>
      </c>
      <c r="X3229" s="321">
        <f t="shared" si="210"/>
        <v>879001</v>
      </c>
      <c r="Y3229" s="321">
        <v>1</v>
      </c>
      <c r="AA3229" s="321" t="s">
        <v>5475</v>
      </c>
    </row>
    <row r="3230" spans="13:27">
      <c r="M3230" s="321">
        <v>1879001540</v>
      </c>
      <c r="N3230" s="321">
        <v>87</v>
      </c>
      <c r="O3230" s="321" t="s">
        <v>5216</v>
      </c>
      <c r="P3230" s="321">
        <v>6879000</v>
      </c>
      <c r="Q3230" s="322">
        <v>0</v>
      </c>
      <c r="R3230" s="322">
        <v>0</v>
      </c>
      <c r="S3230" s="322">
        <v>0</v>
      </c>
      <c r="T3230" s="322">
        <v>0</v>
      </c>
      <c r="U3230" s="322">
        <f t="shared" si="208"/>
        <v>0</v>
      </c>
      <c r="W3230" s="321">
        <f t="shared" si="209"/>
        <v>540</v>
      </c>
      <c r="X3230" s="321">
        <f t="shared" si="210"/>
        <v>879001</v>
      </c>
      <c r="Y3230" s="321">
        <v>1</v>
      </c>
      <c r="AA3230" s="321" t="s">
        <v>5216</v>
      </c>
    </row>
    <row r="3231" spans="13:27">
      <c r="M3231" s="321">
        <v>1879001542</v>
      </c>
      <c r="N3231" s="321">
        <v>87</v>
      </c>
      <c r="O3231" s="321" t="s">
        <v>5409</v>
      </c>
      <c r="P3231" s="321">
        <v>6879000</v>
      </c>
      <c r="Q3231" s="322">
        <v>0</v>
      </c>
      <c r="R3231" s="322">
        <v>0</v>
      </c>
      <c r="S3231" s="322">
        <v>0</v>
      </c>
      <c r="T3231" s="322">
        <v>0</v>
      </c>
      <c r="U3231" s="322">
        <f t="shared" si="208"/>
        <v>0</v>
      </c>
      <c r="W3231" s="321">
        <f t="shared" si="209"/>
        <v>542</v>
      </c>
      <c r="X3231" s="321">
        <f t="shared" si="210"/>
        <v>879001</v>
      </c>
      <c r="Y3231" s="321">
        <v>1</v>
      </c>
      <c r="AA3231" s="321" t="s">
        <v>5409</v>
      </c>
    </row>
    <row r="3232" spans="13:27">
      <c r="M3232" s="321">
        <v>1879001730</v>
      </c>
      <c r="N3232" s="321">
        <v>87</v>
      </c>
      <c r="O3232" s="321" t="s">
        <v>6322</v>
      </c>
      <c r="P3232" s="321">
        <v>6879000</v>
      </c>
      <c r="Q3232" s="322">
        <v>40000</v>
      </c>
      <c r="R3232" s="322">
        <v>19300</v>
      </c>
      <c r="S3232" s="322">
        <v>55000</v>
      </c>
      <c r="T3232" s="322">
        <v>55000</v>
      </c>
      <c r="U3232" s="322">
        <f t="shared" si="208"/>
        <v>0</v>
      </c>
      <c r="W3232" s="321">
        <f t="shared" si="209"/>
        <v>730</v>
      </c>
      <c r="X3232" s="321">
        <f t="shared" si="210"/>
        <v>879001</v>
      </c>
      <c r="Y3232" s="321">
        <v>1</v>
      </c>
      <c r="AA3232" s="321" t="s">
        <v>6322</v>
      </c>
    </row>
    <row r="3233" spans="13:27">
      <c r="M3233" s="321">
        <v>1879001731</v>
      </c>
      <c r="N3233" s="321">
        <v>87</v>
      </c>
      <c r="O3233" s="321" t="s">
        <v>6323</v>
      </c>
      <c r="P3233" s="321">
        <v>6879000</v>
      </c>
      <c r="Q3233" s="322">
        <v>25000</v>
      </c>
      <c r="R3233" s="322">
        <v>0</v>
      </c>
      <c r="S3233" s="322">
        <v>25000</v>
      </c>
      <c r="T3233" s="322">
        <v>25000</v>
      </c>
      <c r="U3233" s="322">
        <f t="shared" si="208"/>
        <v>0</v>
      </c>
      <c r="W3233" s="321">
        <f t="shared" si="209"/>
        <v>731</v>
      </c>
      <c r="X3233" s="321">
        <f t="shared" si="210"/>
        <v>879001</v>
      </c>
      <c r="Y3233" s="321">
        <v>1</v>
      </c>
      <c r="AA3233" s="321" t="s">
        <v>6323</v>
      </c>
    </row>
    <row r="3234" spans="13:27">
      <c r="M3234" s="321">
        <v>1879001732</v>
      </c>
      <c r="N3234" s="321">
        <v>87</v>
      </c>
      <c r="O3234" s="321" t="s">
        <v>5746</v>
      </c>
      <c r="P3234" s="321">
        <v>6879000</v>
      </c>
      <c r="Q3234" s="322">
        <v>10000</v>
      </c>
      <c r="R3234" s="322">
        <v>0</v>
      </c>
      <c r="S3234" s="322">
        <v>10000</v>
      </c>
      <c r="T3234" s="322">
        <v>10000</v>
      </c>
      <c r="U3234" s="322">
        <f t="shared" si="208"/>
        <v>0</v>
      </c>
      <c r="W3234" s="321">
        <f t="shared" si="209"/>
        <v>732</v>
      </c>
      <c r="X3234" s="321">
        <f t="shared" si="210"/>
        <v>879001</v>
      </c>
      <c r="Y3234" s="321">
        <v>1</v>
      </c>
      <c r="AA3234" s="321" t="s">
        <v>5746</v>
      </c>
    </row>
    <row r="3235" spans="13:27">
      <c r="M3235" s="321">
        <v>1879001750</v>
      </c>
      <c r="N3235" s="321">
        <v>87</v>
      </c>
      <c r="O3235" s="321" t="s">
        <v>6324</v>
      </c>
      <c r="P3235" s="321">
        <v>6879000</v>
      </c>
      <c r="Q3235" s="322">
        <v>46000</v>
      </c>
      <c r="R3235" s="322">
        <v>10500</v>
      </c>
      <c r="S3235" s="322">
        <v>46000</v>
      </c>
      <c r="T3235" s="322">
        <v>46000</v>
      </c>
      <c r="U3235" s="322">
        <f t="shared" si="208"/>
        <v>0</v>
      </c>
      <c r="W3235" s="321">
        <f t="shared" si="209"/>
        <v>750</v>
      </c>
      <c r="X3235" s="321">
        <f t="shared" si="210"/>
        <v>879001</v>
      </c>
      <c r="Y3235" s="321">
        <v>1</v>
      </c>
      <c r="AA3235" s="321" t="s">
        <v>6324</v>
      </c>
    </row>
    <row r="3236" spans="13:27">
      <c r="M3236" s="321">
        <v>1879001778</v>
      </c>
      <c r="N3236" s="321">
        <v>87</v>
      </c>
      <c r="O3236" s="321" t="s">
        <v>5403</v>
      </c>
      <c r="P3236" s="321">
        <v>6879000</v>
      </c>
      <c r="Q3236" s="322">
        <v>10000</v>
      </c>
      <c r="R3236" s="322">
        <v>0</v>
      </c>
      <c r="S3236" s="322">
        <v>25000</v>
      </c>
      <c r="T3236" s="322">
        <v>25000</v>
      </c>
      <c r="U3236" s="322">
        <f t="shared" si="208"/>
        <v>0</v>
      </c>
      <c r="W3236" s="321">
        <f t="shared" si="209"/>
        <v>778</v>
      </c>
      <c r="X3236" s="321">
        <f t="shared" si="210"/>
        <v>879001</v>
      </c>
      <c r="Y3236" s="321">
        <v>1</v>
      </c>
      <c r="AA3236" s="321" t="s">
        <v>5403</v>
      </c>
    </row>
    <row r="3237" spans="13:27">
      <c r="M3237" s="321">
        <v>1879001779</v>
      </c>
      <c r="N3237" s="321">
        <v>87</v>
      </c>
      <c r="O3237" s="321" t="s">
        <v>5382</v>
      </c>
      <c r="P3237" s="321">
        <v>6879000</v>
      </c>
      <c r="Q3237" s="322">
        <v>4000</v>
      </c>
      <c r="R3237" s="322">
        <v>0</v>
      </c>
      <c r="S3237" s="322">
        <v>0</v>
      </c>
      <c r="T3237" s="322">
        <v>0</v>
      </c>
      <c r="U3237" s="322">
        <f t="shared" si="208"/>
        <v>0</v>
      </c>
      <c r="W3237" s="321">
        <f t="shared" si="209"/>
        <v>779</v>
      </c>
      <c r="X3237" s="321">
        <f t="shared" si="210"/>
        <v>879001</v>
      </c>
      <c r="Y3237" s="321">
        <v>1</v>
      </c>
      <c r="AA3237" s="321" t="s">
        <v>5382</v>
      </c>
    </row>
    <row r="3238" spans="13:27">
      <c r="M3238" s="321">
        <v>1879001930</v>
      </c>
      <c r="N3238" s="321">
        <v>87</v>
      </c>
      <c r="O3238" s="321" t="s">
        <v>5390</v>
      </c>
      <c r="P3238" s="321">
        <v>6879000</v>
      </c>
      <c r="Q3238" s="322">
        <v>10000</v>
      </c>
      <c r="R3238" s="322">
        <v>2200</v>
      </c>
      <c r="S3238" s="322">
        <v>20000</v>
      </c>
      <c r="T3238" s="322">
        <v>10000</v>
      </c>
      <c r="U3238" s="322">
        <f t="shared" si="208"/>
        <v>10000</v>
      </c>
      <c r="W3238" s="321">
        <f t="shared" si="209"/>
        <v>930</v>
      </c>
      <c r="X3238" s="321">
        <f t="shared" si="210"/>
        <v>879001</v>
      </c>
      <c r="Y3238" s="321">
        <v>1</v>
      </c>
      <c r="AA3238" s="321" t="s">
        <v>5390</v>
      </c>
    </row>
    <row r="3239" spans="13:27">
      <c r="M3239" s="321">
        <v>1913000530</v>
      </c>
      <c r="N3239" s="321">
        <v>91</v>
      </c>
      <c r="O3239" s="321" t="s">
        <v>6325</v>
      </c>
      <c r="P3239" s="321">
        <v>3910000</v>
      </c>
      <c r="Q3239" s="322">
        <v>0</v>
      </c>
      <c r="R3239" s="322">
        <v>0</v>
      </c>
      <c r="S3239" s="322">
        <v>0</v>
      </c>
      <c r="T3239" s="322">
        <v>0</v>
      </c>
      <c r="U3239" s="322">
        <f t="shared" si="208"/>
        <v>0</v>
      </c>
      <c r="W3239" s="321">
        <f t="shared" si="209"/>
        <v>530</v>
      </c>
      <c r="X3239" s="321">
        <f t="shared" si="210"/>
        <v>913000</v>
      </c>
      <c r="Y3239" s="321">
        <v>1</v>
      </c>
      <c r="AA3239" s="321" t="s">
        <v>6325</v>
      </c>
    </row>
    <row r="3240" spans="13:27">
      <c r="M3240" s="321">
        <v>1913000691</v>
      </c>
      <c r="N3240" s="321">
        <v>91</v>
      </c>
      <c r="O3240" s="321" t="s">
        <v>6326</v>
      </c>
      <c r="P3240" s="321">
        <v>3910000</v>
      </c>
      <c r="Q3240" s="322">
        <v>858000</v>
      </c>
      <c r="R3240" s="322">
        <v>670500</v>
      </c>
      <c r="S3240" s="322">
        <v>0</v>
      </c>
      <c r="T3240" s="322">
        <v>0</v>
      </c>
      <c r="U3240" s="322">
        <f t="shared" si="208"/>
        <v>0</v>
      </c>
      <c r="W3240" s="321">
        <f t="shared" si="209"/>
        <v>691</v>
      </c>
      <c r="X3240" s="321">
        <f t="shared" si="210"/>
        <v>913000</v>
      </c>
      <c r="Y3240" s="321">
        <v>1</v>
      </c>
      <c r="AA3240" s="321" t="s">
        <v>6326</v>
      </c>
    </row>
    <row r="3241" spans="13:27">
      <c r="M3241" s="321">
        <v>1913000692</v>
      </c>
      <c r="N3241" s="321">
        <v>91</v>
      </c>
      <c r="O3241" s="321" t="s">
        <v>6327</v>
      </c>
      <c r="P3241" s="321">
        <v>3910000</v>
      </c>
      <c r="Q3241" s="322">
        <v>73000</v>
      </c>
      <c r="R3241" s="322">
        <v>57900</v>
      </c>
      <c r="S3241" s="322">
        <v>0</v>
      </c>
      <c r="T3241" s="322">
        <v>0</v>
      </c>
      <c r="U3241" s="322">
        <f t="shared" si="208"/>
        <v>0</v>
      </c>
      <c r="W3241" s="321">
        <f t="shared" si="209"/>
        <v>692</v>
      </c>
      <c r="X3241" s="321">
        <f t="shared" si="210"/>
        <v>913000</v>
      </c>
      <c r="Y3241" s="321">
        <v>1</v>
      </c>
      <c r="AA3241" s="321" t="s">
        <v>6327</v>
      </c>
    </row>
    <row r="3242" spans="13:27">
      <c r="M3242" s="321">
        <v>1913000693</v>
      </c>
      <c r="N3242" s="321">
        <v>91</v>
      </c>
      <c r="O3242" s="321" t="s">
        <v>6328</v>
      </c>
      <c r="P3242" s="321">
        <v>3910000</v>
      </c>
      <c r="Q3242" s="322">
        <v>209000</v>
      </c>
      <c r="R3242" s="322">
        <v>152600</v>
      </c>
      <c r="S3242" s="322">
        <v>0</v>
      </c>
      <c r="T3242" s="322">
        <v>0</v>
      </c>
      <c r="U3242" s="322">
        <f t="shared" si="208"/>
        <v>0</v>
      </c>
      <c r="W3242" s="321">
        <f t="shared" si="209"/>
        <v>693</v>
      </c>
      <c r="X3242" s="321">
        <f t="shared" si="210"/>
        <v>913000</v>
      </c>
      <c r="Y3242" s="321">
        <v>1</v>
      </c>
      <c r="AA3242" s="321" t="s">
        <v>6328</v>
      </c>
    </row>
    <row r="3243" spans="13:27">
      <c r="M3243" s="321">
        <v>1913010110</v>
      </c>
      <c r="N3243" s="321">
        <v>91</v>
      </c>
      <c r="O3243" s="321" t="s">
        <v>5231</v>
      </c>
      <c r="P3243" s="321">
        <v>3910000</v>
      </c>
      <c r="Q3243" s="322">
        <v>0</v>
      </c>
      <c r="R3243" s="322">
        <v>0</v>
      </c>
      <c r="S3243" s="322">
        <v>0</v>
      </c>
      <c r="T3243" s="322">
        <v>0</v>
      </c>
      <c r="U3243" s="322">
        <f t="shared" si="208"/>
        <v>0</v>
      </c>
      <c r="W3243" s="321">
        <f t="shared" si="209"/>
        <v>110</v>
      </c>
      <c r="X3243" s="321">
        <f t="shared" si="210"/>
        <v>913010</v>
      </c>
      <c r="Y3243" s="321">
        <v>1</v>
      </c>
      <c r="AA3243" s="321" t="s">
        <v>5231</v>
      </c>
    </row>
    <row r="3244" spans="13:27">
      <c r="M3244" s="321">
        <v>1913010120</v>
      </c>
      <c r="N3244" s="321">
        <v>91</v>
      </c>
      <c r="O3244" s="321" t="s">
        <v>5206</v>
      </c>
      <c r="P3244" s="321">
        <v>3910000</v>
      </c>
      <c r="Q3244" s="322">
        <v>0</v>
      </c>
      <c r="R3244" s="322">
        <v>0</v>
      </c>
      <c r="S3244" s="322">
        <v>0</v>
      </c>
      <c r="T3244" s="322">
        <v>0</v>
      </c>
      <c r="U3244" s="322">
        <f t="shared" si="208"/>
        <v>0</v>
      </c>
      <c r="W3244" s="321">
        <f t="shared" si="209"/>
        <v>120</v>
      </c>
      <c r="X3244" s="321">
        <f t="shared" si="210"/>
        <v>913010</v>
      </c>
      <c r="Y3244" s="321">
        <v>1</v>
      </c>
      <c r="AA3244" s="321" t="s">
        <v>5206</v>
      </c>
    </row>
    <row r="3245" spans="13:27">
      <c r="M3245" s="321">
        <v>1913010130</v>
      </c>
      <c r="N3245" s="321">
        <v>91</v>
      </c>
      <c r="O3245" s="321" t="s">
        <v>2576</v>
      </c>
      <c r="P3245" s="321">
        <v>3910000</v>
      </c>
      <c r="Q3245" s="322">
        <v>0</v>
      </c>
      <c r="R3245" s="322">
        <v>0</v>
      </c>
      <c r="S3245" s="322">
        <v>0</v>
      </c>
      <c r="T3245" s="322">
        <v>0</v>
      </c>
      <c r="U3245" s="322">
        <f t="shared" si="208"/>
        <v>0</v>
      </c>
      <c r="W3245" s="321">
        <f t="shared" si="209"/>
        <v>130</v>
      </c>
      <c r="X3245" s="321">
        <f t="shared" si="210"/>
        <v>913010</v>
      </c>
      <c r="Y3245" s="321">
        <v>1</v>
      </c>
      <c r="AA3245" s="321" t="s">
        <v>2576</v>
      </c>
    </row>
    <row r="3246" spans="13:27">
      <c r="M3246" s="321">
        <v>1913010140</v>
      </c>
      <c r="N3246" s="321">
        <v>91</v>
      </c>
      <c r="O3246" s="321" t="s">
        <v>5207</v>
      </c>
      <c r="P3246" s="321">
        <v>3910000</v>
      </c>
      <c r="Q3246" s="322">
        <v>0</v>
      </c>
      <c r="R3246" s="322">
        <v>0</v>
      </c>
      <c r="S3246" s="322">
        <v>0</v>
      </c>
      <c r="T3246" s="322">
        <v>0</v>
      </c>
      <c r="U3246" s="322">
        <f t="shared" si="208"/>
        <v>0</v>
      </c>
      <c r="W3246" s="321">
        <f t="shared" si="209"/>
        <v>140</v>
      </c>
      <c r="X3246" s="321">
        <f t="shared" si="210"/>
        <v>913010</v>
      </c>
      <c r="Y3246" s="321">
        <v>1</v>
      </c>
      <c r="AA3246" s="321" t="s">
        <v>5207</v>
      </c>
    </row>
    <row r="3247" spans="13:27">
      <c r="M3247" s="321">
        <v>1913010141</v>
      </c>
      <c r="N3247" s="321">
        <v>91</v>
      </c>
      <c r="O3247" s="321" t="s">
        <v>5208</v>
      </c>
      <c r="P3247" s="321">
        <v>3910000</v>
      </c>
      <c r="Q3247" s="322">
        <v>0</v>
      </c>
      <c r="R3247" s="322">
        <v>0</v>
      </c>
      <c r="S3247" s="322">
        <v>0</v>
      </c>
      <c r="T3247" s="322">
        <v>0</v>
      </c>
      <c r="U3247" s="322">
        <f t="shared" si="208"/>
        <v>0</v>
      </c>
      <c r="W3247" s="321">
        <f t="shared" si="209"/>
        <v>141</v>
      </c>
      <c r="X3247" s="321">
        <f t="shared" si="210"/>
        <v>913010</v>
      </c>
      <c r="Y3247" s="321">
        <v>1</v>
      </c>
      <c r="AA3247" s="321" t="s">
        <v>5208</v>
      </c>
    </row>
    <row r="3248" spans="13:27">
      <c r="M3248" s="321">
        <v>1913010181</v>
      </c>
      <c r="N3248" s="321">
        <v>91</v>
      </c>
      <c r="O3248" s="321" t="s">
        <v>2580</v>
      </c>
      <c r="P3248" s="321">
        <v>3910000</v>
      </c>
      <c r="Q3248" s="322">
        <v>0</v>
      </c>
      <c r="R3248" s="322">
        <v>0</v>
      </c>
      <c r="S3248" s="322">
        <v>0</v>
      </c>
      <c r="T3248" s="322">
        <v>0</v>
      </c>
      <c r="U3248" s="322">
        <f t="shared" si="208"/>
        <v>0</v>
      </c>
      <c r="W3248" s="321">
        <f t="shared" si="209"/>
        <v>181</v>
      </c>
      <c r="X3248" s="321">
        <f t="shared" si="210"/>
        <v>913010</v>
      </c>
      <c r="Y3248" s="321">
        <v>1</v>
      </c>
      <c r="AA3248" s="321" t="s">
        <v>2580</v>
      </c>
    </row>
    <row r="3249" spans="13:27">
      <c r="M3249" s="321">
        <v>1913010182</v>
      </c>
      <c r="N3249" s="321">
        <v>91</v>
      </c>
      <c r="O3249" s="321" t="s">
        <v>2582</v>
      </c>
      <c r="P3249" s="321">
        <v>3910000</v>
      </c>
      <c r="Q3249" s="322">
        <v>0</v>
      </c>
      <c r="R3249" s="322">
        <v>0</v>
      </c>
      <c r="S3249" s="322">
        <v>0</v>
      </c>
      <c r="T3249" s="322">
        <v>0</v>
      </c>
      <c r="U3249" s="322">
        <f t="shared" si="208"/>
        <v>0</v>
      </c>
      <c r="W3249" s="321">
        <f t="shared" si="209"/>
        <v>182</v>
      </c>
      <c r="X3249" s="321">
        <f t="shared" si="210"/>
        <v>913010</v>
      </c>
      <c r="Y3249" s="321">
        <v>1</v>
      </c>
      <c r="AA3249" s="321" t="s">
        <v>2582</v>
      </c>
    </row>
    <row r="3250" spans="13:27">
      <c r="M3250" s="321">
        <v>1931000110</v>
      </c>
      <c r="N3250" s="321">
        <v>93</v>
      </c>
      <c r="O3250" s="321" t="s">
        <v>5205</v>
      </c>
      <c r="P3250" s="321">
        <v>3930000</v>
      </c>
      <c r="Q3250" s="322">
        <v>441000</v>
      </c>
      <c r="R3250" s="322">
        <v>335700</v>
      </c>
      <c r="S3250" s="322">
        <v>461000</v>
      </c>
      <c r="T3250" s="322">
        <v>461000</v>
      </c>
      <c r="U3250" s="322">
        <f t="shared" si="208"/>
        <v>0</v>
      </c>
      <c r="W3250" s="321">
        <f t="shared" si="209"/>
        <v>110</v>
      </c>
      <c r="X3250" s="321">
        <f t="shared" si="210"/>
        <v>931000</v>
      </c>
      <c r="Y3250" s="321">
        <v>1</v>
      </c>
      <c r="AA3250" s="321" t="s">
        <v>5205</v>
      </c>
    </row>
    <row r="3251" spans="13:27">
      <c r="M3251" s="321">
        <v>1931000120</v>
      </c>
      <c r="N3251" s="321">
        <v>93</v>
      </c>
      <c r="O3251" s="321" t="s">
        <v>5206</v>
      </c>
      <c r="P3251" s="321">
        <v>3930000</v>
      </c>
      <c r="Q3251" s="322">
        <v>78000</v>
      </c>
      <c r="R3251" s="322">
        <v>54800</v>
      </c>
      <c r="S3251" s="322">
        <v>64000</v>
      </c>
      <c r="T3251" s="322">
        <v>64000</v>
      </c>
      <c r="U3251" s="322">
        <f t="shared" si="208"/>
        <v>0</v>
      </c>
      <c r="W3251" s="321">
        <f t="shared" si="209"/>
        <v>120</v>
      </c>
      <c r="X3251" s="321">
        <f t="shared" si="210"/>
        <v>931000</v>
      </c>
      <c r="Y3251" s="321">
        <v>1</v>
      </c>
      <c r="AA3251" s="321" t="s">
        <v>5206</v>
      </c>
    </row>
    <row r="3252" spans="13:27">
      <c r="M3252" s="321">
        <v>1931000130</v>
      </c>
      <c r="N3252" s="321">
        <v>93</v>
      </c>
      <c r="O3252" s="321" t="s">
        <v>2576</v>
      </c>
      <c r="P3252" s="321">
        <v>3930000</v>
      </c>
      <c r="Q3252" s="322">
        <v>20000</v>
      </c>
      <c r="R3252" s="322">
        <v>15200</v>
      </c>
      <c r="S3252" s="322">
        <v>18000</v>
      </c>
      <c r="T3252" s="322">
        <v>16200</v>
      </c>
      <c r="U3252" s="322">
        <f t="shared" si="208"/>
        <v>1800</v>
      </c>
      <c r="W3252" s="321">
        <f t="shared" si="209"/>
        <v>130</v>
      </c>
      <c r="X3252" s="321">
        <f t="shared" si="210"/>
        <v>931000</v>
      </c>
      <c r="Y3252" s="321">
        <v>1</v>
      </c>
      <c r="AA3252" s="321" t="s">
        <v>2576</v>
      </c>
    </row>
    <row r="3253" spans="13:27">
      <c r="M3253" s="321">
        <v>1931000140</v>
      </c>
      <c r="N3253" s="321">
        <v>93</v>
      </c>
      <c r="O3253" s="321" t="s">
        <v>5207</v>
      </c>
      <c r="P3253" s="321">
        <v>3930000</v>
      </c>
      <c r="Q3253" s="322">
        <v>106000</v>
      </c>
      <c r="R3253" s="322">
        <v>88000</v>
      </c>
      <c r="S3253" s="322">
        <v>110000</v>
      </c>
      <c r="T3253" s="322">
        <v>110000</v>
      </c>
      <c r="U3253" s="322">
        <f t="shared" si="208"/>
        <v>0</v>
      </c>
      <c r="W3253" s="321">
        <f t="shared" si="209"/>
        <v>140</v>
      </c>
      <c r="X3253" s="321">
        <f t="shared" si="210"/>
        <v>931000</v>
      </c>
      <c r="Y3253" s="321">
        <v>1</v>
      </c>
      <c r="AA3253" s="321" t="s">
        <v>5207</v>
      </c>
    </row>
    <row r="3254" spans="13:27">
      <c r="M3254" s="321">
        <v>1931000141</v>
      </c>
      <c r="N3254" s="321">
        <v>93</v>
      </c>
      <c r="O3254" s="321" t="s">
        <v>5208</v>
      </c>
      <c r="P3254" s="321">
        <v>3930000</v>
      </c>
      <c r="Q3254" s="322">
        <v>27000</v>
      </c>
      <c r="R3254" s="322">
        <v>16800</v>
      </c>
      <c r="S3254" s="322">
        <v>23000</v>
      </c>
      <c r="T3254" s="322">
        <v>23000</v>
      </c>
      <c r="U3254" s="322">
        <f t="shared" si="208"/>
        <v>0</v>
      </c>
      <c r="W3254" s="321">
        <f t="shared" si="209"/>
        <v>141</v>
      </c>
      <c r="X3254" s="321">
        <f t="shared" si="210"/>
        <v>931000</v>
      </c>
      <c r="Y3254" s="321">
        <v>1</v>
      </c>
      <c r="AA3254" s="321" t="s">
        <v>5208</v>
      </c>
    </row>
    <row r="3255" spans="13:27">
      <c r="M3255" s="321">
        <v>1931000181</v>
      </c>
      <c r="N3255" s="321">
        <v>93</v>
      </c>
      <c r="O3255" s="321" t="s">
        <v>2580</v>
      </c>
      <c r="P3255" s="321">
        <v>3930000</v>
      </c>
      <c r="Q3255" s="322">
        <v>88000</v>
      </c>
      <c r="R3255" s="322">
        <v>67500</v>
      </c>
      <c r="S3255" s="322">
        <v>91000</v>
      </c>
      <c r="T3255" s="322">
        <v>91000</v>
      </c>
      <c r="U3255" s="322">
        <f t="shared" si="208"/>
        <v>0</v>
      </c>
      <c r="W3255" s="321">
        <f t="shared" si="209"/>
        <v>181</v>
      </c>
      <c r="X3255" s="321">
        <f t="shared" si="210"/>
        <v>931000</v>
      </c>
      <c r="Y3255" s="321">
        <v>1</v>
      </c>
      <c r="AA3255" s="321" t="s">
        <v>2580</v>
      </c>
    </row>
    <row r="3256" spans="13:27">
      <c r="M3256" s="321">
        <v>1931000182</v>
      </c>
      <c r="N3256" s="321">
        <v>93</v>
      </c>
      <c r="O3256" s="321" t="s">
        <v>2582</v>
      </c>
      <c r="P3256" s="321">
        <v>3930000</v>
      </c>
      <c r="Q3256" s="322">
        <v>89000</v>
      </c>
      <c r="R3256" s="322">
        <v>67600</v>
      </c>
      <c r="S3256" s="322">
        <v>93000</v>
      </c>
      <c r="T3256" s="322">
        <v>93000</v>
      </c>
      <c r="U3256" s="322">
        <f t="shared" si="208"/>
        <v>0</v>
      </c>
      <c r="W3256" s="321">
        <f t="shared" si="209"/>
        <v>182</v>
      </c>
      <c r="X3256" s="321">
        <f t="shared" si="210"/>
        <v>931000</v>
      </c>
      <c r="Y3256" s="321">
        <v>1</v>
      </c>
      <c r="AA3256" s="321" t="s">
        <v>2582</v>
      </c>
    </row>
    <row r="3257" spans="13:27">
      <c r="M3257" s="321">
        <v>1931000210</v>
      </c>
      <c r="N3257" s="321">
        <v>93</v>
      </c>
      <c r="O3257" s="321" t="s">
        <v>5549</v>
      </c>
      <c r="P3257" s="321">
        <v>3930000</v>
      </c>
      <c r="Q3257" s="322">
        <v>0</v>
      </c>
      <c r="R3257" s="322">
        <v>0</v>
      </c>
      <c r="S3257" s="322">
        <v>0</v>
      </c>
      <c r="T3257" s="322">
        <v>0</v>
      </c>
      <c r="U3257" s="322">
        <f t="shared" si="208"/>
        <v>0</v>
      </c>
      <c r="W3257" s="321">
        <f t="shared" si="209"/>
        <v>210</v>
      </c>
      <c r="X3257" s="321">
        <f t="shared" si="210"/>
        <v>931000</v>
      </c>
      <c r="Y3257" s="321">
        <v>1</v>
      </c>
      <c r="AA3257" s="321" t="s">
        <v>5549</v>
      </c>
    </row>
    <row r="3258" spans="13:27">
      <c r="M3258" s="321">
        <v>1931000470</v>
      </c>
      <c r="N3258" s="321">
        <v>93</v>
      </c>
      <c r="O3258" s="321" t="s">
        <v>2830</v>
      </c>
      <c r="P3258" s="321">
        <v>3930000</v>
      </c>
      <c r="Q3258" s="322">
        <v>4000</v>
      </c>
      <c r="R3258" s="322">
        <v>2500</v>
      </c>
      <c r="S3258" s="322">
        <v>5000</v>
      </c>
      <c r="T3258" s="322">
        <v>5000</v>
      </c>
      <c r="U3258" s="322">
        <f t="shared" si="208"/>
        <v>0</v>
      </c>
      <c r="W3258" s="321">
        <f t="shared" si="209"/>
        <v>470</v>
      </c>
      <c r="X3258" s="321">
        <f t="shared" si="210"/>
        <v>931000</v>
      </c>
      <c r="Y3258" s="321">
        <v>1</v>
      </c>
      <c r="AA3258" s="321" t="s">
        <v>2830</v>
      </c>
    </row>
    <row r="3259" spans="13:27">
      <c r="M3259" s="321">
        <v>1931000540</v>
      </c>
      <c r="N3259" s="321">
        <v>93</v>
      </c>
      <c r="O3259" s="321" t="s">
        <v>5216</v>
      </c>
      <c r="P3259" s="321">
        <v>3930000</v>
      </c>
      <c r="Q3259" s="322">
        <v>2000</v>
      </c>
      <c r="R3259" s="322">
        <v>1000</v>
      </c>
      <c r="S3259" s="322">
        <v>2000</v>
      </c>
      <c r="T3259" s="322">
        <v>2000</v>
      </c>
      <c r="U3259" s="322">
        <f t="shared" si="208"/>
        <v>0</v>
      </c>
      <c r="W3259" s="321">
        <f t="shared" si="209"/>
        <v>540</v>
      </c>
      <c r="X3259" s="321">
        <f t="shared" si="210"/>
        <v>931000</v>
      </c>
      <c r="Y3259" s="321">
        <v>1</v>
      </c>
      <c r="AA3259" s="321" t="s">
        <v>5216</v>
      </c>
    </row>
    <row r="3260" spans="13:27">
      <c r="M3260" s="321">
        <v>1931000542</v>
      </c>
      <c r="N3260" s="321">
        <v>93</v>
      </c>
      <c r="O3260" s="321" t="s">
        <v>5564</v>
      </c>
      <c r="P3260" s="321">
        <v>3930000</v>
      </c>
      <c r="Q3260" s="322">
        <v>3800</v>
      </c>
      <c r="R3260" s="322">
        <v>2500</v>
      </c>
      <c r="S3260" s="322">
        <v>4000</v>
      </c>
      <c r="T3260" s="322">
        <v>4000</v>
      </c>
      <c r="U3260" s="322">
        <f t="shared" si="208"/>
        <v>0</v>
      </c>
      <c r="W3260" s="321">
        <f t="shared" si="209"/>
        <v>542</v>
      </c>
      <c r="X3260" s="321">
        <f t="shared" si="210"/>
        <v>931000</v>
      </c>
      <c r="Y3260" s="321">
        <v>1</v>
      </c>
      <c r="AA3260" s="321" t="s">
        <v>5564</v>
      </c>
    </row>
    <row r="3261" spans="13:27">
      <c r="M3261" s="321">
        <v>1931000572</v>
      </c>
      <c r="N3261" s="321">
        <v>93</v>
      </c>
      <c r="O3261" s="321" t="s">
        <v>5253</v>
      </c>
      <c r="P3261" s="321">
        <v>3930000</v>
      </c>
      <c r="Q3261" s="322">
        <v>10000</v>
      </c>
      <c r="R3261" s="322">
        <v>8300</v>
      </c>
      <c r="S3261" s="322">
        <v>10000</v>
      </c>
      <c r="T3261" s="322">
        <v>10000</v>
      </c>
      <c r="U3261" s="322">
        <f t="shared" si="208"/>
        <v>0</v>
      </c>
      <c r="W3261" s="321">
        <f t="shared" si="209"/>
        <v>572</v>
      </c>
      <c r="X3261" s="321">
        <f t="shared" si="210"/>
        <v>931000</v>
      </c>
      <c r="Y3261" s="321">
        <v>1</v>
      </c>
      <c r="AA3261" s="321" t="s">
        <v>5253</v>
      </c>
    </row>
    <row r="3262" spans="13:27">
      <c r="M3262" s="321">
        <v>1931000750</v>
      </c>
      <c r="N3262" s="321">
        <v>93</v>
      </c>
      <c r="O3262" s="321" t="s">
        <v>2707</v>
      </c>
      <c r="P3262" s="321">
        <v>3930000</v>
      </c>
      <c r="Q3262" s="322">
        <v>250000</v>
      </c>
      <c r="R3262" s="322">
        <v>77000</v>
      </c>
      <c r="S3262" s="322">
        <v>350000</v>
      </c>
      <c r="T3262" s="322">
        <v>250000</v>
      </c>
      <c r="U3262" s="322">
        <f t="shared" si="208"/>
        <v>100000</v>
      </c>
      <c r="W3262" s="321">
        <f t="shared" si="209"/>
        <v>750</v>
      </c>
      <c r="X3262" s="321">
        <f t="shared" si="210"/>
        <v>931000</v>
      </c>
      <c r="Y3262" s="321">
        <v>1</v>
      </c>
      <c r="AA3262" s="321" t="s">
        <v>2707</v>
      </c>
    </row>
    <row r="3263" spans="13:27">
      <c r="M3263" s="321">
        <v>1931000779</v>
      </c>
      <c r="N3263" s="321">
        <v>93</v>
      </c>
      <c r="O3263" s="321" t="s">
        <v>6329</v>
      </c>
      <c r="P3263" s="321">
        <v>3930000</v>
      </c>
      <c r="Q3263" s="322">
        <v>0</v>
      </c>
      <c r="R3263" s="322">
        <v>0</v>
      </c>
      <c r="S3263" s="322">
        <v>1000</v>
      </c>
      <c r="T3263" s="322">
        <v>1000</v>
      </c>
      <c r="U3263" s="322">
        <f t="shared" si="208"/>
        <v>0</v>
      </c>
      <c r="W3263" s="321">
        <f t="shared" si="209"/>
        <v>779</v>
      </c>
      <c r="X3263" s="321">
        <f t="shared" si="210"/>
        <v>931000</v>
      </c>
      <c r="Y3263" s="321">
        <v>1</v>
      </c>
      <c r="AA3263" s="321" t="s">
        <v>6329</v>
      </c>
    </row>
    <row r="3264" spans="13:27">
      <c r="M3264" s="321">
        <v>1937000473</v>
      </c>
      <c r="N3264" s="321">
        <v>93</v>
      </c>
      <c r="O3264" s="321" t="s">
        <v>6330</v>
      </c>
      <c r="P3264" s="321">
        <v>6781000</v>
      </c>
      <c r="Q3264" s="322">
        <v>31000</v>
      </c>
      <c r="R3264" s="322">
        <v>2500</v>
      </c>
      <c r="S3264" s="322">
        <v>31000</v>
      </c>
      <c r="T3264" s="322">
        <v>31000</v>
      </c>
      <c r="U3264" s="322">
        <f t="shared" si="208"/>
        <v>0</v>
      </c>
      <c r="W3264" s="321">
        <f t="shared" si="209"/>
        <v>473</v>
      </c>
      <c r="X3264" s="321">
        <f t="shared" si="210"/>
        <v>937000</v>
      </c>
      <c r="Y3264" s="321">
        <v>1</v>
      </c>
      <c r="AA3264" s="321" t="s">
        <v>6330</v>
      </c>
    </row>
    <row r="3265" spans="13:27">
      <c r="M3265" s="321">
        <v>1937000742</v>
      </c>
      <c r="N3265" s="321">
        <v>93</v>
      </c>
      <c r="O3265" s="321" t="s">
        <v>5463</v>
      </c>
      <c r="P3265" s="321">
        <v>6937000</v>
      </c>
      <c r="Q3265" s="322">
        <v>2600</v>
      </c>
      <c r="R3265" s="322">
        <v>0</v>
      </c>
      <c r="S3265" s="322">
        <v>2600</v>
      </c>
      <c r="T3265" s="322">
        <v>2600</v>
      </c>
      <c r="U3265" s="322">
        <f t="shared" si="208"/>
        <v>0</v>
      </c>
      <c r="W3265" s="321">
        <f t="shared" si="209"/>
        <v>742</v>
      </c>
      <c r="X3265" s="321">
        <f t="shared" si="210"/>
        <v>937000</v>
      </c>
      <c r="Y3265" s="321">
        <v>1</v>
      </c>
      <c r="AA3265" s="321" t="s">
        <v>5463</v>
      </c>
    </row>
    <row r="3266" spans="13:27">
      <c r="M3266" s="321">
        <v>1937000750</v>
      </c>
      <c r="N3266" s="321">
        <v>93</v>
      </c>
      <c r="O3266" s="321" t="s">
        <v>2707</v>
      </c>
      <c r="P3266" s="321">
        <v>6937000</v>
      </c>
      <c r="Q3266" s="322">
        <v>27000</v>
      </c>
      <c r="R3266" s="322">
        <v>2000</v>
      </c>
      <c r="S3266" s="322">
        <v>26400</v>
      </c>
      <c r="T3266" s="322">
        <v>26400</v>
      </c>
      <c r="U3266" s="322">
        <f t="shared" ref="U3266:U3329" si="211">S3266-T3266</f>
        <v>0</v>
      </c>
      <c r="W3266" s="321">
        <f t="shared" si="209"/>
        <v>750</v>
      </c>
      <c r="X3266" s="321">
        <f t="shared" si="210"/>
        <v>937000</v>
      </c>
      <c r="Y3266" s="321">
        <v>1</v>
      </c>
      <c r="AA3266" s="321" t="s">
        <v>2707</v>
      </c>
    </row>
    <row r="3267" spans="13:27">
      <c r="M3267" s="321">
        <v>1937000751</v>
      </c>
      <c r="N3267" s="321">
        <v>93</v>
      </c>
      <c r="O3267" s="321" t="s">
        <v>6331</v>
      </c>
      <c r="P3267" s="321">
        <v>6937000</v>
      </c>
      <c r="Q3267" s="322">
        <v>775200</v>
      </c>
      <c r="R3267" s="322">
        <v>532000</v>
      </c>
      <c r="S3267" s="322">
        <v>840000</v>
      </c>
      <c r="T3267" s="322">
        <v>840000</v>
      </c>
      <c r="U3267" s="322">
        <f t="shared" si="211"/>
        <v>0</v>
      </c>
      <c r="W3267" s="321">
        <f t="shared" ref="W3267:W3330" si="212">M3267-1000000000-X3267*1000</f>
        <v>751</v>
      </c>
      <c r="X3267" s="321">
        <f t="shared" ref="X3267:X3330" si="213">ROUNDDOWN((M3267-1000000000)/1000,0)</f>
        <v>937000</v>
      </c>
      <c r="Y3267" s="321">
        <v>1</v>
      </c>
      <c r="AA3267" s="321" t="s">
        <v>6331</v>
      </c>
    </row>
    <row r="3268" spans="13:27">
      <c r="M3268" s="321">
        <v>1937000753</v>
      </c>
      <c r="N3268" s="321">
        <v>93</v>
      </c>
      <c r="O3268" s="321" t="s">
        <v>6332</v>
      </c>
      <c r="P3268" s="321">
        <v>6937000</v>
      </c>
      <c r="Q3268" s="322">
        <v>147000</v>
      </c>
      <c r="R3268" s="322">
        <v>146000</v>
      </c>
      <c r="S3268" s="322">
        <v>147000</v>
      </c>
      <c r="T3268" s="322">
        <v>147000</v>
      </c>
      <c r="U3268" s="322">
        <f t="shared" si="211"/>
        <v>0</v>
      </c>
      <c r="W3268" s="321">
        <f t="shared" si="212"/>
        <v>753</v>
      </c>
      <c r="X3268" s="321">
        <f t="shared" si="213"/>
        <v>937000</v>
      </c>
      <c r="Y3268" s="321">
        <v>1</v>
      </c>
      <c r="AA3268" s="321" t="s">
        <v>6332</v>
      </c>
    </row>
    <row r="3269" spans="13:27">
      <c r="M3269" s="321">
        <v>1937000754</v>
      </c>
      <c r="N3269" s="321">
        <v>93</v>
      </c>
      <c r="O3269" s="321" t="s">
        <v>6333</v>
      </c>
      <c r="P3269" s="321">
        <v>6937000</v>
      </c>
      <c r="Q3269" s="322">
        <v>230000</v>
      </c>
      <c r="R3269" s="322">
        <v>114500</v>
      </c>
      <c r="S3269" s="322">
        <v>237000</v>
      </c>
      <c r="T3269" s="322">
        <v>237000</v>
      </c>
      <c r="U3269" s="322">
        <f t="shared" si="211"/>
        <v>0</v>
      </c>
      <c r="W3269" s="321">
        <f t="shared" si="212"/>
        <v>754</v>
      </c>
      <c r="X3269" s="321">
        <f t="shared" si="213"/>
        <v>937000</v>
      </c>
      <c r="Y3269" s="321">
        <v>1</v>
      </c>
      <c r="AA3269" s="321" t="s">
        <v>6333</v>
      </c>
    </row>
    <row r="3270" spans="13:27">
      <c r="M3270" s="321">
        <v>1937000778</v>
      </c>
      <c r="N3270" s="321">
        <v>93</v>
      </c>
      <c r="O3270" s="321" t="s">
        <v>5403</v>
      </c>
      <c r="P3270" s="321">
        <v>6937000</v>
      </c>
      <c r="Q3270" s="322">
        <v>12000</v>
      </c>
      <c r="R3270" s="322">
        <v>1500</v>
      </c>
      <c r="S3270" s="322">
        <v>12000</v>
      </c>
      <c r="T3270" s="322">
        <v>12000</v>
      </c>
      <c r="U3270" s="322">
        <f t="shared" si="211"/>
        <v>0</v>
      </c>
      <c r="W3270" s="321">
        <f t="shared" si="212"/>
        <v>778</v>
      </c>
      <c r="X3270" s="321">
        <f t="shared" si="213"/>
        <v>937000</v>
      </c>
      <c r="Y3270" s="321">
        <v>1</v>
      </c>
      <c r="AA3270" s="321" t="s">
        <v>5403</v>
      </c>
    </row>
    <row r="3271" spans="13:27">
      <c r="M3271" s="321">
        <v>1937000930</v>
      </c>
      <c r="N3271" s="321">
        <v>93</v>
      </c>
      <c r="O3271" s="321" t="s">
        <v>5536</v>
      </c>
      <c r="P3271" s="321">
        <v>6937000</v>
      </c>
      <c r="Q3271" s="322">
        <v>26400</v>
      </c>
      <c r="R3271" s="322">
        <v>0</v>
      </c>
      <c r="S3271" s="322">
        <v>26400</v>
      </c>
      <c r="T3271" s="322">
        <v>26400</v>
      </c>
      <c r="U3271" s="322">
        <f t="shared" si="211"/>
        <v>0</v>
      </c>
      <c r="W3271" s="321">
        <f t="shared" si="212"/>
        <v>930</v>
      </c>
      <c r="X3271" s="321">
        <f t="shared" si="213"/>
        <v>937000</v>
      </c>
      <c r="Y3271" s="321">
        <v>1</v>
      </c>
      <c r="AA3271" s="321" t="s">
        <v>5536</v>
      </c>
    </row>
    <row r="3272" spans="13:27">
      <c r="M3272" s="321">
        <v>1938000110</v>
      </c>
      <c r="N3272" s="321">
        <v>93</v>
      </c>
      <c r="O3272" s="321" t="s">
        <v>5205</v>
      </c>
      <c r="P3272" s="321">
        <v>1938000</v>
      </c>
      <c r="Q3272" s="322">
        <v>428000</v>
      </c>
      <c r="R3272" s="322">
        <v>308000</v>
      </c>
      <c r="S3272" s="322">
        <v>421000</v>
      </c>
      <c r="T3272" s="322">
        <v>421000</v>
      </c>
      <c r="U3272" s="322">
        <f t="shared" si="211"/>
        <v>0</v>
      </c>
      <c r="W3272" s="321">
        <f t="shared" si="212"/>
        <v>110</v>
      </c>
      <c r="X3272" s="321">
        <f t="shared" si="213"/>
        <v>938000</v>
      </c>
      <c r="Y3272" s="321">
        <v>1</v>
      </c>
      <c r="AA3272" s="321" t="s">
        <v>5205</v>
      </c>
    </row>
    <row r="3273" spans="13:27">
      <c r="M3273" s="321">
        <v>1938000120</v>
      </c>
      <c r="N3273" s="321">
        <v>93</v>
      </c>
      <c r="O3273" s="321" t="s">
        <v>5206</v>
      </c>
      <c r="P3273" s="321">
        <v>1938000</v>
      </c>
      <c r="Q3273" s="322">
        <v>76000</v>
      </c>
      <c r="R3273" s="322">
        <v>66000</v>
      </c>
      <c r="S3273" s="322">
        <v>78000</v>
      </c>
      <c r="T3273" s="322">
        <v>78000</v>
      </c>
      <c r="U3273" s="322">
        <f t="shared" si="211"/>
        <v>0</v>
      </c>
      <c r="W3273" s="321">
        <f t="shared" si="212"/>
        <v>120</v>
      </c>
      <c r="X3273" s="321">
        <f t="shared" si="213"/>
        <v>938000</v>
      </c>
      <c r="Y3273" s="321">
        <v>1</v>
      </c>
      <c r="AA3273" s="321" t="s">
        <v>5206</v>
      </c>
    </row>
    <row r="3274" spans="13:27">
      <c r="M3274" s="321">
        <v>1938000130</v>
      </c>
      <c r="N3274" s="321">
        <v>93</v>
      </c>
      <c r="O3274" s="321" t="s">
        <v>2576</v>
      </c>
      <c r="P3274" s="321">
        <v>1938000</v>
      </c>
      <c r="Q3274" s="322">
        <v>171000</v>
      </c>
      <c r="R3274" s="322">
        <v>101900</v>
      </c>
      <c r="S3274" s="322">
        <v>128000</v>
      </c>
      <c r="T3274" s="322">
        <v>115200</v>
      </c>
      <c r="U3274" s="322">
        <f t="shared" si="211"/>
        <v>12800</v>
      </c>
      <c r="W3274" s="321">
        <f t="shared" si="212"/>
        <v>130</v>
      </c>
      <c r="X3274" s="321">
        <f t="shared" si="213"/>
        <v>938000</v>
      </c>
      <c r="Y3274" s="321">
        <v>1</v>
      </c>
      <c r="AA3274" s="321" t="s">
        <v>2576</v>
      </c>
    </row>
    <row r="3275" spans="13:27">
      <c r="M3275" s="321">
        <v>1938000140</v>
      </c>
      <c r="N3275" s="321">
        <v>93</v>
      </c>
      <c r="O3275" s="321" t="s">
        <v>5207</v>
      </c>
      <c r="P3275" s="321">
        <v>1938000</v>
      </c>
      <c r="Q3275" s="322">
        <v>103000</v>
      </c>
      <c r="R3275" s="322">
        <v>79900</v>
      </c>
      <c r="S3275" s="322">
        <v>111000</v>
      </c>
      <c r="T3275" s="322">
        <v>111000</v>
      </c>
      <c r="U3275" s="322">
        <f t="shared" si="211"/>
        <v>0</v>
      </c>
      <c r="W3275" s="321">
        <f t="shared" si="212"/>
        <v>140</v>
      </c>
      <c r="X3275" s="321">
        <f t="shared" si="213"/>
        <v>938000</v>
      </c>
      <c r="Y3275" s="321">
        <v>1</v>
      </c>
      <c r="AA3275" s="321" t="s">
        <v>5207</v>
      </c>
    </row>
    <row r="3276" spans="13:27">
      <c r="M3276" s="321">
        <v>1938000141</v>
      </c>
      <c r="N3276" s="321">
        <v>93</v>
      </c>
      <c r="O3276" s="321" t="s">
        <v>6334</v>
      </c>
      <c r="P3276" s="321">
        <v>1938000</v>
      </c>
      <c r="Q3276" s="322">
        <v>18000</v>
      </c>
      <c r="R3276" s="322">
        <v>14000</v>
      </c>
      <c r="S3276" s="322">
        <v>19000</v>
      </c>
      <c r="T3276" s="322">
        <v>19000</v>
      </c>
      <c r="U3276" s="322">
        <f t="shared" si="211"/>
        <v>0</v>
      </c>
      <c r="W3276" s="321">
        <f t="shared" si="212"/>
        <v>141</v>
      </c>
      <c r="X3276" s="321">
        <f t="shared" si="213"/>
        <v>938000</v>
      </c>
      <c r="Y3276" s="321">
        <v>1</v>
      </c>
      <c r="AA3276" s="321" t="s">
        <v>6334</v>
      </c>
    </row>
    <row r="3277" spans="13:27">
      <c r="M3277" s="321">
        <v>1938000181</v>
      </c>
      <c r="N3277" s="321">
        <v>93</v>
      </c>
      <c r="O3277" s="321" t="s">
        <v>2580</v>
      </c>
      <c r="P3277" s="321">
        <v>1938000</v>
      </c>
      <c r="Q3277" s="322">
        <v>97000</v>
      </c>
      <c r="R3277" s="322">
        <v>68200</v>
      </c>
      <c r="S3277" s="322">
        <v>91000</v>
      </c>
      <c r="T3277" s="322">
        <v>91000</v>
      </c>
      <c r="U3277" s="322">
        <f t="shared" si="211"/>
        <v>0</v>
      </c>
      <c r="W3277" s="321">
        <f t="shared" si="212"/>
        <v>181</v>
      </c>
      <c r="X3277" s="321">
        <f t="shared" si="213"/>
        <v>938000</v>
      </c>
      <c r="Y3277" s="321">
        <v>1</v>
      </c>
      <c r="AA3277" s="321" t="s">
        <v>2580</v>
      </c>
    </row>
    <row r="3278" spans="13:27">
      <c r="M3278" s="321">
        <v>1938000182</v>
      </c>
      <c r="N3278" s="321">
        <v>93</v>
      </c>
      <c r="O3278" s="321" t="s">
        <v>2582</v>
      </c>
      <c r="P3278" s="321">
        <v>1938000</v>
      </c>
      <c r="Q3278" s="322">
        <v>108000</v>
      </c>
      <c r="R3278" s="322">
        <v>76700</v>
      </c>
      <c r="S3278" s="322">
        <v>106000</v>
      </c>
      <c r="T3278" s="322">
        <v>106000</v>
      </c>
      <c r="U3278" s="322">
        <f t="shared" si="211"/>
        <v>0</v>
      </c>
      <c r="W3278" s="321">
        <f t="shared" si="212"/>
        <v>182</v>
      </c>
      <c r="X3278" s="321">
        <f t="shared" si="213"/>
        <v>938000</v>
      </c>
      <c r="Y3278" s="321">
        <v>1</v>
      </c>
      <c r="AA3278" s="321" t="s">
        <v>2582</v>
      </c>
    </row>
    <row r="3279" spans="13:27">
      <c r="M3279" s="321">
        <v>1938000210</v>
      </c>
      <c r="N3279" s="321">
        <v>93</v>
      </c>
      <c r="O3279" s="321" t="s">
        <v>5308</v>
      </c>
      <c r="P3279" s="321">
        <v>1938000</v>
      </c>
      <c r="Q3279" s="322">
        <v>150000</v>
      </c>
      <c r="R3279" s="322">
        <v>58400</v>
      </c>
      <c r="S3279" s="322">
        <v>150000</v>
      </c>
      <c r="T3279" s="322">
        <v>150000</v>
      </c>
      <c r="U3279" s="322">
        <f t="shared" si="211"/>
        <v>0</v>
      </c>
      <c r="W3279" s="321">
        <f t="shared" si="212"/>
        <v>210</v>
      </c>
      <c r="X3279" s="321">
        <f t="shared" si="213"/>
        <v>938000</v>
      </c>
      <c r="Y3279" s="321">
        <v>1</v>
      </c>
      <c r="AA3279" s="321" t="s">
        <v>5308</v>
      </c>
    </row>
    <row r="3280" spans="13:27">
      <c r="M3280" s="321">
        <v>1938000421</v>
      </c>
      <c r="N3280" s="321">
        <v>93</v>
      </c>
      <c r="O3280" s="321" t="s">
        <v>6335</v>
      </c>
      <c r="P3280" s="321">
        <v>1938000</v>
      </c>
      <c r="Q3280" s="322">
        <v>83000</v>
      </c>
      <c r="R3280" s="322">
        <v>74600</v>
      </c>
      <c r="S3280" s="322">
        <v>100000</v>
      </c>
      <c r="T3280" s="322">
        <v>100000</v>
      </c>
      <c r="U3280" s="322">
        <f t="shared" si="211"/>
        <v>0</v>
      </c>
      <c r="W3280" s="321">
        <f t="shared" si="212"/>
        <v>421</v>
      </c>
      <c r="X3280" s="321">
        <f t="shared" si="213"/>
        <v>938000</v>
      </c>
      <c r="Y3280" s="321">
        <v>1</v>
      </c>
      <c r="AA3280" s="321" t="s">
        <v>6335</v>
      </c>
    </row>
    <row r="3281" spans="13:27">
      <c r="M3281" s="321">
        <v>1938000422</v>
      </c>
      <c r="N3281" s="321">
        <v>93</v>
      </c>
      <c r="O3281" s="321" t="s">
        <v>6336</v>
      </c>
      <c r="P3281" s="321">
        <v>1938000</v>
      </c>
      <c r="Q3281" s="322">
        <v>10000</v>
      </c>
      <c r="R3281" s="322">
        <v>7000</v>
      </c>
      <c r="S3281" s="322">
        <v>10000</v>
      </c>
      <c r="T3281" s="322">
        <v>10000</v>
      </c>
      <c r="U3281" s="322">
        <f t="shared" si="211"/>
        <v>0</v>
      </c>
      <c r="W3281" s="321">
        <f t="shared" si="212"/>
        <v>422</v>
      </c>
      <c r="X3281" s="321">
        <f t="shared" si="213"/>
        <v>938000</v>
      </c>
      <c r="Y3281" s="321">
        <v>1</v>
      </c>
      <c r="AA3281" s="321" t="s">
        <v>6336</v>
      </c>
    </row>
    <row r="3282" spans="13:27">
      <c r="M3282" s="321">
        <v>1938000470</v>
      </c>
      <c r="N3282" s="321">
        <v>93</v>
      </c>
      <c r="O3282" s="321" t="s">
        <v>5250</v>
      </c>
      <c r="P3282" s="321">
        <v>1938000</v>
      </c>
      <c r="Q3282" s="322">
        <v>2000</v>
      </c>
      <c r="R3282" s="322">
        <v>1800</v>
      </c>
      <c r="S3282" s="322">
        <v>2000</v>
      </c>
      <c r="T3282" s="322">
        <v>2000</v>
      </c>
      <c r="U3282" s="322">
        <f t="shared" si="211"/>
        <v>0</v>
      </c>
      <c r="W3282" s="321">
        <f t="shared" si="212"/>
        <v>470</v>
      </c>
      <c r="X3282" s="321">
        <f t="shared" si="213"/>
        <v>938000</v>
      </c>
      <c r="Y3282" s="321">
        <v>1</v>
      </c>
      <c r="AA3282" s="321" t="s">
        <v>5250</v>
      </c>
    </row>
    <row r="3283" spans="13:27">
      <c r="M3283" s="321">
        <v>1938000471</v>
      </c>
      <c r="N3283" s="321">
        <v>93</v>
      </c>
      <c r="O3283" s="321" t="s">
        <v>6337</v>
      </c>
      <c r="P3283" s="321">
        <v>1938000</v>
      </c>
      <c r="Q3283" s="322">
        <v>3500</v>
      </c>
      <c r="R3283" s="322">
        <v>0</v>
      </c>
      <c r="S3283" s="322">
        <v>3700</v>
      </c>
      <c r="T3283" s="322">
        <v>3700</v>
      </c>
      <c r="U3283" s="322">
        <f t="shared" si="211"/>
        <v>0</v>
      </c>
      <c r="W3283" s="321">
        <f t="shared" si="212"/>
        <v>471</v>
      </c>
      <c r="X3283" s="321">
        <f t="shared" si="213"/>
        <v>938000</v>
      </c>
      <c r="Y3283" s="321">
        <v>1</v>
      </c>
      <c r="AA3283" s="321" t="s">
        <v>6337</v>
      </c>
    </row>
    <row r="3284" spans="13:27">
      <c r="M3284" s="321">
        <v>1938000540</v>
      </c>
      <c r="N3284" s="321">
        <v>93</v>
      </c>
      <c r="O3284" s="321" t="s">
        <v>5216</v>
      </c>
      <c r="P3284" s="321">
        <v>1938000</v>
      </c>
      <c r="Q3284" s="322">
        <v>2000</v>
      </c>
      <c r="R3284" s="322">
        <v>1000</v>
      </c>
      <c r="S3284" s="322">
        <v>2000</v>
      </c>
      <c r="T3284" s="322">
        <v>2000</v>
      </c>
      <c r="U3284" s="322">
        <f t="shared" si="211"/>
        <v>0</v>
      </c>
      <c r="W3284" s="321">
        <f t="shared" si="212"/>
        <v>540</v>
      </c>
      <c r="X3284" s="321">
        <f t="shared" si="213"/>
        <v>938000</v>
      </c>
      <c r="Y3284" s="321">
        <v>1</v>
      </c>
      <c r="AA3284" s="321" t="s">
        <v>5216</v>
      </c>
    </row>
    <row r="3285" spans="13:27">
      <c r="M3285" s="321">
        <v>1938000542</v>
      </c>
      <c r="N3285" s="321">
        <v>93</v>
      </c>
      <c r="O3285" s="321" t="s">
        <v>5217</v>
      </c>
      <c r="P3285" s="321">
        <v>1938000</v>
      </c>
      <c r="Q3285" s="322">
        <v>1300</v>
      </c>
      <c r="R3285" s="322">
        <v>2900</v>
      </c>
      <c r="S3285" s="322">
        <v>4000</v>
      </c>
      <c r="T3285" s="322">
        <v>4000</v>
      </c>
      <c r="U3285" s="322">
        <f t="shared" si="211"/>
        <v>0</v>
      </c>
      <c r="W3285" s="321">
        <f t="shared" si="212"/>
        <v>542</v>
      </c>
      <c r="X3285" s="321">
        <f t="shared" si="213"/>
        <v>938000</v>
      </c>
      <c r="Y3285" s="321">
        <v>1</v>
      </c>
      <c r="AA3285" s="321" t="s">
        <v>5217</v>
      </c>
    </row>
    <row r="3286" spans="13:27">
      <c r="M3286" s="321">
        <v>1938000580</v>
      </c>
      <c r="N3286" s="321">
        <v>93</v>
      </c>
      <c r="O3286" s="321" t="s">
        <v>5322</v>
      </c>
      <c r="P3286" s="321">
        <v>1938000</v>
      </c>
      <c r="Q3286" s="322">
        <v>40000</v>
      </c>
      <c r="R3286" s="322">
        <v>16800</v>
      </c>
      <c r="S3286" s="322">
        <v>40000</v>
      </c>
      <c r="T3286" s="322">
        <v>40000</v>
      </c>
      <c r="U3286" s="322">
        <f t="shared" si="211"/>
        <v>0</v>
      </c>
      <c r="W3286" s="321">
        <f t="shared" si="212"/>
        <v>580</v>
      </c>
      <c r="X3286" s="321">
        <f t="shared" si="213"/>
        <v>938000</v>
      </c>
      <c r="Y3286" s="321">
        <v>1</v>
      </c>
      <c r="AA3286" s="321" t="s">
        <v>5322</v>
      </c>
    </row>
    <row r="3287" spans="13:27">
      <c r="M3287" s="321">
        <v>1938000720</v>
      </c>
      <c r="N3287" s="321">
        <v>93</v>
      </c>
      <c r="O3287" s="321" t="s">
        <v>6338</v>
      </c>
      <c r="P3287" s="321">
        <v>1938000</v>
      </c>
      <c r="Q3287" s="322">
        <v>60000</v>
      </c>
      <c r="R3287" s="322">
        <v>35800</v>
      </c>
      <c r="S3287" s="322">
        <v>60000</v>
      </c>
      <c r="T3287" s="322">
        <v>60000</v>
      </c>
      <c r="U3287" s="322">
        <f t="shared" si="211"/>
        <v>0</v>
      </c>
      <c r="W3287" s="321">
        <f t="shared" si="212"/>
        <v>720</v>
      </c>
      <c r="X3287" s="321">
        <f t="shared" si="213"/>
        <v>938000</v>
      </c>
      <c r="Y3287" s="321">
        <v>1</v>
      </c>
      <c r="AA3287" s="321" t="s">
        <v>6338</v>
      </c>
    </row>
    <row r="3288" spans="13:27">
      <c r="M3288" s="321">
        <v>1938000750</v>
      </c>
      <c r="N3288" s="321">
        <v>93</v>
      </c>
      <c r="O3288" s="321" t="s">
        <v>6339</v>
      </c>
      <c r="P3288" s="321">
        <v>1938000</v>
      </c>
      <c r="Q3288" s="322">
        <v>1100000</v>
      </c>
      <c r="R3288" s="322">
        <v>766100</v>
      </c>
      <c r="S3288" s="322">
        <v>1200000</v>
      </c>
      <c r="T3288" s="322">
        <v>1100000</v>
      </c>
      <c r="U3288" s="322">
        <f t="shared" si="211"/>
        <v>100000</v>
      </c>
      <c r="W3288" s="321">
        <f t="shared" si="212"/>
        <v>750</v>
      </c>
      <c r="X3288" s="321">
        <f t="shared" si="213"/>
        <v>938000</v>
      </c>
      <c r="Y3288" s="321">
        <v>1</v>
      </c>
      <c r="AA3288" s="321" t="s">
        <v>6339</v>
      </c>
    </row>
    <row r="3289" spans="13:27">
      <c r="M3289" s="321">
        <v>1938000751</v>
      </c>
      <c r="N3289" s="321">
        <v>93</v>
      </c>
      <c r="O3289" s="321" t="s">
        <v>6340</v>
      </c>
      <c r="P3289" s="321">
        <v>1938000</v>
      </c>
      <c r="Q3289" s="322">
        <v>120000</v>
      </c>
      <c r="R3289" s="322">
        <v>48100</v>
      </c>
      <c r="S3289" s="322">
        <v>120000</v>
      </c>
      <c r="T3289" s="322">
        <v>120000</v>
      </c>
      <c r="U3289" s="322">
        <f t="shared" si="211"/>
        <v>0</v>
      </c>
      <c r="W3289" s="321">
        <f t="shared" si="212"/>
        <v>751</v>
      </c>
      <c r="X3289" s="321">
        <f t="shared" si="213"/>
        <v>938000</v>
      </c>
      <c r="Y3289" s="321">
        <v>1</v>
      </c>
      <c r="AA3289" s="321" t="s">
        <v>6340</v>
      </c>
    </row>
    <row r="3290" spans="13:27">
      <c r="M3290" s="321">
        <v>1938000752</v>
      </c>
      <c r="N3290" s="321">
        <v>93</v>
      </c>
      <c r="O3290" s="321" t="s">
        <v>2950</v>
      </c>
      <c r="P3290" s="321">
        <v>1938000</v>
      </c>
      <c r="Q3290" s="322">
        <v>120000</v>
      </c>
      <c r="R3290" s="322">
        <v>57800</v>
      </c>
      <c r="S3290" s="322">
        <v>120000</v>
      </c>
      <c r="T3290" s="322">
        <v>120000</v>
      </c>
      <c r="U3290" s="322">
        <f t="shared" si="211"/>
        <v>0</v>
      </c>
      <c r="W3290" s="321">
        <f t="shared" si="212"/>
        <v>752</v>
      </c>
      <c r="X3290" s="321">
        <f t="shared" si="213"/>
        <v>938000</v>
      </c>
      <c r="Y3290" s="321">
        <v>1</v>
      </c>
      <c r="AA3290" s="321" t="s">
        <v>2950</v>
      </c>
    </row>
    <row r="3291" spans="13:27">
      <c r="M3291" s="321">
        <v>1938000753</v>
      </c>
      <c r="N3291" s="321">
        <v>93</v>
      </c>
      <c r="O3291" s="321" t="s">
        <v>6341</v>
      </c>
      <c r="P3291" s="321">
        <v>1938000</v>
      </c>
      <c r="Q3291" s="322">
        <v>95000</v>
      </c>
      <c r="R3291" s="322">
        <v>75400</v>
      </c>
      <c r="S3291" s="322">
        <v>110000</v>
      </c>
      <c r="T3291" s="322">
        <v>110000</v>
      </c>
      <c r="U3291" s="322">
        <f t="shared" si="211"/>
        <v>0</v>
      </c>
      <c r="W3291" s="321">
        <f t="shared" si="212"/>
        <v>753</v>
      </c>
      <c r="X3291" s="321">
        <f t="shared" si="213"/>
        <v>938000</v>
      </c>
      <c r="Y3291" s="321">
        <v>1</v>
      </c>
      <c r="AA3291" s="321" t="s">
        <v>6341</v>
      </c>
    </row>
    <row r="3292" spans="13:27">
      <c r="M3292" s="321">
        <v>1938000754</v>
      </c>
      <c r="N3292" s="321">
        <v>93</v>
      </c>
      <c r="O3292" s="321" t="s">
        <v>6342</v>
      </c>
      <c r="P3292" s="321">
        <v>1938000</v>
      </c>
      <c r="Q3292" s="322">
        <v>30000</v>
      </c>
      <c r="R3292" s="322">
        <v>19700</v>
      </c>
      <c r="S3292" s="322">
        <v>50000</v>
      </c>
      <c r="T3292" s="322">
        <v>50000</v>
      </c>
      <c r="U3292" s="322">
        <f t="shared" si="211"/>
        <v>0</v>
      </c>
      <c r="W3292" s="321">
        <f t="shared" si="212"/>
        <v>754</v>
      </c>
      <c r="X3292" s="321">
        <f t="shared" si="213"/>
        <v>938000</v>
      </c>
      <c r="Y3292" s="321">
        <v>1</v>
      </c>
      <c r="AA3292" s="321" t="s">
        <v>6342</v>
      </c>
    </row>
    <row r="3293" spans="13:27">
      <c r="M3293" s="321">
        <v>1938000761</v>
      </c>
      <c r="N3293" s="321">
        <v>93</v>
      </c>
      <c r="O3293" s="321" t="s">
        <v>6343</v>
      </c>
      <c r="P3293" s="321">
        <v>1938000</v>
      </c>
      <c r="Q3293" s="322">
        <v>150000</v>
      </c>
      <c r="R3293" s="322">
        <v>73800</v>
      </c>
      <c r="S3293" s="322">
        <v>150000</v>
      </c>
      <c r="T3293" s="322">
        <v>150000</v>
      </c>
      <c r="U3293" s="322">
        <f t="shared" si="211"/>
        <v>0</v>
      </c>
      <c r="W3293" s="321">
        <f t="shared" si="212"/>
        <v>761</v>
      </c>
      <c r="X3293" s="321">
        <f t="shared" si="213"/>
        <v>938000</v>
      </c>
      <c r="Y3293" s="321">
        <v>1</v>
      </c>
      <c r="AA3293" s="321" t="s">
        <v>6343</v>
      </c>
    </row>
    <row r="3294" spans="13:27">
      <c r="M3294" s="321">
        <v>1938000771</v>
      </c>
      <c r="N3294" s="321">
        <v>93</v>
      </c>
      <c r="O3294" s="321" t="s">
        <v>6344</v>
      </c>
      <c r="P3294" s="321">
        <v>1938000</v>
      </c>
      <c r="Q3294" s="322">
        <v>1000000</v>
      </c>
      <c r="R3294" s="322">
        <v>656200</v>
      </c>
      <c r="S3294" s="322">
        <v>900000</v>
      </c>
      <c r="T3294" s="322">
        <v>900000</v>
      </c>
      <c r="U3294" s="322">
        <f t="shared" si="211"/>
        <v>0</v>
      </c>
      <c r="W3294" s="321">
        <f t="shared" si="212"/>
        <v>771</v>
      </c>
      <c r="X3294" s="321">
        <f t="shared" si="213"/>
        <v>938000</v>
      </c>
      <c r="Y3294" s="321">
        <v>1</v>
      </c>
      <c r="AA3294" s="321" t="s">
        <v>6344</v>
      </c>
    </row>
    <row r="3295" spans="13:27">
      <c r="M3295" s="321">
        <v>1938000772</v>
      </c>
      <c r="N3295" s="321">
        <v>93</v>
      </c>
      <c r="O3295" s="321" t="s">
        <v>6345</v>
      </c>
      <c r="P3295" s="321">
        <v>1938000</v>
      </c>
      <c r="Q3295" s="322">
        <v>240000</v>
      </c>
      <c r="R3295" s="322">
        <v>50300</v>
      </c>
      <c r="S3295" s="322">
        <v>700000</v>
      </c>
      <c r="T3295" s="322">
        <v>700000</v>
      </c>
      <c r="U3295" s="322">
        <f t="shared" si="211"/>
        <v>0</v>
      </c>
      <c r="W3295" s="321">
        <f t="shared" si="212"/>
        <v>772</v>
      </c>
      <c r="X3295" s="321">
        <f t="shared" si="213"/>
        <v>938000</v>
      </c>
      <c r="Y3295" s="321">
        <v>1</v>
      </c>
      <c r="AA3295" s="321" t="s">
        <v>6345</v>
      </c>
    </row>
    <row r="3296" spans="13:27">
      <c r="M3296" s="321">
        <v>1938000779</v>
      </c>
      <c r="N3296" s="321">
        <v>93</v>
      </c>
      <c r="O3296" s="321" t="s">
        <v>5382</v>
      </c>
      <c r="P3296" s="321">
        <v>1938000</v>
      </c>
      <c r="Q3296" s="322">
        <v>9000</v>
      </c>
      <c r="R3296" s="322">
        <v>1900</v>
      </c>
      <c r="S3296" s="322">
        <v>21000</v>
      </c>
      <c r="T3296" s="322">
        <v>21000</v>
      </c>
      <c r="U3296" s="322">
        <f t="shared" si="211"/>
        <v>0</v>
      </c>
      <c r="W3296" s="321">
        <f t="shared" si="212"/>
        <v>779</v>
      </c>
      <c r="X3296" s="321">
        <f t="shared" si="213"/>
        <v>938000</v>
      </c>
      <c r="Y3296" s="321">
        <v>1</v>
      </c>
      <c r="AA3296" s="321" t="s">
        <v>5382</v>
      </c>
    </row>
    <row r="3297" spans="13:27">
      <c r="M3297" s="321">
        <v>1938000920</v>
      </c>
      <c r="N3297" s="321">
        <v>93</v>
      </c>
      <c r="O3297" s="321" t="s">
        <v>5265</v>
      </c>
      <c r="P3297" s="321">
        <v>1938000</v>
      </c>
      <c r="Q3297" s="322">
        <v>750000</v>
      </c>
      <c r="R3297" s="322">
        <v>749700</v>
      </c>
      <c r="S3297" s="322">
        <v>750000</v>
      </c>
      <c r="T3297" s="322">
        <v>100000</v>
      </c>
      <c r="U3297" s="322">
        <f t="shared" si="211"/>
        <v>650000</v>
      </c>
      <c r="W3297" s="321">
        <f t="shared" si="212"/>
        <v>920</v>
      </c>
      <c r="X3297" s="321">
        <f t="shared" si="213"/>
        <v>938000</v>
      </c>
      <c r="Y3297" s="321">
        <v>1</v>
      </c>
      <c r="AA3297" s="321" t="s">
        <v>5265</v>
      </c>
    </row>
    <row r="3298" spans="13:27">
      <c r="M3298" s="321">
        <v>1941000110</v>
      </c>
      <c r="N3298" s="321">
        <v>94</v>
      </c>
      <c r="O3298" s="321" t="s">
        <v>5205</v>
      </c>
      <c r="P3298" s="321">
        <v>1941000</v>
      </c>
      <c r="Q3298" s="322">
        <v>176000</v>
      </c>
      <c r="R3298" s="322">
        <v>113300</v>
      </c>
      <c r="S3298" s="322">
        <v>220000</v>
      </c>
      <c r="T3298" s="322">
        <v>220000</v>
      </c>
      <c r="U3298" s="322">
        <f t="shared" si="211"/>
        <v>0</v>
      </c>
      <c r="W3298" s="321">
        <f t="shared" si="212"/>
        <v>110</v>
      </c>
      <c r="X3298" s="321">
        <f t="shared" si="213"/>
        <v>941000</v>
      </c>
      <c r="Y3298" s="321">
        <v>1</v>
      </c>
      <c r="AA3298" s="321" t="s">
        <v>5205</v>
      </c>
    </row>
    <row r="3299" spans="13:27">
      <c r="M3299" s="321">
        <v>1941000120</v>
      </c>
      <c r="N3299" s="321">
        <v>94</v>
      </c>
      <c r="O3299" s="321" t="s">
        <v>5206</v>
      </c>
      <c r="P3299" s="321">
        <v>1941000</v>
      </c>
      <c r="Q3299" s="322">
        <v>96000</v>
      </c>
      <c r="R3299" s="322">
        <v>28800</v>
      </c>
      <c r="S3299" s="322">
        <v>37000</v>
      </c>
      <c r="T3299" s="322">
        <v>37000</v>
      </c>
      <c r="U3299" s="322">
        <f t="shared" si="211"/>
        <v>0</v>
      </c>
      <c r="W3299" s="321">
        <f t="shared" si="212"/>
        <v>120</v>
      </c>
      <c r="X3299" s="321">
        <f t="shared" si="213"/>
        <v>941000</v>
      </c>
      <c r="Y3299" s="321">
        <v>1</v>
      </c>
      <c r="AA3299" s="321" t="s">
        <v>5206</v>
      </c>
    </row>
    <row r="3300" spans="13:27">
      <c r="M3300" s="321">
        <v>1941000130</v>
      </c>
      <c r="N3300" s="321">
        <v>94</v>
      </c>
      <c r="O3300" s="321" t="s">
        <v>2576</v>
      </c>
      <c r="P3300" s="321">
        <v>1941000</v>
      </c>
      <c r="Q3300" s="322">
        <v>0</v>
      </c>
      <c r="R3300" s="322">
        <v>11000</v>
      </c>
      <c r="S3300" s="322">
        <v>27000</v>
      </c>
      <c r="T3300" s="322">
        <v>24300</v>
      </c>
      <c r="U3300" s="322">
        <f t="shared" si="211"/>
        <v>2700</v>
      </c>
      <c r="W3300" s="321">
        <f t="shared" si="212"/>
        <v>130</v>
      </c>
      <c r="X3300" s="321">
        <f t="shared" si="213"/>
        <v>941000</v>
      </c>
      <c r="Y3300" s="321">
        <v>1</v>
      </c>
      <c r="AA3300" s="321" t="s">
        <v>2576</v>
      </c>
    </row>
    <row r="3301" spans="13:27">
      <c r="M3301" s="321">
        <v>1941000140</v>
      </c>
      <c r="N3301" s="321">
        <v>94</v>
      </c>
      <c r="O3301" s="321" t="s">
        <v>5242</v>
      </c>
      <c r="P3301" s="321">
        <v>1941000</v>
      </c>
      <c r="Q3301" s="322">
        <v>63000</v>
      </c>
      <c r="R3301" s="322">
        <v>23700</v>
      </c>
      <c r="S3301" s="322">
        <v>30000</v>
      </c>
      <c r="T3301" s="322">
        <v>30000</v>
      </c>
      <c r="U3301" s="322">
        <f t="shared" si="211"/>
        <v>0</v>
      </c>
      <c r="W3301" s="321">
        <f t="shared" si="212"/>
        <v>140</v>
      </c>
      <c r="X3301" s="321">
        <f t="shared" si="213"/>
        <v>941000</v>
      </c>
      <c r="Y3301" s="321">
        <v>1</v>
      </c>
      <c r="AA3301" s="321" t="s">
        <v>5242</v>
      </c>
    </row>
    <row r="3302" spans="13:27">
      <c r="M3302" s="321">
        <v>1941000141</v>
      </c>
      <c r="N3302" s="321">
        <v>94</v>
      </c>
      <c r="O3302" s="321" t="s">
        <v>5208</v>
      </c>
      <c r="P3302" s="321">
        <v>1941000</v>
      </c>
      <c r="Q3302" s="322">
        <v>0</v>
      </c>
      <c r="R3302" s="322">
        <v>4300</v>
      </c>
      <c r="S3302" s="322">
        <v>7000</v>
      </c>
      <c r="T3302" s="322">
        <v>7000</v>
      </c>
      <c r="U3302" s="322">
        <f t="shared" si="211"/>
        <v>0</v>
      </c>
      <c r="W3302" s="321">
        <f t="shared" si="212"/>
        <v>141</v>
      </c>
      <c r="X3302" s="321">
        <f t="shared" si="213"/>
        <v>941000</v>
      </c>
      <c r="Y3302" s="321">
        <v>1</v>
      </c>
      <c r="AA3302" s="321" t="s">
        <v>5208</v>
      </c>
    </row>
    <row r="3303" spans="13:27">
      <c r="M3303" s="321">
        <v>1941000181</v>
      </c>
      <c r="N3303" s="321">
        <v>94</v>
      </c>
      <c r="O3303" s="321" t="s">
        <v>2580</v>
      </c>
      <c r="P3303" s="321">
        <v>1941000</v>
      </c>
      <c r="Q3303" s="322">
        <v>26000</v>
      </c>
      <c r="R3303" s="322">
        <v>22800</v>
      </c>
      <c r="S3303" s="322">
        <v>48000</v>
      </c>
      <c r="T3303" s="322">
        <v>48000</v>
      </c>
      <c r="U3303" s="322">
        <f t="shared" si="211"/>
        <v>0</v>
      </c>
      <c r="W3303" s="321">
        <f t="shared" si="212"/>
        <v>181</v>
      </c>
      <c r="X3303" s="321">
        <f t="shared" si="213"/>
        <v>941000</v>
      </c>
      <c r="Y3303" s="321">
        <v>1</v>
      </c>
      <c r="AA3303" s="321" t="s">
        <v>2580</v>
      </c>
    </row>
    <row r="3304" spans="13:27">
      <c r="M3304" s="321">
        <v>1941000182</v>
      </c>
      <c r="N3304" s="321">
        <v>94</v>
      </c>
      <c r="O3304" s="321" t="s">
        <v>2582</v>
      </c>
      <c r="P3304" s="321">
        <v>1941000</v>
      </c>
      <c r="Q3304" s="322">
        <v>45000</v>
      </c>
      <c r="R3304" s="322">
        <v>26200</v>
      </c>
      <c r="S3304" s="322">
        <v>50000</v>
      </c>
      <c r="T3304" s="322">
        <v>50000</v>
      </c>
      <c r="U3304" s="322">
        <f t="shared" si="211"/>
        <v>0</v>
      </c>
      <c r="W3304" s="321">
        <f t="shared" si="212"/>
        <v>182</v>
      </c>
      <c r="X3304" s="321">
        <f t="shared" si="213"/>
        <v>941000</v>
      </c>
      <c r="Y3304" s="321">
        <v>1</v>
      </c>
      <c r="AA3304" s="321" t="s">
        <v>2582</v>
      </c>
    </row>
    <row r="3305" spans="13:27">
      <c r="M3305" s="321">
        <v>1941000510</v>
      </c>
      <c r="N3305" s="321">
        <v>94</v>
      </c>
      <c r="O3305" s="321" t="s">
        <v>6346</v>
      </c>
      <c r="P3305" s="321">
        <v>1941000</v>
      </c>
      <c r="Q3305" s="322">
        <v>0</v>
      </c>
      <c r="R3305" s="322">
        <v>0</v>
      </c>
      <c r="S3305" s="322">
        <v>0</v>
      </c>
      <c r="T3305" s="322">
        <v>0</v>
      </c>
      <c r="U3305" s="322">
        <f t="shared" si="211"/>
        <v>0</v>
      </c>
      <c r="W3305" s="321">
        <f t="shared" si="212"/>
        <v>510</v>
      </c>
      <c r="X3305" s="321">
        <f t="shared" si="213"/>
        <v>941000</v>
      </c>
      <c r="Y3305" s="321">
        <v>1</v>
      </c>
      <c r="AA3305" s="321" t="s">
        <v>6346</v>
      </c>
    </row>
    <row r="3306" spans="13:27">
      <c r="M3306" s="321">
        <v>1941000530</v>
      </c>
      <c r="N3306" s="321">
        <v>94</v>
      </c>
      <c r="O3306" s="321" t="s">
        <v>6347</v>
      </c>
      <c r="P3306" s="321">
        <v>1941000</v>
      </c>
      <c r="Q3306" s="322">
        <v>30000</v>
      </c>
      <c r="R3306" s="322">
        <v>12400</v>
      </c>
      <c r="S3306" s="322">
        <v>35000</v>
      </c>
      <c r="T3306" s="322">
        <v>35000</v>
      </c>
      <c r="U3306" s="322">
        <f t="shared" si="211"/>
        <v>0</v>
      </c>
      <c r="W3306" s="321">
        <f t="shared" si="212"/>
        <v>530</v>
      </c>
      <c r="X3306" s="321">
        <f t="shared" si="213"/>
        <v>941000</v>
      </c>
      <c r="Y3306" s="321">
        <v>1</v>
      </c>
      <c r="AA3306" s="321" t="s">
        <v>6347</v>
      </c>
    </row>
    <row r="3307" spans="13:27">
      <c r="M3307" s="321">
        <v>1941000531</v>
      </c>
      <c r="N3307" s="321">
        <v>94</v>
      </c>
      <c r="O3307" s="321">
        <v>1591664</v>
      </c>
      <c r="P3307" s="321">
        <v>1941000</v>
      </c>
      <c r="Q3307" s="322">
        <v>0</v>
      </c>
      <c r="R3307" s="322">
        <v>0</v>
      </c>
      <c r="S3307" s="322">
        <v>0</v>
      </c>
      <c r="T3307" s="322">
        <v>0</v>
      </c>
      <c r="U3307" s="322">
        <f t="shared" si="211"/>
        <v>0</v>
      </c>
      <c r="W3307" s="321">
        <f t="shared" si="212"/>
        <v>531</v>
      </c>
      <c r="X3307" s="321">
        <f t="shared" si="213"/>
        <v>941000</v>
      </c>
      <c r="Y3307" s="321">
        <v>1</v>
      </c>
      <c r="AA3307" s="321">
        <v>1591664</v>
      </c>
    </row>
    <row r="3308" spans="13:27">
      <c r="M3308" s="321">
        <v>1941000540</v>
      </c>
      <c r="N3308" s="321">
        <v>94</v>
      </c>
      <c r="O3308" s="321" t="s">
        <v>5216</v>
      </c>
      <c r="P3308" s="321">
        <v>1941000</v>
      </c>
      <c r="Q3308" s="322">
        <v>1000</v>
      </c>
      <c r="R3308" s="322">
        <v>500</v>
      </c>
      <c r="S3308" s="322">
        <v>1000</v>
      </c>
      <c r="T3308" s="322">
        <v>1000</v>
      </c>
      <c r="U3308" s="322">
        <f t="shared" si="211"/>
        <v>0</v>
      </c>
      <c r="W3308" s="321">
        <f t="shared" si="212"/>
        <v>540</v>
      </c>
      <c r="X3308" s="321">
        <f t="shared" si="213"/>
        <v>941000</v>
      </c>
      <c r="Y3308" s="321">
        <v>1</v>
      </c>
      <c r="AA3308" s="321" t="s">
        <v>5216</v>
      </c>
    </row>
    <row r="3309" spans="13:27">
      <c r="M3309" s="321">
        <v>1941000542</v>
      </c>
      <c r="N3309" s="321">
        <v>94</v>
      </c>
      <c r="O3309" s="321" t="s">
        <v>5217</v>
      </c>
      <c r="P3309" s="321">
        <v>1941000</v>
      </c>
      <c r="Q3309" s="322">
        <v>2800</v>
      </c>
      <c r="R3309" s="322">
        <v>1300</v>
      </c>
      <c r="S3309" s="322">
        <v>3000</v>
      </c>
      <c r="T3309" s="322">
        <v>3000</v>
      </c>
      <c r="U3309" s="322">
        <f t="shared" si="211"/>
        <v>0</v>
      </c>
      <c r="W3309" s="321">
        <f t="shared" si="212"/>
        <v>542</v>
      </c>
      <c r="X3309" s="321">
        <f t="shared" si="213"/>
        <v>941000</v>
      </c>
      <c r="Y3309" s="321">
        <v>1</v>
      </c>
      <c r="AA3309" s="321" t="s">
        <v>5217</v>
      </c>
    </row>
    <row r="3310" spans="13:27">
      <c r="M3310" s="321">
        <v>1941000572</v>
      </c>
      <c r="N3310" s="321">
        <v>94</v>
      </c>
      <c r="O3310" s="321" t="s">
        <v>5253</v>
      </c>
      <c r="P3310" s="321">
        <v>1941000</v>
      </c>
      <c r="Q3310" s="322">
        <v>3000</v>
      </c>
      <c r="R3310" s="322">
        <v>2100</v>
      </c>
      <c r="S3310" s="322">
        <v>18000</v>
      </c>
      <c r="T3310" s="322">
        <v>18000</v>
      </c>
      <c r="U3310" s="322">
        <f t="shared" si="211"/>
        <v>0</v>
      </c>
      <c r="W3310" s="321">
        <f t="shared" si="212"/>
        <v>572</v>
      </c>
      <c r="X3310" s="321">
        <f t="shared" si="213"/>
        <v>941000</v>
      </c>
      <c r="Y3310" s="321">
        <v>1</v>
      </c>
      <c r="AA3310" s="321" t="s">
        <v>5253</v>
      </c>
    </row>
    <row r="3311" spans="13:27">
      <c r="M3311" s="321">
        <v>1941000730</v>
      </c>
      <c r="N3311" s="321">
        <v>94</v>
      </c>
      <c r="O3311" s="321" t="s">
        <v>6348</v>
      </c>
      <c r="P3311" s="321">
        <v>1941000</v>
      </c>
      <c r="Q3311" s="322">
        <v>0</v>
      </c>
      <c r="R3311" s="322">
        <v>0</v>
      </c>
      <c r="S3311" s="322">
        <v>25000</v>
      </c>
      <c r="T3311" s="322">
        <v>25000</v>
      </c>
      <c r="U3311" s="322">
        <f t="shared" si="211"/>
        <v>0</v>
      </c>
      <c r="W3311" s="321">
        <f t="shared" si="212"/>
        <v>730</v>
      </c>
      <c r="X3311" s="321">
        <f t="shared" si="213"/>
        <v>941000</v>
      </c>
      <c r="Y3311" s="321">
        <v>1</v>
      </c>
      <c r="AA3311" s="321" t="s">
        <v>6348</v>
      </c>
    </row>
    <row r="3312" spans="13:27">
      <c r="M3312" s="321">
        <v>1941000732</v>
      </c>
      <c r="N3312" s="321">
        <v>94</v>
      </c>
      <c r="O3312" s="321" t="s">
        <v>6349</v>
      </c>
      <c r="P3312" s="321">
        <v>1941000</v>
      </c>
      <c r="Q3312" s="322">
        <v>7000</v>
      </c>
      <c r="R3312" s="322">
        <v>2200</v>
      </c>
      <c r="S3312" s="322">
        <v>7000</v>
      </c>
      <c r="T3312" s="322">
        <v>7000</v>
      </c>
      <c r="U3312" s="322">
        <f t="shared" si="211"/>
        <v>0</v>
      </c>
      <c r="W3312" s="321">
        <f t="shared" si="212"/>
        <v>732</v>
      </c>
      <c r="X3312" s="321">
        <f t="shared" si="213"/>
        <v>941000</v>
      </c>
      <c r="Y3312" s="321">
        <v>1</v>
      </c>
      <c r="AA3312" s="321" t="s">
        <v>6349</v>
      </c>
    </row>
    <row r="3313" spans="13:27">
      <c r="M3313" s="321">
        <v>1941000735</v>
      </c>
      <c r="N3313" s="321">
        <v>94</v>
      </c>
      <c r="O3313" s="321" t="s">
        <v>4604</v>
      </c>
      <c r="P3313" s="321">
        <v>1941000</v>
      </c>
      <c r="Q3313" s="322">
        <v>20000</v>
      </c>
      <c r="R3313" s="322">
        <v>1200</v>
      </c>
      <c r="S3313" s="322">
        <v>30000</v>
      </c>
      <c r="T3313" s="322">
        <v>30000</v>
      </c>
      <c r="U3313" s="322">
        <f t="shared" si="211"/>
        <v>0</v>
      </c>
      <c r="W3313" s="321">
        <f t="shared" si="212"/>
        <v>735</v>
      </c>
      <c r="X3313" s="321">
        <f t="shared" si="213"/>
        <v>941000</v>
      </c>
      <c r="Y3313" s="321">
        <v>1</v>
      </c>
      <c r="AA3313" s="321" t="s">
        <v>4604</v>
      </c>
    </row>
    <row r="3314" spans="13:27">
      <c r="M3314" s="321">
        <v>1941000779</v>
      </c>
      <c r="N3314" s="321">
        <v>94</v>
      </c>
      <c r="O3314" s="321" t="s">
        <v>5382</v>
      </c>
      <c r="P3314" s="321">
        <v>1941000</v>
      </c>
      <c r="Q3314" s="322">
        <v>0</v>
      </c>
      <c r="R3314" s="322">
        <v>0</v>
      </c>
      <c r="S3314" s="322">
        <v>1000</v>
      </c>
      <c r="T3314" s="322">
        <v>1000</v>
      </c>
      <c r="U3314" s="322">
        <f t="shared" si="211"/>
        <v>0</v>
      </c>
      <c r="W3314" s="321">
        <f t="shared" si="212"/>
        <v>779</v>
      </c>
      <c r="X3314" s="321">
        <f t="shared" si="213"/>
        <v>941000</v>
      </c>
      <c r="Y3314" s="321">
        <v>1</v>
      </c>
      <c r="AA3314" s="321" t="s">
        <v>5382</v>
      </c>
    </row>
    <row r="3315" spans="13:27">
      <c r="M3315" s="321">
        <v>1941000930</v>
      </c>
      <c r="N3315" s="321">
        <v>94</v>
      </c>
      <c r="O3315" s="321" t="s">
        <v>6350</v>
      </c>
      <c r="P3315" s="321">
        <v>1941000</v>
      </c>
      <c r="Q3315" s="322">
        <v>1500000</v>
      </c>
      <c r="R3315" s="322">
        <v>0</v>
      </c>
      <c r="S3315" s="322">
        <v>0</v>
      </c>
      <c r="T3315" s="322">
        <v>0</v>
      </c>
      <c r="U3315" s="322">
        <f t="shared" si="211"/>
        <v>0</v>
      </c>
      <c r="W3315" s="321">
        <f t="shared" si="212"/>
        <v>930</v>
      </c>
      <c r="X3315" s="321">
        <f t="shared" si="213"/>
        <v>941000</v>
      </c>
      <c r="Y3315" s="321">
        <v>1</v>
      </c>
      <c r="AA3315" s="321" t="s">
        <v>6350</v>
      </c>
    </row>
    <row r="3316" spans="13:27">
      <c r="M3316" s="321">
        <v>1941000981</v>
      </c>
      <c r="N3316" s="321">
        <v>94</v>
      </c>
      <c r="O3316" s="321" t="s">
        <v>6351</v>
      </c>
      <c r="P3316" s="321">
        <v>1941000</v>
      </c>
      <c r="Q3316" s="322">
        <v>0</v>
      </c>
      <c r="R3316" s="322">
        <v>0</v>
      </c>
      <c r="S3316" s="322">
        <v>0</v>
      </c>
      <c r="T3316" s="322">
        <v>0</v>
      </c>
      <c r="U3316" s="322">
        <f t="shared" si="211"/>
        <v>0</v>
      </c>
      <c r="W3316" s="321">
        <f t="shared" si="212"/>
        <v>981</v>
      </c>
      <c r="X3316" s="321">
        <f t="shared" si="213"/>
        <v>941000</v>
      </c>
      <c r="Y3316" s="321">
        <v>1</v>
      </c>
      <c r="AA3316" s="321" t="s">
        <v>6351</v>
      </c>
    </row>
    <row r="3317" spans="13:27">
      <c r="M3317" s="321">
        <v>1971000110</v>
      </c>
      <c r="N3317" s="321">
        <v>97</v>
      </c>
      <c r="O3317" s="321" t="s">
        <v>5205</v>
      </c>
      <c r="P3317" s="321">
        <v>6972000</v>
      </c>
      <c r="Q3317" s="322">
        <v>0</v>
      </c>
      <c r="R3317" s="322">
        <v>0</v>
      </c>
      <c r="S3317" s="322">
        <v>0</v>
      </c>
      <c r="T3317" s="322">
        <v>0</v>
      </c>
      <c r="U3317" s="322">
        <f t="shared" si="211"/>
        <v>0</v>
      </c>
      <c r="W3317" s="321">
        <f t="shared" si="212"/>
        <v>110</v>
      </c>
      <c r="X3317" s="321">
        <f t="shared" si="213"/>
        <v>971000</v>
      </c>
      <c r="Y3317" s="321">
        <v>1</v>
      </c>
      <c r="AA3317" s="321" t="s">
        <v>5205</v>
      </c>
    </row>
    <row r="3318" spans="13:27">
      <c r="M3318" s="321">
        <v>1971000120</v>
      </c>
      <c r="N3318" s="321">
        <v>97</v>
      </c>
      <c r="O3318" s="321" t="s">
        <v>5206</v>
      </c>
      <c r="P3318" s="321">
        <v>6972000</v>
      </c>
      <c r="Q3318" s="322">
        <v>0</v>
      </c>
      <c r="R3318" s="322">
        <v>0</v>
      </c>
      <c r="S3318" s="322">
        <v>0</v>
      </c>
      <c r="T3318" s="322">
        <v>0</v>
      </c>
      <c r="U3318" s="322">
        <f t="shared" si="211"/>
        <v>0</v>
      </c>
      <c r="W3318" s="321">
        <f t="shared" si="212"/>
        <v>120</v>
      </c>
      <c r="X3318" s="321">
        <f t="shared" si="213"/>
        <v>971000</v>
      </c>
      <c r="Y3318" s="321">
        <v>1</v>
      </c>
      <c r="AA3318" s="321" t="s">
        <v>5206</v>
      </c>
    </row>
    <row r="3319" spans="13:27">
      <c r="M3319" s="321">
        <v>1971000130</v>
      </c>
      <c r="N3319" s="321">
        <v>97</v>
      </c>
      <c r="O3319" s="321" t="s">
        <v>2576</v>
      </c>
      <c r="P3319" s="321">
        <v>6972000</v>
      </c>
      <c r="Q3319" s="322">
        <v>0</v>
      </c>
      <c r="R3319" s="322">
        <v>0</v>
      </c>
      <c r="S3319" s="322">
        <v>0</v>
      </c>
      <c r="T3319" s="322">
        <v>0</v>
      </c>
      <c r="U3319" s="322">
        <f t="shared" si="211"/>
        <v>0</v>
      </c>
      <c r="W3319" s="321">
        <f t="shared" si="212"/>
        <v>130</v>
      </c>
      <c r="X3319" s="321">
        <f t="shared" si="213"/>
        <v>971000</v>
      </c>
      <c r="Y3319" s="321">
        <v>1</v>
      </c>
      <c r="AA3319" s="321" t="s">
        <v>2576</v>
      </c>
    </row>
    <row r="3320" spans="13:27">
      <c r="M3320" s="321">
        <v>1971000141</v>
      </c>
      <c r="N3320" s="321">
        <v>97</v>
      </c>
      <c r="O3320" s="321" t="s">
        <v>5208</v>
      </c>
      <c r="P3320" s="321">
        <v>6972000</v>
      </c>
      <c r="Q3320" s="322">
        <v>0</v>
      </c>
      <c r="R3320" s="322">
        <v>0</v>
      </c>
      <c r="S3320" s="322">
        <v>0</v>
      </c>
      <c r="T3320" s="322">
        <v>0</v>
      </c>
      <c r="U3320" s="322">
        <f t="shared" si="211"/>
        <v>0</v>
      </c>
      <c r="W3320" s="321">
        <f t="shared" si="212"/>
        <v>141</v>
      </c>
      <c r="X3320" s="321">
        <f t="shared" si="213"/>
        <v>971000</v>
      </c>
      <c r="Y3320" s="321">
        <v>1</v>
      </c>
      <c r="AA3320" s="321" t="s">
        <v>5208</v>
      </c>
    </row>
    <row r="3321" spans="13:27">
      <c r="M3321" s="321">
        <v>1971000181</v>
      </c>
      <c r="N3321" s="321">
        <v>97</v>
      </c>
      <c r="O3321" s="321" t="s">
        <v>2580</v>
      </c>
      <c r="P3321" s="321">
        <v>6972000</v>
      </c>
      <c r="Q3321" s="322">
        <v>0</v>
      </c>
      <c r="R3321" s="322">
        <v>0</v>
      </c>
      <c r="S3321" s="322">
        <v>0</v>
      </c>
      <c r="T3321" s="322">
        <v>0</v>
      </c>
      <c r="U3321" s="322">
        <f t="shared" si="211"/>
        <v>0</v>
      </c>
      <c r="W3321" s="321">
        <f t="shared" si="212"/>
        <v>181</v>
      </c>
      <c r="X3321" s="321">
        <f t="shared" si="213"/>
        <v>971000</v>
      </c>
      <c r="Y3321" s="321">
        <v>1</v>
      </c>
      <c r="AA3321" s="321" t="s">
        <v>2580</v>
      </c>
    </row>
    <row r="3322" spans="13:27">
      <c r="M3322" s="321">
        <v>1971000182</v>
      </c>
      <c r="N3322" s="321">
        <v>97</v>
      </c>
      <c r="O3322" s="321" t="s">
        <v>2582</v>
      </c>
      <c r="P3322" s="321">
        <v>6972000</v>
      </c>
      <c r="Q3322" s="322">
        <v>0</v>
      </c>
      <c r="R3322" s="322">
        <v>0</v>
      </c>
      <c r="S3322" s="322">
        <v>0</v>
      </c>
      <c r="T3322" s="322">
        <v>0</v>
      </c>
      <c r="U3322" s="322">
        <f t="shared" si="211"/>
        <v>0</v>
      </c>
      <c r="W3322" s="321">
        <f t="shared" si="212"/>
        <v>182</v>
      </c>
      <c r="X3322" s="321">
        <f t="shared" si="213"/>
        <v>971000</v>
      </c>
      <c r="Y3322" s="321">
        <v>1</v>
      </c>
      <c r="AA3322" s="321" t="s">
        <v>2582</v>
      </c>
    </row>
    <row r="3323" spans="13:27">
      <c r="M3323" s="321">
        <v>1971000691</v>
      </c>
      <c r="N3323" s="321">
        <v>97</v>
      </c>
      <c r="O3323" s="321" t="s">
        <v>6326</v>
      </c>
      <c r="P3323" s="321">
        <v>2640000</v>
      </c>
      <c r="Q3323" s="322">
        <v>1045000</v>
      </c>
      <c r="R3323" s="322">
        <v>782300</v>
      </c>
      <c r="S3323" s="322">
        <v>0</v>
      </c>
      <c r="T3323" s="322">
        <v>0</v>
      </c>
      <c r="U3323" s="322">
        <f t="shared" si="211"/>
        <v>0</v>
      </c>
      <c r="W3323" s="321">
        <f t="shared" si="212"/>
        <v>691</v>
      </c>
      <c r="X3323" s="321">
        <f t="shared" si="213"/>
        <v>971000</v>
      </c>
      <c r="Y3323" s="321">
        <v>1</v>
      </c>
      <c r="AA3323" s="321" t="s">
        <v>6326</v>
      </c>
    </row>
    <row r="3324" spans="13:27">
      <c r="M3324" s="321">
        <v>1971000692</v>
      </c>
      <c r="N3324" s="321">
        <v>97</v>
      </c>
      <c r="O3324" s="321" t="s">
        <v>6352</v>
      </c>
      <c r="P3324" s="321">
        <v>2640000</v>
      </c>
      <c r="Q3324" s="322">
        <v>231000</v>
      </c>
      <c r="R3324" s="322">
        <v>177900</v>
      </c>
      <c r="S3324" s="322">
        <v>0</v>
      </c>
      <c r="T3324" s="322">
        <v>0</v>
      </c>
      <c r="U3324" s="322">
        <f t="shared" si="211"/>
        <v>0</v>
      </c>
      <c r="W3324" s="321">
        <f t="shared" si="212"/>
        <v>692</v>
      </c>
      <c r="X3324" s="321">
        <f t="shared" si="213"/>
        <v>971000</v>
      </c>
      <c r="Y3324" s="321">
        <v>1</v>
      </c>
      <c r="AA3324" s="321" t="s">
        <v>6352</v>
      </c>
    </row>
    <row r="3325" spans="13:27">
      <c r="M3325" s="321">
        <v>1971000693</v>
      </c>
      <c r="N3325" s="321">
        <v>97</v>
      </c>
      <c r="O3325" s="321" t="s">
        <v>6328</v>
      </c>
      <c r="P3325" s="321">
        <v>2640000</v>
      </c>
      <c r="Q3325" s="322">
        <v>287000</v>
      </c>
      <c r="R3325" s="322">
        <v>195900</v>
      </c>
      <c r="S3325" s="322">
        <v>0</v>
      </c>
      <c r="T3325" s="322">
        <v>0</v>
      </c>
      <c r="U3325" s="322">
        <f t="shared" si="211"/>
        <v>0</v>
      </c>
      <c r="W3325" s="321">
        <f t="shared" si="212"/>
        <v>693</v>
      </c>
      <c r="X3325" s="321">
        <f t="shared" si="213"/>
        <v>971000</v>
      </c>
      <c r="Y3325" s="321">
        <v>1</v>
      </c>
      <c r="AA3325" s="321" t="s">
        <v>6328</v>
      </c>
    </row>
    <row r="3326" spans="13:27">
      <c r="M3326" s="321">
        <v>1972000182</v>
      </c>
      <c r="N3326" s="321">
        <v>97</v>
      </c>
      <c r="O3326" s="321" t="s">
        <v>5412</v>
      </c>
      <c r="P3326" s="321">
        <v>6972000</v>
      </c>
      <c r="Q3326" s="322">
        <v>0</v>
      </c>
      <c r="R3326" s="322">
        <v>0</v>
      </c>
      <c r="S3326" s="322">
        <v>0</v>
      </c>
      <c r="T3326" s="322">
        <v>0</v>
      </c>
      <c r="U3326" s="322">
        <f t="shared" si="211"/>
        <v>0</v>
      </c>
      <c r="W3326" s="321">
        <f t="shared" si="212"/>
        <v>182</v>
      </c>
      <c r="X3326" s="321">
        <f t="shared" si="213"/>
        <v>972000</v>
      </c>
      <c r="Y3326" s="321">
        <v>1</v>
      </c>
      <c r="AA3326" s="321" t="s">
        <v>5412</v>
      </c>
    </row>
    <row r="3327" spans="13:27">
      <c r="M3327" s="321">
        <v>1972000530</v>
      </c>
      <c r="N3327" s="321">
        <v>97</v>
      </c>
      <c r="O3327" s="321" t="s">
        <v>6353</v>
      </c>
      <c r="P3327" s="321">
        <v>6972000</v>
      </c>
      <c r="Q3327" s="322">
        <v>0</v>
      </c>
      <c r="R3327" s="322">
        <v>0</v>
      </c>
      <c r="S3327" s="322">
        <v>0</v>
      </c>
      <c r="T3327" s="322">
        <v>0</v>
      </c>
      <c r="U3327" s="322">
        <f t="shared" si="211"/>
        <v>0</v>
      </c>
      <c r="W3327" s="321">
        <f t="shared" si="212"/>
        <v>530</v>
      </c>
      <c r="X3327" s="321">
        <f t="shared" si="213"/>
        <v>972000</v>
      </c>
      <c r="Y3327" s="321">
        <v>1</v>
      </c>
      <c r="AA3327" s="321" t="s">
        <v>6353</v>
      </c>
    </row>
    <row r="3328" spans="13:27">
      <c r="M3328" s="321">
        <v>1991908981</v>
      </c>
      <c r="N3328" s="321">
        <v>99</v>
      </c>
      <c r="O3328" s="321" t="s">
        <v>6354</v>
      </c>
      <c r="P3328" s="321">
        <v>2990000</v>
      </c>
      <c r="Q3328" s="322">
        <v>0</v>
      </c>
      <c r="R3328" s="322">
        <v>0</v>
      </c>
      <c r="S3328" s="322">
        <v>0</v>
      </c>
      <c r="T3328" s="322">
        <v>0</v>
      </c>
      <c r="U3328" s="322">
        <f t="shared" si="211"/>
        <v>0</v>
      </c>
      <c r="W3328" s="321">
        <f t="shared" si="212"/>
        <v>981</v>
      </c>
      <c r="X3328" s="321">
        <f t="shared" si="213"/>
        <v>991908</v>
      </c>
      <c r="Y3328" s="321">
        <v>1</v>
      </c>
      <c r="AA3328" s="321" t="s">
        <v>6354</v>
      </c>
    </row>
    <row r="3329" spans="13:27">
      <c r="M3329" s="321">
        <v>1992000960</v>
      </c>
      <c r="N3329" s="321">
        <v>99</v>
      </c>
      <c r="O3329" s="321" t="s">
        <v>6355</v>
      </c>
      <c r="P3329" s="321">
        <v>2990000</v>
      </c>
      <c r="Q3329" s="322">
        <v>9131690</v>
      </c>
      <c r="R3329" s="322">
        <v>2785400</v>
      </c>
      <c r="S3329" s="322">
        <v>10200000</v>
      </c>
      <c r="T3329" s="322">
        <v>10200000</v>
      </c>
      <c r="U3329" s="322">
        <f t="shared" si="211"/>
        <v>0</v>
      </c>
      <c r="W3329" s="321">
        <f t="shared" si="212"/>
        <v>960</v>
      </c>
      <c r="X3329" s="321">
        <f t="shared" si="213"/>
        <v>992000</v>
      </c>
      <c r="Y3329" s="321">
        <v>1</v>
      </c>
      <c r="AA3329" s="321" t="s">
        <v>6355</v>
      </c>
    </row>
    <row r="3330" spans="13:27">
      <c r="M3330" s="321">
        <v>1992001960</v>
      </c>
      <c r="N3330" s="321">
        <v>99</v>
      </c>
      <c r="O3330" s="321" t="s">
        <v>6356</v>
      </c>
      <c r="P3330" s="321">
        <v>2990000</v>
      </c>
      <c r="Q3330" s="322">
        <v>3000000</v>
      </c>
      <c r="R3330" s="322">
        <v>0</v>
      </c>
      <c r="S3330" s="322">
        <v>2600000</v>
      </c>
      <c r="T3330" s="322">
        <v>2600000</v>
      </c>
      <c r="U3330" s="322">
        <f t="shared" ref="U3330:U3345" si="214">S3330-T3330</f>
        <v>0</v>
      </c>
      <c r="W3330" s="321">
        <f t="shared" si="212"/>
        <v>960</v>
      </c>
      <c r="X3330" s="321">
        <f t="shared" si="213"/>
        <v>992001</v>
      </c>
      <c r="Y3330" s="321">
        <v>1</v>
      </c>
      <c r="AA3330" s="321" t="s">
        <v>6356</v>
      </c>
    </row>
    <row r="3331" spans="13:27">
      <c r="M3331" s="321">
        <v>1992002960</v>
      </c>
      <c r="N3331" s="321">
        <v>99</v>
      </c>
      <c r="O3331" s="321" t="s">
        <v>6357</v>
      </c>
      <c r="P3331" s="321">
        <v>2990000</v>
      </c>
      <c r="Q3331" s="322">
        <v>2200000</v>
      </c>
      <c r="R3331" s="322">
        <v>0</v>
      </c>
      <c r="S3331" s="322">
        <v>2200000</v>
      </c>
      <c r="T3331" s="322">
        <v>2200000</v>
      </c>
      <c r="U3331" s="322">
        <f t="shared" si="214"/>
        <v>0</v>
      </c>
      <c r="W3331" s="321">
        <f t="shared" ref="W3331:W3345" si="215">M3331-1000000000-X3331*1000</f>
        <v>960</v>
      </c>
      <c r="X3331" s="321">
        <f t="shared" ref="X3331:X3345" si="216">ROUNDDOWN((M3331-1000000000)/1000,0)</f>
        <v>992002</v>
      </c>
      <c r="Y3331" s="321">
        <v>1</v>
      </c>
      <c r="AA3331" s="321" t="s">
        <v>6357</v>
      </c>
    </row>
    <row r="3332" spans="13:27">
      <c r="M3332" s="321">
        <v>1992003960</v>
      </c>
      <c r="N3332" s="321">
        <v>99</v>
      </c>
      <c r="O3332" s="321" t="s">
        <v>6358</v>
      </c>
      <c r="P3332" s="321">
        <v>2990000</v>
      </c>
      <c r="Q3332" s="322">
        <v>0</v>
      </c>
      <c r="R3332" s="322">
        <v>0</v>
      </c>
      <c r="S3332" s="322">
        <v>0</v>
      </c>
      <c r="T3332" s="322">
        <v>0</v>
      </c>
      <c r="U3332" s="322">
        <f t="shared" si="214"/>
        <v>0</v>
      </c>
      <c r="W3332" s="321">
        <f t="shared" si="215"/>
        <v>960</v>
      </c>
      <c r="X3332" s="321">
        <f t="shared" si="216"/>
        <v>992003</v>
      </c>
      <c r="Y3332" s="321">
        <v>1</v>
      </c>
      <c r="AA3332" s="321" t="s">
        <v>6358</v>
      </c>
    </row>
    <row r="3333" spans="13:27">
      <c r="M3333" s="321">
        <v>1993000810</v>
      </c>
      <c r="N3333" s="321">
        <v>99</v>
      </c>
      <c r="O3333" s="321" t="s">
        <v>6359</v>
      </c>
      <c r="P3333" s="321">
        <v>2990000</v>
      </c>
      <c r="Q3333" s="322">
        <v>665000</v>
      </c>
      <c r="R3333" s="322">
        <v>515700</v>
      </c>
      <c r="S3333" s="322">
        <v>700000</v>
      </c>
      <c r="T3333" s="322">
        <v>700000</v>
      </c>
      <c r="U3333" s="322">
        <f t="shared" si="214"/>
        <v>0</v>
      </c>
      <c r="W3333" s="321">
        <f t="shared" si="215"/>
        <v>810</v>
      </c>
      <c r="X3333" s="321">
        <f t="shared" si="216"/>
        <v>993000</v>
      </c>
      <c r="Y3333" s="321">
        <v>1</v>
      </c>
      <c r="AA3333" s="321" t="s">
        <v>6359</v>
      </c>
    </row>
    <row r="3334" spans="13:27">
      <c r="M3334" s="321">
        <v>1994000750</v>
      </c>
      <c r="N3334" s="321">
        <v>99</v>
      </c>
      <c r="O3334" s="321" t="s">
        <v>6360</v>
      </c>
      <c r="P3334" s="321">
        <v>1610000</v>
      </c>
      <c r="Q3334" s="322">
        <v>0</v>
      </c>
      <c r="R3334" s="322">
        <v>0</v>
      </c>
      <c r="S3334" s="322">
        <v>0</v>
      </c>
      <c r="T3334" s="322">
        <v>0</v>
      </c>
      <c r="U3334" s="322">
        <f t="shared" si="214"/>
        <v>0</v>
      </c>
      <c r="W3334" s="321">
        <f t="shared" si="215"/>
        <v>750</v>
      </c>
      <c r="X3334" s="321">
        <f t="shared" si="216"/>
        <v>994000</v>
      </c>
      <c r="Y3334" s="321">
        <v>1</v>
      </c>
      <c r="AA3334" s="321" t="s">
        <v>6360</v>
      </c>
    </row>
    <row r="3335" spans="13:27">
      <c r="M3335" s="321">
        <v>1994000970</v>
      </c>
      <c r="N3335" s="321">
        <v>99</v>
      </c>
      <c r="O3335" s="321" t="s">
        <v>6361</v>
      </c>
      <c r="P3335" s="321">
        <v>2990000</v>
      </c>
      <c r="Q3335" s="322">
        <v>1300000</v>
      </c>
      <c r="R3335" s="322">
        <v>10000</v>
      </c>
      <c r="S3335" s="322">
        <v>1300000</v>
      </c>
      <c r="T3335" s="322">
        <v>1000000</v>
      </c>
      <c r="U3335" s="322">
        <f t="shared" si="214"/>
        <v>300000</v>
      </c>
      <c r="W3335" s="321">
        <f t="shared" si="215"/>
        <v>970</v>
      </c>
      <c r="X3335" s="321">
        <f t="shared" si="216"/>
        <v>994000</v>
      </c>
      <c r="Y3335" s="321">
        <v>1</v>
      </c>
      <c r="AA3335" s="321" t="s">
        <v>6361</v>
      </c>
    </row>
    <row r="3336" spans="13:27">
      <c r="M3336" s="321">
        <v>1994000971</v>
      </c>
      <c r="N3336" s="321">
        <v>99</v>
      </c>
      <c r="O3336" s="321" t="s">
        <v>6362</v>
      </c>
      <c r="P3336" s="321">
        <v>2990000</v>
      </c>
      <c r="Q3336" s="322">
        <v>1000000</v>
      </c>
      <c r="R3336" s="322">
        <v>130000</v>
      </c>
      <c r="S3336" s="322">
        <v>1000000</v>
      </c>
      <c r="T3336" s="322">
        <v>900000</v>
      </c>
      <c r="U3336" s="322">
        <f t="shared" si="214"/>
        <v>100000</v>
      </c>
      <c r="W3336" s="321">
        <f t="shared" si="215"/>
        <v>971</v>
      </c>
      <c r="X3336" s="321">
        <f t="shared" si="216"/>
        <v>994000</v>
      </c>
      <c r="Y3336" s="321">
        <v>1</v>
      </c>
      <c r="AA3336" s="321" t="s">
        <v>6362</v>
      </c>
    </row>
    <row r="3337" spans="13:27">
      <c r="M3337" s="321">
        <v>1994000980</v>
      </c>
      <c r="N3337" s="321">
        <v>99</v>
      </c>
      <c r="O3337" s="321" t="s">
        <v>6363</v>
      </c>
      <c r="P3337" s="321">
        <v>2990000</v>
      </c>
      <c r="Q3337" s="322">
        <v>400000</v>
      </c>
      <c r="R3337" s="322">
        <v>15500</v>
      </c>
      <c r="S3337" s="322">
        <v>0</v>
      </c>
      <c r="T3337" s="322">
        <v>0</v>
      </c>
      <c r="U3337" s="322">
        <f t="shared" si="214"/>
        <v>0</v>
      </c>
      <c r="W3337" s="321">
        <f t="shared" si="215"/>
        <v>980</v>
      </c>
      <c r="X3337" s="321">
        <f t="shared" si="216"/>
        <v>994000</v>
      </c>
      <c r="Y3337" s="321">
        <v>1</v>
      </c>
      <c r="AA3337" s="321" t="s">
        <v>6363</v>
      </c>
    </row>
    <row r="3338" spans="13:27">
      <c r="M3338" s="321">
        <v>1994001980</v>
      </c>
      <c r="N3338" s="321">
        <v>99</v>
      </c>
      <c r="O3338" s="321" t="s">
        <v>6364</v>
      </c>
      <c r="P3338" s="321">
        <v>2990000</v>
      </c>
      <c r="Q3338" s="322">
        <v>1212000</v>
      </c>
      <c r="R3338" s="322">
        <v>869800</v>
      </c>
      <c r="S3338" s="322">
        <v>1212000</v>
      </c>
      <c r="T3338" s="322">
        <v>1212000</v>
      </c>
      <c r="U3338" s="322">
        <f t="shared" si="214"/>
        <v>0</v>
      </c>
      <c r="W3338" s="321">
        <f t="shared" si="215"/>
        <v>980</v>
      </c>
      <c r="X3338" s="321">
        <f t="shared" si="216"/>
        <v>994001</v>
      </c>
      <c r="Y3338" s="321">
        <v>1</v>
      </c>
      <c r="AA3338" s="321" t="s">
        <v>6364</v>
      </c>
    </row>
    <row r="3339" spans="13:27">
      <c r="M3339" s="321">
        <v>1995000860</v>
      </c>
      <c r="N3339" s="321">
        <v>99</v>
      </c>
      <c r="O3339" s="321" t="s">
        <v>6365</v>
      </c>
      <c r="P3339" s="321">
        <v>2990001</v>
      </c>
      <c r="Q3339" s="322">
        <v>89230000</v>
      </c>
      <c r="R3339" s="322">
        <v>73545700</v>
      </c>
      <c r="S3339" s="322">
        <v>91000000</v>
      </c>
      <c r="T3339" s="322">
        <v>91000000</v>
      </c>
      <c r="U3339" s="322">
        <f t="shared" si="214"/>
        <v>0</v>
      </c>
      <c r="W3339" s="321">
        <f t="shared" si="215"/>
        <v>860</v>
      </c>
      <c r="X3339" s="321">
        <f t="shared" si="216"/>
        <v>995000</v>
      </c>
      <c r="Y3339" s="321">
        <v>1</v>
      </c>
      <c r="AA3339" s="321" t="s">
        <v>6365</v>
      </c>
    </row>
    <row r="3340" spans="13:27">
      <c r="M3340" s="321">
        <v>1996000320</v>
      </c>
      <c r="N3340" s="321">
        <v>99</v>
      </c>
      <c r="O3340" s="321" t="s">
        <v>5331</v>
      </c>
      <c r="P3340" s="321">
        <v>2990000</v>
      </c>
      <c r="Q3340" s="322">
        <v>4000000</v>
      </c>
      <c r="R3340" s="322">
        <v>3919500</v>
      </c>
      <c r="S3340" s="322">
        <v>4000000</v>
      </c>
      <c r="T3340" s="322">
        <v>4000000</v>
      </c>
      <c r="U3340" s="322">
        <f t="shared" si="214"/>
        <v>0</v>
      </c>
      <c r="W3340" s="321">
        <f t="shared" si="215"/>
        <v>320</v>
      </c>
      <c r="X3340" s="321">
        <f t="shared" si="216"/>
        <v>996000</v>
      </c>
      <c r="Y3340" s="321">
        <v>1</v>
      </c>
      <c r="AA3340" s="321" t="s">
        <v>5331</v>
      </c>
    </row>
    <row r="3341" spans="13:27">
      <c r="M3341" s="321">
        <v>1996000390</v>
      </c>
      <c r="N3341" s="321">
        <v>99</v>
      </c>
      <c r="O3341" s="321" t="s">
        <v>6366</v>
      </c>
      <c r="P3341" s="321">
        <v>2990000</v>
      </c>
      <c r="Q3341" s="322">
        <v>65240000</v>
      </c>
      <c r="R3341" s="322">
        <v>47296000</v>
      </c>
      <c r="S3341" s="322">
        <v>66803000</v>
      </c>
      <c r="T3341" s="322">
        <v>66803000</v>
      </c>
      <c r="U3341" s="322">
        <f t="shared" si="214"/>
        <v>0</v>
      </c>
      <c r="W3341" s="321">
        <f t="shared" si="215"/>
        <v>390</v>
      </c>
      <c r="X3341" s="321">
        <f t="shared" si="216"/>
        <v>996000</v>
      </c>
      <c r="Y3341" s="321">
        <v>1</v>
      </c>
      <c r="AA3341" s="321" t="s">
        <v>6366</v>
      </c>
    </row>
    <row r="3342" spans="13:27">
      <c r="M3342" s="321">
        <v>1996000391</v>
      </c>
      <c r="N3342" s="321">
        <v>99</v>
      </c>
      <c r="O3342" s="321" t="s">
        <v>6367</v>
      </c>
      <c r="P3342" s="321">
        <v>2990000</v>
      </c>
      <c r="Q3342" s="322">
        <v>11000</v>
      </c>
      <c r="R3342" s="322">
        <v>0</v>
      </c>
      <c r="S3342" s="322">
        <v>0</v>
      </c>
      <c r="T3342" s="322">
        <v>0</v>
      </c>
      <c r="U3342" s="322">
        <f t="shared" si="214"/>
        <v>0</v>
      </c>
      <c r="W3342" s="321">
        <f t="shared" si="215"/>
        <v>391</v>
      </c>
      <c r="X3342" s="321">
        <f t="shared" si="216"/>
        <v>996000</v>
      </c>
      <c r="Y3342" s="321">
        <v>1</v>
      </c>
      <c r="AA3342" s="321" t="s">
        <v>6367</v>
      </c>
    </row>
    <row r="3343" spans="13:27">
      <c r="M3343" s="321">
        <v>1996000397</v>
      </c>
      <c r="N3343" s="321">
        <v>99</v>
      </c>
      <c r="O3343" s="321" t="s">
        <v>6368</v>
      </c>
      <c r="P3343" s="321">
        <v>2990000</v>
      </c>
      <c r="Q3343" s="322">
        <v>184000</v>
      </c>
      <c r="R3343" s="322">
        <v>132500</v>
      </c>
      <c r="S3343" s="322">
        <v>152000</v>
      </c>
      <c r="T3343" s="322">
        <v>152000</v>
      </c>
      <c r="U3343" s="322">
        <f t="shared" si="214"/>
        <v>0</v>
      </c>
      <c r="W3343" s="321">
        <f t="shared" si="215"/>
        <v>397</v>
      </c>
      <c r="X3343" s="321">
        <f t="shared" si="216"/>
        <v>996000</v>
      </c>
      <c r="Y3343" s="321">
        <v>1</v>
      </c>
      <c r="AA3343" s="321" t="s">
        <v>6368</v>
      </c>
    </row>
    <row r="3344" spans="13:27">
      <c r="M3344" s="321">
        <v>1999000399</v>
      </c>
      <c r="N3344" s="321">
        <v>99</v>
      </c>
      <c r="O3344" s="321" t="s">
        <v>6369</v>
      </c>
      <c r="P3344" s="321">
        <v>2990000</v>
      </c>
      <c r="Q3344" s="322">
        <v>0</v>
      </c>
      <c r="R3344" s="322">
        <v>0</v>
      </c>
      <c r="S3344" s="322">
        <v>0</v>
      </c>
      <c r="T3344" s="322">
        <v>0</v>
      </c>
      <c r="U3344" s="322">
        <f t="shared" si="214"/>
        <v>0</v>
      </c>
      <c r="W3344" s="321">
        <f t="shared" si="215"/>
        <v>399</v>
      </c>
      <c r="X3344" s="321">
        <f t="shared" si="216"/>
        <v>999000</v>
      </c>
      <c r="Y3344" s="321">
        <v>1</v>
      </c>
      <c r="AA3344" s="321" t="s">
        <v>6369</v>
      </c>
    </row>
    <row r="3345" spans="1:27">
      <c r="M3345" s="321">
        <v>1999000980</v>
      </c>
      <c r="N3345" s="321">
        <v>99</v>
      </c>
      <c r="O3345" s="321" t="s">
        <v>6370</v>
      </c>
      <c r="P3345" s="321">
        <v>1610000</v>
      </c>
      <c r="Q3345" s="322">
        <v>0</v>
      </c>
      <c r="R3345" s="322">
        <v>0</v>
      </c>
      <c r="S3345" s="322">
        <v>0</v>
      </c>
      <c r="T3345" s="322">
        <v>0</v>
      </c>
      <c r="U3345" s="322">
        <f t="shared" si="214"/>
        <v>0</v>
      </c>
      <c r="W3345" s="321">
        <f t="shared" si="215"/>
        <v>980</v>
      </c>
      <c r="X3345" s="321">
        <f t="shared" si="216"/>
        <v>999000</v>
      </c>
      <c r="Y3345" s="321">
        <v>1</v>
      </c>
      <c r="AA3345" s="321" t="s">
        <v>6370</v>
      </c>
    </row>
    <row r="3346" spans="1:27" s="323" customFormat="1" outlineLevel="1" collapsed="1">
      <c r="A3346" s="422"/>
      <c r="B3346" s="423"/>
      <c r="C3346" s="424"/>
      <c r="D3346" s="425"/>
      <c r="E3346" s="426"/>
      <c r="F3346" s="426"/>
      <c r="G3346"/>
      <c r="H3346"/>
      <c r="I3346"/>
    </row>
    <row r="3347" spans="1:27" s="323" customFormat="1">
      <c r="A3347" s="422"/>
      <c r="B3347" s="423"/>
      <c r="C3347" s="424"/>
      <c r="D3347" s="425"/>
      <c r="E3347" s="426"/>
      <c r="F3347" s="426"/>
      <c r="G3347"/>
      <c r="H3347"/>
      <c r="I3347"/>
    </row>
  </sheetData>
  <autoFilter ref="M1:U1">
    <sortState ref="M2:U3373">
      <sortCondition ref="M1"/>
    </sortState>
  </autoFilter>
  <printOptions gridLines="1"/>
  <pageMargins left="0.23622047244094491" right="0.23622047244094491" top="0.74803149606299213" bottom="0.74803149606299213" header="0.31496062992125984" footer="0.31496062992125984"/>
  <pageSetup paperSize="9" scale="75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01"/>
  <sheetViews>
    <sheetView rightToLeft="1" topLeftCell="A231" workbookViewId="0">
      <selection activeCell="H250" sqref="H250"/>
    </sheetView>
  </sheetViews>
  <sheetFormatPr defaultColWidth="17.140625" defaultRowHeight="12.75"/>
  <cols>
    <col min="1" max="1" width="6.28515625" style="34" customWidth="1"/>
    <col min="2" max="2" width="6.42578125" style="34" customWidth="1"/>
    <col min="3" max="3" width="12.5703125" style="34" bestFit="1" customWidth="1"/>
    <col min="4" max="4" width="16.140625" style="34" customWidth="1"/>
    <col min="5" max="5" width="12" style="34" customWidth="1"/>
    <col min="6" max="6" width="12.7109375" style="34" customWidth="1"/>
    <col min="7" max="7" width="17.42578125" style="34" customWidth="1"/>
    <col min="8" max="8" width="50.5703125" style="34" customWidth="1"/>
    <col min="9" max="9" width="67.85546875" style="34" customWidth="1"/>
    <col min="10" max="11" width="48.7109375" style="34" customWidth="1"/>
    <col min="12" max="12" width="76" style="34" customWidth="1"/>
    <col min="13" max="14" width="14.7109375" style="34" customWidth="1"/>
    <col min="15" max="15" width="13.5703125" style="34" customWidth="1"/>
    <col min="16" max="16384" width="17.140625" style="34"/>
  </cols>
  <sheetData>
    <row r="1" spans="1:15" ht="15.75" customHeight="1">
      <c r="A1" s="33" t="s">
        <v>34</v>
      </c>
      <c r="B1" s="33" t="s">
        <v>35</v>
      </c>
      <c r="C1" s="33" t="s">
        <v>36</v>
      </c>
      <c r="D1" s="33" t="s">
        <v>37</v>
      </c>
      <c r="E1" s="33" t="s">
        <v>38</v>
      </c>
      <c r="F1" s="33" t="s">
        <v>39</v>
      </c>
      <c r="G1" s="33" t="s">
        <v>40</v>
      </c>
      <c r="H1" s="33" t="s">
        <v>41</v>
      </c>
      <c r="I1" s="33" t="s">
        <v>42</v>
      </c>
      <c r="J1" s="33" t="s">
        <v>43</v>
      </c>
      <c r="K1" s="33" t="s">
        <v>44</v>
      </c>
      <c r="L1" s="33" t="s">
        <v>45</v>
      </c>
      <c r="M1" s="33" t="s">
        <v>46</v>
      </c>
      <c r="N1" s="33" t="s">
        <v>47</v>
      </c>
      <c r="O1" s="33" t="s">
        <v>48</v>
      </c>
    </row>
    <row r="2" spans="1:15" ht="15.75" customHeight="1">
      <c r="A2" s="35" t="s">
        <v>115</v>
      </c>
      <c r="B2" s="35"/>
      <c r="C2" s="35"/>
      <c r="D2" s="35" t="s">
        <v>49</v>
      </c>
      <c r="E2" s="35"/>
      <c r="F2" s="35"/>
      <c r="G2" s="35" t="s">
        <v>227</v>
      </c>
      <c r="H2" s="35" t="s">
        <v>228</v>
      </c>
      <c r="I2" s="35" t="s">
        <v>229</v>
      </c>
      <c r="J2" s="35" t="s">
        <v>230</v>
      </c>
      <c r="K2" s="35" t="s">
        <v>231</v>
      </c>
      <c r="L2" s="35"/>
      <c r="M2" s="35"/>
      <c r="N2" s="35"/>
      <c r="O2" s="35"/>
    </row>
    <row r="3" spans="1:15" ht="15.75" customHeight="1">
      <c r="A3" s="35" t="s">
        <v>232</v>
      </c>
      <c r="B3" s="35" t="s">
        <v>115</v>
      </c>
      <c r="C3" s="35"/>
      <c r="D3" s="35" t="s">
        <v>49</v>
      </c>
      <c r="E3" s="35"/>
      <c r="F3" s="35"/>
      <c r="G3" s="35" t="s">
        <v>227</v>
      </c>
      <c r="H3" s="35" t="s">
        <v>233</v>
      </c>
      <c r="I3" s="35" t="s">
        <v>234</v>
      </c>
      <c r="J3" s="35" t="s">
        <v>235</v>
      </c>
      <c r="K3" s="35" t="s">
        <v>236</v>
      </c>
      <c r="L3" s="35"/>
      <c r="M3" s="35"/>
      <c r="N3" s="35"/>
      <c r="O3" s="35"/>
    </row>
    <row r="4" spans="1:15" ht="15.75" customHeight="1">
      <c r="A4" s="35" t="s">
        <v>237</v>
      </c>
      <c r="B4" s="35" t="s">
        <v>232</v>
      </c>
      <c r="C4" s="35"/>
      <c r="D4" s="35" t="s">
        <v>49</v>
      </c>
      <c r="E4" s="35"/>
      <c r="F4" s="35"/>
      <c r="G4" s="35" t="s">
        <v>238</v>
      </c>
      <c r="H4" s="35" t="s">
        <v>239</v>
      </c>
      <c r="I4" s="35" t="s">
        <v>240</v>
      </c>
      <c r="J4" s="35" t="s">
        <v>241</v>
      </c>
      <c r="K4" s="35" t="s">
        <v>242</v>
      </c>
      <c r="L4" s="35"/>
      <c r="M4" s="35"/>
      <c r="N4" s="35"/>
      <c r="O4" s="35"/>
    </row>
    <row r="5" spans="1:15" ht="15.75" customHeight="1">
      <c r="A5" s="35" t="s">
        <v>243</v>
      </c>
      <c r="B5" s="35" t="s">
        <v>237</v>
      </c>
      <c r="C5" s="35"/>
      <c r="D5" s="35" t="s">
        <v>49</v>
      </c>
      <c r="E5" s="35"/>
      <c r="F5" s="35"/>
      <c r="G5" s="35" t="s">
        <v>238</v>
      </c>
      <c r="H5" s="35" t="s">
        <v>244</v>
      </c>
      <c r="I5" s="35" t="s">
        <v>245</v>
      </c>
      <c r="J5" s="35" t="s">
        <v>246</v>
      </c>
      <c r="K5" s="35" t="s">
        <v>247</v>
      </c>
      <c r="L5" s="35"/>
      <c r="M5" s="35"/>
      <c r="N5" s="35"/>
      <c r="O5" s="35"/>
    </row>
    <row r="6" spans="1:15" ht="15.75" customHeight="1">
      <c r="A6" s="35" t="s">
        <v>248</v>
      </c>
      <c r="B6" s="35" t="s">
        <v>237</v>
      </c>
      <c r="C6" s="35"/>
      <c r="D6" s="35" t="s">
        <v>49</v>
      </c>
      <c r="E6" s="35"/>
      <c r="F6" s="35"/>
      <c r="G6" s="35" t="s">
        <v>238</v>
      </c>
      <c r="H6" s="35" t="s">
        <v>249</v>
      </c>
      <c r="I6" s="35" t="s">
        <v>250</v>
      </c>
      <c r="J6" s="35" t="s">
        <v>251</v>
      </c>
      <c r="K6" s="35" t="s">
        <v>252</v>
      </c>
      <c r="L6" s="35"/>
      <c r="M6" s="35"/>
      <c r="N6" s="35"/>
      <c r="O6" s="35"/>
    </row>
    <row r="7" spans="1:15" ht="15.75" customHeight="1">
      <c r="A7" s="35" t="s">
        <v>253</v>
      </c>
      <c r="B7" s="35" t="s">
        <v>232</v>
      </c>
      <c r="C7" s="35"/>
      <c r="D7" s="35" t="s">
        <v>49</v>
      </c>
      <c r="E7" s="35"/>
      <c r="F7" s="35"/>
      <c r="G7" s="35" t="s">
        <v>238</v>
      </c>
      <c r="H7" s="35" t="s">
        <v>254</v>
      </c>
      <c r="I7" s="35" t="s">
        <v>255</v>
      </c>
      <c r="J7" s="35" t="s">
        <v>256</v>
      </c>
      <c r="K7" s="35" t="s">
        <v>257</v>
      </c>
      <c r="L7" s="35"/>
      <c r="M7" s="35"/>
      <c r="N7" s="35"/>
      <c r="O7" s="35"/>
    </row>
    <row r="8" spans="1:15" ht="15.75" customHeight="1">
      <c r="A8" s="35" t="s">
        <v>258</v>
      </c>
      <c r="B8" s="35" t="s">
        <v>232</v>
      </c>
      <c r="C8" s="35"/>
      <c r="D8" s="35" t="s">
        <v>49</v>
      </c>
      <c r="E8" s="35"/>
      <c r="F8" s="35"/>
      <c r="G8" s="35" t="s">
        <v>238</v>
      </c>
      <c r="H8" s="35" t="s">
        <v>259</v>
      </c>
      <c r="I8" s="35" t="s">
        <v>260</v>
      </c>
      <c r="J8" s="35" t="s">
        <v>261</v>
      </c>
      <c r="K8" s="35" t="s">
        <v>262</v>
      </c>
      <c r="L8" s="35"/>
      <c r="M8" s="35"/>
      <c r="N8" s="35"/>
      <c r="O8" s="35"/>
    </row>
    <row r="9" spans="1:15" ht="15.75" customHeight="1">
      <c r="A9" s="35" t="s">
        <v>263</v>
      </c>
      <c r="B9" s="35" t="s">
        <v>232</v>
      </c>
      <c r="C9" s="35"/>
      <c r="D9" s="35" t="s">
        <v>49</v>
      </c>
      <c r="E9" s="35"/>
      <c r="F9" s="35"/>
      <c r="G9" s="35" t="s">
        <v>238</v>
      </c>
      <c r="H9" s="35" t="s">
        <v>264</v>
      </c>
      <c r="I9" s="35" t="s">
        <v>265</v>
      </c>
      <c r="J9" s="35" t="s">
        <v>266</v>
      </c>
      <c r="K9" s="35" t="s">
        <v>267</v>
      </c>
      <c r="L9" s="35"/>
      <c r="M9" s="35"/>
      <c r="N9" s="35"/>
      <c r="O9" s="35"/>
    </row>
    <row r="10" spans="1:15" ht="15.75" customHeight="1">
      <c r="A10" s="35" t="s">
        <v>268</v>
      </c>
      <c r="B10" s="35" t="s">
        <v>232</v>
      </c>
      <c r="C10" s="35"/>
      <c r="D10" s="35" t="s">
        <v>49</v>
      </c>
      <c r="E10" s="35"/>
      <c r="F10" s="35"/>
      <c r="G10" s="35" t="s">
        <v>238</v>
      </c>
      <c r="H10" s="35" t="s">
        <v>269</v>
      </c>
      <c r="I10" s="35" t="s">
        <v>270</v>
      </c>
      <c r="J10" s="35" t="s">
        <v>271</v>
      </c>
      <c r="K10" s="35" t="s">
        <v>272</v>
      </c>
      <c r="L10" s="35"/>
      <c r="M10" s="35"/>
      <c r="N10" s="35"/>
      <c r="O10" s="35"/>
    </row>
    <row r="11" spans="1:15" ht="15.75" customHeight="1">
      <c r="A11" s="35" t="s">
        <v>273</v>
      </c>
      <c r="B11" s="35" t="s">
        <v>232</v>
      </c>
      <c r="C11" s="35"/>
      <c r="D11" s="35" t="s">
        <v>49</v>
      </c>
      <c r="E11" s="35"/>
      <c r="F11" s="35"/>
      <c r="G11" s="35" t="s">
        <v>238</v>
      </c>
      <c r="H11" s="35" t="s">
        <v>274</v>
      </c>
      <c r="I11" s="35" t="s">
        <v>275</v>
      </c>
      <c r="J11" s="35" t="s">
        <v>276</v>
      </c>
      <c r="K11" s="35" t="s">
        <v>277</v>
      </c>
      <c r="L11" s="35"/>
      <c r="M11" s="35"/>
      <c r="N11" s="35"/>
      <c r="O11" s="35"/>
    </row>
    <row r="12" spans="1:15" ht="15.75" customHeight="1">
      <c r="A12" s="35" t="s">
        <v>278</v>
      </c>
      <c r="B12" s="35" t="s">
        <v>232</v>
      </c>
      <c r="C12" s="35"/>
      <c r="D12" s="35" t="s">
        <v>49</v>
      </c>
      <c r="E12" s="35"/>
      <c r="F12" s="35"/>
      <c r="G12" s="35" t="s">
        <v>238</v>
      </c>
      <c r="H12" s="35" t="s">
        <v>279</v>
      </c>
      <c r="I12" s="35" t="s">
        <v>280</v>
      </c>
      <c r="J12" s="35" t="s">
        <v>281</v>
      </c>
      <c r="K12" s="35" t="s">
        <v>282</v>
      </c>
      <c r="L12" s="35"/>
      <c r="M12" s="35"/>
      <c r="N12" s="35"/>
      <c r="O12" s="35"/>
    </row>
    <row r="13" spans="1:15" ht="15.75" customHeight="1">
      <c r="A13" s="35" t="s">
        <v>283</v>
      </c>
      <c r="B13" s="35" t="s">
        <v>232</v>
      </c>
      <c r="C13" s="35"/>
      <c r="D13" s="35" t="s">
        <v>49</v>
      </c>
      <c r="E13" s="35"/>
      <c r="F13" s="35"/>
      <c r="G13" s="35" t="s">
        <v>238</v>
      </c>
      <c r="H13" s="35" t="s">
        <v>284</v>
      </c>
      <c r="I13" s="35" t="s">
        <v>285</v>
      </c>
      <c r="J13" s="35" t="s">
        <v>286</v>
      </c>
      <c r="K13" s="35" t="s">
        <v>287</v>
      </c>
      <c r="L13" s="35"/>
      <c r="M13" s="35"/>
      <c r="N13" s="35"/>
      <c r="O13" s="35"/>
    </row>
    <row r="14" spans="1:15" ht="15.75" customHeight="1">
      <c r="A14" s="35" t="s">
        <v>288</v>
      </c>
      <c r="B14" s="35" t="s">
        <v>232</v>
      </c>
      <c r="C14" s="35"/>
      <c r="D14" s="35" t="s">
        <v>49</v>
      </c>
      <c r="E14" s="35"/>
      <c r="F14" s="35"/>
      <c r="G14" s="35" t="s">
        <v>238</v>
      </c>
      <c r="H14" s="35" t="s">
        <v>289</v>
      </c>
      <c r="I14" s="35" t="s">
        <v>290</v>
      </c>
      <c r="J14" s="35" t="s">
        <v>291</v>
      </c>
      <c r="K14" s="35" t="s">
        <v>292</v>
      </c>
      <c r="L14" s="35"/>
      <c r="M14" s="35"/>
      <c r="N14" s="35"/>
      <c r="O14" s="35"/>
    </row>
    <row r="15" spans="1:15" ht="15.75" customHeight="1">
      <c r="A15" s="35" t="s">
        <v>293</v>
      </c>
      <c r="B15" s="35" t="s">
        <v>115</v>
      </c>
      <c r="C15" s="35"/>
      <c r="D15" s="35" t="s">
        <v>49</v>
      </c>
      <c r="E15" s="35"/>
      <c r="F15" s="35"/>
      <c r="G15" s="35" t="s">
        <v>227</v>
      </c>
      <c r="H15" s="35" t="s">
        <v>294</v>
      </c>
      <c r="I15" s="35" t="s">
        <v>295</v>
      </c>
      <c r="J15" s="35" t="s">
        <v>296</v>
      </c>
      <c r="K15" s="35" t="s">
        <v>297</v>
      </c>
      <c r="L15" s="35"/>
      <c r="M15" s="35"/>
      <c r="N15" s="35"/>
      <c r="O15" s="35"/>
    </row>
    <row r="16" spans="1:15" ht="15.75" customHeight="1">
      <c r="A16" s="35" t="s">
        <v>298</v>
      </c>
      <c r="B16" s="35" t="s">
        <v>293</v>
      </c>
      <c r="C16" s="35"/>
      <c r="D16" s="35" t="s">
        <v>49</v>
      </c>
      <c r="E16" s="35"/>
      <c r="F16" s="35"/>
      <c r="G16" s="35" t="s">
        <v>238</v>
      </c>
      <c r="H16" s="35" t="s">
        <v>299</v>
      </c>
      <c r="I16" s="35" t="s">
        <v>300</v>
      </c>
      <c r="J16" s="35" t="s">
        <v>301</v>
      </c>
      <c r="K16" s="35" t="s">
        <v>302</v>
      </c>
      <c r="L16" s="35"/>
      <c r="M16" s="35"/>
      <c r="N16" s="35"/>
      <c r="O16" s="35"/>
    </row>
    <row r="17" spans="1:15" ht="15.75" customHeight="1">
      <c r="A17" s="35" t="s">
        <v>303</v>
      </c>
      <c r="B17" s="35" t="s">
        <v>298</v>
      </c>
      <c r="C17" s="35"/>
      <c r="D17" s="35" t="s">
        <v>49</v>
      </c>
      <c r="E17" s="35"/>
      <c r="F17" s="35"/>
      <c r="G17" s="35" t="s">
        <v>238</v>
      </c>
      <c r="H17" s="35" t="s">
        <v>304</v>
      </c>
      <c r="I17" s="35" t="s">
        <v>305</v>
      </c>
      <c r="J17" s="35" t="s">
        <v>306</v>
      </c>
      <c r="K17" s="35" t="s">
        <v>307</v>
      </c>
      <c r="L17" s="35"/>
      <c r="M17" s="35"/>
      <c r="N17" s="35"/>
      <c r="O17" s="35"/>
    </row>
    <row r="18" spans="1:15" ht="15.75" customHeight="1">
      <c r="A18" s="35" t="s">
        <v>308</v>
      </c>
      <c r="B18" s="35" t="s">
        <v>298</v>
      </c>
      <c r="C18" s="35"/>
      <c r="D18" s="35" t="s">
        <v>49</v>
      </c>
      <c r="E18" s="35"/>
      <c r="F18" s="35"/>
      <c r="G18" s="35" t="s">
        <v>238</v>
      </c>
      <c r="H18" s="35" t="s">
        <v>309</v>
      </c>
      <c r="I18" s="35" t="s">
        <v>310</v>
      </c>
      <c r="J18" s="35" t="s">
        <v>311</v>
      </c>
      <c r="K18" s="35" t="s">
        <v>312</v>
      </c>
      <c r="L18" s="35"/>
      <c r="M18" s="35"/>
      <c r="N18" s="35"/>
      <c r="O18" s="35"/>
    </row>
    <row r="19" spans="1:15" ht="15.75" customHeight="1">
      <c r="A19" s="35" t="s">
        <v>313</v>
      </c>
      <c r="B19" s="35" t="s">
        <v>298</v>
      </c>
      <c r="C19" s="35"/>
      <c r="D19" s="35" t="s">
        <v>49</v>
      </c>
      <c r="E19" s="35"/>
      <c r="F19" s="35"/>
      <c r="G19" s="35" t="s">
        <v>238</v>
      </c>
      <c r="H19" s="35" t="s">
        <v>314</v>
      </c>
      <c r="I19" s="35" t="s">
        <v>315</v>
      </c>
      <c r="J19" s="35" t="s">
        <v>316</v>
      </c>
      <c r="K19" s="35" t="s">
        <v>317</v>
      </c>
      <c r="L19" s="35"/>
      <c r="M19" s="35"/>
      <c r="N19" s="35"/>
      <c r="O19" s="35"/>
    </row>
    <row r="20" spans="1:15" ht="15.75" customHeight="1">
      <c r="A20" s="35" t="s">
        <v>318</v>
      </c>
      <c r="B20" s="35" t="s">
        <v>298</v>
      </c>
      <c r="C20" s="35"/>
      <c r="D20" s="35" t="s">
        <v>49</v>
      </c>
      <c r="E20" s="35"/>
      <c r="F20" s="35"/>
      <c r="G20" s="35" t="s">
        <v>238</v>
      </c>
      <c r="H20" s="35" t="s">
        <v>21</v>
      </c>
      <c r="I20" s="35" t="s">
        <v>319</v>
      </c>
      <c r="J20" s="35" t="s">
        <v>320</v>
      </c>
      <c r="K20" s="35" t="s">
        <v>321</v>
      </c>
      <c r="L20" s="35"/>
      <c r="M20" s="35"/>
      <c r="N20" s="35"/>
      <c r="O20" s="35"/>
    </row>
    <row r="21" spans="1:15" ht="15.75" customHeight="1">
      <c r="A21" s="35" t="s">
        <v>322</v>
      </c>
      <c r="B21" s="35" t="s">
        <v>298</v>
      </c>
      <c r="C21" s="35"/>
      <c r="D21" s="35" t="s">
        <v>49</v>
      </c>
      <c r="E21" s="35"/>
      <c r="F21" s="35"/>
      <c r="G21" s="35" t="s">
        <v>238</v>
      </c>
      <c r="H21" s="35" t="s">
        <v>323</v>
      </c>
      <c r="I21" s="35" t="s">
        <v>324</v>
      </c>
      <c r="J21" s="35" t="s">
        <v>325</v>
      </c>
      <c r="K21" s="35" t="s">
        <v>326</v>
      </c>
      <c r="L21" s="35"/>
      <c r="M21" s="35"/>
      <c r="N21" s="35"/>
      <c r="O21" s="35"/>
    </row>
    <row r="22" spans="1:15" ht="15.75" customHeight="1">
      <c r="A22" s="35" t="s">
        <v>327</v>
      </c>
      <c r="B22" s="35" t="s">
        <v>298</v>
      </c>
      <c r="C22" s="35"/>
      <c r="D22" s="35" t="s">
        <v>49</v>
      </c>
      <c r="E22" s="35"/>
      <c r="F22" s="35"/>
      <c r="G22" s="35" t="s">
        <v>238</v>
      </c>
      <c r="H22" s="35" t="s">
        <v>328</v>
      </c>
      <c r="I22" s="35" t="s">
        <v>329</v>
      </c>
      <c r="J22" s="35" t="s">
        <v>330</v>
      </c>
      <c r="K22" s="35" t="s">
        <v>331</v>
      </c>
      <c r="L22" s="35"/>
      <c r="M22" s="35"/>
      <c r="N22" s="35"/>
      <c r="O22" s="35"/>
    </row>
    <row r="23" spans="1:15" ht="15.75" customHeight="1">
      <c r="A23" s="35" t="s">
        <v>332</v>
      </c>
      <c r="B23" s="35" t="s">
        <v>298</v>
      </c>
      <c r="C23" s="35"/>
      <c r="D23" s="35" t="s">
        <v>49</v>
      </c>
      <c r="E23" s="35"/>
      <c r="F23" s="35"/>
      <c r="G23" s="35" t="s">
        <v>238</v>
      </c>
      <c r="H23" s="35" t="s">
        <v>333</v>
      </c>
      <c r="I23" s="35" t="s">
        <v>334</v>
      </c>
      <c r="J23" s="35" t="s">
        <v>335</v>
      </c>
      <c r="K23" s="35" t="s">
        <v>336</v>
      </c>
      <c r="L23" s="35"/>
      <c r="M23" s="35"/>
      <c r="N23" s="35"/>
      <c r="O23" s="35"/>
    </row>
    <row r="24" spans="1:15" ht="15.75" customHeight="1">
      <c r="A24" s="35" t="s">
        <v>337</v>
      </c>
      <c r="B24" s="35" t="s">
        <v>293</v>
      </c>
      <c r="C24" s="35"/>
      <c r="D24" s="35" t="s">
        <v>49</v>
      </c>
      <c r="E24" s="35"/>
      <c r="F24" s="35"/>
      <c r="G24" s="35" t="s">
        <v>238</v>
      </c>
      <c r="H24" s="35" t="s">
        <v>338</v>
      </c>
      <c r="I24" s="35" t="s">
        <v>339</v>
      </c>
      <c r="J24" s="35" t="s">
        <v>340</v>
      </c>
      <c r="K24" s="35" t="s">
        <v>341</v>
      </c>
      <c r="L24" s="35"/>
      <c r="M24" s="35"/>
      <c r="N24" s="35"/>
      <c r="O24" s="35"/>
    </row>
    <row r="25" spans="1:15" ht="15.75" customHeight="1">
      <c r="A25" s="35" t="s">
        <v>342</v>
      </c>
      <c r="B25" s="35" t="s">
        <v>293</v>
      </c>
      <c r="C25" s="35"/>
      <c r="D25" s="35" t="s">
        <v>49</v>
      </c>
      <c r="E25" s="35"/>
      <c r="F25" s="35"/>
      <c r="G25" s="35" t="s">
        <v>238</v>
      </c>
      <c r="H25" s="35" t="s">
        <v>343</v>
      </c>
      <c r="I25" s="35" t="s">
        <v>344</v>
      </c>
      <c r="J25" s="35" t="s">
        <v>345</v>
      </c>
      <c r="K25" s="35" t="s">
        <v>346</v>
      </c>
      <c r="L25" s="35"/>
      <c r="M25" s="35"/>
      <c r="N25" s="35"/>
      <c r="O25" s="35"/>
    </row>
    <row r="26" spans="1:15" ht="15.75" customHeight="1">
      <c r="A26" s="35" t="s">
        <v>347</v>
      </c>
      <c r="B26" s="35" t="s">
        <v>342</v>
      </c>
      <c r="C26" s="35"/>
      <c r="D26" s="35" t="s">
        <v>49</v>
      </c>
      <c r="E26" s="35"/>
      <c r="F26" s="35"/>
      <c r="G26" s="35" t="s">
        <v>238</v>
      </c>
      <c r="H26" s="35" t="s">
        <v>348</v>
      </c>
      <c r="I26" s="35" t="s">
        <v>349</v>
      </c>
      <c r="J26" s="35" t="s">
        <v>350</v>
      </c>
      <c r="K26" s="35" t="s">
        <v>351</v>
      </c>
      <c r="L26" s="35"/>
      <c r="M26" s="35"/>
      <c r="N26" s="35"/>
      <c r="O26" s="35"/>
    </row>
    <row r="27" spans="1:15" ht="15.75" customHeight="1">
      <c r="A27" s="35" t="s">
        <v>352</v>
      </c>
      <c r="B27" s="35" t="s">
        <v>342</v>
      </c>
      <c r="C27" s="35"/>
      <c r="D27" s="35" t="s">
        <v>49</v>
      </c>
      <c r="E27" s="35"/>
      <c r="F27" s="35"/>
      <c r="G27" s="35" t="s">
        <v>238</v>
      </c>
      <c r="H27" s="35" t="s">
        <v>353</v>
      </c>
      <c r="I27" s="35" t="s">
        <v>354</v>
      </c>
      <c r="J27" s="35" t="s">
        <v>355</v>
      </c>
      <c r="K27" s="35" t="s">
        <v>356</v>
      </c>
      <c r="L27" s="35"/>
      <c r="M27" s="35"/>
      <c r="N27" s="35"/>
      <c r="O27" s="35"/>
    </row>
    <row r="28" spans="1:15" ht="15.75" customHeight="1">
      <c r="A28" s="35" t="s">
        <v>357</v>
      </c>
      <c r="B28" s="35" t="s">
        <v>342</v>
      </c>
      <c r="C28" s="35"/>
      <c r="D28" s="35" t="s">
        <v>49</v>
      </c>
      <c r="E28" s="35"/>
      <c r="F28" s="35"/>
      <c r="G28" s="35" t="s">
        <v>238</v>
      </c>
      <c r="H28" s="35" t="s">
        <v>358</v>
      </c>
      <c r="I28" s="35" t="s">
        <v>359</v>
      </c>
      <c r="J28" s="35" t="s">
        <v>360</v>
      </c>
      <c r="K28" s="35" t="s">
        <v>361</v>
      </c>
      <c r="L28" s="35"/>
      <c r="M28" s="35"/>
      <c r="N28" s="35"/>
      <c r="O28" s="35"/>
    </row>
    <row r="29" spans="1:15" ht="15.75" customHeight="1">
      <c r="A29" s="35" t="s">
        <v>362</v>
      </c>
      <c r="B29" s="35" t="s">
        <v>342</v>
      </c>
      <c r="C29" s="35"/>
      <c r="D29" s="35" t="s">
        <v>49</v>
      </c>
      <c r="E29" s="35"/>
      <c r="F29" s="35"/>
      <c r="G29" s="35" t="s">
        <v>238</v>
      </c>
      <c r="H29" s="35" t="s">
        <v>363</v>
      </c>
      <c r="I29" s="35" t="s">
        <v>364</v>
      </c>
      <c r="J29" s="35" t="s">
        <v>365</v>
      </c>
      <c r="K29" s="35" t="s">
        <v>366</v>
      </c>
      <c r="L29" s="35"/>
      <c r="M29" s="35"/>
      <c r="N29" s="35"/>
      <c r="O29" s="35"/>
    </row>
    <row r="30" spans="1:15" ht="15.75" customHeight="1">
      <c r="A30" s="35" t="s">
        <v>367</v>
      </c>
      <c r="B30" s="35" t="s">
        <v>342</v>
      </c>
      <c r="C30" s="35"/>
      <c r="D30" s="35" t="s">
        <v>49</v>
      </c>
      <c r="E30" s="35"/>
      <c r="F30" s="35"/>
      <c r="G30" s="35" t="s">
        <v>238</v>
      </c>
      <c r="H30" s="35" t="s">
        <v>368</v>
      </c>
      <c r="I30" s="35" t="s">
        <v>369</v>
      </c>
      <c r="J30" s="35" t="s">
        <v>370</v>
      </c>
      <c r="K30" s="35" t="s">
        <v>371</v>
      </c>
      <c r="L30" s="35"/>
      <c r="M30" s="35"/>
      <c r="N30" s="35"/>
      <c r="O30" s="35"/>
    </row>
    <row r="31" spans="1:15" ht="15.75" customHeight="1">
      <c r="A31" s="35" t="s">
        <v>372</v>
      </c>
      <c r="B31" s="35" t="s">
        <v>342</v>
      </c>
      <c r="C31" s="35"/>
      <c r="D31" s="35" t="s">
        <v>49</v>
      </c>
      <c r="E31" s="35"/>
      <c r="F31" s="35"/>
      <c r="G31" s="35" t="s">
        <v>238</v>
      </c>
      <c r="H31" s="35" t="s">
        <v>373</v>
      </c>
      <c r="I31" s="35" t="s">
        <v>374</v>
      </c>
      <c r="J31" s="35" t="s">
        <v>375</v>
      </c>
      <c r="K31" s="35" t="s">
        <v>376</v>
      </c>
      <c r="L31" s="35"/>
      <c r="M31" s="35"/>
      <c r="N31" s="35"/>
      <c r="O31" s="35"/>
    </row>
    <row r="32" spans="1:15" ht="15.75" customHeight="1">
      <c r="A32" s="35" t="s">
        <v>377</v>
      </c>
      <c r="B32" s="35" t="s">
        <v>293</v>
      </c>
      <c r="C32" s="35"/>
      <c r="D32" s="35" t="s">
        <v>49</v>
      </c>
      <c r="E32" s="35"/>
      <c r="F32" s="35"/>
      <c r="G32" s="35" t="s">
        <v>238</v>
      </c>
      <c r="H32" s="35" t="s">
        <v>378</v>
      </c>
      <c r="I32" s="35" t="s">
        <v>379</v>
      </c>
      <c r="J32" s="35" t="s">
        <v>380</v>
      </c>
      <c r="K32" s="35" t="s">
        <v>381</v>
      </c>
      <c r="L32" s="35"/>
      <c r="M32" s="35"/>
      <c r="N32" s="35"/>
      <c r="O32" s="35"/>
    </row>
    <row r="33" spans="1:15" ht="15.75" customHeight="1">
      <c r="A33" s="36" t="s">
        <v>382</v>
      </c>
      <c r="B33" s="35" t="s">
        <v>115</v>
      </c>
      <c r="C33" s="35"/>
      <c r="D33" s="35" t="s">
        <v>49</v>
      </c>
      <c r="E33" s="35"/>
      <c r="F33" s="35"/>
      <c r="G33" s="35" t="s">
        <v>227</v>
      </c>
      <c r="H33" s="35" t="s">
        <v>383</v>
      </c>
      <c r="I33" s="35" t="s">
        <v>384</v>
      </c>
      <c r="J33" s="35" t="s">
        <v>385</v>
      </c>
      <c r="K33" s="35" t="s">
        <v>386</v>
      </c>
      <c r="L33" s="35"/>
      <c r="M33" s="35"/>
      <c r="N33" s="35"/>
      <c r="O33" s="35"/>
    </row>
    <row r="34" spans="1:15" ht="15.75" customHeight="1">
      <c r="A34" s="35" t="s">
        <v>387</v>
      </c>
      <c r="B34" s="35" t="s">
        <v>382</v>
      </c>
      <c r="C34" s="35"/>
      <c r="D34" s="35" t="s">
        <v>49</v>
      </c>
      <c r="E34" s="35"/>
      <c r="F34" s="35"/>
      <c r="G34" s="35" t="s">
        <v>238</v>
      </c>
      <c r="H34" s="35" t="s">
        <v>388</v>
      </c>
      <c r="I34" s="35" t="s">
        <v>389</v>
      </c>
      <c r="J34" s="35" t="s">
        <v>390</v>
      </c>
      <c r="K34" s="35" t="s">
        <v>391</v>
      </c>
      <c r="L34" s="35"/>
      <c r="M34" s="35"/>
      <c r="N34" s="35"/>
      <c r="O34" s="35"/>
    </row>
    <row r="35" spans="1:15" ht="15.75" customHeight="1">
      <c r="A35" s="35" t="s">
        <v>392</v>
      </c>
      <c r="B35" s="35" t="s">
        <v>382</v>
      </c>
      <c r="C35" s="35"/>
      <c r="D35" s="35" t="s">
        <v>49</v>
      </c>
      <c r="E35" s="35" t="s">
        <v>393</v>
      </c>
      <c r="F35" s="35"/>
      <c r="G35" s="35" t="s">
        <v>238</v>
      </c>
      <c r="H35" s="35" t="s">
        <v>383</v>
      </c>
      <c r="I35" s="35" t="s">
        <v>384</v>
      </c>
      <c r="J35" s="35" t="s">
        <v>385</v>
      </c>
      <c r="K35" s="35" t="s">
        <v>386</v>
      </c>
      <c r="L35" s="35"/>
      <c r="M35" s="35"/>
      <c r="N35" s="35"/>
      <c r="O35" s="35"/>
    </row>
    <row r="36" spans="1:15" ht="15.75" customHeight="1">
      <c r="A36" s="36" t="s">
        <v>394</v>
      </c>
      <c r="B36" s="35" t="s">
        <v>115</v>
      </c>
      <c r="C36" s="35"/>
      <c r="D36" s="35" t="s">
        <v>49</v>
      </c>
      <c r="E36" s="35"/>
      <c r="F36" s="35"/>
      <c r="G36" s="35" t="s">
        <v>227</v>
      </c>
      <c r="H36" s="35" t="s">
        <v>395</v>
      </c>
      <c r="I36" s="35" t="s">
        <v>396</v>
      </c>
      <c r="J36" s="35" t="s">
        <v>397</v>
      </c>
      <c r="K36" s="35" t="s">
        <v>398</v>
      </c>
      <c r="L36" s="35"/>
      <c r="M36" s="35"/>
      <c r="N36" s="35"/>
      <c r="O36" s="35"/>
    </row>
    <row r="37" spans="1:15" ht="15.75" customHeight="1">
      <c r="A37" s="35" t="s">
        <v>399</v>
      </c>
      <c r="B37" s="35" t="s">
        <v>394</v>
      </c>
      <c r="C37" s="35"/>
      <c r="D37" s="35" t="s">
        <v>49</v>
      </c>
      <c r="E37" s="35"/>
      <c r="F37" s="35"/>
      <c r="G37" s="35" t="s">
        <v>238</v>
      </c>
      <c r="H37" s="35" t="s">
        <v>400</v>
      </c>
      <c r="I37" s="35" t="s">
        <v>401</v>
      </c>
      <c r="J37" s="35" t="s">
        <v>402</v>
      </c>
      <c r="K37" s="35" t="s">
        <v>403</v>
      </c>
      <c r="L37" s="35"/>
      <c r="M37" s="35"/>
      <c r="N37" s="35"/>
      <c r="O37" s="35"/>
    </row>
    <row r="38" spans="1:15" ht="15.75" customHeight="1">
      <c r="A38" s="35" t="s">
        <v>404</v>
      </c>
      <c r="B38" s="35" t="s">
        <v>394</v>
      </c>
      <c r="C38" s="35"/>
      <c r="D38" s="35" t="s">
        <v>49</v>
      </c>
      <c r="E38" s="35"/>
      <c r="F38" s="35"/>
      <c r="G38" s="35" t="s">
        <v>238</v>
      </c>
      <c r="H38" s="35" t="s">
        <v>405</v>
      </c>
      <c r="I38" s="35" t="s">
        <v>406</v>
      </c>
      <c r="J38" s="35" t="s">
        <v>402</v>
      </c>
      <c r="K38" s="35" t="s">
        <v>407</v>
      </c>
      <c r="L38" s="35"/>
      <c r="M38" s="35"/>
      <c r="N38" s="35"/>
      <c r="O38" s="35"/>
    </row>
    <row r="39" spans="1:15" ht="15.75" customHeight="1">
      <c r="A39" s="35" t="s">
        <v>408</v>
      </c>
      <c r="B39" s="35" t="s">
        <v>404</v>
      </c>
      <c r="C39" s="35"/>
      <c r="D39" s="35" t="s">
        <v>49</v>
      </c>
      <c r="E39" s="35"/>
      <c r="F39" s="35"/>
      <c r="G39" s="35" t="s">
        <v>238</v>
      </c>
      <c r="H39" s="35" t="s">
        <v>409</v>
      </c>
      <c r="I39" s="35" t="s">
        <v>406</v>
      </c>
      <c r="J39" s="35" t="s">
        <v>402</v>
      </c>
      <c r="K39" s="35" t="s">
        <v>410</v>
      </c>
      <c r="L39" s="35"/>
      <c r="M39" s="35"/>
      <c r="N39" s="35"/>
      <c r="O39" s="35"/>
    </row>
    <row r="40" spans="1:15" ht="15.75" customHeight="1">
      <c r="A40" s="35" t="s">
        <v>411</v>
      </c>
      <c r="B40" s="35" t="s">
        <v>404</v>
      </c>
      <c r="C40" s="35"/>
      <c r="D40" s="35" t="s">
        <v>49</v>
      </c>
      <c r="E40" s="35"/>
      <c r="F40" s="35"/>
      <c r="G40" s="35" t="s">
        <v>238</v>
      </c>
      <c r="H40" s="35" t="s">
        <v>412</v>
      </c>
      <c r="I40" s="35" t="s">
        <v>406</v>
      </c>
      <c r="J40" s="35" t="s">
        <v>402</v>
      </c>
      <c r="K40" s="35" t="s">
        <v>413</v>
      </c>
      <c r="L40" s="35"/>
      <c r="M40" s="35"/>
      <c r="N40" s="35"/>
      <c r="O40" s="35"/>
    </row>
    <row r="41" spans="1:15" ht="15.75" customHeight="1">
      <c r="A41" s="35" t="s">
        <v>130</v>
      </c>
      <c r="B41" s="35"/>
      <c r="C41" s="35"/>
      <c r="D41" s="35" t="s">
        <v>49</v>
      </c>
      <c r="E41" s="35" t="s">
        <v>59</v>
      </c>
      <c r="F41" s="35"/>
      <c r="G41" s="35" t="s">
        <v>227</v>
      </c>
      <c r="H41" s="35" t="s">
        <v>414</v>
      </c>
      <c r="I41" s="35" t="s">
        <v>415</v>
      </c>
      <c r="J41" s="35" t="s">
        <v>416</v>
      </c>
      <c r="K41" s="35" t="s">
        <v>417</v>
      </c>
      <c r="L41" s="35"/>
      <c r="M41" s="35"/>
      <c r="N41" s="35"/>
      <c r="O41" s="35"/>
    </row>
    <row r="42" spans="1:15" ht="15.75" customHeight="1">
      <c r="A42" s="35" t="s">
        <v>418</v>
      </c>
      <c r="B42" s="35" t="s">
        <v>130</v>
      </c>
      <c r="C42" s="35"/>
      <c r="D42" s="35" t="s">
        <v>49</v>
      </c>
      <c r="E42" s="35" t="s">
        <v>419</v>
      </c>
      <c r="F42" s="35"/>
      <c r="G42" s="35" t="s">
        <v>227</v>
      </c>
      <c r="H42" s="35" t="s">
        <v>420</v>
      </c>
      <c r="I42" s="35" t="s">
        <v>421</v>
      </c>
      <c r="J42" s="35" t="s">
        <v>422</v>
      </c>
      <c r="K42" s="35" t="s">
        <v>423</v>
      </c>
      <c r="L42" s="35"/>
      <c r="M42" s="35"/>
      <c r="N42" s="35"/>
      <c r="O42" s="35"/>
    </row>
    <row r="43" spans="1:15" ht="15.75" customHeight="1">
      <c r="A43" s="35" t="s">
        <v>424</v>
      </c>
      <c r="B43" s="35" t="s">
        <v>418</v>
      </c>
      <c r="C43" s="35"/>
      <c r="D43" s="35" t="s">
        <v>49</v>
      </c>
      <c r="E43" s="35"/>
      <c r="F43" s="35"/>
      <c r="G43" s="35" t="s">
        <v>227</v>
      </c>
      <c r="H43" s="35" t="s">
        <v>425</v>
      </c>
      <c r="I43" s="35" t="s">
        <v>426</v>
      </c>
      <c r="J43" s="35" t="s">
        <v>427</v>
      </c>
      <c r="K43" s="35" t="s">
        <v>428</v>
      </c>
      <c r="L43" s="35"/>
      <c r="M43" s="35"/>
      <c r="N43" s="35"/>
      <c r="O43" s="35"/>
    </row>
    <row r="44" spans="1:15" ht="15.75" customHeight="1">
      <c r="A44" s="35" t="s">
        <v>429</v>
      </c>
      <c r="B44" s="35" t="s">
        <v>418</v>
      </c>
      <c r="C44" s="35"/>
      <c r="D44" s="35" t="s">
        <v>49</v>
      </c>
      <c r="E44" s="35" t="s">
        <v>430</v>
      </c>
      <c r="F44" s="35"/>
      <c r="G44" s="35" t="s">
        <v>227</v>
      </c>
      <c r="H44" s="35" t="s">
        <v>78</v>
      </c>
      <c r="I44" s="35" t="s">
        <v>431</v>
      </c>
      <c r="J44" s="35" t="s">
        <v>432</v>
      </c>
      <c r="K44" s="35" t="s">
        <v>433</v>
      </c>
      <c r="L44" s="35"/>
      <c r="M44" s="35"/>
      <c r="N44" s="35"/>
      <c r="O44" s="35"/>
    </row>
    <row r="45" spans="1:15" ht="15.75" customHeight="1">
      <c r="A45" s="35" t="s">
        <v>434</v>
      </c>
      <c r="B45" s="35" t="s">
        <v>429</v>
      </c>
      <c r="C45" s="35"/>
      <c r="D45" s="35" t="s">
        <v>49</v>
      </c>
      <c r="E45" s="35" t="s">
        <v>435</v>
      </c>
      <c r="F45" s="35"/>
      <c r="G45" s="35" t="s">
        <v>227</v>
      </c>
      <c r="H45" s="35" t="s">
        <v>436</v>
      </c>
      <c r="I45" s="35" t="s">
        <v>437</v>
      </c>
      <c r="J45" s="35" t="s">
        <v>438</v>
      </c>
      <c r="K45" s="35" t="s">
        <v>439</v>
      </c>
      <c r="L45" s="35"/>
      <c r="M45" s="35"/>
      <c r="N45" s="35"/>
      <c r="O45" s="35"/>
    </row>
    <row r="46" spans="1:15" ht="15.75" customHeight="1">
      <c r="A46" s="35" t="s">
        <v>440</v>
      </c>
      <c r="B46" s="35" t="s">
        <v>429</v>
      </c>
      <c r="C46" s="35"/>
      <c r="D46" s="35" t="s">
        <v>49</v>
      </c>
      <c r="E46" s="35" t="s">
        <v>441</v>
      </c>
      <c r="F46" s="35"/>
      <c r="G46" s="35" t="s">
        <v>227</v>
      </c>
      <c r="H46" s="35" t="s">
        <v>442</v>
      </c>
      <c r="I46" s="35" t="s">
        <v>443</v>
      </c>
      <c r="J46" s="35" t="s">
        <v>444</v>
      </c>
      <c r="K46" s="35" t="s">
        <v>445</v>
      </c>
      <c r="L46" s="35"/>
      <c r="M46" s="35"/>
      <c r="N46" s="35"/>
      <c r="O46" s="35"/>
    </row>
    <row r="47" spans="1:15" ht="15.75" customHeight="1">
      <c r="A47" s="35" t="s">
        <v>446</v>
      </c>
      <c r="B47" s="35" t="s">
        <v>429</v>
      </c>
      <c r="C47" s="35"/>
      <c r="D47" s="35" t="s">
        <v>49</v>
      </c>
      <c r="E47" s="35" t="s">
        <v>447</v>
      </c>
      <c r="F47" s="35"/>
      <c r="G47" s="35" t="s">
        <v>227</v>
      </c>
      <c r="H47" s="35" t="s">
        <v>448</v>
      </c>
      <c r="I47" s="35" t="s">
        <v>449</v>
      </c>
      <c r="J47" s="35" t="s">
        <v>450</v>
      </c>
      <c r="K47" s="35" t="s">
        <v>451</v>
      </c>
      <c r="L47" s="35"/>
      <c r="M47" s="35"/>
      <c r="N47" s="35"/>
      <c r="O47" s="35"/>
    </row>
    <row r="48" spans="1:15" ht="15.75" customHeight="1">
      <c r="A48" s="35" t="s">
        <v>452</v>
      </c>
      <c r="B48" s="35" t="s">
        <v>429</v>
      </c>
      <c r="C48" s="35"/>
      <c r="D48" s="35" t="s">
        <v>49</v>
      </c>
      <c r="E48" s="35" t="s">
        <v>453</v>
      </c>
      <c r="F48" s="35"/>
      <c r="G48" s="35" t="s">
        <v>227</v>
      </c>
      <c r="H48" s="35" t="s">
        <v>454</v>
      </c>
      <c r="I48" s="35" t="s">
        <v>455</v>
      </c>
      <c r="J48" s="35" t="s">
        <v>456</v>
      </c>
      <c r="K48" s="35" t="s">
        <v>457</v>
      </c>
      <c r="L48" s="35"/>
      <c r="M48" s="35"/>
      <c r="N48" s="35"/>
      <c r="O48" s="35"/>
    </row>
    <row r="49" spans="1:15" ht="15.75" customHeight="1">
      <c r="A49" s="35" t="s">
        <v>458</v>
      </c>
      <c r="B49" s="35" t="s">
        <v>429</v>
      </c>
      <c r="C49" s="35"/>
      <c r="D49" s="35" t="s">
        <v>49</v>
      </c>
      <c r="E49" s="35" t="s">
        <v>459</v>
      </c>
      <c r="F49" s="35"/>
      <c r="G49" s="35" t="s">
        <v>227</v>
      </c>
      <c r="H49" s="35" t="s">
        <v>460</v>
      </c>
      <c r="I49" s="35" t="s">
        <v>461</v>
      </c>
      <c r="J49" s="35" t="s">
        <v>462</v>
      </c>
      <c r="K49" s="35" t="s">
        <v>463</v>
      </c>
      <c r="L49" s="35"/>
      <c r="M49" s="35"/>
      <c r="N49" s="35"/>
      <c r="O49" s="35"/>
    </row>
    <row r="50" spans="1:15" ht="15.75" customHeight="1">
      <c r="A50" s="35" t="s">
        <v>464</v>
      </c>
      <c r="B50" s="35" t="s">
        <v>418</v>
      </c>
      <c r="C50" s="35"/>
      <c r="D50" s="35" t="s">
        <v>49</v>
      </c>
      <c r="E50" s="35" t="s">
        <v>465</v>
      </c>
      <c r="F50" s="35"/>
      <c r="G50" s="35" t="s">
        <v>227</v>
      </c>
      <c r="H50" s="35" t="s">
        <v>466</v>
      </c>
      <c r="I50" s="35" t="s">
        <v>467</v>
      </c>
      <c r="J50" s="35" t="s">
        <v>468</v>
      </c>
      <c r="K50" s="35" t="s">
        <v>469</v>
      </c>
      <c r="L50" s="35"/>
      <c r="M50" s="35"/>
      <c r="N50" s="35"/>
      <c r="O50" s="35"/>
    </row>
    <row r="51" spans="1:15" ht="15.75" customHeight="1">
      <c r="A51" s="35" t="s">
        <v>470</v>
      </c>
      <c r="B51" s="35" t="s">
        <v>464</v>
      </c>
      <c r="C51" s="35"/>
      <c r="D51" s="35" t="s">
        <v>49</v>
      </c>
      <c r="E51" s="35" t="s">
        <v>471</v>
      </c>
      <c r="F51" s="35"/>
      <c r="G51" s="35" t="s">
        <v>238</v>
      </c>
      <c r="H51" s="35" t="s">
        <v>472</v>
      </c>
      <c r="I51" s="35" t="s">
        <v>473</v>
      </c>
      <c r="J51" s="35" t="s">
        <v>474</v>
      </c>
      <c r="K51" s="35" t="s">
        <v>475</v>
      </c>
      <c r="L51" s="35"/>
      <c r="M51" s="35"/>
      <c r="N51" s="35"/>
      <c r="O51" s="35"/>
    </row>
    <row r="52" spans="1:15" ht="15.75" customHeight="1">
      <c r="A52" s="35" t="s">
        <v>476</v>
      </c>
      <c r="B52" s="35" t="s">
        <v>464</v>
      </c>
      <c r="C52" s="35"/>
      <c r="D52" s="35" t="s">
        <v>49</v>
      </c>
      <c r="E52" s="35" t="s">
        <v>477</v>
      </c>
      <c r="F52" s="35"/>
      <c r="G52" s="35" t="s">
        <v>238</v>
      </c>
      <c r="H52" s="35" t="s">
        <v>478</v>
      </c>
      <c r="I52" s="35" t="s">
        <v>479</v>
      </c>
      <c r="J52" s="35" t="s">
        <v>480</v>
      </c>
      <c r="K52" s="35" t="s">
        <v>481</v>
      </c>
      <c r="L52" s="35"/>
      <c r="M52" s="35"/>
      <c r="N52" s="35"/>
      <c r="O52" s="35"/>
    </row>
    <row r="53" spans="1:15" ht="15.75" customHeight="1">
      <c r="A53" s="35" t="s">
        <v>482</v>
      </c>
      <c r="B53" s="35" t="s">
        <v>464</v>
      </c>
      <c r="C53" s="35"/>
      <c r="D53" s="35" t="s">
        <v>49</v>
      </c>
      <c r="E53" s="35" t="s">
        <v>483</v>
      </c>
      <c r="F53" s="35"/>
      <c r="G53" s="35" t="s">
        <v>238</v>
      </c>
      <c r="H53" s="35" t="s">
        <v>484</v>
      </c>
      <c r="I53" s="35" t="s">
        <v>485</v>
      </c>
      <c r="J53" s="35" t="s">
        <v>486</v>
      </c>
      <c r="K53" s="35" t="s">
        <v>487</v>
      </c>
      <c r="L53" s="35"/>
      <c r="M53" s="35"/>
      <c r="N53" s="35"/>
      <c r="O53" s="35"/>
    </row>
    <row r="54" spans="1:15" ht="15.75" customHeight="1">
      <c r="A54" s="35" t="s">
        <v>488</v>
      </c>
      <c r="B54" s="35" t="s">
        <v>418</v>
      </c>
      <c r="C54" s="35"/>
      <c r="D54" s="35" t="s">
        <v>49</v>
      </c>
      <c r="E54" s="35" t="s">
        <v>489</v>
      </c>
      <c r="F54" s="35"/>
      <c r="G54" s="35" t="s">
        <v>227</v>
      </c>
      <c r="H54" s="35" t="s">
        <v>490</v>
      </c>
      <c r="I54" s="35" t="s">
        <v>491</v>
      </c>
      <c r="J54" s="35" t="s">
        <v>492</v>
      </c>
      <c r="K54" s="35" t="s">
        <v>493</v>
      </c>
      <c r="L54" s="35"/>
      <c r="M54" s="35"/>
      <c r="N54" s="35"/>
      <c r="O54" s="35"/>
    </row>
    <row r="55" spans="1:15" ht="15.75" customHeight="1">
      <c r="A55" s="35" t="s">
        <v>494</v>
      </c>
      <c r="B55" s="35" t="s">
        <v>488</v>
      </c>
      <c r="C55" s="35"/>
      <c r="D55" s="35" t="s">
        <v>49</v>
      </c>
      <c r="E55" s="35" t="s">
        <v>495</v>
      </c>
      <c r="F55" s="35"/>
      <c r="G55" s="35" t="s">
        <v>238</v>
      </c>
      <c r="H55" s="35" t="s">
        <v>496</v>
      </c>
      <c r="I55" s="35" t="s">
        <v>497</v>
      </c>
      <c r="J55" s="35" t="s">
        <v>498</v>
      </c>
      <c r="K55" s="35" t="s">
        <v>499</v>
      </c>
      <c r="L55" s="35"/>
      <c r="M55" s="35"/>
      <c r="N55" s="35"/>
      <c r="O55" s="35"/>
    </row>
    <row r="56" spans="1:15" ht="15.75" customHeight="1">
      <c r="A56" s="35" t="s">
        <v>500</v>
      </c>
      <c r="B56" s="35" t="s">
        <v>488</v>
      </c>
      <c r="C56" s="35"/>
      <c r="D56" s="35" t="s">
        <v>49</v>
      </c>
      <c r="E56" s="35" t="s">
        <v>501</v>
      </c>
      <c r="F56" s="35"/>
      <c r="G56" s="35" t="s">
        <v>238</v>
      </c>
      <c r="H56" s="35" t="s">
        <v>502</v>
      </c>
      <c r="I56" s="35" t="s">
        <v>503</v>
      </c>
      <c r="J56" s="35" t="s">
        <v>504</v>
      </c>
      <c r="K56" s="35" t="s">
        <v>505</v>
      </c>
      <c r="L56" s="35"/>
      <c r="M56" s="35"/>
      <c r="N56" s="35"/>
      <c r="O56" s="35"/>
    </row>
    <row r="57" spans="1:15" ht="15.75" customHeight="1">
      <c r="A57" s="35" t="s">
        <v>506</v>
      </c>
      <c r="B57" s="35" t="s">
        <v>488</v>
      </c>
      <c r="C57" s="35"/>
      <c r="D57" s="35" t="s">
        <v>49</v>
      </c>
      <c r="E57" s="35" t="s">
        <v>507</v>
      </c>
      <c r="F57" s="35"/>
      <c r="G57" s="35" t="s">
        <v>238</v>
      </c>
      <c r="H57" s="35" t="s">
        <v>508</v>
      </c>
      <c r="I57" s="35" t="s">
        <v>509</v>
      </c>
      <c r="J57" s="35" t="s">
        <v>510</v>
      </c>
      <c r="K57" s="35" t="s">
        <v>511</v>
      </c>
      <c r="L57" s="35"/>
      <c r="M57" s="35"/>
      <c r="N57" s="35"/>
      <c r="O57" s="35"/>
    </row>
    <row r="58" spans="1:15" ht="15.75" customHeight="1">
      <c r="A58" s="35" t="s">
        <v>512</v>
      </c>
      <c r="B58" s="35" t="s">
        <v>418</v>
      </c>
      <c r="C58" s="35"/>
      <c r="D58" s="35" t="s">
        <v>49</v>
      </c>
      <c r="E58" s="35" t="s">
        <v>513</v>
      </c>
      <c r="F58" s="35"/>
      <c r="G58" s="35" t="s">
        <v>227</v>
      </c>
      <c r="H58" s="35" t="s">
        <v>514</v>
      </c>
      <c r="I58" s="35" t="s">
        <v>515</v>
      </c>
      <c r="J58" s="35" t="s">
        <v>516</v>
      </c>
      <c r="K58" s="35" t="s">
        <v>517</v>
      </c>
      <c r="L58" s="35"/>
      <c r="M58" s="35"/>
      <c r="N58" s="35"/>
      <c r="O58" s="35"/>
    </row>
    <row r="59" spans="1:15" ht="15.75" customHeight="1">
      <c r="A59" s="35" t="s">
        <v>518</v>
      </c>
      <c r="B59" s="35" t="s">
        <v>512</v>
      </c>
      <c r="C59" s="35"/>
      <c r="D59" s="35" t="s">
        <v>49</v>
      </c>
      <c r="E59" s="35" t="s">
        <v>519</v>
      </c>
      <c r="F59" s="35"/>
      <c r="G59" s="35" t="s">
        <v>238</v>
      </c>
      <c r="H59" s="35" t="s">
        <v>520</v>
      </c>
      <c r="I59" s="35" t="s">
        <v>521</v>
      </c>
      <c r="J59" s="35" t="s">
        <v>522</v>
      </c>
      <c r="K59" s="35" t="s">
        <v>523</v>
      </c>
      <c r="L59" s="35"/>
      <c r="M59" s="35"/>
      <c r="N59" s="35"/>
      <c r="O59" s="35"/>
    </row>
    <row r="60" spans="1:15" ht="15.75" customHeight="1">
      <c r="A60" s="35" t="s">
        <v>524</v>
      </c>
      <c r="B60" s="35" t="s">
        <v>512</v>
      </c>
      <c r="C60" s="35"/>
      <c r="D60" s="35" t="s">
        <v>49</v>
      </c>
      <c r="E60" s="35" t="s">
        <v>525</v>
      </c>
      <c r="F60" s="35"/>
      <c r="G60" s="35" t="s">
        <v>238</v>
      </c>
      <c r="H60" s="35" t="s">
        <v>526</v>
      </c>
      <c r="I60" s="35" t="s">
        <v>527</v>
      </c>
      <c r="J60" s="35" t="s">
        <v>528</v>
      </c>
      <c r="K60" s="35" t="s">
        <v>529</v>
      </c>
      <c r="L60" s="35"/>
      <c r="M60" s="35"/>
      <c r="N60" s="35"/>
      <c r="O60" s="35"/>
    </row>
    <row r="61" spans="1:15" ht="15.75" customHeight="1">
      <c r="A61" s="35" t="s">
        <v>530</v>
      </c>
      <c r="B61" s="35" t="s">
        <v>512</v>
      </c>
      <c r="C61" s="35"/>
      <c r="D61" s="35" t="s">
        <v>49</v>
      </c>
      <c r="E61" s="35" t="s">
        <v>531</v>
      </c>
      <c r="F61" s="35"/>
      <c r="G61" s="35" t="s">
        <v>238</v>
      </c>
      <c r="H61" s="35" t="s">
        <v>532</v>
      </c>
      <c r="I61" s="35" t="s">
        <v>533</v>
      </c>
      <c r="J61" s="35" t="s">
        <v>534</v>
      </c>
      <c r="K61" s="35" t="s">
        <v>535</v>
      </c>
      <c r="L61" s="35"/>
      <c r="M61" s="35"/>
      <c r="N61" s="35"/>
      <c r="O61" s="35"/>
    </row>
    <row r="62" spans="1:15" ht="15.75" customHeight="1">
      <c r="A62" s="35" t="s">
        <v>536</v>
      </c>
      <c r="B62" s="35" t="s">
        <v>130</v>
      </c>
      <c r="C62" s="35"/>
      <c r="D62" s="35" t="s">
        <v>49</v>
      </c>
      <c r="E62" s="35" t="s">
        <v>537</v>
      </c>
      <c r="F62" s="35"/>
      <c r="G62" s="35" t="s">
        <v>227</v>
      </c>
      <c r="H62" s="35" t="s">
        <v>538</v>
      </c>
      <c r="I62" s="35" t="s">
        <v>539</v>
      </c>
      <c r="J62" s="35" t="s">
        <v>540</v>
      </c>
      <c r="K62" s="35" t="s">
        <v>541</v>
      </c>
      <c r="L62" s="35"/>
      <c r="M62" s="35"/>
      <c r="N62" s="35"/>
      <c r="O62" s="35"/>
    </row>
    <row r="63" spans="1:15" ht="15.75" customHeight="1">
      <c r="A63" s="35" t="s">
        <v>542</v>
      </c>
      <c r="B63" s="35" t="s">
        <v>536</v>
      </c>
      <c r="C63" s="35"/>
      <c r="D63" s="35" t="s">
        <v>49</v>
      </c>
      <c r="E63" s="35" t="s">
        <v>543</v>
      </c>
      <c r="F63" s="35"/>
      <c r="G63" s="35" t="s">
        <v>238</v>
      </c>
      <c r="H63" s="35" t="s">
        <v>14</v>
      </c>
      <c r="I63" s="35" t="s">
        <v>544</v>
      </c>
      <c r="J63" s="35" t="s">
        <v>545</v>
      </c>
      <c r="K63" s="35" t="s">
        <v>546</v>
      </c>
      <c r="L63" s="35"/>
      <c r="M63" s="35"/>
      <c r="N63" s="35"/>
      <c r="O63" s="35"/>
    </row>
    <row r="64" spans="1:15" ht="15.75" customHeight="1">
      <c r="A64" s="35" t="s">
        <v>547</v>
      </c>
      <c r="B64" s="35" t="s">
        <v>536</v>
      </c>
      <c r="C64" s="35"/>
      <c r="D64" s="35" t="s">
        <v>49</v>
      </c>
      <c r="E64" s="35" t="s">
        <v>548</v>
      </c>
      <c r="F64" s="35"/>
      <c r="G64" s="35" t="s">
        <v>238</v>
      </c>
      <c r="H64" s="35" t="s">
        <v>549</v>
      </c>
      <c r="I64" s="35" t="s">
        <v>550</v>
      </c>
      <c r="J64" s="35" t="s">
        <v>402</v>
      </c>
      <c r="K64" s="35" t="s">
        <v>551</v>
      </c>
      <c r="L64" s="35"/>
      <c r="M64" s="35"/>
      <c r="N64" s="35"/>
      <c r="O64" s="35"/>
    </row>
    <row r="65" spans="1:15" ht="15.75" customHeight="1">
      <c r="A65" s="35" t="s">
        <v>552</v>
      </c>
      <c r="B65" s="35" t="s">
        <v>547</v>
      </c>
      <c r="C65" s="35"/>
      <c r="D65" s="35" t="s">
        <v>49</v>
      </c>
      <c r="E65" s="35" t="s">
        <v>553</v>
      </c>
      <c r="F65" s="35"/>
      <c r="G65" s="35" t="s">
        <v>238</v>
      </c>
      <c r="H65" s="35" t="s">
        <v>554</v>
      </c>
      <c r="I65" s="35" t="s">
        <v>555</v>
      </c>
      <c r="J65" s="35" t="s">
        <v>556</v>
      </c>
      <c r="K65" s="35" t="s">
        <v>557</v>
      </c>
      <c r="L65" s="35"/>
      <c r="M65" s="35"/>
      <c r="N65" s="35"/>
      <c r="O65" s="35"/>
    </row>
    <row r="66" spans="1:15" ht="15.75" customHeight="1">
      <c r="A66" s="35" t="s">
        <v>558</v>
      </c>
      <c r="B66" s="35" t="s">
        <v>536</v>
      </c>
      <c r="C66" s="35"/>
      <c r="D66" s="35" t="s">
        <v>49</v>
      </c>
      <c r="E66" s="35" t="s">
        <v>559</v>
      </c>
      <c r="F66" s="35"/>
      <c r="G66" s="35" t="s">
        <v>238</v>
      </c>
      <c r="H66" s="35" t="s">
        <v>560</v>
      </c>
      <c r="I66" s="35" t="s">
        <v>561</v>
      </c>
      <c r="J66" s="35" t="s">
        <v>562</v>
      </c>
      <c r="K66" s="35" t="s">
        <v>563</v>
      </c>
      <c r="L66" s="35"/>
      <c r="M66" s="35"/>
      <c r="N66" s="35"/>
      <c r="O66" s="35"/>
    </row>
    <row r="67" spans="1:15" ht="15.75" customHeight="1">
      <c r="A67" s="35" t="s">
        <v>564</v>
      </c>
      <c r="B67" s="35" t="s">
        <v>536</v>
      </c>
      <c r="C67" s="35"/>
      <c r="D67" s="35" t="s">
        <v>49</v>
      </c>
      <c r="E67" s="35" t="s">
        <v>565</v>
      </c>
      <c r="F67" s="35"/>
      <c r="G67" s="35" t="s">
        <v>238</v>
      </c>
      <c r="H67" s="35" t="s">
        <v>19</v>
      </c>
      <c r="I67" s="35" t="s">
        <v>566</v>
      </c>
      <c r="J67" s="35" t="s">
        <v>567</v>
      </c>
      <c r="K67" s="35" t="s">
        <v>568</v>
      </c>
      <c r="L67" s="35"/>
      <c r="M67" s="35"/>
      <c r="N67" s="35"/>
      <c r="O67" s="35"/>
    </row>
    <row r="68" spans="1:15" ht="15.75" customHeight="1">
      <c r="A68" s="35" t="s">
        <v>569</v>
      </c>
      <c r="B68" s="35" t="s">
        <v>536</v>
      </c>
      <c r="C68" s="35"/>
      <c r="D68" s="35" t="s">
        <v>49</v>
      </c>
      <c r="E68" s="35" t="s">
        <v>570</v>
      </c>
      <c r="F68" s="35"/>
      <c r="G68" s="35" t="s">
        <v>238</v>
      </c>
      <c r="H68" s="35" t="s">
        <v>571</v>
      </c>
      <c r="I68" s="35" t="s">
        <v>572</v>
      </c>
      <c r="J68" s="35" t="s">
        <v>573</v>
      </c>
      <c r="K68" s="35" t="s">
        <v>574</v>
      </c>
      <c r="L68" s="35"/>
      <c r="M68" s="35"/>
      <c r="N68" s="35"/>
      <c r="O68" s="35"/>
    </row>
    <row r="69" spans="1:15" ht="15.75" customHeight="1">
      <c r="A69" s="35" t="s">
        <v>575</v>
      </c>
      <c r="B69" s="35" t="s">
        <v>536</v>
      </c>
      <c r="C69" s="35"/>
      <c r="D69" s="35" t="s">
        <v>49</v>
      </c>
      <c r="E69" s="35" t="s">
        <v>576</v>
      </c>
      <c r="F69" s="35"/>
      <c r="G69" s="35" t="s">
        <v>238</v>
      </c>
      <c r="H69" s="35" t="s">
        <v>577</v>
      </c>
      <c r="I69" s="35" t="s">
        <v>578</v>
      </c>
      <c r="J69" s="35"/>
      <c r="K69" s="35" t="s">
        <v>579</v>
      </c>
      <c r="L69" s="35"/>
      <c r="M69" s="35"/>
      <c r="N69" s="35"/>
      <c r="O69" s="35"/>
    </row>
    <row r="70" spans="1:15" ht="15.75" customHeight="1">
      <c r="A70" s="35" t="s">
        <v>580</v>
      </c>
      <c r="B70" s="35" t="s">
        <v>575</v>
      </c>
      <c r="C70" s="35"/>
      <c r="D70" s="35" t="s">
        <v>49</v>
      </c>
      <c r="E70" s="35" t="s">
        <v>581</v>
      </c>
      <c r="F70" s="35"/>
      <c r="G70" s="35" t="s">
        <v>238</v>
      </c>
      <c r="H70" s="35" t="s">
        <v>582</v>
      </c>
      <c r="I70" s="35" t="s">
        <v>578</v>
      </c>
      <c r="J70" s="35"/>
      <c r="K70" s="35"/>
      <c r="L70" s="35"/>
      <c r="M70" s="35"/>
      <c r="N70" s="35"/>
      <c r="O70" s="35"/>
    </row>
    <row r="71" spans="1:15" ht="15.75" customHeight="1">
      <c r="A71" s="35" t="s">
        <v>583</v>
      </c>
      <c r="B71" s="35" t="s">
        <v>575</v>
      </c>
      <c r="C71" s="35"/>
      <c r="D71" s="35" t="s">
        <v>49</v>
      </c>
      <c r="E71" s="35" t="s">
        <v>584</v>
      </c>
      <c r="F71" s="35"/>
      <c r="G71" s="35" t="s">
        <v>238</v>
      </c>
      <c r="H71" s="35" t="s">
        <v>585</v>
      </c>
      <c r="I71" s="35" t="s">
        <v>578</v>
      </c>
      <c r="J71" s="35"/>
      <c r="K71" s="35"/>
      <c r="L71" s="35"/>
      <c r="M71" s="35"/>
      <c r="N71" s="35"/>
      <c r="O71" s="35"/>
    </row>
    <row r="72" spans="1:15" ht="15.75" customHeight="1">
      <c r="A72" s="35" t="s">
        <v>586</v>
      </c>
      <c r="B72" s="35" t="s">
        <v>536</v>
      </c>
      <c r="C72" s="35"/>
      <c r="D72" s="35" t="s">
        <v>49</v>
      </c>
      <c r="E72" s="35" t="s">
        <v>587</v>
      </c>
      <c r="F72" s="35"/>
      <c r="G72" s="35" t="s">
        <v>238</v>
      </c>
      <c r="H72" s="35" t="s">
        <v>588</v>
      </c>
      <c r="I72" s="35" t="s">
        <v>589</v>
      </c>
      <c r="J72" s="35"/>
      <c r="K72" s="35" t="s">
        <v>590</v>
      </c>
      <c r="L72" s="35"/>
      <c r="M72" s="35"/>
      <c r="N72" s="35"/>
      <c r="O72" s="35"/>
    </row>
    <row r="73" spans="1:15" ht="15.75" customHeight="1">
      <c r="A73" s="35" t="s">
        <v>591</v>
      </c>
      <c r="B73" s="35" t="s">
        <v>536</v>
      </c>
      <c r="C73" s="35"/>
      <c r="D73" s="35" t="s">
        <v>49</v>
      </c>
      <c r="E73" s="35" t="s">
        <v>592</v>
      </c>
      <c r="F73" s="35"/>
      <c r="G73" s="35" t="s">
        <v>238</v>
      </c>
      <c r="H73" s="35" t="s">
        <v>593</v>
      </c>
      <c r="I73" s="35" t="s">
        <v>594</v>
      </c>
      <c r="J73" s="35"/>
      <c r="K73" s="35" t="s">
        <v>595</v>
      </c>
      <c r="L73" s="35"/>
      <c r="M73" s="35"/>
      <c r="N73" s="35"/>
      <c r="O73" s="35"/>
    </row>
    <row r="74" spans="1:15" ht="15.75" customHeight="1">
      <c r="A74" s="35" t="s">
        <v>133</v>
      </c>
      <c r="B74" s="35" t="s">
        <v>130</v>
      </c>
      <c r="C74" s="35"/>
      <c r="D74" s="35" t="s">
        <v>49</v>
      </c>
      <c r="E74" s="35" t="s">
        <v>596</v>
      </c>
      <c r="F74" s="35"/>
      <c r="G74" s="35" t="s">
        <v>227</v>
      </c>
      <c r="H74" s="35" t="s">
        <v>597</v>
      </c>
      <c r="I74" s="35" t="s">
        <v>598</v>
      </c>
      <c r="J74" s="35"/>
      <c r="K74" s="35" t="s">
        <v>599</v>
      </c>
      <c r="L74" s="35"/>
      <c r="M74" s="35"/>
      <c r="N74" s="35"/>
      <c r="O74" s="35"/>
    </row>
    <row r="75" spans="1:15" ht="15.75" customHeight="1">
      <c r="A75" s="35" t="s">
        <v>600</v>
      </c>
      <c r="B75" s="35" t="s">
        <v>133</v>
      </c>
      <c r="C75" s="35"/>
      <c r="D75" s="35" t="s">
        <v>49</v>
      </c>
      <c r="E75" s="35" t="s">
        <v>601</v>
      </c>
      <c r="F75" s="35"/>
      <c r="G75" s="35" t="s">
        <v>227</v>
      </c>
      <c r="H75" s="35" t="s">
        <v>602</v>
      </c>
      <c r="I75" s="35" t="s">
        <v>603</v>
      </c>
      <c r="J75" s="35"/>
      <c r="K75" s="35" t="s">
        <v>604</v>
      </c>
      <c r="L75" s="35"/>
      <c r="M75" s="35"/>
      <c r="N75" s="35"/>
      <c r="O75" s="35"/>
    </row>
    <row r="76" spans="1:15" ht="15.75" customHeight="1">
      <c r="A76" s="35" t="s">
        <v>605</v>
      </c>
      <c r="B76" s="35" t="s">
        <v>133</v>
      </c>
      <c r="C76" s="35"/>
      <c r="D76" s="35" t="s">
        <v>49</v>
      </c>
      <c r="E76" s="35" t="s">
        <v>606</v>
      </c>
      <c r="F76" s="35"/>
      <c r="G76" s="35" t="s">
        <v>227</v>
      </c>
      <c r="H76" s="35" t="s">
        <v>607</v>
      </c>
      <c r="I76" s="35" t="s">
        <v>608</v>
      </c>
      <c r="J76" s="35"/>
      <c r="K76" s="35" t="s">
        <v>609</v>
      </c>
      <c r="L76" s="35"/>
      <c r="M76" s="35"/>
      <c r="N76" s="35"/>
      <c r="O76" s="35"/>
    </row>
    <row r="77" spans="1:15" ht="15.75" customHeight="1">
      <c r="A77" s="35" t="s">
        <v>610</v>
      </c>
      <c r="B77" s="35" t="s">
        <v>605</v>
      </c>
      <c r="C77" s="35"/>
      <c r="D77" s="35" t="s">
        <v>49</v>
      </c>
      <c r="E77" s="35" t="s">
        <v>611</v>
      </c>
      <c r="F77" s="35"/>
      <c r="G77" s="35" t="s">
        <v>238</v>
      </c>
      <c r="H77" s="35" t="s">
        <v>612</v>
      </c>
      <c r="I77" s="35" t="s">
        <v>613</v>
      </c>
      <c r="J77" s="35"/>
      <c r="K77" s="35" t="s">
        <v>614</v>
      </c>
      <c r="L77" s="35"/>
      <c r="M77" s="35"/>
      <c r="N77" s="35"/>
      <c r="O77" s="35"/>
    </row>
    <row r="78" spans="1:15" ht="15.75" customHeight="1">
      <c r="A78" s="35" t="s">
        <v>615</v>
      </c>
      <c r="B78" s="35" t="s">
        <v>605</v>
      </c>
      <c r="C78" s="35"/>
      <c r="D78" s="35" t="s">
        <v>49</v>
      </c>
      <c r="E78" s="35" t="s">
        <v>616</v>
      </c>
      <c r="F78" s="35"/>
      <c r="G78" s="35" t="s">
        <v>238</v>
      </c>
      <c r="H78" s="35" t="s">
        <v>617</v>
      </c>
      <c r="I78" s="35" t="s">
        <v>618</v>
      </c>
      <c r="J78" s="35"/>
      <c r="K78" s="35" t="s">
        <v>619</v>
      </c>
      <c r="L78" s="35"/>
      <c r="M78" s="35"/>
      <c r="N78" s="35"/>
      <c r="O78" s="35"/>
    </row>
    <row r="79" spans="1:15" ht="15.75" customHeight="1">
      <c r="A79" s="35" t="s">
        <v>620</v>
      </c>
      <c r="B79" s="35" t="s">
        <v>605</v>
      </c>
      <c r="C79" s="35"/>
      <c r="D79" s="35" t="s">
        <v>49</v>
      </c>
      <c r="E79" s="35" t="s">
        <v>621</v>
      </c>
      <c r="F79" s="35"/>
      <c r="G79" s="35" t="s">
        <v>238</v>
      </c>
      <c r="H79" s="35" t="s">
        <v>8</v>
      </c>
      <c r="I79" s="35" t="s">
        <v>622</v>
      </c>
      <c r="J79" s="35"/>
      <c r="K79" s="35" t="s">
        <v>623</v>
      </c>
      <c r="L79" s="35"/>
      <c r="M79" s="35"/>
      <c r="N79" s="35"/>
      <c r="O79" s="35"/>
    </row>
    <row r="80" spans="1:15" ht="15.75" customHeight="1">
      <c r="A80" s="35" t="s">
        <v>624</v>
      </c>
      <c r="B80" s="35" t="s">
        <v>133</v>
      </c>
      <c r="C80" s="35"/>
      <c r="D80" s="35" t="s">
        <v>49</v>
      </c>
      <c r="E80" s="35" t="s">
        <v>625</v>
      </c>
      <c r="F80" s="35"/>
      <c r="G80" s="35" t="s">
        <v>227</v>
      </c>
      <c r="H80" s="35" t="s">
        <v>626</v>
      </c>
      <c r="I80" s="35" t="s">
        <v>627</v>
      </c>
      <c r="J80" s="35"/>
      <c r="K80" s="35" t="s">
        <v>628</v>
      </c>
      <c r="L80" s="35"/>
      <c r="M80" s="35"/>
      <c r="N80" s="35"/>
      <c r="O80" s="35"/>
    </row>
    <row r="81" spans="1:15" ht="15.75" customHeight="1">
      <c r="A81" s="35" t="s">
        <v>629</v>
      </c>
      <c r="B81" s="35" t="s">
        <v>624</v>
      </c>
      <c r="C81" s="35"/>
      <c r="D81" s="35" t="s">
        <v>49</v>
      </c>
      <c r="E81" s="35" t="s">
        <v>630</v>
      </c>
      <c r="F81" s="35"/>
      <c r="G81" s="35" t="s">
        <v>238</v>
      </c>
      <c r="H81" s="35" t="s">
        <v>631</v>
      </c>
      <c r="I81" s="35" t="s">
        <v>632</v>
      </c>
      <c r="J81" s="35"/>
      <c r="K81" s="35" t="s">
        <v>633</v>
      </c>
      <c r="L81" s="35"/>
      <c r="M81" s="35"/>
      <c r="N81" s="35"/>
      <c r="O81" s="35"/>
    </row>
    <row r="82" spans="1:15" ht="15.75" customHeight="1">
      <c r="A82" s="35" t="s">
        <v>634</v>
      </c>
      <c r="B82" s="35" t="s">
        <v>624</v>
      </c>
      <c r="C82" s="35"/>
      <c r="D82" s="35" t="s">
        <v>49</v>
      </c>
      <c r="E82" s="35" t="s">
        <v>635</v>
      </c>
      <c r="F82" s="35"/>
      <c r="G82" s="35" t="s">
        <v>238</v>
      </c>
      <c r="H82" s="35" t="s">
        <v>636</v>
      </c>
      <c r="I82" s="35" t="s">
        <v>637</v>
      </c>
      <c r="J82" s="35"/>
      <c r="K82" s="35" t="s">
        <v>638</v>
      </c>
      <c r="L82" s="35"/>
      <c r="M82" s="35"/>
      <c r="N82" s="35"/>
      <c r="O82" s="35"/>
    </row>
    <row r="83" spans="1:15" ht="15.75" customHeight="1">
      <c r="A83" s="35" t="s">
        <v>639</v>
      </c>
      <c r="B83" s="35" t="s">
        <v>624</v>
      </c>
      <c r="C83" s="35"/>
      <c r="D83" s="35" t="s">
        <v>49</v>
      </c>
      <c r="E83" s="35" t="s">
        <v>640</v>
      </c>
      <c r="F83" s="35"/>
      <c r="G83" s="35" t="s">
        <v>238</v>
      </c>
      <c r="H83" s="35" t="s">
        <v>641</v>
      </c>
      <c r="I83" s="35" t="s">
        <v>642</v>
      </c>
      <c r="J83" s="35"/>
      <c r="K83" s="35" t="s">
        <v>643</v>
      </c>
      <c r="L83" s="35"/>
      <c r="M83" s="35"/>
      <c r="N83" s="35"/>
      <c r="O83" s="35"/>
    </row>
    <row r="84" spans="1:15" ht="15.75" customHeight="1">
      <c r="A84" s="35" t="s">
        <v>644</v>
      </c>
      <c r="B84" s="35" t="s">
        <v>624</v>
      </c>
      <c r="C84" s="35"/>
      <c r="D84" s="35" t="s">
        <v>49</v>
      </c>
      <c r="E84" s="35" t="s">
        <v>645</v>
      </c>
      <c r="F84" s="35"/>
      <c r="G84" s="35" t="s">
        <v>238</v>
      </c>
      <c r="H84" s="35" t="s">
        <v>646</v>
      </c>
      <c r="I84" s="35" t="s">
        <v>647</v>
      </c>
      <c r="J84" s="35"/>
      <c r="K84" s="35" t="s">
        <v>648</v>
      </c>
      <c r="L84" s="35"/>
      <c r="M84" s="35"/>
      <c r="N84" s="35"/>
      <c r="O84" s="35"/>
    </row>
    <row r="85" spans="1:15" ht="15.75" customHeight="1">
      <c r="A85" s="35" t="s">
        <v>136</v>
      </c>
      <c r="B85" s="35" t="s">
        <v>130</v>
      </c>
      <c r="C85" s="35"/>
      <c r="D85" s="35" t="s">
        <v>49</v>
      </c>
      <c r="E85" s="35" t="s">
        <v>649</v>
      </c>
      <c r="F85" s="35"/>
      <c r="G85" s="35" t="s">
        <v>227</v>
      </c>
      <c r="H85" s="35" t="s">
        <v>650</v>
      </c>
      <c r="I85" s="35" t="s">
        <v>651</v>
      </c>
      <c r="J85" s="35"/>
      <c r="K85" s="35" t="s">
        <v>652</v>
      </c>
      <c r="L85" s="35"/>
      <c r="M85" s="35"/>
      <c r="N85" s="35"/>
      <c r="O85" s="35"/>
    </row>
    <row r="86" spans="1:15" ht="15.75" customHeight="1">
      <c r="A86" s="35" t="s">
        <v>653</v>
      </c>
      <c r="B86" s="35" t="s">
        <v>136</v>
      </c>
      <c r="C86" s="35"/>
      <c r="D86" s="35" t="s">
        <v>49</v>
      </c>
      <c r="E86" s="35" t="s">
        <v>654</v>
      </c>
      <c r="F86" s="35"/>
      <c r="G86" s="35" t="s">
        <v>227</v>
      </c>
      <c r="H86" s="35" t="s">
        <v>655</v>
      </c>
      <c r="I86" s="35" t="s">
        <v>656</v>
      </c>
      <c r="J86" s="35"/>
      <c r="K86" s="35" t="s">
        <v>657</v>
      </c>
      <c r="L86" s="35"/>
      <c r="M86" s="35"/>
      <c r="N86" s="35"/>
      <c r="O86" s="35"/>
    </row>
    <row r="87" spans="1:15" ht="15.75" customHeight="1">
      <c r="A87" s="35" t="s">
        <v>658</v>
      </c>
      <c r="B87" s="35" t="s">
        <v>136</v>
      </c>
      <c r="C87" s="35"/>
      <c r="D87" s="35" t="s">
        <v>49</v>
      </c>
      <c r="E87" s="35" t="s">
        <v>659</v>
      </c>
      <c r="F87" s="35"/>
      <c r="G87" s="35" t="s">
        <v>227</v>
      </c>
      <c r="H87" s="35" t="s">
        <v>660</v>
      </c>
      <c r="I87" s="35" t="s">
        <v>661</v>
      </c>
      <c r="J87" s="35"/>
      <c r="K87" s="35" t="s">
        <v>662</v>
      </c>
      <c r="L87" s="35"/>
      <c r="M87" s="35"/>
      <c r="N87" s="35"/>
      <c r="O87" s="35"/>
    </row>
    <row r="88" spans="1:15" ht="15.75" customHeight="1">
      <c r="A88" s="35" t="s">
        <v>663</v>
      </c>
      <c r="B88" s="35" t="s">
        <v>658</v>
      </c>
      <c r="C88" s="35"/>
      <c r="D88" s="35" t="s">
        <v>49</v>
      </c>
      <c r="E88" s="35" t="s">
        <v>664</v>
      </c>
      <c r="F88" s="35"/>
      <c r="G88" s="35" t="s">
        <v>238</v>
      </c>
      <c r="H88" s="35" t="s">
        <v>665</v>
      </c>
      <c r="I88" s="35" t="s">
        <v>666</v>
      </c>
      <c r="J88" s="35"/>
      <c r="K88" s="35" t="s">
        <v>667</v>
      </c>
      <c r="L88" s="35"/>
      <c r="M88" s="35"/>
      <c r="N88" s="35"/>
      <c r="O88" s="35"/>
    </row>
    <row r="89" spans="1:15" ht="15.75" customHeight="1">
      <c r="A89" s="35" t="s">
        <v>668</v>
      </c>
      <c r="B89" s="35" t="s">
        <v>658</v>
      </c>
      <c r="C89" s="35"/>
      <c r="D89" s="35" t="s">
        <v>49</v>
      </c>
      <c r="E89" s="35" t="s">
        <v>669</v>
      </c>
      <c r="F89" s="35"/>
      <c r="G89" s="35" t="s">
        <v>238</v>
      </c>
      <c r="H89" s="35" t="s">
        <v>670</v>
      </c>
      <c r="I89" s="35" t="s">
        <v>671</v>
      </c>
      <c r="J89" s="35"/>
      <c r="K89" s="35" t="s">
        <v>672</v>
      </c>
      <c r="L89" s="35"/>
      <c r="M89" s="35"/>
      <c r="N89" s="35"/>
      <c r="O89" s="35"/>
    </row>
    <row r="90" spans="1:15" ht="15.75" customHeight="1">
      <c r="A90" s="35" t="s">
        <v>673</v>
      </c>
      <c r="B90" s="35" t="s">
        <v>136</v>
      </c>
      <c r="C90" s="35"/>
      <c r="D90" s="35" t="s">
        <v>49</v>
      </c>
      <c r="E90" s="35" t="s">
        <v>674</v>
      </c>
      <c r="F90" s="35"/>
      <c r="G90" s="35" t="s">
        <v>227</v>
      </c>
      <c r="H90" s="35" t="s">
        <v>675</v>
      </c>
      <c r="I90" s="35" t="s">
        <v>676</v>
      </c>
      <c r="J90" s="35"/>
      <c r="K90" s="35" t="s">
        <v>677</v>
      </c>
      <c r="L90" s="35"/>
      <c r="M90" s="35"/>
      <c r="N90" s="35"/>
      <c r="O90" s="35"/>
    </row>
    <row r="91" spans="1:15" ht="15.75" customHeight="1">
      <c r="A91" s="35" t="s">
        <v>678</v>
      </c>
      <c r="B91" s="35" t="s">
        <v>136</v>
      </c>
      <c r="C91" s="35"/>
      <c r="D91" s="35" t="s">
        <v>49</v>
      </c>
      <c r="E91" s="35" t="s">
        <v>679</v>
      </c>
      <c r="F91" s="35"/>
      <c r="G91" s="35" t="s">
        <v>227</v>
      </c>
      <c r="H91" s="35" t="s">
        <v>13</v>
      </c>
      <c r="I91" s="35" t="s">
        <v>680</v>
      </c>
      <c r="J91" s="35"/>
      <c r="K91" s="35" t="s">
        <v>681</v>
      </c>
      <c r="L91" s="35"/>
      <c r="M91" s="35"/>
      <c r="N91" s="35"/>
      <c r="O91" s="35"/>
    </row>
    <row r="92" spans="1:15" ht="15.75" customHeight="1">
      <c r="A92" s="35" t="s">
        <v>682</v>
      </c>
      <c r="B92" s="35" t="s">
        <v>678</v>
      </c>
      <c r="C92" s="35"/>
      <c r="D92" s="35" t="s">
        <v>49</v>
      </c>
      <c r="E92" s="35" t="s">
        <v>683</v>
      </c>
      <c r="F92" s="35"/>
      <c r="G92" s="35" t="s">
        <v>238</v>
      </c>
      <c r="H92" s="35" t="s">
        <v>684</v>
      </c>
      <c r="I92" s="35" t="s">
        <v>685</v>
      </c>
      <c r="J92" s="35"/>
      <c r="K92" s="35" t="s">
        <v>686</v>
      </c>
      <c r="L92" s="35"/>
      <c r="M92" s="35"/>
      <c r="N92" s="35"/>
      <c r="O92" s="35"/>
    </row>
    <row r="93" spans="1:15" ht="15.75" customHeight="1">
      <c r="A93" s="35" t="s">
        <v>687</v>
      </c>
      <c r="B93" s="35" t="s">
        <v>678</v>
      </c>
      <c r="C93" s="35"/>
      <c r="D93" s="35" t="s">
        <v>49</v>
      </c>
      <c r="E93" s="35" t="s">
        <v>688</v>
      </c>
      <c r="F93" s="35"/>
      <c r="G93" s="34" t="b">
        <v>0</v>
      </c>
      <c r="H93" s="37" t="s">
        <v>689</v>
      </c>
      <c r="I93" s="35" t="s">
        <v>690</v>
      </c>
      <c r="J93" s="35"/>
      <c r="K93" s="35" t="s">
        <v>691</v>
      </c>
      <c r="L93" s="35"/>
      <c r="M93" s="35"/>
      <c r="N93" s="35"/>
      <c r="O93" s="35"/>
    </row>
    <row r="94" spans="1:15" ht="15.75" customHeight="1">
      <c r="A94" s="35" t="s">
        <v>692</v>
      </c>
      <c r="B94" s="35" t="s">
        <v>678</v>
      </c>
      <c r="C94" s="35"/>
      <c r="D94" s="35" t="s">
        <v>49</v>
      </c>
      <c r="E94" s="35" t="s">
        <v>693</v>
      </c>
      <c r="F94" s="35"/>
      <c r="G94" s="35" t="s">
        <v>238</v>
      </c>
      <c r="H94" s="35" t="s">
        <v>694</v>
      </c>
      <c r="I94" s="35" t="s">
        <v>695</v>
      </c>
      <c r="J94" s="35"/>
      <c r="K94" s="35" t="s">
        <v>696</v>
      </c>
      <c r="L94" s="35"/>
      <c r="M94" s="35"/>
      <c r="N94" s="35"/>
      <c r="O94" s="35"/>
    </row>
    <row r="95" spans="1:15" ht="15.75" customHeight="1">
      <c r="A95" s="35" t="s">
        <v>697</v>
      </c>
      <c r="B95" s="35" t="s">
        <v>678</v>
      </c>
      <c r="C95" s="35"/>
      <c r="D95" s="35" t="s">
        <v>49</v>
      </c>
      <c r="E95" s="35" t="s">
        <v>698</v>
      </c>
      <c r="F95" s="35"/>
      <c r="G95" s="35" t="s">
        <v>238</v>
      </c>
      <c r="H95" s="35" t="s">
        <v>699</v>
      </c>
      <c r="I95" s="35" t="s">
        <v>700</v>
      </c>
      <c r="J95" s="35"/>
      <c r="K95" s="35" t="s">
        <v>701</v>
      </c>
      <c r="L95" s="35"/>
      <c r="M95" s="35"/>
      <c r="N95" s="35"/>
      <c r="O95" s="35"/>
    </row>
    <row r="96" spans="1:15" ht="15.75" customHeight="1">
      <c r="A96" s="35" t="s">
        <v>702</v>
      </c>
      <c r="B96" s="35" t="s">
        <v>678</v>
      </c>
      <c r="C96" s="35"/>
      <c r="D96" s="35" t="s">
        <v>49</v>
      </c>
      <c r="E96" s="35" t="s">
        <v>703</v>
      </c>
      <c r="F96" s="35"/>
      <c r="G96" s="35" t="s">
        <v>238</v>
      </c>
      <c r="H96" s="35" t="s">
        <v>704</v>
      </c>
      <c r="I96" s="35" t="s">
        <v>705</v>
      </c>
      <c r="J96" s="35"/>
      <c r="K96" s="35" t="s">
        <v>706</v>
      </c>
      <c r="L96" s="35"/>
      <c r="M96" s="35"/>
      <c r="N96" s="35"/>
      <c r="O96" s="35"/>
    </row>
    <row r="97" spans="1:15" ht="15.75" customHeight="1">
      <c r="A97" s="35" t="s">
        <v>707</v>
      </c>
      <c r="B97" s="35" t="s">
        <v>136</v>
      </c>
      <c r="C97" s="35"/>
      <c r="D97" s="35" t="s">
        <v>49</v>
      </c>
      <c r="E97" s="35" t="s">
        <v>708</v>
      </c>
      <c r="F97" s="35"/>
      <c r="G97" s="35" t="s">
        <v>227</v>
      </c>
      <c r="H97" s="35" t="s">
        <v>709</v>
      </c>
      <c r="I97" s="35" t="s">
        <v>710</v>
      </c>
      <c r="J97" s="35"/>
      <c r="K97" s="35" t="s">
        <v>711</v>
      </c>
      <c r="L97" s="35"/>
      <c r="M97" s="35"/>
      <c r="N97" s="35"/>
      <c r="O97" s="35"/>
    </row>
    <row r="98" spans="1:15" ht="15.75" customHeight="1">
      <c r="A98" s="35" t="s">
        <v>712</v>
      </c>
      <c r="B98" s="35" t="s">
        <v>136</v>
      </c>
      <c r="C98" s="35"/>
      <c r="D98" s="35" t="s">
        <v>49</v>
      </c>
      <c r="E98" s="35" t="s">
        <v>713</v>
      </c>
      <c r="F98" s="35"/>
      <c r="G98" s="35" t="s">
        <v>227</v>
      </c>
      <c r="H98" s="35" t="s">
        <v>714</v>
      </c>
      <c r="I98" s="35" t="s">
        <v>715</v>
      </c>
      <c r="J98" s="35"/>
      <c r="K98" s="35" t="s">
        <v>716</v>
      </c>
      <c r="L98" s="35"/>
      <c r="M98" s="35"/>
      <c r="N98" s="35"/>
      <c r="O98" s="35"/>
    </row>
    <row r="99" spans="1:15" ht="15.75" customHeight="1">
      <c r="A99" s="35" t="s">
        <v>717</v>
      </c>
      <c r="B99" s="35" t="s">
        <v>712</v>
      </c>
      <c r="C99" s="35"/>
      <c r="D99" s="35" t="s">
        <v>49</v>
      </c>
      <c r="E99" s="35" t="s">
        <v>718</v>
      </c>
      <c r="F99" s="35"/>
      <c r="G99" s="35" t="s">
        <v>238</v>
      </c>
      <c r="H99" s="35" t="s">
        <v>719</v>
      </c>
      <c r="I99" s="35" t="s">
        <v>720</v>
      </c>
      <c r="J99" s="35"/>
      <c r="K99" s="35" t="s">
        <v>721</v>
      </c>
      <c r="L99" s="35"/>
      <c r="M99" s="35"/>
      <c r="N99" s="35"/>
      <c r="O99" s="35"/>
    </row>
    <row r="100" spans="1:15" ht="15.75" customHeight="1">
      <c r="A100" s="35" t="s">
        <v>722</v>
      </c>
      <c r="B100" s="35" t="s">
        <v>712</v>
      </c>
      <c r="C100" s="35"/>
      <c r="D100" s="35" t="s">
        <v>49</v>
      </c>
      <c r="E100" s="35" t="s">
        <v>723</v>
      </c>
      <c r="F100" s="35"/>
      <c r="G100" s="35" t="s">
        <v>238</v>
      </c>
      <c r="H100" s="35" t="s">
        <v>724</v>
      </c>
      <c r="I100" s="35" t="s">
        <v>725</v>
      </c>
      <c r="J100" s="35"/>
      <c r="K100" s="35" t="s">
        <v>726</v>
      </c>
      <c r="L100" s="35"/>
      <c r="M100" s="35"/>
      <c r="N100" s="35"/>
      <c r="O100" s="35"/>
    </row>
    <row r="101" spans="1:15" ht="15.75" customHeight="1">
      <c r="A101" s="35" t="s">
        <v>727</v>
      </c>
      <c r="B101" s="35" t="s">
        <v>712</v>
      </c>
      <c r="C101" s="35"/>
      <c r="D101" s="35" t="s">
        <v>49</v>
      </c>
      <c r="E101" s="35" t="s">
        <v>728</v>
      </c>
      <c r="F101" s="35"/>
      <c r="G101" s="35" t="s">
        <v>238</v>
      </c>
      <c r="H101" s="35" t="s">
        <v>729</v>
      </c>
      <c r="I101" s="35" t="s">
        <v>730</v>
      </c>
      <c r="J101" s="35"/>
      <c r="K101" s="35" t="s">
        <v>731</v>
      </c>
      <c r="L101" s="35"/>
      <c r="M101" s="35"/>
      <c r="N101" s="35"/>
      <c r="O101" s="35"/>
    </row>
    <row r="102" spans="1:15" ht="15.75" customHeight="1">
      <c r="A102" s="35" t="s">
        <v>732</v>
      </c>
      <c r="B102" s="35" t="s">
        <v>712</v>
      </c>
      <c r="C102" s="35"/>
      <c r="D102" s="35" t="s">
        <v>49</v>
      </c>
      <c r="E102" s="35" t="s">
        <v>733</v>
      </c>
      <c r="F102" s="35"/>
      <c r="G102" s="35" t="s">
        <v>238</v>
      </c>
      <c r="H102" s="35" t="s">
        <v>734</v>
      </c>
      <c r="I102" s="35" t="s">
        <v>735</v>
      </c>
      <c r="J102" s="35"/>
      <c r="K102" s="35" t="s">
        <v>736</v>
      </c>
      <c r="L102" s="35"/>
      <c r="M102" s="35"/>
      <c r="N102" s="35"/>
      <c r="O102" s="35"/>
    </row>
    <row r="103" spans="1:15" ht="15.75" customHeight="1">
      <c r="A103" s="35" t="s">
        <v>737</v>
      </c>
      <c r="B103" s="35" t="s">
        <v>136</v>
      </c>
      <c r="C103" s="35"/>
      <c r="D103" s="35" t="s">
        <v>49</v>
      </c>
      <c r="E103" s="35" t="s">
        <v>738</v>
      </c>
      <c r="F103" s="35"/>
      <c r="G103" s="35" t="s">
        <v>227</v>
      </c>
      <c r="H103" s="35" t="s">
        <v>739</v>
      </c>
      <c r="I103" s="35" t="s">
        <v>740</v>
      </c>
      <c r="J103" s="35"/>
      <c r="K103" s="35" t="s">
        <v>741</v>
      </c>
      <c r="L103" s="35"/>
      <c r="M103" s="35"/>
      <c r="N103" s="35"/>
      <c r="O103" s="35"/>
    </row>
    <row r="104" spans="1:15" ht="15.75" customHeight="1">
      <c r="A104" s="35" t="s">
        <v>742</v>
      </c>
      <c r="B104" s="35" t="s">
        <v>737</v>
      </c>
      <c r="C104" s="35"/>
      <c r="D104" s="35" t="s">
        <v>49</v>
      </c>
      <c r="E104" s="35" t="s">
        <v>743</v>
      </c>
      <c r="F104" s="35"/>
      <c r="G104" s="35" t="s">
        <v>238</v>
      </c>
      <c r="H104" s="35" t="s">
        <v>744</v>
      </c>
      <c r="I104" s="35" t="s">
        <v>745</v>
      </c>
      <c r="J104" s="35"/>
      <c r="K104" s="35" t="s">
        <v>746</v>
      </c>
      <c r="L104" s="35"/>
      <c r="M104" s="35"/>
      <c r="N104" s="35"/>
      <c r="O104" s="35"/>
    </row>
    <row r="105" spans="1:15" ht="15.75" customHeight="1">
      <c r="A105" s="35" t="s">
        <v>747</v>
      </c>
      <c r="B105" s="35" t="s">
        <v>737</v>
      </c>
      <c r="C105" s="35"/>
      <c r="D105" s="35" t="s">
        <v>49</v>
      </c>
      <c r="E105" s="35" t="s">
        <v>748</v>
      </c>
      <c r="F105" s="35"/>
      <c r="G105" s="35" t="s">
        <v>238</v>
      </c>
      <c r="H105" s="35" t="s">
        <v>749</v>
      </c>
      <c r="I105" s="35" t="s">
        <v>750</v>
      </c>
      <c r="J105" s="35"/>
      <c r="K105" s="35" t="s">
        <v>751</v>
      </c>
      <c r="L105" s="35"/>
      <c r="M105" s="35"/>
      <c r="N105" s="35"/>
      <c r="O105" s="35"/>
    </row>
    <row r="106" spans="1:15" ht="15.75" customHeight="1">
      <c r="A106" s="35" t="s">
        <v>752</v>
      </c>
      <c r="B106" s="35" t="s">
        <v>737</v>
      </c>
      <c r="C106" s="35"/>
      <c r="D106" s="35" t="s">
        <v>49</v>
      </c>
      <c r="E106" s="35" t="s">
        <v>753</v>
      </c>
      <c r="F106" s="35"/>
      <c r="G106" s="35" t="s">
        <v>238</v>
      </c>
      <c r="H106" s="35" t="s">
        <v>754</v>
      </c>
      <c r="I106" s="35" t="s">
        <v>755</v>
      </c>
      <c r="J106" s="35"/>
      <c r="K106" s="35" t="s">
        <v>756</v>
      </c>
      <c r="L106" s="35"/>
      <c r="M106" s="35"/>
      <c r="N106" s="35"/>
      <c r="O106" s="35"/>
    </row>
    <row r="107" spans="1:15" ht="15.75" customHeight="1">
      <c r="A107" s="35" t="s">
        <v>757</v>
      </c>
      <c r="B107" s="35" t="s">
        <v>136</v>
      </c>
      <c r="C107" s="35"/>
      <c r="D107" s="35" t="s">
        <v>49</v>
      </c>
      <c r="E107" s="35" t="s">
        <v>758</v>
      </c>
      <c r="F107" s="35"/>
      <c r="G107" s="35" t="s">
        <v>227</v>
      </c>
      <c r="H107" s="35" t="s">
        <v>759</v>
      </c>
      <c r="I107" s="35" t="s">
        <v>760</v>
      </c>
      <c r="J107" s="35"/>
      <c r="K107" s="35" t="s">
        <v>761</v>
      </c>
      <c r="L107" s="35"/>
      <c r="M107" s="35"/>
      <c r="N107" s="35"/>
      <c r="O107" s="35"/>
    </row>
    <row r="108" spans="1:15" ht="15.75" customHeight="1">
      <c r="A108" s="35" t="s">
        <v>762</v>
      </c>
      <c r="B108" s="35" t="s">
        <v>136</v>
      </c>
      <c r="C108" s="35"/>
      <c r="D108" s="35" t="s">
        <v>49</v>
      </c>
      <c r="E108" s="35" t="s">
        <v>763</v>
      </c>
      <c r="F108" s="35"/>
      <c r="G108" s="35" t="s">
        <v>227</v>
      </c>
      <c r="H108" s="35" t="s">
        <v>764</v>
      </c>
      <c r="I108" s="35" t="s">
        <v>765</v>
      </c>
      <c r="J108" s="35"/>
      <c r="K108" s="35" t="s">
        <v>766</v>
      </c>
      <c r="L108" s="35"/>
      <c r="M108" s="35"/>
      <c r="N108" s="35"/>
      <c r="O108" s="35"/>
    </row>
    <row r="109" spans="1:15" ht="15.75" customHeight="1">
      <c r="A109" s="35" t="s">
        <v>767</v>
      </c>
      <c r="B109" s="35" t="s">
        <v>130</v>
      </c>
      <c r="C109" s="35"/>
      <c r="D109" s="35" t="s">
        <v>49</v>
      </c>
      <c r="E109" s="35" t="s">
        <v>768</v>
      </c>
      <c r="F109" s="35"/>
      <c r="G109" s="35" t="s">
        <v>227</v>
      </c>
      <c r="H109" s="35" t="s">
        <v>769</v>
      </c>
      <c r="I109" s="35" t="s">
        <v>770</v>
      </c>
      <c r="J109" s="35"/>
      <c r="K109" s="35" t="s">
        <v>771</v>
      </c>
      <c r="L109" s="35"/>
      <c r="M109" s="35"/>
      <c r="N109" s="35"/>
      <c r="O109" s="35"/>
    </row>
    <row r="110" spans="1:15" ht="15.75" customHeight="1">
      <c r="A110" s="35" t="s">
        <v>772</v>
      </c>
      <c r="B110" s="35" t="s">
        <v>767</v>
      </c>
      <c r="C110" s="35"/>
      <c r="D110" s="35" t="s">
        <v>49</v>
      </c>
      <c r="E110" s="35" t="s">
        <v>773</v>
      </c>
      <c r="F110" s="35"/>
      <c r="G110" s="35" t="s">
        <v>238</v>
      </c>
      <c r="H110" s="35" t="s">
        <v>0</v>
      </c>
      <c r="I110" s="35" t="s">
        <v>774</v>
      </c>
      <c r="J110" s="35"/>
      <c r="K110" s="35" t="s">
        <v>775</v>
      </c>
      <c r="L110" s="35"/>
      <c r="M110" s="35"/>
      <c r="N110" s="35"/>
      <c r="O110" s="35"/>
    </row>
    <row r="111" spans="1:15" ht="15.75" customHeight="1">
      <c r="A111" s="35" t="s">
        <v>776</v>
      </c>
      <c r="B111" s="35" t="s">
        <v>767</v>
      </c>
      <c r="C111" s="35"/>
      <c r="D111" s="35" t="s">
        <v>49</v>
      </c>
      <c r="E111" s="35" t="s">
        <v>777</v>
      </c>
      <c r="F111" s="35"/>
      <c r="G111" s="35" t="s">
        <v>238</v>
      </c>
      <c r="H111" s="35" t="s">
        <v>778</v>
      </c>
      <c r="I111" s="35" t="s">
        <v>779</v>
      </c>
      <c r="J111" s="35"/>
      <c r="K111" s="35" t="s">
        <v>780</v>
      </c>
      <c r="L111" s="35"/>
      <c r="M111" s="35"/>
      <c r="N111" s="35"/>
      <c r="O111" s="35"/>
    </row>
    <row r="112" spans="1:15" ht="15.75" customHeight="1">
      <c r="A112" s="35" t="s">
        <v>781</v>
      </c>
      <c r="B112" s="35" t="s">
        <v>767</v>
      </c>
      <c r="C112" s="35"/>
      <c r="D112" s="35" t="s">
        <v>49</v>
      </c>
      <c r="E112" s="35" t="s">
        <v>782</v>
      </c>
      <c r="F112" s="35"/>
      <c r="G112" s="35" t="s">
        <v>238</v>
      </c>
      <c r="H112" s="35" t="s">
        <v>783</v>
      </c>
      <c r="I112" s="35" t="s">
        <v>784</v>
      </c>
      <c r="J112" s="35"/>
      <c r="K112" s="35" t="s">
        <v>785</v>
      </c>
      <c r="L112" s="35"/>
      <c r="M112" s="35"/>
      <c r="N112" s="35"/>
      <c r="O112" s="35"/>
    </row>
    <row r="113" spans="1:15" ht="15.75" customHeight="1">
      <c r="A113" s="35" t="s">
        <v>786</v>
      </c>
      <c r="B113" s="35" t="s">
        <v>767</v>
      </c>
      <c r="C113" s="35"/>
      <c r="D113" s="35" t="s">
        <v>49</v>
      </c>
      <c r="E113" s="35" t="s">
        <v>787</v>
      </c>
      <c r="F113" s="35"/>
      <c r="G113" s="35" t="s">
        <v>238</v>
      </c>
      <c r="H113" s="35" t="s">
        <v>788</v>
      </c>
      <c r="I113" s="35" t="s">
        <v>789</v>
      </c>
      <c r="J113" s="35"/>
      <c r="K113" s="35" t="s">
        <v>790</v>
      </c>
      <c r="L113" s="35"/>
      <c r="M113" s="35"/>
      <c r="N113" s="35"/>
      <c r="O113" s="35"/>
    </row>
    <row r="114" spans="1:15" ht="15.75" customHeight="1">
      <c r="A114" s="35" t="s">
        <v>791</v>
      </c>
      <c r="B114" s="35" t="s">
        <v>767</v>
      </c>
      <c r="C114" s="35"/>
      <c r="D114" s="35" t="s">
        <v>49</v>
      </c>
      <c r="E114" s="35" t="s">
        <v>792</v>
      </c>
      <c r="F114" s="35"/>
      <c r="G114" s="35" t="s">
        <v>238</v>
      </c>
      <c r="H114" s="35" t="s">
        <v>793</v>
      </c>
      <c r="I114" s="35" t="s">
        <v>794</v>
      </c>
      <c r="J114" s="35"/>
      <c r="K114" s="35" t="s">
        <v>795</v>
      </c>
      <c r="L114" s="35"/>
      <c r="M114" s="35"/>
      <c r="N114" s="35"/>
      <c r="O114" s="35"/>
    </row>
    <row r="115" spans="1:15" ht="15.75" customHeight="1">
      <c r="A115" s="35" t="s">
        <v>796</v>
      </c>
      <c r="B115" s="35" t="s">
        <v>130</v>
      </c>
      <c r="C115" s="35"/>
      <c r="D115" s="35" t="s">
        <v>49</v>
      </c>
      <c r="E115" s="35" t="s">
        <v>797</v>
      </c>
      <c r="F115" s="35"/>
      <c r="G115" s="35" t="s">
        <v>227</v>
      </c>
      <c r="H115" s="35" t="s">
        <v>798</v>
      </c>
      <c r="I115" s="35" t="s">
        <v>799</v>
      </c>
      <c r="J115" s="35"/>
      <c r="K115" s="35" t="s">
        <v>800</v>
      </c>
      <c r="L115" s="35"/>
      <c r="M115" s="35"/>
      <c r="N115" s="35"/>
      <c r="O115" s="35"/>
    </row>
    <row r="116" spans="1:15" ht="15.75" customHeight="1">
      <c r="A116" s="35" t="s">
        <v>801</v>
      </c>
      <c r="B116" s="35" t="s">
        <v>796</v>
      </c>
      <c r="C116" s="35"/>
      <c r="D116" s="35" t="s">
        <v>49</v>
      </c>
      <c r="E116" s="35" t="s">
        <v>802</v>
      </c>
      <c r="F116" s="35"/>
      <c r="G116" s="35" t="s">
        <v>227</v>
      </c>
      <c r="H116" s="35" t="s">
        <v>803</v>
      </c>
      <c r="I116" s="35" t="s">
        <v>804</v>
      </c>
      <c r="J116" s="35"/>
      <c r="K116" s="35" t="s">
        <v>805</v>
      </c>
      <c r="L116" s="35"/>
      <c r="M116" s="35"/>
      <c r="N116" s="35"/>
      <c r="O116" s="35"/>
    </row>
    <row r="117" spans="1:15" ht="15.75" customHeight="1">
      <c r="A117" s="38" t="s">
        <v>806</v>
      </c>
      <c r="B117" s="38" t="s">
        <v>796</v>
      </c>
      <c r="C117" s="35"/>
      <c r="D117" s="35" t="s">
        <v>49</v>
      </c>
      <c r="E117" s="38" t="s">
        <v>807</v>
      </c>
      <c r="F117" s="38"/>
      <c r="G117" s="38" t="s">
        <v>227</v>
      </c>
      <c r="H117" s="38" t="s">
        <v>808</v>
      </c>
      <c r="I117" s="38" t="s">
        <v>809</v>
      </c>
      <c r="J117" s="38"/>
      <c r="K117" s="38" t="s">
        <v>810</v>
      </c>
      <c r="L117" s="38"/>
      <c r="M117" s="38"/>
      <c r="N117" s="38"/>
      <c r="O117" s="38"/>
    </row>
    <row r="118" spans="1:15" ht="15.75" customHeight="1">
      <c r="A118" s="35" t="s">
        <v>811</v>
      </c>
      <c r="B118" s="35" t="s">
        <v>796</v>
      </c>
      <c r="C118" s="35"/>
      <c r="D118" s="35" t="s">
        <v>49</v>
      </c>
      <c r="E118" s="35" t="s">
        <v>812</v>
      </c>
      <c r="F118" s="35"/>
      <c r="G118" s="35" t="s">
        <v>227</v>
      </c>
      <c r="H118" s="35" t="s">
        <v>813</v>
      </c>
      <c r="I118" s="35" t="s">
        <v>814</v>
      </c>
      <c r="J118" s="35"/>
      <c r="K118" s="35" t="s">
        <v>815</v>
      </c>
      <c r="L118" s="35"/>
      <c r="M118" s="35"/>
      <c r="N118" s="35"/>
      <c r="O118" s="35"/>
    </row>
    <row r="119" spans="1:15" ht="15.75" customHeight="1">
      <c r="A119" s="35" t="s">
        <v>816</v>
      </c>
      <c r="B119" s="35" t="s">
        <v>796</v>
      </c>
      <c r="C119" s="35"/>
      <c r="D119" s="35" t="s">
        <v>49</v>
      </c>
      <c r="E119" s="35" t="s">
        <v>817</v>
      </c>
      <c r="F119" s="35"/>
      <c r="G119" s="35" t="s">
        <v>227</v>
      </c>
      <c r="H119" s="35" t="s">
        <v>818</v>
      </c>
      <c r="I119" s="35" t="s">
        <v>819</v>
      </c>
      <c r="J119" s="35"/>
      <c r="K119" s="35" t="s">
        <v>820</v>
      </c>
      <c r="L119" s="35"/>
      <c r="M119" s="35"/>
      <c r="N119" s="35"/>
      <c r="O119" s="35"/>
    </row>
    <row r="120" spans="1:15" ht="15.75" customHeight="1">
      <c r="A120" s="35" t="s">
        <v>821</v>
      </c>
      <c r="B120" s="35" t="s">
        <v>796</v>
      </c>
      <c r="C120" s="35"/>
      <c r="D120" s="35" t="s">
        <v>49</v>
      </c>
      <c r="E120" s="35" t="s">
        <v>822</v>
      </c>
      <c r="F120" s="35"/>
      <c r="G120" s="35" t="s">
        <v>227</v>
      </c>
      <c r="H120" s="35" t="s">
        <v>823</v>
      </c>
      <c r="I120" s="35" t="s">
        <v>824</v>
      </c>
      <c r="J120" s="35"/>
      <c r="K120" s="35" t="s">
        <v>825</v>
      </c>
      <c r="L120" s="35"/>
      <c r="M120" s="35"/>
      <c r="N120" s="35"/>
      <c r="O120" s="35"/>
    </row>
    <row r="121" spans="1:15" ht="15.75" customHeight="1">
      <c r="A121" s="35" t="s">
        <v>826</v>
      </c>
      <c r="B121" s="35" t="s">
        <v>796</v>
      </c>
      <c r="C121" s="35"/>
      <c r="D121" s="35" t="s">
        <v>49</v>
      </c>
      <c r="E121" s="35" t="s">
        <v>827</v>
      </c>
      <c r="F121" s="35"/>
      <c r="G121" s="35" t="s">
        <v>227</v>
      </c>
      <c r="H121" s="35" t="s">
        <v>12</v>
      </c>
      <c r="I121" s="35" t="s">
        <v>828</v>
      </c>
      <c r="J121" s="35"/>
      <c r="K121" s="35" t="s">
        <v>829</v>
      </c>
      <c r="L121" s="35"/>
      <c r="M121" s="35"/>
      <c r="N121" s="35"/>
      <c r="O121" s="35"/>
    </row>
    <row r="122" spans="1:15" ht="15.75" customHeight="1">
      <c r="A122" s="35" t="s">
        <v>830</v>
      </c>
      <c r="B122" s="35" t="s">
        <v>796</v>
      </c>
      <c r="C122" s="35"/>
      <c r="D122" s="35" t="s">
        <v>49</v>
      </c>
      <c r="E122" s="35" t="s">
        <v>831</v>
      </c>
      <c r="F122" s="35"/>
      <c r="G122" s="35" t="s">
        <v>227</v>
      </c>
      <c r="H122" s="35" t="s">
        <v>832</v>
      </c>
      <c r="I122" s="35" t="s">
        <v>833</v>
      </c>
      <c r="J122" s="35"/>
      <c r="K122" s="35" t="s">
        <v>834</v>
      </c>
      <c r="L122" s="35"/>
      <c r="M122" s="35"/>
      <c r="N122" s="35"/>
      <c r="O122" s="35"/>
    </row>
    <row r="123" spans="1:15" ht="15.75" customHeight="1">
      <c r="A123" s="35" t="s">
        <v>835</v>
      </c>
      <c r="B123" s="35" t="s">
        <v>796</v>
      </c>
      <c r="C123" s="35"/>
      <c r="D123" s="35" t="s">
        <v>49</v>
      </c>
      <c r="E123" s="35" t="s">
        <v>836</v>
      </c>
      <c r="F123" s="35"/>
      <c r="G123" s="35" t="s">
        <v>227</v>
      </c>
      <c r="H123" s="35" t="s">
        <v>837</v>
      </c>
      <c r="I123" s="35" t="s">
        <v>838</v>
      </c>
      <c r="J123" s="35"/>
      <c r="K123" s="35" t="s">
        <v>839</v>
      </c>
      <c r="L123" s="35"/>
      <c r="M123" s="35"/>
      <c r="N123" s="35"/>
      <c r="O123" s="35"/>
    </row>
    <row r="124" spans="1:15" ht="15.75" customHeight="1">
      <c r="A124" s="35" t="s">
        <v>143</v>
      </c>
      <c r="B124" s="35" t="s">
        <v>130</v>
      </c>
      <c r="C124" s="35"/>
      <c r="D124" s="35" t="s">
        <v>49</v>
      </c>
      <c r="E124" s="35" t="s">
        <v>840</v>
      </c>
      <c r="F124" s="35"/>
      <c r="G124" s="35" t="s">
        <v>227</v>
      </c>
      <c r="H124" s="35" t="s">
        <v>841</v>
      </c>
      <c r="I124" s="35" t="s">
        <v>842</v>
      </c>
      <c r="J124" s="35"/>
      <c r="K124" s="35" t="s">
        <v>843</v>
      </c>
      <c r="L124" s="35"/>
      <c r="M124" s="35"/>
      <c r="N124" s="35"/>
      <c r="O124" s="35"/>
    </row>
    <row r="125" spans="1:15" ht="15.75" customHeight="1">
      <c r="A125" s="35" t="s">
        <v>844</v>
      </c>
      <c r="B125" s="35" t="s">
        <v>143</v>
      </c>
      <c r="C125" s="35"/>
      <c r="D125" s="35" t="s">
        <v>49</v>
      </c>
      <c r="E125" s="35" t="s">
        <v>845</v>
      </c>
      <c r="F125" s="35"/>
      <c r="G125" s="35" t="s">
        <v>238</v>
      </c>
      <c r="H125" s="35" t="s">
        <v>846</v>
      </c>
      <c r="I125" s="35" t="s">
        <v>847</v>
      </c>
      <c r="J125" s="35"/>
      <c r="K125" s="35" t="s">
        <v>848</v>
      </c>
      <c r="L125" s="35"/>
      <c r="M125" s="35"/>
      <c r="N125" s="35"/>
      <c r="O125" s="35"/>
    </row>
    <row r="126" spans="1:15" ht="15.75" customHeight="1">
      <c r="A126" s="35" t="s">
        <v>849</v>
      </c>
      <c r="B126" s="35" t="s">
        <v>143</v>
      </c>
      <c r="C126" s="35"/>
      <c r="D126" s="35" t="s">
        <v>49</v>
      </c>
      <c r="E126" s="35" t="s">
        <v>850</v>
      </c>
      <c r="F126" s="35"/>
      <c r="G126" s="35" t="s">
        <v>238</v>
      </c>
      <c r="H126" s="35" t="s">
        <v>17</v>
      </c>
      <c r="I126" s="35" t="s">
        <v>851</v>
      </c>
      <c r="J126" s="35"/>
      <c r="K126" s="35" t="s">
        <v>852</v>
      </c>
      <c r="L126" s="35"/>
      <c r="M126" s="35"/>
      <c r="N126" s="35"/>
      <c r="O126" s="35"/>
    </row>
    <row r="127" spans="1:15" ht="15.75" customHeight="1">
      <c r="A127" s="35" t="s">
        <v>853</v>
      </c>
      <c r="B127" s="35" t="s">
        <v>143</v>
      </c>
      <c r="C127" s="35"/>
      <c r="D127" s="35" t="s">
        <v>49</v>
      </c>
      <c r="E127" s="35" t="s">
        <v>854</v>
      </c>
      <c r="F127" s="35"/>
      <c r="G127" s="35" t="s">
        <v>238</v>
      </c>
      <c r="H127" s="35" t="s">
        <v>855</v>
      </c>
      <c r="I127" s="35" t="s">
        <v>856</v>
      </c>
      <c r="J127" s="35"/>
      <c r="K127" s="35" t="s">
        <v>857</v>
      </c>
      <c r="L127" s="35"/>
      <c r="M127" s="35"/>
      <c r="N127" s="35"/>
      <c r="O127" s="35"/>
    </row>
    <row r="128" spans="1:15" ht="15.75" customHeight="1">
      <c r="A128" s="35" t="s">
        <v>858</v>
      </c>
      <c r="B128" s="35" t="s">
        <v>853</v>
      </c>
      <c r="C128" s="35"/>
      <c r="D128" s="35" t="s">
        <v>49</v>
      </c>
      <c r="E128" s="35" t="s">
        <v>859</v>
      </c>
      <c r="F128" s="35"/>
      <c r="G128" s="35" t="s">
        <v>238</v>
      </c>
      <c r="H128" s="35" t="s">
        <v>860</v>
      </c>
      <c r="I128" s="35" t="s">
        <v>861</v>
      </c>
      <c r="J128" s="35"/>
      <c r="K128" s="35" t="s">
        <v>862</v>
      </c>
      <c r="L128" s="35"/>
      <c r="M128" s="35"/>
      <c r="N128" s="35"/>
      <c r="O128" s="35"/>
    </row>
    <row r="129" spans="1:15" ht="15.75" customHeight="1">
      <c r="A129" s="35" t="s">
        <v>863</v>
      </c>
      <c r="B129" s="35" t="s">
        <v>853</v>
      </c>
      <c r="C129" s="35"/>
      <c r="D129" s="35" t="s">
        <v>49</v>
      </c>
      <c r="E129" s="35" t="s">
        <v>864</v>
      </c>
      <c r="F129" s="35"/>
      <c r="G129" s="35" t="s">
        <v>238</v>
      </c>
      <c r="H129" s="35" t="s">
        <v>865</v>
      </c>
      <c r="I129" s="35" t="s">
        <v>866</v>
      </c>
      <c r="J129" s="35"/>
      <c r="K129" s="35" t="s">
        <v>867</v>
      </c>
      <c r="L129" s="35"/>
      <c r="M129" s="35"/>
      <c r="N129" s="35"/>
      <c r="O129" s="35"/>
    </row>
    <row r="130" spans="1:15" ht="15.75" customHeight="1">
      <c r="A130" s="35" t="s">
        <v>868</v>
      </c>
      <c r="B130" s="35" t="s">
        <v>130</v>
      </c>
      <c r="C130" s="35"/>
      <c r="D130" s="35" t="s">
        <v>49</v>
      </c>
      <c r="E130" s="35" t="s">
        <v>60</v>
      </c>
      <c r="F130" s="35"/>
      <c r="G130" s="35" t="s">
        <v>227</v>
      </c>
      <c r="H130" s="35" t="s">
        <v>869</v>
      </c>
      <c r="I130" s="35" t="s">
        <v>870</v>
      </c>
      <c r="J130" s="35"/>
      <c r="K130" s="35" t="s">
        <v>871</v>
      </c>
      <c r="L130" s="35"/>
      <c r="M130" s="35"/>
      <c r="N130" s="35"/>
      <c r="O130" s="35"/>
    </row>
    <row r="131" spans="1:15" ht="15.75" customHeight="1">
      <c r="A131" s="35" t="s">
        <v>872</v>
      </c>
      <c r="B131" s="35" t="s">
        <v>868</v>
      </c>
      <c r="C131" s="35"/>
      <c r="D131" s="35" t="s">
        <v>49</v>
      </c>
      <c r="E131" s="35" t="s">
        <v>873</v>
      </c>
      <c r="F131" s="35"/>
      <c r="G131" s="35" t="s">
        <v>238</v>
      </c>
      <c r="H131" s="35" t="s">
        <v>874</v>
      </c>
      <c r="I131" s="35" t="s">
        <v>875</v>
      </c>
      <c r="J131" s="35"/>
      <c r="K131" s="35" t="s">
        <v>876</v>
      </c>
      <c r="L131" s="35"/>
      <c r="M131" s="35"/>
      <c r="N131" s="35"/>
      <c r="O131" s="35"/>
    </row>
    <row r="132" spans="1:15" ht="15.75" customHeight="1">
      <c r="A132" s="35" t="s">
        <v>877</v>
      </c>
      <c r="B132" s="35" t="s">
        <v>868</v>
      </c>
      <c r="C132" s="35"/>
      <c r="D132" s="35" t="s">
        <v>49</v>
      </c>
      <c r="E132" s="35" t="s">
        <v>878</v>
      </c>
      <c r="F132" s="35"/>
      <c r="G132" s="35" t="s">
        <v>238</v>
      </c>
      <c r="H132" s="35" t="s">
        <v>879</v>
      </c>
      <c r="I132" s="35" t="s">
        <v>880</v>
      </c>
      <c r="J132" s="35"/>
      <c r="K132" s="35" t="s">
        <v>881</v>
      </c>
      <c r="L132" s="35"/>
      <c r="M132" s="35"/>
      <c r="N132" s="35"/>
      <c r="O132" s="35"/>
    </row>
    <row r="133" spans="1:15" ht="15.75" customHeight="1">
      <c r="A133" s="35" t="s">
        <v>147</v>
      </c>
      <c r="B133" s="35" t="s">
        <v>130</v>
      </c>
      <c r="C133" s="35"/>
      <c r="D133" s="35" t="s">
        <v>49</v>
      </c>
      <c r="E133" s="35" t="s">
        <v>882</v>
      </c>
      <c r="F133" s="35"/>
      <c r="G133" s="35" t="s">
        <v>227</v>
      </c>
      <c r="H133" s="35" t="s">
        <v>2163</v>
      </c>
      <c r="I133" s="35" t="s">
        <v>883</v>
      </c>
      <c r="J133" s="35"/>
      <c r="K133" s="35" t="s">
        <v>884</v>
      </c>
      <c r="L133" s="35"/>
      <c r="M133" s="35"/>
      <c r="N133" s="35"/>
      <c r="O133" s="35"/>
    </row>
    <row r="134" spans="1:15" ht="15.75" customHeight="1">
      <c r="A134" s="35" t="s">
        <v>885</v>
      </c>
      <c r="B134" s="35" t="s">
        <v>147</v>
      </c>
      <c r="C134" s="35"/>
      <c r="D134" s="35" t="s">
        <v>49</v>
      </c>
      <c r="E134" s="35" t="s">
        <v>886</v>
      </c>
      <c r="F134" s="35"/>
      <c r="G134" s="35" t="s">
        <v>238</v>
      </c>
      <c r="H134" s="35" t="s">
        <v>887</v>
      </c>
      <c r="I134" s="35" t="s">
        <v>888</v>
      </c>
      <c r="J134" s="35"/>
      <c r="K134" s="35" t="s">
        <v>889</v>
      </c>
      <c r="L134" s="35"/>
      <c r="M134" s="35"/>
      <c r="N134" s="35"/>
      <c r="O134" s="35"/>
    </row>
    <row r="135" spans="1:15" ht="15.75" customHeight="1">
      <c r="A135" s="35" t="s">
        <v>890</v>
      </c>
      <c r="B135" s="35" t="s">
        <v>147</v>
      </c>
      <c r="C135" s="35"/>
      <c r="D135" s="35" t="s">
        <v>49</v>
      </c>
      <c r="E135" s="35" t="s">
        <v>891</v>
      </c>
      <c r="F135" s="35"/>
      <c r="G135" s="35" t="s">
        <v>238</v>
      </c>
      <c r="H135" s="35" t="s">
        <v>892</v>
      </c>
      <c r="I135" s="35" t="s">
        <v>893</v>
      </c>
      <c r="J135" s="35"/>
      <c r="K135" s="35" t="s">
        <v>894</v>
      </c>
      <c r="L135" s="35"/>
      <c r="M135" s="35"/>
      <c r="N135" s="35"/>
      <c r="O135" s="35"/>
    </row>
    <row r="136" spans="1:15" ht="15.75" customHeight="1">
      <c r="A136" s="35" t="s">
        <v>895</v>
      </c>
      <c r="B136" s="35" t="s">
        <v>147</v>
      </c>
      <c r="C136" s="35"/>
      <c r="D136" s="35" t="s">
        <v>49</v>
      </c>
      <c r="E136" s="35" t="s">
        <v>896</v>
      </c>
      <c r="F136" s="35"/>
      <c r="G136" s="35" t="s">
        <v>238</v>
      </c>
      <c r="H136" s="35" t="s">
        <v>897</v>
      </c>
      <c r="I136" s="35" t="s">
        <v>898</v>
      </c>
      <c r="J136" s="35"/>
      <c r="K136" s="35" t="s">
        <v>899</v>
      </c>
      <c r="L136" s="35"/>
      <c r="M136" s="35"/>
      <c r="N136" s="35"/>
      <c r="O136" s="35"/>
    </row>
    <row r="137" spans="1:15" ht="15.75" customHeight="1">
      <c r="A137" s="35" t="s">
        <v>900</v>
      </c>
      <c r="B137" s="35" t="s">
        <v>147</v>
      </c>
      <c r="C137" s="35"/>
      <c r="D137" s="35" t="s">
        <v>49</v>
      </c>
      <c r="E137" s="35" t="s">
        <v>901</v>
      </c>
      <c r="F137" s="35"/>
      <c r="G137" s="35" t="s">
        <v>238</v>
      </c>
      <c r="H137" s="35" t="s">
        <v>902</v>
      </c>
      <c r="I137" s="35" t="s">
        <v>903</v>
      </c>
      <c r="J137" s="35"/>
      <c r="K137" s="35" t="s">
        <v>904</v>
      </c>
      <c r="L137" s="35"/>
      <c r="M137" s="35"/>
      <c r="N137" s="35"/>
      <c r="O137" s="35"/>
    </row>
    <row r="138" spans="1:15" ht="15.75" customHeight="1">
      <c r="A138" s="35" t="s">
        <v>905</v>
      </c>
      <c r="B138" s="35" t="s">
        <v>147</v>
      </c>
      <c r="C138" s="35"/>
      <c r="D138" s="35" t="s">
        <v>49</v>
      </c>
      <c r="E138" s="35" t="s">
        <v>906</v>
      </c>
      <c r="F138" s="35"/>
      <c r="G138" s="35" t="s">
        <v>238</v>
      </c>
      <c r="H138" s="35" t="s">
        <v>907</v>
      </c>
      <c r="I138" s="35" t="s">
        <v>908</v>
      </c>
      <c r="J138" s="35"/>
      <c r="K138" s="35" t="s">
        <v>909</v>
      </c>
      <c r="L138" s="35"/>
      <c r="M138" s="35"/>
      <c r="N138" s="35"/>
      <c r="O138" s="35"/>
    </row>
    <row r="139" spans="1:15" ht="15.75" customHeight="1">
      <c r="A139" s="35" t="s">
        <v>910</v>
      </c>
      <c r="B139" s="35" t="s">
        <v>147</v>
      </c>
      <c r="C139" s="35"/>
      <c r="D139" s="35" t="s">
        <v>49</v>
      </c>
      <c r="E139" s="35" t="s">
        <v>911</v>
      </c>
      <c r="F139" s="35"/>
      <c r="G139" s="35" t="s">
        <v>238</v>
      </c>
      <c r="H139" s="35" t="s">
        <v>912</v>
      </c>
      <c r="I139" s="35" t="s">
        <v>913</v>
      </c>
      <c r="J139" s="35"/>
      <c r="K139" s="35" t="s">
        <v>914</v>
      </c>
      <c r="L139" s="35"/>
      <c r="M139" s="35"/>
      <c r="N139" s="35"/>
      <c r="O139" s="35"/>
    </row>
    <row r="140" spans="1:15" ht="15.75" customHeight="1">
      <c r="A140" s="35" t="s">
        <v>915</v>
      </c>
      <c r="B140" s="35" t="s">
        <v>147</v>
      </c>
      <c r="C140" s="35"/>
      <c r="D140" s="35" t="s">
        <v>49</v>
      </c>
      <c r="E140" s="35" t="s">
        <v>916</v>
      </c>
      <c r="F140" s="35"/>
      <c r="G140" s="35" t="s">
        <v>238</v>
      </c>
      <c r="H140" s="35" t="s">
        <v>917</v>
      </c>
      <c r="I140" s="35" t="s">
        <v>918</v>
      </c>
      <c r="J140" s="35"/>
      <c r="K140" s="35" t="s">
        <v>919</v>
      </c>
      <c r="L140" s="35"/>
      <c r="M140" s="35"/>
      <c r="N140" s="35"/>
      <c r="O140" s="35"/>
    </row>
    <row r="141" spans="1:15" ht="15.75" customHeight="1">
      <c r="A141" s="35" t="s">
        <v>920</v>
      </c>
      <c r="B141" s="35" t="s">
        <v>147</v>
      </c>
      <c r="C141" s="35"/>
      <c r="D141" s="35" t="s">
        <v>49</v>
      </c>
      <c r="E141" s="35" t="s">
        <v>921</v>
      </c>
      <c r="F141" s="35"/>
      <c r="G141" s="35" t="s">
        <v>238</v>
      </c>
      <c r="H141" s="35" t="s">
        <v>922</v>
      </c>
      <c r="I141" s="35" t="s">
        <v>923</v>
      </c>
      <c r="J141" s="35"/>
      <c r="K141" s="35" t="s">
        <v>924</v>
      </c>
      <c r="L141" s="35"/>
      <c r="M141" s="35"/>
      <c r="N141" s="35"/>
      <c r="O141" s="35"/>
    </row>
    <row r="142" spans="1:15" ht="15.75" customHeight="1">
      <c r="A142" s="35" t="s">
        <v>153</v>
      </c>
      <c r="B142" s="35"/>
      <c r="C142" s="35"/>
      <c r="D142" s="35" t="s">
        <v>49</v>
      </c>
      <c r="E142" s="35" t="s">
        <v>62</v>
      </c>
      <c r="F142" s="35"/>
      <c r="G142" s="35" t="s">
        <v>227</v>
      </c>
      <c r="H142" s="35" t="s">
        <v>925</v>
      </c>
      <c r="I142" s="35" t="s">
        <v>926</v>
      </c>
      <c r="J142" s="35"/>
      <c r="K142" s="35" t="s">
        <v>927</v>
      </c>
      <c r="L142" s="35"/>
      <c r="M142" s="35"/>
      <c r="N142" s="35"/>
      <c r="O142" s="35"/>
    </row>
    <row r="143" spans="1:15" ht="15.75" customHeight="1">
      <c r="A143" s="35" t="s">
        <v>928</v>
      </c>
      <c r="B143" s="35" t="s">
        <v>153</v>
      </c>
      <c r="C143" s="35"/>
      <c r="D143" s="35" t="s">
        <v>49</v>
      </c>
      <c r="E143" s="35" t="s">
        <v>929</v>
      </c>
      <c r="F143" s="35"/>
      <c r="G143" s="35" t="s">
        <v>227</v>
      </c>
      <c r="H143" s="35" t="s">
        <v>930</v>
      </c>
      <c r="I143" s="35" t="s">
        <v>931</v>
      </c>
      <c r="J143" s="35"/>
      <c r="K143" s="35" t="s">
        <v>932</v>
      </c>
      <c r="L143" s="35"/>
      <c r="M143" s="35"/>
      <c r="N143" s="35"/>
      <c r="O143" s="35"/>
    </row>
    <row r="144" spans="1:15" ht="15.75" customHeight="1">
      <c r="A144" s="35" t="s">
        <v>933</v>
      </c>
      <c r="B144" s="35" t="s">
        <v>928</v>
      </c>
      <c r="C144" s="35"/>
      <c r="D144" s="35" t="s">
        <v>49</v>
      </c>
      <c r="E144" s="35" t="s">
        <v>934</v>
      </c>
      <c r="F144" s="35"/>
      <c r="G144" s="35" t="s">
        <v>227</v>
      </c>
      <c r="H144" s="35" t="s">
        <v>935</v>
      </c>
      <c r="I144" s="35" t="s">
        <v>936</v>
      </c>
      <c r="J144" s="35"/>
      <c r="K144" s="35" t="s">
        <v>937</v>
      </c>
      <c r="L144" s="35"/>
      <c r="M144" s="35"/>
      <c r="N144" s="35"/>
      <c r="O144" s="35"/>
    </row>
    <row r="145" spans="1:15" ht="15.75" customHeight="1">
      <c r="A145" s="35" t="s">
        <v>938</v>
      </c>
      <c r="B145" s="35" t="s">
        <v>928</v>
      </c>
      <c r="C145" s="35"/>
      <c r="D145" s="35" t="s">
        <v>49</v>
      </c>
      <c r="E145" s="35" t="s">
        <v>939</v>
      </c>
      <c r="F145" s="35"/>
      <c r="G145" s="35" t="s">
        <v>227</v>
      </c>
      <c r="H145" s="35" t="s">
        <v>940</v>
      </c>
      <c r="I145" s="35" t="s">
        <v>941</v>
      </c>
      <c r="J145" s="35"/>
      <c r="K145" s="35" t="s">
        <v>942</v>
      </c>
      <c r="L145" s="35"/>
      <c r="M145" s="35"/>
      <c r="N145" s="35"/>
      <c r="O145" s="35"/>
    </row>
    <row r="146" spans="1:15" ht="15.75" customHeight="1">
      <c r="A146" s="35" t="s">
        <v>943</v>
      </c>
      <c r="B146" s="35" t="s">
        <v>938</v>
      </c>
      <c r="C146" s="35"/>
      <c r="D146" s="35" t="s">
        <v>49</v>
      </c>
      <c r="E146" s="35"/>
      <c r="F146" s="35"/>
      <c r="G146" s="35" t="s">
        <v>238</v>
      </c>
      <c r="H146" s="35" t="s">
        <v>944</v>
      </c>
      <c r="I146" s="35" t="s">
        <v>945</v>
      </c>
      <c r="J146" s="35"/>
      <c r="K146" s="35" t="s">
        <v>946</v>
      </c>
      <c r="L146" s="35"/>
      <c r="M146" s="35"/>
      <c r="N146" s="35"/>
      <c r="O146" s="35"/>
    </row>
    <row r="147" spans="1:15" ht="15.75" customHeight="1">
      <c r="A147" s="35" t="s">
        <v>947</v>
      </c>
      <c r="B147" s="35" t="s">
        <v>938</v>
      </c>
      <c r="C147" s="35"/>
      <c r="D147" s="35" t="s">
        <v>49</v>
      </c>
      <c r="E147" s="35" t="s">
        <v>948</v>
      </c>
      <c r="F147" s="35"/>
      <c r="G147" s="35" t="s">
        <v>238</v>
      </c>
      <c r="H147" s="35" t="s">
        <v>949</v>
      </c>
      <c r="I147" s="35" t="s">
        <v>950</v>
      </c>
      <c r="J147" s="35"/>
      <c r="K147" s="35" t="s">
        <v>951</v>
      </c>
      <c r="L147" s="35"/>
      <c r="M147" s="35"/>
      <c r="N147" s="35"/>
      <c r="O147" s="35"/>
    </row>
    <row r="148" spans="1:15" ht="15.75" customHeight="1">
      <c r="A148" s="35" t="s">
        <v>952</v>
      </c>
      <c r="B148" s="35" t="s">
        <v>938</v>
      </c>
      <c r="C148" s="35"/>
      <c r="D148" s="35" t="s">
        <v>49</v>
      </c>
      <c r="E148" s="35" t="s">
        <v>953</v>
      </c>
      <c r="F148" s="35"/>
      <c r="G148" s="35" t="s">
        <v>238</v>
      </c>
      <c r="H148" s="35" t="s">
        <v>954</v>
      </c>
      <c r="I148" s="35" t="s">
        <v>955</v>
      </c>
      <c r="J148" s="35"/>
      <c r="K148" s="35" t="s">
        <v>956</v>
      </c>
      <c r="L148" s="35"/>
      <c r="M148" s="35"/>
      <c r="N148" s="35"/>
      <c r="O148" s="35"/>
    </row>
    <row r="149" spans="1:15" ht="15.75" customHeight="1">
      <c r="A149" s="35" t="s">
        <v>957</v>
      </c>
      <c r="B149" s="35" t="s">
        <v>938</v>
      </c>
      <c r="C149" s="35"/>
      <c r="D149" s="35" t="s">
        <v>49</v>
      </c>
      <c r="E149" s="35" t="s">
        <v>958</v>
      </c>
      <c r="F149" s="35"/>
      <c r="G149" s="35" t="s">
        <v>238</v>
      </c>
      <c r="H149" s="35" t="s">
        <v>959</v>
      </c>
      <c r="I149" s="35" t="s">
        <v>960</v>
      </c>
      <c r="J149" s="35"/>
      <c r="K149" s="35" t="s">
        <v>961</v>
      </c>
      <c r="L149" s="35"/>
      <c r="M149" s="35"/>
      <c r="N149" s="35"/>
      <c r="O149" s="35"/>
    </row>
    <row r="150" spans="1:15" ht="15.75" customHeight="1">
      <c r="A150" s="35" t="s">
        <v>962</v>
      </c>
      <c r="B150" s="35" t="s">
        <v>938</v>
      </c>
      <c r="C150" s="35"/>
      <c r="D150" s="35" t="s">
        <v>49</v>
      </c>
      <c r="E150" s="35" t="s">
        <v>963</v>
      </c>
      <c r="F150" s="35"/>
      <c r="G150" s="35" t="s">
        <v>238</v>
      </c>
      <c r="H150" s="35" t="s">
        <v>964</v>
      </c>
      <c r="I150" s="35" t="s">
        <v>965</v>
      </c>
      <c r="J150" s="35"/>
      <c r="K150" s="35" t="s">
        <v>966</v>
      </c>
      <c r="L150" s="35"/>
      <c r="M150" s="35"/>
      <c r="N150" s="35"/>
      <c r="O150" s="35"/>
    </row>
    <row r="151" spans="1:15" ht="15.75" customHeight="1">
      <c r="A151" s="35" t="s">
        <v>967</v>
      </c>
      <c r="B151" s="35" t="s">
        <v>938</v>
      </c>
      <c r="C151" s="35"/>
      <c r="D151" s="35" t="s">
        <v>49</v>
      </c>
      <c r="E151" s="35" t="s">
        <v>968</v>
      </c>
      <c r="F151" s="35"/>
      <c r="G151" s="35" t="s">
        <v>238</v>
      </c>
      <c r="H151" s="35" t="s">
        <v>969</v>
      </c>
      <c r="I151" s="35" t="s">
        <v>970</v>
      </c>
      <c r="J151" s="35"/>
      <c r="K151" s="35" t="s">
        <v>971</v>
      </c>
      <c r="L151" s="35"/>
      <c r="M151" s="35"/>
      <c r="N151" s="35"/>
      <c r="O151" s="35"/>
    </row>
    <row r="152" spans="1:15" ht="15.75" customHeight="1">
      <c r="A152" s="35" t="s">
        <v>972</v>
      </c>
      <c r="B152" s="35" t="s">
        <v>938</v>
      </c>
      <c r="C152" s="35"/>
      <c r="D152" s="35" t="s">
        <v>49</v>
      </c>
      <c r="E152" s="35" t="s">
        <v>973</v>
      </c>
      <c r="F152" s="35"/>
      <c r="G152" s="35" t="s">
        <v>238</v>
      </c>
      <c r="H152" s="35" t="s">
        <v>974</v>
      </c>
      <c r="I152" s="35" t="s">
        <v>975</v>
      </c>
      <c r="J152" s="35"/>
      <c r="K152" s="35" t="s">
        <v>976</v>
      </c>
      <c r="L152" s="35"/>
      <c r="M152" s="35"/>
      <c r="N152" s="35"/>
      <c r="O152" s="35"/>
    </row>
    <row r="153" spans="1:15" ht="15.75" customHeight="1">
      <c r="A153" s="35" t="s">
        <v>977</v>
      </c>
      <c r="B153" s="35" t="s">
        <v>928</v>
      </c>
      <c r="C153" s="35"/>
      <c r="D153" s="35" t="s">
        <v>49</v>
      </c>
      <c r="E153" s="35" t="s">
        <v>978</v>
      </c>
      <c r="F153" s="35"/>
      <c r="G153" s="35" t="s">
        <v>227</v>
      </c>
      <c r="H153" s="35" t="s">
        <v>979</v>
      </c>
      <c r="I153" s="35" t="s">
        <v>980</v>
      </c>
      <c r="J153" s="35"/>
      <c r="K153" s="35" t="s">
        <v>981</v>
      </c>
      <c r="L153" s="35"/>
      <c r="M153" s="35"/>
      <c r="N153" s="35"/>
      <c r="O153" s="35"/>
    </row>
    <row r="154" spans="1:15" ht="15.75" customHeight="1">
      <c r="A154" s="35" t="s">
        <v>982</v>
      </c>
      <c r="B154" s="35" t="s">
        <v>977</v>
      </c>
      <c r="C154" s="35"/>
      <c r="D154" s="35" t="s">
        <v>49</v>
      </c>
      <c r="E154" s="35" t="s">
        <v>983</v>
      </c>
      <c r="F154" s="35"/>
      <c r="G154" s="35" t="s">
        <v>238</v>
      </c>
      <c r="H154" s="35" t="s">
        <v>984</v>
      </c>
      <c r="I154" s="35" t="s">
        <v>985</v>
      </c>
      <c r="J154" s="35"/>
      <c r="K154" s="35" t="s">
        <v>986</v>
      </c>
      <c r="L154" s="35"/>
      <c r="M154" s="35"/>
      <c r="N154" s="35"/>
      <c r="O154" s="35"/>
    </row>
    <row r="155" spans="1:15" ht="15.75" customHeight="1">
      <c r="A155" s="35" t="s">
        <v>987</v>
      </c>
      <c r="B155" s="35" t="s">
        <v>977</v>
      </c>
      <c r="C155" s="35"/>
      <c r="D155" s="35" t="s">
        <v>49</v>
      </c>
      <c r="E155" s="35" t="s">
        <v>988</v>
      </c>
      <c r="F155" s="35"/>
      <c r="G155" s="35" t="s">
        <v>238</v>
      </c>
      <c r="H155" s="35" t="s">
        <v>989</v>
      </c>
      <c r="I155" s="35" t="s">
        <v>990</v>
      </c>
      <c r="J155" s="35"/>
      <c r="K155" s="35" t="s">
        <v>991</v>
      </c>
      <c r="L155" s="35"/>
      <c r="M155" s="35"/>
      <c r="N155" s="35"/>
      <c r="O155" s="35"/>
    </row>
    <row r="156" spans="1:15" ht="15.75" customHeight="1">
      <c r="A156" s="35" t="s">
        <v>992</v>
      </c>
      <c r="B156" s="35" t="s">
        <v>977</v>
      </c>
      <c r="C156" s="35"/>
      <c r="D156" s="35" t="s">
        <v>49</v>
      </c>
      <c r="E156" s="35" t="s">
        <v>993</v>
      </c>
      <c r="F156" s="35"/>
      <c r="G156" s="35" t="s">
        <v>238</v>
      </c>
      <c r="H156" s="35" t="s">
        <v>994</v>
      </c>
      <c r="I156" s="35" t="s">
        <v>995</v>
      </c>
      <c r="J156" s="35"/>
      <c r="K156" s="35" t="s">
        <v>996</v>
      </c>
      <c r="L156" s="35"/>
      <c r="M156" s="35"/>
      <c r="N156" s="35"/>
      <c r="O156" s="35"/>
    </row>
    <row r="157" spans="1:15" ht="15.75" customHeight="1">
      <c r="A157" s="35" t="s">
        <v>997</v>
      </c>
      <c r="B157" s="35" t="s">
        <v>977</v>
      </c>
      <c r="C157" s="35"/>
      <c r="D157" s="35" t="s">
        <v>49</v>
      </c>
      <c r="E157" s="35" t="s">
        <v>998</v>
      </c>
      <c r="F157" s="35"/>
      <c r="G157" s="35" t="s">
        <v>238</v>
      </c>
      <c r="H157" s="35" t="s">
        <v>999</v>
      </c>
      <c r="I157" s="35" t="s">
        <v>1000</v>
      </c>
      <c r="J157" s="35"/>
      <c r="K157" s="35" t="s">
        <v>1001</v>
      </c>
      <c r="L157" s="35"/>
      <c r="M157" s="35"/>
      <c r="N157" s="35"/>
      <c r="O157" s="35"/>
    </row>
    <row r="158" spans="1:15" ht="15.75" customHeight="1">
      <c r="A158" s="35" t="s">
        <v>1002</v>
      </c>
      <c r="B158" s="35" t="s">
        <v>977</v>
      </c>
      <c r="C158" s="35"/>
      <c r="D158" s="35" t="s">
        <v>49</v>
      </c>
      <c r="E158" s="35" t="s">
        <v>1003</v>
      </c>
      <c r="F158" s="35"/>
      <c r="G158" s="35" t="s">
        <v>238</v>
      </c>
      <c r="H158" s="35" t="s">
        <v>1004</v>
      </c>
      <c r="I158" s="35" t="s">
        <v>1005</v>
      </c>
      <c r="J158" s="35"/>
      <c r="K158" s="35" t="s">
        <v>1006</v>
      </c>
      <c r="L158" s="35"/>
      <c r="M158" s="35"/>
      <c r="N158" s="35"/>
      <c r="O158" s="35"/>
    </row>
    <row r="159" spans="1:15" ht="15.75" customHeight="1">
      <c r="A159" s="35" t="s">
        <v>1007</v>
      </c>
      <c r="B159" s="35" t="s">
        <v>977</v>
      </c>
      <c r="C159" s="35"/>
      <c r="D159" s="35" t="s">
        <v>49</v>
      </c>
      <c r="E159" s="35" t="s">
        <v>1008</v>
      </c>
      <c r="F159" s="35"/>
      <c r="G159" s="35" t="s">
        <v>238</v>
      </c>
      <c r="H159" s="35" t="s">
        <v>1009</v>
      </c>
      <c r="I159" s="35" t="s">
        <v>1010</v>
      </c>
      <c r="J159" s="35"/>
      <c r="K159" s="35" t="s">
        <v>1011</v>
      </c>
      <c r="L159" s="35"/>
      <c r="M159" s="35"/>
      <c r="N159" s="35"/>
      <c r="O159" s="35"/>
    </row>
    <row r="160" spans="1:15" ht="15.75" customHeight="1">
      <c r="A160" s="35" t="s">
        <v>1012</v>
      </c>
      <c r="B160" s="35" t="s">
        <v>977</v>
      </c>
      <c r="C160" s="35"/>
      <c r="D160" s="35" t="s">
        <v>49</v>
      </c>
      <c r="E160" s="35" t="s">
        <v>1013</v>
      </c>
      <c r="F160" s="35"/>
      <c r="G160" s="35" t="s">
        <v>238</v>
      </c>
      <c r="H160" s="35" t="s">
        <v>1014</v>
      </c>
      <c r="I160" s="35" t="s">
        <v>1015</v>
      </c>
      <c r="J160" s="35"/>
      <c r="K160" s="35" t="s">
        <v>1016</v>
      </c>
      <c r="L160" s="35"/>
      <c r="M160" s="35"/>
      <c r="N160" s="35"/>
      <c r="O160" s="35"/>
    </row>
    <row r="161" spans="1:15" ht="15.75" customHeight="1">
      <c r="A161" s="35" t="s">
        <v>1017</v>
      </c>
      <c r="B161" s="35" t="s">
        <v>977</v>
      </c>
      <c r="C161" s="35"/>
      <c r="D161" s="35" t="s">
        <v>49</v>
      </c>
      <c r="E161" s="35" t="s">
        <v>1018</v>
      </c>
      <c r="F161" s="35"/>
      <c r="G161" s="35" t="s">
        <v>238</v>
      </c>
      <c r="H161" s="35" t="s">
        <v>1019</v>
      </c>
      <c r="I161" s="35" t="s">
        <v>1020</v>
      </c>
      <c r="J161" s="35"/>
      <c r="K161" s="35" t="s">
        <v>1021</v>
      </c>
      <c r="L161" s="35"/>
      <c r="M161" s="35"/>
      <c r="N161" s="35"/>
      <c r="O161" s="35"/>
    </row>
    <row r="162" spans="1:15" ht="15.75" customHeight="1">
      <c r="A162" s="35" t="s">
        <v>1022</v>
      </c>
      <c r="B162" s="35" t="s">
        <v>928</v>
      </c>
      <c r="C162" s="35"/>
      <c r="D162" s="35" t="s">
        <v>49</v>
      </c>
      <c r="E162" s="35" t="s">
        <v>1023</v>
      </c>
      <c r="F162" s="35"/>
      <c r="G162" s="35" t="s">
        <v>227</v>
      </c>
      <c r="H162" s="35" t="s">
        <v>2</v>
      </c>
      <c r="I162" s="35" t="s">
        <v>1024</v>
      </c>
      <c r="J162" s="35"/>
      <c r="K162" s="35" t="s">
        <v>1025</v>
      </c>
      <c r="L162" s="35"/>
      <c r="M162" s="35"/>
      <c r="N162" s="35"/>
      <c r="O162" s="35"/>
    </row>
    <row r="163" spans="1:15" ht="15.75" customHeight="1">
      <c r="A163" s="35" t="s">
        <v>1026</v>
      </c>
      <c r="B163" s="35" t="s">
        <v>928</v>
      </c>
      <c r="C163" s="35"/>
      <c r="D163" s="35" t="s">
        <v>49</v>
      </c>
      <c r="E163" s="35" t="s">
        <v>1027</v>
      </c>
      <c r="F163" s="35"/>
      <c r="G163" s="35" t="s">
        <v>227</v>
      </c>
      <c r="H163" s="35" t="s">
        <v>1028</v>
      </c>
      <c r="I163" s="35" t="s">
        <v>1029</v>
      </c>
      <c r="J163" s="35"/>
      <c r="K163" s="35" t="s">
        <v>1030</v>
      </c>
      <c r="L163" s="35"/>
      <c r="M163" s="35"/>
      <c r="N163" s="35"/>
      <c r="O163" s="35"/>
    </row>
    <row r="164" spans="1:15" ht="15.75" customHeight="1">
      <c r="A164" s="35" t="s">
        <v>1031</v>
      </c>
      <c r="B164" s="35" t="s">
        <v>1026</v>
      </c>
      <c r="C164" s="35"/>
      <c r="D164" s="35" t="s">
        <v>49</v>
      </c>
      <c r="E164" s="35" t="s">
        <v>1032</v>
      </c>
      <c r="F164" s="35"/>
      <c r="G164" s="35" t="s">
        <v>238</v>
      </c>
      <c r="H164" s="35" t="s">
        <v>1033</v>
      </c>
      <c r="I164" s="35" t="s">
        <v>1034</v>
      </c>
      <c r="J164" s="35"/>
      <c r="K164" s="35" t="s">
        <v>1035</v>
      </c>
      <c r="L164" s="35"/>
      <c r="M164" s="35"/>
      <c r="N164" s="35"/>
      <c r="O164" s="35"/>
    </row>
    <row r="165" spans="1:15" ht="15.75" customHeight="1">
      <c r="A165" s="35" t="s">
        <v>1036</v>
      </c>
      <c r="B165" s="35" t="s">
        <v>1026</v>
      </c>
      <c r="C165" s="35"/>
      <c r="D165" s="35" t="s">
        <v>49</v>
      </c>
      <c r="E165" s="35" t="s">
        <v>1037</v>
      </c>
      <c r="F165" s="35"/>
      <c r="G165" s="35" t="s">
        <v>238</v>
      </c>
      <c r="H165" s="35" t="s">
        <v>1038</v>
      </c>
      <c r="I165" s="35" t="s">
        <v>1039</v>
      </c>
      <c r="J165" s="35"/>
      <c r="K165" s="35" t="s">
        <v>1040</v>
      </c>
      <c r="L165" s="35"/>
      <c r="M165" s="35"/>
      <c r="N165" s="35"/>
      <c r="O165" s="35"/>
    </row>
    <row r="166" spans="1:15" ht="15.75" customHeight="1">
      <c r="A166" s="35" t="s">
        <v>1041</v>
      </c>
      <c r="B166" s="35" t="s">
        <v>1026</v>
      </c>
      <c r="C166" s="35"/>
      <c r="D166" s="35" t="s">
        <v>49</v>
      </c>
      <c r="E166" s="35" t="s">
        <v>1042</v>
      </c>
      <c r="F166" s="35"/>
      <c r="G166" s="35" t="s">
        <v>238</v>
      </c>
      <c r="H166" s="35" t="s">
        <v>1043</v>
      </c>
      <c r="I166" s="35" t="s">
        <v>1044</v>
      </c>
      <c r="J166" s="35"/>
      <c r="K166" s="35" t="s">
        <v>1045</v>
      </c>
      <c r="L166" s="35"/>
      <c r="M166" s="35"/>
      <c r="N166" s="35"/>
      <c r="O166" s="35"/>
    </row>
    <row r="167" spans="1:15" ht="15.75" customHeight="1">
      <c r="A167" s="35" t="s">
        <v>1046</v>
      </c>
      <c r="B167" s="35" t="s">
        <v>1026</v>
      </c>
      <c r="C167" s="35"/>
      <c r="D167" s="35" t="s">
        <v>49</v>
      </c>
      <c r="E167" s="35" t="s">
        <v>1047</v>
      </c>
      <c r="F167" s="35"/>
      <c r="G167" s="35" t="s">
        <v>238</v>
      </c>
      <c r="H167" s="35" t="s">
        <v>1048</v>
      </c>
      <c r="I167" s="35" t="s">
        <v>1049</v>
      </c>
      <c r="J167" s="35"/>
      <c r="K167" s="35" t="s">
        <v>1050</v>
      </c>
      <c r="L167" s="35"/>
      <c r="M167" s="35"/>
      <c r="N167" s="35"/>
      <c r="O167" s="35"/>
    </row>
    <row r="168" spans="1:15" ht="15.75" customHeight="1">
      <c r="A168" s="35" t="s">
        <v>1051</v>
      </c>
      <c r="B168" s="35" t="s">
        <v>1026</v>
      </c>
      <c r="C168" s="35"/>
      <c r="D168" s="35" t="s">
        <v>49</v>
      </c>
      <c r="E168" s="35" t="s">
        <v>1052</v>
      </c>
      <c r="F168" s="35"/>
      <c r="G168" s="35" t="s">
        <v>238</v>
      </c>
      <c r="H168" s="35" t="s">
        <v>1053</v>
      </c>
      <c r="I168" s="35" t="s">
        <v>1054</v>
      </c>
      <c r="J168" s="35"/>
      <c r="K168" s="35" t="s">
        <v>1055</v>
      </c>
      <c r="L168" s="35"/>
      <c r="M168" s="35"/>
      <c r="N168" s="35"/>
      <c r="O168" s="35"/>
    </row>
    <row r="169" spans="1:15" ht="15.75" customHeight="1">
      <c r="A169" s="35" t="s">
        <v>1056</v>
      </c>
      <c r="B169" s="35" t="s">
        <v>1026</v>
      </c>
      <c r="C169" s="35"/>
      <c r="D169" s="35" t="s">
        <v>49</v>
      </c>
      <c r="E169" s="35" t="s">
        <v>1057</v>
      </c>
      <c r="F169" s="35"/>
      <c r="G169" s="35" t="s">
        <v>238</v>
      </c>
      <c r="H169" s="35" t="s">
        <v>1058</v>
      </c>
      <c r="I169" s="35" t="s">
        <v>1059</v>
      </c>
      <c r="J169" s="35"/>
      <c r="K169" s="35" t="s">
        <v>1060</v>
      </c>
      <c r="L169" s="35"/>
      <c r="M169" s="35"/>
      <c r="N169" s="35"/>
      <c r="O169" s="35"/>
    </row>
    <row r="170" spans="1:15" ht="15.75" customHeight="1">
      <c r="A170" s="35" t="s">
        <v>1061</v>
      </c>
      <c r="B170" s="35" t="s">
        <v>1026</v>
      </c>
      <c r="C170" s="35"/>
      <c r="D170" s="35" t="s">
        <v>49</v>
      </c>
      <c r="E170" s="35" t="s">
        <v>1062</v>
      </c>
      <c r="F170" s="35"/>
      <c r="G170" s="35" t="s">
        <v>238</v>
      </c>
      <c r="H170" s="35" t="s">
        <v>1063</v>
      </c>
      <c r="I170" s="35" t="s">
        <v>1064</v>
      </c>
      <c r="J170" s="35"/>
      <c r="K170" s="35" t="s">
        <v>1065</v>
      </c>
      <c r="L170" s="35"/>
      <c r="M170" s="35"/>
      <c r="N170" s="35"/>
      <c r="O170" s="35"/>
    </row>
    <row r="171" spans="1:15" ht="15.75" customHeight="1">
      <c r="A171" s="35" t="s">
        <v>1066</v>
      </c>
      <c r="B171" s="35" t="s">
        <v>928</v>
      </c>
      <c r="C171" s="35"/>
      <c r="D171" s="35" t="s">
        <v>49</v>
      </c>
      <c r="E171" s="35" t="s">
        <v>1067</v>
      </c>
      <c r="F171" s="35"/>
      <c r="G171" s="35" t="s">
        <v>227</v>
      </c>
      <c r="H171" s="35" t="s">
        <v>1068</v>
      </c>
      <c r="I171" s="35" t="s">
        <v>1069</v>
      </c>
      <c r="J171" s="35"/>
      <c r="K171" s="35" t="s">
        <v>1070</v>
      </c>
      <c r="L171" s="35"/>
      <c r="M171" s="35"/>
      <c r="N171" s="35"/>
      <c r="O171" s="35"/>
    </row>
    <row r="172" spans="1:15" ht="15.75" customHeight="1">
      <c r="A172" s="35" t="s">
        <v>1071</v>
      </c>
      <c r="B172" s="35" t="s">
        <v>1066</v>
      </c>
      <c r="C172" s="35"/>
      <c r="D172" s="35" t="s">
        <v>49</v>
      </c>
      <c r="E172" s="35" t="s">
        <v>1072</v>
      </c>
      <c r="F172" s="35"/>
      <c r="G172" s="35" t="s">
        <v>238</v>
      </c>
      <c r="H172" s="35" t="s">
        <v>1073</v>
      </c>
      <c r="I172" s="35" t="s">
        <v>1074</v>
      </c>
      <c r="J172" s="35"/>
      <c r="K172" s="35" t="s">
        <v>1075</v>
      </c>
      <c r="L172" s="35"/>
      <c r="M172" s="35"/>
      <c r="N172" s="35"/>
      <c r="O172" s="35"/>
    </row>
    <row r="173" spans="1:15" ht="15.75" customHeight="1">
      <c r="A173" s="35" t="s">
        <v>1076</v>
      </c>
      <c r="B173" s="35" t="s">
        <v>1066</v>
      </c>
      <c r="C173" s="35"/>
      <c r="D173" s="35" t="s">
        <v>49</v>
      </c>
      <c r="E173" s="35" t="s">
        <v>1077</v>
      </c>
      <c r="F173" s="35"/>
      <c r="G173" s="35" t="s">
        <v>238</v>
      </c>
      <c r="H173" s="35" t="s">
        <v>1078</v>
      </c>
      <c r="I173" s="35" t="s">
        <v>1079</v>
      </c>
      <c r="J173" s="35"/>
      <c r="K173" s="35" t="s">
        <v>1080</v>
      </c>
      <c r="L173" s="35"/>
      <c r="M173" s="35"/>
      <c r="N173" s="35"/>
      <c r="O173" s="35"/>
    </row>
    <row r="174" spans="1:15" ht="15.75" customHeight="1">
      <c r="A174" s="35" t="s">
        <v>1081</v>
      </c>
      <c r="B174" s="35" t="s">
        <v>1066</v>
      </c>
      <c r="C174" s="35"/>
      <c r="D174" s="35" t="s">
        <v>49</v>
      </c>
      <c r="E174" s="35" t="s">
        <v>1082</v>
      </c>
      <c r="F174" s="35"/>
      <c r="G174" s="35" t="s">
        <v>238</v>
      </c>
      <c r="H174" s="35" t="s">
        <v>1083</v>
      </c>
      <c r="I174" s="35" t="s">
        <v>1084</v>
      </c>
      <c r="J174" s="35"/>
      <c r="K174" s="35" t="s">
        <v>1085</v>
      </c>
      <c r="L174" s="35"/>
      <c r="M174" s="35"/>
      <c r="N174" s="35"/>
      <c r="O174" s="35"/>
    </row>
    <row r="175" spans="1:15" ht="15.75" customHeight="1">
      <c r="A175" s="35" t="s">
        <v>1086</v>
      </c>
      <c r="B175" s="35" t="s">
        <v>1066</v>
      </c>
      <c r="C175" s="35"/>
      <c r="D175" s="35" t="s">
        <v>49</v>
      </c>
      <c r="E175" s="35" t="s">
        <v>1087</v>
      </c>
      <c r="F175" s="35"/>
      <c r="G175" s="35" t="s">
        <v>238</v>
      </c>
      <c r="H175" s="35" t="s">
        <v>1088</v>
      </c>
      <c r="I175" s="35" t="s">
        <v>1089</v>
      </c>
      <c r="J175" s="35"/>
      <c r="K175" s="35" t="s">
        <v>1090</v>
      </c>
      <c r="L175" s="35"/>
      <c r="M175" s="35"/>
      <c r="N175" s="35"/>
      <c r="O175" s="35"/>
    </row>
    <row r="176" spans="1:15" ht="15.75" customHeight="1">
      <c r="A176" s="35" t="s">
        <v>1091</v>
      </c>
      <c r="B176" s="35" t="s">
        <v>1066</v>
      </c>
      <c r="C176" s="35"/>
      <c r="D176" s="35" t="s">
        <v>49</v>
      </c>
      <c r="E176" s="35" t="s">
        <v>1092</v>
      </c>
      <c r="F176" s="35"/>
      <c r="G176" s="35" t="s">
        <v>238</v>
      </c>
      <c r="H176" s="35" t="s">
        <v>1093</v>
      </c>
      <c r="I176" s="35" t="s">
        <v>1094</v>
      </c>
      <c r="J176" s="35"/>
      <c r="K176" s="35" t="s">
        <v>1095</v>
      </c>
      <c r="L176" s="35"/>
      <c r="M176" s="35"/>
      <c r="N176" s="35"/>
      <c r="O176" s="35"/>
    </row>
    <row r="177" spans="1:15" ht="15.75" customHeight="1">
      <c r="A177" s="35" t="s">
        <v>1096</v>
      </c>
      <c r="B177" s="35" t="s">
        <v>1066</v>
      </c>
      <c r="C177" s="35"/>
      <c r="D177" s="35" t="s">
        <v>49</v>
      </c>
      <c r="E177" s="35" t="s">
        <v>1097</v>
      </c>
      <c r="F177" s="35"/>
      <c r="G177" s="35" t="s">
        <v>238</v>
      </c>
      <c r="H177" s="35" t="s">
        <v>1098</v>
      </c>
      <c r="I177" s="35" t="s">
        <v>1099</v>
      </c>
      <c r="J177" s="35"/>
      <c r="K177" s="35" t="s">
        <v>1100</v>
      </c>
      <c r="L177" s="35"/>
      <c r="M177" s="35"/>
      <c r="N177" s="35"/>
      <c r="O177" s="35"/>
    </row>
    <row r="178" spans="1:15" ht="15.75" customHeight="1">
      <c r="A178" s="35" t="s">
        <v>1101</v>
      </c>
      <c r="B178" s="35" t="s">
        <v>1066</v>
      </c>
      <c r="C178" s="35"/>
      <c r="D178" s="35" t="s">
        <v>49</v>
      </c>
      <c r="E178" s="35" t="s">
        <v>1102</v>
      </c>
      <c r="F178" s="35"/>
      <c r="G178" s="35" t="s">
        <v>238</v>
      </c>
      <c r="H178" s="35" t="s">
        <v>1103</v>
      </c>
      <c r="I178" s="35" t="s">
        <v>1104</v>
      </c>
      <c r="J178" s="35"/>
      <c r="K178" s="35" t="s">
        <v>1105</v>
      </c>
      <c r="L178" s="35"/>
      <c r="M178" s="35"/>
      <c r="N178" s="35"/>
      <c r="O178" s="35"/>
    </row>
    <row r="179" spans="1:15" ht="15.75" customHeight="1">
      <c r="A179" s="35" t="s">
        <v>1106</v>
      </c>
      <c r="B179" s="35" t="s">
        <v>928</v>
      </c>
      <c r="C179" s="35"/>
      <c r="D179" s="35" t="s">
        <v>49</v>
      </c>
      <c r="E179" s="35" t="s">
        <v>1107</v>
      </c>
      <c r="F179" s="35"/>
      <c r="G179" s="35" t="s">
        <v>227</v>
      </c>
      <c r="H179" s="35" t="s">
        <v>1108</v>
      </c>
      <c r="I179" s="35" t="s">
        <v>1109</v>
      </c>
      <c r="J179" s="35"/>
      <c r="K179" s="35" t="s">
        <v>1110</v>
      </c>
      <c r="L179" s="35"/>
      <c r="M179" s="35"/>
      <c r="N179" s="35"/>
      <c r="O179" s="35"/>
    </row>
    <row r="180" spans="1:15" ht="15.75" customHeight="1">
      <c r="A180" s="35" t="s">
        <v>1111</v>
      </c>
      <c r="B180" s="35" t="s">
        <v>1106</v>
      </c>
      <c r="C180" s="35"/>
      <c r="D180" s="35" t="s">
        <v>49</v>
      </c>
      <c r="E180" s="35" t="s">
        <v>1112</v>
      </c>
      <c r="F180" s="35"/>
      <c r="G180" s="35" t="s">
        <v>227</v>
      </c>
      <c r="H180" s="35" t="s">
        <v>1113</v>
      </c>
      <c r="I180" s="35" t="s">
        <v>1114</v>
      </c>
      <c r="J180" s="35"/>
      <c r="K180" s="35" t="s">
        <v>1115</v>
      </c>
      <c r="L180" s="35"/>
      <c r="M180" s="35"/>
      <c r="N180" s="35"/>
      <c r="O180" s="35"/>
    </row>
    <row r="181" spans="1:15" ht="15.75" customHeight="1">
      <c r="A181" s="35" t="s">
        <v>1116</v>
      </c>
      <c r="B181" s="35" t="s">
        <v>1106</v>
      </c>
      <c r="C181" s="35"/>
      <c r="D181" s="35" t="s">
        <v>49</v>
      </c>
      <c r="E181" s="35" t="s">
        <v>1117</v>
      </c>
      <c r="F181" s="35"/>
      <c r="G181" s="35" t="s">
        <v>227</v>
      </c>
      <c r="H181" s="35" t="s">
        <v>1118</v>
      </c>
      <c r="I181" s="35" t="s">
        <v>1119</v>
      </c>
      <c r="J181" s="35"/>
      <c r="K181" s="35" t="s">
        <v>1120</v>
      </c>
      <c r="L181" s="35"/>
      <c r="M181" s="35"/>
      <c r="N181" s="35"/>
      <c r="O181" s="35"/>
    </row>
    <row r="182" spans="1:15" ht="15.75" customHeight="1">
      <c r="A182" s="35" t="s">
        <v>1121</v>
      </c>
      <c r="B182" s="35" t="s">
        <v>1106</v>
      </c>
      <c r="C182" s="35"/>
      <c r="D182" s="35" t="s">
        <v>49</v>
      </c>
      <c r="E182" s="35" t="s">
        <v>1122</v>
      </c>
      <c r="F182" s="35"/>
      <c r="G182" s="35" t="s">
        <v>227</v>
      </c>
      <c r="H182" s="35" t="s">
        <v>1123</v>
      </c>
      <c r="I182" s="35" t="s">
        <v>1124</v>
      </c>
      <c r="J182" s="35"/>
      <c r="K182" s="35" t="s">
        <v>1125</v>
      </c>
      <c r="L182" s="35"/>
      <c r="M182" s="35"/>
      <c r="N182" s="35"/>
      <c r="O182" s="35"/>
    </row>
    <row r="183" spans="1:15" ht="15.75" customHeight="1">
      <c r="A183" s="35" t="s">
        <v>1126</v>
      </c>
      <c r="B183" s="35" t="s">
        <v>1106</v>
      </c>
      <c r="C183" s="35"/>
      <c r="D183" s="35" t="s">
        <v>49</v>
      </c>
      <c r="E183" s="35" t="s">
        <v>1127</v>
      </c>
      <c r="F183" s="35"/>
      <c r="G183" s="35" t="s">
        <v>227</v>
      </c>
      <c r="H183" s="35" t="s">
        <v>1128</v>
      </c>
      <c r="I183" s="35" t="s">
        <v>1129</v>
      </c>
      <c r="J183" s="35"/>
      <c r="K183" s="35" t="s">
        <v>1130</v>
      </c>
      <c r="L183" s="35"/>
      <c r="M183" s="35"/>
      <c r="N183" s="35"/>
      <c r="O183" s="35"/>
    </row>
    <row r="184" spans="1:15" ht="15.75" customHeight="1">
      <c r="A184" s="35" t="s">
        <v>1131</v>
      </c>
      <c r="B184" s="35" t="s">
        <v>1106</v>
      </c>
      <c r="C184" s="35"/>
      <c r="D184" s="35" t="s">
        <v>49</v>
      </c>
      <c r="E184" s="35" t="s">
        <v>1132</v>
      </c>
      <c r="F184" s="35"/>
      <c r="G184" s="35" t="s">
        <v>227</v>
      </c>
      <c r="H184" s="35" t="s">
        <v>1133</v>
      </c>
      <c r="I184" s="35" t="s">
        <v>1134</v>
      </c>
      <c r="J184" s="35"/>
      <c r="K184" s="35" t="s">
        <v>1135</v>
      </c>
      <c r="L184" s="35"/>
      <c r="M184" s="35"/>
      <c r="N184" s="35"/>
      <c r="O184" s="35"/>
    </row>
    <row r="185" spans="1:15" ht="15.75" customHeight="1">
      <c r="A185" s="35" t="s">
        <v>1136</v>
      </c>
      <c r="B185" s="35" t="s">
        <v>1106</v>
      </c>
      <c r="C185" s="35"/>
      <c r="D185" s="35" t="s">
        <v>49</v>
      </c>
      <c r="E185" s="35" t="s">
        <v>1137</v>
      </c>
      <c r="F185" s="35"/>
      <c r="G185" s="35" t="s">
        <v>227</v>
      </c>
      <c r="H185" s="35" t="s">
        <v>1138</v>
      </c>
      <c r="I185" s="35" t="s">
        <v>1139</v>
      </c>
      <c r="J185" s="35"/>
      <c r="K185" s="35" t="s">
        <v>1140</v>
      </c>
      <c r="L185" s="35"/>
      <c r="M185" s="35"/>
      <c r="N185" s="35"/>
      <c r="O185" s="35"/>
    </row>
    <row r="186" spans="1:15" ht="15.75" customHeight="1">
      <c r="A186" s="35" t="s">
        <v>1141</v>
      </c>
      <c r="B186" s="35" t="s">
        <v>1106</v>
      </c>
      <c r="C186" s="35"/>
      <c r="D186" s="35" t="s">
        <v>49</v>
      </c>
      <c r="E186" s="35" t="s">
        <v>1142</v>
      </c>
      <c r="F186" s="35"/>
      <c r="G186" s="35" t="s">
        <v>227</v>
      </c>
      <c r="H186" s="35" t="s">
        <v>1143</v>
      </c>
      <c r="I186" s="35" t="s">
        <v>1144</v>
      </c>
      <c r="J186" s="35"/>
      <c r="K186" s="35" t="s">
        <v>1145</v>
      </c>
      <c r="L186" s="35"/>
      <c r="M186" s="35"/>
      <c r="N186" s="35"/>
      <c r="O186" s="35"/>
    </row>
    <row r="187" spans="1:15" ht="15.75" customHeight="1">
      <c r="A187" s="35" t="s">
        <v>1146</v>
      </c>
      <c r="B187" s="35" t="s">
        <v>1106</v>
      </c>
      <c r="C187" s="35"/>
      <c r="D187" s="35" t="s">
        <v>49</v>
      </c>
      <c r="E187" s="35" t="s">
        <v>1147</v>
      </c>
      <c r="F187" s="35"/>
      <c r="G187" s="35" t="s">
        <v>227</v>
      </c>
      <c r="H187" s="35" t="s">
        <v>1148</v>
      </c>
      <c r="I187" s="35" t="s">
        <v>1149</v>
      </c>
      <c r="J187" s="35"/>
      <c r="K187" s="35" t="s">
        <v>1150</v>
      </c>
      <c r="L187" s="35"/>
      <c r="M187" s="35"/>
      <c r="N187" s="35"/>
      <c r="O187" s="35"/>
    </row>
    <row r="188" spans="1:15" ht="15.75" customHeight="1">
      <c r="A188" s="35" t="s">
        <v>1151</v>
      </c>
      <c r="B188" s="35" t="s">
        <v>1106</v>
      </c>
      <c r="C188" s="35"/>
      <c r="D188" s="35" t="s">
        <v>49</v>
      </c>
      <c r="E188" s="35" t="s">
        <v>1152</v>
      </c>
      <c r="F188" s="35"/>
      <c r="G188" s="35" t="s">
        <v>227</v>
      </c>
      <c r="H188" s="35" t="s">
        <v>1153</v>
      </c>
      <c r="I188" s="35" t="s">
        <v>1154</v>
      </c>
      <c r="J188" s="35"/>
      <c r="K188" s="35" t="s">
        <v>1155</v>
      </c>
      <c r="L188" s="35"/>
      <c r="M188" s="35"/>
      <c r="N188" s="35"/>
      <c r="O188" s="35"/>
    </row>
    <row r="189" spans="1:15" ht="15.75" customHeight="1">
      <c r="A189" s="35" t="s">
        <v>1156</v>
      </c>
      <c r="B189" s="35" t="s">
        <v>928</v>
      </c>
      <c r="C189" s="35"/>
      <c r="D189" s="35" t="s">
        <v>49</v>
      </c>
      <c r="E189" s="35" t="s">
        <v>1157</v>
      </c>
      <c r="F189" s="35"/>
      <c r="G189" s="35" t="s">
        <v>227</v>
      </c>
      <c r="H189" s="35" t="s">
        <v>1158</v>
      </c>
      <c r="I189" s="35" t="s">
        <v>1159</v>
      </c>
      <c r="J189" s="35"/>
      <c r="K189" s="35" t="s">
        <v>1160</v>
      </c>
      <c r="L189" s="35"/>
      <c r="M189" s="35"/>
      <c r="N189" s="35"/>
      <c r="O189" s="35"/>
    </row>
    <row r="190" spans="1:15" ht="15.75" customHeight="1">
      <c r="A190" s="35" t="s">
        <v>1161</v>
      </c>
      <c r="B190" s="35" t="s">
        <v>928</v>
      </c>
      <c r="C190" s="35"/>
      <c r="D190" s="35" t="s">
        <v>49</v>
      </c>
      <c r="E190" s="35" t="s">
        <v>1162</v>
      </c>
      <c r="F190" s="35"/>
      <c r="G190" s="35" t="s">
        <v>227</v>
      </c>
      <c r="H190" s="35" t="s">
        <v>1163</v>
      </c>
      <c r="I190" s="35" t="s">
        <v>1164</v>
      </c>
      <c r="J190" s="35"/>
      <c r="K190" s="35" t="s">
        <v>1165</v>
      </c>
      <c r="L190" s="35"/>
      <c r="M190" s="35"/>
      <c r="N190" s="35"/>
      <c r="O190" s="35"/>
    </row>
    <row r="191" spans="1:15" ht="15.75" customHeight="1">
      <c r="A191" s="35" t="s">
        <v>1166</v>
      </c>
      <c r="B191" s="35" t="s">
        <v>1161</v>
      </c>
      <c r="C191" s="35"/>
      <c r="D191" s="35" t="s">
        <v>49</v>
      </c>
      <c r="E191" s="35" t="s">
        <v>1167</v>
      </c>
      <c r="F191" s="35"/>
      <c r="G191" s="35" t="s">
        <v>238</v>
      </c>
      <c r="H191" s="35" t="s">
        <v>1168</v>
      </c>
      <c r="I191" s="35" t="s">
        <v>1169</v>
      </c>
      <c r="J191" s="35"/>
      <c r="K191" s="35" t="s">
        <v>1170</v>
      </c>
      <c r="L191" s="35"/>
      <c r="M191" s="35"/>
      <c r="N191" s="35"/>
      <c r="O191" s="35"/>
    </row>
    <row r="192" spans="1:15" ht="15.75" customHeight="1">
      <c r="A192" s="35" t="s">
        <v>1171</v>
      </c>
      <c r="B192" s="35" t="s">
        <v>153</v>
      </c>
      <c r="C192" s="35"/>
      <c r="D192" s="35" t="s">
        <v>49</v>
      </c>
      <c r="E192" s="35" t="s">
        <v>1172</v>
      </c>
      <c r="F192" s="35"/>
      <c r="G192" s="35" t="s">
        <v>227</v>
      </c>
      <c r="H192" s="35" t="s">
        <v>1173</v>
      </c>
      <c r="I192" s="35" t="s">
        <v>1174</v>
      </c>
      <c r="J192" s="35"/>
      <c r="K192" s="35" t="s">
        <v>1175</v>
      </c>
      <c r="L192" s="35"/>
      <c r="M192" s="35"/>
      <c r="N192" s="35"/>
      <c r="O192" s="35"/>
    </row>
    <row r="193" spans="1:15" ht="15.75" customHeight="1">
      <c r="A193" s="35" t="s">
        <v>1176</v>
      </c>
      <c r="B193" s="35" t="s">
        <v>1171</v>
      </c>
      <c r="C193" s="35"/>
      <c r="D193" s="35" t="s">
        <v>49</v>
      </c>
      <c r="E193" s="35" t="s">
        <v>1177</v>
      </c>
      <c r="F193" s="35"/>
      <c r="G193" s="35" t="s">
        <v>238</v>
      </c>
      <c r="H193" s="35" t="s">
        <v>1178</v>
      </c>
      <c r="I193" s="35" t="s">
        <v>1179</v>
      </c>
      <c r="J193" s="35"/>
      <c r="K193" s="35" t="s">
        <v>1180</v>
      </c>
      <c r="L193" s="35"/>
      <c r="M193" s="35"/>
      <c r="N193" s="35"/>
      <c r="O193" s="35"/>
    </row>
    <row r="194" spans="1:15" ht="15.75" customHeight="1">
      <c r="A194" s="35" t="s">
        <v>1181</v>
      </c>
      <c r="B194" s="35" t="s">
        <v>1171</v>
      </c>
      <c r="C194" s="35"/>
      <c r="D194" s="35" t="s">
        <v>49</v>
      </c>
      <c r="E194" s="35" t="s">
        <v>1182</v>
      </c>
      <c r="F194" s="35"/>
      <c r="G194" s="35" t="s">
        <v>238</v>
      </c>
      <c r="H194" s="35" t="s">
        <v>1183</v>
      </c>
      <c r="I194" s="35" t="s">
        <v>1184</v>
      </c>
      <c r="J194" s="35"/>
      <c r="K194" s="35" t="s">
        <v>1185</v>
      </c>
      <c r="L194" s="35"/>
      <c r="M194" s="35"/>
      <c r="N194" s="35"/>
      <c r="O194" s="35"/>
    </row>
    <row r="195" spans="1:15" ht="15.75" customHeight="1">
      <c r="A195" s="35" t="s">
        <v>1186</v>
      </c>
      <c r="B195" s="35" t="s">
        <v>1171</v>
      </c>
      <c r="C195" s="35"/>
      <c r="D195" s="35" t="s">
        <v>49</v>
      </c>
      <c r="E195" s="35" t="s">
        <v>1187</v>
      </c>
      <c r="F195" s="35"/>
      <c r="G195" s="35" t="s">
        <v>238</v>
      </c>
      <c r="H195" s="35" t="s">
        <v>1188</v>
      </c>
      <c r="I195" s="35" t="s">
        <v>1189</v>
      </c>
      <c r="J195" s="35"/>
      <c r="K195" s="35" t="s">
        <v>1190</v>
      </c>
      <c r="L195" s="35"/>
      <c r="M195" s="35"/>
      <c r="N195" s="35"/>
      <c r="O195" s="35"/>
    </row>
    <row r="196" spans="1:15" ht="15.75" customHeight="1">
      <c r="A196" s="35" t="s">
        <v>1191</v>
      </c>
      <c r="B196" s="35" t="s">
        <v>1171</v>
      </c>
      <c r="C196" s="35"/>
      <c r="D196" s="35" t="s">
        <v>49</v>
      </c>
      <c r="E196" s="35" t="s">
        <v>1192</v>
      </c>
      <c r="F196" s="35"/>
      <c r="G196" s="35" t="s">
        <v>238</v>
      </c>
      <c r="H196" s="35" t="s">
        <v>1193</v>
      </c>
      <c r="I196" s="35" t="s">
        <v>1194</v>
      </c>
      <c r="J196" s="35"/>
      <c r="K196" s="35" t="s">
        <v>1195</v>
      </c>
      <c r="L196" s="35"/>
      <c r="M196" s="35"/>
      <c r="N196" s="35"/>
      <c r="O196" s="35"/>
    </row>
    <row r="197" spans="1:15" ht="15.75" customHeight="1">
      <c r="A197" s="35" t="s">
        <v>1196</v>
      </c>
      <c r="B197" s="35" t="s">
        <v>1171</v>
      </c>
      <c r="C197" s="35"/>
      <c r="D197" s="35" t="s">
        <v>49</v>
      </c>
      <c r="E197" s="35" t="s">
        <v>1197</v>
      </c>
      <c r="F197" s="35"/>
      <c r="G197" s="35" t="s">
        <v>238</v>
      </c>
      <c r="H197" s="35" t="s">
        <v>1198</v>
      </c>
      <c r="I197" s="35" t="s">
        <v>1199</v>
      </c>
      <c r="J197" s="35"/>
      <c r="K197" s="35" t="s">
        <v>1200</v>
      </c>
      <c r="L197" s="35"/>
      <c r="M197" s="35"/>
      <c r="N197" s="35"/>
      <c r="O197" s="35"/>
    </row>
    <row r="198" spans="1:15" ht="15.75" customHeight="1">
      <c r="A198" s="35" t="s">
        <v>1201</v>
      </c>
      <c r="B198" s="35" t="s">
        <v>1196</v>
      </c>
      <c r="C198" s="35"/>
      <c r="D198" s="35" t="s">
        <v>49</v>
      </c>
      <c r="E198" s="35" t="s">
        <v>1202</v>
      </c>
      <c r="F198" s="35"/>
      <c r="G198" s="35" t="s">
        <v>238</v>
      </c>
      <c r="H198" s="35" t="s">
        <v>1203</v>
      </c>
      <c r="I198" s="35" t="s">
        <v>1204</v>
      </c>
      <c r="J198" s="35"/>
      <c r="K198" s="35" t="s">
        <v>1205</v>
      </c>
      <c r="L198" s="35"/>
      <c r="M198" s="35"/>
      <c r="N198" s="35"/>
      <c r="O198" s="35"/>
    </row>
    <row r="199" spans="1:15" ht="15.75" customHeight="1">
      <c r="A199" s="35" t="s">
        <v>1206</v>
      </c>
      <c r="B199" s="35" t="s">
        <v>1196</v>
      </c>
      <c r="C199" s="35"/>
      <c r="D199" s="35" t="s">
        <v>49</v>
      </c>
      <c r="E199" s="35" t="s">
        <v>1207</v>
      </c>
      <c r="F199" s="35"/>
      <c r="G199" s="35" t="s">
        <v>238</v>
      </c>
      <c r="H199" s="35" t="s">
        <v>1208</v>
      </c>
      <c r="I199" s="35" t="s">
        <v>1209</v>
      </c>
      <c r="J199" s="35"/>
      <c r="K199" s="35" t="s">
        <v>1210</v>
      </c>
      <c r="L199" s="35"/>
      <c r="M199" s="35"/>
      <c r="N199" s="35"/>
      <c r="O199" s="35"/>
    </row>
    <row r="200" spans="1:15" ht="15.75" customHeight="1">
      <c r="A200" s="35" t="s">
        <v>1211</v>
      </c>
      <c r="B200" s="35" t="s">
        <v>1196</v>
      </c>
      <c r="C200" s="35"/>
      <c r="D200" s="35" t="s">
        <v>49</v>
      </c>
      <c r="E200" s="35" t="s">
        <v>1212</v>
      </c>
      <c r="F200" s="35"/>
      <c r="G200" s="35" t="s">
        <v>238</v>
      </c>
      <c r="H200" s="35" t="s">
        <v>1213</v>
      </c>
      <c r="I200" s="35" t="s">
        <v>1214</v>
      </c>
      <c r="J200" s="35"/>
      <c r="K200" s="35" t="s">
        <v>1215</v>
      </c>
      <c r="L200" s="35"/>
      <c r="M200" s="35"/>
      <c r="N200" s="35"/>
      <c r="O200" s="35"/>
    </row>
    <row r="201" spans="1:15" ht="15.75" customHeight="1">
      <c r="A201" s="35" t="s">
        <v>1216</v>
      </c>
      <c r="B201" s="35" t="s">
        <v>1171</v>
      </c>
      <c r="C201" s="35"/>
      <c r="D201" s="35" t="s">
        <v>49</v>
      </c>
      <c r="E201" s="35" t="s">
        <v>1217</v>
      </c>
      <c r="F201" s="35"/>
      <c r="G201" s="35" t="s">
        <v>238</v>
      </c>
      <c r="H201" s="35" t="s">
        <v>1218</v>
      </c>
      <c r="I201" s="35" t="s">
        <v>1219</v>
      </c>
      <c r="J201" s="35"/>
      <c r="K201" s="35" t="s">
        <v>1220</v>
      </c>
      <c r="L201" s="35"/>
      <c r="M201" s="35"/>
      <c r="N201" s="35"/>
      <c r="O201" s="35"/>
    </row>
    <row r="202" spans="1:15" ht="15.75" customHeight="1">
      <c r="A202" s="35" t="s">
        <v>1221</v>
      </c>
      <c r="B202" s="35" t="s">
        <v>1216</v>
      </c>
      <c r="C202" s="35"/>
      <c r="D202" s="35" t="s">
        <v>49</v>
      </c>
      <c r="E202" s="35" t="s">
        <v>1222</v>
      </c>
      <c r="F202" s="35"/>
      <c r="G202" s="35" t="s">
        <v>238</v>
      </c>
      <c r="H202" s="35" t="s">
        <v>1223</v>
      </c>
      <c r="I202" s="35" t="s">
        <v>1224</v>
      </c>
      <c r="J202" s="35"/>
      <c r="K202" s="35" t="s">
        <v>1225</v>
      </c>
      <c r="L202" s="35"/>
      <c r="M202" s="35"/>
      <c r="N202" s="35"/>
      <c r="O202" s="35"/>
    </row>
    <row r="203" spans="1:15" ht="15.75" customHeight="1">
      <c r="A203" s="35" t="s">
        <v>1226</v>
      </c>
      <c r="B203" s="35" t="s">
        <v>1216</v>
      </c>
      <c r="C203" s="35"/>
      <c r="D203" s="35" t="s">
        <v>49</v>
      </c>
      <c r="E203" s="35" t="s">
        <v>1227</v>
      </c>
      <c r="F203" s="35"/>
      <c r="G203" s="35" t="s">
        <v>238</v>
      </c>
      <c r="H203" s="35" t="s">
        <v>1228</v>
      </c>
      <c r="I203" s="35" t="s">
        <v>1229</v>
      </c>
      <c r="J203" s="35"/>
      <c r="K203" s="35" t="s">
        <v>1230</v>
      </c>
      <c r="L203" s="35"/>
      <c r="M203" s="35"/>
      <c r="N203" s="35"/>
      <c r="O203" s="35"/>
    </row>
    <row r="204" spans="1:15" ht="15.75" customHeight="1">
      <c r="A204" s="35" t="s">
        <v>1231</v>
      </c>
      <c r="B204" s="35" t="s">
        <v>1216</v>
      </c>
      <c r="C204" s="35"/>
      <c r="D204" s="35" t="s">
        <v>49</v>
      </c>
      <c r="E204" s="35" t="s">
        <v>1232</v>
      </c>
      <c r="F204" s="35"/>
      <c r="G204" s="35" t="s">
        <v>238</v>
      </c>
      <c r="H204" s="35" t="s">
        <v>1233</v>
      </c>
      <c r="I204" s="35" t="s">
        <v>1234</v>
      </c>
      <c r="J204" s="35"/>
      <c r="K204" s="35" t="s">
        <v>1235</v>
      </c>
      <c r="L204" s="35"/>
      <c r="M204" s="35"/>
      <c r="N204" s="35"/>
      <c r="O204" s="35"/>
    </row>
    <row r="205" spans="1:15" ht="15.75" customHeight="1">
      <c r="A205" s="35" t="s">
        <v>1236</v>
      </c>
      <c r="B205" s="35" t="s">
        <v>1216</v>
      </c>
      <c r="C205" s="35"/>
      <c r="D205" s="35" t="s">
        <v>49</v>
      </c>
      <c r="E205" s="35" t="s">
        <v>1237</v>
      </c>
      <c r="F205" s="35"/>
      <c r="G205" s="35" t="s">
        <v>238</v>
      </c>
      <c r="H205" s="35" t="s">
        <v>1238</v>
      </c>
      <c r="I205" s="35" t="s">
        <v>1239</v>
      </c>
      <c r="J205" s="35"/>
      <c r="K205" s="35" t="s">
        <v>1240</v>
      </c>
      <c r="L205" s="35"/>
      <c r="M205" s="35"/>
      <c r="N205" s="35"/>
      <c r="O205" s="35"/>
    </row>
    <row r="206" spans="1:15" ht="15.75" customHeight="1">
      <c r="A206" s="35" t="s">
        <v>1241</v>
      </c>
      <c r="B206" s="35" t="s">
        <v>1171</v>
      </c>
      <c r="C206" s="35"/>
      <c r="D206" s="35" t="s">
        <v>49</v>
      </c>
      <c r="E206" s="35" t="s">
        <v>1242</v>
      </c>
      <c r="F206" s="35"/>
      <c r="G206" s="35" t="s">
        <v>238</v>
      </c>
      <c r="H206" s="35" t="s">
        <v>32</v>
      </c>
      <c r="I206" s="35" t="s">
        <v>1243</v>
      </c>
      <c r="J206" s="35"/>
      <c r="K206" s="35" t="s">
        <v>1244</v>
      </c>
      <c r="L206" s="35"/>
      <c r="M206" s="35"/>
      <c r="N206" s="35"/>
      <c r="O206" s="35"/>
    </row>
    <row r="207" spans="1:15" ht="15.75" customHeight="1">
      <c r="A207" s="35" t="s">
        <v>1245</v>
      </c>
      <c r="B207" s="35" t="s">
        <v>1171</v>
      </c>
      <c r="C207" s="35"/>
      <c r="D207" s="35" t="s">
        <v>49</v>
      </c>
      <c r="E207" s="35" t="s">
        <v>1246</v>
      </c>
      <c r="F207" s="35"/>
      <c r="G207" s="35" t="s">
        <v>238</v>
      </c>
      <c r="H207" s="35" t="s">
        <v>1247</v>
      </c>
      <c r="I207" s="35" t="s">
        <v>1248</v>
      </c>
      <c r="J207" s="35"/>
      <c r="K207" s="35" t="s">
        <v>1249</v>
      </c>
      <c r="L207" s="35"/>
      <c r="M207" s="35"/>
      <c r="N207" s="35"/>
      <c r="O207" s="35"/>
    </row>
    <row r="208" spans="1:15" ht="15.75" customHeight="1">
      <c r="A208" s="35" t="s">
        <v>1250</v>
      </c>
      <c r="B208" s="35" t="s">
        <v>1245</v>
      </c>
      <c r="C208" s="35"/>
      <c r="D208" s="35" t="s">
        <v>49</v>
      </c>
      <c r="E208" s="35" t="s">
        <v>1251</v>
      </c>
      <c r="F208" s="35"/>
      <c r="G208" s="35" t="s">
        <v>238</v>
      </c>
      <c r="H208" s="35" t="s">
        <v>1252</v>
      </c>
      <c r="I208" s="35" t="s">
        <v>1253</v>
      </c>
      <c r="J208" s="35"/>
      <c r="K208" s="35" t="s">
        <v>1254</v>
      </c>
      <c r="L208" s="35"/>
      <c r="M208" s="35"/>
      <c r="N208" s="35"/>
      <c r="O208" s="35"/>
    </row>
    <row r="209" spans="1:15" ht="15.75" customHeight="1">
      <c r="A209" s="35" t="s">
        <v>1255</v>
      </c>
      <c r="B209" s="35" t="s">
        <v>1245</v>
      </c>
      <c r="C209" s="35"/>
      <c r="D209" s="35" t="s">
        <v>49</v>
      </c>
      <c r="E209" s="35" t="s">
        <v>1256</v>
      </c>
      <c r="F209" s="35"/>
      <c r="G209" s="35" t="s">
        <v>238</v>
      </c>
      <c r="H209" s="35" t="s">
        <v>1257</v>
      </c>
      <c r="I209" s="35" t="s">
        <v>1258</v>
      </c>
      <c r="J209" s="35"/>
      <c r="K209" s="35" t="s">
        <v>1259</v>
      </c>
      <c r="L209" s="35"/>
      <c r="M209" s="35"/>
      <c r="N209" s="35"/>
      <c r="O209" s="35"/>
    </row>
    <row r="210" spans="1:15" ht="15.75" customHeight="1">
      <c r="A210" s="35" t="s">
        <v>1260</v>
      </c>
      <c r="B210" s="35" t="s">
        <v>1245</v>
      </c>
      <c r="C210" s="35"/>
      <c r="D210" s="35" t="s">
        <v>49</v>
      </c>
      <c r="E210" s="35" t="s">
        <v>1261</v>
      </c>
      <c r="F210" s="35"/>
      <c r="G210" s="35" t="s">
        <v>238</v>
      </c>
      <c r="H210" s="35" t="s">
        <v>1262</v>
      </c>
      <c r="I210" s="35" t="s">
        <v>1263</v>
      </c>
      <c r="J210" s="35"/>
      <c r="K210" s="35" t="s">
        <v>1264</v>
      </c>
      <c r="L210" s="35"/>
      <c r="M210" s="35"/>
      <c r="N210" s="35"/>
      <c r="O210" s="35"/>
    </row>
    <row r="211" spans="1:15" ht="15.75" customHeight="1">
      <c r="A211" s="35" t="s">
        <v>1265</v>
      </c>
      <c r="B211" s="35" t="s">
        <v>1245</v>
      </c>
      <c r="C211" s="35"/>
      <c r="D211" s="35" t="s">
        <v>49</v>
      </c>
      <c r="E211" s="35" t="s">
        <v>1266</v>
      </c>
      <c r="F211" s="35"/>
      <c r="G211" s="35" t="s">
        <v>238</v>
      </c>
      <c r="H211" s="35" t="s">
        <v>1267</v>
      </c>
      <c r="I211" s="35" t="s">
        <v>1268</v>
      </c>
      <c r="J211" s="35"/>
      <c r="K211" s="35" t="s">
        <v>1269</v>
      </c>
      <c r="L211" s="35"/>
      <c r="M211" s="35"/>
      <c r="N211" s="35"/>
      <c r="O211" s="35"/>
    </row>
    <row r="212" spans="1:15" ht="15.75" customHeight="1">
      <c r="A212" s="35" t="s">
        <v>1270</v>
      </c>
      <c r="B212" s="35" t="s">
        <v>1245</v>
      </c>
      <c r="C212" s="35"/>
      <c r="D212" s="35" t="s">
        <v>49</v>
      </c>
      <c r="E212" s="35" t="s">
        <v>1271</v>
      </c>
      <c r="F212" s="35"/>
      <c r="G212" s="35" t="s">
        <v>238</v>
      </c>
      <c r="H212" s="35" t="s">
        <v>1272</v>
      </c>
      <c r="I212" s="35" t="s">
        <v>1273</v>
      </c>
      <c r="J212" s="35"/>
      <c r="K212" s="35" t="s">
        <v>1274</v>
      </c>
      <c r="L212" s="35"/>
      <c r="M212" s="35"/>
      <c r="N212" s="35"/>
      <c r="O212" s="35"/>
    </row>
    <row r="213" spans="1:15" ht="15.75" customHeight="1">
      <c r="A213" s="35" t="s">
        <v>2419</v>
      </c>
      <c r="B213" s="35" t="s">
        <v>1171</v>
      </c>
      <c r="C213" s="35"/>
      <c r="D213" s="35" t="s">
        <v>49</v>
      </c>
      <c r="E213" s="35" t="s">
        <v>2407</v>
      </c>
      <c r="F213" s="35"/>
      <c r="G213" s="35" t="s">
        <v>238</v>
      </c>
      <c r="H213" s="35" t="s">
        <v>2482</v>
      </c>
      <c r="I213" s="35" t="s">
        <v>2483</v>
      </c>
      <c r="J213" s="35"/>
      <c r="K213" s="35"/>
      <c r="L213" s="35"/>
      <c r="M213" s="35"/>
      <c r="N213" s="35"/>
      <c r="O213" s="35"/>
    </row>
    <row r="214" spans="1:15" ht="15.75" customHeight="1">
      <c r="A214" s="35" t="s">
        <v>1275</v>
      </c>
      <c r="B214" s="35" t="s">
        <v>153</v>
      </c>
      <c r="C214" s="35"/>
      <c r="D214" s="35" t="s">
        <v>49</v>
      </c>
      <c r="E214" s="35" t="s">
        <v>1276</v>
      </c>
      <c r="F214" s="35"/>
      <c r="G214" s="35" t="s">
        <v>227</v>
      </c>
      <c r="H214" s="35" t="s">
        <v>1277</v>
      </c>
      <c r="I214" s="35" t="s">
        <v>1278</v>
      </c>
      <c r="J214" s="35"/>
      <c r="K214" s="35" t="s">
        <v>1279</v>
      </c>
      <c r="L214" s="35"/>
      <c r="M214" s="35"/>
      <c r="N214" s="35"/>
      <c r="O214" s="35"/>
    </row>
    <row r="215" spans="1:15" ht="15.75" customHeight="1">
      <c r="A215" s="35" t="s">
        <v>1280</v>
      </c>
      <c r="B215" s="35" t="s">
        <v>1275</v>
      </c>
      <c r="C215" s="35"/>
      <c r="D215" s="35" t="s">
        <v>49</v>
      </c>
      <c r="E215" s="35" t="s">
        <v>1281</v>
      </c>
      <c r="F215" s="35"/>
      <c r="G215" s="35" t="s">
        <v>238</v>
      </c>
      <c r="H215" s="35" t="s">
        <v>1282</v>
      </c>
      <c r="I215" s="35" t="s">
        <v>1283</v>
      </c>
      <c r="J215" s="35"/>
      <c r="K215" s="35" t="s">
        <v>1284</v>
      </c>
      <c r="L215" s="35"/>
      <c r="M215" s="35"/>
      <c r="N215" s="35"/>
      <c r="O215" s="35"/>
    </row>
    <row r="216" spans="1:15" ht="15.75" customHeight="1">
      <c r="A216" s="35" t="s">
        <v>1285</v>
      </c>
      <c r="B216" s="35" t="s">
        <v>1280</v>
      </c>
      <c r="C216" s="35"/>
      <c r="D216" s="35" t="s">
        <v>49</v>
      </c>
      <c r="E216" s="35" t="s">
        <v>1286</v>
      </c>
      <c r="F216" s="35"/>
      <c r="G216" s="35" t="s">
        <v>238</v>
      </c>
      <c r="H216" s="35" t="s">
        <v>1287</v>
      </c>
      <c r="I216" s="35" t="s">
        <v>1288</v>
      </c>
      <c r="J216" s="35"/>
      <c r="K216" s="35" t="s">
        <v>1289</v>
      </c>
      <c r="L216" s="35"/>
      <c r="M216" s="35"/>
      <c r="N216" s="35"/>
      <c r="O216" s="35"/>
    </row>
    <row r="217" spans="1:15" ht="15.75" customHeight="1">
      <c r="A217" s="35" t="s">
        <v>1290</v>
      </c>
      <c r="B217" s="35" t="s">
        <v>1280</v>
      </c>
      <c r="C217" s="35"/>
      <c r="D217" s="35" t="s">
        <v>49</v>
      </c>
      <c r="E217" s="35" t="s">
        <v>1291</v>
      </c>
      <c r="F217" s="35"/>
      <c r="G217" s="35" t="s">
        <v>238</v>
      </c>
      <c r="H217" s="35" t="s">
        <v>1292</v>
      </c>
      <c r="I217" s="35" t="s">
        <v>1293</v>
      </c>
      <c r="J217" s="35"/>
      <c r="K217" s="35" t="s">
        <v>1294</v>
      </c>
      <c r="L217" s="35"/>
      <c r="M217" s="35"/>
      <c r="N217" s="35"/>
      <c r="O217" s="35"/>
    </row>
    <row r="218" spans="1:15" ht="15.75" customHeight="1">
      <c r="A218" s="35" t="s">
        <v>1295</v>
      </c>
      <c r="B218" s="35" t="s">
        <v>1280</v>
      </c>
      <c r="C218" s="35"/>
      <c r="D218" s="35" t="s">
        <v>49</v>
      </c>
      <c r="E218" s="35" t="s">
        <v>1296</v>
      </c>
      <c r="F218" s="35"/>
      <c r="G218" s="35" t="s">
        <v>238</v>
      </c>
      <c r="H218" s="35" t="s">
        <v>1297</v>
      </c>
      <c r="I218" s="35" t="s">
        <v>1298</v>
      </c>
      <c r="J218" s="35"/>
      <c r="K218" s="35" t="s">
        <v>1299</v>
      </c>
      <c r="L218" s="35"/>
      <c r="M218" s="35"/>
      <c r="N218" s="35"/>
      <c r="O218" s="35"/>
    </row>
    <row r="219" spans="1:15" ht="15.75" customHeight="1">
      <c r="A219" s="35" t="s">
        <v>1300</v>
      </c>
      <c r="B219" s="35" t="s">
        <v>1280</v>
      </c>
      <c r="C219" s="35"/>
      <c r="D219" s="35" t="s">
        <v>49</v>
      </c>
      <c r="E219" s="35" t="s">
        <v>1301</v>
      </c>
      <c r="F219" s="35"/>
      <c r="G219" s="35" t="s">
        <v>238</v>
      </c>
      <c r="H219" s="35" t="s">
        <v>1302</v>
      </c>
      <c r="I219" s="35" t="s">
        <v>1303</v>
      </c>
      <c r="J219" s="35"/>
      <c r="K219" s="35" t="s">
        <v>1304</v>
      </c>
      <c r="L219" s="35"/>
      <c r="M219" s="35"/>
      <c r="N219" s="35"/>
      <c r="O219" s="35"/>
    </row>
    <row r="220" spans="1:15" ht="15.75" customHeight="1">
      <c r="A220" s="35" t="s">
        <v>1305</v>
      </c>
      <c r="B220" s="35" t="s">
        <v>1275</v>
      </c>
      <c r="C220" s="35"/>
      <c r="D220" s="35" t="s">
        <v>49</v>
      </c>
      <c r="E220" s="35" t="s">
        <v>1306</v>
      </c>
      <c r="F220" s="35"/>
      <c r="G220" s="35" t="s">
        <v>238</v>
      </c>
      <c r="H220" s="35" t="s">
        <v>1307</v>
      </c>
      <c r="I220" s="35" t="s">
        <v>1308</v>
      </c>
      <c r="J220" s="35"/>
      <c r="K220" s="35" t="s">
        <v>1309</v>
      </c>
      <c r="L220" s="35"/>
      <c r="M220" s="35"/>
      <c r="N220" s="35"/>
      <c r="O220" s="35"/>
    </row>
    <row r="221" spans="1:15" ht="15.75" customHeight="1">
      <c r="A221" s="35" t="s">
        <v>1310</v>
      </c>
      <c r="B221" s="35" t="s">
        <v>1305</v>
      </c>
      <c r="C221" s="35"/>
      <c r="D221" s="35" t="s">
        <v>49</v>
      </c>
      <c r="E221" s="35" t="s">
        <v>1311</v>
      </c>
      <c r="F221" s="35"/>
      <c r="G221" s="35" t="s">
        <v>238</v>
      </c>
      <c r="H221" s="35" t="s">
        <v>1312</v>
      </c>
      <c r="I221" s="35" t="s">
        <v>1313</v>
      </c>
      <c r="J221" s="35"/>
      <c r="K221" s="35" t="s">
        <v>1314</v>
      </c>
      <c r="L221" s="35"/>
      <c r="M221" s="35"/>
      <c r="N221" s="35"/>
      <c r="O221" s="35"/>
    </row>
    <row r="222" spans="1:15" ht="15.75" customHeight="1">
      <c r="A222" s="35" t="s">
        <v>1315</v>
      </c>
      <c r="B222" s="35" t="s">
        <v>1305</v>
      </c>
      <c r="C222" s="35"/>
      <c r="D222" s="35" t="s">
        <v>49</v>
      </c>
      <c r="E222" s="35" t="s">
        <v>1316</v>
      </c>
      <c r="F222" s="35"/>
      <c r="G222" s="35" t="s">
        <v>238</v>
      </c>
      <c r="H222" s="35" t="s">
        <v>1317</v>
      </c>
      <c r="I222" s="35" t="s">
        <v>1318</v>
      </c>
      <c r="J222" s="35"/>
      <c r="K222" s="35" t="s">
        <v>1319</v>
      </c>
      <c r="L222" s="35"/>
      <c r="M222" s="35"/>
      <c r="N222" s="35"/>
      <c r="O222" s="35"/>
    </row>
    <row r="223" spans="1:15" ht="15.75" customHeight="1">
      <c r="A223" s="35" t="s">
        <v>1320</v>
      </c>
      <c r="B223" s="35" t="s">
        <v>1275</v>
      </c>
      <c r="C223" s="35"/>
      <c r="D223" s="35" t="s">
        <v>49</v>
      </c>
      <c r="E223" s="35" t="s">
        <v>1321</v>
      </c>
      <c r="F223" s="35"/>
      <c r="G223" s="35" t="s">
        <v>238</v>
      </c>
      <c r="H223" s="35" t="s">
        <v>1322</v>
      </c>
      <c r="I223" s="35" t="s">
        <v>1323</v>
      </c>
      <c r="J223" s="35"/>
      <c r="K223" s="35" t="s">
        <v>1324</v>
      </c>
      <c r="L223" s="35"/>
      <c r="M223" s="35"/>
      <c r="N223" s="35"/>
      <c r="O223" s="35"/>
    </row>
    <row r="224" spans="1:15" ht="15.75" customHeight="1">
      <c r="A224" s="35" t="s">
        <v>1325</v>
      </c>
      <c r="B224" s="35" t="s">
        <v>1275</v>
      </c>
      <c r="C224" s="35"/>
      <c r="D224" s="35" t="s">
        <v>49</v>
      </c>
      <c r="E224" s="35" t="s">
        <v>1326</v>
      </c>
      <c r="F224" s="35"/>
      <c r="G224" s="35" t="s">
        <v>238</v>
      </c>
      <c r="H224" s="35" t="s">
        <v>1327</v>
      </c>
      <c r="I224" s="35" t="s">
        <v>1328</v>
      </c>
      <c r="J224" s="35"/>
      <c r="K224" s="35" t="s">
        <v>1329</v>
      </c>
      <c r="L224" s="35"/>
      <c r="M224" s="35"/>
      <c r="N224" s="35"/>
      <c r="O224" s="35"/>
    </row>
    <row r="225" spans="1:15" ht="15.75" customHeight="1">
      <c r="A225" s="35" t="s">
        <v>1330</v>
      </c>
      <c r="B225" s="35" t="s">
        <v>1275</v>
      </c>
      <c r="C225" s="35"/>
      <c r="D225" s="35" t="s">
        <v>49</v>
      </c>
      <c r="E225" s="35" t="s">
        <v>1331</v>
      </c>
      <c r="F225" s="35"/>
      <c r="G225" s="35" t="s">
        <v>238</v>
      </c>
      <c r="H225" s="35" t="s">
        <v>1332</v>
      </c>
      <c r="I225" s="35" t="s">
        <v>1333</v>
      </c>
      <c r="J225" s="35"/>
      <c r="K225" s="35" t="s">
        <v>1334</v>
      </c>
      <c r="L225" s="35"/>
      <c r="M225" s="35"/>
      <c r="N225" s="35"/>
      <c r="O225" s="35"/>
    </row>
    <row r="226" spans="1:15" ht="15.75" customHeight="1">
      <c r="A226" s="35" t="s">
        <v>1335</v>
      </c>
      <c r="B226" s="35" t="s">
        <v>1330</v>
      </c>
      <c r="C226" s="35"/>
      <c r="D226" s="35" t="s">
        <v>49</v>
      </c>
      <c r="E226" s="35" t="s">
        <v>1336</v>
      </c>
      <c r="F226" s="35"/>
      <c r="G226" s="35" t="s">
        <v>238</v>
      </c>
      <c r="H226" s="35" t="s">
        <v>1337</v>
      </c>
      <c r="I226" s="35" t="s">
        <v>1338</v>
      </c>
      <c r="J226" s="35"/>
      <c r="K226" s="35" t="s">
        <v>1339</v>
      </c>
      <c r="L226" s="35"/>
      <c r="M226" s="35"/>
      <c r="N226" s="35"/>
      <c r="O226" s="35"/>
    </row>
    <row r="227" spans="1:15" ht="15.75" customHeight="1">
      <c r="A227" s="35" t="s">
        <v>1340</v>
      </c>
      <c r="B227" s="35" t="s">
        <v>1330</v>
      </c>
      <c r="C227" s="35"/>
      <c r="D227" s="35" t="s">
        <v>49</v>
      </c>
      <c r="E227" s="35" t="s">
        <v>1341</v>
      </c>
      <c r="F227" s="35"/>
      <c r="G227" s="35" t="s">
        <v>238</v>
      </c>
      <c r="H227" s="35" t="s">
        <v>1342</v>
      </c>
      <c r="I227" s="35" t="s">
        <v>1343</v>
      </c>
      <c r="J227" s="35"/>
      <c r="K227" s="35" t="s">
        <v>1344</v>
      </c>
      <c r="L227" s="35"/>
      <c r="M227" s="35"/>
      <c r="N227" s="35"/>
      <c r="O227" s="35"/>
    </row>
    <row r="228" spans="1:15" ht="15.75" customHeight="1">
      <c r="A228" s="35" t="s">
        <v>1345</v>
      </c>
      <c r="B228" s="35" t="s">
        <v>1330</v>
      </c>
      <c r="C228" s="35"/>
      <c r="D228" s="35" t="s">
        <v>49</v>
      </c>
      <c r="E228" s="35" t="s">
        <v>1346</v>
      </c>
      <c r="F228" s="35"/>
      <c r="G228" s="35" t="s">
        <v>238</v>
      </c>
      <c r="H228" s="35" t="s">
        <v>1347</v>
      </c>
      <c r="I228" s="35" t="s">
        <v>1348</v>
      </c>
      <c r="J228" s="35"/>
      <c r="K228" s="35" t="s">
        <v>1349</v>
      </c>
      <c r="L228" s="35"/>
      <c r="M228" s="35"/>
      <c r="N228" s="35"/>
      <c r="O228" s="35"/>
    </row>
    <row r="229" spans="1:15" ht="15.75" customHeight="1">
      <c r="A229" s="35" t="s">
        <v>1350</v>
      </c>
      <c r="B229" s="35" t="s">
        <v>1275</v>
      </c>
      <c r="C229" s="35"/>
      <c r="D229" s="35" t="s">
        <v>49</v>
      </c>
      <c r="E229" s="35"/>
      <c r="F229" s="35"/>
      <c r="G229" s="35" t="s">
        <v>238</v>
      </c>
      <c r="H229" s="35" t="s">
        <v>1351</v>
      </c>
      <c r="I229" s="35" t="s">
        <v>1352</v>
      </c>
      <c r="J229" s="35"/>
      <c r="K229" s="35" t="s">
        <v>1353</v>
      </c>
      <c r="L229" s="35"/>
      <c r="M229" s="35"/>
      <c r="N229" s="35"/>
      <c r="O229" s="35"/>
    </row>
    <row r="230" spans="1:15" ht="15.75" customHeight="1">
      <c r="A230" s="35" t="s">
        <v>1354</v>
      </c>
      <c r="B230" s="35" t="s">
        <v>1275</v>
      </c>
      <c r="C230" s="35"/>
      <c r="D230" s="35" t="s">
        <v>49</v>
      </c>
      <c r="E230" s="35"/>
      <c r="F230" s="35"/>
      <c r="G230" s="35" t="s">
        <v>238</v>
      </c>
      <c r="H230" s="35" t="s">
        <v>1355</v>
      </c>
      <c r="I230" s="35" t="s">
        <v>1356</v>
      </c>
      <c r="J230" s="35"/>
      <c r="K230" s="35" t="s">
        <v>1357</v>
      </c>
      <c r="L230" s="35"/>
      <c r="M230" s="35"/>
      <c r="N230" s="35"/>
      <c r="O230" s="35"/>
    </row>
    <row r="231" spans="1:15" ht="15.75" customHeight="1">
      <c r="A231" s="35" t="s">
        <v>1358</v>
      </c>
      <c r="B231" s="35" t="s">
        <v>153</v>
      </c>
      <c r="C231" s="35"/>
      <c r="D231" s="35" t="s">
        <v>49</v>
      </c>
      <c r="E231" s="35" t="s">
        <v>1359</v>
      </c>
      <c r="F231" s="35"/>
      <c r="G231" s="35" t="s">
        <v>227</v>
      </c>
      <c r="H231" s="35" t="s">
        <v>1360</v>
      </c>
      <c r="I231" s="35" t="s">
        <v>1361</v>
      </c>
      <c r="J231" s="35"/>
      <c r="K231" s="35" t="s">
        <v>1362</v>
      </c>
      <c r="L231" s="35"/>
      <c r="M231" s="35"/>
      <c r="N231" s="35"/>
      <c r="O231" s="35"/>
    </row>
    <row r="232" spans="1:15" ht="15.75" customHeight="1">
      <c r="A232" s="35" t="s">
        <v>1363</v>
      </c>
      <c r="B232" s="35" t="s">
        <v>1358</v>
      </c>
      <c r="C232" s="35"/>
      <c r="D232" s="35" t="s">
        <v>49</v>
      </c>
      <c r="E232" s="35" t="s">
        <v>1364</v>
      </c>
      <c r="F232" s="35"/>
      <c r="G232" s="35" t="s">
        <v>227</v>
      </c>
      <c r="H232" s="35" t="s">
        <v>1365</v>
      </c>
      <c r="I232" s="35" t="s">
        <v>1361</v>
      </c>
      <c r="J232" s="35"/>
      <c r="K232" s="35" t="s">
        <v>1366</v>
      </c>
      <c r="L232" s="35"/>
      <c r="M232" s="35"/>
      <c r="N232" s="35"/>
      <c r="O232" s="35"/>
    </row>
    <row r="233" spans="1:15" ht="15.75" customHeight="1">
      <c r="A233" s="35" t="s">
        <v>1367</v>
      </c>
      <c r="B233" s="35" t="s">
        <v>1358</v>
      </c>
      <c r="C233" s="35"/>
      <c r="D233" s="35" t="s">
        <v>49</v>
      </c>
      <c r="E233" s="35" t="s">
        <v>1368</v>
      </c>
      <c r="F233" s="35"/>
      <c r="G233" s="35" t="s">
        <v>227</v>
      </c>
      <c r="H233" s="35" t="s">
        <v>10</v>
      </c>
      <c r="I233" s="35" t="s">
        <v>1369</v>
      </c>
      <c r="J233" s="35"/>
      <c r="K233" s="35" t="s">
        <v>1370</v>
      </c>
      <c r="L233" s="35"/>
      <c r="M233" s="35"/>
      <c r="N233" s="35"/>
      <c r="O233" s="35"/>
    </row>
    <row r="234" spans="1:15" ht="15.75" customHeight="1">
      <c r="A234" s="35" t="s">
        <v>1371</v>
      </c>
      <c r="B234" s="35" t="s">
        <v>1367</v>
      </c>
      <c r="C234" s="35"/>
      <c r="D234" s="35" t="s">
        <v>49</v>
      </c>
      <c r="E234" s="35" t="s">
        <v>1372</v>
      </c>
      <c r="F234" s="35"/>
      <c r="G234" s="35" t="s">
        <v>238</v>
      </c>
      <c r="H234" s="35" t="s">
        <v>1373</v>
      </c>
      <c r="I234" s="35" t="s">
        <v>1374</v>
      </c>
      <c r="J234" s="35"/>
      <c r="K234" s="35" t="s">
        <v>1375</v>
      </c>
      <c r="L234" s="35"/>
      <c r="M234" s="35"/>
      <c r="N234" s="35"/>
      <c r="O234" s="35"/>
    </row>
    <row r="235" spans="1:15" ht="15.75" customHeight="1">
      <c r="A235" s="35" t="s">
        <v>1376</v>
      </c>
      <c r="B235" s="35" t="s">
        <v>1367</v>
      </c>
      <c r="C235" s="35"/>
      <c r="D235" s="35" t="s">
        <v>49</v>
      </c>
      <c r="E235" s="35" t="s">
        <v>1377</v>
      </c>
      <c r="F235" s="35"/>
      <c r="G235" s="35" t="s">
        <v>238</v>
      </c>
      <c r="H235" s="35" t="s">
        <v>1378</v>
      </c>
      <c r="I235" s="35" t="s">
        <v>1379</v>
      </c>
      <c r="J235" s="35"/>
      <c r="K235" s="35" t="s">
        <v>1380</v>
      </c>
      <c r="L235" s="35"/>
      <c r="M235" s="35"/>
      <c r="N235" s="35"/>
      <c r="O235" s="35"/>
    </row>
    <row r="236" spans="1:15" ht="15.75" customHeight="1">
      <c r="A236" s="35" t="s">
        <v>1381</v>
      </c>
      <c r="B236" s="35" t="s">
        <v>1367</v>
      </c>
      <c r="C236" s="35"/>
      <c r="D236" s="35" t="s">
        <v>49</v>
      </c>
      <c r="E236" s="35" t="s">
        <v>1382</v>
      </c>
      <c r="F236" s="35"/>
      <c r="G236" s="35" t="s">
        <v>238</v>
      </c>
      <c r="H236" s="35" t="s">
        <v>1383</v>
      </c>
      <c r="I236" s="35" t="s">
        <v>1384</v>
      </c>
      <c r="J236" s="35"/>
      <c r="K236" s="35" t="s">
        <v>1385</v>
      </c>
      <c r="L236" s="35"/>
      <c r="M236" s="35"/>
      <c r="N236" s="35"/>
      <c r="O236" s="35"/>
    </row>
    <row r="237" spans="1:15" ht="15.75" customHeight="1">
      <c r="A237" s="35" t="s">
        <v>1386</v>
      </c>
      <c r="B237" s="35" t="s">
        <v>1358</v>
      </c>
      <c r="C237" s="35"/>
      <c r="D237" s="35" t="s">
        <v>49</v>
      </c>
      <c r="E237" s="35" t="s">
        <v>1387</v>
      </c>
      <c r="F237" s="35"/>
      <c r="G237" s="35" t="s">
        <v>227</v>
      </c>
      <c r="H237" s="35" t="s">
        <v>1388</v>
      </c>
      <c r="I237" s="35" t="s">
        <v>1389</v>
      </c>
      <c r="J237" s="35"/>
      <c r="K237" s="35" t="s">
        <v>1390</v>
      </c>
      <c r="L237" s="35"/>
      <c r="M237" s="35"/>
      <c r="N237" s="35"/>
      <c r="O237" s="35"/>
    </row>
    <row r="238" spans="1:15" ht="15.75" customHeight="1">
      <c r="A238" s="35" t="s">
        <v>1391</v>
      </c>
      <c r="B238" s="35" t="s">
        <v>1386</v>
      </c>
      <c r="C238" s="35"/>
      <c r="D238" s="35" t="s">
        <v>49</v>
      </c>
      <c r="E238" s="35" t="s">
        <v>1392</v>
      </c>
      <c r="F238" s="35"/>
      <c r="G238" s="35" t="s">
        <v>238</v>
      </c>
      <c r="H238" s="35" t="s">
        <v>1393</v>
      </c>
      <c r="I238" s="35" t="s">
        <v>1394</v>
      </c>
      <c r="J238" s="35"/>
      <c r="K238" s="35" t="s">
        <v>1395</v>
      </c>
      <c r="L238" s="35"/>
      <c r="M238" s="35"/>
      <c r="N238" s="35"/>
      <c r="O238" s="35"/>
    </row>
    <row r="239" spans="1:15" ht="15.75" customHeight="1">
      <c r="A239" s="35" t="s">
        <v>1396</v>
      </c>
      <c r="B239" s="35" t="s">
        <v>1386</v>
      </c>
      <c r="C239" s="35"/>
      <c r="D239" s="35" t="s">
        <v>49</v>
      </c>
      <c r="E239" s="35" t="s">
        <v>1397</v>
      </c>
      <c r="F239" s="35"/>
      <c r="G239" s="35" t="s">
        <v>238</v>
      </c>
      <c r="H239" s="35" t="s">
        <v>1398</v>
      </c>
      <c r="I239" s="35" t="s">
        <v>1399</v>
      </c>
      <c r="J239" s="35"/>
      <c r="K239" s="35" t="s">
        <v>1400</v>
      </c>
      <c r="L239" s="35"/>
      <c r="M239" s="35"/>
      <c r="N239" s="35"/>
      <c r="O239" s="35"/>
    </row>
    <row r="240" spans="1:15" ht="15.75" customHeight="1">
      <c r="A240" s="35" t="s">
        <v>1401</v>
      </c>
      <c r="B240" s="35" t="s">
        <v>1386</v>
      </c>
      <c r="C240" s="35"/>
      <c r="D240" s="35" t="s">
        <v>49</v>
      </c>
      <c r="E240" s="35" t="s">
        <v>1402</v>
      </c>
      <c r="F240" s="35"/>
      <c r="G240" s="35" t="s">
        <v>238</v>
      </c>
      <c r="H240" s="35" t="s">
        <v>1403</v>
      </c>
      <c r="I240" s="35" t="s">
        <v>1404</v>
      </c>
      <c r="J240" s="35"/>
      <c r="K240" s="35" t="s">
        <v>1405</v>
      </c>
      <c r="L240" s="35"/>
      <c r="M240" s="35"/>
      <c r="N240" s="35"/>
      <c r="O240" s="35"/>
    </row>
    <row r="241" spans="1:15" ht="15.75" customHeight="1">
      <c r="A241" s="35" t="s">
        <v>1406</v>
      </c>
      <c r="B241" s="35" t="s">
        <v>1358</v>
      </c>
      <c r="C241" s="35"/>
      <c r="D241" s="35" t="s">
        <v>49</v>
      </c>
      <c r="E241" s="35" t="s">
        <v>1407</v>
      </c>
      <c r="F241" s="35"/>
      <c r="G241" s="35" t="s">
        <v>227</v>
      </c>
      <c r="H241" s="35" t="s">
        <v>1408</v>
      </c>
      <c r="I241" s="35" t="s">
        <v>1409</v>
      </c>
      <c r="J241" s="35"/>
      <c r="K241" s="35" t="s">
        <v>1410</v>
      </c>
      <c r="L241" s="35"/>
      <c r="M241" s="35"/>
      <c r="N241" s="35"/>
      <c r="O241" s="35"/>
    </row>
    <row r="242" spans="1:15" ht="15.75" customHeight="1">
      <c r="A242" s="35" t="s">
        <v>1411</v>
      </c>
      <c r="B242" s="35" t="s">
        <v>1406</v>
      </c>
      <c r="C242" s="35"/>
      <c r="D242" s="35" t="s">
        <v>49</v>
      </c>
      <c r="E242" s="35" t="s">
        <v>1412</v>
      </c>
      <c r="F242" s="35"/>
      <c r="G242" s="35" t="s">
        <v>238</v>
      </c>
      <c r="H242" s="35" t="s">
        <v>1413</v>
      </c>
      <c r="I242" s="35" t="s">
        <v>1414</v>
      </c>
      <c r="J242" s="35"/>
      <c r="K242" s="35" t="s">
        <v>1415</v>
      </c>
      <c r="L242" s="35"/>
      <c r="M242" s="35"/>
      <c r="N242" s="35"/>
      <c r="O242" s="35"/>
    </row>
    <row r="243" spans="1:15" ht="15.75" customHeight="1">
      <c r="A243" s="35" t="s">
        <v>1416</v>
      </c>
      <c r="B243" s="35" t="s">
        <v>1406</v>
      </c>
      <c r="C243" s="35"/>
      <c r="D243" s="35" t="s">
        <v>49</v>
      </c>
      <c r="E243" s="35" t="s">
        <v>1417</v>
      </c>
      <c r="F243" s="35"/>
      <c r="G243" s="35" t="s">
        <v>238</v>
      </c>
      <c r="H243" s="35" t="s">
        <v>1418</v>
      </c>
      <c r="I243" s="35" t="s">
        <v>1419</v>
      </c>
      <c r="J243" s="35"/>
      <c r="K243" s="35" t="s">
        <v>1420</v>
      </c>
      <c r="L243" s="35"/>
      <c r="M243" s="35"/>
      <c r="N243" s="35"/>
      <c r="O243" s="35"/>
    </row>
    <row r="244" spans="1:15" ht="15.75" customHeight="1">
      <c r="A244" s="35" t="s">
        <v>1421</v>
      </c>
      <c r="B244" s="35" t="s">
        <v>1406</v>
      </c>
      <c r="C244" s="35"/>
      <c r="D244" s="35" t="s">
        <v>49</v>
      </c>
      <c r="E244" s="35" t="s">
        <v>1422</v>
      </c>
      <c r="F244" s="35"/>
      <c r="G244" s="35" t="s">
        <v>238</v>
      </c>
      <c r="H244" s="35" t="s">
        <v>1423</v>
      </c>
      <c r="I244" s="35" t="s">
        <v>1424</v>
      </c>
      <c r="J244" s="35"/>
      <c r="K244" s="35" t="s">
        <v>1425</v>
      </c>
      <c r="L244" s="35"/>
      <c r="M244" s="35"/>
      <c r="N244" s="35"/>
      <c r="O244" s="35"/>
    </row>
    <row r="245" spans="1:15" ht="15.75" customHeight="1">
      <c r="A245" s="35" t="s">
        <v>1426</v>
      </c>
      <c r="B245" s="35" t="s">
        <v>1358</v>
      </c>
      <c r="C245" s="35"/>
      <c r="D245" s="35" t="s">
        <v>49</v>
      </c>
      <c r="E245" s="35" t="s">
        <v>1427</v>
      </c>
      <c r="F245" s="35"/>
      <c r="G245" s="35" t="s">
        <v>227</v>
      </c>
      <c r="H245" s="35" t="s">
        <v>1428</v>
      </c>
      <c r="I245" s="35" t="s">
        <v>1429</v>
      </c>
      <c r="J245" s="35"/>
      <c r="K245" s="35" t="s">
        <v>1430</v>
      </c>
      <c r="L245" s="35"/>
      <c r="M245" s="35"/>
      <c r="N245" s="35"/>
      <c r="O245" s="35"/>
    </row>
    <row r="246" spans="1:15" ht="15.75" customHeight="1">
      <c r="A246" s="35" t="s">
        <v>1431</v>
      </c>
      <c r="B246" s="35" t="s">
        <v>1426</v>
      </c>
      <c r="C246" s="35"/>
      <c r="D246" s="35" t="s">
        <v>49</v>
      </c>
      <c r="E246" s="35" t="s">
        <v>1432</v>
      </c>
      <c r="F246" s="35"/>
      <c r="G246" s="35" t="s">
        <v>238</v>
      </c>
      <c r="H246" s="35" t="s">
        <v>1433</v>
      </c>
      <c r="I246" s="35" t="s">
        <v>1434</v>
      </c>
      <c r="J246" s="35"/>
      <c r="K246" s="35" t="s">
        <v>1435</v>
      </c>
      <c r="L246" s="35"/>
      <c r="M246" s="35"/>
      <c r="N246" s="35"/>
      <c r="O246" s="35"/>
    </row>
    <row r="247" spans="1:15" ht="15.75" customHeight="1">
      <c r="A247" s="35" t="s">
        <v>1436</v>
      </c>
      <c r="B247" s="35" t="s">
        <v>1426</v>
      </c>
      <c r="C247" s="35"/>
      <c r="D247" s="35" t="s">
        <v>49</v>
      </c>
      <c r="E247" s="35" t="s">
        <v>1437</v>
      </c>
      <c r="F247" s="35"/>
      <c r="G247" s="35" t="s">
        <v>238</v>
      </c>
      <c r="H247" s="35" t="s">
        <v>1438</v>
      </c>
      <c r="I247" s="35" t="s">
        <v>1439</v>
      </c>
      <c r="J247" s="35"/>
      <c r="K247" s="35" t="s">
        <v>1440</v>
      </c>
      <c r="L247" s="35"/>
      <c r="M247" s="35"/>
      <c r="N247" s="35"/>
      <c r="O247" s="35"/>
    </row>
    <row r="248" spans="1:15" ht="15.75" customHeight="1">
      <c r="A248" s="35" t="s">
        <v>1441</v>
      </c>
      <c r="B248" s="35" t="s">
        <v>1426</v>
      </c>
      <c r="C248" s="35"/>
      <c r="D248" s="35" t="s">
        <v>49</v>
      </c>
      <c r="E248" s="35" t="s">
        <v>1442</v>
      </c>
      <c r="F248" s="35"/>
      <c r="G248" s="35" t="s">
        <v>238</v>
      </c>
      <c r="H248" s="35" t="s">
        <v>1443</v>
      </c>
      <c r="I248" s="35" t="s">
        <v>1444</v>
      </c>
      <c r="J248" s="35"/>
      <c r="K248" s="35" t="s">
        <v>1445</v>
      </c>
      <c r="L248" s="35"/>
      <c r="M248" s="35"/>
      <c r="N248" s="35"/>
      <c r="O248" s="35"/>
    </row>
    <row r="249" spans="1:15" ht="15.75" customHeight="1">
      <c r="A249" s="35" t="s">
        <v>1446</v>
      </c>
      <c r="B249" s="35" t="s">
        <v>1426</v>
      </c>
      <c r="C249" s="35"/>
      <c r="D249" s="35" t="s">
        <v>49</v>
      </c>
      <c r="E249" s="35" t="s">
        <v>1447</v>
      </c>
      <c r="F249" s="35"/>
      <c r="G249" s="35" t="s">
        <v>238</v>
      </c>
      <c r="H249" s="35" t="s">
        <v>1448</v>
      </c>
      <c r="I249" s="35" t="s">
        <v>1449</v>
      </c>
      <c r="J249" s="35"/>
      <c r="K249" s="35" t="s">
        <v>1450</v>
      </c>
      <c r="L249" s="35"/>
      <c r="M249" s="35"/>
      <c r="N249" s="35"/>
      <c r="O249" s="35"/>
    </row>
    <row r="250" spans="1:15" ht="15.75" customHeight="1">
      <c r="A250" s="35" t="s">
        <v>1451</v>
      </c>
      <c r="B250" s="35" t="s">
        <v>1358</v>
      </c>
      <c r="C250" s="35"/>
      <c r="D250" s="35" t="s">
        <v>49</v>
      </c>
      <c r="E250" s="35" t="s">
        <v>1452</v>
      </c>
      <c r="F250" s="35"/>
      <c r="G250" s="35" t="s">
        <v>227</v>
      </c>
      <c r="H250" s="35" t="s">
        <v>1453</v>
      </c>
      <c r="I250" s="35" t="s">
        <v>1454</v>
      </c>
      <c r="J250" s="35"/>
      <c r="K250" s="35" t="s">
        <v>1455</v>
      </c>
      <c r="L250" s="35"/>
      <c r="M250" s="35"/>
      <c r="N250" s="35"/>
      <c r="O250" s="35"/>
    </row>
    <row r="251" spans="1:15" ht="15.75" customHeight="1">
      <c r="A251" s="35" t="s">
        <v>1456</v>
      </c>
      <c r="B251" s="35" t="s">
        <v>1451</v>
      </c>
      <c r="C251" s="35"/>
      <c r="D251" s="35" t="s">
        <v>49</v>
      </c>
      <c r="E251" s="35" t="s">
        <v>1457</v>
      </c>
      <c r="F251" s="35"/>
      <c r="G251" s="35" t="s">
        <v>238</v>
      </c>
      <c r="H251" s="35" t="s">
        <v>1458</v>
      </c>
      <c r="I251" s="35" t="s">
        <v>1459</v>
      </c>
      <c r="J251" s="35"/>
      <c r="K251" s="35" t="s">
        <v>1460</v>
      </c>
      <c r="L251" s="35"/>
      <c r="M251" s="35"/>
      <c r="N251" s="35"/>
      <c r="O251" s="35"/>
    </row>
    <row r="252" spans="1:15" ht="15.75" customHeight="1">
      <c r="A252" s="35" t="s">
        <v>1461</v>
      </c>
      <c r="B252" s="35" t="s">
        <v>1451</v>
      </c>
      <c r="C252" s="35"/>
      <c r="D252" s="35" t="s">
        <v>49</v>
      </c>
      <c r="E252" s="35" t="s">
        <v>1462</v>
      </c>
      <c r="F252" s="35"/>
      <c r="G252" s="35" t="s">
        <v>238</v>
      </c>
      <c r="H252" s="35" t="s">
        <v>1463</v>
      </c>
      <c r="I252" s="35" t="s">
        <v>1464</v>
      </c>
      <c r="J252" s="35"/>
      <c r="K252" s="35" t="s">
        <v>1465</v>
      </c>
      <c r="L252" s="35"/>
      <c r="M252" s="35"/>
      <c r="N252" s="35"/>
      <c r="O252" s="35"/>
    </row>
    <row r="253" spans="1:15" ht="15.75" customHeight="1">
      <c r="A253" s="35" t="s">
        <v>1466</v>
      </c>
      <c r="B253" s="35" t="s">
        <v>1451</v>
      </c>
      <c r="C253" s="35"/>
      <c r="D253" s="35" t="s">
        <v>49</v>
      </c>
      <c r="E253" s="35" t="s">
        <v>1467</v>
      </c>
      <c r="F253" s="35"/>
      <c r="G253" s="35" t="s">
        <v>238</v>
      </c>
      <c r="H253" s="35" t="s">
        <v>1468</v>
      </c>
      <c r="I253" s="35" t="s">
        <v>1469</v>
      </c>
      <c r="J253" s="35"/>
      <c r="K253" s="35" t="s">
        <v>1470</v>
      </c>
      <c r="L253" s="35"/>
      <c r="M253" s="35"/>
      <c r="N253" s="35"/>
      <c r="O253" s="35"/>
    </row>
    <row r="254" spans="1:15" ht="15.75" customHeight="1">
      <c r="A254" s="35" t="s">
        <v>1471</v>
      </c>
      <c r="B254" s="35" t="s">
        <v>1451</v>
      </c>
      <c r="C254" s="35"/>
      <c r="D254" s="35" t="s">
        <v>49</v>
      </c>
      <c r="E254" s="35" t="s">
        <v>1472</v>
      </c>
      <c r="F254" s="35"/>
      <c r="G254" s="35" t="s">
        <v>238</v>
      </c>
      <c r="H254" s="35" t="s">
        <v>1473</v>
      </c>
      <c r="I254" s="35" t="s">
        <v>1474</v>
      </c>
      <c r="J254" s="35"/>
      <c r="K254" s="35" t="s">
        <v>1475</v>
      </c>
      <c r="L254" s="35"/>
      <c r="M254" s="35"/>
      <c r="N254" s="35"/>
      <c r="O254" s="35"/>
    </row>
    <row r="255" spans="1:15" ht="15.75" customHeight="1">
      <c r="A255" s="35" t="s">
        <v>1476</v>
      </c>
      <c r="B255" s="35" t="s">
        <v>1451</v>
      </c>
      <c r="C255" s="35"/>
      <c r="D255" s="35" t="s">
        <v>49</v>
      </c>
      <c r="E255" s="35" t="s">
        <v>1477</v>
      </c>
      <c r="F255" s="35"/>
      <c r="G255" s="35" t="s">
        <v>238</v>
      </c>
      <c r="H255" s="35" t="s">
        <v>1478</v>
      </c>
      <c r="I255" s="35" t="s">
        <v>1479</v>
      </c>
      <c r="J255" s="35"/>
      <c r="K255" s="35" t="s">
        <v>1480</v>
      </c>
      <c r="L255" s="35"/>
      <c r="M255" s="35"/>
      <c r="N255" s="35"/>
      <c r="O255" s="35"/>
    </row>
    <row r="256" spans="1:15" ht="15.75" customHeight="1">
      <c r="A256" s="35" t="s">
        <v>1481</v>
      </c>
      <c r="B256" s="35" t="s">
        <v>1451</v>
      </c>
      <c r="C256" s="35"/>
      <c r="D256" s="35" t="s">
        <v>49</v>
      </c>
      <c r="E256" s="35" t="s">
        <v>1482</v>
      </c>
      <c r="F256" s="35"/>
      <c r="G256" s="35" t="s">
        <v>238</v>
      </c>
      <c r="H256" s="35" t="s">
        <v>1483</v>
      </c>
      <c r="I256" s="35" t="s">
        <v>1484</v>
      </c>
      <c r="J256" s="35"/>
      <c r="K256" s="35" t="s">
        <v>1485</v>
      </c>
      <c r="L256" s="35"/>
      <c r="M256" s="35"/>
      <c r="N256" s="35"/>
      <c r="O256" s="35"/>
    </row>
    <row r="257" spans="1:15" ht="15.75" customHeight="1">
      <c r="A257" s="35" t="s">
        <v>1486</v>
      </c>
      <c r="B257" s="35" t="s">
        <v>1451</v>
      </c>
      <c r="C257" s="35"/>
      <c r="D257" s="35" t="s">
        <v>49</v>
      </c>
      <c r="E257" s="35" t="s">
        <v>1487</v>
      </c>
      <c r="F257" s="35"/>
      <c r="G257" s="35" t="s">
        <v>238</v>
      </c>
      <c r="H257" s="35" t="s">
        <v>1488</v>
      </c>
      <c r="I257" s="35" t="s">
        <v>1489</v>
      </c>
      <c r="J257" s="35"/>
      <c r="K257" s="35" t="s">
        <v>1490</v>
      </c>
      <c r="L257" s="35"/>
      <c r="M257" s="35"/>
      <c r="N257" s="35"/>
      <c r="O257" s="35"/>
    </row>
    <row r="258" spans="1:15" ht="15.75" customHeight="1">
      <c r="A258" s="35" t="s">
        <v>1491</v>
      </c>
      <c r="B258" s="35" t="s">
        <v>1451</v>
      </c>
      <c r="C258" s="35"/>
      <c r="D258" s="35" t="s">
        <v>49</v>
      </c>
      <c r="E258" s="35" t="s">
        <v>1492</v>
      </c>
      <c r="F258" s="35"/>
      <c r="G258" s="35" t="s">
        <v>238</v>
      </c>
      <c r="H258" s="35" t="s">
        <v>1493</v>
      </c>
      <c r="I258" s="35" t="s">
        <v>1494</v>
      </c>
      <c r="J258" s="35"/>
      <c r="K258" s="35" t="s">
        <v>1495</v>
      </c>
      <c r="L258" s="35"/>
      <c r="M258" s="35"/>
      <c r="N258" s="35"/>
      <c r="O258" s="35"/>
    </row>
    <row r="259" spans="1:15" ht="15.75" customHeight="1">
      <c r="A259" s="35" t="s">
        <v>1496</v>
      </c>
      <c r="B259" s="35" t="s">
        <v>1358</v>
      </c>
      <c r="C259" s="35"/>
      <c r="D259" s="35" t="s">
        <v>49</v>
      </c>
      <c r="E259" s="35" t="s">
        <v>1497</v>
      </c>
      <c r="F259" s="35"/>
      <c r="G259" s="35" t="s">
        <v>227</v>
      </c>
      <c r="H259" s="35" t="s">
        <v>1498</v>
      </c>
      <c r="I259" s="35" t="s">
        <v>1499</v>
      </c>
      <c r="J259" s="35"/>
      <c r="K259" s="35" t="s">
        <v>1500</v>
      </c>
      <c r="L259" s="35"/>
      <c r="M259" s="35"/>
      <c r="N259" s="35"/>
      <c r="O259" s="35"/>
    </row>
    <row r="260" spans="1:15" ht="15.75" customHeight="1">
      <c r="A260" s="35" t="s">
        <v>1501</v>
      </c>
      <c r="B260" s="35" t="s">
        <v>1496</v>
      </c>
      <c r="C260" s="35"/>
      <c r="D260" s="35" t="s">
        <v>49</v>
      </c>
      <c r="E260" s="35" t="s">
        <v>1502</v>
      </c>
      <c r="F260" s="35"/>
      <c r="G260" s="35" t="s">
        <v>238</v>
      </c>
      <c r="H260" s="35" t="s">
        <v>1503</v>
      </c>
      <c r="I260" s="35" t="s">
        <v>1504</v>
      </c>
      <c r="J260" s="35"/>
      <c r="K260" s="35" t="s">
        <v>1505</v>
      </c>
      <c r="L260" s="35"/>
      <c r="M260" s="35"/>
      <c r="N260" s="35"/>
      <c r="O260" s="35"/>
    </row>
    <row r="261" spans="1:15" ht="15.75" customHeight="1">
      <c r="A261" s="35" t="s">
        <v>1506</v>
      </c>
      <c r="B261" s="35" t="s">
        <v>1496</v>
      </c>
      <c r="C261" s="35"/>
      <c r="D261" s="35" t="s">
        <v>49</v>
      </c>
      <c r="E261" s="35" t="s">
        <v>1507</v>
      </c>
      <c r="F261" s="35"/>
      <c r="G261" s="35" t="s">
        <v>238</v>
      </c>
      <c r="H261" s="35" t="s">
        <v>1508</v>
      </c>
      <c r="I261" s="35" t="s">
        <v>1509</v>
      </c>
      <c r="J261" s="35"/>
      <c r="K261" s="35" t="s">
        <v>1510</v>
      </c>
      <c r="L261" s="35"/>
      <c r="M261" s="35"/>
      <c r="N261" s="35"/>
      <c r="O261" s="35"/>
    </row>
    <row r="262" spans="1:15" ht="15.75" customHeight="1">
      <c r="A262" s="35" t="s">
        <v>1511</v>
      </c>
      <c r="B262" s="35" t="s">
        <v>1496</v>
      </c>
      <c r="C262" s="35"/>
      <c r="D262" s="35" t="s">
        <v>49</v>
      </c>
      <c r="E262" s="35" t="s">
        <v>1512</v>
      </c>
      <c r="F262" s="35"/>
      <c r="G262" s="35" t="s">
        <v>238</v>
      </c>
      <c r="H262" s="35" t="s">
        <v>1513</v>
      </c>
      <c r="I262" s="35" t="s">
        <v>1514</v>
      </c>
      <c r="J262" s="35"/>
      <c r="K262" s="35" t="s">
        <v>1515</v>
      </c>
      <c r="L262" s="35"/>
      <c r="M262" s="35"/>
      <c r="N262" s="35"/>
      <c r="O262" s="35"/>
    </row>
    <row r="263" spans="1:15" ht="15.75" customHeight="1">
      <c r="A263" s="35" t="s">
        <v>1516</v>
      </c>
      <c r="B263" s="35" t="s">
        <v>1496</v>
      </c>
      <c r="C263" s="35"/>
      <c r="D263" s="35" t="s">
        <v>49</v>
      </c>
      <c r="E263" s="35" t="s">
        <v>1517</v>
      </c>
      <c r="F263" s="35"/>
      <c r="G263" s="35" t="s">
        <v>238</v>
      </c>
      <c r="H263" s="35" t="s">
        <v>1518</v>
      </c>
      <c r="I263" s="35" t="s">
        <v>1519</v>
      </c>
      <c r="J263" s="35"/>
      <c r="K263" s="35" t="s">
        <v>1520</v>
      </c>
      <c r="L263" s="35"/>
      <c r="M263" s="35"/>
      <c r="N263" s="35"/>
      <c r="O263" s="35"/>
    </row>
    <row r="264" spans="1:15" ht="15.75" customHeight="1">
      <c r="A264" s="35" t="s">
        <v>1521</v>
      </c>
      <c r="B264" s="35" t="s">
        <v>1358</v>
      </c>
      <c r="C264" s="35"/>
      <c r="D264" s="35" t="s">
        <v>49</v>
      </c>
      <c r="E264" s="35" t="s">
        <v>1522</v>
      </c>
      <c r="F264" s="35"/>
      <c r="G264" s="35" t="s">
        <v>227</v>
      </c>
      <c r="H264" s="35" t="s">
        <v>1523</v>
      </c>
      <c r="I264" s="35" t="s">
        <v>1524</v>
      </c>
      <c r="J264" s="35"/>
      <c r="K264" s="35" t="s">
        <v>1525</v>
      </c>
      <c r="L264" s="35"/>
      <c r="M264" s="35"/>
      <c r="N264" s="35"/>
      <c r="O264" s="35"/>
    </row>
    <row r="265" spans="1:15" ht="15.75" customHeight="1">
      <c r="A265" s="35" t="s">
        <v>1526</v>
      </c>
      <c r="B265" s="35" t="s">
        <v>1521</v>
      </c>
      <c r="C265" s="35"/>
      <c r="D265" s="35" t="s">
        <v>49</v>
      </c>
      <c r="E265" s="35" t="s">
        <v>1527</v>
      </c>
      <c r="F265" s="35"/>
      <c r="G265" s="35" t="s">
        <v>238</v>
      </c>
      <c r="H265" s="35" t="s">
        <v>1528</v>
      </c>
      <c r="I265" s="35" t="s">
        <v>1194</v>
      </c>
      <c r="J265" s="35"/>
      <c r="K265" s="35" t="s">
        <v>1529</v>
      </c>
      <c r="L265" s="35"/>
      <c r="M265" s="35"/>
      <c r="N265" s="35"/>
      <c r="O265" s="35"/>
    </row>
    <row r="266" spans="1:15" ht="15.75" customHeight="1">
      <c r="A266" s="35" t="s">
        <v>1530</v>
      </c>
      <c r="B266" s="35" t="s">
        <v>1521</v>
      </c>
      <c r="C266" s="35"/>
      <c r="D266" s="35" t="s">
        <v>49</v>
      </c>
      <c r="E266" s="35" t="s">
        <v>1531</v>
      </c>
      <c r="F266" s="35"/>
      <c r="G266" s="35" t="s">
        <v>238</v>
      </c>
      <c r="H266" s="35" t="s">
        <v>1532</v>
      </c>
      <c r="I266" s="35" t="s">
        <v>1533</v>
      </c>
      <c r="J266" s="35"/>
      <c r="K266" s="35" t="s">
        <v>1534</v>
      </c>
      <c r="L266" s="35"/>
      <c r="M266" s="35"/>
      <c r="N266" s="35"/>
      <c r="O266" s="35"/>
    </row>
    <row r="267" spans="1:15" ht="15.75" customHeight="1">
      <c r="A267" s="35" t="s">
        <v>1535</v>
      </c>
      <c r="B267" s="35" t="s">
        <v>1521</v>
      </c>
      <c r="C267" s="35"/>
      <c r="D267" s="35" t="s">
        <v>49</v>
      </c>
      <c r="E267" s="35" t="s">
        <v>1536</v>
      </c>
      <c r="F267" s="35"/>
      <c r="G267" s="35" t="s">
        <v>238</v>
      </c>
      <c r="H267" s="35" t="s">
        <v>1537</v>
      </c>
      <c r="I267" s="35" t="s">
        <v>1538</v>
      </c>
      <c r="J267" s="35"/>
      <c r="K267" s="35" t="s">
        <v>1539</v>
      </c>
      <c r="L267" s="35"/>
      <c r="M267" s="35"/>
      <c r="N267" s="35"/>
      <c r="O267" s="35"/>
    </row>
    <row r="268" spans="1:15" ht="15.75" customHeight="1">
      <c r="A268" s="35" t="s">
        <v>1540</v>
      </c>
      <c r="B268" s="35" t="s">
        <v>1521</v>
      </c>
      <c r="C268" s="35"/>
      <c r="D268" s="35" t="s">
        <v>49</v>
      </c>
      <c r="E268" s="35" t="s">
        <v>1541</v>
      </c>
      <c r="F268" s="35"/>
      <c r="G268" s="35" t="s">
        <v>238</v>
      </c>
      <c r="H268" s="35" t="s">
        <v>1542</v>
      </c>
      <c r="I268" s="35" t="s">
        <v>1543</v>
      </c>
      <c r="J268" s="35"/>
      <c r="K268" s="35" t="s">
        <v>1544</v>
      </c>
      <c r="L268" s="35"/>
      <c r="M268" s="35"/>
      <c r="N268" s="35"/>
      <c r="O268" s="35"/>
    </row>
    <row r="269" spans="1:15" ht="15.75" customHeight="1">
      <c r="A269" s="35" t="s">
        <v>1545</v>
      </c>
      <c r="B269" s="35" t="s">
        <v>1358</v>
      </c>
      <c r="C269" s="35"/>
      <c r="D269" s="35" t="s">
        <v>49</v>
      </c>
      <c r="E269" s="35" t="s">
        <v>1546</v>
      </c>
      <c r="F269" s="35"/>
      <c r="G269" s="35" t="s">
        <v>227</v>
      </c>
      <c r="H269" s="35" t="s">
        <v>1547</v>
      </c>
      <c r="I269" s="35" t="s">
        <v>1548</v>
      </c>
      <c r="J269" s="35"/>
      <c r="K269" s="35" t="s">
        <v>1549</v>
      </c>
      <c r="L269" s="35"/>
      <c r="M269" s="35"/>
      <c r="N269" s="35"/>
      <c r="O269" s="35"/>
    </row>
    <row r="270" spans="1:15" ht="15.75" customHeight="1">
      <c r="A270" s="35" t="s">
        <v>1550</v>
      </c>
      <c r="B270" s="35" t="s">
        <v>153</v>
      </c>
      <c r="C270" s="35"/>
      <c r="D270" s="35" t="s">
        <v>49</v>
      </c>
      <c r="E270" s="35" t="s">
        <v>1551</v>
      </c>
      <c r="F270" s="35"/>
      <c r="G270" s="35" t="s">
        <v>227</v>
      </c>
      <c r="H270" s="35" t="s">
        <v>1552</v>
      </c>
      <c r="I270" s="35" t="s">
        <v>1553</v>
      </c>
      <c r="J270" s="35"/>
      <c r="K270" s="35" t="s">
        <v>1554</v>
      </c>
      <c r="L270" s="35"/>
      <c r="M270" s="35"/>
      <c r="N270" s="35"/>
      <c r="O270" s="35"/>
    </row>
    <row r="271" spans="1:15" ht="15.75" customHeight="1">
      <c r="A271" s="35" t="s">
        <v>1555</v>
      </c>
      <c r="B271" s="35" t="s">
        <v>1550</v>
      </c>
      <c r="C271" s="35"/>
      <c r="D271" s="35" t="s">
        <v>49</v>
      </c>
      <c r="E271" s="35" t="s">
        <v>1556</v>
      </c>
      <c r="F271" s="35"/>
      <c r="G271" s="35" t="s">
        <v>238</v>
      </c>
      <c r="H271" s="35" t="s">
        <v>1557</v>
      </c>
      <c r="I271" s="35" t="s">
        <v>1558</v>
      </c>
      <c r="J271" s="35"/>
      <c r="K271" s="35" t="s">
        <v>1559</v>
      </c>
      <c r="L271" s="35"/>
      <c r="M271" s="35"/>
      <c r="N271" s="35"/>
      <c r="O271" s="35"/>
    </row>
    <row r="272" spans="1:15" ht="15.75" customHeight="1">
      <c r="A272" s="35" t="s">
        <v>1560</v>
      </c>
      <c r="B272" s="35" t="s">
        <v>1550</v>
      </c>
      <c r="C272" s="35"/>
      <c r="D272" s="35" t="s">
        <v>49</v>
      </c>
      <c r="E272" s="35" t="s">
        <v>1561</v>
      </c>
      <c r="F272" s="35"/>
      <c r="G272" s="35" t="s">
        <v>238</v>
      </c>
      <c r="H272" s="35" t="s">
        <v>1562</v>
      </c>
      <c r="I272" s="35" t="s">
        <v>1563</v>
      </c>
      <c r="J272" s="35"/>
      <c r="K272" s="35" t="s">
        <v>1564</v>
      </c>
      <c r="L272" s="35"/>
      <c r="M272" s="35"/>
      <c r="N272" s="35"/>
      <c r="O272" s="35"/>
    </row>
    <row r="273" spans="1:15" ht="15.75" customHeight="1">
      <c r="A273" s="35" t="s">
        <v>1565</v>
      </c>
      <c r="B273" s="35" t="s">
        <v>1550</v>
      </c>
      <c r="C273" s="35"/>
      <c r="D273" s="35" t="s">
        <v>49</v>
      </c>
      <c r="E273" s="35" t="s">
        <v>1566</v>
      </c>
      <c r="F273" s="35"/>
      <c r="G273" s="35" t="s">
        <v>238</v>
      </c>
      <c r="H273" s="35" t="s">
        <v>1567</v>
      </c>
      <c r="I273" s="35" t="s">
        <v>1568</v>
      </c>
      <c r="J273" s="35"/>
      <c r="K273" s="35" t="s">
        <v>1569</v>
      </c>
      <c r="L273" s="35"/>
      <c r="M273" s="35"/>
      <c r="N273" s="35"/>
      <c r="O273" s="35"/>
    </row>
    <row r="274" spans="1:15" ht="15.75" customHeight="1">
      <c r="A274" s="35" t="s">
        <v>1570</v>
      </c>
      <c r="B274" s="35" t="s">
        <v>1550</v>
      </c>
      <c r="C274" s="35"/>
      <c r="D274" s="35" t="s">
        <v>49</v>
      </c>
      <c r="E274" s="35" t="s">
        <v>1571</v>
      </c>
      <c r="F274" s="35"/>
      <c r="G274" s="35" t="s">
        <v>238</v>
      </c>
      <c r="H274" s="35" t="s">
        <v>1572</v>
      </c>
      <c r="I274" s="35" t="s">
        <v>1573</v>
      </c>
      <c r="J274" s="35"/>
      <c r="K274" s="35" t="s">
        <v>1574</v>
      </c>
      <c r="L274" s="35"/>
      <c r="M274" s="35"/>
      <c r="N274" s="35"/>
      <c r="O274" s="35"/>
    </row>
    <row r="275" spans="1:15" ht="15.75" customHeight="1">
      <c r="A275" s="35" t="s">
        <v>1575</v>
      </c>
      <c r="B275" s="35" t="s">
        <v>1550</v>
      </c>
      <c r="C275" s="35"/>
      <c r="D275" s="35" t="s">
        <v>49</v>
      </c>
      <c r="E275" s="35" t="s">
        <v>1576</v>
      </c>
      <c r="F275" s="35"/>
      <c r="G275" s="35" t="s">
        <v>238</v>
      </c>
      <c r="H275" s="35" t="s">
        <v>1577</v>
      </c>
      <c r="I275" s="35" t="s">
        <v>1578</v>
      </c>
      <c r="J275" s="35"/>
      <c r="K275" s="35" t="s">
        <v>1579</v>
      </c>
      <c r="L275" s="35"/>
      <c r="M275" s="35"/>
      <c r="N275" s="35"/>
      <c r="O275" s="35"/>
    </row>
    <row r="276" spans="1:15" ht="15.75" customHeight="1">
      <c r="A276" s="35" t="s">
        <v>1580</v>
      </c>
      <c r="B276" s="35" t="s">
        <v>1550</v>
      </c>
      <c r="C276" s="35"/>
      <c r="D276" s="35" t="s">
        <v>49</v>
      </c>
      <c r="E276" s="35" t="s">
        <v>1581</v>
      </c>
      <c r="F276" s="35"/>
      <c r="G276" s="35" t="s">
        <v>238</v>
      </c>
      <c r="H276" s="35" t="s">
        <v>1582</v>
      </c>
      <c r="I276" s="35" t="s">
        <v>1583</v>
      </c>
      <c r="J276" s="35"/>
      <c r="K276" s="35" t="s">
        <v>1584</v>
      </c>
      <c r="L276" s="35"/>
      <c r="M276" s="35"/>
      <c r="N276" s="35"/>
      <c r="O276" s="35"/>
    </row>
    <row r="277" spans="1:15" ht="15.75" customHeight="1">
      <c r="A277" s="35" t="s">
        <v>1585</v>
      </c>
      <c r="B277" s="35" t="s">
        <v>1550</v>
      </c>
      <c r="C277" s="35"/>
      <c r="D277" s="35" t="s">
        <v>49</v>
      </c>
      <c r="E277" s="35" t="s">
        <v>1586</v>
      </c>
      <c r="F277" s="35"/>
      <c r="G277" s="35" t="s">
        <v>238</v>
      </c>
      <c r="H277" s="35" t="s">
        <v>1587</v>
      </c>
      <c r="I277" s="35" t="s">
        <v>1588</v>
      </c>
      <c r="J277" s="35"/>
      <c r="K277" s="35" t="s">
        <v>1589</v>
      </c>
      <c r="L277" s="35"/>
      <c r="M277" s="35"/>
      <c r="N277" s="35"/>
      <c r="O277" s="35"/>
    </row>
    <row r="278" spans="1:15" ht="15.75" customHeight="1">
      <c r="A278" s="35" t="s">
        <v>1590</v>
      </c>
      <c r="B278" s="35" t="s">
        <v>1550</v>
      </c>
      <c r="C278" s="35"/>
      <c r="D278" s="35" t="s">
        <v>49</v>
      </c>
      <c r="E278" s="35" t="s">
        <v>1591</v>
      </c>
      <c r="F278" s="35"/>
      <c r="G278" s="35" t="s">
        <v>238</v>
      </c>
      <c r="H278" s="35" t="s">
        <v>1592</v>
      </c>
      <c r="I278" s="35" t="s">
        <v>1593</v>
      </c>
      <c r="J278" s="35"/>
      <c r="K278" s="35" t="s">
        <v>1594</v>
      </c>
      <c r="L278" s="35"/>
      <c r="M278" s="35"/>
      <c r="N278" s="35"/>
      <c r="O278" s="35"/>
    </row>
    <row r="279" spans="1:15" ht="15.75" customHeight="1">
      <c r="A279" s="35" t="s">
        <v>1595</v>
      </c>
      <c r="B279" s="35" t="s">
        <v>153</v>
      </c>
      <c r="C279" s="35"/>
      <c r="D279" s="35" t="s">
        <v>49</v>
      </c>
      <c r="E279" s="35" t="s">
        <v>1596</v>
      </c>
      <c r="F279" s="35"/>
      <c r="G279" s="35" t="s">
        <v>227</v>
      </c>
      <c r="H279" s="35" t="s">
        <v>1597</v>
      </c>
      <c r="I279" s="35" t="s">
        <v>1598</v>
      </c>
      <c r="J279" s="35"/>
      <c r="K279" s="35" t="s">
        <v>1599</v>
      </c>
      <c r="L279" s="35"/>
      <c r="M279" s="35"/>
      <c r="N279" s="35"/>
      <c r="O279" s="35"/>
    </row>
    <row r="280" spans="1:15" ht="15.75" customHeight="1">
      <c r="A280" s="35" t="s">
        <v>1600</v>
      </c>
      <c r="B280" s="35" t="s">
        <v>1595</v>
      </c>
      <c r="C280" s="35"/>
      <c r="D280" s="35" t="s">
        <v>49</v>
      </c>
      <c r="E280" s="35" t="s">
        <v>1601</v>
      </c>
      <c r="F280" s="35"/>
      <c r="G280" s="35" t="s">
        <v>238</v>
      </c>
      <c r="H280" s="35" t="s">
        <v>1602</v>
      </c>
      <c r="I280" s="35" t="s">
        <v>1603</v>
      </c>
      <c r="J280" s="35"/>
      <c r="K280" s="35" t="s">
        <v>1604</v>
      </c>
      <c r="L280" s="35"/>
      <c r="M280" s="35"/>
      <c r="N280" s="35"/>
      <c r="O280" s="35"/>
    </row>
    <row r="281" spans="1:15" ht="15.75" customHeight="1">
      <c r="A281" s="35" t="s">
        <v>1605</v>
      </c>
      <c r="B281" s="35" t="s">
        <v>153</v>
      </c>
      <c r="C281" s="35"/>
      <c r="D281" s="35" t="s">
        <v>49</v>
      </c>
      <c r="E281" s="35" t="s">
        <v>1606</v>
      </c>
      <c r="F281" s="35"/>
      <c r="G281" s="35" t="s">
        <v>227</v>
      </c>
      <c r="H281" s="35" t="s">
        <v>1607</v>
      </c>
      <c r="I281" s="35" t="s">
        <v>1608</v>
      </c>
      <c r="J281" s="35"/>
      <c r="K281" s="35" t="s">
        <v>1609</v>
      </c>
      <c r="L281" s="35"/>
      <c r="M281" s="35"/>
      <c r="N281" s="35"/>
      <c r="O281" s="35"/>
    </row>
    <row r="282" spans="1:15" ht="15.75" customHeight="1">
      <c r="A282" s="35" t="s">
        <v>1610</v>
      </c>
      <c r="B282" s="35" t="s">
        <v>1605</v>
      </c>
      <c r="C282" s="35"/>
      <c r="D282" s="35" t="s">
        <v>49</v>
      </c>
      <c r="E282" s="35" t="s">
        <v>1611</v>
      </c>
      <c r="F282" s="35"/>
      <c r="G282" s="35" t="s">
        <v>238</v>
      </c>
      <c r="H282" s="35" t="s">
        <v>2258</v>
      </c>
      <c r="I282" s="35" t="s">
        <v>1612</v>
      </c>
      <c r="J282" s="35"/>
      <c r="K282" s="35" t="s">
        <v>1613</v>
      </c>
      <c r="L282" s="35"/>
      <c r="M282" s="35"/>
      <c r="N282" s="35"/>
      <c r="O282" s="35"/>
    </row>
    <row r="283" spans="1:15" ht="15.75" customHeight="1">
      <c r="A283" s="35" t="s">
        <v>161</v>
      </c>
      <c r="B283" s="35"/>
      <c r="C283" s="35"/>
      <c r="D283" s="35" t="s">
        <v>49</v>
      </c>
      <c r="E283" s="35" t="s">
        <v>67</v>
      </c>
      <c r="F283" s="35"/>
      <c r="G283" s="35" t="s">
        <v>227</v>
      </c>
      <c r="H283" s="35" t="s">
        <v>1614</v>
      </c>
      <c r="I283" s="35" t="s">
        <v>1615</v>
      </c>
      <c r="J283" s="35"/>
      <c r="K283" s="35" t="s">
        <v>1616</v>
      </c>
      <c r="L283" s="35"/>
      <c r="M283" s="35"/>
      <c r="N283" s="35"/>
      <c r="O283" s="35"/>
    </row>
    <row r="284" spans="1:15" ht="15.75" customHeight="1">
      <c r="A284" s="35" t="s">
        <v>1617</v>
      </c>
      <c r="B284" s="35" t="s">
        <v>161</v>
      </c>
      <c r="C284" s="35"/>
      <c r="D284" s="35" t="s">
        <v>49</v>
      </c>
      <c r="E284" s="35" t="s">
        <v>1618</v>
      </c>
      <c r="F284" s="35"/>
      <c r="G284" s="35" t="s">
        <v>227</v>
      </c>
      <c r="H284" s="35" t="s">
        <v>76</v>
      </c>
      <c r="I284" s="35" t="s">
        <v>1619</v>
      </c>
      <c r="J284" s="35"/>
      <c r="K284" s="35" t="s">
        <v>1620</v>
      </c>
      <c r="L284" s="35"/>
      <c r="M284" s="35"/>
      <c r="N284" s="35"/>
      <c r="O284" s="35"/>
    </row>
    <row r="285" spans="1:15" ht="15.75" customHeight="1">
      <c r="A285" s="35" t="s">
        <v>1621</v>
      </c>
      <c r="B285" s="35" t="s">
        <v>1617</v>
      </c>
      <c r="C285" s="35"/>
      <c r="D285" s="35" t="s">
        <v>49</v>
      </c>
      <c r="E285" s="35" t="s">
        <v>1622</v>
      </c>
      <c r="F285" s="35"/>
      <c r="G285" s="35" t="s">
        <v>238</v>
      </c>
      <c r="H285" s="35" t="s">
        <v>1623</v>
      </c>
      <c r="I285" s="35" t="s">
        <v>1624</v>
      </c>
      <c r="J285" s="35"/>
      <c r="K285" s="35" t="s">
        <v>1625</v>
      </c>
      <c r="L285" s="35"/>
      <c r="M285" s="35"/>
      <c r="N285" s="35"/>
      <c r="O285" s="35"/>
    </row>
    <row r="286" spans="1:15" ht="15.75" customHeight="1">
      <c r="A286" s="35" t="s">
        <v>1626</v>
      </c>
      <c r="B286" s="35" t="s">
        <v>1617</v>
      </c>
      <c r="C286" s="35"/>
      <c r="D286" s="35" t="s">
        <v>49</v>
      </c>
      <c r="E286" s="35" t="s">
        <v>1627</v>
      </c>
      <c r="F286" s="35"/>
      <c r="G286" s="35" t="s">
        <v>238</v>
      </c>
      <c r="H286" s="35" t="s">
        <v>1628</v>
      </c>
      <c r="I286" s="35" t="s">
        <v>344</v>
      </c>
      <c r="J286" s="35"/>
      <c r="K286" s="35" t="s">
        <v>346</v>
      </c>
      <c r="L286" s="35"/>
      <c r="M286" s="35"/>
      <c r="N286" s="35"/>
      <c r="O286" s="35"/>
    </row>
    <row r="287" spans="1:15" ht="15.75" customHeight="1">
      <c r="A287" s="35" t="s">
        <v>1629</v>
      </c>
      <c r="B287" s="35" t="s">
        <v>1617</v>
      </c>
      <c r="C287" s="35"/>
      <c r="D287" s="35" t="s">
        <v>49</v>
      </c>
      <c r="E287" s="35" t="s">
        <v>1630</v>
      </c>
      <c r="F287" s="35"/>
      <c r="G287" s="35" t="s">
        <v>238</v>
      </c>
      <c r="H287" s="35" t="s">
        <v>1631</v>
      </c>
      <c r="I287" s="35" t="s">
        <v>1632</v>
      </c>
      <c r="J287" s="35"/>
      <c r="K287" s="35" t="s">
        <v>1633</v>
      </c>
      <c r="L287" s="35"/>
      <c r="M287" s="35"/>
      <c r="N287" s="35"/>
      <c r="O287" s="35"/>
    </row>
    <row r="288" spans="1:15" ht="15.75" customHeight="1">
      <c r="A288" s="35" t="s">
        <v>1634</v>
      </c>
      <c r="B288" s="35" t="s">
        <v>1629</v>
      </c>
      <c r="C288" s="35"/>
      <c r="D288" s="35" t="s">
        <v>49</v>
      </c>
      <c r="E288" s="35" t="s">
        <v>1635</v>
      </c>
      <c r="F288" s="35"/>
      <c r="G288" s="35" t="s">
        <v>238</v>
      </c>
      <c r="H288" s="35" t="s">
        <v>1636</v>
      </c>
      <c r="I288" s="35" t="s">
        <v>1637</v>
      </c>
      <c r="J288" s="35"/>
      <c r="K288" s="35" t="s">
        <v>1638</v>
      </c>
      <c r="L288" s="35"/>
      <c r="M288" s="35"/>
      <c r="N288" s="35"/>
      <c r="O288" s="35"/>
    </row>
    <row r="289" spans="1:15" ht="15.75" customHeight="1">
      <c r="A289" s="35" t="s">
        <v>1639</v>
      </c>
      <c r="B289" s="35" t="s">
        <v>1629</v>
      </c>
      <c r="C289" s="35"/>
      <c r="D289" s="35" t="s">
        <v>49</v>
      </c>
      <c r="E289" s="35" t="s">
        <v>1640</v>
      </c>
      <c r="F289" s="35"/>
      <c r="G289" s="35" t="s">
        <v>238</v>
      </c>
      <c r="H289" s="35" t="s">
        <v>1641</v>
      </c>
      <c r="I289" s="35" t="s">
        <v>1642</v>
      </c>
      <c r="J289" s="35"/>
      <c r="K289" s="35" t="s">
        <v>1643</v>
      </c>
      <c r="L289" s="35"/>
      <c r="M289" s="35"/>
      <c r="N289" s="35"/>
      <c r="O289" s="35"/>
    </row>
    <row r="290" spans="1:15" ht="15.75" customHeight="1">
      <c r="A290" s="35" t="s">
        <v>1644</v>
      </c>
      <c r="B290" s="35" t="s">
        <v>161</v>
      </c>
      <c r="C290" s="35"/>
      <c r="D290" s="35" t="s">
        <v>49</v>
      </c>
      <c r="E290" s="35" t="s">
        <v>70</v>
      </c>
      <c r="F290" s="35"/>
      <c r="G290" s="35" t="s">
        <v>227</v>
      </c>
      <c r="H290" s="35" t="s">
        <v>1645</v>
      </c>
      <c r="I290" s="35" t="s">
        <v>1646</v>
      </c>
      <c r="J290" s="35"/>
      <c r="K290" s="35" t="s">
        <v>1647</v>
      </c>
      <c r="L290" s="35"/>
      <c r="M290" s="35"/>
      <c r="N290" s="35"/>
      <c r="O290" s="35"/>
    </row>
    <row r="291" spans="1:15" ht="15.75" customHeight="1">
      <c r="A291" s="35" t="s">
        <v>1648</v>
      </c>
      <c r="B291" s="35" t="s">
        <v>1644</v>
      </c>
      <c r="C291" s="35"/>
      <c r="D291" s="35" t="s">
        <v>49</v>
      </c>
      <c r="E291" s="35" t="s">
        <v>1649</v>
      </c>
      <c r="F291" s="35"/>
      <c r="G291" s="35" t="s">
        <v>238</v>
      </c>
      <c r="H291" s="35" t="s">
        <v>1650</v>
      </c>
      <c r="I291" s="35" t="s">
        <v>1651</v>
      </c>
      <c r="J291" s="35"/>
      <c r="K291" s="35" t="s">
        <v>1652</v>
      </c>
      <c r="L291" s="35"/>
      <c r="M291" s="35"/>
      <c r="N291" s="35"/>
      <c r="O291" s="35"/>
    </row>
    <row r="292" spans="1:15" ht="15.75" customHeight="1">
      <c r="A292" s="35" t="s">
        <v>1653</v>
      </c>
      <c r="B292" s="35" t="s">
        <v>1644</v>
      </c>
      <c r="C292" s="35"/>
      <c r="D292" s="35" t="s">
        <v>49</v>
      </c>
      <c r="E292" s="35" t="s">
        <v>1654</v>
      </c>
      <c r="F292" s="35"/>
      <c r="G292" s="35" t="s">
        <v>238</v>
      </c>
      <c r="H292" s="35" t="s">
        <v>1655</v>
      </c>
      <c r="I292" s="35" t="s">
        <v>1656</v>
      </c>
      <c r="J292" s="35"/>
      <c r="K292" s="35" t="s">
        <v>1657</v>
      </c>
      <c r="L292" s="35"/>
      <c r="M292" s="35"/>
      <c r="N292" s="35"/>
      <c r="O292" s="35"/>
    </row>
    <row r="293" spans="1:15" ht="15.75" customHeight="1">
      <c r="A293" s="35" t="s">
        <v>1658</v>
      </c>
      <c r="B293" s="35" t="s">
        <v>161</v>
      </c>
      <c r="C293" s="35"/>
      <c r="D293" s="35" t="s">
        <v>49</v>
      </c>
      <c r="E293" s="35" t="s">
        <v>74</v>
      </c>
      <c r="F293" s="35"/>
      <c r="G293" s="35" t="s">
        <v>227</v>
      </c>
      <c r="H293" s="35" t="s">
        <v>1659</v>
      </c>
      <c r="I293" s="35" t="s">
        <v>1660</v>
      </c>
      <c r="J293" s="35"/>
      <c r="K293" s="35" t="s">
        <v>1661</v>
      </c>
      <c r="L293" s="35"/>
      <c r="M293" s="35"/>
      <c r="N293" s="35"/>
      <c r="O293" s="35"/>
    </row>
    <row r="294" spans="1:15" ht="15.75" customHeight="1">
      <c r="A294" s="35" t="s">
        <v>1662</v>
      </c>
      <c r="B294" s="35" t="s">
        <v>1658</v>
      </c>
      <c r="C294" s="35"/>
      <c r="D294" s="35" t="s">
        <v>49</v>
      </c>
      <c r="E294" s="35" t="s">
        <v>1663</v>
      </c>
      <c r="F294" s="35"/>
      <c r="G294" s="35" t="s">
        <v>238</v>
      </c>
      <c r="H294" s="35" t="s">
        <v>1664</v>
      </c>
      <c r="I294" s="35" t="s">
        <v>1665</v>
      </c>
      <c r="J294" s="35"/>
      <c r="K294" s="35" t="s">
        <v>1666</v>
      </c>
      <c r="L294" s="35"/>
      <c r="M294" s="35"/>
      <c r="N294" s="35"/>
      <c r="O294" s="35"/>
    </row>
    <row r="295" spans="1:15" ht="15.75" customHeight="1">
      <c r="A295" s="35" t="s">
        <v>1667</v>
      </c>
      <c r="B295" s="35" t="s">
        <v>1658</v>
      </c>
      <c r="C295" s="35"/>
      <c r="D295" s="35" t="s">
        <v>49</v>
      </c>
      <c r="E295" s="35" t="s">
        <v>1668</v>
      </c>
      <c r="F295" s="35"/>
      <c r="G295" s="35" t="s">
        <v>238</v>
      </c>
      <c r="H295" s="35" t="s">
        <v>1669</v>
      </c>
      <c r="I295" s="35" t="s">
        <v>1670</v>
      </c>
      <c r="J295" s="35"/>
      <c r="K295" s="35" t="s">
        <v>1671</v>
      </c>
      <c r="L295" s="35"/>
      <c r="M295" s="35"/>
      <c r="N295" s="35"/>
      <c r="O295" s="35"/>
    </row>
    <row r="296" spans="1:15" ht="15.75" customHeight="1">
      <c r="A296" s="35" t="s">
        <v>1672</v>
      </c>
      <c r="B296" s="35" t="s">
        <v>1658</v>
      </c>
      <c r="C296" s="35"/>
      <c r="D296" s="35" t="s">
        <v>49</v>
      </c>
      <c r="E296" s="35" t="s">
        <v>1673</v>
      </c>
      <c r="F296" s="35"/>
      <c r="G296" s="35" t="s">
        <v>238</v>
      </c>
      <c r="H296" s="35" t="s">
        <v>1674</v>
      </c>
      <c r="I296" s="35" t="s">
        <v>1675</v>
      </c>
      <c r="J296" s="35"/>
      <c r="K296" s="35" t="s">
        <v>1676</v>
      </c>
      <c r="L296" s="35"/>
      <c r="M296" s="35"/>
      <c r="N296" s="35"/>
      <c r="O296" s="35"/>
    </row>
    <row r="297" spans="1:15" ht="15.75" customHeight="1">
      <c r="A297" s="35" t="s">
        <v>1677</v>
      </c>
      <c r="B297" s="35" t="s">
        <v>1658</v>
      </c>
      <c r="C297" s="35"/>
      <c r="D297" s="35" t="s">
        <v>49</v>
      </c>
      <c r="E297" s="35" t="s">
        <v>1678</v>
      </c>
      <c r="F297" s="35"/>
      <c r="G297" s="35" t="s">
        <v>238</v>
      </c>
      <c r="H297" s="35" t="s">
        <v>1679</v>
      </c>
      <c r="I297" s="35" t="s">
        <v>1680</v>
      </c>
      <c r="J297" s="35"/>
      <c r="K297" s="35" t="s">
        <v>1681</v>
      </c>
      <c r="L297" s="35"/>
      <c r="M297" s="35"/>
      <c r="N297" s="35"/>
      <c r="O297" s="35"/>
    </row>
    <row r="298" spans="1:15" ht="15.75" customHeight="1">
      <c r="A298" s="35" t="s">
        <v>1682</v>
      </c>
      <c r="B298" s="35" t="s">
        <v>1658</v>
      </c>
      <c r="C298" s="35"/>
      <c r="D298" s="35" t="s">
        <v>49</v>
      </c>
      <c r="E298" s="35" t="s">
        <v>1683</v>
      </c>
      <c r="F298" s="35"/>
      <c r="G298" s="35" t="s">
        <v>238</v>
      </c>
      <c r="H298" s="35" t="s">
        <v>1684</v>
      </c>
      <c r="I298" s="35" t="s">
        <v>1685</v>
      </c>
      <c r="J298" s="35"/>
      <c r="K298" s="35" t="s">
        <v>1686</v>
      </c>
      <c r="L298" s="35"/>
      <c r="M298" s="35"/>
      <c r="N298" s="35"/>
      <c r="O298" s="35"/>
    </row>
    <row r="299" spans="1:15" ht="15.75" customHeight="1">
      <c r="A299" s="35" t="s">
        <v>1687</v>
      </c>
      <c r="B299" s="35" t="s">
        <v>1658</v>
      </c>
      <c r="C299" s="35"/>
      <c r="D299" s="35" t="s">
        <v>49</v>
      </c>
      <c r="E299" s="35" t="s">
        <v>1688</v>
      </c>
      <c r="F299" s="35"/>
      <c r="G299" s="35" t="s">
        <v>238</v>
      </c>
      <c r="H299" s="35" t="s">
        <v>1689</v>
      </c>
      <c r="I299" s="35" t="s">
        <v>1690</v>
      </c>
      <c r="J299" s="35"/>
      <c r="K299" s="35" t="s">
        <v>1691</v>
      </c>
      <c r="L299" s="35"/>
      <c r="M299" s="35"/>
      <c r="N299" s="35"/>
      <c r="O299" s="35"/>
    </row>
    <row r="300" spans="1:15" ht="15.75" customHeight="1">
      <c r="A300" s="35" t="s">
        <v>1692</v>
      </c>
      <c r="B300" s="35" t="s">
        <v>1658</v>
      </c>
      <c r="C300" s="35"/>
      <c r="D300" s="35" t="s">
        <v>49</v>
      </c>
      <c r="E300" s="35" t="s">
        <v>1693</v>
      </c>
      <c r="F300" s="35"/>
      <c r="G300" s="35" t="s">
        <v>238</v>
      </c>
      <c r="H300" s="35" t="s">
        <v>1694</v>
      </c>
      <c r="I300" s="35" t="s">
        <v>1695</v>
      </c>
      <c r="J300" s="35"/>
      <c r="K300" s="35" t="s">
        <v>1696</v>
      </c>
      <c r="L300" s="35"/>
      <c r="M300" s="35"/>
      <c r="N300" s="35"/>
      <c r="O300" s="35"/>
    </row>
    <row r="301" spans="1:15" ht="15.75" customHeight="1">
      <c r="A301" s="35" t="s">
        <v>1697</v>
      </c>
      <c r="B301" s="35" t="s">
        <v>1658</v>
      </c>
      <c r="C301" s="35"/>
      <c r="D301" s="35" t="s">
        <v>49</v>
      </c>
      <c r="E301" s="35" t="s">
        <v>1698</v>
      </c>
      <c r="F301" s="35"/>
      <c r="G301" s="35" t="s">
        <v>238</v>
      </c>
      <c r="H301" s="35" t="s">
        <v>1699</v>
      </c>
      <c r="I301" s="35" t="s">
        <v>1700</v>
      </c>
      <c r="J301" s="35"/>
      <c r="K301" s="35" t="s">
        <v>1701</v>
      </c>
      <c r="L301" s="35"/>
      <c r="M301" s="35"/>
      <c r="N301" s="35"/>
      <c r="O301" s="35"/>
    </row>
    <row r="302" spans="1:15" ht="15.75" customHeight="1">
      <c r="A302" s="35" t="s">
        <v>1702</v>
      </c>
      <c r="B302" s="35" t="s">
        <v>1658</v>
      </c>
      <c r="C302" s="35"/>
      <c r="D302" s="35" t="s">
        <v>49</v>
      </c>
      <c r="E302" s="35" t="s">
        <v>1703</v>
      </c>
      <c r="F302" s="35"/>
      <c r="G302" s="35" t="s">
        <v>238</v>
      </c>
      <c r="H302" s="35" t="s">
        <v>1704</v>
      </c>
      <c r="I302" s="35" t="s">
        <v>1705</v>
      </c>
      <c r="J302" s="35"/>
      <c r="K302" s="35" t="s">
        <v>1706</v>
      </c>
      <c r="L302" s="35"/>
      <c r="M302" s="35"/>
      <c r="N302" s="35"/>
      <c r="O302" s="35"/>
    </row>
    <row r="303" spans="1:15" ht="15.75" customHeight="1">
      <c r="A303" s="35" t="s">
        <v>1707</v>
      </c>
      <c r="B303" s="35" t="s">
        <v>161</v>
      </c>
      <c r="C303" s="35"/>
      <c r="D303" s="35" t="s">
        <v>49</v>
      </c>
      <c r="E303" s="35" t="s">
        <v>79</v>
      </c>
      <c r="F303" s="35"/>
      <c r="G303" s="35" t="s">
        <v>227</v>
      </c>
      <c r="H303" s="35" t="s">
        <v>1708</v>
      </c>
      <c r="I303" s="35" t="s">
        <v>1709</v>
      </c>
      <c r="J303" s="35"/>
      <c r="K303" s="35" t="s">
        <v>1710</v>
      </c>
      <c r="L303" s="35"/>
      <c r="M303" s="35"/>
      <c r="N303" s="35"/>
      <c r="O303" s="35"/>
    </row>
    <row r="304" spans="1:15" ht="15.75" customHeight="1">
      <c r="A304" s="35" t="s">
        <v>1711</v>
      </c>
      <c r="B304" s="35" t="s">
        <v>1707</v>
      </c>
      <c r="C304" s="35"/>
      <c r="D304" s="35" t="s">
        <v>49</v>
      </c>
      <c r="E304" s="35" t="s">
        <v>1712</v>
      </c>
      <c r="F304" s="35"/>
      <c r="G304" s="35" t="s">
        <v>238</v>
      </c>
      <c r="H304" s="35" t="s">
        <v>1713</v>
      </c>
      <c r="I304" s="35" t="s">
        <v>1714</v>
      </c>
      <c r="J304" s="35"/>
      <c r="K304" s="35" t="s">
        <v>1715</v>
      </c>
      <c r="L304" s="35"/>
      <c r="M304" s="35"/>
      <c r="N304" s="35"/>
      <c r="O304" s="35"/>
    </row>
    <row r="305" spans="1:15" ht="15.75" customHeight="1">
      <c r="A305" s="35" t="s">
        <v>1716</v>
      </c>
      <c r="B305" s="35" t="s">
        <v>1711</v>
      </c>
      <c r="C305" s="35"/>
      <c r="D305" s="35" t="s">
        <v>49</v>
      </c>
      <c r="E305" s="35" t="s">
        <v>1717</v>
      </c>
      <c r="F305" s="35"/>
      <c r="G305" s="35" t="s">
        <v>238</v>
      </c>
      <c r="H305" s="35" t="s">
        <v>1718</v>
      </c>
      <c r="I305" s="35" t="s">
        <v>1719</v>
      </c>
      <c r="J305" s="35"/>
      <c r="K305" s="35" t="s">
        <v>1720</v>
      </c>
      <c r="L305" s="35"/>
      <c r="M305" s="35"/>
      <c r="N305" s="35"/>
      <c r="O305" s="35"/>
    </row>
    <row r="306" spans="1:15" ht="15.75" customHeight="1">
      <c r="A306" s="35" t="s">
        <v>1721</v>
      </c>
      <c r="B306" s="35" t="s">
        <v>1711</v>
      </c>
      <c r="C306" s="35"/>
      <c r="D306" s="35" t="s">
        <v>49</v>
      </c>
      <c r="E306" s="35" t="s">
        <v>1722</v>
      </c>
      <c r="F306" s="35"/>
      <c r="G306" s="35" t="s">
        <v>238</v>
      </c>
      <c r="H306" s="35" t="s">
        <v>1723</v>
      </c>
      <c r="I306" s="35" t="s">
        <v>1724</v>
      </c>
      <c r="J306" s="35"/>
      <c r="K306" s="35" t="s">
        <v>1725</v>
      </c>
      <c r="L306" s="35"/>
      <c r="M306" s="35"/>
      <c r="N306" s="35"/>
      <c r="O306" s="35"/>
    </row>
    <row r="307" spans="1:15" ht="15.75" customHeight="1">
      <c r="A307" s="35" t="s">
        <v>1726</v>
      </c>
      <c r="B307" s="35" t="s">
        <v>1711</v>
      </c>
      <c r="C307" s="35"/>
      <c r="D307" s="35" t="s">
        <v>49</v>
      </c>
      <c r="E307" s="35" t="s">
        <v>1727</v>
      </c>
      <c r="F307" s="35"/>
      <c r="G307" s="35" t="s">
        <v>238</v>
      </c>
      <c r="H307" s="35" t="s">
        <v>1728</v>
      </c>
      <c r="I307" s="35" t="s">
        <v>1729</v>
      </c>
      <c r="J307" s="35"/>
      <c r="K307" s="35" t="s">
        <v>1730</v>
      </c>
      <c r="L307" s="35"/>
      <c r="M307" s="35"/>
      <c r="N307" s="35"/>
      <c r="O307" s="35"/>
    </row>
    <row r="308" spans="1:15" ht="15.75" customHeight="1">
      <c r="A308" s="35" t="s">
        <v>1731</v>
      </c>
      <c r="B308" s="35" t="s">
        <v>1707</v>
      </c>
      <c r="C308" s="35"/>
      <c r="D308" s="35" t="s">
        <v>49</v>
      </c>
      <c r="E308" s="35" t="s">
        <v>1732</v>
      </c>
      <c r="F308" s="35"/>
      <c r="G308" s="35" t="s">
        <v>238</v>
      </c>
      <c r="H308" s="35" t="s">
        <v>1733</v>
      </c>
      <c r="I308" s="35" t="s">
        <v>1734</v>
      </c>
      <c r="J308" s="35"/>
      <c r="K308" s="35" t="s">
        <v>1735</v>
      </c>
      <c r="L308" s="35"/>
      <c r="M308" s="35"/>
      <c r="N308" s="35"/>
      <c r="O308" s="35"/>
    </row>
    <row r="309" spans="1:15" ht="15.75" customHeight="1">
      <c r="A309" s="35" t="s">
        <v>1736</v>
      </c>
      <c r="B309" s="35" t="s">
        <v>1731</v>
      </c>
      <c r="C309" s="35"/>
      <c r="D309" s="35" t="s">
        <v>49</v>
      </c>
      <c r="E309" s="35" t="s">
        <v>1737</v>
      </c>
      <c r="F309" s="35"/>
      <c r="G309" s="35" t="s">
        <v>238</v>
      </c>
      <c r="H309" s="35" t="s">
        <v>1738</v>
      </c>
      <c r="I309" s="35" t="s">
        <v>1739</v>
      </c>
      <c r="J309" s="35"/>
      <c r="K309" s="35" t="s">
        <v>1740</v>
      </c>
      <c r="L309" s="35"/>
      <c r="M309" s="35"/>
      <c r="N309" s="35"/>
      <c r="O309" s="35"/>
    </row>
    <row r="310" spans="1:15" ht="15.75" customHeight="1">
      <c r="A310" s="35" t="s">
        <v>1741</v>
      </c>
      <c r="B310" s="35" t="s">
        <v>1731</v>
      </c>
      <c r="C310" s="35"/>
      <c r="D310" s="35" t="s">
        <v>49</v>
      </c>
      <c r="E310" s="35" t="s">
        <v>1742</v>
      </c>
      <c r="F310" s="35"/>
      <c r="G310" s="35" t="s">
        <v>238</v>
      </c>
      <c r="H310" s="35" t="s">
        <v>1743</v>
      </c>
      <c r="I310" s="35" t="s">
        <v>1744</v>
      </c>
      <c r="J310" s="35"/>
      <c r="K310" s="35" t="s">
        <v>1745</v>
      </c>
      <c r="L310" s="35"/>
      <c r="M310" s="35"/>
      <c r="N310" s="35"/>
      <c r="O310" s="35"/>
    </row>
    <row r="311" spans="1:15" ht="15.75" customHeight="1">
      <c r="A311" s="35" t="s">
        <v>1746</v>
      </c>
      <c r="B311" s="35" t="s">
        <v>1707</v>
      </c>
      <c r="C311" s="35"/>
      <c r="D311" s="35" t="s">
        <v>49</v>
      </c>
      <c r="E311" s="35" t="s">
        <v>1747</v>
      </c>
      <c r="F311" s="35"/>
      <c r="G311" s="35" t="s">
        <v>238</v>
      </c>
      <c r="H311" s="35" t="s">
        <v>1748</v>
      </c>
      <c r="I311" s="35" t="s">
        <v>1749</v>
      </c>
      <c r="J311" s="35"/>
      <c r="K311" s="35" t="s">
        <v>1750</v>
      </c>
      <c r="L311" s="35"/>
      <c r="M311" s="35"/>
      <c r="N311" s="35"/>
      <c r="O311" s="35"/>
    </row>
    <row r="312" spans="1:15" ht="15.75" customHeight="1">
      <c r="A312" s="35" t="s">
        <v>1751</v>
      </c>
      <c r="B312" s="35" t="s">
        <v>1707</v>
      </c>
      <c r="C312" s="35"/>
      <c r="D312" s="35" t="s">
        <v>49</v>
      </c>
      <c r="E312" s="35" t="s">
        <v>1752</v>
      </c>
      <c r="F312" s="35"/>
      <c r="G312" s="35" t="s">
        <v>238</v>
      </c>
      <c r="H312" s="35" t="s">
        <v>1753</v>
      </c>
      <c r="I312" s="35" t="s">
        <v>1754</v>
      </c>
      <c r="J312" s="35"/>
      <c r="K312" s="35" t="s">
        <v>1755</v>
      </c>
      <c r="L312" s="35"/>
      <c r="M312" s="35"/>
      <c r="N312" s="35"/>
      <c r="O312" s="35"/>
    </row>
    <row r="313" spans="1:15" ht="15.75" customHeight="1">
      <c r="A313" s="35" t="s">
        <v>1756</v>
      </c>
      <c r="B313" s="35" t="s">
        <v>161</v>
      </c>
      <c r="C313" s="35"/>
      <c r="D313" s="35" t="s">
        <v>49</v>
      </c>
      <c r="E313" s="35" t="s">
        <v>1757</v>
      </c>
      <c r="F313" s="35"/>
      <c r="G313" s="35" t="s">
        <v>227</v>
      </c>
      <c r="H313" s="35" t="s">
        <v>1758</v>
      </c>
      <c r="I313" s="35" t="s">
        <v>1759</v>
      </c>
      <c r="J313" s="35"/>
      <c r="K313" s="35" t="s">
        <v>1760</v>
      </c>
      <c r="L313" s="35"/>
      <c r="M313" s="35"/>
      <c r="N313" s="35"/>
      <c r="O313" s="35"/>
    </row>
    <row r="314" spans="1:15" ht="15.75" customHeight="1">
      <c r="A314" s="35" t="s">
        <v>1761</v>
      </c>
      <c r="B314" s="35" t="s">
        <v>161</v>
      </c>
      <c r="C314" s="35"/>
      <c r="D314" s="35" t="s">
        <v>49</v>
      </c>
      <c r="E314" s="35" t="s">
        <v>1762</v>
      </c>
      <c r="F314" s="35"/>
      <c r="G314" s="35" t="s">
        <v>227</v>
      </c>
      <c r="H314" s="35" t="s">
        <v>75</v>
      </c>
      <c r="I314" s="35" t="s">
        <v>1763</v>
      </c>
      <c r="J314" s="35"/>
      <c r="K314" s="35" t="s">
        <v>1764</v>
      </c>
      <c r="L314" s="35"/>
      <c r="M314" s="35"/>
      <c r="N314" s="35"/>
      <c r="O314" s="35"/>
    </row>
    <row r="315" spans="1:15" ht="15.75" customHeight="1">
      <c r="A315" s="35" t="s">
        <v>1765</v>
      </c>
      <c r="B315" s="35" t="s">
        <v>161</v>
      </c>
      <c r="C315" s="35"/>
      <c r="D315" s="35" t="s">
        <v>49</v>
      </c>
      <c r="E315" s="35" t="s">
        <v>1766</v>
      </c>
      <c r="F315" s="35"/>
      <c r="G315" s="35" t="s">
        <v>227</v>
      </c>
      <c r="H315" s="35" t="s">
        <v>1767</v>
      </c>
      <c r="I315" s="35" t="s">
        <v>1768</v>
      </c>
      <c r="J315" s="35"/>
      <c r="K315" s="35" t="s">
        <v>1769</v>
      </c>
      <c r="L315" s="35"/>
      <c r="M315" s="35"/>
      <c r="N315" s="35"/>
      <c r="O315" s="35"/>
    </row>
    <row r="316" spans="1:15" ht="15.75" customHeight="1">
      <c r="A316" s="35" t="s">
        <v>1770</v>
      </c>
      <c r="B316" s="35" t="s">
        <v>1765</v>
      </c>
      <c r="C316" s="35"/>
      <c r="D316" s="35" t="s">
        <v>49</v>
      </c>
      <c r="E316" s="35" t="s">
        <v>1771</v>
      </c>
      <c r="F316" s="35"/>
      <c r="G316" s="35" t="s">
        <v>238</v>
      </c>
      <c r="H316" s="35" t="s">
        <v>1772</v>
      </c>
      <c r="I316" s="35" t="s">
        <v>1773</v>
      </c>
      <c r="J316" s="35"/>
      <c r="K316" s="35" t="s">
        <v>1774</v>
      </c>
      <c r="L316" s="35"/>
      <c r="M316" s="35"/>
      <c r="N316" s="35"/>
      <c r="O316" s="35"/>
    </row>
    <row r="317" spans="1:15" ht="15.75" customHeight="1">
      <c r="A317" s="35" t="s">
        <v>1775</v>
      </c>
      <c r="B317" s="35" t="s">
        <v>1765</v>
      </c>
      <c r="C317" s="35"/>
      <c r="D317" s="35" t="s">
        <v>49</v>
      </c>
      <c r="E317" s="35" t="s">
        <v>1776</v>
      </c>
      <c r="F317" s="35"/>
      <c r="G317" s="35" t="s">
        <v>238</v>
      </c>
      <c r="H317" s="35" t="s">
        <v>1777</v>
      </c>
      <c r="I317" s="35" t="s">
        <v>1778</v>
      </c>
      <c r="J317" s="35"/>
      <c r="K317" s="35" t="s">
        <v>1779</v>
      </c>
      <c r="L317" s="35"/>
      <c r="M317" s="35"/>
      <c r="N317" s="35"/>
      <c r="O317" s="35"/>
    </row>
    <row r="318" spans="1:15" ht="15.75" customHeight="1">
      <c r="A318" s="38" t="s">
        <v>1780</v>
      </c>
      <c r="B318" s="38" t="s">
        <v>1765</v>
      </c>
      <c r="C318" s="35"/>
      <c r="D318" s="35" t="s">
        <v>49</v>
      </c>
      <c r="E318" s="38" t="s">
        <v>1781</v>
      </c>
      <c r="F318" s="38"/>
      <c r="G318" s="38" t="s">
        <v>238</v>
      </c>
      <c r="H318" s="38" t="s">
        <v>1782</v>
      </c>
      <c r="I318" s="38" t="s">
        <v>1783</v>
      </c>
      <c r="J318" s="38"/>
      <c r="K318" s="38" t="s">
        <v>1784</v>
      </c>
      <c r="L318" s="38"/>
      <c r="M318" s="38"/>
      <c r="N318" s="38"/>
      <c r="O318" s="38"/>
    </row>
    <row r="319" spans="1:15" ht="15.75" customHeight="1">
      <c r="A319" s="38" t="s">
        <v>1785</v>
      </c>
      <c r="B319" s="38" t="s">
        <v>1765</v>
      </c>
      <c r="C319" s="35"/>
      <c r="D319" s="35" t="s">
        <v>49</v>
      </c>
      <c r="E319" s="38" t="s">
        <v>1786</v>
      </c>
      <c r="F319" s="38"/>
      <c r="G319" s="38" t="s">
        <v>238</v>
      </c>
      <c r="H319" s="38" t="s">
        <v>1787</v>
      </c>
      <c r="I319" s="38" t="s">
        <v>1788</v>
      </c>
      <c r="J319" s="38"/>
      <c r="K319" s="38" t="s">
        <v>1789</v>
      </c>
      <c r="L319" s="38"/>
      <c r="M319" s="38"/>
      <c r="N319" s="38"/>
      <c r="O319" s="38"/>
    </row>
    <row r="320" spans="1:15" ht="15.75" customHeight="1">
      <c r="A320" s="35" t="s">
        <v>1790</v>
      </c>
      <c r="B320" s="35" t="s">
        <v>161</v>
      </c>
      <c r="C320" s="35"/>
      <c r="D320" s="35" t="s">
        <v>49</v>
      </c>
      <c r="E320" s="35" t="s">
        <v>1791</v>
      </c>
      <c r="F320" s="35"/>
      <c r="G320" s="35" t="s">
        <v>227</v>
      </c>
      <c r="H320" s="35" t="s">
        <v>1792</v>
      </c>
      <c r="I320" s="35" t="s">
        <v>1793</v>
      </c>
      <c r="J320" s="35"/>
      <c r="K320" s="35" t="s">
        <v>1794</v>
      </c>
      <c r="L320" s="35"/>
      <c r="M320" s="35"/>
      <c r="N320" s="35"/>
      <c r="O320" s="35"/>
    </row>
    <row r="321" spans="1:15" ht="15.75" customHeight="1">
      <c r="A321" s="38" t="s">
        <v>1795</v>
      </c>
      <c r="B321" s="38"/>
      <c r="C321" s="35"/>
      <c r="D321" s="35" t="s">
        <v>49</v>
      </c>
      <c r="E321" s="38" t="s">
        <v>110</v>
      </c>
      <c r="F321" s="38"/>
      <c r="G321" s="38" t="s">
        <v>227</v>
      </c>
      <c r="H321" s="38" t="s">
        <v>1796</v>
      </c>
      <c r="I321" s="38" t="s">
        <v>1797</v>
      </c>
      <c r="J321" s="38"/>
      <c r="K321" s="38" t="s">
        <v>1798</v>
      </c>
      <c r="L321" s="38"/>
      <c r="M321" s="38"/>
      <c r="N321" s="38"/>
      <c r="O321" s="38"/>
    </row>
    <row r="322" spans="1:15" ht="15.75" customHeight="1">
      <c r="A322" s="35" t="s">
        <v>1799</v>
      </c>
      <c r="B322" s="35" t="s">
        <v>1795</v>
      </c>
      <c r="C322" s="35"/>
      <c r="D322" s="35" t="s">
        <v>49</v>
      </c>
      <c r="E322" s="35" t="s">
        <v>1800</v>
      </c>
      <c r="F322" s="35"/>
      <c r="G322" s="35" t="s">
        <v>227</v>
      </c>
      <c r="H322" s="35" t="s">
        <v>9</v>
      </c>
      <c r="I322" s="35" t="s">
        <v>1801</v>
      </c>
      <c r="J322" s="35"/>
      <c r="K322" s="35" t="s">
        <v>1802</v>
      </c>
      <c r="L322" s="35"/>
      <c r="M322" s="35"/>
      <c r="N322" s="35"/>
      <c r="O322" s="35"/>
    </row>
    <row r="323" spans="1:15" ht="15.75" customHeight="1">
      <c r="A323" s="35" t="s">
        <v>1803</v>
      </c>
      <c r="B323" s="35" t="s">
        <v>1799</v>
      </c>
      <c r="C323" s="35"/>
      <c r="D323" s="35" t="s">
        <v>49</v>
      </c>
      <c r="E323" s="35" t="s">
        <v>1804</v>
      </c>
      <c r="F323" s="35"/>
      <c r="G323" s="35" t="s">
        <v>238</v>
      </c>
      <c r="H323" s="35" t="s">
        <v>1805</v>
      </c>
      <c r="I323" s="35" t="s">
        <v>1806</v>
      </c>
      <c r="J323" s="35"/>
      <c r="K323" s="35" t="s">
        <v>1807</v>
      </c>
      <c r="L323" s="35"/>
      <c r="M323" s="35"/>
      <c r="N323" s="35"/>
      <c r="O323" s="35"/>
    </row>
    <row r="324" spans="1:15" ht="15.75" customHeight="1">
      <c r="A324" s="35" t="s">
        <v>1808</v>
      </c>
      <c r="B324" s="35" t="s">
        <v>1799</v>
      </c>
      <c r="C324" s="35"/>
      <c r="D324" s="35" t="s">
        <v>49</v>
      </c>
      <c r="E324" s="35" t="s">
        <v>1809</v>
      </c>
      <c r="F324" s="35"/>
      <c r="G324" s="35" t="s">
        <v>238</v>
      </c>
      <c r="H324" s="35" t="s">
        <v>1810</v>
      </c>
      <c r="I324" s="35" t="s">
        <v>1811</v>
      </c>
      <c r="J324" s="35"/>
      <c r="K324" s="35" t="s">
        <v>1812</v>
      </c>
      <c r="L324" s="35"/>
      <c r="M324" s="35"/>
      <c r="N324" s="35"/>
      <c r="O324" s="35"/>
    </row>
    <row r="325" spans="1:15" ht="15.75" customHeight="1">
      <c r="A325" s="35" t="s">
        <v>1813</v>
      </c>
      <c r="B325" s="35" t="s">
        <v>1799</v>
      </c>
      <c r="C325" s="35"/>
      <c r="D325" s="35" t="s">
        <v>49</v>
      </c>
      <c r="E325" s="35" t="s">
        <v>1814</v>
      </c>
      <c r="F325" s="35"/>
      <c r="G325" s="35" t="s">
        <v>238</v>
      </c>
      <c r="H325" s="35" t="s">
        <v>1815</v>
      </c>
      <c r="I325" s="35" t="s">
        <v>1816</v>
      </c>
      <c r="J325" s="35"/>
      <c r="K325" s="35" t="s">
        <v>1817</v>
      </c>
      <c r="L325" s="35"/>
      <c r="M325" s="35"/>
      <c r="N325" s="35"/>
      <c r="O325" s="35"/>
    </row>
    <row r="326" spans="1:15" ht="15.75" customHeight="1">
      <c r="A326" s="35" t="s">
        <v>1818</v>
      </c>
      <c r="B326" s="35" t="s">
        <v>1799</v>
      </c>
      <c r="C326" s="35"/>
      <c r="D326" s="35" t="s">
        <v>49</v>
      </c>
      <c r="E326" s="35" t="s">
        <v>1819</v>
      </c>
      <c r="F326" s="35"/>
      <c r="G326" s="35" t="s">
        <v>238</v>
      </c>
      <c r="H326" s="35" t="s">
        <v>1820</v>
      </c>
      <c r="I326" s="35" t="s">
        <v>1821</v>
      </c>
      <c r="J326" s="35"/>
      <c r="K326" s="35" t="s">
        <v>1822</v>
      </c>
      <c r="L326" s="35"/>
      <c r="M326" s="35"/>
      <c r="N326" s="35"/>
      <c r="O326" s="35"/>
    </row>
    <row r="327" spans="1:15" ht="15.75" customHeight="1">
      <c r="A327" s="35" t="s">
        <v>1823</v>
      </c>
      <c r="B327" s="35" t="s">
        <v>1799</v>
      </c>
      <c r="C327" s="35"/>
      <c r="D327" s="35" t="s">
        <v>49</v>
      </c>
      <c r="E327" s="35" t="s">
        <v>1824</v>
      </c>
      <c r="F327" s="35"/>
      <c r="G327" s="35" t="s">
        <v>238</v>
      </c>
      <c r="H327" s="35" t="s">
        <v>1825</v>
      </c>
      <c r="I327" s="35" t="s">
        <v>1826</v>
      </c>
      <c r="J327" s="35"/>
      <c r="K327" s="35" t="s">
        <v>1827</v>
      </c>
      <c r="L327" s="35"/>
      <c r="M327" s="35"/>
      <c r="N327" s="35"/>
      <c r="O327" s="35"/>
    </row>
    <row r="328" spans="1:15" ht="15.75" customHeight="1">
      <c r="A328" s="35" t="s">
        <v>1828</v>
      </c>
      <c r="B328" s="35" t="s">
        <v>1799</v>
      </c>
      <c r="C328" s="35"/>
      <c r="D328" s="35" t="s">
        <v>49</v>
      </c>
      <c r="E328" s="35" t="s">
        <v>1829</v>
      </c>
      <c r="F328" s="35"/>
      <c r="G328" s="35" t="s">
        <v>238</v>
      </c>
      <c r="H328" s="35" t="s">
        <v>1830</v>
      </c>
      <c r="I328" s="35" t="s">
        <v>1831</v>
      </c>
      <c r="J328" s="35"/>
      <c r="K328" s="35" t="s">
        <v>1832</v>
      </c>
      <c r="L328" s="35"/>
      <c r="M328" s="35"/>
      <c r="N328" s="35"/>
      <c r="O328" s="35"/>
    </row>
    <row r="329" spans="1:15" ht="15.75" customHeight="1">
      <c r="A329" s="35" t="s">
        <v>1833</v>
      </c>
      <c r="B329" s="35" t="s">
        <v>1799</v>
      </c>
      <c r="C329" s="35"/>
      <c r="D329" s="35" t="s">
        <v>49</v>
      </c>
      <c r="E329" s="35" t="s">
        <v>1834</v>
      </c>
      <c r="F329" s="35"/>
      <c r="G329" s="35" t="s">
        <v>238</v>
      </c>
      <c r="H329" s="35" t="s">
        <v>1835</v>
      </c>
      <c r="I329" s="35" t="s">
        <v>1836</v>
      </c>
      <c r="J329" s="35"/>
      <c r="K329" s="35" t="s">
        <v>1837</v>
      </c>
      <c r="L329" s="35"/>
      <c r="M329" s="35"/>
      <c r="N329" s="35"/>
      <c r="O329" s="35"/>
    </row>
    <row r="330" spans="1:15" ht="15.75" customHeight="1">
      <c r="A330" s="35" t="s">
        <v>1838</v>
      </c>
      <c r="B330" s="35" t="s">
        <v>1795</v>
      </c>
      <c r="C330" s="35"/>
      <c r="D330" s="35" t="s">
        <v>49</v>
      </c>
      <c r="E330" s="35"/>
      <c r="F330" s="35"/>
      <c r="G330" s="35" t="s">
        <v>227</v>
      </c>
      <c r="H330" s="35" t="s">
        <v>1839</v>
      </c>
      <c r="I330" s="35" t="s">
        <v>1840</v>
      </c>
      <c r="J330" s="35"/>
      <c r="K330" s="35" t="s">
        <v>1841</v>
      </c>
      <c r="L330" s="35"/>
      <c r="M330" s="35"/>
      <c r="N330" s="35"/>
      <c r="O330" s="35"/>
    </row>
    <row r="331" spans="1:15" ht="15.75" customHeight="1">
      <c r="A331" s="35" t="s">
        <v>1842</v>
      </c>
      <c r="B331" s="35" t="s">
        <v>1795</v>
      </c>
      <c r="C331" s="35"/>
      <c r="D331" s="35" t="s">
        <v>49</v>
      </c>
      <c r="E331" s="35"/>
      <c r="F331" s="35"/>
      <c r="G331" s="35" t="s">
        <v>227</v>
      </c>
      <c r="H331" s="35" t="s">
        <v>1843</v>
      </c>
      <c r="I331" s="35" t="s">
        <v>1844</v>
      </c>
      <c r="J331" s="35"/>
      <c r="K331" s="35" t="s">
        <v>1845</v>
      </c>
      <c r="L331" s="35"/>
      <c r="M331" s="35"/>
      <c r="N331" s="35"/>
      <c r="O331" s="35" t="s">
        <v>1846</v>
      </c>
    </row>
    <row r="332" spans="1:15" ht="15.75" customHeight="1">
      <c r="A332" s="35" t="s">
        <v>1847</v>
      </c>
      <c r="B332" s="35" t="s">
        <v>1795</v>
      </c>
      <c r="C332" s="35"/>
      <c r="D332" s="35" t="s">
        <v>49</v>
      </c>
      <c r="E332" s="35" t="s">
        <v>1848</v>
      </c>
      <c r="F332" s="35"/>
      <c r="G332" s="35" t="s">
        <v>227</v>
      </c>
      <c r="H332" s="35" t="s">
        <v>1849</v>
      </c>
      <c r="I332" s="35" t="s">
        <v>1850</v>
      </c>
      <c r="J332" s="35"/>
      <c r="K332" s="35" t="s">
        <v>1851</v>
      </c>
      <c r="L332" s="35"/>
      <c r="M332" s="35"/>
      <c r="N332" s="35"/>
      <c r="O332" s="35"/>
    </row>
    <row r="333" spans="1:15" ht="15.75" customHeight="1">
      <c r="A333" s="35" t="s">
        <v>1852</v>
      </c>
      <c r="B333" s="35" t="s">
        <v>1795</v>
      </c>
      <c r="C333" s="35"/>
      <c r="D333" s="35" t="s">
        <v>49</v>
      </c>
      <c r="E333" s="35" t="s">
        <v>1853</v>
      </c>
      <c r="F333" s="35"/>
      <c r="G333" s="35" t="s">
        <v>227</v>
      </c>
      <c r="H333" s="35" t="s">
        <v>1854</v>
      </c>
      <c r="I333" s="35" t="s">
        <v>1855</v>
      </c>
      <c r="J333" s="35"/>
      <c r="K333" s="35" t="s">
        <v>1856</v>
      </c>
      <c r="L333" s="35"/>
      <c r="M333" s="35"/>
      <c r="N333" s="35"/>
      <c r="O333" s="35"/>
    </row>
    <row r="334" spans="1:15" ht="15.75" customHeight="1">
      <c r="A334" s="35" t="s">
        <v>1857</v>
      </c>
      <c r="B334" s="35" t="s">
        <v>1795</v>
      </c>
      <c r="C334" s="35"/>
      <c r="D334" s="35" t="s">
        <v>49</v>
      </c>
      <c r="E334" s="35" t="s">
        <v>1858</v>
      </c>
      <c r="F334" s="35"/>
      <c r="G334" s="35" t="s">
        <v>227</v>
      </c>
      <c r="H334" s="35" t="s">
        <v>1859</v>
      </c>
      <c r="I334" s="35" t="s">
        <v>1860</v>
      </c>
      <c r="J334" s="35"/>
      <c r="K334" s="35" t="s">
        <v>1861</v>
      </c>
      <c r="L334" s="35"/>
      <c r="M334" s="35"/>
      <c r="N334" s="35"/>
      <c r="O334" s="35"/>
    </row>
    <row r="335" spans="1:15" ht="15.75" customHeight="1">
      <c r="A335" s="35" t="s">
        <v>1862</v>
      </c>
      <c r="B335" s="35" t="s">
        <v>1857</v>
      </c>
      <c r="C335" s="35"/>
      <c r="D335" s="35" t="s">
        <v>49</v>
      </c>
      <c r="E335" s="35" t="s">
        <v>1863</v>
      </c>
      <c r="F335" s="35"/>
      <c r="G335" s="35" t="s">
        <v>238</v>
      </c>
      <c r="H335" s="35" t="s">
        <v>1864</v>
      </c>
      <c r="I335" s="35" t="s">
        <v>1865</v>
      </c>
      <c r="J335" s="35"/>
      <c r="K335" s="35" t="s">
        <v>1866</v>
      </c>
      <c r="L335" s="35"/>
      <c r="M335" s="35"/>
      <c r="N335" s="35"/>
      <c r="O335" s="35"/>
    </row>
    <row r="336" spans="1:15" ht="15.75" customHeight="1">
      <c r="A336" s="35" t="s">
        <v>1867</v>
      </c>
      <c r="B336" s="35" t="s">
        <v>1857</v>
      </c>
      <c r="C336" s="35"/>
      <c r="D336" s="35" t="s">
        <v>49</v>
      </c>
      <c r="E336" s="35" t="s">
        <v>1868</v>
      </c>
      <c r="F336" s="35"/>
      <c r="G336" s="35" t="s">
        <v>238</v>
      </c>
      <c r="H336" s="35" t="s">
        <v>1869</v>
      </c>
      <c r="I336" s="35" t="s">
        <v>1870</v>
      </c>
      <c r="J336" s="35"/>
      <c r="K336" s="35" t="s">
        <v>1871</v>
      </c>
      <c r="L336" s="35"/>
      <c r="M336" s="35"/>
      <c r="N336" s="35"/>
      <c r="O336" s="35"/>
    </row>
    <row r="337" spans="1:15" ht="15.75" customHeight="1">
      <c r="A337" s="35" t="s">
        <v>1872</v>
      </c>
      <c r="B337" s="35" t="s">
        <v>1857</v>
      </c>
      <c r="C337" s="35"/>
      <c r="D337" s="35" t="s">
        <v>49</v>
      </c>
      <c r="E337" s="35" t="s">
        <v>1873</v>
      </c>
      <c r="F337" s="35"/>
      <c r="G337" s="35" t="s">
        <v>238</v>
      </c>
      <c r="H337" s="35" t="s">
        <v>1874</v>
      </c>
      <c r="I337" s="35" t="s">
        <v>1875</v>
      </c>
      <c r="J337" s="35"/>
      <c r="K337" s="35" t="s">
        <v>1876</v>
      </c>
      <c r="L337" s="35"/>
      <c r="M337" s="35"/>
      <c r="N337" s="35"/>
      <c r="O337" s="35"/>
    </row>
    <row r="338" spans="1:15" ht="15.75" customHeight="1">
      <c r="A338" s="36" t="s">
        <v>1877</v>
      </c>
      <c r="B338" s="35"/>
      <c r="C338" s="35"/>
      <c r="D338" s="35" t="s">
        <v>49</v>
      </c>
      <c r="E338" s="35"/>
      <c r="F338" s="35"/>
      <c r="G338" s="35" t="s">
        <v>227</v>
      </c>
      <c r="H338" s="35" t="s">
        <v>20</v>
      </c>
      <c r="I338" s="35" t="s">
        <v>1878</v>
      </c>
      <c r="J338" s="35"/>
      <c r="K338" s="35" t="s">
        <v>1879</v>
      </c>
      <c r="L338" s="35"/>
      <c r="M338" s="35"/>
      <c r="N338" s="35"/>
      <c r="O338" s="35"/>
    </row>
    <row r="339" spans="1:15" ht="15.75" customHeight="1">
      <c r="A339" s="35" t="s">
        <v>1880</v>
      </c>
      <c r="B339" s="38" t="s">
        <v>1877</v>
      </c>
      <c r="C339" s="35"/>
      <c r="D339" s="35" t="s">
        <v>49</v>
      </c>
      <c r="E339" s="35"/>
      <c r="F339" s="35"/>
      <c r="G339" s="35" t="s">
        <v>238</v>
      </c>
      <c r="H339" s="35" t="s">
        <v>1881</v>
      </c>
      <c r="I339" s="35" t="s">
        <v>1882</v>
      </c>
      <c r="J339" s="35"/>
      <c r="K339" s="35" t="s">
        <v>1883</v>
      </c>
      <c r="L339" s="35"/>
      <c r="M339" s="35"/>
      <c r="N339" s="35"/>
      <c r="O339" s="35"/>
    </row>
    <row r="340" spans="1:15" ht="15.75" customHeight="1">
      <c r="A340" s="35" t="s">
        <v>1884</v>
      </c>
      <c r="B340" s="38" t="s">
        <v>1877</v>
      </c>
      <c r="C340" s="35"/>
      <c r="D340" s="35" t="s">
        <v>49</v>
      </c>
      <c r="E340" s="35"/>
      <c r="F340" s="35"/>
      <c r="G340" s="35" t="s">
        <v>238</v>
      </c>
      <c r="H340" s="35" t="s">
        <v>1885</v>
      </c>
      <c r="I340" s="35" t="s">
        <v>1886</v>
      </c>
      <c r="J340" s="35"/>
      <c r="K340" s="35" t="s">
        <v>1887</v>
      </c>
      <c r="L340" s="35"/>
      <c r="M340" s="35"/>
      <c r="N340" s="35"/>
      <c r="O340" s="35"/>
    </row>
    <row r="341" spans="1:15" ht="15.75" customHeight="1">
      <c r="A341" s="35" t="s">
        <v>1888</v>
      </c>
      <c r="B341" s="38" t="s">
        <v>1877</v>
      </c>
      <c r="C341" s="35"/>
      <c r="D341" s="35" t="s">
        <v>49</v>
      </c>
      <c r="E341" s="35"/>
      <c r="F341" s="35"/>
      <c r="G341" s="35" t="s">
        <v>238</v>
      </c>
      <c r="H341" s="35" t="s">
        <v>1889</v>
      </c>
      <c r="I341" s="35" t="s">
        <v>1890</v>
      </c>
      <c r="J341" s="35"/>
      <c r="K341" s="35" t="s">
        <v>1891</v>
      </c>
      <c r="L341" s="35"/>
      <c r="M341" s="35"/>
      <c r="N341" s="35"/>
      <c r="O341" s="35"/>
    </row>
    <row r="342" spans="1:15" ht="15.75" customHeight="1">
      <c r="A342" s="35" t="s">
        <v>1892</v>
      </c>
      <c r="B342" s="38" t="s">
        <v>1877</v>
      </c>
      <c r="C342" s="35"/>
      <c r="D342" s="35" t="s">
        <v>49</v>
      </c>
      <c r="E342" s="35"/>
      <c r="F342" s="35"/>
      <c r="G342" s="35" t="s">
        <v>238</v>
      </c>
      <c r="H342" s="35" t="s">
        <v>1893</v>
      </c>
      <c r="I342" s="35" t="s">
        <v>1894</v>
      </c>
      <c r="J342" s="35"/>
      <c r="K342" s="35" t="s">
        <v>1895</v>
      </c>
      <c r="L342" s="35"/>
      <c r="M342" s="35"/>
      <c r="N342" s="35"/>
      <c r="O342" s="35"/>
    </row>
    <row r="343" spans="1:15" ht="15.75" customHeight="1">
      <c r="A343" s="35" t="s">
        <v>1896</v>
      </c>
      <c r="B343" s="38" t="s">
        <v>1877</v>
      </c>
      <c r="C343" s="35"/>
      <c r="D343" s="35" t="s">
        <v>49</v>
      </c>
      <c r="E343" s="35"/>
      <c r="F343" s="35"/>
      <c r="G343" s="35" t="s">
        <v>238</v>
      </c>
      <c r="H343" s="35" t="s">
        <v>1897</v>
      </c>
      <c r="I343" s="35" t="s">
        <v>1898</v>
      </c>
      <c r="J343" s="35"/>
      <c r="K343" s="35" t="s">
        <v>1899</v>
      </c>
      <c r="L343" s="35"/>
      <c r="M343" s="35"/>
      <c r="N343" s="35"/>
      <c r="O343" s="35"/>
    </row>
    <row r="344" spans="1:15" ht="15.75" customHeight="1">
      <c r="A344" s="35" t="s">
        <v>1900</v>
      </c>
      <c r="B344" s="38" t="s">
        <v>1877</v>
      </c>
      <c r="C344" s="35"/>
      <c r="D344" s="35" t="s">
        <v>49</v>
      </c>
      <c r="E344" s="35"/>
      <c r="F344" s="35"/>
      <c r="G344" s="35" t="s">
        <v>238</v>
      </c>
      <c r="H344" s="35" t="s">
        <v>1901</v>
      </c>
      <c r="I344" s="35" t="s">
        <v>1902</v>
      </c>
      <c r="J344" s="35"/>
      <c r="K344" s="35" t="s">
        <v>1903</v>
      </c>
      <c r="L344" s="35"/>
      <c r="M344" s="35"/>
      <c r="N344" s="35"/>
      <c r="O344" s="35"/>
    </row>
    <row r="345" spans="1:15" ht="15.75" customHeight="1">
      <c r="A345" s="38" t="s">
        <v>1904</v>
      </c>
      <c r="B345" s="38" t="s">
        <v>1877</v>
      </c>
      <c r="C345" s="35"/>
      <c r="D345" s="35" t="s">
        <v>49</v>
      </c>
      <c r="E345" s="38"/>
      <c r="F345" s="38"/>
      <c r="G345" s="38" t="s">
        <v>238</v>
      </c>
      <c r="H345" s="38" t="s">
        <v>1905</v>
      </c>
      <c r="I345" s="38" t="s">
        <v>1906</v>
      </c>
      <c r="J345" s="38"/>
      <c r="K345" s="38" t="s">
        <v>1907</v>
      </c>
      <c r="L345" s="38"/>
      <c r="M345" s="38"/>
      <c r="N345" s="38"/>
      <c r="O345" s="38"/>
    </row>
    <row r="346" spans="1:15" ht="15.75" customHeight="1">
      <c r="A346" s="38" t="s">
        <v>1908</v>
      </c>
      <c r="B346" s="38" t="s">
        <v>1877</v>
      </c>
      <c r="C346" s="35"/>
      <c r="D346" s="35" t="s">
        <v>49</v>
      </c>
      <c r="E346" s="38"/>
      <c r="F346" s="38"/>
      <c r="G346" s="38" t="s">
        <v>238</v>
      </c>
      <c r="H346" s="38" t="s">
        <v>1909</v>
      </c>
      <c r="I346" s="38" t="s">
        <v>1910</v>
      </c>
      <c r="J346" s="38"/>
      <c r="K346" s="38" t="s">
        <v>1911</v>
      </c>
      <c r="L346" s="38"/>
      <c r="M346" s="38"/>
      <c r="N346" s="38"/>
      <c r="O346" s="38"/>
    </row>
    <row r="347" spans="1:15" ht="15.75" customHeight="1">
      <c r="A347" s="38" t="s">
        <v>1912</v>
      </c>
      <c r="B347" s="38" t="s">
        <v>1877</v>
      </c>
      <c r="C347" s="35"/>
      <c r="D347" s="35" t="s">
        <v>49</v>
      </c>
      <c r="E347" s="38"/>
      <c r="F347" s="38"/>
      <c r="G347" s="38" t="s">
        <v>238</v>
      </c>
      <c r="H347" s="38" t="s">
        <v>1913</v>
      </c>
      <c r="I347" s="38" t="s">
        <v>1914</v>
      </c>
      <c r="J347" s="38"/>
      <c r="K347" s="38" t="s">
        <v>398</v>
      </c>
      <c r="L347" s="38"/>
      <c r="M347" s="38"/>
      <c r="N347" s="38"/>
      <c r="O347" s="38"/>
    </row>
    <row r="348" spans="1:15" ht="15.75" customHeight="1">
      <c r="A348" s="35" t="s">
        <v>51</v>
      </c>
      <c r="B348" s="35"/>
      <c r="C348" s="35"/>
      <c r="D348" s="35" t="s">
        <v>172</v>
      </c>
      <c r="E348" s="35"/>
      <c r="F348" s="35"/>
      <c r="G348" s="35" t="s">
        <v>227</v>
      </c>
      <c r="H348" s="35" t="s">
        <v>1915</v>
      </c>
      <c r="I348" s="35" t="s">
        <v>1916</v>
      </c>
      <c r="J348" s="35"/>
      <c r="K348" s="35" t="s">
        <v>1917</v>
      </c>
      <c r="L348" s="35"/>
      <c r="M348" s="35"/>
      <c r="N348" s="35"/>
      <c r="O348" s="35"/>
    </row>
    <row r="349" spans="1:15" ht="15.75" customHeight="1">
      <c r="A349" s="35" t="s">
        <v>1918</v>
      </c>
      <c r="B349" s="35" t="s">
        <v>51</v>
      </c>
      <c r="C349" s="35"/>
      <c r="D349" s="35" t="s">
        <v>172</v>
      </c>
      <c r="E349" s="35"/>
      <c r="F349" s="35"/>
      <c r="G349" s="35" t="s">
        <v>227</v>
      </c>
      <c r="H349" s="35" t="s">
        <v>173</v>
      </c>
      <c r="I349" s="35" t="s">
        <v>1919</v>
      </c>
      <c r="J349" s="35"/>
      <c r="K349" s="35" t="s">
        <v>1920</v>
      </c>
      <c r="L349" s="35"/>
      <c r="M349" s="35"/>
      <c r="N349" s="35"/>
      <c r="O349" s="35"/>
    </row>
    <row r="350" spans="1:15" ht="15.75" customHeight="1">
      <c r="A350" s="35" t="s">
        <v>1921</v>
      </c>
      <c r="B350" s="35" t="s">
        <v>1918</v>
      </c>
      <c r="C350" s="35"/>
      <c r="D350" s="35" t="s">
        <v>172</v>
      </c>
      <c r="E350" s="35"/>
      <c r="F350" s="35"/>
      <c r="G350" s="35" t="s">
        <v>227</v>
      </c>
      <c r="H350" s="35" t="s">
        <v>1922</v>
      </c>
      <c r="I350" s="35" t="s">
        <v>1923</v>
      </c>
      <c r="J350" s="35"/>
      <c r="K350" s="35" t="s">
        <v>1924</v>
      </c>
      <c r="L350" s="35" t="s">
        <v>176</v>
      </c>
      <c r="M350" s="35"/>
      <c r="N350" s="35"/>
    </row>
    <row r="351" spans="1:15" ht="15.75" customHeight="1">
      <c r="A351" s="35" t="s">
        <v>1925</v>
      </c>
      <c r="B351" s="35" t="s">
        <v>1921</v>
      </c>
      <c r="C351" s="35"/>
      <c r="D351" s="35" t="s">
        <v>172</v>
      </c>
      <c r="E351" s="35"/>
      <c r="F351" s="35"/>
      <c r="G351" s="35" t="s">
        <v>227</v>
      </c>
      <c r="H351" s="35" t="s">
        <v>1926</v>
      </c>
      <c r="I351" s="35" t="s">
        <v>1927</v>
      </c>
      <c r="J351" s="35"/>
      <c r="K351" s="35" t="s">
        <v>1928</v>
      </c>
      <c r="L351" s="35"/>
      <c r="M351" s="35"/>
      <c r="N351" s="35"/>
    </row>
    <row r="352" spans="1:15" ht="15.75" customHeight="1">
      <c r="A352" s="35" t="s">
        <v>1929</v>
      </c>
      <c r="B352" s="35" t="s">
        <v>1921</v>
      </c>
      <c r="C352" s="35"/>
      <c r="D352" s="35" t="s">
        <v>172</v>
      </c>
      <c r="E352" s="35"/>
      <c r="F352" s="35"/>
      <c r="G352" s="35" t="s">
        <v>227</v>
      </c>
      <c r="H352" s="35" t="s">
        <v>1930</v>
      </c>
      <c r="I352" s="35" t="s">
        <v>1931</v>
      </c>
      <c r="J352" s="35"/>
      <c r="K352" s="35" t="s">
        <v>1932</v>
      </c>
      <c r="L352" s="35"/>
      <c r="M352" s="35"/>
      <c r="N352" s="35"/>
    </row>
    <row r="353" spans="1:15" ht="15.75" customHeight="1">
      <c r="A353" s="35" t="s">
        <v>1933</v>
      </c>
      <c r="B353" s="35" t="s">
        <v>1921</v>
      </c>
      <c r="C353" s="35"/>
      <c r="D353" s="35" t="s">
        <v>172</v>
      </c>
      <c r="E353" s="35"/>
      <c r="F353" s="35"/>
      <c r="G353" s="35" t="s">
        <v>227</v>
      </c>
      <c r="H353" s="35" t="s">
        <v>1934</v>
      </c>
      <c r="I353" s="35" t="s">
        <v>1935</v>
      </c>
      <c r="J353" s="35"/>
      <c r="K353" s="35" t="s">
        <v>1936</v>
      </c>
      <c r="L353" s="35"/>
      <c r="M353" s="35"/>
      <c r="N353" s="35"/>
    </row>
    <row r="354" spans="1:15" ht="15.75" customHeight="1">
      <c r="A354" s="35" t="s">
        <v>1937</v>
      </c>
      <c r="B354" s="35" t="s">
        <v>1921</v>
      </c>
      <c r="C354" s="35"/>
      <c r="D354" s="35" t="s">
        <v>172</v>
      </c>
      <c r="E354" s="35"/>
      <c r="F354" s="35"/>
      <c r="G354" s="35" t="s">
        <v>227</v>
      </c>
      <c r="H354" s="35" t="s">
        <v>1938</v>
      </c>
      <c r="I354" s="35" t="s">
        <v>1939</v>
      </c>
      <c r="J354" s="35"/>
      <c r="K354" s="35" t="s">
        <v>1940</v>
      </c>
      <c r="L354" s="35"/>
      <c r="M354" s="35"/>
      <c r="N354" s="35"/>
    </row>
    <row r="355" spans="1:15" ht="15.75" customHeight="1">
      <c r="A355" s="35" t="s">
        <v>1941</v>
      </c>
      <c r="B355" s="35" t="s">
        <v>1918</v>
      </c>
      <c r="C355" s="35"/>
      <c r="D355" s="35" t="s">
        <v>172</v>
      </c>
      <c r="E355" s="35"/>
      <c r="F355" s="35"/>
      <c r="G355" s="35" t="s">
        <v>227</v>
      </c>
      <c r="H355" s="35" t="s">
        <v>1942</v>
      </c>
      <c r="I355" s="35" t="s">
        <v>1943</v>
      </c>
      <c r="J355" s="35"/>
      <c r="K355" s="35" t="s">
        <v>1944</v>
      </c>
      <c r="L355" s="35"/>
      <c r="M355" s="35"/>
      <c r="N355" s="35"/>
    </row>
    <row r="356" spans="1:15" ht="15.75" customHeight="1">
      <c r="A356" s="35" t="s">
        <v>393</v>
      </c>
      <c r="B356" s="35" t="s">
        <v>1918</v>
      </c>
      <c r="C356" s="35"/>
      <c r="D356" s="35" t="s">
        <v>172</v>
      </c>
      <c r="E356" s="35"/>
      <c r="F356" s="35"/>
      <c r="G356" s="35" t="s">
        <v>227</v>
      </c>
      <c r="H356" s="35" t="s">
        <v>1945</v>
      </c>
      <c r="I356" s="35" t="s">
        <v>1946</v>
      </c>
      <c r="J356" s="35"/>
      <c r="K356" s="35" t="s">
        <v>1947</v>
      </c>
      <c r="L356" s="35" t="s">
        <v>182</v>
      </c>
      <c r="M356" s="35"/>
      <c r="N356" s="35"/>
    </row>
    <row r="357" spans="1:15" ht="15.75" customHeight="1">
      <c r="A357" s="35" t="s">
        <v>1948</v>
      </c>
      <c r="B357" s="35" t="s">
        <v>1918</v>
      </c>
      <c r="C357" s="35"/>
      <c r="D357" s="35" t="s">
        <v>172</v>
      </c>
      <c r="E357" s="35"/>
      <c r="F357" s="35"/>
      <c r="G357" s="35" t="s">
        <v>227</v>
      </c>
      <c r="H357" s="35" t="s">
        <v>1949</v>
      </c>
      <c r="I357" s="35" t="s">
        <v>1950</v>
      </c>
      <c r="J357" s="35"/>
      <c r="K357" s="35" t="s">
        <v>1951</v>
      </c>
      <c r="L357" s="35" t="s">
        <v>184</v>
      </c>
      <c r="M357" s="35"/>
      <c r="N357" s="35"/>
    </row>
    <row r="358" spans="1:15" ht="15.75" customHeight="1">
      <c r="A358" s="35" t="s">
        <v>1952</v>
      </c>
      <c r="B358" s="35" t="s">
        <v>1918</v>
      </c>
      <c r="C358" s="35"/>
      <c r="D358" s="35" t="s">
        <v>172</v>
      </c>
      <c r="E358" s="35"/>
      <c r="F358" s="35"/>
      <c r="G358" s="35" t="s">
        <v>227</v>
      </c>
      <c r="H358" s="35" t="s">
        <v>1953</v>
      </c>
      <c r="I358" s="35" t="s">
        <v>1954</v>
      </c>
      <c r="J358" s="35"/>
      <c r="K358" s="35" t="s">
        <v>1955</v>
      </c>
      <c r="L358" s="35" t="s">
        <v>184</v>
      </c>
      <c r="M358" s="35"/>
      <c r="N358" s="35"/>
    </row>
    <row r="359" spans="1:15" ht="15.75" customHeight="1">
      <c r="A359" s="35" t="s">
        <v>1956</v>
      </c>
      <c r="B359" s="35" t="s">
        <v>1918</v>
      </c>
      <c r="C359" s="35"/>
      <c r="D359" s="35" t="s">
        <v>172</v>
      </c>
      <c r="E359" s="35"/>
      <c r="F359" s="35"/>
      <c r="G359" s="35" t="s">
        <v>227</v>
      </c>
      <c r="H359" s="35" t="s">
        <v>1957</v>
      </c>
      <c r="I359" s="35" t="s">
        <v>1958</v>
      </c>
      <c r="J359" s="35"/>
      <c r="K359" s="35" t="s">
        <v>1959</v>
      </c>
      <c r="L359" s="35" t="s">
        <v>184</v>
      </c>
      <c r="M359" s="35"/>
      <c r="N359" s="35"/>
    </row>
    <row r="360" spans="1:15" ht="15.75" customHeight="1">
      <c r="A360" s="35" t="s">
        <v>1960</v>
      </c>
      <c r="B360" s="35" t="s">
        <v>51</v>
      </c>
      <c r="C360" s="35"/>
      <c r="D360" s="35" t="s">
        <v>172</v>
      </c>
      <c r="E360" s="35"/>
      <c r="F360" s="35"/>
      <c r="G360" s="35" t="s">
        <v>227</v>
      </c>
      <c r="H360" s="35" t="s">
        <v>174</v>
      </c>
      <c r="I360" s="35" t="s">
        <v>1961</v>
      </c>
      <c r="J360" s="35"/>
      <c r="K360" s="35" t="s">
        <v>1962</v>
      </c>
      <c r="L360" s="35"/>
      <c r="M360" s="35"/>
      <c r="N360" s="35"/>
    </row>
    <row r="361" spans="1:15" ht="15.75" customHeight="1">
      <c r="A361" s="35" t="s">
        <v>1963</v>
      </c>
      <c r="B361" s="35" t="s">
        <v>1960</v>
      </c>
      <c r="C361" s="35"/>
      <c r="D361" s="35" t="s">
        <v>172</v>
      </c>
      <c r="E361" s="35"/>
      <c r="F361" s="35"/>
      <c r="G361" s="35" t="s">
        <v>238</v>
      </c>
      <c r="H361" s="35" t="s">
        <v>1964</v>
      </c>
      <c r="I361" s="35" t="s">
        <v>1965</v>
      </c>
      <c r="J361" s="35"/>
      <c r="K361" s="35" t="s">
        <v>1966</v>
      </c>
      <c r="L361" s="35"/>
      <c r="M361" s="35"/>
      <c r="N361" s="35"/>
      <c r="O361" s="35"/>
    </row>
    <row r="362" spans="1:15" ht="15.75" customHeight="1">
      <c r="A362" s="35" t="s">
        <v>1967</v>
      </c>
      <c r="B362" s="35" t="s">
        <v>1960</v>
      </c>
      <c r="C362" s="35"/>
      <c r="D362" s="35" t="s">
        <v>172</v>
      </c>
      <c r="E362" s="35"/>
      <c r="F362" s="35"/>
      <c r="G362" s="35" t="s">
        <v>238</v>
      </c>
      <c r="H362" s="35" t="s">
        <v>1968</v>
      </c>
      <c r="I362" s="35" t="s">
        <v>1969</v>
      </c>
      <c r="J362" s="35"/>
      <c r="K362" s="35" t="s">
        <v>1970</v>
      </c>
      <c r="L362" s="35"/>
      <c r="M362" s="35"/>
      <c r="N362" s="35"/>
      <c r="O362" s="35"/>
    </row>
    <row r="363" spans="1:15" ht="15.75" customHeight="1">
      <c r="A363" s="35" t="s">
        <v>1971</v>
      </c>
      <c r="B363" s="35" t="s">
        <v>1960</v>
      </c>
      <c r="C363" s="35"/>
      <c r="D363" s="35" t="s">
        <v>172</v>
      </c>
      <c r="E363" s="35"/>
      <c r="F363" s="35"/>
      <c r="G363" s="35" t="s">
        <v>238</v>
      </c>
      <c r="H363" s="35" t="s">
        <v>1972</v>
      </c>
      <c r="I363" s="35" t="s">
        <v>1973</v>
      </c>
      <c r="J363" s="35"/>
      <c r="K363" s="35" t="s">
        <v>1974</v>
      </c>
      <c r="L363" s="35"/>
      <c r="M363" s="35"/>
      <c r="N363" s="35"/>
      <c r="O363" s="35"/>
    </row>
    <row r="364" spans="1:15" ht="15.75" customHeight="1">
      <c r="A364" s="35" t="s">
        <v>1975</v>
      </c>
      <c r="B364" s="35" t="s">
        <v>1971</v>
      </c>
      <c r="C364" s="35"/>
      <c r="D364" s="35" t="s">
        <v>172</v>
      </c>
      <c r="E364" s="35"/>
      <c r="F364" s="35"/>
      <c r="G364" s="35" t="s">
        <v>238</v>
      </c>
      <c r="H364" s="35" t="s">
        <v>1976</v>
      </c>
      <c r="I364" s="35" t="s">
        <v>1977</v>
      </c>
      <c r="J364" s="35"/>
      <c r="K364" s="35" t="s">
        <v>1978</v>
      </c>
      <c r="L364" s="35"/>
      <c r="M364" s="35"/>
      <c r="N364" s="35"/>
      <c r="O364" s="35"/>
    </row>
    <row r="365" spans="1:15" ht="15.75" customHeight="1">
      <c r="A365" s="35" t="s">
        <v>1979</v>
      </c>
      <c r="B365" s="35" t="s">
        <v>1971</v>
      </c>
      <c r="C365" s="35"/>
      <c r="D365" s="35" t="s">
        <v>172</v>
      </c>
      <c r="E365" s="35"/>
      <c r="F365" s="35"/>
      <c r="G365" s="35" t="s">
        <v>238</v>
      </c>
      <c r="H365" s="35" t="s">
        <v>1980</v>
      </c>
      <c r="I365" s="35" t="s">
        <v>1981</v>
      </c>
      <c r="J365" s="35"/>
      <c r="K365" s="35" t="s">
        <v>1982</v>
      </c>
      <c r="L365" s="35"/>
      <c r="M365" s="35"/>
      <c r="N365" s="35"/>
      <c r="O365" s="35"/>
    </row>
    <row r="366" spans="1:15" ht="15.75" customHeight="1">
      <c r="A366" s="35" t="s">
        <v>1983</v>
      </c>
      <c r="B366" s="35" t="s">
        <v>1971</v>
      </c>
      <c r="C366" s="35"/>
      <c r="D366" s="35" t="s">
        <v>172</v>
      </c>
      <c r="E366" s="35"/>
      <c r="F366" s="35"/>
      <c r="G366" s="35" t="s">
        <v>238</v>
      </c>
      <c r="H366" s="35" t="s">
        <v>1984</v>
      </c>
      <c r="I366" s="35" t="s">
        <v>1985</v>
      </c>
      <c r="J366" s="35"/>
      <c r="K366" s="35" t="s">
        <v>1986</v>
      </c>
      <c r="L366" s="35"/>
      <c r="M366" s="35"/>
      <c r="N366" s="35"/>
      <c r="O366" s="35"/>
    </row>
    <row r="367" spans="1:15" ht="15.75" customHeight="1">
      <c r="A367" s="35" t="s">
        <v>1987</v>
      </c>
      <c r="B367" s="35" t="s">
        <v>1971</v>
      </c>
      <c r="C367" s="35"/>
      <c r="D367" s="35" t="s">
        <v>172</v>
      </c>
      <c r="E367" s="35"/>
      <c r="F367" s="35"/>
      <c r="G367" s="35" t="s">
        <v>238</v>
      </c>
      <c r="H367" s="35" t="s">
        <v>1988</v>
      </c>
      <c r="I367" s="35" t="s">
        <v>1989</v>
      </c>
      <c r="J367" s="35"/>
      <c r="K367" s="35" t="s">
        <v>1990</v>
      </c>
      <c r="L367" s="35"/>
      <c r="M367" s="35"/>
      <c r="N367" s="35"/>
      <c r="O367" s="35"/>
    </row>
    <row r="368" spans="1:15" ht="15.75" customHeight="1">
      <c r="A368" s="35" t="s">
        <v>1991</v>
      </c>
      <c r="B368" s="35" t="s">
        <v>1971</v>
      </c>
      <c r="C368" s="35"/>
      <c r="D368" s="35" t="s">
        <v>172</v>
      </c>
      <c r="E368" s="35"/>
      <c r="F368" s="35"/>
      <c r="G368" s="35" t="s">
        <v>238</v>
      </c>
      <c r="H368" s="35" t="s">
        <v>1992</v>
      </c>
      <c r="I368" s="35" t="s">
        <v>1993</v>
      </c>
      <c r="J368" s="35"/>
      <c r="K368" s="35" t="s">
        <v>1994</v>
      </c>
      <c r="L368" s="35"/>
      <c r="M368" s="35"/>
      <c r="N368" s="35"/>
      <c r="O368" s="35"/>
    </row>
    <row r="369" spans="1:15" ht="15.75" customHeight="1">
      <c r="A369" s="35" t="s">
        <v>1995</v>
      </c>
      <c r="B369" s="35" t="s">
        <v>1960</v>
      </c>
      <c r="C369" s="35"/>
      <c r="D369" s="35" t="s">
        <v>172</v>
      </c>
      <c r="E369" s="35"/>
      <c r="F369" s="35"/>
      <c r="G369" s="35" t="s">
        <v>238</v>
      </c>
      <c r="H369" s="35" t="s">
        <v>1996</v>
      </c>
      <c r="I369" s="35" t="s">
        <v>1997</v>
      </c>
      <c r="J369" s="35"/>
      <c r="K369" s="35" t="s">
        <v>1998</v>
      </c>
      <c r="L369" s="35"/>
      <c r="M369" s="35"/>
      <c r="N369" s="35"/>
      <c r="O369" s="35"/>
    </row>
    <row r="370" spans="1:15" ht="15.75" customHeight="1">
      <c r="A370" s="35" t="s">
        <v>1999</v>
      </c>
      <c r="B370" s="35" t="s">
        <v>51</v>
      </c>
      <c r="C370" s="35"/>
      <c r="D370" s="35" t="s">
        <v>172</v>
      </c>
      <c r="E370" s="35"/>
      <c r="F370" s="35"/>
      <c r="G370" s="35" t="s">
        <v>227</v>
      </c>
      <c r="H370" s="35" t="s">
        <v>179</v>
      </c>
      <c r="I370" s="35" t="s">
        <v>2000</v>
      </c>
      <c r="J370" s="35"/>
      <c r="K370" s="35" t="s">
        <v>2001</v>
      </c>
      <c r="L370" s="35"/>
      <c r="M370" s="35"/>
      <c r="N370" s="35"/>
      <c r="O370" s="35"/>
    </row>
    <row r="371" spans="1:15" ht="15.75" customHeight="1">
      <c r="A371" s="35" t="s">
        <v>2002</v>
      </c>
      <c r="B371" s="35" t="s">
        <v>51</v>
      </c>
      <c r="C371" s="35"/>
      <c r="D371" s="35" t="s">
        <v>172</v>
      </c>
      <c r="E371" s="35"/>
      <c r="F371" s="35"/>
      <c r="G371" s="35" t="s">
        <v>227</v>
      </c>
      <c r="H371" s="35" t="s">
        <v>2003</v>
      </c>
      <c r="I371" s="35" t="s">
        <v>2004</v>
      </c>
      <c r="J371" s="35"/>
      <c r="K371" s="35" t="s">
        <v>2005</v>
      </c>
      <c r="L371" s="35"/>
      <c r="M371" s="35"/>
      <c r="N371" s="35"/>
      <c r="O371" s="35"/>
    </row>
    <row r="372" spans="1:15" ht="15.75" customHeight="1">
      <c r="A372" s="35" t="s">
        <v>2006</v>
      </c>
      <c r="B372" s="35" t="s">
        <v>2002</v>
      </c>
      <c r="C372" s="35"/>
      <c r="D372" s="35" t="s">
        <v>172</v>
      </c>
      <c r="E372" s="35"/>
      <c r="F372" s="35"/>
      <c r="G372" s="35" t="s">
        <v>227</v>
      </c>
      <c r="H372" s="35" t="s">
        <v>2007</v>
      </c>
      <c r="I372" s="35" t="s">
        <v>2008</v>
      </c>
      <c r="J372" s="35"/>
      <c r="K372" s="35" t="s">
        <v>2009</v>
      </c>
      <c r="L372" s="35"/>
      <c r="M372" s="35"/>
      <c r="N372" s="35"/>
      <c r="O372" s="35"/>
    </row>
    <row r="373" spans="1:15" ht="15.75" customHeight="1">
      <c r="A373" s="35" t="s">
        <v>2010</v>
      </c>
      <c r="B373" s="35" t="s">
        <v>2002</v>
      </c>
      <c r="C373" s="35"/>
      <c r="D373" s="35" t="s">
        <v>172</v>
      </c>
      <c r="E373" s="35"/>
      <c r="F373" s="35"/>
      <c r="G373" s="35" t="s">
        <v>227</v>
      </c>
      <c r="H373" s="35" t="s">
        <v>2011</v>
      </c>
      <c r="I373" s="35" t="s">
        <v>2012</v>
      </c>
      <c r="J373" s="35"/>
      <c r="K373" s="35" t="s">
        <v>2013</v>
      </c>
      <c r="L373" s="35"/>
      <c r="M373" s="35"/>
      <c r="N373" s="35"/>
      <c r="O373" s="35"/>
    </row>
    <row r="374" spans="1:15" ht="15.75" customHeight="1">
      <c r="A374" s="35" t="s">
        <v>2014</v>
      </c>
      <c r="B374" s="35" t="s">
        <v>51</v>
      </c>
      <c r="C374" s="35"/>
      <c r="D374" s="35" t="s">
        <v>172</v>
      </c>
      <c r="E374" s="35"/>
      <c r="F374" s="35"/>
      <c r="G374" s="35" t="s">
        <v>227</v>
      </c>
      <c r="H374" s="35" t="s">
        <v>2015</v>
      </c>
      <c r="I374" s="35" t="s">
        <v>2016</v>
      </c>
      <c r="J374" s="35"/>
      <c r="K374" s="35" t="s">
        <v>2017</v>
      </c>
      <c r="L374" s="35"/>
      <c r="M374" s="35"/>
      <c r="N374" s="35"/>
      <c r="O374" s="35"/>
    </row>
    <row r="375" spans="1:15" ht="15.75" customHeight="1">
      <c r="A375" s="35" t="s">
        <v>2018</v>
      </c>
      <c r="B375" s="35" t="s">
        <v>2014</v>
      </c>
      <c r="C375" s="35"/>
      <c r="D375" s="35" t="s">
        <v>172</v>
      </c>
      <c r="E375" s="35"/>
      <c r="F375" s="35"/>
      <c r="G375" s="35" t="s">
        <v>238</v>
      </c>
      <c r="H375" s="35" t="s">
        <v>211</v>
      </c>
      <c r="I375" s="35" t="s">
        <v>2019</v>
      </c>
      <c r="J375" s="35"/>
      <c r="K375" s="35" t="s">
        <v>2020</v>
      </c>
      <c r="L375" s="35"/>
      <c r="M375" s="35"/>
      <c r="N375" s="35"/>
      <c r="O375" s="35"/>
    </row>
    <row r="376" spans="1:15" ht="15.75" customHeight="1">
      <c r="A376" s="35" t="s">
        <v>2021</v>
      </c>
      <c r="B376" s="35" t="s">
        <v>2014</v>
      </c>
      <c r="C376" s="35"/>
      <c r="D376" s="35" t="s">
        <v>172</v>
      </c>
      <c r="E376" s="35"/>
      <c r="F376" s="35"/>
      <c r="G376" s="35" t="s">
        <v>238</v>
      </c>
      <c r="H376" s="35" t="s">
        <v>2022</v>
      </c>
      <c r="I376" s="35" t="s">
        <v>2023</v>
      </c>
      <c r="J376" s="35"/>
      <c r="K376" s="35" t="s">
        <v>2024</v>
      </c>
      <c r="L376" s="35"/>
      <c r="M376" s="35"/>
      <c r="N376" s="35"/>
      <c r="O376" s="35"/>
    </row>
    <row r="377" spans="1:15" ht="15.75" customHeight="1">
      <c r="A377" s="35" t="s">
        <v>2025</v>
      </c>
      <c r="B377" s="35" t="s">
        <v>2014</v>
      </c>
      <c r="C377" s="35"/>
      <c r="D377" s="35" t="s">
        <v>172</v>
      </c>
      <c r="E377" s="35"/>
      <c r="F377" s="35"/>
      <c r="G377" s="35" t="s">
        <v>238</v>
      </c>
      <c r="H377" s="35" t="s">
        <v>214</v>
      </c>
      <c r="I377" s="35" t="s">
        <v>2026</v>
      </c>
      <c r="J377" s="35"/>
      <c r="K377" s="35" t="s">
        <v>2027</v>
      </c>
      <c r="L377" s="35"/>
      <c r="M377" s="35"/>
      <c r="N377" s="35"/>
      <c r="O377" s="35"/>
    </row>
    <row r="378" spans="1:15" ht="1.5" customHeight="1">
      <c r="A378" s="35" t="s">
        <v>2028</v>
      </c>
      <c r="B378" s="35" t="s">
        <v>51</v>
      </c>
      <c r="C378" s="35"/>
      <c r="D378" s="35" t="s">
        <v>172</v>
      </c>
      <c r="E378" s="35"/>
      <c r="F378" s="35"/>
      <c r="G378" s="35" t="s">
        <v>227</v>
      </c>
      <c r="H378" s="35" t="s">
        <v>198</v>
      </c>
      <c r="I378" s="35" t="s">
        <v>2029</v>
      </c>
      <c r="J378" s="35"/>
      <c r="K378" s="35" t="s">
        <v>2030</v>
      </c>
      <c r="L378" s="35" t="s">
        <v>206</v>
      </c>
      <c r="M378" s="35"/>
      <c r="N378" s="35"/>
    </row>
    <row r="379" spans="1:15" ht="15.75" customHeight="1">
      <c r="A379" s="35" t="s">
        <v>2031</v>
      </c>
      <c r="B379" s="35" t="s">
        <v>51</v>
      </c>
      <c r="C379" s="35"/>
      <c r="D379" s="35" t="s">
        <v>172</v>
      </c>
      <c r="E379" s="35"/>
      <c r="F379" s="35"/>
      <c r="G379" s="35" t="s">
        <v>227</v>
      </c>
      <c r="H379" s="35" t="s">
        <v>2032</v>
      </c>
      <c r="I379" s="35" t="s">
        <v>2033</v>
      </c>
      <c r="J379" s="35"/>
      <c r="K379" s="35" t="s">
        <v>2034</v>
      </c>
      <c r="L379" s="35"/>
      <c r="M379" s="35"/>
      <c r="N379" s="35"/>
      <c r="O379" s="35"/>
    </row>
    <row r="380" spans="1:15" ht="15.75" customHeight="1">
      <c r="A380" s="35" t="s">
        <v>2035</v>
      </c>
      <c r="B380" s="35" t="s">
        <v>2031</v>
      </c>
      <c r="C380" s="35"/>
      <c r="D380" s="35" t="s">
        <v>172</v>
      </c>
      <c r="E380" s="35"/>
      <c r="F380" s="35"/>
      <c r="G380" s="35" t="s">
        <v>238</v>
      </c>
      <c r="H380" s="35" t="s">
        <v>2036</v>
      </c>
      <c r="I380" s="35" t="s">
        <v>2037</v>
      </c>
      <c r="J380" s="35"/>
      <c r="K380" s="35" t="s">
        <v>2038</v>
      </c>
      <c r="L380" s="35"/>
      <c r="M380" s="35"/>
      <c r="N380" s="35"/>
      <c r="O380" s="35"/>
    </row>
    <row r="381" spans="1:15" ht="15.75" customHeight="1">
      <c r="A381" s="35" t="s">
        <v>2039</v>
      </c>
      <c r="B381" s="35" t="s">
        <v>2031</v>
      </c>
      <c r="C381" s="35"/>
      <c r="D381" s="35" t="s">
        <v>172</v>
      </c>
      <c r="E381" s="35"/>
      <c r="F381" s="35"/>
      <c r="G381" s="35" t="s">
        <v>238</v>
      </c>
      <c r="H381" s="35" t="s">
        <v>2040</v>
      </c>
      <c r="I381" s="35" t="s">
        <v>2041</v>
      </c>
      <c r="J381" s="35"/>
      <c r="K381" s="35" t="s">
        <v>2042</v>
      </c>
      <c r="L381" s="35"/>
      <c r="M381" s="35"/>
      <c r="N381" s="35"/>
      <c r="O381" s="35"/>
    </row>
    <row r="382" spans="1:15" ht="15.75" customHeight="1">
      <c r="A382" s="35" t="s">
        <v>2043</v>
      </c>
      <c r="B382" s="35" t="s">
        <v>2031</v>
      </c>
      <c r="C382" s="35"/>
      <c r="D382" s="35" t="s">
        <v>172</v>
      </c>
      <c r="E382" s="35"/>
      <c r="F382" s="35"/>
      <c r="G382" s="35" t="s">
        <v>238</v>
      </c>
      <c r="H382" s="35" t="s">
        <v>2044</v>
      </c>
      <c r="I382" s="35" t="s">
        <v>2045</v>
      </c>
      <c r="J382" s="35"/>
      <c r="K382" s="35" t="s">
        <v>2046</v>
      </c>
      <c r="L382" s="35"/>
      <c r="M382" s="35"/>
      <c r="N382" s="35"/>
      <c r="O382" s="35"/>
    </row>
    <row r="383" spans="1:15" ht="15.75" customHeight="1">
      <c r="A383" s="35" t="s">
        <v>2047</v>
      </c>
      <c r="B383" s="35" t="s">
        <v>2031</v>
      </c>
      <c r="C383" s="35"/>
      <c r="D383" s="35" t="s">
        <v>172</v>
      </c>
      <c r="E383" s="35"/>
      <c r="F383" s="35"/>
      <c r="G383" s="35" t="s">
        <v>238</v>
      </c>
      <c r="H383" s="35" t="s">
        <v>2048</v>
      </c>
      <c r="I383" s="35" t="s">
        <v>2049</v>
      </c>
      <c r="J383" s="35"/>
      <c r="K383" s="35" t="s">
        <v>2050</v>
      </c>
      <c r="L383" s="35"/>
      <c r="M383" s="35"/>
      <c r="N383" s="35"/>
      <c r="O383" s="35"/>
    </row>
    <row r="384" spans="1:15" ht="15.75" customHeight="1">
      <c r="A384" s="35" t="s">
        <v>2051</v>
      </c>
      <c r="B384" s="35" t="s">
        <v>2031</v>
      </c>
      <c r="C384" s="35"/>
      <c r="D384" s="35" t="s">
        <v>172</v>
      </c>
      <c r="E384" s="35"/>
      <c r="F384" s="35"/>
      <c r="G384" s="35" t="s">
        <v>238</v>
      </c>
      <c r="H384" s="35" t="s">
        <v>2052</v>
      </c>
      <c r="I384" s="35" t="s">
        <v>2053</v>
      </c>
      <c r="J384" s="35"/>
      <c r="K384" s="35" t="s">
        <v>2054</v>
      </c>
      <c r="L384" s="35"/>
      <c r="M384" s="35"/>
      <c r="N384" s="35"/>
      <c r="O384" s="35"/>
    </row>
    <row r="385" spans="1:15" ht="15.75" customHeight="1">
      <c r="A385" s="35" t="s">
        <v>2055</v>
      </c>
      <c r="B385" s="35" t="s">
        <v>2031</v>
      </c>
      <c r="C385" s="35"/>
      <c r="D385" s="35" t="s">
        <v>172</v>
      </c>
      <c r="E385" s="35"/>
      <c r="F385" s="35"/>
      <c r="G385" s="35" t="s">
        <v>238</v>
      </c>
      <c r="H385" s="35" t="s">
        <v>2056</v>
      </c>
      <c r="I385" s="35" t="s">
        <v>2057</v>
      </c>
      <c r="J385" s="35"/>
      <c r="K385" s="35" t="s">
        <v>2058</v>
      </c>
      <c r="L385" s="35"/>
      <c r="M385" s="35"/>
      <c r="N385" s="35"/>
      <c r="O385" s="35"/>
    </row>
    <row r="386" spans="1:15" ht="15.75" customHeight="1">
      <c r="A386" s="35" t="s">
        <v>2059</v>
      </c>
      <c r="B386" s="35" t="s">
        <v>2031</v>
      </c>
      <c r="C386" s="35"/>
      <c r="D386" s="35" t="s">
        <v>172</v>
      </c>
      <c r="E386" s="35"/>
      <c r="F386" s="35"/>
      <c r="G386" s="35" t="s">
        <v>238</v>
      </c>
      <c r="H386" s="35" t="s">
        <v>2060</v>
      </c>
      <c r="I386" s="35" t="s">
        <v>2061</v>
      </c>
      <c r="J386" s="35"/>
      <c r="K386" s="35" t="s">
        <v>2062</v>
      </c>
      <c r="L386" s="35"/>
      <c r="M386" s="35"/>
      <c r="N386" s="35"/>
      <c r="O386" s="35"/>
    </row>
    <row r="387" spans="1:15" ht="15.75" customHeight="1">
      <c r="A387" s="35" t="s">
        <v>59</v>
      </c>
      <c r="B387" s="35"/>
      <c r="C387" s="35"/>
      <c r="D387" s="35" t="s">
        <v>172</v>
      </c>
      <c r="E387" s="35"/>
      <c r="F387" s="35"/>
      <c r="G387" s="35" t="s">
        <v>227</v>
      </c>
      <c r="H387" s="35" t="s">
        <v>414</v>
      </c>
      <c r="I387" s="35" t="s">
        <v>415</v>
      </c>
      <c r="J387" s="35"/>
      <c r="K387" s="35" t="s">
        <v>417</v>
      </c>
      <c r="L387" s="35"/>
      <c r="M387" s="35"/>
      <c r="N387" s="35"/>
      <c r="O387" s="35"/>
    </row>
    <row r="388" spans="1:15" ht="15.75" customHeight="1">
      <c r="A388" s="35" t="s">
        <v>419</v>
      </c>
      <c r="B388" s="35" t="s">
        <v>59</v>
      </c>
      <c r="C388" s="35"/>
      <c r="D388" s="35" t="s">
        <v>172</v>
      </c>
      <c r="E388" s="35"/>
      <c r="F388" s="35"/>
      <c r="G388" s="35" t="s">
        <v>227</v>
      </c>
      <c r="H388" s="35" t="s">
        <v>420</v>
      </c>
      <c r="I388" s="35" t="s">
        <v>421</v>
      </c>
      <c r="J388" s="35"/>
      <c r="K388" s="35" t="s">
        <v>423</v>
      </c>
      <c r="L388" s="35"/>
      <c r="M388" s="35"/>
      <c r="N388" s="35"/>
      <c r="O388" s="35"/>
    </row>
    <row r="389" spans="1:15" ht="15.75" customHeight="1">
      <c r="A389" s="35" t="s">
        <v>430</v>
      </c>
      <c r="B389" s="35" t="s">
        <v>419</v>
      </c>
      <c r="C389" s="35"/>
      <c r="D389" s="35" t="s">
        <v>172</v>
      </c>
      <c r="E389" s="35"/>
      <c r="F389" s="35"/>
      <c r="G389" s="35" t="s">
        <v>227</v>
      </c>
      <c r="H389" s="35" t="s">
        <v>78</v>
      </c>
      <c r="I389" s="35" t="s">
        <v>2063</v>
      </c>
      <c r="J389" s="35"/>
      <c r="K389" s="35" t="s">
        <v>433</v>
      </c>
      <c r="L389" s="35"/>
      <c r="M389" s="35"/>
      <c r="N389" s="35"/>
      <c r="O389" s="35"/>
    </row>
    <row r="390" spans="1:15" ht="15.75" customHeight="1">
      <c r="A390" s="35" t="s">
        <v>435</v>
      </c>
      <c r="B390" s="35" t="s">
        <v>430</v>
      </c>
      <c r="C390" s="35"/>
      <c r="D390" s="35" t="s">
        <v>172</v>
      </c>
      <c r="E390" s="35"/>
      <c r="F390" s="35"/>
      <c r="G390" s="35" t="s">
        <v>227</v>
      </c>
      <c r="H390" s="35" t="s">
        <v>436</v>
      </c>
      <c r="I390" s="35" t="s">
        <v>2064</v>
      </c>
      <c r="J390" s="35"/>
      <c r="K390" s="35" t="s">
        <v>439</v>
      </c>
      <c r="L390" s="35"/>
      <c r="M390" s="35"/>
      <c r="N390" s="35"/>
      <c r="O390" s="35"/>
    </row>
    <row r="391" spans="1:15" ht="15.75" customHeight="1">
      <c r="A391" s="35" t="s">
        <v>441</v>
      </c>
      <c r="B391" s="35" t="s">
        <v>430</v>
      </c>
      <c r="C391" s="35"/>
      <c r="D391" s="35" t="s">
        <v>172</v>
      </c>
      <c r="E391" s="35"/>
      <c r="F391" s="35"/>
      <c r="G391" s="35" t="s">
        <v>227</v>
      </c>
      <c r="H391" s="35" t="s">
        <v>442</v>
      </c>
      <c r="I391" s="35" t="s">
        <v>443</v>
      </c>
      <c r="J391" s="35"/>
      <c r="K391" s="35" t="s">
        <v>445</v>
      </c>
      <c r="L391" s="35"/>
      <c r="M391" s="35"/>
      <c r="N391" s="35"/>
      <c r="O391" s="35"/>
    </row>
    <row r="392" spans="1:15" ht="15.75" customHeight="1">
      <c r="A392" s="35" t="s">
        <v>447</v>
      </c>
      <c r="B392" s="35" t="s">
        <v>430</v>
      </c>
      <c r="C392" s="35"/>
      <c r="D392" s="35" t="s">
        <v>172</v>
      </c>
      <c r="E392" s="35"/>
      <c r="F392" s="35"/>
      <c r="G392" s="35" t="s">
        <v>227</v>
      </c>
      <c r="H392" s="35" t="s">
        <v>448</v>
      </c>
      <c r="I392" s="35" t="s">
        <v>2065</v>
      </c>
      <c r="J392" s="35"/>
      <c r="K392" s="35" t="s">
        <v>2066</v>
      </c>
      <c r="L392" s="35"/>
      <c r="M392" s="35"/>
      <c r="N392" s="35"/>
      <c r="O392" s="35"/>
    </row>
    <row r="393" spans="1:15" ht="15.75" customHeight="1">
      <c r="A393" s="35" t="s">
        <v>453</v>
      </c>
      <c r="B393" s="35" t="s">
        <v>430</v>
      </c>
      <c r="C393" s="35"/>
      <c r="D393" s="35" t="s">
        <v>172</v>
      </c>
      <c r="E393" s="35"/>
      <c r="F393" s="35"/>
      <c r="G393" s="35" t="s">
        <v>227</v>
      </c>
      <c r="H393" s="35" t="s">
        <v>454</v>
      </c>
      <c r="I393" s="35" t="s">
        <v>2067</v>
      </c>
      <c r="J393" s="35"/>
      <c r="K393" s="35" t="s">
        <v>457</v>
      </c>
      <c r="L393" s="35"/>
      <c r="M393" s="35"/>
      <c r="N393" s="35"/>
      <c r="O393" s="35"/>
    </row>
    <row r="394" spans="1:15" ht="15.75" customHeight="1">
      <c r="A394" s="35" t="s">
        <v>459</v>
      </c>
      <c r="B394" s="35" t="s">
        <v>430</v>
      </c>
      <c r="C394" s="35"/>
      <c r="D394" s="35" t="s">
        <v>172</v>
      </c>
      <c r="E394" s="35"/>
      <c r="F394" s="35"/>
      <c r="G394" s="35" t="s">
        <v>227</v>
      </c>
      <c r="H394" s="35" t="s">
        <v>460</v>
      </c>
      <c r="I394" s="35" t="s">
        <v>2068</v>
      </c>
      <c r="J394" s="35"/>
      <c r="K394" s="35" t="s">
        <v>463</v>
      </c>
      <c r="L394" s="35"/>
      <c r="M394" s="35"/>
      <c r="N394" s="35"/>
      <c r="O394" s="35"/>
    </row>
    <row r="395" spans="1:15" ht="15.75" customHeight="1">
      <c r="A395" s="35" t="s">
        <v>465</v>
      </c>
      <c r="B395" s="35" t="s">
        <v>419</v>
      </c>
      <c r="C395" s="35"/>
      <c r="D395" s="35" t="s">
        <v>172</v>
      </c>
      <c r="E395" s="35"/>
      <c r="F395" s="35"/>
      <c r="G395" s="35" t="s">
        <v>227</v>
      </c>
      <c r="H395" s="35" t="s">
        <v>466</v>
      </c>
      <c r="I395" s="35" t="s">
        <v>2069</v>
      </c>
      <c r="J395" s="35"/>
      <c r="K395" s="35" t="s">
        <v>469</v>
      </c>
      <c r="L395" s="35"/>
      <c r="M395" s="35"/>
      <c r="N395" s="35"/>
      <c r="O395" s="35"/>
    </row>
    <row r="396" spans="1:15" ht="15.75" customHeight="1">
      <c r="A396" s="35" t="s">
        <v>471</v>
      </c>
      <c r="B396" s="35" t="s">
        <v>465</v>
      </c>
      <c r="C396" s="35"/>
      <c r="D396" s="35" t="s">
        <v>172</v>
      </c>
      <c r="E396" s="35"/>
      <c r="F396" s="35"/>
      <c r="G396" s="35" t="s">
        <v>238</v>
      </c>
      <c r="H396" s="35" t="s">
        <v>472</v>
      </c>
      <c r="I396" s="35" t="s">
        <v>2070</v>
      </c>
      <c r="J396" s="35"/>
      <c r="K396" s="35" t="s">
        <v>475</v>
      </c>
      <c r="L396" s="35"/>
      <c r="M396" s="35"/>
      <c r="N396" s="35"/>
      <c r="O396" s="35"/>
    </row>
    <row r="397" spans="1:15" ht="15.75" customHeight="1">
      <c r="A397" s="35" t="s">
        <v>477</v>
      </c>
      <c r="B397" s="35" t="s">
        <v>465</v>
      </c>
      <c r="C397" s="35"/>
      <c r="D397" s="35" t="s">
        <v>172</v>
      </c>
      <c r="E397" s="35"/>
      <c r="F397" s="35"/>
      <c r="G397" s="35" t="s">
        <v>238</v>
      </c>
      <c r="H397" s="35" t="s">
        <v>478</v>
      </c>
      <c r="I397" s="35" t="s">
        <v>2071</v>
      </c>
      <c r="J397" s="35"/>
      <c r="K397" s="35" t="s">
        <v>2072</v>
      </c>
      <c r="L397" s="35"/>
      <c r="M397" s="35"/>
      <c r="N397" s="35"/>
      <c r="O397" s="35"/>
    </row>
    <row r="398" spans="1:15" ht="15.75" customHeight="1">
      <c r="A398" s="35" t="s">
        <v>483</v>
      </c>
      <c r="B398" s="35" t="s">
        <v>465</v>
      </c>
      <c r="C398" s="35"/>
      <c r="D398" s="35" t="s">
        <v>172</v>
      </c>
      <c r="E398" s="35"/>
      <c r="F398" s="35"/>
      <c r="G398" s="35" t="s">
        <v>238</v>
      </c>
      <c r="H398" s="35" t="s">
        <v>484</v>
      </c>
      <c r="I398" s="35" t="s">
        <v>2073</v>
      </c>
      <c r="J398" s="35"/>
      <c r="K398" s="35" t="s">
        <v>2074</v>
      </c>
      <c r="L398" s="35"/>
      <c r="M398" s="35"/>
      <c r="N398" s="35"/>
      <c r="O398" s="35"/>
    </row>
    <row r="399" spans="1:15" ht="15.75" customHeight="1">
      <c r="A399" s="35" t="s">
        <v>489</v>
      </c>
      <c r="B399" s="35" t="s">
        <v>419</v>
      </c>
      <c r="C399" s="35"/>
      <c r="D399" s="35" t="s">
        <v>172</v>
      </c>
      <c r="E399" s="35"/>
      <c r="F399" s="35"/>
      <c r="G399" s="35" t="s">
        <v>227</v>
      </c>
      <c r="H399" s="35" t="s">
        <v>490</v>
      </c>
      <c r="I399" s="35" t="s">
        <v>2075</v>
      </c>
      <c r="J399" s="35"/>
      <c r="K399" s="35" t="s">
        <v>493</v>
      </c>
      <c r="L399" s="35"/>
      <c r="M399" s="35"/>
      <c r="N399" s="35"/>
      <c r="O399" s="35"/>
    </row>
    <row r="400" spans="1:15" ht="15.75" customHeight="1">
      <c r="A400" s="35" t="s">
        <v>495</v>
      </c>
      <c r="B400" s="35" t="s">
        <v>489</v>
      </c>
      <c r="C400" s="35"/>
      <c r="D400" s="35" t="s">
        <v>172</v>
      </c>
      <c r="E400" s="35"/>
      <c r="F400" s="35"/>
      <c r="G400" s="35" t="s">
        <v>238</v>
      </c>
      <c r="H400" s="35" t="s">
        <v>496</v>
      </c>
      <c r="I400" s="35" t="s">
        <v>2076</v>
      </c>
      <c r="J400" s="35"/>
      <c r="K400" s="35" t="s">
        <v>499</v>
      </c>
      <c r="L400" s="35"/>
      <c r="M400" s="35"/>
      <c r="N400" s="35"/>
      <c r="O400" s="35"/>
    </row>
    <row r="401" spans="1:15" ht="15.75" customHeight="1">
      <c r="A401" s="35" t="s">
        <v>501</v>
      </c>
      <c r="B401" s="35" t="s">
        <v>489</v>
      </c>
      <c r="C401" s="35"/>
      <c r="D401" s="35" t="s">
        <v>172</v>
      </c>
      <c r="E401" s="35"/>
      <c r="F401" s="35"/>
      <c r="G401" s="35" t="s">
        <v>238</v>
      </c>
      <c r="H401" s="35" t="s">
        <v>502</v>
      </c>
      <c r="I401" s="35" t="s">
        <v>2077</v>
      </c>
      <c r="J401" s="35"/>
      <c r="K401" s="35" t="s">
        <v>2078</v>
      </c>
      <c r="L401" s="35"/>
      <c r="M401" s="35"/>
      <c r="N401" s="35"/>
      <c r="O401" s="35"/>
    </row>
    <row r="402" spans="1:15" ht="15.75" customHeight="1">
      <c r="A402" s="35" t="s">
        <v>507</v>
      </c>
      <c r="B402" s="35" t="s">
        <v>489</v>
      </c>
      <c r="C402" s="35"/>
      <c r="D402" s="35" t="s">
        <v>172</v>
      </c>
      <c r="E402" s="35"/>
      <c r="F402" s="35"/>
      <c r="G402" s="35" t="s">
        <v>238</v>
      </c>
      <c r="H402" s="35" t="s">
        <v>508</v>
      </c>
      <c r="I402" s="38" t="s">
        <v>509</v>
      </c>
      <c r="J402" s="35"/>
      <c r="K402" s="35" t="s">
        <v>2079</v>
      </c>
      <c r="L402" s="35"/>
      <c r="M402" s="35"/>
      <c r="N402" s="35"/>
      <c r="O402" s="35"/>
    </row>
    <row r="403" spans="1:15" ht="15.75" customHeight="1">
      <c r="A403" s="35" t="s">
        <v>513</v>
      </c>
      <c r="B403" s="35" t="s">
        <v>419</v>
      </c>
      <c r="C403" s="35"/>
      <c r="D403" s="35" t="s">
        <v>172</v>
      </c>
      <c r="E403" s="35"/>
      <c r="F403" s="35"/>
      <c r="G403" s="35" t="s">
        <v>227</v>
      </c>
      <c r="H403" s="35" t="s">
        <v>514</v>
      </c>
      <c r="I403" s="35" t="s">
        <v>2080</v>
      </c>
      <c r="J403" s="35"/>
      <c r="K403" s="35" t="s">
        <v>517</v>
      </c>
      <c r="L403" s="35"/>
      <c r="M403" s="35"/>
      <c r="N403" s="35"/>
      <c r="O403" s="35"/>
    </row>
    <row r="404" spans="1:15" ht="15.75" customHeight="1">
      <c r="A404" s="35" t="s">
        <v>519</v>
      </c>
      <c r="B404" s="35" t="s">
        <v>513</v>
      </c>
      <c r="C404" s="35"/>
      <c r="D404" s="35" t="s">
        <v>172</v>
      </c>
      <c r="E404" s="35"/>
      <c r="F404" s="35"/>
      <c r="G404" s="35" t="s">
        <v>238</v>
      </c>
      <c r="H404" s="35" t="s">
        <v>520</v>
      </c>
      <c r="I404" s="35" t="s">
        <v>2081</v>
      </c>
      <c r="J404" s="35"/>
      <c r="K404" s="35" t="s">
        <v>523</v>
      </c>
      <c r="L404" s="35"/>
      <c r="M404" s="35"/>
      <c r="N404" s="35"/>
      <c r="O404" s="35"/>
    </row>
    <row r="405" spans="1:15" ht="15.75" customHeight="1">
      <c r="A405" s="35" t="s">
        <v>525</v>
      </c>
      <c r="B405" s="35" t="s">
        <v>513</v>
      </c>
      <c r="C405" s="35"/>
      <c r="D405" s="35" t="s">
        <v>172</v>
      </c>
      <c r="E405" s="35"/>
      <c r="F405" s="35"/>
      <c r="G405" s="35" t="s">
        <v>238</v>
      </c>
      <c r="H405" s="35" t="s">
        <v>526</v>
      </c>
      <c r="I405" s="35" t="s">
        <v>2082</v>
      </c>
      <c r="J405" s="35"/>
      <c r="K405" s="35" t="s">
        <v>529</v>
      </c>
      <c r="L405" s="35"/>
      <c r="M405" s="35"/>
      <c r="N405" s="35"/>
      <c r="O405" s="35"/>
    </row>
    <row r="406" spans="1:15" ht="15.75" customHeight="1">
      <c r="A406" s="35" t="s">
        <v>531</v>
      </c>
      <c r="B406" s="35" t="s">
        <v>513</v>
      </c>
      <c r="C406" s="35"/>
      <c r="D406" s="35" t="s">
        <v>172</v>
      </c>
      <c r="E406" s="35"/>
      <c r="F406" s="35"/>
      <c r="G406" s="35" t="s">
        <v>238</v>
      </c>
      <c r="H406" s="35" t="s">
        <v>2083</v>
      </c>
      <c r="I406" s="35" t="s">
        <v>2084</v>
      </c>
      <c r="J406" s="35"/>
      <c r="K406" s="35" t="s">
        <v>2085</v>
      </c>
      <c r="L406" s="35"/>
      <c r="M406" s="35"/>
      <c r="N406" s="35"/>
      <c r="O406" s="35"/>
    </row>
    <row r="407" spans="1:15" ht="15.75" customHeight="1">
      <c r="A407" s="35" t="s">
        <v>537</v>
      </c>
      <c r="B407" s="35" t="s">
        <v>59</v>
      </c>
      <c r="C407" s="35"/>
      <c r="D407" s="35" t="s">
        <v>172</v>
      </c>
      <c r="E407" s="35"/>
      <c r="F407" s="35"/>
      <c r="G407" s="35" t="s">
        <v>227</v>
      </c>
      <c r="H407" s="35" t="s">
        <v>538</v>
      </c>
      <c r="I407" s="35" t="s">
        <v>2086</v>
      </c>
      <c r="J407" s="35"/>
      <c r="K407" s="35" t="s">
        <v>2087</v>
      </c>
      <c r="L407" s="35"/>
      <c r="M407" s="35"/>
      <c r="N407" s="35"/>
      <c r="O407" s="35"/>
    </row>
    <row r="408" spans="1:15" ht="15.75" customHeight="1">
      <c r="A408" s="35" t="s">
        <v>543</v>
      </c>
      <c r="B408" s="35" t="s">
        <v>537</v>
      </c>
      <c r="C408" s="35"/>
      <c r="D408" s="35" t="s">
        <v>172</v>
      </c>
      <c r="E408" s="35"/>
      <c r="F408" s="35"/>
      <c r="G408" s="35" t="s">
        <v>238</v>
      </c>
      <c r="H408" s="35" t="s">
        <v>14</v>
      </c>
      <c r="I408" s="35" t="s">
        <v>2088</v>
      </c>
      <c r="J408" s="35"/>
      <c r="K408" s="35" t="s">
        <v>2089</v>
      </c>
      <c r="L408" s="35"/>
      <c r="M408" s="35"/>
      <c r="N408" s="35"/>
      <c r="O408" s="35"/>
    </row>
    <row r="409" spans="1:15" ht="15.75" customHeight="1">
      <c r="A409" s="35" t="s">
        <v>548</v>
      </c>
      <c r="B409" s="35" t="s">
        <v>537</v>
      </c>
      <c r="C409" s="35"/>
      <c r="D409" s="35" t="s">
        <v>172</v>
      </c>
      <c r="E409" s="35"/>
      <c r="F409" s="35"/>
      <c r="G409" s="35" t="s">
        <v>238</v>
      </c>
      <c r="H409" s="35" t="s">
        <v>549</v>
      </c>
      <c r="I409" s="35" t="s">
        <v>2090</v>
      </c>
      <c r="J409" s="35"/>
      <c r="K409" s="35" t="s">
        <v>2091</v>
      </c>
      <c r="L409" s="35"/>
      <c r="M409" s="35"/>
      <c r="N409" s="35"/>
      <c r="O409" s="35"/>
    </row>
    <row r="410" spans="1:15" ht="15.75" customHeight="1">
      <c r="A410" s="35" t="s">
        <v>553</v>
      </c>
      <c r="B410" s="35" t="s">
        <v>548</v>
      </c>
      <c r="C410" s="35"/>
      <c r="D410" s="35" t="s">
        <v>172</v>
      </c>
      <c r="E410" s="35"/>
      <c r="F410" s="35"/>
      <c r="G410" s="35" t="s">
        <v>238</v>
      </c>
      <c r="H410" s="35" t="s">
        <v>554</v>
      </c>
      <c r="I410" s="35" t="s">
        <v>2092</v>
      </c>
      <c r="J410" s="35"/>
      <c r="K410" s="35" t="s">
        <v>557</v>
      </c>
      <c r="L410" s="35"/>
      <c r="M410" s="35"/>
      <c r="N410" s="35"/>
      <c r="O410" s="35"/>
    </row>
    <row r="411" spans="1:15" ht="15.75" customHeight="1">
      <c r="A411" s="35" t="s">
        <v>559</v>
      </c>
      <c r="B411" s="35" t="s">
        <v>537</v>
      </c>
      <c r="C411" s="35"/>
      <c r="D411" s="35" t="s">
        <v>172</v>
      </c>
      <c r="E411" s="35"/>
      <c r="F411" s="35"/>
      <c r="G411" s="35" t="s">
        <v>238</v>
      </c>
      <c r="H411" s="35" t="s">
        <v>560</v>
      </c>
      <c r="I411" s="35" t="s">
        <v>2093</v>
      </c>
      <c r="J411" s="35"/>
      <c r="K411" s="35" t="s">
        <v>590</v>
      </c>
      <c r="L411" s="35"/>
      <c r="M411" s="35"/>
      <c r="N411" s="35"/>
      <c r="O411" s="35"/>
    </row>
    <row r="412" spans="1:15" ht="15.75" customHeight="1">
      <c r="A412" s="35" t="s">
        <v>565</v>
      </c>
      <c r="B412" s="35" t="s">
        <v>537</v>
      </c>
      <c r="C412" s="35"/>
      <c r="D412" s="35" t="s">
        <v>172</v>
      </c>
      <c r="E412" s="35"/>
      <c r="F412" s="35"/>
      <c r="G412" s="35" t="s">
        <v>238</v>
      </c>
      <c r="H412" s="35" t="s">
        <v>19</v>
      </c>
      <c r="I412" s="35" t="s">
        <v>2094</v>
      </c>
      <c r="J412" s="35"/>
      <c r="K412" s="35" t="s">
        <v>2095</v>
      </c>
      <c r="L412" s="35"/>
      <c r="M412" s="35"/>
      <c r="N412" s="35"/>
      <c r="O412" s="35"/>
    </row>
    <row r="413" spans="1:15" ht="15.75" customHeight="1">
      <c r="A413" s="35" t="s">
        <v>570</v>
      </c>
      <c r="B413" s="35" t="s">
        <v>537</v>
      </c>
      <c r="C413" s="35"/>
      <c r="D413" s="35" t="s">
        <v>172</v>
      </c>
      <c r="E413" s="35"/>
      <c r="F413" s="35"/>
      <c r="G413" s="35" t="s">
        <v>238</v>
      </c>
      <c r="H413" s="35" t="s">
        <v>571</v>
      </c>
      <c r="I413" s="35" t="s">
        <v>572</v>
      </c>
      <c r="J413" s="35"/>
      <c r="K413" s="35" t="s">
        <v>2096</v>
      </c>
      <c r="L413" s="35"/>
      <c r="M413" s="35"/>
      <c r="N413" s="35"/>
      <c r="O413" s="35"/>
    </row>
    <row r="414" spans="1:15" ht="15.75" customHeight="1">
      <c r="A414" s="35" t="s">
        <v>576</v>
      </c>
      <c r="B414" s="35" t="s">
        <v>537</v>
      </c>
      <c r="C414" s="35"/>
      <c r="D414" s="35" t="s">
        <v>172</v>
      </c>
      <c r="E414" s="35"/>
      <c r="F414" s="35"/>
      <c r="G414" s="35" t="s">
        <v>238</v>
      </c>
      <c r="H414" s="35" t="s">
        <v>577</v>
      </c>
      <c r="I414" s="35" t="s">
        <v>578</v>
      </c>
      <c r="J414" s="35"/>
      <c r="K414" s="35" t="s">
        <v>579</v>
      </c>
      <c r="L414" s="35"/>
      <c r="M414" s="35"/>
      <c r="N414" s="35"/>
      <c r="O414" s="35"/>
    </row>
    <row r="415" spans="1:15" ht="15.75" customHeight="1">
      <c r="A415" s="35" t="s">
        <v>581</v>
      </c>
      <c r="B415" s="35" t="s">
        <v>576</v>
      </c>
      <c r="C415" s="35"/>
      <c r="D415" s="35" t="s">
        <v>172</v>
      </c>
      <c r="E415" s="35"/>
      <c r="F415" s="35"/>
      <c r="G415" s="35" t="s">
        <v>238</v>
      </c>
      <c r="H415" s="35" t="s">
        <v>2097</v>
      </c>
      <c r="I415" s="35" t="s">
        <v>2098</v>
      </c>
      <c r="J415" s="35"/>
      <c r="K415" s="35" t="s">
        <v>579</v>
      </c>
      <c r="L415" s="35"/>
      <c r="M415" s="35"/>
      <c r="N415" s="35"/>
      <c r="O415" s="35"/>
    </row>
    <row r="416" spans="1:15" ht="15.75" customHeight="1">
      <c r="A416" s="35" t="s">
        <v>584</v>
      </c>
      <c r="B416" s="35" t="s">
        <v>576</v>
      </c>
      <c r="C416" s="35"/>
      <c r="D416" s="35" t="s">
        <v>172</v>
      </c>
      <c r="E416" s="35"/>
      <c r="F416" s="35"/>
      <c r="G416" s="35" t="s">
        <v>238</v>
      </c>
      <c r="H416" s="35" t="s">
        <v>2099</v>
      </c>
      <c r="I416" s="35" t="s">
        <v>2098</v>
      </c>
      <c r="J416" s="35"/>
      <c r="K416" s="35" t="s">
        <v>579</v>
      </c>
      <c r="L416" s="35"/>
      <c r="M416" s="35"/>
      <c r="N416" s="35"/>
      <c r="O416" s="35"/>
    </row>
    <row r="417" spans="1:15" ht="15.75" customHeight="1">
      <c r="A417" s="35" t="s">
        <v>587</v>
      </c>
      <c r="B417" s="35" t="s">
        <v>537</v>
      </c>
      <c r="C417" s="35"/>
      <c r="D417" s="35" t="s">
        <v>172</v>
      </c>
      <c r="E417" s="35"/>
      <c r="F417" s="35"/>
      <c r="G417" s="35" t="s">
        <v>238</v>
      </c>
      <c r="H417" s="35" t="s">
        <v>588</v>
      </c>
      <c r="I417" s="35" t="s">
        <v>2100</v>
      </c>
      <c r="J417" s="35"/>
      <c r="K417" s="35" t="s">
        <v>2101</v>
      </c>
      <c r="L417" s="35"/>
      <c r="M417" s="35"/>
      <c r="N417" s="35"/>
      <c r="O417" s="35"/>
    </row>
    <row r="418" spans="1:15" ht="15.75" customHeight="1">
      <c r="A418" s="35" t="s">
        <v>592</v>
      </c>
      <c r="B418" s="35" t="s">
        <v>537</v>
      </c>
      <c r="C418" s="35"/>
      <c r="D418" s="35" t="s">
        <v>172</v>
      </c>
      <c r="E418" s="35"/>
      <c r="F418" s="35"/>
      <c r="G418" s="35" t="s">
        <v>238</v>
      </c>
      <c r="H418" s="35" t="s">
        <v>593</v>
      </c>
      <c r="I418" s="35" t="s">
        <v>2102</v>
      </c>
      <c r="J418" s="35"/>
      <c r="K418" s="35" t="s">
        <v>595</v>
      </c>
      <c r="L418" s="35"/>
      <c r="M418" s="35"/>
      <c r="N418" s="35"/>
      <c r="O418" s="35"/>
    </row>
    <row r="419" spans="1:15" ht="15.75" customHeight="1">
      <c r="A419" s="35" t="s">
        <v>596</v>
      </c>
      <c r="B419" s="35" t="s">
        <v>59</v>
      </c>
      <c r="C419" s="35"/>
      <c r="D419" s="35" t="s">
        <v>172</v>
      </c>
      <c r="E419" s="35"/>
      <c r="F419" s="35"/>
      <c r="G419" s="35" t="s">
        <v>227</v>
      </c>
      <c r="H419" s="35" t="s">
        <v>597</v>
      </c>
      <c r="I419" s="35" t="s">
        <v>2103</v>
      </c>
      <c r="J419" s="35"/>
      <c r="K419" s="35" t="s">
        <v>599</v>
      </c>
      <c r="L419" s="35"/>
      <c r="M419" s="35"/>
      <c r="N419" s="35"/>
      <c r="O419" s="35"/>
    </row>
    <row r="420" spans="1:15" ht="15.75" customHeight="1">
      <c r="A420" s="35" t="s">
        <v>601</v>
      </c>
      <c r="B420" s="35" t="s">
        <v>596</v>
      </c>
      <c r="C420" s="35"/>
      <c r="D420" s="35" t="s">
        <v>172</v>
      </c>
      <c r="E420" s="35"/>
      <c r="F420" s="35"/>
      <c r="G420" s="35" t="s">
        <v>227</v>
      </c>
      <c r="H420" s="35" t="s">
        <v>602</v>
      </c>
      <c r="I420" s="35" t="s">
        <v>2104</v>
      </c>
      <c r="J420" s="35"/>
      <c r="K420" s="35" t="s">
        <v>604</v>
      </c>
      <c r="L420" s="35"/>
      <c r="M420" s="35"/>
      <c r="N420" s="35"/>
      <c r="O420" s="35"/>
    </row>
    <row r="421" spans="1:15" ht="15.75" customHeight="1">
      <c r="A421" s="35" t="s">
        <v>606</v>
      </c>
      <c r="B421" s="35" t="s">
        <v>596</v>
      </c>
      <c r="C421" s="35"/>
      <c r="D421" s="35" t="s">
        <v>172</v>
      </c>
      <c r="E421" s="35"/>
      <c r="F421" s="35"/>
      <c r="G421" s="35" t="s">
        <v>227</v>
      </c>
      <c r="H421" s="35" t="s">
        <v>607</v>
      </c>
      <c r="I421" s="35" t="s">
        <v>2105</v>
      </c>
      <c r="J421" s="35"/>
      <c r="K421" s="35" t="s">
        <v>609</v>
      </c>
      <c r="L421" s="35"/>
      <c r="M421" s="35"/>
      <c r="N421" s="35"/>
      <c r="O421" s="35"/>
    </row>
    <row r="422" spans="1:15" ht="15.75" customHeight="1">
      <c r="A422" s="35" t="s">
        <v>611</v>
      </c>
      <c r="B422" s="35" t="s">
        <v>606</v>
      </c>
      <c r="C422" s="35"/>
      <c r="D422" s="35" t="s">
        <v>172</v>
      </c>
      <c r="E422" s="35"/>
      <c r="F422" s="35"/>
      <c r="G422" s="35" t="s">
        <v>238</v>
      </c>
      <c r="H422" s="35" t="s">
        <v>612</v>
      </c>
      <c r="I422" s="35" t="s">
        <v>2106</v>
      </c>
      <c r="J422" s="35"/>
      <c r="K422" s="35" t="s">
        <v>614</v>
      </c>
      <c r="L422" s="35"/>
      <c r="M422" s="35"/>
      <c r="N422" s="35"/>
      <c r="O422" s="35"/>
    </row>
    <row r="423" spans="1:15" ht="15.75" customHeight="1">
      <c r="A423" s="35" t="s">
        <v>616</v>
      </c>
      <c r="B423" s="35" t="s">
        <v>606</v>
      </c>
      <c r="C423" s="35"/>
      <c r="D423" s="35" t="s">
        <v>172</v>
      </c>
      <c r="E423" s="35"/>
      <c r="F423" s="35"/>
      <c r="G423" s="35" t="s">
        <v>238</v>
      </c>
      <c r="H423" s="35" t="s">
        <v>617</v>
      </c>
      <c r="I423" s="35" t="s">
        <v>618</v>
      </c>
      <c r="J423" s="35"/>
      <c r="K423" s="35" t="s">
        <v>619</v>
      </c>
      <c r="L423" s="35"/>
      <c r="M423" s="35"/>
      <c r="N423" s="35"/>
      <c r="O423" s="35"/>
    </row>
    <row r="424" spans="1:15" ht="15.75" customHeight="1">
      <c r="A424" s="35" t="s">
        <v>621</v>
      </c>
      <c r="B424" s="35" t="s">
        <v>606</v>
      </c>
      <c r="C424" s="35"/>
      <c r="D424" s="35" t="s">
        <v>172</v>
      </c>
      <c r="E424" s="35"/>
      <c r="F424" s="35"/>
      <c r="G424" s="35" t="s">
        <v>238</v>
      </c>
      <c r="H424" s="35" t="s">
        <v>8</v>
      </c>
      <c r="I424" s="35" t="s">
        <v>2107</v>
      </c>
      <c r="J424" s="35"/>
      <c r="K424" s="35" t="s">
        <v>623</v>
      </c>
      <c r="L424" s="35"/>
      <c r="M424" s="35"/>
      <c r="N424" s="35"/>
      <c r="O424" s="35"/>
    </row>
    <row r="425" spans="1:15" ht="15.75" customHeight="1">
      <c r="A425" s="35" t="s">
        <v>625</v>
      </c>
      <c r="B425" s="35" t="s">
        <v>596</v>
      </c>
      <c r="C425" s="35"/>
      <c r="D425" s="35" t="s">
        <v>172</v>
      </c>
      <c r="E425" s="35"/>
      <c r="F425" s="35"/>
      <c r="G425" s="35" t="s">
        <v>227</v>
      </c>
      <c r="H425" s="35" t="s">
        <v>626</v>
      </c>
      <c r="I425" s="35" t="s">
        <v>2108</v>
      </c>
      <c r="J425" s="35"/>
      <c r="K425" s="35" t="s">
        <v>628</v>
      </c>
      <c r="L425" s="35"/>
      <c r="M425" s="35"/>
      <c r="N425" s="35"/>
      <c r="O425" s="35"/>
    </row>
    <row r="426" spans="1:15" ht="15.75" customHeight="1">
      <c r="A426" s="35" t="s">
        <v>630</v>
      </c>
      <c r="B426" s="35" t="s">
        <v>625</v>
      </c>
      <c r="C426" s="35"/>
      <c r="D426" s="35" t="s">
        <v>172</v>
      </c>
      <c r="E426" s="35"/>
      <c r="F426" s="35"/>
      <c r="G426" s="35" t="s">
        <v>238</v>
      </c>
      <c r="H426" s="35" t="s">
        <v>631</v>
      </c>
      <c r="I426" s="35" t="s">
        <v>2109</v>
      </c>
      <c r="J426" s="35"/>
      <c r="K426" s="35" t="s">
        <v>633</v>
      </c>
      <c r="L426" s="35"/>
      <c r="M426" s="35"/>
      <c r="N426" s="35"/>
      <c r="O426" s="35"/>
    </row>
    <row r="427" spans="1:15" ht="15.75" customHeight="1">
      <c r="A427" s="35" t="s">
        <v>635</v>
      </c>
      <c r="B427" s="35" t="s">
        <v>625</v>
      </c>
      <c r="C427" s="35"/>
      <c r="D427" s="35" t="s">
        <v>172</v>
      </c>
      <c r="E427" s="35"/>
      <c r="F427" s="35"/>
      <c r="G427" s="35" t="s">
        <v>238</v>
      </c>
      <c r="H427" s="35" t="s">
        <v>636</v>
      </c>
      <c r="I427" s="35" t="s">
        <v>2110</v>
      </c>
      <c r="J427" s="35"/>
      <c r="K427" s="35" t="s">
        <v>638</v>
      </c>
      <c r="L427" s="35"/>
      <c r="M427" s="35"/>
      <c r="N427" s="35"/>
      <c r="O427" s="35"/>
    </row>
    <row r="428" spans="1:15" ht="15.75" customHeight="1">
      <c r="A428" s="35" t="s">
        <v>640</v>
      </c>
      <c r="B428" s="35" t="s">
        <v>625</v>
      </c>
      <c r="C428" s="35"/>
      <c r="D428" s="35" t="s">
        <v>172</v>
      </c>
      <c r="E428" s="35"/>
      <c r="F428" s="35"/>
      <c r="G428" s="35" t="s">
        <v>238</v>
      </c>
      <c r="H428" s="35" t="s">
        <v>641</v>
      </c>
      <c r="I428" s="35" t="s">
        <v>2111</v>
      </c>
      <c r="J428" s="35"/>
      <c r="K428" s="35" t="s">
        <v>643</v>
      </c>
      <c r="L428" s="35"/>
      <c r="M428" s="35"/>
      <c r="N428" s="35"/>
      <c r="O428" s="35"/>
    </row>
    <row r="429" spans="1:15" ht="15.75" customHeight="1">
      <c r="A429" s="35" t="s">
        <v>645</v>
      </c>
      <c r="B429" s="35" t="s">
        <v>625</v>
      </c>
      <c r="C429" s="35"/>
      <c r="D429" s="35" t="s">
        <v>172</v>
      </c>
      <c r="E429" s="35"/>
      <c r="F429" s="35"/>
      <c r="G429" s="35" t="s">
        <v>238</v>
      </c>
      <c r="H429" s="35" t="s">
        <v>646</v>
      </c>
      <c r="I429" s="35" t="s">
        <v>2112</v>
      </c>
      <c r="J429" s="35"/>
      <c r="K429" s="35" t="s">
        <v>648</v>
      </c>
      <c r="L429" s="35"/>
      <c r="M429" s="35"/>
      <c r="N429" s="35"/>
      <c r="O429" s="35"/>
    </row>
    <row r="430" spans="1:15" ht="15.75" customHeight="1">
      <c r="A430" s="35" t="s">
        <v>649</v>
      </c>
      <c r="B430" s="35" t="s">
        <v>59</v>
      </c>
      <c r="C430" s="35"/>
      <c r="D430" s="35" t="s">
        <v>172</v>
      </c>
      <c r="E430" s="35"/>
      <c r="F430" s="35"/>
      <c r="G430" s="35" t="s">
        <v>227</v>
      </c>
      <c r="H430" s="35" t="s">
        <v>650</v>
      </c>
      <c r="I430" s="35" t="s">
        <v>2113</v>
      </c>
      <c r="J430" s="35"/>
      <c r="K430" s="35" t="s">
        <v>652</v>
      </c>
      <c r="L430" s="35"/>
      <c r="M430" s="35"/>
      <c r="N430" s="35"/>
      <c r="O430" s="35"/>
    </row>
    <row r="431" spans="1:15" ht="15.75" customHeight="1">
      <c r="A431" s="35" t="s">
        <v>654</v>
      </c>
      <c r="B431" s="35" t="s">
        <v>649</v>
      </c>
      <c r="C431" s="35"/>
      <c r="D431" s="35" t="s">
        <v>172</v>
      </c>
      <c r="E431" s="35"/>
      <c r="F431" s="35"/>
      <c r="G431" s="35" t="s">
        <v>227</v>
      </c>
      <c r="H431" s="35" t="s">
        <v>655</v>
      </c>
      <c r="I431" s="35" t="s">
        <v>2114</v>
      </c>
      <c r="J431" s="35"/>
      <c r="K431" s="35" t="s">
        <v>657</v>
      </c>
      <c r="L431" s="35"/>
      <c r="M431" s="35"/>
      <c r="N431" s="35"/>
      <c r="O431" s="35"/>
    </row>
    <row r="432" spans="1:15" ht="15.75" customHeight="1">
      <c r="A432" s="35" t="s">
        <v>659</v>
      </c>
      <c r="B432" s="35" t="s">
        <v>649</v>
      </c>
      <c r="C432" s="35"/>
      <c r="D432" s="35" t="s">
        <v>172</v>
      </c>
      <c r="E432" s="35"/>
      <c r="F432" s="35"/>
      <c r="G432" s="35" t="s">
        <v>227</v>
      </c>
      <c r="H432" s="35" t="s">
        <v>660</v>
      </c>
      <c r="I432" s="35" t="s">
        <v>2115</v>
      </c>
      <c r="J432" s="35"/>
      <c r="K432" s="35" t="s">
        <v>662</v>
      </c>
      <c r="L432" s="35"/>
      <c r="M432" s="35"/>
      <c r="N432" s="35"/>
      <c r="O432" s="35"/>
    </row>
    <row r="433" spans="1:15" ht="15.75" customHeight="1">
      <c r="A433" s="35" t="s">
        <v>664</v>
      </c>
      <c r="B433" s="35" t="s">
        <v>659</v>
      </c>
      <c r="C433" s="35"/>
      <c r="D433" s="35" t="s">
        <v>172</v>
      </c>
      <c r="E433" s="35"/>
      <c r="F433" s="35"/>
      <c r="G433" s="35" t="s">
        <v>238</v>
      </c>
      <c r="H433" s="35" t="s">
        <v>2116</v>
      </c>
      <c r="I433" s="35" t="s">
        <v>2117</v>
      </c>
      <c r="J433" s="35"/>
      <c r="K433" s="35" t="s">
        <v>667</v>
      </c>
      <c r="L433" s="35"/>
      <c r="M433" s="35"/>
      <c r="N433" s="35"/>
      <c r="O433" s="35"/>
    </row>
    <row r="434" spans="1:15" ht="15.75" customHeight="1">
      <c r="A434" s="35" t="s">
        <v>669</v>
      </c>
      <c r="B434" s="35" t="s">
        <v>659</v>
      </c>
      <c r="C434" s="35"/>
      <c r="D434" s="35" t="s">
        <v>172</v>
      </c>
      <c r="E434" s="35"/>
      <c r="F434" s="35"/>
      <c r="G434" s="35" t="s">
        <v>238</v>
      </c>
      <c r="H434" s="35" t="s">
        <v>2118</v>
      </c>
      <c r="I434" s="35" t="s">
        <v>2119</v>
      </c>
      <c r="J434" s="35"/>
      <c r="K434" s="35" t="s">
        <v>672</v>
      </c>
      <c r="L434" s="35"/>
      <c r="M434" s="35"/>
      <c r="N434" s="35"/>
      <c r="O434" s="35"/>
    </row>
    <row r="435" spans="1:15" ht="15.75" customHeight="1">
      <c r="A435" s="35" t="s">
        <v>674</v>
      </c>
      <c r="B435" s="35" t="s">
        <v>649</v>
      </c>
      <c r="C435" s="35"/>
      <c r="D435" s="35" t="s">
        <v>172</v>
      </c>
      <c r="E435" s="35"/>
      <c r="F435" s="35"/>
      <c r="G435" s="35" t="s">
        <v>227</v>
      </c>
      <c r="H435" s="35" t="s">
        <v>675</v>
      </c>
      <c r="I435" s="35" t="s">
        <v>2120</v>
      </c>
      <c r="J435" s="35"/>
      <c r="K435" s="35" t="s">
        <v>677</v>
      </c>
      <c r="L435" s="35"/>
      <c r="M435" s="35"/>
      <c r="N435" s="35"/>
      <c r="O435" s="35"/>
    </row>
    <row r="436" spans="1:15" ht="15.75" customHeight="1">
      <c r="A436" s="35" t="s">
        <v>679</v>
      </c>
      <c r="B436" s="35" t="s">
        <v>649</v>
      </c>
      <c r="C436" s="35"/>
      <c r="D436" s="35" t="s">
        <v>172</v>
      </c>
      <c r="E436" s="35"/>
      <c r="F436" s="35"/>
      <c r="G436" s="35" t="s">
        <v>227</v>
      </c>
      <c r="H436" s="35" t="s">
        <v>13</v>
      </c>
      <c r="I436" s="35" t="s">
        <v>2121</v>
      </c>
      <c r="J436" s="35"/>
      <c r="K436" s="35" t="s">
        <v>681</v>
      </c>
      <c r="L436" s="35"/>
      <c r="M436" s="35"/>
      <c r="N436" s="35"/>
      <c r="O436" s="35"/>
    </row>
    <row r="437" spans="1:15" ht="15.75" customHeight="1">
      <c r="A437" s="35" t="s">
        <v>683</v>
      </c>
      <c r="B437" s="35" t="s">
        <v>679</v>
      </c>
      <c r="C437" s="35"/>
      <c r="D437" s="35" t="s">
        <v>172</v>
      </c>
      <c r="E437" s="35"/>
      <c r="F437" s="35"/>
      <c r="G437" s="35" t="s">
        <v>238</v>
      </c>
      <c r="H437" s="35" t="s">
        <v>2122</v>
      </c>
      <c r="I437" s="35" t="s">
        <v>2123</v>
      </c>
      <c r="J437" s="35"/>
      <c r="K437" s="35" t="s">
        <v>2124</v>
      </c>
      <c r="L437" s="35"/>
      <c r="M437" s="35"/>
      <c r="N437" s="35"/>
      <c r="O437" s="35"/>
    </row>
    <row r="438" spans="1:15" ht="15.75" customHeight="1">
      <c r="A438" s="35" t="s">
        <v>688</v>
      </c>
      <c r="B438" s="35" t="s">
        <v>679</v>
      </c>
      <c r="C438" s="35"/>
      <c r="D438" s="35" t="s">
        <v>172</v>
      </c>
      <c r="E438" s="35"/>
      <c r="F438" s="35"/>
      <c r="G438" s="35" t="s">
        <v>238</v>
      </c>
      <c r="H438" s="35" t="s">
        <v>2125</v>
      </c>
      <c r="I438" s="35" t="s">
        <v>2126</v>
      </c>
      <c r="J438" s="35"/>
      <c r="K438" s="35" t="s">
        <v>691</v>
      </c>
      <c r="L438" s="35"/>
      <c r="M438" s="35"/>
      <c r="N438" s="35"/>
      <c r="O438" s="35"/>
    </row>
    <row r="439" spans="1:15" ht="15.75" customHeight="1">
      <c r="A439" s="35" t="s">
        <v>693</v>
      </c>
      <c r="B439" s="35" t="s">
        <v>679</v>
      </c>
      <c r="C439" s="35"/>
      <c r="D439" s="35" t="s">
        <v>172</v>
      </c>
      <c r="E439" s="35"/>
      <c r="F439" s="35"/>
      <c r="G439" s="35" t="s">
        <v>238</v>
      </c>
      <c r="H439" s="35" t="s">
        <v>694</v>
      </c>
      <c r="I439" s="35" t="s">
        <v>2127</v>
      </c>
      <c r="J439" s="35"/>
      <c r="K439" s="35" t="s">
        <v>696</v>
      </c>
      <c r="L439" s="35"/>
      <c r="M439" s="35"/>
      <c r="N439" s="35"/>
      <c r="O439" s="35"/>
    </row>
    <row r="440" spans="1:15" ht="15.75" customHeight="1">
      <c r="A440" s="35" t="s">
        <v>698</v>
      </c>
      <c r="B440" s="35" t="s">
        <v>679</v>
      </c>
      <c r="C440" s="35"/>
      <c r="D440" s="35" t="s">
        <v>172</v>
      </c>
      <c r="E440" s="35"/>
      <c r="F440" s="35"/>
      <c r="G440" s="35" t="s">
        <v>238</v>
      </c>
      <c r="H440" s="35" t="s">
        <v>699</v>
      </c>
      <c r="I440" s="35" t="s">
        <v>2128</v>
      </c>
      <c r="J440" s="35"/>
      <c r="K440" s="35" t="s">
        <v>701</v>
      </c>
      <c r="L440" s="35"/>
      <c r="M440" s="35"/>
      <c r="N440" s="35"/>
      <c r="O440" s="35"/>
    </row>
    <row r="441" spans="1:15" ht="15.75" customHeight="1">
      <c r="A441" s="35" t="s">
        <v>703</v>
      </c>
      <c r="B441" s="35" t="s">
        <v>679</v>
      </c>
      <c r="C441" s="35"/>
      <c r="D441" s="35" t="s">
        <v>172</v>
      </c>
      <c r="E441" s="35"/>
      <c r="F441" s="35"/>
      <c r="G441" s="35" t="s">
        <v>238</v>
      </c>
      <c r="H441" s="35" t="s">
        <v>704</v>
      </c>
      <c r="I441" s="35" t="s">
        <v>2129</v>
      </c>
      <c r="J441" s="35"/>
      <c r="K441" s="35" t="s">
        <v>706</v>
      </c>
      <c r="L441" s="35"/>
      <c r="M441" s="35"/>
      <c r="N441" s="35"/>
      <c r="O441" s="35"/>
    </row>
    <row r="442" spans="1:15" ht="15.75" customHeight="1">
      <c r="A442" s="35" t="s">
        <v>708</v>
      </c>
      <c r="B442" s="35" t="s">
        <v>649</v>
      </c>
      <c r="C442" s="35"/>
      <c r="D442" s="35" t="s">
        <v>172</v>
      </c>
      <c r="E442" s="35"/>
      <c r="F442" s="35"/>
      <c r="G442" s="35" t="s">
        <v>227</v>
      </c>
      <c r="H442" s="35" t="s">
        <v>709</v>
      </c>
      <c r="I442" s="35" t="s">
        <v>710</v>
      </c>
      <c r="J442" s="35"/>
      <c r="K442" s="35" t="s">
        <v>711</v>
      </c>
      <c r="L442" s="35"/>
      <c r="M442" s="35"/>
      <c r="N442" s="35"/>
      <c r="O442" s="35"/>
    </row>
    <row r="443" spans="1:15" ht="15.75" customHeight="1">
      <c r="A443" s="35" t="s">
        <v>713</v>
      </c>
      <c r="B443" s="35" t="s">
        <v>649</v>
      </c>
      <c r="C443" s="35"/>
      <c r="D443" s="35" t="s">
        <v>172</v>
      </c>
      <c r="E443" s="35"/>
      <c r="F443" s="35"/>
      <c r="G443" s="35" t="s">
        <v>227</v>
      </c>
      <c r="H443" s="35" t="s">
        <v>714</v>
      </c>
      <c r="I443" s="35" t="s">
        <v>2130</v>
      </c>
      <c r="J443" s="35"/>
      <c r="K443" s="35" t="s">
        <v>716</v>
      </c>
      <c r="L443" s="35"/>
      <c r="M443" s="35"/>
      <c r="N443" s="35"/>
      <c r="O443" s="35"/>
    </row>
    <row r="444" spans="1:15" ht="15.75" customHeight="1">
      <c r="A444" s="35" t="s">
        <v>718</v>
      </c>
      <c r="B444" s="35" t="s">
        <v>713</v>
      </c>
      <c r="C444" s="35"/>
      <c r="D444" s="35" t="s">
        <v>172</v>
      </c>
      <c r="E444" s="35"/>
      <c r="F444" s="35"/>
      <c r="G444" s="35" t="s">
        <v>238</v>
      </c>
      <c r="H444" s="35" t="s">
        <v>719</v>
      </c>
      <c r="I444" s="35" t="s">
        <v>720</v>
      </c>
      <c r="J444" s="35"/>
      <c r="K444" s="35" t="s">
        <v>721</v>
      </c>
      <c r="L444" s="35"/>
      <c r="M444" s="35"/>
      <c r="N444" s="35"/>
      <c r="O444" s="35"/>
    </row>
    <row r="445" spans="1:15" ht="15.75" customHeight="1">
      <c r="A445" s="35" t="s">
        <v>723</v>
      </c>
      <c r="B445" s="35" t="s">
        <v>713</v>
      </c>
      <c r="C445" s="35"/>
      <c r="D445" s="35" t="s">
        <v>172</v>
      </c>
      <c r="E445" s="35"/>
      <c r="F445" s="35"/>
      <c r="G445" s="35" t="s">
        <v>238</v>
      </c>
      <c r="H445" s="35" t="s">
        <v>724</v>
      </c>
      <c r="I445" s="35" t="s">
        <v>2131</v>
      </c>
      <c r="J445" s="35"/>
      <c r="K445" s="35" t="s">
        <v>726</v>
      </c>
      <c r="L445" s="35"/>
      <c r="M445" s="35"/>
      <c r="N445" s="35"/>
      <c r="O445" s="35"/>
    </row>
    <row r="446" spans="1:15" ht="15.75" customHeight="1">
      <c r="A446" s="35" t="s">
        <v>728</v>
      </c>
      <c r="B446" s="35" t="s">
        <v>713</v>
      </c>
      <c r="C446" s="35"/>
      <c r="D446" s="35" t="s">
        <v>172</v>
      </c>
      <c r="E446" s="35"/>
      <c r="F446" s="35"/>
      <c r="G446" s="35" t="s">
        <v>238</v>
      </c>
      <c r="H446" s="35" t="s">
        <v>729</v>
      </c>
      <c r="I446" s="35" t="s">
        <v>2132</v>
      </c>
      <c r="J446" s="35"/>
      <c r="K446" s="35" t="s">
        <v>731</v>
      </c>
      <c r="L446" s="35"/>
      <c r="M446" s="35"/>
      <c r="N446" s="35"/>
      <c r="O446" s="35"/>
    </row>
    <row r="447" spans="1:15" ht="15.75" customHeight="1">
      <c r="A447" s="35" t="s">
        <v>733</v>
      </c>
      <c r="B447" s="35" t="s">
        <v>713</v>
      </c>
      <c r="C447" s="35"/>
      <c r="D447" s="35" t="s">
        <v>172</v>
      </c>
      <c r="E447" s="35"/>
      <c r="F447" s="35"/>
      <c r="G447" s="35" t="s">
        <v>238</v>
      </c>
      <c r="H447" s="35" t="s">
        <v>734</v>
      </c>
      <c r="I447" s="35" t="s">
        <v>2133</v>
      </c>
      <c r="J447" s="35"/>
      <c r="K447" s="35" t="s">
        <v>736</v>
      </c>
      <c r="L447" s="35"/>
      <c r="M447" s="35"/>
      <c r="N447" s="35"/>
      <c r="O447" s="35"/>
    </row>
    <row r="448" spans="1:15" ht="15.75" customHeight="1">
      <c r="A448" s="35" t="s">
        <v>738</v>
      </c>
      <c r="B448" s="35" t="s">
        <v>649</v>
      </c>
      <c r="C448" s="35"/>
      <c r="D448" s="35" t="s">
        <v>172</v>
      </c>
      <c r="E448" s="35"/>
      <c r="F448" s="35"/>
      <c r="G448" s="35" t="s">
        <v>227</v>
      </c>
      <c r="H448" s="35" t="s">
        <v>739</v>
      </c>
      <c r="I448" s="35" t="s">
        <v>2134</v>
      </c>
      <c r="J448" s="35"/>
      <c r="K448" s="35" t="s">
        <v>741</v>
      </c>
      <c r="L448" s="35"/>
      <c r="M448" s="35"/>
      <c r="N448" s="35"/>
      <c r="O448" s="35"/>
    </row>
    <row r="449" spans="1:15" ht="15.75" customHeight="1">
      <c r="A449" s="35" t="s">
        <v>743</v>
      </c>
      <c r="B449" s="35" t="s">
        <v>738</v>
      </c>
      <c r="C449" s="35"/>
      <c r="D449" s="35" t="s">
        <v>172</v>
      </c>
      <c r="E449" s="35"/>
      <c r="F449" s="35"/>
      <c r="G449" s="35" t="s">
        <v>238</v>
      </c>
      <c r="H449" s="35" t="s">
        <v>744</v>
      </c>
      <c r="I449" s="35" t="s">
        <v>2135</v>
      </c>
      <c r="J449" s="35"/>
      <c r="K449" s="35" t="s">
        <v>746</v>
      </c>
      <c r="L449" s="35"/>
      <c r="M449" s="35"/>
      <c r="N449" s="35"/>
      <c r="O449" s="35"/>
    </row>
    <row r="450" spans="1:15" ht="15.75" customHeight="1">
      <c r="A450" s="35" t="s">
        <v>748</v>
      </c>
      <c r="B450" s="35" t="s">
        <v>738</v>
      </c>
      <c r="C450" s="35"/>
      <c r="D450" s="35" t="s">
        <v>172</v>
      </c>
      <c r="E450" s="35"/>
      <c r="F450" s="35"/>
      <c r="G450" s="35" t="s">
        <v>238</v>
      </c>
      <c r="H450" s="35" t="s">
        <v>749</v>
      </c>
      <c r="I450" s="35" t="s">
        <v>2136</v>
      </c>
      <c r="J450" s="35"/>
      <c r="K450" s="35" t="s">
        <v>751</v>
      </c>
      <c r="L450" s="35"/>
      <c r="M450" s="35"/>
      <c r="N450" s="35"/>
      <c r="O450" s="35"/>
    </row>
    <row r="451" spans="1:15" ht="15.75" customHeight="1">
      <c r="A451" s="35" t="s">
        <v>753</v>
      </c>
      <c r="B451" s="35" t="s">
        <v>738</v>
      </c>
      <c r="C451" s="35"/>
      <c r="D451" s="35" t="s">
        <v>172</v>
      </c>
      <c r="E451" s="35"/>
      <c r="F451" s="35"/>
      <c r="G451" s="35" t="s">
        <v>238</v>
      </c>
      <c r="H451" s="35" t="s">
        <v>754</v>
      </c>
      <c r="I451" s="35" t="s">
        <v>2137</v>
      </c>
      <c r="J451" s="35"/>
      <c r="K451" s="35" t="s">
        <v>756</v>
      </c>
      <c r="L451" s="35"/>
      <c r="M451" s="35"/>
      <c r="N451" s="35"/>
      <c r="O451" s="35"/>
    </row>
    <row r="452" spans="1:15" ht="15.75" customHeight="1">
      <c r="A452" s="35" t="s">
        <v>758</v>
      </c>
      <c r="B452" s="35" t="s">
        <v>649</v>
      </c>
      <c r="C452" s="35"/>
      <c r="D452" s="35" t="s">
        <v>172</v>
      </c>
      <c r="E452" s="35"/>
      <c r="F452" s="35"/>
      <c r="G452" s="35" t="s">
        <v>227</v>
      </c>
      <c r="H452" s="35" t="s">
        <v>759</v>
      </c>
      <c r="I452" s="35" t="s">
        <v>2138</v>
      </c>
      <c r="J452" s="35"/>
      <c r="K452" s="35" t="s">
        <v>761</v>
      </c>
      <c r="L452" s="35"/>
      <c r="M452" s="35"/>
      <c r="N452" s="35"/>
      <c r="O452" s="35"/>
    </row>
    <row r="453" spans="1:15" ht="15.75" customHeight="1">
      <c r="A453" s="35" t="s">
        <v>763</v>
      </c>
      <c r="B453" s="35" t="s">
        <v>649</v>
      </c>
      <c r="C453" s="35"/>
      <c r="D453" s="35" t="s">
        <v>172</v>
      </c>
      <c r="E453" s="35"/>
      <c r="F453" s="35"/>
      <c r="G453" s="35" t="s">
        <v>227</v>
      </c>
      <c r="H453" s="35" t="s">
        <v>764</v>
      </c>
      <c r="I453" s="35" t="s">
        <v>2139</v>
      </c>
      <c r="J453" s="35"/>
      <c r="K453" s="35" t="s">
        <v>766</v>
      </c>
      <c r="L453" s="35"/>
      <c r="M453" s="35"/>
      <c r="N453" s="35"/>
      <c r="O453" s="35"/>
    </row>
    <row r="454" spans="1:15" ht="15.75" customHeight="1">
      <c r="A454" s="35" t="s">
        <v>768</v>
      </c>
      <c r="B454" s="35" t="s">
        <v>59</v>
      </c>
      <c r="C454" s="35"/>
      <c r="D454" s="35" t="s">
        <v>172</v>
      </c>
      <c r="E454" s="35"/>
      <c r="F454" s="35"/>
      <c r="G454" s="35" t="s">
        <v>227</v>
      </c>
      <c r="H454" s="35" t="s">
        <v>769</v>
      </c>
      <c r="I454" s="35" t="s">
        <v>2140</v>
      </c>
      <c r="J454" s="35"/>
      <c r="K454" s="35" t="s">
        <v>771</v>
      </c>
      <c r="L454" s="35"/>
      <c r="M454" s="35"/>
      <c r="N454" s="35"/>
      <c r="O454" s="35"/>
    </row>
    <row r="455" spans="1:15" ht="15.75" customHeight="1">
      <c r="A455" s="35" t="s">
        <v>773</v>
      </c>
      <c r="B455" s="35" t="s">
        <v>768</v>
      </c>
      <c r="C455" s="35"/>
      <c r="D455" s="35" t="s">
        <v>172</v>
      </c>
      <c r="E455" s="35"/>
      <c r="F455" s="35"/>
      <c r="G455" s="35" t="s">
        <v>238</v>
      </c>
      <c r="H455" s="35" t="s">
        <v>0</v>
      </c>
      <c r="I455" s="35" t="s">
        <v>2141</v>
      </c>
      <c r="J455" s="35"/>
      <c r="K455" s="35" t="s">
        <v>775</v>
      </c>
      <c r="L455" s="35"/>
      <c r="M455" s="35"/>
      <c r="N455" s="35"/>
      <c r="O455" s="35"/>
    </row>
    <row r="456" spans="1:15" ht="15.75" customHeight="1">
      <c r="A456" s="35" t="s">
        <v>777</v>
      </c>
      <c r="B456" s="35" t="s">
        <v>768</v>
      </c>
      <c r="C456" s="35"/>
      <c r="D456" s="35" t="s">
        <v>172</v>
      </c>
      <c r="E456" s="35"/>
      <c r="F456" s="35"/>
      <c r="G456" s="35" t="s">
        <v>238</v>
      </c>
      <c r="H456" s="35" t="s">
        <v>2142</v>
      </c>
      <c r="I456" s="35" t="s">
        <v>2143</v>
      </c>
      <c r="J456" s="35"/>
      <c r="K456" s="35" t="s">
        <v>780</v>
      </c>
      <c r="L456" s="35"/>
      <c r="M456" s="35"/>
      <c r="N456" s="35"/>
      <c r="O456" s="35"/>
    </row>
    <row r="457" spans="1:15" ht="15.75" customHeight="1">
      <c r="A457" s="35" t="s">
        <v>782</v>
      </c>
      <c r="B457" s="35" t="s">
        <v>768</v>
      </c>
      <c r="C457" s="35"/>
      <c r="D457" s="35" t="s">
        <v>172</v>
      </c>
      <c r="E457" s="35"/>
      <c r="F457" s="35"/>
      <c r="G457" s="35" t="s">
        <v>238</v>
      </c>
      <c r="H457" s="35" t="s">
        <v>783</v>
      </c>
      <c r="I457" s="35" t="s">
        <v>2144</v>
      </c>
      <c r="J457" s="35"/>
      <c r="K457" s="35" t="s">
        <v>785</v>
      </c>
      <c r="L457" s="35"/>
      <c r="M457" s="35"/>
      <c r="N457" s="35"/>
      <c r="O457" s="35"/>
    </row>
    <row r="458" spans="1:15" ht="15.75" customHeight="1">
      <c r="A458" s="35" t="s">
        <v>787</v>
      </c>
      <c r="B458" s="35" t="s">
        <v>768</v>
      </c>
      <c r="C458" s="35"/>
      <c r="D458" s="35" t="s">
        <v>172</v>
      </c>
      <c r="E458" s="35"/>
      <c r="F458" s="35"/>
      <c r="G458" s="35" t="s">
        <v>238</v>
      </c>
      <c r="H458" s="35" t="s">
        <v>788</v>
      </c>
      <c r="I458" s="35" t="s">
        <v>789</v>
      </c>
      <c r="J458" s="35"/>
      <c r="K458" s="35" t="s">
        <v>790</v>
      </c>
      <c r="L458" s="35"/>
      <c r="M458" s="35"/>
      <c r="N458" s="35"/>
      <c r="O458" s="35"/>
    </row>
    <row r="459" spans="1:15" ht="15.75" customHeight="1">
      <c r="A459" s="35" t="s">
        <v>792</v>
      </c>
      <c r="B459" s="35" t="s">
        <v>768</v>
      </c>
      <c r="C459" s="35"/>
      <c r="D459" s="35" t="s">
        <v>172</v>
      </c>
      <c r="E459" s="35"/>
      <c r="F459" s="35"/>
      <c r="G459" s="35" t="s">
        <v>238</v>
      </c>
      <c r="H459" s="35" t="s">
        <v>793</v>
      </c>
      <c r="I459" s="35" t="s">
        <v>794</v>
      </c>
      <c r="J459" s="35"/>
      <c r="K459" s="35" t="s">
        <v>795</v>
      </c>
      <c r="L459" s="35"/>
      <c r="M459" s="35"/>
      <c r="N459" s="35"/>
      <c r="O459" s="35"/>
    </row>
    <row r="460" spans="1:15" ht="15.75" customHeight="1">
      <c r="A460" s="35" t="s">
        <v>797</v>
      </c>
      <c r="B460" s="35" t="s">
        <v>59</v>
      </c>
      <c r="C460" s="35"/>
      <c r="D460" s="35" t="s">
        <v>172</v>
      </c>
      <c r="E460" s="35"/>
      <c r="F460" s="35"/>
      <c r="G460" s="35" t="s">
        <v>227</v>
      </c>
      <c r="H460" s="35" t="s">
        <v>798</v>
      </c>
      <c r="I460" s="35" t="s">
        <v>799</v>
      </c>
      <c r="J460" s="35"/>
      <c r="K460" s="35" t="s">
        <v>800</v>
      </c>
      <c r="L460" s="35"/>
      <c r="M460" s="35"/>
      <c r="N460" s="35"/>
      <c r="O460" s="35"/>
    </row>
    <row r="461" spans="1:15" ht="15.75" customHeight="1">
      <c r="A461" s="35" t="s">
        <v>802</v>
      </c>
      <c r="B461" s="35" t="s">
        <v>797</v>
      </c>
      <c r="C461" s="35"/>
      <c r="D461" s="35" t="s">
        <v>172</v>
      </c>
      <c r="E461" s="35"/>
      <c r="F461" s="35"/>
      <c r="G461" s="35" t="s">
        <v>227</v>
      </c>
      <c r="H461" s="35" t="s">
        <v>803</v>
      </c>
      <c r="I461" s="35" t="s">
        <v>2145</v>
      </c>
      <c r="J461" s="35"/>
      <c r="K461" s="35" t="s">
        <v>805</v>
      </c>
      <c r="L461" s="35"/>
      <c r="M461" s="35"/>
      <c r="N461" s="35"/>
      <c r="O461" s="35"/>
    </row>
    <row r="462" spans="1:15" ht="15.75" customHeight="1">
      <c r="A462" s="36" t="s">
        <v>807</v>
      </c>
      <c r="B462" s="38" t="s">
        <v>797</v>
      </c>
      <c r="C462" s="35"/>
      <c r="D462" s="35" t="s">
        <v>172</v>
      </c>
      <c r="E462" s="35"/>
      <c r="F462" s="35"/>
      <c r="G462" s="35" t="s">
        <v>227</v>
      </c>
      <c r="H462" s="38" t="s">
        <v>808</v>
      </c>
      <c r="I462" s="38" t="s">
        <v>2146</v>
      </c>
      <c r="J462" s="38"/>
      <c r="K462" s="38" t="s">
        <v>810</v>
      </c>
      <c r="L462" s="35"/>
      <c r="M462" s="35"/>
      <c r="N462" s="35"/>
      <c r="O462" s="38"/>
    </row>
    <row r="463" spans="1:15" ht="15.75" customHeight="1">
      <c r="A463" s="36" t="s">
        <v>2147</v>
      </c>
      <c r="B463" s="35" t="s">
        <v>797</v>
      </c>
      <c r="C463" s="35"/>
      <c r="D463" s="35" t="s">
        <v>172</v>
      </c>
      <c r="E463" s="35"/>
      <c r="F463" s="35"/>
      <c r="G463" s="35" t="s">
        <v>227</v>
      </c>
      <c r="H463" s="35" t="s">
        <v>2148</v>
      </c>
      <c r="I463" s="35" t="s">
        <v>2149</v>
      </c>
      <c r="J463" s="35"/>
      <c r="K463" s="35" t="s">
        <v>2150</v>
      </c>
      <c r="L463" s="35"/>
      <c r="M463" s="35"/>
      <c r="N463" s="35"/>
      <c r="O463" s="35"/>
    </row>
    <row r="464" spans="1:15" ht="15.75" customHeight="1">
      <c r="A464" s="35" t="s">
        <v>812</v>
      </c>
      <c r="B464" s="35" t="s">
        <v>797</v>
      </c>
      <c r="C464" s="35"/>
      <c r="D464" s="35" t="s">
        <v>172</v>
      </c>
      <c r="E464" s="35"/>
      <c r="F464" s="35"/>
      <c r="G464" s="35" t="s">
        <v>227</v>
      </c>
      <c r="H464" s="35" t="s">
        <v>813</v>
      </c>
      <c r="I464" s="35" t="s">
        <v>814</v>
      </c>
      <c r="J464" s="35"/>
      <c r="K464" s="35" t="s">
        <v>2151</v>
      </c>
      <c r="L464" s="35"/>
      <c r="M464" s="35"/>
      <c r="N464" s="35"/>
      <c r="O464" s="35"/>
    </row>
    <row r="465" spans="1:15" ht="15.75" customHeight="1">
      <c r="A465" s="35" t="s">
        <v>817</v>
      </c>
      <c r="B465" s="35" t="s">
        <v>797</v>
      </c>
      <c r="C465" s="35"/>
      <c r="D465" s="35" t="s">
        <v>172</v>
      </c>
      <c r="E465" s="35"/>
      <c r="F465" s="35"/>
      <c r="G465" s="35" t="s">
        <v>227</v>
      </c>
      <c r="H465" s="35" t="s">
        <v>818</v>
      </c>
      <c r="I465" s="35" t="s">
        <v>2152</v>
      </c>
      <c r="J465" s="35"/>
      <c r="K465" s="35" t="s">
        <v>820</v>
      </c>
      <c r="L465" s="35"/>
      <c r="M465" s="35"/>
      <c r="N465" s="35"/>
      <c r="O465" s="35"/>
    </row>
    <row r="466" spans="1:15" ht="15.75" customHeight="1">
      <c r="A466" s="35" t="s">
        <v>822</v>
      </c>
      <c r="B466" s="35" t="s">
        <v>797</v>
      </c>
      <c r="C466" s="35"/>
      <c r="D466" s="35" t="s">
        <v>172</v>
      </c>
      <c r="E466" s="35"/>
      <c r="F466" s="35"/>
      <c r="G466" s="35" t="s">
        <v>227</v>
      </c>
      <c r="H466" s="35" t="s">
        <v>823</v>
      </c>
      <c r="I466" s="35" t="s">
        <v>824</v>
      </c>
      <c r="J466" s="35"/>
      <c r="K466" s="35" t="s">
        <v>825</v>
      </c>
      <c r="L466" s="35"/>
      <c r="M466" s="35"/>
      <c r="N466" s="35"/>
      <c r="O466" s="35"/>
    </row>
    <row r="467" spans="1:15" ht="15.75" customHeight="1">
      <c r="A467" s="35" t="s">
        <v>827</v>
      </c>
      <c r="B467" s="35" t="s">
        <v>797</v>
      </c>
      <c r="C467" s="35"/>
      <c r="D467" s="35" t="s">
        <v>172</v>
      </c>
      <c r="E467" s="35"/>
      <c r="F467" s="35"/>
      <c r="G467" s="35" t="s">
        <v>227</v>
      </c>
      <c r="H467" s="35" t="s">
        <v>12</v>
      </c>
      <c r="I467" s="35" t="s">
        <v>2153</v>
      </c>
      <c r="J467" s="35"/>
      <c r="K467" s="35" t="s">
        <v>829</v>
      </c>
      <c r="L467" s="35"/>
      <c r="M467" s="35"/>
      <c r="N467" s="35"/>
      <c r="O467" s="35"/>
    </row>
    <row r="468" spans="1:15" ht="15.75" customHeight="1">
      <c r="A468" s="35" t="s">
        <v>831</v>
      </c>
      <c r="B468" s="35" t="s">
        <v>797</v>
      </c>
      <c r="C468" s="35"/>
      <c r="D468" s="35" t="s">
        <v>172</v>
      </c>
      <c r="E468" s="35"/>
      <c r="F468" s="35"/>
      <c r="G468" s="35" t="s">
        <v>227</v>
      </c>
      <c r="H468" s="35" t="s">
        <v>832</v>
      </c>
      <c r="I468" s="35" t="s">
        <v>2154</v>
      </c>
      <c r="J468" s="35"/>
      <c r="K468" s="35" t="s">
        <v>834</v>
      </c>
      <c r="L468" s="35"/>
      <c r="M468" s="35"/>
      <c r="N468" s="35"/>
      <c r="O468" s="35"/>
    </row>
    <row r="469" spans="1:15" ht="15.75" customHeight="1">
      <c r="A469" s="35" t="s">
        <v>836</v>
      </c>
      <c r="B469" s="35" t="s">
        <v>797</v>
      </c>
      <c r="C469" s="35"/>
      <c r="D469" s="35" t="s">
        <v>172</v>
      </c>
      <c r="E469" s="35"/>
      <c r="F469" s="35"/>
      <c r="G469" s="35" t="s">
        <v>227</v>
      </c>
      <c r="H469" s="35" t="s">
        <v>204</v>
      </c>
      <c r="I469" s="35" t="s">
        <v>2155</v>
      </c>
      <c r="J469" s="35"/>
      <c r="K469" s="35" t="s">
        <v>2156</v>
      </c>
      <c r="L469" s="35"/>
      <c r="M469" s="35"/>
      <c r="N469" s="35"/>
      <c r="O469" s="35"/>
    </row>
    <row r="470" spans="1:15" ht="15.75" customHeight="1">
      <c r="A470" s="35" t="s">
        <v>840</v>
      </c>
      <c r="B470" s="35" t="s">
        <v>59</v>
      </c>
      <c r="C470" s="35"/>
      <c r="D470" s="35" t="s">
        <v>172</v>
      </c>
      <c r="E470" s="35"/>
      <c r="F470" s="35"/>
      <c r="G470" s="35" t="s">
        <v>227</v>
      </c>
      <c r="H470" s="35" t="s">
        <v>841</v>
      </c>
      <c r="I470" s="35" t="s">
        <v>2157</v>
      </c>
      <c r="J470" s="35"/>
      <c r="K470" s="35" t="s">
        <v>843</v>
      </c>
      <c r="L470" s="35"/>
      <c r="M470" s="35"/>
      <c r="N470" s="35"/>
      <c r="O470" s="35"/>
    </row>
    <row r="471" spans="1:15" ht="15.75" customHeight="1">
      <c r="A471" s="35" t="s">
        <v>845</v>
      </c>
      <c r="B471" s="35" t="s">
        <v>840</v>
      </c>
      <c r="C471" s="35"/>
      <c r="D471" s="35" t="s">
        <v>172</v>
      </c>
      <c r="E471" s="35"/>
      <c r="F471" s="35"/>
      <c r="G471" s="35" t="s">
        <v>238</v>
      </c>
      <c r="H471" s="35" t="s">
        <v>846</v>
      </c>
      <c r="I471" s="35" t="s">
        <v>2158</v>
      </c>
      <c r="J471" s="35"/>
      <c r="K471" s="35" t="s">
        <v>848</v>
      </c>
      <c r="L471" s="35"/>
      <c r="M471" s="35"/>
      <c r="N471" s="35"/>
      <c r="O471" s="35"/>
    </row>
    <row r="472" spans="1:15" ht="15.75" customHeight="1">
      <c r="A472" s="35" t="s">
        <v>850</v>
      </c>
      <c r="B472" s="35" t="s">
        <v>840</v>
      </c>
      <c r="C472" s="35"/>
      <c r="D472" s="35" t="s">
        <v>172</v>
      </c>
      <c r="E472" s="35"/>
      <c r="F472" s="35"/>
      <c r="G472" s="35" t="s">
        <v>238</v>
      </c>
      <c r="H472" s="35" t="s">
        <v>2159</v>
      </c>
      <c r="I472" s="35" t="s">
        <v>2160</v>
      </c>
      <c r="J472" s="35"/>
      <c r="K472" s="35" t="s">
        <v>852</v>
      </c>
      <c r="L472" s="35"/>
      <c r="M472" s="35"/>
      <c r="N472" s="35"/>
      <c r="O472" s="35"/>
    </row>
    <row r="473" spans="1:15" ht="15.75" customHeight="1">
      <c r="A473" s="35" t="s">
        <v>854</v>
      </c>
      <c r="B473" s="35" t="s">
        <v>840</v>
      </c>
      <c r="C473" s="35"/>
      <c r="D473" s="35" t="s">
        <v>172</v>
      </c>
      <c r="E473" s="35"/>
      <c r="F473" s="35"/>
      <c r="G473" s="35" t="s">
        <v>238</v>
      </c>
      <c r="H473" s="35" t="s">
        <v>855</v>
      </c>
      <c r="I473" s="35" t="s">
        <v>2161</v>
      </c>
      <c r="J473" s="35"/>
      <c r="K473" s="35" t="s">
        <v>857</v>
      </c>
      <c r="L473" s="35"/>
      <c r="M473" s="35"/>
      <c r="N473" s="35"/>
      <c r="O473" s="35"/>
    </row>
    <row r="474" spans="1:15" ht="15.75" customHeight="1">
      <c r="A474" s="35" t="s">
        <v>859</v>
      </c>
      <c r="B474" s="35" t="s">
        <v>854</v>
      </c>
      <c r="C474" s="35"/>
      <c r="D474" s="35" t="s">
        <v>172</v>
      </c>
      <c r="E474" s="35"/>
      <c r="F474" s="35"/>
      <c r="G474" s="35" t="s">
        <v>238</v>
      </c>
      <c r="H474" s="35" t="s">
        <v>860</v>
      </c>
      <c r="I474" s="35" t="s">
        <v>861</v>
      </c>
      <c r="J474" s="35"/>
      <c r="K474" s="35" t="s">
        <v>862</v>
      </c>
      <c r="L474" s="35"/>
      <c r="M474" s="35"/>
      <c r="N474" s="35"/>
      <c r="O474" s="35"/>
    </row>
    <row r="475" spans="1:15" ht="15.75" customHeight="1">
      <c r="A475" s="35" t="s">
        <v>864</v>
      </c>
      <c r="B475" s="35" t="s">
        <v>854</v>
      </c>
      <c r="C475" s="35"/>
      <c r="D475" s="35" t="s">
        <v>172</v>
      </c>
      <c r="E475" s="35"/>
      <c r="F475" s="35"/>
      <c r="G475" s="35" t="s">
        <v>238</v>
      </c>
      <c r="H475" s="35" t="s">
        <v>865</v>
      </c>
      <c r="I475" s="35" t="s">
        <v>866</v>
      </c>
      <c r="J475" s="35"/>
      <c r="K475" s="35" t="s">
        <v>867</v>
      </c>
      <c r="L475" s="35"/>
      <c r="M475" s="35"/>
      <c r="N475" s="35"/>
      <c r="O475" s="35"/>
    </row>
    <row r="476" spans="1:15" ht="15.75" customHeight="1">
      <c r="A476" s="35" t="s">
        <v>60</v>
      </c>
      <c r="B476" s="35" t="s">
        <v>59</v>
      </c>
      <c r="C476" s="35"/>
      <c r="D476" s="35" t="s">
        <v>172</v>
      </c>
      <c r="E476" s="35"/>
      <c r="F476" s="35"/>
      <c r="G476" s="35" t="s">
        <v>227</v>
      </c>
      <c r="H476" s="35" t="s">
        <v>869</v>
      </c>
      <c r="I476" s="35" t="s">
        <v>870</v>
      </c>
      <c r="J476" s="35"/>
      <c r="K476" s="35" t="s">
        <v>871</v>
      </c>
      <c r="L476" s="35"/>
      <c r="M476" s="35"/>
      <c r="N476" s="35"/>
      <c r="O476" s="35"/>
    </row>
    <row r="477" spans="1:15" ht="15.75" customHeight="1">
      <c r="A477" s="35" t="s">
        <v>873</v>
      </c>
      <c r="B477" s="35" t="s">
        <v>60</v>
      </c>
      <c r="C477" s="35"/>
      <c r="D477" s="35" t="s">
        <v>172</v>
      </c>
      <c r="E477" s="35"/>
      <c r="F477" s="35"/>
      <c r="G477" s="35" t="s">
        <v>238</v>
      </c>
      <c r="H477" s="35" t="s">
        <v>874</v>
      </c>
      <c r="I477" s="35" t="s">
        <v>2162</v>
      </c>
      <c r="J477" s="35"/>
      <c r="K477" s="35" t="s">
        <v>876</v>
      </c>
      <c r="L477" s="35"/>
      <c r="M477" s="35"/>
      <c r="N477" s="35"/>
      <c r="O477" s="35"/>
    </row>
    <row r="478" spans="1:15" ht="15.75" customHeight="1">
      <c r="A478" s="35" t="s">
        <v>878</v>
      </c>
      <c r="B478" s="35" t="s">
        <v>60</v>
      </c>
      <c r="C478" s="35"/>
      <c r="D478" s="35" t="s">
        <v>172</v>
      </c>
      <c r="E478" s="35"/>
      <c r="F478" s="35"/>
      <c r="G478" s="35" t="s">
        <v>238</v>
      </c>
      <c r="H478" s="35" t="s">
        <v>879</v>
      </c>
      <c r="I478" s="35" t="s">
        <v>880</v>
      </c>
      <c r="J478" s="35"/>
      <c r="K478" s="35" t="s">
        <v>881</v>
      </c>
      <c r="L478" s="35"/>
      <c r="M478" s="35"/>
      <c r="N478" s="35"/>
      <c r="O478" s="35"/>
    </row>
    <row r="479" spans="1:15" ht="15.75" customHeight="1">
      <c r="A479" s="35" t="s">
        <v>882</v>
      </c>
      <c r="B479" s="35" t="s">
        <v>59</v>
      </c>
      <c r="C479" s="35"/>
      <c r="D479" s="35" t="s">
        <v>172</v>
      </c>
      <c r="E479" s="35"/>
      <c r="F479" s="35"/>
      <c r="G479" s="35" t="s">
        <v>227</v>
      </c>
      <c r="H479" s="35" t="s">
        <v>2163</v>
      </c>
      <c r="I479" s="35" t="s">
        <v>883</v>
      </c>
      <c r="J479" s="35"/>
      <c r="K479" s="35" t="s">
        <v>884</v>
      </c>
      <c r="L479" s="35"/>
      <c r="M479" s="35"/>
      <c r="N479" s="35"/>
      <c r="O479" s="35"/>
    </row>
    <row r="480" spans="1:15" ht="15.75" customHeight="1">
      <c r="A480" s="35" t="s">
        <v>886</v>
      </c>
      <c r="B480" s="35" t="s">
        <v>882</v>
      </c>
      <c r="C480" s="35"/>
      <c r="D480" s="35" t="s">
        <v>172</v>
      </c>
      <c r="E480" s="35"/>
      <c r="F480" s="35"/>
      <c r="G480" s="35" t="s">
        <v>238</v>
      </c>
      <c r="H480" s="35" t="s">
        <v>2164</v>
      </c>
      <c r="I480" s="35" t="s">
        <v>2165</v>
      </c>
      <c r="J480" s="35"/>
      <c r="K480" s="35" t="s">
        <v>889</v>
      </c>
      <c r="L480" s="35"/>
      <c r="M480" s="35"/>
      <c r="N480" s="35"/>
      <c r="O480" s="35"/>
    </row>
    <row r="481" spans="1:15" ht="15.75" customHeight="1">
      <c r="A481" s="35" t="s">
        <v>891</v>
      </c>
      <c r="B481" s="35" t="s">
        <v>882</v>
      </c>
      <c r="C481" s="35"/>
      <c r="D481" s="35" t="s">
        <v>172</v>
      </c>
      <c r="E481" s="35"/>
      <c r="F481" s="35"/>
      <c r="G481" s="35" t="s">
        <v>238</v>
      </c>
      <c r="H481" s="35" t="s">
        <v>892</v>
      </c>
      <c r="I481" s="35" t="s">
        <v>893</v>
      </c>
      <c r="J481" s="35"/>
      <c r="K481" s="35" t="s">
        <v>894</v>
      </c>
      <c r="L481" s="35"/>
      <c r="M481" s="35"/>
      <c r="N481" s="35"/>
      <c r="O481" s="35"/>
    </row>
    <row r="482" spans="1:15" ht="15.75" customHeight="1">
      <c r="A482" s="35" t="s">
        <v>896</v>
      </c>
      <c r="B482" s="35" t="s">
        <v>882</v>
      </c>
      <c r="C482" s="35"/>
      <c r="D482" s="35" t="s">
        <v>172</v>
      </c>
      <c r="E482" s="35"/>
      <c r="F482" s="35"/>
      <c r="G482" s="35" t="s">
        <v>238</v>
      </c>
      <c r="H482" s="35" t="s">
        <v>897</v>
      </c>
      <c r="I482" s="35" t="s">
        <v>2166</v>
      </c>
      <c r="J482" s="35"/>
      <c r="K482" s="35" t="s">
        <v>899</v>
      </c>
      <c r="L482" s="35"/>
      <c r="M482" s="35"/>
      <c r="N482" s="35"/>
      <c r="O482" s="35"/>
    </row>
    <row r="483" spans="1:15" ht="15.75" customHeight="1">
      <c r="A483" s="35" t="s">
        <v>901</v>
      </c>
      <c r="B483" s="35" t="s">
        <v>882</v>
      </c>
      <c r="C483" s="35"/>
      <c r="D483" s="35" t="s">
        <v>172</v>
      </c>
      <c r="E483" s="35"/>
      <c r="F483" s="35"/>
      <c r="G483" s="35" t="s">
        <v>238</v>
      </c>
      <c r="H483" s="35" t="s">
        <v>2167</v>
      </c>
      <c r="I483" s="35" t="s">
        <v>2168</v>
      </c>
      <c r="J483" s="35"/>
      <c r="K483" s="35" t="s">
        <v>904</v>
      </c>
      <c r="L483" s="35"/>
      <c r="M483" s="35"/>
      <c r="N483" s="35"/>
      <c r="O483" s="35"/>
    </row>
    <row r="484" spans="1:15" ht="15.75" customHeight="1">
      <c r="A484" s="35" t="s">
        <v>906</v>
      </c>
      <c r="B484" s="35" t="s">
        <v>882</v>
      </c>
      <c r="C484" s="35"/>
      <c r="D484" s="35" t="s">
        <v>172</v>
      </c>
      <c r="E484" s="35"/>
      <c r="F484" s="35"/>
      <c r="G484" s="35" t="s">
        <v>238</v>
      </c>
      <c r="H484" s="35" t="s">
        <v>907</v>
      </c>
      <c r="I484" s="35" t="s">
        <v>2169</v>
      </c>
      <c r="J484" s="35"/>
      <c r="K484" s="35" t="s">
        <v>909</v>
      </c>
      <c r="L484" s="35"/>
      <c r="M484" s="35"/>
      <c r="N484" s="35"/>
      <c r="O484" s="35"/>
    </row>
    <row r="485" spans="1:15" ht="15.75" customHeight="1">
      <c r="A485" s="35" t="s">
        <v>911</v>
      </c>
      <c r="B485" s="35" t="s">
        <v>882</v>
      </c>
      <c r="C485" s="35"/>
      <c r="D485" s="35" t="s">
        <v>172</v>
      </c>
      <c r="E485" s="35"/>
      <c r="F485" s="35"/>
      <c r="G485" s="35" t="s">
        <v>238</v>
      </c>
      <c r="H485" s="35" t="s">
        <v>912</v>
      </c>
      <c r="I485" s="35" t="s">
        <v>913</v>
      </c>
      <c r="J485" s="35"/>
      <c r="K485" s="35" t="s">
        <v>914</v>
      </c>
      <c r="L485" s="35"/>
      <c r="M485" s="35"/>
      <c r="N485" s="35"/>
      <c r="O485" s="35"/>
    </row>
    <row r="486" spans="1:15" ht="15.75" customHeight="1">
      <c r="A486" s="35" t="s">
        <v>916</v>
      </c>
      <c r="B486" s="35" t="s">
        <v>882</v>
      </c>
      <c r="C486" s="35"/>
      <c r="D486" s="35" t="s">
        <v>172</v>
      </c>
      <c r="E486" s="35"/>
      <c r="F486" s="35"/>
      <c r="G486" s="35" t="s">
        <v>238</v>
      </c>
      <c r="H486" s="35" t="s">
        <v>917</v>
      </c>
      <c r="I486" s="35" t="s">
        <v>918</v>
      </c>
      <c r="J486" s="35"/>
      <c r="K486" s="35" t="s">
        <v>919</v>
      </c>
      <c r="L486" s="35"/>
      <c r="M486" s="35"/>
      <c r="N486" s="35"/>
      <c r="O486" s="35"/>
    </row>
    <row r="487" spans="1:15" ht="15.75" customHeight="1">
      <c r="A487" s="35" t="s">
        <v>921</v>
      </c>
      <c r="B487" s="35" t="s">
        <v>882</v>
      </c>
      <c r="C487" s="35"/>
      <c r="D487" s="35" t="s">
        <v>172</v>
      </c>
      <c r="E487" s="35"/>
      <c r="F487" s="35"/>
      <c r="G487" s="35" t="s">
        <v>238</v>
      </c>
      <c r="H487" s="35" t="s">
        <v>922</v>
      </c>
      <c r="I487" s="35" t="s">
        <v>2170</v>
      </c>
      <c r="J487" s="35"/>
      <c r="K487" s="35" t="s">
        <v>924</v>
      </c>
      <c r="L487" s="35"/>
      <c r="M487" s="35"/>
      <c r="N487" s="35"/>
      <c r="O487" s="35"/>
    </row>
    <row r="488" spans="1:15" ht="15.75" customHeight="1">
      <c r="A488" s="35" t="s">
        <v>62</v>
      </c>
      <c r="B488" s="35"/>
      <c r="C488" s="35"/>
      <c r="D488" s="35" t="s">
        <v>172</v>
      </c>
      <c r="E488" s="35"/>
      <c r="F488" s="35"/>
      <c r="G488" s="35" t="s">
        <v>227</v>
      </c>
      <c r="H488" s="35" t="s">
        <v>925</v>
      </c>
      <c r="I488" s="35" t="s">
        <v>2171</v>
      </c>
      <c r="J488" s="35"/>
      <c r="K488" s="35" t="s">
        <v>927</v>
      </c>
      <c r="L488" s="35"/>
      <c r="M488" s="35"/>
      <c r="N488" s="35"/>
      <c r="O488" s="35"/>
    </row>
    <row r="489" spans="1:15" ht="15.75" customHeight="1">
      <c r="A489" s="35" t="s">
        <v>929</v>
      </c>
      <c r="B489" s="35" t="s">
        <v>62</v>
      </c>
      <c r="C489" s="35"/>
      <c r="D489" s="35" t="s">
        <v>172</v>
      </c>
      <c r="E489" s="35"/>
      <c r="F489" s="35"/>
      <c r="G489" s="35" t="s">
        <v>227</v>
      </c>
      <c r="H489" s="35" t="s">
        <v>930</v>
      </c>
      <c r="I489" s="35" t="s">
        <v>931</v>
      </c>
      <c r="J489" s="35"/>
      <c r="K489" s="35" t="s">
        <v>932</v>
      </c>
      <c r="L489" s="35"/>
      <c r="M489" s="35"/>
      <c r="N489" s="35"/>
      <c r="O489" s="35"/>
    </row>
    <row r="490" spans="1:15" ht="15.75" customHeight="1">
      <c r="A490" s="35" t="s">
        <v>934</v>
      </c>
      <c r="B490" s="35" t="s">
        <v>929</v>
      </c>
      <c r="C490" s="35"/>
      <c r="D490" s="35" t="s">
        <v>172</v>
      </c>
      <c r="E490" s="35"/>
      <c r="F490" s="35"/>
      <c r="G490" s="35" t="s">
        <v>227</v>
      </c>
      <c r="H490" s="35" t="s">
        <v>935</v>
      </c>
      <c r="I490" s="35" t="s">
        <v>936</v>
      </c>
      <c r="J490" s="35"/>
      <c r="K490" s="35" t="s">
        <v>937</v>
      </c>
      <c r="L490" s="35"/>
      <c r="M490" s="35"/>
      <c r="N490" s="35"/>
      <c r="O490" s="35"/>
    </row>
    <row r="491" spans="1:15" ht="15.75" customHeight="1">
      <c r="A491" s="35" t="s">
        <v>939</v>
      </c>
      <c r="B491" s="35" t="s">
        <v>929</v>
      </c>
      <c r="C491" s="35"/>
      <c r="D491" s="35" t="s">
        <v>172</v>
      </c>
      <c r="E491" s="35"/>
      <c r="F491" s="35"/>
      <c r="G491" s="35" t="s">
        <v>227</v>
      </c>
      <c r="H491" s="35" t="s">
        <v>940</v>
      </c>
      <c r="I491" s="35" t="s">
        <v>2172</v>
      </c>
      <c r="J491" s="35"/>
      <c r="K491" s="35" t="s">
        <v>942</v>
      </c>
      <c r="L491" s="35"/>
      <c r="M491" s="35"/>
      <c r="N491" s="35"/>
      <c r="O491" s="35"/>
    </row>
    <row r="492" spans="1:15" ht="15.75" customHeight="1">
      <c r="A492" s="35" t="s">
        <v>948</v>
      </c>
      <c r="B492" s="35" t="s">
        <v>939</v>
      </c>
      <c r="C492" s="35"/>
      <c r="D492" s="35" t="s">
        <v>172</v>
      </c>
      <c r="E492" s="35"/>
      <c r="F492" s="35"/>
      <c r="G492" s="35" t="s">
        <v>238</v>
      </c>
      <c r="H492" s="35" t="s">
        <v>949</v>
      </c>
      <c r="I492" s="35" t="s">
        <v>950</v>
      </c>
      <c r="J492" s="35"/>
      <c r="K492" s="35" t="s">
        <v>951</v>
      </c>
      <c r="L492" s="35"/>
      <c r="M492" s="35"/>
      <c r="N492" s="35"/>
      <c r="O492" s="35"/>
    </row>
    <row r="493" spans="1:15" ht="15.75" customHeight="1">
      <c r="A493" s="35" t="s">
        <v>953</v>
      </c>
      <c r="B493" s="35" t="s">
        <v>939</v>
      </c>
      <c r="C493" s="35"/>
      <c r="D493" s="35" t="s">
        <v>172</v>
      </c>
      <c r="E493" s="35"/>
      <c r="F493" s="35"/>
      <c r="G493" s="35" t="s">
        <v>238</v>
      </c>
      <c r="H493" s="35" t="s">
        <v>954</v>
      </c>
      <c r="I493" s="35" t="s">
        <v>2173</v>
      </c>
      <c r="J493" s="35"/>
      <c r="K493" s="35" t="s">
        <v>956</v>
      </c>
      <c r="L493" s="35"/>
      <c r="M493" s="35"/>
      <c r="N493" s="35"/>
      <c r="O493" s="35"/>
    </row>
    <row r="494" spans="1:15" ht="15.75" customHeight="1">
      <c r="A494" s="35" t="s">
        <v>958</v>
      </c>
      <c r="B494" s="35" t="s">
        <v>939</v>
      </c>
      <c r="C494" s="35"/>
      <c r="D494" s="35" t="s">
        <v>172</v>
      </c>
      <c r="E494" s="35"/>
      <c r="F494" s="35"/>
      <c r="G494" s="35" t="s">
        <v>238</v>
      </c>
      <c r="H494" s="35" t="s">
        <v>959</v>
      </c>
      <c r="I494" s="35" t="s">
        <v>2174</v>
      </c>
      <c r="J494" s="35"/>
      <c r="K494" s="35" t="s">
        <v>961</v>
      </c>
      <c r="L494" s="35"/>
      <c r="M494" s="35"/>
      <c r="N494" s="35"/>
      <c r="O494" s="35"/>
    </row>
    <row r="495" spans="1:15" ht="15.75" customHeight="1">
      <c r="A495" s="35" t="s">
        <v>963</v>
      </c>
      <c r="B495" s="35" t="s">
        <v>939</v>
      </c>
      <c r="C495" s="35"/>
      <c r="D495" s="35" t="s">
        <v>172</v>
      </c>
      <c r="E495" s="35"/>
      <c r="F495" s="35"/>
      <c r="G495" s="35" t="s">
        <v>238</v>
      </c>
      <c r="H495" s="35" t="s">
        <v>964</v>
      </c>
      <c r="I495" s="35" t="s">
        <v>2175</v>
      </c>
      <c r="J495" s="35"/>
      <c r="K495" s="35" t="s">
        <v>966</v>
      </c>
      <c r="L495" s="35"/>
      <c r="M495" s="35"/>
      <c r="N495" s="35"/>
      <c r="O495" s="35"/>
    </row>
    <row r="496" spans="1:15" ht="15.75" customHeight="1">
      <c r="A496" s="35" t="s">
        <v>968</v>
      </c>
      <c r="B496" s="35" t="s">
        <v>939</v>
      </c>
      <c r="C496" s="35"/>
      <c r="D496" s="35" t="s">
        <v>172</v>
      </c>
      <c r="E496" s="35"/>
      <c r="F496" s="35"/>
      <c r="G496" s="35" t="s">
        <v>238</v>
      </c>
      <c r="H496" s="35" t="s">
        <v>969</v>
      </c>
      <c r="I496" s="35" t="s">
        <v>970</v>
      </c>
      <c r="J496" s="35"/>
      <c r="K496" s="35" t="s">
        <v>971</v>
      </c>
      <c r="L496" s="35"/>
      <c r="M496" s="35"/>
      <c r="N496" s="35"/>
      <c r="O496" s="35"/>
    </row>
    <row r="497" spans="1:15" ht="15.75" customHeight="1">
      <c r="A497" s="35" t="s">
        <v>973</v>
      </c>
      <c r="B497" s="35" t="s">
        <v>939</v>
      </c>
      <c r="C497" s="35"/>
      <c r="D497" s="35" t="s">
        <v>172</v>
      </c>
      <c r="E497" s="35"/>
      <c r="F497" s="35"/>
      <c r="G497" s="35" t="s">
        <v>238</v>
      </c>
      <c r="H497" s="35" t="s">
        <v>974</v>
      </c>
      <c r="I497" s="35" t="s">
        <v>2176</v>
      </c>
      <c r="J497" s="35"/>
      <c r="K497" s="35" t="s">
        <v>976</v>
      </c>
      <c r="L497" s="35"/>
      <c r="M497" s="35"/>
      <c r="N497" s="35"/>
      <c r="O497" s="35"/>
    </row>
    <row r="498" spans="1:15" ht="15.75" customHeight="1">
      <c r="A498" s="35" t="s">
        <v>978</v>
      </c>
      <c r="B498" s="35" t="s">
        <v>929</v>
      </c>
      <c r="C498" s="35"/>
      <c r="D498" s="35" t="s">
        <v>172</v>
      </c>
      <c r="E498" s="35"/>
      <c r="F498" s="35"/>
      <c r="G498" s="35" t="s">
        <v>227</v>
      </c>
      <c r="H498" s="35" t="s">
        <v>979</v>
      </c>
      <c r="I498" s="35" t="s">
        <v>2177</v>
      </c>
      <c r="J498" s="35"/>
      <c r="K498" s="35" t="s">
        <v>981</v>
      </c>
      <c r="L498" s="35"/>
      <c r="M498" s="35"/>
      <c r="N498" s="35"/>
      <c r="O498" s="35"/>
    </row>
    <row r="499" spans="1:15" ht="15.75" customHeight="1">
      <c r="A499" s="35" t="s">
        <v>983</v>
      </c>
      <c r="B499" s="35" t="s">
        <v>978</v>
      </c>
      <c r="C499" s="35"/>
      <c r="D499" s="35" t="s">
        <v>172</v>
      </c>
      <c r="E499" s="35"/>
      <c r="F499" s="35"/>
      <c r="G499" s="35" t="s">
        <v>238</v>
      </c>
      <c r="H499" s="35" t="s">
        <v>984</v>
      </c>
      <c r="I499" s="35" t="s">
        <v>985</v>
      </c>
      <c r="J499" s="35"/>
      <c r="K499" s="35" t="s">
        <v>986</v>
      </c>
      <c r="L499" s="35"/>
      <c r="M499" s="35"/>
      <c r="N499" s="35"/>
      <c r="O499" s="35"/>
    </row>
    <row r="500" spans="1:15" ht="15.75" customHeight="1">
      <c r="A500" s="35" t="s">
        <v>988</v>
      </c>
      <c r="B500" s="35" t="s">
        <v>978</v>
      </c>
      <c r="C500" s="35"/>
      <c r="D500" s="35" t="s">
        <v>172</v>
      </c>
      <c r="E500" s="35"/>
      <c r="F500" s="35"/>
      <c r="G500" s="35" t="s">
        <v>238</v>
      </c>
      <c r="H500" s="35" t="s">
        <v>989</v>
      </c>
      <c r="I500" s="35" t="s">
        <v>990</v>
      </c>
      <c r="J500" s="35"/>
      <c r="K500" s="35" t="s">
        <v>991</v>
      </c>
      <c r="L500" s="35"/>
      <c r="M500" s="35"/>
      <c r="N500" s="35"/>
      <c r="O500" s="35"/>
    </row>
    <row r="501" spans="1:15" ht="15.75" customHeight="1">
      <c r="A501" s="35" t="s">
        <v>993</v>
      </c>
      <c r="B501" s="35" t="s">
        <v>978</v>
      </c>
      <c r="C501" s="35"/>
      <c r="D501" s="35" t="s">
        <v>172</v>
      </c>
      <c r="E501" s="35"/>
      <c r="F501" s="35"/>
      <c r="G501" s="35" t="s">
        <v>238</v>
      </c>
      <c r="H501" s="35" t="s">
        <v>994</v>
      </c>
      <c r="I501" s="35" t="s">
        <v>995</v>
      </c>
      <c r="J501" s="35"/>
      <c r="K501" s="35" t="s">
        <v>996</v>
      </c>
      <c r="L501" s="35"/>
      <c r="M501" s="35"/>
      <c r="N501" s="35"/>
      <c r="O501" s="35"/>
    </row>
    <row r="502" spans="1:15" ht="15.75" customHeight="1">
      <c r="A502" s="35" t="s">
        <v>998</v>
      </c>
      <c r="B502" s="35" t="s">
        <v>978</v>
      </c>
      <c r="C502" s="35"/>
      <c r="D502" s="35" t="s">
        <v>172</v>
      </c>
      <c r="E502" s="35"/>
      <c r="F502" s="35"/>
      <c r="G502" s="35" t="s">
        <v>238</v>
      </c>
      <c r="H502" s="35" t="s">
        <v>999</v>
      </c>
      <c r="I502" s="35" t="s">
        <v>2178</v>
      </c>
      <c r="J502" s="35"/>
      <c r="K502" s="35" t="s">
        <v>1001</v>
      </c>
      <c r="L502" s="35"/>
      <c r="M502" s="35"/>
      <c r="N502" s="35"/>
      <c r="O502" s="35"/>
    </row>
    <row r="503" spans="1:15" ht="15.75" customHeight="1">
      <c r="A503" s="35" t="s">
        <v>1003</v>
      </c>
      <c r="B503" s="35" t="s">
        <v>978</v>
      </c>
      <c r="C503" s="35"/>
      <c r="D503" s="35" t="s">
        <v>172</v>
      </c>
      <c r="E503" s="35"/>
      <c r="F503" s="35"/>
      <c r="G503" s="35" t="s">
        <v>238</v>
      </c>
      <c r="H503" s="35" t="s">
        <v>1004</v>
      </c>
      <c r="I503" s="35" t="s">
        <v>2179</v>
      </c>
      <c r="J503" s="35"/>
      <c r="K503" s="35" t="s">
        <v>1006</v>
      </c>
      <c r="L503" s="35"/>
      <c r="M503" s="35"/>
      <c r="N503" s="35"/>
      <c r="O503" s="35"/>
    </row>
    <row r="504" spans="1:15" ht="15.75" customHeight="1">
      <c r="A504" s="35" t="s">
        <v>1008</v>
      </c>
      <c r="B504" s="35" t="s">
        <v>978</v>
      </c>
      <c r="C504" s="35"/>
      <c r="D504" s="35" t="s">
        <v>172</v>
      </c>
      <c r="E504" s="35"/>
      <c r="F504" s="35"/>
      <c r="G504" s="35" t="s">
        <v>238</v>
      </c>
      <c r="H504" s="35" t="s">
        <v>1009</v>
      </c>
      <c r="I504" s="35" t="s">
        <v>2180</v>
      </c>
      <c r="J504" s="35"/>
      <c r="K504" s="35" t="s">
        <v>1011</v>
      </c>
      <c r="L504" s="35"/>
      <c r="M504" s="35"/>
      <c r="N504" s="35"/>
      <c r="O504" s="35"/>
    </row>
    <row r="505" spans="1:15" ht="15.75" customHeight="1">
      <c r="A505" s="35" t="s">
        <v>1013</v>
      </c>
      <c r="B505" s="35" t="s">
        <v>978</v>
      </c>
      <c r="C505" s="35"/>
      <c r="D505" s="35" t="s">
        <v>172</v>
      </c>
      <c r="E505" s="35"/>
      <c r="F505" s="35"/>
      <c r="G505" s="35" t="s">
        <v>238</v>
      </c>
      <c r="H505" s="35" t="s">
        <v>1014</v>
      </c>
      <c r="I505" s="35" t="s">
        <v>1015</v>
      </c>
      <c r="J505" s="35"/>
      <c r="K505" s="35" t="s">
        <v>1016</v>
      </c>
      <c r="L505" s="35"/>
      <c r="M505" s="35"/>
      <c r="N505" s="35"/>
      <c r="O505" s="35"/>
    </row>
    <row r="506" spans="1:15" ht="15.75" customHeight="1">
      <c r="A506" s="35" t="s">
        <v>1018</v>
      </c>
      <c r="B506" s="35" t="s">
        <v>978</v>
      </c>
      <c r="C506" s="35"/>
      <c r="D506" s="35" t="s">
        <v>172</v>
      </c>
      <c r="E506" s="35"/>
      <c r="F506" s="35"/>
      <c r="G506" s="35" t="s">
        <v>238</v>
      </c>
      <c r="H506" s="35" t="s">
        <v>2181</v>
      </c>
      <c r="I506" s="35" t="s">
        <v>2182</v>
      </c>
      <c r="J506" s="35"/>
      <c r="K506" s="35" t="s">
        <v>1021</v>
      </c>
      <c r="L506" s="35"/>
      <c r="M506" s="35"/>
      <c r="N506" s="35"/>
      <c r="O506" s="35"/>
    </row>
    <row r="507" spans="1:15" ht="15.75" customHeight="1">
      <c r="A507" s="35" t="s">
        <v>1023</v>
      </c>
      <c r="B507" s="35" t="s">
        <v>929</v>
      </c>
      <c r="C507" s="35"/>
      <c r="D507" s="35" t="s">
        <v>172</v>
      </c>
      <c r="E507" s="35"/>
      <c r="F507" s="35"/>
      <c r="G507" s="35" t="s">
        <v>227</v>
      </c>
      <c r="H507" s="35" t="s">
        <v>2</v>
      </c>
      <c r="I507" s="35" t="s">
        <v>1024</v>
      </c>
      <c r="J507" s="35"/>
      <c r="K507" s="35" t="s">
        <v>1025</v>
      </c>
      <c r="L507" s="35"/>
      <c r="M507" s="35"/>
      <c r="N507" s="35"/>
      <c r="O507" s="35"/>
    </row>
    <row r="508" spans="1:15" ht="15.75" customHeight="1">
      <c r="A508" s="35" t="s">
        <v>1027</v>
      </c>
      <c r="B508" s="35" t="s">
        <v>929</v>
      </c>
      <c r="C508" s="35"/>
      <c r="D508" s="35" t="s">
        <v>172</v>
      </c>
      <c r="E508" s="35"/>
      <c r="F508" s="35"/>
      <c r="G508" s="35" t="s">
        <v>227</v>
      </c>
      <c r="H508" s="35" t="s">
        <v>1028</v>
      </c>
      <c r="I508" s="35" t="s">
        <v>2183</v>
      </c>
      <c r="J508" s="35"/>
      <c r="K508" s="35" t="s">
        <v>1030</v>
      </c>
      <c r="L508" s="35"/>
      <c r="M508" s="35"/>
      <c r="N508" s="35"/>
      <c r="O508" s="35"/>
    </row>
    <row r="509" spans="1:15" ht="15.75" customHeight="1">
      <c r="A509" s="35" t="s">
        <v>1032</v>
      </c>
      <c r="B509" s="35" t="s">
        <v>1027</v>
      </c>
      <c r="C509" s="35"/>
      <c r="D509" s="35" t="s">
        <v>172</v>
      </c>
      <c r="E509" s="35"/>
      <c r="F509" s="35"/>
      <c r="G509" s="35" t="s">
        <v>238</v>
      </c>
      <c r="H509" s="35" t="s">
        <v>1033</v>
      </c>
      <c r="I509" s="35" t="s">
        <v>2184</v>
      </c>
      <c r="J509" s="35"/>
      <c r="K509" s="35" t="s">
        <v>1035</v>
      </c>
      <c r="L509" s="35"/>
      <c r="M509" s="35"/>
      <c r="N509" s="35"/>
      <c r="O509" s="35"/>
    </row>
    <row r="510" spans="1:15" ht="15.75" customHeight="1">
      <c r="A510" s="35" t="s">
        <v>1037</v>
      </c>
      <c r="B510" s="35" t="s">
        <v>1027</v>
      </c>
      <c r="C510" s="35"/>
      <c r="D510" s="35" t="s">
        <v>172</v>
      </c>
      <c r="E510" s="35"/>
      <c r="F510" s="35"/>
      <c r="G510" s="35" t="s">
        <v>238</v>
      </c>
      <c r="H510" s="35" t="s">
        <v>1038</v>
      </c>
      <c r="I510" s="35" t="s">
        <v>2185</v>
      </c>
      <c r="J510" s="35"/>
      <c r="K510" s="35" t="s">
        <v>1040</v>
      </c>
      <c r="L510" s="35"/>
      <c r="M510" s="35"/>
      <c r="N510" s="35"/>
      <c r="O510" s="35"/>
    </row>
    <row r="511" spans="1:15" ht="15.75" customHeight="1">
      <c r="A511" s="35" t="s">
        <v>1042</v>
      </c>
      <c r="B511" s="35" t="s">
        <v>1027</v>
      </c>
      <c r="C511" s="35"/>
      <c r="D511" s="35" t="s">
        <v>172</v>
      </c>
      <c r="E511" s="35"/>
      <c r="F511" s="35"/>
      <c r="G511" s="35" t="s">
        <v>238</v>
      </c>
      <c r="H511" s="35" t="s">
        <v>1043</v>
      </c>
      <c r="I511" s="35" t="s">
        <v>2186</v>
      </c>
      <c r="J511" s="35"/>
      <c r="K511" s="35" t="s">
        <v>1045</v>
      </c>
      <c r="L511" s="35"/>
      <c r="M511" s="35"/>
      <c r="N511" s="35"/>
      <c r="O511" s="35"/>
    </row>
    <row r="512" spans="1:15" ht="15.75" customHeight="1">
      <c r="A512" s="35" t="s">
        <v>1047</v>
      </c>
      <c r="B512" s="35" t="s">
        <v>1027</v>
      </c>
      <c r="C512" s="35"/>
      <c r="D512" s="35" t="s">
        <v>172</v>
      </c>
      <c r="E512" s="35"/>
      <c r="F512" s="35"/>
      <c r="G512" s="35" t="s">
        <v>238</v>
      </c>
      <c r="H512" s="35" t="s">
        <v>1048</v>
      </c>
      <c r="I512" s="35" t="s">
        <v>2187</v>
      </c>
      <c r="J512" s="35"/>
      <c r="K512" s="35" t="s">
        <v>1050</v>
      </c>
      <c r="L512" s="35"/>
      <c r="M512" s="35"/>
      <c r="N512" s="35"/>
      <c r="O512" s="35"/>
    </row>
    <row r="513" spans="1:15" ht="15.75" customHeight="1">
      <c r="A513" s="35" t="s">
        <v>1052</v>
      </c>
      <c r="B513" s="35" t="s">
        <v>1027</v>
      </c>
      <c r="C513" s="35"/>
      <c r="D513" s="35" t="s">
        <v>172</v>
      </c>
      <c r="E513" s="35"/>
      <c r="F513" s="35"/>
      <c r="G513" s="35" t="s">
        <v>238</v>
      </c>
      <c r="H513" s="35" t="s">
        <v>1053</v>
      </c>
      <c r="I513" s="35" t="s">
        <v>2188</v>
      </c>
      <c r="J513" s="35"/>
      <c r="K513" s="35" t="s">
        <v>1055</v>
      </c>
      <c r="L513" s="35"/>
      <c r="M513" s="35"/>
      <c r="N513" s="35"/>
      <c r="O513" s="35"/>
    </row>
    <row r="514" spans="1:15" ht="15.75" customHeight="1">
      <c r="A514" s="35" t="s">
        <v>1057</v>
      </c>
      <c r="B514" s="35" t="s">
        <v>1027</v>
      </c>
      <c r="C514" s="35"/>
      <c r="D514" s="35" t="s">
        <v>172</v>
      </c>
      <c r="E514" s="35"/>
      <c r="F514" s="35"/>
      <c r="G514" s="35" t="s">
        <v>238</v>
      </c>
      <c r="H514" s="35" t="s">
        <v>1058</v>
      </c>
      <c r="I514" s="35" t="s">
        <v>2189</v>
      </c>
      <c r="J514" s="35"/>
      <c r="K514" s="35" t="s">
        <v>1060</v>
      </c>
      <c r="L514" s="35"/>
      <c r="M514" s="35"/>
      <c r="N514" s="35"/>
      <c r="O514" s="35"/>
    </row>
    <row r="515" spans="1:15" ht="15.75" customHeight="1">
      <c r="A515" s="35" t="s">
        <v>1062</v>
      </c>
      <c r="B515" s="35" t="s">
        <v>1027</v>
      </c>
      <c r="C515" s="35"/>
      <c r="D515" s="35" t="s">
        <v>172</v>
      </c>
      <c r="E515" s="35"/>
      <c r="F515" s="35"/>
      <c r="G515" s="35" t="s">
        <v>238</v>
      </c>
      <c r="H515" s="35" t="s">
        <v>1063</v>
      </c>
      <c r="I515" s="35" t="s">
        <v>2190</v>
      </c>
      <c r="J515" s="35"/>
      <c r="K515" s="35" t="s">
        <v>1065</v>
      </c>
      <c r="L515" s="35"/>
      <c r="M515" s="35"/>
      <c r="N515" s="35"/>
      <c r="O515" s="35"/>
    </row>
    <row r="516" spans="1:15" ht="15.75" customHeight="1">
      <c r="A516" s="35" t="s">
        <v>1067</v>
      </c>
      <c r="B516" s="35" t="s">
        <v>929</v>
      </c>
      <c r="C516" s="35"/>
      <c r="D516" s="35" t="s">
        <v>172</v>
      </c>
      <c r="E516" s="35"/>
      <c r="F516" s="35"/>
      <c r="G516" s="35" t="s">
        <v>227</v>
      </c>
      <c r="H516" s="35" t="s">
        <v>1068</v>
      </c>
      <c r="I516" s="35" t="s">
        <v>1069</v>
      </c>
      <c r="J516" s="35"/>
      <c r="K516" s="35" t="s">
        <v>1070</v>
      </c>
      <c r="L516" s="35"/>
      <c r="M516" s="35"/>
      <c r="N516" s="35"/>
      <c r="O516" s="35"/>
    </row>
    <row r="517" spans="1:15" ht="15.75" customHeight="1">
      <c r="A517" s="35" t="s">
        <v>1072</v>
      </c>
      <c r="B517" s="35" t="s">
        <v>1067</v>
      </c>
      <c r="C517" s="35"/>
      <c r="D517" s="35" t="s">
        <v>172</v>
      </c>
      <c r="E517" s="35"/>
      <c r="F517" s="35"/>
      <c r="G517" s="35" t="s">
        <v>238</v>
      </c>
      <c r="H517" s="35" t="s">
        <v>1073</v>
      </c>
      <c r="I517" s="35" t="s">
        <v>1074</v>
      </c>
      <c r="J517" s="35"/>
      <c r="K517" s="35" t="s">
        <v>1075</v>
      </c>
      <c r="L517" s="35"/>
      <c r="M517" s="35"/>
      <c r="N517" s="35"/>
      <c r="O517" s="35"/>
    </row>
    <row r="518" spans="1:15" ht="15.75" customHeight="1">
      <c r="A518" s="35" t="s">
        <v>1077</v>
      </c>
      <c r="B518" s="35" t="s">
        <v>1067</v>
      </c>
      <c r="C518" s="35"/>
      <c r="D518" s="35" t="s">
        <v>172</v>
      </c>
      <c r="E518" s="35"/>
      <c r="F518" s="35"/>
      <c r="G518" s="35" t="s">
        <v>238</v>
      </c>
      <c r="H518" s="35" t="s">
        <v>1078</v>
      </c>
      <c r="I518" s="35" t="s">
        <v>2191</v>
      </c>
      <c r="J518" s="35"/>
      <c r="K518" s="35" t="s">
        <v>1080</v>
      </c>
      <c r="L518" s="35"/>
      <c r="M518" s="35"/>
      <c r="N518" s="35"/>
      <c r="O518" s="35"/>
    </row>
    <row r="519" spans="1:15" ht="15.75" customHeight="1">
      <c r="A519" s="35" t="s">
        <v>1082</v>
      </c>
      <c r="B519" s="35" t="s">
        <v>1067</v>
      </c>
      <c r="C519" s="35"/>
      <c r="D519" s="35" t="s">
        <v>172</v>
      </c>
      <c r="E519" s="35"/>
      <c r="F519" s="35"/>
      <c r="G519" s="35" t="s">
        <v>238</v>
      </c>
      <c r="H519" s="35" t="s">
        <v>1083</v>
      </c>
      <c r="I519" s="35" t="s">
        <v>2192</v>
      </c>
      <c r="J519" s="35"/>
      <c r="K519" s="35" t="s">
        <v>1085</v>
      </c>
      <c r="L519" s="35"/>
      <c r="M519" s="35"/>
      <c r="N519" s="35"/>
      <c r="O519" s="35"/>
    </row>
    <row r="520" spans="1:15" ht="15.75" customHeight="1">
      <c r="A520" s="35" t="s">
        <v>1087</v>
      </c>
      <c r="B520" s="35" t="s">
        <v>1067</v>
      </c>
      <c r="C520" s="35"/>
      <c r="D520" s="35" t="s">
        <v>172</v>
      </c>
      <c r="E520" s="35"/>
      <c r="F520" s="35"/>
      <c r="G520" s="35" t="s">
        <v>238</v>
      </c>
      <c r="H520" s="35" t="s">
        <v>1088</v>
      </c>
      <c r="I520" s="35" t="s">
        <v>2193</v>
      </c>
      <c r="J520" s="35"/>
      <c r="K520" s="35" t="s">
        <v>1090</v>
      </c>
      <c r="L520" s="35"/>
      <c r="M520" s="35"/>
      <c r="N520" s="35"/>
      <c r="O520" s="35"/>
    </row>
    <row r="521" spans="1:15" ht="15.75" customHeight="1">
      <c r="A521" s="35" t="s">
        <v>1092</v>
      </c>
      <c r="B521" s="35" t="s">
        <v>1067</v>
      </c>
      <c r="C521" s="35"/>
      <c r="D521" s="35" t="s">
        <v>172</v>
      </c>
      <c r="E521" s="35"/>
      <c r="F521" s="35"/>
      <c r="G521" s="35" t="s">
        <v>238</v>
      </c>
      <c r="H521" s="35" t="s">
        <v>1093</v>
      </c>
      <c r="I521" s="35" t="s">
        <v>1094</v>
      </c>
      <c r="J521" s="35"/>
      <c r="K521" s="35" t="s">
        <v>1095</v>
      </c>
      <c r="L521" s="35"/>
      <c r="M521" s="35"/>
      <c r="N521" s="35"/>
      <c r="O521" s="35"/>
    </row>
    <row r="522" spans="1:15" ht="15.75" customHeight="1">
      <c r="A522" s="35" t="s">
        <v>1097</v>
      </c>
      <c r="B522" s="35" t="s">
        <v>1067</v>
      </c>
      <c r="C522" s="35"/>
      <c r="D522" s="35" t="s">
        <v>172</v>
      </c>
      <c r="E522" s="35"/>
      <c r="F522" s="35"/>
      <c r="G522" s="35" t="s">
        <v>238</v>
      </c>
      <c r="H522" s="35" t="s">
        <v>1098</v>
      </c>
      <c r="I522" s="35" t="s">
        <v>1099</v>
      </c>
      <c r="J522" s="35"/>
      <c r="K522" s="35" t="s">
        <v>1100</v>
      </c>
      <c r="L522" s="35"/>
      <c r="M522" s="35"/>
      <c r="N522" s="35"/>
      <c r="O522" s="35"/>
    </row>
    <row r="523" spans="1:15" ht="15.75" customHeight="1">
      <c r="A523" s="35" t="s">
        <v>1102</v>
      </c>
      <c r="B523" s="35" t="s">
        <v>1067</v>
      </c>
      <c r="C523" s="35"/>
      <c r="D523" s="35" t="s">
        <v>172</v>
      </c>
      <c r="E523" s="35"/>
      <c r="F523" s="35"/>
      <c r="G523" s="35" t="s">
        <v>238</v>
      </c>
      <c r="H523" s="35" t="s">
        <v>1103</v>
      </c>
      <c r="I523" s="35" t="s">
        <v>1104</v>
      </c>
      <c r="J523" s="35"/>
      <c r="K523" s="35" t="s">
        <v>1105</v>
      </c>
      <c r="L523" s="35"/>
      <c r="M523" s="35"/>
      <c r="N523" s="35"/>
      <c r="O523" s="35"/>
    </row>
    <row r="524" spans="1:15" ht="15.75" customHeight="1">
      <c r="A524" s="35" t="s">
        <v>1107</v>
      </c>
      <c r="B524" s="35" t="s">
        <v>929</v>
      </c>
      <c r="C524" s="35"/>
      <c r="D524" s="35" t="s">
        <v>172</v>
      </c>
      <c r="E524" s="35"/>
      <c r="F524" s="35"/>
      <c r="G524" s="35" t="s">
        <v>227</v>
      </c>
      <c r="H524" s="35" t="s">
        <v>1108</v>
      </c>
      <c r="I524" s="35" t="s">
        <v>2194</v>
      </c>
      <c r="J524" s="35"/>
      <c r="K524" s="35" t="s">
        <v>1110</v>
      </c>
      <c r="L524" s="35"/>
      <c r="M524" s="35"/>
      <c r="N524" s="35"/>
      <c r="O524" s="35"/>
    </row>
    <row r="525" spans="1:15" ht="15.75" customHeight="1">
      <c r="A525" s="35" t="s">
        <v>1112</v>
      </c>
      <c r="B525" s="35" t="s">
        <v>1107</v>
      </c>
      <c r="C525" s="35"/>
      <c r="D525" s="35" t="s">
        <v>172</v>
      </c>
      <c r="E525" s="35"/>
      <c r="F525" s="35"/>
      <c r="G525" s="35" t="s">
        <v>227</v>
      </c>
      <c r="H525" s="35" t="s">
        <v>2195</v>
      </c>
      <c r="I525" s="35" t="s">
        <v>2196</v>
      </c>
      <c r="J525" s="35"/>
      <c r="K525" s="35" t="s">
        <v>1115</v>
      </c>
      <c r="L525" s="35"/>
      <c r="M525" s="35"/>
      <c r="N525" s="35"/>
      <c r="O525" s="35"/>
    </row>
    <row r="526" spans="1:15" ht="15.75" customHeight="1">
      <c r="A526" s="35" t="s">
        <v>1117</v>
      </c>
      <c r="B526" s="35" t="s">
        <v>1107</v>
      </c>
      <c r="C526" s="35"/>
      <c r="D526" s="35" t="s">
        <v>172</v>
      </c>
      <c r="E526" s="35"/>
      <c r="F526" s="35"/>
      <c r="G526" s="35" t="s">
        <v>227</v>
      </c>
      <c r="H526" s="35" t="s">
        <v>2197</v>
      </c>
      <c r="I526" s="37" t="s">
        <v>2198</v>
      </c>
      <c r="J526" s="35"/>
      <c r="K526" s="35" t="s">
        <v>1120</v>
      </c>
      <c r="L526" s="35"/>
      <c r="M526" s="35"/>
      <c r="N526" s="35"/>
      <c r="O526" s="35"/>
    </row>
    <row r="527" spans="1:15" ht="15.75" customHeight="1">
      <c r="A527" s="35" t="s">
        <v>1122</v>
      </c>
      <c r="B527" s="35" t="s">
        <v>1107</v>
      </c>
      <c r="C527" s="35"/>
      <c r="D527" s="35" t="s">
        <v>172</v>
      </c>
      <c r="E527" s="35"/>
      <c r="F527" s="35"/>
      <c r="G527" s="35" t="s">
        <v>227</v>
      </c>
      <c r="H527" s="35" t="s">
        <v>1123</v>
      </c>
      <c r="I527" s="35" t="s">
        <v>1124</v>
      </c>
      <c r="J527" s="35"/>
      <c r="K527" s="35" t="s">
        <v>1125</v>
      </c>
      <c r="L527" s="35"/>
      <c r="M527" s="35"/>
      <c r="N527" s="35"/>
      <c r="O527" s="35"/>
    </row>
    <row r="528" spans="1:15" ht="15.75" customHeight="1">
      <c r="A528" s="35" t="s">
        <v>1127</v>
      </c>
      <c r="B528" s="35" t="s">
        <v>1107</v>
      </c>
      <c r="C528" s="35"/>
      <c r="D528" s="35" t="s">
        <v>172</v>
      </c>
      <c r="E528" s="35"/>
      <c r="F528" s="35"/>
      <c r="G528" s="35" t="s">
        <v>227</v>
      </c>
      <c r="H528" s="35" t="s">
        <v>1128</v>
      </c>
      <c r="I528" s="35" t="s">
        <v>1129</v>
      </c>
      <c r="J528" s="35"/>
      <c r="K528" s="35" t="s">
        <v>1130</v>
      </c>
      <c r="L528" s="35"/>
      <c r="M528" s="35"/>
      <c r="N528" s="35"/>
      <c r="O528" s="35"/>
    </row>
    <row r="529" spans="1:15" ht="15.75" customHeight="1">
      <c r="A529" s="35" t="s">
        <v>1132</v>
      </c>
      <c r="B529" s="35" t="s">
        <v>1107</v>
      </c>
      <c r="C529" s="35"/>
      <c r="D529" s="35" t="s">
        <v>172</v>
      </c>
      <c r="E529" s="35"/>
      <c r="F529" s="35"/>
      <c r="G529" s="35" t="s">
        <v>227</v>
      </c>
      <c r="H529" s="35" t="s">
        <v>1133</v>
      </c>
      <c r="I529" s="35" t="s">
        <v>1134</v>
      </c>
      <c r="J529" s="35"/>
      <c r="K529" s="35" t="s">
        <v>1135</v>
      </c>
      <c r="L529" s="35"/>
      <c r="M529" s="35"/>
      <c r="N529" s="35"/>
      <c r="O529" s="35"/>
    </row>
    <row r="530" spans="1:15" ht="15.75" customHeight="1">
      <c r="A530" s="35" t="s">
        <v>1137</v>
      </c>
      <c r="B530" s="35" t="s">
        <v>1107</v>
      </c>
      <c r="C530" s="35"/>
      <c r="D530" s="35" t="s">
        <v>172</v>
      </c>
      <c r="E530" s="35"/>
      <c r="F530" s="35"/>
      <c r="G530" s="35" t="s">
        <v>227</v>
      </c>
      <c r="H530" s="35" t="s">
        <v>1138</v>
      </c>
      <c r="I530" s="35" t="s">
        <v>2199</v>
      </c>
      <c r="J530" s="35"/>
      <c r="K530" s="35" t="s">
        <v>1140</v>
      </c>
      <c r="L530" s="35"/>
      <c r="M530" s="35"/>
      <c r="N530" s="35"/>
      <c r="O530" s="35"/>
    </row>
    <row r="531" spans="1:15" ht="15.75" customHeight="1">
      <c r="A531" s="35" t="s">
        <v>1142</v>
      </c>
      <c r="B531" s="35" t="s">
        <v>1107</v>
      </c>
      <c r="C531" s="35"/>
      <c r="D531" s="35" t="s">
        <v>172</v>
      </c>
      <c r="E531" s="35"/>
      <c r="F531" s="35"/>
      <c r="G531" s="35" t="s">
        <v>227</v>
      </c>
      <c r="H531" s="35" t="s">
        <v>1143</v>
      </c>
      <c r="I531" s="35" t="s">
        <v>1144</v>
      </c>
      <c r="J531" s="35"/>
      <c r="K531" s="35" t="s">
        <v>1145</v>
      </c>
      <c r="L531" s="35"/>
      <c r="M531" s="35"/>
      <c r="N531" s="35"/>
      <c r="O531" s="35"/>
    </row>
    <row r="532" spans="1:15" ht="15.75" customHeight="1">
      <c r="A532" s="35" t="s">
        <v>1147</v>
      </c>
      <c r="B532" s="35" t="s">
        <v>1107</v>
      </c>
      <c r="C532" s="35"/>
      <c r="D532" s="35" t="s">
        <v>172</v>
      </c>
      <c r="E532" s="35"/>
      <c r="F532" s="35"/>
      <c r="G532" s="35" t="s">
        <v>227</v>
      </c>
      <c r="H532" s="35" t="s">
        <v>1148</v>
      </c>
      <c r="I532" s="35" t="s">
        <v>2200</v>
      </c>
      <c r="J532" s="35"/>
      <c r="K532" s="35" t="s">
        <v>1150</v>
      </c>
      <c r="L532" s="35"/>
      <c r="M532" s="35"/>
      <c r="N532" s="35"/>
      <c r="O532" s="35"/>
    </row>
    <row r="533" spans="1:15" ht="15.75" customHeight="1">
      <c r="A533" s="35" t="s">
        <v>1152</v>
      </c>
      <c r="B533" s="35" t="s">
        <v>1107</v>
      </c>
      <c r="C533" s="35"/>
      <c r="D533" s="35" t="s">
        <v>172</v>
      </c>
      <c r="E533" s="35"/>
      <c r="F533" s="35"/>
      <c r="G533" s="35" t="s">
        <v>227</v>
      </c>
      <c r="H533" s="35" t="s">
        <v>1153</v>
      </c>
      <c r="I533" s="35" t="s">
        <v>1154</v>
      </c>
      <c r="J533" s="35"/>
      <c r="K533" s="35" t="s">
        <v>1155</v>
      </c>
      <c r="L533" s="35"/>
      <c r="M533" s="35"/>
      <c r="N533" s="35"/>
      <c r="O533" s="35"/>
    </row>
    <row r="534" spans="1:15" ht="15.75" customHeight="1">
      <c r="A534" s="35" t="s">
        <v>1157</v>
      </c>
      <c r="B534" s="35" t="s">
        <v>929</v>
      </c>
      <c r="C534" s="35"/>
      <c r="D534" s="35" t="s">
        <v>172</v>
      </c>
      <c r="E534" s="35"/>
      <c r="F534" s="35"/>
      <c r="G534" s="35" t="s">
        <v>227</v>
      </c>
      <c r="H534" s="35" t="s">
        <v>1158</v>
      </c>
      <c r="I534" s="35" t="s">
        <v>1159</v>
      </c>
      <c r="J534" s="35"/>
      <c r="K534" s="35" t="s">
        <v>1160</v>
      </c>
      <c r="L534" s="35"/>
      <c r="M534" s="35"/>
      <c r="N534" s="35"/>
      <c r="O534" s="35"/>
    </row>
    <row r="535" spans="1:15" ht="15.75" customHeight="1">
      <c r="A535" s="35" t="s">
        <v>1162</v>
      </c>
      <c r="B535" s="35" t="s">
        <v>929</v>
      </c>
      <c r="C535" s="35"/>
      <c r="D535" s="35" t="s">
        <v>172</v>
      </c>
      <c r="E535" s="35"/>
      <c r="F535" s="35"/>
      <c r="G535" s="35" t="s">
        <v>227</v>
      </c>
      <c r="H535" s="35" t="s">
        <v>1163</v>
      </c>
      <c r="I535" s="35" t="s">
        <v>1164</v>
      </c>
      <c r="J535" s="35"/>
      <c r="K535" s="35" t="s">
        <v>1165</v>
      </c>
      <c r="L535" s="35"/>
      <c r="M535" s="35"/>
      <c r="N535" s="35"/>
      <c r="O535" s="35"/>
    </row>
    <row r="536" spans="1:15" ht="15.75" customHeight="1">
      <c r="A536" s="35" t="s">
        <v>1167</v>
      </c>
      <c r="B536" s="35" t="s">
        <v>1162</v>
      </c>
      <c r="C536" s="35"/>
      <c r="D536" s="35" t="s">
        <v>172</v>
      </c>
      <c r="E536" s="35"/>
      <c r="F536" s="35"/>
      <c r="G536" s="35" t="s">
        <v>238</v>
      </c>
      <c r="H536" s="35" t="s">
        <v>1168</v>
      </c>
      <c r="I536" s="35" t="s">
        <v>2201</v>
      </c>
      <c r="J536" s="35"/>
      <c r="K536" s="35" t="s">
        <v>1170</v>
      </c>
      <c r="L536" s="35"/>
      <c r="M536" s="35"/>
      <c r="N536" s="35"/>
      <c r="O536" s="35"/>
    </row>
    <row r="537" spans="1:15" ht="15.75" customHeight="1">
      <c r="A537" s="35" t="s">
        <v>1172</v>
      </c>
      <c r="B537" s="35" t="s">
        <v>62</v>
      </c>
      <c r="C537" s="35"/>
      <c r="D537" s="35" t="s">
        <v>172</v>
      </c>
      <c r="E537" s="35"/>
      <c r="F537" s="35"/>
      <c r="G537" s="35" t="s">
        <v>227</v>
      </c>
      <c r="H537" s="35" t="s">
        <v>1173</v>
      </c>
      <c r="I537" s="35" t="s">
        <v>1174</v>
      </c>
      <c r="J537" s="35"/>
      <c r="K537" s="35" t="s">
        <v>1175</v>
      </c>
      <c r="L537" s="35"/>
      <c r="M537" s="35"/>
      <c r="N537" s="35"/>
      <c r="O537" s="35"/>
    </row>
    <row r="538" spans="1:15" ht="15.75" customHeight="1">
      <c r="A538" s="35" t="s">
        <v>1177</v>
      </c>
      <c r="B538" s="35" t="s">
        <v>1172</v>
      </c>
      <c r="C538" s="35"/>
      <c r="D538" s="35" t="s">
        <v>172</v>
      </c>
      <c r="E538" s="35"/>
      <c r="F538" s="35"/>
      <c r="G538" s="35" t="s">
        <v>238</v>
      </c>
      <c r="H538" s="35" t="s">
        <v>1178</v>
      </c>
      <c r="I538" s="35" t="s">
        <v>1179</v>
      </c>
      <c r="J538" s="35"/>
      <c r="K538" s="35" t="s">
        <v>1180</v>
      </c>
      <c r="L538" s="35"/>
      <c r="M538" s="35"/>
      <c r="N538" s="35"/>
      <c r="O538" s="35"/>
    </row>
    <row r="539" spans="1:15" ht="15.75" customHeight="1">
      <c r="A539" s="35" t="s">
        <v>1182</v>
      </c>
      <c r="B539" s="35" t="s">
        <v>1172</v>
      </c>
      <c r="C539" s="35"/>
      <c r="D539" s="35" t="s">
        <v>172</v>
      </c>
      <c r="E539" s="35"/>
      <c r="F539" s="35"/>
      <c r="G539" s="35" t="s">
        <v>238</v>
      </c>
      <c r="H539" s="35" t="s">
        <v>1183</v>
      </c>
      <c r="I539" s="35" t="s">
        <v>2202</v>
      </c>
      <c r="J539" s="35"/>
      <c r="K539" s="35" t="s">
        <v>1185</v>
      </c>
      <c r="L539" s="35"/>
      <c r="M539" s="35"/>
      <c r="N539" s="35"/>
      <c r="O539" s="35"/>
    </row>
    <row r="540" spans="1:15" ht="15.75" customHeight="1">
      <c r="A540" s="35" t="s">
        <v>1187</v>
      </c>
      <c r="B540" s="35" t="s">
        <v>1172</v>
      </c>
      <c r="C540" s="35"/>
      <c r="D540" s="35" t="s">
        <v>172</v>
      </c>
      <c r="E540" s="35"/>
      <c r="F540" s="35"/>
      <c r="G540" s="35" t="s">
        <v>238</v>
      </c>
      <c r="H540" s="35" t="s">
        <v>1188</v>
      </c>
      <c r="I540" s="35" t="s">
        <v>1189</v>
      </c>
      <c r="J540" s="35"/>
      <c r="K540" s="35" t="s">
        <v>1190</v>
      </c>
      <c r="L540" s="35"/>
      <c r="M540" s="35"/>
      <c r="N540" s="35"/>
      <c r="O540" s="35"/>
    </row>
    <row r="541" spans="1:15" ht="15.75" customHeight="1">
      <c r="A541" s="35" t="s">
        <v>1192</v>
      </c>
      <c r="B541" s="35" t="s">
        <v>1172</v>
      </c>
      <c r="C541" s="35"/>
      <c r="D541" s="35" t="s">
        <v>172</v>
      </c>
      <c r="E541" s="35"/>
      <c r="F541" s="35"/>
      <c r="G541" s="35" t="s">
        <v>238</v>
      </c>
      <c r="H541" s="35" t="s">
        <v>1193</v>
      </c>
      <c r="I541" s="35" t="s">
        <v>1194</v>
      </c>
      <c r="J541" s="35"/>
      <c r="K541" s="35" t="s">
        <v>1195</v>
      </c>
      <c r="L541" s="35"/>
      <c r="M541" s="35"/>
      <c r="N541" s="35"/>
      <c r="O541" s="35"/>
    </row>
    <row r="542" spans="1:15" ht="15.75" customHeight="1">
      <c r="A542" s="35" t="s">
        <v>1197</v>
      </c>
      <c r="B542" s="35" t="s">
        <v>1172</v>
      </c>
      <c r="C542" s="35"/>
      <c r="D542" s="35" t="s">
        <v>172</v>
      </c>
      <c r="E542" s="35"/>
      <c r="F542" s="35"/>
      <c r="G542" s="35" t="s">
        <v>238</v>
      </c>
      <c r="H542" s="35" t="s">
        <v>1198</v>
      </c>
      <c r="I542" s="35" t="s">
        <v>1199</v>
      </c>
      <c r="J542" s="35"/>
      <c r="K542" s="35" t="s">
        <v>1200</v>
      </c>
      <c r="L542" s="35"/>
      <c r="M542" s="35"/>
      <c r="N542" s="35"/>
      <c r="O542" s="35"/>
    </row>
    <row r="543" spans="1:15" ht="15.75" customHeight="1">
      <c r="A543" s="35" t="s">
        <v>1202</v>
      </c>
      <c r="B543" s="35" t="s">
        <v>1197</v>
      </c>
      <c r="C543" s="35"/>
      <c r="D543" s="35" t="s">
        <v>172</v>
      </c>
      <c r="E543" s="35"/>
      <c r="F543" s="35"/>
      <c r="G543" s="35" t="s">
        <v>238</v>
      </c>
      <c r="H543" s="35" t="s">
        <v>1203</v>
      </c>
      <c r="I543" s="35" t="s">
        <v>2203</v>
      </c>
      <c r="J543" s="35"/>
      <c r="K543" s="35" t="s">
        <v>1205</v>
      </c>
      <c r="L543" s="35"/>
      <c r="M543" s="35"/>
      <c r="N543" s="35"/>
      <c r="O543" s="35"/>
    </row>
    <row r="544" spans="1:15" ht="15.75" customHeight="1">
      <c r="A544" s="35" t="s">
        <v>1207</v>
      </c>
      <c r="B544" s="35" t="s">
        <v>1197</v>
      </c>
      <c r="C544" s="35"/>
      <c r="D544" s="35" t="s">
        <v>172</v>
      </c>
      <c r="E544" s="35"/>
      <c r="F544" s="35"/>
      <c r="G544" s="35" t="s">
        <v>238</v>
      </c>
      <c r="H544" s="35" t="s">
        <v>1208</v>
      </c>
      <c r="I544" s="35" t="s">
        <v>1209</v>
      </c>
      <c r="J544" s="35"/>
      <c r="K544" s="35" t="s">
        <v>1210</v>
      </c>
      <c r="L544" s="35"/>
      <c r="M544" s="35"/>
      <c r="N544" s="35"/>
      <c r="O544" s="35"/>
    </row>
    <row r="545" spans="1:15" ht="15.75" customHeight="1">
      <c r="A545" s="35" t="s">
        <v>1212</v>
      </c>
      <c r="B545" s="35" t="s">
        <v>1197</v>
      </c>
      <c r="C545" s="35"/>
      <c r="D545" s="35" t="s">
        <v>172</v>
      </c>
      <c r="E545" s="35"/>
      <c r="F545" s="35"/>
      <c r="G545" s="35" t="s">
        <v>238</v>
      </c>
      <c r="H545" s="35" t="s">
        <v>1213</v>
      </c>
      <c r="I545" s="35" t="s">
        <v>1214</v>
      </c>
      <c r="J545" s="35"/>
      <c r="K545" s="35" t="s">
        <v>1215</v>
      </c>
      <c r="L545" s="35"/>
      <c r="M545" s="35"/>
      <c r="N545" s="35"/>
      <c r="O545" s="35"/>
    </row>
    <row r="546" spans="1:15" ht="15.75" customHeight="1">
      <c r="A546" s="35" t="s">
        <v>1217</v>
      </c>
      <c r="B546" s="35" t="s">
        <v>1172</v>
      </c>
      <c r="C546" s="35"/>
      <c r="D546" s="35" t="s">
        <v>172</v>
      </c>
      <c r="E546" s="35"/>
      <c r="F546" s="35"/>
      <c r="G546" s="35" t="s">
        <v>238</v>
      </c>
      <c r="H546" s="35" t="s">
        <v>1218</v>
      </c>
      <c r="I546" s="35" t="s">
        <v>1219</v>
      </c>
      <c r="J546" s="35"/>
      <c r="K546" s="35" t="s">
        <v>1220</v>
      </c>
      <c r="L546" s="35"/>
      <c r="M546" s="35"/>
      <c r="N546" s="35"/>
      <c r="O546" s="35"/>
    </row>
    <row r="547" spans="1:15" ht="15.75" customHeight="1">
      <c r="A547" s="35" t="s">
        <v>1222</v>
      </c>
      <c r="B547" s="35" t="s">
        <v>1217</v>
      </c>
      <c r="C547" s="35"/>
      <c r="D547" s="35" t="s">
        <v>172</v>
      </c>
      <c r="E547" s="35"/>
      <c r="F547" s="35"/>
      <c r="G547" s="35" t="s">
        <v>238</v>
      </c>
      <c r="H547" s="35" t="s">
        <v>1223</v>
      </c>
      <c r="I547" s="35" t="s">
        <v>1224</v>
      </c>
      <c r="J547" s="35"/>
      <c r="K547" s="35" t="s">
        <v>1225</v>
      </c>
      <c r="L547" s="35"/>
      <c r="M547" s="35"/>
      <c r="N547" s="35"/>
      <c r="O547" s="35"/>
    </row>
    <row r="548" spans="1:15" ht="15.75" customHeight="1">
      <c r="A548" s="35" t="s">
        <v>1227</v>
      </c>
      <c r="B548" s="35" t="s">
        <v>1217</v>
      </c>
      <c r="C548" s="35"/>
      <c r="D548" s="35" t="s">
        <v>172</v>
      </c>
      <c r="E548" s="35"/>
      <c r="F548" s="35"/>
      <c r="G548" s="35" t="s">
        <v>238</v>
      </c>
      <c r="H548" s="35" t="s">
        <v>1228</v>
      </c>
      <c r="I548" s="35" t="s">
        <v>1229</v>
      </c>
      <c r="J548" s="35"/>
      <c r="K548" s="35" t="s">
        <v>1230</v>
      </c>
      <c r="L548" s="35"/>
      <c r="M548" s="35"/>
      <c r="N548" s="35"/>
      <c r="O548" s="35"/>
    </row>
    <row r="549" spans="1:15" ht="15.75" customHeight="1">
      <c r="A549" s="35" t="s">
        <v>1232</v>
      </c>
      <c r="B549" s="35" t="s">
        <v>1217</v>
      </c>
      <c r="C549" s="35"/>
      <c r="D549" s="35" t="s">
        <v>172</v>
      </c>
      <c r="E549" s="35"/>
      <c r="F549" s="35"/>
      <c r="G549" s="35" t="s">
        <v>238</v>
      </c>
      <c r="H549" s="35" t="s">
        <v>1233</v>
      </c>
      <c r="I549" s="35" t="s">
        <v>1234</v>
      </c>
      <c r="J549" s="35"/>
      <c r="K549" s="35" t="s">
        <v>1235</v>
      </c>
      <c r="L549" s="35"/>
      <c r="M549" s="35"/>
      <c r="N549" s="35"/>
      <c r="O549" s="35"/>
    </row>
    <row r="550" spans="1:15" ht="15.75" customHeight="1">
      <c r="A550" s="35" t="s">
        <v>1237</v>
      </c>
      <c r="B550" s="35" t="s">
        <v>1217</v>
      </c>
      <c r="C550" s="35"/>
      <c r="D550" s="35" t="s">
        <v>172</v>
      </c>
      <c r="E550" s="35"/>
      <c r="F550" s="35"/>
      <c r="G550" s="35" t="s">
        <v>238</v>
      </c>
      <c r="H550" s="35" t="s">
        <v>1238</v>
      </c>
      <c r="I550" s="35" t="s">
        <v>1239</v>
      </c>
      <c r="J550" s="35"/>
      <c r="K550" s="35" t="s">
        <v>1240</v>
      </c>
      <c r="L550" s="35"/>
      <c r="M550" s="35"/>
      <c r="N550" s="35"/>
      <c r="O550" s="35"/>
    </row>
    <row r="551" spans="1:15" ht="15.75" customHeight="1">
      <c r="A551" s="35" t="s">
        <v>1242</v>
      </c>
      <c r="B551" s="35" t="s">
        <v>1172</v>
      </c>
      <c r="C551" s="35"/>
      <c r="D551" s="35" t="s">
        <v>172</v>
      </c>
      <c r="E551" s="35"/>
      <c r="F551" s="35"/>
      <c r="G551" s="35" t="s">
        <v>238</v>
      </c>
      <c r="H551" s="35" t="s">
        <v>32</v>
      </c>
      <c r="I551" s="35" t="s">
        <v>2204</v>
      </c>
      <c r="J551" s="35"/>
      <c r="K551" s="35" t="s">
        <v>1244</v>
      </c>
      <c r="L551" s="35"/>
      <c r="M551" s="35"/>
      <c r="N551" s="35"/>
      <c r="O551" s="35"/>
    </row>
    <row r="552" spans="1:15" ht="15.75" customHeight="1">
      <c r="A552" s="35" t="s">
        <v>1246</v>
      </c>
      <c r="B552" s="35" t="s">
        <v>1172</v>
      </c>
      <c r="C552" s="35"/>
      <c r="D552" s="35" t="s">
        <v>172</v>
      </c>
      <c r="E552" s="35"/>
      <c r="F552" s="35"/>
      <c r="G552" s="35" t="s">
        <v>238</v>
      </c>
      <c r="H552" s="35" t="s">
        <v>1247</v>
      </c>
      <c r="I552" s="35" t="s">
        <v>1248</v>
      </c>
      <c r="J552" s="35"/>
      <c r="K552" s="35" t="s">
        <v>1249</v>
      </c>
      <c r="L552" s="35"/>
      <c r="M552" s="35"/>
      <c r="N552" s="35"/>
      <c r="O552" s="35"/>
    </row>
    <row r="553" spans="1:15" ht="15.75" customHeight="1">
      <c r="A553" s="35" t="s">
        <v>1251</v>
      </c>
      <c r="B553" s="35" t="s">
        <v>1246</v>
      </c>
      <c r="C553" s="35"/>
      <c r="D553" s="35" t="s">
        <v>172</v>
      </c>
      <c r="E553" s="35"/>
      <c r="F553" s="35"/>
      <c r="G553" s="35" t="s">
        <v>238</v>
      </c>
      <c r="H553" s="35" t="s">
        <v>1252</v>
      </c>
      <c r="I553" s="35" t="s">
        <v>1253</v>
      </c>
      <c r="J553" s="35"/>
      <c r="K553" s="35" t="s">
        <v>1254</v>
      </c>
      <c r="L553" s="35"/>
      <c r="M553" s="35"/>
      <c r="N553" s="35"/>
      <c r="O553" s="35"/>
    </row>
    <row r="554" spans="1:15" ht="15.75" customHeight="1">
      <c r="A554" s="35" t="s">
        <v>1256</v>
      </c>
      <c r="B554" s="35" t="s">
        <v>1246</v>
      </c>
      <c r="C554" s="35"/>
      <c r="D554" s="35" t="s">
        <v>172</v>
      </c>
      <c r="E554" s="35"/>
      <c r="F554" s="35"/>
      <c r="G554" s="35" t="s">
        <v>238</v>
      </c>
      <c r="H554" s="35" t="s">
        <v>1257</v>
      </c>
      <c r="I554" s="35" t="s">
        <v>2205</v>
      </c>
      <c r="J554" s="35"/>
      <c r="K554" s="35" t="s">
        <v>1259</v>
      </c>
      <c r="L554" s="35"/>
      <c r="M554" s="35"/>
      <c r="N554" s="35"/>
      <c r="O554" s="35"/>
    </row>
    <row r="555" spans="1:15" ht="15.75" customHeight="1">
      <c r="A555" s="35" t="s">
        <v>1261</v>
      </c>
      <c r="B555" s="35" t="s">
        <v>1246</v>
      </c>
      <c r="C555" s="35"/>
      <c r="D555" s="35" t="s">
        <v>172</v>
      </c>
      <c r="E555" s="35"/>
      <c r="F555" s="35"/>
      <c r="G555" s="35" t="s">
        <v>238</v>
      </c>
      <c r="H555" s="35" t="s">
        <v>1262</v>
      </c>
      <c r="I555" s="35" t="s">
        <v>2206</v>
      </c>
      <c r="J555" s="35"/>
      <c r="K555" s="35" t="s">
        <v>1264</v>
      </c>
      <c r="L555" s="35"/>
      <c r="M555" s="35"/>
      <c r="N555" s="35"/>
      <c r="O555" s="35"/>
    </row>
    <row r="556" spans="1:15" ht="15.75" customHeight="1">
      <c r="A556" s="35" t="s">
        <v>1266</v>
      </c>
      <c r="B556" s="35" t="s">
        <v>1246</v>
      </c>
      <c r="C556" s="35"/>
      <c r="D556" s="35" t="s">
        <v>172</v>
      </c>
      <c r="E556" s="35"/>
      <c r="F556" s="35"/>
      <c r="G556" s="35" t="s">
        <v>238</v>
      </c>
      <c r="H556" s="35" t="s">
        <v>1267</v>
      </c>
      <c r="I556" s="35" t="s">
        <v>1268</v>
      </c>
      <c r="J556" s="35"/>
      <c r="K556" s="35" t="s">
        <v>1269</v>
      </c>
      <c r="L556" s="35"/>
      <c r="M556" s="35"/>
      <c r="N556" s="35"/>
      <c r="O556" s="35"/>
    </row>
    <row r="557" spans="1:15" ht="15.75" customHeight="1">
      <c r="A557" s="35" t="s">
        <v>1271</v>
      </c>
      <c r="B557" s="35" t="s">
        <v>1246</v>
      </c>
      <c r="C557" s="35"/>
      <c r="D557" s="35" t="s">
        <v>172</v>
      </c>
      <c r="E557" s="35"/>
      <c r="F557" s="35"/>
      <c r="G557" s="35" t="s">
        <v>238</v>
      </c>
      <c r="H557" s="35" t="s">
        <v>1272</v>
      </c>
      <c r="I557" s="35" t="s">
        <v>1273</v>
      </c>
      <c r="J557" s="35"/>
      <c r="K557" s="35" t="s">
        <v>1274</v>
      </c>
      <c r="L557" s="35"/>
      <c r="M557" s="35"/>
      <c r="N557" s="35"/>
      <c r="O557" s="35"/>
    </row>
    <row r="558" spans="1:15" ht="15.75" customHeight="1">
      <c r="A558" s="35" t="s">
        <v>2407</v>
      </c>
      <c r="B558" s="35" t="s">
        <v>1172</v>
      </c>
      <c r="C558" s="35"/>
      <c r="D558" s="35" t="s">
        <v>172</v>
      </c>
      <c r="E558" s="35"/>
      <c r="F558" s="35"/>
      <c r="G558" s="35" t="s">
        <v>238</v>
      </c>
      <c r="H558" s="35" t="s">
        <v>2482</v>
      </c>
      <c r="I558" s="35" t="s">
        <v>2483</v>
      </c>
      <c r="J558" s="35"/>
      <c r="K558" s="35"/>
      <c r="L558" s="35"/>
      <c r="M558" s="35"/>
      <c r="N558" s="35"/>
      <c r="O558" s="35"/>
    </row>
    <row r="559" spans="1:15" ht="15.75" customHeight="1">
      <c r="A559" s="35" t="s">
        <v>1276</v>
      </c>
      <c r="B559" s="35" t="s">
        <v>62</v>
      </c>
      <c r="C559" s="35"/>
      <c r="D559" s="35" t="s">
        <v>172</v>
      </c>
      <c r="E559" s="35"/>
      <c r="F559" s="35"/>
      <c r="G559" s="35" t="s">
        <v>227</v>
      </c>
      <c r="H559" s="35" t="s">
        <v>1277</v>
      </c>
      <c r="I559" s="35" t="s">
        <v>1278</v>
      </c>
      <c r="J559" s="35"/>
      <c r="K559" s="35" t="s">
        <v>1279</v>
      </c>
      <c r="L559" s="35"/>
      <c r="M559" s="35"/>
      <c r="N559" s="35"/>
      <c r="O559" s="35"/>
    </row>
    <row r="560" spans="1:15" ht="15.75" customHeight="1">
      <c r="A560" s="35" t="s">
        <v>1281</v>
      </c>
      <c r="B560" s="35" t="s">
        <v>1276</v>
      </c>
      <c r="C560" s="35"/>
      <c r="D560" s="35" t="s">
        <v>172</v>
      </c>
      <c r="E560" s="35"/>
      <c r="F560" s="35"/>
      <c r="G560" s="35" t="s">
        <v>238</v>
      </c>
      <c r="H560" s="35" t="s">
        <v>1282</v>
      </c>
      <c r="I560" s="35" t="s">
        <v>1283</v>
      </c>
      <c r="J560" s="35"/>
      <c r="K560" s="35" t="s">
        <v>1284</v>
      </c>
      <c r="L560" s="35"/>
      <c r="M560" s="35"/>
      <c r="N560" s="35"/>
      <c r="O560" s="35"/>
    </row>
    <row r="561" spans="1:15" ht="15.75" customHeight="1">
      <c r="A561" s="35" t="s">
        <v>1286</v>
      </c>
      <c r="B561" s="35" t="s">
        <v>1281</v>
      </c>
      <c r="C561" s="35"/>
      <c r="D561" s="35" t="s">
        <v>172</v>
      </c>
      <c r="E561" s="35"/>
      <c r="F561" s="35"/>
      <c r="G561" s="35" t="s">
        <v>238</v>
      </c>
      <c r="H561" s="35" t="s">
        <v>1287</v>
      </c>
      <c r="I561" s="35" t="s">
        <v>1288</v>
      </c>
      <c r="J561" s="35"/>
      <c r="K561" s="35" t="s">
        <v>1289</v>
      </c>
      <c r="L561" s="35"/>
      <c r="M561" s="35"/>
      <c r="N561" s="35"/>
      <c r="O561" s="35"/>
    </row>
    <row r="562" spans="1:15" ht="15.75" customHeight="1">
      <c r="A562" s="35" t="s">
        <v>1291</v>
      </c>
      <c r="B562" s="35" t="s">
        <v>1281</v>
      </c>
      <c r="C562" s="35"/>
      <c r="D562" s="35" t="s">
        <v>172</v>
      </c>
      <c r="E562" s="35"/>
      <c r="F562" s="35"/>
      <c r="G562" s="35" t="s">
        <v>238</v>
      </c>
      <c r="H562" s="35" t="s">
        <v>1292</v>
      </c>
      <c r="I562" s="35" t="s">
        <v>1293</v>
      </c>
      <c r="J562" s="35"/>
      <c r="K562" s="35" t="s">
        <v>1294</v>
      </c>
      <c r="L562" s="35"/>
      <c r="M562" s="35"/>
      <c r="N562" s="35"/>
      <c r="O562" s="35"/>
    </row>
    <row r="563" spans="1:15" ht="15.75" customHeight="1">
      <c r="A563" s="35" t="s">
        <v>1296</v>
      </c>
      <c r="B563" s="35" t="s">
        <v>1281</v>
      </c>
      <c r="C563" s="35"/>
      <c r="D563" s="35" t="s">
        <v>172</v>
      </c>
      <c r="E563" s="35"/>
      <c r="F563" s="35"/>
      <c r="G563" s="35" t="s">
        <v>238</v>
      </c>
      <c r="H563" s="35" t="s">
        <v>1297</v>
      </c>
      <c r="I563" s="35" t="s">
        <v>1298</v>
      </c>
      <c r="J563" s="35"/>
      <c r="K563" s="35" t="s">
        <v>1299</v>
      </c>
      <c r="L563" s="35"/>
      <c r="M563" s="35"/>
      <c r="N563" s="35"/>
      <c r="O563" s="35"/>
    </row>
    <row r="564" spans="1:15" ht="15.75" customHeight="1">
      <c r="A564" s="35" t="s">
        <v>1301</v>
      </c>
      <c r="B564" s="35" t="s">
        <v>1281</v>
      </c>
      <c r="C564" s="35"/>
      <c r="D564" s="35" t="s">
        <v>172</v>
      </c>
      <c r="E564" s="35"/>
      <c r="F564" s="35"/>
      <c r="G564" s="35" t="s">
        <v>238</v>
      </c>
      <c r="H564" s="35" t="s">
        <v>1302</v>
      </c>
      <c r="I564" s="35" t="s">
        <v>2207</v>
      </c>
      <c r="J564" s="35"/>
      <c r="K564" s="35" t="s">
        <v>1304</v>
      </c>
      <c r="L564" s="35"/>
      <c r="M564" s="35"/>
      <c r="N564" s="35"/>
      <c r="O564" s="35"/>
    </row>
    <row r="565" spans="1:15" ht="15.75" customHeight="1">
      <c r="A565" s="35" t="s">
        <v>1306</v>
      </c>
      <c r="B565" s="35" t="s">
        <v>1276</v>
      </c>
      <c r="C565" s="35"/>
      <c r="D565" s="35" t="s">
        <v>172</v>
      </c>
      <c r="E565" s="35"/>
      <c r="F565" s="35"/>
      <c r="G565" s="35" t="s">
        <v>238</v>
      </c>
      <c r="H565" s="35" t="s">
        <v>1307</v>
      </c>
      <c r="I565" s="35" t="s">
        <v>1308</v>
      </c>
      <c r="J565" s="35"/>
      <c r="K565" s="35" t="s">
        <v>1309</v>
      </c>
      <c r="L565" s="35"/>
      <c r="M565" s="35"/>
      <c r="N565" s="35"/>
      <c r="O565" s="35"/>
    </row>
    <row r="566" spans="1:15" ht="15.75" customHeight="1">
      <c r="A566" s="35" t="s">
        <v>1311</v>
      </c>
      <c r="B566" s="35" t="s">
        <v>1306</v>
      </c>
      <c r="C566" s="35"/>
      <c r="D566" s="35" t="s">
        <v>172</v>
      </c>
      <c r="E566" s="35"/>
      <c r="F566" s="35"/>
      <c r="G566" s="35" t="s">
        <v>238</v>
      </c>
      <c r="H566" s="35" t="s">
        <v>1312</v>
      </c>
      <c r="I566" s="35" t="s">
        <v>1313</v>
      </c>
      <c r="J566" s="35"/>
      <c r="K566" s="35" t="s">
        <v>1314</v>
      </c>
      <c r="L566" s="35"/>
      <c r="M566" s="35"/>
      <c r="N566" s="35"/>
      <c r="O566" s="35"/>
    </row>
    <row r="567" spans="1:15" ht="15.75" customHeight="1">
      <c r="A567" s="35" t="s">
        <v>1316</v>
      </c>
      <c r="B567" s="35" t="s">
        <v>1306</v>
      </c>
      <c r="C567" s="35"/>
      <c r="D567" s="35" t="s">
        <v>172</v>
      </c>
      <c r="E567" s="35"/>
      <c r="F567" s="35"/>
      <c r="G567" s="35" t="s">
        <v>238</v>
      </c>
      <c r="H567" s="35" t="s">
        <v>1317</v>
      </c>
      <c r="I567" s="35" t="s">
        <v>1318</v>
      </c>
      <c r="J567" s="35"/>
      <c r="K567" s="35" t="s">
        <v>1319</v>
      </c>
      <c r="L567" s="35"/>
      <c r="M567" s="35"/>
      <c r="N567" s="35"/>
      <c r="O567" s="35"/>
    </row>
    <row r="568" spans="1:15" ht="15.75" customHeight="1">
      <c r="A568" s="35" t="s">
        <v>1321</v>
      </c>
      <c r="B568" s="35" t="s">
        <v>1276</v>
      </c>
      <c r="C568" s="35"/>
      <c r="D568" s="35" t="s">
        <v>172</v>
      </c>
      <c r="E568" s="35"/>
      <c r="F568" s="35"/>
      <c r="G568" s="35" t="s">
        <v>238</v>
      </c>
      <c r="H568" s="35" t="s">
        <v>1322</v>
      </c>
      <c r="I568" s="35" t="s">
        <v>2208</v>
      </c>
      <c r="J568" s="35"/>
      <c r="K568" s="35" t="s">
        <v>1324</v>
      </c>
      <c r="L568" s="35"/>
      <c r="M568" s="35"/>
      <c r="N568" s="35"/>
      <c r="O568" s="35"/>
    </row>
    <row r="569" spans="1:15" ht="15.75" customHeight="1">
      <c r="A569" s="35" t="s">
        <v>1326</v>
      </c>
      <c r="B569" s="35" t="s">
        <v>1276</v>
      </c>
      <c r="C569" s="35"/>
      <c r="D569" s="35" t="s">
        <v>172</v>
      </c>
      <c r="E569" s="35"/>
      <c r="F569" s="35"/>
      <c r="G569" s="35" t="s">
        <v>238</v>
      </c>
      <c r="H569" s="35" t="s">
        <v>1327</v>
      </c>
      <c r="I569" s="35" t="s">
        <v>1328</v>
      </c>
      <c r="J569" s="35"/>
      <c r="K569" s="35" t="s">
        <v>1329</v>
      </c>
      <c r="L569" s="35"/>
      <c r="M569" s="35"/>
      <c r="N569" s="35"/>
      <c r="O569" s="35"/>
    </row>
    <row r="570" spans="1:15" ht="15.75" customHeight="1">
      <c r="A570" s="35" t="s">
        <v>1331</v>
      </c>
      <c r="B570" s="35" t="s">
        <v>1276</v>
      </c>
      <c r="C570" s="35"/>
      <c r="D570" s="35" t="s">
        <v>172</v>
      </c>
      <c r="E570" s="35"/>
      <c r="F570" s="35"/>
      <c r="G570" s="35" t="s">
        <v>238</v>
      </c>
      <c r="H570" s="35" t="s">
        <v>1332</v>
      </c>
      <c r="I570" s="35" t="s">
        <v>1333</v>
      </c>
      <c r="J570" s="35"/>
      <c r="K570" s="35" t="s">
        <v>1334</v>
      </c>
      <c r="L570" s="35"/>
      <c r="M570" s="35"/>
      <c r="N570" s="35"/>
      <c r="O570" s="35"/>
    </row>
    <row r="571" spans="1:15" ht="15.75" customHeight="1">
      <c r="A571" s="35" t="s">
        <v>1336</v>
      </c>
      <c r="B571" s="35" t="s">
        <v>1331</v>
      </c>
      <c r="C571" s="35"/>
      <c r="D571" s="35" t="s">
        <v>172</v>
      </c>
      <c r="E571" s="35"/>
      <c r="F571" s="35"/>
      <c r="G571" s="35" t="s">
        <v>238</v>
      </c>
      <c r="H571" s="35" t="s">
        <v>1337</v>
      </c>
      <c r="I571" s="35" t="s">
        <v>2209</v>
      </c>
      <c r="J571" s="35"/>
      <c r="K571" s="35" t="s">
        <v>1339</v>
      </c>
      <c r="L571" s="35"/>
      <c r="M571" s="35"/>
      <c r="N571" s="35"/>
      <c r="O571" s="35"/>
    </row>
    <row r="572" spans="1:15" ht="15.75" customHeight="1">
      <c r="A572" s="35" t="s">
        <v>1341</v>
      </c>
      <c r="B572" s="35" t="s">
        <v>1331</v>
      </c>
      <c r="C572" s="35"/>
      <c r="D572" s="35" t="s">
        <v>172</v>
      </c>
      <c r="E572" s="35"/>
      <c r="F572" s="35"/>
      <c r="G572" s="35" t="s">
        <v>238</v>
      </c>
      <c r="H572" s="35" t="s">
        <v>1342</v>
      </c>
      <c r="I572" s="35" t="s">
        <v>2210</v>
      </c>
      <c r="J572" s="35"/>
      <c r="K572" s="35" t="s">
        <v>1344</v>
      </c>
      <c r="L572" s="35"/>
      <c r="M572" s="35"/>
      <c r="N572" s="35"/>
      <c r="O572" s="35"/>
    </row>
    <row r="573" spans="1:15" ht="15.75" customHeight="1">
      <c r="A573" s="35" t="s">
        <v>1346</v>
      </c>
      <c r="B573" s="35" t="s">
        <v>1331</v>
      </c>
      <c r="C573" s="35"/>
      <c r="D573" s="35" t="s">
        <v>172</v>
      </c>
      <c r="E573" s="35"/>
      <c r="F573" s="35"/>
      <c r="G573" s="35" t="s">
        <v>238</v>
      </c>
      <c r="H573" s="35" t="s">
        <v>1347</v>
      </c>
      <c r="I573" s="35" t="s">
        <v>2211</v>
      </c>
      <c r="J573" s="35"/>
      <c r="K573" s="35" t="s">
        <v>1349</v>
      </c>
      <c r="L573" s="35"/>
      <c r="M573" s="35"/>
      <c r="N573" s="35"/>
      <c r="O573" s="35"/>
    </row>
    <row r="574" spans="1:15" ht="15.75" customHeight="1">
      <c r="A574" s="35" t="s">
        <v>1359</v>
      </c>
      <c r="B574" s="35" t="s">
        <v>62</v>
      </c>
      <c r="C574" s="35"/>
      <c r="D574" s="35" t="s">
        <v>172</v>
      </c>
      <c r="E574" s="35"/>
      <c r="F574" s="35"/>
      <c r="G574" s="35" t="s">
        <v>227</v>
      </c>
      <c r="H574" s="35" t="s">
        <v>1360</v>
      </c>
      <c r="I574" s="35" t="s">
        <v>1361</v>
      </c>
      <c r="J574" s="35"/>
      <c r="K574" s="35" t="s">
        <v>1362</v>
      </c>
      <c r="L574" s="35"/>
      <c r="M574" s="35"/>
      <c r="N574" s="35"/>
      <c r="O574" s="35"/>
    </row>
    <row r="575" spans="1:15" ht="15.75" customHeight="1">
      <c r="A575" s="35" t="s">
        <v>1364</v>
      </c>
      <c r="B575" s="35" t="s">
        <v>1359</v>
      </c>
      <c r="C575" s="35"/>
      <c r="D575" s="35" t="s">
        <v>172</v>
      </c>
      <c r="E575" s="35"/>
      <c r="F575" s="35"/>
      <c r="G575" s="35" t="s">
        <v>227</v>
      </c>
      <c r="H575" s="35" t="s">
        <v>1365</v>
      </c>
      <c r="I575" s="35" t="s">
        <v>2212</v>
      </c>
      <c r="J575" s="35"/>
      <c r="K575" s="35" t="s">
        <v>1366</v>
      </c>
      <c r="L575" s="35"/>
      <c r="M575" s="35"/>
      <c r="N575" s="35"/>
      <c r="O575" s="35"/>
    </row>
    <row r="576" spans="1:15" ht="15.75" customHeight="1">
      <c r="A576" s="35" t="s">
        <v>1368</v>
      </c>
      <c r="B576" s="35" t="s">
        <v>1359</v>
      </c>
      <c r="C576" s="35"/>
      <c r="D576" s="35" t="s">
        <v>172</v>
      </c>
      <c r="E576" s="35"/>
      <c r="F576" s="35"/>
      <c r="G576" s="35" t="s">
        <v>227</v>
      </c>
      <c r="H576" s="35" t="s">
        <v>10</v>
      </c>
      <c r="I576" s="35" t="s">
        <v>2213</v>
      </c>
      <c r="J576" s="35"/>
      <c r="K576" s="35" t="s">
        <v>1370</v>
      </c>
      <c r="L576" s="35"/>
      <c r="M576" s="35"/>
      <c r="N576" s="35"/>
      <c r="O576" s="35"/>
    </row>
    <row r="577" spans="1:15" ht="15.75" customHeight="1">
      <c r="A577" s="35" t="s">
        <v>1372</v>
      </c>
      <c r="B577" s="35" t="s">
        <v>1368</v>
      </c>
      <c r="C577" s="35"/>
      <c r="D577" s="35" t="s">
        <v>172</v>
      </c>
      <c r="E577" s="35"/>
      <c r="F577" s="35"/>
      <c r="G577" s="35" t="s">
        <v>238</v>
      </c>
      <c r="H577" s="35" t="s">
        <v>1373</v>
      </c>
      <c r="I577" s="35" t="s">
        <v>1374</v>
      </c>
      <c r="J577" s="35"/>
      <c r="K577" s="35" t="s">
        <v>1375</v>
      </c>
      <c r="L577" s="35"/>
      <c r="M577" s="35"/>
      <c r="N577" s="35"/>
      <c r="O577" s="35"/>
    </row>
    <row r="578" spans="1:15" ht="15.75" customHeight="1">
      <c r="A578" s="35" t="s">
        <v>1377</v>
      </c>
      <c r="B578" s="35" t="s">
        <v>1368</v>
      </c>
      <c r="C578" s="35"/>
      <c r="D578" s="35" t="s">
        <v>172</v>
      </c>
      <c r="E578" s="35"/>
      <c r="F578" s="35"/>
      <c r="G578" s="35" t="s">
        <v>238</v>
      </c>
      <c r="H578" s="35" t="s">
        <v>1378</v>
      </c>
      <c r="I578" s="35" t="s">
        <v>2214</v>
      </c>
      <c r="J578" s="35"/>
      <c r="K578" s="35" t="s">
        <v>1380</v>
      </c>
      <c r="L578" s="35"/>
      <c r="M578" s="35"/>
      <c r="N578" s="35"/>
      <c r="O578" s="35"/>
    </row>
    <row r="579" spans="1:15" ht="15.75" customHeight="1">
      <c r="A579" s="35" t="s">
        <v>1382</v>
      </c>
      <c r="B579" s="35" t="s">
        <v>1368</v>
      </c>
      <c r="C579" s="35"/>
      <c r="D579" s="35" t="s">
        <v>172</v>
      </c>
      <c r="E579" s="35"/>
      <c r="F579" s="35"/>
      <c r="G579" s="35" t="s">
        <v>238</v>
      </c>
      <c r="H579" s="35" t="s">
        <v>1383</v>
      </c>
      <c r="I579" s="35" t="s">
        <v>1384</v>
      </c>
      <c r="J579" s="35"/>
      <c r="K579" s="35" t="s">
        <v>1385</v>
      </c>
      <c r="L579" s="35"/>
      <c r="M579" s="35"/>
      <c r="N579" s="35"/>
      <c r="O579" s="35"/>
    </row>
    <row r="580" spans="1:15" ht="15.75" customHeight="1">
      <c r="A580" s="35" t="s">
        <v>1387</v>
      </c>
      <c r="B580" s="35" t="s">
        <v>1359</v>
      </c>
      <c r="C580" s="35"/>
      <c r="D580" s="35" t="s">
        <v>172</v>
      </c>
      <c r="E580" s="35"/>
      <c r="F580" s="35"/>
      <c r="G580" s="35" t="s">
        <v>227</v>
      </c>
      <c r="H580" s="35" t="s">
        <v>1388</v>
      </c>
      <c r="I580" s="35" t="s">
        <v>1389</v>
      </c>
      <c r="J580" s="35"/>
      <c r="K580" s="35" t="s">
        <v>1390</v>
      </c>
      <c r="L580" s="35"/>
      <c r="M580" s="35"/>
      <c r="N580" s="35"/>
      <c r="O580" s="35"/>
    </row>
    <row r="581" spans="1:15" ht="15.75" customHeight="1">
      <c r="A581" s="35" t="s">
        <v>1392</v>
      </c>
      <c r="B581" s="35" t="s">
        <v>1387</v>
      </c>
      <c r="C581" s="35"/>
      <c r="D581" s="35" t="s">
        <v>172</v>
      </c>
      <c r="E581" s="35"/>
      <c r="F581" s="35"/>
      <c r="G581" s="35" t="s">
        <v>238</v>
      </c>
      <c r="H581" s="35" t="s">
        <v>1393</v>
      </c>
      <c r="I581" s="35" t="s">
        <v>2215</v>
      </c>
      <c r="J581" s="35"/>
      <c r="K581" s="35" t="s">
        <v>1395</v>
      </c>
      <c r="L581" s="35"/>
      <c r="M581" s="35"/>
      <c r="N581" s="35"/>
      <c r="O581" s="35"/>
    </row>
    <row r="582" spans="1:15" ht="15.75" customHeight="1">
      <c r="A582" s="35" t="s">
        <v>1397</v>
      </c>
      <c r="B582" s="35" t="s">
        <v>1387</v>
      </c>
      <c r="C582" s="35"/>
      <c r="D582" s="35" t="s">
        <v>172</v>
      </c>
      <c r="E582" s="35"/>
      <c r="F582" s="35"/>
      <c r="G582" s="35" t="s">
        <v>238</v>
      </c>
      <c r="H582" s="35" t="s">
        <v>1398</v>
      </c>
      <c r="I582" s="35" t="s">
        <v>2216</v>
      </c>
      <c r="J582" s="35"/>
      <c r="K582" s="35" t="s">
        <v>1400</v>
      </c>
      <c r="L582" s="35"/>
      <c r="M582" s="35"/>
      <c r="N582" s="35"/>
      <c r="O582" s="35"/>
    </row>
    <row r="583" spans="1:15" ht="15.75" customHeight="1">
      <c r="A583" s="35" t="s">
        <v>1402</v>
      </c>
      <c r="B583" s="35" t="s">
        <v>1387</v>
      </c>
      <c r="C583" s="35"/>
      <c r="D583" s="35" t="s">
        <v>172</v>
      </c>
      <c r="E583" s="35"/>
      <c r="F583" s="35"/>
      <c r="G583" s="35" t="s">
        <v>238</v>
      </c>
      <c r="H583" s="35" t="s">
        <v>1403</v>
      </c>
      <c r="I583" s="35" t="s">
        <v>2217</v>
      </c>
      <c r="J583" s="35"/>
      <c r="K583" s="35" t="s">
        <v>1405</v>
      </c>
      <c r="L583" s="35"/>
      <c r="M583" s="35"/>
      <c r="N583" s="35"/>
      <c r="O583" s="35"/>
    </row>
    <row r="584" spans="1:15" ht="15.75" customHeight="1">
      <c r="A584" s="35" t="s">
        <v>1407</v>
      </c>
      <c r="B584" s="35" t="s">
        <v>1359</v>
      </c>
      <c r="C584" s="35"/>
      <c r="D584" s="35" t="s">
        <v>172</v>
      </c>
      <c r="E584" s="35"/>
      <c r="F584" s="35"/>
      <c r="G584" s="35" t="s">
        <v>227</v>
      </c>
      <c r="H584" s="35" t="s">
        <v>1408</v>
      </c>
      <c r="I584" s="35" t="s">
        <v>2218</v>
      </c>
      <c r="J584" s="35"/>
      <c r="K584" s="35" t="s">
        <v>1410</v>
      </c>
      <c r="L584" s="35"/>
      <c r="M584" s="35"/>
      <c r="N584" s="35"/>
      <c r="O584" s="35"/>
    </row>
    <row r="585" spans="1:15" ht="15.75" customHeight="1">
      <c r="A585" s="35" t="s">
        <v>1412</v>
      </c>
      <c r="B585" s="35" t="s">
        <v>1407</v>
      </c>
      <c r="C585" s="35"/>
      <c r="D585" s="35" t="s">
        <v>172</v>
      </c>
      <c r="E585" s="35"/>
      <c r="F585" s="35"/>
      <c r="G585" s="35" t="s">
        <v>238</v>
      </c>
      <c r="H585" s="35" t="s">
        <v>1413</v>
      </c>
      <c r="I585" s="35" t="s">
        <v>2219</v>
      </c>
      <c r="J585" s="35"/>
      <c r="K585" s="35" t="s">
        <v>1415</v>
      </c>
      <c r="L585" s="35"/>
      <c r="M585" s="35"/>
      <c r="N585" s="35"/>
      <c r="O585" s="35"/>
    </row>
    <row r="586" spans="1:15" ht="15.75" customHeight="1">
      <c r="A586" s="35" t="s">
        <v>1417</v>
      </c>
      <c r="B586" s="35" t="s">
        <v>1407</v>
      </c>
      <c r="C586" s="35"/>
      <c r="D586" s="35" t="s">
        <v>172</v>
      </c>
      <c r="E586" s="35"/>
      <c r="F586" s="35"/>
      <c r="G586" s="35" t="s">
        <v>238</v>
      </c>
      <c r="H586" s="35" t="s">
        <v>1418</v>
      </c>
      <c r="I586" s="35" t="s">
        <v>2220</v>
      </c>
      <c r="J586" s="35"/>
      <c r="K586" s="35" t="s">
        <v>1420</v>
      </c>
      <c r="L586" s="35"/>
      <c r="M586" s="35"/>
      <c r="N586" s="35"/>
      <c r="O586" s="35"/>
    </row>
    <row r="587" spans="1:15" ht="15.75" customHeight="1">
      <c r="A587" s="35" t="s">
        <v>1422</v>
      </c>
      <c r="B587" s="35" t="s">
        <v>1407</v>
      </c>
      <c r="C587" s="35"/>
      <c r="D587" s="35" t="s">
        <v>172</v>
      </c>
      <c r="E587" s="35"/>
      <c r="F587" s="35"/>
      <c r="G587" s="35" t="s">
        <v>238</v>
      </c>
      <c r="H587" s="35" t="s">
        <v>1423</v>
      </c>
      <c r="I587" s="35" t="s">
        <v>2221</v>
      </c>
      <c r="J587" s="35"/>
      <c r="K587" s="35" t="s">
        <v>1425</v>
      </c>
      <c r="L587" s="35"/>
      <c r="M587" s="35"/>
      <c r="N587" s="35"/>
      <c r="O587" s="35"/>
    </row>
    <row r="588" spans="1:15" ht="15.75" customHeight="1">
      <c r="A588" s="35" t="s">
        <v>1427</v>
      </c>
      <c r="B588" s="35" t="s">
        <v>1359</v>
      </c>
      <c r="C588" s="35"/>
      <c r="D588" s="35" t="s">
        <v>172</v>
      </c>
      <c r="E588" s="35"/>
      <c r="F588" s="35"/>
      <c r="G588" s="35" t="s">
        <v>227</v>
      </c>
      <c r="H588" s="35" t="s">
        <v>1428</v>
      </c>
      <c r="I588" s="35" t="s">
        <v>2222</v>
      </c>
      <c r="J588" s="35"/>
      <c r="K588" s="35" t="s">
        <v>1430</v>
      </c>
      <c r="L588" s="35"/>
      <c r="M588" s="35"/>
      <c r="N588" s="35"/>
      <c r="O588" s="35"/>
    </row>
    <row r="589" spans="1:15" ht="15.75" customHeight="1">
      <c r="A589" s="35" t="s">
        <v>1432</v>
      </c>
      <c r="B589" s="35" t="s">
        <v>1427</v>
      </c>
      <c r="C589" s="35"/>
      <c r="D589" s="35" t="s">
        <v>172</v>
      </c>
      <c r="E589" s="35"/>
      <c r="F589" s="35"/>
      <c r="G589" s="35" t="s">
        <v>238</v>
      </c>
      <c r="H589" s="35" t="s">
        <v>1433</v>
      </c>
      <c r="I589" s="35" t="s">
        <v>2223</v>
      </c>
      <c r="J589" s="35"/>
      <c r="K589" s="35" t="s">
        <v>1435</v>
      </c>
      <c r="L589" s="35"/>
      <c r="M589" s="35"/>
      <c r="N589" s="35"/>
      <c r="O589" s="35"/>
    </row>
    <row r="590" spans="1:15" ht="15.75" customHeight="1">
      <c r="A590" s="35" t="s">
        <v>1437</v>
      </c>
      <c r="B590" s="35" t="s">
        <v>1427</v>
      </c>
      <c r="C590" s="35"/>
      <c r="D590" s="35" t="s">
        <v>172</v>
      </c>
      <c r="E590" s="35"/>
      <c r="F590" s="35"/>
      <c r="G590" s="35" t="s">
        <v>238</v>
      </c>
      <c r="H590" s="35" t="s">
        <v>2224</v>
      </c>
      <c r="I590" s="35" t="s">
        <v>2225</v>
      </c>
      <c r="J590" s="35"/>
      <c r="K590" s="35" t="s">
        <v>1440</v>
      </c>
      <c r="L590" s="35"/>
      <c r="M590" s="35"/>
      <c r="N590" s="35"/>
      <c r="O590" s="35"/>
    </row>
    <row r="591" spans="1:15" ht="15.75" customHeight="1">
      <c r="A591" s="35" t="s">
        <v>1442</v>
      </c>
      <c r="B591" s="35" t="s">
        <v>1427</v>
      </c>
      <c r="C591" s="35"/>
      <c r="D591" s="35" t="s">
        <v>172</v>
      </c>
      <c r="E591" s="35"/>
      <c r="F591" s="35"/>
      <c r="G591" s="35" t="s">
        <v>238</v>
      </c>
      <c r="H591" s="35" t="s">
        <v>2226</v>
      </c>
      <c r="I591" s="35" t="s">
        <v>2227</v>
      </c>
      <c r="J591" s="35"/>
      <c r="K591" s="35" t="s">
        <v>1445</v>
      </c>
      <c r="L591" s="35"/>
      <c r="M591" s="35"/>
      <c r="N591" s="35"/>
      <c r="O591" s="35"/>
    </row>
    <row r="592" spans="1:15" ht="15.75" customHeight="1">
      <c r="A592" s="35" t="s">
        <v>1447</v>
      </c>
      <c r="B592" s="35" t="s">
        <v>1427</v>
      </c>
      <c r="C592" s="35"/>
      <c r="D592" s="35" t="s">
        <v>172</v>
      </c>
      <c r="E592" s="35"/>
      <c r="F592" s="35"/>
      <c r="G592" s="35" t="s">
        <v>238</v>
      </c>
      <c r="H592" s="35" t="s">
        <v>2228</v>
      </c>
      <c r="I592" s="35" t="s">
        <v>2229</v>
      </c>
      <c r="J592" s="35"/>
      <c r="K592" s="35" t="s">
        <v>1450</v>
      </c>
      <c r="L592" s="35"/>
      <c r="M592" s="35"/>
      <c r="N592" s="35"/>
      <c r="O592" s="35"/>
    </row>
    <row r="593" spans="1:15" ht="15.75" customHeight="1">
      <c r="A593" s="35" t="s">
        <v>1452</v>
      </c>
      <c r="B593" s="35" t="s">
        <v>1359</v>
      </c>
      <c r="C593" s="35"/>
      <c r="D593" s="35" t="s">
        <v>172</v>
      </c>
      <c r="E593" s="35"/>
      <c r="F593" s="35"/>
      <c r="G593" s="35" t="s">
        <v>227</v>
      </c>
      <c r="H593" s="35" t="s">
        <v>1453</v>
      </c>
      <c r="I593" s="35" t="s">
        <v>1454</v>
      </c>
      <c r="J593" s="35"/>
      <c r="K593" s="35" t="s">
        <v>1455</v>
      </c>
      <c r="L593" s="35"/>
      <c r="M593" s="35"/>
      <c r="N593" s="35"/>
      <c r="O593" s="35"/>
    </row>
    <row r="594" spans="1:15" ht="15.75" customHeight="1">
      <c r="A594" s="35" t="s">
        <v>1457</v>
      </c>
      <c r="B594" s="35" t="s">
        <v>1452</v>
      </c>
      <c r="C594" s="35"/>
      <c r="D594" s="35" t="s">
        <v>172</v>
      </c>
      <c r="E594" s="35"/>
      <c r="F594" s="35"/>
      <c r="G594" s="35" t="s">
        <v>238</v>
      </c>
      <c r="H594" s="35" t="s">
        <v>1458</v>
      </c>
      <c r="I594" s="35" t="s">
        <v>2230</v>
      </c>
      <c r="J594" s="35"/>
      <c r="K594" s="35" t="s">
        <v>1460</v>
      </c>
      <c r="L594" s="35"/>
      <c r="M594" s="35"/>
      <c r="N594" s="35"/>
      <c r="O594" s="35"/>
    </row>
    <row r="595" spans="1:15" ht="15.75" customHeight="1">
      <c r="A595" s="35" t="s">
        <v>1462</v>
      </c>
      <c r="B595" s="35" t="s">
        <v>1452</v>
      </c>
      <c r="C595" s="35"/>
      <c r="D595" s="35" t="s">
        <v>172</v>
      </c>
      <c r="E595" s="35"/>
      <c r="F595" s="35"/>
      <c r="G595" s="35" t="s">
        <v>238</v>
      </c>
      <c r="H595" s="35" t="s">
        <v>2231</v>
      </c>
      <c r="I595" s="35" t="s">
        <v>2232</v>
      </c>
      <c r="J595" s="35"/>
      <c r="K595" s="35" t="s">
        <v>1465</v>
      </c>
      <c r="L595" s="35"/>
      <c r="M595" s="35"/>
      <c r="N595" s="35"/>
      <c r="O595" s="35"/>
    </row>
    <row r="596" spans="1:15" ht="15.75" customHeight="1">
      <c r="A596" s="35" t="s">
        <v>1467</v>
      </c>
      <c r="B596" s="35" t="s">
        <v>1452</v>
      </c>
      <c r="C596" s="35"/>
      <c r="D596" s="35" t="s">
        <v>172</v>
      </c>
      <c r="E596" s="35"/>
      <c r="F596" s="35"/>
      <c r="G596" s="35" t="s">
        <v>238</v>
      </c>
      <c r="H596" s="35" t="s">
        <v>1468</v>
      </c>
      <c r="I596" s="35" t="s">
        <v>2233</v>
      </c>
      <c r="J596" s="35"/>
      <c r="K596" s="35" t="s">
        <v>1470</v>
      </c>
      <c r="L596" s="35"/>
      <c r="M596" s="35"/>
      <c r="N596" s="35"/>
      <c r="O596" s="35"/>
    </row>
    <row r="597" spans="1:15" ht="15.75" customHeight="1">
      <c r="A597" s="35" t="s">
        <v>1472</v>
      </c>
      <c r="B597" s="35" t="s">
        <v>1452</v>
      </c>
      <c r="C597" s="35"/>
      <c r="D597" s="35" t="s">
        <v>172</v>
      </c>
      <c r="E597" s="35"/>
      <c r="F597" s="35"/>
      <c r="G597" s="35" t="s">
        <v>238</v>
      </c>
      <c r="H597" s="35" t="s">
        <v>1473</v>
      </c>
      <c r="I597" s="35" t="s">
        <v>1474</v>
      </c>
      <c r="J597" s="35"/>
      <c r="K597" s="35" t="s">
        <v>1475</v>
      </c>
      <c r="L597" s="35"/>
      <c r="M597" s="35"/>
      <c r="N597" s="35"/>
      <c r="O597" s="35"/>
    </row>
    <row r="598" spans="1:15" ht="15.75" customHeight="1">
      <c r="A598" s="35" t="s">
        <v>1477</v>
      </c>
      <c r="B598" s="35" t="s">
        <v>1452</v>
      </c>
      <c r="C598" s="35"/>
      <c r="D598" s="35" t="s">
        <v>172</v>
      </c>
      <c r="E598" s="35"/>
      <c r="F598" s="35"/>
      <c r="G598" s="35" t="s">
        <v>238</v>
      </c>
      <c r="H598" s="35" t="s">
        <v>1478</v>
      </c>
      <c r="I598" s="35" t="s">
        <v>2234</v>
      </c>
      <c r="J598" s="35"/>
      <c r="K598" s="35" t="s">
        <v>1480</v>
      </c>
      <c r="L598" s="35"/>
      <c r="M598" s="35"/>
      <c r="N598" s="35"/>
      <c r="O598" s="35"/>
    </row>
    <row r="599" spans="1:15" ht="15.75" customHeight="1">
      <c r="A599" s="35" t="s">
        <v>1482</v>
      </c>
      <c r="B599" s="35" t="s">
        <v>1452</v>
      </c>
      <c r="C599" s="35"/>
      <c r="D599" s="35" t="s">
        <v>172</v>
      </c>
      <c r="E599" s="35"/>
      <c r="F599" s="35"/>
      <c r="G599" s="35" t="s">
        <v>238</v>
      </c>
      <c r="H599" s="35" t="s">
        <v>2235</v>
      </c>
      <c r="I599" s="35" t="s">
        <v>2236</v>
      </c>
      <c r="J599" s="35"/>
      <c r="K599" s="35" t="s">
        <v>1485</v>
      </c>
      <c r="L599" s="35"/>
      <c r="M599" s="35"/>
      <c r="N599" s="35"/>
      <c r="O599" s="35"/>
    </row>
    <row r="600" spans="1:15" ht="15.75" customHeight="1">
      <c r="A600" s="35" t="s">
        <v>1487</v>
      </c>
      <c r="B600" s="35" t="s">
        <v>1452</v>
      </c>
      <c r="C600" s="35"/>
      <c r="D600" s="35" t="s">
        <v>172</v>
      </c>
      <c r="E600" s="35"/>
      <c r="F600" s="35"/>
      <c r="G600" s="35" t="s">
        <v>238</v>
      </c>
      <c r="H600" s="35" t="s">
        <v>2237</v>
      </c>
      <c r="I600" s="35" t="s">
        <v>2238</v>
      </c>
      <c r="J600" s="35"/>
      <c r="K600" s="35" t="s">
        <v>1490</v>
      </c>
      <c r="L600" s="35"/>
      <c r="M600" s="35"/>
      <c r="N600" s="35"/>
      <c r="O600" s="35"/>
    </row>
    <row r="601" spans="1:15" ht="15.75" customHeight="1">
      <c r="A601" s="35" t="s">
        <v>1492</v>
      </c>
      <c r="B601" s="35" t="s">
        <v>1452</v>
      </c>
      <c r="C601" s="35"/>
      <c r="D601" s="35" t="s">
        <v>172</v>
      </c>
      <c r="E601" s="35"/>
      <c r="F601" s="35"/>
      <c r="G601" s="35" t="s">
        <v>238</v>
      </c>
      <c r="H601" s="35" t="s">
        <v>1493</v>
      </c>
      <c r="I601" s="35" t="s">
        <v>2239</v>
      </c>
      <c r="J601" s="35"/>
      <c r="K601" s="35" t="s">
        <v>1495</v>
      </c>
      <c r="L601" s="35"/>
      <c r="M601" s="35"/>
      <c r="N601" s="35"/>
      <c r="O601" s="35"/>
    </row>
    <row r="602" spans="1:15" ht="15.75" customHeight="1">
      <c r="A602" s="35" t="s">
        <v>1497</v>
      </c>
      <c r="B602" s="35" t="s">
        <v>1359</v>
      </c>
      <c r="C602" s="35"/>
      <c r="D602" s="35" t="s">
        <v>172</v>
      </c>
      <c r="E602" s="35"/>
      <c r="F602" s="35"/>
      <c r="G602" s="35" t="s">
        <v>227</v>
      </c>
      <c r="H602" s="35" t="s">
        <v>1498</v>
      </c>
      <c r="I602" s="35" t="s">
        <v>2240</v>
      </c>
      <c r="J602" s="35"/>
      <c r="K602" s="35" t="s">
        <v>1500</v>
      </c>
      <c r="L602" s="35"/>
      <c r="M602" s="35"/>
      <c r="N602" s="35"/>
      <c r="O602" s="35"/>
    </row>
    <row r="603" spans="1:15" ht="15.75" customHeight="1">
      <c r="A603" s="35" t="s">
        <v>1502</v>
      </c>
      <c r="B603" s="35" t="s">
        <v>1497</v>
      </c>
      <c r="C603" s="35"/>
      <c r="D603" s="35" t="s">
        <v>172</v>
      </c>
      <c r="E603" s="35"/>
      <c r="F603" s="35"/>
      <c r="G603" s="35" t="s">
        <v>238</v>
      </c>
      <c r="H603" s="35" t="s">
        <v>1503</v>
      </c>
      <c r="I603" s="35" t="s">
        <v>2241</v>
      </c>
      <c r="J603" s="35"/>
      <c r="K603" s="35" t="s">
        <v>1505</v>
      </c>
      <c r="L603" s="35"/>
      <c r="M603" s="35"/>
      <c r="N603" s="35"/>
      <c r="O603" s="35"/>
    </row>
    <row r="604" spans="1:15" ht="15.75" customHeight="1">
      <c r="A604" s="35" t="s">
        <v>1507</v>
      </c>
      <c r="B604" s="35" t="s">
        <v>1497</v>
      </c>
      <c r="C604" s="35"/>
      <c r="D604" s="35" t="s">
        <v>172</v>
      </c>
      <c r="E604" s="35"/>
      <c r="F604" s="35"/>
      <c r="G604" s="35" t="s">
        <v>238</v>
      </c>
      <c r="H604" s="35" t="s">
        <v>1508</v>
      </c>
      <c r="I604" s="35" t="s">
        <v>2242</v>
      </c>
      <c r="J604" s="35"/>
      <c r="K604" s="35" t="s">
        <v>1510</v>
      </c>
      <c r="L604" s="35"/>
      <c r="M604" s="35"/>
      <c r="N604" s="35"/>
      <c r="O604" s="35"/>
    </row>
    <row r="605" spans="1:15" ht="15.75" customHeight="1">
      <c r="A605" s="35" t="s">
        <v>1512</v>
      </c>
      <c r="B605" s="35" t="s">
        <v>1497</v>
      </c>
      <c r="C605" s="35"/>
      <c r="D605" s="35" t="s">
        <v>172</v>
      </c>
      <c r="E605" s="35"/>
      <c r="F605" s="35"/>
      <c r="G605" s="35" t="s">
        <v>238</v>
      </c>
      <c r="H605" s="35" t="s">
        <v>1513</v>
      </c>
      <c r="I605" s="35" t="s">
        <v>1514</v>
      </c>
      <c r="J605" s="35"/>
      <c r="K605" s="35" t="s">
        <v>1515</v>
      </c>
      <c r="L605" s="35"/>
      <c r="M605" s="35"/>
      <c r="N605" s="35"/>
      <c r="O605" s="35"/>
    </row>
    <row r="606" spans="1:15" ht="15.75" customHeight="1">
      <c r="A606" s="35" t="s">
        <v>1517</v>
      </c>
      <c r="B606" s="35" t="s">
        <v>1497</v>
      </c>
      <c r="C606" s="35"/>
      <c r="D606" s="35" t="s">
        <v>172</v>
      </c>
      <c r="E606" s="35"/>
      <c r="F606" s="35"/>
      <c r="G606" s="35" t="s">
        <v>238</v>
      </c>
      <c r="H606" s="35" t="s">
        <v>1518</v>
      </c>
      <c r="I606" s="35" t="s">
        <v>2243</v>
      </c>
      <c r="J606" s="35"/>
      <c r="K606" s="35" t="s">
        <v>1520</v>
      </c>
      <c r="L606" s="35"/>
      <c r="M606" s="35"/>
      <c r="N606" s="35"/>
      <c r="O606" s="35"/>
    </row>
    <row r="607" spans="1:15" ht="15.75" customHeight="1">
      <c r="A607" s="35" t="s">
        <v>1522</v>
      </c>
      <c r="B607" s="35" t="s">
        <v>1359</v>
      </c>
      <c r="C607" s="35"/>
      <c r="D607" s="35" t="s">
        <v>172</v>
      </c>
      <c r="E607" s="35"/>
      <c r="F607" s="35"/>
      <c r="G607" s="35" t="s">
        <v>227</v>
      </c>
      <c r="H607" s="35" t="s">
        <v>1523</v>
      </c>
      <c r="I607" s="35" t="s">
        <v>1524</v>
      </c>
      <c r="J607" s="35"/>
      <c r="K607" s="35" t="s">
        <v>1525</v>
      </c>
      <c r="L607" s="35"/>
      <c r="M607" s="35"/>
      <c r="N607" s="35"/>
      <c r="O607" s="35"/>
    </row>
    <row r="608" spans="1:15" ht="15.75" customHeight="1">
      <c r="A608" s="35" t="s">
        <v>1527</v>
      </c>
      <c r="B608" s="35" t="s">
        <v>1522</v>
      </c>
      <c r="C608" s="35"/>
      <c r="D608" s="35" t="s">
        <v>172</v>
      </c>
      <c r="E608" s="35"/>
      <c r="F608" s="35"/>
      <c r="G608" s="35" t="s">
        <v>238</v>
      </c>
      <c r="H608" s="35" t="s">
        <v>1528</v>
      </c>
      <c r="I608" s="35" t="s">
        <v>1194</v>
      </c>
      <c r="J608" s="35"/>
      <c r="K608" s="35" t="s">
        <v>1529</v>
      </c>
      <c r="L608" s="35"/>
      <c r="M608" s="35"/>
      <c r="N608" s="35"/>
      <c r="O608" s="35"/>
    </row>
    <row r="609" spans="1:15" ht="15.75" customHeight="1">
      <c r="A609" s="35" t="s">
        <v>1531</v>
      </c>
      <c r="B609" s="35" t="s">
        <v>1522</v>
      </c>
      <c r="C609" s="35"/>
      <c r="D609" s="35" t="s">
        <v>172</v>
      </c>
      <c r="E609" s="35"/>
      <c r="F609" s="35"/>
      <c r="G609" s="35" t="s">
        <v>238</v>
      </c>
      <c r="H609" s="35" t="s">
        <v>1532</v>
      </c>
      <c r="I609" s="35" t="s">
        <v>1533</v>
      </c>
      <c r="J609" s="35"/>
      <c r="K609" s="35" t="s">
        <v>1534</v>
      </c>
      <c r="L609" s="35"/>
      <c r="M609" s="35"/>
      <c r="N609" s="35"/>
      <c r="O609" s="35"/>
    </row>
    <row r="610" spans="1:15" ht="15.75" customHeight="1">
      <c r="A610" s="35" t="s">
        <v>1536</v>
      </c>
      <c r="B610" s="35" t="s">
        <v>1522</v>
      </c>
      <c r="C610" s="35"/>
      <c r="D610" s="35" t="s">
        <v>172</v>
      </c>
      <c r="E610" s="35"/>
      <c r="F610" s="35"/>
      <c r="G610" s="35" t="s">
        <v>238</v>
      </c>
      <c r="H610" s="35" t="s">
        <v>1537</v>
      </c>
      <c r="I610" s="35" t="s">
        <v>2244</v>
      </c>
      <c r="J610" s="35"/>
      <c r="K610" s="35" t="s">
        <v>1539</v>
      </c>
      <c r="L610" s="35"/>
      <c r="M610" s="35"/>
      <c r="N610" s="35"/>
      <c r="O610" s="35"/>
    </row>
    <row r="611" spans="1:15" ht="15.75" customHeight="1">
      <c r="A611" s="35" t="s">
        <v>1541</v>
      </c>
      <c r="B611" s="35" t="s">
        <v>1522</v>
      </c>
      <c r="C611" s="35"/>
      <c r="D611" s="35" t="s">
        <v>172</v>
      </c>
      <c r="E611" s="35"/>
      <c r="F611" s="35"/>
      <c r="G611" s="35" t="s">
        <v>238</v>
      </c>
      <c r="H611" s="35" t="s">
        <v>1542</v>
      </c>
      <c r="I611" s="35" t="s">
        <v>1543</v>
      </c>
      <c r="J611" s="35"/>
      <c r="K611" s="35" t="s">
        <v>1544</v>
      </c>
      <c r="L611" s="35"/>
      <c r="M611" s="35"/>
      <c r="N611" s="35"/>
      <c r="O611" s="35"/>
    </row>
    <row r="612" spans="1:15" ht="15.75" customHeight="1">
      <c r="A612" s="35" t="s">
        <v>1546</v>
      </c>
      <c r="B612" s="35" t="s">
        <v>1359</v>
      </c>
      <c r="C612" s="35"/>
      <c r="D612" s="35" t="s">
        <v>172</v>
      </c>
      <c r="E612" s="35"/>
      <c r="F612" s="35"/>
      <c r="G612" s="35" t="s">
        <v>227</v>
      </c>
      <c r="H612" s="35" t="s">
        <v>1547</v>
      </c>
      <c r="I612" s="35" t="s">
        <v>2245</v>
      </c>
      <c r="J612" s="35"/>
      <c r="K612" s="35" t="s">
        <v>1549</v>
      </c>
      <c r="L612" s="35"/>
      <c r="M612" s="35"/>
      <c r="N612" s="35"/>
      <c r="O612" s="35"/>
    </row>
    <row r="613" spans="1:15" ht="15.75" customHeight="1">
      <c r="A613" s="35" t="s">
        <v>1551</v>
      </c>
      <c r="B613" s="35" t="s">
        <v>62</v>
      </c>
      <c r="C613" s="35"/>
      <c r="D613" s="35" t="s">
        <v>172</v>
      </c>
      <c r="E613" s="35"/>
      <c r="F613" s="35"/>
      <c r="G613" s="35" t="s">
        <v>227</v>
      </c>
      <c r="H613" s="35" t="s">
        <v>1552</v>
      </c>
      <c r="I613" s="35" t="s">
        <v>2246</v>
      </c>
      <c r="J613" s="35"/>
      <c r="K613" s="35" t="s">
        <v>1554</v>
      </c>
      <c r="L613" s="35"/>
      <c r="M613" s="35"/>
      <c r="N613" s="35"/>
      <c r="O613" s="35"/>
    </row>
    <row r="614" spans="1:15" ht="15.75" customHeight="1">
      <c r="A614" s="35" t="s">
        <v>1556</v>
      </c>
      <c r="B614" s="35" t="s">
        <v>1551</v>
      </c>
      <c r="C614" s="35"/>
      <c r="D614" s="35" t="s">
        <v>172</v>
      </c>
      <c r="E614" s="35"/>
      <c r="F614" s="35"/>
      <c r="G614" s="35" t="s">
        <v>238</v>
      </c>
      <c r="H614" s="35" t="s">
        <v>2247</v>
      </c>
      <c r="I614" s="35" t="s">
        <v>2248</v>
      </c>
      <c r="J614" s="35"/>
      <c r="K614" s="35" t="s">
        <v>1559</v>
      </c>
      <c r="L614" s="35"/>
      <c r="M614" s="35"/>
      <c r="N614" s="35"/>
      <c r="O614" s="35"/>
    </row>
    <row r="615" spans="1:15" ht="15.75" customHeight="1">
      <c r="A615" s="35" t="s">
        <v>1561</v>
      </c>
      <c r="B615" s="35" t="s">
        <v>1551</v>
      </c>
      <c r="C615" s="35"/>
      <c r="D615" s="35" t="s">
        <v>172</v>
      </c>
      <c r="E615" s="35"/>
      <c r="F615" s="35"/>
      <c r="G615" s="35" t="s">
        <v>238</v>
      </c>
      <c r="H615" s="35" t="s">
        <v>1562</v>
      </c>
      <c r="I615" s="35" t="s">
        <v>2249</v>
      </c>
      <c r="J615" s="35"/>
      <c r="K615" s="35" t="s">
        <v>1564</v>
      </c>
      <c r="L615" s="35"/>
      <c r="M615" s="35"/>
      <c r="N615" s="35"/>
      <c r="O615" s="35"/>
    </row>
    <row r="616" spans="1:15" ht="15.75" customHeight="1">
      <c r="A616" s="35" t="s">
        <v>1566</v>
      </c>
      <c r="B616" s="35" t="s">
        <v>1551</v>
      </c>
      <c r="C616" s="35"/>
      <c r="D616" s="35" t="s">
        <v>172</v>
      </c>
      <c r="E616" s="35"/>
      <c r="F616" s="35"/>
      <c r="G616" s="35" t="s">
        <v>238</v>
      </c>
      <c r="H616" s="35" t="s">
        <v>1567</v>
      </c>
      <c r="I616" s="35" t="s">
        <v>2250</v>
      </c>
      <c r="J616" s="35"/>
      <c r="K616" s="35" t="s">
        <v>1569</v>
      </c>
      <c r="L616" s="35"/>
      <c r="M616" s="35"/>
      <c r="N616" s="35"/>
      <c r="O616" s="35"/>
    </row>
    <row r="617" spans="1:15" ht="15.75" customHeight="1">
      <c r="A617" s="35" t="s">
        <v>1571</v>
      </c>
      <c r="B617" s="35" t="s">
        <v>1551</v>
      </c>
      <c r="C617" s="35"/>
      <c r="D617" s="35" t="s">
        <v>172</v>
      </c>
      <c r="E617" s="35"/>
      <c r="F617" s="35"/>
      <c r="G617" s="35" t="s">
        <v>238</v>
      </c>
      <c r="H617" s="35" t="s">
        <v>2251</v>
      </c>
      <c r="I617" s="35" t="s">
        <v>2252</v>
      </c>
      <c r="J617" s="35"/>
      <c r="K617" s="35" t="s">
        <v>1574</v>
      </c>
      <c r="L617" s="35"/>
      <c r="M617" s="35"/>
      <c r="N617" s="35"/>
      <c r="O617" s="35"/>
    </row>
    <row r="618" spans="1:15" ht="15.75" customHeight="1">
      <c r="A618" s="35" t="s">
        <v>1576</v>
      </c>
      <c r="B618" s="35" t="s">
        <v>1551</v>
      </c>
      <c r="C618" s="35"/>
      <c r="D618" s="35" t="s">
        <v>172</v>
      </c>
      <c r="E618" s="35"/>
      <c r="F618" s="35"/>
      <c r="G618" s="35" t="s">
        <v>238</v>
      </c>
      <c r="H618" s="35" t="s">
        <v>1577</v>
      </c>
      <c r="I618" s="35" t="s">
        <v>2253</v>
      </c>
      <c r="J618" s="35"/>
      <c r="K618" s="35" t="s">
        <v>1579</v>
      </c>
      <c r="L618" s="35"/>
      <c r="M618" s="35"/>
      <c r="N618" s="35"/>
      <c r="O618" s="35"/>
    </row>
    <row r="619" spans="1:15" ht="15.75" customHeight="1">
      <c r="A619" s="35" t="s">
        <v>1581</v>
      </c>
      <c r="B619" s="35" t="s">
        <v>1551</v>
      </c>
      <c r="C619" s="35"/>
      <c r="D619" s="35" t="s">
        <v>172</v>
      </c>
      <c r="E619" s="35"/>
      <c r="F619" s="35"/>
      <c r="G619" s="35" t="s">
        <v>238</v>
      </c>
      <c r="H619" s="35" t="s">
        <v>2254</v>
      </c>
      <c r="I619" s="35" t="s">
        <v>1583</v>
      </c>
      <c r="J619" s="35"/>
      <c r="K619" s="35" t="s">
        <v>1584</v>
      </c>
      <c r="L619" s="35"/>
      <c r="M619" s="35"/>
      <c r="N619" s="35"/>
      <c r="O619" s="35"/>
    </row>
    <row r="620" spans="1:15" ht="15.75" customHeight="1">
      <c r="A620" s="35" t="s">
        <v>1586</v>
      </c>
      <c r="B620" s="35" t="s">
        <v>1551</v>
      </c>
      <c r="C620" s="35"/>
      <c r="D620" s="35" t="s">
        <v>172</v>
      </c>
      <c r="E620" s="35"/>
      <c r="F620" s="35"/>
      <c r="G620" s="35" t="s">
        <v>238</v>
      </c>
      <c r="H620" s="35" t="s">
        <v>1587</v>
      </c>
      <c r="I620" s="35" t="s">
        <v>2255</v>
      </c>
      <c r="J620" s="35"/>
      <c r="K620" s="35" t="s">
        <v>1589</v>
      </c>
      <c r="L620" s="35"/>
      <c r="M620" s="35"/>
      <c r="N620" s="35"/>
      <c r="O620" s="35"/>
    </row>
    <row r="621" spans="1:15" ht="15.75" customHeight="1">
      <c r="A621" s="35" t="s">
        <v>1591</v>
      </c>
      <c r="B621" s="35" t="s">
        <v>1551</v>
      </c>
      <c r="C621" s="35"/>
      <c r="D621" s="35" t="s">
        <v>172</v>
      </c>
      <c r="E621" s="35"/>
      <c r="F621" s="35"/>
      <c r="G621" s="35" t="s">
        <v>238</v>
      </c>
      <c r="H621" s="35" t="s">
        <v>1592</v>
      </c>
      <c r="I621" s="35" t="s">
        <v>1593</v>
      </c>
      <c r="J621" s="35"/>
      <c r="K621" s="35" t="s">
        <v>1594</v>
      </c>
      <c r="L621" s="35"/>
      <c r="M621" s="35"/>
      <c r="N621" s="35"/>
      <c r="O621" s="35"/>
    </row>
    <row r="622" spans="1:15" ht="15.75" customHeight="1">
      <c r="A622" s="35" t="s">
        <v>1596</v>
      </c>
      <c r="B622" s="35" t="s">
        <v>62</v>
      </c>
      <c r="C622" s="35"/>
      <c r="D622" s="35" t="s">
        <v>172</v>
      </c>
      <c r="E622" s="35"/>
      <c r="F622" s="35"/>
      <c r="G622" s="35" t="s">
        <v>227</v>
      </c>
      <c r="H622" s="35" t="s">
        <v>1597</v>
      </c>
      <c r="I622" s="35" t="s">
        <v>2256</v>
      </c>
      <c r="J622" s="35"/>
      <c r="K622" s="35" t="s">
        <v>1599</v>
      </c>
      <c r="L622" s="35"/>
      <c r="M622" s="35"/>
      <c r="N622" s="35"/>
      <c r="O622" s="35"/>
    </row>
    <row r="623" spans="1:15" ht="15.75" customHeight="1">
      <c r="A623" s="35" t="s">
        <v>1601</v>
      </c>
      <c r="B623" s="35" t="s">
        <v>1596</v>
      </c>
      <c r="C623" s="35"/>
      <c r="D623" s="35" t="s">
        <v>172</v>
      </c>
      <c r="E623" s="35"/>
      <c r="F623" s="35"/>
      <c r="G623" s="35" t="s">
        <v>238</v>
      </c>
      <c r="H623" s="35" t="s">
        <v>1602</v>
      </c>
      <c r="I623" s="35" t="s">
        <v>2257</v>
      </c>
      <c r="J623" s="35"/>
      <c r="K623" s="35" t="s">
        <v>1604</v>
      </c>
      <c r="L623" s="35"/>
      <c r="M623" s="35"/>
      <c r="N623" s="35"/>
      <c r="O623" s="35"/>
    </row>
    <row r="624" spans="1:15" ht="15.75" customHeight="1">
      <c r="A624" s="35" t="s">
        <v>1606</v>
      </c>
      <c r="B624" s="35" t="s">
        <v>62</v>
      </c>
      <c r="C624" s="35"/>
      <c r="D624" s="35" t="s">
        <v>172</v>
      </c>
      <c r="E624" s="35"/>
      <c r="F624" s="35"/>
      <c r="G624" s="35" t="s">
        <v>227</v>
      </c>
      <c r="H624" s="35" t="s">
        <v>1607</v>
      </c>
      <c r="I624" s="35" t="s">
        <v>1608</v>
      </c>
      <c r="J624" s="35"/>
      <c r="K624" s="35" t="s">
        <v>1609</v>
      </c>
      <c r="L624" s="35"/>
      <c r="M624" s="35"/>
      <c r="N624" s="35"/>
      <c r="O624" s="35"/>
    </row>
    <row r="625" spans="1:15" ht="15.75" customHeight="1">
      <c r="A625" s="35" t="s">
        <v>1611</v>
      </c>
      <c r="B625" s="35" t="s">
        <v>1606</v>
      </c>
      <c r="C625" s="35"/>
      <c r="D625" s="35" t="s">
        <v>172</v>
      </c>
      <c r="E625" s="35"/>
      <c r="F625" s="35"/>
      <c r="G625" s="35" t="s">
        <v>238</v>
      </c>
      <c r="H625" s="35" t="s">
        <v>2258</v>
      </c>
      <c r="I625" s="35" t="s">
        <v>2259</v>
      </c>
      <c r="J625" s="35"/>
      <c r="K625" s="35" t="s">
        <v>1613</v>
      </c>
      <c r="L625" s="35"/>
      <c r="M625" s="35"/>
      <c r="N625" s="35"/>
      <c r="O625" s="35"/>
    </row>
    <row r="626" spans="1:15" ht="15.75" customHeight="1">
      <c r="A626" s="35" t="s">
        <v>67</v>
      </c>
      <c r="B626" s="35"/>
      <c r="C626" s="35"/>
      <c r="D626" s="35" t="s">
        <v>172</v>
      </c>
      <c r="E626" s="35"/>
      <c r="F626" s="35"/>
      <c r="G626" s="35" t="s">
        <v>227</v>
      </c>
      <c r="H626" s="35" t="s">
        <v>1614</v>
      </c>
      <c r="I626" s="35" t="s">
        <v>2260</v>
      </c>
      <c r="J626" s="35"/>
      <c r="K626" s="35" t="s">
        <v>1616</v>
      </c>
      <c r="L626" s="35"/>
      <c r="M626" s="35"/>
      <c r="N626" s="35"/>
      <c r="O626" s="35"/>
    </row>
    <row r="627" spans="1:15" ht="15.75" customHeight="1">
      <c r="A627" s="35" t="s">
        <v>1618</v>
      </c>
      <c r="B627" s="35" t="s">
        <v>67</v>
      </c>
      <c r="C627" s="35"/>
      <c r="D627" s="35" t="s">
        <v>172</v>
      </c>
      <c r="E627" s="35"/>
      <c r="F627" s="35"/>
      <c r="G627" s="35" t="s">
        <v>227</v>
      </c>
      <c r="H627" s="35" t="s">
        <v>76</v>
      </c>
      <c r="I627" s="35" t="s">
        <v>1619</v>
      </c>
      <c r="J627" s="35"/>
      <c r="K627" s="35" t="s">
        <v>1620</v>
      </c>
      <c r="L627" s="35"/>
      <c r="M627" s="35"/>
      <c r="N627" s="35"/>
      <c r="O627" s="35"/>
    </row>
    <row r="628" spans="1:15" ht="15.75" customHeight="1">
      <c r="A628" s="35" t="s">
        <v>1622</v>
      </c>
      <c r="B628" s="35" t="s">
        <v>1618</v>
      </c>
      <c r="C628" s="35"/>
      <c r="D628" s="35" t="s">
        <v>172</v>
      </c>
      <c r="E628" s="35"/>
      <c r="F628" s="35"/>
      <c r="G628" s="35" t="s">
        <v>238</v>
      </c>
      <c r="H628" s="35" t="s">
        <v>1623</v>
      </c>
      <c r="I628" s="35" t="s">
        <v>1624</v>
      </c>
      <c r="J628" s="35"/>
      <c r="K628" s="35" t="s">
        <v>1625</v>
      </c>
      <c r="L628" s="35"/>
      <c r="M628" s="35"/>
      <c r="N628" s="35"/>
      <c r="O628" s="35"/>
    </row>
    <row r="629" spans="1:15" ht="15.75" customHeight="1">
      <c r="A629" s="35" t="s">
        <v>1627</v>
      </c>
      <c r="B629" s="35" t="s">
        <v>1618</v>
      </c>
      <c r="C629" s="35"/>
      <c r="D629" s="35" t="s">
        <v>172</v>
      </c>
      <c r="E629" s="35"/>
      <c r="F629" s="35"/>
      <c r="G629" s="35" t="s">
        <v>238</v>
      </c>
      <c r="H629" s="35" t="s">
        <v>1628</v>
      </c>
      <c r="I629" s="35" t="s">
        <v>2261</v>
      </c>
      <c r="J629" s="35"/>
      <c r="K629" s="35" t="s">
        <v>346</v>
      </c>
      <c r="L629" s="35"/>
      <c r="M629" s="35"/>
      <c r="N629" s="35"/>
      <c r="O629" s="35"/>
    </row>
    <row r="630" spans="1:15" ht="15.75" customHeight="1">
      <c r="A630" s="35" t="s">
        <v>1630</v>
      </c>
      <c r="B630" s="35" t="s">
        <v>1618</v>
      </c>
      <c r="C630" s="35"/>
      <c r="D630" s="35" t="s">
        <v>172</v>
      </c>
      <c r="E630" s="35"/>
      <c r="F630" s="35"/>
      <c r="G630" s="35" t="s">
        <v>238</v>
      </c>
      <c r="H630" s="35" t="s">
        <v>2262</v>
      </c>
      <c r="I630" s="35" t="s">
        <v>2263</v>
      </c>
      <c r="J630" s="35"/>
      <c r="K630" s="35" t="s">
        <v>1633</v>
      </c>
      <c r="L630" s="35"/>
      <c r="M630" s="35"/>
      <c r="N630" s="35"/>
      <c r="O630" s="35"/>
    </row>
    <row r="631" spans="1:15" ht="15.75" customHeight="1">
      <c r="A631" s="35" t="s">
        <v>1635</v>
      </c>
      <c r="B631" s="35" t="s">
        <v>1630</v>
      </c>
      <c r="C631" s="35"/>
      <c r="D631" s="35" t="s">
        <v>172</v>
      </c>
      <c r="E631" s="35"/>
      <c r="F631" s="35"/>
      <c r="G631" s="35" t="s">
        <v>238</v>
      </c>
      <c r="H631" s="35" t="s">
        <v>2264</v>
      </c>
      <c r="I631" s="35" t="s">
        <v>2265</v>
      </c>
      <c r="J631" s="35"/>
      <c r="K631" s="35" t="s">
        <v>1638</v>
      </c>
      <c r="L631" s="35"/>
      <c r="M631" s="35"/>
      <c r="N631" s="35"/>
      <c r="O631" s="35"/>
    </row>
    <row r="632" spans="1:15" ht="15.75" customHeight="1">
      <c r="A632" s="35" t="s">
        <v>1640</v>
      </c>
      <c r="B632" s="35" t="s">
        <v>1630</v>
      </c>
      <c r="C632" s="35"/>
      <c r="D632" s="35" t="s">
        <v>172</v>
      </c>
      <c r="E632" s="35"/>
      <c r="F632" s="35"/>
      <c r="G632" s="35" t="s">
        <v>238</v>
      </c>
      <c r="H632" s="35" t="s">
        <v>2266</v>
      </c>
      <c r="I632" s="35" t="s">
        <v>2267</v>
      </c>
      <c r="J632" s="35"/>
      <c r="K632" s="35" t="s">
        <v>1643</v>
      </c>
      <c r="L632" s="35"/>
      <c r="M632" s="35"/>
      <c r="N632" s="35"/>
      <c r="O632" s="35"/>
    </row>
    <row r="633" spans="1:15" ht="15.75" customHeight="1">
      <c r="A633" s="35" t="s">
        <v>70</v>
      </c>
      <c r="B633" s="35" t="s">
        <v>67</v>
      </c>
      <c r="C633" s="35"/>
      <c r="D633" s="35" t="s">
        <v>172</v>
      </c>
      <c r="E633" s="35"/>
      <c r="F633" s="35"/>
      <c r="G633" s="35" t="s">
        <v>227</v>
      </c>
      <c r="H633" s="35" t="s">
        <v>1645</v>
      </c>
      <c r="I633" s="35" t="s">
        <v>1646</v>
      </c>
      <c r="J633" s="35"/>
      <c r="K633" s="35" t="s">
        <v>1647</v>
      </c>
      <c r="L633" s="35"/>
      <c r="M633" s="35"/>
      <c r="N633" s="35"/>
      <c r="O633" s="35"/>
    </row>
    <row r="634" spans="1:15" ht="15.75" customHeight="1">
      <c r="A634" s="35" t="s">
        <v>1649</v>
      </c>
      <c r="B634" s="35" t="s">
        <v>70</v>
      </c>
      <c r="C634" s="35"/>
      <c r="D634" s="35" t="s">
        <v>172</v>
      </c>
      <c r="E634" s="35"/>
      <c r="F634" s="35"/>
      <c r="G634" s="35" t="s">
        <v>238</v>
      </c>
      <c r="H634" s="35" t="s">
        <v>1650</v>
      </c>
      <c r="I634" s="35" t="s">
        <v>2268</v>
      </c>
      <c r="J634" s="35"/>
      <c r="K634" s="35" t="s">
        <v>1652</v>
      </c>
      <c r="L634" s="35"/>
      <c r="M634" s="35"/>
      <c r="N634" s="35"/>
      <c r="O634" s="35"/>
    </row>
    <row r="635" spans="1:15" ht="15.75" customHeight="1">
      <c r="A635" s="35" t="s">
        <v>1654</v>
      </c>
      <c r="B635" s="35" t="s">
        <v>70</v>
      </c>
      <c r="C635" s="35"/>
      <c r="D635" s="35" t="s">
        <v>172</v>
      </c>
      <c r="E635" s="35"/>
      <c r="F635" s="35"/>
      <c r="G635" s="35" t="s">
        <v>238</v>
      </c>
      <c r="H635" s="35" t="s">
        <v>1655</v>
      </c>
      <c r="I635" s="35" t="s">
        <v>2269</v>
      </c>
      <c r="J635" s="35"/>
      <c r="K635" s="35" t="s">
        <v>1657</v>
      </c>
      <c r="L635" s="35"/>
      <c r="M635" s="35"/>
      <c r="N635" s="35"/>
      <c r="O635" s="35"/>
    </row>
    <row r="636" spans="1:15" ht="15.75" customHeight="1">
      <c r="A636" s="35" t="s">
        <v>74</v>
      </c>
      <c r="B636" s="35" t="s">
        <v>67</v>
      </c>
      <c r="C636" s="35"/>
      <c r="D636" s="35" t="s">
        <v>172</v>
      </c>
      <c r="E636" s="35"/>
      <c r="F636" s="35"/>
      <c r="G636" s="35" t="s">
        <v>227</v>
      </c>
      <c r="H636" s="35" t="s">
        <v>1659</v>
      </c>
      <c r="I636" s="35" t="s">
        <v>2270</v>
      </c>
      <c r="J636" s="35"/>
      <c r="K636" s="35" t="s">
        <v>1661</v>
      </c>
      <c r="L636" s="35"/>
      <c r="M636" s="35"/>
      <c r="N636" s="35"/>
      <c r="O636" s="35"/>
    </row>
    <row r="637" spans="1:15" ht="15.75" customHeight="1">
      <c r="A637" s="35" t="s">
        <v>1663</v>
      </c>
      <c r="B637" s="35" t="s">
        <v>74</v>
      </c>
      <c r="C637" s="35"/>
      <c r="D637" s="35" t="s">
        <v>172</v>
      </c>
      <c r="E637" s="35"/>
      <c r="F637" s="35"/>
      <c r="G637" s="35" t="s">
        <v>238</v>
      </c>
      <c r="H637" s="35" t="s">
        <v>1664</v>
      </c>
      <c r="I637" s="35" t="s">
        <v>2271</v>
      </c>
      <c r="J637" s="35"/>
      <c r="K637" s="35" t="s">
        <v>1666</v>
      </c>
      <c r="L637" s="35"/>
      <c r="M637" s="35"/>
      <c r="N637" s="35"/>
      <c r="O637" s="35"/>
    </row>
    <row r="638" spans="1:15" ht="15.75" customHeight="1">
      <c r="A638" s="35" t="s">
        <v>1668</v>
      </c>
      <c r="B638" s="35" t="s">
        <v>74</v>
      </c>
      <c r="C638" s="35"/>
      <c r="D638" s="35" t="s">
        <v>172</v>
      </c>
      <c r="E638" s="35"/>
      <c r="F638" s="35"/>
      <c r="G638" s="35" t="s">
        <v>238</v>
      </c>
      <c r="H638" s="35" t="s">
        <v>1669</v>
      </c>
      <c r="I638" s="35" t="s">
        <v>1670</v>
      </c>
      <c r="J638" s="35"/>
      <c r="K638" s="35" t="s">
        <v>1671</v>
      </c>
      <c r="L638" s="35"/>
      <c r="M638" s="35"/>
      <c r="N638" s="35"/>
      <c r="O638" s="35"/>
    </row>
    <row r="639" spans="1:15" ht="15.75" customHeight="1">
      <c r="A639" s="35" t="s">
        <v>1673</v>
      </c>
      <c r="B639" s="35" t="s">
        <v>74</v>
      </c>
      <c r="C639" s="35"/>
      <c r="D639" s="35" t="s">
        <v>172</v>
      </c>
      <c r="E639" s="35"/>
      <c r="F639" s="35"/>
      <c r="G639" s="35" t="s">
        <v>238</v>
      </c>
      <c r="H639" s="35" t="s">
        <v>1674</v>
      </c>
      <c r="I639" s="35" t="s">
        <v>1675</v>
      </c>
      <c r="J639" s="35"/>
      <c r="K639" s="35" t="s">
        <v>1676</v>
      </c>
      <c r="L639" s="35"/>
      <c r="M639" s="35"/>
      <c r="N639" s="35"/>
      <c r="O639" s="35"/>
    </row>
    <row r="640" spans="1:15" ht="15.75" customHeight="1">
      <c r="A640" s="35" t="s">
        <v>1678</v>
      </c>
      <c r="B640" s="35" t="s">
        <v>74</v>
      </c>
      <c r="C640" s="35"/>
      <c r="D640" s="35" t="s">
        <v>172</v>
      </c>
      <c r="E640" s="35"/>
      <c r="F640" s="35"/>
      <c r="G640" s="35" t="s">
        <v>238</v>
      </c>
      <c r="H640" s="35" t="s">
        <v>1679</v>
      </c>
      <c r="I640" s="35" t="s">
        <v>2272</v>
      </c>
      <c r="J640" s="35"/>
      <c r="K640" s="35" t="s">
        <v>1681</v>
      </c>
      <c r="L640" s="35"/>
      <c r="M640" s="35"/>
      <c r="N640" s="35"/>
      <c r="O640" s="35"/>
    </row>
    <row r="641" spans="1:15" ht="15.75" customHeight="1">
      <c r="A641" s="35" t="s">
        <v>1683</v>
      </c>
      <c r="B641" s="35" t="s">
        <v>74</v>
      </c>
      <c r="C641" s="35"/>
      <c r="D641" s="35" t="s">
        <v>172</v>
      </c>
      <c r="E641" s="35"/>
      <c r="F641" s="35"/>
      <c r="G641" s="35" t="s">
        <v>238</v>
      </c>
      <c r="H641" s="35" t="s">
        <v>1684</v>
      </c>
      <c r="I641" s="35" t="s">
        <v>2273</v>
      </c>
      <c r="J641" s="35"/>
      <c r="K641" s="35" t="s">
        <v>1686</v>
      </c>
      <c r="L641" s="35"/>
      <c r="M641" s="35"/>
      <c r="N641" s="35"/>
      <c r="O641" s="35"/>
    </row>
    <row r="642" spans="1:15" ht="15.75" customHeight="1">
      <c r="A642" s="35" t="s">
        <v>1688</v>
      </c>
      <c r="B642" s="35" t="s">
        <v>74</v>
      </c>
      <c r="C642" s="35"/>
      <c r="D642" s="35" t="s">
        <v>172</v>
      </c>
      <c r="E642" s="35"/>
      <c r="F642" s="35"/>
      <c r="G642" s="35" t="s">
        <v>238</v>
      </c>
      <c r="H642" s="35" t="s">
        <v>1689</v>
      </c>
      <c r="I642" s="35" t="s">
        <v>1690</v>
      </c>
      <c r="J642" s="35"/>
      <c r="K642" s="35" t="s">
        <v>1691</v>
      </c>
      <c r="L642" s="35"/>
      <c r="M642" s="35"/>
      <c r="N642" s="35"/>
      <c r="O642" s="35"/>
    </row>
    <row r="643" spans="1:15" ht="15.75" customHeight="1">
      <c r="A643" s="35" t="s">
        <v>1693</v>
      </c>
      <c r="B643" s="35" t="s">
        <v>74</v>
      </c>
      <c r="C643" s="35"/>
      <c r="D643" s="35" t="s">
        <v>172</v>
      </c>
      <c r="E643" s="35"/>
      <c r="F643" s="35"/>
      <c r="G643" s="35" t="s">
        <v>238</v>
      </c>
      <c r="H643" s="35" t="s">
        <v>1694</v>
      </c>
      <c r="I643" s="35" t="s">
        <v>1695</v>
      </c>
      <c r="J643" s="35"/>
      <c r="K643" s="35" t="s">
        <v>1696</v>
      </c>
      <c r="L643" s="35"/>
      <c r="M643" s="35"/>
      <c r="N643" s="35"/>
      <c r="O643" s="35"/>
    </row>
    <row r="644" spans="1:15" ht="15.75" customHeight="1">
      <c r="A644" s="35" t="s">
        <v>1698</v>
      </c>
      <c r="B644" s="35" t="s">
        <v>74</v>
      </c>
      <c r="C644" s="35"/>
      <c r="D644" s="35" t="s">
        <v>172</v>
      </c>
      <c r="E644" s="35"/>
      <c r="F644" s="35"/>
      <c r="G644" s="35" t="s">
        <v>238</v>
      </c>
      <c r="H644" s="35" t="s">
        <v>1699</v>
      </c>
      <c r="I644" s="35" t="s">
        <v>1700</v>
      </c>
      <c r="J644" s="35"/>
      <c r="K644" s="35" t="s">
        <v>1701</v>
      </c>
      <c r="L644" s="35"/>
      <c r="M644" s="35"/>
      <c r="N644" s="35"/>
      <c r="O644" s="35"/>
    </row>
    <row r="645" spans="1:15" ht="15.75" customHeight="1">
      <c r="A645" s="35" t="s">
        <v>1703</v>
      </c>
      <c r="B645" s="35" t="s">
        <v>74</v>
      </c>
      <c r="C645" s="35"/>
      <c r="D645" s="35" t="s">
        <v>172</v>
      </c>
      <c r="E645" s="35"/>
      <c r="F645" s="35"/>
      <c r="G645" s="35" t="s">
        <v>238</v>
      </c>
      <c r="H645" s="35" t="s">
        <v>1704</v>
      </c>
      <c r="I645" s="35" t="s">
        <v>2274</v>
      </c>
      <c r="J645" s="35"/>
      <c r="K645" s="35" t="s">
        <v>1706</v>
      </c>
      <c r="L645" s="35"/>
      <c r="M645" s="35"/>
      <c r="N645" s="35"/>
      <c r="O645" s="35"/>
    </row>
    <row r="646" spans="1:15" ht="15.75" customHeight="1">
      <c r="A646" s="35" t="s">
        <v>79</v>
      </c>
      <c r="B646" s="35" t="s">
        <v>67</v>
      </c>
      <c r="C646" s="35"/>
      <c r="D646" s="35" t="s">
        <v>172</v>
      </c>
      <c r="E646" s="35"/>
      <c r="F646" s="35"/>
      <c r="G646" s="35" t="s">
        <v>227</v>
      </c>
      <c r="H646" s="35" t="s">
        <v>1708</v>
      </c>
      <c r="I646" s="35" t="s">
        <v>1709</v>
      </c>
      <c r="J646" s="35"/>
      <c r="K646" s="35" t="s">
        <v>1710</v>
      </c>
      <c r="L646" s="35"/>
      <c r="M646" s="35"/>
      <c r="N646" s="35"/>
      <c r="O646" s="35"/>
    </row>
    <row r="647" spans="1:15" ht="15.75" customHeight="1">
      <c r="A647" s="35" t="s">
        <v>1712</v>
      </c>
      <c r="B647" s="35" t="s">
        <v>79</v>
      </c>
      <c r="C647" s="35"/>
      <c r="D647" s="35" t="s">
        <v>172</v>
      </c>
      <c r="E647" s="35"/>
      <c r="F647" s="35"/>
      <c r="G647" s="35" t="s">
        <v>238</v>
      </c>
      <c r="H647" s="35" t="s">
        <v>1713</v>
      </c>
      <c r="I647" s="35" t="s">
        <v>2275</v>
      </c>
      <c r="J647" s="35"/>
      <c r="K647" s="35" t="s">
        <v>1715</v>
      </c>
      <c r="L647" s="35"/>
      <c r="M647" s="35"/>
      <c r="N647" s="35"/>
      <c r="O647" s="35"/>
    </row>
    <row r="648" spans="1:15" ht="15.75" customHeight="1">
      <c r="A648" s="35" t="s">
        <v>1717</v>
      </c>
      <c r="B648" s="35" t="s">
        <v>1712</v>
      </c>
      <c r="C648" s="35"/>
      <c r="D648" s="35" t="s">
        <v>172</v>
      </c>
      <c r="E648" s="35"/>
      <c r="F648" s="35"/>
      <c r="G648" s="35" t="s">
        <v>238</v>
      </c>
      <c r="H648" s="35" t="s">
        <v>1718</v>
      </c>
      <c r="I648" s="35" t="s">
        <v>2276</v>
      </c>
      <c r="J648" s="35"/>
      <c r="K648" s="35" t="s">
        <v>1720</v>
      </c>
      <c r="L648" s="35"/>
      <c r="M648" s="35"/>
      <c r="N648" s="35"/>
      <c r="O648" s="35"/>
    </row>
    <row r="649" spans="1:15" ht="15.75" customHeight="1">
      <c r="A649" s="35" t="s">
        <v>1722</v>
      </c>
      <c r="B649" s="35" t="s">
        <v>1712</v>
      </c>
      <c r="C649" s="35"/>
      <c r="D649" s="35" t="s">
        <v>172</v>
      </c>
      <c r="E649" s="35"/>
      <c r="F649" s="35"/>
      <c r="G649" s="35" t="s">
        <v>238</v>
      </c>
      <c r="H649" s="35" t="s">
        <v>1723</v>
      </c>
      <c r="I649" s="35" t="s">
        <v>1724</v>
      </c>
      <c r="J649" s="35"/>
      <c r="K649" s="35" t="s">
        <v>1725</v>
      </c>
      <c r="L649" s="35"/>
      <c r="M649" s="35"/>
      <c r="N649" s="35"/>
      <c r="O649" s="35"/>
    </row>
    <row r="650" spans="1:15" ht="15.75" customHeight="1">
      <c r="A650" s="35" t="s">
        <v>1727</v>
      </c>
      <c r="B650" s="35" t="s">
        <v>1712</v>
      </c>
      <c r="C650" s="35"/>
      <c r="D650" s="35" t="s">
        <v>172</v>
      </c>
      <c r="E650" s="35"/>
      <c r="F650" s="35"/>
      <c r="G650" s="35" t="s">
        <v>238</v>
      </c>
      <c r="H650" s="35" t="s">
        <v>1728</v>
      </c>
      <c r="I650" s="35" t="s">
        <v>1729</v>
      </c>
      <c r="J650" s="35"/>
      <c r="K650" s="35" t="s">
        <v>1730</v>
      </c>
      <c r="L650" s="35"/>
      <c r="M650" s="35"/>
      <c r="N650" s="35"/>
      <c r="O650" s="35"/>
    </row>
    <row r="651" spans="1:15" ht="15.75" customHeight="1">
      <c r="A651" s="35" t="s">
        <v>1732</v>
      </c>
      <c r="B651" s="35" t="s">
        <v>79</v>
      </c>
      <c r="C651" s="35"/>
      <c r="D651" s="35" t="s">
        <v>172</v>
      </c>
      <c r="E651" s="35"/>
      <c r="F651" s="35"/>
      <c r="G651" s="35" t="s">
        <v>238</v>
      </c>
      <c r="H651" s="35" t="s">
        <v>1733</v>
      </c>
      <c r="I651" s="35" t="s">
        <v>2277</v>
      </c>
      <c r="J651" s="35"/>
      <c r="K651" s="35" t="s">
        <v>1735</v>
      </c>
      <c r="L651" s="35"/>
      <c r="M651" s="35"/>
      <c r="N651" s="35"/>
      <c r="O651" s="35"/>
    </row>
    <row r="652" spans="1:15" ht="15.75" customHeight="1">
      <c r="A652" s="35" t="s">
        <v>1737</v>
      </c>
      <c r="B652" s="35" t="s">
        <v>1732</v>
      </c>
      <c r="C652" s="35"/>
      <c r="D652" s="35" t="s">
        <v>172</v>
      </c>
      <c r="E652" s="35"/>
      <c r="F652" s="35"/>
      <c r="G652" s="35" t="s">
        <v>238</v>
      </c>
      <c r="H652" s="35" t="s">
        <v>1738</v>
      </c>
      <c r="I652" s="35" t="s">
        <v>1739</v>
      </c>
      <c r="J652" s="35"/>
      <c r="K652" s="35" t="s">
        <v>1740</v>
      </c>
      <c r="L652" s="35"/>
      <c r="M652" s="35"/>
      <c r="N652" s="35"/>
      <c r="O652" s="35"/>
    </row>
    <row r="653" spans="1:15" ht="15.75" customHeight="1">
      <c r="A653" s="35" t="s">
        <v>1742</v>
      </c>
      <c r="B653" s="35" t="s">
        <v>1732</v>
      </c>
      <c r="C653" s="35"/>
      <c r="D653" s="35" t="s">
        <v>172</v>
      </c>
      <c r="E653" s="35"/>
      <c r="F653" s="35"/>
      <c r="G653" s="35" t="s">
        <v>238</v>
      </c>
      <c r="H653" s="35" t="s">
        <v>1743</v>
      </c>
      <c r="I653" s="35" t="s">
        <v>1744</v>
      </c>
      <c r="J653" s="35"/>
      <c r="K653" s="35" t="s">
        <v>1745</v>
      </c>
      <c r="L653" s="35"/>
      <c r="M653" s="35"/>
      <c r="N653" s="35"/>
      <c r="O653" s="35"/>
    </row>
    <row r="654" spans="1:15" ht="15.75" customHeight="1">
      <c r="A654" s="35" t="s">
        <v>1747</v>
      </c>
      <c r="B654" s="35" t="s">
        <v>79</v>
      </c>
      <c r="C654" s="35"/>
      <c r="D654" s="35" t="s">
        <v>172</v>
      </c>
      <c r="E654" s="35"/>
      <c r="F654" s="35"/>
      <c r="G654" s="35" t="s">
        <v>238</v>
      </c>
      <c r="H654" s="35" t="s">
        <v>1748</v>
      </c>
      <c r="I654" s="35" t="s">
        <v>1749</v>
      </c>
      <c r="J654" s="35"/>
      <c r="K654" s="35" t="s">
        <v>1750</v>
      </c>
      <c r="L654" s="35"/>
      <c r="M654" s="35"/>
      <c r="N654" s="35"/>
      <c r="O654" s="35"/>
    </row>
    <row r="655" spans="1:15" ht="15.75" customHeight="1">
      <c r="A655" s="35" t="s">
        <v>1752</v>
      </c>
      <c r="B655" s="35" t="s">
        <v>79</v>
      </c>
      <c r="C655" s="35"/>
      <c r="D655" s="35" t="s">
        <v>172</v>
      </c>
      <c r="E655" s="35"/>
      <c r="F655" s="35"/>
      <c r="G655" s="35" t="s">
        <v>238</v>
      </c>
      <c r="H655" s="35" t="s">
        <v>1753</v>
      </c>
      <c r="I655" s="35" t="s">
        <v>1754</v>
      </c>
      <c r="J655" s="35"/>
      <c r="K655" s="35" t="s">
        <v>1755</v>
      </c>
      <c r="L655" s="35"/>
      <c r="M655" s="35"/>
      <c r="N655" s="35"/>
      <c r="O655" s="35"/>
    </row>
    <row r="656" spans="1:15" ht="15.75" customHeight="1">
      <c r="A656" s="35" t="s">
        <v>1757</v>
      </c>
      <c r="B656" s="35" t="s">
        <v>67</v>
      </c>
      <c r="C656" s="35"/>
      <c r="D656" s="35" t="s">
        <v>172</v>
      </c>
      <c r="E656" s="35"/>
      <c r="F656" s="35"/>
      <c r="G656" s="35" t="s">
        <v>227</v>
      </c>
      <c r="H656" s="35" t="s">
        <v>1758</v>
      </c>
      <c r="I656" s="35" t="s">
        <v>2278</v>
      </c>
      <c r="J656" s="35"/>
      <c r="K656" s="35" t="s">
        <v>1760</v>
      </c>
      <c r="L656" s="35"/>
      <c r="M656" s="35"/>
      <c r="N656" s="35"/>
      <c r="O656" s="35"/>
    </row>
    <row r="657" spans="1:15" ht="15.75" customHeight="1">
      <c r="A657" s="35" t="s">
        <v>1762</v>
      </c>
      <c r="B657" s="35" t="s">
        <v>67</v>
      </c>
      <c r="C657" s="35"/>
      <c r="D657" s="35" t="s">
        <v>172</v>
      </c>
      <c r="E657" s="35"/>
      <c r="F657" s="35"/>
      <c r="G657" s="35" t="s">
        <v>227</v>
      </c>
      <c r="H657" s="35" t="s">
        <v>75</v>
      </c>
      <c r="I657" s="35" t="s">
        <v>1763</v>
      </c>
      <c r="J657" s="35"/>
      <c r="K657" s="35" t="s">
        <v>1764</v>
      </c>
      <c r="L657" s="35"/>
      <c r="M657" s="35"/>
      <c r="N657" s="35"/>
      <c r="O657" s="35"/>
    </row>
    <row r="658" spans="1:15" ht="15.75" customHeight="1">
      <c r="A658" s="35" t="s">
        <v>1766</v>
      </c>
      <c r="B658" s="35" t="s">
        <v>67</v>
      </c>
      <c r="C658" s="35"/>
      <c r="D658" s="35" t="s">
        <v>172</v>
      </c>
      <c r="E658" s="35"/>
      <c r="F658" s="35"/>
      <c r="G658" s="35" t="s">
        <v>227</v>
      </c>
      <c r="H658" s="35" t="s">
        <v>1767</v>
      </c>
      <c r="I658" s="35" t="s">
        <v>1768</v>
      </c>
      <c r="J658" s="35"/>
      <c r="K658" s="35" t="s">
        <v>1769</v>
      </c>
      <c r="L658" s="35"/>
      <c r="M658" s="35"/>
      <c r="N658" s="35"/>
      <c r="O658" s="35"/>
    </row>
    <row r="659" spans="1:15" ht="15.75" customHeight="1">
      <c r="A659" s="35" t="s">
        <v>1771</v>
      </c>
      <c r="B659" s="35" t="s">
        <v>1766</v>
      </c>
      <c r="C659" s="35"/>
      <c r="D659" s="35" t="s">
        <v>172</v>
      </c>
      <c r="E659" s="35"/>
      <c r="F659" s="35"/>
      <c r="G659" s="35" t="s">
        <v>238</v>
      </c>
      <c r="H659" s="35" t="s">
        <v>1772</v>
      </c>
      <c r="I659" s="35" t="s">
        <v>1773</v>
      </c>
      <c r="J659" s="35"/>
      <c r="K659" s="35" t="s">
        <v>1774</v>
      </c>
      <c r="L659" s="35"/>
      <c r="M659" s="35"/>
      <c r="N659" s="35"/>
      <c r="O659" s="35"/>
    </row>
    <row r="660" spans="1:15" ht="15.75" customHeight="1">
      <c r="A660" s="35" t="s">
        <v>1776</v>
      </c>
      <c r="B660" s="35" t="s">
        <v>1766</v>
      </c>
      <c r="C660" s="35"/>
      <c r="D660" s="35" t="s">
        <v>172</v>
      </c>
      <c r="E660" s="35"/>
      <c r="F660" s="35"/>
      <c r="G660" s="35" t="s">
        <v>238</v>
      </c>
      <c r="H660" s="35" t="s">
        <v>1777</v>
      </c>
      <c r="I660" s="35" t="s">
        <v>1778</v>
      </c>
      <c r="J660" s="35"/>
      <c r="K660" s="35" t="s">
        <v>1779</v>
      </c>
      <c r="L660" s="35"/>
      <c r="M660" s="35"/>
      <c r="N660" s="35"/>
      <c r="O660" s="35"/>
    </row>
    <row r="661" spans="1:15" ht="15.75" customHeight="1">
      <c r="A661" s="38" t="s">
        <v>1781</v>
      </c>
      <c r="B661" s="38" t="s">
        <v>1766</v>
      </c>
      <c r="C661" s="35"/>
      <c r="D661" s="35" t="s">
        <v>172</v>
      </c>
      <c r="E661" s="35"/>
      <c r="F661" s="35"/>
      <c r="G661" s="35" t="s">
        <v>238</v>
      </c>
      <c r="H661" s="38" t="s">
        <v>1782</v>
      </c>
      <c r="I661" s="38" t="s">
        <v>1783</v>
      </c>
      <c r="J661" s="38"/>
      <c r="K661" s="38" t="s">
        <v>1784</v>
      </c>
      <c r="L661" s="35"/>
      <c r="M661" s="35"/>
      <c r="N661" s="35"/>
      <c r="O661" s="38"/>
    </row>
    <row r="662" spans="1:15" ht="15.75" customHeight="1">
      <c r="A662" s="38" t="s">
        <v>1786</v>
      </c>
      <c r="B662" s="38" t="s">
        <v>1766</v>
      </c>
      <c r="C662" s="35"/>
      <c r="D662" s="35" t="s">
        <v>172</v>
      </c>
      <c r="E662" s="35"/>
      <c r="F662" s="35"/>
      <c r="G662" s="35" t="s">
        <v>238</v>
      </c>
      <c r="H662" s="38" t="s">
        <v>1787</v>
      </c>
      <c r="I662" s="38" t="s">
        <v>2279</v>
      </c>
      <c r="J662" s="38"/>
      <c r="K662" s="38" t="s">
        <v>1789</v>
      </c>
      <c r="L662" s="35"/>
      <c r="M662" s="35"/>
      <c r="N662" s="35"/>
      <c r="O662" s="38"/>
    </row>
    <row r="663" spans="1:15" ht="15.75" customHeight="1">
      <c r="A663" s="35" t="s">
        <v>1791</v>
      </c>
      <c r="B663" s="35" t="s">
        <v>67</v>
      </c>
      <c r="C663" s="35"/>
      <c r="D663" s="35" t="s">
        <v>172</v>
      </c>
      <c r="E663" s="35"/>
      <c r="F663" s="35"/>
      <c r="G663" s="35" t="s">
        <v>227</v>
      </c>
      <c r="H663" s="35" t="s">
        <v>1792</v>
      </c>
      <c r="I663" s="35" t="s">
        <v>2280</v>
      </c>
      <c r="J663" s="35"/>
      <c r="K663" s="35" t="s">
        <v>1794</v>
      </c>
      <c r="L663" s="35"/>
      <c r="M663" s="35"/>
      <c r="N663" s="35"/>
      <c r="O663" s="35"/>
    </row>
    <row r="664" spans="1:15" ht="15.75" customHeight="1">
      <c r="A664" s="38" t="s">
        <v>86</v>
      </c>
      <c r="B664" s="38"/>
      <c r="C664" s="35"/>
      <c r="D664" s="35" t="s">
        <v>172</v>
      </c>
      <c r="E664" s="35"/>
      <c r="F664" s="35"/>
      <c r="G664" s="35" t="s">
        <v>227</v>
      </c>
      <c r="H664" s="39" t="s">
        <v>2281</v>
      </c>
      <c r="I664" s="35" t="s">
        <v>2282</v>
      </c>
      <c r="J664" s="35"/>
      <c r="K664" s="38" t="s">
        <v>1798</v>
      </c>
      <c r="L664" s="35"/>
      <c r="M664" s="35"/>
      <c r="N664" s="35"/>
      <c r="O664" s="38"/>
    </row>
    <row r="665" spans="1:15" ht="15.75" customHeight="1">
      <c r="A665" s="38" t="s">
        <v>88</v>
      </c>
      <c r="B665" s="38" t="s">
        <v>86</v>
      </c>
      <c r="C665" s="35"/>
      <c r="D665" s="35" t="s">
        <v>172</v>
      </c>
      <c r="E665" s="35"/>
      <c r="F665" s="35"/>
      <c r="G665" s="35" t="s">
        <v>227</v>
      </c>
      <c r="H665" s="39" t="s">
        <v>2283</v>
      </c>
      <c r="I665" s="35" t="s">
        <v>2284</v>
      </c>
      <c r="J665" s="35"/>
      <c r="K665" s="35" t="s">
        <v>2285</v>
      </c>
      <c r="L665" s="35"/>
      <c r="M665" s="35"/>
      <c r="N665" s="35"/>
      <c r="O665" s="38"/>
    </row>
    <row r="666" spans="1:15" ht="15.75" customHeight="1">
      <c r="A666" s="38" t="s">
        <v>2286</v>
      </c>
      <c r="B666" s="38" t="s">
        <v>88</v>
      </c>
      <c r="C666" s="35"/>
      <c r="D666" s="35" t="s">
        <v>172</v>
      </c>
      <c r="E666" s="35"/>
      <c r="F666" s="35"/>
      <c r="G666" s="35" t="s">
        <v>238</v>
      </c>
      <c r="H666" s="39" t="s">
        <v>2287</v>
      </c>
      <c r="I666" s="35" t="s">
        <v>2288</v>
      </c>
      <c r="J666" s="35"/>
      <c r="K666" s="35" t="s">
        <v>2289</v>
      </c>
      <c r="L666" s="35"/>
      <c r="M666" s="35"/>
      <c r="N666" s="35"/>
      <c r="O666" s="38"/>
    </row>
    <row r="667" spans="1:15" ht="15.75" customHeight="1">
      <c r="A667" s="38" t="s">
        <v>2290</v>
      </c>
      <c r="B667" s="38" t="s">
        <v>88</v>
      </c>
      <c r="C667" s="35"/>
      <c r="D667" s="35" t="s">
        <v>172</v>
      </c>
      <c r="E667" s="35"/>
      <c r="F667" s="35"/>
      <c r="G667" s="35" t="s">
        <v>238</v>
      </c>
      <c r="H667" s="39" t="s">
        <v>2291</v>
      </c>
      <c r="I667" s="35" t="s">
        <v>2292</v>
      </c>
      <c r="J667" s="35"/>
      <c r="K667" s="35" t="s">
        <v>2293</v>
      </c>
      <c r="L667" s="35"/>
      <c r="M667" s="35"/>
      <c r="N667" s="35"/>
      <c r="O667" s="38"/>
    </row>
    <row r="668" spans="1:15" ht="15.75" customHeight="1">
      <c r="A668" s="38" t="s">
        <v>110</v>
      </c>
      <c r="B668" s="38" t="s">
        <v>86</v>
      </c>
      <c r="C668" s="35"/>
      <c r="D668" s="35" t="s">
        <v>172</v>
      </c>
      <c r="E668" s="35"/>
      <c r="F668" s="35"/>
      <c r="G668" s="35" t="s">
        <v>227</v>
      </c>
      <c r="H668" s="38" t="s">
        <v>2294</v>
      </c>
      <c r="I668" s="38" t="s">
        <v>2295</v>
      </c>
      <c r="J668" s="38"/>
      <c r="K668" s="35" t="s">
        <v>2296</v>
      </c>
      <c r="L668" s="35"/>
      <c r="M668" s="35"/>
      <c r="N668" s="35"/>
      <c r="O668" s="38"/>
    </row>
    <row r="669" spans="1:15" ht="15.75" customHeight="1">
      <c r="A669" s="35" t="s">
        <v>1800</v>
      </c>
      <c r="B669" s="35" t="s">
        <v>110</v>
      </c>
      <c r="C669" s="35"/>
      <c r="D669" s="35" t="s">
        <v>172</v>
      </c>
      <c r="E669" s="35"/>
      <c r="F669" s="35"/>
      <c r="G669" s="35" t="s">
        <v>227</v>
      </c>
      <c r="H669" s="35" t="s">
        <v>190</v>
      </c>
      <c r="I669" s="35" t="s">
        <v>2297</v>
      </c>
      <c r="J669" s="35"/>
      <c r="K669" s="35" t="s">
        <v>2298</v>
      </c>
      <c r="L669" s="35"/>
      <c r="M669" s="35"/>
      <c r="N669" s="35"/>
      <c r="O669" s="35"/>
    </row>
    <row r="670" spans="1:15" ht="15.75" customHeight="1">
      <c r="A670" s="35" t="s">
        <v>1804</v>
      </c>
      <c r="B670" s="35" t="s">
        <v>1800</v>
      </c>
      <c r="C670" s="35"/>
      <c r="D670" s="35" t="s">
        <v>172</v>
      </c>
      <c r="E670" s="35"/>
      <c r="F670" s="35"/>
      <c r="G670" s="35" t="s">
        <v>238</v>
      </c>
      <c r="H670" s="35" t="s">
        <v>2299</v>
      </c>
      <c r="I670" s="35" t="s">
        <v>2300</v>
      </c>
      <c r="J670" s="35"/>
      <c r="K670" s="35" t="s">
        <v>2301</v>
      </c>
      <c r="L670" s="35"/>
      <c r="M670" s="35"/>
      <c r="N670" s="35"/>
      <c r="O670" s="35"/>
    </row>
    <row r="671" spans="1:15" ht="15.75" customHeight="1">
      <c r="A671" s="35" t="s">
        <v>1809</v>
      </c>
      <c r="B671" s="35" t="s">
        <v>1800</v>
      </c>
      <c r="C671" s="35"/>
      <c r="D671" s="35" t="s">
        <v>172</v>
      </c>
      <c r="E671" s="35"/>
      <c r="F671" s="35"/>
      <c r="G671" s="35" t="s">
        <v>238</v>
      </c>
      <c r="H671" s="35" t="s">
        <v>2302</v>
      </c>
      <c r="I671" s="35" t="s">
        <v>2303</v>
      </c>
      <c r="J671" s="35"/>
      <c r="K671" s="35" t="s">
        <v>2304</v>
      </c>
      <c r="L671" s="35"/>
      <c r="M671" s="35"/>
      <c r="N671" s="35"/>
      <c r="O671" s="35"/>
    </row>
    <row r="672" spans="1:15" ht="15.75" customHeight="1">
      <c r="A672" s="35" t="s">
        <v>1814</v>
      </c>
      <c r="B672" s="35" t="s">
        <v>1800</v>
      </c>
      <c r="C672" s="35"/>
      <c r="D672" s="35" t="s">
        <v>172</v>
      </c>
      <c r="E672" s="35"/>
      <c r="F672" s="35"/>
      <c r="G672" s="35" t="s">
        <v>238</v>
      </c>
      <c r="H672" s="35" t="s">
        <v>2305</v>
      </c>
      <c r="I672" s="35" t="s">
        <v>2306</v>
      </c>
      <c r="J672" s="35"/>
      <c r="K672" s="35" t="s">
        <v>2307</v>
      </c>
      <c r="L672" s="35"/>
      <c r="M672" s="35"/>
      <c r="N672" s="35"/>
      <c r="O672" s="35"/>
    </row>
    <row r="673" spans="1:15" ht="15.75" customHeight="1">
      <c r="A673" s="35" t="s">
        <v>1819</v>
      </c>
      <c r="B673" s="35" t="s">
        <v>1800</v>
      </c>
      <c r="C673" s="35"/>
      <c r="D673" s="35" t="s">
        <v>172</v>
      </c>
      <c r="E673" s="35"/>
      <c r="F673" s="35"/>
      <c r="G673" s="35" t="s">
        <v>238</v>
      </c>
      <c r="H673" s="35" t="s">
        <v>2308</v>
      </c>
      <c r="I673" s="35" t="s">
        <v>2309</v>
      </c>
      <c r="J673" s="35"/>
      <c r="K673" s="35" t="s">
        <v>2310</v>
      </c>
      <c r="L673" s="35"/>
      <c r="M673" s="35"/>
      <c r="N673" s="35"/>
      <c r="O673" s="35"/>
    </row>
    <row r="674" spans="1:15" ht="15.75" customHeight="1">
      <c r="A674" s="35" t="s">
        <v>1824</v>
      </c>
      <c r="B674" s="35" t="s">
        <v>1800</v>
      </c>
      <c r="C674" s="35"/>
      <c r="D674" s="35" t="s">
        <v>172</v>
      </c>
      <c r="E674" s="35"/>
      <c r="F674" s="35"/>
      <c r="G674" s="35" t="s">
        <v>238</v>
      </c>
      <c r="H674" s="35" t="s">
        <v>2311</v>
      </c>
      <c r="I674" s="35" t="s">
        <v>2312</v>
      </c>
      <c r="J674" s="35"/>
      <c r="K674" s="35" t="s">
        <v>2313</v>
      </c>
      <c r="L674" s="35"/>
      <c r="M674" s="35"/>
      <c r="N674" s="35"/>
      <c r="O674" s="35"/>
    </row>
    <row r="675" spans="1:15" ht="15.75" customHeight="1">
      <c r="A675" s="35" t="s">
        <v>1829</v>
      </c>
      <c r="B675" s="35" t="s">
        <v>1800</v>
      </c>
      <c r="C675" s="35"/>
      <c r="D675" s="35" t="s">
        <v>172</v>
      </c>
      <c r="E675" s="35"/>
      <c r="F675" s="35"/>
      <c r="G675" s="35" t="s">
        <v>238</v>
      </c>
      <c r="H675" s="35" t="s">
        <v>2314</v>
      </c>
      <c r="I675" s="35" t="s">
        <v>2315</v>
      </c>
      <c r="J675" s="35"/>
      <c r="K675" s="35" t="s">
        <v>2316</v>
      </c>
      <c r="L675" s="35"/>
      <c r="M675" s="35"/>
      <c r="N675" s="35"/>
      <c r="O675" s="35"/>
    </row>
    <row r="676" spans="1:15" ht="15.75" customHeight="1">
      <c r="A676" s="35" t="s">
        <v>1834</v>
      </c>
      <c r="B676" s="35" t="s">
        <v>1800</v>
      </c>
      <c r="C676" s="35"/>
      <c r="D676" s="35" t="s">
        <v>172</v>
      </c>
      <c r="E676" s="35"/>
      <c r="F676" s="35"/>
      <c r="G676" s="35" t="s">
        <v>238</v>
      </c>
      <c r="H676" s="35" t="s">
        <v>2317</v>
      </c>
      <c r="I676" s="35" t="s">
        <v>2318</v>
      </c>
      <c r="J676" s="35"/>
      <c r="K676" s="35" t="s">
        <v>2319</v>
      </c>
      <c r="L676" s="35"/>
      <c r="M676" s="35"/>
      <c r="N676" s="35"/>
      <c r="O676" s="35"/>
    </row>
    <row r="677" spans="1:15" ht="15.75" customHeight="1">
      <c r="A677" s="35" t="s">
        <v>1848</v>
      </c>
      <c r="B677" s="35" t="s">
        <v>110</v>
      </c>
      <c r="C677" s="35"/>
      <c r="D677" s="35" t="s">
        <v>172</v>
      </c>
      <c r="E677" s="35"/>
      <c r="F677" s="35"/>
      <c r="G677" s="35" t="s">
        <v>227</v>
      </c>
      <c r="H677" s="35" t="s">
        <v>2320</v>
      </c>
      <c r="I677" s="35" t="s">
        <v>2321</v>
      </c>
      <c r="J677" s="35"/>
      <c r="K677" s="35" t="s">
        <v>2322</v>
      </c>
      <c r="L677" s="35"/>
      <c r="M677" s="35"/>
      <c r="N677" s="35"/>
      <c r="O677" s="35"/>
    </row>
    <row r="678" spans="1:15" ht="15.75" customHeight="1">
      <c r="A678" s="35" t="s">
        <v>1858</v>
      </c>
      <c r="B678" s="35" t="s">
        <v>110</v>
      </c>
      <c r="C678" s="35"/>
      <c r="D678" s="35" t="s">
        <v>172</v>
      </c>
      <c r="E678" s="35"/>
      <c r="F678" s="35"/>
      <c r="G678" s="35" t="s">
        <v>227</v>
      </c>
      <c r="H678" s="35" t="s">
        <v>2323</v>
      </c>
      <c r="I678" s="35" t="s">
        <v>2324</v>
      </c>
      <c r="J678" s="35"/>
      <c r="K678" s="35" t="s">
        <v>2325</v>
      </c>
      <c r="L678" s="35"/>
      <c r="M678" s="35"/>
      <c r="N678" s="35"/>
      <c r="O678" s="35"/>
    </row>
    <row r="679" spans="1:15" ht="15.75" customHeight="1">
      <c r="A679" s="35" t="s">
        <v>1863</v>
      </c>
      <c r="B679" s="35" t="s">
        <v>1858</v>
      </c>
      <c r="C679" s="35"/>
      <c r="D679" s="35" t="s">
        <v>172</v>
      </c>
      <c r="E679" s="35"/>
      <c r="F679" s="35"/>
      <c r="G679" s="35" t="s">
        <v>238</v>
      </c>
      <c r="H679" s="35" t="s">
        <v>1864</v>
      </c>
      <c r="I679" s="35" t="s">
        <v>1865</v>
      </c>
      <c r="J679" s="35"/>
      <c r="K679" s="35" t="s">
        <v>1866</v>
      </c>
      <c r="L679" s="35"/>
      <c r="M679" s="35"/>
      <c r="N679" s="35"/>
      <c r="O679" s="35"/>
    </row>
    <row r="680" spans="1:15" ht="15.75" customHeight="1">
      <c r="A680" s="35" t="s">
        <v>1868</v>
      </c>
      <c r="B680" s="35" t="s">
        <v>1858</v>
      </c>
      <c r="C680" s="35"/>
      <c r="D680" s="35" t="s">
        <v>172</v>
      </c>
      <c r="E680" s="35"/>
      <c r="F680" s="35"/>
      <c r="G680" s="35" t="s">
        <v>238</v>
      </c>
      <c r="H680" s="35" t="s">
        <v>2326</v>
      </c>
      <c r="I680" s="35" t="s">
        <v>2327</v>
      </c>
      <c r="J680" s="35"/>
      <c r="K680" s="35" t="s">
        <v>2328</v>
      </c>
      <c r="L680" s="35"/>
      <c r="M680" s="35"/>
      <c r="N680" s="35"/>
      <c r="O680" s="35"/>
    </row>
    <row r="681" spans="1:15" ht="15.75" customHeight="1">
      <c r="A681" s="35" t="s">
        <v>1873</v>
      </c>
      <c r="B681" s="35" t="s">
        <v>1858</v>
      </c>
      <c r="C681" s="35"/>
      <c r="D681" s="35" t="s">
        <v>172</v>
      </c>
      <c r="E681" s="35"/>
      <c r="F681" s="35"/>
      <c r="G681" s="35" t="s">
        <v>238</v>
      </c>
      <c r="H681" s="35" t="s">
        <v>2329</v>
      </c>
      <c r="I681" s="35" t="s">
        <v>2330</v>
      </c>
      <c r="J681" s="35"/>
      <c r="K681" s="35" t="s">
        <v>2331</v>
      </c>
      <c r="L681" s="35"/>
      <c r="M681" s="35"/>
      <c r="N681" s="35"/>
      <c r="O681" s="35"/>
    </row>
    <row r="682" spans="1:15" ht="15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</row>
    <row r="683" spans="1:15" ht="15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</row>
    <row r="684" spans="1:15" ht="15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</row>
    <row r="685" spans="1:15" ht="15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</row>
    <row r="686" spans="1:15" ht="15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</row>
    <row r="687" spans="1:15" ht="15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</row>
    <row r="688" spans="1:15" ht="15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</row>
    <row r="689" spans="1:15" ht="15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</row>
    <row r="690" spans="1:15" ht="15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</row>
    <row r="691" spans="1:15" ht="15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</row>
    <row r="692" spans="1:15" ht="15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</row>
    <row r="693" spans="1:15" ht="15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</row>
    <row r="694" spans="1:15" ht="15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</row>
    <row r="695" spans="1:15" ht="15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</row>
    <row r="696" spans="1:15" ht="15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</row>
    <row r="697" spans="1:15" ht="15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</row>
    <row r="698" spans="1:15" ht="15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</row>
    <row r="699" spans="1:15" ht="15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</row>
    <row r="700" spans="1:15" ht="15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</row>
    <row r="701" spans="1:15" ht="15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</row>
  </sheetData>
  <dataValidations count="3">
    <dataValidation type="list" errorStyle="warning" allowBlank="1" showErrorMessage="1" sqref="G2:G701">
      <formula1>"TRUE,FALSE,"</formula1>
    </dataValidation>
    <dataValidation type="list" allowBlank="1" showErrorMessage="1" sqref="D2:D681">
      <formula1>"REVENUE,EXPENDITURE,"</formula1>
    </dataValidation>
    <dataValidation type="custom" errorStyle="warning" allowBlank="1" showInputMessage="1" showErrorMessage="1" prompt="Enter text that contains" sqref="A2:A337 H348:H386">
      <formula1>ISNUMBER(SEARCH("", A2))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errorStyle="warning" allowBlank="1" showErrorMessage="1">
          <x14:formula1>
            <xm:f>[1]Template!#REF!</xm:f>
          </x14:formula1>
          <xm:sqref>E334:E681 B2:B681 E2:E332</xm:sqref>
        </x14:dataValidation>
        <x14:dataValidation type="list" errorStyle="warning" allowBlank="1" showInputMessage="1" showErrorMessage="1" prompt="validationFailed">
          <x14:formula1>
            <xm:f>[1]Template!#REF!</xm:f>
          </x14:formula1>
          <xm:sqref>E333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68"/>
  <sheetViews>
    <sheetView rightToLeft="1" topLeftCell="A44" workbookViewId="0">
      <selection activeCell="H59" sqref="H59"/>
    </sheetView>
  </sheetViews>
  <sheetFormatPr defaultColWidth="17.140625" defaultRowHeight="12.75" customHeight="1"/>
  <cols>
    <col min="1" max="1" width="6.28515625" style="25" customWidth="1"/>
    <col min="2" max="2" width="6.42578125" style="25" customWidth="1"/>
    <col min="3" max="3" width="12.5703125" style="25" bestFit="1" customWidth="1"/>
    <col min="4" max="4" width="16.140625" style="25" customWidth="1"/>
    <col min="5" max="5" width="12" style="25" customWidth="1"/>
    <col min="6" max="6" width="12.7109375" style="25" customWidth="1"/>
    <col min="7" max="7" width="17.42578125" style="25" customWidth="1"/>
    <col min="8" max="8" width="50.5703125" style="25" customWidth="1"/>
    <col min="9" max="9" width="67.85546875" style="25" customWidth="1"/>
    <col min="10" max="11" width="48.7109375" style="25" customWidth="1"/>
    <col min="12" max="12" width="76" style="25" customWidth="1"/>
    <col min="13" max="14" width="14.7109375" style="25" customWidth="1"/>
    <col min="15" max="15" width="13.5703125" style="25" customWidth="1"/>
    <col min="16" max="16384" width="17.140625" style="25"/>
  </cols>
  <sheetData>
    <row r="1" spans="1:15" ht="15.75" customHeight="1">
      <c r="A1" s="24" t="s">
        <v>34</v>
      </c>
      <c r="B1" s="24" t="s">
        <v>35</v>
      </c>
      <c r="C1" s="24" t="s">
        <v>36</v>
      </c>
      <c r="D1" s="24" t="s">
        <v>37</v>
      </c>
      <c r="E1" s="24" t="s">
        <v>38</v>
      </c>
      <c r="F1" s="24" t="s">
        <v>39</v>
      </c>
      <c r="G1" s="24" t="s">
        <v>40</v>
      </c>
      <c r="H1" s="24" t="s">
        <v>41</v>
      </c>
      <c r="I1" s="24" t="s">
        <v>42</v>
      </c>
      <c r="J1" s="24" t="s">
        <v>43</v>
      </c>
      <c r="K1" s="24" t="s">
        <v>44</v>
      </c>
      <c r="L1" s="24" t="s">
        <v>45</v>
      </c>
      <c r="M1" s="24" t="s">
        <v>46</v>
      </c>
      <c r="N1" s="24" t="s">
        <v>47</v>
      </c>
      <c r="O1" s="24" t="s">
        <v>48</v>
      </c>
    </row>
    <row r="2" spans="1:15" ht="15.75" customHeight="1">
      <c r="A2" s="26">
        <v>1</v>
      </c>
      <c r="B2" s="27"/>
      <c r="C2" s="27"/>
      <c r="D2" s="27" t="s">
        <v>49</v>
      </c>
      <c r="E2" s="27"/>
      <c r="F2" s="27"/>
      <c r="G2" s="27"/>
      <c r="H2" s="27" t="s">
        <v>50</v>
      </c>
      <c r="I2" s="27"/>
      <c r="J2" s="27"/>
      <c r="K2" s="27"/>
      <c r="L2" s="27"/>
      <c r="M2" s="27"/>
      <c r="N2" s="27"/>
      <c r="O2" s="27"/>
    </row>
    <row r="3" spans="1:15" ht="15.75" customHeight="1">
      <c r="A3" s="26">
        <v>11</v>
      </c>
      <c r="B3" s="27" t="s">
        <v>51</v>
      </c>
      <c r="C3" s="27"/>
      <c r="D3" s="27" t="s">
        <v>49</v>
      </c>
      <c r="E3" s="27"/>
      <c r="F3" s="27"/>
      <c r="G3" s="27"/>
      <c r="H3" s="27" t="s">
        <v>16</v>
      </c>
      <c r="I3" s="27"/>
      <c r="J3" s="27"/>
      <c r="K3" s="27"/>
      <c r="L3" s="27"/>
      <c r="M3" s="27"/>
      <c r="N3" s="27"/>
      <c r="O3" s="27"/>
    </row>
    <row r="4" spans="1:15" ht="15.75" customHeight="1">
      <c r="A4" s="26">
        <v>12</v>
      </c>
      <c r="B4" s="27" t="s">
        <v>51</v>
      </c>
      <c r="C4" s="27"/>
      <c r="D4" s="27" t="s">
        <v>49</v>
      </c>
      <c r="E4" s="27"/>
      <c r="F4" s="27"/>
      <c r="G4" s="27"/>
      <c r="H4" s="27" t="s">
        <v>52</v>
      </c>
      <c r="I4" s="27"/>
      <c r="J4" s="27"/>
      <c r="K4" s="27"/>
      <c r="L4" s="27"/>
      <c r="M4" s="27"/>
      <c r="N4" s="27"/>
      <c r="O4" s="27"/>
    </row>
    <row r="5" spans="1:15" ht="15.75" customHeight="1">
      <c r="A5" s="26">
        <v>13</v>
      </c>
      <c r="B5" s="27" t="s">
        <v>51</v>
      </c>
      <c r="C5" s="27"/>
      <c r="D5" s="27" t="s">
        <v>49</v>
      </c>
      <c r="E5" s="27"/>
      <c r="F5" s="27"/>
      <c r="G5" s="27"/>
      <c r="H5" s="27" t="s">
        <v>15</v>
      </c>
      <c r="I5" s="27"/>
      <c r="J5" s="27"/>
      <c r="K5" s="27"/>
      <c r="L5" s="27"/>
      <c r="M5" s="27"/>
      <c r="N5" s="27"/>
      <c r="O5" s="27"/>
    </row>
    <row r="6" spans="1:15" ht="15.75" customHeight="1">
      <c r="A6" s="26">
        <v>14</v>
      </c>
      <c r="B6" s="27" t="s">
        <v>51</v>
      </c>
      <c r="C6" s="27"/>
      <c r="D6" s="27" t="s">
        <v>49</v>
      </c>
      <c r="E6" s="27"/>
      <c r="F6" s="27"/>
      <c r="G6" s="27"/>
      <c r="H6" s="27" t="s">
        <v>53</v>
      </c>
      <c r="I6" s="27"/>
      <c r="J6" s="27"/>
      <c r="K6" s="27"/>
      <c r="L6" s="27"/>
      <c r="M6" s="27"/>
      <c r="N6" s="27"/>
      <c r="O6" s="27"/>
    </row>
    <row r="7" spans="1:15" ht="15.75" customHeight="1">
      <c r="A7" s="26">
        <v>18</v>
      </c>
      <c r="B7" s="27" t="s">
        <v>51</v>
      </c>
      <c r="C7" s="27"/>
      <c r="D7" s="27" t="s">
        <v>49</v>
      </c>
      <c r="E7" s="27"/>
      <c r="F7" s="27"/>
      <c r="G7" s="27"/>
      <c r="H7" s="27" t="s">
        <v>54</v>
      </c>
      <c r="I7" s="27"/>
      <c r="J7" s="27"/>
      <c r="K7" s="27"/>
      <c r="L7" s="27"/>
      <c r="M7" s="27"/>
      <c r="N7" s="27"/>
      <c r="O7" s="27"/>
    </row>
    <row r="8" spans="1:15" ht="15.75" customHeight="1">
      <c r="A8" s="26">
        <v>181</v>
      </c>
      <c r="B8" s="27" t="s">
        <v>55</v>
      </c>
      <c r="C8" s="27"/>
      <c r="D8" s="27" t="s">
        <v>49</v>
      </c>
      <c r="E8" s="27"/>
      <c r="F8" s="27"/>
      <c r="G8" s="27"/>
      <c r="H8" s="27" t="s">
        <v>56</v>
      </c>
      <c r="I8" s="27"/>
      <c r="J8" s="27"/>
      <c r="K8" s="27"/>
      <c r="L8" s="27"/>
      <c r="M8" s="27"/>
      <c r="N8" s="27"/>
      <c r="O8" s="27"/>
    </row>
    <row r="9" spans="1:15" ht="15.75" customHeight="1">
      <c r="A9" s="26">
        <v>182</v>
      </c>
      <c r="B9" s="27" t="s">
        <v>55</v>
      </c>
      <c r="C9" s="27"/>
      <c r="D9" s="27" t="s">
        <v>49</v>
      </c>
      <c r="E9" s="27"/>
      <c r="F9" s="27"/>
      <c r="G9" s="27"/>
      <c r="H9" s="27" t="s">
        <v>57</v>
      </c>
      <c r="I9" s="27"/>
      <c r="J9" s="27"/>
      <c r="K9" s="27"/>
      <c r="L9" s="27"/>
      <c r="M9" s="27"/>
      <c r="N9" s="27"/>
      <c r="O9" s="27"/>
    </row>
    <row r="10" spans="1:15" ht="15.75" customHeight="1">
      <c r="A10" s="26">
        <v>2</v>
      </c>
      <c r="B10" s="27"/>
      <c r="C10" s="27"/>
      <c r="D10" s="27" t="s">
        <v>49</v>
      </c>
      <c r="E10" s="27"/>
      <c r="F10" s="27"/>
      <c r="G10" s="27"/>
      <c r="H10" s="27" t="s">
        <v>58</v>
      </c>
      <c r="I10" s="27"/>
      <c r="J10" s="27"/>
      <c r="K10" s="27"/>
      <c r="L10" s="27"/>
      <c r="M10" s="27"/>
      <c r="N10" s="27"/>
      <c r="O10" s="27"/>
    </row>
    <row r="11" spans="1:15" ht="15.75" customHeight="1">
      <c r="A11" s="26">
        <v>21</v>
      </c>
      <c r="B11" s="27" t="s">
        <v>59</v>
      </c>
      <c r="C11" s="27"/>
      <c r="D11" s="27" t="s">
        <v>49</v>
      </c>
      <c r="E11" s="27"/>
      <c r="F11" s="27"/>
      <c r="G11" s="27"/>
      <c r="H11" s="27" t="s">
        <v>16</v>
      </c>
      <c r="I11" s="27"/>
      <c r="J11" s="27"/>
      <c r="K11" s="27"/>
      <c r="L11" s="27"/>
      <c r="M11" s="27"/>
      <c r="N11" s="27"/>
      <c r="O11" s="27"/>
    </row>
    <row r="12" spans="1:15" ht="15.75" customHeight="1">
      <c r="A12" s="26">
        <v>22</v>
      </c>
      <c r="B12" s="27" t="s">
        <v>59</v>
      </c>
      <c r="C12" s="27"/>
      <c r="D12" s="27" t="s">
        <v>49</v>
      </c>
      <c r="E12" s="27"/>
      <c r="F12" s="27"/>
      <c r="G12" s="27"/>
      <c r="H12" s="27" t="s">
        <v>52</v>
      </c>
      <c r="I12" s="27"/>
      <c r="J12" s="27"/>
      <c r="K12" s="27"/>
      <c r="L12" s="27"/>
      <c r="M12" s="27"/>
      <c r="N12" s="27"/>
      <c r="O12" s="27"/>
    </row>
    <row r="13" spans="1:15" ht="15.75" customHeight="1">
      <c r="A13" s="26">
        <v>23</v>
      </c>
      <c r="B13" s="27" t="s">
        <v>59</v>
      </c>
      <c r="C13" s="27"/>
      <c r="D13" s="27" t="s">
        <v>49</v>
      </c>
      <c r="E13" s="27"/>
      <c r="F13" s="27"/>
      <c r="G13" s="27"/>
      <c r="H13" s="27" t="s">
        <v>15</v>
      </c>
      <c r="I13" s="27"/>
      <c r="J13" s="27"/>
      <c r="K13" s="27"/>
      <c r="L13" s="27"/>
      <c r="M13" s="27"/>
      <c r="N13" s="27"/>
      <c r="O13" s="27"/>
    </row>
    <row r="14" spans="1:15" ht="15.75" customHeight="1">
      <c r="A14" s="26">
        <v>24</v>
      </c>
      <c r="B14" s="27" t="s">
        <v>59</v>
      </c>
      <c r="C14" s="27"/>
      <c r="D14" s="27" t="s">
        <v>49</v>
      </c>
      <c r="E14" s="27"/>
      <c r="F14" s="27"/>
      <c r="G14" s="27"/>
      <c r="H14" s="27" t="s">
        <v>53</v>
      </c>
      <c r="I14" s="27"/>
      <c r="J14" s="27"/>
      <c r="K14" s="27"/>
      <c r="L14" s="27"/>
      <c r="M14" s="27"/>
      <c r="N14" s="27"/>
      <c r="O14" s="27"/>
    </row>
    <row r="15" spans="1:15" ht="15.75" customHeight="1">
      <c r="A15" s="26">
        <v>28</v>
      </c>
      <c r="B15" s="27" t="s">
        <v>59</v>
      </c>
      <c r="C15" s="27"/>
      <c r="D15" s="27" t="s">
        <v>49</v>
      </c>
      <c r="E15" s="27"/>
      <c r="F15" s="27"/>
      <c r="G15" s="27"/>
      <c r="H15" s="27" t="s">
        <v>54</v>
      </c>
      <c r="I15" s="27"/>
      <c r="J15" s="27"/>
      <c r="K15" s="27"/>
      <c r="L15" s="27"/>
      <c r="M15" s="27"/>
      <c r="N15" s="27"/>
      <c r="O15" s="27"/>
    </row>
    <row r="16" spans="1:15" ht="15.75" customHeight="1">
      <c r="A16" s="26">
        <v>281</v>
      </c>
      <c r="B16" s="27" t="s">
        <v>60</v>
      </c>
      <c r="C16" s="27"/>
      <c r="D16" s="27" t="s">
        <v>49</v>
      </c>
      <c r="E16" s="27"/>
      <c r="F16" s="27"/>
      <c r="G16" s="27"/>
      <c r="H16" s="27" t="s">
        <v>56</v>
      </c>
      <c r="I16" s="27"/>
      <c r="J16" s="27"/>
      <c r="K16" s="27"/>
      <c r="L16" s="27"/>
      <c r="M16" s="27"/>
      <c r="N16" s="27"/>
      <c r="O16" s="27"/>
    </row>
    <row r="17" spans="1:15" ht="15.75" customHeight="1">
      <c r="A17" s="26">
        <v>282</v>
      </c>
      <c r="B17" s="27" t="s">
        <v>60</v>
      </c>
      <c r="C17" s="27"/>
      <c r="D17" s="27" t="s">
        <v>49</v>
      </c>
      <c r="E17" s="27"/>
      <c r="F17" s="27"/>
      <c r="G17" s="27"/>
      <c r="H17" s="27" t="s">
        <v>57</v>
      </c>
      <c r="I17" s="27"/>
      <c r="J17" s="27"/>
      <c r="K17" s="27"/>
      <c r="L17" s="27"/>
      <c r="M17" s="27"/>
      <c r="N17" s="27"/>
      <c r="O17" s="27"/>
    </row>
    <row r="18" spans="1:15" ht="15.75" customHeight="1">
      <c r="A18" s="26">
        <v>3</v>
      </c>
      <c r="B18" s="27"/>
      <c r="C18" s="27"/>
      <c r="D18" s="27" t="s">
        <v>49</v>
      </c>
      <c r="E18" s="27"/>
      <c r="F18" s="27"/>
      <c r="G18" s="27"/>
      <c r="H18" s="27" t="s">
        <v>61</v>
      </c>
      <c r="I18" s="27"/>
      <c r="J18" s="27"/>
      <c r="K18" s="27"/>
      <c r="L18" s="27"/>
      <c r="M18" s="27"/>
      <c r="N18" s="27"/>
      <c r="O18" s="27"/>
    </row>
    <row r="19" spans="1:15" ht="15.75" customHeight="1">
      <c r="A19" s="26">
        <v>31</v>
      </c>
      <c r="B19" s="27" t="s">
        <v>62</v>
      </c>
      <c r="C19" s="27"/>
      <c r="D19" s="27" t="s">
        <v>49</v>
      </c>
      <c r="E19" s="27"/>
      <c r="F19" s="27"/>
      <c r="G19" s="27"/>
      <c r="H19" s="27" t="s">
        <v>63</v>
      </c>
      <c r="I19" s="27"/>
      <c r="J19" s="27"/>
      <c r="K19" s="27"/>
      <c r="L19" s="27"/>
      <c r="M19" s="27"/>
      <c r="N19" s="27"/>
      <c r="O19" s="27"/>
    </row>
    <row r="20" spans="1:15" ht="15.75" customHeight="1">
      <c r="A20" s="26">
        <v>32</v>
      </c>
      <c r="B20" s="27" t="s">
        <v>62</v>
      </c>
      <c r="C20" s="27"/>
      <c r="D20" s="27" t="s">
        <v>49</v>
      </c>
      <c r="E20" s="27"/>
      <c r="F20" s="27"/>
      <c r="G20" s="27"/>
      <c r="H20" s="27" t="s">
        <v>64</v>
      </c>
      <c r="I20" s="27"/>
      <c r="J20" s="27"/>
      <c r="K20" s="27"/>
      <c r="L20" s="27"/>
      <c r="M20" s="27"/>
      <c r="N20" s="27"/>
      <c r="O20" s="27"/>
    </row>
    <row r="21" spans="1:15" ht="15.75" customHeight="1">
      <c r="A21" s="26">
        <v>391</v>
      </c>
      <c r="B21" s="27" t="s">
        <v>62</v>
      </c>
      <c r="C21" s="27"/>
      <c r="D21" s="27" t="s">
        <v>49</v>
      </c>
      <c r="E21" s="27"/>
      <c r="F21" s="27"/>
      <c r="G21" s="27"/>
      <c r="H21" s="27" t="s">
        <v>65</v>
      </c>
      <c r="I21" s="27"/>
      <c r="J21" s="27"/>
      <c r="K21" s="27"/>
      <c r="L21" s="27"/>
      <c r="M21" s="27"/>
      <c r="N21" s="27"/>
      <c r="O21" s="27"/>
    </row>
    <row r="22" spans="1:15" ht="15.75" customHeight="1">
      <c r="A22" s="26">
        <v>4</v>
      </c>
      <c r="B22" s="27"/>
      <c r="C22" s="27"/>
      <c r="D22" s="27" t="s">
        <v>49</v>
      </c>
      <c r="E22" s="27"/>
      <c r="F22" s="27"/>
      <c r="G22" s="27"/>
      <c r="H22" s="27" t="s">
        <v>66</v>
      </c>
      <c r="I22" s="27"/>
      <c r="J22" s="27"/>
      <c r="K22" s="27"/>
      <c r="L22" s="27"/>
      <c r="M22" s="27"/>
      <c r="N22" s="27"/>
      <c r="O22" s="27"/>
    </row>
    <row r="23" spans="1:15" ht="15.75" customHeight="1">
      <c r="A23" s="26">
        <v>41</v>
      </c>
      <c r="B23" s="27" t="s">
        <v>67</v>
      </c>
      <c r="C23" s="27"/>
      <c r="D23" s="27" t="s">
        <v>49</v>
      </c>
      <c r="E23" s="27"/>
      <c r="F23" s="27"/>
      <c r="G23" s="27"/>
      <c r="H23" s="27" t="s">
        <v>68</v>
      </c>
      <c r="I23" s="27"/>
      <c r="J23" s="27"/>
      <c r="K23" s="27"/>
      <c r="L23" s="27"/>
      <c r="M23" s="27"/>
      <c r="N23" s="27"/>
      <c r="O23" s="27"/>
    </row>
    <row r="24" spans="1:15" ht="15.75" customHeight="1">
      <c r="A24" s="26">
        <v>42</v>
      </c>
      <c r="B24" s="27" t="s">
        <v>67</v>
      </c>
      <c r="C24" s="27"/>
      <c r="D24" s="27" t="s">
        <v>49</v>
      </c>
      <c r="E24" s="27"/>
      <c r="F24" s="27"/>
      <c r="G24" s="27"/>
      <c r="H24" s="27" t="s">
        <v>69</v>
      </c>
      <c r="I24" s="27"/>
      <c r="J24" s="27"/>
      <c r="K24" s="27"/>
      <c r="L24" s="27"/>
      <c r="M24" s="27"/>
      <c r="N24" s="27"/>
      <c r="O24" s="27"/>
    </row>
    <row r="25" spans="1:15" ht="15.75" customHeight="1">
      <c r="A25" s="26">
        <v>421</v>
      </c>
      <c r="B25" s="27" t="s">
        <v>70</v>
      </c>
      <c r="C25" s="27"/>
      <c r="D25" s="27" t="s">
        <v>49</v>
      </c>
      <c r="E25" s="27"/>
      <c r="F25" s="27"/>
      <c r="G25" s="27"/>
      <c r="H25" s="27" t="s">
        <v>71</v>
      </c>
      <c r="I25" s="27"/>
      <c r="J25" s="27"/>
      <c r="K25" s="27"/>
      <c r="L25" s="27"/>
      <c r="M25" s="27"/>
      <c r="N25" s="27"/>
      <c r="O25" s="27"/>
    </row>
    <row r="26" spans="1:15" ht="15.75" customHeight="1">
      <c r="A26" s="26">
        <v>422</v>
      </c>
      <c r="B26" s="27" t="s">
        <v>70</v>
      </c>
      <c r="C26" s="27"/>
      <c r="D26" s="27" t="s">
        <v>49</v>
      </c>
      <c r="E26" s="27"/>
      <c r="F26" s="27"/>
      <c r="G26" s="27"/>
      <c r="H26" s="27" t="s">
        <v>72</v>
      </c>
      <c r="I26" s="27"/>
      <c r="J26" s="27"/>
      <c r="K26" s="27"/>
      <c r="L26" s="27"/>
      <c r="M26" s="27"/>
      <c r="N26" s="27"/>
      <c r="O26" s="27"/>
    </row>
    <row r="27" spans="1:15" ht="15.75" customHeight="1">
      <c r="A27" s="26">
        <v>43</v>
      </c>
      <c r="B27" s="27" t="s">
        <v>67</v>
      </c>
      <c r="C27" s="27"/>
      <c r="D27" s="27" t="s">
        <v>49</v>
      </c>
      <c r="E27" s="27"/>
      <c r="F27" s="27"/>
      <c r="G27" s="27"/>
      <c r="H27" s="27" t="s">
        <v>73</v>
      </c>
      <c r="I27" s="27"/>
      <c r="J27" s="27"/>
      <c r="K27" s="27"/>
      <c r="L27" s="27"/>
      <c r="M27" s="27"/>
      <c r="N27" s="27"/>
      <c r="O27" s="27"/>
    </row>
    <row r="28" spans="1:15" ht="15.75" customHeight="1">
      <c r="A28" s="26">
        <v>431</v>
      </c>
      <c r="B28" s="27" t="s">
        <v>74</v>
      </c>
      <c r="C28" s="27"/>
      <c r="D28" s="27" t="s">
        <v>49</v>
      </c>
      <c r="E28" s="27"/>
      <c r="F28" s="27"/>
      <c r="G28" s="27"/>
      <c r="H28" s="27" t="s">
        <v>75</v>
      </c>
      <c r="I28" s="27"/>
      <c r="J28" s="27"/>
      <c r="K28" s="27"/>
      <c r="L28" s="27"/>
      <c r="M28" s="27"/>
      <c r="N28" s="27"/>
      <c r="O28" s="27"/>
    </row>
    <row r="29" spans="1:15" ht="15.75" customHeight="1">
      <c r="A29" s="26">
        <v>432</v>
      </c>
      <c r="B29" s="27" t="s">
        <v>74</v>
      </c>
      <c r="C29" s="27"/>
      <c r="D29" s="27" t="s">
        <v>49</v>
      </c>
      <c r="E29" s="27"/>
      <c r="F29" s="27"/>
      <c r="G29" s="27"/>
      <c r="H29" s="27" t="s">
        <v>76</v>
      </c>
      <c r="I29" s="27"/>
      <c r="J29" s="27"/>
      <c r="K29" s="27"/>
      <c r="L29" s="27"/>
      <c r="M29" s="27"/>
      <c r="N29" s="27"/>
      <c r="O29" s="27"/>
    </row>
    <row r="30" spans="1:15" ht="15.75" customHeight="1">
      <c r="A30" s="26">
        <v>433</v>
      </c>
      <c r="B30" s="27" t="s">
        <v>74</v>
      </c>
      <c r="C30" s="27"/>
      <c r="D30" s="27" t="s">
        <v>49</v>
      </c>
      <c r="E30" s="27"/>
      <c r="F30" s="27"/>
      <c r="G30" s="27"/>
      <c r="H30" s="27" t="s">
        <v>77</v>
      </c>
      <c r="I30" s="27"/>
      <c r="J30" s="27"/>
      <c r="K30" s="27"/>
      <c r="L30" s="27"/>
      <c r="M30" s="27"/>
      <c r="N30" s="27"/>
      <c r="O30" s="27"/>
    </row>
    <row r="31" spans="1:15" ht="15.75" customHeight="1">
      <c r="A31" s="26">
        <v>434</v>
      </c>
      <c r="B31" s="27" t="s">
        <v>74</v>
      </c>
      <c r="C31" s="27"/>
      <c r="D31" s="27" t="s">
        <v>49</v>
      </c>
      <c r="E31" s="27"/>
      <c r="F31" s="27"/>
      <c r="G31" s="27"/>
      <c r="H31" s="27" t="s">
        <v>78</v>
      </c>
      <c r="I31" s="27"/>
      <c r="J31" s="27"/>
      <c r="K31" s="27"/>
      <c r="L31" s="27"/>
      <c r="M31" s="27"/>
      <c r="N31" s="27"/>
      <c r="O31" s="27"/>
    </row>
    <row r="32" spans="1:15" ht="15.75" customHeight="1">
      <c r="A32" s="26">
        <v>44</v>
      </c>
      <c r="B32" s="27" t="s">
        <v>67</v>
      </c>
      <c r="C32" s="27"/>
      <c r="D32" s="27" t="s">
        <v>49</v>
      </c>
      <c r="E32" s="27"/>
      <c r="F32" s="27"/>
      <c r="G32" s="27"/>
      <c r="H32" s="27" t="s">
        <v>18</v>
      </c>
      <c r="I32" s="27"/>
      <c r="J32" s="27"/>
      <c r="K32" s="27"/>
      <c r="L32" s="27"/>
      <c r="M32" s="27"/>
      <c r="N32" s="27"/>
      <c r="O32" s="27"/>
    </row>
    <row r="33" spans="1:15" ht="15.75" customHeight="1">
      <c r="A33" s="28">
        <v>441</v>
      </c>
      <c r="B33" s="27" t="s">
        <v>79</v>
      </c>
      <c r="C33" s="27"/>
      <c r="D33" s="27" t="s">
        <v>49</v>
      </c>
      <c r="E33" s="27"/>
      <c r="F33" s="27"/>
      <c r="G33" s="27"/>
      <c r="H33" s="27" t="s">
        <v>18</v>
      </c>
      <c r="I33" s="27"/>
      <c r="J33" s="27"/>
      <c r="K33" s="27"/>
      <c r="L33" s="27"/>
      <c r="M33" s="27"/>
      <c r="N33" s="27"/>
      <c r="O33" s="27"/>
    </row>
    <row r="34" spans="1:15" ht="15.75" customHeight="1">
      <c r="A34" s="28">
        <v>442</v>
      </c>
      <c r="B34" s="27" t="s">
        <v>79</v>
      </c>
      <c r="C34" s="27"/>
      <c r="D34" s="27" t="s">
        <v>49</v>
      </c>
      <c r="E34" s="27"/>
      <c r="F34" s="27"/>
      <c r="G34" s="27"/>
      <c r="H34" s="27" t="s">
        <v>80</v>
      </c>
      <c r="I34" s="27"/>
      <c r="J34" s="27"/>
      <c r="K34" s="27"/>
      <c r="L34" s="27"/>
      <c r="M34" s="27"/>
      <c r="N34" s="27"/>
      <c r="O34" s="27"/>
    </row>
    <row r="35" spans="1:15" ht="15.75" customHeight="1">
      <c r="A35" s="28">
        <v>443</v>
      </c>
      <c r="B35" s="27" t="s">
        <v>79</v>
      </c>
      <c r="C35" s="27"/>
      <c r="D35" s="27" t="s">
        <v>49</v>
      </c>
      <c r="E35" s="27"/>
      <c r="F35" s="27"/>
      <c r="G35" s="27"/>
      <c r="H35" s="27" t="s">
        <v>81</v>
      </c>
      <c r="I35" s="27"/>
      <c r="J35" s="27"/>
      <c r="K35" s="27"/>
      <c r="L35" s="27"/>
      <c r="M35" s="27"/>
      <c r="N35" s="27"/>
      <c r="O35" s="27"/>
    </row>
    <row r="36" spans="1:15" ht="15.75" customHeight="1">
      <c r="A36" s="28">
        <v>45</v>
      </c>
      <c r="B36" s="27" t="s">
        <v>67</v>
      </c>
      <c r="C36" s="27"/>
      <c r="D36" s="27" t="s">
        <v>49</v>
      </c>
      <c r="E36" s="27"/>
      <c r="F36" s="27"/>
      <c r="G36" s="27"/>
      <c r="H36" s="27" t="s">
        <v>82</v>
      </c>
      <c r="I36" s="27"/>
      <c r="J36" s="27"/>
      <c r="K36" s="27"/>
      <c r="L36" s="27"/>
      <c r="M36" s="27"/>
      <c r="N36" s="27"/>
      <c r="O36" s="27"/>
    </row>
    <row r="37" spans="1:15" ht="15.75" customHeight="1">
      <c r="A37" s="26">
        <v>47</v>
      </c>
      <c r="B37" s="27" t="s">
        <v>67</v>
      </c>
      <c r="C37" s="27"/>
      <c r="D37" s="27" t="s">
        <v>49</v>
      </c>
      <c r="E37" s="27"/>
      <c r="F37" s="27"/>
      <c r="G37" s="27"/>
      <c r="H37" s="27" t="s">
        <v>83</v>
      </c>
      <c r="I37" s="27"/>
      <c r="J37" s="27"/>
      <c r="K37" s="27"/>
      <c r="L37" s="27"/>
      <c r="M37" s="27"/>
      <c r="N37" s="27"/>
      <c r="O37" s="27"/>
    </row>
    <row r="38" spans="1:15" ht="15.75" customHeight="1">
      <c r="A38" s="26">
        <v>492</v>
      </c>
      <c r="B38" s="27" t="s">
        <v>67</v>
      </c>
      <c r="C38" s="27"/>
      <c r="D38" s="27" t="s">
        <v>49</v>
      </c>
      <c r="E38" s="27"/>
      <c r="F38" s="27"/>
      <c r="G38" s="27"/>
      <c r="H38" s="27" t="s">
        <v>84</v>
      </c>
      <c r="I38" s="27"/>
      <c r="J38" s="27"/>
      <c r="K38" s="27"/>
      <c r="L38" s="27"/>
      <c r="M38" s="27"/>
      <c r="N38" s="27"/>
      <c r="O38" s="27"/>
    </row>
    <row r="39" spans="1:15" ht="15.75" customHeight="1">
      <c r="A39" s="26">
        <v>5</v>
      </c>
      <c r="B39" s="27"/>
      <c r="C39" s="27"/>
      <c r="D39" s="27" t="s">
        <v>49</v>
      </c>
      <c r="E39" s="27"/>
      <c r="F39" s="27"/>
      <c r="G39" s="27"/>
      <c r="H39" s="25" t="s">
        <v>85</v>
      </c>
      <c r="I39" s="27"/>
      <c r="J39" s="27"/>
      <c r="K39" s="27"/>
      <c r="L39" s="27"/>
      <c r="M39" s="27"/>
      <c r="N39" s="27"/>
      <c r="O39" s="27"/>
    </row>
    <row r="40" spans="1:15" ht="15.75" customHeight="1">
      <c r="A40" s="26">
        <v>51</v>
      </c>
      <c r="B40" s="27" t="s">
        <v>86</v>
      </c>
      <c r="C40" s="27"/>
      <c r="D40" s="27" t="s">
        <v>49</v>
      </c>
      <c r="E40" s="27"/>
      <c r="F40" s="27"/>
      <c r="G40" s="27"/>
      <c r="H40" s="25" t="s">
        <v>87</v>
      </c>
      <c r="I40" s="27"/>
      <c r="J40" s="27"/>
      <c r="K40" s="27"/>
      <c r="L40" s="27"/>
      <c r="M40" s="27"/>
      <c r="N40" s="27"/>
      <c r="O40" s="27"/>
    </row>
    <row r="41" spans="1:15" ht="15.75" customHeight="1">
      <c r="A41" s="26">
        <v>511</v>
      </c>
      <c r="B41" s="27" t="s">
        <v>88</v>
      </c>
      <c r="C41" s="27"/>
      <c r="D41" s="27" t="s">
        <v>49</v>
      </c>
      <c r="E41" s="27"/>
      <c r="F41" s="27"/>
      <c r="G41" s="27"/>
      <c r="H41" s="25" t="s">
        <v>89</v>
      </c>
      <c r="I41" s="27"/>
      <c r="J41" s="27"/>
      <c r="K41" s="27"/>
      <c r="L41" s="27"/>
      <c r="M41" s="27"/>
      <c r="N41" s="27"/>
      <c r="O41" s="27"/>
    </row>
    <row r="42" spans="1:15" ht="15.75" customHeight="1">
      <c r="A42" s="26">
        <v>512</v>
      </c>
      <c r="B42" s="27" t="s">
        <v>88</v>
      </c>
      <c r="C42" s="27"/>
      <c r="D42" s="27" t="s">
        <v>49</v>
      </c>
      <c r="E42" s="27"/>
      <c r="F42" s="27"/>
      <c r="G42" s="27"/>
      <c r="H42" s="25" t="s">
        <v>90</v>
      </c>
      <c r="I42" s="27"/>
      <c r="J42" s="27"/>
      <c r="K42" s="27"/>
      <c r="L42" s="27"/>
      <c r="M42" s="27"/>
      <c r="N42" s="27"/>
      <c r="O42" s="27"/>
    </row>
    <row r="43" spans="1:15" ht="15.75" customHeight="1">
      <c r="A43" s="26">
        <v>513</v>
      </c>
      <c r="B43" s="27" t="s">
        <v>88</v>
      </c>
      <c r="C43" s="27"/>
      <c r="D43" s="27" t="s">
        <v>49</v>
      </c>
      <c r="E43" s="27"/>
      <c r="F43" s="27"/>
      <c r="G43" s="27"/>
      <c r="H43" s="25" t="s">
        <v>91</v>
      </c>
      <c r="I43" s="27"/>
      <c r="J43" s="27"/>
      <c r="K43" s="27"/>
      <c r="L43" s="27"/>
      <c r="M43" s="27"/>
      <c r="N43" s="27"/>
      <c r="O43" s="27"/>
    </row>
    <row r="44" spans="1:15" ht="15.75" customHeight="1">
      <c r="A44" s="26">
        <v>514</v>
      </c>
      <c r="B44" s="27" t="s">
        <v>88</v>
      </c>
      <c r="C44" s="27"/>
      <c r="D44" s="27" t="s">
        <v>49</v>
      </c>
      <c r="E44" s="27"/>
      <c r="F44" s="27"/>
      <c r="G44" s="27"/>
      <c r="H44" s="25" t="s">
        <v>92</v>
      </c>
      <c r="I44" s="27"/>
      <c r="J44" s="27"/>
      <c r="K44" s="27"/>
      <c r="L44" s="27"/>
      <c r="M44" s="27"/>
      <c r="N44" s="27"/>
      <c r="O44" s="27"/>
    </row>
    <row r="45" spans="1:15" ht="15.75" customHeight="1">
      <c r="A45" s="26">
        <v>52</v>
      </c>
      <c r="B45" s="27" t="s">
        <v>86</v>
      </c>
      <c r="C45" s="27"/>
      <c r="D45" s="27" t="s">
        <v>49</v>
      </c>
      <c r="E45" s="27"/>
      <c r="F45" s="27"/>
      <c r="G45" s="27"/>
      <c r="H45" s="25" t="s">
        <v>93</v>
      </c>
      <c r="I45" s="27"/>
      <c r="J45" s="27"/>
      <c r="K45" s="27"/>
      <c r="L45" s="27"/>
      <c r="M45" s="27"/>
      <c r="N45" s="27"/>
      <c r="O45" s="27"/>
    </row>
    <row r="46" spans="1:15" ht="15.75" customHeight="1">
      <c r="A46" s="26">
        <v>521</v>
      </c>
      <c r="B46" s="27" t="s">
        <v>94</v>
      </c>
      <c r="C46" s="27"/>
      <c r="D46" s="27" t="s">
        <v>49</v>
      </c>
      <c r="E46" s="27"/>
      <c r="F46" s="27"/>
      <c r="G46" s="27"/>
      <c r="H46" s="25" t="s">
        <v>93</v>
      </c>
      <c r="I46" s="27"/>
      <c r="J46" s="27"/>
      <c r="K46" s="27"/>
      <c r="L46" s="27"/>
      <c r="M46" s="27"/>
      <c r="N46" s="27"/>
      <c r="O46" s="27"/>
    </row>
    <row r="47" spans="1:15" ht="15.75" customHeight="1">
      <c r="A47" s="26">
        <v>522</v>
      </c>
      <c r="B47" s="27" t="s">
        <v>94</v>
      </c>
      <c r="C47" s="27"/>
      <c r="D47" s="27" t="s">
        <v>49</v>
      </c>
      <c r="E47" s="27"/>
      <c r="F47" s="27"/>
      <c r="G47" s="27"/>
      <c r="H47" s="25" t="s">
        <v>95</v>
      </c>
      <c r="I47" s="27"/>
      <c r="J47" s="27"/>
      <c r="K47" s="27"/>
      <c r="L47" s="27"/>
      <c r="M47" s="27"/>
      <c r="N47" s="27"/>
      <c r="O47" s="27"/>
    </row>
    <row r="48" spans="1:15" ht="15.75" customHeight="1">
      <c r="A48" s="26">
        <v>523</v>
      </c>
      <c r="B48" s="27" t="s">
        <v>94</v>
      </c>
      <c r="C48" s="27"/>
      <c r="D48" s="27" t="s">
        <v>49</v>
      </c>
      <c r="E48" s="27"/>
      <c r="F48" s="27"/>
      <c r="G48" s="27"/>
      <c r="H48" s="25" t="s">
        <v>96</v>
      </c>
      <c r="I48" s="27"/>
      <c r="J48" s="27"/>
      <c r="K48" s="27"/>
      <c r="L48" s="27"/>
      <c r="M48" s="27"/>
      <c r="N48" s="27"/>
      <c r="O48" s="27"/>
    </row>
    <row r="49" spans="1:15" ht="15.75" customHeight="1">
      <c r="A49" s="26">
        <v>53</v>
      </c>
      <c r="B49" s="27" t="s">
        <v>86</v>
      </c>
      <c r="C49" s="27"/>
      <c r="D49" s="27" t="s">
        <v>49</v>
      </c>
      <c r="E49" s="27"/>
      <c r="F49" s="27"/>
      <c r="G49" s="27"/>
      <c r="H49" s="25" t="s">
        <v>97</v>
      </c>
      <c r="I49" s="27"/>
      <c r="J49" s="27"/>
      <c r="K49" s="27"/>
      <c r="L49" s="27"/>
      <c r="M49" s="27"/>
      <c r="N49" s="27"/>
      <c r="O49" s="27"/>
    </row>
    <row r="50" spans="1:15" ht="15.75" customHeight="1">
      <c r="A50" s="26">
        <v>531</v>
      </c>
      <c r="B50" s="27" t="s">
        <v>98</v>
      </c>
      <c r="C50" s="27"/>
      <c r="D50" s="27" t="s">
        <v>49</v>
      </c>
      <c r="E50" s="27"/>
      <c r="F50" s="27"/>
      <c r="G50" s="27"/>
      <c r="H50" s="25" t="s">
        <v>99</v>
      </c>
      <c r="I50" s="27"/>
      <c r="J50" s="27"/>
      <c r="K50" s="27"/>
      <c r="L50" s="27"/>
      <c r="M50" s="27"/>
      <c r="N50" s="27"/>
      <c r="O50" s="27"/>
    </row>
    <row r="51" spans="1:15" ht="15.75" customHeight="1">
      <c r="A51" s="26">
        <v>532</v>
      </c>
      <c r="B51" s="27" t="s">
        <v>98</v>
      </c>
      <c r="C51" s="27"/>
      <c r="D51" s="27" t="s">
        <v>49</v>
      </c>
      <c r="E51" s="27"/>
      <c r="F51" s="27"/>
      <c r="G51" s="27"/>
      <c r="H51" s="25" t="s">
        <v>100</v>
      </c>
      <c r="I51" s="27"/>
      <c r="J51" s="27"/>
      <c r="K51" s="27"/>
      <c r="L51" s="27"/>
      <c r="M51" s="27"/>
      <c r="N51" s="27"/>
      <c r="O51" s="27"/>
    </row>
    <row r="52" spans="1:15" ht="15.75" customHeight="1">
      <c r="A52" s="26">
        <v>533</v>
      </c>
      <c r="B52" s="27" t="s">
        <v>98</v>
      </c>
      <c r="C52" s="27"/>
      <c r="D52" s="27" t="s">
        <v>49</v>
      </c>
      <c r="E52" s="27"/>
      <c r="F52" s="27"/>
      <c r="G52" s="27"/>
      <c r="H52" s="25" t="s">
        <v>101</v>
      </c>
      <c r="I52" s="27"/>
      <c r="J52" s="27"/>
      <c r="K52" s="27"/>
      <c r="L52" s="27"/>
      <c r="M52" s="27"/>
      <c r="N52" s="27"/>
      <c r="O52" s="27"/>
    </row>
    <row r="53" spans="1:15" ht="15.75" customHeight="1">
      <c r="A53" s="26">
        <v>535</v>
      </c>
      <c r="B53" s="27" t="s">
        <v>98</v>
      </c>
      <c r="C53" s="27"/>
      <c r="D53" s="27" t="s">
        <v>49</v>
      </c>
      <c r="E53" s="27"/>
      <c r="F53" s="27"/>
      <c r="G53" s="27"/>
      <c r="H53" s="25" t="s">
        <v>102</v>
      </c>
      <c r="I53" s="27"/>
      <c r="J53" s="27"/>
      <c r="K53" s="27"/>
      <c r="L53" s="27"/>
      <c r="M53" s="27"/>
      <c r="N53" s="27"/>
      <c r="O53" s="27"/>
    </row>
    <row r="54" spans="1:15" ht="15.75" customHeight="1">
      <c r="A54" s="26">
        <v>54</v>
      </c>
      <c r="B54" s="27" t="s">
        <v>86</v>
      </c>
      <c r="C54" s="27"/>
      <c r="D54" s="27" t="s">
        <v>49</v>
      </c>
      <c r="E54" s="27"/>
      <c r="F54" s="27"/>
      <c r="G54" s="27"/>
      <c r="H54" s="25" t="s">
        <v>103</v>
      </c>
      <c r="I54" s="27"/>
      <c r="J54" s="27"/>
      <c r="K54" s="27"/>
      <c r="L54" s="27"/>
      <c r="M54" s="27"/>
      <c r="N54" s="27"/>
      <c r="O54" s="27"/>
    </row>
    <row r="55" spans="1:15" ht="15.75" customHeight="1">
      <c r="A55" s="26">
        <v>55</v>
      </c>
      <c r="B55" s="27" t="s">
        <v>86</v>
      </c>
      <c r="C55" s="27"/>
      <c r="D55" s="27" t="s">
        <v>49</v>
      </c>
      <c r="E55" s="27"/>
      <c r="F55" s="27"/>
      <c r="G55" s="27"/>
      <c r="H55" s="25" t="s">
        <v>104</v>
      </c>
      <c r="I55" s="27"/>
      <c r="J55" s="27"/>
      <c r="K55" s="27"/>
      <c r="L55" s="27"/>
      <c r="M55" s="27"/>
      <c r="N55" s="27"/>
      <c r="O55" s="27"/>
    </row>
    <row r="56" spans="1:15" ht="15.75" customHeight="1">
      <c r="A56" s="26">
        <v>56</v>
      </c>
      <c r="B56" s="27" t="s">
        <v>86</v>
      </c>
      <c r="C56" s="27"/>
      <c r="D56" s="27" t="s">
        <v>49</v>
      </c>
      <c r="E56" s="27"/>
      <c r="F56" s="27"/>
      <c r="G56" s="27"/>
      <c r="H56" s="25" t="s">
        <v>105</v>
      </c>
      <c r="I56" s="27"/>
      <c r="J56" s="27"/>
      <c r="K56" s="27"/>
      <c r="L56" s="27"/>
      <c r="M56" s="27"/>
      <c r="N56" s="27"/>
      <c r="O56" s="27"/>
    </row>
    <row r="57" spans="1:15" ht="15.75" customHeight="1">
      <c r="A57" s="26">
        <v>57</v>
      </c>
      <c r="B57" s="27" t="s">
        <v>86</v>
      </c>
      <c r="C57" s="27"/>
      <c r="D57" s="27" t="s">
        <v>49</v>
      </c>
      <c r="E57" s="27"/>
      <c r="F57" s="27"/>
      <c r="G57" s="27"/>
      <c r="H57" s="25" t="s">
        <v>106</v>
      </c>
      <c r="I57" s="27"/>
      <c r="J57" s="27"/>
      <c r="K57" s="27"/>
      <c r="L57" s="27"/>
      <c r="M57" s="27"/>
      <c r="N57" s="27"/>
      <c r="O57" s="27"/>
    </row>
    <row r="58" spans="1:15" ht="15.75" customHeight="1">
      <c r="A58" s="26">
        <v>58</v>
      </c>
      <c r="B58" s="27" t="s">
        <v>86</v>
      </c>
      <c r="C58" s="27"/>
      <c r="D58" s="27" t="s">
        <v>49</v>
      </c>
      <c r="E58" s="27"/>
      <c r="F58" s="27"/>
      <c r="G58" s="27"/>
      <c r="H58" s="25" t="s">
        <v>107</v>
      </c>
      <c r="I58" s="27"/>
      <c r="J58" s="27"/>
      <c r="K58" s="27"/>
      <c r="L58" s="27"/>
      <c r="M58" s="27"/>
      <c r="N58" s="27"/>
      <c r="O58" s="27"/>
    </row>
    <row r="59" spans="1:15" ht="15.75" customHeight="1">
      <c r="A59" s="26">
        <v>581</v>
      </c>
      <c r="B59" s="27" t="s">
        <v>108</v>
      </c>
      <c r="C59" s="27"/>
      <c r="D59" s="27" t="s">
        <v>49</v>
      </c>
      <c r="E59" s="27"/>
      <c r="F59" s="27"/>
      <c r="G59" s="27"/>
      <c r="H59" s="25" t="s">
        <v>109</v>
      </c>
      <c r="I59" s="27"/>
      <c r="J59" s="27"/>
      <c r="K59" s="27"/>
      <c r="L59" s="27"/>
      <c r="M59" s="27"/>
      <c r="N59" s="27"/>
      <c r="O59" s="27"/>
    </row>
    <row r="60" spans="1:15" ht="15.75" customHeight="1">
      <c r="A60" s="26">
        <v>59</v>
      </c>
      <c r="B60" s="27" t="s">
        <v>86</v>
      </c>
      <c r="C60" s="27"/>
      <c r="D60" s="27" t="s">
        <v>49</v>
      </c>
      <c r="E60" s="27"/>
      <c r="F60" s="27"/>
      <c r="G60" s="27"/>
      <c r="H60" s="25" t="s">
        <v>84</v>
      </c>
      <c r="I60" s="27"/>
      <c r="J60" s="27"/>
      <c r="K60" s="27"/>
      <c r="L60" s="27"/>
      <c r="M60" s="27"/>
      <c r="N60" s="27"/>
      <c r="O60" s="27"/>
    </row>
    <row r="61" spans="1:15" ht="15.75" customHeight="1">
      <c r="A61" s="26">
        <v>593</v>
      </c>
      <c r="B61" s="27" t="s">
        <v>110</v>
      </c>
      <c r="C61" s="27"/>
      <c r="D61" s="27" t="s">
        <v>49</v>
      </c>
      <c r="E61" s="27"/>
      <c r="F61" s="27"/>
      <c r="G61" s="27"/>
      <c r="H61" s="25" t="s">
        <v>111</v>
      </c>
      <c r="I61" s="27"/>
      <c r="J61" s="27"/>
      <c r="K61" s="27"/>
      <c r="L61" s="27"/>
      <c r="M61" s="27"/>
      <c r="N61" s="27"/>
      <c r="O61" s="27"/>
    </row>
    <row r="62" spans="1:15" ht="15.75" customHeight="1">
      <c r="A62" s="26">
        <v>596</v>
      </c>
      <c r="B62" s="27" t="s">
        <v>110</v>
      </c>
      <c r="C62" s="27"/>
      <c r="D62" s="27" t="s">
        <v>49</v>
      </c>
      <c r="E62" s="27"/>
      <c r="F62" s="27"/>
      <c r="G62" s="27"/>
      <c r="H62" s="25" t="s">
        <v>112</v>
      </c>
      <c r="I62" s="27"/>
      <c r="J62" s="27"/>
      <c r="K62" s="27"/>
      <c r="L62" s="27"/>
      <c r="M62" s="27"/>
      <c r="N62" s="27"/>
      <c r="O62" s="27"/>
    </row>
    <row r="63" spans="1:15" ht="15.75" customHeight="1">
      <c r="A63" s="26">
        <v>597</v>
      </c>
      <c r="B63" s="27" t="s">
        <v>110</v>
      </c>
      <c r="C63" s="27"/>
      <c r="D63" s="27" t="s">
        <v>49</v>
      </c>
      <c r="E63" s="27"/>
      <c r="F63" s="27"/>
      <c r="G63" s="27"/>
      <c r="H63" s="25" t="s">
        <v>113</v>
      </c>
      <c r="I63" s="27"/>
      <c r="J63" s="27"/>
      <c r="K63" s="27"/>
      <c r="L63" s="27"/>
      <c r="M63" s="27"/>
      <c r="N63" s="27"/>
      <c r="O63" s="27"/>
    </row>
    <row r="64" spans="1:15" ht="15.75" customHeight="1">
      <c r="A64" s="26">
        <v>6</v>
      </c>
      <c r="B64" s="27"/>
      <c r="C64" s="27"/>
      <c r="D64" s="27" t="s">
        <v>49</v>
      </c>
      <c r="E64" s="27"/>
      <c r="F64" s="27"/>
      <c r="G64" s="27"/>
      <c r="H64" s="25" t="s">
        <v>114</v>
      </c>
      <c r="I64" s="27"/>
      <c r="J64" s="27"/>
      <c r="K64" s="27"/>
      <c r="L64" s="27"/>
      <c r="M64" s="27"/>
      <c r="N64" s="27"/>
      <c r="O64" s="27"/>
    </row>
    <row r="65" spans="1:15" ht="15.75" customHeight="1">
      <c r="A65" s="26">
        <v>61</v>
      </c>
      <c r="B65" s="27" t="s">
        <v>115</v>
      </c>
      <c r="C65" s="27"/>
      <c r="D65" s="27" t="s">
        <v>49</v>
      </c>
      <c r="E65" s="27"/>
      <c r="F65" s="27"/>
      <c r="G65" s="27"/>
      <c r="H65" s="25" t="s">
        <v>116</v>
      </c>
      <c r="I65" s="27"/>
      <c r="J65" s="27"/>
      <c r="K65" s="27"/>
      <c r="L65" s="27"/>
      <c r="M65" s="27"/>
      <c r="N65" s="27"/>
      <c r="O65" s="27"/>
    </row>
    <row r="66" spans="1:15" ht="15.75" customHeight="1">
      <c r="A66" s="26">
        <v>62</v>
      </c>
      <c r="B66" s="27" t="s">
        <v>115</v>
      </c>
      <c r="C66" s="27"/>
      <c r="D66" s="27" t="s">
        <v>49</v>
      </c>
      <c r="E66" s="27"/>
      <c r="F66" s="27"/>
      <c r="G66" s="27"/>
      <c r="H66" s="25" t="s">
        <v>117</v>
      </c>
      <c r="I66" s="27"/>
      <c r="J66" s="27"/>
      <c r="K66" s="27"/>
      <c r="L66" s="27"/>
      <c r="M66" s="27"/>
      <c r="N66" s="27"/>
      <c r="O66" s="27"/>
    </row>
    <row r="67" spans="1:15" ht="15.75" customHeight="1">
      <c r="A67" s="26">
        <v>63</v>
      </c>
      <c r="B67" s="27" t="s">
        <v>115</v>
      </c>
      <c r="C67" s="27"/>
      <c r="D67" s="27" t="s">
        <v>49</v>
      </c>
      <c r="E67" s="27"/>
      <c r="F67" s="27"/>
      <c r="G67" s="27"/>
      <c r="H67" s="25" t="s">
        <v>118</v>
      </c>
      <c r="I67" s="27"/>
      <c r="J67" s="27"/>
      <c r="K67" s="27"/>
      <c r="L67" s="27"/>
      <c r="M67" s="27"/>
      <c r="N67" s="27"/>
      <c r="O67" s="27"/>
    </row>
    <row r="68" spans="1:15" ht="15.75" customHeight="1">
      <c r="A68" s="26">
        <v>64</v>
      </c>
      <c r="B68" s="27" t="s">
        <v>115</v>
      </c>
      <c r="C68" s="27"/>
      <c r="D68" s="27" t="s">
        <v>49</v>
      </c>
      <c r="E68" s="27"/>
      <c r="F68" s="27"/>
      <c r="G68" s="27"/>
      <c r="H68" s="25" t="s">
        <v>119</v>
      </c>
      <c r="I68" s="27"/>
      <c r="J68" s="27"/>
      <c r="K68" s="27"/>
      <c r="L68" s="27"/>
      <c r="M68" s="27"/>
      <c r="N68" s="27"/>
      <c r="O68" s="27"/>
    </row>
    <row r="69" spans="1:15" ht="15.75" customHeight="1">
      <c r="A69" s="26">
        <v>65</v>
      </c>
      <c r="B69" s="27" t="s">
        <v>115</v>
      </c>
      <c r="C69" s="27"/>
      <c r="D69" s="27" t="s">
        <v>49</v>
      </c>
      <c r="E69" s="27"/>
      <c r="F69" s="27"/>
      <c r="G69" s="27"/>
      <c r="H69" s="25" t="s">
        <v>120</v>
      </c>
      <c r="I69" s="27"/>
      <c r="J69" s="27"/>
      <c r="K69" s="27"/>
      <c r="L69" s="27"/>
      <c r="M69" s="27"/>
      <c r="N69" s="27"/>
      <c r="O69" s="27"/>
    </row>
    <row r="70" spans="1:15" ht="15.75" customHeight="1">
      <c r="A70" s="26">
        <v>66</v>
      </c>
      <c r="B70" s="27" t="s">
        <v>115</v>
      </c>
      <c r="C70" s="27"/>
      <c r="D70" s="27" t="s">
        <v>49</v>
      </c>
      <c r="E70" s="27"/>
      <c r="F70" s="27"/>
      <c r="G70" s="27"/>
      <c r="H70" s="25" t="s">
        <v>121</v>
      </c>
      <c r="I70" s="27"/>
      <c r="J70" s="27"/>
      <c r="K70" s="27"/>
      <c r="L70" s="27"/>
      <c r="M70" s="27"/>
      <c r="N70" s="27"/>
      <c r="O70" s="27"/>
    </row>
    <row r="71" spans="1:15" ht="15.75" customHeight="1">
      <c r="A71" s="26">
        <v>68</v>
      </c>
      <c r="B71" s="27" t="s">
        <v>115</v>
      </c>
      <c r="C71" s="27"/>
      <c r="D71" s="27" t="s">
        <v>49</v>
      </c>
      <c r="E71" s="27"/>
      <c r="F71" s="27"/>
      <c r="G71" s="27"/>
      <c r="H71" s="27" t="s">
        <v>122</v>
      </c>
      <c r="I71" s="27"/>
      <c r="J71" s="27"/>
      <c r="K71" s="27"/>
      <c r="L71" s="27"/>
      <c r="M71" s="27"/>
      <c r="N71" s="27"/>
      <c r="O71" s="27"/>
    </row>
    <row r="72" spans="1:15" ht="15.75" customHeight="1">
      <c r="A72" s="26">
        <v>69</v>
      </c>
      <c r="B72" s="27" t="s">
        <v>115</v>
      </c>
      <c r="C72" s="27"/>
      <c r="D72" s="27" t="s">
        <v>49</v>
      </c>
      <c r="E72" s="27"/>
      <c r="F72" s="27"/>
      <c r="G72" s="27"/>
      <c r="H72" s="27" t="s">
        <v>123</v>
      </c>
      <c r="I72" s="27"/>
      <c r="J72" s="27"/>
      <c r="K72" s="27"/>
      <c r="L72" s="27"/>
      <c r="M72" s="27"/>
      <c r="N72" s="27"/>
      <c r="O72" s="27"/>
    </row>
    <row r="73" spans="1:15" ht="15.75" customHeight="1">
      <c r="A73" s="26">
        <v>691</v>
      </c>
      <c r="B73" s="27" t="s">
        <v>124</v>
      </c>
      <c r="C73" s="27"/>
      <c r="D73" s="27" t="s">
        <v>49</v>
      </c>
      <c r="E73" s="27"/>
      <c r="F73" s="27"/>
      <c r="G73" s="27"/>
      <c r="H73" s="27" t="s">
        <v>125</v>
      </c>
      <c r="I73" s="27"/>
      <c r="J73" s="27"/>
      <c r="K73" s="27"/>
      <c r="L73" s="27"/>
      <c r="M73" s="27"/>
      <c r="N73" s="27"/>
      <c r="O73" s="27"/>
    </row>
    <row r="74" spans="1:15" ht="15.75" customHeight="1">
      <c r="A74" s="26">
        <v>692</v>
      </c>
      <c r="B74" s="27" t="s">
        <v>124</v>
      </c>
      <c r="C74" s="27"/>
      <c r="D74" s="27" t="s">
        <v>49</v>
      </c>
      <c r="E74" s="27"/>
      <c r="F74" s="27"/>
      <c r="G74" s="27"/>
      <c r="H74" s="27" t="s">
        <v>126</v>
      </c>
      <c r="I74" s="27"/>
      <c r="J74" s="27"/>
      <c r="K74" s="27"/>
      <c r="L74" s="27"/>
      <c r="M74" s="27"/>
      <c r="N74" s="27"/>
      <c r="O74" s="27"/>
    </row>
    <row r="75" spans="1:15" ht="15.75" customHeight="1">
      <c r="A75" s="26">
        <v>693</v>
      </c>
      <c r="B75" s="27" t="s">
        <v>124</v>
      </c>
      <c r="C75" s="27"/>
      <c r="D75" s="27" t="s">
        <v>49</v>
      </c>
      <c r="E75" s="27"/>
      <c r="F75" s="27"/>
      <c r="G75" s="27"/>
      <c r="H75" s="27" t="s">
        <v>127</v>
      </c>
      <c r="I75" s="27"/>
      <c r="J75" s="27"/>
      <c r="K75" s="27"/>
      <c r="L75" s="27"/>
      <c r="M75" s="27"/>
      <c r="N75" s="27"/>
      <c r="O75" s="27"/>
    </row>
    <row r="76" spans="1:15" ht="15.75" customHeight="1">
      <c r="A76" s="26">
        <v>699</v>
      </c>
      <c r="B76" s="27" t="s">
        <v>124</v>
      </c>
      <c r="C76" s="27"/>
      <c r="D76" s="27" t="s">
        <v>49</v>
      </c>
      <c r="E76" s="27"/>
      <c r="F76" s="27"/>
      <c r="G76" s="27"/>
      <c r="H76" s="27" t="s">
        <v>128</v>
      </c>
      <c r="I76" s="27"/>
      <c r="J76" s="27"/>
      <c r="K76" s="27"/>
      <c r="L76" s="27"/>
      <c r="M76" s="27"/>
      <c r="N76" s="27"/>
      <c r="O76" s="27"/>
    </row>
    <row r="77" spans="1:15" ht="15.75" customHeight="1">
      <c r="A77" s="26">
        <v>7</v>
      </c>
      <c r="B77" s="27"/>
      <c r="C77" s="27"/>
      <c r="D77" s="27" t="s">
        <v>49</v>
      </c>
      <c r="E77" s="27"/>
      <c r="F77" s="27"/>
      <c r="G77" s="27"/>
      <c r="H77" s="27" t="s">
        <v>129</v>
      </c>
      <c r="I77" s="27"/>
      <c r="J77" s="27"/>
      <c r="K77" s="27"/>
      <c r="L77" s="27"/>
      <c r="M77" s="27"/>
      <c r="N77" s="27"/>
      <c r="O77" s="27"/>
    </row>
    <row r="78" spans="1:15" ht="15.75" customHeight="1">
      <c r="A78" s="26">
        <v>71</v>
      </c>
      <c r="B78" s="27" t="s">
        <v>130</v>
      </c>
      <c r="C78" s="27"/>
      <c r="D78" s="27" t="s">
        <v>49</v>
      </c>
      <c r="E78" s="27"/>
      <c r="F78" s="27"/>
      <c r="G78" s="27"/>
      <c r="H78" s="27" t="s">
        <v>131</v>
      </c>
      <c r="I78" s="27"/>
      <c r="J78" s="27"/>
      <c r="K78" s="27"/>
      <c r="L78" s="27"/>
      <c r="M78" s="27"/>
      <c r="N78" s="27"/>
      <c r="O78" s="27"/>
    </row>
    <row r="79" spans="1:15" ht="15.75" customHeight="1">
      <c r="A79" s="26">
        <v>72</v>
      </c>
      <c r="B79" s="27" t="s">
        <v>130</v>
      </c>
      <c r="C79" s="27"/>
      <c r="D79" s="27" t="s">
        <v>49</v>
      </c>
      <c r="E79" s="27"/>
      <c r="F79" s="27"/>
      <c r="G79" s="27"/>
      <c r="H79" s="27" t="s">
        <v>72</v>
      </c>
      <c r="I79" s="27"/>
      <c r="J79" s="27"/>
      <c r="K79" s="27"/>
      <c r="L79" s="27"/>
      <c r="M79" s="27"/>
      <c r="N79" s="27"/>
      <c r="O79" s="27"/>
    </row>
    <row r="80" spans="1:15" ht="15.75" customHeight="1">
      <c r="A80" s="26">
        <v>73</v>
      </c>
      <c r="B80" s="27" t="s">
        <v>130</v>
      </c>
      <c r="C80" s="27"/>
      <c r="D80" s="27" t="s">
        <v>49</v>
      </c>
      <c r="E80" s="27"/>
      <c r="F80" s="27"/>
      <c r="G80" s="27"/>
      <c r="H80" s="27" t="s">
        <v>132</v>
      </c>
      <c r="I80" s="27"/>
      <c r="J80" s="27"/>
      <c r="K80" s="27"/>
      <c r="L80" s="27"/>
      <c r="M80" s="27"/>
      <c r="N80" s="27"/>
      <c r="O80" s="27"/>
    </row>
    <row r="81" spans="1:15" ht="15.75" customHeight="1">
      <c r="A81" s="26">
        <v>731</v>
      </c>
      <c r="B81" s="27" t="s">
        <v>133</v>
      </c>
      <c r="C81" s="27"/>
      <c r="D81" s="27" t="s">
        <v>49</v>
      </c>
      <c r="E81" s="27"/>
      <c r="F81" s="27"/>
      <c r="G81" s="27"/>
      <c r="H81" s="27" t="s">
        <v>99</v>
      </c>
      <c r="I81" s="27"/>
      <c r="J81" s="27"/>
      <c r="K81" s="27"/>
      <c r="L81" s="27"/>
      <c r="M81" s="27"/>
      <c r="N81" s="27"/>
      <c r="O81" s="27"/>
    </row>
    <row r="82" spans="1:15" ht="15.75" customHeight="1">
      <c r="A82" s="26">
        <v>732</v>
      </c>
      <c r="B82" s="27" t="s">
        <v>133</v>
      </c>
      <c r="C82" s="27"/>
      <c r="D82" s="27" t="s">
        <v>49</v>
      </c>
      <c r="E82" s="27"/>
      <c r="F82" s="27"/>
      <c r="G82" s="27"/>
      <c r="H82" s="27" t="s">
        <v>100</v>
      </c>
      <c r="I82" s="27"/>
      <c r="J82" s="27"/>
      <c r="K82" s="27"/>
      <c r="L82" s="27"/>
      <c r="M82" s="27"/>
      <c r="N82" s="27"/>
      <c r="O82" s="27"/>
    </row>
    <row r="83" spans="1:15" ht="15.75" customHeight="1">
      <c r="A83" s="26">
        <v>733</v>
      </c>
      <c r="B83" s="27" t="s">
        <v>133</v>
      </c>
      <c r="C83" s="27"/>
      <c r="D83" s="27" t="s">
        <v>49</v>
      </c>
      <c r="E83" s="27"/>
      <c r="F83" s="27"/>
      <c r="G83" s="27"/>
      <c r="H83" s="27" t="s">
        <v>101</v>
      </c>
      <c r="I83" s="27"/>
      <c r="J83" s="27"/>
      <c r="K83" s="27"/>
      <c r="L83" s="27"/>
      <c r="M83" s="27"/>
      <c r="N83" s="27"/>
      <c r="O83" s="27"/>
    </row>
    <row r="84" spans="1:15" ht="15.75" customHeight="1">
      <c r="A84" s="26">
        <v>735</v>
      </c>
      <c r="B84" s="27" t="s">
        <v>133</v>
      </c>
      <c r="C84" s="27"/>
      <c r="D84" s="27" t="s">
        <v>49</v>
      </c>
      <c r="E84" s="27"/>
      <c r="F84" s="27"/>
      <c r="G84" s="27"/>
      <c r="H84" s="27" t="s">
        <v>134</v>
      </c>
      <c r="I84" s="27"/>
      <c r="J84" s="27"/>
      <c r="K84" s="27"/>
      <c r="L84" s="27"/>
      <c r="M84" s="27"/>
      <c r="N84" s="27"/>
      <c r="O84" s="27"/>
    </row>
    <row r="85" spans="1:15" ht="15.75" customHeight="1">
      <c r="A85" s="26">
        <v>74</v>
      </c>
      <c r="B85" s="27" t="s">
        <v>130</v>
      </c>
      <c r="C85" s="27"/>
      <c r="D85" s="27" t="s">
        <v>49</v>
      </c>
      <c r="E85" s="27"/>
      <c r="F85" s="27"/>
      <c r="G85" s="27"/>
      <c r="H85" s="27" t="s">
        <v>135</v>
      </c>
      <c r="I85" s="27"/>
      <c r="J85" s="27"/>
      <c r="K85" s="27"/>
      <c r="L85" s="27"/>
      <c r="M85" s="27"/>
      <c r="N85" s="27"/>
      <c r="O85" s="27"/>
    </row>
    <row r="86" spans="1:15" ht="15.75" customHeight="1">
      <c r="A86" s="26">
        <v>741</v>
      </c>
      <c r="B86" s="27" t="s">
        <v>136</v>
      </c>
      <c r="C86" s="27"/>
      <c r="D86" s="27" t="s">
        <v>49</v>
      </c>
      <c r="E86" s="27"/>
      <c r="F86" s="27"/>
      <c r="G86" s="27"/>
      <c r="H86" s="27" t="s">
        <v>137</v>
      </c>
      <c r="I86" s="27"/>
      <c r="J86" s="27"/>
      <c r="K86" s="27"/>
      <c r="L86" s="27"/>
      <c r="M86" s="27"/>
      <c r="N86" s="27"/>
      <c r="O86" s="27"/>
    </row>
    <row r="87" spans="1:15" ht="15.75" customHeight="1">
      <c r="A87" s="26">
        <v>742</v>
      </c>
      <c r="B87" s="27" t="s">
        <v>136</v>
      </c>
      <c r="C87" s="27"/>
      <c r="D87" s="27" t="s">
        <v>49</v>
      </c>
      <c r="E87" s="27"/>
      <c r="F87" s="27"/>
      <c r="G87" s="27"/>
      <c r="H87" s="27" t="s">
        <v>138</v>
      </c>
      <c r="I87" s="27"/>
      <c r="J87" s="27"/>
      <c r="K87" s="27"/>
      <c r="L87" s="27"/>
      <c r="M87" s="27"/>
      <c r="N87" s="27"/>
      <c r="O87" s="27"/>
    </row>
    <row r="88" spans="1:15" ht="15.75" customHeight="1">
      <c r="A88" s="26">
        <v>743</v>
      </c>
      <c r="B88" s="27" t="s">
        <v>136</v>
      </c>
      <c r="C88" s="27"/>
      <c r="D88" s="27" t="s">
        <v>49</v>
      </c>
      <c r="E88" s="27"/>
      <c r="F88" s="27"/>
      <c r="G88" s="27"/>
      <c r="H88" s="27" t="s">
        <v>139</v>
      </c>
      <c r="I88" s="27"/>
      <c r="J88" s="27"/>
      <c r="K88" s="27"/>
      <c r="L88" s="27"/>
      <c r="M88" s="27"/>
      <c r="N88" s="27"/>
      <c r="O88" s="27"/>
    </row>
    <row r="89" spans="1:15" ht="15.75" customHeight="1">
      <c r="A89" s="26">
        <v>75</v>
      </c>
      <c r="B89" s="27" t="s">
        <v>130</v>
      </c>
      <c r="C89" s="27"/>
      <c r="D89" s="27" t="s">
        <v>49</v>
      </c>
      <c r="E89" s="27"/>
      <c r="F89" s="27"/>
      <c r="G89" s="27"/>
      <c r="H89" s="27" t="s">
        <v>140</v>
      </c>
      <c r="I89" s="27"/>
      <c r="J89" s="27"/>
      <c r="K89" s="27"/>
      <c r="L89" s="27"/>
      <c r="M89" s="27"/>
      <c r="N89" s="27"/>
      <c r="O89" s="27"/>
    </row>
    <row r="90" spans="1:15" ht="15.75" customHeight="1">
      <c r="A90" s="26">
        <v>76</v>
      </c>
      <c r="B90" s="27" t="s">
        <v>130</v>
      </c>
      <c r="C90" s="27"/>
      <c r="D90" s="27" t="s">
        <v>49</v>
      </c>
      <c r="E90" s="27"/>
      <c r="F90" s="27"/>
      <c r="G90" s="27"/>
      <c r="H90" s="27" t="s">
        <v>141</v>
      </c>
      <c r="I90" s="27"/>
      <c r="J90" s="27"/>
      <c r="K90" s="27"/>
      <c r="L90" s="27"/>
      <c r="M90" s="27"/>
      <c r="N90" s="27"/>
      <c r="O90" s="27"/>
    </row>
    <row r="91" spans="1:15" ht="15.75" customHeight="1">
      <c r="A91" s="26">
        <v>77</v>
      </c>
      <c r="B91" s="27" t="s">
        <v>130</v>
      </c>
      <c r="C91" s="27"/>
      <c r="D91" s="27" t="s">
        <v>49</v>
      </c>
      <c r="E91" s="27"/>
      <c r="F91" s="27"/>
      <c r="G91" s="27"/>
      <c r="H91" s="27" t="s">
        <v>142</v>
      </c>
      <c r="I91" s="27"/>
      <c r="J91" s="27"/>
      <c r="K91" s="27"/>
      <c r="L91" s="27"/>
      <c r="M91" s="27"/>
      <c r="N91" s="27"/>
      <c r="O91" s="27"/>
    </row>
    <row r="92" spans="1:15" ht="15.75" customHeight="1">
      <c r="A92" s="26">
        <v>771</v>
      </c>
      <c r="B92" s="27" t="s">
        <v>143</v>
      </c>
      <c r="C92" s="27"/>
      <c r="D92" s="27" t="s">
        <v>49</v>
      </c>
      <c r="E92" s="27"/>
      <c r="F92" s="27"/>
      <c r="G92" s="27"/>
      <c r="H92" s="27" t="s">
        <v>144</v>
      </c>
      <c r="I92" s="27"/>
      <c r="J92" s="27"/>
      <c r="K92" s="27"/>
      <c r="L92" s="27"/>
      <c r="M92" s="27"/>
      <c r="N92" s="27"/>
      <c r="O92" s="27"/>
    </row>
    <row r="93" spans="1:15" ht="15.75" customHeight="1">
      <c r="A93" s="26">
        <v>772</v>
      </c>
      <c r="B93" s="27" t="s">
        <v>143</v>
      </c>
      <c r="C93" s="27"/>
      <c r="D93" s="27" t="s">
        <v>49</v>
      </c>
      <c r="E93" s="27"/>
      <c r="F93" s="27"/>
      <c r="H93" s="27" t="s">
        <v>145</v>
      </c>
      <c r="I93" s="27"/>
      <c r="J93" s="27"/>
      <c r="K93" s="27"/>
      <c r="L93" s="27"/>
      <c r="M93" s="27"/>
      <c r="N93" s="27"/>
      <c r="O93" s="27"/>
    </row>
    <row r="94" spans="1:15" ht="15.75" customHeight="1">
      <c r="A94" s="26">
        <v>78</v>
      </c>
      <c r="B94" s="27" t="s">
        <v>130</v>
      </c>
      <c r="C94" s="27"/>
      <c r="D94" s="27" t="s">
        <v>49</v>
      </c>
      <c r="E94" s="27"/>
      <c r="F94" s="27"/>
      <c r="G94" s="27"/>
      <c r="H94" s="27" t="s">
        <v>146</v>
      </c>
      <c r="I94" s="27"/>
      <c r="J94" s="27"/>
      <c r="K94" s="27"/>
      <c r="L94" s="27"/>
      <c r="M94" s="27"/>
      <c r="N94" s="27"/>
      <c r="O94" s="27"/>
    </row>
    <row r="95" spans="1:15" ht="15.75" customHeight="1">
      <c r="A95" s="26">
        <v>79</v>
      </c>
      <c r="B95" s="27" t="s">
        <v>130</v>
      </c>
      <c r="C95" s="27"/>
      <c r="D95" s="27" t="s">
        <v>49</v>
      </c>
      <c r="E95" s="27"/>
      <c r="F95" s="27"/>
      <c r="G95" s="27"/>
      <c r="H95" s="27" t="s">
        <v>84</v>
      </c>
      <c r="I95" s="27"/>
      <c r="J95" s="27"/>
      <c r="K95" s="27"/>
      <c r="L95" s="27"/>
      <c r="M95" s="27"/>
      <c r="N95" s="27"/>
      <c r="O95" s="27"/>
    </row>
    <row r="96" spans="1:15" ht="15.75" customHeight="1">
      <c r="A96" s="26">
        <v>794</v>
      </c>
      <c r="B96" s="27" t="s">
        <v>147</v>
      </c>
      <c r="C96" s="27"/>
      <c r="D96" s="27" t="s">
        <v>49</v>
      </c>
      <c r="E96" s="27"/>
      <c r="F96" s="27"/>
      <c r="G96" s="27"/>
      <c r="H96" s="27" t="s">
        <v>148</v>
      </c>
      <c r="I96" s="27"/>
      <c r="J96" s="27"/>
      <c r="K96" s="27"/>
      <c r="L96" s="27"/>
      <c r="M96" s="27"/>
      <c r="N96" s="27"/>
      <c r="O96" s="27"/>
    </row>
    <row r="97" spans="1:15" ht="15.75" customHeight="1">
      <c r="A97" s="26">
        <v>795</v>
      </c>
      <c r="B97" s="27" t="s">
        <v>147</v>
      </c>
      <c r="C97" s="27"/>
      <c r="D97" s="27" t="s">
        <v>49</v>
      </c>
      <c r="E97" s="27"/>
      <c r="F97" s="27"/>
      <c r="G97" s="27"/>
      <c r="H97" s="27" t="s">
        <v>149</v>
      </c>
      <c r="I97" s="27"/>
      <c r="J97" s="27"/>
      <c r="K97" s="27"/>
      <c r="L97" s="27"/>
      <c r="M97" s="27"/>
      <c r="N97" s="27"/>
      <c r="O97" s="27"/>
    </row>
    <row r="98" spans="1:15" ht="15.75" customHeight="1">
      <c r="A98" s="26">
        <v>796</v>
      </c>
      <c r="B98" s="27" t="s">
        <v>147</v>
      </c>
      <c r="C98" s="27"/>
      <c r="D98" s="27" t="s">
        <v>49</v>
      </c>
      <c r="E98" s="27"/>
      <c r="F98" s="27"/>
      <c r="G98" s="27"/>
      <c r="H98" s="27" t="s">
        <v>150</v>
      </c>
      <c r="I98" s="27"/>
      <c r="J98" s="27"/>
      <c r="K98" s="27"/>
      <c r="L98" s="27"/>
      <c r="M98" s="27"/>
      <c r="N98" s="27"/>
      <c r="O98" s="27"/>
    </row>
    <row r="99" spans="1:15" ht="15.75" customHeight="1">
      <c r="A99" s="26">
        <v>797</v>
      </c>
      <c r="B99" s="27" t="s">
        <v>147</v>
      </c>
      <c r="C99" s="27"/>
      <c r="D99" s="27" t="s">
        <v>49</v>
      </c>
      <c r="E99" s="27"/>
      <c r="F99" s="27"/>
      <c r="G99" s="27"/>
      <c r="H99" s="27" t="s">
        <v>151</v>
      </c>
      <c r="I99" s="27"/>
      <c r="J99" s="27"/>
      <c r="K99" s="27"/>
      <c r="L99" s="27"/>
      <c r="M99" s="27"/>
      <c r="N99" s="27"/>
      <c r="O99" s="27"/>
    </row>
    <row r="100" spans="1:15" ht="15.75" customHeight="1">
      <c r="A100" s="26">
        <v>8</v>
      </c>
      <c r="B100" s="27"/>
      <c r="C100" s="27"/>
      <c r="D100" s="27" t="s">
        <v>49</v>
      </c>
      <c r="E100" s="27"/>
      <c r="F100" s="27"/>
      <c r="G100" s="27"/>
      <c r="H100" s="27" t="s">
        <v>152</v>
      </c>
      <c r="I100" s="27"/>
      <c r="J100" s="27"/>
      <c r="K100" s="27"/>
      <c r="L100" s="27"/>
      <c r="M100" s="27"/>
      <c r="N100" s="27"/>
      <c r="O100" s="27"/>
    </row>
    <row r="101" spans="1:15" ht="15.75" customHeight="1">
      <c r="A101" s="26">
        <v>81</v>
      </c>
      <c r="B101" s="27" t="s">
        <v>153</v>
      </c>
      <c r="C101" s="27"/>
      <c r="D101" s="27" t="s">
        <v>49</v>
      </c>
      <c r="E101" s="27"/>
      <c r="F101" s="27"/>
      <c r="G101" s="27"/>
      <c r="H101" s="27" t="s">
        <v>154</v>
      </c>
      <c r="I101" s="27"/>
      <c r="J101" s="27"/>
      <c r="K101" s="27"/>
      <c r="L101" s="27"/>
      <c r="M101" s="27"/>
      <c r="N101" s="27"/>
      <c r="O101" s="27"/>
    </row>
    <row r="102" spans="1:15" ht="15.75" customHeight="1">
      <c r="A102" s="26">
        <v>82</v>
      </c>
      <c r="B102" s="27" t="s">
        <v>153</v>
      </c>
      <c r="C102" s="27"/>
      <c r="D102" s="27" t="s">
        <v>49</v>
      </c>
      <c r="E102" s="27"/>
      <c r="F102" s="27"/>
      <c r="G102" s="27"/>
      <c r="H102" s="27" t="s">
        <v>155</v>
      </c>
      <c r="I102" s="27"/>
      <c r="J102" s="27"/>
      <c r="K102" s="27"/>
      <c r="L102" s="27"/>
      <c r="M102" s="27"/>
      <c r="N102" s="27"/>
      <c r="O102" s="27"/>
    </row>
    <row r="103" spans="1:15" ht="15.75" customHeight="1">
      <c r="A103" s="26">
        <v>84</v>
      </c>
      <c r="B103" s="27" t="s">
        <v>153</v>
      </c>
      <c r="C103" s="27"/>
      <c r="D103" s="27" t="s">
        <v>49</v>
      </c>
      <c r="E103" s="27"/>
      <c r="F103" s="27"/>
      <c r="G103" s="27"/>
      <c r="H103" s="27" t="s">
        <v>156</v>
      </c>
      <c r="I103" s="27"/>
      <c r="J103" s="27"/>
      <c r="K103" s="27"/>
      <c r="L103" s="27"/>
      <c r="M103" s="27"/>
      <c r="N103" s="27"/>
      <c r="O103" s="27"/>
    </row>
    <row r="104" spans="1:15" ht="15.75" customHeight="1">
      <c r="A104" s="26">
        <v>85</v>
      </c>
      <c r="B104" s="27" t="s">
        <v>153</v>
      </c>
      <c r="C104" s="27"/>
      <c r="D104" s="27" t="s">
        <v>49</v>
      </c>
      <c r="E104" s="27"/>
      <c r="F104" s="27"/>
      <c r="G104" s="27"/>
      <c r="H104" s="27" t="s">
        <v>157</v>
      </c>
      <c r="I104" s="27"/>
      <c r="J104" s="27"/>
      <c r="K104" s="27"/>
      <c r="L104" s="27"/>
      <c r="M104" s="27"/>
      <c r="N104" s="27"/>
      <c r="O104" s="27"/>
    </row>
    <row r="105" spans="1:15" ht="15.75" customHeight="1">
      <c r="A105" s="26">
        <v>86</v>
      </c>
      <c r="B105" s="27" t="s">
        <v>153</v>
      </c>
      <c r="C105" s="27"/>
      <c r="D105" s="27" t="s">
        <v>49</v>
      </c>
      <c r="E105" s="27"/>
      <c r="F105" s="27"/>
      <c r="G105" s="27"/>
      <c r="H105" s="27" t="s">
        <v>158</v>
      </c>
      <c r="I105" s="27"/>
      <c r="J105" s="27"/>
      <c r="K105" s="27"/>
      <c r="L105" s="27"/>
      <c r="M105" s="27"/>
      <c r="N105" s="27"/>
      <c r="O105" s="27"/>
    </row>
    <row r="106" spans="1:15" ht="15.75" customHeight="1">
      <c r="A106" s="26">
        <v>87</v>
      </c>
      <c r="B106" s="27" t="s">
        <v>153</v>
      </c>
      <c r="C106" s="27"/>
      <c r="D106" s="27" t="s">
        <v>49</v>
      </c>
      <c r="E106" s="27"/>
      <c r="F106" s="27"/>
      <c r="G106" s="27"/>
      <c r="H106" s="27" t="s">
        <v>159</v>
      </c>
      <c r="I106" s="27"/>
      <c r="J106" s="27"/>
      <c r="K106" s="27"/>
      <c r="L106" s="27"/>
      <c r="M106" s="27"/>
      <c r="N106" s="27"/>
      <c r="O106" s="27"/>
    </row>
    <row r="107" spans="1:15" ht="15.75" customHeight="1">
      <c r="A107" s="26">
        <v>9</v>
      </c>
      <c r="B107" s="27"/>
      <c r="C107" s="27"/>
      <c r="D107" s="27" t="s">
        <v>49</v>
      </c>
      <c r="E107" s="27"/>
      <c r="F107" s="27"/>
      <c r="G107" s="27"/>
      <c r="H107" s="27" t="s">
        <v>160</v>
      </c>
      <c r="I107" s="27"/>
      <c r="J107" s="27"/>
      <c r="K107" s="27"/>
      <c r="L107" s="27"/>
      <c r="M107" s="27"/>
      <c r="N107" s="27"/>
      <c r="O107" s="27"/>
    </row>
    <row r="108" spans="1:15" ht="15.75" customHeight="1">
      <c r="A108" s="26">
        <v>91</v>
      </c>
      <c r="B108" s="27" t="s">
        <v>161</v>
      </c>
      <c r="C108" s="27"/>
      <c r="D108" s="27" t="s">
        <v>49</v>
      </c>
      <c r="E108" s="27"/>
      <c r="F108" s="27"/>
      <c r="G108" s="27"/>
      <c r="H108" s="27" t="s">
        <v>162</v>
      </c>
      <c r="I108" s="27"/>
      <c r="J108" s="27"/>
      <c r="K108" s="27"/>
      <c r="L108" s="27"/>
      <c r="M108" s="27"/>
      <c r="N108" s="27"/>
      <c r="O108" s="27"/>
    </row>
    <row r="109" spans="1:15" ht="15.75" customHeight="1">
      <c r="A109" s="26">
        <v>92</v>
      </c>
      <c r="B109" s="27" t="s">
        <v>161</v>
      </c>
      <c r="C109" s="27"/>
      <c r="D109" s="27" t="s">
        <v>49</v>
      </c>
      <c r="E109" s="27"/>
      <c r="F109" s="27"/>
      <c r="G109" s="27"/>
      <c r="H109" s="27" t="s">
        <v>163</v>
      </c>
      <c r="I109" s="27"/>
      <c r="J109" s="27"/>
      <c r="K109" s="27"/>
      <c r="L109" s="27"/>
      <c r="M109" s="27"/>
      <c r="N109" s="27"/>
      <c r="O109" s="27"/>
    </row>
    <row r="110" spans="1:15" ht="15.75" customHeight="1">
      <c r="A110" s="26">
        <v>93</v>
      </c>
      <c r="B110" s="27" t="s">
        <v>161</v>
      </c>
      <c r="C110" s="27"/>
      <c r="D110" s="27" t="s">
        <v>49</v>
      </c>
      <c r="E110" s="27"/>
      <c r="F110" s="27"/>
      <c r="G110" s="27"/>
      <c r="H110" s="27" t="s">
        <v>164</v>
      </c>
      <c r="I110" s="27"/>
      <c r="J110" s="27"/>
      <c r="K110" s="27"/>
      <c r="L110" s="27"/>
      <c r="M110" s="27"/>
      <c r="N110" s="27"/>
      <c r="O110" s="27"/>
    </row>
    <row r="111" spans="1:15" ht="15.75" customHeight="1">
      <c r="A111" s="26">
        <v>94</v>
      </c>
      <c r="B111" s="27" t="s">
        <v>161</v>
      </c>
      <c r="C111" s="27"/>
      <c r="D111" s="27" t="s">
        <v>49</v>
      </c>
      <c r="E111" s="27"/>
      <c r="F111" s="27"/>
      <c r="G111" s="27"/>
      <c r="H111" s="27" t="s">
        <v>165</v>
      </c>
      <c r="I111" s="27"/>
      <c r="J111" s="27"/>
      <c r="K111" s="27"/>
      <c r="L111" s="27"/>
      <c r="M111" s="27"/>
      <c r="N111" s="27"/>
      <c r="O111" s="27"/>
    </row>
    <row r="112" spans="1:15" ht="15.75" customHeight="1">
      <c r="A112" s="26">
        <v>95</v>
      </c>
      <c r="B112" s="27" t="s">
        <v>161</v>
      </c>
      <c r="C112" s="27"/>
      <c r="D112" s="27" t="s">
        <v>49</v>
      </c>
      <c r="E112" s="27"/>
      <c r="F112" s="27"/>
      <c r="G112" s="27"/>
      <c r="H112" s="27" t="s">
        <v>166</v>
      </c>
      <c r="I112" s="27"/>
      <c r="J112" s="27"/>
      <c r="K112" s="27"/>
      <c r="L112" s="27"/>
      <c r="M112" s="27"/>
      <c r="N112" s="27"/>
      <c r="O112" s="27"/>
    </row>
    <row r="113" spans="1:15" ht="15.75" customHeight="1">
      <c r="A113" s="26">
        <v>96</v>
      </c>
      <c r="B113" s="27" t="s">
        <v>161</v>
      </c>
      <c r="C113" s="27"/>
      <c r="D113" s="27" t="s">
        <v>49</v>
      </c>
      <c r="E113" s="27"/>
      <c r="F113" s="27"/>
      <c r="G113" s="27"/>
      <c r="H113" s="27" t="s">
        <v>167</v>
      </c>
      <c r="I113" s="27"/>
      <c r="J113" s="27"/>
      <c r="K113" s="27"/>
      <c r="L113" s="27"/>
      <c r="M113" s="27"/>
      <c r="N113" s="27"/>
      <c r="O113" s="27"/>
    </row>
    <row r="114" spans="1:15" ht="15.75" customHeight="1">
      <c r="A114" s="26">
        <v>97</v>
      </c>
      <c r="B114" s="27" t="s">
        <v>161</v>
      </c>
      <c r="C114" s="27"/>
      <c r="D114" s="27" t="s">
        <v>49</v>
      </c>
      <c r="E114" s="27"/>
      <c r="F114" s="27"/>
      <c r="G114" s="27"/>
      <c r="H114" s="27" t="s">
        <v>168</v>
      </c>
      <c r="I114" s="27"/>
      <c r="J114" s="27"/>
      <c r="K114" s="27"/>
      <c r="L114" s="27"/>
      <c r="M114" s="27"/>
      <c r="N114" s="27"/>
      <c r="O114" s="27"/>
    </row>
    <row r="115" spans="1:15" ht="15.75" customHeight="1">
      <c r="A115" s="26">
        <v>98</v>
      </c>
      <c r="B115" s="27" t="s">
        <v>161</v>
      </c>
      <c r="C115" s="27"/>
      <c r="D115" s="27" t="s">
        <v>49</v>
      </c>
      <c r="E115" s="27"/>
      <c r="F115" s="27"/>
      <c r="G115" s="27"/>
      <c r="H115" s="27" t="s">
        <v>169</v>
      </c>
      <c r="I115" s="27"/>
      <c r="J115" s="27"/>
      <c r="K115" s="27"/>
      <c r="L115" s="27"/>
      <c r="M115" s="27"/>
      <c r="N115" s="27"/>
      <c r="O115" s="27"/>
    </row>
    <row r="116" spans="1:15" ht="15.75" customHeight="1">
      <c r="A116" s="26">
        <v>11</v>
      </c>
      <c r="B116" s="27"/>
      <c r="C116" s="27"/>
      <c r="D116" s="27" t="s">
        <v>49</v>
      </c>
      <c r="E116" s="27"/>
      <c r="F116" s="27"/>
      <c r="G116" s="27"/>
      <c r="H116" s="27" t="s">
        <v>170</v>
      </c>
      <c r="I116" s="27"/>
      <c r="J116" s="27"/>
      <c r="K116" s="27"/>
      <c r="L116" s="27"/>
      <c r="M116" s="27"/>
      <c r="N116" s="27"/>
      <c r="O116" s="27"/>
    </row>
    <row r="117" spans="1:15" ht="15.75" customHeight="1">
      <c r="A117" s="29">
        <v>1</v>
      </c>
      <c r="B117" s="30"/>
      <c r="C117" s="27"/>
      <c r="D117" s="27" t="s">
        <v>49</v>
      </c>
      <c r="E117" s="30"/>
      <c r="F117" s="30"/>
      <c r="G117" s="30"/>
      <c r="H117" s="30" t="s">
        <v>171</v>
      </c>
      <c r="I117" s="30"/>
      <c r="J117" s="30"/>
      <c r="K117" s="30"/>
      <c r="L117" s="30"/>
      <c r="M117" s="30"/>
      <c r="N117" s="30"/>
      <c r="O117" s="30"/>
    </row>
    <row r="118" spans="1:15" ht="15.75" customHeight="1">
      <c r="A118" s="26">
        <v>1</v>
      </c>
      <c r="B118" s="27"/>
      <c r="C118" s="27"/>
      <c r="D118" s="27" t="s">
        <v>172</v>
      </c>
      <c r="E118" s="27"/>
      <c r="F118" s="27"/>
      <c r="G118" s="27"/>
      <c r="H118" s="27" t="s">
        <v>173</v>
      </c>
      <c r="I118" s="27"/>
      <c r="J118" s="27"/>
      <c r="K118" s="27"/>
      <c r="L118" s="27"/>
      <c r="M118" s="27"/>
      <c r="N118" s="27"/>
      <c r="O118" s="27"/>
    </row>
    <row r="119" spans="1:15" ht="15.75" customHeight="1">
      <c r="A119" s="26">
        <v>2</v>
      </c>
      <c r="B119" s="27"/>
      <c r="C119" s="27"/>
      <c r="D119" s="27" t="s">
        <v>172</v>
      </c>
      <c r="E119" s="27"/>
      <c r="F119" s="27"/>
      <c r="G119" s="27"/>
      <c r="H119" s="27" t="s">
        <v>174</v>
      </c>
      <c r="I119" s="27"/>
      <c r="J119" s="27"/>
      <c r="K119" s="27"/>
      <c r="L119" s="27"/>
      <c r="M119" s="27"/>
      <c r="N119" s="27"/>
      <c r="O119" s="27"/>
    </row>
    <row r="120" spans="1:15" ht="15.75" customHeight="1">
      <c r="A120" s="26">
        <v>21</v>
      </c>
      <c r="B120" s="27" t="s">
        <v>59</v>
      </c>
      <c r="C120" s="27"/>
      <c r="D120" s="27" t="s">
        <v>172</v>
      </c>
      <c r="E120" s="27"/>
      <c r="F120" s="27"/>
      <c r="G120" s="27"/>
      <c r="H120" s="27" t="s">
        <v>175</v>
      </c>
      <c r="I120" s="27"/>
      <c r="J120" s="27"/>
      <c r="K120" s="27"/>
      <c r="L120" s="27" t="s">
        <v>176</v>
      </c>
      <c r="M120" s="27"/>
      <c r="N120" s="27"/>
    </row>
    <row r="121" spans="1:15" ht="15.75" customHeight="1">
      <c r="A121" s="26">
        <v>22</v>
      </c>
      <c r="B121" s="27" t="s">
        <v>59</v>
      </c>
      <c r="C121" s="27"/>
      <c r="D121" s="27" t="s">
        <v>172</v>
      </c>
      <c r="E121" s="27"/>
      <c r="F121" s="27"/>
      <c r="G121" s="27"/>
      <c r="H121" s="27" t="s">
        <v>177</v>
      </c>
      <c r="I121" s="27"/>
      <c r="J121" s="27"/>
      <c r="K121" s="27"/>
      <c r="L121" s="27"/>
      <c r="M121" s="27"/>
      <c r="N121" s="27"/>
    </row>
    <row r="122" spans="1:15" ht="15.75" customHeight="1">
      <c r="A122" s="26">
        <v>29</v>
      </c>
      <c r="B122" s="27" t="s">
        <v>59</v>
      </c>
      <c r="C122" s="27"/>
      <c r="D122" s="27" t="s">
        <v>172</v>
      </c>
      <c r="E122" s="27"/>
      <c r="F122" s="27"/>
      <c r="G122" s="27"/>
      <c r="H122" s="27" t="s">
        <v>178</v>
      </c>
      <c r="I122" s="27"/>
      <c r="J122" s="27"/>
      <c r="K122" s="27"/>
      <c r="L122" s="27"/>
      <c r="M122" s="27"/>
      <c r="N122" s="27"/>
    </row>
    <row r="123" spans="1:15" ht="15.75" customHeight="1">
      <c r="A123" s="26">
        <v>3</v>
      </c>
      <c r="B123" s="27"/>
      <c r="C123" s="27"/>
      <c r="D123" s="27" t="s">
        <v>172</v>
      </c>
      <c r="E123" s="27"/>
      <c r="F123" s="27"/>
      <c r="G123" s="27"/>
      <c r="H123" s="27" t="s">
        <v>179</v>
      </c>
      <c r="I123" s="27"/>
      <c r="J123" s="27"/>
      <c r="K123" s="27"/>
      <c r="L123" s="27"/>
      <c r="M123" s="27"/>
      <c r="N123" s="27"/>
    </row>
    <row r="124" spans="1:15" ht="15.75" customHeight="1">
      <c r="A124" s="26">
        <v>31</v>
      </c>
      <c r="B124" s="27" t="s">
        <v>62</v>
      </c>
      <c r="C124" s="27"/>
      <c r="D124" s="27" t="s">
        <v>172</v>
      </c>
      <c r="E124" s="27"/>
      <c r="F124" s="27"/>
      <c r="G124" s="27"/>
      <c r="H124" s="27" t="s">
        <v>179</v>
      </c>
      <c r="I124" s="27"/>
      <c r="J124" s="27"/>
      <c r="K124" s="27"/>
      <c r="L124" s="27"/>
      <c r="M124" s="27"/>
      <c r="N124" s="27"/>
    </row>
    <row r="125" spans="1:15" ht="15.75" customHeight="1">
      <c r="A125" s="26">
        <v>4</v>
      </c>
      <c r="B125" s="27"/>
      <c r="C125" s="27"/>
      <c r="D125" s="27" t="s">
        <v>172</v>
      </c>
      <c r="E125" s="27"/>
      <c r="F125" s="27"/>
      <c r="G125" s="27"/>
      <c r="H125" s="27" t="s">
        <v>180</v>
      </c>
      <c r="I125" s="27"/>
      <c r="J125" s="27"/>
      <c r="K125" s="27"/>
      <c r="L125" s="27"/>
      <c r="M125" s="27"/>
      <c r="N125" s="27"/>
    </row>
    <row r="126" spans="1:15" ht="15.75" customHeight="1">
      <c r="A126" s="26">
        <v>41</v>
      </c>
      <c r="B126" s="27" t="s">
        <v>67</v>
      </c>
      <c r="C126" s="27"/>
      <c r="D126" s="27" t="s">
        <v>172</v>
      </c>
      <c r="E126" s="27"/>
      <c r="F126" s="27"/>
      <c r="G126" s="27"/>
      <c r="H126" s="27" t="s">
        <v>181</v>
      </c>
      <c r="I126" s="27"/>
      <c r="J126" s="27"/>
      <c r="K126" s="27"/>
      <c r="L126" s="27" t="s">
        <v>182</v>
      </c>
      <c r="M126" s="27"/>
      <c r="N126" s="27"/>
    </row>
    <row r="127" spans="1:15" ht="15.75" customHeight="1">
      <c r="A127" s="26">
        <v>42</v>
      </c>
      <c r="B127" s="27" t="s">
        <v>67</v>
      </c>
      <c r="C127" s="27"/>
      <c r="D127" s="27" t="s">
        <v>172</v>
      </c>
      <c r="E127" s="27"/>
      <c r="F127" s="27"/>
      <c r="G127" s="27"/>
      <c r="H127" s="27" t="s">
        <v>183</v>
      </c>
      <c r="I127" s="27"/>
      <c r="J127" s="27"/>
      <c r="K127" s="27"/>
      <c r="L127" s="27" t="s">
        <v>184</v>
      </c>
      <c r="M127" s="27"/>
      <c r="N127" s="27"/>
    </row>
    <row r="128" spans="1:15" ht="15.75" customHeight="1">
      <c r="A128" s="26">
        <v>43</v>
      </c>
      <c r="B128" s="27" t="s">
        <v>67</v>
      </c>
      <c r="C128" s="27"/>
      <c r="D128" s="27" t="s">
        <v>172</v>
      </c>
      <c r="E128" s="27"/>
      <c r="F128" s="27"/>
      <c r="G128" s="27"/>
      <c r="H128" s="27" t="s">
        <v>185</v>
      </c>
      <c r="I128" s="27"/>
      <c r="J128" s="27"/>
      <c r="K128" s="27"/>
      <c r="L128" s="27" t="s">
        <v>184</v>
      </c>
      <c r="M128" s="27"/>
      <c r="N128" s="27"/>
    </row>
    <row r="129" spans="1:15" ht="15.75" customHeight="1">
      <c r="A129" s="26">
        <v>44</v>
      </c>
      <c r="B129" s="27" t="s">
        <v>67</v>
      </c>
      <c r="C129" s="27"/>
      <c r="D129" s="27" t="s">
        <v>172</v>
      </c>
      <c r="E129" s="27"/>
      <c r="F129" s="27"/>
      <c r="G129" s="27"/>
      <c r="H129" s="27" t="s">
        <v>186</v>
      </c>
      <c r="I129" s="27"/>
      <c r="J129" s="27"/>
      <c r="K129" s="27"/>
      <c r="L129" s="27" t="s">
        <v>184</v>
      </c>
      <c r="M129" s="27"/>
      <c r="N129" s="27"/>
    </row>
    <row r="130" spans="1:15" ht="15.75" customHeight="1">
      <c r="A130" s="26">
        <v>49</v>
      </c>
      <c r="B130" s="27" t="s">
        <v>67</v>
      </c>
      <c r="C130" s="27"/>
      <c r="D130" s="27" t="s">
        <v>172</v>
      </c>
      <c r="E130" s="27"/>
      <c r="F130" s="27"/>
      <c r="G130" s="27"/>
      <c r="H130" s="27" t="s">
        <v>123</v>
      </c>
      <c r="I130" s="27"/>
      <c r="J130" s="27"/>
      <c r="K130" s="27"/>
      <c r="L130" s="27"/>
      <c r="M130" s="27"/>
      <c r="N130" s="27"/>
    </row>
    <row r="131" spans="1:15" ht="15.75" customHeight="1">
      <c r="A131" s="26">
        <v>5</v>
      </c>
      <c r="B131" s="27"/>
      <c r="C131" s="27"/>
      <c r="D131" s="27" t="s">
        <v>172</v>
      </c>
      <c r="E131" s="27"/>
      <c r="F131" s="27"/>
      <c r="G131" s="27"/>
      <c r="H131" s="27" t="s">
        <v>187</v>
      </c>
      <c r="I131" s="27"/>
      <c r="J131" s="27"/>
      <c r="K131" s="27"/>
      <c r="L131" s="27"/>
      <c r="M131" s="27"/>
      <c r="N131" s="27"/>
      <c r="O131" s="27"/>
    </row>
    <row r="132" spans="1:15" ht="15.75" customHeight="1">
      <c r="A132" s="26">
        <v>51</v>
      </c>
      <c r="B132" s="27" t="s">
        <v>86</v>
      </c>
      <c r="C132" s="27"/>
      <c r="D132" s="27" t="s">
        <v>172</v>
      </c>
      <c r="E132" s="27"/>
      <c r="F132" s="27"/>
      <c r="G132" s="27"/>
      <c r="H132" s="27" t="s">
        <v>188</v>
      </c>
      <c r="I132" s="27"/>
      <c r="J132" s="27"/>
      <c r="K132" s="27"/>
      <c r="L132" s="27"/>
      <c r="M132" s="27"/>
      <c r="N132" s="27"/>
      <c r="O132" s="27"/>
    </row>
    <row r="133" spans="1:15" ht="15.75" customHeight="1">
      <c r="A133" s="26">
        <v>54</v>
      </c>
      <c r="B133" s="27" t="s">
        <v>86</v>
      </c>
      <c r="C133" s="27"/>
      <c r="D133" s="27" t="s">
        <v>172</v>
      </c>
      <c r="E133" s="27"/>
      <c r="F133" s="27"/>
      <c r="G133" s="27"/>
      <c r="H133" s="27" t="s">
        <v>189</v>
      </c>
      <c r="I133" s="27"/>
      <c r="J133" s="27"/>
      <c r="K133" s="27"/>
      <c r="L133" s="27"/>
      <c r="M133" s="27"/>
      <c r="N133" s="27"/>
      <c r="O133" s="27"/>
    </row>
    <row r="134" spans="1:15" ht="15.75" customHeight="1">
      <c r="A134" s="26">
        <v>58</v>
      </c>
      <c r="B134" s="27" t="s">
        <v>86</v>
      </c>
      <c r="C134" s="27"/>
      <c r="D134" s="27" t="s">
        <v>172</v>
      </c>
      <c r="E134" s="27"/>
      <c r="F134" s="27"/>
      <c r="G134" s="27"/>
      <c r="H134" s="27" t="s">
        <v>190</v>
      </c>
      <c r="I134" s="27"/>
      <c r="J134" s="27"/>
      <c r="K134" s="27"/>
      <c r="L134" s="27"/>
      <c r="M134" s="27"/>
      <c r="N134" s="27"/>
      <c r="O134" s="27"/>
    </row>
    <row r="135" spans="1:15" ht="15.75" customHeight="1">
      <c r="A135" s="26">
        <v>59</v>
      </c>
      <c r="B135" s="27" t="s">
        <v>86</v>
      </c>
      <c r="C135" s="27"/>
      <c r="D135" s="27" t="s">
        <v>172</v>
      </c>
      <c r="E135" s="27"/>
      <c r="F135" s="27"/>
      <c r="G135" s="27"/>
      <c r="H135" s="27" t="s">
        <v>191</v>
      </c>
      <c r="I135" s="27"/>
      <c r="J135" s="27"/>
      <c r="K135" s="27"/>
      <c r="L135" s="27"/>
      <c r="M135" s="27"/>
      <c r="N135" s="27"/>
      <c r="O135" s="27"/>
    </row>
    <row r="136" spans="1:15" ht="15.75" customHeight="1">
      <c r="A136" s="26">
        <v>6</v>
      </c>
      <c r="B136" s="27"/>
      <c r="C136" s="27"/>
      <c r="D136" s="27" t="s">
        <v>172</v>
      </c>
      <c r="E136" s="27"/>
      <c r="F136" s="27"/>
      <c r="G136" s="27"/>
      <c r="H136" s="27" t="s">
        <v>192</v>
      </c>
      <c r="I136" s="27"/>
      <c r="J136" s="27"/>
      <c r="K136" s="27"/>
      <c r="L136" s="27"/>
      <c r="M136" s="27"/>
      <c r="N136" s="27"/>
      <c r="O136" s="27"/>
    </row>
    <row r="137" spans="1:15" ht="15.75" customHeight="1">
      <c r="A137" s="26">
        <v>61</v>
      </c>
      <c r="B137" s="27" t="s">
        <v>115</v>
      </c>
      <c r="C137" s="27"/>
      <c r="D137" s="27" t="s">
        <v>172</v>
      </c>
      <c r="E137" s="27"/>
      <c r="F137" s="27"/>
      <c r="G137" s="27"/>
      <c r="H137" s="27" t="s">
        <v>193</v>
      </c>
      <c r="I137" s="27"/>
      <c r="J137" s="27"/>
      <c r="K137" s="27"/>
      <c r="L137" s="27"/>
      <c r="M137" s="27"/>
      <c r="N137" s="27"/>
      <c r="O137" s="27"/>
    </row>
    <row r="138" spans="1:15" ht="15.75" customHeight="1">
      <c r="A138" s="26">
        <v>62</v>
      </c>
      <c r="B138" s="27" t="s">
        <v>115</v>
      </c>
      <c r="C138" s="27"/>
      <c r="D138" s="27" t="s">
        <v>172</v>
      </c>
      <c r="E138" s="27"/>
      <c r="F138" s="27"/>
      <c r="G138" s="27"/>
      <c r="H138" s="27" t="s">
        <v>194</v>
      </c>
      <c r="I138" s="27"/>
      <c r="J138" s="27"/>
      <c r="K138" s="27"/>
      <c r="L138" s="27"/>
      <c r="M138" s="27"/>
      <c r="N138" s="27"/>
      <c r="O138" s="27"/>
    </row>
    <row r="139" spans="1:15" ht="15.75" customHeight="1">
      <c r="A139" s="26">
        <v>63</v>
      </c>
      <c r="B139" s="27" t="s">
        <v>115</v>
      </c>
      <c r="C139" s="27"/>
      <c r="D139" s="27" t="s">
        <v>172</v>
      </c>
      <c r="E139" s="27"/>
      <c r="F139" s="27"/>
      <c r="G139" s="27"/>
      <c r="H139" s="27" t="s">
        <v>195</v>
      </c>
      <c r="I139" s="27"/>
      <c r="J139" s="27"/>
      <c r="K139" s="27"/>
      <c r="L139" s="27"/>
      <c r="M139" s="27"/>
      <c r="N139" s="27"/>
      <c r="O139" s="27"/>
    </row>
    <row r="140" spans="1:15" ht="15.75" customHeight="1">
      <c r="A140" s="26">
        <v>64</v>
      </c>
      <c r="B140" s="27" t="s">
        <v>115</v>
      </c>
      <c r="C140" s="27"/>
      <c r="D140" s="27" t="s">
        <v>172</v>
      </c>
      <c r="E140" s="27"/>
      <c r="F140" s="27"/>
      <c r="G140" s="27"/>
      <c r="H140" s="27" t="s">
        <v>196</v>
      </c>
      <c r="I140" s="27"/>
      <c r="J140" s="27"/>
      <c r="K140" s="27"/>
      <c r="L140" s="27"/>
      <c r="M140" s="27"/>
      <c r="N140" s="27"/>
      <c r="O140" s="27"/>
    </row>
    <row r="141" spans="1:15" ht="15.75" customHeight="1">
      <c r="A141" s="26">
        <v>65</v>
      </c>
      <c r="B141" s="27" t="s">
        <v>115</v>
      </c>
      <c r="C141" s="27"/>
      <c r="D141" s="27" t="s">
        <v>172</v>
      </c>
      <c r="E141" s="27"/>
      <c r="F141" s="27"/>
      <c r="G141" s="27"/>
      <c r="H141" s="27" t="s">
        <v>197</v>
      </c>
      <c r="I141" s="27"/>
      <c r="J141" s="27"/>
      <c r="K141" s="27"/>
      <c r="L141" s="27"/>
      <c r="M141" s="27"/>
      <c r="N141" s="27"/>
      <c r="O141" s="27"/>
    </row>
    <row r="142" spans="1:15" ht="15.75" customHeight="1">
      <c r="A142" s="26">
        <v>66</v>
      </c>
      <c r="B142" s="27" t="s">
        <v>115</v>
      </c>
      <c r="C142" s="27"/>
      <c r="D142" s="27" t="s">
        <v>172</v>
      </c>
      <c r="E142" s="27"/>
      <c r="F142" s="27"/>
      <c r="G142" s="27"/>
      <c r="H142" s="27" t="s">
        <v>198</v>
      </c>
      <c r="I142" s="27"/>
      <c r="J142" s="27"/>
      <c r="K142" s="27"/>
      <c r="L142" s="27"/>
      <c r="M142" s="27"/>
      <c r="N142" s="27"/>
      <c r="O142" s="27"/>
    </row>
    <row r="143" spans="1:15" ht="15.75" customHeight="1">
      <c r="A143" s="26">
        <v>661</v>
      </c>
      <c r="B143" s="27" t="s">
        <v>199</v>
      </c>
      <c r="C143" s="27"/>
      <c r="D143" s="27" t="s">
        <v>172</v>
      </c>
      <c r="E143" s="27"/>
      <c r="F143" s="27"/>
      <c r="G143" s="27"/>
      <c r="H143" s="27" t="s">
        <v>200</v>
      </c>
      <c r="I143" s="27"/>
      <c r="J143" s="27"/>
      <c r="K143" s="27"/>
      <c r="L143" s="27"/>
      <c r="M143" s="27"/>
      <c r="N143" s="27"/>
      <c r="O143" s="27"/>
    </row>
    <row r="144" spans="1:15" ht="15.75" customHeight="1">
      <c r="A144" s="26">
        <v>662</v>
      </c>
      <c r="B144" s="27" t="s">
        <v>199</v>
      </c>
      <c r="C144" s="27"/>
      <c r="D144" s="27" t="s">
        <v>172</v>
      </c>
      <c r="E144" s="27"/>
      <c r="F144" s="27"/>
      <c r="G144" s="27"/>
      <c r="H144" s="27" t="s">
        <v>201</v>
      </c>
      <c r="I144" s="27"/>
      <c r="J144" s="27"/>
      <c r="K144" s="27"/>
      <c r="L144" s="27"/>
      <c r="M144" s="27"/>
      <c r="N144" s="27"/>
      <c r="O144" s="27"/>
    </row>
    <row r="145" spans="1:15" ht="15.75" customHeight="1">
      <c r="A145" s="26">
        <v>663</v>
      </c>
      <c r="B145" s="27" t="s">
        <v>199</v>
      </c>
      <c r="C145" s="27"/>
      <c r="D145" s="27" t="s">
        <v>172</v>
      </c>
      <c r="E145" s="27"/>
      <c r="F145" s="27"/>
      <c r="G145" s="27"/>
      <c r="H145" s="27" t="s">
        <v>202</v>
      </c>
      <c r="I145" s="27"/>
      <c r="J145" s="27"/>
      <c r="K145" s="27"/>
      <c r="L145" s="27"/>
      <c r="M145" s="27"/>
      <c r="N145" s="27"/>
      <c r="O145" s="27"/>
    </row>
    <row r="146" spans="1:15" ht="15.75" customHeight="1">
      <c r="A146" s="26">
        <v>67</v>
      </c>
      <c r="B146" s="27" t="s">
        <v>115</v>
      </c>
      <c r="C146" s="27"/>
      <c r="D146" s="27" t="s">
        <v>172</v>
      </c>
      <c r="E146" s="27"/>
      <c r="F146" s="27"/>
      <c r="G146" s="27"/>
      <c r="H146" s="27" t="s">
        <v>203</v>
      </c>
      <c r="I146" s="27"/>
      <c r="J146" s="27"/>
      <c r="K146" s="27"/>
      <c r="L146" s="27"/>
      <c r="M146" s="27"/>
      <c r="N146" s="27"/>
      <c r="O146" s="27"/>
    </row>
    <row r="147" spans="1:15">
      <c r="A147" s="26">
        <v>69</v>
      </c>
      <c r="B147" s="27" t="s">
        <v>115</v>
      </c>
      <c r="C147" s="27"/>
      <c r="D147" s="27" t="s">
        <v>172</v>
      </c>
      <c r="E147" s="27"/>
      <c r="F147" s="27"/>
      <c r="G147" s="27"/>
      <c r="H147" s="27" t="s">
        <v>204</v>
      </c>
      <c r="I147" s="27"/>
      <c r="J147" s="27"/>
      <c r="K147" s="27"/>
      <c r="L147" s="27"/>
      <c r="M147" s="27"/>
      <c r="N147" s="27"/>
      <c r="O147" s="27"/>
    </row>
    <row r="148" spans="1:15">
      <c r="A148" s="26">
        <v>7</v>
      </c>
      <c r="B148" s="27"/>
      <c r="C148" s="27"/>
      <c r="D148" s="27" t="s">
        <v>172</v>
      </c>
      <c r="E148" s="27"/>
      <c r="F148" s="27"/>
      <c r="G148" s="27"/>
      <c r="H148" s="27" t="s">
        <v>205</v>
      </c>
      <c r="I148" s="27"/>
      <c r="J148" s="27"/>
      <c r="K148" s="27"/>
      <c r="L148" s="27" t="s">
        <v>206</v>
      </c>
      <c r="M148" s="27"/>
      <c r="N148" s="27"/>
    </row>
    <row r="149" spans="1:15">
      <c r="A149" s="26">
        <v>71</v>
      </c>
      <c r="B149" s="27" t="s">
        <v>130</v>
      </c>
      <c r="C149" s="27"/>
      <c r="D149" s="27" t="s">
        <v>172</v>
      </c>
      <c r="E149" s="27"/>
      <c r="F149" s="27"/>
      <c r="G149" s="27"/>
      <c r="H149" s="27" t="s">
        <v>207</v>
      </c>
      <c r="I149" s="27"/>
      <c r="J149" s="27"/>
      <c r="K149" s="27"/>
      <c r="L149" s="27"/>
      <c r="M149" s="27"/>
      <c r="N149" s="27"/>
      <c r="O149" s="27"/>
    </row>
    <row r="150" spans="1:15" ht="15.75" customHeight="1">
      <c r="A150" s="26">
        <v>72</v>
      </c>
      <c r="B150" s="27" t="s">
        <v>130</v>
      </c>
      <c r="C150" s="27"/>
      <c r="D150" s="27" t="s">
        <v>172</v>
      </c>
      <c r="E150" s="27"/>
      <c r="F150" s="27"/>
      <c r="G150" s="27"/>
      <c r="H150" s="27" t="s">
        <v>208</v>
      </c>
      <c r="I150" s="27"/>
      <c r="J150" s="27"/>
      <c r="K150" s="27"/>
      <c r="L150" s="27"/>
      <c r="M150" s="27"/>
      <c r="N150" s="27"/>
      <c r="O150" s="27"/>
    </row>
    <row r="151" spans="1:15" ht="15.75" customHeight="1">
      <c r="A151" s="26">
        <v>73</v>
      </c>
      <c r="B151" s="27" t="s">
        <v>130</v>
      </c>
      <c r="C151" s="27"/>
      <c r="D151" s="27" t="s">
        <v>172</v>
      </c>
      <c r="E151" s="27"/>
      <c r="F151" s="27"/>
      <c r="G151" s="27"/>
      <c r="H151" s="27" t="s">
        <v>209</v>
      </c>
      <c r="I151" s="27"/>
      <c r="J151" s="27"/>
      <c r="K151" s="27"/>
      <c r="L151" s="27"/>
      <c r="M151" s="27"/>
      <c r="N151" s="27"/>
      <c r="O151" s="27"/>
    </row>
    <row r="152" spans="1:15" ht="15.75" customHeight="1">
      <c r="A152" s="26">
        <v>74</v>
      </c>
      <c r="B152" s="27" t="s">
        <v>130</v>
      </c>
      <c r="C152" s="27"/>
      <c r="D152" s="27" t="s">
        <v>172</v>
      </c>
      <c r="E152" s="27"/>
      <c r="F152" s="27"/>
      <c r="G152" s="27"/>
      <c r="H152" s="27" t="s">
        <v>210</v>
      </c>
      <c r="I152" s="27"/>
      <c r="J152" s="27"/>
      <c r="K152" s="27"/>
      <c r="L152" s="27"/>
      <c r="M152" s="27"/>
      <c r="N152" s="27"/>
      <c r="O152" s="27"/>
    </row>
    <row r="153" spans="1:15" ht="15.75" customHeight="1">
      <c r="A153" s="26">
        <v>75</v>
      </c>
      <c r="B153" s="27" t="s">
        <v>130</v>
      </c>
      <c r="C153" s="27"/>
      <c r="D153" s="27" t="s">
        <v>172</v>
      </c>
      <c r="E153" s="27"/>
      <c r="F153" s="27"/>
      <c r="G153" s="27"/>
      <c r="H153" s="27" t="s">
        <v>211</v>
      </c>
      <c r="I153" s="27"/>
      <c r="J153" s="27"/>
      <c r="K153" s="27"/>
      <c r="L153" s="27"/>
      <c r="M153" s="27"/>
      <c r="N153" s="27"/>
      <c r="O153" s="27"/>
    </row>
    <row r="154" spans="1:15" ht="15.75" customHeight="1">
      <c r="A154" s="26">
        <v>77</v>
      </c>
      <c r="B154" s="27" t="s">
        <v>130</v>
      </c>
      <c r="C154" s="27"/>
      <c r="D154" s="27" t="s">
        <v>172</v>
      </c>
      <c r="E154" s="27"/>
      <c r="F154" s="27"/>
      <c r="G154" s="27"/>
      <c r="H154" s="27" t="s">
        <v>212</v>
      </c>
      <c r="I154" s="27"/>
      <c r="J154" s="27"/>
      <c r="K154" s="27"/>
      <c r="L154" s="27"/>
      <c r="M154" s="27"/>
      <c r="N154" s="27"/>
      <c r="O154" s="27"/>
    </row>
    <row r="155" spans="1:15" ht="15.75" customHeight="1">
      <c r="A155" s="26">
        <v>78</v>
      </c>
      <c r="B155" s="27" t="s">
        <v>130</v>
      </c>
      <c r="C155" s="27"/>
      <c r="D155" s="27" t="s">
        <v>172</v>
      </c>
      <c r="E155" s="27"/>
      <c r="F155" s="27"/>
      <c r="G155" s="27"/>
      <c r="H155" s="27" t="s">
        <v>213</v>
      </c>
      <c r="I155" s="27"/>
      <c r="J155" s="27"/>
      <c r="K155" s="27"/>
      <c r="L155" s="27"/>
      <c r="M155" s="27"/>
      <c r="N155" s="27"/>
      <c r="O155" s="27"/>
    </row>
    <row r="156" spans="1:15" ht="15.75" customHeight="1">
      <c r="A156" s="26">
        <v>79</v>
      </c>
      <c r="B156" s="27" t="s">
        <v>130</v>
      </c>
      <c r="C156" s="27"/>
      <c r="D156" s="27" t="s">
        <v>172</v>
      </c>
      <c r="E156" s="27"/>
      <c r="F156" s="27"/>
      <c r="G156" s="27"/>
      <c r="H156" s="27" t="s">
        <v>214</v>
      </c>
      <c r="I156" s="27"/>
      <c r="J156" s="27"/>
      <c r="K156" s="27"/>
      <c r="L156" s="27"/>
      <c r="M156" s="27"/>
      <c r="N156" s="27"/>
      <c r="O156" s="27"/>
    </row>
    <row r="157" spans="1:15" ht="15.75" customHeight="1">
      <c r="A157" s="26">
        <v>8</v>
      </c>
      <c r="B157" s="27"/>
      <c r="C157" s="27"/>
      <c r="D157" s="27" t="s">
        <v>172</v>
      </c>
      <c r="E157" s="27"/>
      <c r="F157" s="27"/>
      <c r="G157" s="27"/>
      <c r="H157" s="27" t="s">
        <v>215</v>
      </c>
      <c r="I157" s="27"/>
      <c r="J157" s="27"/>
      <c r="K157" s="27"/>
      <c r="L157" s="27"/>
      <c r="M157" s="27"/>
      <c r="N157" s="27"/>
      <c r="O157" s="27"/>
    </row>
    <row r="158" spans="1:15" ht="15.75" customHeight="1">
      <c r="A158" s="26">
        <v>81</v>
      </c>
      <c r="B158" s="27" t="s">
        <v>153</v>
      </c>
      <c r="C158" s="27"/>
      <c r="D158" s="27" t="s">
        <v>172</v>
      </c>
      <c r="E158" s="27"/>
      <c r="F158" s="27"/>
      <c r="G158" s="27"/>
      <c r="H158" s="27" t="s">
        <v>216</v>
      </c>
      <c r="I158" s="27"/>
      <c r="J158" s="27"/>
      <c r="K158" s="27"/>
      <c r="L158" s="27"/>
      <c r="M158" s="27"/>
      <c r="N158" s="27"/>
      <c r="O158" s="27"/>
    </row>
    <row r="159" spans="1:15" ht="15.75" customHeight="1">
      <c r="A159" s="26">
        <v>9</v>
      </c>
      <c r="B159" s="27"/>
      <c r="C159" s="27"/>
      <c r="D159" s="27" t="s">
        <v>172</v>
      </c>
      <c r="E159" s="27"/>
      <c r="F159" s="27"/>
      <c r="G159" s="27"/>
      <c r="H159" s="27" t="s">
        <v>217</v>
      </c>
      <c r="I159" s="27"/>
      <c r="J159" s="27"/>
      <c r="K159" s="27"/>
      <c r="L159" s="27"/>
      <c r="M159" s="27"/>
      <c r="N159" s="27"/>
      <c r="O159" s="27"/>
    </row>
    <row r="160" spans="1:15" ht="15.75" customHeight="1">
      <c r="A160" s="26">
        <v>91</v>
      </c>
      <c r="B160" s="27" t="s">
        <v>161</v>
      </c>
      <c r="C160" s="27"/>
      <c r="D160" s="27" t="s">
        <v>172</v>
      </c>
      <c r="E160" s="27"/>
      <c r="F160" s="27"/>
      <c r="G160" s="27"/>
      <c r="H160" s="27" t="s">
        <v>218</v>
      </c>
      <c r="I160" s="27"/>
      <c r="J160" s="27"/>
      <c r="K160" s="27"/>
      <c r="L160" s="27"/>
      <c r="M160" s="27"/>
      <c r="N160" s="27"/>
      <c r="O160" s="27"/>
    </row>
    <row r="161" spans="1:15" ht="15.75" customHeight="1">
      <c r="A161" s="26">
        <v>92</v>
      </c>
      <c r="B161" s="27" t="s">
        <v>161</v>
      </c>
      <c r="C161" s="27"/>
      <c r="D161" s="27" t="s">
        <v>172</v>
      </c>
      <c r="E161" s="27"/>
      <c r="F161" s="27"/>
      <c r="G161" s="27"/>
      <c r="H161" s="27" t="s">
        <v>219</v>
      </c>
      <c r="I161" s="27"/>
      <c r="J161" s="27"/>
      <c r="K161" s="27"/>
      <c r="L161" s="27"/>
      <c r="M161" s="27"/>
      <c r="N161" s="27"/>
      <c r="O161" s="27"/>
    </row>
    <row r="162" spans="1:15" ht="15.75" customHeight="1">
      <c r="A162" s="26">
        <v>93</v>
      </c>
      <c r="B162" s="27" t="s">
        <v>161</v>
      </c>
      <c r="C162" s="27"/>
      <c r="D162" s="27" t="s">
        <v>172</v>
      </c>
      <c r="E162" s="27"/>
      <c r="F162" s="27"/>
      <c r="G162" s="27"/>
      <c r="H162" s="27" t="s">
        <v>220</v>
      </c>
      <c r="I162" s="27"/>
      <c r="J162" s="27"/>
      <c r="K162" s="27"/>
      <c r="L162" s="27"/>
      <c r="M162" s="27"/>
      <c r="N162" s="27"/>
      <c r="O162" s="27"/>
    </row>
    <row r="163" spans="1:15" ht="15.75" customHeight="1">
      <c r="A163" s="26">
        <v>94</v>
      </c>
      <c r="B163" s="27" t="s">
        <v>161</v>
      </c>
      <c r="C163" s="27"/>
      <c r="D163" s="27" t="s">
        <v>172</v>
      </c>
      <c r="E163" s="27"/>
      <c r="F163" s="27"/>
      <c r="G163" s="27"/>
      <c r="H163" s="27" t="s">
        <v>221</v>
      </c>
      <c r="I163" s="27"/>
      <c r="J163" s="27"/>
      <c r="K163" s="27"/>
      <c r="L163" s="27"/>
      <c r="M163" s="27"/>
      <c r="N163" s="27"/>
      <c r="O163" s="27"/>
    </row>
    <row r="164" spans="1:15" ht="15.75" customHeight="1">
      <c r="A164" s="26">
        <v>95</v>
      </c>
      <c r="B164" s="27" t="s">
        <v>161</v>
      </c>
      <c r="C164" s="27"/>
      <c r="D164" s="27" t="s">
        <v>172</v>
      </c>
      <c r="E164" s="27"/>
      <c r="F164" s="27"/>
      <c r="G164" s="27"/>
      <c r="H164" s="27" t="s">
        <v>222</v>
      </c>
      <c r="I164" s="27"/>
      <c r="J164" s="27"/>
      <c r="K164" s="27"/>
      <c r="L164" s="27"/>
      <c r="M164" s="27"/>
      <c r="N164" s="27"/>
      <c r="O164" s="27"/>
    </row>
    <row r="165" spans="1:15" ht="15.75" customHeight="1">
      <c r="A165" s="26">
        <v>96</v>
      </c>
      <c r="B165" s="27" t="s">
        <v>161</v>
      </c>
      <c r="C165" s="27"/>
      <c r="D165" s="27" t="s">
        <v>172</v>
      </c>
      <c r="E165" s="27"/>
      <c r="F165" s="27"/>
      <c r="G165" s="27"/>
      <c r="H165" s="27" t="s">
        <v>223</v>
      </c>
      <c r="I165" s="27"/>
      <c r="J165" s="27"/>
      <c r="K165" s="27"/>
      <c r="L165" s="27"/>
      <c r="M165" s="27"/>
      <c r="N165" s="27"/>
      <c r="O165" s="27"/>
    </row>
    <row r="166" spans="1:15" ht="15.75" customHeight="1">
      <c r="A166" s="26">
        <v>97</v>
      </c>
      <c r="B166" s="27" t="s">
        <v>161</v>
      </c>
      <c r="C166" s="27"/>
      <c r="D166" s="27" t="s">
        <v>172</v>
      </c>
      <c r="E166" s="27"/>
      <c r="F166" s="27"/>
      <c r="G166" s="27"/>
      <c r="H166" s="27" t="s">
        <v>224</v>
      </c>
      <c r="I166" s="27"/>
      <c r="J166" s="27"/>
      <c r="K166" s="27"/>
      <c r="L166" s="27"/>
      <c r="M166" s="27"/>
      <c r="N166" s="27"/>
      <c r="O166" s="27"/>
    </row>
    <row r="167" spans="1:15" ht="15.75" customHeight="1">
      <c r="A167" s="26">
        <v>98</v>
      </c>
      <c r="B167" s="27" t="s">
        <v>161</v>
      </c>
      <c r="C167" s="27"/>
      <c r="D167" s="27" t="s">
        <v>172</v>
      </c>
      <c r="E167" s="27"/>
      <c r="F167" s="27"/>
      <c r="G167" s="27"/>
      <c r="H167" s="27" t="s">
        <v>225</v>
      </c>
      <c r="I167" s="27"/>
      <c r="J167" s="27"/>
      <c r="K167" s="27"/>
      <c r="L167" s="27"/>
      <c r="M167" s="27"/>
      <c r="N167" s="27"/>
      <c r="O167" s="27"/>
    </row>
    <row r="168" spans="1:15" ht="15.75" customHeight="1">
      <c r="A168" s="26">
        <v>99</v>
      </c>
      <c r="B168" s="27" t="s">
        <v>161</v>
      </c>
      <c r="C168" s="27"/>
      <c r="D168" s="27" t="s">
        <v>172</v>
      </c>
      <c r="E168" s="27"/>
      <c r="F168" s="27"/>
      <c r="G168" s="27"/>
      <c r="H168" s="27" t="s">
        <v>226</v>
      </c>
      <c r="I168" s="27"/>
      <c r="J168" s="27"/>
      <c r="K168" s="27"/>
      <c r="L168" s="27"/>
      <c r="M168" s="27"/>
      <c r="N168" s="27"/>
      <c r="O168" s="27"/>
    </row>
    <row r="169" spans="1:15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</row>
    <row r="170" spans="1:15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</row>
    <row r="171" spans="1:15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</row>
    <row r="172" spans="1:15" ht="15.75" customHeight="1">
      <c r="A172" s="27"/>
      <c r="B172" s="27"/>
      <c r="C172" s="27"/>
      <c r="D172" s="27"/>
      <c r="E172" s="27"/>
      <c r="F172" s="27"/>
      <c r="G172" s="27"/>
      <c r="H172" s="27"/>
      <c r="I172" s="30"/>
      <c r="J172" s="27"/>
      <c r="K172" s="27"/>
      <c r="L172" s="27"/>
      <c r="M172" s="27"/>
      <c r="N172" s="27"/>
      <c r="O172" s="27"/>
    </row>
    <row r="173" spans="1:15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</row>
    <row r="174" spans="1:15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</row>
    <row r="175" spans="1:1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</row>
    <row r="176" spans="1:15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</row>
    <row r="177" spans="1:15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</row>
    <row r="178" spans="1:15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</row>
    <row r="179" spans="1:15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</row>
    <row r="180" spans="1:15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</row>
    <row r="181" spans="1:15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</row>
    <row r="182" spans="1:15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</row>
    <row r="183" spans="1:15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</row>
    <row r="184" spans="1:15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</row>
    <row r="185" spans="1:1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</row>
    <row r="186" spans="1:15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</row>
    <row r="187" spans="1:15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</row>
    <row r="188" spans="1:15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</row>
    <row r="189" spans="1:15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</row>
    <row r="190" spans="1:15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</row>
    <row r="191" spans="1:15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</row>
    <row r="192" spans="1:15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</row>
    <row r="193" spans="1:15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</row>
    <row r="194" spans="1:15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</row>
    <row r="195" spans="1:1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</row>
    <row r="196" spans="1:15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</row>
    <row r="197" spans="1:15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</row>
    <row r="198" spans="1:15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</row>
    <row r="199" spans="1:15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</row>
    <row r="200" spans="1:15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</row>
    <row r="201" spans="1:15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</row>
    <row r="202" spans="1:15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</row>
    <row r="203" spans="1:15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</row>
    <row r="204" spans="1:15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</row>
    <row r="205" spans="1:1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</row>
    <row r="206" spans="1:15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</row>
    <row r="207" spans="1:15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</row>
    <row r="208" spans="1:15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</row>
    <row r="209" spans="1:15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</row>
    <row r="210" spans="1:15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</row>
    <row r="211" spans="1:15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</row>
    <row r="212" spans="1:15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</row>
    <row r="213" spans="1:15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</row>
    <row r="214" spans="1:15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</row>
    <row r="215" spans="1: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</row>
    <row r="216" spans="1:15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</row>
    <row r="217" spans="1:15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</row>
    <row r="218" spans="1:15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</row>
    <row r="219" spans="1:15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</row>
    <row r="220" spans="1:15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</row>
    <row r="221" spans="1:15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</row>
    <row r="222" spans="1:15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</row>
    <row r="223" spans="1:15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</row>
    <row r="224" spans="1:15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</row>
    <row r="225" spans="1:1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</row>
    <row r="226" spans="1:15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</row>
    <row r="227" spans="1:15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</row>
    <row r="228" spans="1:15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</row>
    <row r="229" spans="1:15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</row>
    <row r="230" spans="1:15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</row>
    <row r="231" spans="1:15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</row>
    <row r="232" spans="1:15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</row>
    <row r="233" spans="1:15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</row>
    <row r="234" spans="1:15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</row>
    <row r="235" spans="1:1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</row>
    <row r="236" spans="1:15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</row>
    <row r="237" spans="1:15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</row>
    <row r="238" spans="1:15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</row>
    <row r="239" spans="1:15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</row>
    <row r="240" spans="1:15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</row>
    <row r="241" spans="1:15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</row>
    <row r="242" spans="1:15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</row>
    <row r="243" spans="1:15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</row>
    <row r="244" spans="1:15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</row>
    <row r="245" spans="1:1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</row>
    <row r="246" spans="1:15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</row>
    <row r="247" spans="1:15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</row>
    <row r="248" spans="1:15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</row>
    <row r="249" spans="1:15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</row>
    <row r="250" spans="1:15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</row>
    <row r="251" spans="1:15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</row>
    <row r="252" spans="1:15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</row>
    <row r="253" spans="1:15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</row>
    <row r="254" spans="1:15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</row>
    <row r="255" spans="1:1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</row>
    <row r="256" spans="1:15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</row>
    <row r="257" spans="1:15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</row>
    <row r="258" spans="1:15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</row>
    <row r="259" spans="1:15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</row>
    <row r="260" spans="1:15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</row>
    <row r="261" spans="1:15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</row>
    <row r="262" spans="1:15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</row>
    <row r="263" spans="1:15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</row>
    <row r="264" spans="1:15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</row>
    <row r="265" spans="1:1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</row>
    <row r="266" spans="1:15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</row>
    <row r="267" spans="1:15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</row>
    <row r="268" spans="1:15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</row>
    <row r="269" spans="1:15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</row>
    <row r="270" spans="1:15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</row>
    <row r="271" spans="1:15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</row>
    <row r="272" spans="1:15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</row>
    <row r="273" spans="1:15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</row>
    <row r="274" spans="1:15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</row>
    <row r="275" spans="1:1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</row>
    <row r="276" spans="1:15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</row>
    <row r="277" spans="1:15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</row>
    <row r="278" spans="1:15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</row>
    <row r="279" spans="1:15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</row>
    <row r="280" spans="1:15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</row>
    <row r="281" spans="1:15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</row>
    <row r="282" spans="1:15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</row>
    <row r="283" spans="1:15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</row>
    <row r="284" spans="1:15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</row>
    <row r="285" spans="1:1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</row>
    <row r="286" spans="1:15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</row>
    <row r="287" spans="1:15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</row>
    <row r="288" spans="1:15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</row>
    <row r="289" spans="1:15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</row>
    <row r="290" spans="1:15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</row>
    <row r="291" spans="1:15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</row>
    <row r="292" spans="1:15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</row>
    <row r="293" spans="1:15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</row>
    <row r="294" spans="1:15" ht="15.75" customHeight="1">
      <c r="A294" s="27"/>
      <c r="B294" s="27"/>
      <c r="C294" s="27"/>
      <c r="D294" s="27"/>
      <c r="E294" s="27"/>
      <c r="F294" s="27"/>
      <c r="G294" s="27"/>
      <c r="H294" s="27"/>
      <c r="I294" s="31"/>
      <c r="J294" s="27"/>
      <c r="K294" s="27"/>
      <c r="L294" s="27"/>
      <c r="M294" s="27"/>
      <c r="N294" s="27"/>
      <c r="O294" s="27"/>
    </row>
    <row r="295" spans="1:1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</row>
    <row r="296" spans="1:15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</row>
    <row r="297" spans="1:15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</row>
    <row r="298" spans="1:15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</row>
    <row r="299" spans="1:15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</row>
    <row r="300" spans="1:15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</row>
    <row r="301" spans="1:15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</row>
    <row r="302" spans="1:15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</row>
    <row r="303" spans="1:15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</row>
    <row r="304" spans="1:15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</row>
    <row r="305" spans="1:1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</row>
    <row r="306" spans="1:15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</row>
    <row r="307" spans="1:15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</row>
    <row r="308" spans="1:15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</row>
    <row r="309" spans="1:15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</row>
    <row r="310" spans="1:15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</row>
    <row r="311" spans="1:15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</row>
    <row r="312" spans="1:15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</row>
    <row r="313" spans="1:15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</row>
    <row r="314" spans="1:15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</row>
    <row r="315" spans="1: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</row>
    <row r="316" spans="1:15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</row>
    <row r="317" spans="1:15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</row>
    <row r="318" spans="1:15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</row>
    <row r="319" spans="1:15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</row>
    <row r="320" spans="1:15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</row>
    <row r="321" spans="1:15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</row>
    <row r="322" spans="1:15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</row>
    <row r="323" spans="1:15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</row>
    <row r="324" spans="1:15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</row>
    <row r="325" spans="1:1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</row>
    <row r="326" spans="1:15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</row>
    <row r="327" spans="1:15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</row>
    <row r="328" spans="1:15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</row>
    <row r="329" spans="1:15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</row>
    <row r="330" spans="1:15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</row>
    <row r="331" spans="1:15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</row>
    <row r="332" spans="1:15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</row>
    <row r="333" spans="1:15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</row>
    <row r="334" spans="1:15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</row>
    <row r="335" spans="1:1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</row>
    <row r="336" spans="1:15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</row>
    <row r="337" spans="1:15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</row>
    <row r="338" spans="1:15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</row>
    <row r="339" spans="1:15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</row>
    <row r="340" spans="1:15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</row>
    <row r="341" spans="1:15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</row>
    <row r="342" spans="1:15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</row>
    <row r="343" spans="1:15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</row>
    <row r="344" spans="1:15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</row>
    <row r="345" spans="1:1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</row>
    <row r="346" spans="1:15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</row>
    <row r="347" spans="1:15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</row>
    <row r="348" spans="1:15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</row>
    <row r="349" spans="1:15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</row>
    <row r="350" spans="1:15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</row>
    <row r="351" spans="1:15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</row>
    <row r="352" spans="1:15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</row>
    <row r="353" spans="1:15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</row>
    <row r="354" spans="1:15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</row>
    <row r="355" spans="1:1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</row>
    <row r="356" spans="1:15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</row>
    <row r="357" spans="1:15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</row>
    <row r="358" spans="1:15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</row>
    <row r="359" spans="1:15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</row>
    <row r="360" spans="1:15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</row>
    <row r="361" spans="1:15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</row>
    <row r="362" spans="1:15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</row>
    <row r="363" spans="1:15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</row>
    <row r="364" spans="1:15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</row>
    <row r="365" spans="1:1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</row>
    <row r="366" spans="1:15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</row>
    <row r="367" spans="1:15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</row>
    <row r="368" spans="1:15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</row>
    <row r="369" spans="1:15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</row>
    <row r="370" spans="1:15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</row>
    <row r="371" spans="1:15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</row>
    <row r="372" spans="1:15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</row>
    <row r="373" spans="1:15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</row>
    <row r="374" spans="1:15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</row>
    <row r="375" spans="1:1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</row>
    <row r="376" spans="1:15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</row>
    <row r="377" spans="1:15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</row>
    <row r="378" spans="1:15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</row>
    <row r="379" spans="1:15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</row>
    <row r="380" spans="1:15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</row>
    <row r="381" spans="1:15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</row>
    <row r="382" spans="1:15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</row>
    <row r="383" spans="1:15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</row>
    <row r="384" spans="1:15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</row>
    <row r="385" spans="1:1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</row>
    <row r="386" spans="1:15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</row>
    <row r="387" spans="1:15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</row>
    <row r="388" spans="1:15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</row>
    <row r="389" spans="1:15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</row>
    <row r="390" spans="1:15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</row>
    <row r="391" spans="1:15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</row>
    <row r="392" spans="1:15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</row>
    <row r="393" spans="1:15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</row>
    <row r="394" spans="1:15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</row>
    <row r="395" spans="1:1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</row>
    <row r="396" spans="1:15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</row>
    <row r="397" spans="1:15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</row>
    <row r="398" spans="1:15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</row>
    <row r="399" spans="1:15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</row>
    <row r="400" spans="1:15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</row>
    <row r="401" spans="1:15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</row>
    <row r="402" spans="1:15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</row>
    <row r="403" spans="1:15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</row>
    <row r="404" spans="1:15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</row>
    <row r="405" spans="1:1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</row>
    <row r="406" spans="1:15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</row>
    <row r="407" spans="1:15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</row>
    <row r="408" spans="1:15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</row>
    <row r="409" spans="1:15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</row>
    <row r="410" spans="1:15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</row>
    <row r="411" spans="1:15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</row>
    <row r="412" spans="1:15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</row>
    <row r="413" spans="1:15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</row>
    <row r="414" spans="1:15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</row>
    <row r="415" spans="1: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</row>
    <row r="416" spans="1:15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</row>
    <row r="417" spans="1:15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</row>
    <row r="418" spans="1:15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</row>
    <row r="419" spans="1:15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</row>
    <row r="420" spans="1:15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</row>
    <row r="421" spans="1:15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</row>
    <row r="422" spans="1:15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</row>
    <row r="423" spans="1:15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</row>
    <row r="424" spans="1:15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</row>
    <row r="425" spans="1:1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</row>
    <row r="426" spans="1:15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</row>
    <row r="427" spans="1:15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</row>
    <row r="428" spans="1:15" ht="15.75" customHeight="1">
      <c r="A428" s="30"/>
      <c r="B428" s="30"/>
      <c r="C428" s="27"/>
      <c r="D428" s="27"/>
      <c r="E428" s="27"/>
      <c r="F428" s="27"/>
      <c r="G428" s="27"/>
      <c r="H428" s="30"/>
      <c r="I428" s="30"/>
      <c r="J428" s="30"/>
      <c r="K428" s="30"/>
      <c r="L428" s="27"/>
      <c r="M428" s="27"/>
      <c r="N428" s="27"/>
      <c r="O428" s="30"/>
    </row>
    <row r="429" spans="1:15" ht="15.75" customHeight="1">
      <c r="A429" s="30"/>
      <c r="B429" s="30"/>
      <c r="C429" s="27"/>
      <c r="D429" s="27"/>
      <c r="E429" s="27"/>
      <c r="F429" s="27"/>
      <c r="G429" s="27"/>
      <c r="H429" s="30"/>
      <c r="I429" s="30"/>
      <c r="J429" s="30"/>
      <c r="K429" s="30"/>
      <c r="L429" s="27"/>
      <c r="M429" s="27"/>
      <c r="N429" s="27"/>
      <c r="O429" s="30"/>
    </row>
    <row r="430" spans="1:15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</row>
    <row r="431" spans="1:15" ht="15.75" customHeight="1">
      <c r="A431" s="30"/>
      <c r="B431" s="30"/>
      <c r="C431" s="27"/>
      <c r="D431" s="27"/>
      <c r="E431" s="27"/>
      <c r="F431" s="27"/>
      <c r="G431" s="27"/>
      <c r="H431" s="32"/>
      <c r="I431" s="27"/>
      <c r="J431" s="27"/>
      <c r="K431" s="30"/>
      <c r="L431" s="27"/>
      <c r="M431" s="27"/>
      <c r="N431" s="27"/>
      <c r="O431" s="30"/>
    </row>
    <row r="432" spans="1:15" ht="15.75" customHeight="1">
      <c r="A432" s="30"/>
      <c r="B432" s="30"/>
      <c r="C432" s="27"/>
      <c r="D432" s="27"/>
      <c r="E432" s="27"/>
      <c r="F432" s="27"/>
      <c r="G432" s="27"/>
      <c r="H432" s="32"/>
      <c r="I432" s="27"/>
      <c r="J432" s="27"/>
      <c r="K432" s="27"/>
      <c r="L432" s="27"/>
      <c r="M432" s="27"/>
      <c r="N432" s="27"/>
      <c r="O432" s="30"/>
    </row>
    <row r="433" spans="1:15" ht="15.75" customHeight="1">
      <c r="A433" s="30"/>
      <c r="B433" s="30"/>
      <c r="C433" s="27"/>
      <c r="D433" s="27"/>
      <c r="E433" s="27"/>
      <c r="F433" s="27"/>
      <c r="G433" s="27"/>
      <c r="H433" s="32"/>
      <c r="I433" s="27"/>
      <c r="J433" s="27"/>
      <c r="K433" s="27"/>
      <c r="L433" s="27"/>
      <c r="M433" s="27"/>
      <c r="N433" s="27"/>
      <c r="O433" s="30"/>
    </row>
    <row r="434" spans="1:15" ht="15.75" customHeight="1">
      <c r="A434" s="30"/>
      <c r="B434" s="30"/>
      <c r="C434" s="27"/>
      <c r="D434" s="27"/>
      <c r="E434" s="27"/>
      <c r="F434" s="27"/>
      <c r="G434" s="27"/>
      <c r="H434" s="32"/>
      <c r="I434" s="27"/>
      <c r="J434" s="27"/>
      <c r="K434" s="27"/>
      <c r="L434" s="27"/>
      <c r="M434" s="27"/>
      <c r="N434" s="27"/>
      <c r="O434" s="30"/>
    </row>
    <row r="435" spans="1:15" ht="15.75" customHeight="1">
      <c r="A435" s="30"/>
      <c r="B435" s="30"/>
      <c r="C435" s="27"/>
      <c r="D435" s="27"/>
      <c r="E435" s="27"/>
      <c r="F435" s="27"/>
      <c r="G435" s="27"/>
      <c r="H435" s="30"/>
      <c r="I435" s="30"/>
      <c r="J435" s="30"/>
      <c r="K435" s="27"/>
      <c r="L435" s="27"/>
      <c r="M435" s="27"/>
      <c r="N435" s="27"/>
      <c r="O435" s="30"/>
    </row>
    <row r="436" spans="1:15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</row>
    <row r="437" spans="1:15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</row>
    <row r="438" spans="1:15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</row>
    <row r="439" spans="1:15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</row>
    <row r="440" spans="1:15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</row>
    <row r="441" spans="1:15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</row>
    <row r="442" spans="1:15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</row>
    <row r="443" spans="1:15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</row>
    <row r="444" spans="1:15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</row>
    <row r="445" spans="1:1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</row>
    <row r="446" spans="1:15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</row>
    <row r="447" spans="1:15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</row>
    <row r="448" spans="1:15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</row>
    <row r="449" spans="1:15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</row>
    <row r="450" spans="1:15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</row>
    <row r="451" spans="1:15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</row>
    <row r="452" spans="1:15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</row>
    <row r="453" spans="1:15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</row>
    <row r="454" spans="1:15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</row>
    <row r="455" spans="1:1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</row>
    <row r="456" spans="1:15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</row>
    <row r="457" spans="1:15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</row>
    <row r="458" spans="1:15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</row>
    <row r="459" spans="1:15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</row>
    <row r="460" spans="1:15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</row>
    <row r="461" spans="1:15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</row>
    <row r="462" spans="1:15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</row>
    <row r="463" spans="1:15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</row>
    <row r="464" spans="1:15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</row>
    <row r="465" spans="1:1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</row>
    <row r="466" spans="1:15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</row>
    <row r="467" spans="1:15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</row>
    <row r="468" spans="1:15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</row>
  </sheetData>
  <dataValidations count="3">
    <dataValidation type="list" errorStyle="warning" allowBlank="1" showErrorMessage="1" sqref="G2:G468">
      <formula1>"TRUE,FALSE,"</formula1>
    </dataValidation>
    <dataValidation type="list" allowBlank="1" showErrorMessage="1" sqref="D2:D448">
      <formula1>"REVENUE,EXPENDITURE,"</formula1>
    </dataValidation>
    <dataValidation type="custom" errorStyle="warning" allowBlank="1" showInputMessage="1" showErrorMessage="1" prompt="Enter text that contains" sqref="H118:H156 A2:A117">
      <formula1>ISNUMBER(SEARCH("", A2))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ErrorMessage="1">
          <x14:formula1>
            <xm:f>'[2]Type Template'!#REF!</xm:f>
          </x14:formula1>
          <xm:sqref>E2:E448 B2:B448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"/>
  <sheetViews>
    <sheetView rightToLeft="1" topLeftCell="B4" workbookViewId="0">
      <selection activeCell="P38" sqref="P38:P45"/>
    </sheetView>
  </sheetViews>
  <sheetFormatPr defaultRowHeight="12.75"/>
  <cols>
    <col min="12" max="15" width="10.28515625" bestFit="1" customWidth="1"/>
    <col min="17" max="17" width="14.42578125" bestFit="1" customWidth="1"/>
    <col min="18" max="18" width="16.7109375" bestFit="1" customWidth="1"/>
  </cols>
  <sheetData>
    <row r="1" spans="1:18" ht="13.5" thickBot="1">
      <c r="B1" s="107" t="s">
        <v>4692</v>
      </c>
      <c r="C1" s="108">
        <v>2003</v>
      </c>
      <c r="D1" s="108">
        <v>2004</v>
      </c>
      <c r="E1" s="108">
        <v>2005</v>
      </c>
      <c r="F1" s="108">
        <v>2006</v>
      </c>
      <c r="G1" s="108">
        <v>2007</v>
      </c>
      <c r="H1" s="108">
        <v>2008</v>
      </c>
      <c r="I1" s="108">
        <v>2009</v>
      </c>
      <c r="J1" s="108">
        <v>2010</v>
      </c>
      <c r="K1" s="108">
        <v>2011</v>
      </c>
      <c r="L1" s="108">
        <v>2012</v>
      </c>
      <c r="M1" s="109">
        <v>2013</v>
      </c>
      <c r="N1" s="110">
        <v>2014</v>
      </c>
      <c r="O1" s="108">
        <v>2015</v>
      </c>
      <c r="P1" s="109">
        <v>2016</v>
      </c>
    </row>
    <row r="2" spans="1:18" ht="48">
      <c r="A2" s="111" t="s">
        <v>2435</v>
      </c>
      <c r="B2" s="112" t="s">
        <v>2436</v>
      </c>
      <c r="C2" s="113"/>
      <c r="D2" s="113"/>
      <c r="E2" s="113"/>
      <c r="F2" s="114"/>
      <c r="G2" s="113"/>
      <c r="H2" s="113"/>
      <c r="I2" s="113"/>
      <c r="J2" s="113"/>
      <c r="K2" s="113"/>
      <c r="L2" s="227">
        <v>272.2</v>
      </c>
      <c r="M2" s="227">
        <v>273.2</v>
      </c>
      <c r="N2" s="227">
        <v>277.10000000000002</v>
      </c>
      <c r="O2" s="500">
        <f>N2*102%</f>
        <v>282.64200000000005</v>
      </c>
    </row>
    <row r="3" spans="1:18" ht="48">
      <c r="A3" s="115"/>
      <c r="B3" s="116" t="s">
        <v>2437</v>
      </c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65"/>
      <c r="N3" s="65"/>
    </row>
    <row r="4" spans="1:18" ht="13.5" thickBot="1">
      <c r="A4" s="115"/>
      <c r="B4" s="116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9"/>
      <c r="N4" s="120"/>
    </row>
    <row r="5" spans="1:18" ht="13.5" thickBot="1">
      <c r="A5" s="512"/>
      <c r="B5" s="65" t="s">
        <v>2438</v>
      </c>
      <c r="C5" s="113"/>
      <c r="D5" s="113"/>
      <c r="E5" s="121"/>
      <c r="F5" s="122"/>
      <c r="G5" s="122"/>
      <c r="H5" s="122"/>
      <c r="I5" s="122"/>
      <c r="J5" s="122"/>
      <c r="K5" s="122"/>
      <c r="L5" s="135">
        <v>306594</v>
      </c>
      <c r="M5" s="135">
        <v>310971</v>
      </c>
      <c r="N5" s="135">
        <v>313590</v>
      </c>
      <c r="O5" s="501">
        <f>N5*102%</f>
        <v>319861.8</v>
      </c>
      <c r="R5" t="s">
        <v>2439</v>
      </c>
    </row>
    <row r="6" spans="1:18" ht="13.5" thickBot="1">
      <c r="A6" s="512"/>
      <c r="B6" s="65" t="s">
        <v>2440</v>
      </c>
      <c r="C6" s="113"/>
      <c r="D6" s="113"/>
      <c r="E6" s="121"/>
      <c r="F6" s="122"/>
      <c r="G6" s="122"/>
      <c r="H6" s="122"/>
      <c r="I6" s="122"/>
      <c r="J6" s="122"/>
      <c r="K6" s="122"/>
      <c r="L6" s="122"/>
      <c r="M6" s="122"/>
      <c r="N6" s="122"/>
      <c r="R6" t="s">
        <v>2441</v>
      </c>
    </row>
    <row r="7" spans="1:18" ht="48.75" thickBot="1">
      <c r="A7" s="123"/>
      <c r="B7" s="116" t="s">
        <v>2442</v>
      </c>
      <c r="C7" s="121">
        <f>C2*1000</f>
        <v>0</v>
      </c>
      <c r="D7" s="122">
        <f t="shared" ref="D7:N7" si="0">D2*1000</f>
        <v>0</v>
      </c>
      <c r="E7" s="122">
        <f t="shared" si="0"/>
        <v>0</v>
      </c>
      <c r="F7" s="122">
        <f t="shared" si="0"/>
        <v>0</v>
      </c>
      <c r="G7" s="122">
        <f t="shared" si="0"/>
        <v>0</v>
      </c>
      <c r="H7" s="122">
        <f t="shared" si="0"/>
        <v>0</v>
      </c>
      <c r="I7" s="122">
        <f t="shared" si="0"/>
        <v>0</v>
      </c>
      <c r="J7" s="122">
        <f t="shared" si="0"/>
        <v>0</v>
      </c>
      <c r="K7" s="122">
        <f t="shared" si="0"/>
        <v>0</v>
      </c>
      <c r="L7" s="436">
        <f t="shared" si="0"/>
        <v>272200</v>
      </c>
      <c r="M7" s="436">
        <f t="shared" si="0"/>
        <v>273200</v>
      </c>
      <c r="N7" s="436">
        <f t="shared" si="0"/>
        <v>277100</v>
      </c>
      <c r="O7" s="437">
        <v>280461.07013137941</v>
      </c>
    </row>
    <row r="8" spans="1:18">
      <c r="A8" s="123"/>
      <c r="B8" s="65"/>
      <c r="C8" s="113"/>
      <c r="D8" s="124"/>
      <c r="E8" s="125"/>
      <c r="F8" s="125"/>
      <c r="G8" s="125"/>
      <c r="H8" s="125"/>
      <c r="I8" s="125"/>
      <c r="J8" s="125"/>
      <c r="K8" s="125"/>
      <c r="L8" s="125"/>
      <c r="M8" s="125">
        <f>L5/L7</f>
        <v>1.1263556208670096</v>
      </c>
      <c r="N8" s="125">
        <f>M5/M7</f>
        <v>1.1382540263543193</v>
      </c>
      <c r="O8" s="125">
        <f>N5/N7</f>
        <v>1.1316853121616746</v>
      </c>
    </row>
    <row r="9" spans="1:18">
      <c r="A9" s="123"/>
      <c r="B9" s="65"/>
      <c r="C9" s="113"/>
      <c r="D9" s="124"/>
      <c r="E9" s="124"/>
      <c r="F9" s="124"/>
      <c r="G9" s="124"/>
      <c r="H9" s="124"/>
      <c r="I9" s="124"/>
      <c r="J9" s="124"/>
      <c r="K9" s="124"/>
      <c r="L9" s="124">
        <f t="shared" ref="L9:N9" si="1">L5-L7</f>
        <v>34394</v>
      </c>
      <c r="M9" s="124">
        <f t="shared" si="1"/>
        <v>37771</v>
      </c>
      <c r="N9" s="124">
        <f t="shared" si="1"/>
        <v>36490</v>
      </c>
      <c r="O9" s="124">
        <f>O5-O7</f>
        <v>39400.729868620576</v>
      </c>
    </row>
    <row r="10" spans="1:18">
      <c r="A10" s="123"/>
      <c r="B10" s="65"/>
      <c r="C10" s="113"/>
      <c r="D10" s="113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65"/>
    </row>
    <row r="11" spans="1:18">
      <c r="A11" s="123"/>
      <c r="B11" s="65"/>
      <c r="C11" s="113"/>
      <c r="D11" s="113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65"/>
    </row>
    <row r="12" spans="1:18" ht="48">
      <c r="A12" s="513"/>
      <c r="B12" s="116" t="s">
        <v>2443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>
        <v>7.2</v>
      </c>
      <c r="M12" s="117">
        <v>7.4</v>
      </c>
      <c r="N12" s="117">
        <v>7.5</v>
      </c>
      <c r="O12" s="117">
        <v>7.6666666666666696</v>
      </c>
    </row>
    <row r="13" spans="1:18" ht="48">
      <c r="A13" s="513"/>
      <c r="B13" s="116" t="s">
        <v>2444</v>
      </c>
      <c r="C13" s="117"/>
      <c r="D13" s="117"/>
      <c r="E13" s="117"/>
      <c r="F13" s="117"/>
      <c r="G13" s="117"/>
      <c r="H13" s="117"/>
      <c r="I13" s="117"/>
      <c r="J13" s="117"/>
      <c r="K13" s="117"/>
      <c r="L13" s="117">
        <v>6</v>
      </c>
      <c r="M13" s="117">
        <v>6.1</v>
      </c>
      <c r="N13" s="117">
        <v>6.2</v>
      </c>
      <c r="O13" s="117">
        <v>6.3</v>
      </c>
    </row>
    <row r="14" spans="1:18" ht="48">
      <c r="A14" s="513"/>
      <c r="B14" s="116" t="s">
        <v>2445</v>
      </c>
      <c r="C14" s="117"/>
      <c r="D14" s="117"/>
      <c r="E14" s="117"/>
      <c r="F14" s="117"/>
      <c r="G14" s="117"/>
      <c r="H14" s="117"/>
      <c r="I14" s="117"/>
      <c r="J14" s="117"/>
      <c r="K14" s="117"/>
      <c r="L14" s="117">
        <v>5.6</v>
      </c>
      <c r="M14" s="117">
        <v>5.6</v>
      </c>
      <c r="N14" s="117">
        <v>5.5</v>
      </c>
      <c r="O14" s="117">
        <v>5.4666666666666703</v>
      </c>
    </row>
    <row r="15" spans="1:18" ht="48.75" thickBot="1">
      <c r="A15" s="513"/>
      <c r="B15" s="116" t="s">
        <v>2446</v>
      </c>
      <c r="C15" s="117"/>
      <c r="D15" s="117"/>
      <c r="E15" s="117"/>
      <c r="F15" s="117"/>
      <c r="G15" s="117"/>
      <c r="H15" s="117"/>
      <c r="I15" s="117"/>
      <c r="J15" s="117"/>
      <c r="K15" s="117"/>
      <c r="L15" s="117">
        <v>5.7053945719943711</v>
      </c>
      <c r="M15" s="117">
        <v>5.5491494525527409</v>
      </c>
      <c r="N15" s="117">
        <v>5.7</v>
      </c>
      <c r="O15" s="117">
        <v>5.6461201028546704</v>
      </c>
    </row>
    <row r="16" spans="1:18" ht="36.75" thickBot="1">
      <c r="A16" s="513"/>
      <c r="B16" s="126" t="s">
        <v>2447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>
        <f t="shared" ref="L16:O16" si="2">SUM(L12:L15)</f>
        <v>24.505394571994369</v>
      </c>
      <c r="M16" s="127">
        <f t="shared" si="2"/>
        <v>24.649149452552741</v>
      </c>
      <c r="N16" s="127">
        <f t="shared" si="2"/>
        <v>24.9</v>
      </c>
      <c r="O16" s="127">
        <f t="shared" si="2"/>
        <v>25.079453436188007</v>
      </c>
      <c r="P16" s="257">
        <f>O16+O17+O20+O23</f>
        <v>100.00237696983811</v>
      </c>
      <c r="R16" t="s">
        <v>2448</v>
      </c>
    </row>
    <row r="17" spans="1:18" ht="48.75" thickBot="1">
      <c r="A17" s="513"/>
      <c r="B17" s="126" t="s">
        <v>2449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>
        <v>14.542896087529989</v>
      </c>
      <c r="M17" s="127">
        <v>14.387741281293813</v>
      </c>
      <c r="N17" s="127">
        <v>14.3</v>
      </c>
      <c r="O17" s="127">
        <v>14.167316368744601</v>
      </c>
    </row>
    <row r="18" spans="1:18" ht="48">
      <c r="A18" s="513"/>
      <c r="B18" s="116" t="s">
        <v>2450</v>
      </c>
      <c r="C18" s="114"/>
      <c r="D18" s="114"/>
      <c r="E18" s="114"/>
      <c r="F18" s="114"/>
      <c r="G18" s="114"/>
      <c r="H18" s="114"/>
      <c r="I18" s="114"/>
      <c r="J18" s="114"/>
      <c r="K18" s="114"/>
      <c r="L18" s="114">
        <v>18.856569709127381</v>
      </c>
      <c r="M18" s="114">
        <v>18.992448119717253</v>
      </c>
      <c r="N18" s="114">
        <v>19</v>
      </c>
      <c r="O18" s="114">
        <v>19.093102900487501</v>
      </c>
      <c r="Q18" s="245" t="s">
        <v>4730</v>
      </c>
      <c r="R18" s="258">
        <f>O7*(O24-O12)/100</f>
        <v>42652.19705505504</v>
      </c>
    </row>
    <row r="19" spans="1:18" ht="48.75" thickBot="1">
      <c r="A19" s="513"/>
      <c r="B19" s="116" t="s">
        <v>2451</v>
      </c>
      <c r="C19" s="114"/>
      <c r="D19" s="114"/>
      <c r="E19" s="114"/>
      <c r="F19" s="114"/>
      <c r="G19" s="114"/>
      <c r="H19" s="114"/>
      <c r="I19" s="114"/>
      <c r="J19" s="114"/>
      <c r="K19" s="114"/>
      <c r="L19" s="114">
        <v>16.613944397294446</v>
      </c>
      <c r="M19" s="114">
        <v>16.352767619528731</v>
      </c>
      <c r="N19" s="114">
        <v>16.100000000000001</v>
      </c>
      <c r="O19" s="114">
        <v>15.8416262749799</v>
      </c>
      <c r="Q19" s="245" t="s">
        <v>4731</v>
      </c>
      <c r="R19" s="258">
        <f>O25/100*O7</f>
        <v>28246.109956469558</v>
      </c>
    </row>
    <row r="20" spans="1:18" ht="36.75" thickBot="1">
      <c r="A20" s="513"/>
      <c r="B20" s="126" t="s">
        <v>2452</v>
      </c>
      <c r="C20" s="127"/>
      <c r="D20" s="127"/>
      <c r="E20" s="127"/>
      <c r="F20" s="127"/>
      <c r="G20" s="127"/>
      <c r="H20" s="127"/>
      <c r="I20" s="127"/>
      <c r="J20" s="127"/>
      <c r="K20" s="127"/>
      <c r="L20" s="127">
        <f t="shared" ref="L20:O20" si="3">L19+L18</f>
        <v>35.470514106421831</v>
      </c>
      <c r="M20" s="127">
        <f t="shared" si="3"/>
        <v>35.345215739245987</v>
      </c>
      <c r="N20" s="127">
        <f t="shared" si="3"/>
        <v>35.1</v>
      </c>
      <c r="O20" s="127">
        <f t="shared" si="3"/>
        <v>34.934729175467403</v>
      </c>
      <c r="Q20" s="245" t="s">
        <v>4732</v>
      </c>
      <c r="R20" s="258">
        <f>O24/100*O7</f>
        <v>64154.212431794142</v>
      </c>
    </row>
    <row r="21" spans="1:18" ht="48">
      <c r="A21" s="513"/>
      <c r="B21" s="116" t="s">
        <v>2453</v>
      </c>
      <c r="C21" s="114"/>
      <c r="D21" s="114"/>
      <c r="E21" s="114"/>
      <c r="F21" s="114"/>
      <c r="G21" s="114"/>
      <c r="H21" s="114"/>
      <c r="I21" s="114"/>
      <c r="J21" s="114"/>
      <c r="K21" s="114"/>
      <c r="L21" s="114">
        <v>6.4324842659847672</v>
      </c>
      <c r="M21" s="114">
        <v>6.2717578712702755</v>
      </c>
      <c r="N21" s="114">
        <v>6.1</v>
      </c>
      <c r="O21" s="114">
        <v>5.9355964464335802</v>
      </c>
      <c r="Q21" s="245" t="s">
        <v>4742</v>
      </c>
      <c r="R21" s="60">
        <f>O7-ילדים</f>
        <v>216306.85769958526</v>
      </c>
    </row>
    <row r="22" spans="1:18" ht="48.75" thickBot="1">
      <c r="A22" s="513"/>
      <c r="B22" s="116" t="s">
        <v>2454</v>
      </c>
      <c r="C22" s="114"/>
      <c r="D22" s="114"/>
      <c r="E22" s="114"/>
      <c r="F22" s="114"/>
      <c r="G22" s="114"/>
      <c r="H22" s="114"/>
      <c r="I22" s="114"/>
      <c r="J22" s="114"/>
      <c r="K22" s="114"/>
      <c r="L22" s="114">
        <v>19.062315150579945</v>
      </c>
      <c r="M22" s="114">
        <v>19.380474930173477</v>
      </c>
      <c r="N22" s="114">
        <v>19.600000000000001</v>
      </c>
      <c r="O22" s="114">
        <v>19.885281543004499</v>
      </c>
    </row>
    <row r="23" spans="1:18" ht="36.75" thickBot="1">
      <c r="A23" s="513"/>
      <c r="B23" s="126" t="s">
        <v>2455</v>
      </c>
      <c r="C23" s="127"/>
      <c r="D23" s="127"/>
      <c r="E23" s="127"/>
      <c r="F23" s="127"/>
      <c r="G23" s="127"/>
      <c r="H23" s="127"/>
      <c r="I23" s="127"/>
      <c r="J23" s="127"/>
      <c r="K23" s="127"/>
      <c r="L23" s="127">
        <f>L22+L21</f>
        <v>25.49479941656471</v>
      </c>
      <c r="M23" s="127">
        <f>M22+M21</f>
        <v>25.652232801443752</v>
      </c>
      <c r="N23" s="127">
        <f>N22+N21</f>
        <v>25.700000000000003</v>
      </c>
      <c r="O23" s="127">
        <f>O22+O21</f>
        <v>25.820877989438081</v>
      </c>
    </row>
    <row r="24" spans="1:18" ht="48">
      <c r="A24" s="513"/>
      <c r="B24" s="116" t="s">
        <v>2456</v>
      </c>
      <c r="C24" s="114"/>
      <c r="D24" s="114"/>
      <c r="E24" s="114"/>
      <c r="F24" s="114"/>
      <c r="G24" s="114"/>
      <c r="H24" s="114"/>
      <c r="I24" s="114"/>
      <c r="J24" s="114"/>
      <c r="K24" s="114"/>
      <c r="L24" s="114">
        <v>22.036438987291547</v>
      </c>
      <c r="M24" s="114">
        <v>22.296533017054877</v>
      </c>
      <c r="N24" s="114">
        <v>22.6</v>
      </c>
      <c r="O24" s="114">
        <v>22.874551680823899</v>
      </c>
    </row>
    <row r="25" spans="1:18" ht="48">
      <c r="A25" s="513"/>
      <c r="B25" s="116" t="s">
        <v>2457</v>
      </c>
      <c r="C25" s="114"/>
      <c r="D25" s="114"/>
      <c r="E25" s="114"/>
      <c r="F25" s="114"/>
      <c r="G25" s="114"/>
      <c r="H25" s="114"/>
      <c r="I25" s="114"/>
      <c r="J25" s="114"/>
      <c r="K25" s="114"/>
      <c r="L25" s="114">
        <v>9.9033363827746985</v>
      </c>
      <c r="M25" s="114">
        <v>10.020609348517628</v>
      </c>
      <c r="N25" s="114">
        <v>10</v>
      </c>
      <c r="O25" s="114">
        <v>10.071312194322701</v>
      </c>
    </row>
    <row r="26" spans="1:18">
      <c r="A26" s="514"/>
      <c r="N26" s="128"/>
    </row>
    <row r="27" spans="1:18">
      <c r="C27" s="60"/>
      <c r="D27" s="60"/>
      <c r="E27" s="60"/>
      <c r="F27" s="60"/>
      <c r="G27" s="60"/>
      <c r="H27" s="60"/>
      <c r="I27" s="60"/>
      <c r="J27" s="60"/>
      <c r="K27" s="60"/>
      <c r="L27" s="60" t="e">
        <f>(L16/100)*#REF!</f>
        <v>#REF!</v>
      </c>
      <c r="M27" s="60">
        <f>(M16/100)*L$7</f>
        <v>67094.984809848553</v>
      </c>
      <c r="N27" s="60"/>
      <c r="O27" s="60"/>
    </row>
    <row r="28" spans="1:18">
      <c r="C28" s="60"/>
      <c r="D28" s="60"/>
      <c r="E28" s="60"/>
      <c r="F28" s="60"/>
      <c r="G28" s="60"/>
      <c r="H28" s="60"/>
      <c r="I28" s="60"/>
      <c r="J28" s="60"/>
      <c r="K28" s="60"/>
      <c r="L28" s="60" t="e">
        <f>(L17/100)*#REF!</f>
        <v>#REF!</v>
      </c>
      <c r="M28" s="60">
        <f>(M17/100)*L$7</f>
        <v>39163.431767681759</v>
      </c>
    </row>
    <row r="29" spans="1:18">
      <c r="C29" s="60"/>
      <c r="D29" s="60"/>
      <c r="E29" s="60"/>
      <c r="F29" s="60"/>
      <c r="G29" s="60"/>
      <c r="H29" s="60"/>
      <c r="I29" s="60"/>
      <c r="J29" s="60"/>
      <c r="K29" s="60"/>
      <c r="L29" s="60" t="e">
        <f>(L20/100)*#REF!</f>
        <v>#REF!</v>
      </c>
      <c r="M29" s="60">
        <f>(M20/100)*L$7</f>
        <v>96209.677242227583</v>
      </c>
    </row>
    <row r="30" spans="1:18">
      <c r="C30" s="60"/>
      <c r="D30" s="60"/>
      <c r="E30" s="60"/>
      <c r="F30" s="60"/>
      <c r="G30" s="60"/>
      <c r="H30" s="60"/>
      <c r="I30" s="60"/>
      <c r="J30" s="60"/>
      <c r="K30" s="60"/>
      <c r="L30" s="60" t="e">
        <f>(L23/100)*#REF!</f>
        <v>#REF!</v>
      </c>
      <c r="M30" s="60">
        <f>(M23/100)*L$7</f>
        <v>69825.377685529893</v>
      </c>
    </row>
    <row r="32" spans="1:18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</row>
    <row r="33" spans="2:18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</row>
    <row r="34" spans="2:18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</row>
    <row r="35" spans="2:18" ht="13.5" thickBot="1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</row>
    <row r="36" spans="2:18" ht="13.5" thickBot="1">
      <c r="C36" s="108">
        <v>2002</v>
      </c>
      <c r="D36" s="108">
        <v>2003</v>
      </c>
      <c r="E36" s="108">
        <v>2004</v>
      </c>
      <c r="F36" s="108">
        <v>2005</v>
      </c>
      <c r="G36" s="108">
        <v>2006</v>
      </c>
      <c r="H36" s="108">
        <v>2007</v>
      </c>
      <c r="I36" s="108">
        <v>2008</v>
      </c>
      <c r="J36" s="108">
        <v>2009</v>
      </c>
      <c r="K36" s="108">
        <v>2010</v>
      </c>
      <c r="L36" s="108">
        <v>2011</v>
      </c>
      <c r="M36" s="108">
        <v>2012</v>
      </c>
      <c r="N36" s="109">
        <v>2013</v>
      </c>
      <c r="O36" s="110">
        <v>2014</v>
      </c>
      <c r="P36" s="246">
        <v>2015</v>
      </c>
    </row>
    <row r="38" spans="2:18">
      <c r="B38" s="129" t="s">
        <v>2458</v>
      </c>
      <c r="C38" s="130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135">
        <v>6082</v>
      </c>
    </row>
    <row r="39" spans="2:18">
      <c r="B39" s="129" t="s">
        <v>2459</v>
      </c>
      <c r="C39" s="130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135">
        <v>14268</v>
      </c>
    </row>
    <row r="40" spans="2:18">
      <c r="B40" s="129" t="s">
        <v>2460</v>
      </c>
      <c r="C40" s="130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135">
        <v>4729</v>
      </c>
    </row>
    <row r="41" spans="2:18">
      <c r="B41" s="129" t="s">
        <v>2461</v>
      </c>
      <c r="C41" s="130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135">
        <v>3918</v>
      </c>
    </row>
    <row r="42" spans="2:18">
      <c r="B42" s="129" t="s">
        <v>2462</v>
      </c>
      <c r="I42" s="60"/>
      <c r="J42" s="60"/>
      <c r="K42" s="60"/>
      <c r="L42" s="60"/>
      <c r="M42" s="60"/>
      <c r="N42" s="60"/>
      <c r="O42" s="60"/>
      <c r="P42" s="135">
        <v>0</v>
      </c>
    </row>
    <row r="43" spans="2:18">
      <c r="B43" s="129" t="s">
        <v>2463</v>
      </c>
      <c r="C43" s="131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5">
        <v>1487</v>
      </c>
    </row>
    <row r="44" spans="2:18">
      <c r="B44" s="129" t="s">
        <v>2464</v>
      </c>
      <c r="I44" s="60"/>
      <c r="J44" s="60"/>
      <c r="K44" s="60"/>
      <c r="L44" s="60"/>
      <c r="M44" s="60"/>
      <c r="N44" s="60"/>
      <c r="O44" s="60"/>
      <c r="P44" s="135">
        <v>0</v>
      </c>
    </row>
    <row r="45" spans="2:18" ht="13.5" thickBot="1">
      <c r="B45" s="129" t="s">
        <v>2465</v>
      </c>
      <c r="I45" s="60"/>
      <c r="J45" s="60"/>
      <c r="K45" s="60"/>
      <c r="L45" s="60"/>
      <c r="M45" s="60"/>
      <c r="N45" s="60"/>
      <c r="O45" s="60"/>
      <c r="P45" s="135">
        <v>121</v>
      </c>
    </row>
    <row r="46" spans="2:18" ht="13.5" thickBot="1">
      <c r="B46" s="133" t="s">
        <v>2466</v>
      </c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>
        <f t="shared" ref="P46" si="4">P38+P42</f>
        <v>6082</v>
      </c>
      <c r="R46" t="s">
        <v>2467</v>
      </c>
    </row>
    <row r="47" spans="2:18" ht="13.5" thickBot="1">
      <c r="B47" s="133" t="s">
        <v>2468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>
        <f t="shared" ref="P47" si="5">P39+P43</f>
        <v>15755</v>
      </c>
      <c r="R47" s="515" t="s">
        <v>2469</v>
      </c>
    </row>
    <row r="48" spans="2:18" ht="13.5" thickBot="1">
      <c r="B48" s="133" t="s">
        <v>2470</v>
      </c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>
        <f t="shared" ref="P48" si="6">P40+P44</f>
        <v>4729</v>
      </c>
      <c r="R48" s="515"/>
    </row>
    <row r="49" spans="2:18" ht="13.5" thickBot="1">
      <c r="B49" s="133" t="s">
        <v>2471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>
        <f t="shared" ref="P49" si="7">P41+P45</f>
        <v>4039</v>
      </c>
      <c r="R49" s="515"/>
    </row>
    <row r="50" spans="2:18" ht="13.5" thickBot="1">
      <c r="B50" s="133" t="s">
        <v>2472</v>
      </c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7"/>
      <c r="P50" s="77">
        <f t="shared" ref="P50" si="8">SUM(P46:P49)</f>
        <v>30605</v>
      </c>
      <c r="Q50" s="134"/>
      <c r="R50" s="515"/>
    </row>
  </sheetData>
  <mergeCells count="3">
    <mergeCell ref="A5:A6"/>
    <mergeCell ref="A12:A26"/>
    <mergeCell ref="R47:R5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rightToLeft="1" workbookViewId="0">
      <pane xSplit="1" ySplit="1" topLeftCell="K30" activePane="bottomRight" state="frozen"/>
      <selection pane="topRight" activeCell="B1" sqref="B1"/>
      <selection pane="bottomLeft" activeCell="A2" sqref="A2"/>
      <selection pane="bottomRight" activeCell="O38" sqref="O38"/>
    </sheetView>
  </sheetViews>
  <sheetFormatPr defaultRowHeight="12.75"/>
  <cols>
    <col min="1" max="1" width="56.28515625" style="175" customWidth="1"/>
    <col min="2" max="3" width="10.28515625" style="177" hidden="1" customWidth="1"/>
    <col min="4" max="10" width="11.28515625" style="177" hidden="1" customWidth="1"/>
    <col min="11" max="11" width="11.28515625" style="177" bestFit="1" customWidth="1"/>
    <col min="12" max="13" width="11.85546875" style="177" bestFit="1" customWidth="1"/>
    <col min="14" max="14" width="11.85546875" bestFit="1" customWidth="1"/>
    <col min="15" max="15" width="15" bestFit="1" customWidth="1"/>
    <col min="17" max="17" width="15.5703125" bestFit="1" customWidth="1"/>
  </cols>
  <sheetData>
    <row r="1" spans="1:17" ht="13.5" thickBot="1">
      <c r="B1" s="176">
        <v>2002</v>
      </c>
      <c r="C1" s="176">
        <v>2003</v>
      </c>
      <c r="D1" s="176">
        <v>2004</v>
      </c>
      <c r="E1" s="176">
        <v>2005</v>
      </c>
      <c r="F1" s="176">
        <v>2006</v>
      </c>
      <c r="G1" s="176">
        <v>2007</v>
      </c>
      <c r="H1" s="176"/>
      <c r="I1" s="176"/>
      <c r="J1" s="176"/>
      <c r="K1" s="176"/>
      <c r="L1" s="176">
        <v>2012</v>
      </c>
      <c r="M1" s="176">
        <v>2013</v>
      </c>
      <c r="N1" s="176">
        <v>2014</v>
      </c>
    </row>
    <row r="2" spans="1:17">
      <c r="A2" s="180" t="s">
        <v>2486</v>
      </c>
      <c r="B2" s="181">
        <v>506171</v>
      </c>
      <c r="C2" s="181">
        <v>520885</v>
      </c>
      <c r="D2" s="181">
        <v>550984</v>
      </c>
      <c r="E2" s="181">
        <v>565580</v>
      </c>
      <c r="F2" s="181">
        <v>614928</v>
      </c>
      <c r="G2" s="181">
        <v>648332</v>
      </c>
      <c r="H2" s="181"/>
      <c r="I2" s="181"/>
      <c r="J2" s="181"/>
      <c r="K2" s="181"/>
      <c r="L2" s="60">
        <v>1528385</v>
      </c>
      <c r="M2" s="60">
        <v>1558406</v>
      </c>
      <c r="N2" s="60">
        <v>1533376</v>
      </c>
      <c r="O2" s="60">
        <f>'רמה 2'!M45/-1000</f>
        <v>1583741.5</v>
      </c>
    </row>
    <row r="3" spans="1:17" ht="13.5" thickBot="1">
      <c r="A3" s="188" t="s">
        <v>2487</v>
      </c>
      <c r="B3" s="189">
        <v>2.7242367035450243</v>
      </c>
      <c r="C3" s="189">
        <v>1.7223299122126834</v>
      </c>
      <c r="D3" s="189">
        <v>2.187057181969454</v>
      </c>
      <c r="E3" s="189">
        <v>1.3356671571053136</v>
      </c>
      <c r="F3" s="189">
        <v>6.6</v>
      </c>
      <c r="G3" s="189">
        <v>4.9000000000000004</v>
      </c>
      <c r="H3" s="189"/>
      <c r="I3" s="189"/>
      <c r="J3" s="189"/>
      <c r="K3" s="189"/>
      <c r="L3" s="189">
        <v>-2.2999999999999998</v>
      </c>
      <c r="M3" s="190">
        <v>0.7</v>
      </c>
      <c r="N3" s="190">
        <v>-2</v>
      </c>
    </row>
    <row r="4" spans="1:17">
      <c r="A4" s="180" t="s">
        <v>2488</v>
      </c>
      <c r="B4" s="181">
        <v>314464</v>
      </c>
      <c r="C4" s="181">
        <v>309109</v>
      </c>
      <c r="D4" s="181">
        <v>315516</v>
      </c>
      <c r="E4" s="181">
        <v>331596</v>
      </c>
      <c r="F4" s="181">
        <v>345769</v>
      </c>
      <c r="G4" s="181">
        <v>386576</v>
      </c>
      <c r="H4" s="181"/>
      <c r="I4" s="181"/>
      <c r="J4" s="181"/>
      <c r="K4" s="181"/>
      <c r="L4" s="181">
        <v>1195873</v>
      </c>
      <c r="M4" s="182">
        <v>1140908</v>
      </c>
      <c r="N4" s="182">
        <v>1115948</v>
      </c>
      <c r="O4" s="202">
        <f>O9+O6</f>
        <v>1124317.6100000001</v>
      </c>
      <c r="P4" s="202"/>
      <c r="Q4" s="202"/>
    </row>
    <row r="5" spans="1:17">
      <c r="A5" s="183" t="s">
        <v>2489</v>
      </c>
      <c r="B5" s="178">
        <v>3.1</v>
      </c>
      <c r="C5" s="178">
        <v>-2.4</v>
      </c>
      <c r="D5" s="178">
        <v>2.5</v>
      </c>
      <c r="E5" s="178">
        <v>3.8</v>
      </c>
      <c r="F5" s="178">
        <v>2.1</v>
      </c>
      <c r="G5" s="178">
        <v>11.2</v>
      </c>
      <c r="H5" s="178"/>
      <c r="I5" s="178"/>
      <c r="J5" s="178"/>
      <c r="K5" s="178"/>
      <c r="L5" s="178">
        <v>-0.8</v>
      </c>
      <c r="M5" s="184">
        <v>-5.7</v>
      </c>
      <c r="N5" s="184">
        <v>-2.6</v>
      </c>
      <c r="O5" s="50">
        <f>O4/N4-1</f>
        <v>7.5000000000000622E-3</v>
      </c>
    </row>
    <row r="6" spans="1:17">
      <c r="A6" s="183" t="s">
        <v>2490</v>
      </c>
      <c r="B6" s="178" t="e">
        <v>#N/A</v>
      </c>
      <c r="C6" s="178">
        <v>146793</v>
      </c>
      <c r="D6" s="178">
        <v>155254</v>
      </c>
      <c r="E6" s="178">
        <v>160839</v>
      </c>
      <c r="F6" s="178">
        <v>165421</v>
      </c>
      <c r="G6" s="178">
        <v>181503</v>
      </c>
      <c r="H6" s="178"/>
      <c r="I6" s="178"/>
      <c r="J6" s="178"/>
      <c r="K6" s="178"/>
      <c r="L6" s="178">
        <v>439497</v>
      </c>
      <c r="M6" s="184">
        <v>438891</v>
      </c>
      <c r="N6" s="184">
        <v>444883</v>
      </c>
      <c r="O6" s="178">
        <f>N6*1.0075</f>
        <v>448219.62250000006</v>
      </c>
    </row>
    <row r="7" spans="1:17">
      <c r="A7" s="183" t="s">
        <v>2491</v>
      </c>
      <c r="B7" s="178" t="e">
        <v>#N/A</v>
      </c>
      <c r="C7" s="178" t="e">
        <v>#N/A</v>
      </c>
      <c r="D7" s="178" t="e">
        <v>#N/A</v>
      </c>
      <c r="E7" s="178" t="e">
        <v>#N/A</v>
      </c>
      <c r="F7" s="178">
        <v>0.7</v>
      </c>
      <c r="G7" s="178">
        <v>9.1999999999999993</v>
      </c>
      <c r="H7" s="178"/>
      <c r="I7" s="178"/>
      <c r="J7" s="178"/>
      <c r="K7" s="178"/>
      <c r="L7" s="178">
        <v>2.2999999999999998</v>
      </c>
      <c r="M7" s="184">
        <v>-1.3</v>
      </c>
      <c r="N7" s="184">
        <v>1</v>
      </c>
    </row>
    <row r="8" spans="1:17">
      <c r="A8" s="183" t="s">
        <v>2492</v>
      </c>
      <c r="B8" s="178" t="e">
        <v>#N/A</v>
      </c>
      <c r="C8" s="178" t="e">
        <v>#N/A</v>
      </c>
      <c r="D8" s="178">
        <v>0.81</v>
      </c>
      <c r="E8" s="178" t="e">
        <v>#N/A</v>
      </c>
      <c r="F8" s="178" t="e">
        <v>#N/A</v>
      </c>
      <c r="G8" s="178" t="e">
        <v>#N/A</v>
      </c>
      <c r="H8" s="178"/>
      <c r="I8" s="178"/>
      <c r="J8" s="178"/>
      <c r="K8" s="178"/>
      <c r="L8" s="178">
        <v>72</v>
      </c>
      <c r="M8" s="184">
        <v>70.2</v>
      </c>
      <c r="N8" s="184">
        <v>66</v>
      </c>
    </row>
    <row r="9" spans="1:17" ht="13.5" thickBot="1">
      <c r="A9" s="185" t="s">
        <v>2493</v>
      </c>
      <c r="B9" s="186" t="e">
        <v>#N/A</v>
      </c>
      <c r="C9" s="186">
        <v>162316</v>
      </c>
      <c r="D9" s="186">
        <v>160262</v>
      </c>
      <c r="E9" s="186">
        <v>170757</v>
      </c>
      <c r="F9" s="186">
        <v>180348</v>
      </c>
      <c r="G9" s="186">
        <v>205073</v>
      </c>
      <c r="H9" s="186"/>
      <c r="I9" s="186"/>
      <c r="J9" s="186"/>
      <c r="K9" s="186"/>
      <c r="L9" s="186">
        <v>756376</v>
      </c>
      <c r="M9" s="187">
        <v>702017</v>
      </c>
      <c r="N9" s="187">
        <v>671065</v>
      </c>
      <c r="O9" s="178">
        <f>N9*1.0075</f>
        <v>676097.98750000005</v>
      </c>
    </row>
    <row r="10" spans="1:17">
      <c r="A10" s="191" t="s">
        <v>2494</v>
      </c>
      <c r="B10" s="179">
        <v>24740</v>
      </c>
      <c r="C10" s="179">
        <v>24644</v>
      </c>
      <c r="D10" s="179">
        <v>24510</v>
      </c>
      <c r="E10" s="179">
        <v>23515</v>
      </c>
      <c r="F10" s="179">
        <v>26982</v>
      </c>
      <c r="G10" s="179">
        <v>29460</v>
      </c>
      <c r="H10" s="179"/>
      <c r="I10" s="179"/>
      <c r="J10" s="179"/>
      <c r="K10" s="179"/>
      <c r="L10" s="179">
        <v>28303</v>
      </c>
      <c r="M10" s="192">
        <v>23490</v>
      </c>
      <c r="N10" s="192">
        <v>23306</v>
      </c>
    </row>
    <row r="11" spans="1:17">
      <c r="A11" s="183" t="s">
        <v>2495</v>
      </c>
      <c r="B11" s="178">
        <v>-15.4</v>
      </c>
      <c r="C11" s="178">
        <v>-6.7</v>
      </c>
      <c r="D11" s="178">
        <v>-0.1</v>
      </c>
      <c r="E11" s="178">
        <v>-5.3</v>
      </c>
      <c r="F11" s="178">
        <v>12.3</v>
      </c>
      <c r="G11" s="178">
        <v>8.6</v>
      </c>
      <c r="H11" s="178"/>
      <c r="I11" s="178"/>
      <c r="J11" s="178"/>
      <c r="K11" s="178"/>
      <c r="L11" s="178">
        <v>-9.9</v>
      </c>
      <c r="M11" s="184">
        <v>-18</v>
      </c>
      <c r="N11" s="184">
        <v>-1.2</v>
      </c>
    </row>
    <row r="12" spans="1:17">
      <c r="A12" s="183" t="s">
        <v>2496</v>
      </c>
      <c r="B12" s="178">
        <v>1572</v>
      </c>
      <c r="C12" s="178">
        <v>1812</v>
      </c>
      <c r="D12" s="178">
        <v>2049</v>
      </c>
      <c r="E12" s="178">
        <v>1843</v>
      </c>
      <c r="F12" s="178">
        <v>2083</v>
      </c>
      <c r="G12" s="178">
        <v>2062</v>
      </c>
      <c r="H12" s="178"/>
      <c r="I12" s="178"/>
      <c r="J12" s="178"/>
      <c r="K12" s="178"/>
      <c r="L12" s="178">
        <v>2930</v>
      </c>
      <c r="M12" s="184">
        <v>2541</v>
      </c>
      <c r="N12" s="184">
        <v>3384</v>
      </c>
    </row>
    <row r="13" spans="1:17" ht="13.5" thickBot="1">
      <c r="A13" s="185" t="s">
        <v>2497</v>
      </c>
      <c r="B13" s="186">
        <v>-10.199999999999999</v>
      </c>
      <c r="C13" s="186">
        <v>-13.1</v>
      </c>
      <c r="D13" s="186">
        <v>13.5</v>
      </c>
      <c r="E13" s="186">
        <v>-11.2</v>
      </c>
      <c r="F13" s="186">
        <v>10.6</v>
      </c>
      <c r="G13" s="186">
        <v>-1.5</v>
      </c>
      <c r="H13" s="186"/>
      <c r="I13" s="186"/>
      <c r="J13" s="186"/>
      <c r="K13" s="186"/>
      <c r="L13" s="186">
        <v>-9.4</v>
      </c>
      <c r="M13" s="187">
        <v>-14.3</v>
      </c>
      <c r="N13" s="187">
        <v>32.700000000000003</v>
      </c>
    </row>
    <row r="14" spans="1:17">
      <c r="A14" s="180" t="s">
        <v>2498</v>
      </c>
      <c r="B14" s="181" t="e">
        <v>#N/A</v>
      </c>
      <c r="C14" s="181">
        <v>364300</v>
      </c>
      <c r="D14" s="181">
        <v>382622</v>
      </c>
      <c r="E14" s="181">
        <v>390807</v>
      </c>
      <c r="F14" s="181">
        <v>401560</v>
      </c>
      <c r="G14" s="181">
        <v>435913</v>
      </c>
      <c r="H14" s="181"/>
      <c r="I14" s="181"/>
      <c r="J14" s="181"/>
      <c r="K14" s="181"/>
      <c r="L14" s="181">
        <v>1271633</v>
      </c>
      <c r="M14" s="182">
        <v>1331749</v>
      </c>
      <c r="N14" s="181">
        <v>1432766</v>
      </c>
    </row>
    <row r="15" spans="1:17">
      <c r="A15" s="183" t="s">
        <v>2499</v>
      </c>
      <c r="B15" s="178" t="e">
        <v>#N/A</v>
      </c>
      <c r="C15" s="178">
        <v>190479</v>
      </c>
      <c r="D15" s="178">
        <v>202618</v>
      </c>
      <c r="E15" s="178">
        <v>207345</v>
      </c>
      <c r="F15" s="178">
        <v>209620</v>
      </c>
      <c r="G15" s="178">
        <v>231165</v>
      </c>
      <c r="H15" s="178"/>
      <c r="I15" s="178"/>
      <c r="J15" s="178"/>
      <c r="K15" s="178"/>
      <c r="L15" s="178">
        <v>544706</v>
      </c>
      <c r="M15" s="184">
        <v>562113</v>
      </c>
      <c r="N15" s="178">
        <v>588487</v>
      </c>
    </row>
    <row r="16" spans="1:17">
      <c r="A16" s="183" t="s">
        <v>2500</v>
      </c>
      <c r="B16" s="178" t="e">
        <v>#N/A</v>
      </c>
      <c r="C16" s="178">
        <v>45803</v>
      </c>
      <c r="D16" s="178">
        <v>48707</v>
      </c>
      <c r="E16" s="178">
        <v>50015</v>
      </c>
      <c r="F16" s="178">
        <v>57400</v>
      </c>
      <c r="G16" s="178">
        <v>65413</v>
      </c>
      <c r="H16" s="178"/>
      <c r="I16" s="178"/>
      <c r="J16" s="178"/>
      <c r="K16" s="178"/>
      <c r="L16" s="178">
        <v>428579</v>
      </c>
      <c r="M16" s="184">
        <v>411107</v>
      </c>
      <c r="N16" s="178">
        <v>487565</v>
      </c>
    </row>
    <row r="17" spans="1:17">
      <c r="A17" s="183" t="s">
        <v>2501</v>
      </c>
      <c r="B17" s="178" t="e">
        <v>#N/A</v>
      </c>
      <c r="C17" s="178">
        <v>73926</v>
      </c>
      <c r="D17" s="178">
        <v>76883</v>
      </c>
      <c r="E17" s="178">
        <v>77237</v>
      </c>
      <c r="F17" s="178">
        <v>78815</v>
      </c>
      <c r="G17" s="178">
        <v>85449</v>
      </c>
      <c r="H17" s="178"/>
      <c r="I17" s="178"/>
      <c r="J17" s="178"/>
      <c r="K17" s="178"/>
      <c r="L17" s="178">
        <v>156356</v>
      </c>
      <c r="M17" s="184">
        <v>213286</v>
      </c>
      <c r="N17" s="178">
        <v>225540</v>
      </c>
    </row>
    <row r="18" spans="1:17">
      <c r="A18" s="183" t="s">
        <v>2502</v>
      </c>
      <c r="B18" s="178" t="e">
        <v>#N/A</v>
      </c>
      <c r="C18" s="178">
        <v>10089</v>
      </c>
      <c r="D18" s="178">
        <v>10092</v>
      </c>
      <c r="E18" s="178">
        <v>9906</v>
      </c>
      <c r="F18" s="178">
        <v>10616</v>
      </c>
      <c r="G18" s="178">
        <v>11176</v>
      </c>
      <c r="H18" s="178"/>
      <c r="I18" s="178"/>
      <c r="J18" s="178"/>
      <c r="K18" s="178"/>
      <c r="L18" s="178">
        <v>55885</v>
      </c>
      <c r="M18" s="184">
        <v>50881</v>
      </c>
      <c r="N18" s="178">
        <v>53412</v>
      </c>
    </row>
    <row r="19" spans="1:17">
      <c r="A19" s="183" t="s">
        <v>2503</v>
      </c>
      <c r="B19" s="178" t="e">
        <v>#N/A</v>
      </c>
      <c r="C19" s="178">
        <v>0</v>
      </c>
      <c r="D19" s="178">
        <v>0</v>
      </c>
      <c r="E19" s="178">
        <v>0</v>
      </c>
      <c r="F19" s="178">
        <v>0</v>
      </c>
      <c r="G19" s="178">
        <v>0</v>
      </c>
      <c r="H19" s="178"/>
      <c r="I19" s="178"/>
      <c r="J19" s="178"/>
      <c r="K19" s="178"/>
      <c r="L19" s="178">
        <v>8213</v>
      </c>
      <c r="M19" s="184">
        <v>8685</v>
      </c>
      <c r="N19" s="178">
        <v>8864</v>
      </c>
    </row>
    <row r="20" spans="1:17">
      <c r="A20" s="183" t="s">
        <v>2504</v>
      </c>
      <c r="B20" s="178" t="e">
        <v>#N/A</v>
      </c>
      <c r="C20" s="178" t="e">
        <v>#N/A</v>
      </c>
      <c r="D20" s="178" t="e">
        <v>#N/A</v>
      </c>
      <c r="E20" s="178" t="e">
        <v>#N/A</v>
      </c>
      <c r="F20" s="178" t="e">
        <v>#N/A</v>
      </c>
      <c r="G20" s="178" t="e">
        <v>#N/A</v>
      </c>
      <c r="H20" s="178"/>
      <c r="I20" s="178"/>
      <c r="J20" s="178"/>
      <c r="K20" s="178"/>
      <c r="L20" s="178" t="s">
        <v>8905</v>
      </c>
      <c r="M20" s="184" t="s">
        <v>8905</v>
      </c>
      <c r="N20" s="178">
        <v>0</v>
      </c>
    </row>
    <row r="21" spans="1:17">
      <c r="A21" s="183" t="s">
        <v>2505</v>
      </c>
      <c r="B21" s="178" t="e">
        <v>#N/A</v>
      </c>
      <c r="C21" s="178" t="e">
        <v>#N/A</v>
      </c>
      <c r="D21" s="178" t="e">
        <v>#N/A</v>
      </c>
      <c r="E21" s="178" t="e">
        <v>#N/A</v>
      </c>
      <c r="F21" s="178" t="e">
        <v>#N/A</v>
      </c>
      <c r="G21" s="178" t="e">
        <v>#N/A</v>
      </c>
      <c r="H21" s="178"/>
      <c r="I21" s="178"/>
      <c r="J21" s="178"/>
      <c r="K21" s="178"/>
      <c r="L21" s="178">
        <v>8382</v>
      </c>
      <c r="M21" s="184">
        <v>8576</v>
      </c>
      <c r="N21" s="178">
        <v>9275</v>
      </c>
    </row>
    <row r="22" spans="1:17">
      <c r="A22" s="183" t="s">
        <v>2506</v>
      </c>
      <c r="B22" s="178" t="e">
        <v>#N/A</v>
      </c>
      <c r="C22" s="178" t="e">
        <v>#N/A</v>
      </c>
      <c r="D22" s="178" t="e">
        <v>#N/A</v>
      </c>
      <c r="E22" s="178" t="e">
        <v>#N/A</v>
      </c>
      <c r="F22" s="178" t="e">
        <v>#N/A</v>
      </c>
      <c r="G22" s="178" t="e">
        <v>#N/A</v>
      </c>
      <c r="H22" s="178"/>
      <c r="I22" s="178"/>
      <c r="J22" s="178"/>
      <c r="K22" s="178"/>
      <c r="L22" s="178" t="s">
        <v>8905</v>
      </c>
      <c r="M22" s="184" t="s">
        <v>8905</v>
      </c>
      <c r="N22" s="178">
        <v>0</v>
      </c>
    </row>
    <row r="23" spans="1:17">
      <c r="A23" s="183" t="s">
        <v>2507</v>
      </c>
      <c r="B23" s="178" t="e">
        <v>#N/A</v>
      </c>
      <c r="C23" s="178" t="e">
        <v>#N/A</v>
      </c>
      <c r="D23" s="178" t="e">
        <v>#N/A</v>
      </c>
      <c r="E23" s="178" t="e">
        <v>#N/A</v>
      </c>
      <c r="F23" s="178" t="e">
        <v>#N/A</v>
      </c>
      <c r="G23" s="178" t="e">
        <v>#N/A</v>
      </c>
      <c r="H23" s="178"/>
      <c r="I23" s="178"/>
      <c r="J23" s="178"/>
      <c r="K23" s="178"/>
      <c r="L23" s="178" t="s">
        <v>8905</v>
      </c>
      <c r="M23" s="184" t="s">
        <v>8905</v>
      </c>
      <c r="N23" s="178">
        <v>0</v>
      </c>
    </row>
    <row r="24" spans="1:17" ht="13.5" thickBot="1">
      <c r="A24" s="185" t="s">
        <v>2508</v>
      </c>
      <c r="B24" s="186" t="e">
        <v>#N/A</v>
      </c>
      <c r="C24" s="186">
        <v>44003</v>
      </c>
      <c r="D24" s="186">
        <v>44322</v>
      </c>
      <c r="E24" s="186">
        <v>46304</v>
      </c>
      <c r="F24" s="186">
        <v>45109</v>
      </c>
      <c r="G24" s="186">
        <v>42710</v>
      </c>
      <c r="H24" s="186"/>
      <c r="I24" s="186"/>
      <c r="J24" s="186"/>
      <c r="K24" s="186"/>
      <c r="L24" s="186">
        <v>69512</v>
      </c>
      <c r="M24" s="187">
        <v>77101</v>
      </c>
      <c r="N24" s="186">
        <v>54936</v>
      </c>
    </row>
    <row r="25" spans="1:17">
      <c r="F25" s="201">
        <f t="shared" ref="F25:G25" si="0">F2-F4</f>
        <v>269159</v>
      </c>
      <c r="G25" s="201">
        <f t="shared" si="0"/>
        <v>261756</v>
      </c>
      <c r="H25" s="201"/>
      <c r="I25" s="201"/>
      <c r="J25" s="201"/>
      <c r="K25" s="201"/>
      <c r="L25" s="201">
        <f>L2-L4</f>
        <v>332512</v>
      </c>
      <c r="M25" s="201">
        <f>M2-M4</f>
        <v>417498</v>
      </c>
      <c r="N25" s="201"/>
      <c r="O25" s="202"/>
    </row>
    <row r="26" spans="1:17">
      <c r="F26" s="203" t="e">
        <f t="shared" ref="F26:L26" si="1">F25/E25-1</f>
        <v>#DIV/0!</v>
      </c>
      <c r="G26" s="203">
        <f t="shared" si="1"/>
        <v>-2.7504188973803578E-2</v>
      </c>
      <c r="H26" s="203"/>
      <c r="I26" s="203"/>
      <c r="J26" s="203"/>
      <c r="K26" s="203"/>
      <c r="L26" s="203" t="e">
        <f t="shared" si="1"/>
        <v>#DIV/0!</v>
      </c>
      <c r="M26" s="203">
        <f>M25/L25-1</f>
        <v>0.25558776826099505</v>
      </c>
      <c r="N26" s="203"/>
    </row>
    <row r="27" spans="1:17">
      <c r="C27" s="204">
        <f t="shared" ref="C27:L27" si="2">C10+C12</f>
        <v>26456</v>
      </c>
      <c r="D27" s="204">
        <f t="shared" si="2"/>
        <v>26559</v>
      </c>
      <c r="E27" s="204">
        <f t="shared" si="2"/>
        <v>25358</v>
      </c>
      <c r="F27" s="204">
        <f t="shared" si="2"/>
        <v>29065</v>
      </c>
      <c r="G27" s="204">
        <f t="shared" si="2"/>
        <v>31522</v>
      </c>
      <c r="H27" s="204"/>
      <c r="I27" s="204"/>
      <c r="J27" s="204"/>
      <c r="K27" s="204"/>
      <c r="L27" s="204">
        <f t="shared" si="2"/>
        <v>31233</v>
      </c>
      <c r="M27" s="204">
        <f>M10+M12</f>
        <v>26031</v>
      </c>
      <c r="N27" s="204"/>
    </row>
    <row r="28" spans="1:17">
      <c r="F28" s="203"/>
      <c r="G28" s="203"/>
      <c r="H28" s="203"/>
      <c r="I28" s="203"/>
      <c r="J28" s="203"/>
      <c r="K28" s="203"/>
      <c r="L28" s="203"/>
      <c r="M28" s="203"/>
    </row>
    <row r="29" spans="1:17">
      <c r="A29" s="175" t="s">
        <v>2527</v>
      </c>
    </row>
    <row r="30" spans="1:17">
      <c r="A30" s="175" t="s">
        <v>2528</v>
      </c>
      <c r="B30" s="177" t="e">
        <f>B6/B$6</f>
        <v>#N/A</v>
      </c>
      <c r="C30" s="193">
        <f t="shared" ref="C30:L30" si="3">C6/C$6</f>
        <v>1</v>
      </c>
      <c r="D30" s="193">
        <f t="shared" si="3"/>
        <v>1</v>
      </c>
      <c r="E30" s="193">
        <f t="shared" si="3"/>
        <v>1</v>
      </c>
      <c r="F30" s="193">
        <f t="shared" si="3"/>
        <v>1</v>
      </c>
      <c r="G30" s="193">
        <f t="shared" si="3"/>
        <v>1</v>
      </c>
      <c r="H30" s="193"/>
      <c r="I30" s="193"/>
      <c r="J30" s="193"/>
      <c r="K30" s="193"/>
      <c r="L30" s="193">
        <f t="shared" si="3"/>
        <v>1</v>
      </c>
      <c r="M30" s="193">
        <f t="shared" ref="M30:N30" si="4">M6/M$6</f>
        <v>1</v>
      </c>
      <c r="N30" s="193">
        <f t="shared" si="4"/>
        <v>1</v>
      </c>
      <c r="O30" s="193">
        <f t="shared" ref="O30" si="5">O6/O$6</f>
        <v>1</v>
      </c>
      <c r="P30" s="193">
        <f>Q30/$Q$30</f>
        <v>1</v>
      </c>
      <c r="Q30" s="258">
        <f>'הצעת תקציב 2016'!H3/(1+N31)</f>
        <v>-486364292.95988703</v>
      </c>
    </row>
    <row r="31" spans="1:17">
      <c r="A31" s="175" t="s">
        <v>2529</v>
      </c>
      <c r="B31" s="177" t="e">
        <f>B9/B$6</f>
        <v>#N/A</v>
      </c>
      <c r="C31" s="193">
        <f t="shared" ref="C31:L31" si="6">C9/C$6</f>
        <v>1.1057475492700606</v>
      </c>
      <c r="D31" s="193">
        <f t="shared" si="6"/>
        <v>1.0322568178597653</v>
      </c>
      <c r="E31" s="193">
        <f t="shared" si="6"/>
        <v>1.0616641486206704</v>
      </c>
      <c r="F31" s="193">
        <f t="shared" si="6"/>
        <v>1.0902364270558151</v>
      </c>
      <c r="G31" s="193">
        <f t="shared" si="6"/>
        <v>1.1298601125050274</v>
      </c>
      <c r="H31" s="193"/>
      <c r="I31" s="193"/>
      <c r="J31" s="193"/>
      <c r="K31" s="193"/>
      <c r="L31" s="193">
        <f t="shared" si="6"/>
        <v>1.7210037838711072</v>
      </c>
      <c r="M31" s="193">
        <f t="shared" ref="M31:N31" si="7">M9/M$6</f>
        <v>1.599524711146959</v>
      </c>
      <c r="N31" s="193">
        <f t="shared" si="7"/>
        <v>1.5084078285751534</v>
      </c>
      <c r="O31" s="193">
        <f t="shared" ref="O31" si="8">O9/O$6</f>
        <v>1.5084078285751534</v>
      </c>
      <c r="P31" s="193">
        <f t="shared" ref="P31:P32" si="9">Q31/$Q$30</f>
        <v>1.5084078285751534</v>
      </c>
      <c r="Q31" s="258">
        <f>'הצעת תקציב 2016'!H3*O31/(1+O31)</f>
        <v>-733635707.04011297</v>
      </c>
    </row>
    <row r="32" spans="1:17">
      <c r="A32" s="175" t="s">
        <v>2530</v>
      </c>
      <c r="B32" s="201" t="e">
        <f>(B2-B4)/B$6</f>
        <v>#N/A</v>
      </c>
      <c r="C32" s="193">
        <f t="shared" ref="C32:L32" si="10">(C2-C4)/C$6</f>
        <v>1.4426845966769533</v>
      </c>
      <c r="D32" s="193">
        <f t="shared" si="10"/>
        <v>1.5166630167338684</v>
      </c>
      <c r="E32" s="193">
        <f t="shared" si="10"/>
        <v>1.4547715417280636</v>
      </c>
      <c r="F32" s="193">
        <f t="shared" si="10"/>
        <v>1.6271150579430664</v>
      </c>
      <c r="G32" s="193">
        <f t="shared" si="10"/>
        <v>1.4421579808598206</v>
      </c>
      <c r="H32" s="193"/>
      <c r="I32" s="193"/>
      <c r="J32" s="193"/>
      <c r="K32" s="193"/>
      <c r="L32" s="193">
        <f t="shared" si="10"/>
        <v>0.75657399254147351</v>
      </c>
      <c r="M32" s="193">
        <f t="shared" ref="M32:N32" si="11">(M2-M4)/M$6</f>
        <v>0.95125669015769287</v>
      </c>
      <c r="N32" s="193">
        <f t="shared" si="11"/>
        <v>0.93828714515951384</v>
      </c>
      <c r="O32" s="193">
        <f>(O2-O4)/O$6</f>
        <v>1.02499727128747</v>
      </c>
      <c r="P32" s="193">
        <f t="shared" si="9"/>
        <v>0.77255260190531583</v>
      </c>
      <c r="Q32" s="60">
        <f>Q33-Q31-Q30</f>
        <v>-375742000</v>
      </c>
    </row>
    <row r="33" spans="1:17" ht="13.5" thickBot="1">
      <c r="Q33" s="258">
        <f>'רמה 2'!M43-'הצעת תקציב 2016'!H9-'הצעת תקציב 2016'!H7-'הצעת תקציב 2016'!H8-'הצעת תקציב 2016'!H10-'הצעת תקציב 2016'!H11</f>
        <v>-1595742000</v>
      </c>
    </row>
    <row r="34" spans="1:17" ht="15">
      <c r="A34" s="195" t="s">
        <v>2509</v>
      </c>
      <c r="D34" s="200">
        <v>35110</v>
      </c>
      <c r="E34" s="200">
        <v>35286</v>
      </c>
      <c r="F34" s="200">
        <v>40376</v>
      </c>
      <c r="G34" s="200">
        <v>28273</v>
      </c>
      <c r="H34" s="200"/>
      <c r="I34" s="200"/>
      <c r="J34" s="200"/>
      <c r="K34" s="200"/>
      <c r="L34" s="200">
        <v>168357</v>
      </c>
      <c r="M34" s="200">
        <v>168017</v>
      </c>
      <c r="N34" s="200">
        <v>186195</v>
      </c>
    </row>
    <row r="35" spans="1:17" ht="15">
      <c r="A35" s="196" t="s">
        <v>2510</v>
      </c>
      <c r="D35" s="200">
        <v>209953</v>
      </c>
      <c r="E35" s="200">
        <v>223262</v>
      </c>
      <c r="F35" s="200">
        <v>226994</v>
      </c>
      <c r="G35" s="200">
        <v>246702</v>
      </c>
      <c r="H35" s="200"/>
      <c r="I35" s="200"/>
      <c r="J35" s="200"/>
      <c r="K35" s="200"/>
      <c r="L35" s="200">
        <v>560825.72</v>
      </c>
      <c r="M35" s="200">
        <v>588222</v>
      </c>
      <c r="N35" s="200">
        <v>618807</v>
      </c>
    </row>
    <row r="36" spans="1:17" ht="15">
      <c r="A36" s="197" t="s">
        <v>2511</v>
      </c>
      <c r="D36" s="200">
        <v>53299</v>
      </c>
      <c r="E36" s="200">
        <v>55980</v>
      </c>
      <c r="F36" s="200">
        <v>55796</v>
      </c>
      <c r="G36" s="200">
        <v>59245</v>
      </c>
      <c r="H36" s="200"/>
      <c r="I36" s="200"/>
      <c r="J36" s="200"/>
      <c r="K36" s="200"/>
      <c r="L36" s="200">
        <v>142342</v>
      </c>
      <c r="M36" s="200">
        <v>133876</v>
      </c>
      <c r="N36" s="200">
        <v>142216</v>
      </c>
      <c r="O36" s="200">
        <f>(N36/(N36+N46)*('הצעת תקציב 2016'!H146+'הצעת תקציב 2016'!H147+'הצעת תקציב 2016'!H148))/-1000</f>
        <v>4099.6721189912687</v>
      </c>
    </row>
    <row r="37" spans="1:17" ht="15">
      <c r="A37" s="196" t="s">
        <v>2512</v>
      </c>
      <c r="D37" s="200">
        <v>-1224</v>
      </c>
      <c r="E37" s="200">
        <v>-1353</v>
      </c>
      <c r="F37" s="200">
        <v>-17880</v>
      </c>
      <c r="G37" s="200">
        <v>-9306</v>
      </c>
      <c r="H37" s="200"/>
      <c r="I37" s="200"/>
      <c r="J37" s="200"/>
      <c r="K37" s="200"/>
      <c r="L37" s="200">
        <v>20673</v>
      </c>
      <c r="M37" s="200">
        <v>2723</v>
      </c>
      <c r="N37" s="200">
        <v>11175</v>
      </c>
    </row>
    <row r="38" spans="1:17" ht="15">
      <c r="A38" s="197" t="s">
        <v>2513</v>
      </c>
      <c r="D38" s="200">
        <v>190540</v>
      </c>
      <c r="E38" s="200">
        <v>201215</v>
      </c>
      <c r="F38" s="200">
        <v>193694</v>
      </c>
      <c r="G38" s="200">
        <v>206424</v>
      </c>
      <c r="H38" s="200"/>
      <c r="I38" s="200"/>
      <c r="J38" s="200"/>
      <c r="K38" s="200"/>
      <c r="L38" s="200">
        <v>607513.72</v>
      </c>
      <c r="M38" s="200">
        <v>625086</v>
      </c>
      <c r="N38" s="200">
        <v>673961</v>
      </c>
    </row>
    <row r="39" spans="1:17" ht="15">
      <c r="A39" s="196" t="s">
        <v>2514</v>
      </c>
      <c r="D39" s="200">
        <v>155254</v>
      </c>
      <c r="E39" s="200">
        <v>160839</v>
      </c>
      <c r="F39" s="200">
        <v>165421</v>
      </c>
      <c r="G39" s="200">
        <v>181503</v>
      </c>
      <c r="H39" s="200"/>
      <c r="I39" s="200"/>
      <c r="J39" s="200"/>
      <c r="K39" s="200"/>
      <c r="L39" s="200">
        <v>439497</v>
      </c>
      <c r="M39" s="200">
        <v>438891</v>
      </c>
      <c r="N39" s="200">
        <v>444883</v>
      </c>
      <c r="O39" s="60">
        <f>O6</f>
        <v>448219.62250000006</v>
      </c>
    </row>
    <row r="40" spans="1:17" ht="15">
      <c r="A40" s="197" t="s">
        <v>2515</v>
      </c>
      <c r="D40" s="200">
        <v>35286</v>
      </c>
      <c r="E40" s="200">
        <v>40376</v>
      </c>
      <c r="F40" s="200">
        <v>28273</v>
      </c>
      <c r="G40" s="200">
        <v>24921</v>
      </c>
      <c r="H40" s="200"/>
      <c r="I40" s="200"/>
      <c r="J40" s="200"/>
      <c r="K40" s="200"/>
      <c r="L40" s="200">
        <v>168016.72</v>
      </c>
      <c r="M40" s="200">
        <v>186195</v>
      </c>
      <c r="N40" s="200">
        <v>229078</v>
      </c>
    </row>
    <row r="41" spans="1:17" ht="15">
      <c r="A41" s="198" t="s">
        <v>2516</v>
      </c>
      <c r="D41" s="194">
        <v>0.99</v>
      </c>
      <c r="E41" s="194">
        <v>0.96932422903772097</v>
      </c>
      <c r="F41" s="194">
        <v>1.0789405027459267</v>
      </c>
      <c r="G41" s="194">
        <v>1.0188154992113432</v>
      </c>
      <c r="H41" s="194"/>
      <c r="I41" s="194"/>
      <c r="J41" s="194"/>
      <c r="K41" s="194"/>
      <c r="L41" s="194">
        <v>0</v>
      </c>
      <c r="M41" s="194">
        <v>0.96598407381158857</v>
      </c>
      <c r="N41" s="238">
        <v>0.93346915909028916</v>
      </c>
    </row>
    <row r="42" spans="1:17" ht="15.75" thickBot="1">
      <c r="A42" s="199" t="s">
        <v>2517</v>
      </c>
      <c r="D42" s="194">
        <v>0.81</v>
      </c>
      <c r="E42" s="194">
        <v>0.8</v>
      </c>
      <c r="F42" s="194">
        <v>0.85</v>
      </c>
      <c r="G42" s="194">
        <v>0.88</v>
      </c>
      <c r="H42" s="194"/>
      <c r="I42" s="194"/>
      <c r="J42" s="194"/>
      <c r="K42" s="194"/>
      <c r="L42" s="194">
        <v>0.72</v>
      </c>
      <c r="M42" s="194">
        <v>0.7</v>
      </c>
      <c r="N42" s="238">
        <v>0.66</v>
      </c>
    </row>
    <row r="43" spans="1:17" ht="13.5" thickBot="1"/>
    <row r="44" spans="1:17" ht="15">
      <c r="A44" s="195" t="s">
        <v>2518</v>
      </c>
      <c r="D44" s="200">
        <v>97762</v>
      </c>
      <c r="E44" s="200">
        <v>99531</v>
      </c>
      <c r="F44" s="200">
        <v>97992</v>
      </c>
      <c r="G44" s="200">
        <v>65563</v>
      </c>
      <c r="H44" s="200"/>
      <c r="I44" s="200"/>
      <c r="J44" s="200"/>
      <c r="K44" s="200"/>
      <c r="L44" s="200">
        <v>1103511</v>
      </c>
      <c r="M44" s="200">
        <v>967558</v>
      </c>
      <c r="N44" s="200">
        <v>1111499</v>
      </c>
    </row>
    <row r="45" spans="1:17" ht="15">
      <c r="A45" s="196" t="s">
        <v>2519</v>
      </c>
      <c r="D45" s="200">
        <v>193635</v>
      </c>
      <c r="E45" s="200">
        <v>218672</v>
      </c>
      <c r="F45" s="200">
        <v>219581</v>
      </c>
      <c r="G45" s="200">
        <v>237819.19</v>
      </c>
      <c r="H45" s="200"/>
      <c r="I45" s="200"/>
      <c r="J45" s="200"/>
      <c r="K45" s="200"/>
      <c r="L45" s="200">
        <v>910222.42</v>
      </c>
      <c r="M45" s="200">
        <v>908141</v>
      </c>
      <c r="N45" s="200">
        <v>874742.6</v>
      </c>
    </row>
    <row r="46" spans="1:17" ht="15">
      <c r="A46" s="197" t="s">
        <v>2520</v>
      </c>
      <c r="D46" s="200">
        <v>20321</v>
      </c>
      <c r="E46" s="200">
        <v>33525</v>
      </c>
      <c r="F46" s="200">
        <v>34640</v>
      </c>
      <c r="G46" s="200">
        <v>15076</v>
      </c>
      <c r="H46" s="200"/>
      <c r="I46" s="200"/>
      <c r="J46" s="200"/>
      <c r="K46" s="200"/>
      <c r="L46" s="200">
        <v>68999</v>
      </c>
      <c r="M46" s="200">
        <v>26530</v>
      </c>
      <c r="N46" s="200">
        <v>19611</v>
      </c>
      <c r="O46" s="200">
        <f>(N46/(N36+N46)*('הצעת תקציב 2016'!H146+'הצעת תקציב 2016'!H147+'הצעת תקציב 2016'!H148))/-1000</f>
        <v>565.32788100873154</v>
      </c>
    </row>
    <row r="47" spans="1:17" ht="15">
      <c r="A47" s="196" t="s">
        <v>2521</v>
      </c>
      <c r="D47" s="200">
        <v>-11283</v>
      </c>
      <c r="E47" s="200">
        <v>-15929</v>
      </c>
      <c r="F47" s="200">
        <v>-37022</v>
      </c>
      <c r="G47" s="200">
        <v>-8848</v>
      </c>
      <c r="H47" s="200"/>
      <c r="I47" s="200"/>
      <c r="J47" s="200"/>
      <c r="K47" s="200"/>
      <c r="L47" s="200">
        <v>-220800</v>
      </c>
      <c r="M47" s="200">
        <v>-35653</v>
      </c>
      <c r="N47" s="200">
        <v>54402</v>
      </c>
    </row>
    <row r="48" spans="1:17" ht="15">
      <c r="A48" s="197" t="s">
        <v>2522</v>
      </c>
      <c r="D48" s="200">
        <v>259793</v>
      </c>
      <c r="E48" s="200">
        <v>268749</v>
      </c>
      <c r="F48" s="200">
        <v>245911</v>
      </c>
      <c r="G48" s="200">
        <v>279458.19</v>
      </c>
      <c r="H48" s="200"/>
      <c r="I48" s="200"/>
      <c r="J48" s="200"/>
      <c r="K48" s="200"/>
      <c r="L48" s="200">
        <v>1723934.42</v>
      </c>
      <c r="M48" s="200">
        <v>1813516</v>
      </c>
      <c r="N48" s="200">
        <v>2021032.6</v>
      </c>
    </row>
    <row r="49" spans="1:15" ht="15">
      <c r="A49" s="196" t="s">
        <v>2523</v>
      </c>
      <c r="D49" s="200">
        <v>160262</v>
      </c>
      <c r="E49" s="200">
        <v>170757</v>
      </c>
      <c r="F49" s="200">
        <v>180348</v>
      </c>
      <c r="G49" s="200">
        <v>205073</v>
      </c>
      <c r="H49" s="200"/>
      <c r="I49" s="200"/>
      <c r="J49" s="200"/>
      <c r="K49" s="200"/>
      <c r="L49" s="200">
        <v>756376</v>
      </c>
      <c r="M49" s="200">
        <v>702017</v>
      </c>
      <c r="N49" s="200">
        <v>671065</v>
      </c>
      <c r="O49" s="60">
        <f>O9</f>
        <v>676097.98750000005</v>
      </c>
    </row>
    <row r="50" spans="1:15" ht="15">
      <c r="A50" s="197" t="s">
        <v>2524</v>
      </c>
      <c r="D50" s="200">
        <v>99531</v>
      </c>
      <c r="E50" s="200">
        <v>97992</v>
      </c>
      <c r="F50" s="200">
        <v>65563</v>
      </c>
      <c r="G50" s="200">
        <v>74385.19</v>
      </c>
      <c r="H50" s="200"/>
      <c r="I50" s="200"/>
      <c r="J50" s="200"/>
      <c r="K50" s="200"/>
      <c r="L50" s="200">
        <v>967558.42</v>
      </c>
      <c r="M50" s="200">
        <v>1111499</v>
      </c>
      <c r="N50" s="200">
        <v>1349967.6</v>
      </c>
    </row>
    <row r="51" spans="1:15" ht="15">
      <c r="A51" s="198" t="s">
        <v>2525</v>
      </c>
      <c r="D51" s="194">
        <v>0.92</v>
      </c>
      <c r="E51" s="194">
        <v>1.009094777151367</v>
      </c>
      <c r="F51" s="194">
        <v>1.2192348515065679</v>
      </c>
      <c r="G51" s="194">
        <v>0.95875461248100058</v>
      </c>
      <c r="H51" s="194"/>
      <c r="I51" s="194"/>
      <c r="J51" s="194"/>
      <c r="K51" s="194"/>
      <c r="L51" s="194">
        <v>0</v>
      </c>
      <c r="M51" s="194">
        <v>0.79628883940876416</v>
      </c>
      <c r="N51" s="238">
        <v>0.78475055769193891</v>
      </c>
    </row>
    <row r="52" spans="1:15" ht="15.75" thickBot="1">
      <c r="A52" s="199" t="s">
        <v>2526</v>
      </c>
      <c r="D52" s="194">
        <v>0.62</v>
      </c>
      <c r="E52" s="194">
        <v>0.64</v>
      </c>
      <c r="F52" s="194">
        <v>0.73</v>
      </c>
      <c r="G52" s="194">
        <v>0.73</v>
      </c>
      <c r="H52" s="194"/>
      <c r="I52" s="194"/>
      <c r="J52" s="194"/>
      <c r="K52" s="194"/>
      <c r="L52" s="194">
        <v>0.44</v>
      </c>
      <c r="M52" s="194">
        <v>0.39</v>
      </c>
      <c r="N52" s="238">
        <v>0.33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2"/>
  <sheetViews>
    <sheetView rightToLeft="1" topLeftCell="D25" workbookViewId="0">
      <selection activeCell="L35" sqref="L35"/>
    </sheetView>
  </sheetViews>
  <sheetFormatPr defaultRowHeight="12.75"/>
  <cols>
    <col min="2" max="2" width="22.28515625" bestFit="1" customWidth="1"/>
    <col min="3" max="9" width="22.42578125" customWidth="1"/>
    <col min="10" max="10" width="14.28515625" bestFit="1" customWidth="1"/>
    <col min="11" max="11" width="15.140625" bestFit="1" customWidth="1"/>
    <col min="12" max="13" width="16.7109375" bestFit="1" customWidth="1"/>
    <col min="14" max="14" width="21.42578125" bestFit="1" customWidth="1"/>
  </cols>
  <sheetData>
    <row r="3" spans="1:9" ht="30">
      <c r="A3" s="41" t="s">
        <v>2376</v>
      </c>
      <c r="B3" s="41" t="s">
        <v>23</v>
      </c>
      <c r="C3" s="42" t="s">
        <v>2355</v>
      </c>
      <c r="D3" s="42" t="s">
        <v>4678</v>
      </c>
      <c r="E3" s="42" t="s">
        <v>4682</v>
      </c>
      <c r="F3" s="42" t="s">
        <v>2356</v>
      </c>
      <c r="G3" s="42" t="s">
        <v>4679</v>
      </c>
      <c r="H3" s="42" t="s">
        <v>4680</v>
      </c>
      <c r="I3" s="42" t="s">
        <v>4681</v>
      </c>
    </row>
    <row r="4" spans="1:9">
      <c r="A4">
        <v>1</v>
      </c>
      <c r="B4" t="s">
        <v>1915</v>
      </c>
      <c r="C4" s="44">
        <f>SUMIF('הצעת תקציב 2016'!$L$3:$L$7326,$A4,'הצעת תקציב 2016'!$K$3:$K$7326)</f>
        <v>0</v>
      </c>
      <c r="D4" s="44">
        <f>SUMIF('הצעת תקציב 2016'!$L$3:$L$7326,$A4,'הצעת תקציב 2016'!$J$3:$J$7326)</f>
        <v>-1301074228</v>
      </c>
      <c r="E4" s="50" t="e">
        <f>D4/C4-1</f>
        <v>#DIV/0!</v>
      </c>
      <c r="F4" s="44">
        <f>SUMIF('הצעת תקציב 2016'!$L$3:$L$7326,$A4,'הצעת תקציב 2016'!$I$3:$I$7326)</f>
        <v>-1426459400</v>
      </c>
      <c r="G4" s="50">
        <f>F4/D4-1</f>
        <v>9.6370498547758476E-2</v>
      </c>
      <c r="H4" s="44">
        <f>SUMIF('הצעת תקציב 2016'!$L$3:$L$7326,$A4,'הצעת תקציב 2016'!$H$3:$H$7326)</f>
        <v>-1404830000</v>
      </c>
      <c r="I4" s="50">
        <f>H4/F4-1</f>
        <v>-1.5162997278436396E-2</v>
      </c>
    </row>
    <row r="5" spans="1:9">
      <c r="A5">
        <v>2</v>
      </c>
      <c r="B5" s="43" t="s">
        <v>2352</v>
      </c>
      <c r="C5" s="44">
        <f>SUMIF('הצעת תקציב 2016'!$L$3:$L$7326,$A5,'הצעת תקציב 2016'!$K$3:$K$7326)</f>
        <v>0</v>
      </c>
      <c r="D5" s="44">
        <f>SUMIF('הצעת תקציב 2016'!$L$3:$L$7326,$A5,'הצעת תקציב 2016'!$J$3:$J$7326)</f>
        <v>-168886084</v>
      </c>
      <c r="E5" s="50" t="e">
        <f t="shared" ref="E5:E9" si="0">D5/C5-1</f>
        <v>#DIV/0!</v>
      </c>
      <c r="F5" s="44">
        <f>SUMIF('הצעת תקציב 2016'!$L$3:$L$7326,$A5,'הצעת תקציב 2016'!$I$3:$I$7326)</f>
        <v>-137111800</v>
      </c>
      <c r="G5" s="50">
        <f t="shared" ref="G5:I9" si="1">F5/D5-1</f>
        <v>-0.18814033250957496</v>
      </c>
      <c r="H5" s="44">
        <f>SUMIF('הצעת תקציב 2016'!$L$3:$L$7326,$A5,'הצעת תקציב 2016'!$H$3:$H$7326)</f>
        <v>-128670700</v>
      </c>
      <c r="I5" s="50">
        <f t="shared" si="1"/>
        <v>-6.1563629096839212E-2</v>
      </c>
    </row>
    <row r="6" spans="1:9">
      <c r="A6">
        <v>3</v>
      </c>
      <c r="B6" s="43" t="s">
        <v>2353</v>
      </c>
      <c r="C6" s="44">
        <f>SUMIF('הצעת תקציב 2016'!$L$3:$L$7326,$A6,'הצעת תקציב 2016'!$K$3:$K$7326)</f>
        <v>0</v>
      </c>
      <c r="D6" s="44">
        <f>SUMIF('הצעת תקציב 2016'!$L$3:$L$7326,$A6,'הצעת תקציב 2016'!$J$3:$J$7326)</f>
        <v>-901268275</v>
      </c>
      <c r="E6" s="50" t="e">
        <f t="shared" si="0"/>
        <v>#DIV/0!</v>
      </c>
      <c r="F6" s="44">
        <f>SUMIF('הצעת תקציב 2016'!$L$3:$L$7326,$A6,'הצעת תקציב 2016'!$I$3:$I$7326)</f>
        <v>-915431300</v>
      </c>
      <c r="G6" s="50">
        <f t="shared" si="1"/>
        <v>1.5714549588467408E-2</v>
      </c>
      <c r="H6" s="44">
        <f>SUMIF('הצעת תקציב 2016'!$L$3:$L$7326,$A6,'הצעת תקציב 2016'!$H$3:$H$7326)</f>
        <v>-961782300</v>
      </c>
      <c r="I6" s="50">
        <f t="shared" si="1"/>
        <v>5.0632963937326636E-2</v>
      </c>
    </row>
    <row r="7" spans="1:9">
      <c r="A7">
        <v>4</v>
      </c>
      <c r="B7" s="43" t="s">
        <v>1614</v>
      </c>
      <c r="C7" s="44">
        <f>SUMIF('הצעת תקציב 2016'!$L$3:$L$7326,$A7,'הצעת תקציב 2016'!$K$3:$K$7326)</f>
        <v>0</v>
      </c>
      <c r="D7" s="44">
        <f>SUMIF('הצעת תקציב 2016'!$L$3:$L$7326,$A7,'הצעת תקציב 2016'!$J$3:$J$7326)</f>
        <v>-11465026</v>
      </c>
      <c r="E7" s="50" t="e">
        <f t="shared" si="0"/>
        <v>#DIV/0!</v>
      </c>
      <c r="F7" s="44">
        <f>SUMIF('הצעת תקציב 2016'!$L$3:$L$7326,$A7,'הצעת תקציב 2016'!$I$3:$I$7326)</f>
        <v>-12107000</v>
      </c>
      <c r="G7" s="50">
        <f t="shared" si="1"/>
        <v>5.5994116367463986E-2</v>
      </c>
      <c r="H7" s="44">
        <f>SUMIF('הצעת תקציב 2016'!$L$3:$L$7326,$A7,'הצעת תקציב 2016'!$H$3:$H$7326)</f>
        <v>-12107000</v>
      </c>
      <c r="I7" s="50">
        <f t="shared" si="1"/>
        <v>0</v>
      </c>
    </row>
    <row r="8" spans="1:9">
      <c r="A8">
        <v>5</v>
      </c>
      <c r="B8" s="43" t="s">
        <v>2281</v>
      </c>
      <c r="C8" s="44">
        <f>SUMIF('הצעת תקציב 2016'!$L$3:$L$7326,$A8,'הצעת תקציב 2016'!$K$3:$K$7326)</f>
        <v>0</v>
      </c>
      <c r="D8" s="44">
        <f>SUMIF('הצעת תקציב 2016'!$L$3:$L$7326,$A8,'הצעת תקציב 2016'!$J$3:$J$7326)</f>
        <v>-62306250</v>
      </c>
      <c r="E8" s="50" t="e">
        <f t="shared" si="0"/>
        <v>#DIV/0!</v>
      </c>
      <c r="F8" s="44">
        <f>SUMIF('הצעת תקציב 2016'!$L$3:$L$7326,$A8,'הצעת תקציב 2016'!$I$3:$I$7326)</f>
        <v>-16600000</v>
      </c>
      <c r="G8" s="50">
        <f t="shared" si="1"/>
        <v>-0.73357407964690546</v>
      </c>
      <c r="H8" s="44">
        <f>SUMIF('הצעת תקציב 2016'!$L$3:$L$7326,$A8,'הצעת תקציב 2016'!$H$3:$H$7326)</f>
        <v>-16600000</v>
      </c>
      <c r="I8" s="50">
        <f t="shared" si="1"/>
        <v>0</v>
      </c>
    </row>
    <row r="9" spans="1:9" ht="15">
      <c r="B9" s="45" t="s">
        <v>2354</v>
      </c>
      <c r="C9" s="46">
        <f>SUM(C4:C8)</f>
        <v>0</v>
      </c>
      <c r="D9" s="46">
        <f>SUM(D4:D8)</f>
        <v>-2444999863</v>
      </c>
      <c r="E9" s="51" t="e">
        <f t="shared" si="0"/>
        <v>#DIV/0!</v>
      </c>
      <c r="F9" s="46">
        <f>SUM(F4:F8)</f>
        <v>-2507709500</v>
      </c>
      <c r="G9" s="51">
        <f t="shared" si="1"/>
        <v>2.5648114729567073E-2</v>
      </c>
      <c r="H9" s="46">
        <f>SUM(H4:H8)</f>
        <v>-2523990000</v>
      </c>
      <c r="I9" s="51">
        <f t="shared" si="1"/>
        <v>6.4921794171135527E-3</v>
      </c>
    </row>
    <row r="12" spans="1:9" ht="30">
      <c r="A12" s="41" t="s">
        <v>2376</v>
      </c>
      <c r="B12" s="41" t="s">
        <v>23</v>
      </c>
      <c r="C12" s="42" t="s">
        <v>2355</v>
      </c>
      <c r="D12" s="42" t="s">
        <v>4678</v>
      </c>
      <c r="E12" s="42" t="s">
        <v>4682</v>
      </c>
      <c r="F12" s="42" t="s">
        <v>2356</v>
      </c>
      <c r="G12" s="42" t="s">
        <v>4679</v>
      </c>
      <c r="H12" s="42" t="s">
        <v>4680</v>
      </c>
      <c r="I12" s="42" t="s">
        <v>4681</v>
      </c>
    </row>
    <row r="13" spans="1:9">
      <c r="A13">
        <v>6</v>
      </c>
      <c r="B13" s="43" t="s">
        <v>228</v>
      </c>
      <c r="C13" s="44" t="e">
        <f>SUMIF('הצעת תקציב 2016'!$L$3:$L$7326,$A13,'הצעת תקציב 2016'!$K$3:$K$7326)</f>
        <v>#N/A</v>
      </c>
      <c r="D13" s="44">
        <f>SUMIF('הצעת תקציב 2016'!$L$3:$L$7326,$A13,'הצעת תקציב 2016'!$J$3:$J$7326)</f>
        <v>391253400</v>
      </c>
      <c r="E13" s="50" t="e">
        <f>D13/C13-1</f>
        <v>#N/A</v>
      </c>
      <c r="F13" s="44">
        <f>SUMIF('הצעת תקציב 2016'!$L$3:$L$7326,$A13,'הצעת תקציב 2016'!$I$3:$I$7326)</f>
        <v>384270900</v>
      </c>
      <c r="G13" s="50">
        <f>F13/D13-1</f>
        <v>-1.7846490279701088E-2</v>
      </c>
      <c r="H13" s="44">
        <f>SUMIF('הצעת תקציב 2016'!$L$3:$L$7326,$A13,'הצעת תקציב 2016'!$H$3:$H$7326)</f>
        <v>364628100</v>
      </c>
      <c r="I13" s="50">
        <f>H13/F13-1</f>
        <v>-5.1117063509102612E-2</v>
      </c>
    </row>
    <row r="14" spans="1:9">
      <c r="A14">
        <v>7</v>
      </c>
      <c r="B14" s="43" t="s">
        <v>2379</v>
      </c>
      <c r="C14" s="44" t="e">
        <f>SUMIF('הצעת תקציב 2016'!$L$3:$L$7326,$A14,'הצעת תקציב 2016'!$K$3:$K$7326)</f>
        <v>#N/A</v>
      </c>
      <c r="D14" s="44">
        <f>SUMIF('הצעת תקציב 2016'!$L$3:$L$7326,$A14,'הצעת תקציב 2016'!$J$3:$J$7326)</f>
        <v>379112800</v>
      </c>
      <c r="E14" s="50" t="e">
        <f>D14/C14-1</f>
        <v>#N/A</v>
      </c>
      <c r="F14" s="44">
        <f>SUMIF('הצעת תקציב 2016'!$L$3:$L$7326,$A14,'הצעת תקציב 2016'!$I$3:$I$7326)</f>
        <v>392797900</v>
      </c>
      <c r="G14" s="50">
        <f>F14/D14-1</f>
        <v>3.6097699681994388E-2</v>
      </c>
      <c r="H14" s="44">
        <f>SUMIF('הצעת תקציב 2016'!$L$3:$L$7326,$A14,'הצעת תקציב 2016'!$H$3:$H$7326)</f>
        <v>394357700</v>
      </c>
      <c r="I14" s="50">
        <f>H14/F14-1</f>
        <v>3.9709988266229956E-3</v>
      </c>
    </row>
    <row r="15" spans="1:9">
      <c r="A15">
        <v>8</v>
      </c>
      <c r="B15" s="43" t="s">
        <v>2378</v>
      </c>
      <c r="C15" s="44" t="e">
        <f>SUMIF('הצעת תקציב 2016'!$L$3:$L$7326,$A15,'הצעת תקציב 2016'!$K$3:$K$7326)</f>
        <v>#N/A</v>
      </c>
      <c r="D15" s="44">
        <f>SUMIF('הצעת תקציב 2016'!$L$3:$L$7326,$A15,'הצעת תקציב 2016'!$J$3:$J$7326)</f>
        <v>1264696535</v>
      </c>
      <c r="E15" s="50" t="e">
        <f>D15/C15-1</f>
        <v>#N/A</v>
      </c>
      <c r="F15" s="44">
        <f>SUMIF('הצעת תקציב 2016'!$L$3:$L$7326,$A15,'הצעת תקציב 2016'!$I$3:$I$7326)</f>
        <v>1314248000</v>
      </c>
      <c r="G15" s="50">
        <f>F15/D15-1</f>
        <v>3.9180517720007746E-2</v>
      </c>
      <c r="H15" s="44">
        <f>SUMIF('הצעת תקציב 2016'!$L$3:$L$7326,$A15,'הצעת תקציב 2016'!$H$3:$H$7326)</f>
        <v>1371347700</v>
      </c>
      <c r="I15" s="50">
        <f>H15/F15-1</f>
        <v>4.3446670643592311E-2</v>
      </c>
    </row>
    <row r="16" spans="1:9">
      <c r="A16">
        <v>9</v>
      </c>
      <c r="B16" s="43" t="s">
        <v>2377</v>
      </c>
      <c r="C16" s="44" t="e">
        <f>SUMIF('הצעת תקציב 2016'!$L$3:$L$7326,$A16,'הצעת תקציב 2016'!$K$3:$K$7326)</f>
        <v>#N/A</v>
      </c>
      <c r="D16" s="44">
        <f>SUMIF('הצעת תקציב 2016'!$L$3:$L$7326,$A16,'הצעת תקציב 2016'!$J$3:$J$7326)</f>
        <v>381781700</v>
      </c>
      <c r="E16" s="50" t="e">
        <f t="shared" ref="E16:E17" si="2">D16/C16-1</f>
        <v>#N/A</v>
      </c>
      <c r="F16" s="44">
        <f>SUMIF('הצעת תקציב 2016'!$L$3:$L$7326,$A16,'הצעת תקציב 2016'!$I$3:$I$7326)</f>
        <v>384201200</v>
      </c>
      <c r="G16" s="50">
        <f t="shared" ref="G16:G17" si="3">F16/D16-1</f>
        <v>6.337391236929335E-3</v>
      </c>
      <c r="H16" s="44">
        <f>SUMIF('הצעת תקציב 2016'!$L$3:$L$7326,$A16,'הצעת תקציב 2016'!$H$3:$H$7326)</f>
        <v>389325100</v>
      </c>
      <c r="I16" s="50">
        <f t="shared" ref="I16:I17" si="4">H16/F16-1</f>
        <v>1.3336501812071466E-2</v>
      </c>
    </row>
    <row r="17" spans="1:12" ht="15">
      <c r="B17" s="45" t="s">
        <v>2354</v>
      </c>
      <c r="C17" s="46" t="e">
        <f>SUM(C13:C16)</f>
        <v>#N/A</v>
      </c>
      <c r="D17" s="46">
        <f>SUM(D13:D16)</f>
        <v>2416844435</v>
      </c>
      <c r="E17" s="51" t="e">
        <f t="shared" si="2"/>
        <v>#N/A</v>
      </c>
      <c r="F17" s="46">
        <f>SUM(F13:F16)</f>
        <v>2475518000</v>
      </c>
      <c r="G17" s="51">
        <f t="shared" si="3"/>
        <v>2.4276930757440418E-2</v>
      </c>
      <c r="H17" s="46">
        <f>SUM(H13:H16)</f>
        <v>2519658600</v>
      </c>
      <c r="I17" s="51">
        <f t="shared" si="4"/>
        <v>1.783085398692319E-2</v>
      </c>
    </row>
    <row r="19" spans="1:12" ht="30">
      <c r="A19" s="41" t="s">
        <v>2376</v>
      </c>
      <c r="B19" s="41" t="s">
        <v>23</v>
      </c>
      <c r="C19" s="42" t="s">
        <v>2355</v>
      </c>
      <c r="D19" s="42" t="s">
        <v>4678</v>
      </c>
      <c r="E19" s="42" t="s">
        <v>4682</v>
      </c>
      <c r="F19" s="42" t="s">
        <v>2356</v>
      </c>
      <c r="G19" s="42" t="s">
        <v>4679</v>
      </c>
      <c r="H19" s="42" t="s">
        <v>4680</v>
      </c>
      <c r="I19" s="42" t="s">
        <v>4681</v>
      </c>
    </row>
    <row r="20" spans="1:12">
      <c r="A20">
        <v>9</v>
      </c>
      <c r="B20" s="48" t="s">
        <v>2380</v>
      </c>
      <c r="C20" s="44">
        <f>SUMIFS('הצעת תקציב 2016'!$K$3:$K$7326,'הצעת תקציב 2016'!$M$3:$M$7326,"תקציבי עזר",'הצעת תקציב 2016'!$K$3:$K$7326,"&lt;0")</f>
        <v>0</v>
      </c>
      <c r="D20" s="44">
        <f>SUMIFS('הצעת תקציב 2016'!$J$3:$J$7326,'הצעת תקציב 2016'!$M$3:$M$7326,"תקציבי עזר",'הצעת תקציב 2016'!$J$3:$J$7326,"&lt;0")</f>
        <v>0</v>
      </c>
      <c r="E20" s="50" t="e">
        <f t="shared" ref="E20:E21" si="5">D20/C20-1</f>
        <v>#DIV/0!</v>
      </c>
      <c r="F20" s="44">
        <f>SUMIFS('הצעת תקציב 2016'!$I$3:$I$7326,'הצעת תקציב 2016'!$M$3:$M$7326,"תקציבי עזר",'הצעת תקציב 2016'!$I$3:$I$7326,"&lt;0")</f>
        <v>0</v>
      </c>
      <c r="G20" s="50" t="e">
        <f t="shared" ref="G20:G21" si="6">F20/D20-1</f>
        <v>#DIV/0!</v>
      </c>
      <c r="H20" s="44">
        <f>SUMIFS('הצעת תקציב 2016'!$H$3:$H$7326,'הצעת תקציב 2016'!$M$3:$M$7326,"תקציבי עזר",'הצעת תקציב 2016'!$H$3:$H$7326,"&lt;0")</f>
        <v>0</v>
      </c>
      <c r="I20" s="50" t="e">
        <f t="shared" ref="I20:I21" si="7">H20/F20-1</f>
        <v>#DIV/0!</v>
      </c>
    </row>
    <row r="21" spans="1:12">
      <c r="A21">
        <v>9</v>
      </c>
      <c r="B21" s="48" t="s">
        <v>2381</v>
      </c>
      <c r="C21" s="44">
        <f>SUMIFS('הצעת תקציב 2016'!$K$3:$K$7326,'הצעת תקציב 2016'!$M$3:$M$7326,"תקציבי עזר",'הצעת תקציב 2016'!$K$3:$K$7326,"&gt;0")</f>
        <v>0</v>
      </c>
      <c r="D21" s="44">
        <f>SUMIFS('הצעת תקציב 2016'!$J$3:$J$7326,'הצעת תקציב 2016'!$M$3:$M$7326,"תקציבי עזר",'הצעת תקציב 2016'!$J$3:$J$7326,"&gt;0")</f>
        <v>0</v>
      </c>
      <c r="E21" s="50" t="e">
        <f t="shared" si="5"/>
        <v>#DIV/0!</v>
      </c>
      <c r="F21" s="44">
        <f>SUMIFS('הצעת תקציב 2016'!$I$3:$I$7326,'הצעת תקציב 2016'!$M$3:$M$7326,"תקציבי עזר",'הצעת תקציב 2016'!$I$3:$I$7326,"&gt;0")</f>
        <v>0</v>
      </c>
      <c r="G21" s="50" t="e">
        <f t="shared" si="6"/>
        <v>#DIV/0!</v>
      </c>
      <c r="H21" s="44">
        <f>SUMIFS('הצעת תקציב 2016'!$H$3:$H$7326,'הצעת תקציב 2016'!$M$3:$M$7326,"תקציבי עזר",'הצעת תקציב 2016'!$H$3:$H$7326,"&gt;0")</f>
        <v>0</v>
      </c>
      <c r="I21" s="50" t="e">
        <f t="shared" si="7"/>
        <v>#DIV/0!</v>
      </c>
    </row>
    <row r="22" spans="1:12">
      <c r="B22" s="48"/>
      <c r="C22" s="44"/>
      <c r="D22" s="44"/>
      <c r="E22" s="50"/>
      <c r="F22" s="44"/>
      <c r="G22" s="50"/>
      <c r="H22" s="44"/>
      <c r="I22" s="50"/>
    </row>
    <row r="24" spans="1:12">
      <c r="C24">
        <v>1</v>
      </c>
      <c r="D24">
        <v>2</v>
      </c>
      <c r="E24">
        <v>3</v>
      </c>
      <c r="F24">
        <v>4</v>
      </c>
      <c r="G24">
        <v>5</v>
      </c>
      <c r="H24">
        <v>6</v>
      </c>
      <c r="I24">
        <v>7</v>
      </c>
      <c r="J24">
        <v>8</v>
      </c>
      <c r="K24">
        <v>9</v>
      </c>
    </row>
    <row r="25" spans="1:12" ht="45">
      <c r="B25" s="52" t="s">
        <v>4680</v>
      </c>
      <c r="C25" s="52" t="str">
        <f>INDEX(Expenditure_type,MATCH(C$24*1,type!$A$2:$A$117,0),8)</f>
        <v>משכורות וש"ע לעובדים לפי תקן</v>
      </c>
      <c r="D25" s="52" t="str">
        <f>INDEX(Expenditure_type,MATCH(D$24*1,type!$A$2:$A$117,0),8)</f>
        <v>משכורות וש"ע לעובדים בלי תקן</v>
      </c>
      <c r="E25" s="52" t="str">
        <f>INDEX(Expenditure_type,MATCH(E$24*1,type!$A$2:$A$117,0),8)</f>
        <v>פנסיה ופיצויים</v>
      </c>
      <c r="F25" s="52" t="str">
        <f>INDEX(Expenditure_type,MATCH(F$24*1,type!$A$2:$A$117,0),8)</f>
        <v>אחזקת בינים ואספקת ציוד</v>
      </c>
      <c r="G25" s="52" t="str">
        <f>INDEX(Expenditure_type,MATCH(G$24*1,type!$A$2:$A$117,0),8)</f>
        <v>הוצאות מנהליות</v>
      </c>
      <c r="H25" s="52" t="str">
        <f>INDEX(Expenditure_type,MATCH(H$24*1,type!$A$2:$A$117,0),8)</f>
        <v>מימון ופירעון מלוות</v>
      </c>
      <c r="I25" s="52" t="str">
        <f>INDEX(Expenditure_type,MATCH(I$24*1,type!$A$2:$A$117,0),8)</f>
        <v>הוצאות לפעולות</v>
      </c>
      <c r="J25" s="52" t="str">
        <f>INDEX(Expenditure_type,MATCH(J$24*1,type!$A$2:$A$117,0),8)</f>
        <v>השתתפויות תמיכות ותרומות</v>
      </c>
      <c r="K25" s="52" t="str">
        <f>INDEX(Expenditure_type,MATCH(K$24*1,type!$A$2:$A$117,0),8)</f>
        <v>הוצאות חד פעמיות</v>
      </c>
    </row>
    <row r="26" spans="1:12" ht="15">
      <c r="A26" s="53" t="s">
        <v>2386</v>
      </c>
      <c r="B26" s="54" t="s">
        <v>2385</v>
      </c>
      <c r="C26" s="55">
        <f>SUMIFS('הצעת תקציב 2016'!$H$3:$H$7326,'הצעת תקציב 2016'!$L$3:$L$7326,6,'הצעת תקציב 2016'!$U$3:$U$7326,C$24)+SUMIFS('הצעת תקציב 2016'!$H$3:$H$7326,'הצעת תקציב 2016'!$L$3:$L$7326,9,'הצעת תקציב 2016'!$U$3:$U$7326,C$24)</f>
        <v>115074000</v>
      </c>
      <c r="D26" s="55">
        <f>SUMIFS('הצעת תקציב 2016'!$H$3:$H$7326,'הצעת תקציב 2016'!$L$3:$L$7326,6,'הצעת תקציב 2016'!$U$3:$U$7326,D$24)+SUMIFS('הצעת תקציב 2016'!$H$3:$H$7326,'הצעת תקציב 2016'!$L$3:$L$7326,9,'הצעת תקציב 2016'!$U$3:$U$7326,D$24)</f>
        <v>0</v>
      </c>
      <c r="E26" s="55">
        <f>SUMIFS('הצעת תקציב 2016'!$H$3:$H$7326,'הצעת תקציב 2016'!$L$3:$L$7326,6,'הצעת תקציב 2016'!$U$3:$U$7326,E$24)+SUMIFS('הצעת תקציב 2016'!$H$3:$H$7326,'הצעת תקציב 2016'!$L$3:$L$7326,9,'הצעת תקציב 2016'!$U$3:$U$7326,E$24)</f>
        <v>205409000</v>
      </c>
      <c r="F26" s="55">
        <f>SUMIFS('הצעת תקציב 2016'!$H$3:$H$7326,'הצעת תקציב 2016'!$L$3:$L$7326,6,'הצעת תקציב 2016'!$U$3:$U$7326,F$24)+SUMIFS('הצעת תקציב 2016'!$H$3:$H$7326,'הצעת תקציב 2016'!$L$3:$L$7326,9,'הצעת תקציב 2016'!$U$3:$U$7326,F$24)</f>
        <v>7177600</v>
      </c>
      <c r="G26" s="55">
        <f>SUMIFS('הצעת תקציב 2016'!$H$3:$H$7326,'הצעת תקציב 2016'!$L$3:$L$7326,6,'הצעת תקציב 2016'!$U$3:$U$7326,G$24)+SUMIFS('הצעת תקציב 2016'!$H$3:$H$7326,'הצעת תקציב 2016'!$L$3:$L$7326,9,'הצעת תקציב 2016'!$U$3:$U$7326,G$24)</f>
        <v>34555200</v>
      </c>
      <c r="H26" s="55">
        <f>SUMIFS('הצעת תקציב 2016'!$H$3:$H$7326,'הצעת תקציב 2016'!$L$3:$L$7326,6,'הצעת תקציב 2016'!$U$3:$U$7326,H$24)+SUMIFS('הצעת תקציב 2016'!$H$3:$H$7326,'הצעת תקציב 2016'!$L$3:$L$7326,9,'הצעת תקציב 2016'!$U$3:$U$7326,H$24)</f>
        <v>167000000</v>
      </c>
      <c r="I26" s="55">
        <f>SUMIFS('הצעת תקציב 2016'!$H$3:$H$7326,'הצעת תקציב 2016'!$L$3:$L$7326,6,'הצעת תקציב 2016'!$U$3:$U$7326,I$24)+SUMIFS('הצעת תקציב 2016'!$H$3:$H$7326,'הצעת תקציב 2016'!$L$3:$L$7326,9,'הצעת תקציב 2016'!$U$3:$U$7326,I$24)</f>
        <v>48016000</v>
      </c>
      <c r="J26" s="55">
        <f>SUMIFS('הצעת תקציב 2016'!$H$3:$H$7326,'הצעת תקציב 2016'!$L$3:$L$7326,6,'הצעת תקציב 2016'!$U$3:$U$7326,J$24)+SUMIFS('הצעת תקציב 2016'!$H$3:$H$7326,'הצעת תקציב 2016'!$L$3:$L$7326,9,'הצעת תקציב 2016'!$U$3:$U$7326,J$24)</f>
        <v>176721400</v>
      </c>
      <c r="K26" s="55">
        <f>SUMIFS('הצעת תקציב 2016'!$H$3:$H$7326,'הצעת תקציב 2016'!$L$3:$L$7326,6,'הצעת תקציב 2016'!$U$3:$U$7326,K$24)+SUMIFS('הצעת תקציב 2016'!$H$3:$H$7326,'הצעת תקציב 2016'!$L$3:$L$7326,9,'הצעת תקציב 2016'!$U$3:$U$7326,K$24)</f>
        <v>0</v>
      </c>
      <c r="L26" s="59">
        <f>SUM(C26:K26)</f>
        <v>753953200</v>
      </c>
    </row>
    <row r="27" spans="1:12" ht="15">
      <c r="A27" s="56">
        <v>7</v>
      </c>
      <c r="B27" s="54" t="s">
        <v>2379</v>
      </c>
      <c r="C27" s="55">
        <f>SUMIFS('הצעת תקציב 2016'!$H$3:$H$7326,'הצעת תקציב 2016'!$L$3:$L$7326,7,'הצעת תקציב 2016'!$U$3:$U$7326,C$24)</f>
        <v>237513000</v>
      </c>
      <c r="D27" s="55">
        <f>SUMIFS('הצעת תקציב 2016'!$H$3:$H$7326,'הצעת תקציב 2016'!$L$3:$L$7326,7,'הצעת תקציב 2016'!$U$3:$U$7326,D$24)</f>
        <v>0</v>
      </c>
      <c r="E27" s="55">
        <f>SUMIFS('הצעת תקציב 2016'!$H$3:$H$7326,'הצעת תקציב 2016'!$L$3:$L$7326,7,'הצעת תקציב 2016'!$U$3:$U$7326,E$24)</f>
        <v>0</v>
      </c>
      <c r="F27" s="55">
        <f>SUMIFS('הצעת תקציב 2016'!$H$3:$H$7326,'הצעת תקציב 2016'!$L$3:$L$7326,7,'הצעת תקציב 2016'!$U$3:$U$7326,F$24)</f>
        <v>9627000</v>
      </c>
      <c r="G27" s="55">
        <f>SUMIFS('הצעת תקציב 2016'!$H$3:$H$7326,'הצעת תקציב 2016'!$L$3:$L$7326,7,'הצעת תקציב 2016'!$U$3:$U$7326,G$24)</f>
        <v>19441400</v>
      </c>
      <c r="H27" s="55">
        <f>SUMIFS('הצעת תקציב 2016'!$H$3:$H$7326,'הצעת תקציב 2016'!$L$3:$L$7326,7,'הצעת תקציב 2016'!$U$3:$U$7326,H$24)</f>
        <v>0</v>
      </c>
      <c r="I27" s="55">
        <f>SUMIFS('הצעת תקציב 2016'!$H$3:$H$7326,'הצעת תקציב 2016'!$L$3:$L$7326,7,'הצעת תקציב 2016'!$U$3:$U$7326,I$24)</f>
        <v>105922400</v>
      </c>
      <c r="J27" s="55">
        <f>SUMIFS('הצעת תקציב 2016'!$H$3:$H$7326,'הצעת תקציב 2016'!$L$3:$L$7326,7,'הצעת תקציב 2016'!$U$3:$U$7326,J$24)</f>
        <v>21853900</v>
      </c>
      <c r="K27" s="55">
        <f>SUMIFS('הצעת תקציב 2016'!$H$3:$H$7326,'הצעת תקציב 2016'!$L$3:$L$7326,7,'הצעת תקציב 2016'!$U$3:$U$7326,K$24)</f>
        <v>0</v>
      </c>
      <c r="L27" s="59">
        <f>SUM(C27:K27)</f>
        <v>394357700</v>
      </c>
    </row>
    <row r="28" spans="1:12" ht="15">
      <c r="A28" s="56">
        <v>81</v>
      </c>
      <c r="B28" s="57" t="s">
        <v>930</v>
      </c>
      <c r="C28" s="55">
        <f>SUMIFS('הצעת תקציב 2016'!$H$3:$H$7326,'הצעת תקציב 2016'!$N$3:$N$7326,81,'הצעת תקציב 2016'!$U$3:$U$7326,C$24)</f>
        <v>288699400</v>
      </c>
      <c r="D28" s="55">
        <f>SUMIFS('הצעת תקציב 2016'!$H$3:$H$7326,'הצעת תקציב 2016'!$N$3:$N$7326,81,'הצעת תקציב 2016'!$U$3:$U$7326,D$24)</f>
        <v>17408600</v>
      </c>
      <c r="E28" s="55">
        <f>SUMIFS('הצעת תקציב 2016'!$H$3:$H$7326,'הצעת תקציב 2016'!$N$3:$N$7326,81,'הצעת תקציב 2016'!$U$3:$U$7326,E$24)</f>
        <v>0</v>
      </c>
      <c r="F28" s="55">
        <f>SUMIFS('הצעת תקציב 2016'!$H$3:$H$7326,'הצעת תקציב 2016'!$N$3:$N$7326,81,'הצעת תקציב 2016'!$U$3:$U$7326,F$24)</f>
        <v>11363100</v>
      </c>
      <c r="G28" s="55">
        <f>SUMIFS('הצעת תקציב 2016'!$H$3:$H$7326,'הצעת תקציב 2016'!$N$3:$N$7326,81,'הצעת תקציב 2016'!$U$3:$U$7326,G$24)</f>
        <v>17708200</v>
      </c>
      <c r="H28" s="55">
        <f>SUMIFS('הצעת תקציב 2016'!$H$3:$H$7326,'הצעת תקציב 2016'!$N$3:$N$7326,81,'הצעת תקציב 2016'!$U$3:$U$7326,H$24)</f>
        <v>0</v>
      </c>
      <c r="I28" s="55">
        <f>SUMIFS('הצעת תקציב 2016'!$H$3:$H$7326,'הצעת תקציב 2016'!$N$3:$N$7326,81,'הצעת תקציב 2016'!$U$3:$U$7326,I$24)</f>
        <v>137586600</v>
      </c>
      <c r="J28" s="55">
        <f>SUMIFS('הצעת תקציב 2016'!$H$3:$H$7326,'הצעת תקציב 2016'!$N$3:$N$7326,81,'הצעת תקציב 2016'!$U$3:$U$7326,J$24)</f>
        <v>11875300</v>
      </c>
      <c r="K28" s="55">
        <f>SUMIFS('הצעת תקציב 2016'!$H$3:$H$7326,'הצעת תקציב 2016'!$N$3:$N$7326,81,'הצעת תקציב 2016'!$U$3:$U$7326,K$24)</f>
        <v>0</v>
      </c>
      <c r="L28" s="59">
        <f>SUM(C28:K28)</f>
        <v>484641200</v>
      </c>
    </row>
    <row r="29" spans="1:12" ht="15">
      <c r="A29" s="56">
        <v>84</v>
      </c>
      <c r="B29" s="57" t="s">
        <v>1360</v>
      </c>
      <c r="C29" s="55">
        <f>SUMIFS('הצעת תקציב 2016'!$H$3:$H$7326,'הצעת תקציב 2016'!$N$3:$N$7326,84,'הצעת תקציב 2016'!$U$3:$U$7326,C$24)</f>
        <v>87924900</v>
      </c>
      <c r="D29" s="55">
        <f>SUMIFS('הצעת תקציב 2016'!$H$3:$H$7326,'הצעת תקציב 2016'!$N$3:$N$7326,84,'הצעת תקציב 2016'!$U$3:$U$7326,D$24)</f>
        <v>0</v>
      </c>
      <c r="E29" s="55">
        <f>SUMIFS('הצעת תקציב 2016'!$H$3:$H$7326,'הצעת תקציב 2016'!$N$3:$N$7326,84,'הצעת תקציב 2016'!$U$3:$U$7326,E$24)</f>
        <v>0</v>
      </c>
      <c r="F29" s="55">
        <f>SUMIFS('הצעת תקציב 2016'!$H$3:$H$7326,'הצעת תקציב 2016'!$N$3:$N$7326,84,'הצעת תקציב 2016'!$U$3:$U$7326,F$24)</f>
        <v>2402500</v>
      </c>
      <c r="G29" s="55">
        <f>SUMIFS('הצעת תקציב 2016'!$H$3:$H$7326,'הצעת תקציב 2016'!$N$3:$N$7326,84,'הצעת תקציב 2016'!$U$3:$U$7326,G$24)</f>
        <v>1240000</v>
      </c>
      <c r="H29" s="55">
        <f>SUMIFS('הצעת תקציב 2016'!$H$3:$H$7326,'הצעת תקציב 2016'!$N$3:$N$7326,84,'הצעת תקציב 2016'!$U$3:$U$7326,H$24)</f>
        <v>0</v>
      </c>
      <c r="I29" s="55">
        <f>SUMIFS('הצעת תקציב 2016'!$H$3:$H$7326,'הצעת תקציב 2016'!$N$3:$N$7326,84,'הצעת תקציב 2016'!$U$3:$U$7326,I$24)</f>
        <v>2450800</v>
      </c>
      <c r="J29" s="55">
        <f>SUMIFS('הצעת תקציב 2016'!$H$3:$H$7326,'הצעת תקציב 2016'!$N$3:$N$7326,84,'הצעת תקציב 2016'!$U$3:$U$7326,J$24)</f>
        <v>182872800</v>
      </c>
      <c r="K29" s="55">
        <f>SUMIFS('הצעת תקציב 2016'!$H$3:$H$7326,'הצעת תקציב 2016'!$N$3:$N$7326,84,'הצעת תקציב 2016'!$U$3:$U$7326,K$24)</f>
        <v>0</v>
      </c>
      <c r="L29" s="59">
        <f t="shared" ref="L29:L31" si="8">SUM(C29:K29)</f>
        <v>276891000</v>
      </c>
    </row>
    <row r="30" spans="1:12" ht="15">
      <c r="A30" s="56">
        <v>82</v>
      </c>
      <c r="B30" s="57" t="s">
        <v>2382</v>
      </c>
      <c r="C30" s="55">
        <f>SUMIFS('הצעת תקציב 2016'!$H$3:$H$7326,'הצעת תקציב 2016'!$N$3:$N$7326,82,'הצעת תקציב 2016'!$U$3:$U$7326,C$24)</f>
        <v>30948100</v>
      </c>
      <c r="D30" s="55">
        <f>SUMIFS('הצעת תקציב 2016'!$H$3:$H$7326,'הצעת תקציב 2016'!$N$3:$N$7326,82,'הצעת תקציב 2016'!$U$3:$U$7326,D$24)</f>
        <v>7604900</v>
      </c>
      <c r="E30" s="55">
        <f>SUMIFS('הצעת תקציב 2016'!$H$3:$H$7326,'הצעת תקציב 2016'!$N$3:$N$7326,82,'הצעת תקציב 2016'!$U$3:$U$7326,E$24)</f>
        <v>0</v>
      </c>
      <c r="F30" s="55">
        <f>SUMIFS('הצעת תקציב 2016'!$H$3:$H$7326,'הצעת תקציב 2016'!$N$3:$N$7326,82,'הצעת תקציב 2016'!$U$3:$U$7326,F$24)</f>
        <v>845500</v>
      </c>
      <c r="G30" s="55">
        <f>SUMIFS('הצעת תקציב 2016'!$H$3:$H$7326,'הצעת תקציב 2016'!$N$3:$N$7326,82,'הצעת תקציב 2016'!$U$3:$U$7326,G$24)</f>
        <v>2869100</v>
      </c>
      <c r="H30" s="55">
        <f>SUMIFS('הצעת תקציב 2016'!$H$3:$H$7326,'הצעת תקציב 2016'!$N$3:$N$7326,82,'הצעת תקציב 2016'!$U$3:$U$7326,H$24)</f>
        <v>0</v>
      </c>
      <c r="I30" s="55">
        <f>SUMIFS('הצעת תקציב 2016'!$H$3:$H$7326,'הצעת תקציב 2016'!$N$3:$N$7326,82,'הצעת תקציב 2016'!$U$3:$U$7326,I$24)</f>
        <v>34550000</v>
      </c>
      <c r="J30" s="55">
        <f>SUMIFS('הצעת תקציב 2016'!$H$3:$H$7326,'הצעת תקציב 2016'!$N$3:$N$7326,82,'הצעת תקציב 2016'!$U$3:$U$7326,J$24)</f>
        <v>67935200</v>
      </c>
      <c r="K30" s="55">
        <f>SUMIFS('הצעת תקציב 2016'!$H$3:$H$7326,'הצעת תקציב 2016'!$N$3:$N$7326,82,'הצעת תקציב 2016'!$U$3:$U$7326,K$24)</f>
        <v>0</v>
      </c>
      <c r="L30" s="59">
        <f t="shared" si="8"/>
        <v>144752800</v>
      </c>
    </row>
    <row r="31" spans="1:12" ht="15">
      <c r="A31" s="58" t="s">
        <v>2384</v>
      </c>
      <c r="B31" s="57" t="s">
        <v>2383</v>
      </c>
      <c r="C31" s="55">
        <f>SUMIFS('הצעת תקציב 2016'!$H$3:$H$7326,'הצעת תקציב 2016'!$L$3:$L$7326,8,'הצעת תקציב 2016'!$U$3:$U$7326,C$24)-C28-C29-C30</f>
        <v>440037000</v>
      </c>
      <c r="D31" s="55">
        <f>SUMIFS('הצעת תקציב 2016'!$H$3:$H$7326,'הצעת תקציב 2016'!$L$3:$L$7326,8,'הצעת תקציב 2016'!$U$3:$U$7326,D$24)-D28-D29-D30</f>
        <v>0</v>
      </c>
      <c r="E31" s="55">
        <f>SUMIFS('הצעת תקציב 2016'!$H$3:$H$7326,'הצעת תקציב 2016'!$L$3:$L$7326,8,'הצעת תקציב 2016'!$U$3:$U$7326,E$24)-E28-E29-E30</f>
        <v>0</v>
      </c>
      <c r="F31" s="55">
        <f>SUMIFS('הצעת תקציב 2016'!$H$3:$H$7326,'הצעת תקציב 2016'!$L$3:$L$7326,8,'הצעת תקציב 2016'!$U$3:$U$7326,F$24)-F28-F29-F30</f>
        <v>0</v>
      </c>
      <c r="G31" s="55">
        <f>SUMIFS('הצעת תקציב 2016'!$H$3:$H$7326,'הצעת תקציב 2016'!$L$3:$L$7326,8,'הצעת תקציב 2016'!$U$3:$U$7326,G$24)-G28-G29-G30</f>
        <v>6000000</v>
      </c>
      <c r="H31" s="55">
        <f>SUMIFS('הצעת תקציב 2016'!$H$3:$H$7326,'הצעת תקציב 2016'!$L$3:$L$7326,8,'הצעת תקציב 2016'!$U$3:$U$7326,H$24)-H28-H29-H30</f>
        <v>0</v>
      </c>
      <c r="I31" s="55">
        <f>SUMIFS('הצעת תקציב 2016'!$H$3:$H$7326,'הצעת תקציב 2016'!$L$3:$L$7326,8,'הצעת תקציב 2016'!$U$3:$U$7326,I$24)-I28-I29-I30</f>
        <v>2761700</v>
      </c>
      <c r="J31" s="55">
        <f>SUMIFS('הצעת תקציב 2016'!$H$3:$H$7326,'הצעת תקציב 2016'!$L$3:$L$7326,8,'הצעת תקציב 2016'!$U$3:$U$7326,J$24)-J28-J29-J30</f>
        <v>16264000</v>
      </c>
      <c r="K31" s="55">
        <f>SUMIFS('הצעת תקציב 2016'!$H$3:$H$7326,'הצעת תקציב 2016'!$L$3:$L$7326,8,'הצעת תקציב 2016'!$U$3:$U$7326,K$24)-K28-K29-K30</f>
        <v>0</v>
      </c>
      <c r="L31" s="59">
        <f t="shared" si="8"/>
        <v>465062700</v>
      </c>
    </row>
    <row r="32" spans="1:12">
      <c r="C32" s="59">
        <f>SUM(C26:C31)</f>
        <v>1200196400</v>
      </c>
      <c r="D32" s="59">
        <f t="shared" ref="D32:L32" si="9">SUM(D26:D31)</f>
        <v>25013500</v>
      </c>
      <c r="E32" s="59">
        <f t="shared" si="9"/>
        <v>205409000</v>
      </c>
      <c r="F32" s="59">
        <f t="shared" si="9"/>
        <v>31415700</v>
      </c>
      <c r="G32" s="59">
        <f t="shared" si="9"/>
        <v>81813900</v>
      </c>
      <c r="H32" s="59">
        <f t="shared" si="9"/>
        <v>167000000</v>
      </c>
      <c r="I32" s="59">
        <f t="shared" si="9"/>
        <v>331287500</v>
      </c>
      <c r="J32" s="59">
        <f t="shared" si="9"/>
        <v>477522600</v>
      </c>
      <c r="K32" s="59">
        <f t="shared" si="9"/>
        <v>0</v>
      </c>
      <c r="L32" s="59">
        <f t="shared" si="9"/>
        <v>2519658600</v>
      </c>
    </row>
    <row r="33" spans="1:14">
      <c r="L33" s="241">
        <f>L32/תושבים_2015</f>
        <v>8983.9869712387863</v>
      </c>
    </row>
    <row r="34" spans="1:14">
      <c r="L34" s="90">
        <f>L32-C31</f>
        <v>2079621600</v>
      </c>
    </row>
    <row r="35" spans="1:14">
      <c r="L35" s="241">
        <f>L34/תושבים_2015</f>
        <v>7415.0098586795675</v>
      </c>
    </row>
    <row r="36" spans="1:14">
      <c r="C36">
        <v>1</v>
      </c>
      <c r="D36">
        <v>2</v>
      </c>
      <c r="E36">
        <v>3</v>
      </c>
      <c r="F36">
        <v>4</v>
      </c>
      <c r="G36">
        <v>5</v>
      </c>
      <c r="H36">
        <v>6</v>
      </c>
      <c r="I36">
        <v>7</v>
      </c>
      <c r="J36">
        <v>8</v>
      </c>
      <c r="K36">
        <v>9</v>
      </c>
    </row>
    <row r="37" spans="1:14" s="34" customFormat="1" ht="45">
      <c r="B37" s="52" t="s">
        <v>2356</v>
      </c>
      <c r="C37" s="52" t="str">
        <f>INDEX(Revenue_type,MATCH(C$36*1,type!$A$118:$A$168,0),8)</f>
        <v>ארנונות</v>
      </c>
      <c r="D37" s="52" t="str">
        <f>INDEX(Revenue_type,MATCH(D$36*1,type!$A$118:$A$168,0),8)</f>
        <v>אגרות</v>
      </c>
      <c r="E37" s="52" t="str">
        <f>INDEX(Revenue_type,MATCH(E$36*1,type!$A$118:$A$168,0),8)</f>
        <v>היטלים</v>
      </c>
      <c r="F37" s="52" t="str">
        <f>INDEX(Revenue_type,MATCH(F$36*1,type!$A$118:$A$168,0),8)</f>
        <v>שירותים ושכר לימוד</v>
      </c>
      <c r="G37" s="52" t="str">
        <f>INDEX(Revenue_type,MATCH(G$36*1,type!$A$118:$A$168,0),8)</f>
        <v>החזרות</v>
      </c>
      <c r="H37" s="52" t="str">
        <f>INDEX(Revenue_type,MATCH(H$36*1,type!$A$118:$A$168,0),8)</f>
        <v>הכנסות מרכוש ומפעלים</v>
      </c>
      <c r="I37" s="52" t="str">
        <f>INDEX(Revenue_type,MATCH(I$36*1,type!$A$118:$A$168,0),8)</f>
        <v>השתתפות מוסדות ותרומות</v>
      </c>
      <c r="J37" s="52" t="str">
        <f>INDEX(Revenue_type,MATCH(J$36*1,type!$A$118:$A$168,0),8)</f>
        <v>השתתפויות בעלים ע"ח עבודות פיתוח</v>
      </c>
      <c r="K37" s="52" t="str">
        <f>INDEX(Revenue_type,MATCH(K$36*1,type!$A$118:$A$168,0),8)</f>
        <v>השתתפות משרדי ממשלה</v>
      </c>
    </row>
    <row r="38" spans="1:14">
      <c r="A38" s="53">
        <v>1</v>
      </c>
      <c r="B38" t="s">
        <v>1915</v>
      </c>
      <c r="C38" s="55">
        <f>SUMIFS('הצעת תקציב 2016'!$H$3:$H$7326,'הצעת תקציב 2016'!$L$3:$L$7326,$A38,'הצעת תקציב 2016'!$U$3:$U$7326,C$24)</f>
        <v>-1380000000</v>
      </c>
      <c r="D38" s="55">
        <f>SUMIFS('הצעת תקציב 2016'!$H$3:$H$7326,'הצעת תקציב 2016'!$L$3:$L$7326,$A38,'הצעת תקציב 2016'!$U$3:$U$7326,D$24)</f>
        <v>-23050000</v>
      </c>
      <c r="E38" s="55">
        <f>SUMIFS('הצעת תקציב 2016'!$H$3:$H$7326,'הצעת תקציב 2016'!$L$3:$L$7326,$A38,'הצעת תקציב 2016'!$U$3:$U$7326,E$24)</f>
        <v>0</v>
      </c>
      <c r="F38" s="55">
        <f>SUMIFS('הצעת תקציב 2016'!$H$3:$H$7326,'הצעת תקציב 2016'!$L$3:$L$7326,$A38,'הצעת תקציב 2016'!$U$3:$U$7326,F$24)</f>
        <v>0</v>
      </c>
      <c r="G38" s="55">
        <f>SUMIFS('הצעת תקציב 2016'!$H$3:$H$7326,'הצעת תקציב 2016'!$L$3:$L$7326,$A38,'הצעת תקציב 2016'!$U$3:$U$7326,G$24)</f>
        <v>0</v>
      </c>
      <c r="H38" s="55">
        <f>SUMIFS('הצעת תקציב 2016'!$H$3:$H$7326,'הצעת תקציב 2016'!$L$3:$L$7326,$A38,'הצעת תקציב 2016'!$U$3:$U$7326,H$24)</f>
        <v>0</v>
      </c>
      <c r="I38" s="55">
        <f>SUMIFS('הצעת תקציב 2016'!$H$3:$H$7326,'הצעת תקציב 2016'!$L$3:$L$7326,$A38,'הצעת תקציב 2016'!$U$3:$U$7326,I$24)</f>
        <v>0</v>
      </c>
      <c r="J38" s="55">
        <f>SUMIFS('הצעת תקציב 2016'!$H$3:$H$7326,'הצעת תקציב 2016'!$L$3:$L$7326,$A38,'הצעת תקציב 2016'!$U$3:$U$7326,J$24)</f>
        <v>0</v>
      </c>
      <c r="K38" s="55">
        <f>SUMIFS('הצעת תקציב 2016'!$H$3:$H$7326,'הצעת תקציב 2016'!$L$3:$L$7326,$A38,'הצעת תקציב 2016'!$U$3:$U$7326,K$24)</f>
        <v>-1780000</v>
      </c>
      <c r="L38" s="59">
        <f>SUM(C38:K38)</f>
        <v>-1404830000</v>
      </c>
      <c r="M38" s="59">
        <f>SUM(C38:J38)</f>
        <v>-1403050000</v>
      </c>
      <c r="N38" s="90">
        <f>M38-H38</f>
        <v>-1403050000</v>
      </c>
    </row>
    <row r="39" spans="1:14">
      <c r="A39" s="56">
        <v>2</v>
      </c>
      <c r="B39" s="43" t="s">
        <v>2352</v>
      </c>
      <c r="C39" s="55">
        <f>SUMIFS('הצעת תקציב 2016'!$H$3:$H$7326,'הצעת תקציב 2016'!$L$3:$L$7326,$A39,'הצעת תקציב 2016'!$U$3:$U$7326,C$24)</f>
        <v>0</v>
      </c>
      <c r="D39" s="55">
        <f>SUMIFS('הצעת תקציב 2016'!$H$3:$H$7326,'הצעת תקציב 2016'!$L$3:$L$7326,$A39,'הצעת תקציב 2016'!$U$3:$U$7326,D$24)</f>
        <v>-22560800</v>
      </c>
      <c r="E39" s="55">
        <f>SUMIFS('הצעת תקציב 2016'!$H$3:$H$7326,'הצעת תקציב 2016'!$L$3:$L$7326,$A39,'הצעת תקציב 2016'!$U$3:$U$7326,E$24)</f>
        <v>0</v>
      </c>
      <c r="F39" s="55">
        <f>SUMIFS('הצעת תקציב 2016'!$H$3:$H$7326,'הצעת תקציב 2016'!$L$3:$L$7326,$A39,'הצעת תקציב 2016'!$U$3:$U$7326,F$24)</f>
        <v>-57125400</v>
      </c>
      <c r="G39" s="55">
        <f>SUMIFS('הצעת תקציב 2016'!$H$3:$H$7326,'הצעת תקציב 2016'!$L$3:$L$7326,$A39,'הצעת תקציב 2016'!$U$3:$U$7326,G$24)</f>
        <v>0</v>
      </c>
      <c r="H39" s="55">
        <f>SUMIFS('הצעת תקציב 2016'!$H$3:$H$7326,'הצעת תקציב 2016'!$L$3:$L$7326,$A39,'הצעת תקציב 2016'!$U$3:$U$7326,H$24)</f>
        <v>-7945000</v>
      </c>
      <c r="I39" s="55">
        <f>SUMIFS('הצעת תקציב 2016'!$H$3:$H$7326,'הצעת תקציב 2016'!$L$3:$L$7326,$A39,'הצעת תקציב 2016'!$U$3:$U$7326,I$24)</f>
        <v>0</v>
      </c>
      <c r="J39" s="55">
        <f>SUMIFS('הצעת תקציב 2016'!$H$3:$H$7326,'הצעת תקציב 2016'!$L$3:$L$7326,$A39,'הצעת תקציב 2016'!$U$3:$U$7326,J$24)</f>
        <v>-40000000</v>
      </c>
      <c r="K39" s="55">
        <f>SUMIFS('הצעת תקציב 2016'!$H$3:$H$7326,'הצעת תקציב 2016'!$L$3:$L$7326,$A39,'הצעת תקציב 2016'!$U$3:$U$7326,K$24)</f>
        <v>-1039500</v>
      </c>
      <c r="L39" s="59">
        <f>SUM(C39:K39)</f>
        <v>-128670700</v>
      </c>
      <c r="M39" s="59">
        <f t="shared" ref="M39:M42" si="10">SUM(C39:J39)</f>
        <v>-127631200</v>
      </c>
      <c r="N39" s="90">
        <f t="shared" ref="N39:N42" si="11">M39-H39</f>
        <v>-119686200</v>
      </c>
    </row>
    <row r="40" spans="1:14">
      <c r="A40" s="56">
        <v>3</v>
      </c>
      <c r="B40" s="43" t="s">
        <v>2353</v>
      </c>
      <c r="C40" s="55">
        <f>SUMIFS('הצעת תקציב 2016'!$H$3:$H$7326,'הצעת תקציב 2016'!$L$3:$L$7326,$A40,'הצעת תקציב 2016'!$U$3:$U$7326,C$24)</f>
        <v>0</v>
      </c>
      <c r="D40" s="55">
        <f>SUMIFS('הצעת תקציב 2016'!$H$3:$H$7326,'הצעת תקציב 2016'!$L$3:$L$7326,$A40,'הצעת תקציב 2016'!$U$3:$U$7326,D$24)</f>
        <v>-9000000</v>
      </c>
      <c r="E40" s="55">
        <f>SUMIFS('הצעת תקציב 2016'!$H$3:$H$7326,'הצעת תקציב 2016'!$L$3:$L$7326,$A40,'הצעת תקציב 2016'!$U$3:$U$7326,E$24)</f>
        <v>0</v>
      </c>
      <c r="F40" s="55">
        <f>SUMIFS('הצעת תקציב 2016'!$H$3:$H$7326,'הצעת תקציב 2016'!$L$3:$L$7326,$A40,'הצעת תקציב 2016'!$U$3:$U$7326,F$24)</f>
        <v>-19780800</v>
      </c>
      <c r="G40" s="55">
        <f>SUMIFS('הצעת תקציב 2016'!$H$3:$H$7326,'הצעת תקציב 2016'!$L$3:$L$7326,$A40,'הצעת תקציב 2016'!$U$3:$U$7326,G$24)</f>
        <v>0</v>
      </c>
      <c r="H40" s="55">
        <f>SUMIFS('הצעת תקציב 2016'!$H$3:$H$7326,'הצעת תקציב 2016'!$L$3:$L$7326,$A40,'הצעת תקציב 2016'!$U$3:$U$7326,H$24)</f>
        <v>0</v>
      </c>
      <c r="I40" s="55">
        <f>SUMIFS('הצעת תקציב 2016'!$H$3:$H$7326,'הצעת תקציב 2016'!$L$3:$L$7326,$A40,'הצעת תקציב 2016'!$U$3:$U$7326,I$24)</f>
        <v>-11453000</v>
      </c>
      <c r="J40" s="55">
        <f>SUMIFS('הצעת תקציב 2016'!$H$3:$H$7326,'הצעת תקציב 2016'!$L$3:$L$7326,$A40,'הצעת תקציב 2016'!$U$3:$U$7326,J$24)</f>
        <v>0</v>
      </c>
      <c r="K40" s="55">
        <f>SUMIFS('הצעת תקציב 2016'!$H$3:$H$7326,'הצעת תקציב 2016'!$L$3:$L$7326,$A40,'הצעת תקציב 2016'!$U$3:$U$7326,K$24)</f>
        <v>-921548500</v>
      </c>
      <c r="L40" s="59">
        <f>SUM(C40:K40)</f>
        <v>-961782300</v>
      </c>
      <c r="M40" s="59">
        <f t="shared" si="10"/>
        <v>-40233800</v>
      </c>
      <c r="N40" s="90">
        <f t="shared" si="11"/>
        <v>-40233800</v>
      </c>
    </row>
    <row r="41" spans="1:14">
      <c r="A41" s="56">
        <v>4</v>
      </c>
      <c r="B41" s="43" t="s">
        <v>1614</v>
      </c>
      <c r="C41" s="55">
        <f>SUMIFS('הצעת תקציב 2016'!$H$3:$H$7326,'הצעת תקציב 2016'!$L$3:$L$7326,$A41,'הצעת תקציב 2016'!$U$3:$U$7326,C$24)</f>
        <v>0</v>
      </c>
      <c r="D41" s="55">
        <f>SUMIFS('הצעת תקציב 2016'!$H$3:$H$7326,'הצעת תקציב 2016'!$L$3:$L$7326,$A41,'הצעת תקציב 2016'!$U$3:$U$7326,D$24)</f>
        <v>0</v>
      </c>
      <c r="E41" s="55">
        <f>SUMIFS('הצעת תקציב 2016'!$H$3:$H$7326,'הצעת תקציב 2016'!$L$3:$L$7326,$A41,'הצעת תקציב 2016'!$U$3:$U$7326,E$24)</f>
        <v>0</v>
      </c>
      <c r="F41" s="55">
        <f>SUMIFS('הצעת תקציב 2016'!$H$3:$H$7326,'הצעת תקציב 2016'!$L$3:$L$7326,$A41,'הצעת תקציב 2016'!$U$3:$U$7326,F$24)</f>
        <v>-10000</v>
      </c>
      <c r="G41" s="55">
        <f>SUMIFS('הצעת תקציב 2016'!$H$3:$H$7326,'הצעת תקציב 2016'!$L$3:$L$7326,$A41,'הצעת תקציב 2016'!$U$3:$U$7326,G$24)</f>
        <v>-5000</v>
      </c>
      <c r="H41" s="55">
        <f>SUMIFS('הצעת תקציב 2016'!$H$3:$H$7326,'הצעת תקציב 2016'!$L$3:$L$7326,$A41,'הצעת תקציב 2016'!$U$3:$U$7326,H$24)</f>
        <v>-11092000</v>
      </c>
      <c r="I41" s="55">
        <f>SUMIFS('הצעת תקציב 2016'!$H$3:$H$7326,'הצעת תקציב 2016'!$L$3:$L$7326,$A41,'הצעת תקציב 2016'!$U$3:$U$7326,I$24)</f>
        <v>-1000000</v>
      </c>
      <c r="J41" s="55">
        <f>SUMIFS('הצעת תקציב 2016'!$H$3:$H$7326,'הצעת תקציב 2016'!$L$3:$L$7326,$A41,'הצעת תקציב 2016'!$U$3:$U$7326,J$24)</f>
        <v>0</v>
      </c>
      <c r="K41" s="55">
        <f>SUMIFS('הצעת תקציב 2016'!$H$3:$H$7326,'הצעת תקציב 2016'!$L$3:$L$7326,$A41,'הצעת תקציב 2016'!$U$3:$U$7326,K$24)</f>
        <v>0</v>
      </c>
      <c r="L41" s="59">
        <f t="shared" ref="L41:L42" si="12">SUM(C41:K41)</f>
        <v>-12107000</v>
      </c>
      <c r="M41" s="59">
        <f t="shared" si="10"/>
        <v>-12107000</v>
      </c>
      <c r="N41" s="90">
        <f t="shared" si="11"/>
        <v>-1015000</v>
      </c>
    </row>
    <row r="42" spans="1:14">
      <c r="A42" s="56">
        <v>5</v>
      </c>
      <c r="B42" s="43" t="s">
        <v>2281</v>
      </c>
      <c r="C42" s="55">
        <f>SUMIFS('הצעת תקציב 2016'!$H$3:$H$7326,'הצעת תקציב 2016'!$L$3:$L$7326,$A42,'הצעת תקציב 2016'!$U$3:$U$7326,C$24)</f>
        <v>0</v>
      </c>
      <c r="D42" s="55">
        <f>SUMIFS('הצעת תקציב 2016'!$H$3:$H$7326,'הצעת תקציב 2016'!$L$3:$L$7326,$A42,'הצעת תקציב 2016'!$U$3:$U$7326,D$24)</f>
        <v>0</v>
      </c>
      <c r="E42" s="55">
        <f>SUMIFS('הצעת תקציב 2016'!$H$3:$H$7326,'הצעת תקציב 2016'!$L$3:$L$7326,$A42,'הצעת תקציב 2016'!$U$3:$U$7326,E$24)</f>
        <v>0</v>
      </c>
      <c r="F42" s="55">
        <f>SUMIFS('הצעת תקציב 2016'!$H$3:$H$7326,'הצעת תקציב 2016'!$L$3:$L$7326,$A42,'הצעת תקציב 2016'!$U$3:$U$7326,F$24)</f>
        <v>0</v>
      </c>
      <c r="G42" s="55">
        <f>SUMIFS('הצעת תקציב 2016'!$H$3:$H$7326,'הצעת תקציב 2016'!$L$3:$L$7326,$A42,'הצעת תקציב 2016'!$U$3:$U$7326,G$24)</f>
        <v>0</v>
      </c>
      <c r="H42" s="55">
        <f>SUMIFS('הצעת תקציב 2016'!$H$3:$H$7326,'הצעת תקציב 2016'!$L$3:$L$7326,$A42,'הצעת תקציב 2016'!$U$3:$U$7326,H$24)</f>
        <v>-16600000</v>
      </c>
      <c r="I42" s="55">
        <f>SUMIFS('הצעת תקציב 2016'!$H$3:$H$7326,'הצעת תקציב 2016'!$L$3:$L$7326,$A42,'הצעת תקציב 2016'!$U$3:$U$7326,I$24)</f>
        <v>0</v>
      </c>
      <c r="J42" s="55">
        <f>SUMIFS('הצעת תקציב 2016'!$H$3:$H$7326,'הצעת תקציב 2016'!$L$3:$L$7326,$A42,'הצעת תקציב 2016'!$U$3:$U$7326,J$24)</f>
        <v>0</v>
      </c>
      <c r="K42" s="55">
        <f>SUMIFS('הצעת תקציב 2016'!$H$3:$H$7326,'הצעת תקציב 2016'!$L$3:$L$7326,$A42,'הצעת תקציב 2016'!$U$3:$U$7326,K$24)</f>
        <v>0</v>
      </c>
      <c r="L42" s="59">
        <f t="shared" si="12"/>
        <v>-16600000</v>
      </c>
      <c r="M42" s="59">
        <f t="shared" si="10"/>
        <v>-16600000</v>
      </c>
      <c r="N42" s="90">
        <f t="shared" si="11"/>
        <v>0</v>
      </c>
    </row>
    <row r="43" spans="1:14">
      <c r="C43" s="59">
        <f t="shared" ref="C43:N43" si="13">SUM(C38:C42)</f>
        <v>-1380000000</v>
      </c>
      <c r="D43" s="59">
        <f t="shared" si="13"/>
        <v>-54610800</v>
      </c>
      <c r="E43" s="59">
        <f t="shared" si="13"/>
        <v>0</v>
      </c>
      <c r="F43" s="59">
        <f t="shared" si="13"/>
        <v>-76916200</v>
      </c>
      <c r="G43" s="59">
        <f t="shared" si="13"/>
        <v>-5000</v>
      </c>
      <c r="H43" s="59">
        <f t="shared" si="13"/>
        <v>-35637000</v>
      </c>
      <c r="I43" s="59">
        <f t="shared" si="13"/>
        <v>-12453000</v>
      </c>
      <c r="J43" s="59">
        <f t="shared" si="13"/>
        <v>-40000000</v>
      </c>
      <c r="K43" s="59">
        <f t="shared" si="13"/>
        <v>-924368000</v>
      </c>
      <c r="L43" s="59">
        <f t="shared" si="13"/>
        <v>-2523990000</v>
      </c>
      <c r="M43" s="59">
        <f t="shared" si="13"/>
        <v>-1599622000</v>
      </c>
      <c r="N43" s="59">
        <f t="shared" si="13"/>
        <v>-1563985000</v>
      </c>
    </row>
    <row r="44" spans="1:14">
      <c r="L44" s="241">
        <f>L43/תושבים_2015</f>
        <v>-8999.4308258813253</v>
      </c>
      <c r="M44" s="90">
        <f>M43+K38+K39+K42</f>
        <v>-1602441500</v>
      </c>
    </row>
    <row r="45" spans="1:14">
      <c r="M45" s="90">
        <f>M44-'הצעת תקציב 2016'!H7-'הצעת תקציב 2016'!H8-'הצעת תקציב 2016'!H9-M42</f>
        <v>-1583741500</v>
      </c>
      <c r="N45" s="435">
        <f>'הצעת תקציב 2016'!H7+'הצעת תקציב 2016'!H8+'הצעת תקציב 2016'!H9</f>
        <v>-2100000</v>
      </c>
    </row>
    <row r="46" spans="1:14" ht="45">
      <c r="A46" s="34"/>
      <c r="B46" s="52" t="s">
        <v>2531</v>
      </c>
      <c r="C46" s="52" t="str">
        <f>INDEX(Revenue_type,MATCH(C$36*1,type!$A$118:$A$168,0),8)</f>
        <v>ארנונות</v>
      </c>
      <c r="D46" s="52" t="str">
        <f>INDEX(Revenue_type,MATCH(D$36*1,type!$A$118:$A$168,0),8)</f>
        <v>אגרות</v>
      </c>
      <c r="E46" s="52" t="str">
        <f>INDEX(Revenue_type,MATCH(E$36*1,type!$A$118:$A$168,0),8)</f>
        <v>היטלים</v>
      </c>
      <c r="F46" s="52" t="str">
        <f>INDEX(Revenue_type,MATCH(F$36*1,type!$A$118:$A$168,0),8)</f>
        <v>שירותים ושכר לימוד</v>
      </c>
      <c r="G46" s="52" t="str">
        <f>INDEX(Revenue_type,MATCH(G$36*1,type!$A$118:$A$168,0),8)</f>
        <v>החזרות</v>
      </c>
      <c r="H46" s="52" t="str">
        <f>INDEX(Revenue_type,MATCH(H$36*1,type!$A$118:$A$168,0),8)</f>
        <v>הכנסות מרכוש ומפעלים</v>
      </c>
      <c r="I46" s="52" t="str">
        <f>INDEX(Revenue_type,MATCH(I$36*1,type!$A$118:$A$168,0),8)</f>
        <v>השתתפות מוסדות ותרומות</v>
      </c>
      <c r="J46" s="52" t="str">
        <f>INDEX(Revenue_type,MATCH(J$36*1,type!$A$118:$A$168,0),8)</f>
        <v>השתתפויות בעלים ע"ח עבודות פיתוח</v>
      </c>
      <c r="K46" s="52" t="str">
        <f>INDEX(Revenue_type,MATCH(K$36*1,type!$A$118:$A$168,0),8)</f>
        <v>השתתפות משרדי ממשלה</v>
      </c>
      <c r="L46" s="34"/>
      <c r="M46" t="s">
        <v>2532</v>
      </c>
      <c r="N46" t="s">
        <v>2533</v>
      </c>
    </row>
    <row r="47" spans="1:14">
      <c r="A47" s="53">
        <v>1</v>
      </c>
      <c r="B47" t="s">
        <v>1915</v>
      </c>
      <c r="C47" s="55">
        <f>SUMIFS('הצעת תקציב 2016'!$I$3:$I$7326,'הצעת תקציב 2016'!$L$3:$L$7326,$A47,'הצעת תקציב 2016'!$U$3:$U$7326,C$24)</f>
        <v>-1401302400</v>
      </c>
      <c r="D47" s="55">
        <f>SUMIFS('הצעת תקציב 2016'!$I$3:$I$7326,'הצעת תקציב 2016'!$L$3:$L$7326,$A47,'הצעת תקציב 2016'!$U$3:$U$7326,D$24)</f>
        <v>-22900000</v>
      </c>
      <c r="E47" s="55">
        <f>SUMIFS('הצעת תקציב 2016'!$I$3:$I$7326,'הצעת תקציב 2016'!$L$3:$L$7326,$A47,'הצעת תקציב 2016'!$U$3:$U$7326,E$24)</f>
        <v>0</v>
      </c>
      <c r="F47" s="55">
        <f>SUMIFS('הצעת תקציב 2016'!$I$3:$I$7326,'הצעת תקציב 2016'!$L$3:$L$7326,$A47,'הצעת תקציב 2016'!$U$3:$U$7326,F$24)</f>
        <v>0</v>
      </c>
      <c r="G47" s="55">
        <f>SUMIFS('הצעת תקציב 2016'!$I$3:$I$7326,'הצעת תקציב 2016'!$L$3:$L$7326,$A47,'הצעת תקציב 2016'!$U$3:$U$7326,G$24)</f>
        <v>0</v>
      </c>
      <c r="H47" s="55">
        <f>SUMIFS('הצעת תקציב 2016'!$I$3:$I$7326,'הצעת תקציב 2016'!$L$3:$L$7326,$A47,'הצעת תקציב 2016'!$U$3:$U$7326,H$24)</f>
        <v>0</v>
      </c>
      <c r="I47" s="55">
        <f>SUMIFS('הצעת תקציב 2016'!$I$3:$I$7326,'הצעת תקציב 2016'!$L$3:$L$7326,$A47,'הצעת תקציב 2016'!$U$3:$U$7326,I$24)</f>
        <v>0</v>
      </c>
      <c r="J47" s="55">
        <f>SUMIFS('הצעת תקציב 2016'!$I$3:$I$7326,'הצעת תקציב 2016'!$L$3:$L$7326,$A47,'הצעת תקציב 2016'!$U$3:$U$7326,J$24)</f>
        <v>0</v>
      </c>
      <c r="K47" s="55">
        <f>SUMIFS('הצעת תקציב 2016'!$I$3:$I$7326,'הצעת תקציב 2016'!$L$3:$L$7326,$A47,'הצעת תקציב 2016'!$U$3:$U$7326,K$24)</f>
        <v>-2257000</v>
      </c>
      <c r="L47" s="59">
        <f>SUM(C47:K47)</f>
        <v>-1426459400</v>
      </c>
      <c r="M47" s="59">
        <f>SUM(C47:J47)</f>
        <v>-1424202400</v>
      </c>
      <c r="N47" s="90">
        <f>M47-H47</f>
        <v>-1424202400</v>
      </c>
    </row>
    <row r="48" spans="1:14">
      <c r="A48" s="56">
        <v>2</v>
      </c>
      <c r="B48" s="43" t="s">
        <v>2352</v>
      </c>
      <c r="C48" s="55">
        <f>SUMIFS('הצעת תקציב 2016'!$I$3:$I$7326,'הצעת תקציב 2016'!$L$3:$L$7326,$A48,'הצעת תקציב 2016'!$U$3:$U$7326,C$24)</f>
        <v>0</v>
      </c>
      <c r="D48" s="55">
        <f>SUMIFS('הצעת תקציב 2016'!$I$3:$I$7326,'הצעת תקציב 2016'!$L$3:$L$7326,$A48,'הצעת תקציב 2016'!$U$3:$U$7326,D$24)</f>
        <v>-23433900</v>
      </c>
      <c r="E48" s="55">
        <f>SUMIFS('הצעת תקציב 2016'!$I$3:$I$7326,'הצעת תקציב 2016'!$L$3:$L$7326,$A48,'הצעת תקציב 2016'!$U$3:$U$7326,E$24)</f>
        <v>0</v>
      </c>
      <c r="F48" s="55">
        <f>SUMIFS('הצעת תקציב 2016'!$I$3:$I$7326,'הצעת תקציב 2016'!$L$3:$L$7326,$A48,'הצעת תקציב 2016'!$U$3:$U$7326,F$24)</f>
        <v>-56733400</v>
      </c>
      <c r="G48" s="55">
        <f>SUMIFS('הצעת תקציב 2016'!$I$3:$I$7326,'הצעת תקציב 2016'!$L$3:$L$7326,$A48,'הצעת תקציב 2016'!$U$3:$U$7326,G$24)</f>
        <v>0</v>
      </c>
      <c r="H48" s="55">
        <f>SUMIFS('הצעת תקציב 2016'!$I$3:$I$7326,'הצעת תקציב 2016'!$L$3:$L$7326,$A48,'הצעת תקציב 2016'!$U$3:$U$7326,H$24)</f>
        <v>-7945000</v>
      </c>
      <c r="I48" s="55">
        <f>SUMIFS('הצעת תקציב 2016'!$I$3:$I$7326,'הצעת תקציב 2016'!$L$3:$L$7326,$A48,'הצעת תקציב 2016'!$U$3:$U$7326,I$24)</f>
        <v>0</v>
      </c>
      <c r="J48" s="55">
        <f>SUMIFS('הצעת תקציב 2016'!$I$3:$I$7326,'הצעת תקציב 2016'!$L$3:$L$7326,$A48,'הצעת תקציב 2016'!$U$3:$U$7326,J$24)</f>
        <v>-40000000</v>
      </c>
      <c r="K48" s="55">
        <f>SUMIFS('הצעת תקציב 2016'!$I$3:$I$7326,'הצעת תקציב 2016'!$L$3:$L$7326,$A48,'הצעת תקציב 2016'!$U$3:$U$7326,K$24)</f>
        <v>-8999500</v>
      </c>
      <c r="L48" s="59">
        <f>SUM(C48:K48)</f>
        <v>-137111800</v>
      </c>
      <c r="M48" s="59">
        <f t="shared" ref="M48:M51" si="14">SUM(C48:J48)</f>
        <v>-128112300</v>
      </c>
      <c r="N48" s="90">
        <f t="shared" ref="N48:N51" si="15">M48-H48</f>
        <v>-120167300</v>
      </c>
    </row>
    <row r="49" spans="1:14">
      <c r="A49" s="56">
        <v>3</v>
      </c>
      <c r="B49" s="43" t="s">
        <v>2353</v>
      </c>
      <c r="C49" s="55">
        <f>SUMIFS('הצעת תקציב 2016'!$I$3:$I$7326,'הצעת תקציב 2016'!$L$3:$L$7326,$A49,'הצעת תקציב 2016'!$U$3:$U$7326,C$24)</f>
        <v>0</v>
      </c>
      <c r="D49" s="55">
        <f>SUMIFS('הצעת תקציב 2016'!$I$3:$I$7326,'הצעת תקציב 2016'!$L$3:$L$7326,$A49,'הצעת תקציב 2016'!$U$3:$U$7326,D$24)</f>
        <v>-9552500</v>
      </c>
      <c r="E49" s="55">
        <f>SUMIFS('הצעת תקציב 2016'!$I$3:$I$7326,'הצעת תקציב 2016'!$L$3:$L$7326,$A49,'הצעת תקציב 2016'!$U$3:$U$7326,E$24)</f>
        <v>0</v>
      </c>
      <c r="F49" s="55">
        <f>SUMIFS('הצעת תקציב 2016'!$I$3:$I$7326,'הצעת תקציב 2016'!$L$3:$L$7326,$A49,'הצעת תקציב 2016'!$U$3:$U$7326,F$24)</f>
        <v>-18834800</v>
      </c>
      <c r="G49" s="55">
        <f>SUMIFS('הצעת תקציב 2016'!$I$3:$I$7326,'הצעת תקציב 2016'!$L$3:$L$7326,$A49,'הצעת תקציב 2016'!$U$3:$U$7326,G$24)</f>
        <v>0</v>
      </c>
      <c r="H49" s="55">
        <f>SUMIFS('הצעת תקציב 2016'!$I$3:$I$7326,'הצעת תקציב 2016'!$L$3:$L$7326,$A49,'הצעת תקציב 2016'!$U$3:$U$7326,H$24)</f>
        <v>0</v>
      </c>
      <c r="I49" s="55">
        <f>SUMIFS('הצעת תקציב 2016'!$I$3:$I$7326,'הצעת תקציב 2016'!$L$3:$L$7326,$A49,'הצעת תקציב 2016'!$U$3:$U$7326,I$24)</f>
        <v>-13853000</v>
      </c>
      <c r="J49" s="55">
        <f>SUMIFS('הצעת תקציב 2016'!$I$3:$I$7326,'הצעת תקציב 2016'!$L$3:$L$7326,$A49,'הצעת תקציב 2016'!$U$3:$U$7326,J$24)</f>
        <v>0</v>
      </c>
      <c r="K49" s="55">
        <f>SUMIFS('הצעת תקציב 2016'!$I$3:$I$7326,'הצעת תקציב 2016'!$L$3:$L$7326,$A49,'הצעת תקציב 2016'!$U$3:$U$7326,K$24)</f>
        <v>-873191000</v>
      </c>
      <c r="L49" s="59">
        <f>SUM(C49:K49)</f>
        <v>-915431300</v>
      </c>
      <c r="M49" s="59">
        <f t="shared" si="14"/>
        <v>-42240300</v>
      </c>
      <c r="N49" s="90">
        <f t="shared" si="15"/>
        <v>-42240300</v>
      </c>
    </row>
    <row r="50" spans="1:14">
      <c r="A50" s="56">
        <v>4</v>
      </c>
      <c r="B50" s="43" t="s">
        <v>1614</v>
      </c>
      <c r="C50" s="55">
        <f>SUMIFS('הצעת תקציב 2016'!$I$3:$I$7326,'הצעת תקציב 2016'!$L$3:$L$7326,$A50,'הצעת תקציב 2016'!$U$3:$U$7326,C$24)</f>
        <v>0</v>
      </c>
      <c r="D50" s="55">
        <f>SUMIFS('הצעת תקציב 2016'!$I$3:$I$7326,'הצעת תקציב 2016'!$L$3:$L$7326,$A50,'הצעת תקציב 2016'!$U$3:$U$7326,D$24)</f>
        <v>0</v>
      </c>
      <c r="E50" s="55">
        <f>SUMIFS('הצעת תקציב 2016'!$I$3:$I$7326,'הצעת תקציב 2016'!$L$3:$L$7326,$A50,'הצעת תקציב 2016'!$U$3:$U$7326,E$24)</f>
        <v>0</v>
      </c>
      <c r="F50" s="55">
        <f>SUMIFS('הצעת תקציב 2016'!$I$3:$I$7326,'הצעת תקציב 2016'!$L$3:$L$7326,$A50,'הצעת תקציב 2016'!$U$3:$U$7326,F$24)</f>
        <v>-10000</v>
      </c>
      <c r="G50" s="55">
        <f>SUMIFS('הצעת תקציב 2016'!$I$3:$I$7326,'הצעת תקציב 2016'!$L$3:$L$7326,$A50,'הצעת תקציב 2016'!$U$3:$U$7326,G$24)</f>
        <v>-5000</v>
      </c>
      <c r="H50" s="55">
        <f>SUMIFS('הצעת תקציב 2016'!$I$3:$I$7326,'הצעת תקציב 2016'!$L$3:$L$7326,$A50,'הצעת תקציב 2016'!$U$3:$U$7326,H$24)</f>
        <v>-11092000</v>
      </c>
      <c r="I50" s="55">
        <f>SUMIFS('הצעת תקציב 2016'!$I$3:$I$7326,'הצעת תקציב 2016'!$L$3:$L$7326,$A50,'הצעת תקציב 2016'!$U$3:$U$7326,I$24)</f>
        <v>-1000000</v>
      </c>
      <c r="J50" s="55">
        <f>SUMIFS('הצעת תקציב 2016'!$I$3:$I$7326,'הצעת תקציב 2016'!$L$3:$L$7326,$A50,'הצעת תקציב 2016'!$U$3:$U$7326,J$24)</f>
        <v>0</v>
      </c>
      <c r="K50" s="55">
        <f>SUMIFS('הצעת תקציב 2016'!$I$3:$I$7326,'הצעת תקציב 2016'!$L$3:$L$7326,$A50,'הצעת תקציב 2016'!$U$3:$U$7326,K$24)</f>
        <v>0</v>
      </c>
      <c r="L50" s="59">
        <f t="shared" ref="L50:L51" si="16">SUM(C50:K50)</f>
        <v>-12107000</v>
      </c>
      <c r="M50" s="59">
        <f t="shared" si="14"/>
        <v>-12107000</v>
      </c>
      <c r="N50" s="90">
        <f t="shared" si="15"/>
        <v>-1015000</v>
      </c>
    </row>
    <row r="51" spans="1:14">
      <c r="A51" s="56">
        <v>5</v>
      </c>
      <c r="B51" s="43" t="s">
        <v>2281</v>
      </c>
      <c r="C51" s="55">
        <f>SUMIFS('הצעת תקציב 2016'!$I$3:$I$7326,'הצעת תקציב 2016'!$L$3:$L$7326,$A51,'הצעת תקציב 2016'!$U$3:$U$7326,C$24)</f>
        <v>0</v>
      </c>
      <c r="D51" s="55">
        <f>SUMIFS('הצעת תקציב 2016'!$I$3:$I$7326,'הצעת תקציב 2016'!$L$3:$L$7326,$A51,'הצעת תקציב 2016'!$U$3:$U$7326,D$24)</f>
        <v>0</v>
      </c>
      <c r="E51" s="55">
        <f>SUMIFS('הצעת תקציב 2016'!$I$3:$I$7326,'הצעת תקציב 2016'!$L$3:$L$7326,$A51,'הצעת תקציב 2016'!$U$3:$U$7326,E$24)</f>
        <v>0</v>
      </c>
      <c r="F51" s="55">
        <f>SUMIFS('הצעת תקציב 2016'!$I$3:$I$7326,'הצעת תקציב 2016'!$L$3:$L$7326,$A51,'הצעת תקציב 2016'!$U$3:$U$7326,F$24)</f>
        <v>0</v>
      </c>
      <c r="G51" s="55">
        <f>SUMIFS('הצעת תקציב 2016'!$I$3:$I$7326,'הצעת תקציב 2016'!$L$3:$L$7326,$A51,'הצעת תקציב 2016'!$U$3:$U$7326,G$24)</f>
        <v>0</v>
      </c>
      <c r="H51" s="55">
        <f>SUMIFS('הצעת תקציב 2016'!$I$3:$I$7326,'הצעת תקציב 2016'!$L$3:$L$7326,$A51,'הצעת תקציב 2016'!$U$3:$U$7326,H$24)</f>
        <v>-16600000</v>
      </c>
      <c r="I51" s="55">
        <f>SUMIFS('הצעת תקציב 2016'!$I$3:$I$7326,'הצעת תקציב 2016'!$L$3:$L$7326,$A51,'הצעת תקציב 2016'!$U$3:$U$7326,I$24)</f>
        <v>0</v>
      </c>
      <c r="J51" s="55">
        <f>SUMIFS('הצעת תקציב 2016'!$I$3:$I$7326,'הצעת תקציב 2016'!$L$3:$L$7326,$A51,'הצעת תקציב 2016'!$U$3:$U$7326,J$24)</f>
        <v>0</v>
      </c>
      <c r="K51" s="55">
        <f>SUMIFS('הצעת תקציב 2016'!$I$3:$I$7326,'הצעת תקציב 2016'!$L$3:$L$7326,$A51,'הצעת תקציב 2016'!$U$3:$U$7326,K$24)</f>
        <v>0</v>
      </c>
      <c r="L51" s="59">
        <f t="shared" si="16"/>
        <v>-16600000</v>
      </c>
      <c r="M51" s="59">
        <f t="shared" si="14"/>
        <v>-16600000</v>
      </c>
      <c r="N51" s="90">
        <f t="shared" si="15"/>
        <v>0</v>
      </c>
    </row>
    <row r="52" spans="1:14">
      <c r="C52" s="59">
        <f t="shared" ref="C52:N52" si="17">SUM(C47:C51)</f>
        <v>-1401302400</v>
      </c>
      <c r="D52" s="59">
        <f t="shared" si="17"/>
        <v>-55886400</v>
      </c>
      <c r="E52" s="59">
        <f t="shared" si="17"/>
        <v>0</v>
      </c>
      <c r="F52" s="59">
        <f t="shared" si="17"/>
        <v>-75578200</v>
      </c>
      <c r="G52" s="59">
        <f t="shared" si="17"/>
        <v>-5000</v>
      </c>
      <c r="H52" s="59">
        <f t="shared" si="17"/>
        <v>-35637000</v>
      </c>
      <c r="I52" s="59">
        <f t="shared" si="17"/>
        <v>-14853000</v>
      </c>
      <c r="J52" s="59">
        <f t="shared" si="17"/>
        <v>-40000000</v>
      </c>
      <c r="K52" s="59">
        <f t="shared" si="17"/>
        <v>-884447500</v>
      </c>
      <c r="L52" s="59">
        <f t="shared" si="17"/>
        <v>-2507709500</v>
      </c>
      <c r="M52" s="59">
        <f t="shared" si="17"/>
        <v>-1623262000</v>
      </c>
      <c r="N52" s="59">
        <f t="shared" si="17"/>
        <v>-1587625000</v>
      </c>
    </row>
    <row r="53" spans="1:14">
      <c r="M53" s="90">
        <f>M52+K47+K48+K51</f>
        <v>-1634518500</v>
      </c>
    </row>
    <row r="54" spans="1:14">
      <c r="M54" s="90">
        <f>M53-'הצעת תקציב 2016'!I7-'הצעת תקציב 2016'!I8-'הצעת תקציב 2016'!I9-M51</f>
        <v>-1615818500</v>
      </c>
      <c r="N54" s="435">
        <f>-'הצעת תקציב 2016'!I7-'הצעת תקציב 2016'!I8-'הצעת תקציב 2016'!I9</f>
        <v>2100000</v>
      </c>
    </row>
    <row r="55" spans="1:14" ht="45">
      <c r="A55" s="34"/>
      <c r="B55" s="52" t="s">
        <v>2355</v>
      </c>
      <c r="C55" s="52" t="str">
        <f>INDEX(Revenue_type,MATCH(C$36*1,type!$A$118:$A$168,0),8)</f>
        <v>ארנונות</v>
      </c>
      <c r="D55" s="52" t="str">
        <f>INDEX(Revenue_type,MATCH(D$36*1,type!$A$118:$A$168,0),8)</f>
        <v>אגרות</v>
      </c>
      <c r="E55" s="52" t="str">
        <f>INDEX(Revenue_type,MATCH(E$36*1,type!$A$118:$A$168,0),8)</f>
        <v>היטלים</v>
      </c>
      <c r="F55" s="52" t="str">
        <f>INDEX(Revenue_type,MATCH(F$36*1,type!$A$118:$A$168,0),8)</f>
        <v>שירותים ושכר לימוד</v>
      </c>
      <c r="G55" s="52" t="str">
        <f>INDEX(Revenue_type,MATCH(G$36*1,type!$A$118:$A$168,0),8)</f>
        <v>החזרות</v>
      </c>
      <c r="H55" s="52" t="str">
        <f>INDEX(Revenue_type,MATCH(H$36*1,type!$A$118:$A$168,0),8)</f>
        <v>הכנסות מרכוש ומפעלים</v>
      </c>
      <c r="I55" s="52" t="str">
        <f>INDEX(Revenue_type,MATCH(I$36*1,type!$A$118:$A$168,0),8)</f>
        <v>השתתפות מוסדות ותרומות</v>
      </c>
      <c r="J55" s="52" t="str">
        <f>INDEX(Revenue_type,MATCH(J$36*1,type!$A$118:$A$168,0),8)</f>
        <v>השתתפויות בעלים ע"ח עבודות פיתוח</v>
      </c>
      <c r="K55" s="52" t="str">
        <f>INDEX(Revenue_type,MATCH(K$36*1,type!$A$118:$A$168,0),8)</f>
        <v>השתתפות משרדי ממשלה</v>
      </c>
      <c r="L55" s="34"/>
      <c r="M55" t="s">
        <v>2532</v>
      </c>
      <c r="N55" t="s">
        <v>2533</v>
      </c>
    </row>
    <row r="56" spans="1:14">
      <c r="A56" s="53">
        <v>1</v>
      </c>
      <c r="B56" t="s">
        <v>1915</v>
      </c>
      <c r="C56" s="55">
        <f>SUMIFS(Actual_2013,Chapter_1,$A56,Type_1,C$24)</f>
        <v>-1279627202</v>
      </c>
      <c r="D56" s="55" t="e">
        <f>SUMIFS(Actual_2013,Chapter_1,$A56,'הצעת תקציב 2016'!$U$3:$U$7326,D$24)</f>
        <v>#VALUE!</v>
      </c>
      <c r="E56" s="55" t="e">
        <f>SUMIFS(Actual_2013,Chapter_1,$A56,'הצעת תקציב 2016'!$U$3:$U$7326,E$24)</f>
        <v>#VALUE!</v>
      </c>
      <c r="F56" s="55" t="e">
        <f>SUMIFS(Actual_2013,Chapter_1,$A56,'הצעת תקציב 2016'!$U$3:$U$7326,F$24)</f>
        <v>#VALUE!</v>
      </c>
      <c r="G56" s="55" t="e">
        <f>SUMIFS(Actual_2013,Chapter_1,$A56,'הצעת תקציב 2016'!$U$3:$U$7326,G$24)</f>
        <v>#VALUE!</v>
      </c>
      <c r="H56" s="55" t="e">
        <f>SUMIFS(Actual_2013,Chapter_1,$A56,'הצעת תקציב 2016'!$U$3:$U$7326,H$24)</f>
        <v>#VALUE!</v>
      </c>
      <c r="I56" s="55" t="e">
        <f>SUMIFS(Actual_2013,Chapter_1,$A56,'הצעת תקציב 2016'!$U$3:$U$7326,I$24)</f>
        <v>#VALUE!</v>
      </c>
      <c r="J56" s="55" t="e">
        <f>SUMIFS(Actual_2013,Chapter_1,$A56,'הצעת תקציב 2016'!$U$3:$U$7326,J$24)</f>
        <v>#VALUE!</v>
      </c>
      <c r="K56" s="55" t="e">
        <f>SUMIFS(Actual_2013,Chapter_1,$A56,'הצעת תקציב 2016'!$U$3:$U$7326,K$24)</f>
        <v>#VALUE!</v>
      </c>
      <c r="L56" s="59" t="e">
        <f>SUM(C56:K56)</f>
        <v>#VALUE!</v>
      </c>
      <c r="M56" s="59" t="e">
        <f>SUM(C56:J56)</f>
        <v>#VALUE!</v>
      </c>
      <c r="N56" s="90" t="e">
        <f>M56-H56</f>
        <v>#VALUE!</v>
      </c>
    </row>
    <row r="57" spans="1:14">
      <c r="A57" s="56">
        <v>2</v>
      </c>
      <c r="B57" s="43" t="s">
        <v>2352</v>
      </c>
      <c r="C57" s="55" t="e">
        <f>SUMIFS(Actual_2013,Chapter_1,$A57,'הצעת תקציב 2016'!$U$3:$U$7326,C$24)</f>
        <v>#VALUE!</v>
      </c>
      <c r="D57" s="55" t="e">
        <f>SUMIFS(Actual_2013,Chapter_1,$A57,'הצעת תקציב 2016'!$U$3:$U$7326,D$24)</f>
        <v>#VALUE!</v>
      </c>
      <c r="E57" s="55" t="e">
        <f>SUMIFS(Actual_2013,Chapter_1,$A57,'הצעת תקציב 2016'!$U$3:$U$7326,E$24)</f>
        <v>#VALUE!</v>
      </c>
      <c r="F57" s="55" t="e">
        <f>SUMIFS(Actual_2013,Chapter_1,$A57,'הצעת תקציב 2016'!$U$3:$U$7326,F$24)</f>
        <v>#VALUE!</v>
      </c>
      <c r="G57" s="55" t="e">
        <f>SUMIFS(Actual_2013,Chapter_1,$A57,'הצעת תקציב 2016'!$U$3:$U$7326,G$24)</f>
        <v>#VALUE!</v>
      </c>
      <c r="H57" s="55" t="e">
        <f>SUMIFS(Actual_2013,Chapter_1,$A57,'הצעת תקציב 2016'!$U$3:$U$7326,H$24)</f>
        <v>#VALUE!</v>
      </c>
      <c r="I57" s="55" t="e">
        <f>SUMIFS(Actual_2013,Chapter_1,$A57,'הצעת תקציב 2016'!$U$3:$U$7326,I$24)</f>
        <v>#VALUE!</v>
      </c>
      <c r="J57" s="55" t="e">
        <f>SUMIFS(Actual_2013,Chapter_1,$A57,'הצעת תקציב 2016'!$U$3:$U$7326,J$24)</f>
        <v>#VALUE!</v>
      </c>
      <c r="K57" s="55" t="e">
        <f>SUMIFS(Actual_2013,Chapter_1,$A57,'הצעת תקציב 2016'!$U$3:$U$7326,K$24)</f>
        <v>#VALUE!</v>
      </c>
      <c r="L57" s="59" t="e">
        <f>SUM(C57:K57)</f>
        <v>#VALUE!</v>
      </c>
      <c r="M57" s="59" t="e">
        <f t="shared" ref="M57:M60" si="18">SUM(C57:J57)</f>
        <v>#VALUE!</v>
      </c>
      <c r="N57" s="90" t="e">
        <f t="shared" ref="N57:N60" si="19">M57-H57</f>
        <v>#VALUE!</v>
      </c>
    </row>
    <row r="58" spans="1:14">
      <c r="A58" s="56">
        <v>3</v>
      </c>
      <c r="B58" s="43" t="s">
        <v>2353</v>
      </c>
      <c r="C58" s="55" t="e">
        <f>SUMIFS(Actual_2013,Chapter_1,$A58,'הצעת תקציב 2016'!$U$3:$U$7326,C$24)</f>
        <v>#VALUE!</v>
      </c>
      <c r="D58" s="55" t="e">
        <f>SUMIFS(Actual_2013,Chapter_1,$A58,'הצעת תקציב 2016'!$U$3:$U$7326,D$24)</f>
        <v>#VALUE!</v>
      </c>
      <c r="E58" s="55" t="e">
        <f>SUMIFS(Actual_2013,Chapter_1,$A58,'הצעת תקציב 2016'!$U$3:$U$7326,E$24)</f>
        <v>#VALUE!</v>
      </c>
      <c r="F58" s="55" t="e">
        <f>SUMIFS(Actual_2013,Chapter_1,$A58,'הצעת תקציב 2016'!$U$3:$U$7326,F$24)</f>
        <v>#VALUE!</v>
      </c>
      <c r="G58" s="55" t="e">
        <f>SUMIFS(Actual_2013,Chapter_1,$A58,'הצעת תקציב 2016'!$U$3:$U$7326,G$24)</f>
        <v>#VALUE!</v>
      </c>
      <c r="H58" s="55" t="e">
        <f>SUMIFS(Actual_2013,Chapter_1,$A58,'הצעת תקציב 2016'!$U$3:$U$7326,H$24)</f>
        <v>#VALUE!</v>
      </c>
      <c r="I58" s="55" t="e">
        <f>SUMIFS(Actual_2013,Chapter_1,$A58,'הצעת תקציב 2016'!$U$3:$U$7326,I$24)</f>
        <v>#VALUE!</v>
      </c>
      <c r="J58" s="55" t="e">
        <f>SUMIFS(Actual_2013,Chapter_1,$A58,'הצעת תקציב 2016'!$U$3:$U$7326,J$24)</f>
        <v>#VALUE!</v>
      </c>
      <c r="K58" s="55" t="e">
        <f>SUMIFS(Actual_2013,Chapter_1,$A58,'הצעת תקציב 2016'!$U$3:$U$7326,K$24)</f>
        <v>#VALUE!</v>
      </c>
      <c r="L58" s="59" t="e">
        <f>SUM(C58:K58)</f>
        <v>#VALUE!</v>
      </c>
      <c r="M58" s="59" t="e">
        <f t="shared" si="18"/>
        <v>#VALUE!</v>
      </c>
      <c r="N58" s="90" t="e">
        <f t="shared" si="19"/>
        <v>#VALUE!</v>
      </c>
    </row>
    <row r="59" spans="1:14">
      <c r="A59" s="56">
        <v>4</v>
      </c>
      <c r="B59" s="43" t="s">
        <v>1614</v>
      </c>
      <c r="C59" s="55" t="e">
        <f>SUMIFS(Actual_2013,Chapter_1,$A59,'הצעת תקציב 2016'!$U$3:$U$7326,C$24)</f>
        <v>#VALUE!</v>
      </c>
      <c r="D59" s="55" t="e">
        <f>SUMIFS(Actual_2013,Chapter_1,$A59,'הצעת תקציב 2016'!$U$3:$U$7326,D$24)</f>
        <v>#VALUE!</v>
      </c>
      <c r="E59" s="55" t="e">
        <f>SUMIFS(Actual_2013,Chapter_1,$A59,'הצעת תקציב 2016'!$U$3:$U$7326,E$24)</f>
        <v>#VALUE!</v>
      </c>
      <c r="F59" s="55" t="e">
        <f>SUMIFS(Actual_2013,Chapter_1,$A59,'הצעת תקציב 2016'!$U$3:$U$7326,F$24)</f>
        <v>#VALUE!</v>
      </c>
      <c r="G59" s="55" t="e">
        <f>SUMIFS(Actual_2013,Chapter_1,$A59,'הצעת תקציב 2016'!$U$3:$U$7326,G$24)</f>
        <v>#VALUE!</v>
      </c>
      <c r="H59" s="55" t="e">
        <f>SUMIFS(Actual_2013,Chapter_1,$A59,'הצעת תקציב 2016'!$U$3:$U$7326,H$24)</f>
        <v>#VALUE!</v>
      </c>
      <c r="I59" s="55" t="e">
        <f>SUMIFS(Actual_2013,Chapter_1,$A59,'הצעת תקציב 2016'!$U$3:$U$7326,I$24)</f>
        <v>#VALUE!</v>
      </c>
      <c r="J59" s="55" t="e">
        <f>SUMIFS(Actual_2013,Chapter_1,$A59,'הצעת תקציב 2016'!$U$3:$U$7326,J$24)</f>
        <v>#VALUE!</v>
      </c>
      <c r="K59" s="55" t="e">
        <f>SUMIFS(Actual_2013,Chapter_1,$A59,'הצעת תקציב 2016'!$U$3:$U$7326,K$24)</f>
        <v>#VALUE!</v>
      </c>
      <c r="L59" s="59" t="e">
        <f t="shared" ref="L59:L60" si="20">SUM(C59:K59)</f>
        <v>#VALUE!</v>
      </c>
      <c r="M59" s="59" t="e">
        <f t="shared" si="18"/>
        <v>#VALUE!</v>
      </c>
      <c r="N59" s="90" t="e">
        <f t="shared" si="19"/>
        <v>#VALUE!</v>
      </c>
    </row>
    <row r="60" spans="1:14">
      <c r="A60" s="56">
        <v>5</v>
      </c>
      <c r="B60" s="43" t="s">
        <v>2281</v>
      </c>
      <c r="C60" s="55" t="e">
        <f>SUMIFS(Actual_2013,Chapter_1,$A60,'הצעת תקציב 2016'!$U$3:$U$7326,C$24)</f>
        <v>#VALUE!</v>
      </c>
      <c r="D60" s="55" t="e">
        <f>SUMIFS(Actual_2013,Chapter_1,$A60,'הצעת תקציב 2016'!$U$3:$U$7326,D$24)</f>
        <v>#VALUE!</v>
      </c>
      <c r="E60" s="55" t="e">
        <f>SUMIFS(Actual_2013,Chapter_1,$A60,'הצעת תקציב 2016'!$U$3:$U$7326,E$24)</f>
        <v>#VALUE!</v>
      </c>
      <c r="F60" s="55" t="e">
        <f>SUMIFS(Actual_2013,Chapter_1,$A60,'הצעת תקציב 2016'!$U$3:$U$7326,F$24)</f>
        <v>#VALUE!</v>
      </c>
      <c r="G60" s="55" t="e">
        <f>SUMIFS(Actual_2013,Chapter_1,$A60,'הצעת תקציב 2016'!$U$3:$U$7326,G$24)</f>
        <v>#VALUE!</v>
      </c>
      <c r="H60" s="55" t="e">
        <f>SUMIFS(Actual_2013,Chapter_1,$A60,'הצעת תקציב 2016'!$U$3:$U$7326,H$24)</f>
        <v>#VALUE!</v>
      </c>
      <c r="I60" s="55" t="e">
        <f>SUMIFS(Actual_2013,Chapter_1,$A60,'הצעת תקציב 2016'!$U$3:$U$7326,I$24)</f>
        <v>#VALUE!</v>
      </c>
      <c r="J60" s="55" t="e">
        <f>SUMIFS(Actual_2013,Chapter_1,$A60,'הצעת תקציב 2016'!$U$3:$U$7326,J$24)</f>
        <v>#VALUE!</v>
      </c>
      <c r="K60" s="55" t="e">
        <f>SUMIFS(Actual_2013,Chapter_1,$A60,'הצעת תקציב 2016'!$U$3:$U$7326,K$24)</f>
        <v>#VALUE!</v>
      </c>
      <c r="L60" s="59" t="e">
        <f t="shared" si="20"/>
        <v>#VALUE!</v>
      </c>
      <c r="M60" s="59" t="e">
        <f t="shared" si="18"/>
        <v>#VALUE!</v>
      </c>
      <c r="N60" s="90" t="e">
        <f t="shared" si="19"/>
        <v>#VALUE!</v>
      </c>
    </row>
    <row r="61" spans="1:14">
      <c r="C61" s="59" t="e">
        <f t="shared" ref="C61:N61" si="21">SUM(C56:C60)</f>
        <v>#VALUE!</v>
      </c>
      <c r="D61" s="59" t="e">
        <f t="shared" si="21"/>
        <v>#VALUE!</v>
      </c>
      <c r="E61" s="59" t="e">
        <f t="shared" si="21"/>
        <v>#VALUE!</v>
      </c>
      <c r="F61" s="59" t="e">
        <f t="shared" si="21"/>
        <v>#VALUE!</v>
      </c>
      <c r="G61" s="59" t="e">
        <f t="shared" si="21"/>
        <v>#VALUE!</v>
      </c>
      <c r="H61" s="59" t="e">
        <f t="shared" si="21"/>
        <v>#VALUE!</v>
      </c>
      <c r="I61" s="59" t="e">
        <f t="shared" si="21"/>
        <v>#VALUE!</v>
      </c>
      <c r="J61" s="59" t="e">
        <f t="shared" si="21"/>
        <v>#VALUE!</v>
      </c>
      <c r="K61" s="59" t="e">
        <f t="shared" si="21"/>
        <v>#VALUE!</v>
      </c>
      <c r="L61" s="59" t="e">
        <f t="shared" si="21"/>
        <v>#VALUE!</v>
      </c>
      <c r="M61" s="59" t="e">
        <f t="shared" si="21"/>
        <v>#VALUE!</v>
      </c>
      <c r="N61" s="59" t="e">
        <f t="shared" si="21"/>
        <v>#VALUE!</v>
      </c>
    </row>
    <row r="62" spans="1:14">
      <c r="M62" s="90" t="e">
        <f>M61+K56+K57+K60</f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61"/>
  <sheetViews>
    <sheetView rightToLeft="1" workbookViewId="0">
      <selection activeCell="H20" sqref="H20"/>
    </sheetView>
  </sheetViews>
  <sheetFormatPr defaultRowHeight="15.75"/>
  <cols>
    <col min="1" max="1" width="6.42578125" style="8" customWidth="1"/>
    <col min="2" max="2" width="10" style="7" customWidth="1"/>
    <col min="3" max="3" width="5" style="2" customWidth="1"/>
    <col min="4" max="4" width="23.140625" style="1" customWidth="1"/>
    <col min="5" max="5" width="24.7109375" style="16" customWidth="1"/>
    <col min="6" max="6" width="6" style="2" customWidth="1"/>
    <col min="7" max="7" width="11.5703125" style="6" customWidth="1"/>
    <col min="8" max="9" width="18.7109375" style="6" customWidth="1"/>
    <col min="10" max="10" width="18.7109375" style="4" customWidth="1"/>
    <col min="11" max="16384" width="9.140625" style="3"/>
  </cols>
  <sheetData>
    <row r="1" spans="1:10" ht="32.25" customHeight="1" thickBot="1">
      <c r="A1" s="21" t="s">
        <v>27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s="5" customFormat="1" ht="38.25" thickBot="1">
      <c r="A2" s="9" t="s">
        <v>22</v>
      </c>
      <c r="B2" s="14" t="s">
        <v>23</v>
      </c>
      <c r="C2" s="12" t="s">
        <v>24</v>
      </c>
      <c r="D2" s="10"/>
      <c r="E2" s="11" t="s">
        <v>25</v>
      </c>
      <c r="F2" s="12" t="s">
        <v>26</v>
      </c>
      <c r="G2" s="13" t="s">
        <v>28</v>
      </c>
      <c r="H2" s="17" t="s">
        <v>29</v>
      </c>
      <c r="I2" s="17" t="s">
        <v>30</v>
      </c>
      <c r="J2" s="22" t="s">
        <v>31</v>
      </c>
    </row>
    <row r="3" spans="1:10" ht="15.75" customHeight="1">
      <c r="A3" t="s">
        <v>2403</v>
      </c>
      <c r="B3">
        <v>111000</v>
      </c>
      <c r="C3">
        <v>1</v>
      </c>
      <c r="D3" t="str">
        <f t="shared" ref="D3:D66" si="0">C3&amp;B3&amp;"."&amp;A3</f>
        <v>1111000.110</v>
      </c>
      <c r="E3" t="s">
        <v>4275</v>
      </c>
      <c r="F3" s="242"/>
      <c r="G3"/>
      <c r="H3" s="242">
        <v>-565000000</v>
      </c>
      <c r="I3" s="242">
        <v>-508819508</v>
      </c>
      <c r="J3"/>
    </row>
    <row r="4" spans="1:10" ht="15.75" customHeight="1">
      <c r="A4" t="s">
        <v>1921</v>
      </c>
      <c r="B4">
        <v>111000</v>
      </c>
      <c r="C4">
        <v>1</v>
      </c>
      <c r="D4" t="str">
        <f t="shared" si="0"/>
        <v>1111000.111</v>
      </c>
      <c r="E4" t="s">
        <v>4276</v>
      </c>
      <c r="F4" s="242"/>
      <c r="G4"/>
      <c r="H4" s="242">
        <v>0</v>
      </c>
      <c r="I4" s="242">
        <v>-561</v>
      </c>
      <c r="J4"/>
    </row>
    <row r="5" spans="1:10" ht="15.75" customHeight="1">
      <c r="A5" t="s">
        <v>393</v>
      </c>
      <c r="B5">
        <v>111000</v>
      </c>
      <c r="C5">
        <v>1</v>
      </c>
      <c r="D5" t="str">
        <f t="shared" si="0"/>
        <v>1111000.113</v>
      </c>
      <c r="E5" t="s">
        <v>4277</v>
      </c>
      <c r="F5" s="242"/>
      <c r="G5"/>
      <c r="H5" s="242">
        <v>-8000000</v>
      </c>
      <c r="I5" s="242">
        <v>-39290407</v>
      </c>
      <c r="J5"/>
    </row>
    <row r="6" spans="1:10" ht="15.75" customHeight="1">
      <c r="A6" t="s">
        <v>4278</v>
      </c>
      <c r="B6">
        <v>111000</v>
      </c>
      <c r="C6">
        <v>1</v>
      </c>
      <c r="D6" t="str">
        <f t="shared" si="0"/>
        <v>1111000.114</v>
      </c>
      <c r="E6" t="s">
        <v>4279</v>
      </c>
      <c r="F6" s="242"/>
      <c r="G6"/>
      <c r="H6" s="242">
        <v>0</v>
      </c>
      <c r="I6" s="242">
        <v>0</v>
      </c>
      <c r="J6"/>
    </row>
    <row r="7" spans="1:10" ht="15.75" customHeight="1">
      <c r="A7" t="s">
        <v>1948</v>
      </c>
      <c r="B7">
        <v>111000</v>
      </c>
      <c r="C7">
        <v>1</v>
      </c>
      <c r="D7" t="str">
        <f t="shared" si="0"/>
        <v>1111000.115</v>
      </c>
      <c r="E7" t="s">
        <v>4280</v>
      </c>
      <c r="F7" s="242"/>
      <c r="G7"/>
      <c r="H7" s="242">
        <v>0</v>
      </c>
      <c r="I7" s="242">
        <v>0</v>
      </c>
      <c r="J7"/>
    </row>
    <row r="8" spans="1:10" ht="15.75" customHeight="1">
      <c r="A8" t="s">
        <v>4281</v>
      </c>
      <c r="B8">
        <v>111000</v>
      </c>
      <c r="C8">
        <v>1</v>
      </c>
      <c r="D8" t="str">
        <f t="shared" si="0"/>
        <v>1111000.118</v>
      </c>
      <c r="E8" t="s">
        <v>4282</v>
      </c>
      <c r="F8" s="242"/>
      <c r="G8"/>
      <c r="H8" s="242">
        <v>0</v>
      </c>
      <c r="I8" s="242">
        <v>0</v>
      </c>
      <c r="J8"/>
    </row>
    <row r="9" spans="1:10" ht="15.75" customHeight="1">
      <c r="A9" t="s">
        <v>2403</v>
      </c>
      <c r="B9">
        <v>112000</v>
      </c>
      <c r="C9">
        <v>1</v>
      </c>
      <c r="D9" t="str">
        <f t="shared" si="0"/>
        <v>1112000.110</v>
      </c>
      <c r="E9" t="s">
        <v>4283</v>
      </c>
      <c r="F9" s="242"/>
      <c r="G9"/>
      <c r="H9" s="242">
        <v>-62000000</v>
      </c>
      <c r="I9" s="242">
        <v>-50984395</v>
      </c>
      <c r="J9"/>
    </row>
    <row r="10" spans="1:10" ht="15.75" customHeight="1">
      <c r="A10" t="s">
        <v>4284</v>
      </c>
      <c r="B10">
        <v>113000</v>
      </c>
      <c r="C10">
        <v>1</v>
      </c>
      <c r="D10" t="str">
        <f t="shared" si="0"/>
        <v>1113000.119</v>
      </c>
      <c r="E10" t="s">
        <v>4285</v>
      </c>
      <c r="F10" s="242"/>
      <c r="G10"/>
      <c r="H10" s="242">
        <v>-3300000</v>
      </c>
      <c r="I10" s="242">
        <v>-3531000</v>
      </c>
      <c r="J10"/>
    </row>
    <row r="11" spans="1:10" ht="15.75" customHeight="1">
      <c r="A11" t="s">
        <v>4284</v>
      </c>
      <c r="B11">
        <v>115000</v>
      </c>
      <c r="C11">
        <v>1</v>
      </c>
      <c r="D11" t="str">
        <f t="shared" si="0"/>
        <v>1115000.119</v>
      </c>
      <c r="E11" t="s">
        <v>4286</v>
      </c>
      <c r="F11" s="242"/>
      <c r="G11"/>
      <c r="H11" s="242">
        <v>-66700000</v>
      </c>
      <c r="I11" s="242">
        <v>-70993000</v>
      </c>
      <c r="J11"/>
    </row>
    <row r="12" spans="1:10" ht="15.75" customHeight="1">
      <c r="A12" t="s">
        <v>2727</v>
      </c>
      <c r="B12">
        <v>121000</v>
      </c>
      <c r="C12">
        <v>1</v>
      </c>
      <c r="D12" t="str">
        <f t="shared" si="0"/>
        <v>1121000.290</v>
      </c>
      <c r="E12" t="s">
        <v>4287</v>
      </c>
      <c r="F12" s="242"/>
      <c r="G12"/>
      <c r="H12" s="242">
        <v>-260000</v>
      </c>
      <c r="I12" s="242">
        <v>-259304</v>
      </c>
      <c r="J12"/>
    </row>
    <row r="13" spans="1:10" ht="15.75" customHeight="1">
      <c r="A13" t="s">
        <v>886</v>
      </c>
      <c r="B13">
        <v>121000</v>
      </c>
      <c r="C13">
        <v>1</v>
      </c>
      <c r="D13" t="str">
        <f t="shared" si="0"/>
        <v>1121000.291</v>
      </c>
      <c r="E13" t="s">
        <v>4288</v>
      </c>
      <c r="F13" s="242"/>
      <c r="G13"/>
      <c r="H13" s="242">
        <v>0</v>
      </c>
      <c r="I13" s="242">
        <v>-26</v>
      </c>
      <c r="J13"/>
    </row>
    <row r="14" spans="1:10" ht="15.75" customHeight="1">
      <c r="A14" t="s">
        <v>2694</v>
      </c>
      <c r="B14">
        <v>121700</v>
      </c>
      <c r="C14">
        <v>1</v>
      </c>
      <c r="D14" t="str">
        <f t="shared" si="0"/>
        <v>1121700.690</v>
      </c>
      <c r="E14" t="s">
        <v>4237</v>
      </c>
      <c r="F14" s="242"/>
      <c r="G14"/>
      <c r="H14" s="242">
        <v>-160000</v>
      </c>
      <c r="I14" s="242">
        <v>-219550</v>
      </c>
      <c r="J14"/>
    </row>
    <row r="15" spans="1:10" ht="15.75" customHeight="1">
      <c r="A15" t="s">
        <v>2727</v>
      </c>
      <c r="B15">
        <v>123000</v>
      </c>
      <c r="C15">
        <v>1</v>
      </c>
      <c r="D15" t="str">
        <f t="shared" si="0"/>
        <v>1123000.290</v>
      </c>
      <c r="E15" t="s">
        <v>2728</v>
      </c>
      <c r="F15" s="242"/>
      <c r="G15"/>
      <c r="H15" s="242">
        <v>-1000</v>
      </c>
      <c r="I15" s="242">
        <v>-1917</v>
      </c>
      <c r="J15"/>
    </row>
    <row r="16" spans="1:10" ht="15.75" customHeight="1">
      <c r="A16" t="s">
        <v>891</v>
      </c>
      <c r="B16">
        <v>123000</v>
      </c>
      <c r="C16">
        <v>1</v>
      </c>
      <c r="D16" t="str">
        <f t="shared" si="0"/>
        <v>1123000.292</v>
      </c>
      <c r="E16" t="s">
        <v>2729</v>
      </c>
      <c r="F16" s="242"/>
      <c r="G16"/>
      <c r="H16" s="242">
        <v>0</v>
      </c>
      <c r="I16" s="242">
        <v>-173</v>
      </c>
      <c r="J16"/>
    </row>
    <row r="17" spans="1:10" ht="15.75" customHeight="1">
      <c r="A17" t="s">
        <v>2634</v>
      </c>
      <c r="B17">
        <v>123110</v>
      </c>
      <c r="C17">
        <v>1</v>
      </c>
      <c r="D17" t="str">
        <f t="shared" si="0"/>
        <v>1123110.490</v>
      </c>
      <c r="E17" t="s">
        <v>4211</v>
      </c>
      <c r="F17" s="242"/>
      <c r="G17"/>
      <c r="H17" s="242">
        <v>-10000</v>
      </c>
      <c r="I17" s="242">
        <v>-15777</v>
      </c>
      <c r="J17"/>
    </row>
    <row r="18" spans="1:10" ht="15.75" customHeight="1">
      <c r="A18" t="s">
        <v>2694</v>
      </c>
      <c r="B18">
        <v>123110</v>
      </c>
      <c r="C18">
        <v>1</v>
      </c>
      <c r="D18" t="str">
        <f t="shared" si="0"/>
        <v>1123110.690</v>
      </c>
      <c r="E18" t="s">
        <v>4212</v>
      </c>
      <c r="F18" s="242"/>
      <c r="G18"/>
      <c r="H18" s="242">
        <v>-140000</v>
      </c>
      <c r="I18" s="242">
        <v>-151296</v>
      </c>
      <c r="J18"/>
    </row>
    <row r="19" spans="1:10" ht="15.75" customHeight="1">
      <c r="A19" t="s">
        <v>2931</v>
      </c>
      <c r="B19">
        <v>123120</v>
      </c>
      <c r="C19">
        <v>1</v>
      </c>
      <c r="D19" t="str">
        <f t="shared" si="0"/>
        <v>1123120.220</v>
      </c>
      <c r="E19" t="s">
        <v>4213</v>
      </c>
      <c r="F19" s="242"/>
      <c r="G19"/>
      <c r="H19" s="242">
        <v>0</v>
      </c>
      <c r="I19" s="242">
        <v>-1766</v>
      </c>
      <c r="J19"/>
    </row>
    <row r="20" spans="1:10" ht="15.75" customHeight="1">
      <c r="A20" t="s">
        <v>543</v>
      </c>
      <c r="B20">
        <v>123120</v>
      </c>
      <c r="C20">
        <v>1</v>
      </c>
      <c r="D20" t="str">
        <f t="shared" si="0"/>
        <v>1123120.221</v>
      </c>
      <c r="E20" t="s">
        <v>4214</v>
      </c>
      <c r="F20" s="242"/>
      <c r="G20"/>
      <c r="H20" s="242">
        <v>-2500000</v>
      </c>
      <c r="I20" s="242">
        <v>-2813678</v>
      </c>
      <c r="J20"/>
    </row>
    <row r="21" spans="1:10" ht="15.75" customHeight="1">
      <c r="A21" t="s">
        <v>4215</v>
      </c>
      <c r="B21">
        <v>123120</v>
      </c>
      <c r="C21">
        <v>1</v>
      </c>
      <c r="D21" t="str">
        <f t="shared" si="0"/>
        <v>1123120.670</v>
      </c>
      <c r="E21" t="s">
        <v>4216</v>
      </c>
      <c r="F21" s="242"/>
      <c r="G21"/>
      <c r="H21" s="242">
        <v>-1100000</v>
      </c>
      <c r="I21" s="242">
        <v>-1650562</v>
      </c>
      <c r="J21"/>
    </row>
    <row r="22" spans="1:10" ht="15.75" customHeight="1">
      <c r="A22" t="s">
        <v>4113</v>
      </c>
      <c r="B22">
        <v>157000</v>
      </c>
      <c r="C22">
        <v>1</v>
      </c>
      <c r="D22" t="str">
        <f t="shared" si="0"/>
        <v>1157000.730</v>
      </c>
      <c r="E22" t="s">
        <v>4289</v>
      </c>
      <c r="F22" s="242"/>
      <c r="G22"/>
      <c r="H22" s="242">
        <v>-240000</v>
      </c>
      <c r="I22" s="242">
        <v>-205590</v>
      </c>
      <c r="J22"/>
    </row>
    <row r="23" spans="1:10" ht="15.75" customHeight="1">
      <c r="A23" t="s">
        <v>600</v>
      </c>
      <c r="B23">
        <v>157000</v>
      </c>
      <c r="C23">
        <v>1</v>
      </c>
      <c r="D23" t="str">
        <f t="shared" si="0"/>
        <v>1157000.731</v>
      </c>
      <c r="E23" t="s">
        <v>4290</v>
      </c>
      <c r="F23" s="242"/>
      <c r="G23"/>
      <c r="H23" s="242">
        <v>-550000</v>
      </c>
      <c r="I23" s="242">
        <v>-522762</v>
      </c>
      <c r="J23"/>
    </row>
    <row r="24" spans="1:10" ht="15.75" customHeight="1">
      <c r="A24" t="s">
        <v>605</v>
      </c>
      <c r="B24">
        <v>157000</v>
      </c>
      <c r="C24">
        <v>1</v>
      </c>
      <c r="D24" t="str">
        <f t="shared" si="0"/>
        <v>1157000.732</v>
      </c>
      <c r="E24" t="s">
        <v>4291</v>
      </c>
      <c r="F24" s="242"/>
      <c r="G24"/>
      <c r="H24" s="242">
        <v>0</v>
      </c>
      <c r="I24" s="242">
        <v>-16289</v>
      </c>
      <c r="J24"/>
    </row>
    <row r="25" spans="1:10" ht="15.75" customHeight="1">
      <c r="A25" t="s">
        <v>3544</v>
      </c>
      <c r="B25">
        <v>157000</v>
      </c>
      <c r="C25">
        <v>1</v>
      </c>
      <c r="D25" t="str">
        <f t="shared" si="0"/>
        <v>1157000.970</v>
      </c>
      <c r="E25" t="s">
        <v>4565</v>
      </c>
      <c r="F25" s="242"/>
      <c r="G25"/>
      <c r="H25" s="242">
        <v>0</v>
      </c>
      <c r="I25" s="242">
        <v>-9769</v>
      </c>
      <c r="J25"/>
    </row>
    <row r="26" spans="1:10" ht="15.75" customHeight="1">
      <c r="A26" t="s">
        <v>2694</v>
      </c>
      <c r="B26">
        <v>157100</v>
      </c>
      <c r="C26">
        <v>1</v>
      </c>
      <c r="D26" t="str">
        <f t="shared" si="0"/>
        <v>1157100.690</v>
      </c>
      <c r="E26" t="s">
        <v>4167</v>
      </c>
      <c r="F26" s="242"/>
      <c r="G26"/>
      <c r="H26" s="242">
        <v>-25000</v>
      </c>
      <c r="I26" s="242">
        <v>-23820</v>
      </c>
      <c r="J26"/>
    </row>
    <row r="27" spans="1:10" ht="15.75" customHeight="1">
      <c r="A27" t="s">
        <v>2636</v>
      </c>
      <c r="B27">
        <v>157100</v>
      </c>
      <c r="C27">
        <v>1</v>
      </c>
      <c r="D27" t="str">
        <f t="shared" si="0"/>
        <v>1157100.790</v>
      </c>
      <c r="E27" t="s">
        <v>4519</v>
      </c>
      <c r="F27" s="242"/>
      <c r="G27"/>
      <c r="H27" s="242">
        <v>0</v>
      </c>
      <c r="I27" s="242">
        <v>0</v>
      </c>
      <c r="J27"/>
    </row>
    <row r="28" spans="1:10" ht="15.75" customHeight="1">
      <c r="A28" t="s">
        <v>2694</v>
      </c>
      <c r="B28">
        <v>157500</v>
      </c>
      <c r="C28">
        <v>1</v>
      </c>
      <c r="D28" t="str">
        <f t="shared" si="0"/>
        <v>1157500.690</v>
      </c>
      <c r="E28" t="s">
        <v>4167</v>
      </c>
      <c r="F28" s="242"/>
      <c r="G28"/>
      <c r="H28" s="242">
        <v>-100</v>
      </c>
      <c r="I28" s="242">
        <v>0</v>
      </c>
      <c r="J28"/>
    </row>
    <row r="29" spans="1:10" ht="15.75" customHeight="1">
      <c r="A29" t="s">
        <v>2694</v>
      </c>
      <c r="B29">
        <v>157600</v>
      </c>
      <c r="C29">
        <v>1</v>
      </c>
      <c r="D29" t="str">
        <f t="shared" si="0"/>
        <v>1157600.690</v>
      </c>
      <c r="E29" t="s">
        <v>4167</v>
      </c>
      <c r="F29" s="242"/>
      <c r="G29"/>
      <c r="H29" s="242">
        <v>0</v>
      </c>
      <c r="I29" s="242">
        <v>-124050</v>
      </c>
      <c r="J29"/>
    </row>
    <row r="30" spans="1:10" ht="15.75" customHeight="1">
      <c r="A30" t="s">
        <v>3730</v>
      </c>
      <c r="B30">
        <v>157607</v>
      </c>
      <c r="C30">
        <v>1</v>
      </c>
      <c r="D30" t="str">
        <f t="shared" si="0"/>
        <v>1157607.691</v>
      </c>
      <c r="E30" t="s">
        <v>4167</v>
      </c>
      <c r="F30" s="242"/>
      <c r="G30"/>
      <c r="H30" s="242">
        <v>0</v>
      </c>
      <c r="I30" s="242">
        <v>-400</v>
      </c>
      <c r="J30"/>
    </row>
    <row r="31" spans="1:10" ht="15.75" customHeight="1">
      <c r="A31" t="s">
        <v>2634</v>
      </c>
      <c r="B31">
        <v>158000</v>
      </c>
      <c r="C31">
        <v>1</v>
      </c>
      <c r="D31" t="str">
        <f t="shared" si="0"/>
        <v>1158000.490</v>
      </c>
      <c r="E31" t="s">
        <v>2635</v>
      </c>
      <c r="F31" s="242"/>
      <c r="G31"/>
      <c r="H31" s="242">
        <v>0</v>
      </c>
      <c r="I31" s="242">
        <v>-127493</v>
      </c>
      <c r="J31"/>
    </row>
    <row r="32" spans="1:10" ht="15.75" customHeight="1">
      <c r="A32" t="s">
        <v>2636</v>
      </c>
      <c r="B32">
        <v>158000</v>
      </c>
      <c r="C32">
        <v>1</v>
      </c>
      <c r="D32" t="str">
        <f t="shared" si="0"/>
        <v>1158000.790</v>
      </c>
      <c r="E32" t="s">
        <v>2637</v>
      </c>
      <c r="F32" s="242"/>
      <c r="G32"/>
      <c r="H32" s="242">
        <v>0</v>
      </c>
      <c r="I32" s="242">
        <v>0</v>
      </c>
      <c r="J32"/>
    </row>
    <row r="33" spans="1:10" ht="15.75" customHeight="1">
      <c r="A33" t="s">
        <v>4268</v>
      </c>
      <c r="B33">
        <v>160000</v>
      </c>
      <c r="C33">
        <v>1</v>
      </c>
      <c r="D33" t="str">
        <f t="shared" si="0"/>
        <v>1160000.662</v>
      </c>
      <c r="E33" t="s">
        <v>4269</v>
      </c>
      <c r="F33" s="242"/>
      <c r="G33"/>
      <c r="H33" s="242">
        <v>-25000</v>
      </c>
      <c r="I33" s="242">
        <v>-7656</v>
      </c>
      <c r="J33"/>
    </row>
    <row r="34" spans="1:10" ht="15.75" customHeight="1">
      <c r="A34" t="s">
        <v>2569</v>
      </c>
      <c r="B34">
        <v>192000</v>
      </c>
      <c r="C34">
        <v>1</v>
      </c>
      <c r="D34" t="str">
        <f t="shared" si="0"/>
        <v>1192000.910</v>
      </c>
      <c r="E34" t="s">
        <v>2570</v>
      </c>
      <c r="F34" s="242"/>
      <c r="G34"/>
      <c r="H34" s="242">
        <v>-360000</v>
      </c>
      <c r="I34" s="242">
        <v>0</v>
      </c>
      <c r="J34"/>
    </row>
    <row r="35" spans="1:10" ht="15.75" customHeight="1">
      <c r="A35" t="s">
        <v>4292</v>
      </c>
      <c r="B35">
        <v>196000</v>
      </c>
      <c r="C35">
        <v>1</v>
      </c>
      <c r="D35" t="str">
        <f t="shared" si="0"/>
        <v>1196000.914</v>
      </c>
      <c r="E35" t="s">
        <v>4293</v>
      </c>
      <c r="F35" s="242"/>
      <c r="G35"/>
      <c r="H35" s="242">
        <v>-120000</v>
      </c>
      <c r="I35" s="242">
        <v>-97196</v>
      </c>
      <c r="J35"/>
    </row>
    <row r="36" spans="1:10" ht="15.75" customHeight="1">
      <c r="A36" t="s">
        <v>4294</v>
      </c>
      <c r="B36">
        <v>196000</v>
      </c>
      <c r="C36">
        <v>1</v>
      </c>
      <c r="D36" t="str">
        <f t="shared" si="0"/>
        <v>1196000.916</v>
      </c>
      <c r="E36" t="s">
        <v>4295</v>
      </c>
      <c r="F36" s="242"/>
      <c r="G36"/>
      <c r="H36" s="242">
        <v>-1168000</v>
      </c>
      <c r="I36" s="242">
        <v>-811530</v>
      </c>
      <c r="J36"/>
    </row>
    <row r="37" spans="1:10" ht="15.75" customHeight="1">
      <c r="A37" t="s">
        <v>1621</v>
      </c>
      <c r="B37">
        <v>196000</v>
      </c>
      <c r="C37">
        <v>1</v>
      </c>
      <c r="D37" t="str">
        <f t="shared" si="0"/>
        <v>1196000.911</v>
      </c>
      <c r="E37" t="s">
        <v>4520</v>
      </c>
      <c r="F37" s="242"/>
      <c r="G37"/>
      <c r="H37" s="242">
        <v>-59500</v>
      </c>
      <c r="I37" s="242">
        <v>-7722</v>
      </c>
      <c r="J37"/>
    </row>
    <row r="38" spans="1:10" ht="15.75" customHeight="1">
      <c r="A38" t="s">
        <v>2569</v>
      </c>
      <c r="B38">
        <v>196100</v>
      </c>
      <c r="C38">
        <v>1</v>
      </c>
      <c r="D38" t="str">
        <f t="shared" si="0"/>
        <v>1196100.910</v>
      </c>
      <c r="E38" t="s">
        <v>4564</v>
      </c>
      <c r="F38" s="242"/>
      <c r="G38"/>
      <c r="H38" s="242">
        <v>-850000</v>
      </c>
      <c r="I38" s="242">
        <v>0</v>
      </c>
      <c r="J38"/>
    </row>
    <row r="39" spans="1:10" ht="15.75" customHeight="1">
      <c r="A39" t="s">
        <v>2634</v>
      </c>
      <c r="B39">
        <v>211000</v>
      </c>
      <c r="C39">
        <v>1</v>
      </c>
      <c r="D39" t="str">
        <f t="shared" si="0"/>
        <v>1211000.490</v>
      </c>
      <c r="E39" t="s">
        <v>3705</v>
      </c>
      <c r="F39" s="242"/>
      <c r="G39"/>
      <c r="H39" s="242">
        <v>0</v>
      </c>
      <c r="I39" s="242">
        <v>0</v>
      </c>
      <c r="J39"/>
    </row>
    <row r="40" spans="1:10" ht="15.75" customHeight="1">
      <c r="A40" t="s">
        <v>2594</v>
      </c>
      <c r="B40">
        <v>211000</v>
      </c>
      <c r="C40">
        <v>1</v>
      </c>
      <c r="D40" t="str">
        <f t="shared" si="0"/>
        <v>1211000.540</v>
      </c>
      <c r="E40" t="s">
        <v>2680</v>
      </c>
      <c r="F40" s="242"/>
      <c r="G40"/>
      <c r="H40" s="242">
        <v>-100</v>
      </c>
      <c r="I40" s="242">
        <v>0</v>
      </c>
      <c r="J40"/>
    </row>
    <row r="41" spans="1:10" ht="15.75" customHeight="1">
      <c r="A41" t="s">
        <v>2931</v>
      </c>
      <c r="B41">
        <v>212300</v>
      </c>
      <c r="C41">
        <v>1</v>
      </c>
      <c r="D41" t="str">
        <f t="shared" si="0"/>
        <v>1212300.220</v>
      </c>
      <c r="E41" t="s">
        <v>3727</v>
      </c>
      <c r="F41" s="242"/>
      <c r="G41"/>
      <c r="H41" s="242">
        <v>-1000000</v>
      </c>
      <c r="I41" s="242">
        <v>-388482</v>
      </c>
      <c r="J41"/>
    </row>
    <row r="42" spans="1:10" ht="15.75" customHeight="1">
      <c r="A42" t="s">
        <v>543</v>
      </c>
      <c r="B42">
        <v>212300</v>
      </c>
      <c r="C42">
        <v>1</v>
      </c>
      <c r="D42" t="str">
        <f t="shared" si="0"/>
        <v>1212300.221</v>
      </c>
      <c r="E42" t="s">
        <v>3728</v>
      </c>
      <c r="F42" s="242"/>
      <c r="G42"/>
      <c r="H42" s="242">
        <v>0</v>
      </c>
      <c r="I42" s="242">
        <v>0</v>
      </c>
      <c r="J42"/>
    </row>
    <row r="43" spans="1:10" ht="15.75" customHeight="1">
      <c r="A43" t="s">
        <v>2755</v>
      </c>
      <c r="B43">
        <v>212300</v>
      </c>
      <c r="C43">
        <v>1</v>
      </c>
      <c r="D43" t="str">
        <f t="shared" si="0"/>
        <v>1212300.491</v>
      </c>
      <c r="E43" t="s">
        <v>3729</v>
      </c>
      <c r="F43" s="242"/>
      <c r="G43"/>
      <c r="H43" s="242">
        <v>-670000</v>
      </c>
      <c r="I43" s="242">
        <v>-664168</v>
      </c>
      <c r="J43"/>
    </row>
    <row r="44" spans="1:10" ht="15.75" customHeight="1">
      <c r="A44" t="s">
        <v>3730</v>
      </c>
      <c r="B44">
        <v>212300</v>
      </c>
      <c r="C44">
        <v>1</v>
      </c>
      <c r="D44" t="str">
        <f t="shared" si="0"/>
        <v>1212300.691</v>
      </c>
      <c r="E44" t="s">
        <v>3731</v>
      </c>
      <c r="F44" s="242"/>
      <c r="G44"/>
      <c r="H44" s="242">
        <v>0</v>
      </c>
      <c r="I44" s="242">
        <v>0</v>
      </c>
      <c r="J44"/>
    </row>
    <row r="45" spans="1:10" ht="15.75" customHeight="1">
      <c r="A45" t="s">
        <v>3732</v>
      </c>
      <c r="B45">
        <v>212300</v>
      </c>
      <c r="C45">
        <v>1</v>
      </c>
      <c r="D45" t="str">
        <f t="shared" si="0"/>
        <v>1212300.692</v>
      </c>
      <c r="E45" t="s">
        <v>3733</v>
      </c>
      <c r="F45" s="242"/>
      <c r="G45"/>
      <c r="H45" s="242">
        <v>0</v>
      </c>
      <c r="I45" s="242">
        <v>0</v>
      </c>
      <c r="J45"/>
    </row>
    <row r="46" spans="1:10" ht="15.75" customHeight="1">
      <c r="A46" t="s">
        <v>3734</v>
      </c>
      <c r="B46">
        <v>212300</v>
      </c>
      <c r="C46">
        <v>1</v>
      </c>
      <c r="D46" t="str">
        <f t="shared" si="0"/>
        <v>1212300.693</v>
      </c>
      <c r="E46" t="s">
        <v>3735</v>
      </c>
      <c r="F46" s="242"/>
      <c r="G46"/>
      <c r="H46" s="242">
        <v>0</v>
      </c>
      <c r="I46" s="242">
        <v>0</v>
      </c>
      <c r="J46"/>
    </row>
    <row r="47" spans="1:10" ht="15.75" customHeight="1">
      <c r="A47" t="s">
        <v>1847</v>
      </c>
      <c r="B47">
        <v>212310</v>
      </c>
      <c r="C47">
        <v>1</v>
      </c>
      <c r="D47" t="str">
        <f t="shared" si="0"/>
        <v>1212310.994</v>
      </c>
      <c r="E47" t="s">
        <v>3736</v>
      </c>
      <c r="F47" s="242"/>
      <c r="G47"/>
      <c r="H47" s="242">
        <v>-900000</v>
      </c>
      <c r="I47" s="242">
        <v>0</v>
      </c>
      <c r="J47"/>
    </row>
    <row r="48" spans="1:10" ht="15.75" customHeight="1">
      <c r="A48" t="s">
        <v>2634</v>
      </c>
      <c r="B48">
        <v>213000</v>
      </c>
      <c r="C48">
        <v>1</v>
      </c>
      <c r="D48" t="str">
        <f t="shared" si="0"/>
        <v>1213000.490</v>
      </c>
      <c r="E48" t="s">
        <v>2912</v>
      </c>
      <c r="F48" s="242"/>
      <c r="G48"/>
      <c r="H48" s="242">
        <v>0</v>
      </c>
      <c r="I48" s="242">
        <v>0</v>
      </c>
      <c r="J48"/>
    </row>
    <row r="49" spans="1:10" ht="15.75" customHeight="1">
      <c r="A49" t="s">
        <v>2727</v>
      </c>
      <c r="B49">
        <v>213300</v>
      </c>
      <c r="C49">
        <v>1</v>
      </c>
      <c r="D49" t="str">
        <f t="shared" si="0"/>
        <v>1213300.290</v>
      </c>
      <c r="E49" t="s">
        <v>2913</v>
      </c>
      <c r="F49" s="242"/>
      <c r="G49"/>
      <c r="H49" s="242">
        <v>-400000</v>
      </c>
      <c r="I49" s="242">
        <v>-383865</v>
      </c>
      <c r="J49"/>
    </row>
    <row r="50" spans="1:10" ht="15.75" customHeight="1">
      <c r="A50" t="s">
        <v>2634</v>
      </c>
      <c r="B50">
        <v>213310</v>
      </c>
      <c r="C50">
        <v>1</v>
      </c>
      <c r="D50" t="str">
        <f t="shared" si="0"/>
        <v>1213310.490</v>
      </c>
      <c r="E50" t="s">
        <v>2861</v>
      </c>
      <c r="F50" s="242"/>
      <c r="G50"/>
      <c r="H50" s="242">
        <v>-4500</v>
      </c>
      <c r="I50" s="242">
        <v>-4600</v>
      </c>
      <c r="J50"/>
    </row>
    <row r="51" spans="1:10" ht="15.75" customHeight="1">
      <c r="A51" t="s">
        <v>2634</v>
      </c>
      <c r="B51">
        <v>213311</v>
      </c>
      <c r="C51">
        <v>1</v>
      </c>
      <c r="D51" t="str">
        <f t="shared" si="0"/>
        <v>1213311.490</v>
      </c>
      <c r="E51" t="s">
        <v>2916</v>
      </c>
      <c r="F51" s="242"/>
      <c r="G51"/>
      <c r="H51" s="242">
        <v>-600000</v>
      </c>
      <c r="I51" s="242">
        <v>-770428</v>
      </c>
      <c r="J51"/>
    </row>
    <row r="52" spans="1:10" ht="15.75" customHeight="1">
      <c r="A52" t="s">
        <v>886</v>
      </c>
      <c r="B52">
        <v>214200</v>
      </c>
      <c r="C52">
        <v>1</v>
      </c>
      <c r="D52" t="str">
        <f t="shared" si="0"/>
        <v>1214200.291</v>
      </c>
      <c r="E52" t="s">
        <v>3779</v>
      </c>
      <c r="F52" s="242"/>
      <c r="G52"/>
      <c r="H52" s="242">
        <v>-200000</v>
      </c>
      <c r="I52" s="242">
        <v>-124959</v>
      </c>
      <c r="J52"/>
    </row>
    <row r="53" spans="1:10" ht="15.75" customHeight="1">
      <c r="A53" t="s">
        <v>2634</v>
      </c>
      <c r="B53">
        <v>214200</v>
      </c>
      <c r="C53">
        <v>1</v>
      </c>
      <c r="D53" t="str">
        <f t="shared" si="0"/>
        <v>1214200.490</v>
      </c>
      <c r="E53" t="s">
        <v>3780</v>
      </c>
      <c r="F53" s="242"/>
      <c r="G53"/>
      <c r="H53" s="242">
        <v>0</v>
      </c>
      <c r="I53" s="242">
        <v>0</v>
      </c>
      <c r="J53"/>
    </row>
    <row r="54" spans="1:10" ht="15.75" customHeight="1">
      <c r="A54" t="s">
        <v>3673</v>
      </c>
      <c r="B54">
        <v>214200</v>
      </c>
      <c r="C54">
        <v>1</v>
      </c>
      <c r="D54" t="str">
        <f t="shared" si="0"/>
        <v>1214200.495</v>
      </c>
      <c r="E54" t="s">
        <v>3781</v>
      </c>
      <c r="F54" s="242"/>
      <c r="G54"/>
      <c r="H54" s="242">
        <v>-270000</v>
      </c>
      <c r="I54" s="242">
        <v>-119466</v>
      </c>
      <c r="J54"/>
    </row>
    <row r="55" spans="1:10" ht="15.75" customHeight="1">
      <c r="A55" t="s">
        <v>3782</v>
      </c>
      <c r="B55">
        <v>214200</v>
      </c>
      <c r="C55">
        <v>1</v>
      </c>
      <c r="D55" t="str">
        <f t="shared" si="0"/>
        <v>1214200.496</v>
      </c>
      <c r="E55" t="s">
        <v>3783</v>
      </c>
      <c r="F55" s="242"/>
      <c r="G55"/>
      <c r="H55" s="242">
        <v>-250000</v>
      </c>
      <c r="I55" s="242">
        <v>-138043</v>
      </c>
      <c r="J55"/>
    </row>
    <row r="56" spans="1:10" ht="15.75" customHeight="1">
      <c r="A56" t="s">
        <v>3784</v>
      </c>
      <c r="B56">
        <v>214200</v>
      </c>
      <c r="C56">
        <v>1</v>
      </c>
      <c r="D56" t="str">
        <f t="shared" si="0"/>
        <v>1214200.497</v>
      </c>
      <c r="E56" t="s">
        <v>3785</v>
      </c>
      <c r="F56" s="242"/>
      <c r="G56"/>
      <c r="H56" s="242">
        <v>-280000</v>
      </c>
      <c r="I56" s="242">
        <v>-197451</v>
      </c>
      <c r="J56"/>
    </row>
    <row r="57" spans="1:10" ht="15.75" customHeight="1">
      <c r="A57" t="s">
        <v>2931</v>
      </c>
      <c r="B57">
        <v>214300</v>
      </c>
      <c r="C57">
        <v>1</v>
      </c>
      <c r="D57" t="str">
        <f t="shared" si="0"/>
        <v>1214300.220</v>
      </c>
      <c r="E57" t="s">
        <v>3758</v>
      </c>
      <c r="F57" s="242"/>
      <c r="G57"/>
      <c r="H57" s="242">
        <v>-225750</v>
      </c>
      <c r="I57" s="242">
        <v>-210031</v>
      </c>
      <c r="J57"/>
    </row>
    <row r="58" spans="1:10" ht="15.75" customHeight="1">
      <c r="A58" t="s">
        <v>543</v>
      </c>
      <c r="B58">
        <v>214300</v>
      </c>
      <c r="C58">
        <v>1</v>
      </c>
      <c r="D58" t="str">
        <f t="shared" si="0"/>
        <v>1214300.221</v>
      </c>
      <c r="E58" t="s">
        <v>3759</v>
      </c>
      <c r="F58" s="242"/>
      <c r="G58"/>
      <c r="H58" s="242">
        <v>0</v>
      </c>
      <c r="I58" s="242">
        <v>-92769</v>
      </c>
      <c r="J58"/>
    </row>
    <row r="59" spans="1:10" ht="15.75" customHeight="1">
      <c r="A59" t="s">
        <v>548</v>
      </c>
      <c r="B59">
        <v>214300</v>
      </c>
      <c r="C59">
        <v>1</v>
      </c>
      <c r="D59" t="str">
        <f t="shared" si="0"/>
        <v>1214300.222</v>
      </c>
      <c r="E59" t="s">
        <v>3760</v>
      </c>
      <c r="F59" s="242"/>
      <c r="G59"/>
      <c r="H59" s="242">
        <v>-694050</v>
      </c>
      <c r="I59" s="242">
        <v>0</v>
      </c>
      <c r="J59"/>
    </row>
    <row r="60" spans="1:10" ht="15.75" customHeight="1">
      <c r="A60" t="s">
        <v>559</v>
      </c>
      <c r="B60">
        <v>214300</v>
      </c>
      <c r="C60">
        <v>1</v>
      </c>
      <c r="D60" t="str">
        <f t="shared" si="0"/>
        <v>1214300.223</v>
      </c>
      <c r="E60" t="s">
        <v>3761</v>
      </c>
      <c r="F60" s="242"/>
      <c r="G60"/>
      <c r="H60" s="242">
        <v>-145000</v>
      </c>
      <c r="I60" s="242">
        <v>0</v>
      </c>
      <c r="J60"/>
    </row>
    <row r="61" spans="1:10" ht="15.75" customHeight="1">
      <c r="A61" t="s">
        <v>2727</v>
      </c>
      <c r="B61">
        <v>214300</v>
      </c>
      <c r="C61">
        <v>1</v>
      </c>
      <c r="D61" t="str">
        <f t="shared" si="0"/>
        <v>1214300.290</v>
      </c>
      <c r="E61" t="s">
        <v>3762</v>
      </c>
      <c r="F61" s="242"/>
      <c r="G61"/>
      <c r="H61" s="242">
        <v>0</v>
      </c>
      <c r="I61" s="242">
        <v>-571769</v>
      </c>
      <c r="J61"/>
    </row>
    <row r="62" spans="1:10" ht="15.75" customHeight="1">
      <c r="A62" t="s">
        <v>2634</v>
      </c>
      <c r="B62">
        <v>214300</v>
      </c>
      <c r="C62">
        <v>1</v>
      </c>
      <c r="D62" t="str">
        <f t="shared" si="0"/>
        <v>1214300.490</v>
      </c>
      <c r="E62" t="s">
        <v>3763</v>
      </c>
      <c r="F62" s="242"/>
      <c r="G62"/>
      <c r="H62" s="242">
        <v>-80000</v>
      </c>
      <c r="I62" s="242">
        <v>-43000</v>
      </c>
      <c r="J62"/>
    </row>
    <row r="63" spans="1:10" ht="18.75" customHeight="1">
      <c r="A63" t="s">
        <v>3764</v>
      </c>
      <c r="B63">
        <v>214300</v>
      </c>
      <c r="C63">
        <v>1</v>
      </c>
      <c r="D63" t="str">
        <f t="shared" si="0"/>
        <v>1214300.960</v>
      </c>
      <c r="E63" t="s">
        <v>3765</v>
      </c>
      <c r="F63" s="242"/>
      <c r="G63"/>
      <c r="H63" s="242">
        <v>-200000</v>
      </c>
      <c r="I63" s="242">
        <v>0</v>
      </c>
      <c r="J63"/>
    </row>
    <row r="64" spans="1:10" ht="18.75" customHeight="1">
      <c r="A64" t="s">
        <v>1799</v>
      </c>
      <c r="B64">
        <v>215300</v>
      </c>
      <c r="C64">
        <v>1</v>
      </c>
      <c r="D64" t="str">
        <f t="shared" si="0"/>
        <v>1215300.991</v>
      </c>
      <c r="E64" t="s">
        <v>3751</v>
      </c>
      <c r="F64" s="242"/>
      <c r="G64"/>
      <c r="H64" s="242">
        <v>0</v>
      </c>
      <c r="I64" s="242">
        <v>0</v>
      </c>
      <c r="J64"/>
    </row>
    <row r="65" spans="1:10" ht="15.75" customHeight="1">
      <c r="A65" t="s">
        <v>2569</v>
      </c>
      <c r="B65">
        <v>222100</v>
      </c>
      <c r="C65">
        <v>1</v>
      </c>
      <c r="D65" t="str">
        <f t="shared" si="0"/>
        <v>1222100.910</v>
      </c>
      <c r="E65" t="s">
        <v>2711</v>
      </c>
      <c r="F65" s="242"/>
      <c r="G65"/>
      <c r="H65" s="242">
        <v>-42646</v>
      </c>
      <c r="I65" s="242">
        <v>-42646</v>
      </c>
      <c r="J65"/>
    </row>
    <row r="66" spans="1:10" ht="15.75" customHeight="1">
      <c r="A66" t="s">
        <v>2634</v>
      </c>
      <c r="B66">
        <v>222200</v>
      </c>
      <c r="C66">
        <v>1</v>
      </c>
      <c r="D66" t="str">
        <f t="shared" si="0"/>
        <v>1222200.490</v>
      </c>
      <c r="E66" t="s">
        <v>2693</v>
      </c>
      <c r="F66" s="242"/>
      <c r="G66"/>
      <c r="H66" s="242">
        <v>-580000</v>
      </c>
      <c r="I66" s="242">
        <v>-594496</v>
      </c>
      <c r="J66"/>
    </row>
    <row r="67" spans="1:10" ht="15.75" customHeight="1">
      <c r="A67" t="s">
        <v>2694</v>
      </c>
      <c r="B67">
        <v>222200</v>
      </c>
      <c r="C67">
        <v>1</v>
      </c>
      <c r="D67" t="str">
        <f t="shared" ref="D67:D130" si="1">C67&amp;B67&amp;"."&amp;A67</f>
        <v>1222200.690</v>
      </c>
      <c r="E67" t="s">
        <v>2695</v>
      </c>
      <c r="F67" s="242"/>
      <c r="G67"/>
      <c r="H67" s="242">
        <v>-180000</v>
      </c>
      <c r="I67" s="242">
        <v>-134929</v>
      </c>
      <c r="J67"/>
    </row>
    <row r="68" spans="1:10" ht="15.75" customHeight="1">
      <c r="A68" t="s">
        <v>1626</v>
      </c>
      <c r="B68">
        <v>226000</v>
      </c>
      <c r="C68">
        <v>1</v>
      </c>
      <c r="D68" t="str">
        <f t="shared" si="1"/>
        <v>1226000.912</v>
      </c>
      <c r="E68" t="s">
        <v>2715</v>
      </c>
      <c r="F68" s="242"/>
      <c r="G68"/>
      <c r="H68" s="242">
        <v>0</v>
      </c>
      <c r="I68" s="242">
        <v>-1000000</v>
      </c>
      <c r="J68"/>
    </row>
    <row r="69" spans="1:10" ht="15.75" customHeight="1">
      <c r="A69" t="s">
        <v>1629</v>
      </c>
      <c r="B69">
        <v>226000</v>
      </c>
      <c r="C69">
        <v>1</v>
      </c>
      <c r="D69" t="str">
        <f t="shared" si="1"/>
        <v>1226000.913</v>
      </c>
      <c r="E69" t="s">
        <v>2716</v>
      </c>
      <c r="F69" s="242"/>
      <c r="G69"/>
      <c r="H69" s="242">
        <v>0</v>
      </c>
      <c r="I69" s="242">
        <v>0</v>
      </c>
      <c r="J69"/>
    </row>
    <row r="70" spans="1:10" ht="15.75" customHeight="1">
      <c r="A70" t="s">
        <v>2717</v>
      </c>
      <c r="B70">
        <v>226000</v>
      </c>
      <c r="C70">
        <v>1</v>
      </c>
      <c r="D70" t="str">
        <f t="shared" si="1"/>
        <v>1226000.990</v>
      </c>
      <c r="E70" t="s">
        <v>2718</v>
      </c>
      <c r="F70" s="242"/>
      <c r="G70"/>
      <c r="H70" s="242">
        <v>0</v>
      </c>
      <c r="I70" s="242">
        <v>0</v>
      </c>
      <c r="J70"/>
    </row>
    <row r="71" spans="1:10" ht="15.75" customHeight="1">
      <c r="A71" t="s">
        <v>2415</v>
      </c>
      <c r="B71">
        <v>231000</v>
      </c>
      <c r="C71">
        <v>1</v>
      </c>
      <c r="D71" t="str">
        <f t="shared" si="1"/>
        <v>1231000.590</v>
      </c>
      <c r="E71" t="s">
        <v>2917</v>
      </c>
      <c r="F71" s="242"/>
      <c r="G71"/>
      <c r="H71" s="242">
        <v>-10000000</v>
      </c>
      <c r="I71" s="242">
        <v>-7500000</v>
      </c>
      <c r="J71"/>
    </row>
    <row r="72" spans="1:10" ht="15.75" customHeight="1">
      <c r="A72" t="s">
        <v>2694</v>
      </c>
      <c r="B72">
        <v>231300</v>
      </c>
      <c r="C72">
        <v>1</v>
      </c>
      <c r="D72" t="str">
        <f t="shared" si="1"/>
        <v>1231300.690</v>
      </c>
      <c r="E72" t="s">
        <v>2930</v>
      </c>
      <c r="F72" s="242"/>
      <c r="G72"/>
      <c r="H72" s="242">
        <v>0</v>
      </c>
      <c r="I72" s="242">
        <v>0</v>
      </c>
      <c r="J72"/>
    </row>
    <row r="73" spans="1:10" ht="15.75" customHeight="1">
      <c r="A73" t="s">
        <v>2931</v>
      </c>
      <c r="B73">
        <v>232000</v>
      </c>
      <c r="C73">
        <v>1</v>
      </c>
      <c r="D73" t="str">
        <f t="shared" si="1"/>
        <v>1232000.220</v>
      </c>
      <c r="E73" t="s">
        <v>2932</v>
      </c>
      <c r="F73" s="242"/>
      <c r="G73"/>
      <c r="H73" s="242">
        <v>-100</v>
      </c>
      <c r="I73" s="242">
        <v>0</v>
      </c>
      <c r="J73"/>
    </row>
    <row r="74" spans="1:10" ht="15.75" customHeight="1">
      <c r="A74" t="s">
        <v>2727</v>
      </c>
      <c r="B74">
        <v>233100</v>
      </c>
      <c r="C74">
        <v>1</v>
      </c>
      <c r="D74" t="str">
        <f t="shared" si="1"/>
        <v>1233100.290</v>
      </c>
      <c r="E74" t="s">
        <v>2941</v>
      </c>
      <c r="F74" s="242"/>
      <c r="G74"/>
      <c r="H74" s="242">
        <v>-6700000</v>
      </c>
      <c r="I74" s="242">
        <v>-9281195</v>
      </c>
      <c r="J74"/>
    </row>
    <row r="75" spans="1:10" ht="15.75" customHeight="1">
      <c r="A75" t="s">
        <v>2415</v>
      </c>
      <c r="B75">
        <v>233100</v>
      </c>
      <c r="C75">
        <v>1</v>
      </c>
      <c r="D75" t="str">
        <f t="shared" si="1"/>
        <v>1233100.590</v>
      </c>
      <c r="E75" t="s">
        <v>2942</v>
      </c>
      <c r="F75" s="242"/>
      <c r="G75"/>
      <c r="H75" s="242">
        <v>-500000</v>
      </c>
      <c r="I75" s="242">
        <v>-234278</v>
      </c>
      <c r="J75"/>
    </row>
    <row r="76" spans="1:10" ht="15.75" customHeight="1">
      <c r="A76" t="s">
        <v>2863</v>
      </c>
      <c r="B76">
        <v>233100</v>
      </c>
      <c r="C76">
        <v>1</v>
      </c>
      <c r="D76" t="str">
        <f t="shared" si="1"/>
        <v>1233100.610</v>
      </c>
      <c r="E76" t="s">
        <v>2943</v>
      </c>
      <c r="F76" s="242"/>
      <c r="G76"/>
      <c r="H76" s="242">
        <v>-4000</v>
      </c>
      <c r="I76" s="242">
        <v>-1765</v>
      </c>
      <c r="J76"/>
    </row>
    <row r="77" spans="1:10" ht="15.75" customHeight="1">
      <c r="A77" t="s">
        <v>2634</v>
      </c>
      <c r="B77">
        <v>233200</v>
      </c>
      <c r="C77">
        <v>1</v>
      </c>
      <c r="D77" t="str">
        <f t="shared" si="1"/>
        <v>1233200.490</v>
      </c>
      <c r="E77" t="s">
        <v>2937</v>
      </c>
      <c r="F77" s="242"/>
      <c r="G77"/>
      <c r="H77" s="242">
        <v>-800000</v>
      </c>
      <c r="I77" s="242">
        <v>-575080</v>
      </c>
      <c r="J77"/>
    </row>
    <row r="78" spans="1:10" ht="15.75" customHeight="1">
      <c r="A78" t="s">
        <v>2415</v>
      </c>
      <c r="B78">
        <v>233400</v>
      </c>
      <c r="C78">
        <v>1</v>
      </c>
      <c r="D78" t="str">
        <f t="shared" si="1"/>
        <v>1233400.590</v>
      </c>
      <c r="E78" t="s">
        <v>2942</v>
      </c>
      <c r="F78" s="242"/>
      <c r="G78"/>
      <c r="H78" s="242">
        <v>-1000000</v>
      </c>
      <c r="I78" s="242">
        <v>-78975</v>
      </c>
      <c r="J78"/>
    </row>
    <row r="79" spans="1:10" ht="15.75" customHeight="1">
      <c r="A79" t="s">
        <v>2569</v>
      </c>
      <c r="B79">
        <v>233400</v>
      </c>
      <c r="C79">
        <v>1</v>
      </c>
      <c r="D79" t="str">
        <f t="shared" si="1"/>
        <v>1233400.910</v>
      </c>
      <c r="E79" t="s">
        <v>2947</v>
      </c>
      <c r="F79" s="242"/>
      <c r="G79"/>
      <c r="H79" s="242">
        <v>-100</v>
      </c>
      <c r="I79" s="242">
        <v>-946000</v>
      </c>
      <c r="J79"/>
    </row>
    <row r="80" spans="1:10" ht="15.75" customHeight="1">
      <c r="A80" t="s">
        <v>3673</v>
      </c>
      <c r="B80">
        <v>242000</v>
      </c>
      <c r="C80">
        <v>1</v>
      </c>
      <c r="D80" t="str">
        <f t="shared" si="1"/>
        <v>1242000.495</v>
      </c>
      <c r="E80" t="s">
        <v>4649</v>
      </c>
      <c r="F80" s="242"/>
      <c r="G80"/>
      <c r="H80" s="242">
        <v>0</v>
      </c>
      <c r="I80" s="242">
        <v>0</v>
      </c>
      <c r="J80"/>
    </row>
    <row r="81" spans="1:10" ht="15.75" customHeight="1">
      <c r="A81" t="s">
        <v>2694</v>
      </c>
      <c r="B81">
        <v>244000</v>
      </c>
      <c r="C81">
        <v>1</v>
      </c>
      <c r="D81" t="str">
        <f t="shared" si="1"/>
        <v>1244000.690</v>
      </c>
      <c r="E81" t="s">
        <v>2949</v>
      </c>
      <c r="F81" s="242"/>
      <c r="G81"/>
      <c r="H81" s="242">
        <v>-100</v>
      </c>
      <c r="I81" s="242">
        <v>-2480</v>
      </c>
      <c r="J81"/>
    </row>
    <row r="82" spans="1:10" ht="15.75" customHeight="1">
      <c r="A82" t="s">
        <v>2636</v>
      </c>
      <c r="B82">
        <v>244520</v>
      </c>
      <c r="C82">
        <v>1</v>
      </c>
      <c r="D82" t="str">
        <f t="shared" si="1"/>
        <v>1244520.790</v>
      </c>
      <c r="E82" t="s">
        <v>3696</v>
      </c>
      <c r="F82" s="242"/>
      <c r="G82"/>
      <c r="H82" s="242">
        <v>-110000</v>
      </c>
      <c r="I82" s="242">
        <v>-105025</v>
      </c>
      <c r="J82"/>
    </row>
    <row r="83" spans="1:10" ht="15.75" customHeight="1">
      <c r="A83" t="s">
        <v>1799</v>
      </c>
      <c r="B83">
        <v>244520</v>
      </c>
      <c r="C83">
        <v>1</v>
      </c>
      <c r="D83" t="str">
        <f t="shared" si="1"/>
        <v>1244520.991</v>
      </c>
      <c r="E83" t="s">
        <v>3697</v>
      </c>
      <c r="F83" s="242"/>
      <c r="G83"/>
      <c r="H83" s="242">
        <v>0</v>
      </c>
      <c r="I83" s="242">
        <v>-19864</v>
      </c>
      <c r="J83"/>
    </row>
    <row r="84" spans="1:10" ht="15.75" customHeight="1">
      <c r="A84" t="s">
        <v>1838</v>
      </c>
      <c r="B84">
        <v>244520</v>
      </c>
      <c r="C84">
        <v>1</v>
      </c>
      <c r="D84" t="str">
        <f t="shared" si="1"/>
        <v>1244520.992</v>
      </c>
      <c r="E84" t="s">
        <v>3698</v>
      </c>
      <c r="F84" s="242"/>
      <c r="G84"/>
      <c r="H84" s="242">
        <v>-450000</v>
      </c>
      <c r="I84" s="242">
        <v>-872854</v>
      </c>
      <c r="J84"/>
    </row>
    <row r="85" spans="1:10" ht="15.75" customHeight="1">
      <c r="A85" t="s">
        <v>2594</v>
      </c>
      <c r="B85">
        <v>246000</v>
      </c>
      <c r="C85">
        <v>1</v>
      </c>
      <c r="D85" t="str">
        <f t="shared" si="1"/>
        <v>1246000.540</v>
      </c>
      <c r="E85" t="s">
        <v>2680</v>
      </c>
      <c r="F85" s="242"/>
      <c r="G85"/>
      <c r="H85" s="242">
        <v>0</v>
      </c>
      <c r="I85" s="242">
        <v>0</v>
      </c>
      <c r="J85"/>
    </row>
    <row r="86" spans="1:10" ht="15.75" customHeight="1">
      <c r="A86" t="s">
        <v>2636</v>
      </c>
      <c r="B86">
        <v>246100</v>
      </c>
      <c r="C86">
        <v>1</v>
      </c>
      <c r="D86" t="str">
        <f t="shared" si="1"/>
        <v>1246100.790</v>
      </c>
      <c r="E86" t="s">
        <v>3786</v>
      </c>
      <c r="F86" s="242"/>
      <c r="G86"/>
      <c r="H86" s="242">
        <v>0</v>
      </c>
      <c r="I86" s="242">
        <v>-125000</v>
      </c>
      <c r="J86"/>
    </row>
    <row r="87" spans="1:10" ht="15.75" customHeight="1">
      <c r="A87" t="s">
        <v>2636</v>
      </c>
      <c r="B87">
        <v>249200</v>
      </c>
      <c r="C87">
        <v>1</v>
      </c>
      <c r="D87" t="str">
        <f t="shared" si="1"/>
        <v>1249200.790</v>
      </c>
      <c r="E87" t="s">
        <v>4660</v>
      </c>
      <c r="F87" s="242"/>
      <c r="G87"/>
      <c r="H87" s="242">
        <v>0</v>
      </c>
      <c r="I87" s="242">
        <v>-38660</v>
      </c>
      <c r="J87"/>
    </row>
    <row r="88" spans="1:10" ht="15.75" customHeight="1">
      <c r="A88" t="s">
        <v>2634</v>
      </c>
      <c r="B88">
        <v>251000</v>
      </c>
      <c r="C88">
        <v>1</v>
      </c>
      <c r="D88" t="str">
        <f t="shared" si="1"/>
        <v>1251000.490</v>
      </c>
      <c r="E88" t="s">
        <v>2852</v>
      </c>
      <c r="F88" s="242"/>
      <c r="G88"/>
      <c r="H88" s="242">
        <v>-100</v>
      </c>
      <c r="I88" s="242">
        <v>0</v>
      </c>
      <c r="J88"/>
    </row>
    <row r="89" spans="1:10" ht="15.75" customHeight="1">
      <c r="A89" t="s">
        <v>2634</v>
      </c>
      <c r="B89">
        <v>252000</v>
      </c>
      <c r="C89">
        <v>1</v>
      </c>
      <c r="D89" t="str">
        <f t="shared" si="1"/>
        <v>1252000.490</v>
      </c>
      <c r="E89" t="s">
        <v>2836</v>
      </c>
      <c r="F89" s="242"/>
      <c r="G89"/>
      <c r="H89" s="242">
        <v>-100</v>
      </c>
      <c r="I89" s="242">
        <v>-7155</v>
      </c>
      <c r="J89"/>
    </row>
    <row r="90" spans="1:10" ht="15.75" customHeight="1">
      <c r="A90" t="s">
        <v>2636</v>
      </c>
      <c r="B90">
        <v>252000</v>
      </c>
      <c r="C90">
        <v>1</v>
      </c>
      <c r="D90" t="str">
        <f t="shared" si="1"/>
        <v>1252000.790</v>
      </c>
      <c r="E90" t="s">
        <v>2837</v>
      </c>
      <c r="F90" s="242"/>
      <c r="G90"/>
      <c r="H90" s="242">
        <v>-100</v>
      </c>
      <c r="I90" s="242">
        <v>-182625</v>
      </c>
      <c r="J90"/>
    </row>
    <row r="91" spans="1:10" ht="15.75" customHeight="1">
      <c r="A91" t="s">
        <v>2634</v>
      </c>
      <c r="B91">
        <v>261000</v>
      </c>
      <c r="C91">
        <v>1</v>
      </c>
      <c r="D91" t="str">
        <f t="shared" si="1"/>
        <v>1261000.490</v>
      </c>
      <c r="E91" t="s">
        <v>2754</v>
      </c>
      <c r="F91" s="242"/>
      <c r="G91"/>
      <c r="H91" s="242">
        <v>-30000</v>
      </c>
      <c r="I91" s="242">
        <v>-30000</v>
      </c>
      <c r="J91"/>
    </row>
    <row r="92" spans="1:10" ht="15.75" customHeight="1">
      <c r="A92" t="s">
        <v>2755</v>
      </c>
      <c r="B92">
        <v>261000</v>
      </c>
      <c r="C92">
        <v>1</v>
      </c>
      <c r="D92" t="str">
        <f t="shared" si="1"/>
        <v>1261000.491</v>
      </c>
      <c r="E92" t="s">
        <v>2756</v>
      </c>
      <c r="F92" s="242"/>
      <c r="G92"/>
      <c r="H92" s="242">
        <v>-276000</v>
      </c>
      <c r="I92" s="242">
        <v>-265732</v>
      </c>
      <c r="J92"/>
    </row>
    <row r="93" spans="1:10" ht="15.75" customHeight="1">
      <c r="A93" t="s">
        <v>3544</v>
      </c>
      <c r="B93">
        <v>262100</v>
      </c>
      <c r="C93">
        <v>1</v>
      </c>
      <c r="D93" t="str">
        <f t="shared" si="1"/>
        <v>1262100.970</v>
      </c>
      <c r="E93" t="s">
        <v>3545</v>
      </c>
      <c r="F93" s="242"/>
      <c r="G93"/>
      <c r="H93" s="242">
        <v>0</v>
      </c>
      <c r="I93" s="242">
        <v>0</v>
      </c>
      <c r="J93"/>
    </row>
    <row r="94" spans="1:10" ht="15.75" customHeight="1">
      <c r="A94" t="s">
        <v>2594</v>
      </c>
      <c r="B94">
        <v>267000</v>
      </c>
      <c r="C94">
        <v>1</v>
      </c>
      <c r="D94" t="str">
        <f t="shared" si="1"/>
        <v>1267000.540</v>
      </c>
      <c r="E94" t="s">
        <v>2680</v>
      </c>
      <c r="F94" s="242"/>
      <c r="G94"/>
      <c r="H94" s="242">
        <v>0</v>
      </c>
      <c r="I94" s="242">
        <v>-94356</v>
      </c>
      <c r="J94"/>
    </row>
    <row r="95" spans="1:10" ht="15.75" customHeight="1">
      <c r="A95" t="s">
        <v>2634</v>
      </c>
      <c r="B95">
        <v>269000</v>
      </c>
      <c r="C95">
        <v>1</v>
      </c>
      <c r="D95" t="str">
        <f t="shared" si="1"/>
        <v>1269000.490</v>
      </c>
      <c r="E95" t="s">
        <v>4588</v>
      </c>
      <c r="F95" s="242"/>
      <c r="G95"/>
      <c r="H95" s="242">
        <v>-10000</v>
      </c>
      <c r="I95" s="242">
        <v>-31110</v>
      </c>
      <c r="J95"/>
    </row>
    <row r="96" spans="1:10" ht="15.75" customHeight="1">
      <c r="A96" t="s">
        <v>2755</v>
      </c>
      <c r="B96">
        <v>269000</v>
      </c>
      <c r="C96">
        <v>1</v>
      </c>
      <c r="D96" t="str">
        <f t="shared" si="1"/>
        <v>1269000.491</v>
      </c>
      <c r="E96" t="s">
        <v>4589</v>
      </c>
      <c r="F96" s="242"/>
      <c r="G96"/>
      <c r="H96" s="242">
        <v>-100</v>
      </c>
      <c r="I96" s="242">
        <v>0</v>
      </c>
      <c r="J96"/>
    </row>
    <row r="97" spans="1:10" ht="15.75" customHeight="1">
      <c r="A97" t="s">
        <v>2755</v>
      </c>
      <c r="B97">
        <v>269100</v>
      </c>
      <c r="C97">
        <v>1</v>
      </c>
      <c r="D97" t="str">
        <f t="shared" si="1"/>
        <v>1269100.491</v>
      </c>
      <c r="E97" t="s">
        <v>2769</v>
      </c>
      <c r="F97" s="242"/>
      <c r="G97"/>
      <c r="H97" s="242">
        <v>0</v>
      </c>
      <c r="I97" s="242">
        <v>0</v>
      </c>
      <c r="J97"/>
    </row>
    <row r="98" spans="1:10" ht="15.75" customHeight="1">
      <c r="A98" t="s">
        <v>2694</v>
      </c>
      <c r="B98">
        <v>269100</v>
      </c>
      <c r="C98">
        <v>1</v>
      </c>
      <c r="D98" t="str">
        <f t="shared" si="1"/>
        <v>1269100.690</v>
      </c>
      <c r="E98" t="s">
        <v>2770</v>
      </c>
      <c r="F98" s="242"/>
      <c r="G98"/>
      <c r="H98" s="242">
        <v>0</v>
      </c>
      <c r="I98" s="242">
        <v>-400000</v>
      </c>
      <c r="J98"/>
    </row>
    <row r="99" spans="1:10" ht="15.75" customHeight="1">
      <c r="A99" t="s">
        <v>2634</v>
      </c>
      <c r="B99">
        <v>271000</v>
      </c>
      <c r="C99">
        <v>1</v>
      </c>
      <c r="D99" t="str">
        <f t="shared" si="1"/>
        <v>1271000.490</v>
      </c>
      <c r="E99" t="s">
        <v>2861</v>
      </c>
      <c r="F99" s="242"/>
      <c r="G99"/>
      <c r="H99" s="242">
        <v>0</v>
      </c>
      <c r="I99" s="242">
        <v>-13661</v>
      </c>
      <c r="J99"/>
    </row>
    <row r="100" spans="1:10" ht="15.75" customHeight="1">
      <c r="A100" t="s">
        <v>2755</v>
      </c>
      <c r="B100">
        <v>271000</v>
      </c>
      <c r="C100">
        <v>1</v>
      </c>
      <c r="D100" t="str">
        <f t="shared" si="1"/>
        <v>1271000.491</v>
      </c>
      <c r="E100" t="s">
        <v>2862</v>
      </c>
      <c r="F100" s="242"/>
      <c r="G100"/>
      <c r="H100" s="242">
        <v>0</v>
      </c>
      <c r="I100" s="242">
        <v>0</v>
      </c>
      <c r="J100"/>
    </row>
    <row r="101" spans="1:10" ht="15.75" customHeight="1">
      <c r="A101" t="s">
        <v>2863</v>
      </c>
      <c r="B101">
        <v>271000</v>
      </c>
      <c r="C101">
        <v>1</v>
      </c>
      <c r="D101" t="str">
        <f t="shared" si="1"/>
        <v>1271000.610</v>
      </c>
      <c r="E101" t="s">
        <v>2864</v>
      </c>
      <c r="F101" s="242"/>
      <c r="G101"/>
      <c r="H101" s="242">
        <v>0</v>
      </c>
      <c r="I101" s="242">
        <v>-2938</v>
      </c>
      <c r="J101"/>
    </row>
    <row r="102" spans="1:10" ht="15.75" customHeight="1">
      <c r="A102" t="s">
        <v>2865</v>
      </c>
      <c r="B102">
        <v>271000</v>
      </c>
      <c r="C102">
        <v>1</v>
      </c>
      <c r="D102" t="str">
        <f t="shared" si="1"/>
        <v>1271000.695</v>
      </c>
      <c r="E102" t="s">
        <v>2866</v>
      </c>
      <c r="F102" s="242"/>
      <c r="G102"/>
      <c r="H102" s="242">
        <v>0</v>
      </c>
      <c r="I102" s="242">
        <v>-726</v>
      </c>
      <c r="J102"/>
    </row>
    <row r="103" spans="1:10" ht="15.75" customHeight="1">
      <c r="A103" t="s">
        <v>2717</v>
      </c>
      <c r="B103">
        <v>271000</v>
      </c>
      <c r="C103">
        <v>1</v>
      </c>
      <c r="D103" t="str">
        <f t="shared" si="1"/>
        <v>1271000.990</v>
      </c>
      <c r="E103" t="s">
        <v>2867</v>
      </c>
      <c r="F103" s="242"/>
      <c r="G103"/>
      <c r="H103" s="242">
        <v>0</v>
      </c>
      <c r="I103" s="242">
        <v>0</v>
      </c>
      <c r="J103"/>
    </row>
    <row r="104" spans="1:10" ht="15.75" customHeight="1">
      <c r="A104" t="s">
        <v>3544</v>
      </c>
      <c r="B104">
        <v>271100</v>
      </c>
      <c r="C104">
        <v>1</v>
      </c>
      <c r="D104" t="str">
        <f t="shared" si="1"/>
        <v>1271100.970</v>
      </c>
      <c r="E104" t="s">
        <v>4663</v>
      </c>
      <c r="F104" s="242"/>
      <c r="G104"/>
      <c r="H104" s="242">
        <v>-270000</v>
      </c>
      <c r="I104" s="242">
        <v>-270000</v>
      </c>
      <c r="J104"/>
    </row>
    <row r="105" spans="1:10" ht="15.75" customHeight="1">
      <c r="A105" t="s">
        <v>2569</v>
      </c>
      <c r="B105">
        <v>272100</v>
      </c>
      <c r="C105">
        <v>1</v>
      </c>
      <c r="D105" t="str">
        <f t="shared" si="1"/>
        <v>1272100.910</v>
      </c>
      <c r="E105" t="s">
        <v>4258</v>
      </c>
      <c r="F105" s="242"/>
      <c r="G105"/>
      <c r="H105" s="242">
        <v>-1200000</v>
      </c>
      <c r="I105" s="242">
        <v>0</v>
      </c>
      <c r="J105"/>
    </row>
    <row r="106" spans="1:10" ht="15.75" customHeight="1">
      <c r="A106" t="s">
        <v>2931</v>
      </c>
      <c r="B106">
        <v>280000</v>
      </c>
      <c r="C106">
        <v>1</v>
      </c>
      <c r="D106" t="str">
        <f t="shared" si="1"/>
        <v>1280000.220</v>
      </c>
      <c r="E106" t="s">
        <v>4581</v>
      </c>
      <c r="F106" s="242"/>
      <c r="G106"/>
      <c r="H106" s="242">
        <v>-2500000</v>
      </c>
      <c r="I106" s="242">
        <v>-3010242</v>
      </c>
      <c r="J106"/>
    </row>
    <row r="107" spans="1:10" ht="15.75" customHeight="1">
      <c r="A107" t="s">
        <v>2594</v>
      </c>
      <c r="B107">
        <v>280000</v>
      </c>
      <c r="C107">
        <v>1</v>
      </c>
      <c r="D107" t="str">
        <f t="shared" si="1"/>
        <v>1280000.540</v>
      </c>
      <c r="E107" t="s">
        <v>4582</v>
      </c>
      <c r="F107" s="242"/>
      <c r="G107"/>
      <c r="H107" s="242">
        <v>0</v>
      </c>
      <c r="I107" s="242">
        <v>0</v>
      </c>
      <c r="J107"/>
    </row>
    <row r="108" spans="1:10" ht="15.75" customHeight="1">
      <c r="A108" t="s">
        <v>2634</v>
      </c>
      <c r="B108">
        <v>281000</v>
      </c>
      <c r="C108">
        <v>1</v>
      </c>
      <c r="D108" t="str">
        <f t="shared" si="1"/>
        <v>1281000.490</v>
      </c>
      <c r="E108" t="s">
        <v>3763</v>
      </c>
      <c r="F108" s="242"/>
      <c r="G108"/>
      <c r="H108" s="242">
        <v>-3500000</v>
      </c>
      <c r="I108" s="242">
        <v>-2175524</v>
      </c>
      <c r="J108"/>
    </row>
    <row r="109" spans="1:10" ht="15.75" customHeight="1">
      <c r="A109" t="s">
        <v>3673</v>
      </c>
      <c r="B109">
        <v>281000</v>
      </c>
      <c r="C109">
        <v>1</v>
      </c>
      <c r="D109" t="str">
        <f t="shared" si="1"/>
        <v>1281000.495</v>
      </c>
      <c r="E109" t="s">
        <v>4595</v>
      </c>
      <c r="F109" s="242"/>
      <c r="G109"/>
      <c r="H109" s="242">
        <v>0</v>
      </c>
      <c r="I109" s="242">
        <v>0</v>
      </c>
      <c r="J109"/>
    </row>
    <row r="110" spans="1:10" ht="15.75" customHeight="1">
      <c r="A110" t="s">
        <v>4296</v>
      </c>
      <c r="B110">
        <v>281000</v>
      </c>
      <c r="C110">
        <v>1</v>
      </c>
      <c r="D110" t="str">
        <f t="shared" si="1"/>
        <v>1281000.661</v>
      </c>
      <c r="E110" t="s">
        <v>2861</v>
      </c>
      <c r="F110" s="242"/>
      <c r="G110"/>
      <c r="H110" s="242">
        <v>-40000</v>
      </c>
      <c r="I110" s="242">
        <v>-51791</v>
      </c>
      <c r="J110"/>
    </row>
    <row r="111" spans="1:10" ht="15.75" customHeight="1">
      <c r="A111" t="s">
        <v>2727</v>
      </c>
      <c r="B111">
        <v>281200</v>
      </c>
      <c r="C111">
        <v>1</v>
      </c>
      <c r="D111" t="str">
        <f t="shared" si="1"/>
        <v>1281200.290</v>
      </c>
      <c r="E111" t="s">
        <v>4626</v>
      </c>
      <c r="F111" s="242"/>
      <c r="G111"/>
      <c r="H111" s="242">
        <v>-300000</v>
      </c>
      <c r="I111" s="242">
        <v>-289592</v>
      </c>
      <c r="J111"/>
    </row>
    <row r="112" spans="1:10" ht="15.75" customHeight="1">
      <c r="A112" t="s">
        <v>886</v>
      </c>
      <c r="B112">
        <v>281200</v>
      </c>
      <c r="C112">
        <v>1</v>
      </c>
      <c r="D112" t="str">
        <f t="shared" si="1"/>
        <v>1281200.291</v>
      </c>
      <c r="E112" t="s">
        <v>4627</v>
      </c>
      <c r="F112" s="242"/>
      <c r="G112"/>
      <c r="H112" s="242">
        <v>-10500000</v>
      </c>
      <c r="I112" s="242">
        <v>-7438499</v>
      </c>
      <c r="J112"/>
    </row>
    <row r="113" spans="1:10" ht="15.75" customHeight="1">
      <c r="A113" t="s">
        <v>891</v>
      </c>
      <c r="B113">
        <v>281200</v>
      </c>
      <c r="C113">
        <v>1</v>
      </c>
      <c r="D113" t="str">
        <f t="shared" si="1"/>
        <v>1281200.292</v>
      </c>
      <c r="E113" t="s">
        <v>4628</v>
      </c>
      <c r="F113" s="242"/>
      <c r="G113"/>
      <c r="H113" s="242">
        <v>-80000</v>
      </c>
      <c r="I113" s="242">
        <v>-125866</v>
      </c>
      <c r="J113"/>
    </row>
    <row r="114" spans="1:10" ht="15.75" customHeight="1">
      <c r="A114" t="s">
        <v>2634</v>
      </c>
      <c r="B114">
        <v>281200</v>
      </c>
      <c r="C114">
        <v>1</v>
      </c>
      <c r="D114" t="str">
        <f t="shared" si="1"/>
        <v>1281200.490</v>
      </c>
      <c r="E114" t="s">
        <v>4629</v>
      </c>
      <c r="F114" s="242"/>
      <c r="G114"/>
      <c r="H114" s="242">
        <v>-15000</v>
      </c>
      <c r="I114" s="242">
        <v>0</v>
      </c>
      <c r="J114"/>
    </row>
    <row r="115" spans="1:10" ht="15.75" customHeight="1">
      <c r="A115" t="s">
        <v>4636</v>
      </c>
      <c r="B115">
        <v>281200</v>
      </c>
      <c r="C115">
        <v>1</v>
      </c>
      <c r="D115" t="str">
        <f t="shared" si="1"/>
        <v>1281200.672</v>
      </c>
      <c r="E115" t="s">
        <v>4637</v>
      </c>
      <c r="F115" s="242"/>
      <c r="G115"/>
      <c r="H115" s="242">
        <v>0</v>
      </c>
      <c r="I115" s="242">
        <v>0</v>
      </c>
      <c r="J115"/>
    </row>
    <row r="116" spans="1:10" ht="15.75" customHeight="1">
      <c r="A116" t="s">
        <v>2755</v>
      </c>
      <c r="B116">
        <v>281201</v>
      </c>
      <c r="C116">
        <v>1</v>
      </c>
      <c r="D116" t="str">
        <f t="shared" si="1"/>
        <v>1281201.491</v>
      </c>
      <c r="E116" t="s">
        <v>4638</v>
      </c>
      <c r="F116" s="242"/>
      <c r="G116"/>
      <c r="H116" s="242">
        <v>-50000</v>
      </c>
      <c r="I116" s="242">
        <v>0</v>
      </c>
      <c r="J116"/>
    </row>
    <row r="117" spans="1:10" ht="15.75" customHeight="1">
      <c r="A117" t="s">
        <v>4639</v>
      </c>
      <c r="B117">
        <v>281201</v>
      </c>
      <c r="C117">
        <v>1</v>
      </c>
      <c r="D117" t="str">
        <f t="shared" si="1"/>
        <v>1281201.671</v>
      </c>
      <c r="E117" t="s">
        <v>4640</v>
      </c>
      <c r="F117" s="242"/>
      <c r="G117"/>
      <c r="H117" s="242">
        <v>-500000</v>
      </c>
      <c r="I117" s="242">
        <v>0</v>
      </c>
      <c r="J117"/>
    </row>
    <row r="118" spans="1:10" ht="15.75" customHeight="1">
      <c r="A118" t="s">
        <v>2755</v>
      </c>
      <c r="B118">
        <v>281202</v>
      </c>
      <c r="C118">
        <v>1</v>
      </c>
      <c r="D118" t="str">
        <f t="shared" si="1"/>
        <v>1281202.491</v>
      </c>
      <c r="E118" t="s">
        <v>4641</v>
      </c>
      <c r="F118" s="242"/>
      <c r="G118"/>
      <c r="H118" s="242">
        <v>-35000</v>
      </c>
      <c r="I118" s="242">
        <v>0</v>
      </c>
      <c r="J118"/>
    </row>
    <row r="119" spans="1:10" ht="15.75" customHeight="1">
      <c r="A119" t="s">
        <v>4639</v>
      </c>
      <c r="B119">
        <v>281202</v>
      </c>
      <c r="C119">
        <v>1</v>
      </c>
      <c r="D119" t="str">
        <f t="shared" si="1"/>
        <v>1281202.671</v>
      </c>
      <c r="E119" t="s">
        <v>4642</v>
      </c>
      <c r="F119" s="242"/>
      <c r="G119"/>
      <c r="H119" s="242">
        <v>-675000</v>
      </c>
      <c r="I119" s="242">
        <v>-519898</v>
      </c>
      <c r="J119"/>
    </row>
    <row r="120" spans="1:10" ht="15.75" customHeight="1">
      <c r="A120" t="s">
        <v>4639</v>
      </c>
      <c r="B120">
        <v>281203</v>
      </c>
      <c r="C120">
        <v>1</v>
      </c>
      <c r="D120" t="str">
        <f t="shared" si="1"/>
        <v>1281203.671</v>
      </c>
      <c r="E120" t="s">
        <v>4643</v>
      </c>
      <c r="F120" s="242"/>
      <c r="G120"/>
      <c r="H120" s="242">
        <v>0</v>
      </c>
      <c r="I120" s="242">
        <v>0</v>
      </c>
      <c r="J120"/>
    </row>
    <row r="121" spans="1:10" ht="15.75" customHeight="1">
      <c r="A121" t="s">
        <v>2634</v>
      </c>
      <c r="B121">
        <v>282000</v>
      </c>
      <c r="C121">
        <v>1</v>
      </c>
      <c r="D121" t="str">
        <f t="shared" si="1"/>
        <v>1282000.490</v>
      </c>
      <c r="E121" t="s">
        <v>2791</v>
      </c>
      <c r="F121" s="242"/>
      <c r="G121"/>
      <c r="H121" s="242">
        <v>-20000</v>
      </c>
      <c r="I121" s="242">
        <v>-17038</v>
      </c>
      <c r="J121"/>
    </row>
    <row r="122" spans="1:10" ht="15.75" customHeight="1">
      <c r="A122" t="s">
        <v>2634</v>
      </c>
      <c r="B122">
        <v>311000</v>
      </c>
      <c r="C122">
        <v>1</v>
      </c>
      <c r="D122" t="str">
        <f t="shared" si="1"/>
        <v>1311000.490</v>
      </c>
      <c r="E122" t="s">
        <v>2861</v>
      </c>
      <c r="F122" s="242"/>
      <c r="G122"/>
      <c r="H122" s="242">
        <v>0</v>
      </c>
      <c r="I122" s="242">
        <v>0</v>
      </c>
      <c r="J122"/>
    </row>
    <row r="123" spans="1:10" ht="15.75" customHeight="1">
      <c r="A123" t="s">
        <v>2594</v>
      </c>
      <c r="B123">
        <v>311000</v>
      </c>
      <c r="C123">
        <v>1</v>
      </c>
      <c r="D123" t="str">
        <f t="shared" si="1"/>
        <v>1311000.540</v>
      </c>
      <c r="E123" t="s">
        <v>3011</v>
      </c>
      <c r="F123" s="242"/>
      <c r="G123"/>
      <c r="H123" s="242">
        <v>-100</v>
      </c>
      <c r="I123" s="242">
        <v>-105277</v>
      </c>
      <c r="J123"/>
    </row>
    <row r="124" spans="1:10" ht="15.75" customHeight="1">
      <c r="A124" t="s">
        <v>3012</v>
      </c>
      <c r="B124">
        <v>311000</v>
      </c>
      <c r="C124">
        <v>1</v>
      </c>
      <c r="D124" t="str">
        <f t="shared" si="1"/>
        <v>1311000.920</v>
      </c>
      <c r="E124" t="s">
        <v>3013</v>
      </c>
      <c r="F124" s="242"/>
      <c r="G124"/>
      <c r="H124" s="242">
        <v>0</v>
      </c>
      <c r="I124" s="242">
        <v>-173288</v>
      </c>
      <c r="J124"/>
    </row>
    <row r="125" spans="1:10" ht="15.75" customHeight="1">
      <c r="A125" t="s">
        <v>3014</v>
      </c>
      <c r="B125">
        <v>311000</v>
      </c>
      <c r="C125">
        <v>1</v>
      </c>
      <c r="D125" t="str">
        <f t="shared" si="1"/>
        <v>1311000.924</v>
      </c>
      <c r="E125" t="s">
        <v>3015</v>
      </c>
      <c r="F125" s="242"/>
      <c r="G125"/>
      <c r="H125" s="242">
        <v>0</v>
      </c>
      <c r="I125" s="242">
        <v>0</v>
      </c>
      <c r="J125"/>
    </row>
    <row r="126" spans="1:10" ht="15.75" customHeight="1">
      <c r="A126" t="s">
        <v>3016</v>
      </c>
      <c r="B126">
        <v>311000</v>
      </c>
      <c r="C126">
        <v>1</v>
      </c>
      <c r="D126" t="str">
        <f t="shared" si="1"/>
        <v>1311000.926</v>
      </c>
      <c r="E126" t="s">
        <v>3017</v>
      </c>
      <c r="F126" s="242"/>
      <c r="G126"/>
      <c r="H126" s="242">
        <v>0</v>
      </c>
      <c r="I126" s="242">
        <v>-100000</v>
      </c>
      <c r="J126"/>
    </row>
    <row r="127" spans="1:10" ht="15.75" customHeight="1">
      <c r="A127" t="s">
        <v>2717</v>
      </c>
      <c r="B127">
        <v>311000</v>
      </c>
      <c r="C127">
        <v>1</v>
      </c>
      <c r="D127" t="str">
        <f t="shared" si="1"/>
        <v>1311000.990</v>
      </c>
      <c r="E127" t="s">
        <v>3018</v>
      </c>
      <c r="F127" s="242"/>
      <c r="G127"/>
      <c r="H127" s="242">
        <v>-2224862</v>
      </c>
      <c r="I127" s="242">
        <v>0</v>
      </c>
      <c r="J127"/>
    </row>
    <row r="128" spans="1:10" ht="15.75" customHeight="1">
      <c r="A128" t="s">
        <v>1648</v>
      </c>
      <c r="B128">
        <v>311000</v>
      </c>
      <c r="C128">
        <v>1</v>
      </c>
      <c r="D128" t="str">
        <f t="shared" si="1"/>
        <v>1311000.922</v>
      </c>
      <c r="E128" t="s">
        <v>3040</v>
      </c>
      <c r="F128" s="242"/>
      <c r="G128"/>
      <c r="H128" s="242">
        <v>-500000</v>
      </c>
      <c r="I128" s="242">
        <v>-331105</v>
      </c>
      <c r="J128"/>
    </row>
    <row r="129" spans="1:10" ht="15.75" customHeight="1">
      <c r="A129" t="s">
        <v>2634</v>
      </c>
      <c r="B129">
        <v>311100</v>
      </c>
      <c r="C129">
        <v>1</v>
      </c>
      <c r="D129" t="str">
        <f t="shared" si="1"/>
        <v>1311100.490</v>
      </c>
      <c r="E129" t="s">
        <v>3019</v>
      </c>
      <c r="F129" s="242"/>
      <c r="G129"/>
      <c r="H129" s="242">
        <v>-21000</v>
      </c>
      <c r="I129" s="242">
        <v>-20205</v>
      </c>
      <c r="J129"/>
    </row>
    <row r="130" spans="1:10" ht="15.75" customHeight="1">
      <c r="A130" t="s">
        <v>1648</v>
      </c>
      <c r="B130">
        <v>311100</v>
      </c>
      <c r="C130">
        <v>1</v>
      </c>
      <c r="D130" t="str">
        <f t="shared" si="1"/>
        <v>1311100.922</v>
      </c>
      <c r="E130" t="s">
        <v>3020</v>
      </c>
      <c r="F130" s="242"/>
      <c r="G130"/>
      <c r="H130" s="242">
        <v>-100</v>
      </c>
      <c r="I130" s="242">
        <v>0</v>
      </c>
      <c r="J130"/>
    </row>
    <row r="131" spans="1:10" ht="15.75" customHeight="1">
      <c r="A131" t="s">
        <v>2684</v>
      </c>
      <c r="B131">
        <v>312110</v>
      </c>
      <c r="C131">
        <v>1</v>
      </c>
      <c r="D131" t="str">
        <f t="shared" ref="D131:D194" si="2">C131&amp;B131&amp;"."&amp;A131</f>
        <v>1312110.421</v>
      </c>
      <c r="E131" t="s">
        <v>3065</v>
      </c>
      <c r="F131" s="242"/>
      <c r="G131"/>
      <c r="H131" s="242">
        <v>0</v>
      </c>
      <c r="I131" s="242">
        <v>0</v>
      </c>
      <c r="J131"/>
    </row>
    <row r="132" spans="1:10" ht="15.75" customHeight="1">
      <c r="A132" t="s">
        <v>2809</v>
      </c>
      <c r="B132">
        <v>312110</v>
      </c>
      <c r="C132">
        <v>1</v>
      </c>
      <c r="D132" t="str">
        <f t="shared" si="2"/>
        <v>1312110.424</v>
      </c>
      <c r="E132" t="s">
        <v>3066</v>
      </c>
      <c r="F132" s="242"/>
      <c r="G132"/>
      <c r="H132" s="242">
        <v>0</v>
      </c>
      <c r="I132" s="242">
        <v>0</v>
      </c>
      <c r="J132"/>
    </row>
    <row r="133" spans="1:10" ht="15.75" customHeight="1">
      <c r="A133" t="s">
        <v>3067</v>
      </c>
      <c r="B133">
        <v>312110</v>
      </c>
      <c r="C133">
        <v>1</v>
      </c>
      <c r="D133" t="str">
        <f t="shared" si="2"/>
        <v>1312110.428</v>
      </c>
      <c r="E133" t="s">
        <v>3068</v>
      </c>
      <c r="F133" s="242"/>
      <c r="G133"/>
      <c r="H133" s="242">
        <v>-186016</v>
      </c>
      <c r="I133" s="242">
        <v>-257710</v>
      </c>
      <c r="J133"/>
    </row>
    <row r="134" spans="1:10" ht="15.75" customHeight="1">
      <c r="A134" t="s">
        <v>3069</v>
      </c>
      <c r="B134">
        <v>312110</v>
      </c>
      <c r="C134">
        <v>1</v>
      </c>
      <c r="D134" t="str">
        <f t="shared" si="2"/>
        <v>1312110.429</v>
      </c>
      <c r="E134" t="s">
        <v>3070</v>
      </c>
      <c r="F134" s="242"/>
      <c r="G134"/>
      <c r="H134" s="242">
        <v>-1000</v>
      </c>
      <c r="I134" s="242">
        <v>-6011</v>
      </c>
      <c r="J134"/>
    </row>
    <row r="135" spans="1:10" ht="15.75" customHeight="1">
      <c r="A135" t="s">
        <v>1648</v>
      </c>
      <c r="B135">
        <v>312110</v>
      </c>
      <c r="C135">
        <v>1</v>
      </c>
      <c r="D135" t="str">
        <f t="shared" si="2"/>
        <v>1312110.922</v>
      </c>
      <c r="E135" t="s">
        <v>3020</v>
      </c>
      <c r="F135" s="242"/>
      <c r="G135"/>
      <c r="H135" s="242">
        <v>0</v>
      </c>
      <c r="I135" s="242">
        <v>-5092</v>
      </c>
      <c r="J135"/>
    </row>
    <row r="136" spans="1:10" ht="15.75" customHeight="1">
      <c r="A136" t="s">
        <v>2652</v>
      </c>
      <c r="B136">
        <v>312200</v>
      </c>
      <c r="C136">
        <v>1</v>
      </c>
      <c r="D136" t="str">
        <f t="shared" si="2"/>
        <v>1312200.420</v>
      </c>
      <c r="E136" t="s">
        <v>4666</v>
      </c>
      <c r="F136" s="242"/>
      <c r="G136"/>
      <c r="H136" s="242">
        <v>-565488</v>
      </c>
      <c r="I136" s="242">
        <v>-323716</v>
      </c>
      <c r="J136"/>
    </row>
    <row r="137" spans="1:10" ht="15.75" customHeight="1">
      <c r="A137" t="s">
        <v>2684</v>
      </c>
      <c r="B137">
        <v>312200</v>
      </c>
      <c r="C137">
        <v>1</v>
      </c>
      <c r="D137" t="str">
        <f t="shared" si="2"/>
        <v>1312200.421</v>
      </c>
      <c r="E137" t="s">
        <v>3079</v>
      </c>
      <c r="F137" s="242"/>
      <c r="G137"/>
      <c r="H137" s="242">
        <v>-104458</v>
      </c>
      <c r="I137" s="242">
        <v>-1180223</v>
      </c>
      <c r="J137"/>
    </row>
    <row r="138" spans="1:10" ht="15.75" customHeight="1">
      <c r="A138" t="s">
        <v>1649</v>
      </c>
      <c r="B138">
        <v>312200</v>
      </c>
      <c r="C138">
        <v>1</v>
      </c>
      <c r="D138" t="str">
        <f t="shared" si="2"/>
        <v>1312200.422</v>
      </c>
      <c r="E138" t="s">
        <v>3080</v>
      </c>
      <c r="F138" s="242"/>
      <c r="G138"/>
      <c r="H138" s="242">
        <v>-100000</v>
      </c>
      <c r="I138" s="242">
        <v>-229218</v>
      </c>
      <c r="J138"/>
    </row>
    <row r="139" spans="1:10" ht="15.75" customHeight="1">
      <c r="A139" t="s">
        <v>3012</v>
      </c>
      <c r="B139">
        <v>312200</v>
      </c>
      <c r="C139">
        <v>1</v>
      </c>
      <c r="D139" t="str">
        <f t="shared" si="2"/>
        <v>1312200.920</v>
      </c>
      <c r="E139" t="s">
        <v>3081</v>
      </c>
      <c r="F139" s="242"/>
      <c r="G139"/>
      <c r="H139" s="242">
        <v>-3700000</v>
      </c>
      <c r="I139" s="242">
        <v>-4505005</v>
      </c>
      <c r="J139"/>
    </row>
    <row r="140" spans="1:10" ht="15.75" customHeight="1">
      <c r="A140" t="s">
        <v>3082</v>
      </c>
      <c r="B140">
        <v>312200</v>
      </c>
      <c r="C140">
        <v>1</v>
      </c>
      <c r="D140" t="str">
        <f t="shared" si="2"/>
        <v>1312200.921</v>
      </c>
      <c r="E140" t="s">
        <v>3083</v>
      </c>
      <c r="F140" s="242"/>
      <c r="G140"/>
      <c r="H140" s="242">
        <v>-11295245</v>
      </c>
      <c r="I140" s="242">
        <v>-10798338</v>
      </c>
      <c r="J140"/>
    </row>
    <row r="141" spans="1:10" ht="15.75" customHeight="1">
      <c r="A141" t="s">
        <v>1653</v>
      </c>
      <c r="B141">
        <v>312200</v>
      </c>
      <c r="C141">
        <v>1</v>
      </c>
      <c r="D141" t="str">
        <f t="shared" si="2"/>
        <v>1312200.923</v>
      </c>
      <c r="E141" t="s">
        <v>3084</v>
      </c>
      <c r="F141" s="242"/>
      <c r="G141"/>
      <c r="H141" s="242">
        <v>-340000</v>
      </c>
      <c r="I141" s="242">
        <v>-322719</v>
      </c>
      <c r="J141"/>
    </row>
    <row r="142" spans="1:10" ht="15.75" customHeight="1">
      <c r="A142" t="s">
        <v>3014</v>
      </c>
      <c r="B142">
        <v>312200</v>
      </c>
      <c r="C142">
        <v>1</v>
      </c>
      <c r="D142" t="str">
        <f t="shared" si="2"/>
        <v>1312200.924</v>
      </c>
      <c r="E142" t="s">
        <v>3085</v>
      </c>
      <c r="F142" s="242"/>
      <c r="G142"/>
      <c r="H142" s="242">
        <v>-183000</v>
      </c>
      <c r="I142" s="242">
        <v>-396964</v>
      </c>
      <c r="J142"/>
    </row>
    <row r="143" spans="1:10" ht="15.75" customHeight="1">
      <c r="A143" t="s">
        <v>3021</v>
      </c>
      <c r="B143">
        <v>312200</v>
      </c>
      <c r="C143">
        <v>1</v>
      </c>
      <c r="D143" t="str">
        <f t="shared" si="2"/>
        <v>1312200.925</v>
      </c>
      <c r="E143" t="s">
        <v>3086</v>
      </c>
      <c r="F143" s="242"/>
      <c r="G143"/>
      <c r="H143" s="242">
        <v>-130000</v>
      </c>
      <c r="I143" s="242">
        <v>-115713</v>
      </c>
      <c r="J143"/>
    </row>
    <row r="144" spans="1:10" ht="15.75" customHeight="1">
      <c r="A144" t="s">
        <v>3016</v>
      </c>
      <c r="B144">
        <v>312200</v>
      </c>
      <c r="C144">
        <v>1</v>
      </c>
      <c r="D144" t="str">
        <f t="shared" si="2"/>
        <v>1312200.926</v>
      </c>
      <c r="E144" t="s">
        <v>3087</v>
      </c>
      <c r="F144" s="242"/>
      <c r="G144"/>
      <c r="H144" s="242">
        <v>-26400</v>
      </c>
      <c r="I144" s="242">
        <v>-26400</v>
      </c>
      <c r="J144"/>
    </row>
    <row r="145" spans="1:10" ht="15.75" customHeight="1">
      <c r="A145" t="s">
        <v>3088</v>
      </c>
      <c r="B145">
        <v>312200</v>
      </c>
      <c r="C145">
        <v>1</v>
      </c>
      <c r="D145" t="str">
        <f t="shared" si="2"/>
        <v>1312200.929</v>
      </c>
      <c r="E145" t="s">
        <v>3089</v>
      </c>
      <c r="F145" s="242"/>
      <c r="G145"/>
      <c r="H145" s="242">
        <v>0</v>
      </c>
      <c r="I145" s="242">
        <v>-1351</v>
      </c>
      <c r="J145"/>
    </row>
    <row r="146" spans="1:10" ht="15.75" customHeight="1">
      <c r="A146" t="s">
        <v>2409</v>
      </c>
      <c r="B146">
        <v>312300</v>
      </c>
      <c r="C146">
        <v>1</v>
      </c>
      <c r="D146" t="str">
        <f t="shared" si="2"/>
        <v>1312300.410</v>
      </c>
      <c r="E146" t="s">
        <v>3096</v>
      </c>
      <c r="F146" s="242"/>
      <c r="G146"/>
      <c r="H146" s="242">
        <v>0</v>
      </c>
      <c r="I146" s="242">
        <v>-8929783</v>
      </c>
      <c r="J146"/>
    </row>
    <row r="147" spans="1:10" ht="15.75" customHeight="1">
      <c r="A147" t="s">
        <v>1622</v>
      </c>
      <c r="B147">
        <v>312300</v>
      </c>
      <c r="C147">
        <v>1</v>
      </c>
      <c r="D147" t="str">
        <f t="shared" si="2"/>
        <v>1312300.411</v>
      </c>
      <c r="E147" t="s">
        <v>3097</v>
      </c>
      <c r="F147" s="242"/>
      <c r="G147"/>
      <c r="H147" s="242">
        <v>-500000</v>
      </c>
      <c r="I147" s="242">
        <v>-258856</v>
      </c>
      <c r="J147"/>
    </row>
    <row r="148" spans="1:10" ht="15.75" customHeight="1">
      <c r="A148" t="s">
        <v>3082</v>
      </c>
      <c r="B148">
        <v>312300</v>
      </c>
      <c r="C148">
        <v>1</v>
      </c>
      <c r="D148" t="str">
        <f t="shared" si="2"/>
        <v>1312300.921</v>
      </c>
      <c r="E148" t="s">
        <v>3098</v>
      </c>
      <c r="F148" s="242"/>
      <c r="G148"/>
      <c r="H148" s="242">
        <v>0</v>
      </c>
      <c r="I148" s="242">
        <v>-2453656</v>
      </c>
      <c r="J148"/>
    </row>
    <row r="149" spans="1:10" ht="15.75" customHeight="1">
      <c r="A149" t="s">
        <v>1648</v>
      </c>
      <c r="B149">
        <v>312300</v>
      </c>
      <c r="C149">
        <v>1</v>
      </c>
      <c r="D149" t="str">
        <f t="shared" si="2"/>
        <v>1312300.922</v>
      </c>
      <c r="E149" t="s">
        <v>3020</v>
      </c>
      <c r="F149" s="242"/>
      <c r="G149"/>
      <c r="H149" s="242">
        <v>-100</v>
      </c>
      <c r="I149" s="242">
        <v>0</v>
      </c>
      <c r="J149"/>
    </row>
    <row r="150" spans="1:10" ht="15.75" customHeight="1">
      <c r="A150" t="s">
        <v>1653</v>
      </c>
      <c r="B150">
        <v>312300</v>
      </c>
      <c r="C150">
        <v>1</v>
      </c>
      <c r="D150" t="str">
        <f t="shared" si="2"/>
        <v>1312300.923</v>
      </c>
      <c r="E150" t="s">
        <v>3099</v>
      </c>
      <c r="F150" s="242"/>
      <c r="G150"/>
      <c r="H150" s="242">
        <v>0</v>
      </c>
      <c r="I150" s="242">
        <v>-1414907</v>
      </c>
      <c r="J150"/>
    </row>
    <row r="151" spans="1:10" ht="15.75" customHeight="1">
      <c r="A151" t="s">
        <v>3021</v>
      </c>
      <c r="B151">
        <v>312300</v>
      </c>
      <c r="C151">
        <v>1</v>
      </c>
      <c r="D151" t="str">
        <f t="shared" si="2"/>
        <v>1312300.925</v>
      </c>
      <c r="E151" t="s">
        <v>3100</v>
      </c>
      <c r="F151" s="242"/>
      <c r="G151"/>
      <c r="H151" s="242">
        <v>0</v>
      </c>
      <c r="I151" s="242">
        <v>-347714</v>
      </c>
      <c r="J151"/>
    </row>
    <row r="152" spans="1:10" ht="15.75" customHeight="1">
      <c r="A152" t="s">
        <v>3016</v>
      </c>
      <c r="B152">
        <v>312300</v>
      </c>
      <c r="C152">
        <v>1</v>
      </c>
      <c r="D152" t="str">
        <f t="shared" si="2"/>
        <v>1312300.926</v>
      </c>
      <c r="E152" t="s">
        <v>3101</v>
      </c>
      <c r="F152" s="242"/>
      <c r="G152"/>
      <c r="H152" s="242">
        <v>-32560000</v>
      </c>
      <c r="I152" s="242">
        <v>-11113809</v>
      </c>
      <c r="J152"/>
    </row>
    <row r="153" spans="1:10" ht="15.75" customHeight="1">
      <c r="A153" t="s">
        <v>570</v>
      </c>
      <c r="B153">
        <v>312600</v>
      </c>
      <c r="C153">
        <v>1</v>
      </c>
      <c r="D153" t="str">
        <f t="shared" si="2"/>
        <v>1312600.225</v>
      </c>
      <c r="E153" t="s">
        <v>3105</v>
      </c>
      <c r="F153" s="242"/>
      <c r="G153"/>
      <c r="H153" s="242">
        <v>0</v>
      </c>
      <c r="I153" s="242">
        <v>-61386</v>
      </c>
      <c r="J153"/>
    </row>
    <row r="154" spans="1:10" ht="15.75" customHeight="1">
      <c r="A154" t="s">
        <v>2652</v>
      </c>
      <c r="B154">
        <v>312600</v>
      </c>
      <c r="C154">
        <v>1</v>
      </c>
      <c r="D154" t="str">
        <f t="shared" si="2"/>
        <v>1312600.420</v>
      </c>
      <c r="E154" t="s">
        <v>3106</v>
      </c>
      <c r="F154" s="242"/>
      <c r="G154"/>
      <c r="H154" s="242">
        <v>-25000</v>
      </c>
      <c r="I154" s="242">
        <v>-31216</v>
      </c>
      <c r="J154"/>
    </row>
    <row r="155" spans="1:10" ht="15.75" customHeight="1">
      <c r="A155" t="s">
        <v>3012</v>
      </c>
      <c r="B155">
        <v>312600</v>
      </c>
      <c r="C155">
        <v>1</v>
      </c>
      <c r="D155" t="str">
        <f t="shared" si="2"/>
        <v>1312600.920</v>
      </c>
      <c r="E155" t="s">
        <v>3107</v>
      </c>
      <c r="F155" s="242"/>
      <c r="G155"/>
      <c r="H155" s="242">
        <v>-135000</v>
      </c>
      <c r="I155" s="242">
        <v>-123542</v>
      </c>
      <c r="J155"/>
    </row>
    <row r="156" spans="1:10" ht="15.75" customHeight="1">
      <c r="A156" t="s">
        <v>1648</v>
      </c>
      <c r="B156">
        <v>312600</v>
      </c>
      <c r="C156">
        <v>1</v>
      </c>
      <c r="D156" t="str">
        <f t="shared" si="2"/>
        <v>1312600.922</v>
      </c>
      <c r="E156" t="s">
        <v>3020</v>
      </c>
      <c r="F156" s="242"/>
      <c r="G156"/>
      <c r="H156" s="242">
        <v>-100</v>
      </c>
      <c r="I156" s="242">
        <v>-37679</v>
      </c>
      <c r="J156"/>
    </row>
    <row r="157" spans="1:10" ht="15.75" customHeight="1">
      <c r="A157" t="s">
        <v>1653</v>
      </c>
      <c r="B157">
        <v>312600</v>
      </c>
      <c r="C157">
        <v>1</v>
      </c>
      <c r="D157" t="str">
        <f t="shared" si="2"/>
        <v>1312600.923</v>
      </c>
      <c r="E157" t="s">
        <v>3108</v>
      </c>
      <c r="F157" s="242"/>
      <c r="G157"/>
      <c r="H157" s="242">
        <v>-885800</v>
      </c>
      <c r="I157" s="242">
        <v>-980449</v>
      </c>
      <c r="J157"/>
    </row>
    <row r="158" spans="1:10" ht="15.75" customHeight="1">
      <c r="A158" t="s">
        <v>3016</v>
      </c>
      <c r="B158">
        <v>312600</v>
      </c>
      <c r="C158">
        <v>1</v>
      </c>
      <c r="D158" t="str">
        <f t="shared" si="2"/>
        <v>1312600.926</v>
      </c>
      <c r="E158" t="s">
        <v>3090</v>
      </c>
      <c r="F158" s="242"/>
      <c r="G158"/>
      <c r="H158" s="242">
        <v>0</v>
      </c>
      <c r="I158" s="242">
        <v>-300</v>
      </c>
      <c r="J158"/>
    </row>
    <row r="159" spans="1:10" ht="15.75" customHeight="1">
      <c r="A159" t="s">
        <v>3012</v>
      </c>
      <c r="B159">
        <v>312610</v>
      </c>
      <c r="C159">
        <v>1</v>
      </c>
      <c r="D159" t="str">
        <f t="shared" si="2"/>
        <v>1312610.920</v>
      </c>
      <c r="E159" t="s">
        <v>3109</v>
      </c>
      <c r="F159" s="242"/>
      <c r="G159"/>
      <c r="H159" s="242">
        <v>0</v>
      </c>
      <c r="I159" s="242">
        <v>0</v>
      </c>
      <c r="J159"/>
    </row>
    <row r="160" spans="1:10" ht="15.75" customHeight="1">
      <c r="A160" t="s">
        <v>3082</v>
      </c>
      <c r="B160">
        <v>312610</v>
      </c>
      <c r="C160">
        <v>1</v>
      </c>
      <c r="D160" t="str">
        <f t="shared" si="2"/>
        <v>1312610.921</v>
      </c>
      <c r="E160" t="s">
        <v>3110</v>
      </c>
      <c r="F160" s="242"/>
      <c r="G160"/>
      <c r="H160" s="242">
        <v>0</v>
      </c>
      <c r="I160" s="242">
        <v>0</v>
      </c>
      <c r="J160"/>
    </row>
    <row r="161" spans="1:10" ht="15.75" customHeight="1">
      <c r="A161" t="s">
        <v>3022</v>
      </c>
      <c r="B161">
        <v>312610</v>
      </c>
      <c r="C161">
        <v>1</v>
      </c>
      <c r="D161" t="str">
        <f t="shared" si="2"/>
        <v>1312610.927</v>
      </c>
      <c r="E161" t="s">
        <v>3111</v>
      </c>
      <c r="F161" s="242"/>
      <c r="G161"/>
      <c r="H161" s="242">
        <v>-120000</v>
      </c>
      <c r="I161" s="242">
        <v>-103291</v>
      </c>
      <c r="J161"/>
    </row>
    <row r="162" spans="1:10" ht="15.75" customHeight="1">
      <c r="A162" t="s">
        <v>3112</v>
      </c>
      <c r="B162">
        <v>312610</v>
      </c>
      <c r="C162">
        <v>1</v>
      </c>
      <c r="D162" t="str">
        <f t="shared" si="2"/>
        <v>1312610.928</v>
      </c>
      <c r="E162" t="s">
        <v>3113</v>
      </c>
      <c r="F162" s="242"/>
      <c r="G162"/>
      <c r="H162" s="242">
        <v>-75000</v>
      </c>
      <c r="I162" s="242">
        <v>-67125</v>
      </c>
      <c r="J162"/>
    </row>
    <row r="163" spans="1:10" ht="15.75" customHeight="1">
      <c r="A163" t="s">
        <v>3088</v>
      </c>
      <c r="B163">
        <v>312610</v>
      </c>
      <c r="C163">
        <v>1</v>
      </c>
      <c r="D163" t="str">
        <f t="shared" si="2"/>
        <v>1312610.929</v>
      </c>
      <c r="E163" t="s">
        <v>3114</v>
      </c>
      <c r="F163" s="242"/>
      <c r="G163"/>
      <c r="H163" s="242">
        <v>0</v>
      </c>
      <c r="I163" s="242">
        <v>0</v>
      </c>
      <c r="J163"/>
    </row>
    <row r="164" spans="1:10" ht="15.75" customHeight="1">
      <c r="A164" t="s">
        <v>2634</v>
      </c>
      <c r="B164">
        <v>313100</v>
      </c>
      <c r="C164">
        <v>1</v>
      </c>
      <c r="D164" t="str">
        <f t="shared" si="2"/>
        <v>1313100.490</v>
      </c>
      <c r="E164" t="s">
        <v>3041</v>
      </c>
      <c r="F164" s="242"/>
      <c r="G164"/>
      <c r="H164" s="242">
        <v>-40500</v>
      </c>
      <c r="I164" s="242">
        <v>-19170</v>
      </c>
      <c r="J164"/>
    </row>
    <row r="165" spans="1:10" ht="15.75" customHeight="1">
      <c r="A165" t="s">
        <v>3021</v>
      </c>
      <c r="B165">
        <v>313100</v>
      </c>
      <c r="C165">
        <v>1</v>
      </c>
      <c r="D165" t="str">
        <f t="shared" si="2"/>
        <v>1313100.925</v>
      </c>
      <c r="E165" t="s">
        <v>3042</v>
      </c>
      <c r="F165" s="242"/>
      <c r="G165"/>
      <c r="H165" s="242">
        <v>-2368944</v>
      </c>
      <c r="I165" s="242">
        <v>-1360638</v>
      </c>
      <c r="J165"/>
    </row>
    <row r="166" spans="1:10" ht="15.75" customHeight="1">
      <c r="A166" t="s">
        <v>2684</v>
      </c>
      <c r="B166">
        <v>313100</v>
      </c>
      <c r="C166">
        <v>1</v>
      </c>
      <c r="D166" t="str">
        <f t="shared" si="2"/>
        <v>1313100.421</v>
      </c>
      <c r="E166" t="s">
        <v>4666</v>
      </c>
      <c r="F166" s="242"/>
      <c r="G166"/>
      <c r="H166" s="242">
        <v>-608114</v>
      </c>
      <c r="I166" s="242">
        <v>-200086</v>
      </c>
      <c r="J166"/>
    </row>
    <row r="167" spans="1:10" ht="15.75" customHeight="1">
      <c r="A167" t="s">
        <v>1649</v>
      </c>
      <c r="B167">
        <v>313100</v>
      </c>
      <c r="C167">
        <v>1</v>
      </c>
      <c r="D167" t="str">
        <f t="shared" si="2"/>
        <v>1313100.422</v>
      </c>
      <c r="E167" t="s">
        <v>3079</v>
      </c>
      <c r="F167" s="242"/>
      <c r="G167"/>
      <c r="H167" s="242">
        <v>-1076967</v>
      </c>
      <c r="I167" s="242">
        <v>-418404</v>
      </c>
      <c r="J167"/>
    </row>
    <row r="168" spans="1:10" ht="15.75" customHeight="1">
      <c r="A168" t="s">
        <v>3067</v>
      </c>
      <c r="B168">
        <v>313100</v>
      </c>
      <c r="C168">
        <v>1</v>
      </c>
      <c r="D168" t="str">
        <f t="shared" si="2"/>
        <v>1313100.428</v>
      </c>
      <c r="E168" t="s">
        <v>3119</v>
      </c>
      <c r="F168" s="242"/>
      <c r="G168"/>
      <c r="H168" s="242">
        <v>-797261</v>
      </c>
      <c r="I168" s="242">
        <v>-255400</v>
      </c>
      <c r="J168"/>
    </row>
    <row r="169" spans="1:10" ht="15.75" customHeight="1">
      <c r="A169" t="s">
        <v>2606</v>
      </c>
      <c r="B169">
        <v>313100</v>
      </c>
      <c r="C169">
        <v>1</v>
      </c>
      <c r="D169" t="str">
        <f t="shared" si="2"/>
        <v>1313100.440</v>
      </c>
      <c r="E169" t="s">
        <v>3120</v>
      </c>
      <c r="F169" s="242"/>
      <c r="G169"/>
      <c r="H169" s="242">
        <v>-50000</v>
      </c>
      <c r="I169" s="242">
        <v>-39468</v>
      </c>
      <c r="J169"/>
    </row>
    <row r="170" spans="1:10" ht="15.75" customHeight="1">
      <c r="A170" t="s">
        <v>1648</v>
      </c>
      <c r="B170">
        <v>313100</v>
      </c>
      <c r="C170">
        <v>1</v>
      </c>
      <c r="D170" t="str">
        <f t="shared" si="2"/>
        <v>1313100.922</v>
      </c>
      <c r="E170" t="s">
        <v>3020</v>
      </c>
      <c r="F170" s="242"/>
      <c r="G170"/>
      <c r="H170" s="242">
        <v>-100</v>
      </c>
      <c r="I170" s="242">
        <v>-26134</v>
      </c>
      <c r="J170"/>
    </row>
    <row r="171" spans="1:10" ht="15.75" customHeight="1">
      <c r="A171" t="s">
        <v>3016</v>
      </c>
      <c r="B171">
        <v>313100</v>
      </c>
      <c r="C171">
        <v>1</v>
      </c>
      <c r="D171" t="str">
        <f t="shared" si="2"/>
        <v>1313100.926</v>
      </c>
      <c r="E171" t="s">
        <v>3121</v>
      </c>
      <c r="F171" s="242"/>
      <c r="G171"/>
      <c r="H171" s="242">
        <v>-70000</v>
      </c>
      <c r="I171" s="242">
        <v>-88098</v>
      </c>
      <c r="J171"/>
    </row>
    <row r="172" spans="1:10" ht="15.75" customHeight="1">
      <c r="A172" t="s">
        <v>3022</v>
      </c>
      <c r="B172">
        <v>313100</v>
      </c>
      <c r="C172">
        <v>1</v>
      </c>
      <c r="D172" t="str">
        <f t="shared" si="2"/>
        <v>1313100.927</v>
      </c>
      <c r="E172" t="s">
        <v>3122</v>
      </c>
      <c r="F172" s="242"/>
      <c r="G172"/>
      <c r="H172" s="242">
        <v>-4000</v>
      </c>
      <c r="I172" s="242">
        <v>-18350</v>
      </c>
      <c r="J172"/>
    </row>
    <row r="173" spans="1:10" ht="15.75" customHeight="1">
      <c r="A173" t="s">
        <v>3112</v>
      </c>
      <c r="B173">
        <v>313100</v>
      </c>
      <c r="C173">
        <v>1</v>
      </c>
      <c r="D173" t="str">
        <f t="shared" si="2"/>
        <v>1313100.928</v>
      </c>
      <c r="E173" t="s">
        <v>3086</v>
      </c>
      <c r="F173" s="242"/>
      <c r="G173"/>
      <c r="H173" s="242">
        <v>-156990</v>
      </c>
      <c r="I173" s="242">
        <v>-267413</v>
      </c>
      <c r="J173"/>
    </row>
    <row r="174" spans="1:10" ht="15.75" customHeight="1">
      <c r="A174" t="s">
        <v>3088</v>
      </c>
      <c r="B174">
        <v>313100</v>
      </c>
      <c r="C174">
        <v>1</v>
      </c>
      <c r="D174" t="str">
        <f t="shared" si="2"/>
        <v>1313100.929</v>
      </c>
      <c r="E174" t="s">
        <v>3123</v>
      </c>
      <c r="F174" s="242"/>
      <c r="G174"/>
      <c r="H174" s="242">
        <v>-1814433</v>
      </c>
      <c r="I174" s="242">
        <v>-656426</v>
      </c>
      <c r="J174"/>
    </row>
    <row r="175" spans="1:10" ht="15.75" customHeight="1">
      <c r="A175" t="s">
        <v>570</v>
      </c>
      <c r="B175">
        <v>313210</v>
      </c>
      <c r="C175">
        <v>1</v>
      </c>
      <c r="D175" t="str">
        <f t="shared" si="2"/>
        <v>1313210.225</v>
      </c>
      <c r="E175" t="s">
        <v>3105</v>
      </c>
      <c r="F175" s="242"/>
      <c r="G175"/>
      <c r="H175" s="242">
        <v>-160000</v>
      </c>
      <c r="I175" s="242">
        <v>-775368</v>
      </c>
      <c r="J175"/>
    </row>
    <row r="176" spans="1:10" ht="15.75" customHeight="1">
      <c r="A176" t="s">
        <v>2652</v>
      </c>
      <c r="B176">
        <v>313221</v>
      </c>
      <c r="C176">
        <v>1</v>
      </c>
      <c r="D176" t="str">
        <f t="shared" si="2"/>
        <v>1313221.420</v>
      </c>
      <c r="E176" t="s">
        <v>3148</v>
      </c>
      <c r="F176" s="242"/>
      <c r="G176"/>
      <c r="H176" s="242">
        <v>-100</v>
      </c>
      <c r="I176" s="242">
        <v>0</v>
      </c>
      <c r="J176"/>
    </row>
    <row r="177" spans="1:10" ht="15.75" customHeight="1">
      <c r="A177" t="s">
        <v>2634</v>
      </c>
      <c r="B177">
        <v>313221</v>
      </c>
      <c r="C177">
        <v>1</v>
      </c>
      <c r="D177" t="str">
        <f t="shared" si="2"/>
        <v>1313221.490</v>
      </c>
      <c r="E177" t="s">
        <v>2861</v>
      </c>
      <c r="F177" s="242"/>
      <c r="G177"/>
      <c r="H177" s="242">
        <v>-100</v>
      </c>
      <c r="I177" s="242">
        <v>0</v>
      </c>
      <c r="J177"/>
    </row>
    <row r="178" spans="1:10" ht="15.75" customHeight="1">
      <c r="A178" t="s">
        <v>3012</v>
      </c>
      <c r="B178">
        <v>313221</v>
      </c>
      <c r="C178">
        <v>1</v>
      </c>
      <c r="D178" t="str">
        <f t="shared" si="2"/>
        <v>1313221.920</v>
      </c>
      <c r="E178" t="s">
        <v>3149</v>
      </c>
      <c r="F178" s="242"/>
      <c r="G178"/>
      <c r="H178" s="242">
        <v>-100</v>
      </c>
      <c r="I178" s="242">
        <v>0</v>
      </c>
      <c r="J178"/>
    </row>
    <row r="179" spans="1:10" ht="15.75" customHeight="1">
      <c r="A179" t="s">
        <v>3082</v>
      </c>
      <c r="B179">
        <v>313221</v>
      </c>
      <c r="C179">
        <v>1</v>
      </c>
      <c r="D179" t="str">
        <f t="shared" si="2"/>
        <v>1313221.921</v>
      </c>
      <c r="E179" t="s">
        <v>3150</v>
      </c>
      <c r="F179" s="242"/>
      <c r="G179"/>
      <c r="H179" s="242">
        <v>-22868</v>
      </c>
      <c r="I179" s="242">
        <v>-22144</v>
      </c>
      <c r="J179"/>
    </row>
    <row r="180" spans="1:10" ht="15.75" customHeight="1">
      <c r="A180" t="s">
        <v>1648</v>
      </c>
      <c r="B180">
        <v>313221</v>
      </c>
      <c r="C180">
        <v>1</v>
      </c>
      <c r="D180" t="str">
        <f t="shared" si="2"/>
        <v>1313221.922</v>
      </c>
      <c r="E180" t="s">
        <v>3020</v>
      </c>
      <c r="F180" s="242"/>
      <c r="G180"/>
      <c r="H180" s="242">
        <v>-100</v>
      </c>
      <c r="I180" s="242">
        <v>0</v>
      </c>
      <c r="J180"/>
    </row>
    <row r="181" spans="1:10" ht="15.75" customHeight="1">
      <c r="A181" t="s">
        <v>1653</v>
      </c>
      <c r="B181">
        <v>313221</v>
      </c>
      <c r="C181">
        <v>1</v>
      </c>
      <c r="D181" t="str">
        <f t="shared" si="2"/>
        <v>1313221.923</v>
      </c>
      <c r="E181" t="s">
        <v>3151</v>
      </c>
      <c r="F181" s="242"/>
      <c r="G181"/>
      <c r="H181" s="242">
        <v>-334256</v>
      </c>
      <c r="I181" s="242">
        <v>-314087</v>
      </c>
      <c r="J181"/>
    </row>
    <row r="182" spans="1:10" ht="15.75" customHeight="1">
      <c r="A182" t="s">
        <v>3014</v>
      </c>
      <c r="B182">
        <v>313221</v>
      </c>
      <c r="C182">
        <v>1</v>
      </c>
      <c r="D182" t="str">
        <f t="shared" si="2"/>
        <v>1313221.924</v>
      </c>
      <c r="E182" t="s">
        <v>3152</v>
      </c>
      <c r="F182" s="242"/>
      <c r="G182"/>
      <c r="H182" s="242">
        <v>-99452</v>
      </c>
      <c r="I182" s="242">
        <v>-95594</v>
      </c>
      <c r="J182"/>
    </row>
    <row r="183" spans="1:10" ht="15.75" customHeight="1">
      <c r="A183" t="s">
        <v>3021</v>
      </c>
      <c r="B183">
        <v>313221</v>
      </c>
      <c r="C183">
        <v>1</v>
      </c>
      <c r="D183" t="str">
        <f t="shared" si="2"/>
        <v>1313221.925</v>
      </c>
      <c r="E183" t="s">
        <v>3153</v>
      </c>
      <c r="F183" s="242"/>
      <c r="G183"/>
      <c r="H183" s="242">
        <v>-3471</v>
      </c>
      <c r="I183" s="242">
        <v>-3107</v>
      </c>
      <c r="J183"/>
    </row>
    <row r="184" spans="1:10" ht="15.75" customHeight="1">
      <c r="A184" t="s">
        <v>3016</v>
      </c>
      <c r="B184">
        <v>313221</v>
      </c>
      <c r="C184">
        <v>1</v>
      </c>
      <c r="D184" t="str">
        <f t="shared" si="2"/>
        <v>1313221.926</v>
      </c>
      <c r="E184" t="s">
        <v>3154</v>
      </c>
      <c r="F184" s="242"/>
      <c r="G184"/>
      <c r="H184" s="242">
        <v>-10971</v>
      </c>
      <c r="I184" s="242">
        <v>-9576</v>
      </c>
      <c r="J184"/>
    </row>
    <row r="185" spans="1:10" ht="15.75" customHeight="1">
      <c r="A185" t="s">
        <v>3022</v>
      </c>
      <c r="B185">
        <v>313221</v>
      </c>
      <c r="C185">
        <v>1</v>
      </c>
      <c r="D185" t="str">
        <f t="shared" si="2"/>
        <v>1313221.927</v>
      </c>
      <c r="E185" t="s">
        <v>3155</v>
      </c>
      <c r="F185" s="242"/>
      <c r="G185"/>
      <c r="H185" s="242">
        <v>-5663</v>
      </c>
      <c r="I185" s="242">
        <v>-4998</v>
      </c>
      <c r="J185"/>
    </row>
    <row r="186" spans="1:10" ht="15.75" customHeight="1">
      <c r="A186" t="s">
        <v>2652</v>
      </c>
      <c r="B186">
        <v>313222</v>
      </c>
      <c r="C186">
        <v>1</v>
      </c>
      <c r="D186" t="str">
        <f t="shared" si="2"/>
        <v>1313222.420</v>
      </c>
      <c r="E186" t="s">
        <v>3148</v>
      </c>
      <c r="F186" s="242"/>
      <c r="G186"/>
      <c r="H186" s="242">
        <v>-100</v>
      </c>
      <c r="I186" s="242">
        <v>0</v>
      </c>
      <c r="J186"/>
    </row>
    <row r="187" spans="1:10" ht="15.75" customHeight="1">
      <c r="A187" t="s">
        <v>3012</v>
      </c>
      <c r="B187">
        <v>313222</v>
      </c>
      <c r="C187">
        <v>1</v>
      </c>
      <c r="D187" t="str">
        <f t="shared" si="2"/>
        <v>1313222.920</v>
      </c>
      <c r="E187" t="s">
        <v>3149</v>
      </c>
      <c r="F187" s="242"/>
      <c r="G187"/>
      <c r="H187" s="242">
        <v>-15000</v>
      </c>
      <c r="I187" s="242">
        <v>-19065</v>
      </c>
      <c r="J187"/>
    </row>
    <row r="188" spans="1:10" ht="15.75" customHeight="1">
      <c r="A188" t="s">
        <v>3082</v>
      </c>
      <c r="B188">
        <v>313222</v>
      </c>
      <c r="C188">
        <v>1</v>
      </c>
      <c r="D188" t="str">
        <f t="shared" si="2"/>
        <v>1313222.921</v>
      </c>
      <c r="E188" t="s">
        <v>3150</v>
      </c>
      <c r="F188" s="242"/>
      <c r="G188"/>
      <c r="H188" s="242">
        <v>0</v>
      </c>
      <c r="I188" s="242">
        <v>0</v>
      </c>
      <c r="J188"/>
    </row>
    <row r="189" spans="1:10" ht="15.75" customHeight="1">
      <c r="A189" t="s">
        <v>1648</v>
      </c>
      <c r="B189">
        <v>313222</v>
      </c>
      <c r="C189">
        <v>1</v>
      </c>
      <c r="D189" t="str">
        <f t="shared" si="2"/>
        <v>1313222.922</v>
      </c>
      <c r="E189" t="s">
        <v>3020</v>
      </c>
      <c r="F189" s="242"/>
      <c r="G189"/>
      <c r="H189" s="242">
        <v>-100</v>
      </c>
      <c r="I189" s="242">
        <v>0</v>
      </c>
      <c r="J189"/>
    </row>
    <row r="190" spans="1:10" ht="15.75" customHeight="1">
      <c r="A190" t="s">
        <v>1653</v>
      </c>
      <c r="B190">
        <v>313222</v>
      </c>
      <c r="C190">
        <v>1</v>
      </c>
      <c r="D190" t="str">
        <f t="shared" si="2"/>
        <v>1313222.923</v>
      </c>
      <c r="E190" t="s">
        <v>3151</v>
      </c>
      <c r="F190" s="242"/>
      <c r="G190"/>
      <c r="H190" s="242">
        <v>-369920</v>
      </c>
      <c r="I190" s="242">
        <v>-347394</v>
      </c>
      <c r="J190"/>
    </row>
    <row r="191" spans="1:10" ht="15.75" customHeight="1">
      <c r="A191" t="s">
        <v>3021</v>
      </c>
      <c r="B191">
        <v>313222</v>
      </c>
      <c r="C191">
        <v>1</v>
      </c>
      <c r="D191" t="str">
        <f t="shared" si="2"/>
        <v>1313222.925</v>
      </c>
      <c r="E191" t="s">
        <v>3153</v>
      </c>
      <c r="F191" s="242"/>
      <c r="G191"/>
      <c r="H191" s="242">
        <v>-1105</v>
      </c>
      <c r="I191" s="242">
        <v>-1105</v>
      </c>
      <c r="J191"/>
    </row>
    <row r="192" spans="1:10" ht="15.75" customHeight="1">
      <c r="A192" t="s">
        <v>3016</v>
      </c>
      <c r="B192">
        <v>313222</v>
      </c>
      <c r="C192">
        <v>1</v>
      </c>
      <c r="D192" t="str">
        <f t="shared" si="2"/>
        <v>1313222.926</v>
      </c>
      <c r="E192" t="s">
        <v>3154</v>
      </c>
      <c r="F192" s="242"/>
      <c r="G192"/>
      <c r="H192" s="242">
        <v>-12893</v>
      </c>
      <c r="I192" s="242">
        <v>-12328</v>
      </c>
      <c r="J192"/>
    </row>
    <row r="193" spans="1:10" ht="15.75" customHeight="1">
      <c r="A193" t="s">
        <v>3022</v>
      </c>
      <c r="B193">
        <v>313222</v>
      </c>
      <c r="C193">
        <v>1</v>
      </c>
      <c r="D193" t="str">
        <f t="shared" si="2"/>
        <v>1313222.927</v>
      </c>
      <c r="E193" t="s">
        <v>3155</v>
      </c>
      <c r="F193" s="242"/>
      <c r="G193"/>
      <c r="H193" s="242">
        <v>-6585</v>
      </c>
      <c r="I193" s="242">
        <v>-6499</v>
      </c>
      <c r="J193"/>
    </row>
    <row r="194" spans="1:10" ht="15.75" customHeight="1">
      <c r="A194" t="s">
        <v>3012</v>
      </c>
      <c r="B194">
        <v>313223</v>
      </c>
      <c r="C194">
        <v>1</v>
      </c>
      <c r="D194" t="str">
        <f t="shared" si="2"/>
        <v>1313223.920</v>
      </c>
      <c r="E194" t="s">
        <v>3149</v>
      </c>
      <c r="F194" s="242"/>
      <c r="G194"/>
      <c r="H194" s="242">
        <v>-100</v>
      </c>
      <c r="I194" s="242">
        <v>-498</v>
      </c>
      <c r="J194"/>
    </row>
    <row r="195" spans="1:10" ht="15.75" customHeight="1">
      <c r="A195" t="s">
        <v>1653</v>
      </c>
      <c r="B195">
        <v>313223</v>
      </c>
      <c r="C195">
        <v>1</v>
      </c>
      <c r="D195" t="str">
        <f t="shared" ref="D195:D258" si="3">C195&amp;B195&amp;"."&amp;A195</f>
        <v>1313223.923</v>
      </c>
      <c r="E195" t="s">
        <v>3151</v>
      </c>
      <c r="F195" s="242"/>
      <c r="G195"/>
      <c r="H195" s="242">
        <v>-487241</v>
      </c>
      <c r="I195" s="242">
        <v>-456364</v>
      </c>
      <c r="J195"/>
    </row>
    <row r="196" spans="1:10" ht="15.75" customHeight="1">
      <c r="A196" t="s">
        <v>3016</v>
      </c>
      <c r="B196">
        <v>313223</v>
      </c>
      <c r="C196">
        <v>1</v>
      </c>
      <c r="D196" t="str">
        <f t="shared" si="3"/>
        <v>1313223.926</v>
      </c>
      <c r="E196" t="s">
        <v>3154</v>
      </c>
      <c r="F196" s="242"/>
      <c r="G196"/>
      <c r="H196" s="242">
        <v>-17832</v>
      </c>
      <c r="I196" s="242">
        <v>-16550</v>
      </c>
      <c r="J196"/>
    </row>
    <row r="197" spans="1:10" ht="15.75" customHeight="1">
      <c r="A197" t="s">
        <v>3022</v>
      </c>
      <c r="B197">
        <v>313223</v>
      </c>
      <c r="C197">
        <v>1</v>
      </c>
      <c r="D197" t="str">
        <f t="shared" si="3"/>
        <v>1313223.927</v>
      </c>
      <c r="E197" t="s">
        <v>3155</v>
      </c>
      <c r="F197" s="242"/>
      <c r="G197"/>
      <c r="H197" s="242">
        <v>-10146</v>
      </c>
      <c r="I197" s="242">
        <v>-9417</v>
      </c>
      <c r="J197"/>
    </row>
    <row r="198" spans="1:10" ht="15.75" customHeight="1">
      <c r="A198" t="s">
        <v>3112</v>
      </c>
      <c r="B198">
        <v>313223</v>
      </c>
      <c r="C198">
        <v>1</v>
      </c>
      <c r="D198" t="str">
        <f t="shared" si="3"/>
        <v>1313223.928</v>
      </c>
      <c r="E198" t="s">
        <v>3162</v>
      </c>
      <c r="F198" s="242"/>
      <c r="G198"/>
      <c r="H198" s="242">
        <v>0</v>
      </c>
      <c r="I198" s="242">
        <v>0</v>
      </c>
      <c r="J198"/>
    </row>
    <row r="199" spans="1:10" ht="15.75" customHeight="1">
      <c r="A199" t="s">
        <v>3088</v>
      </c>
      <c r="B199">
        <v>313223</v>
      </c>
      <c r="C199">
        <v>1</v>
      </c>
      <c r="D199" t="str">
        <f t="shared" si="3"/>
        <v>1313223.929</v>
      </c>
      <c r="E199" t="s">
        <v>3163</v>
      </c>
      <c r="F199" s="242"/>
      <c r="G199"/>
      <c r="H199" s="242">
        <v>0</v>
      </c>
      <c r="I199" s="242">
        <v>0</v>
      </c>
      <c r="J199"/>
    </row>
    <row r="200" spans="1:10" ht="15.75" customHeight="1">
      <c r="A200" t="s">
        <v>2652</v>
      </c>
      <c r="B200">
        <v>313224</v>
      </c>
      <c r="C200">
        <v>1</v>
      </c>
      <c r="D200" t="str">
        <f t="shared" si="3"/>
        <v>1313224.420</v>
      </c>
      <c r="E200" t="s">
        <v>3148</v>
      </c>
      <c r="F200" s="242"/>
      <c r="G200"/>
      <c r="H200" s="242">
        <v>-100</v>
      </c>
      <c r="I200" s="242">
        <v>0</v>
      </c>
      <c r="J200"/>
    </row>
    <row r="201" spans="1:10" ht="15.75" customHeight="1">
      <c r="A201" t="s">
        <v>2634</v>
      </c>
      <c r="B201">
        <v>313224</v>
      </c>
      <c r="C201">
        <v>1</v>
      </c>
      <c r="D201" t="str">
        <f t="shared" si="3"/>
        <v>1313224.490</v>
      </c>
      <c r="E201" t="s">
        <v>2861</v>
      </c>
      <c r="F201" s="242"/>
      <c r="G201"/>
      <c r="H201" s="242">
        <v>-100</v>
      </c>
      <c r="I201" s="242">
        <v>0</v>
      </c>
      <c r="J201"/>
    </row>
    <row r="202" spans="1:10" ht="15.75" customHeight="1">
      <c r="A202" t="s">
        <v>3012</v>
      </c>
      <c r="B202">
        <v>313224</v>
      </c>
      <c r="C202">
        <v>1</v>
      </c>
      <c r="D202" t="str">
        <f t="shared" si="3"/>
        <v>1313224.920</v>
      </c>
      <c r="E202" t="s">
        <v>3149</v>
      </c>
      <c r="F202" s="242"/>
      <c r="G202"/>
      <c r="H202" s="242">
        <v>-600</v>
      </c>
      <c r="I202" s="242">
        <v>0</v>
      </c>
      <c r="J202"/>
    </row>
    <row r="203" spans="1:10" ht="15.75" customHeight="1">
      <c r="A203" t="s">
        <v>3082</v>
      </c>
      <c r="B203">
        <v>313224</v>
      </c>
      <c r="C203">
        <v>1</v>
      </c>
      <c r="D203" t="str">
        <f t="shared" si="3"/>
        <v>1313224.921</v>
      </c>
      <c r="E203" t="s">
        <v>3150</v>
      </c>
      <c r="F203" s="242"/>
      <c r="G203"/>
      <c r="H203" s="242">
        <v>-32389</v>
      </c>
      <c r="I203" s="242">
        <v>-31049</v>
      </c>
      <c r="J203"/>
    </row>
    <row r="204" spans="1:10" ht="15.75" customHeight="1">
      <c r="A204" t="s">
        <v>1653</v>
      </c>
      <c r="B204">
        <v>313224</v>
      </c>
      <c r="C204">
        <v>1</v>
      </c>
      <c r="D204" t="str">
        <f t="shared" si="3"/>
        <v>1313224.923</v>
      </c>
      <c r="E204" t="s">
        <v>3151</v>
      </c>
      <c r="F204" s="242"/>
      <c r="G204"/>
      <c r="H204" s="242">
        <v>-625000</v>
      </c>
      <c r="I204" s="242">
        <v>-597390</v>
      </c>
      <c r="J204"/>
    </row>
    <row r="205" spans="1:10" ht="15.75" customHeight="1">
      <c r="A205" t="s">
        <v>3014</v>
      </c>
      <c r="B205">
        <v>313224</v>
      </c>
      <c r="C205">
        <v>1</v>
      </c>
      <c r="D205" t="str">
        <f t="shared" si="3"/>
        <v>1313224.924</v>
      </c>
      <c r="E205" t="s">
        <v>3152</v>
      </c>
      <c r="F205" s="242"/>
      <c r="G205"/>
      <c r="H205" s="242">
        <v>-75101</v>
      </c>
      <c r="I205" s="242">
        <v>-76475</v>
      </c>
      <c r="J205"/>
    </row>
    <row r="206" spans="1:10" ht="15.75" customHeight="1">
      <c r="A206" t="s">
        <v>3016</v>
      </c>
      <c r="B206">
        <v>313224</v>
      </c>
      <c r="C206">
        <v>1</v>
      </c>
      <c r="D206" t="str">
        <f t="shared" si="3"/>
        <v>1313224.926</v>
      </c>
      <c r="E206" t="s">
        <v>3154</v>
      </c>
      <c r="F206" s="242"/>
      <c r="G206"/>
      <c r="H206" s="242">
        <v>-22959</v>
      </c>
      <c r="I206" s="242">
        <v>-22582</v>
      </c>
      <c r="J206"/>
    </row>
    <row r="207" spans="1:10" ht="15.75" customHeight="1">
      <c r="A207" t="s">
        <v>3022</v>
      </c>
      <c r="B207">
        <v>313224</v>
      </c>
      <c r="C207">
        <v>1</v>
      </c>
      <c r="D207" t="str">
        <f t="shared" si="3"/>
        <v>1313224.927</v>
      </c>
      <c r="E207" t="s">
        <v>3155</v>
      </c>
      <c r="F207" s="242"/>
      <c r="G207"/>
      <c r="H207" s="242">
        <v>-13063</v>
      </c>
      <c r="I207" s="242">
        <v>-12849</v>
      </c>
      <c r="J207"/>
    </row>
    <row r="208" spans="1:10" ht="15.75" customHeight="1">
      <c r="A208" t="s">
        <v>2652</v>
      </c>
      <c r="B208">
        <v>313225</v>
      </c>
      <c r="C208">
        <v>1</v>
      </c>
      <c r="D208" t="str">
        <f t="shared" si="3"/>
        <v>1313225.420</v>
      </c>
      <c r="E208" t="s">
        <v>3148</v>
      </c>
      <c r="F208" s="242"/>
      <c r="G208"/>
      <c r="H208" s="242">
        <v>-100</v>
      </c>
      <c r="I208" s="242">
        <v>0</v>
      </c>
      <c r="J208"/>
    </row>
    <row r="209" spans="1:10" ht="15.75" customHeight="1">
      <c r="A209" t="s">
        <v>2634</v>
      </c>
      <c r="B209">
        <v>313225</v>
      </c>
      <c r="C209">
        <v>1</v>
      </c>
      <c r="D209" t="str">
        <f t="shared" si="3"/>
        <v>1313225.490</v>
      </c>
      <c r="E209" t="s">
        <v>2861</v>
      </c>
      <c r="F209" s="242"/>
      <c r="G209"/>
      <c r="H209" s="242">
        <v>-100</v>
      </c>
      <c r="I209" s="242">
        <v>0</v>
      </c>
      <c r="J209"/>
    </row>
    <row r="210" spans="1:10" ht="15.75" customHeight="1">
      <c r="A210" t="s">
        <v>3012</v>
      </c>
      <c r="B210">
        <v>313225</v>
      </c>
      <c r="C210">
        <v>1</v>
      </c>
      <c r="D210" t="str">
        <f t="shared" si="3"/>
        <v>1313225.920</v>
      </c>
      <c r="E210" t="s">
        <v>3149</v>
      </c>
      <c r="F210" s="242"/>
      <c r="G210"/>
      <c r="H210" s="242">
        <v>-500</v>
      </c>
      <c r="I210" s="242">
        <v>-2376</v>
      </c>
      <c r="J210"/>
    </row>
    <row r="211" spans="1:10" ht="15.75" customHeight="1">
      <c r="A211" t="s">
        <v>3082</v>
      </c>
      <c r="B211">
        <v>313225</v>
      </c>
      <c r="C211">
        <v>1</v>
      </c>
      <c r="D211" t="str">
        <f t="shared" si="3"/>
        <v>1313225.921</v>
      </c>
      <c r="E211" t="s">
        <v>3166</v>
      </c>
      <c r="F211" s="242"/>
      <c r="G211"/>
      <c r="H211" s="242">
        <v>-23837</v>
      </c>
      <c r="I211" s="242">
        <v>-22851</v>
      </c>
      <c r="J211"/>
    </row>
    <row r="212" spans="1:10" ht="15.75" customHeight="1">
      <c r="A212" t="s">
        <v>1648</v>
      </c>
      <c r="B212">
        <v>313225</v>
      </c>
      <c r="C212">
        <v>1</v>
      </c>
      <c r="D212" t="str">
        <f t="shared" si="3"/>
        <v>1313225.922</v>
      </c>
      <c r="E212" t="s">
        <v>3020</v>
      </c>
      <c r="F212" s="242"/>
      <c r="G212"/>
      <c r="H212" s="242">
        <v>-100</v>
      </c>
      <c r="I212" s="242">
        <v>0</v>
      </c>
      <c r="J212"/>
    </row>
    <row r="213" spans="1:10" ht="15.75" customHeight="1">
      <c r="A213" t="s">
        <v>1653</v>
      </c>
      <c r="B213">
        <v>313225</v>
      </c>
      <c r="C213">
        <v>1</v>
      </c>
      <c r="D213" t="str">
        <f t="shared" si="3"/>
        <v>1313225.923</v>
      </c>
      <c r="E213" t="s">
        <v>3151</v>
      </c>
      <c r="F213" s="242"/>
      <c r="G213"/>
      <c r="H213" s="242">
        <v>-411000</v>
      </c>
      <c r="I213" s="242">
        <v>-392132</v>
      </c>
      <c r="J213"/>
    </row>
    <row r="214" spans="1:10" ht="15.75" customHeight="1">
      <c r="A214" t="s">
        <v>3014</v>
      </c>
      <c r="B214">
        <v>313225</v>
      </c>
      <c r="C214">
        <v>1</v>
      </c>
      <c r="D214" t="str">
        <f t="shared" si="3"/>
        <v>1313225.924</v>
      </c>
      <c r="E214" t="s">
        <v>3152</v>
      </c>
      <c r="F214" s="242"/>
      <c r="G214"/>
      <c r="H214" s="242">
        <v>-93876</v>
      </c>
      <c r="I214" s="242">
        <v>-95594</v>
      </c>
      <c r="J214"/>
    </row>
    <row r="215" spans="1:10" ht="15.75" customHeight="1">
      <c r="A215" t="s">
        <v>3021</v>
      </c>
      <c r="B215">
        <v>313225</v>
      </c>
      <c r="C215">
        <v>1</v>
      </c>
      <c r="D215" t="str">
        <f t="shared" si="3"/>
        <v>1313225.925</v>
      </c>
      <c r="E215" t="s">
        <v>3153</v>
      </c>
      <c r="F215" s="242"/>
      <c r="G215"/>
      <c r="H215" s="242">
        <v>-3653</v>
      </c>
      <c r="I215" s="242">
        <v>-3653</v>
      </c>
      <c r="J215"/>
    </row>
    <row r="216" spans="1:10" ht="15.75" customHeight="1">
      <c r="A216" t="s">
        <v>3016</v>
      </c>
      <c r="B216">
        <v>313225</v>
      </c>
      <c r="C216">
        <v>1</v>
      </c>
      <c r="D216" t="str">
        <f t="shared" si="3"/>
        <v>1313225.926</v>
      </c>
      <c r="E216" t="s">
        <v>3154</v>
      </c>
      <c r="F216" s="242"/>
      <c r="G216"/>
      <c r="H216" s="242">
        <v>-12969</v>
      </c>
      <c r="I216" s="242">
        <v>-13044</v>
      </c>
      <c r="J216"/>
    </row>
    <row r="217" spans="1:10" ht="15.75" customHeight="1">
      <c r="A217" t="s">
        <v>3022</v>
      </c>
      <c r="B217">
        <v>313225</v>
      </c>
      <c r="C217">
        <v>1</v>
      </c>
      <c r="D217" t="str">
        <f t="shared" si="3"/>
        <v>1313225.927</v>
      </c>
      <c r="E217" t="s">
        <v>3155</v>
      </c>
      <c r="F217" s="242"/>
      <c r="G217"/>
      <c r="H217" s="242">
        <v>-6821</v>
      </c>
      <c r="I217" s="242">
        <v>-7057</v>
      </c>
      <c r="J217"/>
    </row>
    <row r="218" spans="1:10" ht="15.75" customHeight="1">
      <c r="A218" t="s">
        <v>3012</v>
      </c>
      <c r="B218">
        <v>313226</v>
      </c>
      <c r="C218">
        <v>1</v>
      </c>
      <c r="D218" t="str">
        <f t="shared" si="3"/>
        <v>1313226.920</v>
      </c>
      <c r="E218" t="s">
        <v>3149</v>
      </c>
      <c r="F218" s="242"/>
      <c r="G218"/>
      <c r="H218" s="242">
        <v>-100</v>
      </c>
      <c r="I218" s="242">
        <v>0</v>
      </c>
      <c r="J218"/>
    </row>
    <row r="219" spans="1:10" ht="15.75" customHeight="1">
      <c r="A219" t="s">
        <v>3082</v>
      </c>
      <c r="B219">
        <v>313226</v>
      </c>
      <c r="C219">
        <v>1</v>
      </c>
      <c r="D219" t="str">
        <f t="shared" si="3"/>
        <v>1313226.921</v>
      </c>
      <c r="E219" t="s">
        <v>3150</v>
      </c>
      <c r="F219" s="242"/>
      <c r="G219"/>
      <c r="H219" s="242">
        <v>-9727</v>
      </c>
      <c r="I219" s="242">
        <v>-13299</v>
      </c>
      <c r="J219"/>
    </row>
    <row r="220" spans="1:10" ht="15.75" customHeight="1">
      <c r="A220" t="s">
        <v>1653</v>
      </c>
      <c r="B220">
        <v>313226</v>
      </c>
      <c r="C220">
        <v>1</v>
      </c>
      <c r="D220" t="str">
        <f t="shared" si="3"/>
        <v>1313226.923</v>
      </c>
      <c r="E220" t="s">
        <v>3151</v>
      </c>
      <c r="F220" s="242"/>
      <c r="G220"/>
      <c r="H220" s="242">
        <v>-115976</v>
      </c>
      <c r="I220" s="242">
        <v>-120688</v>
      </c>
      <c r="J220"/>
    </row>
    <row r="221" spans="1:10" ht="15.75" customHeight="1">
      <c r="A221" t="s">
        <v>3021</v>
      </c>
      <c r="B221">
        <v>313226</v>
      </c>
      <c r="C221">
        <v>1</v>
      </c>
      <c r="D221" t="str">
        <f t="shared" si="3"/>
        <v>1313226.925</v>
      </c>
      <c r="E221" t="s">
        <v>3153</v>
      </c>
      <c r="F221" s="242"/>
      <c r="G221"/>
      <c r="H221" s="242">
        <v>-728</v>
      </c>
      <c r="I221" s="242">
        <v>-910</v>
      </c>
      <c r="J221"/>
    </row>
    <row r="222" spans="1:10" ht="15.75" customHeight="1">
      <c r="A222" t="s">
        <v>3016</v>
      </c>
      <c r="B222">
        <v>313226</v>
      </c>
      <c r="C222">
        <v>1</v>
      </c>
      <c r="D222" t="str">
        <f t="shared" si="3"/>
        <v>1313226.926</v>
      </c>
      <c r="E222" t="s">
        <v>3154</v>
      </c>
      <c r="F222" s="242"/>
      <c r="G222"/>
      <c r="H222" s="242">
        <v>-3996</v>
      </c>
      <c r="I222" s="242">
        <v>-4336</v>
      </c>
      <c r="J222"/>
    </row>
    <row r="223" spans="1:10" ht="15.75" customHeight="1">
      <c r="A223" t="s">
        <v>3022</v>
      </c>
      <c r="B223">
        <v>313226</v>
      </c>
      <c r="C223">
        <v>1</v>
      </c>
      <c r="D223" t="str">
        <f t="shared" si="3"/>
        <v>1313226.927</v>
      </c>
      <c r="E223" t="s">
        <v>3155</v>
      </c>
      <c r="F223" s="242"/>
      <c r="G223"/>
      <c r="H223" s="242">
        <v>-2274</v>
      </c>
      <c r="I223" s="242">
        <v>-2467</v>
      </c>
      <c r="J223"/>
    </row>
    <row r="224" spans="1:10" ht="15.75" customHeight="1">
      <c r="A224" t="s">
        <v>3082</v>
      </c>
      <c r="B224">
        <v>313227</v>
      </c>
      <c r="C224">
        <v>1</v>
      </c>
      <c r="D224" t="str">
        <f t="shared" si="3"/>
        <v>1313227.921</v>
      </c>
      <c r="E224" t="s">
        <v>3150</v>
      </c>
      <c r="F224" s="242"/>
      <c r="G224"/>
      <c r="H224" s="242">
        <v>-12161</v>
      </c>
      <c r="I224" s="242">
        <v>-9552</v>
      </c>
      <c r="J224"/>
    </row>
    <row r="225" spans="1:10" ht="15.75" customHeight="1">
      <c r="A225" t="s">
        <v>1648</v>
      </c>
      <c r="B225">
        <v>313227</v>
      </c>
      <c r="C225">
        <v>1</v>
      </c>
      <c r="D225" t="str">
        <f t="shared" si="3"/>
        <v>1313227.922</v>
      </c>
      <c r="E225" t="s">
        <v>3020</v>
      </c>
      <c r="F225" s="242"/>
      <c r="G225"/>
      <c r="H225" s="242">
        <v>-100</v>
      </c>
      <c r="I225" s="242">
        <v>-2820</v>
      </c>
      <c r="J225"/>
    </row>
    <row r="226" spans="1:10" ht="15.75" customHeight="1">
      <c r="A226" t="s">
        <v>1653</v>
      </c>
      <c r="B226">
        <v>313227</v>
      </c>
      <c r="C226">
        <v>1</v>
      </c>
      <c r="D226" t="str">
        <f t="shared" si="3"/>
        <v>1313227.923</v>
      </c>
      <c r="E226" t="s">
        <v>3151</v>
      </c>
      <c r="F226" s="242"/>
      <c r="G226"/>
      <c r="H226" s="242">
        <v>-246373</v>
      </c>
      <c r="I226" s="242">
        <v>-218722</v>
      </c>
      <c r="J226"/>
    </row>
    <row r="227" spans="1:10" ht="15.75" customHeight="1">
      <c r="A227" t="s">
        <v>3016</v>
      </c>
      <c r="B227">
        <v>313227</v>
      </c>
      <c r="C227">
        <v>1</v>
      </c>
      <c r="D227" t="str">
        <f t="shared" si="3"/>
        <v>1313227.926</v>
      </c>
      <c r="E227" t="s">
        <v>3154</v>
      </c>
      <c r="F227" s="242"/>
      <c r="G227"/>
      <c r="H227" s="242">
        <v>-8407</v>
      </c>
      <c r="I227" s="242">
        <v>-8369</v>
      </c>
      <c r="J227"/>
    </row>
    <row r="228" spans="1:10" ht="15.75" customHeight="1">
      <c r="A228" t="s">
        <v>3022</v>
      </c>
      <c r="B228">
        <v>313227</v>
      </c>
      <c r="C228">
        <v>1</v>
      </c>
      <c r="D228" t="str">
        <f t="shared" si="3"/>
        <v>1313227.927</v>
      </c>
      <c r="E228" t="s">
        <v>3155</v>
      </c>
      <c r="F228" s="242"/>
      <c r="G228"/>
      <c r="H228" s="242">
        <v>-4805</v>
      </c>
      <c r="I228" s="242">
        <v>-4762</v>
      </c>
      <c r="J228"/>
    </row>
    <row r="229" spans="1:10" ht="15.75" customHeight="1">
      <c r="A229" t="s">
        <v>2684</v>
      </c>
      <c r="B229">
        <v>313228</v>
      </c>
      <c r="C229">
        <v>1</v>
      </c>
      <c r="D229" t="str">
        <f t="shared" si="3"/>
        <v>1313228.421</v>
      </c>
      <c r="E229" t="s">
        <v>3079</v>
      </c>
      <c r="F229" s="242"/>
      <c r="G229"/>
      <c r="H229" s="242">
        <v>0</v>
      </c>
      <c r="I229" s="242">
        <v>-312</v>
      </c>
      <c r="J229"/>
    </row>
    <row r="230" spans="1:10" ht="15.75" customHeight="1">
      <c r="A230" t="s">
        <v>3082</v>
      </c>
      <c r="B230">
        <v>313228</v>
      </c>
      <c r="C230">
        <v>1</v>
      </c>
      <c r="D230" t="str">
        <f t="shared" si="3"/>
        <v>1313228.921</v>
      </c>
      <c r="E230" t="s">
        <v>3150</v>
      </c>
      <c r="F230" s="242"/>
      <c r="G230"/>
      <c r="H230" s="242">
        <v>-13133</v>
      </c>
      <c r="I230" s="242">
        <v>-13412</v>
      </c>
      <c r="J230"/>
    </row>
    <row r="231" spans="1:10" ht="15.75" customHeight="1">
      <c r="A231" t="s">
        <v>1653</v>
      </c>
      <c r="B231">
        <v>313228</v>
      </c>
      <c r="C231">
        <v>1</v>
      </c>
      <c r="D231" t="str">
        <f t="shared" si="3"/>
        <v>1313228.923</v>
      </c>
      <c r="E231" t="s">
        <v>3151</v>
      </c>
      <c r="F231" s="242"/>
      <c r="G231"/>
      <c r="H231" s="242">
        <v>-650070</v>
      </c>
      <c r="I231" s="242">
        <v>-619471</v>
      </c>
      <c r="J231"/>
    </row>
    <row r="232" spans="1:10" ht="15.75" customHeight="1">
      <c r="A232" t="s">
        <v>3021</v>
      </c>
      <c r="B232">
        <v>313228</v>
      </c>
      <c r="C232">
        <v>1</v>
      </c>
      <c r="D232" t="str">
        <f t="shared" si="3"/>
        <v>1313228.925</v>
      </c>
      <c r="E232" t="s">
        <v>3153</v>
      </c>
      <c r="F232" s="242"/>
      <c r="G232"/>
      <c r="H232" s="242">
        <v>-3276</v>
      </c>
      <c r="I232" s="242">
        <v>-3276</v>
      </c>
      <c r="J232"/>
    </row>
    <row r="233" spans="1:10" ht="15.75" customHeight="1">
      <c r="A233" t="s">
        <v>3016</v>
      </c>
      <c r="B233">
        <v>313228</v>
      </c>
      <c r="C233">
        <v>1</v>
      </c>
      <c r="D233" t="str">
        <f t="shared" si="3"/>
        <v>1313228.926</v>
      </c>
      <c r="E233" t="s">
        <v>3154</v>
      </c>
      <c r="F233" s="242"/>
      <c r="G233"/>
      <c r="H233" s="242">
        <v>-22168</v>
      </c>
      <c r="I233" s="242">
        <v>-21941</v>
      </c>
      <c r="J233"/>
    </row>
    <row r="234" spans="1:10" ht="15.75" customHeight="1">
      <c r="A234" t="s">
        <v>3022</v>
      </c>
      <c r="B234">
        <v>313228</v>
      </c>
      <c r="C234">
        <v>1</v>
      </c>
      <c r="D234" t="str">
        <f t="shared" si="3"/>
        <v>1313228.927</v>
      </c>
      <c r="E234" t="s">
        <v>3155</v>
      </c>
      <c r="F234" s="242"/>
      <c r="G234"/>
      <c r="H234" s="242">
        <v>-12613</v>
      </c>
      <c r="I234" s="242">
        <v>-12484</v>
      </c>
      <c r="J234"/>
    </row>
    <row r="235" spans="1:10" ht="15.75" customHeight="1">
      <c r="A235" t="s">
        <v>3082</v>
      </c>
      <c r="B235">
        <v>313229</v>
      </c>
      <c r="C235">
        <v>1</v>
      </c>
      <c r="D235" t="str">
        <f t="shared" si="3"/>
        <v>1313229.921</v>
      </c>
      <c r="E235" t="s">
        <v>3150</v>
      </c>
      <c r="F235" s="242"/>
      <c r="G235"/>
      <c r="H235" s="242">
        <v>-36487</v>
      </c>
      <c r="I235" s="242">
        <v>-37259</v>
      </c>
      <c r="J235"/>
    </row>
    <row r="236" spans="1:10" ht="15.75" customHeight="1">
      <c r="A236" t="s">
        <v>1648</v>
      </c>
      <c r="B236">
        <v>313229</v>
      </c>
      <c r="C236">
        <v>1</v>
      </c>
      <c r="D236" t="str">
        <f t="shared" si="3"/>
        <v>1313229.922</v>
      </c>
      <c r="E236" t="s">
        <v>3020</v>
      </c>
      <c r="F236" s="242"/>
      <c r="G236"/>
      <c r="H236" s="242">
        <v>0</v>
      </c>
      <c r="I236" s="242">
        <v>-2500</v>
      </c>
      <c r="J236"/>
    </row>
    <row r="237" spans="1:10" ht="15.75" customHeight="1">
      <c r="A237" t="s">
        <v>1653</v>
      </c>
      <c r="B237">
        <v>313229</v>
      </c>
      <c r="C237">
        <v>1</v>
      </c>
      <c r="D237" t="str">
        <f t="shared" si="3"/>
        <v>1313229.923</v>
      </c>
      <c r="E237" t="s">
        <v>3151</v>
      </c>
      <c r="F237" s="242"/>
      <c r="G237"/>
      <c r="H237" s="242">
        <v>-724622</v>
      </c>
      <c r="I237" s="242">
        <v>-691998</v>
      </c>
      <c r="J237"/>
    </row>
    <row r="238" spans="1:10" ht="15.75" customHeight="1">
      <c r="A238" t="s">
        <v>3014</v>
      </c>
      <c r="B238">
        <v>313229</v>
      </c>
      <c r="C238">
        <v>1</v>
      </c>
      <c r="D238" t="str">
        <f t="shared" si="3"/>
        <v>1313229.924</v>
      </c>
      <c r="E238" t="s">
        <v>3152</v>
      </c>
      <c r="F238" s="242"/>
      <c r="G238"/>
      <c r="H238" s="242">
        <v>-119154</v>
      </c>
      <c r="I238" s="242">
        <v>-114713</v>
      </c>
      <c r="J238"/>
    </row>
    <row r="239" spans="1:10" ht="15.75" customHeight="1">
      <c r="A239" t="s">
        <v>3021</v>
      </c>
      <c r="B239">
        <v>313229</v>
      </c>
      <c r="C239">
        <v>1</v>
      </c>
      <c r="D239" t="str">
        <f t="shared" si="3"/>
        <v>1313229.925</v>
      </c>
      <c r="E239" t="s">
        <v>3153</v>
      </c>
      <c r="F239" s="242"/>
      <c r="G239"/>
      <c r="H239" s="242">
        <v>-1658</v>
      </c>
      <c r="I239" s="242">
        <v>-1658</v>
      </c>
      <c r="J239"/>
    </row>
    <row r="240" spans="1:10" ht="15.75" customHeight="1">
      <c r="A240" t="s">
        <v>3016</v>
      </c>
      <c r="B240">
        <v>313229</v>
      </c>
      <c r="C240">
        <v>1</v>
      </c>
      <c r="D240" t="str">
        <f t="shared" si="3"/>
        <v>1313229.926</v>
      </c>
      <c r="E240" t="s">
        <v>3154</v>
      </c>
      <c r="F240" s="242"/>
      <c r="G240"/>
      <c r="H240" s="242">
        <v>-25900</v>
      </c>
      <c r="I240" s="242">
        <v>-25372</v>
      </c>
      <c r="J240"/>
    </row>
    <row r="241" spans="1:10" ht="15.75" customHeight="1">
      <c r="A241" t="s">
        <v>3022</v>
      </c>
      <c r="B241">
        <v>313229</v>
      </c>
      <c r="C241">
        <v>1</v>
      </c>
      <c r="D241" t="str">
        <f t="shared" si="3"/>
        <v>1313229.927</v>
      </c>
      <c r="E241" t="s">
        <v>3155</v>
      </c>
      <c r="F241" s="242"/>
      <c r="G241"/>
      <c r="H241" s="242">
        <v>-13943</v>
      </c>
      <c r="I241" s="242">
        <v>-13599</v>
      </c>
      <c r="J241"/>
    </row>
    <row r="242" spans="1:10" ht="15.75" customHeight="1">
      <c r="A242" t="s">
        <v>2636</v>
      </c>
      <c r="B242">
        <v>313231</v>
      </c>
      <c r="C242">
        <v>1</v>
      </c>
      <c r="D242" t="str">
        <f t="shared" si="3"/>
        <v>1313231.790</v>
      </c>
      <c r="E242" t="s">
        <v>3167</v>
      </c>
      <c r="F242" s="242"/>
      <c r="G242"/>
      <c r="H242" s="242">
        <v>0</v>
      </c>
      <c r="I242" s="242">
        <v>-6000</v>
      </c>
      <c r="J242"/>
    </row>
    <row r="243" spans="1:10" ht="15.75" customHeight="1">
      <c r="A243" t="s">
        <v>3012</v>
      </c>
      <c r="B243">
        <v>313231</v>
      </c>
      <c r="C243">
        <v>1</v>
      </c>
      <c r="D243" t="str">
        <f t="shared" si="3"/>
        <v>1313231.920</v>
      </c>
      <c r="E243" t="s">
        <v>3149</v>
      </c>
      <c r="F243" s="242"/>
      <c r="G243"/>
      <c r="H243" s="242">
        <v>0</v>
      </c>
      <c r="I243" s="242">
        <v>0</v>
      </c>
      <c r="J243"/>
    </row>
    <row r="244" spans="1:10" ht="15.75" customHeight="1">
      <c r="A244" t="s">
        <v>3082</v>
      </c>
      <c r="B244">
        <v>313231</v>
      </c>
      <c r="C244">
        <v>1</v>
      </c>
      <c r="D244" t="str">
        <f t="shared" si="3"/>
        <v>1313231.921</v>
      </c>
      <c r="E244" t="s">
        <v>3150</v>
      </c>
      <c r="F244" s="242"/>
      <c r="G244"/>
      <c r="H244" s="242">
        <v>-12161</v>
      </c>
      <c r="I244" s="242">
        <v>-12420</v>
      </c>
      <c r="J244"/>
    </row>
    <row r="245" spans="1:10" ht="15.75" customHeight="1">
      <c r="A245" t="s">
        <v>1648</v>
      </c>
      <c r="B245">
        <v>313231</v>
      </c>
      <c r="C245">
        <v>1</v>
      </c>
      <c r="D245" t="str">
        <f t="shared" si="3"/>
        <v>1313231.922</v>
      </c>
      <c r="E245" t="s">
        <v>3020</v>
      </c>
      <c r="F245" s="242"/>
      <c r="G245"/>
      <c r="H245" s="242">
        <v>0</v>
      </c>
      <c r="I245" s="242">
        <v>-9000</v>
      </c>
      <c r="J245"/>
    </row>
    <row r="246" spans="1:10" ht="15.75" customHeight="1">
      <c r="A246" t="s">
        <v>1653</v>
      </c>
      <c r="B246">
        <v>313231</v>
      </c>
      <c r="C246">
        <v>1</v>
      </c>
      <c r="D246" t="str">
        <f t="shared" si="3"/>
        <v>1313231.923</v>
      </c>
      <c r="E246" t="s">
        <v>3151</v>
      </c>
      <c r="F246" s="242"/>
      <c r="G246"/>
      <c r="H246" s="242">
        <v>-325717</v>
      </c>
      <c r="I246" s="242">
        <v>-315308</v>
      </c>
      <c r="J246"/>
    </row>
    <row r="247" spans="1:10" ht="15.75" customHeight="1">
      <c r="A247" t="s">
        <v>3016</v>
      </c>
      <c r="B247">
        <v>313231</v>
      </c>
      <c r="C247">
        <v>1</v>
      </c>
      <c r="D247" t="str">
        <f t="shared" si="3"/>
        <v>1313231.926</v>
      </c>
      <c r="E247" t="s">
        <v>3154</v>
      </c>
      <c r="F247" s="242"/>
      <c r="G247"/>
      <c r="H247" s="242">
        <v>-12177</v>
      </c>
      <c r="I247" s="242">
        <v>-12462</v>
      </c>
      <c r="J247"/>
    </row>
    <row r="248" spans="1:10" ht="15.75" customHeight="1">
      <c r="A248" t="s">
        <v>3022</v>
      </c>
      <c r="B248">
        <v>313231</v>
      </c>
      <c r="C248">
        <v>1</v>
      </c>
      <c r="D248" t="str">
        <f t="shared" si="3"/>
        <v>1313231.927</v>
      </c>
      <c r="E248" t="s">
        <v>3155</v>
      </c>
      <c r="F248" s="242"/>
      <c r="G248"/>
      <c r="H248" s="242">
        <v>-6950</v>
      </c>
      <c r="I248" s="242">
        <v>-7100</v>
      </c>
      <c r="J248"/>
    </row>
    <row r="249" spans="1:10" ht="15.75" customHeight="1">
      <c r="A249" t="s">
        <v>3112</v>
      </c>
      <c r="B249">
        <v>313231</v>
      </c>
      <c r="C249">
        <v>1</v>
      </c>
      <c r="D249" t="str">
        <f t="shared" si="3"/>
        <v>1313231.928</v>
      </c>
      <c r="E249" t="s">
        <v>3162</v>
      </c>
      <c r="F249" s="242"/>
      <c r="G249"/>
      <c r="H249" s="242">
        <v>-1200</v>
      </c>
      <c r="I249" s="242">
        <v>-800</v>
      </c>
      <c r="J249"/>
    </row>
    <row r="250" spans="1:10" ht="15.75" customHeight="1">
      <c r="A250" t="s">
        <v>3012</v>
      </c>
      <c r="B250">
        <v>313232</v>
      </c>
      <c r="C250">
        <v>1</v>
      </c>
      <c r="D250" t="str">
        <f t="shared" si="3"/>
        <v>1313232.920</v>
      </c>
      <c r="E250" t="s">
        <v>3149</v>
      </c>
      <c r="F250" s="242"/>
      <c r="G250"/>
      <c r="H250" s="242">
        <v>0</v>
      </c>
      <c r="I250" s="242">
        <v>-498</v>
      </c>
      <c r="J250"/>
    </row>
    <row r="251" spans="1:10" ht="15.75" customHeight="1">
      <c r="A251" t="s">
        <v>3082</v>
      </c>
      <c r="B251">
        <v>313232</v>
      </c>
      <c r="C251">
        <v>1</v>
      </c>
      <c r="D251" t="str">
        <f t="shared" si="3"/>
        <v>1313232.921</v>
      </c>
      <c r="E251" t="s">
        <v>3150</v>
      </c>
      <c r="F251" s="242"/>
      <c r="G251"/>
      <c r="H251" s="242">
        <v>-12161</v>
      </c>
      <c r="I251" s="242">
        <v>-13142</v>
      </c>
      <c r="J251"/>
    </row>
    <row r="252" spans="1:10" ht="15.75" customHeight="1">
      <c r="A252" t="s">
        <v>1653</v>
      </c>
      <c r="B252">
        <v>313232</v>
      </c>
      <c r="C252">
        <v>1</v>
      </c>
      <c r="D252" t="str">
        <f t="shared" si="3"/>
        <v>1313232.923</v>
      </c>
      <c r="E252" t="s">
        <v>3151</v>
      </c>
      <c r="F252" s="242"/>
      <c r="G252"/>
      <c r="H252" s="242">
        <v>-277423</v>
      </c>
      <c r="I252" s="242">
        <v>-283489</v>
      </c>
      <c r="J252"/>
    </row>
    <row r="253" spans="1:10" ht="15.75" customHeight="1">
      <c r="A253" t="s">
        <v>3014</v>
      </c>
      <c r="B253">
        <v>313232</v>
      </c>
      <c r="C253">
        <v>1</v>
      </c>
      <c r="D253" t="str">
        <f t="shared" si="3"/>
        <v>1313232.924</v>
      </c>
      <c r="E253" t="s">
        <v>3152</v>
      </c>
      <c r="F253" s="242"/>
      <c r="G253"/>
      <c r="H253" s="242">
        <v>-75101</v>
      </c>
      <c r="I253" s="242">
        <v>-76475</v>
      </c>
      <c r="J253"/>
    </row>
    <row r="254" spans="1:10" ht="15.75" customHeight="1">
      <c r="A254" t="s">
        <v>3021</v>
      </c>
      <c r="B254">
        <v>313232</v>
      </c>
      <c r="C254">
        <v>1</v>
      </c>
      <c r="D254" t="str">
        <f t="shared" si="3"/>
        <v>1313232.925</v>
      </c>
      <c r="E254" t="s">
        <v>3153</v>
      </c>
      <c r="F254" s="242"/>
      <c r="G254"/>
      <c r="H254" s="242">
        <v>0</v>
      </c>
      <c r="I254" s="242">
        <v>-1105</v>
      </c>
      <c r="J254"/>
    </row>
    <row r="255" spans="1:10" ht="15.75" customHeight="1">
      <c r="A255" t="s">
        <v>3016</v>
      </c>
      <c r="B255">
        <v>313232</v>
      </c>
      <c r="C255">
        <v>1</v>
      </c>
      <c r="D255" t="str">
        <f t="shared" si="3"/>
        <v>1313232.926</v>
      </c>
      <c r="E255" t="s">
        <v>3154</v>
      </c>
      <c r="F255" s="242"/>
      <c r="G255"/>
      <c r="H255" s="242">
        <v>-10292</v>
      </c>
      <c r="I255" s="242">
        <v>-10368</v>
      </c>
      <c r="J255"/>
    </row>
    <row r="256" spans="1:10" ht="15.75" customHeight="1">
      <c r="A256" t="s">
        <v>3022</v>
      </c>
      <c r="B256">
        <v>313232</v>
      </c>
      <c r="C256">
        <v>1</v>
      </c>
      <c r="D256" t="str">
        <f t="shared" si="3"/>
        <v>1313232.927</v>
      </c>
      <c r="E256" t="s">
        <v>3155</v>
      </c>
      <c r="F256" s="242"/>
      <c r="G256"/>
      <c r="H256" s="242">
        <v>-5341</v>
      </c>
      <c r="I256" s="242">
        <v>-5384</v>
      </c>
      <c r="J256"/>
    </row>
    <row r="257" spans="1:10" ht="15.75" customHeight="1">
      <c r="A257" t="s">
        <v>3112</v>
      </c>
      <c r="B257">
        <v>313232</v>
      </c>
      <c r="C257">
        <v>1</v>
      </c>
      <c r="D257" t="str">
        <f t="shared" si="3"/>
        <v>1313232.928</v>
      </c>
      <c r="E257" t="s">
        <v>3162</v>
      </c>
      <c r="F257" s="242"/>
      <c r="G257"/>
      <c r="H257" s="242">
        <v>-2400</v>
      </c>
      <c r="I257" s="242">
        <v>-2400</v>
      </c>
      <c r="J257"/>
    </row>
    <row r="258" spans="1:10" ht="15.75" customHeight="1">
      <c r="A258" t="s">
        <v>3088</v>
      </c>
      <c r="B258">
        <v>313232</v>
      </c>
      <c r="C258">
        <v>1</v>
      </c>
      <c r="D258" t="str">
        <f t="shared" si="3"/>
        <v>1313232.929</v>
      </c>
      <c r="E258" t="s">
        <v>3163</v>
      </c>
      <c r="F258" s="242"/>
      <c r="G258"/>
      <c r="H258" s="242">
        <v>0</v>
      </c>
      <c r="I258" s="242">
        <v>0</v>
      </c>
      <c r="J258"/>
    </row>
    <row r="259" spans="1:10" ht="15.75" customHeight="1">
      <c r="A259" t="s">
        <v>3012</v>
      </c>
      <c r="B259">
        <v>313233</v>
      </c>
      <c r="C259">
        <v>1</v>
      </c>
      <c r="D259" t="str">
        <f t="shared" ref="D259:D322" si="4">C259&amp;B259&amp;"."&amp;A259</f>
        <v>1313233.920</v>
      </c>
      <c r="E259" t="s">
        <v>3149</v>
      </c>
      <c r="F259" s="242"/>
      <c r="G259"/>
      <c r="H259" s="242">
        <v>0</v>
      </c>
      <c r="I259" s="242">
        <v>-626</v>
      </c>
      <c r="J259"/>
    </row>
    <row r="260" spans="1:10" ht="15.75" customHeight="1">
      <c r="A260" t="s">
        <v>3082</v>
      </c>
      <c r="B260">
        <v>313233</v>
      </c>
      <c r="C260">
        <v>1</v>
      </c>
      <c r="D260" t="str">
        <f t="shared" si="4"/>
        <v>1313233.921</v>
      </c>
      <c r="E260" t="s">
        <v>3150</v>
      </c>
      <c r="F260" s="242"/>
      <c r="G260"/>
      <c r="H260" s="242">
        <v>-8755</v>
      </c>
      <c r="I260" s="242">
        <v>-9076</v>
      </c>
      <c r="J260"/>
    </row>
    <row r="261" spans="1:10" ht="15.75" customHeight="1">
      <c r="A261" t="s">
        <v>1653</v>
      </c>
      <c r="B261">
        <v>313233</v>
      </c>
      <c r="C261">
        <v>1</v>
      </c>
      <c r="D261" t="str">
        <f t="shared" si="4"/>
        <v>1313233.923</v>
      </c>
      <c r="E261" t="s">
        <v>3151</v>
      </c>
      <c r="F261" s="242"/>
      <c r="G261"/>
      <c r="H261" s="242">
        <v>-370219</v>
      </c>
      <c r="I261" s="242">
        <v>-316518</v>
      </c>
      <c r="J261"/>
    </row>
    <row r="262" spans="1:10" ht="15.75" customHeight="1">
      <c r="A262" t="s">
        <v>3021</v>
      </c>
      <c r="B262">
        <v>313233</v>
      </c>
      <c r="C262">
        <v>1</v>
      </c>
      <c r="D262" t="str">
        <f t="shared" si="4"/>
        <v>1313233.925</v>
      </c>
      <c r="E262" t="s">
        <v>3153</v>
      </c>
      <c r="F262" s="242"/>
      <c r="G262"/>
      <c r="H262" s="242">
        <v>-3640</v>
      </c>
      <c r="I262" s="242">
        <v>-1820</v>
      </c>
      <c r="J262"/>
    </row>
    <row r="263" spans="1:10" ht="15.75" customHeight="1">
      <c r="A263" t="s">
        <v>3016</v>
      </c>
      <c r="B263">
        <v>313233</v>
      </c>
      <c r="C263">
        <v>1</v>
      </c>
      <c r="D263" t="str">
        <f t="shared" si="4"/>
        <v>1313233.926</v>
      </c>
      <c r="E263" t="s">
        <v>3154</v>
      </c>
      <c r="F263" s="242"/>
      <c r="G263"/>
      <c r="H263" s="242">
        <v>-11725</v>
      </c>
      <c r="I263" s="242">
        <v>-10066</v>
      </c>
      <c r="J263"/>
    </row>
    <row r="264" spans="1:10" ht="15.75" customHeight="1">
      <c r="A264" t="s">
        <v>3022</v>
      </c>
      <c r="B264">
        <v>313233</v>
      </c>
      <c r="C264">
        <v>1</v>
      </c>
      <c r="D264" t="str">
        <f t="shared" si="4"/>
        <v>1313233.927</v>
      </c>
      <c r="E264" t="s">
        <v>3155</v>
      </c>
      <c r="F264" s="242"/>
      <c r="G264"/>
      <c r="H264" s="242">
        <v>-6671</v>
      </c>
      <c r="I264" s="242">
        <v>-5727</v>
      </c>
      <c r="J264"/>
    </row>
    <row r="265" spans="1:10" ht="15.75" customHeight="1">
      <c r="A265" t="s">
        <v>3088</v>
      </c>
      <c r="B265">
        <v>313233</v>
      </c>
      <c r="C265">
        <v>1</v>
      </c>
      <c r="D265" t="str">
        <f t="shared" si="4"/>
        <v>1313233.929</v>
      </c>
      <c r="E265" t="s">
        <v>3163</v>
      </c>
      <c r="F265" s="242"/>
      <c r="G265"/>
      <c r="H265" s="242">
        <v>0</v>
      </c>
      <c r="I265" s="242">
        <v>0</v>
      </c>
      <c r="J265"/>
    </row>
    <row r="266" spans="1:10" ht="15.75" customHeight="1">
      <c r="A266" t="s">
        <v>3082</v>
      </c>
      <c r="B266">
        <v>313234</v>
      </c>
      <c r="C266">
        <v>1</v>
      </c>
      <c r="D266" t="str">
        <f t="shared" si="4"/>
        <v>1313234.921</v>
      </c>
      <c r="E266" t="s">
        <v>3150</v>
      </c>
      <c r="F266" s="242"/>
      <c r="G266"/>
      <c r="H266" s="242">
        <v>0</v>
      </c>
      <c r="I266" s="242">
        <v>0</v>
      </c>
      <c r="J266"/>
    </row>
    <row r="267" spans="1:10" ht="15.75" customHeight="1">
      <c r="A267" t="s">
        <v>1653</v>
      </c>
      <c r="B267">
        <v>313234</v>
      </c>
      <c r="C267">
        <v>1</v>
      </c>
      <c r="D267" t="str">
        <f t="shared" si="4"/>
        <v>1313234.923</v>
      </c>
      <c r="E267" t="s">
        <v>3151</v>
      </c>
      <c r="F267" s="242"/>
      <c r="G267"/>
      <c r="H267" s="242">
        <v>-489619</v>
      </c>
      <c r="I267" s="242">
        <v>-487680</v>
      </c>
      <c r="J267"/>
    </row>
    <row r="268" spans="1:10" ht="15.75" customHeight="1">
      <c r="A268" t="s">
        <v>3016</v>
      </c>
      <c r="B268">
        <v>313234</v>
      </c>
      <c r="C268">
        <v>1</v>
      </c>
      <c r="D268" t="str">
        <f t="shared" si="4"/>
        <v>1313234.926</v>
      </c>
      <c r="E268" t="s">
        <v>3154</v>
      </c>
      <c r="F268" s="242"/>
      <c r="G268"/>
      <c r="H268" s="242">
        <v>-19340</v>
      </c>
      <c r="I268" s="242">
        <v>-17794</v>
      </c>
      <c r="J268"/>
    </row>
    <row r="269" spans="1:10" ht="15.75" customHeight="1">
      <c r="A269" t="s">
        <v>3022</v>
      </c>
      <c r="B269">
        <v>313234</v>
      </c>
      <c r="C269">
        <v>1</v>
      </c>
      <c r="D269" t="str">
        <f t="shared" si="4"/>
        <v>1313234.927</v>
      </c>
      <c r="E269" t="s">
        <v>3155</v>
      </c>
      <c r="F269" s="242"/>
      <c r="G269"/>
      <c r="H269" s="242">
        <v>-11004</v>
      </c>
      <c r="I269" s="242">
        <v>-10124</v>
      </c>
      <c r="J269"/>
    </row>
    <row r="270" spans="1:10" ht="15.75" customHeight="1">
      <c r="A270" t="s">
        <v>3082</v>
      </c>
      <c r="B270">
        <v>313235</v>
      </c>
      <c r="C270">
        <v>1</v>
      </c>
      <c r="D270" t="str">
        <f t="shared" si="4"/>
        <v>1313235.921</v>
      </c>
      <c r="E270" t="s">
        <v>3150</v>
      </c>
      <c r="F270" s="242"/>
      <c r="G270"/>
      <c r="H270" s="242">
        <v>-18242</v>
      </c>
      <c r="I270" s="242">
        <v>-18630</v>
      </c>
      <c r="J270"/>
    </row>
    <row r="271" spans="1:10" ht="15.75" customHeight="1">
      <c r="A271" t="s">
        <v>1648</v>
      </c>
      <c r="B271">
        <v>313235</v>
      </c>
      <c r="C271">
        <v>1</v>
      </c>
      <c r="D271" t="str">
        <f t="shared" si="4"/>
        <v>1313235.922</v>
      </c>
      <c r="E271" t="s">
        <v>3020</v>
      </c>
      <c r="F271" s="242"/>
      <c r="G271"/>
      <c r="H271" s="242">
        <v>0</v>
      </c>
      <c r="I271" s="242">
        <v>-10000</v>
      </c>
      <c r="J271"/>
    </row>
    <row r="272" spans="1:10" ht="15.75" customHeight="1">
      <c r="A272" t="s">
        <v>1653</v>
      </c>
      <c r="B272">
        <v>313235</v>
      </c>
      <c r="C272">
        <v>1</v>
      </c>
      <c r="D272" t="str">
        <f t="shared" si="4"/>
        <v>1313235.923</v>
      </c>
      <c r="E272" t="s">
        <v>3151</v>
      </c>
      <c r="F272" s="242"/>
      <c r="G272"/>
      <c r="H272" s="242">
        <v>-436114</v>
      </c>
      <c r="I272" s="242">
        <v>-456830</v>
      </c>
      <c r="J272"/>
    </row>
    <row r="273" spans="1:10" ht="15.75" customHeight="1">
      <c r="A273" t="s">
        <v>3016</v>
      </c>
      <c r="B273">
        <v>313235</v>
      </c>
      <c r="C273">
        <v>1</v>
      </c>
      <c r="D273" t="str">
        <f t="shared" si="4"/>
        <v>1313235.926</v>
      </c>
      <c r="E273" t="s">
        <v>3154</v>
      </c>
      <c r="F273" s="242"/>
      <c r="G273"/>
      <c r="H273" s="242">
        <v>-16965</v>
      </c>
      <c r="I273" s="242">
        <v>-18435</v>
      </c>
      <c r="J273"/>
    </row>
    <row r="274" spans="1:10" ht="15.75" customHeight="1">
      <c r="A274" t="s">
        <v>3022</v>
      </c>
      <c r="B274">
        <v>313235</v>
      </c>
      <c r="C274">
        <v>1</v>
      </c>
      <c r="D274" t="str">
        <f t="shared" si="4"/>
        <v>1313235.927</v>
      </c>
      <c r="E274" t="s">
        <v>3155</v>
      </c>
      <c r="F274" s="242"/>
      <c r="G274"/>
      <c r="H274" s="242">
        <v>-9738</v>
      </c>
      <c r="I274" s="242">
        <v>-10425</v>
      </c>
      <c r="J274"/>
    </row>
    <row r="275" spans="1:10" ht="15.75" customHeight="1">
      <c r="A275" t="s">
        <v>3012</v>
      </c>
      <c r="B275">
        <v>313236</v>
      </c>
      <c r="C275">
        <v>1</v>
      </c>
      <c r="D275" t="str">
        <f t="shared" si="4"/>
        <v>1313236.920</v>
      </c>
      <c r="E275" t="s">
        <v>3149</v>
      </c>
      <c r="F275" s="242"/>
      <c r="G275"/>
      <c r="H275" s="242">
        <v>0</v>
      </c>
      <c r="I275" s="242">
        <v>-626</v>
      </c>
      <c r="J275"/>
    </row>
    <row r="276" spans="1:10" ht="15.75" customHeight="1">
      <c r="A276" t="s">
        <v>3082</v>
      </c>
      <c r="B276">
        <v>313236</v>
      </c>
      <c r="C276">
        <v>1</v>
      </c>
      <c r="D276" t="str">
        <f t="shared" si="4"/>
        <v>1313236.921</v>
      </c>
      <c r="E276" t="s">
        <v>3150</v>
      </c>
      <c r="F276" s="242"/>
      <c r="G276"/>
      <c r="H276" s="242">
        <v>-18242</v>
      </c>
      <c r="I276" s="242">
        <v>-18630</v>
      </c>
      <c r="J276"/>
    </row>
    <row r="277" spans="1:10" ht="15.75" customHeight="1">
      <c r="A277" t="s">
        <v>1648</v>
      </c>
      <c r="B277">
        <v>313236</v>
      </c>
      <c r="C277">
        <v>1</v>
      </c>
      <c r="D277" t="str">
        <f t="shared" si="4"/>
        <v>1313236.922</v>
      </c>
      <c r="E277" t="s">
        <v>3020</v>
      </c>
      <c r="F277" s="242"/>
      <c r="G277"/>
      <c r="H277" s="242">
        <v>0</v>
      </c>
      <c r="I277" s="242">
        <v>-2500</v>
      </c>
      <c r="J277"/>
    </row>
    <row r="278" spans="1:10" ht="15.75" customHeight="1">
      <c r="A278" t="s">
        <v>1653</v>
      </c>
      <c r="B278">
        <v>313236</v>
      </c>
      <c r="C278">
        <v>1</v>
      </c>
      <c r="D278" t="str">
        <f t="shared" si="4"/>
        <v>1313236.923</v>
      </c>
      <c r="E278" t="s">
        <v>3151</v>
      </c>
      <c r="F278" s="242"/>
      <c r="G278"/>
      <c r="H278" s="242">
        <v>-356653</v>
      </c>
      <c r="I278" s="242">
        <v>-324425</v>
      </c>
      <c r="J278"/>
    </row>
    <row r="279" spans="1:10" ht="15.75" customHeight="1">
      <c r="A279" t="s">
        <v>3014</v>
      </c>
      <c r="B279">
        <v>313236</v>
      </c>
      <c r="C279">
        <v>1</v>
      </c>
      <c r="D279" t="str">
        <f t="shared" si="4"/>
        <v>1313236.924</v>
      </c>
      <c r="E279" t="s">
        <v>3152</v>
      </c>
      <c r="F279" s="242"/>
      <c r="G279"/>
      <c r="H279" s="242">
        <v>-37550</v>
      </c>
      <c r="I279" s="242">
        <v>-38238</v>
      </c>
      <c r="J279"/>
    </row>
    <row r="280" spans="1:10" ht="15.75" customHeight="1">
      <c r="A280" t="s">
        <v>3021</v>
      </c>
      <c r="B280">
        <v>313236</v>
      </c>
      <c r="C280">
        <v>1</v>
      </c>
      <c r="D280" t="str">
        <f t="shared" si="4"/>
        <v>1313236.925</v>
      </c>
      <c r="E280" t="s">
        <v>3153</v>
      </c>
      <c r="F280" s="242"/>
      <c r="G280"/>
      <c r="H280" s="242">
        <v>0</v>
      </c>
      <c r="I280" s="242">
        <v>-553</v>
      </c>
      <c r="J280"/>
    </row>
    <row r="281" spans="1:10" ht="15.75" customHeight="1">
      <c r="A281" t="s">
        <v>3016</v>
      </c>
      <c r="B281">
        <v>313236</v>
      </c>
      <c r="C281">
        <v>1</v>
      </c>
      <c r="D281" t="str">
        <f t="shared" si="4"/>
        <v>1313236.926</v>
      </c>
      <c r="E281" t="s">
        <v>3154</v>
      </c>
      <c r="F281" s="242"/>
      <c r="G281"/>
      <c r="H281" s="242">
        <v>-12592</v>
      </c>
      <c r="I281" s="242">
        <v>-12969</v>
      </c>
      <c r="J281"/>
    </row>
    <row r="282" spans="1:10" ht="15.75" customHeight="1">
      <c r="A282" t="s">
        <v>3022</v>
      </c>
      <c r="B282">
        <v>313236</v>
      </c>
      <c r="C282">
        <v>1</v>
      </c>
      <c r="D282" t="str">
        <f t="shared" si="4"/>
        <v>1313236.927</v>
      </c>
      <c r="E282" t="s">
        <v>3155</v>
      </c>
      <c r="F282" s="242"/>
      <c r="G282"/>
      <c r="H282" s="242">
        <v>-6456</v>
      </c>
      <c r="I282" s="242">
        <v>-7100</v>
      </c>
      <c r="J282"/>
    </row>
    <row r="283" spans="1:10" ht="15.75" customHeight="1">
      <c r="A283" t="s">
        <v>3012</v>
      </c>
      <c r="B283">
        <v>313237</v>
      </c>
      <c r="C283">
        <v>1</v>
      </c>
      <c r="D283" t="str">
        <f t="shared" si="4"/>
        <v>1313237.920</v>
      </c>
      <c r="E283" t="s">
        <v>3149</v>
      </c>
      <c r="F283" s="242"/>
      <c r="G283"/>
      <c r="H283" s="242">
        <v>0</v>
      </c>
      <c r="I283" s="242">
        <v>0</v>
      </c>
      <c r="J283"/>
    </row>
    <row r="284" spans="1:10" ht="15.75" customHeight="1">
      <c r="A284" t="s">
        <v>3082</v>
      </c>
      <c r="B284">
        <v>313237</v>
      </c>
      <c r="C284">
        <v>1</v>
      </c>
      <c r="D284" t="str">
        <f t="shared" si="4"/>
        <v>1313237.921</v>
      </c>
      <c r="E284" t="s">
        <v>3150</v>
      </c>
      <c r="F284" s="242"/>
      <c r="G284"/>
      <c r="H284" s="242">
        <v>-12161</v>
      </c>
      <c r="I284" s="242">
        <v>-14383</v>
      </c>
      <c r="J284"/>
    </row>
    <row r="285" spans="1:10" ht="15.75" customHeight="1">
      <c r="A285" t="s">
        <v>1653</v>
      </c>
      <c r="B285">
        <v>313237</v>
      </c>
      <c r="C285">
        <v>1</v>
      </c>
      <c r="D285" t="str">
        <f t="shared" si="4"/>
        <v>1313237.923</v>
      </c>
      <c r="E285" t="s">
        <v>3151</v>
      </c>
      <c r="F285" s="242"/>
      <c r="G285"/>
      <c r="H285" s="242">
        <v>-522427</v>
      </c>
      <c r="I285" s="242">
        <v>-445759</v>
      </c>
      <c r="J285"/>
    </row>
    <row r="286" spans="1:10" ht="15.75" customHeight="1">
      <c r="A286" t="s">
        <v>3016</v>
      </c>
      <c r="B286">
        <v>313237</v>
      </c>
      <c r="C286">
        <v>1</v>
      </c>
      <c r="D286" t="str">
        <f t="shared" si="4"/>
        <v>1313237.926</v>
      </c>
      <c r="E286" t="s">
        <v>3154</v>
      </c>
      <c r="F286" s="242"/>
      <c r="G286"/>
      <c r="H286" s="242">
        <v>-17644</v>
      </c>
      <c r="I286" s="242">
        <v>-16127</v>
      </c>
      <c r="J286"/>
    </row>
    <row r="287" spans="1:10" ht="15.75" customHeight="1">
      <c r="A287" t="s">
        <v>3022</v>
      </c>
      <c r="B287">
        <v>313237</v>
      </c>
      <c r="C287">
        <v>1</v>
      </c>
      <c r="D287" t="str">
        <f t="shared" si="4"/>
        <v>1313237.927</v>
      </c>
      <c r="E287" t="s">
        <v>3155</v>
      </c>
      <c r="F287" s="242"/>
      <c r="G287"/>
      <c r="H287" s="242">
        <v>-10060</v>
      </c>
      <c r="I287" s="242">
        <v>-8945</v>
      </c>
      <c r="J287"/>
    </row>
    <row r="288" spans="1:10" ht="15.75" customHeight="1">
      <c r="A288" t="s">
        <v>3112</v>
      </c>
      <c r="B288">
        <v>313237</v>
      </c>
      <c r="C288">
        <v>1</v>
      </c>
      <c r="D288" t="str">
        <f t="shared" si="4"/>
        <v>1313237.928</v>
      </c>
      <c r="E288" t="s">
        <v>3168</v>
      </c>
      <c r="F288" s="242"/>
      <c r="G288"/>
      <c r="H288" s="242">
        <v>-800</v>
      </c>
      <c r="I288" s="242">
        <v>0</v>
      </c>
      <c r="J288"/>
    </row>
    <row r="289" spans="1:10" ht="15.75" customHeight="1">
      <c r="A289" t="s">
        <v>3082</v>
      </c>
      <c r="B289">
        <v>313239</v>
      </c>
      <c r="C289">
        <v>1</v>
      </c>
      <c r="D289" t="str">
        <f t="shared" si="4"/>
        <v>1313239.921</v>
      </c>
      <c r="E289" t="s">
        <v>3150</v>
      </c>
      <c r="F289" s="242"/>
      <c r="G289"/>
      <c r="H289" s="242">
        <v>-18242</v>
      </c>
      <c r="I289" s="242">
        <v>-18630</v>
      </c>
      <c r="J289"/>
    </row>
    <row r="290" spans="1:10" ht="15.75" customHeight="1">
      <c r="A290" t="s">
        <v>1653</v>
      </c>
      <c r="B290">
        <v>313239</v>
      </c>
      <c r="C290">
        <v>1</v>
      </c>
      <c r="D290" t="str">
        <f t="shared" si="4"/>
        <v>1313239.923</v>
      </c>
      <c r="E290" t="s">
        <v>3151</v>
      </c>
      <c r="F290" s="242"/>
      <c r="G290"/>
      <c r="H290" s="242">
        <v>-676351</v>
      </c>
      <c r="I290" s="242">
        <v>-599733</v>
      </c>
      <c r="J290"/>
    </row>
    <row r="291" spans="1:10" ht="15.75" customHeight="1">
      <c r="A291" t="s">
        <v>3016</v>
      </c>
      <c r="B291">
        <v>313239</v>
      </c>
      <c r="C291">
        <v>1</v>
      </c>
      <c r="D291" t="str">
        <f t="shared" si="4"/>
        <v>1313239.926</v>
      </c>
      <c r="E291" t="s">
        <v>3154</v>
      </c>
      <c r="F291" s="242"/>
      <c r="G291"/>
      <c r="H291" s="242">
        <v>-22733</v>
      </c>
      <c r="I291" s="242">
        <v>-23223</v>
      </c>
      <c r="J291"/>
    </row>
    <row r="292" spans="1:10" ht="15.75" customHeight="1">
      <c r="A292" t="s">
        <v>3022</v>
      </c>
      <c r="B292">
        <v>313239</v>
      </c>
      <c r="C292">
        <v>1</v>
      </c>
      <c r="D292" t="str">
        <f t="shared" si="4"/>
        <v>1313239.927</v>
      </c>
      <c r="E292" t="s">
        <v>3155</v>
      </c>
      <c r="F292" s="242"/>
      <c r="G292"/>
      <c r="H292" s="242">
        <v>-12934</v>
      </c>
      <c r="I292" s="242">
        <v>-13213</v>
      </c>
      <c r="J292"/>
    </row>
    <row r="293" spans="1:10" ht="15.75" customHeight="1">
      <c r="A293" t="s">
        <v>3112</v>
      </c>
      <c r="B293">
        <v>313239</v>
      </c>
      <c r="C293">
        <v>1</v>
      </c>
      <c r="D293" t="str">
        <f t="shared" si="4"/>
        <v>1313239.928</v>
      </c>
      <c r="E293" t="s">
        <v>3162</v>
      </c>
      <c r="F293" s="242"/>
      <c r="G293"/>
      <c r="H293" s="242">
        <v>0</v>
      </c>
      <c r="I293" s="242">
        <v>0</v>
      </c>
      <c r="J293"/>
    </row>
    <row r="294" spans="1:10" ht="15.75" customHeight="1">
      <c r="A294" t="s">
        <v>3012</v>
      </c>
      <c r="B294">
        <v>313241</v>
      </c>
      <c r="C294">
        <v>1</v>
      </c>
      <c r="D294" t="str">
        <f t="shared" si="4"/>
        <v>1313241.920</v>
      </c>
      <c r="E294" t="s">
        <v>3149</v>
      </c>
      <c r="F294" s="242"/>
      <c r="G294"/>
      <c r="H294" s="242">
        <v>0</v>
      </c>
      <c r="I294" s="242">
        <v>0</v>
      </c>
      <c r="J294"/>
    </row>
    <row r="295" spans="1:10" ht="15.75" customHeight="1">
      <c r="A295" t="s">
        <v>3082</v>
      </c>
      <c r="B295">
        <v>313241</v>
      </c>
      <c r="C295">
        <v>1</v>
      </c>
      <c r="D295" t="str">
        <f t="shared" si="4"/>
        <v>1313241.921</v>
      </c>
      <c r="E295" t="s">
        <v>3150</v>
      </c>
      <c r="F295" s="242"/>
      <c r="G295"/>
      <c r="H295" s="242">
        <v>-27729</v>
      </c>
      <c r="I295" s="242">
        <v>-30256</v>
      </c>
      <c r="J295"/>
    </row>
    <row r="296" spans="1:10" ht="15.75" customHeight="1">
      <c r="A296" t="s">
        <v>1653</v>
      </c>
      <c r="B296">
        <v>313241</v>
      </c>
      <c r="C296">
        <v>1</v>
      </c>
      <c r="D296" t="str">
        <f t="shared" si="4"/>
        <v>1313241.923</v>
      </c>
      <c r="E296" t="s">
        <v>3151</v>
      </c>
      <c r="F296" s="242"/>
      <c r="G296"/>
      <c r="H296" s="242">
        <v>-368951</v>
      </c>
      <c r="I296" s="242">
        <v>-328252</v>
      </c>
      <c r="J296"/>
    </row>
    <row r="297" spans="1:10" ht="15.75" customHeight="1">
      <c r="A297" t="s">
        <v>3014</v>
      </c>
      <c r="B297">
        <v>313241</v>
      </c>
      <c r="C297">
        <v>1</v>
      </c>
      <c r="D297" t="str">
        <f t="shared" si="4"/>
        <v>1313241.924</v>
      </c>
      <c r="E297" t="s">
        <v>3152</v>
      </c>
      <c r="F297" s="242"/>
      <c r="G297"/>
      <c r="H297" s="242">
        <v>-140816</v>
      </c>
      <c r="I297" s="242">
        <v>-158570</v>
      </c>
      <c r="J297"/>
    </row>
    <row r="298" spans="1:10" ht="15.75" customHeight="1">
      <c r="A298" t="s">
        <v>3021</v>
      </c>
      <c r="B298">
        <v>313241</v>
      </c>
      <c r="C298">
        <v>1</v>
      </c>
      <c r="D298" t="str">
        <f t="shared" si="4"/>
        <v>1313241.925</v>
      </c>
      <c r="E298" t="s">
        <v>3153</v>
      </c>
      <c r="F298" s="242"/>
      <c r="G298"/>
      <c r="H298" s="242">
        <v>-4024</v>
      </c>
      <c r="I298" s="242">
        <v>-4394</v>
      </c>
      <c r="J298"/>
    </row>
    <row r="299" spans="1:10" ht="15.75" customHeight="1">
      <c r="A299" t="s">
        <v>3016</v>
      </c>
      <c r="B299">
        <v>313241</v>
      </c>
      <c r="C299">
        <v>1</v>
      </c>
      <c r="D299" t="str">
        <f t="shared" si="4"/>
        <v>1313241.926</v>
      </c>
      <c r="E299" t="s">
        <v>3154</v>
      </c>
      <c r="F299" s="242"/>
      <c r="G299"/>
      <c r="H299" s="242">
        <v>-10858</v>
      </c>
      <c r="I299" s="242">
        <v>-10443</v>
      </c>
      <c r="J299"/>
    </row>
    <row r="300" spans="1:10" ht="15.75" customHeight="1">
      <c r="A300" t="s">
        <v>3022</v>
      </c>
      <c r="B300">
        <v>313241</v>
      </c>
      <c r="C300">
        <v>1</v>
      </c>
      <c r="D300" t="str">
        <f t="shared" si="4"/>
        <v>1313241.927</v>
      </c>
      <c r="E300" t="s">
        <v>3169</v>
      </c>
      <c r="F300" s="242"/>
      <c r="G300"/>
      <c r="H300" s="242">
        <v>-5341</v>
      </c>
      <c r="I300" s="242">
        <v>-5019</v>
      </c>
      <c r="J300"/>
    </row>
    <row r="301" spans="1:10" ht="15.75" customHeight="1">
      <c r="A301" t="s">
        <v>3012</v>
      </c>
      <c r="B301">
        <v>313242</v>
      </c>
      <c r="C301">
        <v>1</v>
      </c>
      <c r="D301" t="str">
        <f t="shared" si="4"/>
        <v>1313242.920</v>
      </c>
      <c r="E301" t="s">
        <v>3149</v>
      </c>
      <c r="F301" s="242"/>
      <c r="G301"/>
      <c r="H301" s="242">
        <v>0</v>
      </c>
      <c r="I301" s="242">
        <v>-1124</v>
      </c>
      <c r="J301"/>
    </row>
    <row r="302" spans="1:10" ht="15.75" customHeight="1">
      <c r="A302" t="s">
        <v>3082</v>
      </c>
      <c r="B302">
        <v>313242</v>
      </c>
      <c r="C302">
        <v>1</v>
      </c>
      <c r="D302" t="str">
        <f t="shared" si="4"/>
        <v>1313242.921</v>
      </c>
      <c r="E302" t="s">
        <v>3150</v>
      </c>
      <c r="F302" s="242"/>
      <c r="G302"/>
      <c r="H302" s="242">
        <v>-18242</v>
      </c>
      <c r="I302" s="242">
        <v>-18630</v>
      </c>
      <c r="J302"/>
    </row>
    <row r="303" spans="1:10" ht="15.75" customHeight="1">
      <c r="A303" t="s">
        <v>1653</v>
      </c>
      <c r="B303">
        <v>313242</v>
      </c>
      <c r="C303">
        <v>1</v>
      </c>
      <c r="D303" t="str">
        <f t="shared" si="4"/>
        <v>1313242.923</v>
      </c>
      <c r="E303" t="s">
        <v>3151</v>
      </c>
      <c r="F303" s="242"/>
      <c r="G303"/>
      <c r="H303" s="242">
        <v>-402579</v>
      </c>
      <c r="I303" s="242">
        <v>-359014</v>
      </c>
      <c r="J303"/>
    </row>
    <row r="304" spans="1:10" ht="15.75" customHeight="1">
      <c r="A304" t="s">
        <v>3014</v>
      </c>
      <c r="B304">
        <v>313242</v>
      </c>
      <c r="C304">
        <v>1</v>
      </c>
      <c r="D304" t="str">
        <f t="shared" si="4"/>
        <v>1313242.924</v>
      </c>
      <c r="E304" t="s">
        <v>3171</v>
      </c>
      <c r="F304" s="242"/>
      <c r="G304"/>
      <c r="H304" s="242">
        <v>-119262</v>
      </c>
      <c r="I304" s="242">
        <v>-114713</v>
      </c>
      <c r="J304"/>
    </row>
    <row r="305" spans="1:10" ht="15.75" customHeight="1">
      <c r="A305" t="s">
        <v>3021</v>
      </c>
      <c r="B305">
        <v>313242</v>
      </c>
      <c r="C305">
        <v>1</v>
      </c>
      <c r="D305" t="str">
        <f t="shared" si="4"/>
        <v>1313242.925</v>
      </c>
      <c r="E305" t="s">
        <v>3153</v>
      </c>
      <c r="F305" s="242"/>
      <c r="G305"/>
      <c r="H305" s="242">
        <v>-1658</v>
      </c>
      <c r="I305" s="242">
        <v>-1658</v>
      </c>
      <c r="J305"/>
    </row>
    <row r="306" spans="1:10" ht="15.75" customHeight="1">
      <c r="A306" t="s">
        <v>3016</v>
      </c>
      <c r="B306">
        <v>313242</v>
      </c>
      <c r="C306">
        <v>1</v>
      </c>
      <c r="D306" t="str">
        <f t="shared" si="4"/>
        <v>1313242.926</v>
      </c>
      <c r="E306" t="s">
        <v>3154</v>
      </c>
      <c r="F306" s="242"/>
      <c r="G306"/>
      <c r="H306" s="242">
        <v>-12893</v>
      </c>
      <c r="I306" s="242">
        <v>-13270</v>
      </c>
      <c r="J306"/>
    </row>
    <row r="307" spans="1:10" ht="15.75" customHeight="1">
      <c r="A307" t="s">
        <v>3022</v>
      </c>
      <c r="B307">
        <v>313242</v>
      </c>
      <c r="C307">
        <v>1</v>
      </c>
      <c r="D307" t="str">
        <f t="shared" si="4"/>
        <v>1313242.927</v>
      </c>
      <c r="E307" t="s">
        <v>3170</v>
      </c>
      <c r="F307" s="242"/>
      <c r="G307"/>
      <c r="H307" s="242">
        <v>-6521</v>
      </c>
      <c r="I307" s="242">
        <v>-6671</v>
      </c>
      <c r="J307"/>
    </row>
    <row r="308" spans="1:10" ht="15.75" customHeight="1">
      <c r="A308" t="s">
        <v>3012</v>
      </c>
      <c r="B308">
        <v>313246</v>
      </c>
      <c r="C308">
        <v>1</v>
      </c>
      <c r="D308" t="str">
        <f t="shared" si="4"/>
        <v>1313246.920</v>
      </c>
      <c r="E308" t="s">
        <v>3149</v>
      </c>
      <c r="F308" s="242"/>
      <c r="G308"/>
      <c r="H308" s="242">
        <v>0</v>
      </c>
      <c r="I308" s="242">
        <v>-626</v>
      </c>
      <c r="J308"/>
    </row>
    <row r="309" spans="1:10" ht="15.75" customHeight="1">
      <c r="A309" t="s">
        <v>3082</v>
      </c>
      <c r="B309">
        <v>313246</v>
      </c>
      <c r="C309">
        <v>1</v>
      </c>
      <c r="D309" t="str">
        <f t="shared" si="4"/>
        <v>1313246.921</v>
      </c>
      <c r="E309" t="s">
        <v>3150</v>
      </c>
      <c r="F309" s="242"/>
      <c r="G309"/>
      <c r="H309" s="242">
        <v>-18242</v>
      </c>
      <c r="I309" s="242">
        <v>-18630</v>
      </c>
      <c r="J309"/>
    </row>
    <row r="310" spans="1:10" ht="15.75" customHeight="1">
      <c r="A310" t="s">
        <v>1653</v>
      </c>
      <c r="B310">
        <v>313246</v>
      </c>
      <c r="C310">
        <v>1</v>
      </c>
      <c r="D310" t="str">
        <f t="shared" si="4"/>
        <v>1313246.923</v>
      </c>
      <c r="E310" t="s">
        <v>3151</v>
      </c>
      <c r="F310" s="242"/>
      <c r="G310"/>
      <c r="H310" s="242">
        <v>-631131</v>
      </c>
      <c r="I310" s="242">
        <v>-550857</v>
      </c>
      <c r="J310"/>
    </row>
    <row r="311" spans="1:10" ht="15.75" customHeight="1">
      <c r="A311" t="s">
        <v>3016</v>
      </c>
      <c r="B311">
        <v>313246</v>
      </c>
      <c r="C311">
        <v>1</v>
      </c>
      <c r="D311" t="str">
        <f t="shared" si="4"/>
        <v>1313246.926</v>
      </c>
      <c r="E311" t="s">
        <v>3154</v>
      </c>
      <c r="F311" s="242"/>
      <c r="G311"/>
      <c r="H311" s="242">
        <v>-21225</v>
      </c>
      <c r="I311" s="242">
        <v>-20471</v>
      </c>
      <c r="J311"/>
    </row>
    <row r="312" spans="1:10" ht="15.75" customHeight="1">
      <c r="A312" t="s">
        <v>3022</v>
      </c>
      <c r="B312">
        <v>313246</v>
      </c>
      <c r="C312">
        <v>1</v>
      </c>
      <c r="D312" t="str">
        <f t="shared" si="4"/>
        <v>1313246.927</v>
      </c>
      <c r="E312" t="s">
        <v>3170</v>
      </c>
      <c r="F312" s="242"/>
      <c r="G312"/>
      <c r="H312" s="242">
        <v>-12098</v>
      </c>
      <c r="I312" s="242">
        <v>-11626</v>
      </c>
      <c r="J312"/>
    </row>
    <row r="313" spans="1:10" ht="15.75" customHeight="1">
      <c r="A313" t="s">
        <v>3012</v>
      </c>
      <c r="B313">
        <v>313247</v>
      </c>
      <c r="C313">
        <v>1</v>
      </c>
      <c r="D313" t="str">
        <f t="shared" si="4"/>
        <v>1313247.920</v>
      </c>
      <c r="E313" t="s">
        <v>3149</v>
      </c>
      <c r="F313" s="242"/>
      <c r="G313"/>
      <c r="H313" s="242">
        <v>0</v>
      </c>
      <c r="I313" s="242">
        <v>-626</v>
      </c>
      <c r="J313"/>
    </row>
    <row r="314" spans="1:10" ht="15.75" customHeight="1">
      <c r="A314" t="s">
        <v>3082</v>
      </c>
      <c r="B314">
        <v>313247</v>
      </c>
      <c r="C314">
        <v>1</v>
      </c>
      <c r="D314" t="str">
        <f t="shared" si="4"/>
        <v>1313247.921</v>
      </c>
      <c r="E314" t="s">
        <v>3150</v>
      </c>
      <c r="F314" s="242"/>
      <c r="G314"/>
      <c r="H314" s="242">
        <v>-18242</v>
      </c>
      <c r="I314" s="242">
        <v>-18630</v>
      </c>
      <c r="J314"/>
    </row>
    <row r="315" spans="1:10" ht="15.75" customHeight="1">
      <c r="A315" t="s">
        <v>1653</v>
      </c>
      <c r="B315">
        <v>313247</v>
      </c>
      <c r="C315">
        <v>1</v>
      </c>
      <c r="D315" t="str">
        <f t="shared" si="4"/>
        <v>1313247.923</v>
      </c>
      <c r="E315" t="s">
        <v>3151</v>
      </c>
      <c r="F315" s="242"/>
      <c r="G315"/>
      <c r="H315" s="242">
        <v>-353119</v>
      </c>
      <c r="I315" s="242">
        <v>-305715</v>
      </c>
      <c r="J315"/>
    </row>
    <row r="316" spans="1:10" ht="15.75" customHeight="1">
      <c r="A316" t="s">
        <v>3014</v>
      </c>
      <c r="B316">
        <v>313247</v>
      </c>
      <c r="C316">
        <v>1</v>
      </c>
      <c r="D316" t="str">
        <f t="shared" si="4"/>
        <v>1313247.924</v>
      </c>
      <c r="E316" t="s">
        <v>3171</v>
      </c>
      <c r="F316" s="242"/>
      <c r="G316"/>
      <c r="H316" s="242">
        <v>-112654</v>
      </c>
      <c r="I316" s="242">
        <v>-114713</v>
      </c>
      <c r="J316"/>
    </row>
    <row r="317" spans="1:10" ht="15.75" customHeight="1">
      <c r="A317" t="s">
        <v>3021</v>
      </c>
      <c r="B317">
        <v>313247</v>
      </c>
      <c r="C317">
        <v>1</v>
      </c>
      <c r="D317" t="str">
        <f t="shared" si="4"/>
        <v>1313247.925</v>
      </c>
      <c r="E317" t="s">
        <v>3173</v>
      </c>
      <c r="F317" s="242"/>
      <c r="G317"/>
      <c r="H317" s="242">
        <v>-1658</v>
      </c>
      <c r="I317" s="242">
        <v>-1658</v>
      </c>
      <c r="J317"/>
    </row>
    <row r="318" spans="1:10" ht="15.75" customHeight="1">
      <c r="A318" t="s">
        <v>3016</v>
      </c>
      <c r="B318">
        <v>313247</v>
      </c>
      <c r="C318">
        <v>1</v>
      </c>
      <c r="D318" t="str">
        <f t="shared" si="4"/>
        <v>1313247.926</v>
      </c>
      <c r="E318" t="s">
        <v>3154</v>
      </c>
      <c r="F318" s="242"/>
      <c r="G318"/>
      <c r="H318" s="242">
        <v>-11122</v>
      </c>
      <c r="I318" s="242">
        <v>-10292</v>
      </c>
      <c r="J318"/>
    </row>
    <row r="319" spans="1:10" ht="15.75" customHeight="1">
      <c r="A319" t="s">
        <v>3022</v>
      </c>
      <c r="B319">
        <v>313247</v>
      </c>
      <c r="C319">
        <v>1</v>
      </c>
      <c r="D319" t="str">
        <f t="shared" si="4"/>
        <v>1313247.927</v>
      </c>
      <c r="E319" t="s">
        <v>3170</v>
      </c>
      <c r="F319" s="242"/>
      <c r="G319"/>
      <c r="H319" s="242">
        <v>-4140</v>
      </c>
      <c r="I319" s="242">
        <v>-5062</v>
      </c>
      <c r="J319"/>
    </row>
    <row r="320" spans="1:10" ht="15.75" customHeight="1">
      <c r="A320" t="s">
        <v>3112</v>
      </c>
      <c r="B320">
        <v>313247</v>
      </c>
      <c r="C320">
        <v>1</v>
      </c>
      <c r="D320" t="str">
        <f t="shared" si="4"/>
        <v>1313247.928</v>
      </c>
      <c r="E320" t="s">
        <v>3168</v>
      </c>
      <c r="F320" s="242"/>
      <c r="G320"/>
      <c r="H320" s="242">
        <v>0</v>
      </c>
      <c r="I320" s="242">
        <v>0</v>
      </c>
      <c r="J320"/>
    </row>
    <row r="321" spans="1:10" ht="15.75" customHeight="1">
      <c r="A321" t="s">
        <v>3082</v>
      </c>
      <c r="B321">
        <v>313248</v>
      </c>
      <c r="C321">
        <v>1</v>
      </c>
      <c r="D321" t="str">
        <f t="shared" si="4"/>
        <v>1313248.921</v>
      </c>
      <c r="E321" t="s">
        <v>3150</v>
      </c>
      <c r="F321" s="242"/>
      <c r="G321"/>
      <c r="H321" s="242">
        <v>-6080</v>
      </c>
      <c r="I321" s="242">
        <v>-8279</v>
      </c>
      <c r="J321"/>
    </row>
    <row r="322" spans="1:10" ht="15.75" customHeight="1">
      <c r="A322" t="s">
        <v>1653</v>
      </c>
      <c r="B322">
        <v>313248</v>
      </c>
      <c r="C322">
        <v>1</v>
      </c>
      <c r="D322" t="str">
        <f t="shared" si="4"/>
        <v>1313248.923</v>
      </c>
      <c r="E322" t="s">
        <v>3151</v>
      </c>
      <c r="F322" s="242"/>
      <c r="G322"/>
      <c r="H322" s="242">
        <v>-211233</v>
      </c>
      <c r="I322" s="242">
        <v>-196820</v>
      </c>
      <c r="J322"/>
    </row>
    <row r="323" spans="1:10" ht="15.75" customHeight="1">
      <c r="A323" t="s">
        <v>3016</v>
      </c>
      <c r="B323">
        <v>313248</v>
      </c>
      <c r="C323">
        <v>1</v>
      </c>
      <c r="D323" t="str">
        <f t="shared" ref="D323:D386" si="5">C323&amp;B323&amp;"."&amp;A323</f>
        <v>1313248.926</v>
      </c>
      <c r="E323" t="s">
        <v>3154</v>
      </c>
      <c r="F323" s="242"/>
      <c r="G323"/>
      <c r="H323" s="242">
        <v>-6560</v>
      </c>
      <c r="I323" s="242">
        <v>-8143</v>
      </c>
      <c r="J323"/>
    </row>
    <row r="324" spans="1:10" ht="15.75" customHeight="1">
      <c r="A324" t="s">
        <v>3022</v>
      </c>
      <c r="B324">
        <v>313248</v>
      </c>
      <c r="C324">
        <v>1</v>
      </c>
      <c r="D324" t="str">
        <f t="shared" si="5"/>
        <v>1313248.927</v>
      </c>
      <c r="E324" t="s">
        <v>3170</v>
      </c>
      <c r="F324" s="242"/>
      <c r="G324"/>
      <c r="H324" s="242">
        <v>-3732</v>
      </c>
      <c r="I324" s="242">
        <v>-4633</v>
      </c>
      <c r="J324"/>
    </row>
    <row r="325" spans="1:10" ht="15.75" customHeight="1">
      <c r="A325" t="s">
        <v>3112</v>
      </c>
      <c r="B325">
        <v>313248</v>
      </c>
      <c r="C325">
        <v>1</v>
      </c>
      <c r="D325" t="str">
        <f t="shared" si="5"/>
        <v>1313248.928</v>
      </c>
      <c r="E325" t="s">
        <v>3168</v>
      </c>
      <c r="F325" s="242"/>
      <c r="G325"/>
      <c r="H325" s="242">
        <v>-800</v>
      </c>
      <c r="I325" s="242">
        <v>-19867</v>
      </c>
      <c r="J325"/>
    </row>
    <row r="326" spans="1:10" ht="15.75" customHeight="1">
      <c r="A326" t="s">
        <v>3088</v>
      </c>
      <c r="B326">
        <v>313248</v>
      </c>
      <c r="C326">
        <v>1</v>
      </c>
      <c r="D326" t="str">
        <f t="shared" si="5"/>
        <v>1313248.929</v>
      </c>
      <c r="E326" t="s">
        <v>3163</v>
      </c>
      <c r="F326" s="242"/>
      <c r="G326"/>
      <c r="H326" s="242">
        <v>0</v>
      </c>
      <c r="I326" s="242">
        <v>0</v>
      </c>
      <c r="J326"/>
    </row>
    <row r="327" spans="1:10" ht="15.75" customHeight="1">
      <c r="A327" t="s">
        <v>1653</v>
      </c>
      <c r="B327">
        <v>313249</v>
      </c>
      <c r="C327">
        <v>1</v>
      </c>
      <c r="D327" t="str">
        <f t="shared" si="5"/>
        <v>1313249.923</v>
      </c>
      <c r="E327" t="s">
        <v>3151</v>
      </c>
      <c r="F327" s="242"/>
      <c r="G327"/>
      <c r="H327" s="242">
        <v>-600379</v>
      </c>
      <c r="I327" s="242">
        <v>-533161</v>
      </c>
      <c r="J327"/>
    </row>
    <row r="328" spans="1:10" ht="15.75" customHeight="1">
      <c r="A328" t="s">
        <v>3016</v>
      </c>
      <c r="B328">
        <v>313249</v>
      </c>
      <c r="C328">
        <v>1</v>
      </c>
      <c r="D328" t="str">
        <f t="shared" si="5"/>
        <v>1313249.926</v>
      </c>
      <c r="E328" t="s">
        <v>3154</v>
      </c>
      <c r="F328" s="242"/>
      <c r="G328"/>
      <c r="H328" s="242">
        <v>-20132</v>
      </c>
      <c r="I328" s="242">
        <v>-21225</v>
      </c>
      <c r="J328"/>
    </row>
    <row r="329" spans="1:10" ht="15.75" customHeight="1">
      <c r="A329" t="s">
        <v>3022</v>
      </c>
      <c r="B329">
        <v>313249</v>
      </c>
      <c r="C329">
        <v>1</v>
      </c>
      <c r="D329" t="str">
        <f t="shared" si="5"/>
        <v>1313249.927</v>
      </c>
      <c r="E329" t="s">
        <v>3170</v>
      </c>
      <c r="F329" s="242"/>
      <c r="G329"/>
      <c r="H329" s="242">
        <v>-11454</v>
      </c>
      <c r="I329" s="242">
        <v>-11840</v>
      </c>
      <c r="J329"/>
    </row>
    <row r="330" spans="1:10" ht="15.75" customHeight="1">
      <c r="A330" t="s">
        <v>3112</v>
      </c>
      <c r="B330">
        <v>313249</v>
      </c>
      <c r="C330">
        <v>1</v>
      </c>
      <c r="D330" t="str">
        <f t="shared" si="5"/>
        <v>1313249.928</v>
      </c>
      <c r="E330" t="s">
        <v>3168</v>
      </c>
      <c r="F330" s="242"/>
      <c r="G330"/>
      <c r="H330" s="242">
        <v>-8400</v>
      </c>
      <c r="I330" s="242">
        <v>-30400</v>
      </c>
      <c r="J330"/>
    </row>
    <row r="331" spans="1:10" ht="15.75" customHeight="1">
      <c r="A331" t="s">
        <v>2684</v>
      </c>
      <c r="B331">
        <v>313251</v>
      </c>
      <c r="C331">
        <v>1</v>
      </c>
      <c r="D331" t="str">
        <f t="shared" si="5"/>
        <v>1313251.421</v>
      </c>
      <c r="E331" t="s">
        <v>3079</v>
      </c>
      <c r="F331" s="242"/>
      <c r="G331"/>
      <c r="H331" s="242">
        <v>0</v>
      </c>
      <c r="I331" s="242">
        <v>-274</v>
      </c>
      <c r="J331"/>
    </row>
    <row r="332" spans="1:10" ht="15.75" customHeight="1">
      <c r="A332" t="s">
        <v>3082</v>
      </c>
      <c r="B332">
        <v>313251</v>
      </c>
      <c r="C332">
        <v>1</v>
      </c>
      <c r="D332" t="str">
        <f t="shared" si="5"/>
        <v>1313251.921</v>
      </c>
      <c r="E332" t="s">
        <v>3150</v>
      </c>
      <c r="F332" s="242"/>
      <c r="G332"/>
      <c r="H332" s="242">
        <v>-24810</v>
      </c>
      <c r="I332" s="242">
        <v>-27068</v>
      </c>
      <c r="J332"/>
    </row>
    <row r="333" spans="1:10" ht="15.75" customHeight="1">
      <c r="A333" t="s">
        <v>1648</v>
      </c>
      <c r="B333">
        <v>313251</v>
      </c>
      <c r="C333">
        <v>1</v>
      </c>
      <c r="D333" t="str">
        <f t="shared" si="5"/>
        <v>1313251.922</v>
      </c>
      <c r="E333" t="s">
        <v>3020</v>
      </c>
      <c r="F333" s="242"/>
      <c r="G333"/>
      <c r="H333" s="242">
        <v>0</v>
      </c>
      <c r="I333" s="242">
        <v>0</v>
      </c>
      <c r="J333"/>
    </row>
    <row r="334" spans="1:10" ht="15.75" customHeight="1">
      <c r="A334" t="s">
        <v>1653</v>
      </c>
      <c r="B334">
        <v>313251</v>
      </c>
      <c r="C334">
        <v>1</v>
      </c>
      <c r="D334" t="str">
        <f t="shared" si="5"/>
        <v>1313251.923</v>
      </c>
      <c r="E334" t="s">
        <v>3151</v>
      </c>
      <c r="F334" s="242"/>
      <c r="G334"/>
      <c r="H334" s="242">
        <v>-206341</v>
      </c>
      <c r="I334" s="242">
        <v>-183179</v>
      </c>
      <c r="J334"/>
    </row>
    <row r="335" spans="1:10" ht="15.75" customHeight="1">
      <c r="A335" t="s">
        <v>3014</v>
      </c>
      <c r="B335">
        <v>313251</v>
      </c>
      <c r="C335">
        <v>1</v>
      </c>
      <c r="D335" t="str">
        <f t="shared" si="5"/>
        <v>1313251.924</v>
      </c>
      <c r="E335" t="s">
        <v>3171</v>
      </c>
      <c r="F335" s="242"/>
      <c r="G335"/>
      <c r="H335" s="242">
        <v>-161610</v>
      </c>
      <c r="I335" s="242">
        <v>-143391</v>
      </c>
      <c r="J335"/>
    </row>
    <row r="336" spans="1:10" ht="15.75" customHeight="1">
      <c r="A336" t="s">
        <v>3021</v>
      </c>
      <c r="B336">
        <v>313251</v>
      </c>
      <c r="C336">
        <v>1</v>
      </c>
      <c r="D336" t="str">
        <f t="shared" si="5"/>
        <v>1313251.925</v>
      </c>
      <c r="E336" t="s">
        <v>3172</v>
      </c>
      <c r="F336" s="242"/>
      <c r="G336"/>
      <c r="H336" s="242">
        <v>-3296</v>
      </c>
      <c r="I336" s="242">
        <v>-3296</v>
      </c>
      <c r="J336"/>
    </row>
    <row r="337" spans="1:10" ht="15.75" customHeight="1">
      <c r="A337" t="s">
        <v>3016</v>
      </c>
      <c r="B337">
        <v>313251</v>
      </c>
      <c r="C337">
        <v>1</v>
      </c>
      <c r="D337" t="str">
        <f t="shared" si="5"/>
        <v>1313251.926</v>
      </c>
      <c r="E337" t="s">
        <v>3154</v>
      </c>
      <c r="F337" s="242"/>
      <c r="G337"/>
      <c r="H337" s="242">
        <v>-5353</v>
      </c>
      <c r="I337" s="242">
        <v>-4939</v>
      </c>
      <c r="J337"/>
    </row>
    <row r="338" spans="1:10" ht="15.75" customHeight="1">
      <c r="A338" t="s">
        <v>3022</v>
      </c>
      <c r="B338">
        <v>313251</v>
      </c>
      <c r="C338">
        <v>1</v>
      </c>
      <c r="D338" t="str">
        <f t="shared" si="5"/>
        <v>1313251.927</v>
      </c>
      <c r="E338" t="s">
        <v>3170</v>
      </c>
      <c r="F338" s="242"/>
      <c r="G338"/>
      <c r="H338" s="242">
        <v>-2381</v>
      </c>
      <c r="I338" s="242">
        <v>-2166</v>
      </c>
      <c r="J338"/>
    </row>
    <row r="339" spans="1:10" ht="15.75" customHeight="1">
      <c r="A339" t="s">
        <v>3112</v>
      </c>
      <c r="B339">
        <v>313251</v>
      </c>
      <c r="C339">
        <v>1</v>
      </c>
      <c r="D339" t="str">
        <f t="shared" si="5"/>
        <v>1313251.928</v>
      </c>
      <c r="E339" t="s">
        <v>3168</v>
      </c>
      <c r="F339" s="242"/>
      <c r="G339"/>
      <c r="H339" s="242">
        <v>-24558</v>
      </c>
      <c r="I339" s="242">
        <v>-23600</v>
      </c>
      <c r="J339"/>
    </row>
    <row r="340" spans="1:10" ht="15.75" customHeight="1">
      <c r="A340" t="s">
        <v>2717</v>
      </c>
      <c r="B340">
        <v>313251</v>
      </c>
      <c r="C340">
        <v>1</v>
      </c>
      <c r="D340" t="str">
        <f t="shared" si="5"/>
        <v>1313251.990</v>
      </c>
      <c r="E340" t="s">
        <v>3160</v>
      </c>
      <c r="F340" s="242"/>
      <c r="G340"/>
      <c r="H340" s="242">
        <v>0</v>
      </c>
      <c r="I340" s="242">
        <v>0</v>
      </c>
      <c r="J340"/>
    </row>
    <row r="341" spans="1:10" ht="15.75" customHeight="1">
      <c r="A341" t="s">
        <v>3012</v>
      </c>
      <c r="B341">
        <v>313252</v>
      </c>
      <c r="C341">
        <v>1</v>
      </c>
      <c r="D341" t="str">
        <f t="shared" si="5"/>
        <v>1313252.920</v>
      </c>
      <c r="E341" t="s">
        <v>3149</v>
      </c>
      <c r="F341" s="242"/>
      <c r="G341"/>
      <c r="H341" s="242">
        <v>0</v>
      </c>
      <c r="I341" s="242">
        <v>-626</v>
      </c>
      <c r="J341"/>
    </row>
    <row r="342" spans="1:10" ht="15.75" customHeight="1">
      <c r="A342" t="s">
        <v>3082</v>
      </c>
      <c r="B342">
        <v>313252</v>
      </c>
      <c r="C342">
        <v>1</v>
      </c>
      <c r="D342" t="str">
        <f t="shared" si="5"/>
        <v>1313252.921</v>
      </c>
      <c r="E342" t="s">
        <v>3150</v>
      </c>
      <c r="F342" s="242"/>
      <c r="G342"/>
      <c r="H342" s="242">
        <v>-5837</v>
      </c>
      <c r="I342" s="242">
        <v>-8030</v>
      </c>
      <c r="J342"/>
    </row>
    <row r="343" spans="1:10" ht="15.75" customHeight="1">
      <c r="A343" t="s">
        <v>1653</v>
      </c>
      <c r="B343">
        <v>313252</v>
      </c>
      <c r="C343">
        <v>1</v>
      </c>
      <c r="D343" t="str">
        <f t="shared" si="5"/>
        <v>1313252.923</v>
      </c>
      <c r="E343" t="s">
        <v>3151</v>
      </c>
      <c r="F343" s="242"/>
      <c r="G343"/>
      <c r="H343" s="242">
        <v>-231049</v>
      </c>
      <c r="I343" s="242">
        <v>-207615</v>
      </c>
      <c r="J343"/>
    </row>
    <row r="344" spans="1:10" ht="15.75" customHeight="1">
      <c r="A344" t="s">
        <v>3021</v>
      </c>
      <c r="B344">
        <v>313252</v>
      </c>
      <c r="C344">
        <v>1</v>
      </c>
      <c r="D344" t="str">
        <f t="shared" si="5"/>
        <v>1313252.925</v>
      </c>
      <c r="E344" t="s">
        <v>3172</v>
      </c>
      <c r="F344" s="242"/>
      <c r="G344"/>
      <c r="H344" s="242">
        <v>0</v>
      </c>
      <c r="I344" s="242">
        <v>-1456</v>
      </c>
      <c r="J344"/>
    </row>
    <row r="345" spans="1:10" ht="15.75" customHeight="1">
      <c r="A345" t="s">
        <v>3016</v>
      </c>
      <c r="B345">
        <v>313252</v>
      </c>
      <c r="C345">
        <v>1</v>
      </c>
      <c r="D345" t="str">
        <f t="shared" si="5"/>
        <v>1313252.926</v>
      </c>
      <c r="E345" t="s">
        <v>3154</v>
      </c>
      <c r="F345" s="242"/>
      <c r="G345"/>
      <c r="H345" s="242">
        <v>-7710</v>
      </c>
      <c r="I345" s="242">
        <v>-8566</v>
      </c>
      <c r="J345"/>
    </row>
    <row r="346" spans="1:10" ht="15.75" customHeight="1">
      <c r="A346" t="s">
        <v>3022</v>
      </c>
      <c r="B346">
        <v>313252</v>
      </c>
      <c r="C346">
        <v>1</v>
      </c>
      <c r="D346" t="str">
        <f t="shared" si="5"/>
        <v>1313252.927</v>
      </c>
      <c r="E346" t="s">
        <v>3170</v>
      </c>
      <c r="F346" s="242"/>
      <c r="G346"/>
      <c r="H346" s="242">
        <v>-4140</v>
      </c>
      <c r="I346" s="242">
        <v>-4462</v>
      </c>
      <c r="J346"/>
    </row>
    <row r="347" spans="1:10" ht="15.75" customHeight="1">
      <c r="A347" t="s">
        <v>3012</v>
      </c>
      <c r="B347">
        <v>313253</v>
      </c>
      <c r="C347">
        <v>1</v>
      </c>
      <c r="D347" t="str">
        <f t="shared" si="5"/>
        <v>1313253.920</v>
      </c>
      <c r="E347" t="s">
        <v>3149</v>
      </c>
      <c r="F347" s="242"/>
      <c r="G347"/>
      <c r="H347" s="242">
        <v>0</v>
      </c>
      <c r="I347" s="242">
        <v>-498</v>
      </c>
      <c r="J347"/>
    </row>
    <row r="348" spans="1:10" ht="15.75" customHeight="1">
      <c r="A348" t="s">
        <v>3082</v>
      </c>
      <c r="B348">
        <v>313253</v>
      </c>
      <c r="C348">
        <v>1</v>
      </c>
      <c r="D348" t="str">
        <f t="shared" si="5"/>
        <v>1313253.921</v>
      </c>
      <c r="E348" t="s">
        <v>3150</v>
      </c>
      <c r="F348" s="242"/>
      <c r="G348"/>
      <c r="H348" s="242">
        <v>-8755</v>
      </c>
      <c r="I348" s="242">
        <v>-9379</v>
      </c>
      <c r="J348"/>
    </row>
    <row r="349" spans="1:10" ht="15.75" customHeight="1">
      <c r="A349" t="s">
        <v>1653</v>
      </c>
      <c r="B349">
        <v>313253</v>
      </c>
      <c r="C349">
        <v>1</v>
      </c>
      <c r="D349" t="str">
        <f t="shared" si="5"/>
        <v>1313253.923</v>
      </c>
      <c r="E349" t="s">
        <v>3151</v>
      </c>
      <c r="F349" s="242"/>
      <c r="G349"/>
      <c r="H349" s="242">
        <v>-352034</v>
      </c>
      <c r="I349" s="242">
        <v>-310158</v>
      </c>
      <c r="J349"/>
    </row>
    <row r="350" spans="1:10" ht="15.75" customHeight="1">
      <c r="A350" t="s">
        <v>3021</v>
      </c>
      <c r="B350">
        <v>313253</v>
      </c>
      <c r="C350">
        <v>1</v>
      </c>
      <c r="D350" t="str">
        <f t="shared" si="5"/>
        <v>1313253.925</v>
      </c>
      <c r="E350" t="s">
        <v>3172</v>
      </c>
      <c r="F350" s="242"/>
      <c r="G350"/>
      <c r="H350" s="242">
        <v>-2184</v>
      </c>
      <c r="I350" s="242">
        <v>-2002</v>
      </c>
      <c r="J350"/>
    </row>
    <row r="351" spans="1:10" ht="15.75" customHeight="1">
      <c r="A351" t="s">
        <v>3016</v>
      </c>
      <c r="B351">
        <v>313253</v>
      </c>
      <c r="C351">
        <v>1</v>
      </c>
      <c r="D351" t="str">
        <f t="shared" si="5"/>
        <v>1313253.926</v>
      </c>
      <c r="E351" t="s">
        <v>3154</v>
      </c>
      <c r="F351" s="242"/>
      <c r="G351"/>
      <c r="H351" s="242">
        <v>-10782</v>
      </c>
      <c r="I351" s="242">
        <v>-10933</v>
      </c>
      <c r="J351"/>
    </row>
    <row r="352" spans="1:10" ht="15.75" customHeight="1">
      <c r="A352" t="s">
        <v>3022</v>
      </c>
      <c r="B352">
        <v>313253</v>
      </c>
      <c r="C352">
        <v>1</v>
      </c>
      <c r="D352" t="str">
        <f t="shared" si="5"/>
        <v>1313253.927</v>
      </c>
      <c r="E352" t="s">
        <v>3170</v>
      </c>
      <c r="F352" s="242"/>
      <c r="G352"/>
      <c r="H352" s="242">
        <v>-6135</v>
      </c>
      <c r="I352" s="242">
        <v>-6221</v>
      </c>
      <c r="J352"/>
    </row>
    <row r="353" spans="1:10" ht="15.75" customHeight="1">
      <c r="A353" t="s">
        <v>3112</v>
      </c>
      <c r="B353">
        <v>313253</v>
      </c>
      <c r="C353">
        <v>1</v>
      </c>
      <c r="D353" t="str">
        <f t="shared" si="5"/>
        <v>1313253.928</v>
      </c>
      <c r="E353" t="s">
        <v>3168</v>
      </c>
      <c r="F353" s="242"/>
      <c r="G353"/>
      <c r="H353" s="242">
        <v>-23375</v>
      </c>
      <c r="I353" s="242">
        <v>-37600</v>
      </c>
      <c r="J353"/>
    </row>
    <row r="354" spans="1:10" ht="15.75" customHeight="1">
      <c r="A354" t="s">
        <v>3012</v>
      </c>
      <c r="B354">
        <v>313254</v>
      </c>
      <c r="C354">
        <v>1</v>
      </c>
      <c r="D354" t="str">
        <f t="shared" si="5"/>
        <v>1313254.920</v>
      </c>
      <c r="E354" t="s">
        <v>3149</v>
      </c>
      <c r="F354" s="242"/>
      <c r="G354"/>
      <c r="H354" s="242">
        <v>0</v>
      </c>
      <c r="I354" s="242">
        <v>-1148</v>
      </c>
      <c r="J354"/>
    </row>
    <row r="355" spans="1:10" ht="15.75" customHeight="1">
      <c r="A355" t="s">
        <v>3082</v>
      </c>
      <c r="B355">
        <v>313254</v>
      </c>
      <c r="C355">
        <v>1</v>
      </c>
      <c r="D355" t="str">
        <f t="shared" si="5"/>
        <v>1313254.921</v>
      </c>
      <c r="E355" t="s">
        <v>3150</v>
      </c>
      <c r="F355" s="242"/>
      <c r="G355"/>
      <c r="H355" s="242">
        <v>0</v>
      </c>
      <c r="I355" s="242">
        <v>-2792</v>
      </c>
      <c r="J355"/>
    </row>
    <row r="356" spans="1:10" ht="15.75" customHeight="1">
      <c r="A356" t="s">
        <v>1653</v>
      </c>
      <c r="B356">
        <v>313254</v>
      </c>
      <c r="C356">
        <v>1</v>
      </c>
      <c r="D356" t="str">
        <f t="shared" si="5"/>
        <v>1313254.923</v>
      </c>
      <c r="E356" t="s">
        <v>3151</v>
      </c>
      <c r="F356" s="242"/>
      <c r="G356"/>
      <c r="H356" s="242">
        <v>-170805</v>
      </c>
      <c r="I356" s="242">
        <v>-147359</v>
      </c>
      <c r="J356"/>
    </row>
    <row r="357" spans="1:10" ht="15.75" customHeight="1">
      <c r="A357" t="s">
        <v>3014</v>
      </c>
      <c r="B357">
        <v>313254</v>
      </c>
      <c r="C357">
        <v>1</v>
      </c>
      <c r="D357" t="str">
        <f t="shared" si="5"/>
        <v>1313254.924</v>
      </c>
      <c r="E357" t="s">
        <v>3171</v>
      </c>
      <c r="F357" s="242"/>
      <c r="G357"/>
      <c r="H357" s="242">
        <v>0</v>
      </c>
      <c r="I357" s="242">
        <v>0</v>
      </c>
      <c r="J357"/>
    </row>
    <row r="358" spans="1:10" ht="15.75" customHeight="1">
      <c r="A358" t="s">
        <v>3021</v>
      </c>
      <c r="B358">
        <v>313254</v>
      </c>
      <c r="C358">
        <v>1</v>
      </c>
      <c r="D358" t="str">
        <f t="shared" si="5"/>
        <v>1313254.925</v>
      </c>
      <c r="E358" t="s">
        <v>3153</v>
      </c>
      <c r="F358" s="242"/>
      <c r="G358"/>
      <c r="H358" s="242">
        <v>0</v>
      </c>
      <c r="I358" s="242">
        <v>0</v>
      </c>
      <c r="J358"/>
    </row>
    <row r="359" spans="1:10" ht="15.75" customHeight="1">
      <c r="A359" t="s">
        <v>3016</v>
      </c>
      <c r="B359">
        <v>313254</v>
      </c>
      <c r="C359">
        <v>1</v>
      </c>
      <c r="D359" t="str">
        <f t="shared" si="5"/>
        <v>1313254.926</v>
      </c>
      <c r="E359" t="s">
        <v>3154</v>
      </c>
      <c r="F359" s="242"/>
      <c r="G359"/>
      <c r="H359" s="242">
        <v>-5090</v>
      </c>
      <c r="I359" s="242">
        <v>-5580</v>
      </c>
      <c r="J359"/>
    </row>
    <row r="360" spans="1:10" ht="15.75" customHeight="1">
      <c r="A360" t="s">
        <v>3022</v>
      </c>
      <c r="B360">
        <v>313254</v>
      </c>
      <c r="C360">
        <v>1</v>
      </c>
      <c r="D360" t="str">
        <f t="shared" si="5"/>
        <v>1313254.927</v>
      </c>
      <c r="E360" t="s">
        <v>3175</v>
      </c>
      <c r="F360" s="242"/>
      <c r="G360"/>
      <c r="H360" s="242">
        <v>-2874</v>
      </c>
      <c r="I360" s="242">
        <v>-3196</v>
      </c>
      <c r="J360"/>
    </row>
    <row r="361" spans="1:10" ht="15.75" customHeight="1">
      <c r="A361" t="s">
        <v>3112</v>
      </c>
      <c r="B361">
        <v>313254</v>
      </c>
      <c r="C361">
        <v>1</v>
      </c>
      <c r="D361" t="str">
        <f t="shared" si="5"/>
        <v>1313254.928</v>
      </c>
      <c r="E361" t="s">
        <v>3168</v>
      </c>
      <c r="F361" s="242"/>
      <c r="G361"/>
      <c r="H361" s="242">
        <v>-400</v>
      </c>
      <c r="I361" s="242">
        <v>-26800</v>
      </c>
      <c r="J361"/>
    </row>
    <row r="362" spans="1:10" ht="15.75" customHeight="1">
      <c r="A362" t="s">
        <v>3012</v>
      </c>
      <c r="B362">
        <v>313255</v>
      </c>
      <c r="C362">
        <v>1</v>
      </c>
      <c r="D362" t="str">
        <f t="shared" si="5"/>
        <v>1313255.920</v>
      </c>
      <c r="E362" t="s">
        <v>3149</v>
      </c>
      <c r="F362" s="242"/>
      <c r="G362"/>
      <c r="H362" s="242">
        <v>0</v>
      </c>
      <c r="I362" s="242">
        <v>-4287</v>
      </c>
      <c r="J362"/>
    </row>
    <row r="363" spans="1:10" ht="15.75" customHeight="1">
      <c r="A363" t="s">
        <v>3082</v>
      </c>
      <c r="B363">
        <v>313255</v>
      </c>
      <c r="C363">
        <v>1</v>
      </c>
      <c r="D363" t="str">
        <f t="shared" si="5"/>
        <v>1313255.921</v>
      </c>
      <c r="E363" t="s">
        <v>3150</v>
      </c>
      <c r="F363" s="242"/>
      <c r="G363"/>
      <c r="H363" s="242">
        <v>-18242</v>
      </c>
      <c r="I363" s="242">
        <v>-19352</v>
      </c>
      <c r="J363"/>
    </row>
    <row r="364" spans="1:10" ht="15.75" customHeight="1">
      <c r="A364" t="s">
        <v>1653</v>
      </c>
      <c r="B364">
        <v>313255</v>
      </c>
      <c r="C364">
        <v>1</v>
      </c>
      <c r="D364" t="str">
        <f t="shared" si="5"/>
        <v>1313255.923</v>
      </c>
      <c r="E364" t="s">
        <v>3151</v>
      </c>
      <c r="F364" s="242"/>
      <c r="G364"/>
      <c r="H364" s="242">
        <v>-322388</v>
      </c>
      <c r="I364" s="242">
        <v>-284212</v>
      </c>
      <c r="J364"/>
    </row>
    <row r="365" spans="1:10" ht="15.75" customHeight="1">
      <c r="A365" t="s">
        <v>3014</v>
      </c>
      <c r="B365">
        <v>313255</v>
      </c>
      <c r="C365">
        <v>1</v>
      </c>
      <c r="D365" t="str">
        <f t="shared" si="5"/>
        <v>1313255.924</v>
      </c>
      <c r="E365" t="s">
        <v>3171</v>
      </c>
      <c r="F365" s="242"/>
      <c r="G365"/>
      <c r="H365" s="242">
        <v>-112654</v>
      </c>
      <c r="I365" s="242">
        <v>-114713</v>
      </c>
      <c r="J365"/>
    </row>
    <row r="366" spans="1:10" ht="15.75" customHeight="1">
      <c r="A366" t="s">
        <v>3021</v>
      </c>
      <c r="B366">
        <v>313255</v>
      </c>
      <c r="C366">
        <v>1</v>
      </c>
      <c r="D366" t="str">
        <f t="shared" si="5"/>
        <v>1313255.925</v>
      </c>
      <c r="E366" t="s">
        <v>3172</v>
      </c>
      <c r="F366" s="242"/>
      <c r="G366"/>
      <c r="H366" s="242">
        <v>-1658</v>
      </c>
      <c r="I366" s="242">
        <v>-1658</v>
      </c>
      <c r="J366"/>
    </row>
    <row r="367" spans="1:10" ht="15.75" customHeight="1">
      <c r="A367" t="s">
        <v>3016</v>
      </c>
      <c r="B367">
        <v>313255</v>
      </c>
      <c r="C367">
        <v>1</v>
      </c>
      <c r="D367" t="str">
        <f t="shared" si="5"/>
        <v>1313255.926</v>
      </c>
      <c r="E367" t="s">
        <v>3154</v>
      </c>
      <c r="F367" s="242"/>
      <c r="G367"/>
      <c r="H367" s="242">
        <v>-9991</v>
      </c>
      <c r="I367" s="242">
        <v>-9802</v>
      </c>
      <c r="J367"/>
    </row>
    <row r="368" spans="1:10" ht="15.75" customHeight="1">
      <c r="A368" t="s">
        <v>3022</v>
      </c>
      <c r="B368">
        <v>313255</v>
      </c>
      <c r="C368">
        <v>1</v>
      </c>
      <c r="D368" t="str">
        <f t="shared" si="5"/>
        <v>1313255.927</v>
      </c>
      <c r="E368" t="s">
        <v>3170</v>
      </c>
      <c r="F368" s="242"/>
      <c r="G368"/>
      <c r="H368" s="242">
        <v>-4976</v>
      </c>
      <c r="I368" s="242">
        <v>-4912</v>
      </c>
      <c r="J368"/>
    </row>
    <row r="369" spans="1:10" ht="15.75" customHeight="1">
      <c r="A369" t="s">
        <v>3112</v>
      </c>
      <c r="B369">
        <v>313255</v>
      </c>
      <c r="C369">
        <v>1</v>
      </c>
      <c r="D369" t="str">
        <f t="shared" si="5"/>
        <v>1313255.928</v>
      </c>
      <c r="E369" t="s">
        <v>3168</v>
      </c>
      <c r="F369" s="242"/>
      <c r="G369"/>
      <c r="H369" s="242">
        <v>-7600</v>
      </c>
      <c r="I369" s="242">
        <v>-11200</v>
      </c>
      <c r="J369"/>
    </row>
    <row r="370" spans="1:10" ht="15.75" customHeight="1">
      <c r="A370" t="s">
        <v>3012</v>
      </c>
      <c r="B370">
        <v>313256</v>
      </c>
      <c r="C370">
        <v>1</v>
      </c>
      <c r="D370" t="str">
        <f t="shared" si="5"/>
        <v>1313256.920</v>
      </c>
      <c r="E370" t="s">
        <v>3149</v>
      </c>
      <c r="F370" s="242"/>
      <c r="G370"/>
      <c r="H370" s="242">
        <v>0</v>
      </c>
      <c r="I370" s="242">
        <v>-4311</v>
      </c>
      <c r="J370"/>
    </row>
    <row r="371" spans="1:10" ht="15.75" customHeight="1">
      <c r="A371" t="s">
        <v>3082</v>
      </c>
      <c r="B371">
        <v>313256</v>
      </c>
      <c r="C371">
        <v>1</v>
      </c>
      <c r="D371" t="str">
        <f t="shared" si="5"/>
        <v>1313256.921</v>
      </c>
      <c r="E371" t="s">
        <v>3150</v>
      </c>
      <c r="F371" s="242"/>
      <c r="G371"/>
      <c r="H371" s="242">
        <v>-18242</v>
      </c>
      <c r="I371" s="242">
        <v>-18630</v>
      </c>
      <c r="J371"/>
    </row>
    <row r="372" spans="1:10" ht="15.75" customHeight="1">
      <c r="A372" t="s">
        <v>1648</v>
      </c>
      <c r="B372">
        <v>313256</v>
      </c>
      <c r="C372">
        <v>1</v>
      </c>
      <c r="D372" t="str">
        <f t="shared" si="5"/>
        <v>1313256.922</v>
      </c>
      <c r="E372" t="s">
        <v>3020</v>
      </c>
      <c r="F372" s="242"/>
      <c r="G372"/>
      <c r="H372" s="242">
        <v>0</v>
      </c>
      <c r="I372" s="242">
        <v>-19507</v>
      </c>
      <c r="J372"/>
    </row>
    <row r="373" spans="1:10" ht="15.75" customHeight="1">
      <c r="A373" t="s">
        <v>1653</v>
      </c>
      <c r="B373">
        <v>313256</v>
      </c>
      <c r="C373">
        <v>1</v>
      </c>
      <c r="D373" t="str">
        <f t="shared" si="5"/>
        <v>1313256.923</v>
      </c>
      <c r="E373" t="s">
        <v>3151</v>
      </c>
      <c r="F373" s="242"/>
      <c r="G373"/>
      <c r="H373" s="242">
        <v>-487581</v>
      </c>
      <c r="I373" s="242">
        <v>-430538</v>
      </c>
      <c r="J373"/>
    </row>
    <row r="374" spans="1:10" ht="15.75" customHeight="1">
      <c r="A374" t="s">
        <v>3014</v>
      </c>
      <c r="B374">
        <v>313256</v>
      </c>
      <c r="C374">
        <v>1</v>
      </c>
      <c r="D374" t="str">
        <f t="shared" si="5"/>
        <v>1313256.924</v>
      </c>
      <c r="E374" t="s">
        <v>3171</v>
      </c>
      <c r="F374" s="242"/>
      <c r="G374"/>
      <c r="H374" s="242">
        <v>-129288</v>
      </c>
      <c r="I374" s="242">
        <v>-114713</v>
      </c>
      <c r="J374"/>
    </row>
    <row r="375" spans="1:10" ht="15.75" customHeight="1">
      <c r="A375" t="s">
        <v>3021</v>
      </c>
      <c r="B375">
        <v>313256</v>
      </c>
      <c r="C375">
        <v>1</v>
      </c>
      <c r="D375" t="str">
        <f t="shared" si="5"/>
        <v>1313256.925</v>
      </c>
      <c r="E375" t="s">
        <v>3153</v>
      </c>
      <c r="F375" s="242"/>
      <c r="G375"/>
      <c r="H375" s="242">
        <v>-1658</v>
      </c>
      <c r="I375" s="242">
        <v>-1658</v>
      </c>
      <c r="J375"/>
    </row>
    <row r="376" spans="1:10" ht="15.75" customHeight="1">
      <c r="A376" t="s">
        <v>3016</v>
      </c>
      <c r="B376">
        <v>313256</v>
      </c>
      <c r="C376">
        <v>1</v>
      </c>
      <c r="D376" t="str">
        <f t="shared" si="5"/>
        <v>1313256.926</v>
      </c>
      <c r="E376" t="s">
        <v>3154</v>
      </c>
      <c r="F376" s="242"/>
      <c r="G376"/>
      <c r="H376" s="242">
        <v>-15646</v>
      </c>
      <c r="I376" s="242">
        <v>-15947</v>
      </c>
      <c r="J376"/>
    </row>
    <row r="377" spans="1:10" ht="15.75" customHeight="1">
      <c r="A377" t="s">
        <v>3022</v>
      </c>
      <c r="B377">
        <v>313256</v>
      </c>
      <c r="C377">
        <v>1</v>
      </c>
      <c r="D377" t="str">
        <f t="shared" si="5"/>
        <v>1313256.927</v>
      </c>
      <c r="E377" t="s">
        <v>3170</v>
      </c>
      <c r="F377" s="242"/>
      <c r="G377"/>
      <c r="H377" s="242">
        <v>-8001</v>
      </c>
      <c r="I377" s="242">
        <v>-8172</v>
      </c>
      <c r="J377"/>
    </row>
    <row r="378" spans="1:10" ht="15.75" customHeight="1">
      <c r="A378" t="s">
        <v>3112</v>
      </c>
      <c r="B378">
        <v>313256</v>
      </c>
      <c r="C378">
        <v>1</v>
      </c>
      <c r="D378" t="str">
        <f t="shared" si="5"/>
        <v>1313256.928</v>
      </c>
      <c r="E378" t="s">
        <v>3168</v>
      </c>
      <c r="F378" s="242"/>
      <c r="G378"/>
      <c r="H378" s="242">
        <v>-3600</v>
      </c>
      <c r="I378" s="242">
        <v>-5600</v>
      </c>
      <c r="J378"/>
    </row>
    <row r="379" spans="1:10" ht="15.75" customHeight="1">
      <c r="A379" t="s">
        <v>2684</v>
      </c>
      <c r="B379">
        <v>313257</v>
      </c>
      <c r="C379">
        <v>1</v>
      </c>
      <c r="D379" t="str">
        <f t="shared" si="5"/>
        <v>1313257.421</v>
      </c>
      <c r="E379" t="s">
        <v>3079</v>
      </c>
      <c r="F379" s="242"/>
      <c r="G379"/>
      <c r="H379" s="242">
        <v>0</v>
      </c>
      <c r="I379" s="242">
        <v>0</v>
      </c>
      <c r="J379"/>
    </row>
    <row r="380" spans="1:10" ht="15.75" customHeight="1">
      <c r="A380" t="s">
        <v>3012</v>
      </c>
      <c r="B380">
        <v>313257</v>
      </c>
      <c r="C380">
        <v>1</v>
      </c>
      <c r="D380" t="str">
        <f t="shared" si="5"/>
        <v>1313257.920</v>
      </c>
      <c r="E380" t="s">
        <v>3149</v>
      </c>
      <c r="F380" s="242"/>
      <c r="G380"/>
      <c r="H380" s="242">
        <v>0</v>
      </c>
      <c r="I380" s="242">
        <v>-3742</v>
      </c>
      <c r="J380"/>
    </row>
    <row r="381" spans="1:10" ht="15.75" customHeight="1">
      <c r="A381" t="s">
        <v>3082</v>
      </c>
      <c r="B381">
        <v>313257</v>
      </c>
      <c r="C381">
        <v>1</v>
      </c>
      <c r="D381" t="str">
        <f t="shared" si="5"/>
        <v>1313257.921</v>
      </c>
      <c r="E381" t="s">
        <v>3177</v>
      </c>
      <c r="F381" s="242"/>
      <c r="G381"/>
      <c r="H381" s="242">
        <v>-11674</v>
      </c>
      <c r="I381" s="242">
        <v>-11686</v>
      </c>
      <c r="J381"/>
    </row>
    <row r="382" spans="1:10" ht="15.75" customHeight="1">
      <c r="A382" t="s">
        <v>1653</v>
      </c>
      <c r="B382">
        <v>313257</v>
      </c>
      <c r="C382">
        <v>1</v>
      </c>
      <c r="D382" t="str">
        <f t="shared" si="5"/>
        <v>1313257.923</v>
      </c>
      <c r="E382" t="s">
        <v>3151</v>
      </c>
      <c r="F382" s="242"/>
      <c r="G382"/>
      <c r="H382" s="242">
        <v>-551994</v>
      </c>
      <c r="I382" s="242">
        <v>-485438</v>
      </c>
      <c r="J382"/>
    </row>
    <row r="383" spans="1:10" ht="15.75" customHeight="1">
      <c r="A383" t="s">
        <v>3021</v>
      </c>
      <c r="B383">
        <v>313257</v>
      </c>
      <c r="C383">
        <v>1</v>
      </c>
      <c r="D383" t="str">
        <f t="shared" si="5"/>
        <v>1313257.925</v>
      </c>
      <c r="E383" t="s">
        <v>3153</v>
      </c>
      <c r="F383" s="242"/>
      <c r="G383"/>
      <c r="H383" s="242">
        <v>-2912</v>
      </c>
      <c r="I383" s="242">
        <v>-2730</v>
      </c>
      <c r="J383"/>
    </row>
    <row r="384" spans="1:10" ht="15.75" customHeight="1">
      <c r="A384" t="s">
        <v>3016</v>
      </c>
      <c r="B384">
        <v>313257</v>
      </c>
      <c r="C384">
        <v>1</v>
      </c>
      <c r="D384" t="str">
        <f t="shared" si="5"/>
        <v>1313257.926</v>
      </c>
      <c r="E384" t="s">
        <v>3154</v>
      </c>
      <c r="F384" s="242"/>
      <c r="G384"/>
      <c r="H384" s="242">
        <v>-17493</v>
      </c>
      <c r="I384" s="242">
        <v>-17078</v>
      </c>
      <c r="J384"/>
    </row>
    <row r="385" spans="1:10" ht="15.75" customHeight="1">
      <c r="A385" t="s">
        <v>3022</v>
      </c>
      <c r="B385">
        <v>313257</v>
      </c>
      <c r="C385">
        <v>1</v>
      </c>
      <c r="D385" t="str">
        <f t="shared" si="5"/>
        <v>1313257.927</v>
      </c>
      <c r="E385" t="s">
        <v>3170</v>
      </c>
      <c r="F385" s="242"/>
      <c r="G385"/>
      <c r="H385" s="242">
        <v>-9953</v>
      </c>
      <c r="I385" s="242">
        <v>-9717</v>
      </c>
      <c r="J385"/>
    </row>
    <row r="386" spans="1:10" ht="15.75" customHeight="1">
      <c r="A386" t="s">
        <v>3112</v>
      </c>
      <c r="B386">
        <v>313257</v>
      </c>
      <c r="C386">
        <v>1</v>
      </c>
      <c r="D386" t="str">
        <f t="shared" si="5"/>
        <v>1313257.928</v>
      </c>
      <c r="E386" t="s">
        <v>3168</v>
      </c>
      <c r="F386" s="242"/>
      <c r="G386"/>
      <c r="H386" s="242">
        <v>-400</v>
      </c>
      <c r="I386" s="242">
        <v>-400</v>
      </c>
      <c r="J386"/>
    </row>
    <row r="387" spans="1:10" ht="15.75" customHeight="1">
      <c r="A387" t="s">
        <v>3012</v>
      </c>
      <c r="B387">
        <v>313258</v>
      </c>
      <c r="C387">
        <v>1</v>
      </c>
      <c r="D387" t="str">
        <f t="shared" ref="D387:D450" si="6">C387&amp;B387&amp;"."&amp;A387</f>
        <v>1313258.920</v>
      </c>
      <c r="E387" t="s">
        <v>3149</v>
      </c>
      <c r="F387" s="242"/>
      <c r="G387"/>
      <c r="H387" s="242">
        <v>0</v>
      </c>
      <c r="I387" s="242">
        <v>-498</v>
      </c>
      <c r="J387"/>
    </row>
    <row r="388" spans="1:10" ht="15.75" customHeight="1">
      <c r="A388" t="s">
        <v>3082</v>
      </c>
      <c r="B388">
        <v>313258</v>
      </c>
      <c r="C388">
        <v>1</v>
      </c>
      <c r="D388" t="str">
        <f t="shared" si="6"/>
        <v>1313258.921</v>
      </c>
      <c r="E388" t="s">
        <v>3150</v>
      </c>
      <c r="F388" s="242"/>
      <c r="G388"/>
      <c r="H388" s="242">
        <v>-7016</v>
      </c>
      <c r="I388" s="242">
        <v>-6595</v>
      </c>
      <c r="J388"/>
    </row>
    <row r="389" spans="1:10" ht="15.75" customHeight="1">
      <c r="A389" t="s">
        <v>1653</v>
      </c>
      <c r="B389">
        <v>313258</v>
      </c>
      <c r="C389">
        <v>1</v>
      </c>
      <c r="D389" t="str">
        <f t="shared" si="6"/>
        <v>1313258.923</v>
      </c>
      <c r="E389" t="s">
        <v>3151</v>
      </c>
      <c r="F389" s="242"/>
      <c r="G389"/>
      <c r="H389" s="242">
        <v>-346830</v>
      </c>
      <c r="I389" s="242">
        <v>-320167</v>
      </c>
      <c r="J389"/>
    </row>
    <row r="390" spans="1:10" ht="15.75" customHeight="1">
      <c r="A390" t="s">
        <v>3016</v>
      </c>
      <c r="B390">
        <v>313258</v>
      </c>
      <c r="C390">
        <v>1</v>
      </c>
      <c r="D390" t="str">
        <f t="shared" si="6"/>
        <v>1313258.926</v>
      </c>
      <c r="E390" t="s">
        <v>3154</v>
      </c>
      <c r="F390" s="242"/>
      <c r="G390"/>
      <c r="H390" s="242">
        <v>-12408</v>
      </c>
      <c r="I390" s="242">
        <v>-11951</v>
      </c>
      <c r="J390"/>
    </row>
    <row r="391" spans="1:10" ht="15.75" customHeight="1">
      <c r="A391" t="s">
        <v>3022</v>
      </c>
      <c r="B391">
        <v>313258</v>
      </c>
      <c r="C391">
        <v>1</v>
      </c>
      <c r="D391" t="str">
        <f t="shared" si="6"/>
        <v>1313258.927</v>
      </c>
      <c r="E391" t="s">
        <v>3170</v>
      </c>
      <c r="F391" s="242"/>
      <c r="G391"/>
      <c r="H391" s="242">
        <v>-7057</v>
      </c>
      <c r="I391" s="242">
        <v>-6821</v>
      </c>
      <c r="J391"/>
    </row>
    <row r="392" spans="1:10" ht="15.75" customHeight="1">
      <c r="A392" t="s">
        <v>3112</v>
      </c>
      <c r="B392">
        <v>313258</v>
      </c>
      <c r="C392">
        <v>1</v>
      </c>
      <c r="D392" t="str">
        <f t="shared" si="6"/>
        <v>1313258.928</v>
      </c>
      <c r="E392" t="s">
        <v>3168</v>
      </c>
      <c r="F392" s="242"/>
      <c r="G392"/>
      <c r="H392" s="242">
        <v>0</v>
      </c>
      <c r="I392" s="242">
        <v>-14400</v>
      </c>
      <c r="J392"/>
    </row>
    <row r="393" spans="1:10" ht="15.75" customHeight="1">
      <c r="A393" t="s">
        <v>3082</v>
      </c>
      <c r="B393">
        <v>313259</v>
      </c>
      <c r="C393">
        <v>1</v>
      </c>
      <c r="D393" t="str">
        <f t="shared" si="6"/>
        <v>1313259.921</v>
      </c>
      <c r="E393" t="s">
        <v>3150</v>
      </c>
      <c r="F393" s="242"/>
      <c r="G393"/>
      <c r="H393" s="242">
        <v>-24323</v>
      </c>
      <c r="I393" s="242">
        <v>-22876</v>
      </c>
      <c r="J393"/>
    </row>
    <row r="394" spans="1:10" ht="15.75" customHeight="1">
      <c r="A394" t="s">
        <v>1648</v>
      </c>
      <c r="B394">
        <v>313259</v>
      </c>
      <c r="C394">
        <v>1</v>
      </c>
      <c r="D394" t="str">
        <f t="shared" si="6"/>
        <v>1313259.922</v>
      </c>
      <c r="E394" t="s">
        <v>3020</v>
      </c>
      <c r="F394" s="242"/>
      <c r="G394"/>
      <c r="H394" s="242">
        <v>-100</v>
      </c>
      <c r="I394" s="242">
        <v>-49106</v>
      </c>
      <c r="J394"/>
    </row>
    <row r="395" spans="1:10" ht="15.75" customHeight="1">
      <c r="A395" t="s">
        <v>1653</v>
      </c>
      <c r="B395">
        <v>313259</v>
      </c>
      <c r="C395">
        <v>1</v>
      </c>
      <c r="D395" t="str">
        <f t="shared" si="6"/>
        <v>1313259.923</v>
      </c>
      <c r="E395" t="s">
        <v>3151</v>
      </c>
      <c r="F395" s="242"/>
      <c r="G395"/>
      <c r="H395" s="242">
        <v>-607373</v>
      </c>
      <c r="I395" s="242">
        <v>-614675</v>
      </c>
      <c r="J395"/>
    </row>
    <row r="396" spans="1:10" ht="15.75" customHeight="1">
      <c r="A396" t="s">
        <v>3014</v>
      </c>
      <c r="B396">
        <v>313259</v>
      </c>
      <c r="C396">
        <v>1</v>
      </c>
      <c r="D396" t="str">
        <f t="shared" si="6"/>
        <v>1313259.924</v>
      </c>
      <c r="E396" t="s">
        <v>3171</v>
      </c>
      <c r="F396" s="242"/>
      <c r="G396"/>
      <c r="H396" s="242">
        <v>-240620</v>
      </c>
      <c r="I396" s="242">
        <v>-196544</v>
      </c>
      <c r="J396"/>
    </row>
    <row r="397" spans="1:10" ht="15.75" customHeight="1">
      <c r="A397" t="s">
        <v>3021</v>
      </c>
      <c r="B397">
        <v>313259</v>
      </c>
      <c r="C397">
        <v>1</v>
      </c>
      <c r="D397" t="str">
        <f t="shared" si="6"/>
        <v>1313259.925</v>
      </c>
      <c r="E397" t="s">
        <v>3153</v>
      </c>
      <c r="F397" s="242"/>
      <c r="G397"/>
      <c r="H397" s="242">
        <v>-2210</v>
      </c>
      <c r="I397" s="242">
        <v>-1658</v>
      </c>
      <c r="J397"/>
    </row>
    <row r="398" spans="1:10" ht="15.75" customHeight="1">
      <c r="A398" t="s">
        <v>3016</v>
      </c>
      <c r="B398">
        <v>313259</v>
      </c>
      <c r="C398">
        <v>1</v>
      </c>
      <c r="D398" t="str">
        <f t="shared" si="6"/>
        <v>1313259.926</v>
      </c>
      <c r="E398" t="s">
        <v>3154</v>
      </c>
      <c r="F398" s="242"/>
      <c r="G398"/>
      <c r="H398" s="242">
        <v>-21489</v>
      </c>
      <c r="I398" s="242">
        <v>-21074</v>
      </c>
      <c r="J398"/>
    </row>
    <row r="399" spans="1:10" ht="15.75" customHeight="1">
      <c r="A399" t="s">
        <v>3022</v>
      </c>
      <c r="B399">
        <v>313259</v>
      </c>
      <c r="C399">
        <v>1</v>
      </c>
      <c r="D399" t="str">
        <f t="shared" si="6"/>
        <v>1313259.927</v>
      </c>
      <c r="E399" t="s">
        <v>3170</v>
      </c>
      <c r="F399" s="242"/>
      <c r="G399"/>
      <c r="H399" s="242">
        <v>-11819</v>
      </c>
      <c r="I399" s="242">
        <v>-11690</v>
      </c>
      <c r="J399"/>
    </row>
    <row r="400" spans="1:10" ht="15.75" customHeight="1">
      <c r="A400" t="s">
        <v>3112</v>
      </c>
      <c r="B400">
        <v>313259</v>
      </c>
      <c r="C400">
        <v>1</v>
      </c>
      <c r="D400" t="str">
        <f t="shared" si="6"/>
        <v>1313259.928</v>
      </c>
      <c r="E400" t="s">
        <v>3168</v>
      </c>
      <c r="F400" s="242"/>
      <c r="G400"/>
      <c r="H400" s="242">
        <v>0</v>
      </c>
      <c r="I400" s="242">
        <v>-400</v>
      </c>
      <c r="J400"/>
    </row>
    <row r="401" spans="1:10" ht="15.75" customHeight="1">
      <c r="A401" t="s">
        <v>3088</v>
      </c>
      <c r="B401">
        <v>313259</v>
      </c>
      <c r="C401">
        <v>1</v>
      </c>
      <c r="D401" t="str">
        <f t="shared" si="6"/>
        <v>1313259.929</v>
      </c>
      <c r="E401" t="s">
        <v>3179</v>
      </c>
      <c r="F401" s="242"/>
      <c r="G401"/>
      <c r="H401" s="242">
        <v>-20832</v>
      </c>
      <c r="I401" s="242">
        <v>-16709</v>
      </c>
      <c r="J401"/>
    </row>
    <row r="402" spans="1:10" ht="15.75" customHeight="1">
      <c r="A402" t="s">
        <v>3012</v>
      </c>
      <c r="B402">
        <v>313261</v>
      </c>
      <c r="C402">
        <v>1</v>
      </c>
      <c r="D402" t="str">
        <f t="shared" si="6"/>
        <v>1313261.920</v>
      </c>
      <c r="E402" t="s">
        <v>3149</v>
      </c>
      <c r="F402" s="242"/>
      <c r="G402"/>
      <c r="H402" s="242">
        <v>0</v>
      </c>
      <c r="I402" s="242">
        <v>-626</v>
      </c>
      <c r="J402"/>
    </row>
    <row r="403" spans="1:10" ht="15.75" customHeight="1">
      <c r="A403" t="s">
        <v>3082</v>
      </c>
      <c r="B403">
        <v>313261</v>
      </c>
      <c r="C403">
        <v>1</v>
      </c>
      <c r="D403" t="str">
        <f t="shared" si="6"/>
        <v>1313261.921</v>
      </c>
      <c r="E403" t="s">
        <v>3150</v>
      </c>
      <c r="F403" s="242"/>
      <c r="G403"/>
      <c r="H403" s="242">
        <v>-12161</v>
      </c>
      <c r="I403" s="242">
        <v>-12420</v>
      </c>
      <c r="J403"/>
    </row>
    <row r="404" spans="1:10" ht="15.75" customHeight="1">
      <c r="A404" t="s">
        <v>1653</v>
      </c>
      <c r="B404">
        <v>313261</v>
      </c>
      <c r="C404">
        <v>1</v>
      </c>
      <c r="D404" t="str">
        <f t="shared" si="6"/>
        <v>1313261.923</v>
      </c>
      <c r="E404" t="s">
        <v>3151</v>
      </c>
      <c r="F404" s="242"/>
      <c r="G404"/>
      <c r="H404" s="242">
        <v>-522362</v>
      </c>
      <c r="I404" s="242">
        <v>-456735</v>
      </c>
      <c r="J404"/>
    </row>
    <row r="405" spans="1:10" ht="15.75" customHeight="1">
      <c r="A405" t="s">
        <v>3014</v>
      </c>
      <c r="B405">
        <v>313261</v>
      </c>
      <c r="C405">
        <v>1</v>
      </c>
      <c r="D405" t="str">
        <f t="shared" si="6"/>
        <v>1313261.924</v>
      </c>
      <c r="E405" t="s">
        <v>3152</v>
      </c>
      <c r="F405" s="242"/>
      <c r="G405"/>
      <c r="H405" s="242">
        <v>-75101</v>
      </c>
      <c r="I405" s="242">
        <v>-76475</v>
      </c>
      <c r="J405"/>
    </row>
    <row r="406" spans="1:10" ht="15.75" customHeight="1">
      <c r="A406" t="s">
        <v>3021</v>
      </c>
      <c r="B406">
        <v>313261</v>
      </c>
      <c r="C406">
        <v>1</v>
      </c>
      <c r="D406" t="str">
        <f t="shared" si="6"/>
        <v>1313261.925</v>
      </c>
      <c r="E406" t="s">
        <v>3153</v>
      </c>
      <c r="F406" s="242"/>
      <c r="G406"/>
      <c r="H406" s="242">
        <v>-1105</v>
      </c>
      <c r="I406" s="242">
        <v>-1105</v>
      </c>
      <c r="J406"/>
    </row>
    <row r="407" spans="1:10" ht="15.75" customHeight="1">
      <c r="A407" t="s">
        <v>3016</v>
      </c>
      <c r="B407">
        <v>313261</v>
      </c>
      <c r="C407">
        <v>1</v>
      </c>
      <c r="D407" t="str">
        <f t="shared" si="6"/>
        <v>1313261.926</v>
      </c>
      <c r="E407" t="s">
        <v>3154</v>
      </c>
      <c r="F407" s="242"/>
      <c r="G407"/>
      <c r="H407" s="242">
        <v>-17154</v>
      </c>
      <c r="I407" s="242">
        <v>-16324</v>
      </c>
      <c r="J407"/>
    </row>
    <row r="408" spans="1:10" ht="15.75" customHeight="1">
      <c r="A408" t="s">
        <v>3022</v>
      </c>
      <c r="B408">
        <v>313261</v>
      </c>
      <c r="C408">
        <v>1</v>
      </c>
      <c r="D408" t="str">
        <f t="shared" si="6"/>
        <v>1313261.927</v>
      </c>
      <c r="E408" t="s">
        <v>3155</v>
      </c>
      <c r="F408" s="242"/>
      <c r="G408"/>
      <c r="H408" s="242">
        <v>-9266</v>
      </c>
      <c r="I408" s="242">
        <v>-8816</v>
      </c>
      <c r="J408"/>
    </row>
    <row r="409" spans="1:10" ht="15.75" customHeight="1">
      <c r="A409" t="s">
        <v>3012</v>
      </c>
      <c r="B409">
        <v>313262</v>
      </c>
      <c r="C409">
        <v>1</v>
      </c>
      <c r="D409" t="str">
        <f t="shared" si="6"/>
        <v>1313262.920</v>
      </c>
      <c r="E409" t="s">
        <v>3149</v>
      </c>
      <c r="F409" s="242"/>
      <c r="G409"/>
      <c r="H409" s="242">
        <v>0</v>
      </c>
      <c r="I409" s="242">
        <v>-5041</v>
      </c>
      <c r="J409"/>
    </row>
    <row r="410" spans="1:10" ht="15.75" customHeight="1">
      <c r="A410" t="s">
        <v>1653</v>
      </c>
      <c r="B410">
        <v>313262</v>
      </c>
      <c r="C410">
        <v>1</v>
      </c>
      <c r="D410" t="str">
        <f t="shared" si="6"/>
        <v>1313262.923</v>
      </c>
      <c r="E410" t="s">
        <v>3151</v>
      </c>
      <c r="F410" s="242"/>
      <c r="G410"/>
      <c r="H410" s="242">
        <v>-531784</v>
      </c>
      <c r="I410" s="242">
        <v>-536816</v>
      </c>
      <c r="J410"/>
    </row>
    <row r="411" spans="1:10" ht="15.75" customHeight="1">
      <c r="A411" t="s">
        <v>3016</v>
      </c>
      <c r="B411">
        <v>313262</v>
      </c>
      <c r="C411">
        <v>1</v>
      </c>
      <c r="D411" t="str">
        <f t="shared" si="6"/>
        <v>1313262.926</v>
      </c>
      <c r="E411" t="s">
        <v>3154</v>
      </c>
      <c r="F411" s="242"/>
      <c r="G411"/>
      <c r="H411" s="242">
        <v>-20735</v>
      </c>
      <c r="I411" s="242">
        <v>-20207</v>
      </c>
      <c r="J411"/>
    </row>
    <row r="412" spans="1:10" ht="15.75" customHeight="1">
      <c r="A412" t="s">
        <v>3022</v>
      </c>
      <c r="B412">
        <v>313262</v>
      </c>
      <c r="C412">
        <v>1</v>
      </c>
      <c r="D412" t="str">
        <f t="shared" si="6"/>
        <v>1313262.927</v>
      </c>
      <c r="E412" t="s">
        <v>3155</v>
      </c>
      <c r="F412" s="242"/>
      <c r="G412"/>
      <c r="H412" s="242">
        <v>-11798</v>
      </c>
      <c r="I412" s="242">
        <v>-11476</v>
      </c>
      <c r="J412"/>
    </row>
    <row r="413" spans="1:10" ht="15.75" customHeight="1">
      <c r="A413" t="s">
        <v>3112</v>
      </c>
      <c r="B413">
        <v>313262</v>
      </c>
      <c r="C413">
        <v>1</v>
      </c>
      <c r="D413" t="str">
        <f t="shared" si="6"/>
        <v>1313262.928</v>
      </c>
      <c r="E413" t="s">
        <v>3162</v>
      </c>
      <c r="F413" s="242"/>
      <c r="G413"/>
      <c r="H413" s="242">
        <v>-800</v>
      </c>
      <c r="I413" s="242">
        <v>-400</v>
      </c>
      <c r="J413"/>
    </row>
    <row r="414" spans="1:10" ht="15.75" customHeight="1">
      <c r="A414" t="s">
        <v>3082</v>
      </c>
      <c r="B414">
        <v>313264</v>
      </c>
      <c r="C414">
        <v>1</v>
      </c>
      <c r="D414" t="str">
        <f t="shared" si="6"/>
        <v>1313264.921</v>
      </c>
      <c r="E414" t="s">
        <v>3150</v>
      </c>
      <c r="F414" s="242"/>
      <c r="G414"/>
      <c r="H414" s="242">
        <v>-22652</v>
      </c>
      <c r="I414" s="242">
        <v>-22938</v>
      </c>
      <c r="J414"/>
    </row>
    <row r="415" spans="1:10" ht="15.75" customHeight="1">
      <c r="A415" t="s">
        <v>1653</v>
      </c>
      <c r="B415">
        <v>313264</v>
      </c>
      <c r="C415">
        <v>1</v>
      </c>
      <c r="D415" t="str">
        <f t="shared" si="6"/>
        <v>1313264.923</v>
      </c>
      <c r="E415" t="s">
        <v>3151</v>
      </c>
      <c r="F415" s="242"/>
      <c r="G415"/>
      <c r="H415" s="242">
        <v>-77019</v>
      </c>
      <c r="I415" s="242">
        <v>-71987</v>
      </c>
      <c r="J415"/>
    </row>
    <row r="416" spans="1:10" ht="15.75" customHeight="1">
      <c r="A416" t="s">
        <v>3012</v>
      </c>
      <c r="B416">
        <v>313266</v>
      </c>
      <c r="C416">
        <v>1</v>
      </c>
      <c r="D416" t="str">
        <f t="shared" si="6"/>
        <v>1313266.920</v>
      </c>
      <c r="E416" t="s">
        <v>3149</v>
      </c>
      <c r="F416" s="242"/>
      <c r="G416"/>
      <c r="H416" s="242">
        <v>0</v>
      </c>
      <c r="I416" s="242">
        <v>-626</v>
      </c>
      <c r="J416"/>
    </row>
    <row r="417" spans="1:10" ht="15.75" customHeight="1">
      <c r="A417" t="s">
        <v>3082</v>
      </c>
      <c r="B417">
        <v>313266</v>
      </c>
      <c r="C417">
        <v>1</v>
      </c>
      <c r="D417" t="str">
        <f t="shared" si="6"/>
        <v>1313266.921</v>
      </c>
      <c r="E417" t="s">
        <v>3150</v>
      </c>
      <c r="F417" s="242"/>
      <c r="G417"/>
      <c r="H417" s="242">
        <v>-115536</v>
      </c>
      <c r="I417" s="242">
        <v>-130906</v>
      </c>
      <c r="J417"/>
    </row>
    <row r="418" spans="1:10" ht="15.75" customHeight="1">
      <c r="A418" t="s">
        <v>1648</v>
      </c>
      <c r="B418">
        <v>313266</v>
      </c>
      <c r="C418">
        <v>1</v>
      </c>
      <c r="D418" t="str">
        <f t="shared" si="6"/>
        <v>1313266.922</v>
      </c>
      <c r="E418" t="s">
        <v>3020</v>
      </c>
      <c r="F418" s="242"/>
      <c r="G418"/>
      <c r="H418" s="242">
        <v>-100</v>
      </c>
      <c r="I418" s="242">
        <v>0</v>
      </c>
      <c r="J418"/>
    </row>
    <row r="419" spans="1:10" ht="15.75" customHeight="1">
      <c r="A419" t="s">
        <v>1653</v>
      </c>
      <c r="B419">
        <v>313266</v>
      </c>
      <c r="C419">
        <v>1</v>
      </c>
      <c r="D419" t="str">
        <f t="shared" si="6"/>
        <v>1313266.923</v>
      </c>
      <c r="E419" t="s">
        <v>3151</v>
      </c>
      <c r="F419" s="242"/>
      <c r="G419"/>
      <c r="H419" s="242">
        <v>-362475</v>
      </c>
      <c r="I419" s="242">
        <v>-392810</v>
      </c>
      <c r="J419"/>
    </row>
    <row r="420" spans="1:10" ht="15.75" customHeight="1">
      <c r="A420" t="s">
        <v>3021</v>
      </c>
      <c r="B420">
        <v>313266</v>
      </c>
      <c r="C420">
        <v>1</v>
      </c>
      <c r="D420" t="str">
        <f t="shared" si="6"/>
        <v>1313266.925</v>
      </c>
      <c r="E420" t="s">
        <v>3153</v>
      </c>
      <c r="F420" s="242"/>
      <c r="G420"/>
      <c r="H420" s="242">
        <v>-10498</v>
      </c>
      <c r="I420" s="242">
        <v>-11603</v>
      </c>
      <c r="J420"/>
    </row>
    <row r="421" spans="1:10" ht="15.75" customHeight="1">
      <c r="A421" t="s">
        <v>3016</v>
      </c>
      <c r="B421">
        <v>313266</v>
      </c>
      <c r="C421">
        <v>1</v>
      </c>
      <c r="D421" t="str">
        <f t="shared" si="6"/>
        <v>1313266.926</v>
      </c>
      <c r="E421" t="s">
        <v>3154</v>
      </c>
      <c r="F421" s="242"/>
      <c r="G421"/>
      <c r="H421" s="242">
        <v>-3900</v>
      </c>
      <c r="I421" s="242">
        <v>75</v>
      </c>
      <c r="J421"/>
    </row>
    <row r="422" spans="1:10" ht="15.75" customHeight="1">
      <c r="A422" t="s">
        <v>3022</v>
      </c>
      <c r="B422">
        <v>313266</v>
      </c>
      <c r="C422">
        <v>1</v>
      </c>
      <c r="D422" t="str">
        <f t="shared" si="6"/>
        <v>1313266.927</v>
      </c>
      <c r="E422" t="s">
        <v>3155</v>
      </c>
      <c r="F422" s="242"/>
      <c r="G422"/>
      <c r="H422" s="242">
        <v>0</v>
      </c>
      <c r="I422" s="242">
        <v>0</v>
      </c>
      <c r="J422"/>
    </row>
    <row r="423" spans="1:10" ht="15.75" customHeight="1">
      <c r="A423" t="s">
        <v>3012</v>
      </c>
      <c r="B423">
        <v>313267</v>
      </c>
      <c r="C423">
        <v>1</v>
      </c>
      <c r="D423" t="str">
        <f t="shared" si="6"/>
        <v>1313267.920</v>
      </c>
      <c r="E423" t="s">
        <v>3149</v>
      </c>
      <c r="F423" s="242"/>
      <c r="G423"/>
      <c r="H423" s="242">
        <v>0</v>
      </c>
      <c r="I423" s="242">
        <v>-498</v>
      </c>
      <c r="J423"/>
    </row>
    <row r="424" spans="1:10" ht="15.75" customHeight="1">
      <c r="A424" t="s">
        <v>3082</v>
      </c>
      <c r="B424">
        <v>313267</v>
      </c>
      <c r="C424">
        <v>1</v>
      </c>
      <c r="D424" t="str">
        <f t="shared" si="6"/>
        <v>1313267.921</v>
      </c>
      <c r="E424" t="s">
        <v>3150</v>
      </c>
      <c r="F424" s="242"/>
      <c r="G424"/>
      <c r="H424" s="242">
        <v>-103382</v>
      </c>
      <c r="I424" s="242">
        <v>-107531</v>
      </c>
      <c r="J424"/>
    </row>
    <row r="425" spans="1:10" ht="15.75" customHeight="1">
      <c r="A425" t="s">
        <v>1653</v>
      </c>
      <c r="B425">
        <v>313267</v>
      </c>
      <c r="C425">
        <v>1</v>
      </c>
      <c r="D425" t="str">
        <f t="shared" si="6"/>
        <v>1313267.923</v>
      </c>
      <c r="E425" t="s">
        <v>3151</v>
      </c>
      <c r="F425" s="242"/>
      <c r="G425"/>
      <c r="H425" s="242">
        <v>-324320</v>
      </c>
      <c r="I425" s="242">
        <v>-337460</v>
      </c>
      <c r="J425"/>
    </row>
    <row r="426" spans="1:10" ht="15.75" customHeight="1">
      <c r="A426" t="s">
        <v>3021</v>
      </c>
      <c r="B426">
        <v>313267</v>
      </c>
      <c r="C426">
        <v>1</v>
      </c>
      <c r="D426" t="str">
        <f t="shared" si="6"/>
        <v>1313267.925</v>
      </c>
      <c r="E426" t="s">
        <v>3153</v>
      </c>
      <c r="F426" s="242"/>
      <c r="G426"/>
      <c r="H426" s="242">
        <v>-9393</v>
      </c>
      <c r="I426" s="242">
        <v>-9945</v>
      </c>
      <c r="J426"/>
    </row>
    <row r="427" spans="1:10" ht="15.75" customHeight="1">
      <c r="A427" t="s">
        <v>3016</v>
      </c>
      <c r="B427">
        <v>313267</v>
      </c>
      <c r="C427">
        <v>1</v>
      </c>
      <c r="D427" t="str">
        <f t="shared" si="6"/>
        <v>1313267.926</v>
      </c>
      <c r="E427" t="s">
        <v>3154</v>
      </c>
      <c r="F427" s="242"/>
      <c r="G427"/>
      <c r="H427" s="242">
        <v>-4000</v>
      </c>
      <c r="I427" s="242">
        <v>0</v>
      </c>
      <c r="J427"/>
    </row>
    <row r="428" spans="1:10" ht="15.75" customHeight="1">
      <c r="A428" t="s">
        <v>3022</v>
      </c>
      <c r="B428">
        <v>313267</v>
      </c>
      <c r="C428">
        <v>1</v>
      </c>
      <c r="D428" t="str">
        <f t="shared" si="6"/>
        <v>1313267.927</v>
      </c>
      <c r="E428" t="s">
        <v>3155</v>
      </c>
      <c r="F428" s="242"/>
      <c r="G428"/>
      <c r="H428" s="242">
        <v>0</v>
      </c>
      <c r="I428" s="242">
        <v>0</v>
      </c>
      <c r="J428"/>
    </row>
    <row r="429" spans="1:10" ht="15.75" customHeight="1">
      <c r="A429" t="s">
        <v>3112</v>
      </c>
      <c r="B429">
        <v>313267</v>
      </c>
      <c r="C429">
        <v>1</v>
      </c>
      <c r="D429" t="str">
        <f t="shared" si="6"/>
        <v>1313267.928</v>
      </c>
      <c r="E429" t="s">
        <v>3162</v>
      </c>
      <c r="F429" s="242"/>
      <c r="G429"/>
      <c r="H429" s="242">
        <v>0</v>
      </c>
      <c r="I429" s="242">
        <v>-21200</v>
      </c>
      <c r="J429"/>
    </row>
    <row r="430" spans="1:10" ht="15.75" customHeight="1">
      <c r="A430" t="s">
        <v>3088</v>
      </c>
      <c r="B430">
        <v>313267</v>
      </c>
      <c r="C430">
        <v>1</v>
      </c>
      <c r="D430" t="str">
        <f t="shared" si="6"/>
        <v>1313267.929</v>
      </c>
      <c r="E430" t="s">
        <v>3163</v>
      </c>
      <c r="F430" s="242"/>
      <c r="G430"/>
      <c r="H430" s="242">
        <v>-31000</v>
      </c>
      <c r="I430" s="242">
        <v>0</v>
      </c>
      <c r="J430"/>
    </row>
    <row r="431" spans="1:10" ht="15.75" customHeight="1">
      <c r="A431" t="s">
        <v>3082</v>
      </c>
      <c r="B431">
        <v>313268</v>
      </c>
      <c r="C431">
        <v>1</v>
      </c>
      <c r="D431" t="str">
        <f t="shared" si="6"/>
        <v>1313268.921</v>
      </c>
      <c r="E431" t="s">
        <v>3150</v>
      </c>
      <c r="F431" s="242"/>
      <c r="G431"/>
      <c r="H431" s="242">
        <v>-87174</v>
      </c>
      <c r="I431" s="242">
        <v>-13743</v>
      </c>
      <c r="J431"/>
    </row>
    <row r="432" spans="1:10" ht="15.75" customHeight="1">
      <c r="A432" t="s">
        <v>1648</v>
      </c>
      <c r="B432">
        <v>313268</v>
      </c>
      <c r="C432">
        <v>1</v>
      </c>
      <c r="D432" t="str">
        <f t="shared" si="6"/>
        <v>1313268.922</v>
      </c>
      <c r="E432" t="s">
        <v>3020</v>
      </c>
      <c r="F432" s="242"/>
      <c r="G432"/>
      <c r="H432" s="242">
        <v>-100</v>
      </c>
      <c r="I432" s="242">
        <v>0</v>
      </c>
      <c r="J432"/>
    </row>
    <row r="433" spans="1:10" ht="15.75" customHeight="1">
      <c r="A433" t="s">
        <v>1653</v>
      </c>
      <c r="B433">
        <v>313268</v>
      </c>
      <c r="C433">
        <v>1</v>
      </c>
      <c r="D433" t="str">
        <f t="shared" si="6"/>
        <v>1313268.923</v>
      </c>
      <c r="E433" t="s">
        <v>3151</v>
      </c>
      <c r="F433" s="242"/>
      <c r="G433"/>
      <c r="H433" s="242">
        <v>-112000</v>
      </c>
      <c r="I433" s="242">
        <v>-24648</v>
      </c>
      <c r="J433"/>
    </row>
    <row r="434" spans="1:10" ht="15.75" customHeight="1">
      <c r="A434" t="s">
        <v>3021</v>
      </c>
      <c r="B434">
        <v>313268</v>
      </c>
      <c r="C434">
        <v>1</v>
      </c>
      <c r="D434" t="str">
        <f t="shared" si="6"/>
        <v>1313268.925</v>
      </c>
      <c r="E434" t="s">
        <v>3153</v>
      </c>
      <c r="F434" s="242"/>
      <c r="G434"/>
      <c r="H434" s="242">
        <v>-100</v>
      </c>
      <c r="I434" s="242">
        <v>-2210</v>
      </c>
      <c r="J434"/>
    </row>
    <row r="435" spans="1:10" ht="15.75" customHeight="1">
      <c r="A435" t="s">
        <v>3016</v>
      </c>
      <c r="B435">
        <v>313268</v>
      </c>
      <c r="C435">
        <v>1</v>
      </c>
      <c r="D435" t="str">
        <f t="shared" si="6"/>
        <v>1313268.926</v>
      </c>
      <c r="E435" t="s">
        <v>3182</v>
      </c>
      <c r="F435" s="242"/>
      <c r="G435"/>
      <c r="H435" s="242">
        <v>-100</v>
      </c>
      <c r="I435" s="242">
        <v>-4524</v>
      </c>
      <c r="J435"/>
    </row>
    <row r="436" spans="1:10" ht="15.75" customHeight="1">
      <c r="A436" t="s">
        <v>3022</v>
      </c>
      <c r="B436">
        <v>313268</v>
      </c>
      <c r="C436">
        <v>1</v>
      </c>
      <c r="D436" t="str">
        <f t="shared" si="6"/>
        <v>1313268.927</v>
      </c>
      <c r="E436" t="s">
        <v>3155</v>
      </c>
      <c r="F436" s="242"/>
      <c r="G436"/>
      <c r="H436" s="242">
        <v>-100</v>
      </c>
      <c r="I436" s="242">
        <v>0</v>
      </c>
      <c r="J436"/>
    </row>
    <row r="437" spans="1:10" ht="15.75" customHeight="1">
      <c r="A437" t="s">
        <v>3012</v>
      </c>
      <c r="B437">
        <v>313269</v>
      </c>
      <c r="C437">
        <v>1</v>
      </c>
      <c r="D437" t="str">
        <f t="shared" si="6"/>
        <v>1313269.920</v>
      </c>
      <c r="E437" t="s">
        <v>3149</v>
      </c>
      <c r="F437" s="242"/>
      <c r="G437"/>
      <c r="H437" s="242">
        <v>0</v>
      </c>
      <c r="I437" s="242">
        <v>0</v>
      </c>
      <c r="J437"/>
    </row>
    <row r="438" spans="1:10" ht="15.75" customHeight="1">
      <c r="A438" t="s">
        <v>3082</v>
      </c>
      <c r="B438">
        <v>313269</v>
      </c>
      <c r="C438">
        <v>1</v>
      </c>
      <c r="D438" t="str">
        <f t="shared" si="6"/>
        <v>1313269.921</v>
      </c>
      <c r="E438" t="s">
        <v>3150</v>
      </c>
      <c r="F438" s="242"/>
      <c r="G438"/>
      <c r="H438" s="242">
        <v>0</v>
      </c>
      <c r="I438" s="242">
        <v>0</v>
      </c>
      <c r="J438"/>
    </row>
    <row r="439" spans="1:10" ht="15.75" customHeight="1">
      <c r="A439" t="s">
        <v>1648</v>
      </c>
      <c r="B439">
        <v>313269</v>
      </c>
      <c r="C439">
        <v>1</v>
      </c>
      <c r="D439" t="str">
        <f t="shared" si="6"/>
        <v>1313269.922</v>
      </c>
      <c r="E439" t="s">
        <v>3020</v>
      </c>
      <c r="F439" s="242"/>
      <c r="G439"/>
      <c r="H439" s="242">
        <v>0</v>
      </c>
      <c r="I439" s="242">
        <v>0</v>
      </c>
      <c r="J439"/>
    </row>
    <row r="440" spans="1:10" ht="15.75" customHeight="1">
      <c r="A440" t="s">
        <v>1653</v>
      </c>
      <c r="B440">
        <v>313269</v>
      </c>
      <c r="C440">
        <v>1</v>
      </c>
      <c r="D440" t="str">
        <f t="shared" si="6"/>
        <v>1313269.923</v>
      </c>
      <c r="E440" t="s">
        <v>3183</v>
      </c>
      <c r="F440" s="242"/>
      <c r="G440"/>
      <c r="H440" s="242">
        <v>0</v>
      </c>
      <c r="I440" s="242">
        <v>0</v>
      </c>
      <c r="J440"/>
    </row>
    <row r="441" spans="1:10" ht="15.75" customHeight="1">
      <c r="A441" t="s">
        <v>3014</v>
      </c>
      <c r="B441">
        <v>313269</v>
      </c>
      <c r="C441">
        <v>1</v>
      </c>
      <c r="D441" t="str">
        <f t="shared" si="6"/>
        <v>1313269.924</v>
      </c>
      <c r="E441" t="s">
        <v>3184</v>
      </c>
      <c r="F441" s="242"/>
      <c r="G441"/>
      <c r="H441" s="242">
        <v>0</v>
      </c>
      <c r="I441" s="242">
        <v>0</v>
      </c>
      <c r="J441"/>
    </row>
    <row r="442" spans="1:10" ht="15.75" customHeight="1">
      <c r="A442" t="s">
        <v>3021</v>
      </c>
      <c r="B442">
        <v>313269</v>
      </c>
      <c r="C442">
        <v>1</v>
      </c>
      <c r="D442" t="str">
        <f t="shared" si="6"/>
        <v>1313269.925</v>
      </c>
      <c r="E442" t="s">
        <v>3153</v>
      </c>
      <c r="F442" s="242"/>
      <c r="G442"/>
      <c r="H442" s="242">
        <v>0</v>
      </c>
      <c r="I442" s="242">
        <v>0</v>
      </c>
      <c r="J442"/>
    </row>
    <row r="443" spans="1:10" ht="15.75" customHeight="1">
      <c r="A443" t="s">
        <v>3016</v>
      </c>
      <c r="B443">
        <v>313269</v>
      </c>
      <c r="C443">
        <v>1</v>
      </c>
      <c r="D443" t="str">
        <f t="shared" si="6"/>
        <v>1313269.926</v>
      </c>
      <c r="E443" t="s">
        <v>3185</v>
      </c>
      <c r="F443" s="242"/>
      <c r="G443"/>
      <c r="H443" s="242">
        <v>0</v>
      </c>
      <c r="I443" s="242">
        <v>0</v>
      </c>
      <c r="J443"/>
    </row>
    <row r="444" spans="1:10" ht="15.75" customHeight="1">
      <c r="A444" t="s">
        <v>3022</v>
      </c>
      <c r="B444">
        <v>313269</v>
      </c>
      <c r="C444">
        <v>1</v>
      </c>
      <c r="D444" t="str">
        <f t="shared" si="6"/>
        <v>1313269.927</v>
      </c>
      <c r="E444" t="s">
        <v>3155</v>
      </c>
      <c r="F444" s="242"/>
      <c r="G444"/>
      <c r="H444" s="242">
        <v>0</v>
      </c>
      <c r="I444" s="242">
        <v>0</v>
      </c>
      <c r="J444"/>
    </row>
    <row r="445" spans="1:10" ht="15.75" customHeight="1">
      <c r="A445" t="s">
        <v>3112</v>
      </c>
      <c r="B445">
        <v>313269</v>
      </c>
      <c r="C445">
        <v>1</v>
      </c>
      <c r="D445" t="str">
        <f t="shared" si="6"/>
        <v>1313269.928</v>
      </c>
      <c r="E445" t="s">
        <v>3162</v>
      </c>
      <c r="F445" s="242"/>
      <c r="G445"/>
      <c r="H445" s="242">
        <v>0</v>
      </c>
      <c r="I445" s="242">
        <v>0</v>
      </c>
      <c r="J445"/>
    </row>
    <row r="446" spans="1:10" ht="15.75" customHeight="1">
      <c r="A446" t="s">
        <v>3082</v>
      </c>
      <c r="B446">
        <v>313300</v>
      </c>
      <c r="C446">
        <v>1</v>
      </c>
      <c r="D446" t="str">
        <f t="shared" si="6"/>
        <v>1313300.921</v>
      </c>
      <c r="E446" t="s">
        <v>3150</v>
      </c>
      <c r="F446" s="242"/>
      <c r="G446"/>
      <c r="H446" s="242">
        <v>-54901</v>
      </c>
      <c r="I446" s="242">
        <v>-59815</v>
      </c>
      <c r="J446"/>
    </row>
    <row r="447" spans="1:10" ht="15.75" customHeight="1">
      <c r="A447" t="s">
        <v>1648</v>
      </c>
      <c r="B447">
        <v>313300</v>
      </c>
      <c r="C447">
        <v>1</v>
      </c>
      <c r="D447" t="str">
        <f t="shared" si="6"/>
        <v>1313300.922</v>
      </c>
      <c r="E447" t="s">
        <v>3020</v>
      </c>
      <c r="F447" s="242"/>
      <c r="G447"/>
      <c r="H447" s="242">
        <v>-100</v>
      </c>
      <c r="I447" s="242">
        <v>0</v>
      </c>
      <c r="J447"/>
    </row>
    <row r="448" spans="1:10" ht="15.75" customHeight="1">
      <c r="A448" t="s">
        <v>1653</v>
      </c>
      <c r="B448">
        <v>313300</v>
      </c>
      <c r="C448">
        <v>1</v>
      </c>
      <c r="D448" t="str">
        <f t="shared" si="6"/>
        <v>1313300.923</v>
      </c>
      <c r="E448" t="s">
        <v>3231</v>
      </c>
      <c r="F448" s="242"/>
      <c r="G448"/>
      <c r="H448" s="242">
        <v>-156574</v>
      </c>
      <c r="I448" s="242">
        <v>-173453</v>
      </c>
      <c r="J448"/>
    </row>
    <row r="449" spans="1:10" ht="15.75" customHeight="1">
      <c r="A449" t="s">
        <v>3014</v>
      </c>
      <c r="B449">
        <v>313300</v>
      </c>
      <c r="C449">
        <v>1</v>
      </c>
      <c r="D449" t="str">
        <f t="shared" si="6"/>
        <v>1313300.924</v>
      </c>
      <c r="E449" t="s">
        <v>3232</v>
      </c>
      <c r="F449" s="242"/>
      <c r="G449"/>
      <c r="H449" s="242">
        <v>0</v>
      </c>
      <c r="I449" s="242">
        <v>0</v>
      </c>
      <c r="J449"/>
    </row>
    <row r="450" spans="1:10" ht="15.75" customHeight="1">
      <c r="A450" t="s">
        <v>3021</v>
      </c>
      <c r="B450">
        <v>313300</v>
      </c>
      <c r="C450">
        <v>1</v>
      </c>
      <c r="D450" t="str">
        <f t="shared" si="6"/>
        <v>1313300.925</v>
      </c>
      <c r="E450" t="s">
        <v>3153</v>
      </c>
      <c r="F450" s="242"/>
      <c r="G450"/>
      <c r="H450" s="242">
        <v>-4973</v>
      </c>
      <c r="I450" s="242">
        <v>-6078</v>
      </c>
      <c r="J450"/>
    </row>
    <row r="451" spans="1:10" ht="15.75" customHeight="1">
      <c r="A451" t="s">
        <v>3016</v>
      </c>
      <c r="B451">
        <v>313300</v>
      </c>
      <c r="C451">
        <v>1</v>
      </c>
      <c r="D451" t="str">
        <f t="shared" ref="D451:D514" si="7">C451&amp;B451&amp;"."&amp;A451</f>
        <v>1313300.926</v>
      </c>
      <c r="E451" t="s">
        <v>3182</v>
      </c>
      <c r="F451" s="242"/>
      <c r="G451"/>
      <c r="H451" s="242">
        <v>-2431</v>
      </c>
      <c r="I451" s="242">
        <v>0</v>
      </c>
      <c r="J451"/>
    </row>
    <row r="452" spans="1:10" ht="15.75" customHeight="1">
      <c r="A452" t="s">
        <v>3022</v>
      </c>
      <c r="B452">
        <v>313300</v>
      </c>
      <c r="C452">
        <v>1</v>
      </c>
      <c r="D452" t="str">
        <f t="shared" si="7"/>
        <v>1313300.927</v>
      </c>
      <c r="E452" t="s">
        <v>3233</v>
      </c>
      <c r="F452" s="242"/>
      <c r="G452"/>
      <c r="H452" s="242">
        <v>-25389</v>
      </c>
      <c r="I452" s="242">
        <v>-29404</v>
      </c>
      <c r="J452"/>
    </row>
    <row r="453" spans="1:10" ht="15.75" customHeight="1">
      <c r="A453" t="s">
        <v>3112</v>
      </c>
      <c r="B453">
        <v>313300</v>
      </c>
      <c r="C453">
        <v>1</v>
      </c>
      <c r="D453" t="str">
        <f t="shared" si="7"/>
        <v>1313300.928</v>
      </c>
      <c r="E453" t="s">
        <v>3113</v>
      </c>
      <c r="F453" s="242"/>
      <c r="G453"/>
      <c r="H453" s="242">
        <v>-43992</v>
      </c>
      <c r="I453" s="242">
        <v>-46737</v>
      </c>
      <c r="J453"/>
    </row>
    <row r="454" spans="1:10" ht="15.75" customHeight="1">
      <c r="A454" t="s">
        <v>570</v>
      </c>
      <c r="B454">
        <v>313330</v>
      </c>
      <c r="C454">
        <v>1</v>
      </c>
      <c r="D454" t="str">
        <f t="shared" si="7"/>
        <v>1313330.225</v>
      </c>
      <c r="E454" t="s">
        <v>3105</v>
      </c>
      <c r="F454" s="242"/>
      <c r="G454"/>
      <c r="H454" s="242">
        <v>-1100000</v>
      </c>
      <c r="I454" s="242">
        <v>-461870</v>
      </c>
      <c r="J454"/>
    </row>
    <row r="455" spans="1:10" ht="15.75" customHeight="1">
      <c r="A455" t="s">
        <v>3082</v>
      </c>
      <c r="B455">
        <v>313330</v>
      </c>
      <c r="C455">
        <v>1</v>
      </c>
      <c r="D455" t="str">
        <f t="shared" si="7"/>
        <v>1313330.921</v>
      </c>
      <c r="E455" t="s">
        <v>3186</v>
      </c>
      <c r="F455" s="242"/>
      <c r="G455"/>
      <c r="H455" s="242">
        <v>-602443</v>
      </c>
      <c r="I455" s="242">
        <v>-591043</v>
      </c>
      <c r="J455"/>
    </row>
    <row r="456" spans="1:10" ht="15.75" customHeight="1">
      <c r="A456" t="s">
        <v>1648</v>
      </c>
      <c r="B456">
        <v>313330</v>
      </c>
      <c r="C456">
        <v>1</v>
      </c>
      <c r="D456" t="str">
        <f t="shared" si="7"/>
        <v>1313330.922</v>
      </c>
      <c r="E456" t="s">
        <v>3020</v>
      </c>
      <c r="F456" s="242"/>
      <c r="G456"/>
      <c r="H456" s="242">
        <v>-100</v>
      </c>
      <c r="I456" s="242">
        <v>-188008</v>
      </c>
      <c r="J456"/>
    </row>
    <row r="457" spans="1:10" ht="15.75" customHeight="1">
      <c r="A457" t="s">
        <v>1653</v>
      </c>
      <c r="B457">
        <v>313330</v>
      </c>
      <c r="C457">
        <v>1</v>
      </c>
      <c r="D457" t="str">
        <f t="shared" si="7"/>
        <v>1313330.923</v>
      </c>
      <c r="E457" t="s">
        <v>3191</v>
      </c>
      <c r="F457" s="242"/>
      <c r="G457"/>
      <c r="H457" s="242">
        <v>-1625064</v>
      </c>
      <c r="I457" s="242">
        <v>-1558821</v>
      </c>
      <c r="J457"/>
    </row>
    <row r="458" spans="1:10" ht="15.75" customHeight="1">
      <c r="A458" t="s">
        <v>3014</v>
      </c>
      <c r="B458">
        <v>313330</v>
      </c>
      <c r="C458">
        <v>1</v>
      </c>
      <c r="D458" t="str">
        <f t="shared" si="7"/>
        <v>1313330.924</v>
      </c>
      <c r="E458" t="s">
        <v>3123</v>
      </c>
      <c r="F458" s="242"/>
      <c r="G458"/>
      <c r="H458" s="242">
        <v>-165020</v>
      </c>
      <c r="I458" s="242">
        <v>-84413</v>
      </c>
      <c r="J458"/>
    </row>
    <row r="459" spans="1:10" ht="15.75" customHeight="1">
      <c r="A459" t="s">
        <v>3021</v>
      </c>
      <c r="B459">
        <v>313330</v>
      </c>
      <c r="C459">
        <v>1</v>
      </c>
      <c r="D459" t="str">
        <f t="shared" si="7"/>
        <v>1313330.925</v>
      </c>
      <c r="E459" t="s">
        <v>3192</v>
      </c>
      <c r="F459" s="242"/>
      <c r="G459"/>
      <c r="H459" s="242">
        <v>-820000</v>
      </c>
      <c r="I459" s="242">
        <v>-700000</v>
      </c>
      <c r="J459"/>
    </row>
    <row r="460" spans="1:10" ht="15.75" customHeight="1">
      <c r="A460" t="s">
        <v>3016</v>
      </c>
      <c r="B460">
        <v>313330</v>
      </c>
      <c r="C460">
        <v>1</v>
      </c>
      <c r="D460" t="str">
        <f t="shared" si="7"/>
        <v>1313330.926</v>
      </c>
      <c r="E460" t="s">
        <v>3193</v>
      </c>
      <c r="F460" s="242"/>
      <c r="G460"/>
      <c r="H460" s="242">
        <v>-2358000</v>
      </c>
      <c r="I460" s="242">
        <v>-2242770</v>
      </c>
      <c r="J460"/>
    </row>
    <row r="461" spans="1:10" ht="15.75" customHeight="1">
      <c r="A461" t="s">
        <v>3112</v>
      </c>
      <c r="B461">
        <v>313330</v>
      </c>
      <c r="C461">
        <v>1</v>
      </c>
      <c r="D461" t="str">
        <f t="shared" si="7"/>
        <v>1313330.928</v>
      </c>
      <c r="E461" t="s">
        <v>3194</v>
      </c>
      <c r="F461" s="242"/>
      <c r="G461"/>
      <c r="H461" s="242">
        <v>-265000</v>
      </c>
      <c r="I461" s="242">
        <v>-228429</v>
      </c>
      <c r="J461"/>
    </row>
    <row r="462" spans="1:10" ht="15.75" customHeight="1">
      <c r="A462" t="s">
        <v>3088</v>
      </c>
      <c r="B462">
        <v>313330</v>
      </c>
      <c r="C462">
        <v>1</v>
      </c>
      <c r="D462" t="str">
        <f t="shared" si="7"/>
        <v>1313330.929</v>
      </c>
      <c r="E462" t="s">
        <v>3195</v>
      </c>
      <c r="F462" s="242"/>
      <c r="G462"/>
      <c r="H462" s="242">
        <v>-3200000</v>
      </c>
      <c r="I462" s="242">
        <v>-3100429</v>
      </c>
      <c r="J462"/>
    </row>
    <row r="463" spans="1:10" ht="15.75" customHeight="1">
      <c r="A463" t="s">
        <v>3012</v>
      </c>
      <c r="B463">
        <v>313331</v>
      </c>
      <c r="C463">
        <v>1</v>
      </c>
      <c r="D463" t="str">
        <f t="shared" si="7"/>
        <v>1313331.920</v>
      </c>
      <c r="E463" t="s">
        <v>3107</v>
      </c>
      <c r="F463" s="242"/>
      <c r="G463"/>
      <c r="H463" s="242">
        <v>-570000</v>
      </c>
      <c r="I463" s="242">
        <v>-542537</v>
      </c>
      <c r="J463"/>
    </row>
    <row r="464" spans="1:10" ht="15.75" customHeight="1">
      <c r="A464" t="s">
        <v>3082</v>
      </c>
      <c r="B464">
        <v>313331</v>
      </c>
      <c r="C464">
        <v>1</v>
      </c>
      <c r="D464" t="str">
        <f t="shared" si="7"/>
        <v>1313331.921</v>
      </c>
      <c r="E464" t="s">
        <v>3196</v>
      </c>
      <c r="F464" s="242"/>
      <c r="G464"/>
      <c r="H464" s="242">
        <v>-56000</v>
      </c>
      <c r="I464" s="242">
        <v>-52510</v>
      </c>
      <c r="J464"/>
    </row>
    <row r="465" spans="1:10" ht="15.75" customHeight="1">
      <c r="A465" t="s">
        <v>3088</v>
      </c>
      <c r="B465">
        <v>313331</v>
      </c>
      <c r="C465">
        <v>1</v>
      </c>
      <c r="D465" t="str">
        <f t="shared" si="7"/>
        <v>1313331.929</v>
      </c>
      <c r="E465" t="s">
        <v>3114</v>
      </c>
      <c r="F465" s="242"/>
      <c r="G465"/>
      <c r="H465" s="242">
        <v>-106000</v>
      </c>
      <c r="I465" s="242">
        <v>-112046</v>
      </c>
      <c r="J465"/>
    </row>
    <row r="466" spans="1:10" ht="15.75" customHeight="1">
      <c r="A466" t="s">
        <v>3082</v>
      </c>
      <c r="B466">
        <v>313332</v>
      </c>
      <c r="C466">
        <v>1</v>
      </c>
      <c r="D466" t="str">
        <f t="shared" si="7"/>
        <v>1313332.921</v>
      </c>
      <c r="E466" t="s">
        <v>3197</v>
      </c>
      <c r="F466" s="242"/>
      <c r="G466"/>
      <c r="H466" s="242">
        <v>-180000</v>
      </c>
      <c r="I466" s="242">
        <v>-150967</v>
      </c>
      <c r="J466"/>
    </row>
    <row r="467" spans="1:10" ht="15.75" customHeight="1">
      <c r="A467" t="s">
        <v>1648</v>
      </c>
      <c r="B467">
        <v>313332</v>
      </c>
      <c r="C467">
        <v>1</v>
      </c>
      <c r="D467" t="str">
        <f t="shared" si="7"/>
        <v>1313332.922</v>
      </c>
      <c r="E467" t="s">
        <v>3198</v>
      </c>
      <c r="F467" s="242"/>
      <c r="G467"/>
      <c r="H467" s="242">
        <v>-100</v>
      </c>
      <c r="I467" s="242">
        <v>0</v>
      </c>
      <c r="J467"/>
    </row>
    <row r="468" spans="1:10" ht="15.75" customHeight="1">
      <c r="A468" t="s">
        <v>1653</v>
      </c>
      <c r="B468">
        <v>313332</v>
      </c>
      <c r="C468">
        <v>1</v>
      </c>
      <c r="D468" t="str">
        <f t="shared" si="7"/>
        <v>1313332.923</v>
      </c>
      <c r="E468" t="s">
        <v>3199</v>
      </c>
      <c r="F468" s="242"/>
      <c r="G468"/>
      <c r="H468" s="242">
        <v>-89500</v>
      </c>
      <c r="I468" s="242">
        <v>-75125</v>
      </c>
      <c r="J468"/>
    </row>
    <row r="469" spans="1:10" ht="15.75" customHeight="1">
      <c r="A469" t="s">
        <v>3014</v>
      </c>
      <c r="B469">
        <v>313332</v>
      </c>
      <c r="C469">
        <v>1</v>
      </c>
      <c r="D469" t="str">
        <f t="shared" si="7"/>
        <v>1313332.924</v>
      </c>
      <c r="E469" t="s">
        <v>3200</v>
      </c>
      <c r="F469" s="242"/>
      <c r="G469"/>
      <c r="H469" s="242">
        <v>-72000</v>
      </c>
      <c r="I469" s="242">
        <v>-25298</v>
      </c>
      <c r="J469"/>
    </row>
    <row r="470" spans="1:10" ht="15.75" customHeight="1">
      <c r="A470" t="s">
        <v>3021</v>
      </c>
      <c r="B470">
        <v>313332</v>
      </c>
      <c r="C470">
        <v>1</v>
      </c>
      <c r="D470" t="str">
        <f t="shared" si="7"/>
        <v>1313332.925</v>
      </c>
      <c r="E470" t="s">
        <v>3201</v>
      </c>
      <c r="F470" s="242"/>
      <c r="G470"/>
      <c r="H470" s="242">
        <v>0</v>
      </c>
      <c r="I470" s="242">
        <v>0</v>
      </c>
      <c r="J470"/>
    </row>
    <row r="471" spans="1:10" ht="15.75" customHeight="1">
      <c r="A471" t="s">
        <v>3082</v>
      </c>
      <c r="B471">
        <v>313334</v>
      </c>
      <c r="C471">
        <v>1</v>
      </c>
      <c r="D471" t="str">
        <f t="shared" si="7"/>
        <v>1313334.921</v>
      </c>
      <c r="E471" t="s">
        <v>3202</v>
      </c>
      <c r="F471" s="242"/>
      <c r="G471"/>
      <c r="H471" s="242">
        <v>-75000</v>
      </c>
      <c r="I471" s="242">
        <v>-74581</v>
      </c>
      <c r="J471"/>
    </row>
    <row r="472" spans="1:10" ht="15.75" customHeight="1">
      <c r="A472" t="s">
        <v>1653</v>
      </c>
      <c r="B472">
        <v>313334</v>
      </c>
      <c r="C472">
        <v>1</v>
      </c>
      <c r="D472" t="str">
        <f t="shared" si="7"/>
        <v>1313334.923</v>
      </c>
      <c r="E472" t="s">
        <v>3203</v>
      </c>
      <c r="F472" s="242"/>
      <c r="G472"/>
      <c r="H472" s="242">
        <v>-178000</v>
      </c>
      <c r="I472" s="242">
        <v>-175393</v>
      </c>
      <c r="J472"/>
    </row>
    <row r="473" spans="1:10" ht="15.75" customHeight="1">
      <c r="A473" t="s">
        <v>3014</v>
      </c>
      <c r="B473">
        <v>313334</v>
      </c>
      <c r="C473">
        <v>1</v>
      </c>
      <c r="D473" t="str">
        <f t="shared" si="7"/>
        <v>1313334.924</v>
      </c>
      <c r="E473" t="s">
        <v>3204</v>
      </c>
      <c r="F473" s="242"/>
      <c r="G473"/>
      <c r="H473" s="242">
        <v>-8100000</v>
      </c>
      <c r="I473" s="242">
        <v>-7987856</v>
      </c>
      <c r="J473"/>
    </row>
    <row r="474" spans="1:10" ht="15.75" customHeight="1">
      <c r="A474" t="s">
        <v>3012</v>
      </c>
      <c r="B474">
        <v>313335</v>
      </c>
      <c r="C474">
        <v>1</v>
      </c>
      <c r="D474" t="str">
        <f t="shared" si="7"/>
        <v>1313335.920</v>
      </c>
      <c r="E474" t="s">
        <v>3205</v>
      </c>
      <c r="F474" s="242"/>
      <c r="G474"/>
      <c r="H474" s="242">
        <v>-58000</v>
      </c>
      <c r="I474" s="242">
        <v>-59042</v>
      </c>
      <c r="J474"/>
    </row>
    <row r="475" spans="1:10" ht="15.75" customHeight="1">
      <c r="A475" t="s">
        <v>3014</v>
      </c>
      <c r="B475">
        <v>313335</v>
      </c>
      <c r="C475">
        <v>1</v>
      </c>
      <c r="D475" t="str">
        <f t="shared" si="7"/>
        <v>1313335.924</v>
      </c>
      <c r="E475" t="s">
        <v>3206</v>
      </c>
      <c r="F475" s="242"/>
      <c r="G475"/>
      <c r="H475" s="242">
        <v>0</v>
      </c>
      <c r="I475" s="242">
        <v>0</v>
      </c>
      <c r="J475"/>
    </row>
    <row r="476" spans="1:10" ht="15.75" customHeight="1">
      <c r="A476" t="s">
        <v>3021</v>
      </c>
      <c r="B476">
        <v>313335</v>
      </c>
      <c r="C476">
        <v>1</v>
      </c>
      <c r="D476" t="str">
        <f t="shared" si="7"/>
        <v>1313335.925</v>
      </c>
      <c r="E476" t="s">
        <v>3153</v>
      </c>
      <c r="F476" s="242"/>
      <c r="G476"/>
      <c r="H476" s="242">
        <v>-50000</v>
      </c>
      <c r="I476" s="242">
        <v>-51383</v>
      </c>
      <c r="J476"/>
    </row>
    <row r="477" spans="1:10" ht="15.75" customHeight="1">
      <c r="A477" t="s">
        <v>3016</v>
      </c>
      <c r="B477">
        <v>313335</v>
      </c>
      <c r="C477">
        <v>1</v>
      </c>
      <c r="D477" t="str">
        <f t="shared" si="7"/>
        <v>1313335.926</v>
      </c>
      <c r="E477" t="s">
        <v>3090</v>
      </c>
      <c r="F477" s="242"/>
      <c r="G477"/>
      <c r="H477" s="242">
        <v>-300000</v>
      </c>
      <c r="I477" s="242">
        <v>-206497</v>
      </c>
      <c r="J477"/>
    </row>
    <row r="478" spans="1:10" ht="15.75" customHeight="1">
      <c r="A478" t="s">
        <v>3022</v>
      </c>
      <c r="B478">
        <v>313335</v>
      </c>
      <c r="C478">
        <v>1</v>
      </c>
      <c r="D478" t="str">
        <f t="shared" si="7"/>
        <v>1313335.927</v>
      </c>
      <c r="E478" t="s">
        <v>3179</v>
      </c>
      <c r="F478" s="242"/>
      <c r="G478"/>
      <c r="H478" s="242">
        <v>-457800</v>
      </c>
      <c r="I478" s="242">
        <v>-432068</v>
      </c>
      <c r="J478"/>
    </row>
    <row r="479" spans="1:10" ht="15.75" customHeight="1">
      <c r="A479" t="s">
        <v>3088</v>
      </c>
      <c r="B479">
        <v>313335</v>
      </c>
      <c r="C479">
        <v>1</v>
      </c>
      <c r="D479" t="str">
        <f t="shared" si="7"/>
        <v>1313335.929</v>
      </c>
      <c r="E479" t="s">
        <v>3162</v>
      </c>
      <c r="F479" s="242"/>
      <c r="G479"/>
      <c r="H479" s="242">
        <v>-1500</v>
      </c>
      <c r="I479" s="242">
        <v>-1200</v>
      </c>
      <c r="J479"/>
    </row>
    <row r="480" spans="1:10" ht="15.75" customHeight="1">
      <c r="A480" t="s">
        <v>3082</v>
      </c>
      <c r="B480">
        <v>313336</v>
      </c>
      <c r="C480">
        <v>1</v>
      </c>
      <c r="D480" t="str">
        <f t="shared" si="7"/>
        <v>1313336.921</v>
      </c>
      <c r="E480" t="s">
        <v>3207</v>
      </c>
      <c r="F480" s="242"/>
      <c r="G480"/>
      <c r="H480" s="242">
        <v>-33000</v>
      </c>
      <c r="I480" s="242">
        <v>-34178</v>
      </c>
      <c r="J480"/>
    </row>
    <row r="481" spans="1:10" ht="15.75" customHeight="1">
      <c r="A481" t="s">
        <v>1653</v>
      </c>
      <c r="B481">
        <v>313336</v>
      </c>
      <c r="C481">
        <v>1</v>
      </c>
      <c r="D481" t="str">
        <f t="shared" si="7"/>
        <v>1313336.923</v>
      </c>
      <c r="E481" t="s">
        <v>3208</v>
      </c>
      <c r="F481" s="242"/>
      <c r="G481"/>
      <c r="H481" s="242">
        <v>-71500</v>
      </c>
      <c r="I481" s="242">
        <v>-73604</v>
      </c>
      <c r="J481"/>
    </row>
    <row r="482" spans="1:10" ht="15.75" customHeight="1">
      <c r="A482" t="s">
        <v>3021</v>
      </c>
      <c r="B482">
        <v>313336</v>
      </c>
      <c r="C482">
        <v>1</v>
      </c>
      <c r="D482" t="str">
        <f t="shared" si="7"/>
        <v>1313336.925</v>
      </c>
      <c r="E482" t="s">
        <v>3209</v>
      </c>
      <c r="F482" s="242"/>
      <c r="G482"/>
      <c r="H482" s="242">
        <v>-116684</v>
      </c>
      <c r="I482" s="242">
        <v>-31149</v>
      </c>
      <c r="J482"/>
    </row>
    <row r="483" spans="1:10" ht="15.75" customHeight="1">
      <c r="A483" t="s">
        <v>3082</v>
      </c>
      <c r="B483">
        <v>313337</v>
      </c>
      <c r="C483">
        <v>1</v>
      </c>
      <c r="D483" t="str">
        <f t="shared" si="7"/>
        <v>1313337.921</v>
      </c>
      <c r="E483" t="s">
        <v>3210</v>
      </c>
      <c r="F483" s="242"/>
      <c r="G483"/>
      <c r="H483" s="242">
        <v>-5000</v>
      </c>
      <c r="I483" s="242">
        <v>-562</v>
      </c>
      <c r="J483"/>
    </row>
    <row r="484" spans="1:10" ht="15.75" customHeight="1">
      <c r="A484" t="s">
        <v>3082</v>
      </c>
      <c r="B484">
        <v>313700</v>
      </c>
      <c r="C484">
        <v>1</v>
      </c>
      <c r="D484" t="str">
        <f t="shared" si="7"/>
        <v>1313700.921</v>
      </c>
      <c r="E484" t="s">
        <v>3186</v>
      </c>
      <c r="F484" s="242"/>
      <c r="G484"/>
      <c r="H484" s="242">
        <v>-42107</v>
      </c>
      <c r="I484" s="242">
        <v>-37259</v>
      </c>
      <c r="J484"/>
    </row>
    <row r="485" spans="1:10" ht="15.75" customHeight="1">
      <c r="A485" t="s">
        <v>1648</v>
      </c>
      <c r="B485">
        <v>313700</v>
      </c>
      <c r="C485">
        <v>1</v>
      </c>
      <c r="D485" t="str">
        <f t="shared" si="7"/>
        <v>1313700.922</v>
      </c>
      <c r="E485" t="s">
        <v>3020</v>
      </c>
      <c r="F485" s="242"/>
      <c r="G485"/>
      <c r="H485" s="242">
        <v>-100</v>
      </c>
      <c r="I485" s="242">
        <v>-39412</v>
      </c>
      <c r="J485"/>
    </row>
    <row r="486" spans="1:10" ht="15.75" customHeight="1">
      <c r="A486" t="s">
        <v>1653</v>
      </c>
      <c r="B486">
        <v>313700</v>
      </c>
      <c r="C486">
        <v>1</v>
      </c>
      <c r="D486" t="str">
        <f t="shared" si="7"/>
        <v>1313700.923</v>
      </c>
      <c r="E486" t="s">
        <v>3187</v>
      </c>
      <c r="F486" s="242"/>
      <c r="G486"/>
      <c r="H486" s="242">
        <v>-131248</v>
      </c>
      <c r="I486" s="242">
        <v>-116929</v>
      </c>
      <c r="J486"/>
    </row>
    <row r="487" spans="1:10" ht="15.75" customHeight="1">
      <c r="A487" t="s">
        <v>3067</v>
      </c>
      <c r="B487">
        <v>314100</v>
      </c>
      <c r="C487">
        <v>1</v>
      </c>
      <c r="D487" t="str">
        <f t="shared" si="7"/>
        <v>1314100.428</v>
      </c>
      <c r="E487" t="s">
        <v>3288</v>
      </c>
      <c r="F487" s="242"/>
      <c r="G487"/>
      <c r="H487" s="242">
        <v>-100</v>
      </c>
      <c r="I487" s="242">
        <v>0</v>
      </c>
      <c r="J487"/>
    </row>
    <row r="488" spans="1:10" ht="15.75" customHeight="1">
      <c r="A488" t="s">
        <v>3082</v>
      </c>
      <c r="B488">
        <v>314110</v>
      </c>
      <c r="C488">
        <v>1</v>
      </c>
      <c r="D488" t="str">
        <f t="shared" si="7"/>
        <v>1314110.921</v>
      </c>
      <c r="E488" t="s">
        <v>3311</v>
      </c>
      <c r="F488" s="242"/>
      <c r="G488"/>
      <c r="H488" s="242">
        <v>-1890427</v>
      </c>
      <c r="I488" s="242">
        <v>-1911818</v>
      </c>
      <c r="J488"/>
    </row>
    <row r="489" spans="1:10" ht="15.75" customHeight="1">
      <c r="A489" t="s">
        <v>1653</v>
      </c>
      <c r="B489">
        <v>314110</v>
      </c>
      <c r="C489">
        <v>1</v>
      </c>
      <c r="D489" t="str">
        <f t="shared" si="7"/>
        <v>1314110.923</v>
      </c>
      <c r="E489" t="s">
        <v>3312</v>
      </c>
      <c r="F489" s="242"/>
      <c r="G489"/>
      <c r="H489" s="242">
        <v>-1963832</v>
      </c>
      <c r="I489" s="242">
        <v>-2268746</v>
      </c>
      <c r="J489"/>
    </row>
    <row r="490" spans="1:10" ht="15.75" customHeight="1">
      <c r="A490" t="s">
        <v>3016</v>
      </c>
      <c r="B490">
        <v>314110</v>
      </c>
      <c r="C490">
        <v>1</v>
      </c>
      <c r="D490" t="str">
        <f t="shared" si="7"/>
        <v>1314110.926</v>
      </c>
      <c r="E490" t="s">
        <v>3313</v>
      </c>
      <c r="F490" s="242"/>
      <c r="G490"/>
      <c r="H490" s="242">
        <v>-2083</v>
      </c>
      <c r="I490" s="242">
        <v>-1624</v>
      </c>
      <c r="J490"/>
    </row>
    <row r="491" spans="1:10" ht="15.75" customHeight="1">
      <c r="A491" t="s">
        <v>1653</v>
      </c>
      <c r="B491">
        <v>314111</v>
      </c>
      <c r="C491">
        <v>1</v>
      </c>
      <c r="D491" t="str">
        <f t="shared" si="7"/>
        <v>1314111.923</v>
      </c>
      <c r="E491" t="s">
        <v>3314</v>
      </c>
      <c r="F491" s="242"/>
      <c r="G491"/>
      <c r="H491" s="242">
        <v>0</v>
      </c>
      <c r="I491" s="242">
        <v>0</v>
      </c>
      <c r="J491"/>
    </row>
    <row r="492" spans="1:10" ht="15.75" customHeight="1">
      <c r="A492" t="s">
        <v>3082</v>
      </c>
      <c r="B492">
        <v>314120</v>
      </c>
      <c r="C492">
        <v>1</v>
      </c>
      <c r="D492" t="str">
        <f t="shared" si="7"/>
        <v>1314120.921</v>
      </c>
      <c r="E492" t="s">
        <v>3429</v>
      </c>
      <c r="F492" s="242"/>
      <c r="G492"/>
      <c r="H492" s="242">
        <v>-525000</v>
      </c>
      <c r="I492" s="242">
        <v>-536618</v>
      </c>
      <c r="J492"/>
    </row>
    <row r="493" spans="1:10" ht="15.75" customHeight="1">
      <c r="A493" t="s">
        <v>1653</v>
      </c>
      <c r="B493">
        <v>314120</v>
      </c>
      <c r="C493">
        <v>1</v>
      </c>
      <c r="D493" t="str">
        <f t="shared" si="7"/>
        <v>1314120.923</v>
      </c>
      <c r="E493" t="s">
        <v>3430</v>
      </c>
      <c r="F493" s="242"/>
      <c r="G493"/>
      <c r="H493" s="242">
        <v>-28569</v>
      </c>
      <c r="I493" s="242">
        <v>-34451</v>
      </c>
      <c r="J493"/>
    </row>
    <row r="494" spans="1:10" ht="15.75" customHeight="1">
      <c r="A494" t="s">
        <v>3016</v>
      </c>
      <c r="B494">
        <v>314120</v>
      </c>
      <c r="C494">
        <v>1</v>
      </c>
      <c r="D494" t="str">
        <f t="shared" si="7"/>
        <v>1314120.926</v>
      </c>
      <c r="E494" t="s">
        <v>3313</v>
      </c>
      <c r="F494" s="242"/>
      <c r="G494"/>
      <c r="H494" s="242">
        <v>0</v>
      </c>
      <c r="I494" s="242">
        <v>-1176</v>
      </c>
      <c r="J494"/>
    </row>
    <row r="495" spans="1:10" ht="15.75" customHeight="1">
      <c r="A495" t="s">
        <v>3082</v>
      </c>
      <c r="B495">
        <v>314130</v>
      </c>
      <c r="C495">
        <v>1</v>
      </c>
      <c r="D495" t="str">
        <f t="shared" si="7"/>
        <v>1314130.921</v>
      </c>
      <c r="E495" t="s">
        <v>3311</v>
      </c>
      <c r="F495" s="242"/>
      <c r="G495"/>
      <c r="H495" s="242">
        <v>-622866</v>
      </c>
      <c r="I495" s="242">
        <v>-626459</v>
      </c>
      <c r="J495"/>
    </row>
    <row r="496" spans="1:10" ht="15.75" customHeight="1">
      <c r="A496" t="s">
        <v>1653</v>
      </c>
      <c r="B496">
        <v>314130</v>
      </c>
      <c r="C496">
        <v>1</v>
      </c>
      <c r="D496" t="str">
        <f t="shared" si="7"/>
        <v>1314130.923</v>
      </c>
      <c r="E496" t="s">
        <v>3452</v>
      </c>
      <c r="F496" s="242"/>
      <c r="G496"/>
      <c r="H496" s="242">
        <v>-276056</v>
      </c>
      <c r="I496" s="242">
        <v>-839961</v>
      </c>
      <c r="J496"/>
    </row>
    <row r="497" spans="1:10" ht="15.75" customHeight="1">
      <c r="A497" t="s">
        <v>1653</v>
      </c>
      <c r="B497">
        <v>314304</v>
      </c>
      <c r="C497">
        <v>1</v>
      </c>
      <c r="D497" t="str">
        <f t="shared" si="7"/>
        <v>1314304.923</v>
      </c>
      <c r="E497" t="s">
        <v>3314</v>
      </c>
      <c r="F497" s="242"/>
      <c r="G497"/>
      <c r="H497" s="242">
        <v>0</v>
      </c>
      <c r="I497" s="242">
        <v>0</v>
      </c>
      <c r="J497"/>
    </row>
    <row r="498" spans="1:10" ht="15.75" customHeight="1">
      <c r="A498" t="s">
        <v>3082</v>
      </c>
      <c r="B498">
        <v>314310</v>
      </c>
      <c r="C498">
        <v>1</v>
      </c>
      <c r="D498" t="str">
        <f t="shared" si="7"/>
        <v>1314310.921</v>
      </c>
      <c r="E498" t="s">
        <v>3311</v>
      </c>
      <c r="F498" s="242"/>
      <c r="G498"/>
      <c r="H498" s="242">
        <v>-1353183</v>
      </c>
      <c r="I498" s="242">
        <v>-1361770</v>
      </c>
      <c r="J498"/>
    </row>
    <row r="499" spans="1:10" ht="15.75" customHeight="1">
      <c r="A499" t="s">
        <v>1653</v>
      </c>
      <c r="B499">
        <v>314310</v>
      </c>
      <c r="C499">
        <v>1</v>
      </c>
      <c r="D499" t="str">
        <f t="shared" si="7"/>
        <v>1314310.923</v>
      </c>
      <c r="E499" t="s">
        <v>3367</v>
      </c>
      <c r="F499" s="242"/>
      <c r="G499"/>
      <c r="H499" s="242">
        <v>-2041000</v>
      </c>
      <c r="I499" s="242">
        <v>-2649266</v>
      </c>
      <c r="J499"/>
    </row>
    <row r="500" spans="1:10" ht="15.75" customHeight="1">
      <c r="A500" t="s">
        <v>3082</v>
      </c>
      <c r="B500">
        <v>314311</v>
      </c>
      <c r="C500">
        <v>1</v>
      </c>
      <c r="D500" t="str">
        <f t="shared" si="7"/>
        <v>1314311.921</v>
      </c>
      <c r="E500" t="s">
        <v>3368</v>
      </c>
      <c r="F500" s="242"/>
      <c r="G500"/>
      <c r="H500" s="242">
        <v>-25153</v>
      </c>
      <c r="I500" s="242">
        <v>-23525</v>
      </c>
      <c r="J500"/>
    </row>
    <row r="501" spans="1:10" ht="15.75" customHeight="1">
      <c r="A501" t="s">
        <v>3082</v>
      </c>
      <c r="B501">
        <v>314610</v>
      </c>
      <c r="C501">
        <v>1</v>
      </c>
      <c r="D501" t="str">
        <f t="shared" si="7"/>
        <v>1314610.921</v>
      </c>
      <c r="E501" t="s">
        <v>3311</v>
      </c>
      <c r="F501" s="242"/>
      <c r="G501"/>
      <c r="H501" s="242">
        <v>-1842153</v>
      </c>
      <c r="I501" s="242">
        <v>-1894527</v>
      </c>
      <c r="J501"/>
    </row>
    <row r="502" spans="1:10" ht="15.75" customHeight="1">
      <c r="A502" t="s">
        <v>1653</v>
      </c>
      <c r="B502">
        <v>314610</v>
      </c>
      <c r="C502">
        <v>1</v>
      </c>
      <c r="D502" t="str">
        <f t="shared" si="7"/>
        <v>1314610.923</v>
      </c>
      <c r="E502" t="s">
        <v>3391</v>
      </c>
      <c r="F502" s="242"/>
      <c r="G502"/>
      <c r="H502" s="242">
        <v>-1436594</v>
      </c>
      <c r="I502" s="242">
        <v>-1519006</v>
      </c>
      <c r="J502"/>
    </row>
    <row r="503" spans="1:10" ht="15.75" customHeight="1">
      <c r="A503" t="s">
        <v>3082</v>
      </c>
      <c r="B503">
        <v>314611</v>
      </c>
      <c r="C503">
        <v>1</v>
      </c>
      <c r="D503" t="str">
        <f t="shared" si="7"/>
        <v>1314611.921</v>
      </c>
      <c r="E503" t="s">
        <v>3368</v>
      </c>
      <c r="F503" s="242"/>
      <c r="G503"/>
      <c r="H503" s="242">
        <v>-448</v>
      </c>
      <c r="I503" s="242">
        <v>0</v>
      </c>
      <c r="J503"/>
    </row>
    <row r="504" spans="1:10" ht="15.75" customHeight="1">
      <c r="A504" t="s">
        <v>1653</v>
      </c>
      <c r="B504">
        <v>314611</v>
      </c>
      <c r="C504">
        <v>1</v>
      </c>
      <c r="D504" t="str">
        <f t="shared" si="7"/>
        <v>1314611.923</v>
      </c>
      <c r="E504" t="s">
        <v>3314</v>
      </c>
      <c r="F504" s="242"/>
      <c r="G504"/>
      <c r="H504" s="242">
        <v>0</v>
      </c>
      <c r="I504" s="242">
        <v>0</v>
      </c>
      <c r="J504"/>
    </row>
    <row r="505" spans="1:10" ht="15.75" customHeight="1">
      <c r="A505" t="s">
        <v>3082</v>
      </c>
      <c r="B505">
        <v>314710</v>
      </c>
      <c r="C505">
        <v>1</v>
      </c>
      <c r="D505" t="str">
        <f t="shared" si="7"/>
        <v>1314710.921</v>
      </c>
      <c r="E505" t="s">
        <v>3311</v>
      </c>
      <c r="F505" s="242"/>
      <c r="G505"/>
      <c r="H505" s="242">
        <v>-1654863</v>
      </c>
      <c r="I505" s="242">
        <v>-1572590</v>
      </c>
      <c r="J505"/>
    </row>
    <row r="506" spans="1:10" ht="15.75" customHeight="1">
      <c r="A506" t="s">
        <v>1653</v>
      </c>
      <c r="B506">
        <v>314710</v>
      </c>
      <c r="C506">
        <v>1</v>
      </c>
      <c r="D506" t="str">
        <f t="shared" si="7"/>
        <v>1314710.923</v>
      </c>
      <c r="E506" t="s">
        <v>3436</v>
      </c>
      <c r="F506" s="242"/>
      <c r="G506"/>
      <c r="H506" s="242">
        <v>-620672</v>
      </c>
      <c r="I506" s="242">
        <v>-790490</v>
      </c>
      <c r="J506"/>
    </row>
    <row r="507" spans="1:10" ht="15.75" customHeight="1">
      <c r="A507" t="s">
        <v>3016</v>
      </c>
      <c r="B507">
        <v>314710</v>
      </c>
      <c r="C507">
        <v>1</v>
      </c>
      <c r="D507" t="str">
        <f t="shared" si="7"/>
        <v>1314710.926</v>
      </c>
      <c r="E507" t="s">
        <v>3313</v>
      </c>
      <c r="F507" s="242"/>
      <c r="G507"/>
      <c r="H507" s="242">
        <v>-1635</v>
      </c>
      <c r="I507" s="242">
        <v>-1814</v>
      </c>
      <c r="J507"/>
    </row>
    <row r="508" spans="1:10" ht="15.75" customHeight="1">
      <c r="A508" t="s">
        <v>3082</v>
      </c>
      <c r="B508">
        <v>314810</v>
      </c>
      <c r="C508">
        <v>1</v>
      </c>
      <c r="D508" t="str">
        <f t="shared" si="7"/>
        <v>1314810.921</v>
      </c>
      <c r="E508" t="s">
        <v>3311</v>
      </c>
      <c r="F508" s="242"/>
      <c r="G508"/>
      <c r="H508" s="242">
        <v>-1472540</v>
      </c>
      <c r="I508" s="242">
        <v>-1594810</v>
      </c>
      <c r="J508"/>
    </row>
    <row r="509" spans="1:10" ht="15.75" customHeight="1">
      <c r="A509" t="s">
        <v>1653</v>
      </c>
      <c r="B509">
        <v>314810</v>
      </c>
      <c r="C509">
        <v>1</v>
      </c>
      <c r="D509" t="str">
        <f t="shared" si="7"/>
        <v>1314810.923</v>
      </c>
      <c r="E509" t="s">
        <v>3444</v>
      </c>
      <c r="F509" s="242"/>
      <c r="G509"/>
      <c r="H509" s="242">
        <v>-536527</v>
      </c>
      <c r="I509" s="242">
        <v>-849965</v>
      </c>
      <c r="J509"/>
    </row>
    <row r="510" spans="1:10" ht="15.75" customHeight="1">
      <c r="A510" t="s">
        <v>3016</v>
      </c>
      <c r="B510">
        <v>314810</v>
      </c>
      <c r="C510">
        <v>1</v>
      </c>
      <c r="D510" t="str">
        <f t="shared" si="7"/>
        <v>1314810.926</v>
      </c>
      <c r="E510" t="s">
        <v>3313</v>
      </c>
      <c r="F510" s="242"/>
      <c r="G510"/>
      <c r="H510" s="242">
        <v>0</v>
      </c>
      <c r="I510" s="242">
        <v>0</v>
      </c>
      <c r="J510"/>
    </row>
    <row r="511" spans="1:10" ht="15.75" customHeight="1">
      <c r="A511" t="s">
        <v>1653</v>
      </c>
      <c r="B511">
        <v>314811</v>
      </c>
      <c r="C511">
        <v>1</v>
      </c>
      <c r="D511" t="str">
        <f t="shared" si="7"/>
        <v>1314811.923</v>
      </c>
      <c r="E511" t="s">
        <v>3314</v>
      </c>
      <c r="F511" s="242"/>
      <c r="G511"/>
      <c r="H511" s="242">
        <v>0</v>
      </c>
      <c r="I511" s="242">
        <v>0</v>
      </c>
      <c r="J511"/>
    </row>
    <row r="512" spans="1:10" ht="15.75" customHeight="1">
      <c r="A512" t="s">
        <v>3082</v>
      </c>
      <c r="B512">
        <v>314910</v>
      </c>
      <c r="C512">
        <v>1</v>
      </c>
      <c r="D512" t="str">
        <f t="shared" si="7"/>
        <v>1314910.921</v>
      </c>
      <c r="E512" t="s">
        <v>3311</v>
      </c>
      <c r="F512" s="242"/>
      <c r="G512"/>
      <c r="H512" s="242">
        <v>-450000</v>
      </c>
      <c r="I512" s="242">
        <v>-473621</v>
      </c>
      <c r="J512"/>
    </row>
    <row r="513" spans="1:10" ht="15.75" customHeight="1">
      <c r="A513" t="s">
        <v>1653</v>
      </c>
      <c r="B513">
        <v>314910</v>
      </c>
      <c r="C513">
        <v>1</v>
      </c>
      <c r="D513" t="str">
        <f t="shared" si="7"/>
        <v>1314910.923</v>
      </c>
      <c r="E513" t="s">
        <v>3422</v>
      </c>
      <c r="F513" s="242"/>
      <c r="G513"/>
      <c r="H513" s="242">
        <v>0</v>
      </c>
      <c r="I513" s="242">
        <v>0</v>
      </c>
      <c r="J513"/>
    </row>
    <row r="514" spans="1:10" ht="15.75" customHeight="1">
      <c r="A514" t="s">
        <v>3021</v>
      </c>
      <c r="B514">
        <v>314910</v>
      </c>
      <c r="C514">
        <v>1</v>
      </c>
      <c r="D514" t="str">
        <f t="shared" si="7"/>
        <v>1314910.925</v>
      </c>
      <c r="E514" t="s">
        <v>3352</v>
      </c>
      <c r="F514" s="242"/>
      <c r="G514"/>
      <c r="H514" s="242">
        <v>-17865</v>
      </c>
      <c r="I514" s="242">
        <v>-19161</v>
      </c>
      <c r="J514"/>
    </row>
    <row r="515" spans="1:10" ht="15.75" customHeight="1">
      <c r="A515" t="s">
        <v>3082</v>
      </c>
      <c r="B515">
        <v>314911</v>
      </c>
      <c r="C515">
        <v>1</v>
      </c>
      <c r="D515" t="str">
        <f t="shared" ref="D515:D578" si="8">C515&amp;B515&amp;"."&amp;A515</f>
        <v>1314911.921</v>
      </c>
      <c r="E515" t="s">
        <v>3368</v>
      </c>
      <c r="F515" s="242"/>
      <c r="G515"/>
      <c r="H515" s="242">
        <v>-2418</v>
      </c>
      <c r="I515" s="242">
        <v>-1635</v>
      </c>
      <c r="J515"/>
    </row>
    <row r="516" spans="1:10" ht="15.75" customHeight="1">
      <c r="A516" t="s">
        <v>1653</v>
      </c>
      <c r="B516">
        <v>315100</v>
      </c>
      <c r="C516">
        <v>1</v>
      </c>
      <c r="D516" t="str">
        <f t="shared" si="8"/>
        <v>1315100.923</v>
      </c>
      <c r="E516" t="s">
        <v>3043</v>
      </c>
      <c r="F516" s="242"/>
      <c r="G516"/>
      <c r="H516" s="242">
        <v>0</v>
      </c>
      <c r="I516" s="242">
        <v>-73873</v>
      </c>
      <c r="J516"/>
    </row>
    <row r="517" spans="1:10" ht="15.75" customHeight="1">
      <c r="A517" t="s">
        <v>2606</v>
      </c>
      <c r="B517">
        <v>315100</v>
      </c>
      <c r="C517">
        <v>1</v>
      </c>
      <c r="D517" t="str">
        <f t="shared" si="8"/>
        <v>1315100.440</v>
      </c>
      <c r="E517" t="s">
        <v>3289</v>
      </c>
      <c r="F517" s="242"/>
      <c r="G517"/>
      <c r="H517" s="242">
        <v>-223000</v>
      </c>
      <c r="I517" s="242">
        <v>-223091</v>
      </c>
      <c r="J517"/>
    </row>
    <row r="518" spans="1:10" ht="15.75" customHeight="1">
      <c r="A518" t="s">
        <v>1712</v>
      </c>
      <c r="B518">
        <v>315100</v>
      </c>
      <c r="C518">
        <v>1</v>
      </c>
      <c r="D518" t="str">
        <f t="shared" si="8"/>
        <v>1315100.442</v>
      </c>
      <c r="E518" t="s">
        <v>3290</v>
      </c>
      <c r="F518" s="242"/>
      <c r="G518"/>
      <c r="H518" s="242">
        <v>-744750</v>
      </c>
      <c r="I518" s="242">
        <v>-791981</v>
      </c>
      <c r="J518"/>
    </row>
    <row r="519" spans="1:10" ht="15.75" customHeight="1">
      <c r="A519" t="s">
        <v>3012</v>
      </c>
      <c r="B519">
        <v>315100</v>
      </c>
      <c r="C519">
        <v>1</v>
      </c>
      <c r="D519" t="str">
        <f t="shared" si="8"/>
        <v>1315100.920</v>
      </c>
      <c r="E519" t="s">
        <v>3291</v>
      </c>
      <c r="F519" s="242"/>
      <c r="G519"/>
      <c r="H519" s="242">
        <v>0</v>
      </c>
      <c r="I519" s="242">
        <v>-6936</v>
      </c>
      <c r="J519"/>
    </row>
    <row r="520" spans="1:10" ht="15.75" customHeight="1">
      <c r="A520" t="s">
        <v>3082</v>
      </c>
      <c r="B520">
        <v>315100</v>
      </c>
      <c r="C520">
        <v>1</v>
      </c>
      <c r="D520" t="str">
        <f t="shared" si="8"/>
        <v>1315100.921</v>
      </c>
      <c r="E520" t="s">
        <v>3292</v>
      </c>
      <c r="F520" s="242"/>
      <c r="G520"/>
      <c r="H520" s="242">
        <v>0</v>
      </c>
      <c r="I520" s="242">
        <v>-20412</v>
      </c>
      <c r="J520"/>
    </row>
    <row r="521" spans="1:10" ht="15.75" customHeight="1">
      <c r="A521" t="s">
        <v>1648</v>
      </c>
      <c r="B521">
        <v>315100</v>
      </c>
      <c r="C521">
        <v>1</v>
      </c>
      <c r="D521" t="str">
        <f t="shared" si="8"/>
        <v>1315100.922</v>
      </c>
      <c r="E521" t="s">
        <v>3020</v>
      </c>
      <c r="F521" s="242"/>
      <c r="G521"/>
      <c r="H521" s="242">
        <v>-100</v>
      </c>
      <c r="I521" s="242">
        <v>-159587</v>
      </c>
      <c r="J521"/>
    </row>
    <row r="522" spans="1:10" ht="15.75" customHeight="1">
      <c r="A522" t="s">
        <v>3021</v>
      </c>
      <c r="B522">
        <v>315100</v>
      </c>
      <c r="C522">
        <v>1</v>
      </c>
      <c r="D522" t="str">
        <f t="shared" si="8"/>
        <v>1315100.925</v>
      </c>
      <c r="E522" t="s">
        <v>3293</v>
      </c>
      <c r="F522" s="242"/>
      <c r="G522"/>
      <c r="H522" s="242">
        <v>-24000</v>
      </c>
      <c r="I522" s="242">
        <v>-36617</v>
      </c>
      <c r="J522"/>
    </row>
    <row r="523" spans="1:10" ht="15.75" customHeight="1">
      <c r="A523" t="s">
        <v>3016</v>
      </c>
      <c r="B523">
        <v>315100</v>
      </c>
      <c r="C523">
        <v>1</v>
      </c>
      <c r="D523" t="str">
        <f t="shared" si="8"/>
        <v>1315100.926</v>
      </c>
      <c r="E523" t="s">
        <v>3294</v>
      </c>
      <c r="F523" s="242"/>
      <c r="G523"/>
      <c r="H523" s="242">
        <v>-302000</v>
      </c>
      <c r="I523" s="242">
        <v>-167787</v>
      </c>
      <c r="J523"/>
    </row>
    <row r="524" spans="1:10" ht="15.75" customHeight="1">
      <c r="A524" t="s">
        <v>3022</v>
      </c>
      <c r="B524">
        <v>315100</v>
      </c>
      <c r="C524">
        <v>1</v>
      </c>
      <c r="D524" t="str">
        <f t="shared" si="8"/>
        <v>1315100.927</v>
      </c>
      <c r="E524" t="s">
        <v>3122</v>
      </c>
      <c r="F524" s="242"/>
      <c r="G524"/>
      <c r="H524" s="242">
        <v>0</v>
      </c>
      <c r="I524" s="242">
        <v>-4650</v>
      </c>
      <c r="J524"/>
    </row>
    <row r="525" spans="1:10" ht="15.75" customHeight="1">
      <c r="A525" t="s">
        <v>3088</v>
      </c>
      <c r="B525">
        <v>315100</v>
      </c>
      <c r="C525">
        <v>1</v>
      </c>
      <c r="D525" t="str">
        <f t="shared" si="8"/>
        <v>1315100.929</v>
      </c>
      <c r="E525" t="s">
        <v>3123</v>
      </c>
      <c r="F525" s="242"/>
      <c r="G525"/>
      <c r="H525" s="242">
        <v>-2757687</v>
      </c>
      <c r="I525" s="242">
        <v>-1640685</v>
      </c>
      <c r="J525"/>
    </row>
    <row r="526" spans="1:10" ht="15.75" customHeight="1">
      <c r="A526" t="s">
        <v>3022</v>
      </c>
      <c r="B526">
        <v>315110</v>
      </c>
      <c r="C526">
        <v>1</v>
      </c>
      <c r="D526" t="str">
        <f t="shared" si="8"/>
        <v>1315110.927</v>
      </c>
      <c r="E526" t="s">
        <v>3295</v>
      </c>
      <c r="F526" s="242"/>
      <c r="G526"/>
      <c r="H526" s="242">
        <v>0</v>
      </c>
      <c r="I526" s="242">
        <v>0</v>
      </c>
      <c r="J526"/>
    </row>
    <row r="527" spans="1:10" ht="15.75" customHeight="1">
      <c r="A527" t="s">
        <v>3112</v>
      </c>
      <c r="B527">
        <v>315110</v>
      </c>
      <c r="C527">
        <v>1</v>
      </c>
      <c r="D527" t="str">
        <f t="shared" si="8"/>
        <v>1315110.928</v>
      </c>
      <c r="E527" t="s">
        <v>3296</v>
      </c>
      <c r="F527" s="242"/>
      <c r="G527"/>
      <c r="H527" s="242">
        <v>-1337625</v>
      </c>
      <c r="I527" s="242">
        <v>-535051</v>
      </c>
      <c r="J527"/>
    </row>
    <row r="528" spans="1:10" ht="15.75" customHeight="1">
      <c r="A528" t="s">
        <v>3082</v>
      </c>
      <c r="B528">
        <v>315400</v>
      </c>
      <c r="C528">
        <v>1</v>
      </c>
      <c r="D528" t="str">
        <f t="shared" si="8"/>
        <v>1315400.921</v>
      </c>
      <c r="E528" t="s">
        <v>3149</v>
      </c>
      <c r="F528" s="242"/>
      <c r="G528"/>
      <c r="H528" s="242">
        <v>-1125</v>
      </c>
      <c r="I528" s="242">
        <v>-896</v>
      </c>
      <c r="J528"/>
    </row>
    <row r="529" spans="1:10" ht="15.75" customHeight="1">
      <c r="A529" t="s">
        <v>3014</v>
      </c>
      <c r="B529">
        <v>315400</v>
      </c>
      <c r="C529">
        <v>1</v>
      </c>
      <c r="D529" t="str">
        <f t="shared" si="8"/>
        <v>1315400.924</v>
      </c>
      <c r="E529" t="s">
        <v>3342</v>
      </c>
      <c r="F529" s="242"/>
      <c r="G529"/>
      <c r="H529" s="242">
        <v>0</v>
      </c>
      <c r="I529" s="242">
        <v>0</v>
      </c>
      <c r="J529"/>
    </row>
    <row r="530" spans="1:10" ht="15.75" customHeight="1">
      <c r="A530" t="s">
        <v>3021</v>
      </c>
      <c r="B530">
        <v>315400</v>
      </c>
      <c r="C530">
        <v>1</v>
      </c>
      <c r="D530" t="str">
        <f t="shared" si="8"/>
        <v>1315400.925</v>
      </c>
      <c r="E530" t="s">
        <v>3370</v>
      </c>
      <c r="F530" s="242"/>
      <c r="G530"/>
      <c r="H530" s="242">
        <v>-100</v>
      </c>
      <c r="I530" s="242">
        <v>-40385</v>
      </c>
      <c r="J530"/>
    </row>
    <row r="531" spans="1:10" ht="15.75" customHeight="1">
      <c r="A531" t="s">
        <v>3016</v>
      </c>
      <c r="B531">
        <v>315400</v>
      </c>
      <c r="C531">
        <v>1</v>
      </c>
      <c r="D531" t="str">
        <f t="shared" si="8"/>
        <v>1315400.926</v>
      </c>
      <c r="E531" t="s">
        <v>3090</v>
      </c>
      <c r="F531" s="242"/>
      <c r="G531"/>
      <c r="H531" s="242">
        <v>-20431</v>
      </c>
      <c r="I531" s="242">
        <v>-21863</v>
      </c>
      <c r="J531"/>
    </row>
    <row r="532" spans="1:10" ht="15.75" customHeight="1">
      <c r="A532" t="s">
        <v>3022</v>
      </c>
      <c r="B532">
        <v>315400</v>
      </c>
      <c r="C532">
        <v>1</v>
      </c>
      <c r="D532" t="str">
        <f t="shared" si="8"/>
        <v>1315400.927</v>
      </c>
      <c r="E532" t="s">
        <v>3155</v>
      </c>
      <c r="F532" s="242"/>
      <c r="G532"/>
      <c r="H532" s="242">
        <v>-5469</v>
      </c>
      <c r="I532" s="242">
        <v>-5792</v>
      </c>
      <c r="J532"/>
    </row>
    <row r="533" spans="1:10" ht="15.75" customHeight="1">
      <c r="A533" t="s">
        <v>3112</v>
      </c>
      <c r="B533">
        <v>315400</v>
      </c>
      <c r="C533">
        <v>1</v>
      </c>
      <c r="D533" t="str">
        <f t="shared" si="8"/>
        <v>1315400.928</v>
      </c>
      <c r="E533" t="s">
        <v>3319</v>
      </c>
      <c r="F533" s="242"/>
      <c r="G533"/>
      <c r="H533" s="242">
        <v>-58555</v>
      </c>
      <c r="I533" s="242">
        <v>-60679</v>
      </c>
      <c r="J533"/>
    </row>
    <row r="534" spans="1:10" ht="15.75" customHeight="1">
      <c r="A534" t="s">
        <v>3082</v>
      </c>
      <c r="B534">
        <v>315401</v>
      </c>
      <c r="C534">
        <v>1</v>
      </c>
      <c r="D534" t="str">
        <f t="shared" si="8"/>
        <v>1315401.921</v>
      </c>
      <c r="E534" t="s">
        <v>3411</v>
      </c>
      <c r="F534" s="242"/>
      <c r="G534"/>
      <c r="H534" s="242">
        <v>-475000</v>
      </c>
      <c r="I534" s="242">
        <v>-431226</v>
      </c>
      <c r="J534"/>
    </row>
    <row r="535" spans="1:10" ht="15.75" customHeight="1">
      <c r="A535" t="s">
        <v>1648</v>
      </c>
      <c r="B535">
        <v>315401</v>
      </c>
      <c r="C535">
        <v>1</v>
      </c>
      <c r="D535" t="str">
        <f t="shared" si="8"/>
        <v>1315401.922</v>
      </c>
      <c r="E535" t="s">
        <v>3020</v>
      </c>
      <c r="F535" s="242"/>
      <c r="G535"/>
      <c r="H535" s="242">
        <v>-100</v>
      </c>
      <c r="I535" s="242">
        <v>-1500</v>
      </c>
      <c r="J535"/>
    </row>
    <row r="536" spans="1:10" ht="15.75" customHeight="1">
      <c r="A536" t="s">
        <v>1653</v>
      </c>
      <c r="B536">
        <v>315401</v>
      </c>
      <c r="C536">
        <v>1</v>
      </c>
      <c r="D536" t="str">
        <f t="shared" si="8"/>
        <v>1315401.923</v>
      </c>
      <c r="E536" t="s">
        <v>3323</v>
      </c>
      <c r="F536" s="242"/>
      <c r="G536"/>
      <c r="H536" s="242">
        <v>-2460</v>
      </c>
      <c r="I536" s="242">
        <v>-2575</v>
      </c>
      <c r="J536"/>
    </row>
    <row r="537" spans="1:10" ht="15.75" customHeight="1">
      <c r="A537" t="s">
        <v>3021</v>
      </c>
      <c r="B537">
        <v>315401</v>
      </c>
      <c r="C537">
        <v>1</v>
      </c>
      <c r="D537" t="str">
        <f t="shared" si="8"/>
        <v>1315401.925</v>
      </c>
      <c r="E537" t="s">
        <v>3317</v>
      </c>
      <c r="F537" s="242"/>
      <c r="G537"/>
      <c r="H537" s="242">
        <v>0</v>
      </c>
      <c r="I537" s="242">
        <v>-19380</v>
      </c>
      <c r="J537"/>
    </row>
    <row r="538" spans="1:10" ht="15.75" customHeight="1">
      <c r="A538" t="s">
        <v>3016</v>
      </c>
      <c r="B538">
        <v>315401</v>
      </c>
      <c r="C538">
        <v>1</v>
      </c>
      <c r="D538" t="str">
        <f t="shared" si="8"/>
        <v>1315401.926</v>
      </c>
      <c r="E538" t="s">
        <v>3344</v>
      </c>
      <c r="F538" s="242"/>
      <c r="G538"/>
      <c r="H538" s="242">
        <v>-28000</v>
      </c>
      <c r="I538" s="242">
        <v>-9412</v>
      </c>
      <c r="J538"/>
    </row>
    <row r="539" spans="1:10" ht="15.75" customHeight="1">
      <c r="A539" t="s">
        <v>3022</v>
      </c>
      <c r="B539">
        <v>315401</v>
      </c>
      <c r="C539">
        <v>1</v>
      </c>
      <c r="D539" t="str">
        <f t="shared" si="8"/>
        <v>1315401.927</v>
      </c>
      <c r="E539" t="s">
        <v>3320</v>
      </c>
      <c r="F539" s="242"/>
      <c r="G539"/>
      <c r="H539" s="242">
        <v>0</v>
      </c>
      <c r="I539" s="242">
        <v>-11117</v>
      </c>
      <c r="J539"/>
    </row>
    <row r="540" spans="1:10" ht="15.75" customHeight="1">
      <c r="A540" t="s">
        <v>3112</v>
      </c>
      <c r="B540">
        <v>315401</v>
      </c>
      <c r="C540">
        <v>1</v>
      </c>
      <c r="D540" t="str">
        <f t="shared" si="8"/>
        <v>1315401.928</v>
      </c>
      <c r="E540" t="s">
        <v>3337</v>
      </c>
      <c r="F540" s="242"/>
      <c r="G540"/>
      <c r="H540" s="242">
        <v>-3968</v>
      </c>
      <c r="I540" s="242">
        <v>-4333</v>
      </c>
      <c r="J540"/>
    </row>
    <row r="541" spans="1:10" ht="15.75" customHeight="1">
      <c r="A541" t="s">
        <v>3088</v>
      </c>
      <c r="B541">
        <v>315401</v>
      </c>
      <c r="C541">
        <v>1</v>
      </c>
      <c r="D541" t="str">
        <f t="shared" si="8"/>
        <v>1315401.929</v>
      </c>
      <c r="E541" t="s">
        <v>3431</v>
      </c>
      <c r="F541" s="242"/>
      <c r="G541"/>
      <c r="H541" s="242">
        <v>-8246</v>
      </c>
      <c r="I541" s="242">
        <v>-9896</v>
      </c>
      <c r="J541"/>
    </row>
    <row r="542" spans="1:10" ht="15.75" customHeight="1">
      <c r="A542" t="s">
        <v>1648</v>
      </c>
      <c r="B542">
        <v>315402</v>
      </c>
      <c r="C542">
        <v>1</v>
      </c>
      <c r="D542" t="str">
        <f t="shared" si="8"/>
        <v>1315402.922</v>
      </c>
      <c r="E542" t="s">
        <v>3020</v>
      </c>
      <c r="F542" s="242"/>
      <c r="G542"/>
      <c r="H542" s="242">
        <v>0</v>
      </c>
      <c r="I542" s="242">
        <v>-1500</v>
      </c>
      <c r="J542"/>
    </row>
    <row r="543" spans="1:10" ht="15.75" customHeight="1">
      <c r="A543" t="s">
        <v>3088</v>
      </c>
      <c r="B543">
        <v>315402</v>
      </c>
      <c r="C543">
        <v>1</v>
      </c>
      <c r="D543" t="str">
        <f t="shared" si="8"/>
        <v>1315402.929</v>
      </c>
      <c r="E543" t="s">
        <v>3432</v>
      </c>
      <c r="F543" s="242"/>
      <c r="G543"/>
      <c r="H543" s="242">
        <v>-35709</v>
      </c>
      <c r="I543" s="242">
        <v>-44000</v>
      </c>
      <c r="J543"/>
    </row>
    <row r="544" spans="1:10" ht="15.75" customHeight="1">
      <c r="A544" t="s">
        <v>2410</v>
      </c>
      <c r="B544">
        <v>315411</v>
      </c>
      <c r="C544">
        <v>1</v>
      </c>
      <c r="D544" t="str">
        <f t="shared" si="8"/>
        <v>1315411.430</v>
      </c>
      <c r="E544" t="s">
        <v>3362</v>
      </c>
      <c r="F544" s="242"/>
      <c r="G544"/>
      <c r="H544" s="242">
        <v>-1004000</v>
      </c>
      <c r="I544" s="242">
        <v>-1001272</v>
      </c>
      <c r="J544"/>
    </row>
    <row r="545" spans="1:10" ht="15.75" customHeight="1">
      <c r="A545" t="s">
        <v>3082</v>
      </c>
      <c r="B545">
        <v>315412</v>
      </c>
      <c r="C545">
        <v>1</v>
      </c>
      <c r="D545" t="str">
        <f t="shared" si="8"/>
        <v>1315412.921</v>
      </c>
      <c r="E545" t="s">
        <v>3327</v>
      </c>
      <c r="F545" s="242"/>
      <c r="G545"/>
      <c r="H545" s="242">
        <v>-2972973</v>
      </c>
      <c r="I545" s="242">
        <v>-2883144</v>
      </c>
      <c r="J545"/>
    </row>
    <row r="546" spans="1:10" ht="15.75" customHeight="1">
      <c r="A546" t="s">
        <v>1653</v>
      </c>
      <c r="B546">
        <v>315412</v>
      </c>
      <c r="C546">
        <v>1</v>
      </c>
      <c r="D546" t="str">
        <f t="shared" si="8"/>
        <v>1315412.923</v>
      </c>
      <c r="E546" t="s">
        <v>3329</v>
      </c>
      <c r="F546" s="242"/>
      <c r="G546"/>
      <c r="H546" s="242">
        <v>-51000</v>
      </c>
      <c r="I546" s="242">
        <v>-41145</v>
      </c>
      <c r="J546"/>
    </row>
    <row r="547" spans="1:10" ht="15.75" customHeight="1">
      <c r="A547" t="s">
        <v>3014</v>
      </c>
      <c r="B547">
        <v>315412</v>
      </c>
      <c r="C547">
        <v>1</v>
      </c>
      <c r="D547" t="str">
        <f t="shared" si="8"/>
        <v>1315412.924</v>
      </c>
      <c r="E547" t="s">
        <v>3334</v>
      </c>
      <c r="F547" s="242"/>
      <c r="G547"/>
      <c r="H547" s="242">
        <v>-1419</v>
      </c>
      <c r="I547" s="242">
        <v>-1454</v>
      </c>
      <c r="J547"/>
    </row>
    <row r="548" spans="1:10" ht="15.75" customHeight="1">
      <c r="A548" t="s">
        <v>3021</v>
      </c>
      <c r="B548">
        <v>315412</v>
      </c>
      <c r="C548">
        <v>1</v>
      </c>
      <c r="D548" t="str">
        <f t="shared" si="8"/>
        <v>1315412.925</v>
      </c>
      <c r="E548" t="s">
        <v>3433</v>
      </c>
      <c r="F548" s="242"/>
      <c r="G548"/>
      <c r="H548" s="242">
        <v>-146000</v>
      </c>
      <c r="I548" s="242">
        <v>-141163</v>
      </c>
      <c r="J548"/>
    </row>
    <row r="549" spans="1:10" ht="15.75" customHeight="1">
      <c r="A549" t="s">
        <v>3016</v>
      </c>
      <c r="B549">
        <v>315412</v>
      </c>
      <c r="C549">
        <v>1</v>
      </c>
      <c r="D549" t="str">
        <f t="shared" si="8"/>
        <v>1315412.926</v>
      </c>
      <c r="E549" t="s">
        <v>3408</v>
      </c>
      <c r="F549" s="242"/>
      <c r="G549"/>
      <c r="H549" s="242">
        <v>-19593</v>
      </c>
      <c r="I549" s="242">
        <v>-24136</v>
      </c>
      <c r="J549"/>
    </row>
    <row r="550" spans="1:10" ht="15.75" customHeight="1">
      <c r="A550" t="s">
        <v>3022</v>
      </c>
      <c r="B550">
        <v>315412</v>
      </c>
      <c r="C550">
        <v>1</v>
      </c>
      <c r="D550" t="str">
        <f t="shared" si="8"/>
        <v>1315412.927</v>
      </c>
      <c r="E550" t="s">
        <v>3162</v>
      </c>
      <c r="F550" s="242"/>
      <c r="G550"/>
      <c r="H550" s="242">
        <v>-800</v>
      </c>
      <c r="I550" s="242">
        <v>-400</v>
      </c>
      <c r="J550"/>
    </row>
    <row r="551" spans="1:10" ht="15.75" customHeight="1">
      <c r="A551" t="s">
        <v>3112</v>
      </c>
      <c r="B551">
        <v>315412</v>
      </c>
      <c r="C551">
        <v>1</v>
      </c>
      <c r="D551" t="str">
        <f t="shared" si="8"/>
        <v>1315412.928</v>
      </c>
      <c r="E551" t="s">
        <v>3321</v>
      </c>
      <c r="F551" s="242"/>
      <c r="G551"/>
      <c r="H551" s="242">
        <v>-100</v>
      </c>
      <c r="I551" s="242">
        <v>0</v>
      </c>
      <c r="J551"/>
    </row>
    <row r="552" spans="1:10" ht="15.75" customHeight="1">
      <c r="A552" t="s">
        <v>3088</v>
      </c>
      <c r="B552">
        <v>315412</v>
      </c>
      <c r="C552">
        <v>1</v>
      </c>
      <c r="D552" t="str">
        <f t="shared" si="8"/>
        <v>1315412.929</v>
      </c>
      <c r="E552" t="s">
        <v>3423</v>
      </c>
      <c r="F552" s="242"/>
      <c r="G552"/>
      <c r="H552" s="242">
        <v>-13000</v>
      </c>
      <c r="I552" s="242">
        <v>-12081</v>
      </c>
      <c r="J552"/>
    </row>
    <row r="553" spans="1:10" ht="15.75" customHeight="1">
      <c r="A553" t="s">
        <v>3021</v>
      </c>
      <c r="B553">
        <v>315413</v>
      </c>
      <c r="C553">
        <v>1</v>
      </c>
      <c r="D553" t="str">
        <f t="shared" si="8"/>
        <v>1315413.925</v>
      </c>
      <c r="E553" t="s">
        <v>3376</v>
      </c>
      <c r="F553" s="242"/>
      <c r="G553"/>
      <c r="H553" s="242">
        <v>0</v>
      </c>
      <c r="I553" s="242">
        <v>-23596</v>
      </c>
      <c r="J553"/>
    </row>
    <row r="554" spans="1:10" ht="15.75" customHeight="1">
      <c r="A554" t="s">
        <v>3082</v>
      </c>
      <c r="B554">
        <v>315421</v>
      </c>
      <c r="C554">
        <v>1</v>
      </c>
      <c r="D554" t="str">
        <f t="shared" si="8"/>
        <v>1315421.921</v>
      </c>
      <c r="E554" t="s">
        <v>3327</v>
      </c>
      <c r="F554" s="242"/>
      <c r="G554"/>
      <c r="H554" s="242">
        <v>-3409203</v>
      </c>
      <c r="I554" s="242">
        <v>-3185592</v>
      </c>
      <c r="J554"/>
    </row>
    <row r="555" spans="1:10" ht="15.75" customHeight="1">
      <c r="A555" t="s">
        <v>1653</v>
      </c>
      <c r="B555">
        <v>315421</v>
      </c>
      <c r="C555">
        <v>1</v>
      </c>
      <c r="D555" t="str">
        <f t="shared" si="8"/>
        <v>1315421.923</v>
      </c>
      <c r="E555" t="s">
        <v>3370</v>
      </c>
      <c r="F555" s="242"/>
      <c r="G555"/>
      <c r="H555" s="242">
        <v>-74336</v>
      </c>
      <c r="I555" s="242">
        <v>-63319</v>
      </c>
      <c r="J555"/>
    </row>
    <row r="556" spans="1:10" ht="15.75" customHeight="1">
      <c r="A556" t="s">
        <v>3021</v>
      </c>
      <c r="B556">
        <v>315421</v>
      </c>
      <c r="C556">
        <v>1</v>
      </c>
      <c r="D556" t="str">
        <f t="shared" si="8"/>
        <v>1315421.925</v>
      </c>
      <c r="E556" t="s">
        <v>3318</v>
      </c>
      <c r="F556" s="242"/>
      <c r="G556"/>
      <c r="H556" s="242">
        <v>0</v>
      </c>
      <c r="I556" s="242">
        <v>-3240</v>
      </c>
      <c r="J556"/>
    </row>
    <row r="557" spans="1:10" ht="15.75" customHeight="1">
      <c r="A557" t="s">
        <v>3016</v>
      </c>
      <c r="B557">
        <v>315421</v>
      </c>
      <c r="C557">
        <v>1</v>
      </c>
      <c r="D557" t="str">
        <f t="shared" si="8"/>
        <v>1315421.926</v>
      </c>
      <c r="E557" t="s">
        <v>3392</v>
      </c>
      <c r="F557" s="242"/>
      <c r="G557"/>
      <c r="H557" s="242">
        <v>-518881</v>
      </c>
      <c r="I557" s="242">
        <v>-732932</v>
      </c>
      <c r="J557"/>
    </row>
    <row r="558" spans="1:10" ht="15.75" customHeight="1">
      <c r="A558" t="s">
        <v>3112</v>
      </c>
      <c r="B558">
        <v>315421</v>
      </c>
      <c r="C558">
        <v>1</v>
      </c>
      <c r="D558" t="str">
        <f t="shared" si="8"/>
        <v>1315421.928</v>
      </c>
      <c r="E558" t="s">
        <v>3321</v>
      </c>
      <c r="F558" s="242"/>
      <c r="G558"/>
      <c r="H558" s="242">
        <v>-100</v>
      </c>
      <c r="I558" s="242">
        <v>0</v>
      </c>
      <c r="J558"/>
    </row>
    <row r="559" spans="1:10" ht="15.75" customHeight="1">
      <c r="A559" t="s">
        <v>3088</v>
      </c>
      <c r="B559">
        <v>315421</v>
      </c>
      <c r="C559">
        <v>1</v>
      </c>
      <c r="D559" t="str">
        <f t="shared" si="8"/>
        <v>1315421.929</v>
      </c>
      <c r="E559" t="s">
        <v>3333</v>
      </c>
      <c r="F559" s="242"/>
      <c r="G559"/>
      <c r="H559" s="242">
        <v>-9894</v>
      </c>
      <c r="I559" s="242">
        <v>-9896</v>
      </c>
      <c r="J559"/>
    </row>
    <row r="560" spans="1:10" ht="15.75" customHeight="1">
      <c r="A560" t="s">
        <v>3082</v>
      </c>
      <c r="B560">
        <v>315422</v>
      </c>
      <c r="C560">
        <v>1</v>
      </c>
      <c r="D560" t="str">
        <f t="shared" si="8"/>
        <v>1315422.921</v>
      </c>
      <c r="E560" t="s">
        <v>3334</v>
      </c>
      <c r="F560" s="242"/>
      <c r="G560"/>
      <c r="H560" s="242">
        <v>-1286</v>
      </c>
      <c r="I560" s="242">
        <v>-1644</v>
      </c>
      <c r="J560"/>
    </row>
    <row r="561" spans="1:10" ht="15.75" customHeight="1">
      <c r="A561" t="s">
        <v>1653</v>
      </c>
      <c r="B561">
        <v>315422</v>
      </c>
      <c r="C561">
        <v>1</v>
      </c>
      <c r="D561" t="str">
        <f t="shared" si="8"/>
        <v>1315422.923</v>
      </c>
      <c r="E561" t="s">
        <v>3325</v>
      </c>
      <c r="F561" s="242"/>
      <c r="G561"/>
      <c r="H561" s="242">
        <v>-100</v>
      </c>
      <c r="I561" s="242">
        <v>0</v>
      </c>
      <c r="J561"/>
    </row>
    <row r="562" spans="1:10" ht="15.75" customHeight="1">
      <c r="A562" t="s">
        <v>3014</v>
      </c>
      <c r="B562">
        <v>315422</v>
      </c>
      <c r="C562">
        <v>1</v>
      </c>
      <c r="D562" t="str">
        <f t="shared" si="8"/>
        <v>1315422.924</v>
      </c>
      <c r="E562" t="s">
        <v>3328</v>
      </c>
      <c r="F562" s="242"/>
      <c r="G562"/>
      <c r="H562" s="242">
        <v>0</v>
      </c>
      <c r="I562" s="242">
        <v>0</v>
      </c>
      <c r="J562"/>
    </row>
    <row r="563" spans="1:10" ht="15.75" customHeight="1">
      <c r="A563" t="s">
        <v>3021</v>
      </c>
      <c r="B563">
        <v>315422</v>
      </c>
      <c r="C563">
        <v>1</v>
      </c>
      <c r="D563" t="str">
        <f t="shared" si="8"/>
        <v>1315422.925</v>
      </c>
      <c r="E563" t="s">
        <v>3317</v>
      </c>
      <c r="F563" s="242"/>
      <c r="G563"/>
      <c r="H563" s="242">
        <v>-54205</v>
      </c>
      <c r="I563" s="242">
        <v>-63361</v>
      </c>
      <c r="J563"/>
    </row>
    <row r="564" spans="1:10" ht="15.75" customHeight="1">
      <c r="A564" t="s">
        <v>3016</v>
      </c>
      <c r="B564">
        <v>315422</v>
      </c>
      <c r="C564">
        <v>1</v>
      </c>
      <c r="D564" t="str">
        <f t="shared" si="8"/>
        <v>1315422.926</v>
      </c>
      <c r="E564" t="s">
        <v>3316</v>
      </c>
      <c r="F564" s="242"/>
      <c r="G564"/>
      <c r="H564" s="242">
        <v>0</v>
      </c>
      <c r="I564" s="242">
        <v>0</v>
      </c>
      <c r="J564"/>
    </row>
    <row r="565" spans="1:10" ht="15.75" customHeight="1">
      <c r="A565" t="s">
        <v>3022</v>
      </c>
      <c r="B565">
        <v>315422</v>
      </c>
      <c r="C565">
        <v>1</v>
      </c>
      <c r="D565" t="str">
        <f t="shared" si="8"/>
        <v>1315422.927</v>
      </c>
      <c r="E565" t="s">
        <v>3155</v>
      </c>
      <c r="F565" s="242"/>
      <c r="G565"/>
      <c r="H565" s="242">
        <v>-4654</v>
      </c>
      <c r="I565" s="242">
        <v>-5341</v>
      </c>
      <c r="J565"/>
    </row>
    <row r="566" spans="1:10" ht="15.75" customHeight="1">
      <c r="A566" t="s">
        <v>3112</v>
      </c>
      <c r="B566">
        <v>315422</v>
      </c>
      <c r="C566">
        <v>1</v>
      </c>
      <c r="D566" t="str">
        <f t="shared" si="8"/>
        <v>1315422.928</v>
      </c>
      <c r="E566" t="s">
        <v>3337</v>
      </c>
      <c r="F566" s="242"/>
      <c r="G566"/>
      <c r="H566" s="242">
        <v>-3710</v>
      </c>
      <c r="I566" s="242">
        <v>-3432</v>
      </c>
      <c r="J566"/>
    </row>
    <row r="567" spans="1:10" ht="15.75" customHeight="1">
      <c r="A567" t="s">
        <v>3088</v>
      </c>
      <c r="B567">
        <v>315422</v>
      </c>
      <c r="C567">
        <v>1</v>
      </c>
      <c r="D567" t="str">
        <f t="shared" si="8"/>
        <v>1315422.929</v>
      </c>
      <c r="E567" t="s">
        <v>3379</v>
      </c>
      <c r="F567" s="242"/>
      <c r="G567"/>
      <c r="H567" s="242">
        <v>-36205</v>
      </c>
      <c r="I567" s="242">
        <v>-42671</v>
      </c>
      <c r="J567"/>
    </row>
    <row r="568" spans="1:10" ht="15.75" customHeight="1">
      <c r="A568" t="s">
        <v>3082</v>
      </c>
      <c r="B568">
        <v>315423</v>
      </c>
      <c r="C568">
        <v>1</v>
      </c>
      <c r="D568" t="str">
        <f t="shared" si="8"/>
        <v>1315423.921</v>
      </c>
      <c r="E568" t="s">
        <v>3149</v>
      </c>
      <c r="F568" s="242"/>
      <c r="G568"/>
      <c r="H568" s="242">
        <v>-6501</v>
      </c>
      <c r="I568" s="242">
        <v>-3522</v>
      </c>
      <c r="J568"/>
    </row>
    <row r="569" spans="1:10" ht="15.75" customHeight="1">
      <c r="A569" t="s">
        <v>1653</v>
      </c>
      <c r="B569">
        <v>315423</v>
      </c>
      <c r="C569">
        <v>1</v>
      </c>
      <c r="D569" t="str">
        <f t="shared" si="8"/>
        <v>1315423.923</v>
      </c>
      <c r="E569" t="s">
        <v>3323</v>
      </c>
      <c r="F569" s="242"/>
      <c r="G569"/>
      <c r="H569" s="242">
        <v>-2296</v>
      </c>
      <c r="I569" s="242">
        <v>-2066</v>
      </c>
      <c r="J569"/>
    </row>
    <row r="570" spans="1:10" ht="15.75" customHeight="1">
      <c r="A570" t="s">
        <v>3014</v>
      </c>
      <c r="B570">
        <v>315423</v>
      </c>
      <c r="C570">
        <v>1</v>
      </c>
      <c r="D570" t="str">
        <f t="shared" si="8"/>
        <v>1315423.924</v>
      </c>
      <c r="E570" t="s">
        <v>3342</v>
      </c>
      <c r="F570" s="242"/>
      <c r="G570"/>
      <c r="H570" s="242">
        <v>0</v>
      </c>
      <c r="I570" s="242">
        <v>0</v>
      </c>
      <c r="J570"/>
    </row>
    <row r="571" spans="1:10" ht="15.75" customHeight="1">
      <c r="A571" t="s">
        <v>3021</v>
      </c>
      <c r="B571">
        <v>315423</v>
      </c>
      <c r="C571">
        <v>1</v>
      </c>
      <c r="D571" t="str">
        <f t="shared" si="8"/>
        <v>1315423.925</v>
      </c>
      <c r="E571" t="s">
        <v>7</v>
      </c>
      <c r="F571" s="242"/>
      <c r="G571"/>
      <c r="H571" s="242">
        <v>-134664</v>
      </c>
      <c r="I571" s="242">
        <v>-160018</v>
      </c>
      <c r="J571"/>
    </row>
    <row r="572" spans="1:10" ht="15.75" customHeight="1">
      <c r="A572" t="s">
        <v>3016</v>
      </c>
      <c r="B572">
        <v>315423</v>
      </c>
      <c r="C572">
        <v>1</v>
      </c>
      <c r="D572" t="str">
        <f t="shared" si="8"/>
        <v>1315423.926</v>
      </c>
      <c r="E572" t="s">
        <v>3319</v>
      </c>
      <c r="F572" s="242"/>
      <c r="G572"/>
      <c r="H572" s="242">
        <v>-77327</v>
      </c>
      <c r="I572" s="242">
        <v>-93976</v>
      </c>
      <c r="J572"/>
    </row>
    <row r="573" spans="1:10" ht="15.75" customHeight="1">
      <c r="A573" t="s">
        <v>3022</v>
      </c>
      <c r="B573">
        <v>315423</v>
      </c>
      <c r="C573">
        <v>1</v>
      </c>
      <c r="D573" t="str">
        <f t="shared" si="8"/>
        <v>1315423.927</v>
      </c>
      <c r="E573" t="s">
        <v>3383</v>
      </c>
      <c r="F573" s="242"/>
      <c r="G573"/>
      <c r="H573" s="242">
        <v>-31000</v>
      </c>
      <c r="I573" s="242">
        <v>-30026</v>
      </c>
      <c r="J573"/>
    </row>
    <row r="574" spans="1:10" ht="15.75" customHeight="1">
      <c r="A574" t="s">
        <v>3112</v>
      </c>
      <c r="B574">
        <v>315423</v>
      </c>
      <c r="C574">
        <v>1</v>
      </c>
      <c r="D574" t="str">
        <f t="shared" si="8"/>
        <v>1315423.928</v>
      </c>
      <c r="E574" t="s">
        <v>3326</v>
      </c>
      <c r="F574" s="242"/>
      <c r="G574"/>
      <c r="H574" s="242">
        <v>-27624</v>
      </c>
      <c r="I574" s="242">
        <v>-30932</v>
      </c>
      <c r="J574"/>
    </row>
    <row r="575" spans="1:10" ht="15.75" customHeight="1">
      <c r="A575" t="s">
        <v>3088</v>
      </c>
      <c r="B575">
        <v>315423</v>
      </c>
      <c r="C575">
        <v>1</v>
      </c>
      <c r="D575" t="str">
        <f t="shared" si="8"/>
        <v>1315423.929</v>
      </c>
      <c r="E575" t="s">
        <v>3423</v>
      </c>
      <c r="F575" s="242"/>
      <c r="G575"/>
      <c r="H575" s="242">
        <v>-5852</v>
      </c>
      <c r="I575" s="242">
        <v>-6669</v>
      </c>
      <c r="J575"/>
    </row>
    <row r="576" spans="1:10" ht="15.75" customHeight="1">
      <c r="A576" t="s">
        <v>3082</v>
      </c>
      <c r="B576">
        <v>315424</v>
      </c>
      <c r="C576">
        <v>1</v>
      </c>
      <c r="D576" t="str">
        <f t="shared" si="8"/>
        <v>1315424.921</v>
      </c>
      <c r="E576" t="s">
        <v>3341</v>
      </c>
      <c r="F576" s="242"/>
      <c r="G576"/>
      <c r="H576" s="242">
        <v>-4835</v>
      </c>
      <c r="I576" s="242">
        <v>-11508</v>
      </c>
      <c r="J576"/>
    </row>
    <row r="577" spans="1:10" ht="15.75" customHeight="1">
      <c r="A577" t="s">
        <v>1653</v>
      </c>
      <c r="B577">
        <v>315424</v>
      </c>
      <c r="C577">
        <v>1</v>
      </c>
      <c r="D577" t="str">
        <f t="shared" si="8"/>
        <v>1315424.923</v>
      </c>
      <c r="E577" t="s">
        <v>3376</v>
      </c>
      <c r="F577" s="242"/>
      <c r="G577"/>
      <c r="H577" s="242">
        <v>0</v>
      </c>
      <c r="I577" s="242">
        <v>-23754</v>
      </c>
      <c r="J577"/>
    </row>
    <row r="578" spans="1:10" ht="15.75" customHeight="1">
      <c r="A578" t="s">
        <v>3014</v>
      </c>
      <c r="B578">
        <v>315424</v>
      </c>
      <c r="C578">
        <v>1</v>
      </c>
      <c r="D578" t="str">
        <f t="shared" si="8"/>
        <v>1315424.924</v>
      </c>
      <c r="E578" t="s">
        <v>3424</v>
      </c>
      <c r="F578" s="242"/>
      <c r="G578"/>
      <c r="H578" s="242">
        <v>0</v>
      </c>
      <c r="I578" s="242">
        <v>-2400</v>
      </c>
      <c r="J578"/>
    </row>
    <row r="579" spans="1:10" ht="15.75" customHeight="1">
      <c r="A579" t="s">
        <v>3021</v>
      </c>
      <c r="B579">
        <v>315424</v>
      </c>
      <c r="C579">
        <v>1</v>
      </c>
      <c r="D579" t="str">
        <f t="shared" ref="D579:D642" si="9">C579&amp;B579&amp;"."&amp;A579</f>
        <v>1315424.925</v>
      </c>
      <c r="E579" t="s">
        <v>3315</v>
      </c>
      <c r="F579" s="242"/>
      <c r="G579"/>
      <c r="H579" s="242">
        <v>0</v>
      </c>
      <c r="I579" s="242">
        <v>-1940</v>
      </c>
      <c r="J579"/>
    </row>
    <row r="580" spans="1:10" ht="15.75" customHeight="1">
      <c r="A580" t="s">
        <v>3016</v>
      </c>
      <c r="B580">
        <v>315424</v>
      </c>
      <c r="C580">
        <v>1</v>
      </c>
      <c r="D580" t="str">
        <f t="shared" si="9"/>
        <v>1315424.926</v>
      </c>
      <c r="E580" t="s">
        <v>3344</v>
      </c>
      <c r="F580" s="242"/>
      <c r="G580"/>
      <c r="H580" s="242">
        <v>-4176</v>
      </c>
      <c r="I580" s="242">
        <v>4157</v>
      </c>
      <c r="J580"/>
    </row>
    <row r="581" spans="1:10" ht="15.75" customHeight="1">
      <c r="A581" t="s">
        <v>3022</v>
      </c>
      <c r="B581">
        <v>315424</v>
      </c>
      <c r="C581">
        <v>1</v>
      </c>
      <c r="D581" t="str">
        <f t="shared" si="9"/>
        <v>1315424.927</v>
      </c>
      <c r="E581" t="s">
        <v>3320</v>
      </c>
      <c r="F581" s="242"/>
      <c r="G581"/>
      <c r="H581" s="242">
        <v>0</v>
      </c>
      <c r="I581" s="242">
        <v>-36287</v>
      </c>
      <c r="J581"/>
    </row>
    <row r="582" spans="1:10" ht="15.75" customHeight="1">
      <c r="A582" t="s">
        <v>3112</v>
      </c>
      <c r="B582">
        <v>315424</v>
      </c>
      <c r="C582">
        <v>1</v>
      </c>
      <c r="D582" t="str">
        <f t="shared" si="9"/>
        <v>1315424.928</v>
      </c>
      <c r="E582" t="s">
        <v>3396</v>
      </c>
      <c r="F582" s="242"/>
      <c r="G582"/>
      <c r="H582" s="242">
        <v>-100</v>
      </c>
      <c r="I582" s="242">
        <v>0</v>
      </c>
      <c r="J582"/>
    </row>
    <row r="583" spans="1:10" ht="15.75" customHeight="1">
      <c r="A583" t="s">
        <v>3082</v>
      </c>
      <c r="B583">
        <v>315425</v>
      </c>
      <c r="C583">
        <v>1</v>
      </c>
      <c r="D583" t="str">
        <f t="shared" si="9"/>
        <v>1315425.921</v>
      </c>
      <c r="E583" t="s">
        <v>3411</v>
      </c>
      <c r="F583" s="242"/>
      <c r="G583"/>
      <c r="H583" s="242">
        <v>-510691</v>
      </c>
      <c r="I583" s="242">
        <v>-126368</v>
      </c>
      <c r="J583"/>
    </row>
    <row r="584" spans="1:10" ht="15.75" customHeight="1">
      <c r="A584" t="s">
        <v>3022</v>
      </c>
      <c r="B584">
        <v>315425</v>
      </c>
      <c r="C584">
        <v>1</v>
      </c>
      <c r="D584" t="str">
        <f t="shared" si="9"/>
        <v>1315425.927</v>
      </c>
      <c r="E584" t="s">
        <v>3162</v>
      </c>
      <c r="F584" s="242"/>
      <c r="G584"/>
      <c r="H584" s="242">
        <v>-17200</v>
      </c>
      <c r="I584" s="242">
        <v>-21867</v>
      </c>
      <c r="J584"/>
    </row>
    <row r="585" spans="1:10" ht="15.75" customHeight="1">
      <c r="A585" t="s">
        <v>3082</v>
      </c>
      <c r="B585">
        <v>315700</v>
      </c>
      <c r="C585">
        <v>1</v>
      </c>
      <c r="D585" t="str">
        <f t="shared" si="9"/>
        <v>1315700.921</v>
      </c>
      <c r="E585" t="s">
        <v>3315</v>
      </c>
      <c r="F585" s="242"/>
      <c r="G585"/>
      <c r="H585" s="242">
        <v>-84594</v>
      </c>
      <c r="I585" s="242">
        <v>-22341</v>
      </c>
      <c r="J585"/>
    </row>
    <row r="586" spans="1:10" ht="15.75" customHeight="1">
      <c r="A586" t="s">
        <v>1653</v>
      </c>
      <c r="B586">
        <v>315700</v>
      </c>
      <c r="C586">
        <v>1</v>
      </c>
      <c r="D586" t="str">
        <f t="shared" si="9"/>
        <v>1315700.923</v>
      </c>
      <c r="E586" t="s">
        <v>3316</v>
      </c>
      <c r="F586" s="242"/>
      <c r="G586"/>
      <c r="H586" s="242">
        <v>-34814</v>
      </c>
      <c r="I586" s="242">
        <v>-46513</v>
      </c>
      <c r="J586"/>
    </row>
    <row r="587" spans="1:10" ht="15.75" customHeight="1">
      <c r="A587" t="s">
        <v>3014</v>
      </c>
      <c r="B587">
        <v>315700</v>
      </c>
      <c r="C587">
        <v>1</v>
      </c>
      <c r="D587" t="str">
        <f t="shared" si="9"/>
        <v>1315700.924</v>
      </c>
      <c r="E587" t="s">
        <v>3317</v>
      </c>
      <c r="F587" s="242"/>
      <c r="G587"/>
      <c r="H587" s="242">
        <v>-298861</v>
      </c>
      <c r="I587" s="242">
        <v>-308751</v>
      </c>
      <c r="J587"/>
    </row>
    <row r="588" spans="1:10" ht="15.75" customHeight="1">
      <c r="A588" t="s">
        <v>3021</v>
      </c>
      <c r="B588">
        <v>315700</v>
      </c>
      <c r="C588">
        <v>1</v>
      </c>
      <c r="D588" t="str">
        <f t="shared" si="9"/>
        <v>1315700.925</v>
      </c>
      <c r="E588" t="s">
        <v>3318</v>
      </c>
      <c r="F588" s="242"/>
      <c r="G588"/>
      <c r="H588" s="242">
        <v>-33592</v>
      </c>
      <c r="I588" s="242">
        <v>-37221</v>
      </c>
      <c r="J588"/>
    </row>
    <row r="589" spans="1:10" ht="15.75" customHeight="1">
      <c r="A589" t="s">
        <v>3016</v>
      </c>
      <c r="B589">
        <v>315700</v>
      </c>
      <c r="C589">
        <v>1</v>
      </c>
      <c r="D589" t="str">
        <f t="shared" si="9"/>
        <v>1315700.926</v>
      </c>
      <c r="E589" t="s">
        <v>3319</v>
      </c>
      <c r="F589" s="242"/>
      <c r="G589"/>
      <c r="H589" s="242">
        <v>-551593</v>
      </c>
      <c r="I589" s="242">
        <v>-697596</v>
      </c>
      <c r="J589"/>
    </row>
    <row r="590" spans="1:10" ht="15.75" customHeight="1">
      <c r="A590" t="s">
        <v>3022</v>
      </c>
      <c r="B590">
        <v>315700</v>
      </c>
      <c r="C590">
        <v>1</v>
      </c>
      <c r="D590" t="str">
        <f t="shared" si="9"/>
        <v>1315700.927</v>
      </c>
      <c r="E590" t="s">
        <v>3320</v>
      </c>
      <c r="F590" s="242"/>
      <c r="G590"/>
      <c r="H590" s="242">
        <v>0</v>
      </c>
      <c r="I590" s="242">
        <v>-221306</v>
      </c>
      <c r="J590"/>
    </row>
    <row r="591" spans="1:10" ht="15.75" customHeight="1">
      <c r="A591" t="s">
        <v>3112</v>
      </c>
      <c r="B591">
        <v>315700</v>
      </c>
      <c r="C591">
        <v>1</v>
      </c>
      <c r="D591" t="str">
        <f t="shared" si="9"/>
        <v>1315700.928</v>
      </c>
      <c r="E591" t="s">
        <v>3321</v>
      </c>
      <c r="F591" s="242"/>
      <c r="G591"/>
      <c r="H591" s="242">
        <v>-62064</v>
      </c>
      <c r="I591" s="242">
        <v>-103219</v>
      </c>
      <c r="J591"/>
    </row>
    <row r="592" spans="1:10" ht="15.75" customHeight="1">
      <c r="A592" t="s">
        <v>3088</v>
      </c>
      <c r="B592">
        <v>315700</v>
      </c>
      <c r="C592">
        <v>1</v>
      </c>
      <c r="D592" t="str">
        <f t="shared" si="9"/>
        <v>1315700.929</v>
      </c>
      <c r="E592" t="s">
        <v>3322</v>
      </c>
      <c r="F592" s="242"/>
      <c r="G592"/>
      <c r="H592" s="242">
        <v>-69781</v>
      </c>
      <c r="I592" s="242">
        <v>-65952</v>
      </c>
      <c r="J592"/>
    </row>
    <row r="593" spans="1:10" ht="15.75" customHeight="1">
      <c r="A593" t="s">
        <v>1653</v>
      </c>
      <c r="B593">
        <v>315710</v>
      </c>
      <c r="C593">
        <v>1</v>
      </c>
      <c r="D593" t="str">
        <f t="shared" si="9"/>
        <v>1315710.923</v>
      </c>
      <c r="E593" t="s">
        <v>3323</v>
      </c>
      <c r="F593" s="242"/>
      <c r="G593"/>
      <c r="H593" s="242">
        <v>-7970</v>
      </c>
      <c r="I593" s="242">
        <v>-9856</v>
      </c>
      <c r="J593"/>
    </row>
    <row r="594" spans="1:10" ht="15.75" customHeight="1">
      <c r="A594" t="s">
        <v>3014</v>
      </c>
      <c r="B594">
        <v>315710</v>
      </c>
      <c r="C594">
        <v>1</v>
      </c>
      <c r="D594" t="str">
        <f t="shared" si="9"/>
        <v>1315710.924</v>
      </c>
      <c r="E594" t="s">
        <v>3324</v>
      </c>
      <c r="F594" s="242"/>
      <c r="G594"/>
      <c r="H594" s="242">
        <v>0</v>
      </c>
      <c r="I594" s="242">
        <v>-75484</v>
      </c>
      <c r="J594"/>
    </row>
    <row r="595" spans="1:10" ht="15.75" customHeight="1">
      <c r="A595" t="s">
        <v>3021</v>
      </c>
      <c r="B595">
        <v>315710</v>
      </c>
      <c r="C595">
        <v>1</v>
      </c>
      <c r="D595" t="str">
        <f t="shared" si="9"/>
        <v>1315710.925</v>
      </c>
      <c r="E595" t="s">
        <v>7</v>
      </c>
      <c r="F595" s="242"/>
      <c r="G595"/>
      <c r="H595" s="242">
        <v>-484408</v>
      </c>
      <c r="I595" s="242">
        <v>-680257</v>
      </c>
      <c r="J595"/>
    </row>
    <row r="596" spans="1:10" ht="15.75" customHeight="1">
      <c r="A596" t="s">
        <v>3016</v>
      </c>
      <c r="B596">
        <v>315710</v>
      </c>
      <c r="C596">
        <v>1</v>
      </c>
      <c r="D596" t="str">
        <f t="shared" si="9"/>
        <v>1315710.926</v>
      </c>
      <c r="E596" t="s">
        <v>3325</v>
      </c>
      <c r="F596" s="242"/>
      <c r="G596"/>
      <c r="H596" s="242">
        <v>0</v>
      </c>
      <c r="I596" s="242">
        <v>-488</v>
      </c>
      <c r="J596"/>
    </row>
    <row r="597" spans="1:10" ht="15.75" customHeight="1">
      <c r="A597" t="s">
        <v>3022</v>
      </c>
      <c r="B597">
        <v>315710</v>
      </c>
      <c r="C597">
        <v>1</v>
      </c>
      <c r="D597" t="str">
        <f t="shared" si="9"/>
        <v>1315710.927</v>
      </c>
      <c r="E597" t="s">
        <v>3295</v>
      </c>
      <c r="F597" s="242"/>
      <c r="G597"/>
      <c r="H597" s="242">
        <v>0</v>
      </c>
      <c r="I597" s="242">
        <v>0</v>
      </c>
      <c r="J597"/>
    </row>
    <row r="598" spans="1:10" ht="15.75" customHeight="1">
      <c r="A598" t="s">
        <v>3112</v>
      </c>
      <c r="B598">
        <v>315710</v>
      </c>
      <c r="C598">
        <v>1</v>
      </c>
      <c r="D598" t="str">
        <f t="shared" si="9"/>
        <v>1315710.928</v>
      </c>
      <c r="E598" t="s">
        <v>3326</v>
      </c>
      <c r="F598" s="242"/>
      <c r="G598"/>
      <c r="H598" s="242">
        <v>-54980</v>
      </c>
      <c r="I598" s="242">
        <v>-87823</v>
      </c>
      <c r="J598"/>
    </row>
    <row r="599" spans="1:10" ht="15.75" customHeight="1">
      <c r="A599" t="s">
        <v>3082</v>
      </c>
      <c r="B599">
        <v>315711</v>
      </c>
      <c r="C599">
        <v>1</v>
      </c>
      <c r="D599" t="str">
        <f t="shared" si="9"/>
        <v>1315711.921</v>
      </c>
      <c r="E599" t="s">
        <v>3327</v>
      </c>
      <c r="F599" s="242"/>
      <c r="G599"/>
      <c r="H599" s="242">
        <v>-9905000</v>
      </c>
      <c r="I599" s="242">
        <v>-10578401</v>
      </c>
      <c r="J599"/>
    </row>
    <row r="600" spans="1:10" ht="15.75" customHeight="1">
      <c r="A600" t="s">
        <v>1648</v>
      </c>
      <c r="B600">
        <v>315711</v>
      </c>
      <c r="C600">
        <v>1</v>
      </c>
      <c r="D600" t="str">
        <f t="shared" si="9"/>
        <v>1315711.922</v>
      </c>
      <c r="E600" t="s">
        <v>3020</v>
      </c>
      <c r="F600" s="242"/>
      <c r="G600"/>
      <c r="H600" s="242">
        <v>-100</v>
      </c>
      <c r="I600" s="242">
        <v>-2500</v>
      </c>
      <c r="J600"/>
    </row>
    <row r="601" spans="1:10" ht="15.75" customHeight="1">
      <c r="A601" t="s">
        <v>3014</v>
      </c>
      <c r="B601">
        <v>315711</v>
      </c>
      <c r="C601">
        <v>1</v>
      </c>
      <c r="D601" t="str">
        <f t="shared" si="9"/>
        <v>1315711.924</v>
      </c>
      <c r="E601" t="s">
        <v>3328</v>
      </c>
      <c r="F601" s="242"/>
      <c r="G601"/>
      <c r="H601" s="242">
        <v>0</v>
      </c>
      <c r="I601" s="242">
        <v>0</v>
      </c>
      <c r="J601"/>
    </row>
    <row r="602" spans="1:10" ht="15.75" customHeight="1">
      <c r="A602" t="s">
        <v>3021</v>
      </c>
      <c r="B602">
        <v>315711</v>
      </c>
      <c r="C602">
        <v>1</v>
      </c>
      <c r="D602" t="str">
        <f t="shared" si="9"/>
        <v>1315711.925</v>
      </c>
      <c r="E602" t="s">
        <v>3329</v>
      </c>
      <c r="F602" s="242"/>
      <c r="G602"/>
      <c r="H602" s="242">
        <v>0</v>
      </c>
      <c r="I602" s="242">
        <v>-14284</v>
      </c>
      <c r="J602"/>
    </row>
    <row r="603" spans="1:10" ht="15.75" customHeight="1">
      <c r="A603" t="s">
        <v>3022</v>
      </c>
      <c r="B603">
        <v>315711</v>
      </c>
      <c r="C603">
        <v>1</v>
      </c>
      <c r="D603" t="str">
        <f t="shared" si="9"/>
        <v>1315711.927</v>
      </c>
      <c r="E603" t="s">
        <v>3331</v>
      </c>
      <c r="F603" s="242"/>
      <c r="G603"/>
      <c r="H603" s="242">
        <v>0</v>
      </c>
      <c r="I603" s="242">
        <v>0</v>
      </c>
      <c r="J603"/>
    </row>
    <row r="604" spans="1:10" ht="15.75" customHeight="1">
      <c r="A604" t="s">
        <v>3112</v>
      </c>
      <c r="B604">
        <v>315711</v>
      </c>
      <c r="C604">
        <v>1</v>
      </c>
      <c r="D604" t="str">
        <f t="shared" si="9"/>
        <v>1315711.928</v>
      </c>
      <c r="E604" t="s">
        <v>3332</v>
      </c>
      <c r="F604" s="242"/>
      <c r="G604"/>
      <c r="H604" s="242">
        <v>-41242</v>
      </c>
      <c r="I604" s="242">
        <v>-102988</v>
      </c>
      <c r="J604"/>
    </row>
    <row r="605" spans="1:10" ht="15.75" customHeight="1">
      <c r="A605" t="s">
        <v>3088</v>
      </c>
      <c r="B605">
        <v>315711</v>
      </c>
      <c r="C605">
        <v>1</v>
      </c>
      <c r="D605" t="str">
        <f t="shared" si="9"/>
        <v>1315711.929</v>
      </c>
      <c r="E605" t="s">
        <v>3333</v>
      </c>
      <c r="F605" s="242"/>
      <c r="G605"/>
      <c r="H605" s="242">
        <v>-16800</v>
      </c>
      <c r="I605" s="242">
        <v>-21764</v>
      </c>
      <c r="J605"/>
    </row>
    <row r="606" spans="1:10" ht="15.75" customHeight="1">
      <c r="A606" t="s">
        <v>3082</v>
      </c>
      <c r="B606">
        <v>315712</v>
      </c>
      <c r="C606">
        <v>1</v>
      </c>
      <c r="D606" t="str">
        <f t="shared" si="9"/>
        <v>1315712.921</v>
      </c>
      <c r="E606" t="s">
        <v>3334</v>
      </c>
      <c r="F606" s="242"/>
      <c r="G606"/>
      <c r="H606" s="242">
        <v>-1577</v>
      </c>
      <c r="I606" s="242">
        <v>-3002</v>
      </c>
      <c r="J606"/>
    </row>
    <row r="607" spans="1:10" ht="15.75" customHeight="1">
      <c r="A607" t="s">
        <v>3014</v>
      </c>
      <c r="B607">
        <v>315712</v>
      </c>
      <c r="C607">
        <v>1</v>
      </c>
      <c r="D607" t="str">
        <f t="shared" si="9"/>
        <v>1315712.924</v>
      </c>
      <c r="E607" t="s">
        <v>3335</v>
      </c>
      <c r="F607" s="242"/>
      <c r="G607"/>
      <c r="H607" s="242">
        <v>-18000</v>
      </c>
      <c r="I607" s="242">
        <v>-32955</v>
      </c>
      <c r="J607"/>
    </row>
    <row r="608" spans="1:10" ht="15.75" customHeight="1">
      <c r="A608" t="s">
        <v>3016</v>
      </c>
      <c r="B608">
        <v>315712</v>
      </c>
      <c r="C608">
        <v>1</v>
      </c>
      <c r="D608" t="str">
        <f t="shared" si="9"/>
        <v>1315712.926</v>
      </c>
      <c r="E608" t="s">
        <v>3336</v>
      </c>
      <c r="F608" s="242"/>
      <c r="G608"/>
      <c r="H608" s="242">
        <v>-64136</v>
      </c>
      <c r="I608" s="242">
        <v>-143670</v>
      </c>
      <c r="J608"/>
    </row>
    <row r="609" spans="1:10" ht="15.75" customHeight="1">
      <c r="A609" t="s">
        <v>3022</v>
      </c>
      <c r="B609">
        <v>315712</v>
      </c>
      <c r="C609">
        <v>1</v>
      </c>
      <c r="D609" t="str">
        <f t="shared" si="9"/>
        <v>1315712.927</v>
      </c>
      <c r="E609" t="s">
        <v>3155</v>
      </c>
      <c r="F609" s="242"/>
      <c r="G609"/>
      <c r="H609" s="242">
        <v>-2000</v>
      </c>
      <c r="I609" s="242">
        <v>-19434</v>
      </c>
      <c r="J609"/>
    </row>
    <row r="610" spans="1:10" ht="15.75" customHeight="1">
      <c r="A610" t="s">
        <v>3112</v>
      </c>
      <c r="B610">
        <v>315712</v>
      </c>
      <c r="C610">
        <v>1</v>
      </c>
      <c r="D610" t="str">
        <f t="shared" si="9"/>
        <v>1315712.928</v>
      </c>
      <c r="E610" t="s">
        <v>3337</v>
      </c>
      <c r="F610" s="242"/>
      <c r="G610"/>
      <c r="H610" s="242">
        <v>-2000</v>
      </c>
      <c r="I610" s="242">
        <v>-28228</v>
      </c>
      <c r="J610"/>
    </row>
    <row r="611" spans="1:10" ht="15.75" customHeight="1">
      <c r="A611" t="s">
        <v>3088</v>
      </c>
      <c r="B611">
        <v>315712</v>
      </c>
      <c r="C611">
        <v>1</v>
      </c>
      <c r="D611" t="str">
        <f t="shared" si="9"/>
        <v>1315712.929</v>
      </c>
      <c r="E611" t="s">
        <v>3338</v>
      </c>
      <c r="F611" s="242"/>
      <c r="G611"/>
      <c r="H611" s="242">
        <v>-158532</v>
      </c>
      <c r="I611" s="242">
        <v>-214444</v>
      </c>
      <c r="J611"/>
    </row>
    <row r="612" spans="1:10" ht="15.75" customHeight="1">
      <c r="A612" t="s">
        <v>3082</v>
      </c>
      <c r="B612">
        <v>315713</v>
      </c>
      <c r="C612">
        <v>1</v>
      </c>
      <c r="D612" t="str">
        <f t="shared" si="9"/>
        <v>1315713.921</v>
      </c>
      <c r="E612" t="s">
        <v>3327</v>
      </c>
      <c r="F612" s="242"/>
      <c r="G612"/>
      <c r="H612" s="242">
        <v>-6442000</v>
      </c>
      <c r="I612" s="242">
        <v>-6389568</v>
      </c>
      <c r="J612"/>
    </row>
    <row r="613" spans="1:10" ht="15.75" customHeight="1">
      <c r="A613" t="s">
        <v>1648</v>
      </c>
      <c r="B613">
        <v>315713</v>
      </c>
      <c r="C613">
        <v>1</v>
      </c>
      <c r="D613" t="str">
        <f t="shared" si="9"/>
        <v>1315713.922</v>
      </c>
      <c r="E613" t="s">
        <v>3020</v>
      </c>
      <c r="F613" s="242"/>
      <c r="G613"/>
      <c r="H613" s="242">
        <v>0</v>
      </c>
      <c r="I613" s="242">
        <v>-2500</v>
      </c>
      <c r="J613"/>
    </row>
    <row r="614" spans="1:10" ht="15.75" customHeight="1">
      <c r="A614" t="s">
        <v>1653</v>
      </c>
      <c r="B614">
        <v>315713</v>
      </c>
      <c r="C614">
        <v>1</v>
      </c>
      <c r="D614" t="str">
        <f t="shared" si="9"/>
        <v>1315713.923</v>
      </c>
      <c r="E614" t="s">
        <v>3403</v>
      </c>
      <c r="F614" s="242"/>
      <c r="G614"/>
      <c r="H614" s="242">
        <v>0</v>
      </c>
      <c r="I614" s="242">
        <v>0</v>
      </c>
      <c r="J614"/>
    </row>
    <row r="615" spans="1:10" ht="15.75" customHeight="1">
      <c r="A615" t="s">
        <v>3014</v>
      </c>
      <c r="B615">
        <v>315713</v>
      </c>
      <c r="C615">
        <v>1</v>
      </c>
      <c r="D615" t="str">
        <f t="shared" si="9"/>
        <v>1315713.924</v>
      </c>
      <c r="E615" t="s">
        <v>3324</v>
      </c>
      <c r="F615" s="242"/>
      <c r="G615"/>
      <c r="H615" s="242">
        <v>0</v>
      </c>
      <c r="I615" s="242">
        <v>-73052</v>
      </c>
      <c r="J615"/>
    </row>
    <row r="616" spans="1:10" ht="15.75" customHeight="1">
      <c r="A616" t="s">
        <v>3021</v>
      </c>
      <c r="B616">
        <v>315713</v>
      </c>
      <c r="C616">
        <v>1</v>
      </c>
      <c r="D616" t="str">
        <f t="shared" si="9"/>
        <v>1315713.925</v>
      </c>
      <c r="E616" t="s">
        <v>3318</v>
      </c>
      <c r="F616" s="242"/>
      <c r="G616"/>
      <c r="H616" s="242">
        <v>-282000</v>
      </c>
      <c r="I616" s="242">
        <v>-320545</v>
      </c>
      <c r="J616"/>
    </row>
    <row r="617" spans="1:10" ht="15.75" customHeight="1">
      <c r="A617" t="s">
        <v>3016</v>
      </c>
      <c r="B617">
        <v>315713</v>
      </c>
      <c r="C617">
        <v>1</v>
      </c>
      <c r="D617" t="str">
        <f t="shared" si="9"/>
        <v>1315713.926</v>
      </c>
      <c r="E617" t="s">
        <v>3453</v>
      </c>
      <c r="F617" s="242"/>
      <c r="G617"/>
      <c r="H617" s="242">
        <v>-28606</v>
      </c>
      <c r="I617" s="242">
        <v>-51187</v>
      </c>
      <c r="J617"/>
    </row>
    <row r="618" spans="1:10" ht="15.75" customHeight="1">
      <c r="A618" t="s">
        <v>3022</v>
      </c>
      <c r="B618">
        <v>315713</v>
      </c>
      <c r="C618">
        <v>1</v>
      </c>
      <c r="D618" t="str">
        <f t="shared" si="9"/>
        <v>1315713.927</v>
      </c>
      <c r="E618" t="s">
        <v>3155</v>
      </c>
      <c r="F618" s="242"/>
      <c r="G618"/>
      <c r="H618" s="242">
        <v>-6327</v>
      </c>
      <c r="I618" s="242">
        <v>-6113</v>
      </c>
      <c r="J618"/>
    </row>
    <row r="619" spans="1:10" ht="15.75" customHeight="1">
      <c r="A619" t="s">
        <v>3112</v>
      </c>
      <c r="B619">
        <v>315713</v>
      </c>
      <c r="C619">
        <v>1</v>
      </c>
      <c r="D619" t="str">
        <f t="shared" si="9"/>
        <v>1315713.928</v>
      </c>
      <c r="E619" t="s">
        <v>3337</v>
      </c>
      <c r="F619" s="242"/>
      <c r="G619"/>
      <c r="H619" s="242">
        <v>-6413</v>
      </c>
      <c r="I619" s="242">
        <v>-11819</v>
      </c>
      <c r="J619"/>
    </row>
    <row r="620" spans="1:10" ht="15.75" customHeight="1">
      <c r="A620" t="s">
        <v>3088</v>
      </c>
      <c r="B620">
        <v>315713</v>
      </c>
      <c r="C620">
        <v>1</v>
      </c>
      <c r="D620" t="str">
        <f t="shared" si="9"/>
        <v>1315713.929</v>
      </c>
      <c r="E620" t="s">
        <v>3379</v>
      </c>
      <c r="F620" s="242"/>
      <c r="G620"/>
      <c r="H620" s="242">
        <v>-72512</v>
      </c>
      <c r="I620" s="242">
        <v>-90612</v>
      </c>
      <c r="J620"/>
    </row>
    <row r="621" spans="1:10" ht="15.75" customHeight="1">
      <c r="A621" t="s">
        <v>1653</v>
      </c>
      <c r="B621">
        <v>315714</v>
      </c>
      <c r="C621">
        <v>1</v>
      </c>
      <c r="D621" t="str">
        <f t="shared" si="9"/>
        <v>1315714.923</v>
      </c>
      <c r="E621" t="s">
        <v>3416</v>
      </c>
      <c r="F621" s="242"/>
      <c r="G621"/>
      <c r="H621" s="242">
        <v>0</v>
      </c>
      <c r="I621" s="242">
        <v>0</v>
      </c>
      <c r="J621"/>
    </row>
    <row r="622" spans="1:10" ht="15.75" customHeight="1">
      <c r="A622" t="s">
        <v>3014</v>
      </c>
      <c r="B622">
        <v>315714</v>
      </c>
      <c r="C622">
        <v>1</v>
      </c>
      <c r="D622" t="str">
        <f t="shared" si="9"/>
        <v>1315714.924</v>
      </c>
      <c r="E622" t="s">
        <v>3342</v>
      </c>
      <c r="F622" s="242"/>
      <c r="G622"/>
      <c r="H622" s="242">
        <v>0</v>
      </c>
      <c r="I622" s="242">
        <v>0</v>
      </c>
      <c r="J622"/>
    </row>
    <row r="623" spans="1:10" ht="15.75" customHeight="1">
      <c r="A623" t="s">
        <v>3021</v>
      </c>
      <c r="B623">
        <v>315714</v>
      </c>
      <c r="C623">
        <v>1</v>
      </c>
      <c r="D623" t="str">
        <f t="shared" si="9"/>
        <v>1315714.925</v>
      </c>
      <c r="E623" t="s">
        <v>7</v>
      </c>
      <c r="F623" s="242"/>
      <c r="G623"/>
      <c r="H623" s="242">
        <v>-307221</v>
      </c>
      <c r="I623" s="242">
        <v>-342145</v>
      </c>
      <c r="J623"/>
    </row>
    <row r="624" spans="1:10" ht="15.75" customHeight="1">
      <c r="A624" t="s">
        <v>3016</v>
      </c>
      <c r="B624">
        <v>315714</v>
      </c>
      <c r="C624">
        <v>1</v>
      </c>
      <c r="D624" t="str">
        <f t="shared" si="9"/>
        <v>1315714.926</v>
      </c>
      <c r="E624" t="s">
        <v>3323</v>
      </c>
      <c r="F624" s="242"/>
      <c r="G624"/>
      <c r="H624" s="242">
        <v>-4018</v>
      </c>
      <c r="I624" s="242">
        <v>-5494</v>
      </c>
      <c r="J624"/>
    </row>
    <row r="625" spans="1:10" ht="15.75" customHeight="1">
      <c r="A625" t="s">
        <v>3112</v>
      </c>
      <c r="B625">
        <v>315714</v>
      </c>
      <c r="C625">
        <v>1</v>
      </c>
      <c r="D625" t="str">
        <f t="shared" si="9"/>
        <v>1315714.928</v>
      </c>
      <c r="E625" t="s">
        <v>3316</v>
      </c>
      <c r="F625" s="242"/>
      <c r="G625"/>
      <c r="H625" s="242">
        <v>0</v>
      </c>
      <c r="I625" s="242">
        <v>0</v>
      </c>
      <c r="J625"/>
    </row>
    <row r="626" spans="1:10" ht="15.75" customHeight="1">
      <c r="A626" t="s">
        <v>3088</v>
      </c>
      <c r="B626">
        <v>315714</v>
      </c>
      <c r="C626">
        <v>1</v>
      </c>
      <c r="D626" t="str">
        <f t="shared" si="9"/>
        <v>1315714.929</v>
      </c>
      <c r="E626" t="s">
        <v>3333</v>
      </c>
      <c r="F626" s="242"/>
      <c r="G626"/>
      <c r="H626" s="242">
        <v>-10924</v>
      </c>
      <c r="I626" s="242">
        <v>-16408</v>
      </c>
      <c r="J626"/>
    </row>
    <row r="627" spans="1:10" ht="15.75" customHeight="1">
      <c r="A627" t="s">
        <v>3082</v>
      </c>
      <c r="B627">
        <v>315715</v>
      </c>
      <c r="C627">
        <v>1</v>
      </c>
      <c r="D627" t="str">
        <f t="shared" si="9"/>
        <v>1315715.921</v>
      </c>
      <c r="E627" t="s">
        <v>3327</v>
      </c>
      <c r="F627" s="242"/>
      <c r="G627"/>
      <c r="H627" s="242">
        <v>-9541214</v>
      </c>
      <c r="I627" s="242">
        <v>-9290386</v>
      </c>
      <c r="J627"/>
    </row>
    <row r="628" spans="1:10" ht="15.75" customHeight="1">
      <c r="A628" t="s">
        <v>1648</v>
      </c>
      <c r="B628">
        <v>315715</v>
      </c>
      <c r="C628">
        <v>1</v>
      </c>
      <c r="D628" t="str">
        <f t="shared" si="9"/>
        <v>1315715.922</v>
      </c>
      <c r="E628" t="s">
        <v>3020</v>
      </c>
      <c r="F628" s="242"/>
      <c r="G628"/>
      <c r="H628" s="242">
        <v>0</v>
      </c>
      <c r="I628" s="242">
        <v>-6000</v>
      </c>
      <c r="J628"/>
    </row>
    <row r="629" spans="1:10" ht="15.75" customHeight="1">
      <c r="A629" t="s">
        <v>1653</v>
      </c>
      <c r="B629">
        <v>315715</v>
      </c>
      <c r="C629">
        <v>1</v>
      </c>
      <c r="D629" t="str">
        <f t="shared" si="9"/>
        <v>1315715.923</v>
      </c>
      <c r="E629" t="s">
        <v>3416</v>
      </c>
      <c r="F629" s="242"/>
      <c r="G629"/>
      <c r="H629" s="242">
        <v>-26000</v>
      </c>
      <c r="I629" s="242">
        <v>-29119</v>
      </c>
      <c r="J629"/>
    </row>
    <row r="630" spans="1:10" ht="15.75" customHeight="1">
      <c r="A630" t="s">
        <v>3014</v>
      </c>
      <c r="B630">
        <v>315715</v>
      </c>
      <c r="C630">
        <v>1</v>
      </c>
      <c r="D630" t="str">
        <f t="shared" si="9"/>
        <v>1315715.924</v>
      </c>
      <c r="E630" t="s">
        <v>3317</v>
      </c>
      <c r="F630" s="242"/>
      <c r="G630"/>
      <c r="H630" s="242">
        <v>-165804</v>
      </c>
      <c r="I630" s="242">
        <v>-213108</v>
      </c>
      <c r="J630"/>
    </row>
    <row r="631" spans="1:10" ht="15.75" customHeight="1">
      <c r="A631" t="s">
        <v>3016</v>
      </c>
      <c r="B631">
        <v>315715</v>
      </c>
      <c r="C631">
        <v>1</v>
      </c>
      <c r="D631" t="str">
        <f t="shared" si="9"/>
        <v>1315715.926</v>
      </c>
      <c r="E631" t="s">
        <v>3344</v>
      </c>
      <c r="F631" s="242"/>
      <c r="G631"/>
      <c r="H631" s="242">
        <v>-100</v>
      </c>
      <c r="I631" s="242">
        <v>0</v>
      </c>
      <c r="J631"/>
    </row>
    <row r="632" spans="1:10" ht="15.75" customHeight="1">
      <c r="A632" t="s">
        <v>3022</v>
      </c>
      <c r="B632">
        <v>315715</v>
      </c>
      <c r="C632">
        <v>1</v>
      </c>
      <c r="D632" t="str">
        <f t="shared" si="9"/>
        <v>1315715.927</v>
      </c>
      <c r="E632" t="s">
        <v>3383</v>
      </c>
      <c r="F632" s="242"/>
      <c r="G632"/>
      <c r="H632" s="242">
        <v>0</v>
      </c>
      <c r="I632" s="242">
        <v>0</v>
      </c>
      <c r="J632"/>
    </row>
    <row r="633" spans="1:10" ht="15.75" customHeight="1">
      <c r="A633" t="s">
        <v>3112</v>
      </c>
      <c r="B633">
        <v>315715</v>
      </c>
      <c r="C633">
        <v>1</v>
      </c>
      <c r="D633" t="str">
        <f t="shared" si="9"/>
        <v>1315715.928</v>
      </c>
      <c r="E633" t="s">
        <v>3332</v>
      </c>
      <c r="F633" s="242"/>
      <c r="G633"/>
      <c r="H633" s="242">
        <v>-50407</v>
      </c>
      <c r="I633" s="242">
        <v>-54275</v>
      </c>
      <c r="J633"/>
    </row>
    <row r="634" spans="1:10" ht="15.75" customHeight="1">
      <c r="A634" t="s">
        <v>3088</v>
      </c>
      <c r="B634">
        <v>315715</v>
      </c>
      <c r="C634">
        <v>1</v>
      </c>
      <c r="D634" t="str">
        <f t="shared" si="9"/>
        <v>1315715.929</v>
      </c>
      <c r="E634" t="s">
        <v>3333</v>
      </c>
      <c r="F634" s="242"/>
      <c r="G634"/>
      <c r="H634" s="242">
        <v>-16322</v>
      </c>
      <c r="I634" s="242">
        <v>-16323</v>
      </c>
      <c r="J634"/>
    </row>
    <row r="635" spans="1:10" ht="15.75" customHeight="1">
      <c r="A635" t="s">
        <v>3082</v>
      </c>
      <c r="B635">
        <v>315716</v>
      </c>
      <c r="C635">
        <v>1</v>
      </c>
      <c r="D635" t="str">
        <f t="shared" si="9"/>
        <v>1315716.921</v>
      </c>
      <c r="E635" t="s">
        <v>3334</v>
      </c>
      <c r="F635" s="242"/>
      <c r="G635"/>
      <c r="H635" s="242">
        <v>-1253</v>
      </c>
      <c r="I635" s="242">
        <v>-1793</v>
      </c>
      <c r="J635"/>
    </row>
    <row r="636" spans="1:10" ht="15.75" customHeight="1">
      <c r="A636" t="s">
        <v>1653</v>
      </c>
      <c r="B636">
        <v>315716</v>
      </c>
      <c r="C636">
        <v>1</v>
      </c>
      <c r="D636" t="str">
        <f t="shared" si="9"/>
        <v>1315716.923</v>
      </c>
      <c r="E636" t="s">
        <v>3440</v>
      </c>
      <c r="F636" s="242"/>
      <c r="G636"/>
      <c r="H636" s="242">
        <v>-27951</v>
      </c>
      <c r="I636" s="242">
        <v>-33922</v>
      </c>
      <c r="J636"/>
    </row>
    <row r="637" spans="1:10" ht="15.75" customHeight="1">
      <c r="A637" t="s">
        <v>3014</v>
      </c>
      <c r="B637">
        <v>315716</v>
      </c>
      <c r="C637">
        <v>1</v>
      </c>
      <c r="D637" t="str">
        <f t="shared" si="9"/>
        <v>1315716.924</v>
      </c>
      <c r="E637" t="s">
        <v>3342</v>
      </c>
      <c r="F637" s="242"/>
      <c r="G637"/>
      <c r="H637" s="242">
        <v>0</v>
      </c>
      <c r="I637" s="242">
        <v>0</v>
      </c>
      <c r="J637"/>
    </row>
    <row r="638" spans="1:10" ht="15.75" customHeight="1">
      <c r="A638" t="s">
        <v>3021</v>
      </c>
      <c r="B638">
        <v>315716</v>
      </c>
      <c r="C638">
        <v>1</v>
      </c>
      <c r="D638" t="str">
        <f t="shared" si="9"/>
        <v>1315716.925</v>
      </c>
      <c r="E638" t="s">
        <v>3318</v>
      </c>
      <c r="F638" s="242"/>
      <c r="G638"/>
      <c r="H638" s="242">
        <v>-100</v>
      </c>
      <c r="I638" s="242">
        <v>-365731</v>
      </c>
      <c r="J638"/>
    </row>
    <row r="639" spans="1:10" ht="15.75" customHeight="1">
      <c r="A639" t="s">
        <v>3016</v>
      </c>
      <c r="B639">
        <v>315716</v>
      </c>
      <c r="C639">
        <v>1</v>
      </c>
      <c r="D639" t="str">
        <f t="shared" si="9"/>
        <v>1315716.926</v>
      </c>
      <c r="E639" t="s">
        <v>3336</v>
      </c>
      <c r="F639" s="242"/>
      <c r="G639"/>
      <c r="H639" s="242">
        <v>-61473</v>
      </c>
      <c r="I639" s="242">
        <v>-63355</v>
      </c>
      <c r="J639"/>
    </row>
    <row r="640" spans="1:10" ht="15.75" customHeight="1">
      <c r="A640" t="s">
        <v>3022</v>
      </c>
      <c r="B640">
        <v>315716</v>
      </c>
      <c r="C640">
        <v>1</v>
      </c>
      <c r="D640" t="str">
        <f t="shared" si="9"/>
        <v>1315716.927</v>
      </c>
      <c r="E640" t="s">
        <v>3155</v>
      </c>
      <c r="F640" s="242"/>
      <c r="G640"/>
      <c r="H640" s="242">
        <v>-16087</v>
      </c>
      <c r="I640" s="242">
        <v>-16130</v>
      </c>
      <c r="J640"/>
    </row>
    <row r="641" spans="1:10" ht="15.75" customHeight="1">
      <c r="A641" t="s">
        <v>3112</v>
      </c>
      <c r="B641">
        <v>315716</v>
      </c>
      <c r="C641">
        <v>1</v>
      </c>
      <c r="D641" t="str">
        <f t="shared" si="9"/>
        <v>1315716.928</v>
      </c>
      <c r="E641" t="s">
        <v>3337</v>
      </c>
      <c r="F641" s="242"/>
      <c r="G641"/>
      <c r="H641" s="242">
        <v>-12419</v>
      </c>
      <c r="I641" s="242">
        <v>-13385</v>
      </c>
      <c r="J641"/>
    </row>
    <row r="642" spans="1:10" ht="15.75" customHeight="1">
      <c r="A642" t="s">
        <v>3088</v>
      </c>
      <c r="B642">
        <v>315716</v>
      </c>
      <c r="C642">
        <v>1</v>
      </c>
      <c r="D642" t="str">
        <f t="shared" si="9"/>
        <v>1315716.929</v>
      </c>
      <c r="E642" t="s">
        <v>3379</v>
      </c>
      <c r="F642" s="242"/>
      <c r="G642"/>
      <c r="H642" s="242">
        <v>-119932</v>
      </c>
      <c r="I642" s="242">
        <v>-151813</v>
      </c>
      <c r="J642"/>
    </row>
    <row r="643" spans="1:10" ht="15.75" customHeight="1">
      <c r="A643" t="s">
        <v>3082</v>
      </c>
      <c r="B643">
        <v>315717</v>
      </c>
      <c r="C643">
        <v>1</v>
      </c>
      <c r="D643" t="str">
        <f t="shared" ref="D643:D706" si="10">C643&amp;B643&amp;"."&amp;A643</f>
        <v>1315717.921</v>
      </c>
      <c r="E643" t="s">
        <v>3382</v>
      </c>
      <c r="F643" s="242"/>
      <c r="G643"/>
      <c r="H643" s="242">
        <v>0</v>
      </c>
      <c r="I643" s="242">
        <v>0</v>
      </c>
      <c r="J643"/>
    </row>
    <row r="644" spans="1:10" ht="15.75" customHeight="1">
      <c r="A644" t="s">
        <v>1653</v>
      </c>
      <c r="B644">
        <v>315717</v>
      </c>
      <c r="C644">
        <v>1</v>
      </c>
      <c r="D644" t="str">
        <f t="shared" si="10"/>
        <v>1315717.923</v>
      </c>
      <c r="E644" t="s">
        <v>3445</v>
      </c>
      <c r="F644" s="242"/>
      <c r="G644"/>
      <c r="H644" s="242">
        <v>0</v>
      </c>
      <c r="I644" s="242">
        <v>-7926</v>
      </c>
      <c r="J644"/>
    </row>
    <row r="645" spans="1:10" ht="15.75" customHeight="1">
      <c r="A645" t="s">
        <v>3014</v>
      </c>
      <c r="B645">
        <v>315717</v>
      </c>
      <c r="C645">
        <v>1</v>
      </c>
      <c r="D645" t="str">
        <f t="shared" si="10"/>
        <v>1315717.924</v>
      </c>
      <c r="E645" t="s">
        <v>3446</v>
      </c>
      <c r="F645" s="242"/>
      <c r="G645"/>
      <c r="H645" s="242">
        <v>-11180</v>
      </c>
      <c r="I645" s="242">
        <v>-9606</v>
      </c>
      <c r="J645"/>
    </row>
    <row r="646" spans="1:10" ht="15.75" customHeight="1">
      <c r="A646" t="s">
        <v>3021</v>
      </c>
      <c r="B646">
        <v>315717</v>
      </c>
      <c r="C646">
        <v>1</v>
      </c>
      <c r="D646" t="str">
        <f t="shared" si="10"/>
        <v>1315717.925</v>
      </c>
      <c r="E646" t="s">
        <v>7</v>
      </c>
      <c r="F646" s="242"/>
      <c r="G646"/>
      <c r="H646" s="242">
        <v>-483145</v>
      </c>
      <c r="I646" s="242">
        <v>-496036</v>
      </c>
      <c r="J646"/>
    </row>
    <row r="647" spans="1:10" ht="15.75" customHeight="1">
      <c r="A647" t="s">
        <v>3016</v>
      </c>
      <c r="B647">
        <v>315717</v>
      </c>
      <c r="C647">
        <v>1</v>
      </c>
      <c r="D647" t="str">
        <f t="shared" si="10"/>
        <v>1315717.926</v>
      </c>
      <c r="E647" t="s">
        <v>3324</v>
      </c>
      <c r="F647" s="242"/>
      <c r="G647"/>
      <c r="H647" s="242">
        <v>0</v>
      </c>
      <c r="I647" s="242">
        <v>-78985</v>
      </c>
      <c r="J647"/>
    </row>
    <row r="648" spans="1:10" ht="15.75" customHeight="1">
      <c r="A648" t="s">
        <v>3022</v>
      </c>
      <c r="B648">
        <v>315717</v>
      </c>
      <c r="C648">
        <v>1</v>
      </c>
      <c r="D648" t="str">
        <f t="shared" si="10"/>
        <v>1315717.927</v>
      </c>
      <c r="E648" t="s">
        <v>3162</v>
      </c>
      <c r="F648" s="242"/>
      <c r="G648"/>
      <c r="H648" s="242">
        <v>-100</v>
      </c>
      <c r="I648" s="242">
        <v>-800</v>
      </c>
      <c r="J648"/>
    </row>
    <row r="649" spans="1:10" ht="15.75" customHeight="1">
      <c r="A649" t="s">
        <v>3088</v>
      </c>
      <c r="B649">
        <v>315717</v>
      </c>
      <c r="C649">
        <v>1</v>
      </c>
      <c r="D649" t="str">
        <f t="shared" si="10"/>
        <v>1315717.929</v>
      </c>
      <c r="E649" t="s">
        <v>3381</v>
      </c>
      <c r="F649" s="242"/>
      <c r="G649"/>
      <c r="H649" s="242">
        <v>-4400</v>
      </c>
      <c r="I649" s="242">
        <v>-373</v>
      </c>
      <c r="J649"/>
    </row>
    <row r="650" spans="1:10" ht="15.75" customHeight="1">
      <c r="A650" t="s">
        <v>3082</v>
      </c>
      <c r="B650">
        <v>315718</v>
      </c>
      <c r="C650">
        <v>1</v>
      </c>
      <c r="D650" t="str">
        <f t="shared" si="10"/>
        <v>1315718.921</v>
      </c>
      <c r="E650" t="s">
        <v>3447</v>
      </c>
      <c r="F650" s="242"/>
      <c r="G650"/>
      <c r="H650" s="242">
        <v>-13000</v>
      </c>
      <c r="I650" s="242">
        <v>0</v>
      </c>
      <c r="J650"/>
    </row>
    <row r="651" spans="1:10" ht="15.75" customHeight="1">
      <c r="A651" t="s">
        <v>1653</v>
      </c>
      <c r="B651">
        <v>315718</v>
      </c>
      <c r="C651">
        <v>1</v>
      </c>
      <c r="D651" t="str">
        <f t="shared" si="10"/>
        <v>1315718.923</v>
      </c>
      <c r="E651" t="s">
        <v>3323</v>
      </c>
      <c r="F651" s="242"/>
      <c r="G651"/>
      <c r="H651" s="242">
        <v>-5822</v>
      </c>
      <c r="I651" s="242">
        <v>-5576</v>
      </c>
      <c r="J651"/>
    </row>
    <row r="652" spans="1:10" ht="15.75" customHeight="1">
      <c r="A652" t="s">
        <v>3014</v>
      </c>
      <c r="B652">
        <v>315718</v>
      </c>
      <c r="C652">
        <v>1</v>
      </c>
      <c r="D652" t="str">
        <f t="shared" si="10"/>
        <v>1315718.924</v>
      </c>
      <c r="E652" t="s">
        <v>3335</v>
      </c>
      <c r="F652" s="242"/>
      <c r="G652"/>
      <c r="H652" s="242">
        <v>0</v>
      </c>
      <c r="I652" s="242">
        <v>0</v>
      </c>
      <c r="J652"/>
    </row>
    <row r="653" spans="1:10" ht="15.75" customHeight="1">
      <c r="A653" t="s">
        <v>3016</v>
      </c>
      <c r="B653">
        <v>315718</v>
      </c>
      <c r="C653">
        <v>1</v>
      </c>
      <c r="D653" t="str">
        <f t="shared" si="10"/>
        <v>1315718.926</v>
      </c>
      <c r="E653" t="s">
        <v>3325</v>
      </c>
      <c r="F653" s="242"/>
      <c r="G653"/>
      <c r="H653" s="242">
        <v>-100</v>
      </c>
      <c r="I653" s="242">
        <v>0</v>
      </c>
      <c r="J653"/>
    </row>
    <row r="654" spans="1:10" ht="15.75" customHeight="1">
      <c r="A654" t="s">
        <v>3022</v>
      </c>
      <c r="B654">
        <v>315718</v>
      </c>
      <c r="C654">
        <v>1</v>
      </c>
      <c r="D654" t="str">
        <f t="shared" si="10"/>
        <v>1315718.927</v>
      </c>
      <c r="E654" t="s">
        <v>3320</v>
      </c>
      <c r="F654" s="242"/>
      <c r="G654"/>
      <c r="H654" s="242">
        <v>0</v>
      </c>
      <c r="I654" s="242">
        <v>-40223</v>
      </c>
      <c r="J654"/>
    </row>
    <row r="655" spans="1:10" ht="15.75" customHeight="1">
      <c r="A655" t="s">
        <v>3088</v>
      </c>
      <c r="B655">
        <v>315718</v>
      </c>
      <c r="C655">
        <v>1</v>
      </c>
      <c r="D655" t="str">
        <f t="shared" si="10"/>
        <v>1315718.929</v>
      </c>
      <c r="E655" t="s">
        <v>3423</v>
      </c>
      <c r="F655" s="242"/>
      <c r="G655"/>
      <c r="H655" s="242">
        <v>-33133</v>
      </c>
      <c r="I655" s="242">
        <v>-32165</v>
      </c>
      <c r="J655"/>
    </row>
    <row r="656" spans="1:10" ht="15.75" customHeight="1">
      <c r="A656" t="s">
        <v>3082</v>
      </c>
      <c r="B656">
        <v>315719</v>
      </c>
      <c r="C656">
        <v>1</v>
      </c>
      <c r="D656" t="str">
        <f t="shared" si="10"/>
        <v>1315719.921</v>
      </c>
      <c r="E656" t="s">
        <v>3448</v>
      </c>
      <c r="F656" s="242"/>
      <c r="G656"/>
      <c r="H656" s="242">
        <v>-36111</v>
      </c>
      <c r="I656" s="242">
        <v>0</v>
      </c>
      <c r="J656"/>
    </row>
    <row r="657" spans="1:10" ht="15.75" customHeight="1">
      <c r="A657" t="s">
        <v>3014</v>
      </c>
      <c r="B657">
        <v>315719</v>
      </c>
      <c r="C657">
        <v>1</v>
      </c>
      <c r="D657" t="str">
        <f t="shared" si="10"/>
        <v>1315719.924</v>
      </c>
      <c r="E657" t="s">
        <v>3315</v>
      </c>
      <c r="F657" s="242"/>
      <c r="G657"/>
      <c r="H657" s="242">
        <v>0</v>
      </c>
      <c r="I657" s="242">
        <v>-219445</v>
      </c>
      <c r="J657"/>
    </row>
    <row r="658" spans="1:10" ht="15.75" customHeight="1">
      <c r="A658" t="s">
        <v>3021</v>
      </c>
      <c r="B658">
        <v>315719</v>
      </c>
      <c r="C658">
        <v>1</v>
      </c>
      <c r="D658" t="str">
        <f t="shared" si="10"/>
        <v>1315719.925</v>
      </c>
      <c r="E658" t="s">
        <v>3328</v>
      </c>
      <c r="F658" s="242"/>
      <c r="G658"/>
      <c r="H658" s="242">
        <v>0</v>
      </c>
      <c r="I658" s="242">
        <v>-29512</v>
      </c>
      <c r="J658"/>
    </row>
    <row r="659" spans="1:10" ht="15.75" customHeight="1">
      <c r="A659" t="s">
        <v>3016</v>
      </c>
      <c r="B659">
        <v>315719</v>
      </c>
      <c r="C659">
        <v>1</v>
      </c>
      <c r="D659" t="str">
        <f t="shared" si="10"/>
        <v>1315719.926</v>
      </c>
      <c r="E659" t="s">
        <v>3319</v>
      </c>
      <c r="F659" s="242"/>
      <c r="G659"/>
      <c r="H659" s="242">
        <v>0</v>
      </c>
      <c r="I659" s="242">
        <v>-172765</v>
      </c>
      <c r="J659"/>
    </row>
    <row r="660" spans="1:10" ht="15.75" customHeight="1">
      <c r="A660" t="s">
        <v>3112</v>
      </c>
      <c r="B660">
        <v>315719</v>
      </c>
      <c r="C660">
        <v>1</v>
      </c>
      <c r="D660" t="str">
        <f t="shared" si="10"/>
        <v>1315719.928</v>
      </c>
      <c r="E660" t="s">
        <v>3321</v>
      </c>
      <c r="F660" s="242"/>
      <c r="G660"/>
      <c r="H660" s="242">
        <v>-56741</v>
      </c>
      <c r="I660" s="242">
        <v>-97494</v>
      </c>
      <c r="J660"/>
    </row>
    <row r="661" spans="1:10" ht="15.75" customHeight="1">
      <c r="A661" t="s">
        <v>3088</v>
      </c>
      <c r="B661">
        <v>315719</v>
      </c>
      <c r="C661">
        <v>1</v>
      </c>
      <c r="D661" t="str">
        <f t="shared" si="10"/>
        <v>1315719.929</v>
      </c>
      <c r="E661" t="s">
        <v>3326</v>
      </c>
      <c r="F661" s="242"/>
      <c r="G661"/>
      <c r="H661" s="242">
        <v>0</v>
      </c>
      <c r="I661" s="242">
        <v>-82657</v>
      </c>
      <c r="J661"/>
    </row>
    <row r="662" spans="1:10" ht="15.75" customHeight="1">
      <c r="A662" t="s">
        <v>3082</v>
      </c>
      <c r="B662">
        <v>315721</v>
      </c>
      <c r="C662">
        <v>1</v>
      </c>
      <c r="D662" t="str">
        <f t="shared" si="10"/>
        <v>1315721.921</v>
      </c>
      <c r="E662" t="s">
        <v>3339</v>
      </c>
      <c r="F662" s="242"/>
      <c r="G662"/>
      <c r="H662" s="242">
        <v>-7043</v>
      </c>
      <c r="I662" s="242">
        <v>0</v>
      </c>
      <c r="J662"/>
    </row>
    <row r="663" spans="1:10" ht="15.75" customHeight="1">
      <c r="A663" t="s">
        <v>3022</v>
      </c>
      <c r="B663">
        <v>315721</v>
      </c>
      <c r="C663">
        <v>1</v>
      </c>
      <c r="D663" t="str">
        <f t="shared" si="10"/>
        <v>1315721.927</v>
      </c>
      <c r="E663" t="s">
        <v>3340</v>
      </c>
      <c r="F663" s="242"/>
      <c r="G663"/>
      <c r="H663" s="242">
        <v>-82000</v>
      </c>
      <c r="I663" s="242">
        <v>-68357</v>
      </c>
      <c r="J663"/>
    </row>
    <row r="664" spans="1:10" ht="15.75" customHeight="1">
      <c r="A664" t="s">
        <v>3082</v>
      </c>
      <c r="B664">
        <v>315722</v>
      </c>
      <c r="C664">
        <v>1</v>
      </c>
      <c r="D664" t="str">
        <f t="shared" si="10"/>
        <v>1315722.921</v>
      </c>
      <c r="E664" t="s">
        <v>3341</v>
      </c>
      <c r="F664" s="242"/>
      <c r="G664"/>
      <c r="H664" s="242">
        <v>-33716</v>
      </c>
      <c r="I664" s="242">
        <v>-39096</v>
      </c>
      <c r="J664"/>
    </row>
    <row r="665" spans="1:10" ht="15.75" customHeight="1">
      <c r="A665" t="s">
        <v>3014</v>
      </c>
      <c r="B665">
        <v>315722</v>
      </c>
      <c r="C665">
        <v>1</v>
      </c>
      <c r="D665" t="str">
        <f t="shared" si="10"/>
        <v>1315722.924</v>
      </c>
      <c r="E665" t="s">
        <v>3342</v>
      </c>
      <c r="F665" s="242"/>
      <c r="G665"/>
      <c r="H665" s="242">
        <v>0</v>
      </c>
      <c r="I665" s="242">
        <v>0</v>
      </c>
      <c r="J665"/>
    </row>
    <row r="666" spans="1:10" ht="15.75" customHeight="1">
      <c r="A666" t="s">
        <v>3021</v>
      </c>
      <c r="B666">
        <v>315722</v>
      </c>
      <c r="C666">
        <v>1</v>
      </c>
      <c r="D666" t="str">
        <f t="shared" si="10"/>
        <v>1315722.925</v>
      </c>
      <c r="E666" t="s">
        <v>3343</v>
      </c>
      <c r="F666" s="242"/>
      <c r="G666"/>
      <c r="H666" s="242">
        <v>-41338</v>
      </c>
      <c r="I666" s="242">
        <v>-60137</v>
      </c>
      <c r="J666"/>
    </row>
    <row r="667" spans="1:10" ht="15.75" customHeight="1">
      <c r="A667" t="s">
        <v>3022</v>
      </c>
      <c r="B667">
        <v>315722</v>
      </c>
      <c r="C667">
        <v>1</v>
      </c>
      <c r="D667" t="str">
        <f t="shared" si="10"/>
        <v>1315722.927</v>
      </c>
      <c r="E667" t="s">
        <v>3162</v>
      </c>
      <c r="F667" s="242"/>
      <c r="G667"/>
      <c r="H667" s="242">
        <v>-1000</v>
      </c>
      <c r="I667" s="242">
        <v>0</v>
      </c>
      <c r="J667"/>
    </row>
    <row r="668" spans="1:10" ht="15.75" customHeight="1">
      <c r="A668" t="s">
        <v>3016</v>
      </c>
      <c r="B668">
        <v>315723</v>
      </c>
      <c r="C668">
        <v>1</v>
      </c>
      <c r="D668" t="str">
        <f t="shared" si="10"/>
        <v>1315723.926</v>
      </c>
      <c r="E668" t="s">
        <v>3344</v>
      </c>
      <c r="F668" s="242"/>
      <c r="G668"/>
      <c r="H668" s="242">
        <v>-5250</v>
      </c>
      <c r="I668" s="242">
        <v>-5250</v>
      </c>
      <c r="J668"/>
    </row>
    <row r="669" spans="1:10" ht="15.75" customHeight="1">
      <c r="A669" t="s">
        <v>3082</v>
      </c>
      <c r="B669">
        <v>315724</v>
      </c>
      <c r="C669">
        <v>1</v>
      </c>
      <c r="D669" t="str">
        <f t="shared" si="10"/>
        <v>1315724.921</v>
      </c>
      <c r="E669" t="s">
        <v>3448</v>
      </c>
      <c r="F669" s="242"/>
      <c r="G669"/>
      <c r="H669" s="242">
        <v>-23780</v>
      </c>
      <c r="I669" s="242">
        <v>-37446</v>
      </c>
      <c r="J669"/>
    </row>
    <row r="670" spans="1:10" ht="15.75" customHeight="1">
      <c r="A670" t="s">
        <v>3016</v>
      </c>
      <c r="B670">
        <v>315724</v>
      </c>
      <c r="C670">
        <v>1</v>
      </c>
      <c r="D670" t="str">
        <f t="shared" si="10"/>
        <v>1315724.926</v>
      </c>
      <c r="E670" t="s">
        <v>3330</v>
      </c>
      <c r="F670" s="242"/>
      <c r="G670"/>
      <c r="H670" s="242">
        <v>-16674</v>
      </c>
      <c r="I670" s="242">
        <v>-22737</v>
      </c>
      <c r="J670"/>
    </row>
    <row r="671" spans="1:10" ht="15.75" customHeight="1">
      <c r="A671" t="s">
        <v>3022</v>
      </c>
      <c r="B671">
        <v>315724</v>
      </c>
      <c r="C671">
        <v>1</v>
      </c>
      <c r="D671" t="str">
        <f t="shared" si="10"/>
        <v>1315724.927</v>
      </c>
      <c r="E671" t="s">
        <v>3334</v>
      </c>
      <c r="F671" s="242"/>
      <c r="G671"/>
      <c r="H671" s="242">
        <v>-2192</v>
      </c>
      <c r="I671" s="242">
        <v>-2226</v>
      </c>
      <c r="J671"/>
    </row>
    <row r="672" spans="1:10" ht="15.75" customHeight="1">
      <c r="A672" t="s">
        <v>3112</v>
      </c>
      <c r="B672">
        <v>315724</v>
      </c>
      <c r="C672">
        <v>1</v>
      </c>
      <c r="D672" t="str">
        <f t="shared" si="10"/>
        <v>1315724.928</v>
      </c>
      <c r="E672" t="s">
        <v>3344</v>
      </c>
      <c r="F672" s="242"/>
      <c r="G672"/>
      <c r="H672" s="242">
        <v>-100</v>
      </c>
      <c r="I672" s="242">
        <v>0</v>
      </c>
      <c r="J672"/>
    </row>
    <row r="673" spans="1:10" ht="15.75" customHeight="1">
      <c r="A673" t="s">
        <v>3088</v>
      </c>
      <c r="B673">
        <v>315724</v>
      </c>
      <c r="C673">
        <v>1</v>
      </c>
      <c r="D673" t="str">
        <f t="shared" si="10"/>
        <v>1315724.929</v>
      </c>
      <c r="E673" t="s">
        <v>3325</v>
      </c>
      <c r="F673" s="242"/>
      <c r="G673"/>
      <c r="H673" s="242">
        <v>-100</v>
      </c>
      <c r="I673" s="242">
        <v>0</v>
      </c>
      <c r="J673"/>
    </row>
    <row r="674" spans="1:10" ht="15.75" customHeight="1">
      <c r="A674" t="s">
        <v>3082</v>
      </c>
      <c r="B674">
        <v>315725</v>
      </c>
      <c r="C674">
        <v>1</v>
      </c>
      <c r="D674" t="str">
        <f t="shared" si="10"/>
        <v>1315725.921</v>
      </c>
      <c r="E674" t="s">
        <v>3315</v>
      </c>
      <c r="F674" s="242"/>
      <c r="G674"/>
      <c r="H674" s="242">
        <v>-100</v>
      </c>
      <c r="I674" s="242">
        <v>-192334</v>
      </c>
      <c r="J674"/>
    </row>
    <row r="675" spans="1:10" ht="15" customHeight="1">
      <c r="A675" t="s">
        <v>1653</v>
      </c>
      <c r="B675">
        <v>315725</v>
      </c>
      <c r="C675">
        <v>1</v>
      </c>
      <c r="D675" t="str">
        <f t="shared" si="10"/>
        <v>1315725.923</v>
      </c>
      <c r="E675" t="s">
        <v>3326</v>
      </c>
      <c r="F675" s="242"/>
      <c r="G675"/>
      <c r="H675" s="242">
        <v>-28802</v>
      </c>
      <c r="I675" s="242">
        <v>-38679</v>
      </c>
      <c r="J675"/>
    </row>
    <row r="676" spans="1:10" ht="15.75" customHeight="1">
      <c r="A676" t="s">
        <v>3021</v>
      </c>
      <c r="B676">
        <v>315725</v>
      </c>
      <c r="C676">
        <v>1</v>
      </c>
      <c r="D676" t="str">
        <f t="shared" si="10"/>
        <v>1315725.925</v>
      </c>
      <c r="E676" t="s">
        <v>3321</v>
      </c>
      <c r="F676" s="242"/>
      <c r="G676"/>
      <c r="H676" s="242">
        <v>-52864</v>
      </c>
      <c r="I676" s="242">
        <v>-56150</v>
      </c>
      <c r="J676"/>
    </row>
    <row r="677" spans="1:10" ht="15.75" customHeight="1">
      <c r="A677" t="s">
        <v>3016</v>
      </c>
      <c r="B677">
        <v>315725</v>
      </c>
      <c r="C677">
        <v>1</v>
      </c>
      <c r="D677" t="str">
        <f t="shared" si="10"/>
        <v>1315725.926</v>
      </c>
      <c r="E677" t="s">
        <v>3328</v>
      </c>
      <c r="F677" s="242"/>
      <c r="G677"/>
      <c r="H677" s="242">
        <v>0</v>
      </c>
      <c r="I677" s="242">
        <v>-11057</v>
      </c>
      <c r="J677"/>
    </row>
    <row r="678" spans="1:10" ht="15.75" customHeight="1">
      <c r="A678" t="s">
        <v>3022</v>
      </c>
      <c r="B678">
        <v>315725</v>
      </c>
      <c r="C678">
        <v>1</v>
      </c>
      <c r="D678" t="str">
        <f t="shared" si="10"/>
        <v>1315725.927</v>
      </c>
      <c r="E678" t="s">
        <v>3320</v>
      </c>
      <c r="F678" s="242"/>
      <c r="G678"/>
      <c r="H678" s="242">
        <v>-34313</v>
      </c>
      <c r="I678" s="242">
        <v>-42527</v>
      </c>
      <c r="J678"/>
    </row>
    <row r="679" spans="1:10" ht="15.75" customHeight="1">
      <c r="A679" t="s">
        <v>3088</v>
      </c>
      <c r="B679">
        <v>315725</v>
      </c>
      <c r="C679">
        <v>1</v>
      </c>
      <c r="D679" t="str">
        <f t="shared" si="10"/>
        <v>1315725.929</v>
      </c>
      <c r="E679" t="s">
        <v>3423</v>
      </c>
      <c r="F679" s="242"/>
      <c r="G679"/>
      <c r="H679" s="242">
        <v>-10416</v>
      </c>
      <c r="I679" s="242">
        <v>-17575</v>
      </c>
      <c r="J679"/>
    </row>
    <row r="680" spans="1:10" ht="15.75" customHeight="1">
      <c r="A680" t="s">
        <v>3014</v>
      </c>
      <c r="B680">
        <v>315726</v>
      </c>
      <c r="C680">
        <v>1</v>
      </c>
      <c r="D680" t="str">
        <f t="shared" si="10"/>
        <v>1315726.924</v>
      </c>
      <c r="E680" t="s">
        <v>3171</v>
      </c>
      <c r="F680" s="242"/>
      <c r="G680"/>
      <c r="H680" s="242">
        <v>0</v>
      </c>
      <c r="I680" s="242">
        <v>-16950</v>
      </c>
      <c r="J680"/>
    </row>
    <row r="681" spans="1:10" ht="15.75" customHeight="1">
      <c r="A681" t="s">
        <v>3021</v>
      </c>
      <c r="B681">
        <v>315726</v>
      </c>
      <c r="C681">
        <v>1</v>
      </c>
      <c r="D681" t="str">
        <f t="shared" si="10"/>
        <v>1315726.925</v>
      </c>
      <c r="E681" t="s">
        <v>3317</v>
      </c>
      <c r="F681" s="242"/>
      <c r="G681"/>
      <c r="H681" s="242">
        <v>-131134</v>
      </c>
      <c r="I681" s="242">
        <v>-155995</v>
      </c>
      <c r="J681"/>
    </row>
    <row r="682" spans="1:10" ht="15.75" customHeight="1">
      <c r="A682" t="s">
        <v>3016</v>
      </c>
      <c r="B682">
        <v>315726</v>
      </c>
      <c r="C682">
        <v>1</v>
      </c>
      <c r="D682" t="str">
        <f t="shared" si="10"/>
        <v>1315726.926</v>
      </c>
      <c r="E682" t="s">
        <v>3319</v>
      </c>
      <c r="F682" s="242"/>
      <c r="G682"/>
      <c r="H682" s="242">
        <v>-243493</v>
      </c>
      <c r="I682" s="242">
        <v>-322183</v>
      </c>
      <c r="J682"/>
    </row>
    <row r="683" spans="1:10" ht="15.75" customHeight="1">
      <c r="A683" t="s">
        <v>3022</v>
      </c>
      <c r="B683">
        <v>315726</v>
      </c>
      <c r="C683">
        <v>1</v>
      </c>
      <c r="D683" t="str">
        <f t="shared" si="10"/>
        <v>1315726.927</v>
      </c>
      <c r="E683" t="s">
        <v>3162</v>
      </c>
      <c r="F683" s="242"/>
      <c r="G683"/>
      <c r="H683" s="242">
        <v>-800</v>
      </c>
      <c r="I683" s="242">
        <v>-800</v>
      </c>
      <c r="J683"/>
    </row>
    <row r="684" spans="1:10" ht="15.75" customHeight="1">
      <c r="A684" t="s">
        <v>1653</v>
      </c>
      <c r="B684">
        <v>315730</v>
      </c>
      <c r="C684">
        <v>1</v>
      </c>
      <c r="D684" t="str">
        <f t="shared" si="10"/>
        <v>1315730.923</v>
      </c>
      <c r="E684" t="s">
        <v>3316</v>
      </c>
      <c r="F684" s="242"/>
      <c r="G684"/>
      <c r="H684" s="242">
        <v>-34950</v>
      </c>
      <c r="I684" s="242">
        <v>-25538</v>
      </c>
      <c r="J684"/>
    </row>
    <row r="685" spans="1:10" ht="15.75" customHeight="1">
      <c r="A685" t="s">
        <v>3014</v>
      </c>
      <c r="B685">
        <v>315730</v>
      </c>
      <c r="C685">
        <v>1</v>
      </c>
      <c r="D685" t="str">
        <f t="shared" si="10"/>
        <v>1315730.924</v>
      </c>
      <c r="E685" t="s">
        <v>3369</v>
      </c>
      <c r="F685" s="242"/>
      <c r="G685"/>
      <c r="H685" s="242">
        <v>-151753</v>
      </c>
      <c r="I685" s="242">
        <v>-184265</v>
      </c>
      <c r="J685"/>
    </row>
    <row r="686" spans="1:10" ht="15.75" customHeight="1">
      <c r="A686" t="s">
        <v>3021</v>
      </c>
      <c r="B686">
        <v>315730</v>
      </c>
      <c r="C686">
        <v>1</v>
      </c>
      <c r="D686" t="str">
        <f t="shared" si="10"/>
        <v>1315730.925</v>
      </c>
      <c r="E686" t="s">
        <v>3370</v>
      </c>
      <c r="F686" s="242"/>
      <c r="G686"/>
      <c r="H686" s="242">
        <v>-72438</v>
      </c>
      <c r="I686" s="242">
        <v>-85669</v>
      </c>
      <c r="J686"/>
    </row>
    <row r="687" spans="1:10" ht="15.75" customHeight="1">
      <c r="A687" t="s">
        <v>3016</v>
      </c>
      <c r="B687">
        <v>315730</v>
      </c>
      <c r="C687">
        <v>1</v>
      </c>
      <c r="D687" t="str">
        <f t="shared" si="10"/>
        <v>1315730.926</v>
      </c>
      <c r="E687" t="s">
        <v>3371</v>
      </c>
      <c r="F687" s="242"/>
      <c r="G687"/>
      <c r="H687" s="242">
        <v>-345624</v>
      </c>
      <c r="I687" s="242">
        <v>-401009</v>
      </c>
      <c r="J687"/>
    </row>
    <row r="688" spans="1:10" ht="15.75" customHeight="1">
      <c r="A688" t="s">
        <v>3022</v>
      </c>
      <c r="B688">
        <v>315730</v>
      </c>
      <c r="C688">
        <v>1</v>
      </c>
      <c r="D688" t="str">
        <f t="shared" si="10"/>
        <v>1315730.927</v>
      </c>
      <c r="E688" t="s">
        <v>3320</v>
      </c>
      <c r="F688" s="242"/>
      <c r="G688"/>
      <c r="H688" s="242">
        <v>0</v>
      </c>
      <c r="I688" s="242">
        <v>-165746</v>
      </c>
      <c r="J688"/>
    </row>
    <row r="689" spans="1:10" ht="15.75" customHeight="1">
      <c r="A689" t="s">
        <v>3112</v>
      </c>
      <c r="B689">
        <v>315730</v>
      </c>
      <c r="C689">
        <v>1</v>
      </c>
      <c r="D689" t="str">
        <f t="shared" si="10"/>
        <v>1315730.928</v>
      </c>
      <c r="E689" t="s">
        <v>3372</v>
      </c>
      <c r="F689" s="242"/>
      <c r="G689"/>
      <c r="H689" s="242">
        <v>-61270</v>
      </c>
      <c r="I689" s="242">
        <v>-108299</v>
      </c>
      <c r="J689"/>
    </row>
    <row r="690" spans="1:10" ht="15.75" customHeight="1">
      <c r="A690" t="s">
        <v>3088</v>
      </c>
      <c r="B690">
        <v>315730</v>
      </c>
      <c r="C690">
        <v>1</v>
      </c>
      <c r="D690" t="str">
        <f t="shared" si="10"/>
        <v>1315730.929</v>
      </c>
      <c r="E690" t="s">
        <v>3373</v>
      </c>
      <c r="F690" s="242"/>
      <c r="G690"/>
      <c r="H690" s="242">
        <v>-19012</v>
      </c>
      <c r="I690" s="242">
        <v>-22133</v>
      </c>
      <c r="J690"/>
    </row>
    <row r="691" spans="1:10" ht="15.75" customHeight="1">
      <c r="A691" t="s">
        <v>3082</v>
      </c>
      <c r="B691">
        <v>315731</v>
      </c>
      <c r="C691">
        <v>1</v>
      </c>
      <c r="D691" t="str">
        <f t="shared" si="10"/>
        <v>1315731.921</v>
      </c>
      <c r="E691" t="s">
        <v>3374</v>
      </c>
      <c r="F691" s="242"/>
      <c r="G691"/>
      <c r="H691" s="242">
        <v>-9100000</v>
      </c>
      <c r="I691" s="242">
        <v>-9054400</v>
      </c>
      <c r="J691"/>
    </row>
    <row r="692" spans="1:10" ht="15.75" customHeight="1">
      <c r="A692" t="s">
        <v>1648</v>
      </c>
      <c r="B692">
        <v>315731</v>
      </c>
      <c r="C692">
        <v>1</v>
      </c>
      <c r="D692" t="str">
        <f t="shared" si="10"/>
        <v>1315731.922</v>
      </c>
      <c r="E692" t="s">
        <v>3020</v>
      </c>
      <c r="F692" s="242"/>
      <c r="G692"/>
      <c r="H692" s="242">
        <v>-100</v>
      </c>
      <c r="I692" s="242">
        <v>-10000</v>
      </c>
      <c r="J692"/>
    </row>
    <row r="693" spans="1:10" ht="15.75" customHeight="1">
      <c r="A693" t="s">
        <v>1653</v>
      </c>
      <c r="B693">
        <v>315731</v>
      </c>
      <c r="C693">
        <v>1</v>
      </c>
      <c r="D693" t="str">
        <f t="shared" si="10"/>
        <v>1315731.923</v>
      </c>
      <c r="E693" t="s">
        <v>3375</v>
      </c>
      <c r="F693" s="242"/>
      <c r="G693"/>
      <c r="H693" s="242">
        <v>-30182</v>
      </c>
      <c r="I693" s="242">
        <v>-47060</v>
      </c>
      <c r="J693"/>
    </row>
    <row r="694" spans="1:10" ht="15.75" customHeight="1">
      <c r="A694" t="s">
        <v>3016</v>
      </c>
      <c r="B694">
        <v>315731</v>
      </c>
      <c r="C694">
        <v>1</v>
      </c>
      <c r="D694" t="str">
        <f t="shared" si="10"/>
        <v>1315731.926</v>
      </c>
      <c r="E694" t="s">
        <v>3330</v>
      </c>
      <c r="F694" s="242"/>
      <c r="G694"/>
      <c r="H694" s="242">
        <v>-156410</v>
      </c>
      <c r="I694" s="242">
        <v>-126814</v>
      </c>
      <c r="J694"/>
    </row>
    <row r="695" spans="1:10" ht="15.75" customHeight="1">
      <c r="A695" t="s">
        <v>3022</v>
      </c>
      <c r="B695">
        <v>315731</v>
      </c>
      <c r="C695">
        <v>1</v>
      </c>
      <c r="D695" t="str">
        <f t="shared" si="10"/>
        <v>1315731.927</v>
      </c>
      <c r="E695" t="s">
        <v>3376</v>
      </c>
      <c r="F695" s="242"/>
      <c r="G695"/>
      <c r="H695" s="242">
        <v>0</v>
      </c>
      <c r="I695" s="242">
        <v>-83048</v>
      </c>
      <c r="J695"/>
    </row>
    <row r="696" spans="1:10" ht="15.75" customHeight="1">
      <c r="A696" t="s">
        <v>3112</v>
      </c>
      <c r="B696">
        <v>315731</v>
      </c>
      <c r="C696">
        <v>1</v>
      </c>
      <c r="D696" t="str">
        <f t="shared" si="10"/>
        <v>1315731.928</v>
      </c>
      <c r="E696" t="s">
        <v>3377</v>
      </c>
      <c r="F696" s="242"/>
      <c r="G696"/>
      <c r="H696" s="242">
        <v>0</v>
      </c>
      <c r="I696" s="242">
        <v>-6883</v>
      </c>
      <c r="J696"/>
    </row>
    <row r="697" spans="1:10" ht="15.75" customHeight="1">
      <c r="A697" t="s">
        <v>3088</v>
      </c>
      <c r="B697">
        <v>315731</v>
      </c>
      <c r="C697">
        <v>1</v>
      </c>
      <c r="D697" t="str">
        <f t="shared" si="10"/>
        <v>1315731.929</v>
      </c>
      <c r="E697" t="s">
        <v>3333</v>
      </c>
      <c r="F697" s="242"/>
      <c r="G697"/>
      <c r="H697" s="242">
        <v>-18157</v>
      </c>
      <c r="I697" s="242">
        <v>-17394</v>
      </c>
      <c r="J697"/>
    </row>
    <row r="698" spans="1:10" ht="15.75" customHeight="1">
      <c r="A698" t="s">
        <v>3082</v>
      </c>
      <c r="B698">
        <v>315732</v>
      </c>
      <c r="C698">
        <v>1</v>
      </c>
      <c r="D698" t="str">
        <f t="shared" si="10"/>
        <v>1315732.921</v>
      </c>
      <c r="E698" t="s">
        <v>3334</v>
      </c>
      <c r="F698" s="242"/>
      <c r="G698"/>
      <c r="H698" s="242">
        <v>-1478</v>
      </c>
      <c r="I698" s="242">
        <v>-1748</v>
      </c>
      <c r="J698"/>
    </row>
    <row r="699" spans="1:10" ht="15.75" customHeight="1">
      <c r="A699" t="s">
        <v>1653</v>
      </c>
      <c r="B699">
        <v>315732</v>
      </c>
      <c r="C699">
        <v>1</v>
      </c>
      <c r="D699" t="str">
        <f t="shared" si="10"/>
        <v>1315732.923</v>
      </c>
      <c r="E699" t="s">
        <v>3378</v>
      </c>
      <c r="F699" s="242"/>
      <c r="G699"/>
      <c r="H699" s="242">
        <v>-100</v>
      </c>
      <c r="I699" s="242">
        <v>0</v>
      </c>
      <c r="J699"/>
    </row>
    <row r="700" spans="1:10" ht="15.75" customHeight="1">
      <c r="A700" t="s">
        <v>3021</v>
      </c>
      <c r="B700">
        <v>315732</v>
      </c>
      <c r="C700">
        <v>1</v>
      </c>
      <c r="D700" t="str">
        <f t="shared" si="10"/>
        <v>1315732.925</v>
      </c>
      <c r="E700" t="s">
        <v>3315</v>
      </c>
      <c r="F700" s="242"/>
      <c r="G700"/>
      <c r="H700" s="242">
        <v>0</v>
      </c>
      <c r="I700" s="242">
        <v>0</v>
      </c>
      <c r="J700"/>
    </row>
    <row r="701" spans="1:10" ht="15.75" customHeight="1">
      <c r="A701" t="s">
        <v>3016</v>
      </c>
      <c r="B701">
        <v>315732</v>
      </c>
      <c r="C701">
        <v>1</v>
      </c>
      <c r="D701" t="str">
        <f t="shared" si="10"/>
        <v>1315732.926</v>
      </c>
      <c r="E701" t="s">
        <v>3336</v>
      </c>
      <c r="F701" s="242"/>
      <c r="G701"/>
      <c r="H701" s="242">
        <v>-49267</v>
      </c>
      <c r="I701" s="242">
        <v>-49033</v>
      </c>
      <c r="J701"/>
    </row>
    <row r="702" spans="1:10" ht="15.75" customHeight="1">
      <c r="A702" t="s">
        <v>3022</v>
      </c>
      <c r="B702">
        <v>315732</v>
      </c>
      <c r="C702">
        <v>1</v>
      </c>
      <c r="D702" t="str">
        <f t="shared" si="10"/>
        <v>1315732.927</v>
      </c>
      <c r="E702" t="s">
        <v>3155</v>
      </c>
      <c r="F702" s="242"/>
      <c r="G702"/>
      <c r="H702" s="242">
        <v>-13299</v>
      </c>
      <c r="I702" s="242">
        <v>-12870</v>
      </c>
      <c r="J702"/>
    </row>
    <row r="703" spans="1:10" ht="15.75" customHeight="1">
      <c r="A703" t="s">
        <v>3112</v>
      </c>
      <c r="B703">
        <v>315732</v>
      </c>
      <c r="C703">
        <v>1</v>
      </c>
      <c r="D703" t="str">
        <f t="shared" si="10"/>
        <v>1315732.928</v>
      </c>
      <c r="E703" t="s">
        <v>3337</v>
      </c>
      <c r="F703" s="242"/>
      <c r="G703"/>
      <c r="H703" s="242">
        <v>-10296</v>
      </c>
      <c r="I703" s="242">
        <v>-11604</v>
      </c>
      <c r="J703"/>
    </row>
    <row r="704" spans="1:10" ht="15.75" customHeight="1">
      <c r="A704" t="s">
        <v>3088</v>
      </c>
      <c r="B704">
        <v>315732</v>
      </c>
      <c r="C704">
        <v>1</v>
      </c>
      <c r="D704" t="str">
        <f t="shared" si="10"/>
        <v>1315732.929</v>
      </c>
      <c r="E704" t="s">
        <v>3379</v>
      </c>
      <c r="F704" s="242"/>
      <c r="G704"/>
      <c r="H704" s="242">
        <v>-117399</v>
      </c>
      <c r="I704" s="242">
        <v>-118108</v>
      </c>
      <c r="J704"/>
    </row>
    <row r="705" spans="1:10" ht="15.75" customHeight="1">
      <c r="A705" t="s">
        <v>3082</v>
      </c>
      <c r="B705">
        <v>315733</v>
      </c>
      <c r="C705">
        <v>1</v>
      </c>
      <c r="D705" t="str">
        <f t="shared" si="10"/>
        <v>1315733.921</v>
      </c>
      <c r="E705" t="s">
        <v>3325</v>
      </c>
      <c r="F705" s="242"/>
      <c r="G705"/>
      <c r="H705" s="242">
        <v>0</v>
      </c>
      <c r="I705" s="242">
        <v>0</v>
      </c>
      <c r="J705"/>
    </row>
    <row r="706" spans="1:10" ht="15.75" customHeight="1">
      <c r="A706" t="s">
        <v>1653</v>
      </c>
      <c r="B706">
        <v>315733</v>
      </c>
      <c r="C706">
        <v>1</v>
      </c>
      <c r="D706" t="str">
        <f t="shared" si="10"/>
        <v>1315733.923</v>
      </c>
      <c r="E706" t="s">
        <v>3323</v>
      </c>
      <c r="F706" s="242"/>
      <c r="G706"/>
      <c r="H706" s="242">
        <v>-5707</v>
      </c>
      <c r="I706" s="242">
        <v>-5592</v>
      </c>
      <c r="J706"/>
    </row>
    <row r="707" spans="1:10" ht="15.75" customHeight="1">
      <c r="A707" t="s">
        <v>3014</v>
      </c>
      <c r="B707">
        <v>315733</v>
      </c>
      <c r="C707">
        <v>1</v>
      </c>
      <c r="D707" t="str">
        <f t="shared" ref="D707:D770" si="11">C707&amp;B707&amp;"."&amp;A707</f>
        <v>1315733.924</v>
      </c>
      <c r="E707" t="s">
        <v>3318</v>
      </c>
      <c r="F707" s="242"/>
      <c r="G707"/>
      <c r="H707" s="242">
        <v>0</v>
      </c>
      <c r="I707" s="242">
        <v>0</v>
      </c>
      <c r="J707"/>
    </row>
    <row r="708" spans="1:10" ht="15.75" customHeight="1">
      <c r="A708" t="s">
        <v>3021</v>
      </c>
      <c r="B708">
        <v>315733</v>
      </c>
      <c r="C708">
        <v>1</v>
      </c>
      <c r="D708" t="str">
        <f t="shared" si="11"/>
        <v>1315733.925</v>
      </c>
      <c r="E708" t="s">
        <v>7</v>
      </c>
      <c r="F708" s="242"/>
      <c r="G708"/>
      <c r="H708" s="242">
        <v>-479000</v>
      </c>
      <c r="I708" s="242">
        <v>-474289</v>
      </c>
      <c r="J708"/>
    </row>
    <row r="709" spans="1:10" ht="15.75" customHeight="1">
      <c r="A709" t="s">
        <v>3022</v>
      </c>
      <c r="B709">
        <v>315733</v>
      </c>
      <c r="C709">
        <v>1</v>
      </c>
      <c r="D709" t="str">
        <f t="shared" si="11"/>
        <v>1315733.927</v>
      </c>
      <c r="E709" t="s">
        <v>3380</v>
      </c>
      <c r="F709" s="242"/>
      <c r="G709"/>
      <c r="H709" s="242">
        <v>-48150</v>
      </c>
      <c r="I709" s="242">
        <v>-33914</v>
      </c>
      <c r="J709"/>
    </row>
    <row r="710" spans="1:10" ht="15.75" customHeight="1">
      <c r="A710" t="s">
        <v>3088</v>
      </c>
      <c r="B710">
        <v>315733</v>
      </c>
      <c r="C710">
        <v>1</v>
      </c>
      <c r="D710" t="str">
        <f t="shared" si="11"/>
        <v>1315733.929</v>
      </c>
      <c r="E710" t="s">
        <v>3381</v>
      </c>
      <c r="F710" s="242"/>
      <c r="G710"/>
      <c r="H710" s="242">
        <v>-100</v>
      </c>
      <c r="I710" s="242">
        <v>0</v>
      </c>
      <c r="J710"/>
    </row>
    <row r="711" spans="1:10" ht="15.75" customHeight="1">
      <c r="A711" t="s">
        <v>3082</v>
      </c>
      <c r="B711">
        <v>315734</v>
      </c>
      <c r="C711">
        <v>1</v>
      </c>
      <c r="D711" t="str">
        <f t="shared" si="11"/>
        <v>1315734.921</v>
      </c>
      <c r="E711" t="s">
        <v>3149</v>
      </c>
      <c r="F711" s="242"/>
      <c r="G711"/>
      <c r="H711" s="242">
        <v>-13542</v>
      </c>
      <c r="I711" s="242">
        <v>-15808</v>
      </c>
      <c r="J711"/>
    </row>
    <row r="712" spans="1:10" ht="15.75" customHeight="1">
      <c r="A712" t="s">
        <v>3014</v>
      </c>
      <c r="B712">
        <v>315734</v>
      </c>
      <c r="C712">
        <v>1</v>
      </c>
      <c r="D712" t="str">
        <f t="shared" si="11"/>
        <v>1315734.924</v>
      </c>
      <c r="E712" t="s">
        <v>3342</v>
      </c>
      <c r="F712" s="242"/>
      <c r="G712"/>
      <c r="H712" s="242">
        <v>0</v>
      </c>
      <c r="I712" s="242">
        <v>0</v>
      </c>
      <c r="J712"/>
    </row>
    <row r="713" spans="1:10" ht="15.75" customHeight="1">
      <c r="A713" t="s">
        <v>3022</v>
      </c>
      <c r="B713">
        <v>315734</v>
      </c>
      <c r="C713">
        <v>1</v>
      </c>
      <c r="D713" t="str">
        <f t="shared" si="11"/>
        <v>1315734.927</v>
      </c>
      <c r="E713" t="s">
        <v>3162</v>
      </c>
      <c r="F713" s="242"/>
      <c r="G713"/>
      <c r="H713" s="242">
        <v>-2000</v>
      </c>
      <c r="I713" s="242">
        <v>-400</v>
      </c>
      <c r="J713"/>
    </row>
    <row r="714" spans="1:10" ht="15.75" customHeight="1">
      <c r="A714" t="s">
        <v>3014</v>
      </c>
      <c r="B714">
        <v>315735</v>
      </c>
      <c r="C714">
        <v>1</v>
      </c>
      <c r="D714" t="str">
        <f t="shared" si="11"/>
        <v>1315735.924</v>
      </c>
      <c r="E714" t="s">
        <v>3344</v>
      </c>
      <c r="F714" s="242"/>
      <c r="G714"/>
      <c r="H714" s="242">
        <v>-18017</v>
      </c>
      <c r="I714" s="242">
        <v>-2361</v>
      </c>
      <c r="J714"/>
    </row>
    <row r="715" spans="1:10" ht="15.75" customHeight="1">
      <c r="A715" t="s">
        <v>3022</v>
      </c>
      <c r="B715">
        <v>315735</v>
      </c>
      <c r="C715">
        <v>1</v>
      </c>
      <c r="D715" t="str">
        <f t="shared" si="11"/>
        <v>1315735.927</v>
      </c>
      <c r="E715" t="s">
        <v>3383</v>
      </c>
      <c r="F715" s="242"/>
      <c r="G715"/>
      <c r="H715" s="242">
        <v>0</v>
      </c>
      <c r="I715" s="242">
        <v>0</v>
      </c>
      <c r="J715"/>
    </row>
    <row r="716" spans="1:10" ht="15.75" customHeight="1">
      <c r="A716" t="s">
        <v>2410</v>
      </c>
      <c r="B716">
        <v>315751</v>
      </c>
      <c r="C716">
        <v>1</v>
      </c>
      <c r="D716" t="str">
        <f t="shared" si="11"/>
        <v>1315751.430</v>
      </c>
      <c r="E716" t="s">
        <v>3358</v>
      </c>
      <c r="F716" s="242"/>
      <c r="G716"/>
      <c r="H716" s="242">
        <v>-1638000</v>
      </c>
      <c r="I716" s="242">
        <v>-1633654</v>
      </c>
      <c r="J716"/>
    </row>
    <row r="717" spans="1:10" ht="15.75" customHeight="1">
      <c r="A717" t="s">
        <v>1648</v>
      </c>
      <c r="B717">
        <v>315751</v>
      </c>
      <c r="C717">
        <v>1</v>
      </c>
      <c r="D717" t="str">
        <f t="shared" si="11"/>
        <v>1315751.922</v>
      </c>
      <c r="E717" t="s">
        <v>3020</v>
      </c>
      <c r="F717" s="242"/>
      <c r="G717"/>
      <c r="H717" s="242">
        <v>-100</v>
      </c>
      <c r="I717" s="242">
        <v>0</v>
      </c>
      <c r="J717"/>
    </row>
    <row r="718" spans="1:10" ht="15.75" customHeight="1">
      <c r="A718" t="s">
        <v>3082</v>
      </c>
      <c r="B718">
        <v>315760</v>
      </c>
      <c r="C718">
        <v>1</v>
      </c>
      <c r="D718" t="str">
        <f t="shared" si="11"/>
        <v>1315760.921</v>
      </c>
      <c r="E718" t="s">
        <v>3315</v>
      </c>
      <c r="F718" s="242"/>
      <c r="G718"/>
      <c r="H718" s="242">
        <v>-84000</v>
      </c>
      <c r="I718" s="242">
        <v>-55689</v>
      </c>
      <c r="J718"/>
    </row>
    <row r="719" spans="1:10" ht="15.75" customHeight="1">
      <c r="A719" t="s">
        <v>1653</v>
      </c>
      <c r="B719">
        <v>315760</v>
      </c>
      <c r="C719">
        <v>1</v>
      </c>
      <c r="D719" t="str">
        <f t="shared" si="11"/>
        <v>1315760.923</v>
      </c>
      <c r="E719" t="s">
        <v>3316</v>
      </c>
      <c r="F719" s="242"/>
      <c r="G719"/>
      <c r="H719" s="242">
        <v>-34814</v>
      </c>
      <c r="I719" s="242">
        <v>-31808</v>
      </c>
      <c r="J719"/>
    </row>
    <row r="720" spans="1:10" ht="15.75" customHeight="1">
      <c r="A720" t="s">
        <v>3014</v>
      </c>
      <c r="B720">
        <v>315760</v>
      </c>
      <c r="C720">
        <v>1</v>
      </c>
      <c r="D720" t="str">
        <f t="shared" si="11"/>
        <v>1315760.924</v>
      </c>
      <c r="E720" t="s">
        <v>3317</v>
      </c>
      <c r="F720" s="242"/>
      <c r="G720"/>
      <c r="H720" s="242">
        <v>-257772</v>
      </c>
      <c r="I720" s="242">
        <v>-269979</v>
      </c>
      <c r="J720"/>
    </row>
    <row r="721" spans="1:10" ht="15.75" customHeight="1">
      <c r="A721" t="s">
        <v>3021</v>
      </c>
      <c r="B721">
        <v>315760</v>
      </c>
      <c r="C721">
        <v>1</v>
      </c>
      <c r="D721" t="str">
        <f t="shared" si="11"/>
        <v>1315760.925</v>
      </c>
      <c r="E721" t="s">
        <v>3318</v>
      </c>
      <c r="F721" s="242"/>
      <c r="G721"/>
      <c r="H721" s="242">
        <v>-100</v>
      </c>
      <c r="I721" s="242">
        <v>-92810</v>
      </c>
      <c r="J721"/>
    </row>
    <row r="722" spans="1:10" ht="15.75" customHeight="1">
      <c r="A722" t="s">
        <v>3016</v>
      </c>
      <c r="B722">
        <v>315760</v>
      </c>
      <c r="C722">
        <v>1</v>
      </c>
      <c r="D722" t="str">
        <f t="shared" si="11"/>
        <v>1315760.926</v>
      </c>
      <c r="E722" t="s">
        <v>3319</v>
      </c>
      <c r="F722" s="242"/>
      <c r="G722"/>
      <c r="H722" s="242">
        <v>-278520</v>
      </c>
      <c r="I722" s="242">
        <v>-297735</v>
      </c>
      <c r="J722"/>
    </row>
    <row r="723" spans="1:10" ht="15.75" customHeight="1">
      <c r="A723" t="s">
        <v>3022</v>
      </c>
      <c r="B723">
        <v>315760</v>
      </c>
      <c r="C723">
        <v>1</v>
      </c>
      <c r="D723" t="str">
        <f t="shared" si="11"/>
        <v>1315760.927</v>
      </c>
      <c r="E723" t="s">
        <v>3295</v>
      </c>
      <c r="F723" s="242"/>
      <c r="G723"/>
      <c r="H723" s="242">
        <v>-100</v>
      </c>
      <c r="I723" s="242">
        <v>0</v>
      </c>
      <c r="J723"/>
    </row>
    <row r="724" spans="1:10" ht="15.75" customHeight="1">
      <c r="A724" t="s">
        <v>3112</v>
      </c>
      <c r="B724">
        <v>315760</v>
      </c>
      <c r="C724">
        <v>1</v>
      </c>
      <c r="D724" t="str">
        <f t="shared" si="11"/>
        <v>1315760.928</v>
      </c>
      <c r="E724" t="s">
        <v>3326</v>
      </c>
      <c r="F724" s="242"/>
      <c r="G724"/>
      <c r="H724" s="242">
        <v>-24272</v>
      </c>
      <c r="I724" s="242">
        <v>-30099</v>
      </c>
      <c r="J724"/>
    </row>
    <row r="725" spans="1:10" ht="15.75" customHeight="1">
      <c r="A725" t="s">
        <v>3088</v>
      </c>
      <c r="B725">
        <v>315760</v>
      </c>
      <c r="C725">
        <v>1</v>
      </c>
      <c r="D725" t="str">
        <f t="shared" si="11"/>
        <v>1315760.929</v>
      </c>
      <c r="E725" t="s">
        <v>3322</v>
      </c>
      <c r="F725" s="242"/>
      <c r="G725"/>
      <c r="H725" s="242">
        <v>-36000</v>
      </c>
      <c r="I725" s="242">
        <v>-44787</v>
      </c>
      <c r="J725"/>
    </row>
    <row r="726" spans="1:10" ht="15.75" customHeight="1">
      <c r="A726" t="s">
        <v>3082</v>
      </c>
      <c r="B726">
        <v>315761</v>
      </c>
      <c r="C726">
        <v>1</v>
      </c>
      <c r="D726" t="str">
        <f t="shared" si="11"/>
        <v>1315761.921</v>
      </c>
      <c r="E726" t="s">
        <v>3327</v>
      </c>
      <c r="F726" s="242"/>
      <c r="G726"/>
      <c r="H726" s="242">
        <v>-12055000</v>
      </c>
      <c r="I726" s="242">
        <v>-12347619</v>
      </c>
      <c r="J726"/>
    </row>
    <row r="727" spans="1:10" ht="15.75" customHeight="1">
      <c r="A727" t="s">
        <v>1648</v>
      </c>
      <c r="B727">
        <v>315761</v>
      </c>
      <c r="C727">
        <v>1</v>
      </c>
      <c r="D727" t="str">
        <f t="shared" si="11"/>
        <v>1315761.922</v>
      </c>
      <c r="E727" t="s">
        <v>3020</v>
      </c>
      <c r="F727" s="242"/>
      <c r="G727"/>
      <c r="H727" s="242">
        <v>-100</v>
      </c>
      <c r="I727" s="242">
        <v>-9290</v>
      </c>
      <c r="J727"/>
    </row>
    <row r="728" spans="1:10" ht="15.75" customHeight="1">
      <c r="A728" t="s">
        <v>1653</v>
      </c>
      <c r="B728">
        <v>315761</v>
      </c>
      <c r="C728">
        <v>1</v>
      </c>
      <c r="D728" t="str">
        <f t="shared" si="11"/>
        <v>1315761.923</v>
      </c>
      <c r="E728" t="s">
        <v>3375</v>
      </c>
      <c r="F728" s="242"/>
      <c r="G728"/>
      <c r="H728" s="242">
        <v>-12243</v>
      </c>
      <c r="I728" s="242">
        <v>-8763</v>
      </c>
      <c r="J728"/>
    </row>
    <row r="729" spans="1:10" ht="15.75" customHeight="1">
      <c r="A729" t="s">
        <v>3014</v>
      </c>
      <c r="B729">
        <v>315761</v>
      </c>
      <c r="C729">
        <v>1</v>
      </c>
      <c r="D729" t="str">
        <f t="shared" si="11"/>
        <v>1315761.924</v>
      </c>
      <c r="E729" t="s">
        <v>3324</v>
      </c>
      <c r="F729" s="242"/>
      <c r="G729"/>
      <c r="H729" s="242">
        <v>0</v>
      </c>
      <c r="I729" s="242">
        <v>-89494</v>
      </c>
      <c r="J729"/>
    </row>
    <row r="730" spans="1:10" ht="15.75" customHeight="1">
      <c r="A730" t="s">
        <v>3016</v>
      </c>
      <c r="B730">
        <v>315761</v>
      </c>
      <c r="C730">
        <v>1</v>
      </c>
      <c r="D730" t="str">
        <f t="shared" si="11"/>
        <v>1315761.926</v>
      </c>
      <c r="E730" t="s">
        <v>3392</v>
      </c>
      <c r="F730" s="242"/>
      <c r="G730"/>
      <c r="H730" s="242">
        <v>-22950</v>
      </c>
      <c r="I730" s="242">
        <v>-8334</v>
      </c>
      <c r="J730"/>
    </row>
    <row r="731" spans="1:10" ht="15.75" customHeight="1">
      <c r="A731" t="s">
        <v>3022</v>
      </c>
      <c r="B731">
        <v>315761</v>
      </c>
      <c r="C731">
        <v>1</v>
      </c>
      <c r="D731" t="str">
        <f t="shared" si="11"/>
        <v>1315761.927</v>
      </c>
      <c r="E731" t="s">
        <v>3320</v>
      </c>
      <c r="F731" s="242"/>
      <c r="G731"/>
      <c r="H731" s="242">
        <v>-131327</v>
      </c>
      <c r="I731" s="242">
        <v>-98058</v>
      </c>
      <c r="J731"/>
    </row>
    <row r="732" spans="1:10" ht="15.75" customHeight="1">
      <c r="A732" t="s">
        <v>3112</v>
      </c>
      <c r="B732">
        <v>315761</v>
      </c>
      <c r="C732">
        <v>1</v>
      </c>
      <c r="D732" t="str">
        <f t="shared" si="11"/>
        <v>1315761.928</v>
      </c>
      <c r="E732" t="s">
        <v>3393</v>
      </c>
      <c r="F732" s="242"/>
      <c r="G732"/>
      <c r="H732" s="242">
        <v>-24000</v>
      </c>
      <c r="I732" s="242">
        <v>-29406</v>
      </c>
      <c r="J732"/>
    </row>
    <row r="733" spans="1:10" ht="15.75" customHeight="1">
      <c r="A733" t="s">
        <v>3088</v>
      </c>
      <c r="B733">
        <v>315761</v>
      </c>
      <c r="C733">
        <v>1</v>
      </c>
      <c r="D733" t="str">
        <f t="shared" si="11"/>
        <v>1315761.929</v>
      </c>
      <c r="E733" t="s">
        <v>3333</v>
      </c>
      <c r="F733" s="242"/>
      <c r="G733"/>
      <c r="H733" s="242">
        <v>-19536</v>
      </c>
      <c r="I733" s="242">
        <v>-19536</v>
      </c>
      <c r="J733"/>
    </row>
    <row r="734" spans="1:10" ht="15.75" customHeight="1">
      <c r="A734" t="s">
        <v>3012</v>
      </c>
      <c r="B734">
        <v>315762</v>
      </c>
      <c r="C734">
        <v>1</v>
      </c>
      <c r="D734" t="str">
        <f t="shared" si="11"/>
        <v>1315762.920</v>
      </c>
      <c r="E734" t="s">
        <v>3171</v>
      </c>
      <c r="F734" s="242"/>
      <c r="G734"/>
      <c r="H734" s="242">
        <v>-248256</v>
      </c>
      <c r="I734" s="242">
        <v>-221489</v>
      </c>
      <c r="J734"/>
    </row>
    <row r="735" spans="1:10" ht="15.75" customHeight="1">
      <c r="A735" t="s">
        <v>3082</v>
      </c>
      <c r="B735">
        <v>315762</v>
      </c>
      <c r="C735">
        <v>1</v>
      </c>
      <c r="D735" t="str">
        <f t="shared" si="11"/>
        <v>1315762.921</v>
      </c>
      <c r="E735" t="s">
        <v>3334</v>
      </c>
      <c r="F735" s="242"/>
      <c r="G735"/>
      <c r="H735" s="242">
        <v>-1506</v>
      </c>
      <c r="I735" s="242">
        <v>-1534</v>
      </c>
      <c r="J735"/>
    </row>
    <row r="736" spans="1:10" ht="15.75" customHeight="1">
      <c r="A736" t="s">
        <v>3014</v>
      </c>
      <c r="B736">
        <v>315762</v>
      </c>
      <c r="C736">
        <v>1</v>
      </c>
      <c r="D736" t="str">
        <f t="shared" si="11"/>
        <v>1315762.924</v>
      </c>
      <c r="E736" t="s">
        <v>3335</v>
      </c>
      <c r="F736" s="242"/>
      <c r="G736"/>
      <c r="H736" s="242">
        <v>-133575</v>
      </c>
      <c r="I736" s="242">
        <v>-182355</v>
      </c>
      <c r="J736"/>
    </row>
    <row r="737" spans="1:10" ht="15.75" customHeight="1">
      <c r="A737" t="s">
        <v>3016</v>
      </c>
      <c r="B737">
        <v>315762</v>
      </c>
      <c r="C737">
        <v>1</v>
      </c>
      <c r="D737" t="str">
        <f t="shared" si="11"/>
        <v>1315762.926</v>
      </c>
      <c r="E737" t="s">
        <v>3336</v>
      </c>
      <c r="F737" s="242"/>
      <c r="G737"/>
      <c r="H737" s="242">
        <v>-73620</v>
      </c>
      <c r="I737" s="242">
        <v>-77771</v>
      </c>
      <c r="J737"/>
    </row>
    <row r="738" spans="1:10" ht="15.75" customHeight="1">
      <c r="A738" t="s">
        <v>3022</v>
      </c>
      <c r="B738">
        <v>315762</v>
      </c>
      <c r="C738">
        <v>1</v>
      </c>
      <c r="D738" t="str">
        <f t="shared" si="11"/>
        <v>1315762.927</v>
      </c>
      <c r="E738" t="s">
        <v>3155</v>
      </c>
      <c r="F738" s="242"/>
      <c r="G738"/>
      <c r="H738" s="242">
        <v>-19026</v>
      </c>
      <c r="I738" s="242">
        <v>-20249</v>
      </c>
      <c r="J738"/>
    </row>
    <row r="739" spans="1:10" ht="15.75" customHeight="1">
      <c r="A739" t="s">
        <v>3112</v>
      </c>
      <c r="B739">
        <v>315762</v>
      </c>
      <c r="C739">
        <v>1</v>
      </c>
      <c r="D739" t="str">
        <f t="shared" si="11"/>
        <v>1315762.928</v>
      </c>
      <c r="E739" t="s">
        <v>3337</v>
      </c>
      <c r="F739" s="242"/>
      <c r="G739"/>
      <c r="H739" s="242">
        <v>-15399</v>
      </c>
      <c r="I739" s="242">
        <v>-16388</v>
      </c>
      <c r="J739"/>
    </row>
    <row r="740" spans="1:10" ht="15.75" customHeight="1">
      <c r="A740" t="s">
        <v>3088</v>
      </c>
      <c r="B740">
        <v>315762</v>
      </c>
      <c r="C740">
        <v>1</v>
      </c>
      <c r="D740" t="str">
        <f t="shared" si="11"/>
        <v>1315762.929</v>
      </c>
      <c r="E740" t="s">
        <v>3379</v>
      </c>
      <c r="F740" s="242"/>
      <c r="G740"/>
      <c r="H740" s="242">
        <v>-176215</v>
      </c>
      <c r="I740" s="242">
        <v>-167012</v>
      </c>
      <c r="J740"/>
    </row>
    <row r="741" spans="1:10" ht="15.75" customHeight="1">
      <c r="A741" t="s">
        <v>3082</v>
      </c>
      <c r="B741">
        <v>315763</v>
      </c>
      <c r="C741">
        <v>1</v>
      </c>
      <c r="D741" t="str">
        <f t="shared" si="11"/>
        <v>1315763.921</v>
      </c>
      <c r="E741" t="s">
        <v>3149</v>
      </c>
      <c r="F741" s="242"/>
      <c r="G741"/>
      <c r="H741" s="242">
        <v>-562</v>
      </c>
      <c r="I741" s="242">
        <v>0</v>
      </c>
      <c r="J741"/>
    </row>
    <row r="742" spans="1:10" ht="15.75" customHeight="1">
      <c r="A742" t="s">
        <v>1653</v>
      </c>
      <c r="B742">
        <v>315763</v>
      </c>
      <c r="C742">
        <v>1</v>
      </c>
      <c r="D742" t="str">
        <f t="shared" si="11"/>
        <v>1315763.923</v>
      </c>
      <c r="E742" t="s">
        <v>3323</v>
      </c>
      <c r="F742" s="242"/>
      <c r="G742"/>
      <c r="H742" s="242">
        <v>-8800</v>
      </c>
      <c r="I742" s="242">
        <v>-7954</v>
      </c>
      <c r="J742"/>
    </row>
    <row r="743" spans="1:10" ht="15.75" customHeight="1">
      <c r="A743" t="s">
        <v>3014</v>
      </c>
      <c r="B743">
        <v>315763</v>
      </c>
      <c r="C743">
        <v>1</v>
      </c>
      <c r="D743" t="str">
        <f t="shared" si="11"/>
        <v>1315763.924</v>
      </c>
      <c r="E743" t="s">
        <v>3394</v>
      </c>
      <c r="F743" s="242"/>
      <c r="G743"/>
      <c r="H743" s="242">
        <v>-10734</v>
      </c>
      <c r="I743" s="242">
        <v>-12135</v>
      </c>
      <c r="J743"/>
    </row>
    <row r="744" spans="1:10" ht="15.75" customHeight="1">
      <c r="A744" t="s">
        <v>3021</v>
      </c>
      <c r="B744">
        <v>315763</v>
      </c>
      <c r="C744">
        <v>1</v>
      </c>
      <c r="D744" t="str">
        <f t="shared" si="11"/>
        <v>1315763.925</v>
      </c>
      <c r="E744" t="s">
        <v>7</v>
      </c>
      <c r="F744" s="242"/>
      <c r="G744"/>
      <c r="H744" s="242">
        <v>-631826</v>
      </c>
      <c r="I744" s="242">
        <v>-614853</v>
      </c>
      <c r="J744"/>
    </row>
    <row r="745" spans="1:10" ht="15.75" customHeight="1">
      <c r="A745" t="s">
        <v>3112</v>
      </c>
      <c r="B745">
        <v>315763</v>
      </c>
      <c r="C745">
        <v>1</v>
      </c>
      <c r="D745" t="str">
        <f t="shared" si="11"/>
        <v>1315763.928</v>
      </c>
      <c r="E745" t="s">
        <v>3321</v>
      </c>
      <c r="F745" s="242"/>
      <c r="G745"/>
      <c r="H745" s="242">
        <v>0</v>
      </c>
      <c r="I745" s="242">
        <v>-59527</v>
      </c>
      <c r="J745"/>
    </row>
    <row r="746" spans="1:10" ht="15.75" customHeight="1">
      <c r="A746" t="s">
        <v>3088</v>
      </c>
      <c r="B746">
        <v>315763</v>
      </c>
      <c r="C746">
        <v>1</v>
      </c>
      <c r="D746" t="str">
        <f t="shared" si="11"/>
        <v>1315763.929</v>
      </c>
      <c r="E746" t="s">
        <v>3395</v>
      </c>
      <c r="F746" s="242"/>
      <c r="G746"/>
      <c r="H746" s="242">
        <v>-18228</v>
      </c>
      <c r="I746" s="242">
        <v>-23219</v>
      </c>
      <c r="J746"/>
    </row>
    <row r="747" spans="1:10" ht="15.75" customHeight="1">
      <c r="A747" t="s">
        <v>3082</v>
      </c>
      <c r="B747">
        <v>315764</v>
      </c>
      <c r="C747">
        <v>1</v>
      </c>
      <c r="D747" t="str">
        <f t="shared" si="11"/>
        <v>1315764.921</v>
      </c>
      <c r="E747" t="s">
        <v>3396</v>
      </c>
      <c r="F747" s="242"/>
      <c r="G747"/>
      <c r="H747" s="242">
        <v>0</v>
      </c>
      <c r="I747" s="242">
        <v>11560</v>
      </c>
      <c r="J747"/>
    </row>
    <row r="748" spans="1:10" ht="15.75" customHeight="1">
      <c r="A748" t="s">
        <v>3014</v>
      </c>
      <c r="B748">
        <v>315764</v>
      </c>
      <c r="C748">
        <v>1</v>
      </c>
      <c r="D748" t="str">
        <f t="shared" si="11"/>
        <v>1315764.924</v>
      </c>
      <c r="E748" t="s">
        <v>3342</v>
      </c>
      <c r="F748" s="242"/>
      <c r="G748"/>
      <c r="H748" s="242">
        <v>0</v>
      </c>
      <c r="I748" s="242">
        <v>0</v>
      </c>
      <c r="J748"/>
    </row>
    <row r="749" spans="1:10" ht="15.75" customHeight="1">
      <c r="A749" t="s">
        <v>3022</v>
      </c>
      <c r="B749">
        <v>315764</v>
      </c>
      <c r="C749">
        <v>1</v>
      </c>
      <c r="D749" t="str">
        <f t="shared" si="11"/>
        <v>1315764.927</v>
      </c>
      <c r="E749" t="s">
        <v>3383</v>
      </c>
      <c r="F749" s="242"/>
      <c r="G749"/>
      <c r="H749" s="242">
        <v>0</v>
      </c>
      <c r="I749" s="242">
        <v>0</v>
      </c>
      <c r="J749"/>
    </row>
    <row r="750" spans="1:10" ht="15.75" customHeight="1">
      <c r="A750" t="s">
        <v>3088</v>
      </c>
      <c r="B750">
        <v>315764</v>
      </c>
      <c r="C750">
        <v>1</v>
      </c>
      <c r="D750" t="str">
        <f t="shared" si="11"/>
        <v>1315764.929</v>
      </c>
      <c r="E750" t="s">
        <v>3381</v>
      </c>
      <c r="F750" s="242"/>
      <c r="G750"/>
      <c r="H750" s="242">
        <v>-4406</v>
      </c>
      <c r="I750" s="242">
        <v>-3361</v>
      </c>
      <c r="J750"/>
    </row>
    <row r="751" spans="1:10" ht="15.75" customHeight="1">
      <c r="A751" t="s">
        <v>3082</v>
      </c>
      <c r="B751">
        <v>315765</v>
      </c>
      <c r="C751">
        <v>1</v>
      </c>
      <c r="D751" t="str">
        <f t="shared" si="11"/>
        <v>1315765.921</v>
      </c>
      <c r="E751" t="s">
        <v>3341</v>
      </c>
      <c r="F751" s="242"/>
      <c r="G751"/>
      <c r="H751" s="242">
        <v>-31107</v>
      </c>
      <c r="I751" s="242">
        <v>-55891</v>
      </c>
      <c r="J751"/>
    </row>
    <row r="752" spans="1:10" ht="15.75" customHeight="1">
      <c r="A752" t="s">
        <v>3021</v>
      </c>
      <c r="B752">
        <v>315765</v>
      </c>
      <c r="C752">
        <v>1</v>
      </c>
      <c r="D752" t="str">
        <f t="shared" si="11"/>
        <v>1315765.925</v>
      </c>
      <c r="E752" t="s">
        <v>3343</v>
      </c>
      <c r="F752" s="242"/>
      <c r="G752"/>
      <c r="H752" s="242">
        <v>0</v>
      </c>
      <c r="I752" s="242">
        <v>-9901</v>
      </c>
      <c r="J752"/>
    </row>
    <row r="753" spans="1:10" ht="15.75" customHeight="1">
      <c r="A753" t="s">
        <v>3016</v>
      </c>
      <c r="B753">
        <v>315766</v>
      </c>
      <c r="C753">
        <v>1</v>
      </c>
      <c r="D753" t="str">
        <f t="shared" si="11"/>
        <v>1315766.926</v>
      </c>
      <c r="E753" t="s">
        <v>3344</v>
      </c>
      <c r="F753" s="242"/>
      <c r="G753"/>
      <c r="H753" s="242">
        <v>-38000</v>
      </c>
      <c r="I753" s="242">
        <v>0</v>
      </c>
      <c r="J753"/>
    </row>
    <row r="754" spans="1:10" ht="15.75" customHeight="1">
      <c r="A754" t="s">
        <v>3022</v>
      </c>
      <c r="B754">
        <v>315766</v>
      </c>
      <c r="C754">
        <v>1</v>
      </c>
      <c r="D754" t="str">
        <f t="shared" si="11"/>
        <v>1315766.927</v>
      </c>
      <c r="E754" t="s">
        <v>3162</v>
      </c>
      <c r="F754" s="242"/>
      <c r="G754"/>
      <c r="H754" s="242">
        <v>-1600</v>
      </c>
      <c r="I754" s="242">
        <v>0</v>
      </c>
      <c r="J754"/>
    </row>
    <row r="755" spans="1:10" ht="15.75" customHeight="1">
      <c r="A755" t="s">
        <v>3012</v>
      </c>
      <c r="B755">
        <v>315781</v>
      </c>
      <c r="C755">
        <v>1</v>
      </c>
      <c r="D755" t="str">
        <f t="shared" si="11"/>
        <v>1315781.920</v>
      </c>
      <c r="E755" t="s">
        <v>3149</v>
      </c>
      <c r="F755" s="242"/>
      <c r="G755"/>
      <c r="H755" s="242">
        <v>0</v>
      </c>
      <c r="I755" s="242">
        <v>-25515</v>
      </c>
      <c r="J755"/>
    </row>
    <row r="756" spans="1:10" ht="15.75" customHeight="1">
      <c r="A756" t="s">
        <v>3082</v>
      </c>
      <c r="B756">
        <v>315781</v>
      </c>
      <c r="C756">
        <v>1</v>
      </c>
      <c r="D756" t="str">
        <f t="shared" si="11"/>
        <v>1315781.921</v>
      </c>
      <c r="E756" t="s">
        <v>3327</v>
      </c>
      <c r="F756" s="242"/>
      <c r="G756"/>
      <c r="H756" s="242">
        <v>-4162071</v>
      </c>
      <c r="I756" s="242">
        <v>-6073864</v>
      </c>
      <c r="J756"/>
    </row>
    <row r="757" spans="1:10" ht="15.75" customHeight="1">
      <c r="A757" t="s">
        <v>1648</v>
      </c>
      <c r="B757">
        <v>315781</v>
      </c>
      <c r="C757">
        <v>1</v>
      </c>
      <c r="D757" t="str">
        <f t="shared" si="11"/>
        <v>1315781.922</v>
      </c>
      <c r="E757" t="s">
        <v>3020</v>
      </c>
      <c r="F757" s="242"/>
      <c r="G757"/>
      <c r="H757" s="242">
        <v>-100</v>
      </c>
      <c r="I757" s="242">
        <v>-39574</v>
      </c>
      <c r="J757"/>
    </row>
    <row r="758" spans="1:10" ht="15.75" customHeight="1">
      <c r="A758" t="s">
        <v>1653</v>
      </c>
      <c r="B758">
        <v>315781</v>
      </c>
      <c r="C758">
        <v>1</v>
      </c>
      <c r="D758" t="str">
        <f t="shared" si="11"/>
        <v>1315781.923</v>
      </c>
      <c r="E758" t="s">
        <v>3323</v>
      </c>
      <c r="F758" s="242"/>
      <c r="G758"/>
      <c r="H758" s="242">
        <v>-3362</v>
      </c>
      <c r="I758" s="242">
        <v>-2673</v>
      </c>
      <c r="J758"/>
    </row>
    <row r="759" spans="1:10" ht="15.75" customHeight="1">
      <c r="A759" t="s">
        <v>3014</v>
      </c>
      <c r="B759">
        <v>315781</v>
      </c>
      <c r="C759">
        <v>1</v>
      </c>
      <c r="D759" t="str">
        <f t="shared" si="11"/>
        <v>1315781.924</v>
      </c>
      <c r="E759" t="s">
        <v>3407</v>
      </c>
      <c r="F759" s="242"/>
      <c r="G759"/>
      <c r="H759" s="242">
        <v>0</v>
      </c>
      <c r="I759" s="242">
        <v>0</v>
      </c>
      <c r="J759"/>
    </row>
    <row r="760" spans="1:10" ht="15.75" customHeight="1">
      <c r="A760" t="s">
        <v>3021</v>
      </c>
      <c r="B760">
        <v>315781</v>
      </c>
      <c r="C760">
        <v>1</v>
      </c>
      <c r="D760" t="str">
        <f t="shared" si="11"/>
        <v>1315781.925</v>
      </c>
      <c r="E760" t="s">
        <v>7</v>
      </c>
      <c r="F760" s="242"/>
      <c r="G760"/>
      <c r="H760" s="242">
        <v>-221339</v>
      </c>
      <c r="I760" s="242">
        <v>-296691</v>
      </c>
      <c r="J760"/>
    </row>
    <row r="761" spans="1:10" ht="15.75" customHeight="1">
      <c r="A761" t="s">
        <v>3016</v>
      </c>
      <c r="B761">
        <v>315781</v>
      </c>
      <c r="C761">
        <v>1</v>
      </c>
      <c r="D761" t="str">
        <f t="shared" si="11"/>
        <v>1315781.926</v>
      </c>
      <c r="E761" t="s">
        <v>3408</v>
      </c>
      <c r="F761" s="242"/>
      <c r="G761"/>
      <c r="H761" s="242">
        <v>-14807</v>
      </c>
      <c r="I761" s="242">
        <v>-13973</v>
      </c>
      <c r="J761"/>
    </row>
    <row r="762" spans="1:10" ht="15.75" customHeight="1">
      <c r="A762" t="s">
        <v>3022</v>
      </c>
      <c r="B762">
        <v>315781</v>
      </c>
      <c r="C762">
        <v>1</v>
      </c>
      <c r="D762" t="str">
        <f t="shared" si="11"/>
        <v>1315781.927</v>
      </c>
      <c r="E762" t="s">
        <v>3155</v>
      </c>
      <c r="F762" s="242"/>
      <c r="G762"/>
      <c r="H762" s="242">
        <v>0</v>
      </c>
      <c r="I762" s="242">
        <v>0</v>
      </c>
      <c r="J762"/>
    </row>
    <row r="763" spans="1:10" ht="15.75" customHeight="1">
      <c r="A763" t="s">
        <v>3088</v>
      </c>
      <c r="B763">
        <v>315781</v>
      </c>
      <c r="C763">
        <v>1</v>
      </c>
      <c r="D763" t="str">
        <f t="shared" si="11"/>
        <v>1315781.929</v>
      </c>
      <c r="E763" t="s">
        <v>3333</v>
      </c>
      <c r="F763" s="242"/>
      <c r="G763"/>
      <c r="H763" s="242">
        <v>-10924</v>
      </c>
      <c r="I763" s="242">
        <v>-12038</v>
      </c>
      <c r="J763"/>
    </row>
    <row r="764" spans="1:10" ht="15.75" customHeight="1">
      <c r="A764" t="s">
        <v>3082</v>
      </c>
      <c r="B764">
        <v>315782</v>
      </c>
      <c r="C764">
        <v>1</v>
      </c>
      <c r="D764" t="str">
        <f t="shared" si="11"/>
        <v>1315782.921</v>
      </c>
      <c r="E764" t="s">
        <v>3334</v>
      </c>
      <c r="F764" s="242"/>
      <c r="G764"/>
      <c r="H764" s="242">
        <v>-1329</v>
      </c>
      <c r="I764" s="242">
        <v>-1350</v>
      </c>
      <c r="J764"/>
    </row>
    <row r="765" spans="1:10" ht="15.75" customHeight="1">
      <c r="A765" t="s">
        <v>1653</v>
      </c>
      <c r="B765">
        <v>315782</v>
      </c>
      <c r="C765">
        <v>1</v>
      </c>
      <c r="D765" t="str">
        <f t="shared" si="11"/>
        <v>1315782.923</v>
      </c>
      <c r="E765" t="s">
        <v>3317</v>
      </c>
      <c r="F765" s="242"/>
      <c r="G765"/>
      <c r="H765" s="242">
        <v>-125862</v>
      </c>
      <c r="I765" s="242">
        <v>-129629</v>
      </c>
      <c r="J765"/>
    </row>
    <row r="766" spans="1:10" ht="15.75" customHeight="1">
      <c r="A766" t="s">
        <v>3014</v>
      </c>
      <c r="B766">
        <v>315782</v>
      </c>
      <c r="C766">
        <v>1</v>
      </c>
      <c r="D766" t="str">
        <f t="shared" si="11"/>
        <v>1315782.924</v>
      </c>
      <c r="E766" t="s">
        <v>3409</v>
      </c>
      <c r="F766" s="242"/>
      <c r="G766"/>
      <c r="H766" s="242">
        <v>-247406</v>
      </c>
      <c r="I766" s="242">
        <v>-256298</v>
      </c>
      <c r="J766"/>
    </row>
    <row r="767" spans="1:10" ht="15.75" customHeight="1">
      <c r="A767" t="s">
        <v>3021</v>
      </c>
      <c r="B767">
        <v>315782</v>
      </c>
      <c r="C767">
        <v>1</v>
      </c>
      <c r="D767" t="str">
        <f t="shared" si="11"/>
        <v>1315782.925</v>
      </c>
      <c r="E767" t="s">
        <v>3410</v>
      </c>
      <c r="F767" s="242"/>
      <c r="G767"/>
      <c r="H767" s="242">
        <v>-37522</v>
      </c>
      <c r="I767" s="242">
        <v>-37006</v>
      </c>
      <c r="J767"/>
    </row>
    <row r="768" spans="1:10" ht="15.75" customHeight="1">
      <c r="A768" t="s">
        <v>3016</v>
      </c>
      <c r="B768">
        <v>315782</v>
      </c>
      <c r="C768">
        <v>1</v>
      </c>
      <c r="D768" t="str">
        <f t="shared" si="11"/>
        <v>1315782.926</v>
      </c>
      <c r="E768" t="s">
        <v>3090</v>
      </c>
      <c r="F768" s="242"/>
      <c r="G768"/>
      <c r="H768" s="242">
        <v>-15224</v>
      </c>
      <c r="I768" s="242">
        <v>-8667</v>
      </c>
      <c r="J768"/>
    </row>
    <row r="769" spans="1:10" ht="15.75" customHeight="1">
      <c r="A769" t="s">
        <v>3022</v>
      </c>
      <c r="B769">
        <v>315782</v>
      </c>
      <c r="C769">
        <v>1</v>
      </c>
      <c r="D769" t="str">
        <f t="shared" si="11"/>
        <v>1315782.927</v>
      </c>
      <c r="E769" t="s">
        <v>3411</v>
      </c>
      <c r="F769" s="242"/>
      <c r="G769"/>
      <c r="H769" s="242">
        <v>0</v>
      </c>
      <c r="I769" s="242">
        <v>0</v>
      </c>
      <c r="J769"/>
    </row>
    <row r="770" spans="1:10" ht="15.75" customHeight="1">
      <c r="A770" t="s">
        <v>3112</v>
      </c>
      <c r="B770">
        <v>315782</v>
      </c>
      <c r="C770">
        <v>1</v>
      </c>
      <c r="D770" t="str">
        <f t="shared" si="11"/>
        <v>1315782.928</v>
      </c>
      <c r="E770" t="s">
        <v>3412</v>
      </c>
      <c r="F770" s="242"/>
      <c r="G770"/>
      <c r="H770" s="242">
        <v>-10720</v>
      </c>
      <c r="I770" s="242">
        <v>-9038</v>
      </c>
      <c r="J770"/>
    </row>
    <row r="771" spans="1:10" ht="15.75" customHeight="1">
      <c r="A771" t="s">
        <v>3088</v>
      </c>
      <c r="B771">
        <v>315782</v>
      </c>
      <c r="C771">
        <v>1</v>
      </c>
      <c r="D771" t="str">
        <f t="shared" ref="D771:D834" si="12">C771&amp;B771&amp;"."&amp;A771</f>
        <v>1315782.929</v>
      </c>
      <c r="E771" t="s">
        <v>3413</v>
      </c>
      <c r="F771" s="242"/>
      <c r="G771"/>
      <c r="H771" s="242">
        <v>-78357</v>
      </c>
      <c r="I771" s="242">
        <v>-78624</v>
      </c>
      <c r="J771"/>
    </row>
    <row r="772" spans="1:10" ht="15.75" customHeight="1">
      <c r="A772" t="s">
        <v>1653</v>
      </c>
      <c r="B772">
        <v>315783</v>
      </c>
      <c r="C772">
        <v>1</v>
      </c>
      <c r="D772" t="str">
        <f t="shared" si="12"/>
        <v>1315783.923</v>
      </c>
      <c r="E772" t="s">
        <v>3414</v>
      </c>
      <c r="F772" s="242"/>
      <c r="G772"/>
      <c r="H772" s="242">
        <v>-21564</v>
      </c>
      <c r="I772" s="242">
        <v>-3093</v>
      </c>
      <c r="J772"/>
    </row>
    <row r="773" spans="1:10" ht="15.75" customHeight="1">
      <c r="A773" t="s">
        <v>3014</v>
      </c>
      <c r="B773">
        <v>315783</v>
      </c>
      <c r="C773">
        <v>1</v>
      </c>
      <c r="D773" t="str">
        <f t="shared" si="12"/>
        <v>1315783.924</v>
      </c>
      <c r="E773" t="s">
        <v>3415</v>
      </c>
      <c r="F773" s="242"/>
      <c r="G773"/>
      <c r="H773" s="242">
        <v>0</v>
      </c>
      <c r="I773" s="242">
        <v>0</v>
      </c>
      <c r="J773"/>
    </row>
    <row r="774" spans="1:10" ht="15.75" customHeight="1">
      <c r="A774" t="s">
        <v>3021</v>
      </c>
      <c r="B774">
        <v>315783</v>
      </c>
      <c r="C774">
        <v>1</v>
      </c>
      <c r="D774" t="str">
        <f t="shared" si="12"/>
        <v>1315783.925</v>
      </c>
      <c r="E774" t="s">
        <v>11</v>
      </c>
      <c r="F774" s="242"/>
      <c r="G774"/>
      <c r="H774" s="242">
        <v>0</v>
      </c>
      <c r="I774" s="242">
        <v>-2240</v>
      </c>
      <c r="J774"/>
    </row>
    <row r="775" spans="1:10" ht="15.75" customHeight="1">
      <c r="A775" t="s">
        <v>3016</v>
      </c>
      <c r="B775">
        <v>315783</v>
      </c>
      <c r="C775">
        <v>1</v>
      </c>
      <c r="D775" t="str">
        <f t="shared" si="12"/>
        <v>1315783.926</v>
      </c>
      <c r="E775" t="s">
        <v>3326</v>
      </c>
      <c r="F775" s="242"/>
      <c r="G775"/>
      <c r="H775" s="242">
        <v>0</v>
      </c>
      <c r="I775" s="242">
        <v>-58427</v>
      </c>
      <c r="J775"/>
    </row>
    <row r="776" spans="1:10" ht="15.75" customHeight="1">
      <c r="A776" t="s">
        <v>3022</v>
      </c>
      <c r="B776">
        <v>315783</v>
      </c>
      <c r="C776">
        <v>1</v>
      </c>
      <c r="D776" t="str">
        <f t="shared" si="12"/>
        <v>1315783.927</v>
      </c>
      <c r="E776" t="s">
        <v>3320</v>
      </c>
      <c r="F776" s="242"/>
      <c r="G776"/>
      <c r="H776" s="242">
        <v>0</v>
      </c>
      <c r="I776" s="242">
        <v>-38988</v>
      </c>
      <c r="J776"/>
    </row>
    <row r="777" spans="1:10" ht="15.75" customHeight="1">
      <c r="A777" t="s">
        <v>3112</v>
      </c>
      <c r="B777">
        <v>315783</v>
      </c>
      <c r="C777">
        <v>1</v>
      </c>
      <c r="D777" t="str">
        <f t="shared" si="12"/>
        <v>1315783.928</v>
      </c>
      <c r="E777" t="s">
        <v>3337</v>
      </c>
      <c r="F777" s="242"/>
      <c r="G777"/>
      <c r="H777" s="242">
        <v>-8344</v>
      </c>
      <c r="I777" s="242">
        <v>-13127</v>
      </c>
      <c r="J777"/>
    </row>
    <row r="778" spans="1:10" ht="15.75" customHeight="1">
      <c r="A778" t="s">
        <v>3088</v>
      </c>
      <c r="B778">
        <v>315783</v>
      </c>
      <c r="C778">
        <v>1</v>
      </c>
      <c r="D778" t="str">
        <f t="shared" si="12"/>
        <v>1315783.929</v>
      </c>
      <c r="E778" t="s">
        <v>3376</v>
      </c>
      <c r="F778" s="242"/>
      <c r="G778"/>
      <c r="H778" s="242">
        <v>0</v>
      </c>
      <c r="I778" s="242">
        <v>-39957</v>
      </c>
      <c r="J778"/>
    </row>
    <row r="779" spans="1:10" ht="15.75" customHeight="1">
      <c r="A779" t="s">
        <v>3082</v>
      </c>
      <c r="B779">
        <v>315784</v>
      </c>
      <c r="C779">
        <v>1</v>
      </c>
      <c r="D779" t="str">
        <f t="shared" si="12"/>
        <v>1315784.921</v>
      </c>
      <c r="E779" t="s">
        <v>3344</v>
      </c>
      <c r="F779" s="242"/>
      <c r="G779"/>
      <c r="H779" s="242">
        <v>-21564</v>
      </c>
      <c r="I779" s="242">
        <v>-10730</v>
      </c>
      <c r="J779"/>
    </row>
    <row r="780" spans="1:10" ht="15.75" customHeight="1">
      <c r="A780" t="s">
        <v>1653</v>
      </c>
      <c r="B780">
        <v>315784</v>
      </c>
      <c r="C780">
        <v>1</v>
      </c>
      <c r="D780" t="str">
        <f t="shared" si="12"/>
        <v>1315784.923</v>
      </c>
      <c r="E780" t="s">
        <v>3416</v>
      </c>
      <c r="F780" s="242"/>
      <c r="G780"/>
      <c r="H780" s="242">
        <v>0</v>
      </c>
      <c r="I780" s="242">
        <v>-6200</v>
      </c>
      <c r="J780"/>
    </row>
    <row r="781" spans="1:10" ht="15.75" customHeight="1">
      <c r="A781" t="s">
        <v>3014</v>
      </c>
      <c r="B781">
        <v>315784</v>
      </c>
      <c r="C781">
        <v>1</v>
      </c>
      <c r="D781" t="str">
        <f t="shared" si="12"/>
        <v>1315784.924</v>
      </c>
      <c r="E781" t="s">
        <v>3342</v>
      </c>
      <c r="F781" s="242"/>
      <c r="G781"/>
      <c r="H781" s="242">
        <v>0</v>
      </c>
      <c r="I781" s="242">
        <v>0</v>
      </c>
      <c r="J781"/>
    </row>
    <row r="782" spans="1:10" ht="15.75" customHeight="1">
      <c r="A782" t="s">
        <v>3021</v>
      </c>
      <c r="B782">
        <v>315784</v>
      </c>
      <c r="C782">
        <v>1</v>
      </c>
      <c r="D782" t="str">
        <f t="shared" si="12"/>
        <v>1315784.925</v>
      </c>
      <c r="E782" t="s">
        <v>3315</v>
      </c>
      <c r="F782" s="242"/>
      <c r="G782"/>
      <c r="H782" s="242">
        <v>0</v>
      </c>
      <c r="I782" s="242">
        <v>-6985</v>
      </c>
      <c r="J782"/>
    </row>
    <row r="783" spans="1:10" ht="15.75" customHeight="1">
      <c r="A783" t="s">
        <v>3016</v>
      </c>
      <c r="B783">
        <v>315784</v>
      </c>
      <c r="C783">
        <v>1</v>
      </c>
      <c r="D783" t="str">
        <f t="shared" si="12"/>
        <v>1315784.926</v>
      </c>
      <c r="E783" t="s">
        <v>3322</v>
      </c>
      <c r="F783" s="242"/>
      <c r="G783"/>
      <c r="H783" s="242">
        <v>0</v>
      </c>
      <c r="I783" s="242">
        <v>-8990</v>
      </c>
      <c r="J783"/>
    </row>
    <row r="784" spans="1:10" ht="15.75" customHeight="1">
      <c r="A784" t="s">
        <v>3022</v>
      </c>
      <c r="B784">
        <v>315784</v>
      </c>
      <c r="C784">
        <v>1</v>
      </c>
      <c r="D784" t="str">
        <f t="shared" si="12"/>
        <v>1315784.927</v>
      </c>
      <c r="E784" t="s">
        <v>3383</v>
      </c>
      <c r="F784" s="242"/>
      <c r="G784"/>
      <c r="H784" s="242">
        <v>-11149</v>
      </c>
      <c r="I784" s="242">
        <v>-43784</v>
      </c>
      <c r="J784"/>
    </row>
    <row r="785" spans="1:10" ht="15.75" customHeight="1">
      <c r="A785" t="s">
        <v>3112</v>
      </c>
      <c r="B785">
        <v>315784</v>
      </c>
      <c r="C785">
        <v>1</v>
      </c>
      <c r="D785" t="str">
        <f t="shared" si="12"/>
        <v>1315784.928</v>
      </c>
      <c r="E785" t="s">
        <v>3318</v>
      </c>
      <c r="F785" s="242"/>
      <c r="G785"/>
      <c r="H785" s="242">
        <v>0</v>
      </c>
      <c r="I785" s="242">
        <v>-11638</v>
      </c>
      <c r="J785"/>
    </row>
    <row r="786" spans="1:10" ht="15.75" customHeight="1">
      <c r="A786" t="s">
        <v>1653</v>
      </c>
      <c r="B786">
        <v>315785</v>
      </c>
      <c r="C786">
        <v>1</v>
      </c>
      <c r="D786" t="str">
        <f t="shared" si="12"/>
        <v>1315785.923</v>
      </c>
      <c r="E786" t="s">
        <v>3403</v>
      </c>
      <c r="F786" s="242"/>
      <c r="G786"/>
      <c r="H786" s="242">
        <v>0</v>
      </c>
      <c r="I786" s="242">
        <v>0</v>
      </c>
      <c r="J786"/>
    </row>
    <row r="787" spans="1:10" ht="15.75" customHeight="1">
      <c r="A787" t="s">
        <v>3022</v>
      </c>
      <c r="B787">
        <v>315785</v>
      </c>
      <c r="C787">
        <v>1</v>
      </c>
      <c r="D787" t="str">
        <f t="shared" si="12"/>
        <v>1315785.927</v>
      </c>
      <c r="E787" t="s">
        <v>3162</v>
      </c>
      <c r="F787" s="242"/>
      <c r="G787"/>
      <c r="H787" s="242">
        <v>-400</v>
      </c>
      <c r="I787" s="242">
        <v>-400</v>
      </c>
      <c r="J787"/>
    </row>
    <row r="788" spans="1:10" ht="15.75" customHeight="1">
      <c r="A788" t="s">
        <v>2980</v>
      </c>
      <c r="B788">
        <v>315791</v>
      </c>
      <c r="C788">
        <v>1</v>
      </c>
      <c r="D788" t="str">
        <f t="shared" si="12"/>
        <v>1315791.651</v>
      </c>
      <c r="E788" t="s">
        <v>3437</v>
      </c>
      <c r="F788" s="242"/>
      <c r="G788"/>
      <c r="H788" s="242">
        <v>0</v>
      </c>
      <c r="I788" s="242">
        <v>0</v>
      </c>
      <c r="J788"/>
    </row>
    <row r="789" spans="1:10" ht="15.75" customHeight="1">
      <c r="A789" t="s">
        <v>3082</v>
      </c>
      <c r="B789">
        <v>315791</v>
      </c>
      <c r="C789">
        <v>1</v>
      </c>
      <c r="D789" t="str">
        <f t="shared" si="12"/>
        <v>1315791.921</v>
      </c>
      <c r="E789" t="s">
        <v>3327</v>
      </c>
      <c r="F789" s="242"/>
      <c r="G789"/>
      <c r="H789" s="242">
        <v>-10263266</v>
      </c>
      <c r="I789" s="242">
        <v>-10268620</v>
      </c>
      <c r="J789"/>
    </row>
    <row r="790" spans="1:10" ht="15.75" customHeight="1">
      <c r="A790" t="s">
        <v>1648</v>
      </c>
      <c r="B790">
        <v>315791</v>
      </c>
      <c r="C790">
        <v>1</v>
      </c>
      <c r="D790" t="str">
        <f t="shared" si="12"/>
        <v>1315791.922</v>
      </c>
      <c r="E790" t="s">
        <v>3020</v>
      </c>
      <c r="F790" s="242"/>
      <c r="G790"/>
      <c r="H790" s="242">
        <v>-100</v>
      </c>
      <c r="I790" s="242">
        <v>-42074</v>
      </c>
      <c r="J790"/>
    </row>
    <row r="791" spans="1:10" ht="15.75" customHeight="1">
      <c r="A791" t="s">
        <v>1653</v>
      </c>
      <c r="B791">
        <v>315791</v>
      </c>
      <c r="C791">
        <v>1</v>
      </c>
      <c r="D791" t="str">
        <f t="shared" si="12"/>
        <v>1315791.923</v>
      </c>
      <c r="E791" t="s">
        <v>3416</v>
      </c>
      <c r="F791" s="242"/>
      <c r="G791"/>
      <c r="H791" s="242">
        <v>-30816</v>
      </c>
      <c r="I791" s="242">
        <v>-33327</v>
      </c>
      <c r="J791"/>
    </row>
    <row r="792" spans="1:10" ht="15.75" customHeight="1">
      <c r="A792" t="s">
        <v>3014</v>
      </c>
      <c r="B792">
        <v>315791</v>
      </c>
      <c r="C792">
        <v>1</v>
      </c>
      <c r="D792" t="str">
        <f t="shared" si="12"/>
        <v>1315791.924</v>
      </c>
      <c r="E792" t="s">
        <v>3344</v>
      </c>
      <c r="F792" s="242"/>
      <c r="G792"/>
      <c r="H792" s="242">
        <v>-100</v>
      </c>
      <c r="I792" s="242">
        <v>0</v>
      </c>
      <c r="J792"/>
    </row>
    <row r="793" spans="1:10" ht="15.75" customHeight="1">
      <c r="A793" t="s">
        <v>3021</v>
      </c>
      <c r="B793">
        <v>315791</v>
      </c>
      <c r="C793">
        <v>1</v>
      </c>
      <c r="D793" t="str">
        <f t="shared" si="12"/>
        <v>1315791.925</v>
      </c>
      <c r="E793" t="s">
        <v>3438</v>
      </c>
      <c r="F793" s="242"/>
      <c r="G793"/>
      <c r="H793" s="242">
        <v>0</v>
      </c>
      <c r="I793" s="242">
        <v>0</v>
      </c>
      <c r="J793"/>
    </row>
    <row r="794" spans="1:10" ht="15.75" customHeight="1">
      <c r="A794" t="s">
        <v>3016</v>
      </c>
      <c r="B794">
        <v>315791</v>
      </c>
      <c r="C794">
        <v>1</v>
      </c>
      <c r="D794" t="str">
        <f t="shared" si="12"/>
        <v>1315791.926</v>
      </c>
      <c r="E794" t="s">
        <v>3330</v>
      </c>
      <c r="F794" s="242"/>
      <c r="G794"/>
      <c r="H794" s="242">
        <v>-83296</v>
      </c>
      <c r="I794" s="242">
        <v>-31867</v>
      </c>
      <c r="J794"/>
    </row>
    <row r="795" spans="1:10" ht="15.75" customHeight="1">
      <c r="A795" t="s">
        <v>3022</v>
      </c>
      <c r="B795">
        <v>315791</v>
      </c>
      <c r="C795">
        <v>1</v>
      </c>
      <c r="D795" t="str">
        <f t="shared" si="12"/>
        <v>1315791.927</v>
      </c>
      <c r="E795" t="s">
        <v>3320</v>
      </c>
      <c r="F795" s="242"/>
      <c r="G795"/>
      <c r="H795" s="242">
        <v>0</v>
      </c>
      <c r="I795" s="242">
        <v>2210</v>
      </c>
      <c r="J795"/>
    </row>
    <row r="796" spans="1:10" ht="15.75" customHeight="1">
      <c r="A796" t="s">
        <v>3112</v>
      </c>
      <c r="B796">
        <v>315791</v>
      </c>
      <c r="C796">
        <v>1</v>
      </c>
      <c r="D796" t="str">
        <f t="shared" si="12"/>
        <v>1315791.928</v>
      </c>
      <c r="E796" t="s">
        <v>3343</v>
      </c>
      <c r="F796" s="242"/>
      <c r="G796"/>
      <c r="H796" s="242">
        <v>0</v>
      </c>
      <c r="I796" s="242">
        <v>0</v>
      </c>
      <c r="J796"/>
    </row>
    <row r="797" spans="1:10" ht="15.75" customHeight="1">
      <c r="A797" t="s">
        <v>3088</v>
      </c>
      <c r="B797">
        <v>315791</v>
      </c>
      <c r="C797">
        <v>1</v>
      </c>
      <c r="D797" t="str">
        <f t="shared" si="12"/>
        <v>1315791.929</v>
      </c>
      <c r="E797" t="s">
        <v>3333</v>
      </c>
      <c r="F797" s="242"/>
      <c r="G797"/>
      <c r="H797" s="242">
        <v>-17000</v>
      </c>
      <c r="I797" s="242">
        <v>-16323</v>
      </c>
      <c r="J797"/>
    </row>
    <row r="798" spans="1:10" ht="15.75" customHeight="1">
      <c r="A798" t="s">
        <v>3082</v>
      </c>
      <c r="B798">
        <v>315792</v>
      </c>
      <c r="C798">
        <v>1</v>
      </c>
      <c r="D798" t="str">
        <f t="shared" si="12"/>
        <v>1315792.921</v>
      </c>
      <c r="E798" t="s">
        <v>3334</v>
      </c>
      <c r="F798" s="242"/>
      <c r="G798"/>
      <c r="H798" s="242">
        <v>-1186</v>
      </c>
      <c r="I798" s="242">
        <v>-1295</v>
      </c>
      <c r="J798"/>
    </row>
    <row r="799" spans="1:10" ht="15.75" customHeight="1">
      <c r="A799" t="s">
        <v>1653</v>
      </c>
      <c r="B799">
        <v>315792</v>
      </c>
      <c r="C799">
        <v>1</v>
      </c>
      <c r="D799" t="str">
        <f t="shared" si="12"/>
        <v>1315792.923</v>
      </c>
      <c r="E799" t="s">
        <v>3335</v>
      </c>
      <c r="F799" s="242"/>
      <c r="G799"/>
      <c r="H799" s="242">
        <v>-23272</v>
      </c>
      <c r="I799" s="242">
        <v>-24442</v>
      </c>
      <c r="J799"/>
    </row>
    <row r="800" spans="1:10" ht="15.75" customHeight="1">
      <c r="A800" t="s">
        <v>3014</v>
      </c>
      <c r="B800">
        <v>315792</v>
      </c>
      <c r="C800">
        <v>1</v>
      </c>
      <c r="D800" t="str">
        <f t="shared" si="12"/>
        <v>1315792.924</v>
      </c>
      <c r="E800" t="s">
        <v>3317</v>
      </c>
      <c r="F800" s="242"/>
      <c r="G800"/>
      <c r="H800" s="242">
        <v>-214872</v>
      </c>
      <c r="I800" s="242">
        <v>-210177</v>
      </c>
      <c r="J800"/>
    </row>
    <row r="801" spans="1:10" ht="15.75" customHeight="1">
      <c r="A801" t="s">
        <v>3021</v>
      </c>
      <c r="B801">
        <v>315792</v>
      </c>
      <c r="C801">
        <v>1</v>
      </c>
      <c r="D801" t="str">
        <f t="shared" si="12"/>
        <v>1315792.925</v>
      </c>
      <c r="E801" t="s">
        <v>3324</v>
      </c>
      <c r="F801" s="242"/>
      <c r="G801"/>
      <c r="H801" s="242">
        <v>0</v>
      </c>
      <c r="I801" s="242">
        <v>-63816</v>
      </c>
      <c r="J801"/>
    </row>
    <row r="802" spans="1:10" ht="15.75" customHeight="1">
      <c r="A802" t="s">
        <v>3016</v>
      </c>
      <c r="B802">
        <v>315792</v>
      </c>
      <c r="C802">
        <v>1</v>
      </c>
      <c r="D802" t="str">
        <f t="shared" si="12"/>
        <v>1315792.926</v>
      </c>
      <c r="E802" t="s">
        <v>3336</v>
      </c>
      <c r="F802" s="242"/>
      <c r="G802"/>
      <c r="H802" s="242">
        <v>-60630</v>
      </c>
      <c r="I802" s="242">
        <v>-60626</v>
      </c>
      <c r="J802"/>
    </row>
    <row r="803" spans="1:10" ht="15.75" customHeight="1">
      <c r="A803" t="s">
        <v>3022</v>
      </c>
      <c r="B803">
        <v>315792</v>
      </c>
      <c r="C803">
        <v>1</v>
      </c>
      <c r="D803" t="str">
        <f t="shared" si="12"/>
        <v>1315792.927</v>
      </c>
      <c r="E803" t="s">
        <v>3155</v>
      </c>
      <c r="F803" s="242"/>
      <c r="G803"/>
      <c r="H803" s="242">
        <v>-15486</v>
      </c>
      <c r="I803" s="242">
        <v>-15165</v>
      </c>
      <c r="J803"/>
    </row>
    <row r="804" spans="1:10" ht="15.75" customHeight="1">
      <c r="A804" t="s">
        <v>3112</v>
      </c>
      <c r="B804">
        <v>315792</v>
      </c>
      <c r="C804">
        <v>1</v>
      </c>
      <c r="D804" t="str">
        <f t="shared" si="12"/>
        <v>1315792.928</v>
      </c>
      <c r="E804" t="s">
        <v>3337</v>
      </c>
      <c r="F804" s="242"/>
      <c r="G804"/>
      <c r="H804" s="242">
        <v>-12891</v>
      </c>
      <c r="I804" s="242">
        <v>-13471</v>
      </c>
      <c r="J804"/>
    </row>
    <row r="805" spans="1:10" ht="15.75" customHeight="1">
      <c r="A805" t="s">
        <v>3088</v>
      </c>
      <c r="B805">
        <v>315792</v>
      </c>
      <c r="C805">
        <v>1</v>
      </c>
      <c r="D805" t="str">
        <f t="shared" si="12"/>
        <v>1315792.929</v>
      </c>
      <c r="E805" t="s">
        <v>3379</v>
      </c>
      <c r="F805" s="242"/>
      <c r="G805"/>
      <c r="H805" s="242">
        <v>-132407</v>
      </c>
      <c r="I805" s="242">
        <v>-142812</v>
      </c>
      <c r="J805"/>
    </row>
    <row r="806" spans="1:10" ht="15.75" customHeight="1">
      <c r="A806" t="s">
        <v>3082</v>
      </c>
      <c r="B806">
        <v>315793</v>
      </c>
      <c r="C806">
        <v>1</v>
      </c>
      <c r="D806" t="str">
        <f t="shared" si="12"/>
        <v>1315793.921</v>
      </c>
      <c r="E806" t="s">
        <v>3149</v>
      </c>
      <c r="F806" s="242"/>
      <c r="G806"/>
      <c r="H806" s="242">
        <v>-896</v>
      </c>
      <c r="I806" s="242">
        <v>-562</v>
      </c>
      <c r="J806"/>
    </row>
    <row r="807" spans="1:10" ht="15.75" customHeight="1">
      <c r="A807" t="s">
        <v>1653</v>
      </c>
      <c r="B807">
        <v>315793</v>
      </c>
      <c r="C807">
        <v>1</v>
      </c>
      <c r="D807" t="str">
        <f t="shared" si="12"/>
        <v>1315793.923</v>
      </c>
      <c r="E807" t="s">
        <v>3323</v>
      </c>
      <c r="F807" s="242"/>
      <c r="G807"/>
      <c r="H807" s="242">
        <v>-6314</v>
      </c>
      <c r="I807" s="242">
        <v>-6478</v>
      </c>
      <c r="J807"/>
    </row>
    <row r="808" spans="1:10" ht="15.75" customHeight="1">
      <c r="A808" t="s">
        <v>3014</v>
      </c>
      <c r="B808">
        <v>315793</v>
      </c>
      <c r="C808">
        <v>1</v>
      </c>
      <c r="D808" t="str">
        <f t="shared" si="12"/>
        <v>1315793.924</v>
      </c>
      <c r="E808" t="s">
        <v>3342</v>
      </c>
      <c r="F808" s="242"/>
      <c r="G808"/>
      <c r="H808" s="242">
        <v>0</v>
      </c>
      <c r="I808" s="242">
        <v>0</v>
      </c>
      <c r="J808"/>
    </row>
    <row r="809" spans="1:10" ht="15.75" customHeight="1">
      <c r="A809" t="s">
        <v>3021</v>
      </c>
      <c r="B809">
        <v>315793</v>
      </c>
      <c r="C809">
        <v>1</v>
      </c>
      <c r="D809" t="str">
        <f t="shared" si="12"/>
        <v>1315793.925</v>
      </c>
      <c r="E809" t="s">
        <v>7</v>
      </c>
      <c r="F809" s="242"/>
      <c r="G809"/>
      <c r="H809" s="242">
        <v>-522977</v>
      </c>
      <c r="I809" s="242">
        <v>-525020</v>
      </c>
      <c r="J809"/>
    </row>
    <row r="810" spans="1:10" ht="15.75" customHeight="1">
      <c r="A810" t="s">
        <v>3016</v>
      </c>
      <c r="B810">
        <v>315793</v>
      </c>
      <c r="C810">
        <v>1</v>
      </c>
      <c r="D810" t="str">
        <f t="shared" si="12"/>
        <v>1315793.926</v>
      </c>
      <c r="E810" t="s">
        <v>3325</v>
      </c>
      <c r="F810" s="242"/>
      <c r="G810"/>
      <c r="H810" s="242">
        <v>-100</v>
      </c>
      <c r="I810" s="242">
        <v>0</v>
      </c>
      <c r="J810"/>
    </row>
    <row r="811" spans="1:10" ht="15.75" customHeight="1">
      <c r="A811" t="s">
        <v>3022</v>
      </c>
      <c r="B811">
        <v>315793</v>
      </c>
      <c r="C811">
        <v>1</v>
      </c>
      <c r="D811" t="str">
        <f t="shared" si="12"/>
        <v>1315793.927</v>
      </c>
      <c r="E811" t="s">
        <v>3439</v>
      </c>
      <c r="F811" s="242"/>
      <c r="G811"/>
      <c r="H811" s="242">
        <v>-24096</v>
      </c>
      <c r="I811" s="242">
        <v>-20655</v>
      </c>
      <c r="J811"/>
    </row>
    <row r="812" spans="1:10" ht="15.75" customHeight="1">
      <c r="A812" t="s">
        <v>3112</v>
      </c>
      <c r="B812">
        <v>315793</v>
      </c>
      <c r="C812">
        <v>1</v>
      </c>
      <c r="D812" t="str">
        <f t="shared" si="12"/>
        <v>1315793.928</v>
      </c>
      <c r="E812" t="s">
        <v>3321</v>
      </c>
      <c r="F812" s="242"/>
      <c r="G812"/>
      <c r="H812" s="242">
        <v>-54506</v>
      </c>
      <c r="I812" s="242">
        <v>-80070</v>
      </c>
      <c r="J812"/>
    </row>
    <row r="813" spans="1:10" ht="15.75" customHeight="1">
      <c r="A813" t="s">
        <v>3088</v>
      </c>
      <c r="B813">
        <v>315793</v>
      </c>
      <c r="C813">
        <v>1</v>
      </c>
      <c r="D813" t="str">
        <f t="shared" si="12"/>
        <v>1315793.929</v>
      </c>
      <c r="E813" t="s">
        <v>3423</v>
      </c>
      <c r="F813" s="242"/>
      <c r="G813"/>
      <c r="H813" s="242">
        <v>-23000</v>
      </c>
      <c r="I813" s="242">
        <v>-29394</v>
      </c>
      <c r="J813"/>
    </row>
    <row r="814" spans="1:10" ht="15.75" customHeight="1">
      <c r="A814" t="s">
        <v>3014</v>
      </c>
      <c r="B814">
        <v>315794</v>
      </c>
      <c r="C814">
        <v>1</v>
      </c>
      <c r="D814" t="str">
        <f t="shared" si="12"/>
        <v>1315794.924</v>
      </c>
      <c r="E814" t="s">
        <v>3315</v>
      </c>
      <c r="F814" s="242"/>
      <c r="G814"/>
      <c r="H814" s="242">
        <v>-100</v>
      </c>
      <c r="I814" s="242">
        <v>-60847</v>
      </c>
      <c r="J814"/>
    </row>
    <row r="815" spans="1:10" ht="15.75" customHeight="1">
      <c r="A815" t="s">
        <v>3016</v>
      </c>
      <c r="B815">
        <v>315794</v>
      </c>
      <c r="C815">
        <v>1</v>
      </c>
      <c r="D815" t="str">
        <f t="shared" si="12"/>
        <v>1315794.926</v>
      </c>
      <c r="E815" t="s">
        <v>3319</v>
      </c>
      <c r="F815" s="242"/>
      <c r="G815"/>
      <c r="H815" s="242">
        <v>-383965</v>
      </c>
      <c r="I815" s="242">
        <v>-532892</v>
      </c>
      <c r="J815"/>
    </row>
    <row r="816" spans="1:10" ht="15.75" customHeight="1">
      <c r="A816" t="s">
        <v>3022</v>
      </c>
      <c r="B816">
        <v>315794</v>
      </c>
      <c r="C816">
        <v>1</v>
      </c>
      <c r="D816" t="str">
        <f t="shared" si="12"/>
        <v>1315794.927</v>
      </c>
      <c r="E816" t="s">
        <v>3414</v>
      </c>
      <c r="F816" s="242"/>
      <c r="G816"/>
      <c r="H816" s="242">
        <v>-16174</v>
      </c>
      <c r="I816" s="242">
        <v>-16158</v>
      </c>
      <c r="J816"/>
    </row>
    <row r="817" spans="1:10" ht="15.75" customHeight="1">
      <c r="A817" t="s">
        <v>1653</v>
      </c>
      <c r="B817">
        <v>315795</v>
      </c>
      <c r="C817">
        <v>1</v>
      </c>
      <c r="D817" t="str">
        <f t="shared" si="12"/>
        <v>1315795.923</v>
      </c>
      <c r="E817" t="s">
        <v>3440</v>
      </c>
      <c r="F817" s="242"/>
      <c r="G817"/>
      <c r="H817" s="242">
        <v>-100</v>
      </c>
      <c r="I817" s="242">
        <v>0</v>
      </c>
      <c r="J817"/>
    </row>
    <row r="818" spans="1:10" ht="15.75" customHeight="1">
      <c r="A818" t="s">
        <v>3021</v>
      </c>
      <c r="B818">
        <v>315795</v>
      </c>
      <c r="C818">
        <v>1</v>
      </c>
      <c r="D818" t="str">
        <f t="shared" si="12"/>
        <v>1315795.925</v>
      </c>
      <c r="E818" t="s">
        <v>3318</v>
      </c>
      <c r="F818" s="242"/>
      <c r="G818"/>
      <c r="H818" s="242">
        <v>-100</v>
      </c>
      <c r="I818" s="242">
        <v>-101375</v>
      </c>
      <c r="J818"/>
    </row>
    <row r="819" spans="1:10" ht="15.75" customHeight="1">
      <c r="A819" t="s">
        <v>3022</v>
      </c>
      <c r="B819">
        <v>315795</v>
      </c>
      <c r="C819">
        <v>1</v>
      </c>
      <c r="D819" t="str">
        <f t="shared" si="12"/>
        <v>1315795.927</v>
      </c>
      <c r="E819" t="s">
        <v>3162</v>
      </c>
      <c r="F819" s="242"/>
      <c r="G819"/>
      <c r="H819" s="242">
        <v>-2800</v>
      </c>
      <c r="I819" s="242">
        <v>-3200</v>
      </c>
      <c r="J819"/>
    </row>
    <row r="820" spans="1:10" ht="15.75" customHeight="1">
      <c r="A820" t="s">
        <v>3112</v>
      </c>
      <c r="B820">
        <v>315795</v>
      </c>
      <c r="C820">
        <v>1</v>
      </c>
      <c r="D820" t="str">
        <f t="shared" si="12"/>
        <v>1315795.928</v>
      </c>
      <c r="E820" t="s">
        <v>3326</v>
      </c>
      <c r="F820" s="242"/>
      <c r="G820"/>
      <c r="H820" s="242">
        <v>-100</v>
      </c>
      <c r="I820" s="242">
        <v>0</v>
      </c>
      <c r="J820"/>
    </row>
    <row r="821" spans="1:10" ht="15.75" customHeight="1">
      <c r="A821" t="s">
        <v>2410</v>
      </c>
      <c r="B821">
        <v>315799</v>
      </c>
      <c r="C821">
        <v>1</v>
      </c>
      <c r="D821" t="str">
        <f t="shared" si="12"/>
        <v>1315799.430</v>
      </c>
      <c r="E821" t="s">
        <v>4566</v>
      </c>
      <c r="F821" s="242"/>
      <c r="G821"/>
      <c r="H821" s="242">
        <v>-200000</v>
      </c>
      <c r="I821" s="242">
        <v>-123454</v>
      </c>
      <c r="J821"/>
    </row>
    <row r="822" spans="1:10" ht="15.75" customHeight="1">
      <c r="A822" t="s">
        <v>3082</v>
      </c>
      <c r="B822">
        <v>315799</v>
      </c>
      <c r="C822">
        <v>1</v>
      </c>
      <c r="D822" t="str">
        <f t="shared" si="12"/>
        <v>1315799.921</v>
      </c>
      <c r="E822" t="s">
        <v>4567</v>
      </c>
      <c r="F822" s="242"/>
      <c r="G822"/>
      <c r="H822" s="242">
        <v>-150000</v>
      </c>
      <c r="I822" s="242">
        <v>-417066</v>
      </c>
      <c r="J822"/>
    </row>
    <row r="823" spans="1:10" ht="15.75" customHeight="1">
      <c r="A823" t="s">
        <v>1653</v>
      </c>
      <c r="B823">
        <v>315799</v>
      </c>
      <c r="C823">
        <v>1</v>
      </c>
      <c r="D823" t="str">
        <f t="shared" si="12"/>
        <v>1315799.923</v>
      </c>
      <c r="E823" t="s">
        <v>4568</v>
      </c>
      <c r="F823" s="242"/>
      <c r="G823"/>
      <c r="H823" s="242">
        <v>-500000</v>
      </c>
      <c r="I823" s="242">
        <v>-119012</v>
      </c>
      <c r="J823"/>
    </row>
    <row r="824" spans="1:10" ht="15.75" customHeight="1">
      <c r="A824" t="s">
        <v>2606</v>
      </c>
      <c r="B824">
        <v>317100</v>
      </c>
      <c r="C824">
        <v>1</v>
      </c>
      <c r="D824" t="str">
        <f t="shared" si="12"/>
        <v>1317100.440</v>
      </c>
      <c r="E824" t="s">
        <v>3239</v>
      </c>
      <c r="F824" s="242"/>
      <c r="G824"/>
      <c r="H824" s="242">
        <v>-16000</v>
      </c>
      <c r="I824" s="242">
        <v>-15975</v>
      </c>
      <c r="J824"/>
    </row>
    <row r="825" spans="1:10" ht="15.75" customHeight="1">
      <c r="A825" t="s">
        <v>3082</v>
      </c>
      <c r="B825">
        <v>317100</v>
      </c>
      <c r="C825">
        <v>1</v>
      </c>
      <c r="D825" t="str">
        <f t="shared" si="12"/>
        <v>1317100.921</v>
      </c>
      <c r="E825" t="s">
        <v>3240</v>
      </c>
      <c r="F825" s="242"/>
      <c r="G825"/>
      <c r="H825" s="242">
        <v>-458000</v>
      </c>
      <c r="I825" s="242">
        <v>-450803</v>
      </c>
      <c r="J825"/>
    </row>
    <row r="826" spans="1:10" ht="15.75" customHeight="1">
      <c r="A826" t="s">
        <v>3021</v>
      </c>
      <c r="B826">
        <v>317100</v>
      </c>
      <c r="C826">
        <v>1</v>
      </c>
      <c r="D826" t="str">
        <f t="shared" si="12"/>
        <v>1317100.925</v>
      </c>
      <c r="E826" t="s">
        <v>3241</v>
      </c>
      <c r="F826" s="242"/>
      <c r="G826"/>
      <c r="H826" s="242">
        <v>-5000</v>
      </c>
      <c r="I826" s="242">
        <v>-3230</v>
      </c>
      <c r="J826"/>
    </row>
    <row r="827" spans="1:10" ht="15.75" customHeight="1">
      <c r="A827" t="s">
        <v>2717</v>
      </c>
      <c r="B827">
        <v>317100</v>
      </c>
      <c r="C827">
        <v>1</v>
      </c>
      <c r="D827" t="str">
        <f t="shared" si="12"/>
        <v>1317100.990</v>
      </c>
      <c r="E827" t="s">
        <v>3242</v>
      </c>
      <c r="F827" s="242"/>
      <c r="G827"/>
      <c r="H827" s="242">
        <v>-4194000</v>
      </c>
      <c r="I827" s="242">
        <v>-3403229</v>
      </c>
      <c r="J827"/>
    </row>
    <row r="828" spans="1:10" ht="15.75" customHeight="1">
      <c r="A828" t="s">
        <v>1648</v>
      </c>
      <c r="B828">
        <v>317110</v>
      </c>
      <c r="C828">
        <v>1</v>
      </c>
      <c r="D828" t="str">
        <f t="shared" si="12"/>
        <v>1317110.922</v>
      </c>
      <c r="E828" t="s">
        <v>3243</v>
      </c>
      <c r="F828" s="242"/>
      <c r="G828"/>
      <c r="H828" s="242">
        <v>-170000</v>
      </c>
      <c r="I828" s="242">
        <v>-119612</v>
      </c>
      <c r="J828"/>
    </row>
    <row r="829" spans="1:10" ht="15.75" customHeight="1">
      <c r="A829" t="s">
        <v>3082</v>
      </c>
      <c r="B829">
        <v>317200</v>
      </c>
      <c r="C829">
        <v>1</v>
      </c>
      <c r="D829" t="str">
        <f t="shared" si="12"/>
        <v>1317200.921</v>
      </c>
      <c r="E829" t="s">
        <v>3507</v>
      </c>
      <c r="F829" s="242"/>
      <c r="G829"/>
      <c r="H829" s="242">
        <v>-40000</v>
      </c>
      <c r="I829" s="242">
        <v>-48348</v>
      </c>
      <c r="J829"/>
    </row>
    <row r="830" spans="1:10" ht="15.75" customHeight="1">
      <c r="A830" t="s">
        <v>2684</v>
      </c>
      <c r="B830">
        <v>317310</v>
      </c>
      <c r="C830">
        <v>1</v>
      </c>
      <c r="D830" t="str">
        <f t="shared" si="12"/>
        <v>1317310.421</v>
      </c>
      <c r="E830" t="s">
        <v>3511</v>
      </c>
      <c r="F830" s="242"/>
      <c r="G830"/>
      <c r="H830" s="242">
        <v>0</v>
      </c>
      <c r="I830" s="242">
        <v>0</v>
      </c>
      <c r="J830"/>
    </row>
    <row r="831" spans="1:10" ht="15.75" customHeight="1">
      <c r="A831" t="s">
        <v>2606</v>
      </c>
      <c r="B831">
        <v>317310</v>
      </c>
      <c r="C831">
        <v>1</v>
      </c>
      <c r="D831" t="str">
        <f t="shared" si="12"/>
        <v>1317310.440</v>
      </c>
      <c r="E831" t="s">
        <v>3512</v>
      </c>
      <c r="F831" s="242"/>
      <c r="G831"/>
      <c r="H831" s="242">
        <v>0</v>
      </c>
      <c r="I831" s="242">
        <v>0</v>
      </c>
      <c r="J831"/>
    </row>
    <row r="832" spans="1:10" ht="15.75" customHeight="1">
      <c r="A832" t="s">
        <v>3082</v>
      </c>
      <c r="B832">
        <v>317310</v>
      </c>
      <c r="C832">
        <v>1</v>
      </c>
      <c r="D832" t="str">
        <f t="shared" si="12"/>
        <v>1317310.921</v>
      </c>
      <c r="E832" t="s">
        <v>3513</v>
      </c>
      <c r="F832" s="242"/>
      <c r="G832"/>
      <c r="H832" s="242">
        <v>-5147350</v>
      </c>
      <c r="I832" s="242">
        <v>-4472705</v>
      </c>
      <c r="J832"/>
    </row>
    <row r="833" spans="1:10" ht="15.75" customHeight="1">
      <c r="A833" t="s">
        <v>3021</v>
      </c>
      <c r="B833">
        <v>317310</v>
      </c>
      <c r="C833">
        <v>1</v>
      </c>
      <c r="D833" t="str">
        <f t="shared" si="12"/>
        <v>1317310.925</v>
      </c>
      <c r="E833" t="s">
        <v>3514</v>
      </c>
      <c r="F833" s="242"/>
      <c r="G833"/>
      <c r="H833" s="242">
        <v>-3400</v>
      </c>
      <c r="I833" s="242">
        <v>-5100</v>
      </c>
      <c r="J833"/>
    </row>
    <row r="834" spans="1:10" ht="15.75" customHeight="1">
      <c r="A834" t="s">
        <v>3016</v>
      </c>
      <c r="B834">
        <v>317310</v>
      </c>
      <c r="C834">
        <v>1</v>
      </c>
      <c r="D834" t="str">
        <f t="shared" si="12"/>
        <v>1317310.926</v>
      </c>
      <c r="E834" t="s">
        <v>3515</v>
      </c>
      <c r="F834" s="242"/>
      <c r="G834"/>
      <c r="H834" s="242">
        <v>-145000</v>
      </c>
      <c r="I834" s="242">
        <v>-135759</v>
      </c>
      <c r="J834"/>
    </row>
    <row r="835" spans="1:10" ht="15.75" customHeight="1">
      <c r="A835" t="s">
        <v>3252</v>
      </c>
      <c r="B835">
        <v>317400</v>
      </c>
      <c r="C835">
        <v>1</v>
      </c>
      <c r="D835" t="str">
        <f t="shared" ref="D835:D898" si="13">C835&amp;B835&amp;"."&amp;A835</f>
        <v>1317400.940</v>
      </c>
      <c r="E835" t="s">
        <v>3253</v>
      </c>
      <c r="F835" s="242"/>
      <c r="G835"/>
      <c r="H835" s="242">
        <v>-100</v>
      </c>
      <c r="I835" s="242">
        <v>0</v>
      </c>
      <c r="J835"/>
    </row>
    <row r="836" spans="1:10" ht="15.75" customHeight="1">
      <c r="A836" t="s">
        <v>2931</v>
      </c>
      <c r="B836">
        <v>317500</v>
      </c>
      <c r="C836">
        <v>1</v>
      </c>
      <c r="D836" t="str">
        <f t="shared" si="13"/>
        <v>1317500.220</v>
      </c>
      <c r="E836" t="s">
        <v>2607</v>
      </c>
      <c r="F836" s="242"/>
      <c r="G836"/>
      <c r="H836" s="242">
        <v>-782000</v>
      </c>
      <c r="I836" s="242">
        <v>-558360</v>
      </c>
      <c r="J836"/>
    </row>
    <row r="837" spans="1:10" ht="15.75" customHeight="1">
      <c r="A837" t="s">
        <v>3082</v>
      </c>
      <c r="B837">
        <v>317600</v>
      </c>
      <c r="C837">
        <v>1</v>
      </c>
      <c r="D837" t="str">
        <f t="shared" si="13"/>
        <v>1317600.921</v>
      </c>
      <c r="E837" t="s">
        <v>3526</v>
      </c>
      <c r="F837" s="242"/>
      <c r="G837"/>
      <c r="H837" s="242">
        <v>-2700000</v>
      </c>
      <c r="I837" s="242">
        <v>-2559531</v>
      </c>
      <c r="J837"/>
    </row>
    <row r="838" spans="1:10" ht="15.75" customHeight="1">
      <c r="A838" t="s">
        <v>1653</v>
      </c>
      <c r="B838">
        <v>317600</v>
      </c>
      <c r="C838">
        <v>1</v>
      </c>
      <c r="D838" t="str">
        <f t="shared" si="13"/>
        <v>1317600.923</v>
      </c>
      <c r="E838" t="s">
        <v>3527</v>
      </c>
      <c r="F838" s="242"/>
      <c r="G838"/>
      <c r="H838" s="242">
        <v>-300000</v>
      </c>
      <c r="I838" s="242">
        <v>-231517</v>
      </c>
      <c r="J838"/>
    </row>
    <row r="839" spans="1:10" ht="15.75" customHeight="1">
      <c r="A839" t="s">
        <v>3082</v>
      </c>
      <c r="B839">
        <v>317710</v>
      </c>
      <c r="C839">
        <v>1</v>
      </c>
      <c r="D839" t="str">
        <f t="shared" si="13"/>
        <v>1317710.921</v>
      </c>
      <c r="E839" t="s">
        <v>3522</v>
      </c>
      <c r="F839" s="242"/>
      <c r="G839"/>
      <c r="H839" s="242">
        <v>-1268000</v>
      </c>
      <c r="I839" s="242">
        <v>-1194779</v>
      </c>
      <c r="J839"/>
    </row>
    <row r="840" spans="1:10" ht="15.75" customHeight="1">
      <c r="A840" t="s">
        <v>1653</v>
      </c>
      <c r="B840">
        <v>317710</v>
      </c>
      <c r="C840">
        <v>1</v>
      </c>
      <c r="D840" t="str">
        <f t="shared" si="13"/>
        <v>1317710.923</v>
      </c>
      <c r="E840" t="s">
        <v>3523</v>
      </c>
      <c r="F840" s="242"/>
      <c r="G840"/>
      <c r="H840" s="242">
        <v>0</v>
      </c>
      <c r="I840" s="242">
        <v>-34232</v>
      </c>
      <c r="J840"/>
    </row>
    <row r="841" spans="1:10" ht="15.75" customHeight="1">
      <c r="A841" t="s">
        <v>2652</v>
      </c>
      <c r="B841">
        <v>317800</v>
      </c>
      <c r="C841">
        <v>1</v>
      </c>
      <c r="D841" t="str">
        <f t="shared" si="13"/>
        <v>1317800.420</v>
      </c>
      <c r="E841" t="s">
        <v>3246</v>
      </c>
      <c r="F841" s="242"/>
      <c r="G841"/>
      <c r="H841" s="242">
        <v>0</v>
      </c>
      <c r="I841" s="242">
        <v>-221482</v>
      </c>
      <c r="J841"/>
    </row>
    <row r="842" spans="1:10" ht="15.75" customHeight="1">
      <c r="A842" t="s">
        <v>3012</v>
      </c>
      <c r="B842">
        <v>317800</v>
      </c>
      <c r="C842">
        <v>1</v>
      </c>
      <c r="D842" t="str">
        <f t="shared" si="13"/>
        <v>1317800.920</v>
      </c>
      <c r="E842" t="s">
        <v>3247</v>
      </c>
      <c r="F842" s="242"/>
      <c r="G842"/>
      <c r="H842" s="242">
        <v>-2156000</v>
      </c>
      <c r="I842" s="242">
        <v>-1234093</v>
      </c>
      <c r="J842"/>
    </row>
    <row r="843" spans="1:10" ht="15.75" customHeight="1">
      <c r="A843" t="s">
        <v>3012</v>
      </c>
      <c r="B843">
        <v>317810</v>
      </c>
      <c r="C843">
        <v>1</v>
      </c>
      <c r="D843" t="str">
        <f t="shared" si="13"/>
        <v>1317810.920</v>
      </c>
      <c r="E843" t="s">
        <v>3248</v>
      </c>
      <c r="F843" s="242"/>
      <c r="G843"/>
      <c r="H843" s="242">
        <v>-6832231</v>
      </c>
      <c r="I843" s="242">
        <v>-7019771</v>
      </c>
      <c r="J843"/>
    </row>
    <row r="844" spans="1:10" ht="15.75" customHeight="1">
      <c r="A844" t="s">
        <v>1799</v>
      </c>
      <c r="B844">
        <v>317901</v>
      </c>
      <c r="C844">
        <v>1</v>
      </c>
      <c r="D844" t="str">
        <f t="shared" si="13"/>
        <v>1317901.991</v>
      </c>
      <c r="E844" t="s">
        <v>3263</v>
      </c>
      <c r="F844" s="242"/>
      <c r="G844"/>
      <c r="H844" s="242">
        <v>-344434</v>
      </c>
      <c r="I844" s="242">
        <v>-281987</v>
      </c>
      <c r="J844"/>
    </row>
    <row r="845" spans="1:10" ht="15.75" customHeight="1">
      <c r="A845" t="s">
        <v>1838</v>
      </c>
      <c r="B845">
        <v>317901</v>
      </c>
      <c r="C845">
        <v>1</v>
      </c>
      <c r="D845" t="str">
        <f t="shared" si="13"/>
        <v>1317901.992</v>
      </c>
      <c r="E845" t="s">
        <v>3264</v>
      </c>
      <c r="F845" s="242"/>
      <c r="G845"/>
      <c r="H845" s="242">
        <v>-120000</v>
      </c>
      <c r="I845" s="242">
        <v>-81985</v>
      </c>
      <c r="J845"/>
    </row>
    <row r="846" spans="1:10" ht="15.75" customHeight="1">
      <c r="A846" t="s">
        <v>1842</v>
      </c>
      <c r="B846">
        <v>317901</v>
      </c>
      <c r="C846">
        <v>1</v>
      </c>
      <c r="D846" t="str">
        <f t="shared" si="13"/>
        <v>1317901.993</v>
      </c>
      <c r="E846" t="s">
        <v>3265</v>
      </c>
      <c r="F846" s="242"/>
      <c r="G846"/>
      <c r="H846" s="242">
        <v>-80000</v>
      </c>
      <c r="I846" s="242">
        <v>-80000</v>
      </c>
      <c r="J846"/>
    </row>
    <row r="847" spans="1:10" ht="15.75" customHeight="1">
      <c r="A847" t="s">
        <v>3266</v>
      </c>
      <c r="B847">
        <v>317902</v>
      </c>
      <c r="C847">
        <v>1</v>
      </c>
      <c r="D847" t="str">
        <f t="shared" si="13"/>
        <v>1317902.941</v>
      </c>
      <c r="E847" t="s">
        <v>4667</v>
      </c>
      <c r="F847" s="242"/>
      <c r="G847"/>
      <c r="H847" s="242">
        <v>-300000</v>
      </c>
      <c r="I847" s="242">
        <v>-336401</v>
      </c>
      <c r="J847"/>
    </row>
    <row r="848" spans="1:10" ht="15.75" customHeight="1">
      <c r="A848" t="s">
        <v>1711</v>
      </c>
      <c r="B848">
        <v>317902</v>
      </c>
      <c r="C848">
        <v>1</v>
      </c>
      <c r="D848" t="str">
        <f t="shared" si="13"/>
        <v>1317902.942</v>
      </c>
      <c r="E848" t="s">
        <v>3267</v>
      </c>
      <c r="F848" s="242"/>
      <c r="G848"/>
      <c r="H848" s="242">
        <v>0</v>
      </c>
      <c r="I848" s="242">
        <v>0</v>
      </c>
      <c r="J848"/>
    </row>
    <row r="849" spans="1:10" ht="15.75" customHeight="1">
      <c r="A849" t="s">
        <v>1731</v>
      </c>
      <c r="B849">
        <v>317902</v>
      </c>
      <c r="C849">
        <v>1</v>
      </c>
      <c r="D849" t="str">
        <f t="shared" si="13"/>
        <v>1317902.943</v>
      </c>
      <c r="E849" t="s">
        <v>3268</v>
      </c>
      <c r="F849" s="242"/>
      <c r="G849"/>
      <c r="H849" s="242">
        <v>-72000</v>
      </c>
      <c r="I849" s="242">
        <v>-72000</v>
      </c>
      <c r="J849"/>
    </row>
    <row r="850" spans="1:10" ht="15.75" customHeight="1">
      <c r="A850" t="s">
        <v>1746</v>
      </c>
      <c r="B850">
        <v>317902</v>
      </c>
      <c r="C850">
        <v>1</v>
      </c>
      <c r="D850" t="str">
        <f t="shared" si="13"/>
        <v>1317902.944</v>
      </c>
      <c r="E850" t="s">
        <v>3269</v>
      </c>
      <c r="F850" s="242"/>
      <c r="G850"/>
      <c r="H850" s="242">
        <v>-100000</v>
      </c>
      <c r="I850" s="242">
        <v>-40544</v>
      </c>
      <c r="J850"/>
    </row>
    <row r="851" spans="1:10" ht="15.75" customHeight="1">
      <c r="A851" t="s">
        <v>1653</v>
      </c>
      <c r="B851">
        <v>317903</v>
      </c>
      <c r="C851">
        <v>1</v>
      </c>
      <c r="D851" t="str">
        <f t="shared" si="13"/>
        <v>1317903.923</v>
      </c>
      <c r="E851" t="s">
        <v>3270</v>
      </c>
      <c r="F851" s="242"/>
      <c r="G851"/>
      <c r="H851" s="242">
        <v>-120000</v>
      </c>
      <c r="I851" s="242">
        <v>-77756</v>
      </c>
      <c r="J851"/>
    </row>
    <row r="852" spans="1:10" ht="15.75" customHeight="1">
      <c r="A852" t="s">
        <v>3014</v>
      </c>
      <c r="B852">
        <v>317903</v>
      </c>
      <c r="C852">
        <v>1</v>
      </c>
      <c r="D852" t="str">
        <f t="shared" si="13"/>
        <v>1317903.924</v>
      </c>
      <c r="E852" t="s">
        <v>4668</v>
      </c>
      <c r="F852" s="242"/>
      <c r="G852"/>
      <c r="H852" s="242">
        <v>-50000</v>
      </c>
      <c r="I852" s="242">
        <v>-48796</v>
      </c>
      <c r="J852"/>
    </row>
    <row r="853" spans="1:10" ht="15.75" customHeight="1">
      <c r="A853" t="s">
        <v>3021</v>
      </c>
      <c r="B853">
        <v>317903</v>
      </c>
      <c r="C853">
        <v>1</v>
      </c>
      <c r="D853" t="str">
        <f t="shared" si="13"/>
        <v>1317903.925</v>
      </c>
      <c r="E853" t="s">
        <v>3271</v>
      </c>
      <c r="F853" s="242"/>
      <c r="G853"/>
      <c r="H853" s="242">
        <v>-100000</v>
      </c>
      <c r="I853" s="242">
        <v>-118793</v>
      </c>
      <c r="J853"/>
    </row>
    <row r="854" spans="1:10" ht="15.75" customHeight="1">
      <c r="A854" t="s">
        <v>3016</v>
      </c>
      <c r="B854">
        <v>317903</v>
      </c>
      <c r="C854">
        <v>1</v>
      </c>
      <c r="D854" t="str">
        <f t="shared" si="13"/>
        <v>1317903.926</v>
      </c>
      <c r="E854" t="s">
        <v>3272</v>
      </c>
      <c r="F854" s="242"/>
      <c r="G854"/>
      <c r="H854" s="242">
        <v>-136688</v>
      </c>
      <c r="I854" s="242">
        <v>-127593</v>
      </c>
      <c r="J854"/>
    </row>
    <row r="855" spans="1:10" ht="15.75" customHeight="1">
      <c r="A855" t="s">
        <v>3022</v>
      </c>
      <c r="B855">
        <v>317903</v>
      </c>
      <c r="C855">
        <v>1</v>
      </c>
      <c r="D855" t="str">
        <f t="shared" si="13"/>
        <v>1317903.927</v>
      </c>
      <c r="E855" t="s">
        <v>3273</v>
      </c>
      <c r="F855" s="242"/>
      <c r="G855"/>
      <c r="H855" s="242">
        <v>-118404</v>
      </c>
      <c r="I855" s="242">
        <v>-118308</v>
      </c>
      <c r="J855"/>
    </row>
    <row r="856" spans="1:10" ht="15.75" customHeight="1">
      <c r="A856" t="s">
        <v>3112</v>
      </c>
      <c r="B856">
        <v>317903</v>
      </c>
      <c r="C856">
        <v>1</v>
      </c>
      <c r="D856" t="str">
        <f t="shared" si="13"/>
        <v>1317903.928</v>
      </c>
      <c r="E856" t="s">
        <v>3274</v>
      </c>
      <c r="F856" s="242"/>
      <c r="G856"/>
      <c r="H856" s="242">
        <v>-179000</v>
      </c>
      <c r="I856" s="242">
        <v>-187557</v>
      </c>
      <c r="J856"/>
    </row>
    <row r="857" spans="1:10" ht="15.75" customHeight="1">
      <c r="A857" t="s">
        <v>3088</v>
      </c>
      <c r="B857">
        <v>317903</v>
      </c>
      <c r="C857">
        <v>1</v>
      </c>
      <c r="D857" t="str">
        <f t="shared" si="13"/>
        <v>1317903.929</v>
      </c>
      <c r="E857" t="s">
        <v>3275</v>
      </c>
      <c r="F857" s="242"/>
      <c r="G857"/>
      <c r="H857" s="242">
        <v>-150000</v>
      </c>
      <c r="I857" s="242">
        <v>-142504</v>
      </c>
      <c r="J857"/>
    </row>
    <row r="858" spans="1:10" ht="15.75" customHeight="1">
      <c r="A858" t="s">
        <v>3276</v>
      </c>
      <c r="B858">
        <v>317904</v>
      </c>
      <c r="C858">
        <v>1</v>
      </c>
      <c r="D858" t="str">
        <f t="shared" si="13"/>
        <v>1317904.952</v>
      </c>
      <c r="E858" t="s">
        <v>3277</v>
      </c>
      <c r="F858" s="242"/>
      <c r="G858"/>
      <c r="H858" s="242">
        <v>-60000</v>
      </c>
      <c r="I858" s="242">
        <v>-49871</v>
      </c>
      <c r="J858"/>
    </row>
    <row r="859" spans="1:10" ht="15.75" customHeight="1">
      <c r="A859" t="s">
        <v>3278</v>
      </c>
      <c r="B859">
        <v>317904</v>
      </c>
      <c r="C859">
        <v>1</v>
      </c>
      <c r="D859" t="str">
        <f t="shared" si="13"/>
        <v>1317904.953</v>
      </c>
      <c r="E859" t="s">
        <v>3279</v>
      </c>
      <c r="F859" s="242"/>
      <c r="G859"/>
      <c r="H859" s="242">
        <v>0</v>
      </c>
      <c r="I859" s="242">
        <v>0</v>
      </c>
      <c r="J859"/>
    </row>
    <row r="860" spans="1:10" ht="15.75" customHeight="1">
      <c r="A860" t="s">
        <v>1653</v>
      </c>
      <c r="B860">
        <v>317913</v>
      </c>
      <c r="C860">
        <v>1</v>
      </c>
      <c r="D860" t="str">
        <f t="shared" si="13"/>
        <v>1317913.923</v>
      </c>
      <c r="E860" t="s">
        <v>4669</v>
      </c>
      <c r="F860" s="242"/>
      <c r="G860"/>
      <c r="H860" s="242">
        <v>-30000</v>
      </c>
      <c r="I860" s="242">
        <v>-30000</v>
      </c>
      <c r="J860"/>
    </row>
    <row r="861" spans="1:10" ht="15.75" customHeight="1">
      <c r="A861" t="s">
        <v>3014</v>
      </c>
      <c r="B861">
        <v>317913</v>
      </c>
      <c r="C861">
        <v>1</v>
      </c>
      <c r="D861" t="str">
        <f t="shared" si="13"/>
        <v>1317913.924</v>
      </c>
      <c r="E861" t="s">
        <v>4670</v>
      </c>
      <c r="F861" s="242"/>
      <c r="G861"/>
      <c r="H861" s="242">
        <v>-44000</v>
      </c>
      <c r="I861" s="242">
        <v>-41800</v>
      </c>
      <c r="J861"/>
    </row>
    <row r="862" spans="1:10" ht="15.75" customHeight="1">
      <c r="A862" t="s">
        <v>3021</v>
      </c>
      <c r="B862">
        <v>317913</v>
      </c>
      <c r="C862">
        <v>1</v>
      </c>
      <c r="D862" t="str">
        <f t="shared" si="13"/>
        <v>1317913.925</v>
      </c>
      <c r="E862" t="s">
        <v>3280</v>
      </c>
      <c r="F862" s="242"/>
      <c r="G862"/>
      <c r="H862" s="242">
        <v>-201000</v>
      </c>
      <c r="I862" s="242">
        <v>-125819</v>
      </c>
      <c r="J862"/>
    </row>
    <row r="863" spans="1:10" ht="15.75" customHeight="1">
      <c r="A863" t="s">
        <v>3016</v>
      </c>
      <c r="B863">
        <v>317913</v>
      </c>
      <c r="C863">
        <v>1</v>
      </c>
      <c r="D863" t="str">
        <f t="shared" si="13"/>
        <v>1317913.926</v>
      </c>
      <c r="E863" t="s">
        <v>3281</v>
      </c>
      <c r="F863" s="242"/>
      <c r="G863"/>
      <c r="H863" s="242">
        <v>-150000</v>
      </c>
      <c r="I863" s="242">
        <v>-159686</v>
      </c>
      <c r="J863"/>
    </row>
    <row r="864" spans="1:10" ht="15.75" customHeight="1">
      <c r="A864" t="s">
        <v>3022</v>
      </c>
      <c r="B864">
        <v>317913</v>
      </c>
      <c r="C864">
        <v>1</v>
      </c>
      <c r="D864" t="str">
        <f t="shared" si="13"/>
        <v>1317913.927</v>
      </c>
      <c r="E864" t="s">
        <v>3282</v>
      </c>
      <c r="F864" s="242"/>
      <c r="G864"/>
      <c r="H864" s="242">
        <v>-21758</v>
      </c>
      <c r="I864" s="242">
        <v>-21758</v>
      </c>
      <c r="J864"/>
    </row>
    <row r="865" spans="1:10" ht="15.75" customHeight="1">
      <c r="A865" t="s">
        <v>3112</v>
      </c>
      <c r="B865">
        <v>317920</v>
      </c>
      <c r="C865">
        <v>1</v>
      </c>
      <c r="D865" t="str">
        <f t="shared" si="13"/>
        <v>1317920.928</v>
      </c>
      <c r="E865" t="s">
        <v>3546</v>
      </c>
      <c r="F865" s="242"/>
      <c r="G865"/>
      <c r="H865" s="242">
        <v>-75000</v>
      </c>
      <c r="I865" s="242">
        <v>-19524</v>
      </c>
      <c r="J865"/>
    </row>
    <row r="866" spans="1:10" ht="15.75" customHeight="1">
      <c r="A866" t="s">
        <v>1838</v>
      </c>
      <c r="B866">
        <v>317940</v>
      </c>
      <c r="C866">
        <v>1</v>
      </c>
      <c r="D866" t="str">
        <f t="shared" si="13"/>
        <v>1317940.992</v>
      </c>
      <c r="E866" t="s">
        <v>3286</v>
      </c>
      <c r="F866" s="242"/>
      <c r="G866"/>
      <c r="H866" s="242">
        <v>-112500</v>
      </c>
      <c r="I866" s="242">
        <v>0</v>
      </c>
      <c r="J866"/>
    </row>
    <row r="867" spans="1:10" ht="15.75" customHeight="1">
      <c r="A867" t="s">
        <v>3012</v>
      </c>
      <c r="B867">
        <v>317951</v>
      </c>
      <c r="C867">
        <v>1</v>
      </c>
      <c r="D867" t="str">
        <f t="shared" si="13"/>
        <v>1317951.920</v>
      </c>
      <c r="E867" t="s">
        <v>3504</v>
      </c>
      <c r="F867" s="242"/>
      <c r="G867"/>
      <c r="H867" s="242">
        <v>-184000</v>
      </c>
      <c r="I867" s="242">
        <v>-181530</v>
      </c>
      <c r="J867"/>
    </row>
    <row r="868" spans="1:10" ht="15.75" customHeight="1">
      <c r="A868" t="s">
        <v>3082</v>
      </c>
      <c r="B868">
        <v>317951</v>
      </c>
      <c r="C868">
        <v>1</v>
      </c>
      <c r="D868" t="str">
        <f t="shared" si="13"/>
        <v>1317951.921</v>
      </c>
      <c r="E868" t="s">
        <v>3505</v>
      </c>
      <c r="F868" s="242"/>
      <c r="G868"/>
      <c r="H868" s="242">
        <v>-44000</v>
      </c>
      <c r="I868" s="242">
        <v>-43469</v>
      </c>
      <c r="J868"/>
    </row>
    <row r="869" spans="1:10" ht="15.75" customHeight="1">
      <c r="A869" t="s">
        <v>1648</v>
      </c>
      <c r="B869">
        <v>317951</v>
      </c>
      <c r="C869">
        <v>1</v>
      </c>
      <c r="D869" t="str">
        <f t="shared" si="13"/>
        <v>1317951.922</v>
      </c>
      <c r="E869" t="s">
        <v>3020</v>
      </c>
      <c r="F869" s="242"/>
      <c r="G869"/>
      <c r="H869" s="242">
        <v>0</v>
      </c>
      <c r="I869" s="242">
        <v>0</v>
      </c>
      <c r="J869"/>
    </row>
    <row r="870" spans="1:10" ht="15.75" customHeight="1">
      <c r="A870" t="s">
        <v>1653</v>
      </c>
      <c r="B870">
        <v>317951</v>
      </c>
      <c r="C870">
        <v>1</v>
      </c>
      <c r="D870" t="str">
        <f t="shared" si="13"/>
        <v>1317951.923</v>
      </c>
      <c r="E870" t="s">
        <v>3506</v>
      </c>
      <c r="F870" s="242"/>
      <c r="G870"/>
      <c r="H870" s="242">
        <v>-176000</v>
      </c>
      <c r="I870" s="242">
        <v>-173054</v>
      </c>
      <c r="J870"/>
    </row>
    <row r="871" spans="1:10" ht="15.75" customHeight="1">
      <c r="A871" t="s">
        <v>3012</v>
      </c>
      <c r="B871">
        <v>317960</v>
      </c>
      <c r="C871">
        <v>1</v>
      </c>
      <c r="D871" t="str">
        <f t="shared" si="13"/>
        <v>1317960.920</v>
      </c>
      <c r="E871" t="s">
        <v>3261</v>
      </c>
      <c r="F871" s="242"/>
      <c r="G871"/>
      <c r="H871" s="242">
        <v>-1180000</v>
      </c>
      <c r="I871" s="242">
        <v>-1071152</v>
      </c>
      <c r="J871"/>
    </row>
    <row r="872" spans="1:10" ht="15.75" customHeight="1">
      <c r="A872" t="s">
        <v>3012</v>
      </c>
      <c r="B872">
        <v>318000</v>
      </c>
      <c r="C872">
        <v>1</v>
      </c>
      <c r="D872" t="str">
        <f t="shared" si="13"/>
        <v>1318000.920</v>
      </c>
      <c r="E872" t="s">
        <v>3528</v>
      </c>
      <c r="F872" s="242"/>
      <c r="G872"/>
      <c r="H872" s="242">
        <v>-38000</v>
      </c>
      <c r="I872" s="242">
        <v>0</v>
      </c>
      <c r="J872"/>
    </row>
    <row r="873" spans="1:10" ht="15.75" customHeight="1">
      <c r="A873" t="s">
        <v>3082</v>
      </c>
      <c r="B873">
        <v>318000</v>
      </c>
      <c r="C873">
        <v>1</v>
      </c>
      <c r="D873" t="str">
        <f t="shared" si="13"/>
        <v>1318000.921</v>
      </c>
      <c r="E873" t="s">
        <v>3529</v>
      </c>
      <c r="F873" s="242"/>
      <c r="G873"/>
      <c r="H873" s="242">
        <v>-90000</v>
      </c>
      <c r="I873" s="242">
        <v>0</v>
      </c>
      <c r="J873"/>
    </row>
    <row r="874" spans="1:10" ht="15.75" customHeight="1">
      <c r="A874" t="s">
        <v>1653</v>
      </c>
      <c r="B874">
        <v>318000</v>
      </c>
      <c r="C874">
        <v>1</v>
      </c>
      <c r="D874" t="str">
        <f t="shared" si="13"/>
        <v>1318000.923</v>
      </c>
      <c r="E874" t="s">
        <v>3530</v>
      </c>
      <c r="F874" s="242"/>
      <c r="G874"/>
      <c r="H874" s="242">
        <v>-40000</v>
      </c>
      <c r="I874" s="242">
        <v>0</v>
      </c>
      <c r="J874"/>
    </row>
    <row r="875" spans="1:10" ht="15.75" customHeight="1">
      <c r="A875" t="s">
        <v>1842</v>
      </c>
      <c r="B875">
        <v>318000</v>
      </c>
      <c r="C875">
        <v>1</v>
      </c>
      <c r="D875" t="str">
        <f t="shared" si="13"/>
        <v>1318000.993</v>
      </c>
      <c r="E875" t="s">
        <v>3531</v>
      </c>
      <c r="F875" s="242"/>
      <c r="G875"/>
      <c r="H875" s="242">
        <v>-30000</v>
      </c>
      <c r="I875" s="242">
        <v>-23758</v>
      </c>
      <c r="J875"/>
    </row>
    <row r="876" spans="1:10" ht="15.75" customHeight="1">
      <c r="A876" t="s">
        <v>2717</v>
      </c>
      <c r="B876">
        <v>319171</v>
      </c>
      <c r="C876">
        <v>1</v>
      </c>
      <c r="D876" t="str">
        <f t="shared" si="13"/>
        <v>1319171.990</v>
      </c>
      <c r="E876" t="s">
        <v>3458</v>
      </c>
      <c r="F876" s="242"/>
      <c r="G876"/>
      <c r="H876" s="242">
        <v>-586000</v>
      </c>
      <c r="I876" s="242">
        <v>-441238</v>
      </c>
      <c r="J876"/>
    </row>
    <row r="877" spans="1:10" ht="15.75" customHeight="1">
      <c r="A877" t="s">
        <v>2634</v>
      </c>
      <c r="B877">
        <v>319320</v>
      </c>
      <c r="C877">
        <v>1</v>
      </c>
      <c r="D877" t="str">
        <f t="shared" si="13"/>
        <v>1319320.490</v>
      </c>
      <c r="E877" t="s">
        <v>3477</v>
      </c>
      <c r="F877" s="242"/>
      <c r="G877"/>
      <c r="H877" s="242">
        <v>-493000</v>
      </c>
      <c r="I877" s="242">
        <v>-339245</v>
      </c>
      <c r="J877"/>
    </row>
    <row r="878" spans="1:10" ht="15.75" customHeight="1">
      <c r="A878" t="s">
        <v>2634</v>
      </c>
      <c r="B878">
        <v>319330</v>
      </c>
      <c r="C878">
        <v>1</v>
      </c>
      <c r="D878" t="str">
        <f t="shared" si="13"/>
        <v>1319330.490</v>
      </c>
      <c r="E878" t="s">
        <v>3477</v>
      </c>
      <c r="F878" s="242"/>
      <c r="G878"/>
      <c r="H878" s="242">
        <v>-330000</v>
      </c>
      <c r="I878" s="242">
        <v>-227073</v>
      </c>
      <c r="J878"/>
    </row>
    <row r="879" spans="1:10" ht="15.75" customHeight="1">
      <c r="A879" t="s">
        <v>3014</v>
      </c>
      <c r="B879">
        <v>319340</v>
      </c>
      <c r="C879">
        <v>1</v>
      </c>
      <c r="D879" t="str">
        <f t="shared" si="13"/>
        <v>1319340.924</v>
      </c>
      <c r="E879" t="s">
        <v>3478</v>
      </c>
      <c r="F879" s="242"/>
      <c r="G879"/>
      <c r="H879" s="242">
        <v>-36400</v>
      </c>
      <c r="I879" s="242">
        <v>-15960</v>
      </c>
      <c r="J879"/>
    </row>
    <row r="880" spans="1:10" ht="15.75" customHeight="1">
      <c r="A880" t="s">
        <v>3082</v>
      </c>
      <c r="B880">
        <v>319350</v>
      </c>
      <c r="C880">
        <v>1</v>
      </c>
      <c r="D880" t="str">
        <f t="shared" si="13"/>
        <v>1319350.921</v>
      </c>
      <c r="E880" t="s">
        <v>3479</v>
      </c>
      <c r="F880" s="242"/>
      <c r="G880"/>
      <c r="H880" s="242">
        <v>-82000</v>
      </c>
      <c r="I880" s="242">
        <v>-56053</v>
      </c>
      <c r="J880"/>
    </row>
    <row r="881" spans="1:10" ht="15.75" customHeight="1">
      <c r="A881" t="s">
        <v>1653</v>
      </c>
      <c r="B881">
        <v>319350</v>
      </c>
      <c r="C881">
        <v>1</v>
      </c>
      <c r="D881" t="str">
        <f t="shared" si="13"/>
        <v>1319350.923</v>
      </c>
      <c r="E881" t="s">
        <v>3480</v>
      </c>
      <c r="F881" s="242"/>
      <c r="G881"/>
      <c r="H881" s="242">
        <v>-246000</v>
      </c>
      <c r="I881" s="242">
        <v>-166877</v>
      </c>
      <c r="J881"/>
    </row>
    <row r="882" spans="1:10" ht="15.75" customHeight="1">
      <c r="A882" t="s">
        <v>3014</v>
      </c>
      <c r="B882">
        <v>319350</v>
      </c>
      <c r="C882">
        <v>1</v>
      </c>
      <c r="D882" t="str">
        <f t="shared" si="13"/>
        <v>1319350.924</v>
      </c>
      <c r="E882" t="s">
        <v>3481</v>
      </c>
      <c r="F882" s="242"/>
      <c r="G882"/>
      <c r="H882" s="242">
        <v>-38700</v>
      </c>
      <c r="I882" s="242">
        <v>-26094</v>
      </c>
      <c r="J882"/>
    </row>
    <row r="883" spans="1:10" ht="15.75" customHeight="1">
      <c r="A883" t="s">
        <v>3082</v>
      </c>
      <c r="B883">
        <v>319370</v>
      </c>
      <c r="C883">
        <v>1</v>
      </c>
      <c r="D883" t="str">
        <f t="shared" si="13"/>
        <v>1319370.921</v>
      </c>
      <c r="E883" t="s">
        <v>3482</v>
      </c>
      <c r="F883" s="242"/>
      <c r="G883"/>
      <c r="H883" s="242">
        <v>-78000</v>
      </c>
      <c r="I883" s="242">
        <v>-92237</v>
      </c>
      <c r="J883"/>
    </row>
    <row r="884" spans="1:10" ht="15.75" customHeight="1">
      <c r="A884" t="s">
        <v>1653</v>
      </c>
      <c r="B884">
        <v>319370</v>
      </c>
      <c r="C884">
        <v>1</v>
      </c>
      <c r="D884" t="str">
        <f t="shared" si="13"/>
        <v>1319370.923</v>
      </c>
      <c r="E884" t="s">
        <v>3483</v>
      </c>
      <c r="F884" s="242"/>
      <c r="G884"/>
      <c r="H884" s="242">
        <v>-250000</v>
      </c>
      <c r="I884" s="242">
        <v>-282538</v>
      </c>
      <c r="J884"/>
    </row>
    <row r="885" spans="1:10" ht="15.75" customHeight="1">
      <c r="A885" t="s">
        <v>3014</v>
      </c>
      <c r="B885">
        <v>319370</v>
      </c>
      <c r="C885">
        <v>1</v>
      </c>
      <c r="D885" t="str">
        <f t="shared" si="13"/>
        <v>1319370.924</v>
      </c>
      <c r="E885" t="s">
        <v>3484</v>
      </c>
      <c r="F885" s="242"/>
      <c r="G885"/>
      <c r="H885" s="242">
        <v>-136000</v>
      </c>
      <c r="I885" s="242">
        <v>-141934</v>
      </c>
      <c r="J885"/>
    </row>
    <row r="886" spans="1:10" ht="15.75" customHeight="1">
      <c r="A886" t="s">
        <v>3112</v>
      </c>
      <c r="B886">
        <v>319370</v>
      </c>
      <c r="C886">
        <v>1</v>
      </c>
      <c r="D886" t="str">
        <f t="shared" si="13"/>
        <v>1319370.928</v>
      </c>
      <c r="E886" t="s">
        <v>3485</v>
      </c>
      <c r="F886" s="242"/>
      <c r="G886"/>
      <c r="H886" s="242">
        <v>0</v>
      </c>
      <c r="I886" s="242">
        <v>-400</v>
      </c>
      <c r="J886"/>
    </row>
    <row r="887" spans="1:10" ht="15.75" customHeight="1">
      <c r="A887" t="s">
        <v>2717</v>
      </c>
      <c r="B887">
        <v>321000</v>
      </c>
      <c r="C887">
        <v>1</v>
      </c>
      <c r="D887" t="str">
        <f t="shared" si="13"/>
        <v>1321000.990</v>
      </c>
      <c r="E887" t="s">
        <v>3532</v>
      </c>
      <c r="F887" s="242"/>
      <c r="G887"/>
      <c r="H887" s="242">
        <v>0</v>
      </c>
      <c r="I887" s="242">
        <v>-75000</v>
      </c>
      <c r="J887"/>
    </row>
    <row r="888" spans="1:10" ht="15.75" customHeight="1">
      <c r="A888" t="s">
        <v>2717</v>
      </c>
      <c r="B888">
        <v>322240</v>
      </c>
      <c r="C888">
        <v>1</v>
      </c>
      <c r="D888" t="str">
        <f t="shared" si="13"/>
        <v>1322240.990</v>
      </c>
      <c r="E888" t="s">
        <v>3625</v>
      </c>
      <c r="F888" s="242"/>
      <c r="G888"/>
      <c r="H888" s="242">
        <v>0</v>
      </c>
      <c r="I888" s="242">
        <v>-80000</v>
      </c>
      <c r="J888"/>
    </row>
    <row r="889" spans="1:10" ht="15.75" customHeight="1">
      <c r="A889" t="s">
        <v>1847</v>
      </c>
      <c r="B889">
        <v>322240</v>
      </c>
      <c r="C889">
        <v>1</v>
      </c>
      <c r="D889" t="str">
        <f t="shared" si="13"/>
        <v>1322240.994</v>
      </c>
      <c r="E889" t="s">
        <v>3626</v>
      </c>
      <c r="F889" s="242"/>
      <c r="G889"/>
      <c r="H889" s="242">
        <v>0</v>
      </c>
      <c r="I889" s="242">
        <v>0</v>
      </c>
      <c r="J889"/>
    </row>
    <row r="890" spans="1:10" ht="15.75" customHeight="1">
      <c r="A890" t="s">
        <v>2634</v>
      </c>
      <c r="B890">
        <v>323000</v>
      </c>
      <c r="C890">
        <v>1</v>
      </c>
      <c r="D890" t="str">
        <f t="shared" si="13"/>
        <v>1323000.490</v>
      </c>
      <c r="E890" t="s">
        <v>2861</v>
      </c>
      <c r="F890" s="242"/>
      <c r="G890"/>
      <c r="H890" s="242">
        <v>-2000</v>
      </c>
      <c r="I890" s="242">
        <v>-1400</v>
      </c>
      <c r="J890"/>
    </row>
    <row r="891" spans="1:10" ht="15.75" customHeight="1">
      <c r="A891" t="s">
        <v>2652</v>
      </c>
      <c r="B891">
        <v>325110</v>
      </c>
      <c r="C891">
        <v>1</v>
      </c>
      <c r="D891" t="str">
        <f t="shared" si="13"/>
        <v>1325110.420</v>
      </c>
      <c r="E891" t="s">
        <v>3560</v>
      </c>
      <c r="F891" s="242"/>
      <c r="G891"/>
      <c r="H891" s="242">
        <v>-2100000</v>
      </c>
      <c r="I891" s="242">
        <v>-1838645</v>
      </c>
      <c r="J891"/>
    </row>
    <row r="892" spans="1:10" ht="15.75" customHeight="1">
      <c r="A892" t="s">
        <v>3082</v>
      </c>
      <c r="B892">
        <v>325110</v>
      </c>
      <c r="C892">
        <v>1</v>
      </c>
      <c r="D892" t="str">
        <f t="shared" si="13"/>
        <v>1325110.921</v>
      </c>
      <c r="E892" t="s">
        <v>3606</v>
      </c>
      <c r="F892" s="242"/>
      <c r="G892"/>
      <c r="H892" s="242">
        <v>-350000</v>
      </c>
      <c r="I892" s="242">
        <v>-452035</v>
      </c>
      <c r="J892"/>
    </row>
    <row r="893" spans="1:10" ht="15.75" customHeight="1">
      <c r="A893" t="s">
        <v>3088</v>
      </c>
      <c r="B893">
        <v>325110</v>
      </c>
      <c r="C893">
        <v>1</v>
      </c>
      <c r="D893" t="str">
        <f t="shared" si="13"/>
        <v>1325110.929</v>
      </c>
      <c r="E893" t="s">
        <v>3607</v>
      </c>
      <c r="F893" s="242"/>
      <c r="G893"/>
      <c r="H893" s="242">
        <v>-42000</v>
      </c>
      <c r="I893" s="242">
        <v>-29081</v>
      </c>
      <c r="J893"/>
    </row>
    <row r="894" spans="1:10" ht="15.75" customHeight="1">
      <c r="A894" t="s">
        <v>2755</v>
      </c>
      <c r="B894">
        <v>325300</v>
      </c>
      <c r="C894">
        <v>1</v>
      </c>
      <c r="D894" t="str">
        <f t="shared" si="13"/>
        <v>1325300.491</v>
      </c>
      <c r="E894" t="s">
        <v>3613</v>
      </c>
      <c r="F894" s="242"/>
      <c r="G894"/>
      <c r="H894" s="242">
        <v>-10000</v>
      </c>
      <c r="I894" s="242">
        <v>-9260</v>
      </c>
      <c r="J894"/>
    </row>
    <row r="895" spans="1:10" ht="15.75" customHeight="1">
      <c r="A895" t="s">
        <v>2717</v>
      </c>
      <c r="B895">
        <v>325300</v>
      </c>
      <c r="C895">
        <v>1</v>
      </c>
      <c r="D895" t="str">
        <f t="shared" si="13"/>
        <v>1325300.990</v>
      </c>
      <c r="E895" t="s">
        <v>3610</v>
      </c>
      <c r="F895" s="242"/>
      <c r="G895"/>
      <c r="H895" s="242">
        <v>-120000</v>
      </c>
      <c r="I895" s="242">
        <v>-120000</v>
      </c>
      <c r="J895"/>
    </row>
    <row r="896" spans="1:10" ht="15.75" customHeight="1">
      <c r="A896" t="s">
        <v>2717</v>
      </c>
      <c r="B896">
        <v>326200</v>
      </c>
      <c r="C896">
        <v>1</v>
      </c>
      <c r="D896" t="str">
        <f t="shared" si="13"/>
        <v>1326200.990</v>
      </c>
      <c r="E896" t="s">
        <v>3610</v>
      </c>
      <c r="F896" s="242"/>
      <c r="G896"/>
      <c r="H896" s="242">
        <v>-30000</v>
      </c>
      <c r="I896" s="242">
        <v>-329295</v>
      </c>
      <c r="J896"/>
    </row>
    <row r="897" spans="1:10" ht="15.75" customHeight="1">
      <c r="A897" t="s">
        <v>3673</v>
      </c>
      <c r="B897">
        <v>326410</v>
      </c>
      <c r="C897">
        <v>1</v>
      </c>
      <c r="D897" t="str">
        <f t="shared" si="13"/>
        <v>1326410.495</v>
      </c>
      <c r="E897" t="s">
        <v>3674</v>
      </c>
      <c r="F897" s="242"/>
      <c r="G897"/>
      <c r="H897" s="242">
        <v>-100</v>
      </c>
      <c r="I897" s="242">
        <v>-28130</v>
      </c>
      <c r="J897"/>
    </row>
    <row r="898" spans="1:10" ht="15.75" customHeight="1">
      <c r="A898" t="s">
        <v>3544</v>
      </c>
      <c r="B898">
        <v>326410</v>
      </c>
      <c r="C898">
        <v>1</v>
      </c>
      <c r="D898" t="str">
        <f t="shared" si="13"/>
        <v>1326410.970</v>
      </c>
      <c r="E898" t="s">
        <v>3675</v>
      </c>
      <c r="F898" s="242"/>
      <c r="G898"/>
      <c r="H898" s="242">
        <v>-90000</v>
      </c>
      <c r="I898" s="242">
        <v>0</v>
      </c>
      <c r="J898"/>
    </row>
    <row r="899" spans="1:10" ht="15.75" customHeight="1">
      <c r="A899" t="s">
        <v>2980</v>
      </c>
      <c r="B899">
        <v>326500</v>
      </c>
      <c r="C899">
        <v>1</v>
      </c>
      <c r="D899" t="str">
        <f t="shared" ref="D899:D962" si="14">C899&amp;B899&amp;"."&amp;A899</f>
        <v>1326500.651</v>
      </c>
      <c r="E899" t="s">
        <v>2996</v>
      </c>
      <c r="F899" s="242"/>
      <c r="G899"/>
      <c r="H899" s="242">
        <v>0</v>
      </c>
      <c r="I899" s="242">
        <v>0</v>
      </c>
      <c r="J899"/>
    </row>
    <row r="900" spans="1:10" ht="15.75" customHeight="1">
      <c r="A900" t="s">
        <v>2717</v>
      </c>
      <c r="B900">
        <v>326501</v>
      </c>
      <c r="C900">
        <v>1</v>
      </c>
      <c r="D900" t="str">
        <f t="shared" si="14"/>
        <v>1326501.990</v>
      </c>
      <c r="E900" t="s">
        <v>3640</v>
      </c>
      <c r="F900" s="242"/>
      <c r="G900"/>
      <c r="H900" s="242">
        <v>0</v>
      </c>
      <c r="I900" s="242">
        <v>-280000</v>
      </c>
      <c r="J900"/>
    </row>
    <row r="901" spans="1:10" ht="15.75" customHeight="1">
      <c r="A901" t="s">
        <v>1648</v>
      </c>
      <c r="B901">
        <v>327000</v>
      </c>
      <c r="C901">
        <v>1</v>
      </c>
      <c r="D901" t="str">
        <f t="shared" si="14"/>
        <v>1327000.922</v>
      </c>
      <c r="E901" t="s">
        <v>3637</v>
      </c>
      <c r="F901" s="242"/>
      <c r="G901"/>
      <c r="H901" s="242">
        <v>-200000</v>
      </c>
      <c r="I901" s="242">
        <v>-531379</v>
      </c>
      <c r="J901"/>
    </row>
    <row r="902" spans="1:10" ht="15.75" customHeight="1">
      <c r="A902" t="s">
        <v>2634</v>
      </c>
      <c r="B902">
        <v>327200</v>
      </c>
      <c r="C902">
        <v>1</v>
      </c>
      <c r="D902" t="str">
        <f t="shared" si="14"/>
        <v>1327200.490</v>
      </c>
      <c r="E902" t="s">
        <v>2895</v>
      </c>
      <c r="F902" s="242"/>
      <c r="G902"/>
      <c r="H902" s="242">
        <v>0</v>
      </c>
      <c r="I902" s="242">
        <v>0</v>
      </c>
      <c r="J902"/>
    </row>
    <row r="903" spans="1:10" ht="15.75" customHeight="1">
      <c r="A903" t="s">
        <v>2689</v>
      </c>
      <c r="B903">
        <v>328200</v>
      </c>
      <c r="C903">
        <v>1</v>
      </c>
      <c r="D903" t="str">
        <f t="shared" si="14"/>
        <v>1328200.770</v>
      </c>
      <c r="E903" t="s">
        <v>3547</v>
      </c>
      <c r="F903" s="242"/>
      <c r="G903"/>
      <c r="H903" s="242">
        <v>0</v>
      </c>
      <c r="I903" s="242">
        <v>0</v>
      </c>
      <c r="J903"/>
    </row>
    <row r="904" spans="1:10" ht="15.75" customHeight="1">
      <c r="A904" t="s">
        <v>2569</v>
      </c>
      <c r="B904">
        <v>328200</v>
      </c>
      <c r="C904">
        <v>1</v>
      </c>
      <c r="D904" t="str">
        <f t="shared" si="14"/>
        <v>1328200.910</v>
      </c>
      <c r="E904" t="s">
        <v>3548</v>
      </c>
      <c r="F904" s="242"/>
      <c r="G904"/>
      <c r="H904" s="242">
        <v>0</v>
      </c>
      <c r="I904" s="242">
        <v>-35000</v>
      </c>
      <c r="J904"/>
    </row>
    <row r="905" spans="1:10" ht="15.75" customHeight="1">
      <c r="A905" t="s">
        <v>3082</v>
      </c>
      <c r="B905">
        <v>328200</v>
      </c>
      <c r="C905">
        <v>1</v>
      </c>
      <c r="D905" t="str">
        <f t="shared" si="14"/>
        <v>1328200.921</v>
      </c>
      <c r="E905" t="s">
        <v>3549</v>
      </c>
      <c r="F905" s="242"/>
      <c r="G905"/>
      <c r="H905" s="242">
        <v>0</v>
      </c>
      <c r="I905" s="242">
        <v>-35067</v>
      </c>
      <c r="J905"/>
    </row>
    <row r="906" spans="1:10" ht="15.75" customHeight="1">
      <c r="A906" t="s">
        <v>1799</v>
      </c>
      <c r="B906">
        <v>328200</v>
      </c>
      <c r="C906">
        <v>1</v>
      </c>
      <c r="D906" t="str">
        <f t="shared" si="14"/>
        <v>1328200.991</v>
      </c>
      <c r="E906" t="s">
        <v>3550</v>
      </c>
      <c r="F906" s="242"/>
      <c r="G906"/>
      <c r="H906" s="242">
        <v>0</v>
      </c>
      <c r="I906" s="242">
        <v>-54390</v>
      </c>
      <c r="J906"/>
    </row>
    <row r="907" spans="1:10" ht="15.75" customHeight="1">
      <c r="A907" t="s">
        <v>3082</v>
      </c>
      <c r="B907">
        <v>328210</v>
      </c>
      <c r="C907">
        <v>1</v>
      </c>
      <c r="D907" t="str">
        <f t="shared" si="14"/>
        <v>1328210.921</v>
      </c>
      <c r="E907" t="s">
        <v>3538</v>
      </c>
      <c r="F907" s="242"/>
      <c r="G907"/>
      <c r="H907" s="242">
        <v>-830000</v>
      </c>
      <c r="I907" s="242">
        <v>-830874</v>
      </c>
      <c r="J907"/>
    </row>
    <row r="908" spans="1:10" ht="15.75" customHeight="1">
      <c r="A908" t="s">
        <v>2652</v>
      </c>
      <c r="B908">
        <v>328231</v>
      </c>
      <c r="C908">
        <v>1</v>
      </c>
      <c r="D908" t="str">
        <f t="shared" si="14"/>
        <v>1328231.420</v>
      </c>
      <c r="E908" t="s">
        <v>3560</v>
      </c>
      <c r="F908" s="242"/>
      <c r="G908"/>
      <c r="H908" s="242">
        <v>-140000</v>
      </c>
      <c r="I908" s="242">
        <v>-94983</v>
      </c>
      <c r="J908"/>
    </row>
    <row r="909" spans="1:10" ht="15.75" customHeight="1">
      <c r="A909" t="s">
        <v>2634</v>
      </c>
      <c r="B909">
        <v>328231</v>
      </c>
      <c r="C909">
        <v>1</v>
      </c>
      <c r="D909" t="str">
        <f t="shared" si="14"/>
        <v>1328231.490</v>
      </c>
      <c r="E909" t="s">
        <v>3561</v>
      </c>
      <c r="F909" s="242"/>
      <c r="G909"/>
      <c r="H909" s="242">
        <v>-20000</v>
      </c>
      <c r="I909" s="242">
        <v>0</v>
      </c>
      <c r="J909"/>
    </row>
    <row r="910" spans="1:10" ht="15.75" customHeight="1">
      <c r="A910" t="s">
        <v>1648</v>
      </c>
      <c r="B910">
        <v>328240</v>
      </c>
      <c r="C910">
        <v>1</v>
      </c>
      <c r="D910" t="str">
        <f t="shared" si="14"/>
        <v>1328240.922</v>
      </c>
      <c r="E910" t="s">
        <v>3020</v>
      </c>
      <c r="F910" s="242"/>
      <c r="G910"/>
      <c r="H910" s="242">
        <v>0</v>
      </c>
      <c r="I910" s="242">
        <v>0</v>
      </c>
      <c r="J910"/>
    </row>
    <row r="911" spans="1:10" ht="15.75" customHeight="1">
      <c r="A911" t="s">
        <v>1653</v>
      </c>
      <c r="B911">
        <v>328240</v>
      </c>
      <c r="C911">
        <v>1</v>
      </c>
      <c r="D911" t="str">
        <f t="shared" si="14"/>
        <v>1328240.923</v>
      </c>
      <c r="E911" t="s">
        <v>3540</v>
      </c>
      <c r="F911" s="242"/>
      <c r="G911"/>
      <c r="H911" s="242">
        <v>-140000</v>
      </c>
      <c r="I911" s="242">
        <v>-356633</v>
      </c>
      <c r="J911"/>
    </row>
    <row r="912" spans="1:10" ht="15.75" customHeight="1">
      <c r="A912" t="s">
        <v>3016</v>
      </c>
      <c r="B912">
        <v>328240</v>
      </c>
      <c r="C912">
        <v>1</v>
      </c>
      <c r="D912" t="str">
        <f t="shared" si="14"/>
        <v>1328240.926</v>
      </c>
      <c r="E912" t="s">
        <v>3541</v>
      </c>
      <c r="F912" s="242"/>
      <c r="G912"/>
      <c r="H912" s="242">
        <v>-60000</v>
      </c>
      <c r="I912" s="242">
        <v>0</v>
      </c>
      <c r="J912"/>
    </row>
    <row r="913" spans="1:10" ht="15.75" customHeight="1">
      <c r="A913" t="s">
        <v>3022</v>
      </c>
      <c r="B913">
        <v>328240</v>
      </c>
      <c r="C913">
        <v>1</v>
      </c>
      <c r="D913" t="str">
        <f t="shared" si="14"/>
        <v>1328240.927</v>
      </c>
      <c r="E913" t="s">
        <v>3542</v>
      </c>
      <c r="F913" s="242"/>
      <c r="G913"/>
      <c r="H913" s="242">
        <v>-100000</v>
      </c>
      <c r="I913" s="242">
        <v>0</v>
      </c>
      <c r="J913"/>
    </row>
    <row r="914" spans="1:10" ht="15.75" customHeight="1">
      <c r="A914" t="s">
        <v>2636</v>
      </c>
      <c r="B914">
        <v>328250</v>
      </c>
      <c r="C914">
        <v>1</v>
      </c>
      <c r="D914" t="str">
        <f t="shared" si="14"/>
        <v>1328250.790</v>
      </c>
      <c r="E914" t="s">
        <v>3558</v>
      </c>
      <c r="F914" s="242"/>
      <c r="G914"/>
      <c r="H914" s="242">
        <v>-370000</v>
      </c>
      <c r="I914" s="242">
        <v>-204866</v>
      </c>
      <c r="J914"/>
    </row>
    <row r="915" spans="1:10" ht="15.75" customHeight="1">
      <c r="A915" t="s">
        <v>2827</v>
      </c>
      <c r="B915">
        <v>328400</v>
      </c>
      <c r="C915">
        <v>1</v>
      </c>
      <c r="D915" t="str">
        <f t="shared" si="14"/>
        <v>1328400.950</v>
      </c>
      <c r="E915" t="s">
        <v>3535</v>
      </c>
      <c r="F915" s="242"/>
      <c r="G915"/>
      <c r="H915" s="242">
        <v>-27000</v>
      </c>
      <c r="I915" s="242">
        <v>-9800</v>
      </c>
      <c r="J915"/>
    </row>
    <row r="916" spans="1:10" ht="15.75" customHeight="1">
      <c r="A916" t="s">
        <v>1838</v>
      </c>
      <c r="B916">
        <v>329300</v>
      </c>
      <c r="C916">
        <v>1</v>
      </c>
      <c r="D916" t="str">
        <f t="shared" si="14"/>
        <v>1329300.992</v>
      </c>
      <c r="E916" t="s">
        <v>3568</v>
      </c>
      <c r="F916" s="242"/>
      <c r="G916"/>
      <c r="H916" s="242">
        <v>0</v>
      </c>
      <c r="I916" s="242">
        <v>0</v>
      </c>
      <c r="J916"/>
    </row>
    <row r="917" spans="1:10" ht="15.75" customHeight="1">
      <c r="A917" t="s">
        <v>2717</v>
      </c>
      <c r="B917">
        <v>329900</v>
      </c>
      <c r="C917">
        <v>1</v>
      </c>
      <c r="D917" t="str">
        <f t="shared" si="14"/>
        <v>1329900.990</v>
      </c>
      <c r="E917" t="s">
        <v>3569</v>
      </c>
      <c r="F917" s="242"/>
      <c r="G917"/>
      <c r="H917" s="242">
        <v>-700000</v>
      </c>
      <c r="I917" s="242">
        <v>-994962</v>
      </c>
      <c r="J917"/>
    </row>
    <row r="918" spans="1:10" ht="15.75" customHeight="1">
      <c r="A918" t="s">
        <v>2634</v>
      </c>
      <c r="B918">
        <v>341000</v>
      </c>
      <c r="C918">
        <v>1</v>
      </c>
      <c r="D918" t="str">
        <f t="shared" si="14"/>
        <v>1341000.490</v>
      </c>
      <c r="E918" t="s">
        <v>2861</v>
      </c>
      <c r="F918" s="242"/>
      <c r="G918"/>
      <c r="H918" s="242">
        <v>-100</v>
      </c>
      <c r="I918" s="242">
        <v>0</v>
      </c>
      <c r="J918"/>
    </row>
    <row r="919" spans="1:10" ht="15.75" customHeight="1">
      <c r="A919" t="s">
        <v>3673</v>
      </c>
      <c r="B919">
        <v>341000</v>
      </c>
      <c r="C919">
        <v>1</v>
      </c>
      <c r="D919" t="str">
        <f t="shared" si="14"/>
        <v>1341000.495</v>
      </c>
      <c r="E919" t="s">
        <v>3804</v>
      </c>
      <c r="F919" s="242"/>
      <c r="G919"/>
      <c r="H919" s="242">
        <v>-100</v>
      </c>
      <c r="I919" s="242">
        <v>0</v>
      </c>
      <c r="J919"/>
    </row>
    <row r="920" spans="1:10" ht="15.75" customHeight="1">
      <c r="A920" t="s">
        <v>2594</v>
      </c>
      <c r="B920">
        <v>341000</v>
      </c>
      <c r="C920">
        <v>1</v>
      </c>
      <c r="D920" t="str">
        <f t="shared" si="14"/>
        <v>1341000.540</v>
      </c>
      <c r="E920" t="s">
        <v>2680</v>
      </c>
      <c r="F920" s="242"/>
      <c r="G920"/>
      <c r="H920" s="242">
        <v>-100</v>
      </c>
      <c r="I920" s="242">
        <v>0</v>
      </c>
      <c r="J920"/>
    </row>
    <row r="921" spans="1:10" ht="15.75" customHeight="1">
      <c r="A921" t="s">
        <v>2636</v>
      </c>
      <c r="B921">
        <v>341000</v>
      </c>
      <c r="C921">
        <v>1</v>
      </c>
      <c r="D921" t="str">
        <f t="shared" si="14"/>
        <v>1341000.790</v>
      </c>
      <c r="E921" t="s">
        <v>3805</v>
      </c>
      <c r="F921" s="242"/>
      <c r="G921"/>
      <c r="H921" s="242">
        <v>-500000</v>
      </c>
      <c r="I921" s="242">
        <v>0</v>
      </c>
      <c r="J921"/>
    </row>
    <row r="922" spans="1:10" ht="15.75" customHeight="1">
      <c r="A922" t="s">
        <v>2740</v>
      </c>
      <c r="B922">
        <v>341000</v>
      </c>
      <c r="C922">
        <v>1</v>
      </c>
      <c r="D922" t="str">
        <f t="shared" si="14"/>
        <v>1341000.930</v>
      </c>
      <c r="E922" t="s">
        <v>3806</v>
      </c>
      <c r="F922" s="242"/>
      <c r="G922"/>
      <c r="H922" s="242">
        <v>-11000</v>
      </c>
      <c r="I922" s="242">
        <v>-66491</v>
      </c>
      <c r="J922"/>
    </row>
    <row r="923" spans="1:10" ht="15.75" customHeight="1">
      <c r="A923" t="s">
        <v>1662</v>
      </c>
      <c r="B923">
        <v>341000</v>
      </c>
      <c r="C923">
        <v>1</v>
      </c>
      <c r="D923" t="str">
        <f t="shared" si="14"/>
        <v>1341000.931</v>
      </c>
      <c r="E923" t="s">
        <v>3807</v>
      </c>
      <c r="F923" s="242"/>
      <c r="G923"/>
      <c r="H923" s="242">
        <v>-2500000</v>
      </c>
      <c r="I923" s="242">
        <v>0</v>
      </c>
      <c r="J923"/>
    </row>
    <row r="924" spans="1:10" ht="15.75" customHeight="1">
      <c r="A924" t="s">
        <v>1677</v>
      </c>
      <c r="B924">
        <v>341000</v>
      </c>
      <c r="C924">
        <v>1</v>
      </c>
      <c r="D924" t="str">
        <f t="shared" si="14"/>
        <v>1341000.934</v>
      </c>
      <c r="E924" t="s">
        <v>3808</v>
      </c>
      <c r="F924" s="242"/>
      <c r="G924"/>
      <c r="H924" s="242">
        <v>-30000</v>
      </c>
      <c r="I924" s="242">
        <v>0</v>
      </c>
      <c r="J924"/>
    </row>
    <row r="925" spans="1:10" ht="15.75" customHeight="1">
      <c r="A925" t="s">
        <v>1702</v>
      </c>
      <c r="B925">
        <v>341000</v>
      </c>
      <c r="C925">
        <v>1</v>
      </c>
      <c r="D925" t="str">
        <f t="shared" si="14"/>
        <v>1341000.939</v>
      </c>
      <c r="E925" t="s">
        <v>3809</v>
      </c>
      <c r="F925" s="242"/>
      <c r="G925"/>
      <c r="H925" s="242">
        <v>-681433</v>
      </c>
      <c r="I925" s="242">
        <v>-786135</v>
      </c>
      <c r="J925"/>
    </row>
    <row r="926" spans="1:10" ht="15.75" customHeight="1">
      <c r="A926" t="s">
        <v>2740</v>
      </c>
      <c r="B926">
        <v>341001</v>
      </c>
      <c r="C926">
        <v>1</v>
      </c>
      <c r="D926" t="str">
        <f t="shared" si="14"/>
        <v>1341001.930</v>
      </c>
      <c r="E926" t="s">
        <v>3810</v>
      </c>
      <c r="F926" s="242"/>
      <c r="G926"/>
      <c r="H926" s="242">
        <v>0</v>
      </c>
      <c r="I926" s="242">
        <v>0</v>
      </c>
      <c r="J926"/>
    </row>
    <row r="927" spans="1:10" ht="15.75" customHeight="1">
      <c r="A927" t="s">
        <v>1702</v>
      </c>
      <c r="B927">
        <v>341002</v>
      </c>
      <c r="C927">
        <v>1</v>
      </c>
      <c r="D927" t="str">
        <f t="shared" si="14"/>
        <v>1341002.939</v>
      </c>
      <c r="E927" t="s">
        <v>3835</v>
      </c>
      <c r="F927" s="242"/>
      <c r="G927"/>
      <c r="H927" s="242">
        <v>-4199278</v>
      </c>
      <c r="I927" s="242">
        <v>-4180593</v>
      </c>
      <c r="J927"/>
    </row>
    <row r="928" spans="1:10" ht="15.75" customHeight="1">
      <c r="A928" t="s">
        <v>1702</v>
      </c>
      <c r="B928">
        <v>341003</v>
      </c>
      <c r="C928">
        <v>1</v>
      </c>
      <c r="D928" t="str">
        <f t="shared" si="14"/>
        <v>1341003.939</v>
      </c>
      <c r="E928" t="s">
        <v>3840</v>
      </c>
      <c r="F928" s="242"/>
      <c r="G928"/>
      <c r="H928" s="242">
        <v>-4118864</v>
      </c>
      <c r="I928" s="242">
        <v>-4167866</v>
      </c>
      <c r="J928"/>
    </row>
    <row r="929" spans="1:10" ht="15.75" customHeight="1">
      <c r="A929" t="s">
        <v>920</v>
      </c>
      <c r="B929">
        <v>341100</v>
      </c>
      <c r="C929">
        <v>1</v>
      </c>
      <c r="D929" t="str">
        <f t="shared" si="14"/>
        <v>1341100.799</v>
      </c>
      <c r="E929" t="s">
        <v>3811</v>
      </c>
      <c r="F929" s="242"/>
      <c r="G929"/>
      <c r="H929" s="242">
        <v>-22500</v>
      </c>
      <c r="I929" s="242">
        <v>0</v>
      </c>
      <c r="J929"/>
    </row>
    <row r="930" spans="1:10" ht="15.75" customHeight="1">
      <c r="A930" t="s">
        <v>1702</v>
      </c>
      <c r="B930">
        <v>341100</v>
      </c>
      <c r="C930">
        <v>1</v>
      </c>
      <c r="D930" t="str">
        <f t="shared" si="14"/>
        <v>1341100.939</v>
      </c>
      <c r="E930" t="s">
        <v>3812</v>
      </c>
      <c r="F930" s="242"/>
      <c r="G930"/>
      <c r="H930" s="242">
        <v>-159192</v>
      </c>
      <c r="I930" s="242">
        <v>-183652</v>
      </c>
      <c r="J930"/>
    </row>
    <row r="931" spans="1:10" ht="15.75" customHeight="1">
      <c r="A931" t="s">
        <v>1702</v>
      </c>
      <c r="B931">
        <v>341400</v>
      </c>
      <c r="C931">
        <v>1</v>
      </c>
      <c r="D931" t="str">
        <f t="shared" si="14"/>
        <v>1341400.939</v>
      </c>
      <c r="E931" t="s">
        <v>3813</v>
      </c>
      <c r="F931" s="242"/>
      <c r="G931"/>
      <c r="H931" s="242">
        <v>0</v>
      </c>
      <c r="I931" s="242">
        <v>0</v>
      </c>
      <c r="J931"/>
    </row>
    <row r="932" spans="1:10" ht="15.75" customHeight="1">
      <c r="A932" t="s">
        <v>2634</v>
      </c>
      <c r="B932">
        <v>342200</v>
      </c>
      <c r="C932">
        <v>1</v>
      </c>
      <c r="D932" t="str">
        <f t="shared" si="14"/>
        <v>1342200.490</v>
      </c>
      <c r="E932" t="s">
        <v>3841</v>
      </c>
      <c r="F932" s="242"/>
      <c r="G932"/>
      <c r="H932" s="242">
        <v>-100</v>
      </c>
      <c r="I932" s="242">
        <v>0</v>
      </c>
      <c r="J932"/>
    </row>
    <row r="933" spans="1:10" ht="15.75" customHeight="1">
      <c r="A933" t="s">
        <v>2740</v>
      </c>
      <c r="B933">
        <v>342200</v>
      </c>
      <c r="C933">
        <v>1</v>
      </c>
      <c r="D933" t="str">
        <f t="shared" si="14"/>
        <v>1342200.930</v>
      </c>
      <c r="E933" t="s">
        <v>3842</v>
      </c>
      <c r="F933" s="242"/>
      <c r="G933"/>
      <c r="H933" s="242">
        <v>-488100</v>
      </c>
      <c r="I933" s="242">
        <v>-512100</v>
      </c>
      <c r="J933"/>
    </row>
    <row r="934" spans="1:10" ht="15.75" customHeight="1">
      <c r="A934" t="s">
        <v>1662</v>
      </c>
      <c r="B934">
        <v>342200</v>
      </c>
      <c r="C934">
        <v>1</v>
      </c>
      <c r="D934" t="str">
        <f t="shared" si="14"/>
        <v>1342200.931</v>
      </c>
      <c r="E934" t="s">
        <v>3843</v>
      </c>
      <c r="F934" s="242"/>
      <c r="G934"/>
      <c r="H934" s="242">
        <v>-404300</v>
      </c>
      <c r="I934" s="242">
        <v>-296033</v>
      </c>
      <c r="J934"/>
    </row>
    <row r="935" spans="1:10" ht="15.75" customHeight="1">
      <c r="A935" t="s">
        <v>1667</v>
      </c>
      <c r="B935">
        <v>342200</v>
      </c>
      <c r="C935">
        <v>1</v>
      </c>
      <c r="D935" t="str">
        <f t="shared" si="14"/>
        <v>1342200.932</v>
      </c>
      <c r="E935" t="s">
        <v>3844</v>
      </c>
      <c r="F935" s="242"/>
      <c r="G935"/>
      <c r="H935" s="242">
        <v>-20300</v>
      </c>
      <c r="I935" s="242">
        <v>0</v>
      </c>
      <c r="J935"/>
    </row>
    <row r="936" spans="1:10" ht="15.75" customHeight="1">
      <c r="A936" t="s">
        <v>1672</v>
      </c>
      <c r="B936">
        <v>342200</v>
      </c>
      <c r="C936">
        <v>1</v>
      </c>
      <c r="D936" t="str">
        <f t="shared" si="14"/>
        <v>1342200.933</v>
      </c>
      <c r="E936" t="s">
        <v>3845</v>
      </c>
      <c r="F936" s="242"/>
      <c r="G936"/>
      <c r="H936" s="242">
        <v>0</v>
      </c>
      <c r="I936" s="242">
        <v>-63134</v>
      </c>
      <c r="J936"/>
    </row>
    <row r="937" spans="1:10" ht="15.75" customHeight="1">
      <c r="A937" t="s">
        <v>1677</v>
      </c>
      <c r="B937">
        <v>342200</v>
      </c>
      <c r="C937">
        <v>1</v>
      </c>
      <c r="D937" t="str">
        <f t="shared" si="14"/>
        <v>1342200.934</v>
      </c>
      <c r="E937" t="s">
        <v>3846</v>
      </c>
      <c r="F937" s="242"/>
      <c r="G937"/>
      <c r="H937" s="242">
        <v>-25000</v>
      </c>
      <c r="I937" s="242">
        <v>0</v>
      </c>
      <c r="J937"/>
    </row>
    <row r="938" spans="1:10" ht="15.75" customHeight="1">
      <c r="A938" t="s">
        <v>1682</v>
      </c>
      <c r="B938">
        <v>342200</v>
      </c>
      <c r="C938">
        <v>1</v>
      </c>
      <c r="D938" t="str">
        <f t="shared" si="14"/>
        <v>1342200.935</v>
      </c>
      <c r="E938" t="s">
        <v>3847</v>
      </c>
      <c r="F938" s="242"/>
      <c r="G938"/>
      <c r="H938" s="242">
        <v>-490298</v>
      </c>
      <c r="I938" s="242">
        <v>-583342</v>
      </c>
      <c r="J938"/>
    </row>
    <row r="939" spans="1:10" ht="15.75" customHeight="1">
      <c r="A939" t="s">
        <v>1697</v>
      </c>
      <c r="B939">
        <v>342200</v>
      </c>
      <c r="C939">
        <v>1</v>
      </c>
      <c r="D939" t="str">
        <f t="shared" si="14"/>
        <v>1342200.938</v>
      </c>
      <c r="E939" t="s">
        <v>3848</v>
      </c>
      <c r="F939" s="242"/>
      <c r="G939"/>
      <c r="H939" s="242">
        <v>0</v>
      </c>
      <c r="I939" s="242">
        <v>0</v>
      </c>
      <c r="J939"/>
    </row>
    <row r="940" spans="1:10" ht="15.75" customHeight="1">
      <c r="A940" t="s">
        <v>2740</v>
      </c>
      <c r="B940">
        <v>342201</v>
      </c>
      <c r="C940">
        <v>1</v>
      </c>
      <c r="D940" t="str">
        <f t="shared" si="14"/>
        <v>1342201.930</v>
      </c>
      <c r="E940" t="s">
        <v>3849</v>
      </c>
      <c r="F940" s="242"/>
      <c r="G940"/>
      <c r="H940" s="242">
        <v>-27000</v>
      </c>
      <c r="I940" s="242">
        <v>0</v>
      </c>
      <c r="J940"/>
    </row>
    <row r="941" spans="1:10" ht="15.75" customHeight="1">
      <c r="A941" t="s">
        <v>2634</v>
      </c>
      <c r="B941">
        <v>342210</v>
      </c>
      <c r="C941">
        <v>1</v>
      </c>
      <c r="D941" t="str">
        <f t="shared" si="14"/>
        <v>1342210.490</v>
      </c>
      <c r="E941" t="s">
        <v>2861</v>
      </c>
      <c r="F941" s="242"/>
      <c r="G941"/>
      <c r="H941" s="242">
        <v>0</v>
      </c>
      <c r="I941" s="242">
        <v>0</v>
      </c>
      <c r="J941"/>
    </row>
    <row r="942" spans="1:10" ht="15.75" customHeight="1">
      <c r="A942" t="s">
        <v>2740</v>
      </c>
      <c r="B942">
        <v>342210</v>
      </c>
      <c r="C942">
        <v>1</v>
      </c>
      <c r="D942" t="str">
        <f t="shared" si="14"/>
        <v>1342210.930</v>
      </c>
      <c r="E942" t="s">
        <v>3936</v>
      </c>
      <c r="F942" s="242"/>
      <c r="G942"/>
      <c r="H942" s="242">
        <v>-722161</v>
      </c>
      <c r="I942" s="242">
        <v>-1074329</v>
      </c>
      <c r="J942"/>
    </row>
    <row r="943" spans="1:10" ht="15.75" customHeight="1">
      <c r="A943" t="s">
        <v>1702</v>
      </c>
      <c r="B943">
        <v>342210</v>
      </c>
      <c r="C943">
        <v>1</v>
      </c>
      <c r="D943" t="str">
        <f t="shared" si="14"/>
        <v>1342210.939</v>
      </c>
      <c r="E943" t="s">
        <v>3937</v>
      </c>
      <c r="F943" s="242"/>
      <c r="G943"/>
      <c r="H943" s="242">
        <v>-250839</v>
      </c>
      <c r="I943" s="242">
        <v>0</v>
      </c>
      <c r="J943"/>
    </row>
    <row r="944" spans="1:10" ht="15.75" customHeight="1">
      <c r="A944" t="s">
        <v>1662</v>
      </c>
      <c r="B944">
        <v>342210</v>
      </c>
      <c r="C944">
        <v>1</v>
      </c>
      <c r="D944" t="str">
        <f t="shared" si="14"/>
        <v>1342210.931</v>
      </c>
      <c r="E944" t="s">
        <v>4082</v>
      </c>
      <c r="F944" s="242"/>
      <c r="G944"/>
      <c r="H944" s="242">
        <v>-500000</v>
      </c>
      <c r="I944" s="242">
        <v>-536394</v>
      </c>
      <c r="J944"/>
    </row>
    <row r="945" spans="1:10" ht="15.75" customHeight="1">
      <c r="A945" t="s">
        <v>2740</v>
      </c>
      <c r="B945">
        <v>342220</v>
      </c>
      <c r="C945">
        <v>1</v>
      </c>
      <c r="D945" t="str">
        <f t="shared" si="14"/>
        <v>1342220.930</v>
      </c>
      <c r="E945" t="s">
        <v>3850</v>
      </c>
      <c r="F945" s="242"/>
      <c r="G945"/>
      <c r="H945" s="242">
        <v>-22500</v>
      </c>
      <c r="I945" s="242">
        <v>0</v>
      </c>
      <c r="J945"/>
    </row>
    <row r="946" spans="1:10" ht="15.75" customHeight="1">
      <c r="A946" t="s">
        <v>2740</v>
      </c>
      <c r="B946">
        <v>342400</v>
      </c>
      <c r="C946">
        <v>1</v>
      </c>
      <c r="D946" t="str">
        <f t="shared" si="14"/>
        <v>1342400.930</v>
      </c>
      <c r="E946" t="s">
        <v>3851</v>
      </c>
      <c r="F946" s="242"/>
      <c r="G946"/>
      <c r="H946" s="242">
        <v>-37502</v>
      </c>
      <c r="I946" s="242">
        <v>-24142</v>
      </c>
      <c r="J946"/>
    </row>
    <row r="947" spans="1:10" ht="15.75" customHeight="1">
      <c r="A947" t="s">
        <v>1662</v>
      </c>
      <c r="B947">
        <v>342400</v>
      </c>
      <c r="C947">
        <v>1</v>
      </c>
      <c r="D947" t="str">
        <f t="shared" si="14"/>
        <v>1342400.931</v>
      </c>
      <c r="E947" t="s">
        <v>3852</v>
      </c>
      <c r="F947" s="242"/>
      <c r="G947"/>
      <c r="H947" s="242">
        <v>-333425</v>
      </c>
      <c r="I947" s="242">
        <v>-522111</v>
      </c>
      <c r="J947"/>
    </row>
    <row r="948" spans="1:10" ht="15.75" customHeight="1">
      <c r="A948" t="s">
        <v>1667</v>
      </c>
      <c r="B948">
        <v>342400</v>
      </c>
      <c r="C948">
        <v>1</v>
      </c>
      <c r="D948" t="str">
        <f t="shared" si="14"/>
        <v>1342400.932</v>
      </c>
      <c r="E948" t="s">
        <v>3853</v>
      </c>
      <c r="F948" s="242"/>
      <c r="G948"/>
      <c r="H948" s="242">
        <v>-47000</v>
      </c>
      <c r="I948" s="242">
        <v>-58548</v>
      </c>
      <c r="J948"/>
    </row>
    <row r="949" spans="1:10" ht="15.75" customHeight="1">
      <c r="A949" t="s">
        <v>1672</v>
      </c>
      <c r="B949">
        <v>342400</v>
      </c>
      <c r="C949">
        <v>1</v>
      </c>
      <c r="D949" t="str">
        <f t="shared" si="14"/>
        <v>1342400.933</v>
      </c>
      <c r="E949" t="s">
        <v>3854</v>
      </c>
      <c r="F949" s="242"/>
      <c r="G949"/>
      <c r="H949" s="242">
        <v>0</v>
      </c>
      <c r="I949" s="242">
        <v>-426835</v>
      </c>
      <c r="J949"/>
    </row>
    <row r="950" spans="1:10" ht="15.75" customHeight="1">
      <c r="A950" t="s">
        <v>1677</v>
      </c>
      <c r="B950">
        <v>342400</v>
      </c>
      <c r="C950">
        <v>1</v>
      </c>
      <c r="D950" t="str">
        <f t="shared" si="14"/>
        <v>1342400.934</v>
      </c>
      <c r="E950" t="s">
        <v>3855</v>
      </c>
      <c r="F950" s="242"/>
      <c r="G950"/>
      <c r="H950" s="242">
        <v>-12000</v>
      </c>
      <c r="I950" s="242">
        <v>-75000</v>
      </c>
      <c r="J950"/>
    </row>
    <row r="951" spans="1:10" ht="15.75" customHeight="1">
      <c r="A951" t="s">
        <v>1687</v>
      </c>
      <c r="B951">
        <v>342400</v>
      </c>
      <c r="C951">
        <v>1</v>
      </c>
      <c r="D951" t="str">
        <f t="shared" si="14"/>
        <v>1342400.936</v>
      </c>
      <c r="E951" t="s">
        <v>3856</v>
      </c>
      <c r="F951" s="242"/>
      <c r="G951"/>
      <c r="H951" s="242">
        <v>-950000</v>
      </c>
      <c r="I951" s="242">
        <v>0</v>
      </c>
      <c r="J951"/>
    </row>
    <row r="952" spans="1:10" ht="15.75" customHeight="1">
      <c r="A952" t="s">
        <v>1702</v>
      </c>
      <c r="B952">
        <v>342400</v>
      </c>
      <c r="C952">
        <v>1</v>
      </c>
      <c r="D952" t="str">
        <f t="shared" si="14"/>
        <v>1342400.939</v>
      </c>
      <c r="E952" t="s">
        <v>3857</v>
      </c>
      <c r="F952" s="242"/>
      <c r="G952"/>
      <c r="H952" s="242">
        <v>-63000</v>
      </c>
      <c r="I952" s="242">
        <v>0</v>
      </c>
      <c r="J952"/>
    </row>
    <row r="953" spans="1:10" ht="15.75" customHeight="1">
      <c r="A953" t="s">
        <v>1682</v>
      </c>
      <c r="B953">
        <v>342400</v>
      </c>
      <c r="C953">
        <v>1</v>
      </c>
      <c r="D953" t="str">
        <f t="shared" si="14"/>
        <v>1342400.935</v>
      </c>
      <c r="E953" t="s">
        <v>4083</v>
      </c>
      <c r="F953" s="242"/>
      <c r="G953"/>
      <c r="H953" s="242">
        <v>-500000</v>
      </c>
      <c r="I953" s="242">
        <v>-183037</v>
      </c>
      <c r="J953"/>
    </row>
    <row r="954" spans="1:10" ht="15.75" customHeight="1">
      <c r="A954" t="s">
        <v>1702</v>
      </c>
      <c r="B954">
        <v>342401</v>
      </c>
      <c r="C954">
        <v>1</v>
      </c>
      <c r="D954" t="str">
        <f t="shared" si="14"/>
        <v>1342401.939</v>
      </c>
      <c r="E954" t="s">
        <v>3858</v>
      </c>
      <c r="F954" s="242"/>
      <c r="G954"/>
      <c r="H954" s="242">
        <v>-64979</v>
      </c>
      <c r="I954" s="242">
        <v>-130169</v>
      </c>
      <c r="J954"/>
    </row>
    <row r="955" spans="1:10" ht="15.75" customHeight="1">
      <c r="A955" t="s">
        <v>1702</v>
      </c>
      <c r="B955">
        <v>342402</v>
      </c>
      <c r="C955">
        <v>1</v>
      </c>
      <c r="D955" t="str">
        <f t="shared" si="14"/>
        <v>1342402.939</v>
      </c>
      <c r="E955" t="s">
        <v>3859</v>
      </c>
      <c r="F955" s="242"/>
      <c r="G955"/>
      <c r="H955" s="242">
        <v>-536625</v>
      </c>
      <c r="I955" s="242">
        <v>0</v>
      </c>
      <c r="J955"/>
    </row>
    <row r="956" spans="1:10" ht="15.75" customHeight="1">
      <c r="A956" t="s">
        <v>2634</v>
      </c>
      <c r="B956">
        <v>343500</v>
      </c>
      <c r="C956">
        <v>1</v>
      </c>
      <c r="D956" t="str">
        <f t="shared" si="14"/>
        <v>1343500.490</v>
      </c>
      <c r="E956" t="s">
        <v>4039</v>
      </c>
      <c r="F956" s="242"/>
      <c r="G956"/>
      <c r="H956" s="242">
        <v>-220000</v>
      </c>
      <c r="I956" s="242">
        <v>-229249</v>
      </c>
      <c r="J956"/>
    </row>
    <row r="957" spans="1:10" ht="15.75" customHeight="1">
      <c r="A957" t="s">
        <v>2978</v>
      </c>
      <c r="B957">
        <v>343500</v>
      </c>
      <c r="C957">
        <v>1</v>
      </c>
      <c r="D957" t="str">
        <f t="shared" si="14"/>
        <v>1343500.650</v>
      </c>
      <c r="E957" t="s">
        <v>4040</v>
      </c>
      <c r="F957" s="242"/>
      <c r="G957"/>
      <c r="H957" s="242">
        <v>0</v>
      </c>
      <c r="I957" s="242">
        <v>-100267</v>
      </c>
      <c r="J957"/>
    </row>
    <row r="958" spans="1:10" ht="15.75" customHeight="1">
      <c r="A958" t="s">
        <v>1662</v>
      </c>
      <c r="B958">
        <v>343500</v>
      </c>
      <c r="C958">
        <v>1</v>
      </c>
      <c r="D958" t="str">
        <f t="shared" si="14"/>
        <v>1343500.931</v>
      </c>
      <c r="E958" t="s">
        <v>4041</v>
      </c>
      <c r="F958" s="242"/>
      <c r="G958"/>
      <c r="H958" s="242">
        <v>-1463260</v>
      </c>
      <c r="I958" s="242">
        <v>-2537293</v>
      </c>
      <c r="J958"/>
    </row>
    <row r="959" spans="1:10" ht="15.75" customHeight="1">
      <c r="A959" t="s">
        <v>1672</v>
      </c>
      <c r="B959">
        <v>343500</v>
      </c>
      <c r="C959">
        <v>1</v>
      </c>
      <c r="D959" t="str">
        <f t="shared" si="14"/>
        <v>1343500.933</v>
      </c>
      <c r="E959" t="s">
        <v>4042</v>
      </c>
      <c r="F959" s="242"/>
      <c r="G959"/>
      <c r="H959" s="242">
        <v>-300000</v>
      </c>
      <c r="I959" s="242">
        <v>-178415</v>
      </c>
      <c r="J959"/>
    </row>
    <row r="960" spans="1:10" ht="15.75" customHeight="1">
      <c r="A960" t="s">
        <v>1677</v>
      </c>
      <c r="B960">
        <v>343500</v>
      </c>
      <c r="C960">
        <v>1</v>
      </c>
      <c r="D960" t="str">
        <f t="shared" si="14"/>
        <v>1343500.934</v>
      </c>
      <c r="E960" t="s">
        <v>4043</v>
      </c>
      <c r="F960" s="242"/>
      <c r="G960"/>
      <c r="H960" s="242">
        <v>-54000</v>
      </c>
      <c r="I960" s="242">
        <v>-51422</v>
      </c>
      <c r="J960"/>
    </row>
    <row r="961" spans="1:10" ht="15.75" customHeight="1">
      <c r="A961" t="s">
        <v>1682</v>
      </c>
      <c r="B961">
        <v>343500</v>
      </c>
      <c r="C961">
        <v>1</v>
      </c>
      <c r="D961" t="str">
        <f t="shared" si="14"/>
        <v>1343500.935</v>
      </c>
      <c r="E961" t="s">
        <v>4044</v>
      </c>
      <c r="F961" s="242"/>
      <c r="G961"/>
      <c r="H961" s="242">
        <v>-515200</v>
      </c>
      <c r="I961" s="242">
        <v>-710520</v>
      </c>
      <c r="J961"/>
    </row>
    <row r="962" spans="1:10" ht="15.75" customHeight="1">
      <c r="A962" t="s">
        <v>1697</v>
      </c>
      <c r="B962">
        <v>343500</v>
      </c>
      <c r="C962">
        <v>1</v>
      </c>
      <c r="D962" t="str">
        <f t="shared" si="14"/>
        <v>1343500.938</v>
      </c>
      <c r="E962" t="s">
        <v>4045</v>
      </c>
      <c r="F962" s="242"/>
      <c r="G962"/>
      <c r="H962" s="242">
        <v>-517125</v>
      </c>
      <c r="I962" s="242">
        <v>-968003</v>
      </c>
      <c r="J962"/>
    </row>
    <row r="963" spans="1:10" ht="15.75" customHeight="1">
      <c r="A963" t="s">
        <v>2717</v>
      </c>
      <c r="B963">
        <v>343500</v>
      </c>
      <c r="C963">
        <v>1</v>
      </c>
      <c r="D963" t="str">
        <f t="shared" ref="D963:D1026" si="15">C963&amp;B963&amp;"."&amp;A963</f>
        <v>1343500.990</v>
      </c>
      <c r="E963" t="s">
        <v>4046</v>
      </c>
      <c r="F963" s="242"/>
      <c r="G963"/>
      <c r="H963" s="242">
        <v>-1600000</v>
      </c>
      <c r="I963" s="242">
        <v>-1147254</v>
      </c>
      <c r="J963"/>
    </row>
    <row r="964" spans="1:10" ht="15.75" customHeight="1">
      <c r="A964" t="s">
        <v>1799</v>
      </c>
      <c r="B964">
        <v>343500</v>
      </c>
      <c r="C964">
        <v>1</v>
      </c>
      <c r="D964" t="str">
        <f t="shared" si="15"/>
        <v>1343500.991</v>
      </c>
      <c r="E964" t="s">
        <v>4047</v>
      </c>
      <c r="F964" s="242"/>
      <c r="G964"/>
      <c r="H964" s="242">
        <v>-331200</v>
      </c>
      <c r="I964" s="242">
        <v>0</v>
      </c>
      <c r="J964"/>
    </row>
    <row r="965" spans="1:10" ht="15.75" customHeight="1">
      <c r="A965" t="s">
        <v>2740</v>
      </c>
      <c r="B965">
        <v>343500</v>
      </c>
      <c r="C965">
        <v>1</v>
      </c>
      <c r="D965" t="str">
        <f t="shared" si="15"/>
        <v>1343500.930</v>
      </c>
      <c r="E965" t="s">
        <v>4084</v>
      </c>
      <c r="F965" s="242"/>
      <c r="G965"/>
      <c r="H965" s="242">
        <v>-2089464</v>
      </c>
      <c r="I965" s="242">
        <v>-1229968</v>
      </c>
      <c r="J965"/>
    </row>
    <row r="966" spans="1:10" ht="15.75" customHeight="1">
      <c r="A966" t="s">
        <v>1702</v>
      </c>
      <c r="B966">
        <v>343510</v>
      </c>
      <c r="C966">
        <v>1</v>
      </c>
      <c r="D966" t="str">
        <f t="shared" si="15"/>
        <v>1343510.939</v>
      </c>
      <c r="E966" t="s">
        <v>4048</v>
      </c>
      <c r="F966" s="242"/>
      <c r="G966"/>
      <c r="H966" s="242">
        <v>-343275</v>
      </c>
      <c r="I966" s="242">
        <v>0</v>
      </c>
      <c r="J966"/>
    </row>
    <row r="967" spans="1:10" ht="15.75" customHeight="1">
      <c r="A967" t="s">
        <v>1702</v>
      </c>
      <c r="B967">
        <v>343520</v>
      </c>
      <c r="C967">
        <v>1</v>
      </c>
      <c r="D967" t="str">
        <f t="shared" si="15"/>
        <v>1343520.939</v>
      </c>
      <c r="E967" t="s">
        <v>4049</v>
      </c>
      <c r="F967" s="242"/>
      <c r="G967"/>
      <c r="H967" s="242">
        <v>-478623</v>
      </c>
      <c r="I967" s="242">
        <v>-552163</v>
      </c>
      <c r="J967"/>
    </row>
    <row r="968" spans="1:10" ht="15.75" customHeight="1">
      <c r="A968" t="s">
        <v>2634</v>
      </c>
      <c r="B968">
        <v>343800</v>
      </c>
      <c r="C968">
        <v>1</v>
      </c>
      <c r="D968" t="str">
        <f t="shared" si="15"/>
        <v>1343800.490</v>
      </c>
      <c r="E968" t="s">
        <v>4050</v>
      </c>
      <c r="F968" s="242"/>
      <c r="G968"/>
      <c r="H968" s="242">
        <v>-600000</v>
      </c>
      <c r="I968" s="242">
        <v>-483931</v>
      </c>
      <c r="J968"/>
    </row>
    <row r="969" spans="1:10" ht="15.75" customHeight="1">
      <c r="A969" t="s">
        <v>2740</v>
      </c>
      <c r="B969">
        <v>343800</v>
      </c>
      <c r="C969">
        <v>1</v>
      </c>
      <c r="D969" t="str">
        <f t="shared" si="15"/>
        <v>1343800.930</v>
      </c>
      <c r="E969" t="s">
        <v>4051</v>
      </c>
      <c r="F969" s="242"/>
      <c r="G969"/>
      <c r="H969" s="242">
        <v>-1000000</v>
      </c>
      <c r="I969" s="242">
        <v>-1013581</v>
      </c>
      <c r="J969"/>
    </row>
    <row r="970" spans="1:10" ht="15.75" customHeight="1">
      <c r="A970" t="s">
        <v>1662</v>
      </c>
      <c r="B970">
        <v>343800</v>
      </c>
      <c r="C970">
        <v>1</v>
      </c>
      <c r="D970" t="str">
        <f t="shared" si="15"/>
        <v>1343800.931</v>
      </c>
      <c r="E970" t="s">
        <v>4052</v>
      </c>
      <c r="F970" s="242"/>
      <c r="G970"/>
      <c r="H970" s="242">
        <v>-16668022</v>
      </c>
      <c r="I970" s="242">
        <v>-14560010</v>
      </c>
      <c r="J970"/>
    </row>
    <row r="971" spans="1:10" ht="15.75" customHeight="1">
      <c r="A971" t="s">
        <v>1672</v>
      </c>
      <c r="B971">
        <v>343800</v>
      </c>
      <c r="C971">
        <v>1</v>
      </c>
      <c r="D971" t="str">
        <f t="shared" si="15"/>
        <v>1343800.933</v>
      </c>
      <c r="E971" t="s">
        <v>4053</v>
      </c>
      <c r="F971" s="242"/>
      <c r="G971"/>
      <c r="H971" s="242">
        <v>-229000</v>
      </c>
      <c r="I971" s="242">
        <v>-421503</v>
      </c>
      <c r="J971"/>
    </row>
    <row r="972" spans="1:10" ht="15.75" customHeight="1">
      <c r="A972" t="s">
        <v>1677</v>
      </c>
      <c r="B972">
        <v>343800</v>
      </c>
      <c r="C972">
        <v>1</v>
      </c>
      <c r="D972" t="str">
        <f t="shared" si="15"/>
        <v>1343800.934</v>
      </c>
      <c r="E972" t="s">
        <v>4054</v>
      </c>
      <c r="F972" s="242"/>
      <c r="G972"/>
      <c r="H972" s="242">
        <v>0</v>
      </c>
      <c r="I972" s="242">
        <v>0</v>
      </c>
      <c r="J972"/>
    </row>
    <row r="973" spans="1:10" ht="15.75" customHeight="1">
      <c r="A973" t="s">
        <v>1702</v>
      </c>
      <c r="B973">
        <v>343800</v>
      </c>
      <c r="C973">
        <v>1</v>
      </c>
      <c r="D973" t="str">
        <f t="shared" si="15"/>
        <v>1343800.939</v>
      </c>
      <c r="E973" t="s">
        <v>4055</v>
      </c>
      <c r="F973" s="242"/>
      <c r="G973"/>
      <c r="H973" s="242">
        <v>-51000</v>
      </c>
      <c r="I973" s="242">
        <v>0</v>
      </c>
      <c r="J973"/>
    </row>
    <row r="974" spans="1:10" ht="15.75" customHeight="1">
      <c r="A974" t="s">
        <v>2755</v>
      </c>
      <c r="B974">
        <v>343900</v>
      </c>
      <c r="C974">
        <v>1</v>
      </c>
      <c r="D974" t="str">
        <f t="shared" si="15"/>
        <v>1343900.491</v>
      </c>
      <c r="E974" t="s">
        <v>4056</v>
      </c>
      <c r="F974" s="242"/>
      <c r="G974"/>
      <c r="H974" s="242">
        <v>-70000</v>
      </c>
      <c r="I974" s="242">
        <v>-103332</v>
      </c>
      <c r="J974"/>
    </row>
    <row r="975" spans="1:10" ht="15.75" customHeight="1">
      <c r="A975" t="s">
        <v>3878</v>
      </c>
      <c r="B975">
        <v>343900</v>
      </c>
      <c r="C975">
        <v>1</v>
      </c>
      <c r="D975" t="str">
        <f t="shared" si="15"/>
        <v>1343900.492</v>
      </c>
      <c r="E975" t="s">
        <v>4057</v>
      </c>
      <c r="F975" s="242"/>
      <c r="G975"/>
      <c r="H975" s="242">
        <v>-70000</v>
      </c>
      <c r="I975" s="242">
        <v>-63170</v>
      </c>
      <c r="J975"/>
    </row>
    <row r="976" spans="1:10" ht="15.75" customHeight="1">
      <c r="A976" t="s">
        <v>2740</v>
      </c>
      <c r="B976">
        <v>343900</v>
      </c>
      <c r="C976">
        <v>1</v>
      </c>
      <c r="D976" t="str">
        <f t="shared" si="15"/>
        <v>1343900.930</v>
      </c>
      <c r="E976" t="s">
        <v>4058</v>
      </c>
      <c r="F976" s="242"/>
      <c r="G976"/>
      <c r="H976" s="242">
        <v>-8126573</v>
      </c>
      <c r="I976" s="242">
        <v>-7785895</v>
      </c>
      <c r="J976"/>
    </row>
    <row r="977" spans="1:10" ht="15.75" customHeight="1">
      <c r="A977" t="s">
        <v>1711</v>
      </c>
      <c r="B977">
        <v>343900</v>
      </c>
      <c r="C977">
        <v>1</v>
      </c>
      <c r="D977" t="str">
        <f t="shared" si="15"/>
        <v>1343900.942</v>
      </c>
      <c r="E977" t="s">
        <v>4059</v>
      </c>
      <c r="F977" s="242"/>
      <c r="G977"/>
      <c r="H977" s="242">
        <v>-29925</v>
      </c>
      <c r="I977" s="242">
        <v>0</v>
      </c>
      <c r="J977"/>
    </row>
    <row r="978" spans="1:10" ht="15.75" customHeight="1">
      <c r="A978" t="s">
        <v>2634</v>
      </c>
      <c r="B978">
        <v>344300</v>
      </c>
      <c r="C978">
        <v>1</v>
      </c>
      <c r="D978" t="str">
        <f t="shared" si="15"/>
        <v>1344300.490</v>
      </c>
      <c r="E978" t="s">
        <v>3873</v>
      </c>
      <c r="F978" s="242"/>
      <c r="G978"/>
      <c r="H978" s="242">
        <v>-1425000</v>
      </c>
      <c r="I978" s="242">
        <v>-1573997</v>
      </c>
      <c r="J978"/>
    </row>
    <row r="979" spans="1:10" ht="15.75" customHeight="1">
      <c r="A979" t="s">
        <v>2740</v>
      </c>
      <c r="B979">
        <v>344300</v>
      </c>
      <c r="C979">
        <v>1</v>
      </c>
      <c r="D979" t="str">
        <f t="shared" si="15"/>
        <v>1344300.930</v>
      </c>
      <c r="E979" t="s">
        <v>3874</v>
      </c>
      <c r="F979" s="242"/>
      <c r="G979"/>
      <c r="H979" s="242">
        <v>-8091436</v>
      </c>
      <c r="I979" s="242">
        <v>-8082217</v>
      </c>
      <c r="J979"/>
    </row>
    <row r="980" spans="1:10" ht="15.75" customHeight="1">
      <c r="A980" t="s">
        <v>1662</v>
      </c>
      <c r="B980">
        <v>344300</v>
      </c>
      <c r="C980">
        <v>1</v>
      </c>
      <c r="D980" t="str">
        <f t="shared" si="15"/>
        <v>1344300.931</v>
      </c>
      <c r="E980" t="s">
        <v>3875</v>
      </c>
      <c r="F980" s="242"/>
      <c r="G980"/>
      <c r="H980" s="242">
        <v>-15000</v>
      </c>
      <c r="I980" s="242">
        <v>0</v>
      </c>
      <c r="J980"/>
    </row>
    <row r="981" spans="1:10" ht="15.75" customHeight="1">
      <c r="A981" t="s">
        <v>1702</v>
      </c>
      <c r="B981">
        <v>344300</v>
      </c>
      <c r="C981">
        <v>1</v>
      </c>
      <c r="D981" t="str">
        <f t="shared" si="15"/>
        <v>1344300.939</v>
      </c>
      <c r="E981" t="s">
        <v>3876</v>
      </c>
      <c r="F981" s="242"/>
      <c r="G981"/>
      <c r="H981" s="242">
        <v>-45000</v>
      </c>
      <c r="I981" s="242">
        <v>0</v>
      </c>
      <c r="J981"/>
    </row>
    <row r="982" spans="1:10" ht="15.75" customHeight="1">
      <c r="A982" t="s">
        <v>1702</v>
      </c>
      <c r="B982">
        <v>344301</v>
      </c>
      <c r="C982">
        <v>1</v>
      </c>
      <c r="D982" t="str">
        <f t="shared" si="15"/>
        <v>1344301.939</v>
      </c>
      <c r="E982" t="s">
        <v>3877</v>
      </c>
      <c r="F982" s="242"/>
      <c r="G982"/>
      <c r="H982" s="242">
        <v>-1084605</v>
      </c>
      <c r="I982" s="242">
        <v>-1251253</v>
      </c>
      <c r="J982"/>
    </row>
    <row r="983" spans="1:10" ht="15.75" customHeight="1">
      <c r="A983" t="s">
        <v>3878</v>
      </c>
      <c r="B983">
        <v>344400</v>
      </c>
      <c r="C983">
        <v>1</v>
      </c>
      <c r="D983" t="str">
        <f t="shared" si="15"/>
        <v>1344400.492</v>
      </c>
      <c r="E983" t="s">
        <v>3879</v>
      </c>
      <c r="F983" s="242"/>
      <c r="G983"/>
      <c r="H983" s="242">
        <v>-108000</v>
      </c>
      <c r="I983" s="242">
        <v>-108930</v>
      </c>
      <c r="J983"/>
    </row>
    <row r="984" spans="1:10" ht="15.75" customHeight="1">
      <c r="A984" t="s">
        <v>2740</v>
      </c>
      <c r="B984">
        <v>344400</v>
      </c>
      <c r="C984">
        <v>1</v>
      </c>
      <c r="D984" t="str">
        <f t="shared" si="15"/>
        <v>1344400.930</v>
      </c>
      <c r="E984" t="s">
        <v>3880</v>
      </c>
      <c r="F984" s="242"/>
      <c r="G984"/>
      <c r="H984" s="242">
        <v>-40000</v>
      </c>
      <c r="I984" s="242">
        <v>-44600</v>
      </c>
      <c r="J984"/>
    </row>
    <row r="985" spans="1:10" ht="15.75" customHeight="1">
      <c r="A985" t="s">
        <v>1662</v>
      </c>
      <c r="B985">
        <v>344400</v>
      </c>
      <c r="C985">
        <v>1</v>
      </c>
      <c r="D985" t="str">
        <f t="shared" si="15"/>
        <v>1344400.931</v>
      </c>
      <c r="E985" t="s">
        <v>3881</v>
      </c>
      <c r="F985" s="242"/>
      <c r="G985"/>
      <c r="H985" s="242">
        <v>-180000</v>
      </c>
      <c r="I985" s="242">
        <v>-205224</v>
      </c>
      <c r="J985"/>
    </row>
    <row r="986" spans="1:10" ht="15.75" customHeight="1">
      <c r="A986" t="s">
        <v>1667</v>
      </c>
      <c r="B986">
        <v>344400</v>
      </c>
      <c r="C986">
        <v>1</v>
      </c>
      <c r="D986" t="str">
        <f t="shared" si="15"/>
        <v>1344400.932</v>
      </c>
      <c r="E986" t="s">
        <v>3882</v>
      </c>
      <c r="F986" s="242"/>
      <c r="G986"/>
      <c r="H986" s="242">
        <v>-443000</v>
      </c>
      <c r="I986" s="242">
        <v>-465718</v>
      </c>
      <c r="J986"/>
    </row>
    <row r="987" spans="1:10" ht="15.75" customHeight="1">
      <c r="A987" t="s">
        <v>1672</v>
      </c>
      <c r="B987">
        <v>344400</v>
      </c>
      <c r="C987">
        <v>1</v>
      </c>
      <c r="D987" t="str">
        <f t="shared" si="15"/>
        <v>1344400.933</v>
      </c>
      <c r="E987" t="s">
        <v>3883</v>
      </c>
      <c r="F987" s="242"/>
      <c r="G987"/>
      <c r="H987" s="242">
        <v>-300000</v>
      </c>
      <c r="I987" s="242">
        <v>-407571</v>
      </c>
      <c r="J987"/>
    </row>
    <row r="988" spans="1:10" ht="15.75" customHeight="1">
      <c r="A988" t="s">
        <v>1677</v>
      </c>
      <c r="B988">
        <v>344400</v>
      </c>
      <c r="C988">
        <v>1</v>
      </c>
      <c r="D988" t="str">
        <f t="shared" si="15"/>
        <v>1344400.934</v>
      </c>
      <c r="E988" t="s">
        <v>3884</v>
      </c>
      <c r="F988" s="242"/>
      <c r="G988"/>
      <c r="H988" s="242">
        <v>-22500</v>
      </c>
      <c r="I988" s="242">
        <v>0</v>
      </c>
      <c r="J988"/>
    </row>
    <row r="989" spans="1:10" ht="15.75" customHeight="1">
      <c r="A989" t="s">
        <v>1682</v>
      </c>
      <c r="B989">
        <v>344400</v>
      </c>
      <c r="C989">
        <v>1</v>
      </c>
      <c r="D989" t="str">
        <f t="shared" si="15"/>
        <v>1344400.935</v>
      </c>
      <c r="E989" t="s">
        <v>3885</v>
      </c>
      <c r="F989" s="242"/>
      <c r="G989"/>
      <c r="H989" s="242">
        <v>-30000</v>
      </c>
      <c r="I989" s="242">
        <v>-156491</v>
      </c>
      <c r="J989"/>
    </row>
    <row r="990" spans="1:10" ht="15.75" customHeight="1">
      <c r="A990" t="s">
        <v>1687</v>
      </c>
      <c r="B990">
        <v>344400</v>
      </c>
      <c r="C990">
        <v>1</v>
      </c>
      <c r="D990" t="str">
        <f t="shared" si="15"/>
        <v>1344400.936</v>
      </c>
      <c r="E990" t="s">
        <v>3886</v>
      </c>
      <c r="F990" s="242"/>
      <c r="G990"/>
      <c r="H990" s="242">
        <v>-150000</v>
      </c>
      <c r="I990" s="242">
        <v>-27761</v>
      </c>
      <c r="J990"/>
    </row>
    <row r="991" spans="1:10" ht="15.75" customHeight="1">
      <c r="A991" t="s">
        <v>1692</v>
      </c>
      <c r="B991">
        <v>344400</v>
      </c>
      <c r="C991">
        <v>1</v>
      </c>
      <c r="D991" t="str">
        <f t="shared" si="15"/>
        <v>1344400.937</v>
      </c>
      <c r="E991" t="s">
        <v>3887</v>
      </c>
      <c r="F991" s="242"/>
      <c r="G991"/>
      <c r="H991" s="242">
        <v>-50000</v>
      </c>
      <c r="I991" s="242">
        <v>0</v>
      </c>
      <c r="J991"/>
    </row>
    <row r="992" spans="1:10" ht="15.75" customHeight="1">
      <c r="A992" t="s">
        <v>1697</v>
      </c>
      <c r="B992">
        <v>344400</v>
      </c>
      <c r="C992">
        <v>1</v>
      </c>
      <c r="D992" t="str">
        <f t="shared" si="15"/>
        <v>1344400.938</v>
      </c>
      <c r="E992" t="s">
        <v>3888</v>
      </c>
      <c r="F992" s="242"/>
      <c r="G992"/>
      <c r="H992" s="242">
        <v>-48000</v>
      </c>
      <c r="I992" s="242">
        <v>-81021</v>
      </c>
      <c r="J992"/>
    </row>
    <row r="993" spans="1:10" ht="15.75" customHeight="1">
      <c r="A993" t="s">
        <v>1702</v>
      </c>
      <c r="B993">
        <v>344400</v>
      </c>
      <c r="C993">
        <v>1</v>
      </c>
      <c r="D993" t="str">
        <f t="shared" si="15"/>
        <v>1344400.939</v>
      </c>
      <c r="E993" t="s">
        <v>3889</v>
      </c>
      <c r="F993" s="242"/>
      <c r="G993"/>
      <c r="H993" s="242">
        <v>0</v>
      </c>
      <c r="I993" s="242">
        <v>-535244</v>
      </c>
      <c r="J993"/>
    </row>
    <row r="994" spans="1:10" ht="15.75" customHeight="1">
      <c r="A994" t="s">
        <v>2717</v>
      </c>
      <c r="B994">
        <v>344400</v>
      </c>
      <c r="C994">
        <v>1</v>
      </c>
      <c r="D994" t="str">
        <f t="shared" si="15"/>
        <v>1344400.990</v>
      </c>
      <c r="E994" t="s">
        <v>3890</v>
      </c>
      <c r="F994" s="242"/>
      <c r="G994"/>
      <c r="H994" s="242">
        <v>-545000</v>
      </c>
      <c r="I994" s="242">
        <v>0</v>
      </c>
      <c r="J994"/>
    </row>
    <row r="995" spans="1:10" ht="15.75" customHeight="1">
      <c r="A995" t="s">
        <v>2740</v>
      </c>
      <c r="B995">
        <v>344410</v>
      </c>
      <c r="C995">
        <v>1</v>
      </c>
      <c r="D995" t="str">
        <f t="shared" si="15"/>
        <v>1344410.930</v>
      </c>
      <c r="E995" t="s">
        <v>3891</v>
      </c>
      <c r="F995" s="242"/>
      <c r="G995"/>
      <c r="H995" s="242">
        <v>-69900</v>
      </c>
      <c r="I995" s="242">
        <v>-49734</v>
      </c>
      <c r="J995"/>
    </row>
    <row r="996" spans="1:10" ht="15.75" customHeight="1">
      <c r="A996" t="s">
        <v>1702</v>
      </c>
      <c r="B996">
        <v>344410</v>
      </c>
      <c r="C996">
        <v>1</v>
      </c>
      <c r="D996" t="str">
        <f t="shared" si="15"/>
        <v>1344410.939</v>
      </c>
      <c r="E996" t="s">
        <v>3889</v>
      </c>
      <c r="F996" s="242"/>
      <c r="G996"/>
      <c r="H996" s="242">
        <v>-1368910</v>
      </c>
      <c r="I996" s="242">
        <v>-1029264</v>
      </c>
      <c r="J996"/>
    </row>
    <row r="997" spans="1:10" ht="15.75" customHeight="1">
      <c r="A997" t="s">
        <v>2740</v>
      </c>
      <c r="B997">
        <v>344500</v>
      </c>
      <c r="C997">
        <v>1</v>
      </c>
      <c r="D997" t="str">
        <f t="shared" si="15"/>
        <v>1344500.930</v>
      </c>
      <c r="E997" t="s">
        <v>3892</v>
      </c>
      <c r="F997" s="242"/>
      <c r="G997"/>
      <c r="H997" s="242">
        <v>-1144500</v>
      </c>
      <c r="I997" s="242">
        <v>-967811</v>
      </c>
      <c r="J997"/>
    </row>
    <row r="998" spans="1:10" ht="15.75" customHeight="1">
      <c r="A998" t="s">
        <v>2740</v>
      </c>
      <c r="B998">
        <v>345100</v>
      </c>
      <c r="C998">
        <v>1</v>
      </c>
      <c r="D998" t="str">
        <f t="shared" si="15"/>
        <v>1345100.930</v>
      </c>
      <c r="E998" t="s">
        <v>3910</v>
      </c>
      <c r="F998" s="242"/>
      <c r="G998"/>
      <c r="H998" s="242">
        <v>-22377282</v>
      </c>
      <c r="I998" s="242">
        <v>-23345004</v>
      </c>
      <c r="J998"/>
    </row>
    <row r="999" spans="1:10" ht="15.75" customHeight="1">
      <c r="A999" t="s">
        <v>1662</v>
      </c>
      <c r="B999">
        <v>345100</v>
      </c>
      <c r="C999">
        <v>1</v>
      </c>
      <c r="D999" t="str">
        <f t="shared" si="15"/>
        <v>1345100.931</v>
      </c>
      <c r="E999" t="s">
        <v>3911</v>
      </c>
      <c r="F999" s="242"/>
      <c r="G999"/>
      <c r="H999" s="242">
        <v>-6637500</v>
      </c>
      <c r="I999" s="242">
        <v>-6753202</v>
      </c>
      <c r="J999"/>
    </row>
    <row r="1000" spans="1:10" ht="15.75" customHeight="1">
      <c r="A1000" t="s">
        <v>1667</v>
      </c>
      <c r="B1000">
        <v>345100</v>
      </c>
      <c r="C1000">
        <v>1</v>
      </c>
      <c r="D1000" t="str">
        <f t="shared" si="15"/>
        <v>1345100.932</v>
      </c>
      <c r="E1000" t="s">
        <v>3912</v>
      </c>
      <c r="F1000" s="242"/>
      <c r="G1000"/>
      <c r="H1000" s="242">
        <v>-1348528</v>
      </c>
      <c r="I1000" s="242">
        <v>-2393735</v>
      </c>
      <c r="J1000"/>
    </row>
    <row r="1001" spans="1:10" ht="15.75" customHeight="1">
      <c r="A1001" t="s">
        <v>1672</v>
      </c>
      <c r="B1001">
        <v>345100</v>
      </c>
      <c r="C1001">
        <v>1</v>
      </c>
      <c r="D1001" t="str">
        <f t="shared" si="15"/>
        <v>1345100.933</v>
      </c>
      <c r="E1001" t="s">
        <v>3913</v>
      </c>
      <c r="F1001" s="242"/>
      <c r="G1001"/>
      <c r="H1001" s="242">
        <v>-242755</v>
      </c>
      <c r="I1001" s="242">
        <v>-212566</v>
      </c>
      <c r="J1001"/>
    </row>
    <row r="1002" spans="1:10" ht="15.75" customHeight="1">
      <c r="A1002" t="s">
        <v>1677</v>
      </c>
      <c r="B1002">
        <v>345100</v>
      </c>
      <c r="C1002">
        <v>1</v>
      </c>
      <c r="D1002" t="str">
        <f t="shared" si="15"/>
        <v>1345100.934</v>
      </c>
      <c r="E1002" t="s">
        <v>3914</v>
      </c>
      <c r="F1002" s="242"/>
      <c r="G1002"/>
      <c r="H1002" s="242">
        <v>-35250</v>
      </c>
      <c r="I1002" s="242">
        <v>-33210</v>
      </c>
      <c r="J1002"/>
    </row>
    <row r="1003" spans="1:10" ht="15.75" customHeight="1">
      <c r="A1003" t="s">
        <v>1682</v>
      </c>
      <c r="B1003">
        <v>345100</v>
      </c>
      <c r="C1003">
        <v>1</v>
      </c>
      <c r="D1003" t="str">
        <f t="shared" si="15"/>
        <v>1345100.935</v>
      </c>
      <c r="E1003" t="s">
        <v>3915</v>
      </c>
      <c r="F1003" s="242"/>
      <c r="G1003"/>
      <c r="H1003" s="242">
        <v>-1270000</v>
      </c>
      <c r="I1003" s="242">
        <v>-684853</v>
      </c>
      <c r="J1003"/>
    </row>
    <row r="1004" spans="1:10" ht="15.75" customHeight="1">
      <c r="A1004" t="s">
        <v>1687</v>
      </c>
      <c r="B1004">
        <v>345100</v>
      </c>
      <c r="C1004">
        <v>1</v>
      </c>
      <c r="D1004" t="str">
        <f t="shared" si="15"/>
        <v>1345100.936</v>
      </c>
      <c r="E1004" t="s">
        <v>3916</v>
      </c>
      <c r="F1004" s="242"/>
      <c r="G1004"/>
      <c r="H1004" s="242">
        <v>-33000</v>
      </c>
      <c r="I1004" s="242">
        <v>-39426</v>
      </c>
      <c r="J1004"/>
    </row>
    <row r="1005" spans="1:10" ht="15.75" customHeight="1">
      <c r="A1005" t="s">
        <v>1692</v>
      </c>
      <c r="B1005">
        <v>345100</v>
      </c>
      <c r="C1005">
        <v>1</v>
      </c>
      <c r="D1005" t="str">
        <f t="shared" si="15"/>
        <v>1345100.937</v>
      </c>
      <c r="E1005" t="s">
        <v>3917</v>
      </c>
      <c r="F1005" s="242"/>
      <c r="G1005"/>
      <c r="H1005" s="242">
        <v>-57000</v>
      </c>
      <c r="I1005" s="242">
        <v>-44710</v>
      </c>
      <c r="J1005"/>
    </row>
    <row r="1006" spans="1:10" ht="15.75" customHeight="1">
      <c r="A1006" t="s">
        <v>1697</v>
      </c>
      <c r="B1006">
        <v>345100</v>
      </c>
      <c r="C1006">
        <v>1</v>
      </c>
      <c r="D1006" t="str">
        <f t="shared" si="15"/>
        <v>1345100.938</v>
      </c>
      <c r="E1006" t="s">
        <v>3918</v>
      </c>
      <c r="F1006" s="242"/>
      <c r="G1006"/>
      <c r="H1006" s="242">
        <v>-121500</v>
      </c>
      <c r="I1006" s="242">
        <v>-140650</v>
      </c>
      <c r="J1006"/>
    </row>
    <row r="1007" spans="1:10" ht="15.75" customHeight="1">
      <c r="A1007" t="s">
        <v>2740</v>
      </c>
      <c r="B1007">
        <v>345110</v>
      </c>
      <c r="C1007">
        <v>1</v>
      </c>
      <c r="D1007" t="str">
        <f t="shared" si="15"/>
        <v>1345110.930</v>
      </c>
      <c r="E1007" t="s">
        <v>3919</v>
      </c>
      <c r="F1007" s="242"/>
      <c r="G1007"/>
      <c r="H1007" s="242">
        <v>-258000</v>
      </c>
      <c r="I1007" s="242">
        <v>-201054</v>
      </c>
      <c r="J1007"/>
    </row>
    <row r="1008" spans="1:10" ht="15.75" customHeight="1">
      <c r="A1008" t="s">
        <v>1662</v>
      </c>
      <c r="B1008">
        <v>345110</v>
      </c>
      <c r="C1008">
        <v>1</v>
      </c>
      <c r="D1008" t="str">
        <f t="shared" si="15"/>
        <v>1345110.931</v>
      </c>
      <c r="E1008" t="s">
        <v>3920</v>
      </c>
      <c r="F1008" s="242"/>
      <c r="G1008"/>
      <c r="H1008" s="242">
        <v>-63000</v>
      </c>
      <c r="I1008" s="242">
        <v>-70093</v>
      </c>
      <c r="J1008"/>
    </row>
    <row r="1009" spans="1:10" ht="15.75" customHeight="1">
      <c r="A1009" t="s">
        <v>2634</v>
      </c>
      <c r="B1009">
        <v>345200</v>
      </c>
      <c r="C1009">
        <v>1</v>
      </c>
      <c r="D1009" t="str">
        <f t="shared" si="15"/>
        <v>1345200.490</v>
      </c>
      <c r="E1009" t="s">
        <v>3921</v>
      </c>
      <c r="F1009" s="242"/>
      <c r="G1009"/>
      <c r="H1009" s="242">
        <v>-150000</v>
      </c>
      <c r="I1009" s="242">
        <v>-153050</v>
      </c>
      <c r="J1009"/>
    </row>
    <row r="1010" spans="1:10" ht="15.75" customHeight="1">
      <c r="A1010" t="s">
        <v>2740</v>
      </c>
      <c r="B1010">
        <v>345200</v>
      </c>
      <c r="C1010">
        <v>1</v>
      </c>
      <c r="D1010" t="str">
        <f t="shared" si="15"/>
        <v>1345200.930</v>
      </c>
      <c r="E1010" t="s">
        <v>3922</v>
      </c>
      <c r="F1010" s="242"/>
      <c r="G1010"/>
      <c r="H1010" s="242">
        <v>0</v>
      </c>
      <c r="I1010" s="242">
        <v>-1838</v>
      </c>
      <c r="J1010"/>
    </row>
    <row r="1011" spans="1:10" ht="15.75" customHeight="1">
      <c r="A1011" t="s">
        <v>1662</v>
      </c>
      <c r="B1011">
        <v>345200</v>
      </c>
      <c r="C1011">
        <v>1</v>
      </c>
      <c r="D1011" t="str">
        <f t="shared" si="15"/>
        <v>1345200.931</v>
      </c>
      <c r="E1011" t="s">
        <v>3923</v>
      </c>
      <c r="F1011" s="242"/>
      <c r="G1011"/>
      <c r="H1011" s="242">
        <v>-3899008</v>
      </c>
      <c r="I1011" s="242">
        <v>-3346788</v>
      </c>
      <c r="J1011"/>
    </row>
    <row r="1012" spans="1:10" ht="15.75" customHeight="1">
      <c r="A1012" t="s">
        <v>1667</v>
      </c>
      <c r="B1012">
        <v>345200</v>
      </c>
      <c r="C1012">
        <v>1</v>
      </c>
      <c r="D1012" t="str">
        <f t="shared" si="15"/>
        <v>1345200.932</v>
      </c>
      <c r="E1012" t="s">
        <v>3924</v>
      </c>
      <c r="F1012" s="242"/>
      <c r="G1012"/>
      <c r="H1012" s="242">
        <v>-2542710</v>
      </c>
      <c r="I1012" s="242">
        <v>-2303116</v>
      </c>
      <c r="J1012"/>
    </row>
    <row r="1013" spans="1:10" ht="15.75" customHeight="1">
      <c r="A1013" t="s">
        <v>1677</v>
      </c>
      <c r="B1013">
        <v>345200</v>
      </c>
      <c r="C1013">
        <v>1</v>
      </c>
      <c r="D1013" t="str">
        <f t="shared" si="15"/>
        <v>1345200.934</v>
      </c>
      <c r="E1013" t="s">
        <v>3925</v>
      </c>
      <c r="F1013" s="242"/>
      <c r="G1013"/>
      <c r="H1013" s="242">
        <v>-436600</v>
      </c>
      <c r="I1013" s="242">
        <v>-1873731</v>
      </c>
      <c r="J1013"/>
    </row>
    <row r="1014" spans="1:10" ht="15.75" customHeight="1">
      <c r="A1014" t="s">
        <v>2740</v>
      </c>
      <c r="B1014">
        <v>345300</v>
      </c>
      <c r="C1014">
        <v>1</v>
      </c>
      <c r="D1014" t="str">
        <f t="shared" si="15"/>
        <v>1345300.930</v>
      </c>
      <c r="E1014" t="s">
        <v>3926</v>
      </c>
      <c r="F1014" s="242"/>
      <c r="G1014"/>
      <c r="H1014" s="242">
        <v>-69000</v>
      </c>
      <c r="I1014" s="242">
        <v>-145603</v>
      </c>
      <c r="J1014"/>
    </row>
    <row r="1015" spans="1:10" ht="15.75" customHeight="1">
      <c r="A1015" t="s">
        <v>1677</v>
      </c>
      <c r="B1015">
        <v>345300</v>
      </c>
      <c r="C1015">
        <v>1</v>
      </c>
      <c r="D1015" t="str">
        <f t="shared" si="15"/>
        <v>1345300.934</v>
      </c>
      <c r="E1015" t="s">
        <v>3927</v>
      </c>
      <c r="F1015" s="242"/>
      <c r="G1015"/>
      <c r="H1015" s="242">
        <v>-1259000</v>
      </c>
      <c r="I1015" s="242">
        <v>-1228565</v>
      </c>
      <c r="J1015"/>
    </row>
    <row r="1016" spans="1:10" ht="15.75" customHeight="1">
      <c r="A1016" t="s">
        <v>1682</v>
      </c>
      <c r="B1016">
        <v>345300</v>
      </c>
      <c r="C1016">
        <v>1</v>
      </c>
      <c r="D1016" t="str">
        <f t="shared" si="15"/>
        <v>1345300.935</v>
      </c>
      <c r="E1016" t="s">
        <v>3928</v>
      </c>
      <c r="F1016" s="242"/>
      <c r="G1016"/>
      <c r="H1016" s="242">
        <v>-120565</v>
      </c>
      <c r="I1016" s="242">
        <v>-104261</v>
      </c>
      <c r="J1016"/>
    </row>
    <row r="1017" spans="1:10" ht="15.75" customHeight="1">
      <c r="A1017" t="s">
        <v>1687</v>
      </c>
      <c r="B1017">
        <v>345300</v>
      </c>
      <c r="C1017">
        <v>1</v>
      </c>
      <c r="D1017" t="str">
        <f t="shared" si="15"/>
        <v>1345300.936</v>
      </c>
      <c r="E1017" t="s">
        <v>3929</v>
      </c>
      <c r="F1017" s="242"/>
      <c r="G1017"/>
      <c r="H1017" s="242">
        <v>-100000</v>
      </c>
      <c r="I1017" s="242">
        <v>-97264</v>
      </c>
      <c r="J1017"/>
    </row>
    <row r="1018" spans="1:10" ht="15.75" customHeight="1">
      <c r="A1018" t="s">
        <v>2634</v>
      </c>
      <c r="B1018">
        <v>345400</v>
      </c>
      <c r="C1018">
        <v>1</v>
      </c>
      <c r="D1018" t="str">
        <f t="shared" si="15"/>
        <v>1345400.490</v>
      </c>
      <c r="E1018" t="s">
        <v>3930</v>
      </c>
      <c r="F1018" s="242"/>
      <c r="G1018"/>
      <c r="H1018" s="242">
        <v>-350000</v>
      </c>
      <c r="I1018" s="242">
        <v>-363359</v>
      </c>
      <c r="J1018"/>
    </row>
    <row r="1019" spans="1:10" ht="15.75" customHeight="1">
      <c r="A1019" t="s">
        <v>2634</v>
      </c>
      <c r="B1019">
        <v>346100</v>
      </c>
      <c r="C1019">
        <v>1</v>
      </c>
      <c r="D1019" t="str">
        <f t="shared" si="15"/>
        <v>1346100.490</v>
      </c>
      <c r="E1019" t="s">
        <v>2861</v>
      </c>
      <c r="F1019" s="242"/>
      <c r="G1019"/>
      <c r="H1019" s="242">
        <v>-100</v>
      </c>
      <c r="I1019" s="242">
        <v>0</v>
      </c>
      <c r="J1019"/>
    </row>
    <row r="1020" spans="1:10" ht="15.75" customHeight="1">
      <c r="A1020" t="s">
        <v>2740</v>
      </c>
      <c r="B1020">
        <v>346100</v>
      </c>
      <c r="C1020">
        <v>1</v>
      </c>
      <c r="D1020" t="str">
        <f t="shared" si="15"/>
        <v>1346100.930</v>
      </c>
      <c r="E1020" t="s">
        <v>3974</v>
      </c>
      <c r="F1020" s="242"/>
      <c r="G1020"/>
      <c r="H1020" s="242">
        <v>-37154</v>
      </c>
      <c r="I1020" s="242">
        <v>-36619</v>
      </c>
      <c r="J1020"/>
    </row>
    <row r="1021" spans="1:10" ht="15.75" customHeight="1">
      <c r="A1021" t="s">
        <v>1672</v>
      </c>
      <c r="B1021">
        <v>346300</v>
      </c>
      <c r="C1021">
        <v>1</v>
      </c>
      <c r="D1021" t="str">
        <f t="shared" si="15"/>
        <v>1346300.933</v>
      </c>
      <c r="E1021" t="s">
        <v>3975</v>
      </c>
      <c r="F1021" s="242"/>
      <c r="G1021"/>
      <c r="H1021" s="242">
        <v>-270000</v>
      </c>
      <c r="I1021" s="242">
        <v>-157169</v>
      </c>
      <c r="J1021"/>
    </row>
    <row r="1022" spans="1:10" ht="15.75" customHeight="1">
      <c r="A1022" t="s">
        <v>1677</v>
      </c>
      <c r="B1022">
        <v>346300</v>
      </c>
      <c r="C1022">
        <v>1</v>
      </c>
      <c r="D1022" t="str">
        <f t="shared" si="15"/>
        <v>1346300.934</v>
      </c>
      <c r="E1022" t="s">
        <v>3976</v>
      </c>
      <c r="F1022" s="242"/>
      <c r="G1022"/>
      <c r="H1022" s="242">
        <v>-41000</v>
      </c>
      <c r="I1022" s="242">
        <v>-12427</v>
      </c>
      <c r="J1022"/>
    </row>
    <row r="1023" spans="1:10" ht="15.75" customHeight="1">
      <c r="A1023" t="s">
        <v>2740</v>
      </c>
      <c r="B1023">
        <v>346400</v>
      </c>
      <c r="C1023">
        <v>1</v>
      </c>
      <c r="D1023" t="str">
        <f t="shared" si="15"/>
        <v>1346400.930</v>
      </c>
      <c r="E1023" t="s">
        <v>3977</v>
      </c>
      <c r="F1023" s="242"/>
      <c r="G1023"/>
      <c r="H1023" s="242">
        <v>-66000</v>
      </c>
      <c r="I1023" s="242">
        <v>-23247</v>
      </c>
      <c r="J1023"/>
    </row>
    <row r="1024" spans="1:10" ht="15.75" customHeight="1">
      <c r="A1024" t="s">
        <v>2634</v>
      </c>
      <c r="B1024">
        <v>346500</v>
      </c>
      <c r="C1024">
        <v>1</v>
      </c>
      <c r="D1024" t="str">
        <f t="shared" si="15"/>
        <v>1346500.490</v>
      </c>
      <c r="E1024" t="s">
        <v>3978</v>
      </c>
      <c r="F1024" s="242"/>
      <c r="G1024"/>
      <c r="H1024" s="242">
        <v>-95000</v>
      </c>
      <c r="I1024" s="242">
        <v>-95315</v>
      </c>
      <c r="J1024"/>
    </row>
    <row r="1025" spans="1:10" ht="15.75" customHeight="1">
      <c r="A1025" t="s">
        <v>2755</v>
      </c>
      <c r="B1025">
        <v>346500</v>
      </c>
      <c r="C1025">
        <v>1</v>
      </c>
      <c r="D1025" t="str">
        <f t="shared" si="15"/>
        <v>1346500.491</v>
      </c>
      <c r="E1025" t="s">
        <v>3979</v>
      </c>
      <c r="F1025" s="242"/>
      <c r="G1025"/>
      <c r="H1025" s="242">
        <v>-4500</v>
      </c>
      <c r="I1025" s="242">
        <v>4509</v>
      </c>
      <c r="J1025"/>
    </row>
    <row r="1026" spans="1:10" ht="15.75" customHeight="1">
      <c r="A1026" t="s">
        <v>1662</v>
      </c>
      <c r="B1026">
        <v>346500</v>
      </c>
      <c r="C1026">
        <v>1</v>
      </c>
      <c r="D1026" t="str">
        <f t="shared" si="15"/>
        <v>1346500.931</v>
      </c>
      <c r="E1026" t="s">
        <v>3980</v>
      </c>
      <c r="F1026" s="242"/>
      <c r="G1026"/>
      <c r="H1026" s="242">
        <v>-4417964</v>
      </c>
      <c r="I1026" s="242">
        <v>-3218047</v>
      </c>
      <c r="J1026"/>
    </row>
    <row r="1027" spans="1:10" ht="15.75" customHeight="1">
      <c r="A1027" t="s">
        <v>1667</v>
      </c>
      <c r="B1027">
        <v>346500</v>
      </c>
      <c r="C1027">
        <v>1</v>
      </c>
      <c r="D1027" t="str">
        <f t="shared" ref="D1027:D1090" si="16">C1027&amp;B1027&amp;"."&amp;A1027</f>
        <v>1346500.932</v>
      </c>
      <c r="E1027" t="s">
        <v>3981</v>
      </c>
      <c r="F1027" s="242"/>
      <c r="G1027"/>
      <c r="H1027" s="242">
        <v>-380646</v>
      </c>
      <c r="I1027" s="242">
        <v>0</v>
      </c>
      <c r="J1027"/>
    </row>
    <row r="1028" spans="1:10" ht="15.75" customHeight="1">
      <c r="A1028" t="s">
        <v>1672</v>
      </c>
      <c r="B1028">
        <v>346500</v>
      </c>
      <c r="C1028">
        <v>1</v>
      </c>
      <c r="D1028" t="str">
        <f t="shared" si="16"/>
        <v>1346500.933</v>
      </c>
      <c r="E1028" t="s">
        <v>3982</v>
      </c>
      <c r="F1028" s="242"/>
      <c r="G1028"/>
      <c r="H1028" s="242">
        <v>-522000</v>
      </c>
      <c r="I1028" s="242">
        <v>-522000</v>
      </c>
      <c r="J1028"/>
    </row>
    <row r="1029" spans="1:10" ht="15.75" customHeight="1">
      <c r="A1029" t="s">
        <v>1677</v>
      </c>
      <c r="B1029">
        <v>346500</v>
      </c>
      <c r="C1029">
        <v>1</v>
      </c>
      <c r="D1029" t="str">
        <f t="shared" si="16"/>
        <v>1346500.934</v>
      </c>
      <c r="E1029" t="s">
        <v>3983</v>
      </c>
      <c r="F1029" s="242"/>
      <c r="G1029"/>
      <c r="H1029" s="242">
        <v>0</v>
      </c>
      <c r="I1029" s="242">
        <v>-1726362</v>
      </c>
      <c r="J1029"/>
    </row>
    <row r="1030" spans="1:10" ht="15.75" customHeight="1">
      <c r="A1030" t="s">
        <v>1697</v>
      </c>
      <c r="B1030">
        <v>346500</v>
      </c>
      <c r="C1030">
        <v>1</v>
      </c>
      <c r="D1030" t="str">
        <f t="shared" si="16"/>
        <v>1346500.938</v>
      </c>
      <c r="E1030" t="s">
        <v>3984</v>
      </c>
      <c r="F1030" s="242"/>
      <c r="G1030"/>
      <c r="H1030" s="242">
        <v>-212000</v>
      </c>
      <c r="I1030" s="242">
        <v>-209395</v>
      </c>
      <c r="J1030"/>
    </row>
    <row r="1031" spans="1:10" ht="15.75" customHeight="1">
      <c r="A1031" t="s">
        <v>1702</v>
      </c>
      <c r="B1031">
        <v>346500</v>
      </c>
      <c r="C1031">
        <v>1</v>
      </c>
      <c r="D1031" t="str">
        <f t="shared" si="16"/>
        <v>1346500.939</v>
      </c>
      <c r="E1031" t="s">
        <v>3985</v>
      </c>
      <c r="F1031" s="242"/>
      <c r="G1031"/>
      <c r="H1031" s="242">
        <v>-628429</v>
      </c>
      <c r="I1031" s="242">
        <v>-577137</v>
      </c>
      <c r="J1031"/>
    </row>
    <row r="1032" spans="1:10" ht="15.75" customHeight="1">
      <c r="A1032" t="s">
        <v>2740</v>
      </c>
      <c r="B1032">
        <v>346600</v>
      </c>
      <c r="C1032">
        <v>1</v>
      </c>
      <c r="D1032" t="str">
        <f t="shared" si="16"/>
        <v>1346600.930</v>
      </c>
      <c r="E1032" t="s">
        <v>3986</v>
      </c>
      <c r="F1032" s="242"/>
      <c r="G1032"/>
      <c r="H1032" s="242">
        <v>-156264</v>
      </c>
      <c r="I1032" s="242">
        <v>-139141</v>
      </c>
      <c r="J1032"/>
    </row>
    <row r="1033" spans="1:10" ht="15.75" customHeight="1">
      <c r="A1033" t="s">
        <v>2740</v>
      </c>
      <c r="B1033">
        <v>346700</v>
      </c>
      <c r="C1033">
        <v>1</v>
      </c>
      <c r="D1033" t="str">
        <f t="shared" si="16"/>
        <v>1346700.930</v>
      </c>
      <c r="E1033" t="s">
        <v>3987</v>
      </c>
      <c r="F1033" s="242"/>
      <c r="G1033"/>
      <c r="H1033" s="242">
        <v>-150000</v>
      </c>
      <c r="I1033" s="242">
        <v>-267118</v>
      </c>
      <c r="J1033"/>
    </row>
    <row r="1034" spans="1:10" ht="15.75" customHeight="1">
      <c r="A1034" t="s">
        <v>1662</v>
      </c>
      <c r="B1034">
        <v>346700</v>
      </c>
      <c r="C1034">
        <v>1</v>
      </c>
      <c r="D1034" t="str">
        <f t="shared" si="16"/>
        <v>1346700.931</v>
      </c>
      <c r="E1034" t="s">
        <v>3988</v>
      </c>
      <c r="F1034" s="242"/>
      <c r="G1034"/>
      <c r="H1034" s="242">
        <v>-14000</v>
      </c>
      <c r="I1034" s="242">
        <v>-19324</v>
      </c>
      <c r="J1034"/>
    </row>
    <row r="1035" spans="1:10" ht="15.75" customHeight="1">
      <c r="A1035" t="s">
        <v>1667</v>
      </c>
      <c r="B1035">
        <v>346700</v>
      </c>
      <c r="C1035">
        <v>1</v>
      </c>
      <c r="D1035" t="str">
        <f t="shared" si="16"/>
        <v>1346700.932</v>
      </c>
      <c r="E1035" t="s">
        <v>3989</v>
      </c>
      <c r="F1035" s="242"/>
      <c r="G1035"/>
      <c r="H1035" s="242">
        <v>-1444200</v>
      </c>
      <c r="I1035" s="242">
        <v>-424229</v>
      </c>
      <c r="J1035"/>
    </row>
    <row r="1036" spans="1:10" ht="15.75" customHeight="1">
      <c r="A1036" t="s">
        <v>1672</v>
      </c>
      <c r="B1036">
        <v>346700</v>
      </c>
      <c r="C1036">
        <v>1</v>
      </c>
      <c r="D1036" t="str">
        <f t="shared" si="16"/>
        <v>1346700.933</v>
      </c>
      <c r="E1036" t="s">
        <v>3990</v>
      </c>
      <c r="F1036" s="242"/>
      <c r="G1036"/>
      <c r="H1036" s="242">
        <v>-70000</v>
      </c>
      <c r="I1036" s="242">
        <v>-55830</v>
      </c>
      <c r="J1036"/>
    </row>
    <row r="1037" spans="1:10" ht="15.75" customHeight="1">
      <c r="A1037" t="s">
        <v>1677</v>
      </c>
      <c r="B1037">
        <v>346700</v>
      </c>
      <c r="C1037">
        <v>1</v>
      </c>
      <c r="D1037" t="str">
        <f t="shared" si="16"/>
        <v>1346700.934</v>
      </c>
      <c r="E1037" t="s">
        <v>3991</v>
      </c>
      <c r="F1037" s="242"/>
      <c r="G1037"/>
      <c r="H1037" s="242">
        <v>-580000</v>
      </c>
      <c r="I1037" s="242">
        <v>-404449</v>
      </c>
      <c r="J1037"/>
    </row>
    <row r="1038" spans="1:10" ht="15.75" customHeight="1">
      <c r="A1038" t="s">
        <v>1682</v>
      </c>
      <c r="B1038">
        <v>346700</v>
      </c>
      <c r="C1038">
        <v>1</v>
      </c>
      <c r="D1038" t="str">
        <f t="shared" si="16"/>
        <v>1346700.935</v>
      </c>
      <c r="E1038" t="s">
        <v>3992</v>
      </c>
      <c r="F1038" s="242"/>
      <c r="G1038"/>
      <c r="H1038" s="242">
        <v>-200000</v>
      </c>
      <c r="I1038" s="242">
        <v>-165768</v>
      </c>
      <c r="J1038"/>
    </row>
    <row r="1039" spans="1:10" ht="15.75" customHeight="1">
      <c r="A1039" t="s">
        <v>1687</v>
      </c>
      <c r="B1039">
        <v>346700</v>
      </c>
      <c r="C1039">
        <v>1</v>
      </c>
      <c r="D1039" t="str">
        <f t="shared" si="16"/>
        <v>1346700.936</v>
      </c>
      <c r="E1039" t="s">
        <v>3993</v>
      </c>
      <c r="F1039" s="242"/>
      <c r="G1039"/>
      <c r="H1039" s="242">
        <v>-51000</v>
      </c>
      <c r="I1039" s="242">
        <v>-22160</v>
      </c>
      <c r="J1039"/>
    </row>
    <row r="1040" spans="1:10" ht="15.75" customHeight="1">
      <c r="A1040" t="s">
        <v>1692</v>
      </c>
      <c r="B1040">
        <v>346700</v>
      </c>
      <c r="C1040">
        <v>1</v>
      </c>
      <c r="D1040" t="str">
        <f t="shared" si="16"/>
        <v>1346700.937</v>
      </c>
      <c r="E1040" t="s">
        <v>3994</v>
      </c>
      <c r="F1040" s="242"/>
      <c r="G1040"/>
      <c r="H1040" s="242">
        <v>-339000</v>
      </c>
      <c r="I1040" s="242">
        <v>-389527</v>
      </c>
      <c r="J1040"/>
    </row>
    <row r="1041" spans="1:10" ht="15.75" customHeight="1">
      <c r="A1041" t="s">
        <v>1697</v>
      </c>
      <c r="B1041">
        <v>346700</v>
      </c>
      <c r="C1041">
        <v>1</v>
      </c>
      <c r="D1041" t="str">
        <f t="shared" si="16"/>
        <v>1346700.938</v>
      </c>
      <c r="E1041" t="s">
        <v>3995</v>
      </c>
      <c r="F1041" s="242"/>
      <c r="G1041"/>
      <c r="H1041" s="242">
        <v>-187425</v>
      </c>
      <c r="I1041" s="242">
        <v>-186213</v>
      </c>
      <c r="J1041"/>
    </row>
    <row r="1042" spans="1:10" ht="15.75" customHeight="1">
      <c r="A1042" t="s">
        <v>2740</v>
      </c>
      <c r="B1042">
        <v>346701</v>
      </c>
      <c r="C1042">
        <v>1</v>
      </c>
      <c r="D1042" t="str">
        <f t="shared" si="16"/>
        <v>1346701.930</v>
      </c>
      <c r="E1042" t="s">
        <v>3996</v>
      </c>
      <c r="F1042" s="242"/>
      <c r="G1042"/>
      <c r="H1042" s="242">
        <v>-54000</v>
      </c>
      <c r="I1042" s="242">
        <v>-39342</v>
      </c>
      <c r="J1042"/>
    </row>
    <row r="1043" spans="1:10" ht="15.75" customHeight="1">
      <c r="A1043" t="s">
        <v>1662</v>
      </c>
      <c r="B1043">
        <v>346701</v>
      </c>
      <c r="C1043">
        <v>1</v>
      </c>
      <c r="D1043" t="str">
        <f t="shared" si="16"/>
        <v>1346701.931</v>
      </c>
      <c r="E1043" t="s">
        <v>3997</v>
      </c>
      <c r="F1043" s="242"/>
      <c r="G1043"/>
      <c r="H1043" s="242">
        <v>-70000</v>
      </c>
      <c r="I1043" s="242">
        <v>-42115</v>
      </c>
      <c r="J1043"/>
    </row>
    <row r="1044" spans="1:10" ht="15.75" customHeight="1">
      <c r="A1044" t="s">
        <v>1667</v>
      </c>
      <c r="B1044">
        <v>346701</v>
      </c>
      <c r="C1044">
        <v>1</v>
      </c>
      <c r="D1044" t="str">
        <f t="shared" si="16"/>
        <v>1346701.932</v>
      </c>
      <c r="E1044" t="s">
        <v>3998</v>
      </c>
      <c r="F1044" s="242"/>
      <c r="G1044"/>
      <c r="H1044" s="242">
        <v>0</v>
      </c>
      <c r="I1044" s="242">
        <v>0</v>
      </c>
      <c r="J1044"/>
    </row>
    <row r="1045" spans="1:10" ht="15.75" customHeight="1">
      <c r="A1045" t="s">
        <v>2740</v>
      </c>
      <c r="B1045">
        <v>346800</v>
      </c>
      <c r="C1045">
        <v>1</v>
      </c>
      <c r="D1045" t="str">
        <f t="shared" si="16"/>
        <v>1346800.930</v>
      </c>
      <c r="E1045" t="s">
        <v>3999</v>
      </c>
      <c r="F1045" s="242"/>
      <c r="G1045"/>
      <c r="H1045" s="242">
        <v>-880000</v>
      </c>
      <c r="I1045" s="242">
        <v>-488927</v>
      </c>
      <c r="J1045"/>
    </row>
    <row r="1046" spans="1:10" ht="15.75" customHeight="1">
      <c r="A1046" t="s">
        <v>1662</v>
      </c>
      <c r="B1046">
        <v>346800</v>
      </c>
      <c r="C1046">
        <v>1</v>
      </c>
      <c r="D1046" t="str">
        <f t="shared" si="16"/>
        <v>1346800.931</v>
      </c>
      <c r="E1046" t="s">
        <v>4000</v>
      </c>
      <c r="F1046" s="242"/>
      <c r="G1046"/>
      <c r="H1046" s="242">
        <v>-150000</v>
      </c>
      <c r="I1046" s="242">
        <v>-120501</v>
      </c>
      <c r="J1046"/>
    </row>
    <row r="1047" spans="1:10" ht="15.75" customHeight="1">
      <c r="A1047" t="s">
        <v>1667</v>
      </c>
      <c r="B1047">
        <v>346800</v>
      </c>
      <c r="C1047">
        <v>1</v>
      </c>
      <c r="D1047" t="str">
        <f t="shared" si="16"/>
        <v>1346800.932</v>
      </c>
      <c r="E1047" t="s">
        <v>4001</v>
      </c>
      <c r="F1047" s="242"/>
      <c r="G1047"/>
      <c r="H1047" s="242">
        <v>-249000</v>
      </c>
      <c r="I1047" s="242">
        <v>-185296</v>
      </c>
      <c r="J1047"/>
    </row>
    <row r="1048" spans="1:10" ht="15.75" customHeight="1">
      <c r="A1048" t="s">
        <v>1672</v>
      </c>
      <c r="B1048">
        <v>346800</v>
      </c>
      <c r="C1048">
        <v>1</v>
      </c>
      <c r="D1048" t="str">
        <f t="shared" si="16"/>
        <v>1346800.933</v>
      </c>
      <c r="E1048" t="s">
        <v>4002</v>
      </c>
      <c r="F1048" s="242"/>
      <c r="G1048"/>
      <c r="H1048" s="242">
        <v>-84000</v>
      </c>
      <c r="I1048" s="242">
        <v>-44025</v>
      </c>
      <c r="J1048"/>
    </row>
    <row r="1049" spans="1:10" ht="15.75" customHeight="1">
      <c r="A1049" t="s">
        <v>1677</v>
      </c>
      <c r="B1049">
        <v>346800</v>
      </c>
      <c r="C1049">
        <v>1</v>
      </c>
      <c r="D1049" t="str">
        <f t="shared" si="16"/>
        <v>1346800.934</v>
      </c>
      <c r="E1049" t="s">
        <v>4003</v>
      </c>
      <c r="F1049" s="242"/>
      <c r="G1049"/>
      <c r="H1049" s="242">
        <v>-1890000</v>
      </c>
      <c r="I1049" s="242">
        <v>-1606532</v>
      </c>
      <c r="J1049"/>
    </row>
    <row r="1050" spans="1:10" ht="15.75" customHeight="1">
      <c r="A1050" t="s">
        <v>2740</v>
      </c>
      <c r="B1050">
        <v>347100</v>
      </c>
      <c r="C1050">
        <v>1</v>
      </c>
      <c r="D1050" t="str">
        <f t="shared" si="16"/>
        <v>1347100.930</v>
      </c>
      <c r="E1050" t="s">
        <v>4085</v>
      </c>
      <c r="F1050" s="242"/>
      <c r="G1050"/>
      <c r="H1050" s="242">
        <v>-290000</v>
      </c>
      <c r="I1050" s="242">
        <v>-280795</v>
      </c>
      <c r="J1050"/>
    </row>
    <row r="1051" spans="1:10" ht="15.75" customHeight="1">
      <c r="A1051" t="s">
        <v>3878</v>
      </c>
      <c r="B1051">
        <v>347100</v>
      </c>
      <c r="C1051">
        <v>1</v>
      </c>
      <c r="D1051" t="str">
        <f t="shared" si="16"/>
        <v>1347100.492</v>
      </c>
      <c r="E1051" t="s">
        <v>4088</v>
      </c>
      <c r="F1051" s="242"/>
      <c r="G1051"/>
      <c r="H1051" s="242">
        <v>0</v>
      </c>
      <c r="I1051" s="242">
        <v>0</v>
      </c>
      <c r="J1051"/>
    </row>
    <row r="1052" spans="1:10" ht="15.75" customHeight="1">
      <c r="A1052" t="s">
        <v>1672</v>
      </c>
      <c r="B1052">
        <v>347100</v>
      </c>
      <c r="C1052">
        <v>1</v>
      </c>
      <c r="D1052" t="str">
        <f t="shared" si="16"/>
        <v>1347100.933</v>
      </c>
      <c r="E1052" t="s">
        <v>4089</v>
      </c>
      <c r="F1052" s="242"/>
      <c r="G1052"/>
      <c r="H1052" s="242">
        <v>-324500</v>
      </c>
      <c r="I1052" s="242">
        <v>-401268</v>
      </c>
      <c r="J1052"/>
    </row>
    <row r="1053" spans="1:10" ht="15.75" customHeight="1">
      <c r="A1053" t="s">
        <v>1702</v>
      </c>
      <c r="B1053">
        <v>347100</v>
      </c>
      <c r="C1053">
        <v>1</v>
      </c>
      <c r="D1053" t="str">
        <f t="shared" si="16"/>
        <v>1347100.939</v>
      </c>
      <c r="E1053" t="s">
        <v>4090</v>
      </c>
      <c r="F1053" s="242"/>
      <c r="G1053"/>
      <c r="H1053" s="242">
        <v>0</v>
      </c>
      <c r="I1053" s="242">
        <v>0</v>
      </c>
      <c r="J1053"/>
    </row>
    <row r="1054" spans="1:10" ht="15.75" customHeight="1">
      <c r="A1054" t="s">
        <v>2634</v>
      </c>
      <c r="B1054">
        <v>347110</v>
      </c>
      <c r="C1054">
        <v>1</v>
      </c>
      <c r="D1054" t="str">
        <f t="shared" si="16"/>
        <v>1347110.490</v>
      </c>
      <c r="E1054" t="s">
        <v>4098</v>
      </c>
      <c r="F1054" s="242"/>
      <c r="G1054"/>
      <c r="H1054" s="242">
        <v>0</v>
      </c>
      <c r="I1054" s="242">
        <v>0</v>
      </c>
      <c r="J1054"/>
    </row>
    <row r="1055" spans="1:10" ht="15.75" customHeight="1">
      <c r="A1055" t="s">
        <v>2740</v>
      </c>
      <c r="B1055">
        <v>347110</v>
      </c>
      <c r="C1055">
        <v>1</v>
      </c>
      <c r="D1055" t="str">
        <f t="shared" si="16"/>
        <v>1347110.930</v>
      </c>
      <c r="E1055" t="s">
        <v>4099</v>
      </c>
      <c r="F1055" s="242"/>
      <c r="G1055"/>
      <c r="H1055" s="242">
        <v>-126178</v>
      </c>
      <c r="I1055" s="242">
        <v>-98852</v>
      </c>
      <c r="J1055"/>
    </row>
    <row r="1056" spans="1:10" ht="15.75" customHeight="1">
      <c r="A1056" t="s">
        <v>1667</v>
      </c>
      <c r="B1056">
        <v>347110</v>
      </c>
      <c r="C1056">
        <v>1</v>
      </c>
      <c r="D1056" t="str">
        <f t="shared" si="16"/>
        <v>1347110.932</v>
      </c>
      <c r="E1056" t="s">
        <v>4100</v>
      </c>
      <c r="F1056" s="242"/>
      <c r="G1056"/>
      <c r="H1056" s="242">
        <v>-952500</v>
      </c>
      <c r="I1056" s="242">
        <v>-781591</v>
      </c>
      <c r="J1056"/>
    </row>
    <row r="1057" spans="1:10" ht="15.75" customHeight="1">
      <c r="A1057" t="s">
        <v>1677</v>
      </c>
      <c r="B1057">
        <v>347110</v>
      </c>
      <c r="C1057">
        <v>1</v>
      </c>
      <c r="D1057" t="str">
        <f t="shared" si="16"/>
        <v>1347110.934</v>
      </c>
      <c r="E1057" t="s">
        <v>4101</v>
      </c>
      <c r="F1057" s="242"/>
      <c r="G1057"/>
      <c r="H1057" s="242">
        <v>-300000</v>
      </c>
      <c r="I1057" s="242">
        <v>-540586</v>
      </c>
      <c r="J1057"/>
    </row>
    <row r="1058" spans="1:10" ht="15.75" customHeight="1">
      <c r="A1058" t="s">
        <v>1682</v>
      </c>
      <c r="B1058">
        <v>347110</v>
      </c>
      <c r="C1058">
        <v>1</v>
      </c>
      <c r="D1058" t="str">
        <f t="shared" si="16"/>
        <v>1347110.935</v>
      </c>
      <c r="E1058" t="s">
        <v>4102</v>
      </c>
      <c r="F1058" s="242"/>
      <c r="G1058"/>
      <c r="H1058" s="242">
        <v>-550849</v>
      </c>
      <c r="I1058" s="242">
        <v>-589549</v>
      </c>
      <c r="J1058"/>
    </row>
    <row r="1059" spans="1:10" ht="15.75" customHeight="1">
      <c r="A1059" t="s">
        <v>1687</v>
      </c>
      <c r="B1059">
        <v>347110</v>
      </c>
      <c r="C1059">
        <v>1</v>
      </c>
      <c r="D1059" t="str">
        <f t="shared" si="16"/>
        <v>1347110.936</v>
      </c>
      <c r="E1059" t="s">
        <v>4103</v>
      </c>
      <c r="F1059" s="242"/>
      <c r="G1059"/>
      <c r="H1059" s="242">
        <v>-260000</v>
      </c>
      <c r="I1059" s="242">
        <v>-197864</v>
      </c>
      <c r="J1059"/>
    </row>
    <row r="1060" spans="1:10" ht="15.75" customHeight="1">
      <c r="A1060" t="s">
        <v>1692</v>
      </c>
      <c r="B1060">
        <v>347110</v>
      </c>
      <c r="C1060">
        <v>1</v>
      </c>
      <c r="D1060" t="str">
        <f t="shared" si="16"/>
        <v>1347110.937</v>
      </c>
      <c r="E1060" t="s">
        <v>4104</v>
      </c>
      <c r="F1060" s="242"/>
      <c r="G1060"/>
      <c r="H1060" s="242">
        <v>-300000</v>
      </c>
      <c r="I1060" s="242">
        <v>-347210</v>
      </c>
      <c r="J1060"/>
    </row>
    <row r="1061" spans="1:10" ht="15.75" customHeight="1">
      <c r="A1061" t="s">
        <v>1702</v>
      </c>
      <c r="B1061">
        <v>347110</v>
      </c>
      <c r="C1061">
        <v>1</v>
      </c>
      <c r="D1061" t="str">
        <f t="shared" si="16"/>
        <v>1347110.939</v>
      </c>
      <c r="E1061" t="s">
        <v>4105</v>
      </c>
      <c r="F1061" s="242"/>
      <c r="G1061"/>
      <c r="H1061" s="242">
        <v>-46875</v>
      </c>
      <c r="I1061" s="242">
        <v>0</v>
      </c>
      <c r="J1061"/>
    </row>
    <row r="1062" spans="1:10" ht="15.75" customHeight="1">
      <c r="A1062" t="s">
        <v>2740</v>
      </c>
      <c r="B1062">
        <v>347111</v>
      </c>
      <c r="C1062">
        <v>1</v>
      </c>
      <c r="D1062" t="str">
        <f t="shared" si="16"/>
        <v>1347111.930</v>
      </c>
      <c r="E1062" t="s">
        <v>4106</v>
      </c>
      <c r="F1062" s="242"/>
      <c r="G1062"/>
      <c r="H1062" s="242">
        <v>-470000</v>
      </c>
      <c r="I1062" s="242">
        <v>-397628</v>
      </c>
      <c r="J1062"/>
    </row>
    <row r="1063" spans="1:10" ht="15.75" customHeight="1">
      <c r="A1063" t="s">
        <v>2740</v>
      </c>
      <c r="B1063">
        <v>347200</v>
      </c>
      <c r="C1063">
        <v>1</v>
      </c>
      <c r="D1063" t="str">
        <f t="shared" si="16"/>
        <v>1347200.930</v>
      </c>
      <c r="E1063" t="s">
        <v>4107</v>
      </c>
      <c r="F1063" s="242"/>
      <c r="G1063"/>
      <c r="H1063" s="242">
        <v>0</v>
      </c>
      <c r="I1063" s="242">
        <v>0</v>
      </c>
      <c r="J1063"/>
    </row>
    <row r="1064" spans="1:10" ht="15.75" customHeight="1">
      <c r="A1064" t="s">
        <v>2634</v>
      </c>
      <c r="B1064">
        <v>347300</v>
      </c>
      <c r="C1064">
        <v>1</v>
      </c>
      <c r="D1064" t="str">
        <f t="shared" si="16"/>
        <v>1347300.490</v>
      </c>
      <c r="E1064" t="s">
        <v>3941</v>
      </c>
      <c r="F1064" s="242"/>
      <c r="G1064"/>
      <c r="H1064" s="242">
        <v>-100</v>
      </c>
      <c r="I1064" s="242">
        <v>0</v>
      </c>
      <c r="J1064"/>
    </row>
    <row r="1065" spans="1:10" ht="15.75" customHeight="1">
      <c r="A1065" t="s">
        <v>895</v>
      </c>
      <c r="B1065">
        <v>347300</v>
      </c>
      <c r="C1065">
        <v>1</v>
      </c>
      <c r="D1065" t="str">
        <f t="shared" si="16"/>
        <v>1347300.793</v>
      </c>
      <c r="E1065" t="s">
        <v>3942</v>
      </c>
      <c r="F1065" s="242"/>
      <c r="G1065"/>
      <c r="H1065" s="242">
        <v>-120000</v>
      </c>
      <c r="I1065" s="242">
        <v>0</v>
      </c>
      <c r="J1065"/>
    </row>
    <row r="1066" spans="1:10" ht="15.75" customHeight="1">
      <c r="A1066" t="s">
        <v>2740</v>
      </c>
      <c r="B1066">
        <v>347300</v>
      </c>
      <c r="C1066">
        <v>1</v>
      </c>
      <c r="D1066" t="str">
        <f t="shared" si="16"/>
        <v>1347300.930</v>
      </c>
      <c r="E1066" t="s">
        <v>3943</v>
      </c>
      <c r="F1066" s="242"/>
      <c r="G1066"/>
      <c r="H1066" s="242">
        <v>-64000</v>
      </c>
      <c r="I1066" s="242">
        <v>-26593</v>
      </c>
      <c r="J1066"/>
    </row>
    <row r="1067" spans="1:10" ht="15.75" customHeight="1">
      <c r="A1067" t="s">
        <v>1662</v>
      </c>
      <c r="B1067">
        <v>347300</v>
      </c>
      <c r="C1067">
        <v>1</v>
      </c>
      <c r="D1067" t="str">
        <f t="shared" si="16"/>
        <v>1347300.931</v>
      </c>
      <c r="E1067" t="s">
        <v>3944</v>
      </c>
      <c r="F1067" s="242"/>
      <c r="G1067"/>
      <c r="H1067" s="242">
        <v>-218000</v>
      </c>
      <c r="I1067" s="242">
        <v>-637192</v>
      </c>
      <c r="J1067"/>
    </row>
    <row r="1068" spans="1:10" ht="15.75" customHeight="1">
      <c r="A1068" t="s">
        <v>1667</v>
      </c>
      <c r="B1068">
        <v>347300</v>
      </c>
      <c r="C1068">
        <v>1</v>
      </c>
      <c r="D1068" t="str">
        <f t="shared" si="16"/>
        <v>1347300.932</v>
      </c>
      <c r="E1068" t="s">
        <v>3945</v>
      </c>
      <c r="F1068" s="242"/>
      <c r="G1068"/>
      <c r="H1068" s="242">
        <v>0</v>
      </c>
      <c r="I1068" s="242">
        <v>-20496</v>
      </c>
      <c r="J1068"/>
    </row>
    <row r="1069" spans="1:10" ht="15.75" customHeight="1">
      <c r="A1069" t="s">
        <v>1682</v>
      </c>
      <c r="B1069">
        <v>347300</v>
      </c>
      <c r="C1069">
        <v>1</v>
      </c>
      <c r="D1069" t="str">
        <f t="shared" si="16"/>
        <v>1347300.935</v>
      </c>
      <c r="E1069" t="s">
        <v>3946</v>
      </c>
      <c r="F1069" s="242"/>
      <c r="G1069"/>
      <c r="H1069" s="242">
        <v>-190000</v>
      </c>
      <c r="I1069" s="242">
        <v>0</v>
      </c>
      <c r="J1069"/>
    </row>
    <row r="1070" spans="1:10" ht="15.75" customHeight="1">
      <c r="A1070" t="s">
        <v>1687</v>
      </c>
      <c r="B1070">
        <v>347300</v>
      </c>
      <c r="C1070">
        <v>1</v>
      </c>
      <c r="D1070" t="str">
        <f t="shared" si="16"/>
        <v>1347300.936</v>
      </c>
      <c r="E1070" t="s">
        <v>3947</v>
      </c>
      <c r="F1070" s="242"/>
      <c r="G1070"/>
      <c r="H1070" s="242">
        <v>-115000</v>
      </c>
      <c r="I1070" s="242">
        <v>0</v>
      </c>
      <c r="J1070"/>
    </row>
    <row r="1071" spans="1:10" ht="15.75" customHeight="1">
      <c r="A1071" t="s">
        <v>1692</v>
      </c>
      <c r="B1071">
        <v>347300</v>
      </c>
      <c r="C1071">
        <v>1</v>
      </c>
      <c r="D1071" t="str">
        <f t="shared" si="16"/>
        <v>1347300.937</v>
      </c>
      <c r="E1071" t="s">
        <v>3948</v>
      </c>
      <c r="F1071" s="242"/>
      <c r="G1071"/>
      <c r="H1071" s="242">
        <v>-161204</v>
      </c>
      <c r="I1071" s="242">
        <v>-139642</v>
      </c>
      <c r="J1071"/>
    </row>
    <row r="1072" spans="1:10" ht="15.75" customHeight="1">
      <c r="A1072" t="s">
        <v>1697</v>
      </c>
      <c r="B1072">
        <v>347300</v>
      </c>
      <c r="C1072">
        <v>1</v>
      </c>
      <c r="D1072" t="str">
        <f t="shared" si="16"/>
        <v>1347300.938</v>
      </c>
      <c r="E1072" t="s">
        <v>3949</v>
      </c>
      <c r="F1072" s="242"/>
      <c r="G1072"/>
      <c r="H1072" s="242">
        <v>-640000</v>
      </c>
      <c r="I1072" s="242">
        <v>-1033597</v>
      </c>
      <c r="J1072"/>
    </row>
    <row r="1073" spans="1:10" ht="15.75" customHeight="1">
      <c r="A1073" t="s">
        <v>1702</v>
      </c>
      <c r="B1073">
        <v>347300</v>
      </c>
      <c r="C1073">
        <v>1</v>
      </c>
      <c r="D1073" t="str">
        <f t="shared" si="16"/>
        <v>1347300.939</v>
      </c>
      <c r="E1073" t="s">
        <v>3950</v>
      </c>
      <c r="F1073" s="242"/>
      <c r="G1073"/>
      <c r="H1073" s="242">
        <v>-207000</v>
      </c>
      <c r="I1073" s="242">
        <v>0</v>
      </c>
      <c r="J1073"/>
    </row>
    <row r="1074" spans="1:10" ht="15.75" customHeight="1">
      <c r="A1074" t="s">
        <v>1711</v>
      </c>
      <c r="B1074">
        <v>347300</v>
      </c>
      <c r="C1074">
        <v>1</v>
      </c>
      <c r="D1074" t="str">
        <f t="shared" si="16"/>
        <v>1347300.942</v>
      </c>
      <c r="E1074" t="s">
        <v>3951</v>
      </c>
      <c r="F1074" s="242"/>
      <c r="G1074"/>
      <c r="H1074" s="242">
        <v>-28500</v>
      </c>
      <c r="I1074" s="242">
        <v>0</v>
      </c>
      <c r="J1074"/>
    </row>
    <row r="1075" spans="1:10" ht="15.75" customHeight="1">
      <c r="A1075" t="s">
        <v>1672</v>
      </c>
      <c r="B1075">
        <v>347300</v>
      </c>
      <c r="C1075">
        <v>1</v>
      </c>
      <c r="D1075" t="str">
        <f t="shared" si="16"/>
        <v>1347300.933</v>
      </c>
      <c r="E1075" t="s">
        <v>4086</v>
      </c>
      <c r="F1075" s="242"/>
      <c r="G1075"/>
      <c r="H1075" s="242">
        <v>-80000</v>
      </c>
      <c r="I1075" s="242">
        <v>-80000</v>
      </c>
      <c r="J1075"/>
    </row>
    <row r="1076" spans="1:10" ht="15.75" customHeight="1">
      <c r="A1076" t="s">
        <v>885</v>
      </c>
      <c r="B1076">
        <v>347310</v>
      </c>
      <c r="C1076">
        <v>1</v>
      </c>
      <c r="D1076" t="str">
        <f t="shared" si="16"/>
        <v>1347310.791</v>
      </c>
      <c r="E1076" t="s">
        <v>3679</v>
      </c>
      <c r="F1076" s="242"/>
      <c r="G1076"/>
      <c r="H1076" s="242">
        <v>-684000</v>
      </c>
      <c r="I1076" s="242">
        <v>-618065</v>
      </c>
      <c r="J1076"/>
    </row>
    <row r="1077" spans="1:10" ht="15.75" customHeight="1">
      <c r="A1077" t="s">
        <v>895</v>
      </c>
      <c r="B1077">
        <v>347310</v>
      </c>
      <c r="C1077">
        <v>1</v>
      </c>
      <c r="D1077" t="str">
        <f t="shared" si="16"/>
        <v>1347310.793</v>
      </c>
      <c r="E1077" t="s">
        <v>3680</v>
      </c>
      <c r="F1077" s="242"/>
      <c r="G1077"/>
      <c r="H1077" s="242">
        <v>-65000</v>
      </c>
      <c r="I1077" s="242">
        <v>0</v>
      </c>
      <c r="J1077"/>
    </row>
    <row r="1078" spans="1:10" ht="15.75" customHeight="1">
      <c r="A1078" t="s">
        <v>1702</v>
      </c>
      <c r="B1078">
        <v>347330</v>
      </c>
      <c r="C1078">
        <v>1</v>
      </c>
      <c r="D1078" t="str">
        <f t="shared" si="16"/>
        <v>1347330.939</v>
      </c>
      <c r="E1078" t="s">
        <v>3952</v>
      </c>
      <c r="F1078" s="242"/>
      <c r="G1078"/>
      <c r="H1078" s="242">
        <v>-90000</v>
      </c>
      <c r="I1078" s="242">
        <v>0</v>
      </c>
      <c r="J1078"/>
    </row>
    <row r="1079" spans="1:10" ht="15.75" customHeight="1">
      <c r="A1079" t="s">
        <v>1702</v>
      </c>
      <c r="B1079">
        <v>347340</v>
      </c>
      <c r="C1079">
        <v>1</v>
      </c>
      <c r="D1079" t="str">
        <f t="shared" si="16"/>
        <v>1347340.939</v>
      </c>
      <c r="E1079" t="s">
        <v>3953</v>
      </c>
      <c r="F1079" s="242"/>
      <c r="G1079"/>
      <c r="H1079" s="242">
        <v>-593843</v>
      </c>
      <c r="I1079" s="242">
        <v>-685086</v>
      </c>
      <c r="J1079"/>
    </row>
    <row r="1080" spans="1:10" ht="15.75" customHeight="1">
      <c r="A1080" t="s">
        <v>2634</v>
      </c>
      <c r="B1080">
        <v>347350</v>
      </c>
      <c r="C1080">
        <v>1</v>
      </c>
      <c r="D1080" t="str">
        <f t="shared" si="16"/>
        <v>1347350.490</v>
      </c>
      <c r="E1080" t="s">
        <v>3941</v>
      </c>
      <c r="F1080" s="242"/>
      <c r="G1080"/>
      <c r="H1080" s="242">
        <v>0</v>
      </c>
      <c r="I1080" s="242">
        <v>0</v>
      </c>
      <c r="J1080"/>
    </row>
    <row r="1081" spans="1:10" ht="15.75" customHeight="1">
      <c r="A1081" t="s">
        <v>895</v>
      </c>
      <c r="B1081">
        <v>347350</v>
      </c>
      <c r="C1081">
        <v>1</v>
      </c>
      <c r="D1081" t="str">
        <f t="shared" si="16"/>
        <v>1347350.793</v>
      </c>
      <c r="E1081" t="s">
        <v>3961</v>
      </c>
      <c r="F1081" s="242"/>
      <c r="G1081"/>
      <c r="H1081" s="242">
        <v>0</v>
      </c>
      <c r="I1081" s="242">
        <v>0</v>
      </c>
      <c r="J1081"/>
    </row>
    <row r="1082" spans="1:10" ht="15.75" customHeight="1">
      <c r="A1082" t="s">
        <v>2740</v>
      </c>
      <c r="B1082">
        <v>347350</v>
      </c>
      <c r="C1082">
        <v>1</v>
      </c>
      <c r="D1082" t="str">
        <f t="shared" si="16"/>
        <v>1347350.930</v>
      </c>
      <c r="E1082" t="s">
        <v>3962</v>
      </c>
      <c r="F1082" s="242"/>
      <c r="G1082"/>
      <c r="H1082" s="242">
        <v>0</v>
      </c>
      <c r="I1082" s="242">
        <v>0</v>
      </c>
      <c r="J1082"/>
    </row>
    <row r="1083" spans="1:10" ht="15.75" customHeight="1">
      <c r="A1083" t="s">
        <v>1662</v>
      </c>
      <c r="B1083">
        <v>347350</v>
      </c>
      <c r="C1083">
        <v>1</v>
      </c>
      <c r="D1083" t="str">
        <f t="shared" si="16"/>
        <v>1347350.931</v>
      </c>
      <c r="E1083" t="s">
        <v>3963</v>
      </c>
      <c r="F1083" s="242"/>
      <c r="G1083"/>
      <c r="H1083" s="242">
        <v>0</v>
      </c>
      <c r="I1083" s="242">
        <v>0</v>
      </c>
      <c r="J1083"/>
    </row>
    <row r="1084" spans="1:10" ht="15.75" customHeight="1">
      <c r="A1084" t="s">
        <v>1667</v>
      </c>
      <c r="B1084">
        <v>347350</v>
      </c>
      <c r="C1084">
        <v>1</v>
      </c>
      <c r="D1084" t="str">
        <f t="shared" si="16"/>
        <v>1347350.932</v>
      </c>
      <c r="E1084" t="s">
        <v>3964</v>
      </c>
      <c r="F1084" s="242"/>
      <c r="G1084"/>
      <c r="H1084" s="242">
        <v>0</v>
      </c>
      <c r="I1084" s="242">
        <v>0</v>
      </c>
      <c r="J1084"/>
    </row>
    <row r="1085" spans="1:10" ht="15.75" customHeight="1">
      <c r="A1085" t="s">
        <v>1672</v>
      </c>
      <c r="B1085">
        <v>347350</v>
      </c>
      <c r="C1085">
        <v>1</v>
      </c>
      <c r="D1085" t="str">
        <f t="shared" si="16"/>
        <v>1347350.933</v>
      </c>
      <c r="E1085" t="s">
        <v>3965</v>
      </c>
      <c r="F1085" s="242"/>
      <c r="G1085"/>
      <c r="H1085" s="242">
        <v>0</v>
      </c>
      <c r="I1085" s="242">
        <v>0</v>
      </c>
      <c r="J1085"/>
    </row>
    <row r="1086" spans="1:10" ht="15.75" customHeight="1">
      <c r="A1086" t="s">
        <v>1677</v>
      </c>
      <c r="B1086">
        <v>347350</v>
      </c>
      <c r="C1086">
        <v>1</v>
      </c>
      <c r="D1086" t="str">
        <f t="shared" si="16"/>
        <v>1347350.934</v>
      </c>
      <c r="E1086" t="s">
        <v>3966</v>
      </c>
      <c r="F1086" s="242"/>
      <c r="G1086"/>
      <c r="H1086" s="242">
        <v>0</v>
      </c>
      <c r="I1086" s="242">
        <v>0</v>
      </c>
      <c r="J1086"/>
    </row>
    <row r="1087" spans="1:10" ht="15.75" customHeight="1">
      <c r="A1087" t="s">
        <v>1682</v>
      </c>
      <c r="B1087">
        <v>347350</v>
      </c>
      <c r="C1087">
        <v>1</v>
      </c>
      <c r="D1087" t="str">
        <f t="shared" si="16"/>
        <v>1347350.935</v>
      </c>
      <c r="E1087" t="s">
        <v>3967</v>
      </c>
      <c r="F1087" s="242"/>
      <c r="G1087"/>
      <c r="H1087" s="242">
        <v>0</v>
      </c>
      <c r="I1087" s="242">
        <v>0</v>
      </c>
      <c r="J1087"/>
    </row>
    <row r="1088" spans="1:10" ht="15.75" customHeight="1">
      <c r="A1088" t="s">
        <v>1702</v>
      </c>
      <c r="B1088">
        <v>347350</v>
      </c>
      <c r="C1088">
        <v>1</v>
      </c>
      <c r="D1088" t="str">
        <f t="shared" si="16"/>
        <v>1347350.939</v>
      </c>
      <c r="E1088" t="s">
        <v>3968</v>
      </c>
      <c r="F1088" s="242"/>
      <c r="G1088"/>
      <c r="H1088" s="242">
        <v>0</v>
      </c>
      <c r="I1088" s="242">
        <v>0</v>
      </c>
      <c r="J1088"/>
    </row>
    <row r="1089" spans="1:10" ht="15.75" customHeight="1">
      <c r="A1089" t="s">
        <v>1702</v>
      </c>
      <c r="B1089">
        <v>347352</v>
      </c>
      <c r="C1089">
        <v>1</v>
      </c>
      <c r="D1089" t="str">
        <f t="shared" si="16"/>
        <v>1347352.939</v>
      </c>
      <c r="E1089" t="s">
        <v>3969</v>
      </c>
      <c r="F1089" s="242"/>
      <c r="G1089"/>
      <c r="H1089" s="242">
        <v>0</v>
      </c>
      <c r="I1089" s="242">
        <v>0</v>
      </c>
      <c r="J1089"/>
    </row>
    <row r="1090" spans="1:10" ht="15.75" customHeight="1">
      <c r="A1090" t="s">
        <v>1702</v>
      </c>
      <c r="B1090">
        <v>347353</v>
      </c>
      <c r="C1090">
        <v>1</v>
      </c>
      <c r="D1090" t="str">
        <f t="shared" si="16"/>
        <v>1347353.939</v>
      </c>
      <c r="E1090" t="s">
        <v>3970</v>
      </c>
      <c r="F1090" s="242"/>
      <c r="G1090"/>
      <c r="H1090" s="242">
        <v>0</v>
      </c>
      <c r="I1090" s="242">
        <v>0</v>
      </c>
      <c r="J1090"/>
    </row>
    <row r="1091" spans="1:10" ht="15.75" customHeight="1">
      <c r="A1091" t="s">
        <v>2740</v>
      </c>
      <c r="B1091">
        <v>347400</v>
      </c>
      <c r="C1091">
        <v>1</v>
      </c>
      <c r="D1091" t="str">
        <f t="shared" ref="D1091:D1154" si="17">C1091&amp;B1091&amp;"."&amp;A1091</f>
        <v>1347400.930</v>
      </c>
      <c r="E1091" t="s">
        <v>4091</v>
      </c>
      <c r="F1091" s="242"/>
      <c r="G1091"/>
      <c r="H1091" s="242">
        <v>0</v>
      </c>
      <c r="I1091" s="242">
        <v>0</v>
      </c>
      <c r="J1091"/>
    </row>
    <row r="1092" spans="1:10" ht="15.75" customHeight="1">
      <c r="A1092" t="s">
        <v>1662</v>
      </c>
      <c r="B1092">
        <v>347400</v>
      </c>
      <c r="C1092">
        <v>1</v>
      </c>
      <c r="D1092" t="str">
        <f t="shared" si="17"/>
        <v>1347400.931</v>
      </c>
      <c r="E1092" t="s">
        <v>4092</v>
      </c>
      <c r="F1092" s="242"/>
      <c r="G1092"/>
      <c r="H1092" s="242">
        <v>-45507</v>
      </c>
      <c r="I1092" s="242">
        <v>-35657</v>
      </c>
      <c r="J1092"/>
    </row>
    <row r="1093" spans="1:10" ht="15.75" customHeight="1">
      <c r="A1093" t="s">
        <v>1667</v>
      </c>
      <c r="B1093">
        <v>347400</v>
      </c>
      <c r="C1093">
        <v>1</v>
      </c>
      <c r="D1093" t="str">
        <f t="shared" si="17"/>
        <v>1347400.932</v>
      </c>
      <c r="E1093" t="s">
        <v>4093</v>
      </c>
      <c r="F1093" s="242"/>
      <c r="G1093"/>
      <c r="H1093" s="242">
        <v>-30000</v>
      </c>
      <c r="I1093" s="242">
        <v>-11222</v>
      </c>
      <c r="J1093"/>
    </row>
    <row r="1094" spans="1:10" ht="15.75" customHeight="1">
      <c r="A1094" t="s">
        <v>1672</v>
      </c>
      <c r="B1094">
        <v>347400</v>
      </c>
      <c r="C1094">
        <v>1</v>
      </c>
      <c r="D1094" t="str">
        <f t="shared" si="17"/>
        <v>1347400.933</v>
      </c>
      <c r="E1094" t="s">
        <v>4094</v>
      </c>
      <c r="F1094" s="242"/>
      <c r="G1094"/>
      <c r="H1094" s="242">
        <v>-764509</v>
      </c>
      <c r="I1094" s="242">
        <v>-574452</v>
      </c>
      <c r="J1094"/>
    </row>
    <row r="1095" spans="1:10" ht="15.75" customHeight="1">
      <c r="A1095" t="s">
        <v>4113</v>
      </c>
      <c r="B1095">
        <v>348002</v>
      </c>
      <c r="C1095">
        <v>1</v>
      </c>
      <c r="D1095" t="str">
        <f t="shared" si="17"/>
        <v>1348002.730</v>
      </c>
      <c r="E1095" t="s">
        <v>4114</v>
      </c>
      <c r="F1095" s="242"/>
      <c r="G1095"/>
      <c r="H1095" s="242">
        <v>-170664</v>
      </c>
      <c r="I1095" s="242">
        <v>-256116</v>
      </c>
      <c r="J1095"/>
    </row>
    <row r="1096" spans="1:10" ht="15.75" customHeight="1">
      <c r="A1096" t="s">
        <v>2740</v>
      </c>
      <c r="B1096">
        <v>348002</v>
      </c>
      <c r="C1096">
        <v>1</v>
      </c>
      <c r="D1096" t="str">
        <f t="shared" si="17"/>
        <v>1348002.930</v>
      </c>
      <c r="E1096" t="s">
        <v>4115</v>
      </c>
      <c r="F1096" s="242"/>
      <c r="G1096"/>
      <c r="H1096" s="242">
        <v>-502000</v>
      </c>
      <c r="I1096" s="242">
        <v>0</v>
      </c>
      <c r="J1096"/>
    </row>
    <row r="1097" spans="1:10" ht="15.75" customHeight="1">
      <c r="A1097" t="s">
        <v>2634</v>
      </c>
      <c r="B1097">
        <v>348100</v>
      </c>
      <c r="C1097">
        <v>1</v>
      </c>
      <c r="D1097" t="str">
        <f t="shared" si="17"/>
        <v>1348100.490</v>
      </c>
      <c r="E1097" t="s">
        <v>4155</v>
      </c>
      <c r="F1097" s="242"/>
      <c r="G1097"/>
      <c r="H1097" s="242">
        <v>0</v>
      </c>
      <c r="I1097" s="242">
        <v>0</v>
      </c>
      <c r="J1097"/>
    </row>
    <row r="1098" spans="1:10" ht="15.75" customHeight="1">
      <c r="A1098" t="s">
        <v>2740</v>
      </c>
      <c r="B1098">
        <v>348100</v>
      </c>
      <c r="C1098">
        <v>1</v>
      </c>
      <c r="D1098" t="str">
        <f t="shared" si="17"/>
        <v>1348100.930</v>
      </c>
      <c r="E1098" t="s">
        <v>4156</v>
      </c>
      <c r="F1098" s="242"/>
      <c r="G1098"/>
      <c r="H1098" s="242">
        <v>-27000</v>
      </c>
      <c r="I1098" s="242">
        <v>-23621</v>
      </c>
      <c r="J1098"/>
    </row>
    <row r="1099" spans="1:10" ht="15.75" customHeight="1">
      <c r="A1099" t="s">
        <v>2755</v>
      </c>
      <c r="B1099">
        <v>348200</v>
      </c>
      <c r="C1099">
        <v>1</v>
      </c>
      <c r="D1099" t="str">
        <f t="shared" si="17"/>
        <v>1348200.491</v>
      </c>
      <c r="E1099" t="s">
        <v>4116</v>
      </c>
      <c r="F1099" s="242"/>
      <c r="G1099"/>
      <c r="H1099" s="242">
        <v>0</v>
      </c>
      <c r="I1099" s="242">
        <v>0</v>
      </c>
      <c r="J1099"/>
    </row>
    <row r="1100" spans="1:10" ht="15.75" customHeight="1">
      <c r="A1100" t="s">
        <v>3673</v>
      </c>
      <c r="B1100">
        <v>348200</v>
      </c>
      <c r="C1100">
        <v>1</v>
      </c>
      <c r="D1100" t="str">
        <f t="shared" si="17"/>
        <v>1348200.495</v>
      </c>
      <c r="E1100" t="s">
        <v>4117</v>
      </c>
      <c r="F1100" s="242"/>
      <c r="G1100"/>
      <c r="H1100" s="242">
        <v>0</v>
      </c>
      <c r="I1100" s="242">
        <v>0</v>
      </c>
      <c r="J1100"/>
    </row>
    <row r="1101" spans="1:10" ht="15.75" customHeight="1">
      <c r="A1101" t="s">
        <v>2740</v>
      </c>
      <c r="B1101">
        <v>348200</v>
      </c>
      <c r="C1101">
        <v>1</v>
      </c>
      <c r="D1101" t="str">
        <f t="shared" si="17"/>
        <v>1348200.930</v>
      </c>
      <c r="E1101" t="s">
        <v>4118</v>
      </c>
      <c r="F1101" s="242"/>
      <c r="G1101"/>
      <c r="H1101" s="242">
        <v>-50490</v>
      </c>
      <c r="I1101" s="242">
        <v>-295253</v>
      </c>
      <c r="J1101"/>
    </row>
    <row r="1102" spans="1:10" ht="15.75" customHeight="1">
      <c r="A1102" t="s">
        <v>1667</v>
      </c>
      <c r="B1102">
        <v>348200</v>
      </c>
      <c r="C1102">
        <v>1</v>
      </c>
      <c r="D1102" t="str">
        <f t="shared" si="17"/>
        <v>1348200.932</v>
      </c>
      <c r="E1102" t="s">
        <v>4119</v>
      </c>
      <c r="F1102" s="242"/>
      <c r="G1102"/>
      <c r="H1102" s="242">
        <v>0</v>
      </c>
      <c r="I1102" s="242">
        <v>-39116</v>
      </c>
      <c r="J1102"/>
    </row>
    <row r="1103" spans="1:10" ht="15.75" customHeight="1">
      <c r="A1103" t="s">
        <v>1702</v>
      </c>
      <c r="B1103">
        <v>348200</v>
      </c>
      <c r="C1103">
        <v>1</v>
      </c>
      <c r="D1103" t="str">
        <f t="shared" si="17"/>
        <v>1348200.939</v>
      </c>
      <c r="E1103" t="s">
        <v>4120</v>
      </c>
      <c r="F1103" s="242"/>
      <c r="G1103"/>
      <c r="H1103" s="242">
        <v>-127000</v>
      </c>
      <c r="I1103" s="242">
        <v>-114136</v>
      </c>
      <c r="J1103"/>
    </row>
    <row r="1104" spans="1:10" ht="15.75" customHeight="1">
      <c r="A1104" t="s">
        <v>1702</v>
      </c>
      <c r="B1104">
        <v>348210</v>
      </c>
      <c r="C1104">
        <v>1</v>
      </c>
      <c r="D1104" t="str">
        <f t="shared" si="17"/>
        <v>1348210.939</v>
      </c>
      <c r="E1104" t="s">
        <v>4118</v>
      </c>
      <c r="F1104" s="242"/>
      <c r="G1104"/>
      <c r="H1104" s="242">
        <v>-1266122</v>
      </c>
      <c r="I1104" s="242">
        <v>-1449389</v>
      </c>
      <c r="J1104"/>
    </row>
    <row r="1105" spans="1:10" ht="15.75" customHeight="1">
      <c r="A1105" t="s">
        <v>1702</v>
      </c>
      <c r="B1105">
        <v>348220</v>
      </c>
      <c r="C1105">
        <v>1</v>
      </c>
      <c r="D1105" t="str">
        <f t="shared" si="17"/>
        <v>1348220.939</v>
      </c>
      <c r="E1105" t="s">
        <v>4121</v>
      </c>
      <c r="F1105" s="242"/>
      <c r="G1105"/>
      <c r="H1105" s="242">
        <v>-21560</v>
      </c>
      <c r="I1105" s="242">
        <v>0</v>
      </c>
      <c r="J1105"/>
    </row>
    <row r="1106" spans="1:10" ht="15.75" customHeight="1">
      <c r="A1106" t="s">
        <v>2740</v>
      </c>
      <c r="B1106">
        <v>348400</v>
      </c>
      <c r="C1106">
        <v>1</v>
      </c>
      <c r="D1106" t="str">
        <f t="shared" si="17"/>
        <v>1348400.930</v>
      </c>
      <c r="E1106" t="s">
        <v>4122</v>
      </c>
      <c r="F1106" s="242"/>
      <c r="G1106"/>
      <c r="H1106" s="242">
        <v>-6000</v>
      </c>
      <c r="I1106" s="242">
        <v>0</v>
      </c>
      <c r="J1106"/>
    </row>
    <row r="1107" spans="1:10" ht="15.75" customHeight="1">
      <c r="A1107" t="s">
        <v>2755</v>
      </c>
      <c r="B1107">
        <v>348500</v>
      </c>
      <c r="C1107">
        <v>1</v>
      </c>
      <c r="D1107" t="str">
        <f t="shared" si="17"/>
        <v>1348500.491</v>
      </c>
      <c r="E1107" t="s">
        <v>4160</v>
      </c>
      <c r="F1107" s="242"/>
      <c r="G1107"/>
      <c r="H1107" s="242">
        <v>0</v>
      </c>
      <c r="I1107" s="242">
        <v>0</v>
      </c>
      <c r="J1107"/>
    </row>
    <row r="1108" spans="1:10" ht="15.75" customHeight="1">
      <c r="A1108" t="s">
        <v>1662</v>
      </c>
      <c r="B1108">
        <v>348500</v>
      </c>
      <c r="C1108">
        <v>1</v>
      </c>
      <c r="D1108" t="str">
        <f t="shared" si="17"/>
        <v>1348500.931</v>
      </c>
      <c r="E1108" t="s">
        <v>4161</v>
      </c>
      <c r="F1108" s="242"/>
      <c r="G1108"/>
      <c r="H1108" s="242">
        <v>-60000</v>
      </c>
      <c r="I1108" s="242">
        <v>-51017</v>
      </c>
      <c r="J1108"/>
    </row>
    <row r="1109" spans="1:10" ht="15.75" customHeight="1">
      <c r="A1109" t="s">
        <v>4162</v>
      </c>
      <c r="B1109">
        <v>348500</v>
      </c>
      <c r="C1109">
        <v>1</v>
      </c>
      <c r="D1109" t="str">
        <f t="shared" si="17"/>
        <v>1348500.982</v>
      </c>
      <c r="E1109" t="s">
        <v>4163</v>
      </c>
      <c r="F1109" s="242"/>
      <c r="G1109"/>
      <c r="H1109" s="242">
        <v>-794000</v>
      </c>
      <c r="I1109" s="242">
        <v>-353496</v>
      </c>
      <c r="J1109"/>
    </row>
    <row r="1110" spans="1:10" ht="15.75" customHeight="1">
      <c r="A1110" t="s">
        <v>2634</v>
      </c>
      <c r="B1110">
        <v>349000</v>
      </c>
      <c r="C1110">
        <v>1</v>
      </c>
      <c r="D1110" t="str">
        <f t="shared" si="17"/>
        <v>1349000.490</v>
      </c>
      <c r="E1110" t="s">
        <v>2861</v>
      </c>
      <c r="F1110" s="242"/>
      <c r="G1110"/>
      <c r="H1110" s="242">
        <v>0</v>
      </c>
      <c r="I1110" s="242">
        <v>0</v>
      </c>
      <c r="J1110"/>
    </row>
    <row r="1111" spans="1:10" ht="15.75" customHeight="1">
      <c r="A1111" t="s">
        <v>3878</v>
      </c>
      <c r="B1111">
        <v>349000</v>
      </c>
      <c r="C1111">
        <v>1</v>
      </c>
      <c r="D1111" t="str">
        <f t="shared" si="17"/>
        <v>1349000.492</v>
      </c>
      <c r="E1111" t="s">
        <v>4016</v>
      </c>
      <c r="F1111" s="242"/>
      <c r="G1111"/>
      <c r="H1111" s="242">
        <v>0</v>
      </c>
      <c r="I1111" s="242">
        <v>0</v>
      </c>
      <c r="J1111"/>
    </row>
    <row r="1112" spans="1:10" ht="15.75" customHeight="1">
      <c r="A1112" t="s">
        <v>2740</v>
      </c>
      <c r="B1112">
        <v>349000</v>
      </c>
      <c r="C1112">
        <v>1</v>
      </c>
      <c r="D1112" t="str">
        <f t="shared" si="17"/>
        <v>1349000.930</v>
      </c>
      <c r="E1112" t="s">
        <v>4017</v>
      </c>
      <c r="F1112" s="242"/>
      <c r="G1112"/>
      <c r="H1112" s="242">
        <v>-62785</v>
      </c>
      <c r="I1112" s="242">
        <v>-142980</v>
      </c>
      <c r="J1112"/>
    </row>
    <row r="1113" spans="1:10" ht="15.75" customHeight="1">
      <c r="A1113" t="s">
        <v>1692</v>
      </c>
      <c r="B1113">
        <v>349000</v>
      </c>
      <c r="C1113">
        <v>1</v>
      </c>
      <c r="D1113" t="str">
        <f t="shared" si="17"/>
        <v>1349000.937</v>
      </c>
      <c r="E1113" t="s">
        <v>4018</v>
      </c>
      <c r="F1113" s="242"/>
      <c r="G1113"/>
      <c r="H1113" s="242">
        <v>-31985</v>
      </c>
      <c r="I1113" s="242">
        <v>-32312</v>
      </c>
      <c r="J1113"/>
    </row>
    <row r="1114" spans="1:10" ht="15.75" customHeight="1">
      <c r="A1114" t="s">
        <v>1697</v>
      </c>
      <c r="B1114">
        <v>349000</v>
      </c>
      <c r="C1114">
        <v>1</v>
      </c>
      <c r="D1114" t="str">
        <f t="shared" si="17"/>
        <v>1349000.938</v>
      </c>
      <c r="E1114" t="s">
        <v>4019</v>
      </c>
      <c r="F1114" s="242"/>
      <c r="G1114"/>
      <c r="H1114" s="242">
        <v>-52344</v>
      </c>
      <c r="I1114" s="242">
        <v>-14506</v>
      </c>
      <c r="J1114"/>
    </row>
    <row r="1115" spans="1:10" ht="15.75" customHeight="1">
      <c r="A1115" t="s">
        <v>2827</v>
      </c>
      <c r="B1115">
        <v>349000</v>
      </c>
      <c r="C1115">
        <v>1</v>
      </c>
      <c r="D1115" t="str">
        <f t="shared" si="17"/>
        <v>1349000.950</v>
      </c>
      <c r="E1115" t="s">
        <v>4087</v>
      </c>
      <c r="F1115" s="242"/>
      <c r="G1115"/>
      <c r="H1115" s="242">
        <v>0</v>
      </c>
      <c r="I1115" s="242">
        <v>0</v>
      </c>
      <c r="J1115"/>
    </row>
    <row r="1116" spans="1:10" ht="15.75" customHeight="1">
      <c r="A1116" t="s">
        <v>2740</v>
      </c>
      <c r="B1116">
        <v>349001</v>
      </c>
      <c r="C1116">
        <v>1</v>
      </c>
      <c r="D1116" t="str">
        <f t="shared" si="17"/>
        <v>1349001.930</v>
      </c>
      <c r="E1116" t="s">
        <v>4020</v>
      </c>
      <c r="F1116" s="242"/>
      <c r="G1116"/>
      <c r="H1116" s="242">
        <v>-36470</v>
      </c>
      <c r="I1116" s="242">
        <v>-50485</v>
      </c>
      <c r="J1116"/>
    </row>
    <row r="1117" spans="1:10" ht="15.75" customHeight="1">
      <c r="A1117" t="s">
        <v>1662</v>
      </c>
      <c r="B1117">
        <v>349001</v>
      </c>
      <c r="C1117">
        <v>1</v>
      </c>
      <c r="D1117" t="str">
        <f t="shared" si="17"/>
        <v>1349001.931</v>
      </c>
      <c r="E1117" t="s">
        <v>4021</v>
      </c>
      <c r="F1117" s="242"/>
      <c r="G1117"/>
      <c r="H1117" s="242">
        <v>-68000</v>
      </c>
      <c r="I1117" s="242">
        <v>-37888</v>
      </c>
      <c r="J1117"/>
    </row>
    <row r="1118" spans="1:10" ht="15.75" customHeight="1">
      <c r="A1118" t="s">
        <v>2740</v>
      </c>
      <c r="B1118">
        <v>349100</v>
      </c>
      <c r="C1118">
        <v>1</v>
      </c>
      <c r="D1118" t="str">
        <f t="shared" si="17"/>
        <v>1349100.930</v>
      </c>
      <c r="E1118" t="s">
        <v>4022</v>
      </c>
      <c r="F1118" s="242"/>
      <c r="G1118"/>
      <c r="H1118" s="242">
        <v>-2538142</v>
      </c>
      <c r="I1118" s="242">
        <v>-2414795</v>
      </c>
      <c r="J1118"/>
    </row>
    <row r="1119" spans="1:10" ht="15.75" customHeight="1">
      <c r="A1119" t="s">
        <v>1667</v>
      </c>
      <c r="B1119">
        <v>349100</v>
      </c>
      <c r="C1119">
        <v>1</v>
      </c>
      <c r="D1119" t="str">
        <f t="shared" si="17"/>
        <v>1349100.932</v>
      </c>
      <c r="E1119" t="s">
        <v>4023</v>
      </c>
      <c r="F1119" s="242"/>
      <c r="G1119"/>
      <c r="H1119" s="242">
        <v>-316600</v>
      </c>
      <c r="I1119" s="242">
        <v>-236329</v>
      </c>
      <c r="J1119"/>
    </row>
    <row r="1120" spans="1:10" ht="15.75" customHeight="1">
      <c r="A1120" t="s">
        <v>1682</v>
      </c>
      <c r="B1120">
        <v>349100</v>
      </c>
      <c r="C1120">
        <v>1</v>
      </c>
      <c r="D1120" t="str">
        <f t="shared" si="17"/>
        <v>1349100.935</v>
      </c>
      <c r="E1120" t="s">
        <v>4024</v>
      </c>
      <c r="F1120" s="242"/>
      <c r="G1120"/>
      <c r="H1120" s="242">
        <v>-15000</v>
      </c>
      <c r="I1120" s="242">
        <v>-44165</v>
      </c>
      <c r="J1120"/>
    </row>
    <row r="1121" spans="1:10" ht="15.75" customHeight="1">
      <c r="A1121" t="s">
        <v>1692</v>
      </c>
      <c r="B1121">
        <v>349100</v>
      </c>
      <c r="C1121">
        <v>1</v>
      </c>
      <c r="D1121" t="str">
        <f t="shared" si="17"/>
        <v>1349100.937</v>
      </c>
      <c r="E1121" t="s">
        <v>4025</v>
      </c>
      <c r="F1121" s="242"/>
      <c r="G1121"/>
      <c r="H1121" s="242">
        <v>0</v>
      </c>
      <c r="I1121" s="242">
        <v>-105556</v>
      </c>
      <c r="J1121"/>
    </row>
    <row r="1122" spans="1:10" ht="15.75" customHeight="1">
      <c r="A1122" t="s">
        <v>1697</v>
      </c>
      <c r="B1122">
        <v>349100</v>
      </c>
      <c r="C1122">
        <v>1</v>
      </c>
      <c r="D1122" t="str">
        <f t="shared" si="17"/>
        <v>1349100.938</v>
      </c>
      <c r="E1122" t="s">
        <v>4026</v>
      </c>
      <c r="F1122" s="242"/>
      <c r="G1122"/>
      <c r="H1122" s="242">
        <v>-17368</v>
      </c>
      <c r="I1122" s="242">
        <v>-6806</v>
      </c>
      <c r="J1122"/>
    </row>
    <row r="1123" spans="1:10" ht="15.75" customHeight="1">
      <c r="A1123" t="s">
        <v>1702</v>
      </c>
      <c r="B1123">
        <v>349100</v>
      </c>
      <c r="C1123">
        <v>1</v>
      </c>
      <c r="D1123" t="str">
        <f t="shared" si="17"/>
        <v>1349100.939</v>
      </c>
      <c r="E1123" t="s">
        <v>4027</v>
      </c>
      <c r="F1123" s="242"/>
      <c r="G1123"/>
      <c r="H1123" s="242">
        <v>0</v>
      </c>
      <c r="I1123" s="242">
        <v>-6569</v>
      </c>
      <c r="J1123"/>
    </row>
    <row r="1124" spans="1:10" ht="15.75" customHeight="1">
      <c r="A1124" t="s">
        <v>1702</v>
      </c>
      <c r="B1124">
        <v>349110</v>
      </c>
      <c r="C1124">
        <v>1</v>
      </c>
      <c r="D1124" t="str">
        <f t="shared" si="17"/>
        <v>1349110.939</v>
      </c>
      <c r="E1124" t="s">
        <v>4025</v>
      </c>
      <c r="F1124" s="242"/>
      <c r="G1124"/>
      <c r="H1124" s="242">
        <v>-269254</v>
      </c>
      <c r="I1124" s="242">
        <v>-178655</v>
      </c>
      <c r="J1124"/>
    </row>
    <row r="1125" spans="1:10" ht="15.75" customHeight="1">
      <c r="A1125" t="s">
        <v>2740</v>
      </c>
      <c r="B1125">
        <v>349200</v>
      </c>
      <c r="C1125">
        <v>1</v>
      </c>
      <c r="D1125" t="str">
        <f t="shared" si="17"/>
        <v>1349200.930</v>
      </c>
      <c r="E1125" t="s">
        <v>4028</v>
      </c>
      <c r="F1125" s="242"/>
      <c r="G1125"/>
      <c r="H1125" s="242">
        <v>-180200</v>
      </c>
      <c r="I1125" s="242">
        <v>-64679</v>
      </c>
      <c r="J1125"/>
    </row>
    <row r="1126" spans="1:10" ht="15.75" customHeight="1">
      <c r="A1126" t="s">
        <v>1662</v>
      </c>
      <c r="B1126">
        <v>349200</v>
      </c>
      <c r="C1126">
        <v>1</v>
      </c>
      <c r="D1126" t="str">
        <f t="shared" si="17"/>
        <v>1349200.931</v>
      </c>
      <c r="E1126" t="s">
        <v>4029</v>
      </c>
      <c r="F1126" s="242"/>
      <c r="G1126"/>
      <c r="H1126" s="242">
        <v>-90500</v>
      </c>
      <c r="I1126" s="242">
        <v>-90573</v>
      </c>
      <c r="J1126"/>
    </row>
    <row r="1127" spans="1:10" ht="15.75" customHeight="1">
      <c r="A1127" t="s">
        <v>1667</v>
      </c>
      <c r="B1127">
        <v>349200</v>
      </c>
      <c r="C1127">
        <v>1</v>
      </c>
      <c r="D1127" t="str">
        <f t="shared" si="17"/>
        <v>1349200.932</v>
      </c>
      <c r="E1127" t="s">
        <v>4030</v>
      </c>
      <c r="F1127" s="242"/>
      <c r="G1127"/>
      <c r="H1127" s="242">
        <v>-62000</v>
      </c>
      <c r="I1127" s="242">
        <v>-77743</v>
      </c>
      <c r="J1127"/>
    </row>
    <row r="1128" spans="1:10" ht="15.75" customHeight="1">
      <c r="A1128" t="s">
        <v>1692</v>
      </c>
      <c r="B1128">
        <v>349200</v>
      </c>
      <c r="C1128">
        <v>1</v>
      </c>
      <c r="D1128" t="str">
        <f t="shared" si="17"/>
        <v>1349200.937</v>
      </c>
      <c r="E1128" t="s">
        <v>4031</v>
      </c>
      <c r="F1128" s="242"/>
      <c r="G1128"/>
      <c r="H1128" s="242">
        <v>-587394</v>
      </c>
      <c r="I1128" s="242">
        <v>-465378</v>
      </c>
      <c r="J1128"/>
    </row>
    <row r="1129" spans="1:10" ht="15.75" customHeight="1">
      <c r="A1129" t="s">
        <v>2740</v>
      </c>
      <c r="B1129">
        <v>349300</v>
      </c>
      <c r="C1129">
        <v>1</v>
      </c>
      <c r="D1129" t="str">
        <f t="shared" si="17"/>
        <v>1349300.930</v>
      </c>
      <c r="E1129" t="s">
        <v>4032</v>
      </c>
      <c r="F1129" s="242"/>
      <c r="G1129"/>
      <c r="H1129" s="242">
        <v>-45000</v>
      </c>
      <c r="I1129" s="242">
        <v>-47329</v>
      </c>
      <c r="J1129"/>
    </row>
    <row r="1130" spans="1:10" ht="15.75" customHeight="1">
      <c r="A1130" t="s">
        <v>2827</v>
      </c>
      <c r="B1130">
        <v>369000</v>
      </c>
      <c r="C1130">
        <v>1</v>
      </c>
      <c r="D1130" t="str">
        <f t="shared" si="17"/>
        <v>1369000.950</v>
      </c>
      <c r="E1130" t="s">
        <v>3690</v>
      </c>
      <c r="F1130" s="242"/>
      <c r="G1130"/>
      <c r="H1130" s="242">
        <v>-1400000</v>
      </c>
      <c r="I1130" s="242">
        <v>-740999</v>
      </c>
      <c r="J1130"/>
    </row>
    <row r="1131" spans="1:10" ht="15.75" customHeight="1">
      <c r="A1131" t="s">
        <v>2934</v>
      </c>
      <c r="B1131">
        <v>369000</v>
      </c>
      <c r="C1131">
        <v>1</v>
      </c>
      <c r="D1131" t="str">
        <f t="shared" si="17"/>
        <v>1369000.951</v>
      </c>
      <c r="E1131" t="s">
        <v>4673</v>
      </c>
      <c r="F1131" s="242"/>
      <c r="G1131"/>
      <c r="H1131" s="242">
        <v>0</v>
      </c>
      <c r="I1131" s="242">
        <v>-183803</v>
      </c>
      <c r="J1131"/>
    </row>
    <row r="1132" spans="1:10" ht="15.75" customHeight="1">
      <c r="A1132" t="s">
        <v>3278</v>
      </c>
      <c r="B1132">
        <v>369000</v>
      </c>
      <c r="C1132">
        <v>1</v>
      </c>
      <c r="D1132" t="str">
        <f t="shared" si="17"/>
        <v>1369000.953</v>
      </c>
      <c r="E1132" t="s">
        <v>3691</v>
      </c>
      <c r="F1132" s="242"/>
      <c r="G1132"/>
      <c r="H1132" s="242">
        <v>-553000</v>
      </c>
      <c r="I1132" s="242">
        <v>-634807</v>
      </c>
      <c r="J1132"/>
    </row>
    <row r="1133" spans="1:10" ht="15.75" customHeight="1">
      <c r="A1133" t="s">
        <v>3692</v>
      </c>
      <c r="B1133">
        <v>369000</v>
      </c>
      <c r="C1133">
        <v>1</v>
      </c>
      <c r="D1133" t="str">
        <f t="shared" si="17"/>
        <v>1369000.954</v>
      </c>
      <c r="E1133" t="s">
        <v>3693</v>
      </c>
      <c r="F1133" s="242"/>
      <c r="G1133"/>
      <c r="H1133" s="242">
        <v>0</v>
      </c>
      <c r="I1133" s="242">
        <v>-345895</v>
      </c>
      <c r="J1133"/>
    </row>
    <row r="1134" spans="1:10" ht="15.75" customHeight="1">
      <c r="A1134" t="s">
        <v>2717</v>
      </c>
      <c r="B1134">
        <v>371000</v>
      </c>
      <c r="C1134">
        <v>1</v>
      </c>
      <c r="D1134" t="str">
        <f t="shared" si="17"/>
        <v>1371000.990</v>
      </c>
      <c r="E1134" t="s">
        <v>3712</v>
      </c>
      <c r="F1134" s="242"/>
      <c r="G1134"/>
      <c r="H1134" s="242">
        <v>-200000</v>
      </c>
      <c r="I1134" s="242">
        <v>-200000</v>
      </c>
      <c r="J1134"/>
    </row>
    <row r="1135" spans="1:10" ht="15.75" customHeight="1">
      <c r="A1135" t="s">
        <v>1838</v>
      </c>
      <c r="B1135">
        <v>371000</v>
      </c>
      <c r="C1135">
        <v>1</v>
      </c>
      <c r="D1135" t="str">
        <f t="shared" si="17"/>
        <v>1371000.992</v>
      </c>
      <c r="E1135" t="s">
        <v>3020</v>
      </c>
      <c r="F1135" s="242"/>
      <c r="G1135"/>
      <c r="H1135" s="242">
        <v>-100</v>
      </c>
      <c r="I1135" s="242">
        <v>0</v>
      </c>
      <c r="J1135"/>
    </row>
    <row r="1136" spans="1:10" ht="15.75" customHeight="1">
      <c r="A1136" t="s">
        <v>2717</v>
      </c>
      <c r="B1136">
        <v>379000</v>
      </c>
      <c r="C1136">
        <v>1</v>
      </c>
      <c r="D1136" t="str">
        <f t="shared" si="17"/>
        <v>1379000.990</v>
      </c>
      <c r="E1136" t="s">
        <v>3713</v>
      </c>
      <c r="F1136" s="242"/>
      <c r="G1136"/>
      <c r="H1136" s="242">
        <v>-100</v>
      </c>
      <c r="I1136" s="242">
        <v>-147500</v>
      </c>
      <c r="J1136"/>
    </row>
    <row r="1137" spans="1:10" ht="15.75" customHeight="1">
      <c r="A1137" t="s">
        <v>2717</v>
      </c>
      <c r="B1137">
        <v>381000</v>
      </c>
      <c r="C1137">
        <v>1</v>
      </c>
      <c r="D1137" t="str">
        <f t="shared" si="17"/>
        <v>1381000.990</v>
      </c>
      <c r="E1137" t="s">
        <v>2744</v>
      </c>
      <c r="F1137" s="242"/>
      <c r="G1137"/>
      <c r="H1137" s="242">
        <v>-1194375</v>
      </c>
      <c r="I1137" s="242">
        <v>-1113039</v>
      </c>
      <c r="J1137"/>
    </row>
    <row r="1138" spans="1:10" ht="15.75" customHeight="1">
      <c r="A1138" t="s">
        <v>2965</v>
      </c>
      <c r="B1138">
        <v>413110</v>
      </c>
      <c r="C1138">
        <v>1</v>
      </c>
      <c r="D1138" t="str">
        <f t="shared" si="17"/>
        <v>1413110.210</v>
      </c>
      <c r="E1138" t="s">
        <v>2966</v>
      </c>
      <c r="F1138" s="242"/>
      <c r="G1138"/>
      <c r="H1138" s="242">
        <v>-3000000</v>
      </c>
      <c r="I1138" s="242">
        <v>-2693349</v>
      </c>
      <c r="J1138"/>
    </row>
    <row r="1139" spans="1:10" ht="15.75" customHeight="1">
      <c r="A1139" t="s">
        <v>2931</v>
      </c>
      <c r="B1139">
        <v>413200</v>
      </c>
      <c r="C1139">
        <v>1</v>
      </c>
      <c r="D1139" t="str">
        <f t="shared" si="17"/>
        <v>1413200.220</v>
      </c>
      <c r="E1139" t="s">
        <v>2967</v>
      </c>
      <c r="F1139" s="242"/>
      <c r="G1139"/>
      <c r="H1139" s="242">
        <v>0</v>
      </c>
      <c r="I1139" s="242">
        <v>-674</v>
      </c>
      <c r="J1139"/>
    </row>
    <row r="1140" spans="1:10" ht="15.75" customHeight="1">
      <c r="A1140" t="s">
        <v>543</v>
      </c>
      <c r="B1140">
        <v>413200</v>
      </c>
      <c r="C1140">
        <v>1</v>
      </c>
      <c r="D1140" t="str">
        <f t="shared" si="17"/>
        <v>1413200.221</v>
      </c>
      <c r="E1140" t="s">
        <v>2968</v>
      </c>
      <c r="F1140" s="242"/>
      <c r="G1140"/>
      <c r="H1140" s="242">
        <v>0</v>
      </c>
      <c r="I1140" s="242">
        <v>360</v>
      </c>
      <c r="J1140"/>
    </row>
    <row r="1141" spans="1:10" ht="15.75" customHeight="1">
      <c r="A1141" t="s">
        <v>2969</v>
      </c>
      <c r="B1141">
        <v>413200</v>
      </c>
      <c r="C1141">
        <v>1</v>
      </c>
      <c r="D1141" t="str">
        <f t="shared" si="17"/>
        <v>1413200.620</v>
      </c>
      <c r="E1141" t="s">
        <v>2970</v>
      </c>
      <c r="F1141" s="242"/>
      <c r="G1141"/>
      <c r="H1141" s="242">
        <v>0</v>
      </c>
      <c r="I1141" s="242">
        <v>-542</v>
      </c>
      <c r="J1141"/>
    </row>
    <row r="1142" spans="1:10" ht="15.75" customHeight="1">
      <c r="A1142" t="s">
        <v>2636</v>
      </c>
      <c r="B1142">
        <v>413300</v>
      </c>
      <c r="C1142">
        <v>1</v>
      </c>
      <c r="D1142" t="str">
        <f t="shared" si="17"/>
        <v>1413300.790</v>
      </c>
      <c r="E1142" t="s">
        <v>2971</v>
      </c>
      <c r="F1142" s="242"/>
      <c r="G1142"/>
      <c r="H1142" s="242">
        <v>0</v>
      </c>
      <c r="I1142" s="242">
        <v>-331250</v>
      </c>
      <c r="J1142"/>
    </row>
    <row r="1143" spans="1:10" ht="15.75" customHeight="1">
      <c r="A1143" t="s">
        <v>2694</v>
      </c>
      <c r="B1143">
        <v>413300</v>
      </c>
      <c r="C1143">
        <v>1</v>
      </c>
      <c r="D1143" t="str">
        <f t="shared" si="17"/>
        <v>1413300.690</v>
      </c>
      <c r="E1143" t="s">
        <v>2972</v>
      </c>
      <c r="F1143" s="242"/>
      <c r="G1143"/>
      <c r="H1143" s="242">
        <v>0</v>
      </c>
      <c r="I1143" s="242">
        <v>-1922</v>
      </c>
      <c r="J1143"/>
    </row>
    <row r="1144" spans="1:10" ht="15.75" customHeight="1">
      <c r="A1144" t="s">
        <v>2931</v>
      </c>
      <c r="B1144">
        <v>420000</v>
      </c>
      <c r="C1144">
        <v>1</v>
      </c>
      <c r="D1144" t="str">
        <f t="shared" si="17"/>
        <v>1420000.220</v>
      </c>
      <c r="E1144" t="s">
        <v>3757</v>
      </c>
      <c r="F1144" s="242"/>
      <c r="G1144"/>
      <c r="H1144" s="242">
        <v>-150000</v>
      </c>
      <c r="I1144" s="242">
        <v>-113761</v>
      </c>
      <c r="J1144"/>
    </row>
    <row r="1145" spans="1:10" ht="15.75" customHeight="1">
      <c r="A1145" t="s">
        <v>2694</v>
      </c>
      <c r="B1145">
        <v>437000</v>
      </c>
      <c r="C1145">
        <v>1</v>
      </c>
      <c r="D1145" t="str">
        <f t="shared" si="17"/>
        <v>1437000.690</v>
      </c>
      <c r="E1145" t="s">
        <v>3008</v>
      </c>
      <c r="F1145" s="242"/>
      <c r="G1145"/>
      <c r="H1145" s="242">
        <v>-3700000</v>
      </c>
      <c r="I1145" s="242">
        <v>-4434335</v>
      </c>
      <c r="J1145"/>
    </row>
    <row r="1146" spans="1:10" ht="15.75" customHeight="1">
      <c r="A1146" t="s">
        <v>2594</v>
      </c>
      <c r="B1146">
        <v>438000</v>
      </c>
      <c r="C1146">
        <v>1</v>
      </c>
      <c r="D1146" t="str">
        <f t="shared" si="17"/>
        <v>1438000.540</v>
      </c>
      <c r="E1146" t="s">
        <v>2680</v>
      </c>
      <c r="F1146" s="242"/>
      <c r="G1146"/>
      <c r="H1146" s="242">
        <v>0</v>
      </c>
      <c r="I1146" s="242">
        <v>0</v>
      </c>
      <c r="J1146"/>
    </row>
    <row r="1147" spans="1:10" ht="15.75" customHeight="1">
      <c r="A1147" t="s">
        <v>2978</v>
      </c>
      <c r="B1147">
        <v>439000</v>
      </c>
      <c r="C1147">
        <v>1</v>
      </c>
      <c r="D1147" t="str">
        <f t="shared" si="17"/>
        <v>1439000.650</v>
      </c>
      <c r="E1147" t="s">
        <v>2979</v>
      </c>
      <c r="F1147" s="242"/>
      <c r="G1147"/>
      <c r="H1147" s="242">
        <v>-30000</v>
      </c>
      <c r="I1147" s="242">
        <v>-60000</v>
      </c>
      <c r="J1147"/>
    </row>
    <row r="1148" spans="1:10" ht="15.75" customHeight="1">
      <c r="A1148" t="s">
        <v>2980</v>
      </c>
      <c r="B1148">
        <v>439000</v>
      </c>
      <c r="C1148">
        <v>1</v>
      </c>
      <c r="D1148" t="str">
        <f t="shared" si="17"/>
        <v>1439000.651</v>
      </c>
      <c r="E1148" t="s">
        <v>2981</v>
      </c>
      <c r="F1148" s="242"/>
      <c r="G1148"/>
      <c r="H1148" s="242">
        <v>-450000</v>
      </c>
      <c r="I1148" s="242">
        <v>-911755</v>
      </c>
      <c r="J1148"/>
    </row>
    <row r="1149" spans="1:10" ht="15.75" customHeight="1">
      <c r="A1149" t="s">
        <v>2982</v>
      </c>
      <c r="B1149">
        <v>439000</v>
      </c>
      <c r="C1149">
        <v>1</v>
      </c>
      <c r="D1149" t="str">
        <f t="shared" si="17"/>
        <v>1439000.652</v>
      </c>
      <c r="E1149" t="s">
        <v>2983</v>
      </c>
      <c r="F1149" s="242"/>
      <c r="G1149"/>
      <c r="H1149" s="242">
        <v>-960000</v>
      </c>
      <c r="I1149" s="242">
        <v>-863617</v>
      </c>
      <c r="J1149"/>
    </row>
    <row r="1150" spans="1:10" ht="15.75" customHeight="1">
      <c r="A1150" t="s">
        <v>2984</v>
      </c>
      <c r="B1150">
        <v>439000</v>
      </c>
      <c r="C1150">
        <v>1</v>
      </c>
      <c r="D1150" t="str">
        <f t="shared" si="17"/>
        <v>1439000.653</v>
      </c>
      <c r="E1150" t="s">
        <v>2985</v>
      </c>
      <c r="F1150" s="242"/>
      <c r="G1150"/>
      <c r="H1150" s="242">
        <v>-2260000</v>
      </c>
      <c r="I1150" s="242">
        <v>-2174839</v>
      </c>
      <c r="J1150"/>
    </row>
    <row r="1151" spans="1:10" ht="15.75" customHeight="1">
      <c r="A1151" t="s">
        <v>2986</v>
      </c>
      <c r="B1151">
        <v>439000</v>
      </c>
      <c r="C1151">
        <v>1</v>
      </c>
      <c r="D1151" t="str">
        <f t="shared" si="17"/>
        <v>1439000.654</v>
      </c>
      <c r="E1151" t="s">
        <v>2987</v>
      </c>
      <c r="F1151" s="242"/>
      <c r="G1151"/>
      <c r="H1151" s="242">
        <v>-200000</v>
      </c>
      <c r="I1151" s="242">
        <v>0</v>
      </c>
      <c r="J1151"/>
    </row>
    <row r="1152" spans="1:10" ht="15.75" customHeight="1">
      <c r="A1152" t="s">
        <v>2988</v>
      </c>
      <c r="B1152">
        <v>439000</v>
      </c>
      <c r="C1152">
        <v>1</v>
      </c>
      <c r="D1152" t="str">
        <f t="shared" si="17"/>
        <v>1439000.655</v>
      </c>
      <c r="E1152" t="s">
        <v>2989</v>
      </c>
      <c r="F1152" s="242"/>
      <c r="G1152"/>
      <c r="H1152" s="242">
        <v>-300000</v>
      </c>
      <c r="I1152" s="242">
        <v>-300000</v>
      </c>
      <c r="J1152"/>
    </row>
    <row r="1153" spans="1:10" ht="15.75" customHeight="1">
      <c r="A1153" t="s">
        <v>2990</v>
      </c>
      <c r="B1153">
        <v>439000</v>
      </c>
      <c r="C1153">
        <v>1</v>
      </c>
      <c r="D1153" t="str">
        <f t="shared" si="17"/>
        <v>1439000.657</v>
      </c>
      <c r="E1153" t="s">
        <v>2991</v>
      </c>
      <c r="F1153" s="242"/>
      <c r="G1153"/>
      <c r="H1153" s="242">
        <v>-350000</v>
      </c>
      <c r="I1153" s="242">
        <v>-437382</v>
      </c>
      <c r="J1153"/>
    </row>
    <row r="1154" spans="1:10" ht="15.75" customHeight="1">
      <c r="A1154" t="s">
        <v>2992</v>
      </c>
      <c r="B1154">
        <v>439000</v>
      </c>
      <c r="C1154">
        <v>1</v>
      </c>
      <c r="D1154" t="str">
        <f t="shared" si="17"/>
        <v>1439000.659</v>
      </c>
      <c r="E1154" t="s">
        <v>2993</v>
      </c>
      <c r="F1154" s="242"/>
      <c r="G1154"/>
      <c r="H1154" s="242">
        <v>-900000</v>
      </c>
      <c r="I1154" s="242">
        <v>-900000</v>
      </c>
      <c r="J1154"/>
    </row>
    <row r="1155" spans="1:10" ht="15.75" customHeight="1">
      <c r="A1155" t="s">
        <v>2694</v>
      </c>
      <c r="B1155">
        <v>439000</v>
      </c>
      <c r="C1155">
        <v>1</v>
      </c>
      <c r="D1155" t="str">
        <f t="shared" ref="D1155:D1218" si="18">C1155&amp;B1155&amp;"."&amp;A1155</f>
        <v>1439000.690</v>
      </c>
      <c r="E1155" t="s">
        <v>2994</v>
      </c>
      <c r="F1155" s="242"/>
      <c r="G1155"/>
      <c r="H1155" s="242">
        <v>-100</v>
      </c>
      <c r="I1155" s="242">
        <v>-196534</v>
      </c>
      <c r="J1155"/>
    </row>
    <row r="1156" spans="1:10" ht="15.75" customHeight="1">
      <c r="A1156" t="s">
        <v>2980</v>
      </c>
      <c r="B1156">
        <v>439100</v>
      </c>
      <c r="C1156">
        <v>1</v>
      </c>
      <c r="D1156" t="str">
        <f t="shared" si="18"/>
        <v>1439100.651</v>
      </c>
      <c r="E1156" t="s">
        <v>2995</v>
      </c>
      <c r="F1156" s="242"/>
      <c r="G1156"/>
      <c r="H1156" s="242">
        <v>-790000</v>
      </c>
      <c r="I1156" s="242">
        <v>-790000</v>
      </c>
      <c r="J1156"/>
    </row>
    <row r="1157" spans="1:10" ht="15.75" customHeight="1">
      <c r="A1157" t="s">
        <v>2982</v>
      </c>
      <c r="B1157">
        <v>439100</v>
      </c>
      <c r="C1157">
        <v>1</v>
      </c>
      <c r="D1157" t="str">
        <f t="shared" si="18"/>
        <v>1439100.652</v>
      </c>
      <c r="E1157" t="s">
        <v>2996</v>
      </c>
      <c r="F1157" s="242"/>
      <c r="G1157"/>
      <c r="H1157" s="242">
        <v>-2168500</v>
      </c>
      <c r="I1157" s="242">
        <v>-2168500</v>
      </c>
      <c r="J1157"/>
    </row>
    <row r="1158" spans="1:10" ht="15.75" customHeight="1">
      <c r="A1158" t="s">
        <v>2984</v>
      </c>
      <c r="B1158">
        <v>439100</v>
      </c>
      <c r="C1158">
        <v>1</v>
      </c>
      <c r="D1158" t="str">
        <f t="shared" si="18"/>
        <v>1439100.653</v>
      </c>
      <c r="E1158" t="s">
        <v>2997</v>
      </c>
      <c r="F1158" s="242"/>
      <c r="G1158"/>
      <c r="H1158" s="242">
        <v>0</v>
      </c>
      <c r="I1158" s="242">
        <v>0</v>
      </c>
      <c r="J1158"/>
    </row>
    <row r="1159" spans="1:10" ht="15.75" customHeight="1">
      <c r="A1159" t="s">
        <v>2634</v>
      </c>
      <c r="B1159">
        <v>443000</v>
      </c>
      <c r="C1159">
        <v>1</v>
      </c>
      <c r="D1159" t="str">
        <f t="shared" si="18"/>
        <v>1443000.490</v>
      </c>
      <c r="E1159" t="s">
        <v>4605</v>
      </c>
      <c r="F1159" s="242"/>
      <c r="G1159"/>
      <c r="H1159" s="242">
        <v>0</v>
      </c>
      <c r="I1159" s="242">
        <v>-1350</v>
      </c>
      <c r="J1159"/>
    </row>
    <row r="1160" spans="1:10" ht="15.75" customHeight="1">
      <c r="A1160" t="s">
        <v>2694</v>
      </c>
      <c r="B1160">
        <v>443000</v>
      </c>
      <c r="C1160">
        <v>1</v>
      </c>
      <c r="D1160" t="str">
        <f t="shared" si="18"/>
        <v>1443000.690</v>
      </c>
      <c r="E1160" t="s">
        <v>4606</v>
      </c>
      <c r="F1160" s="242"/>
      <c r="G1160"/>
      <c r="H1160" s="242">
        <v>-2300000</v>
      </c>
      <c r="I1160" s="242">
        <v>-1788539</v>
      </c>
      <c r="J1160"/>
    </row>
    <row r="1161" spans="1:10" ht="15.75" customHeight="1">
      <c r="A1161" t="s">
        <v>3730</v>
      </c>
      <c r="B1161">
        <v>443000</v>
      </c>
      <c r="C1161">
        <v>1</v>
      </c>
      <c r="D1161" t="str">
        <f t="shared" si="18"/>
        <v>1443000.691</v>
      </c>
      <c r="E1161" t="s">
        <v>4607</v>
      </c>
      <c r="F1161" s="242"/>
      <c r="G1161"/>
      <c r="H1161" s="242">
        <v>-26000000</v>
      </c>
      <c r="I1161" s="242">
        <v>-19000962</v>
      </c>
      <c r="J1161"/>
    </row>
    <row r="1162" spans="1:10" ht="15.75" customHeight="1">
      <c r="A1162" t="s">
        <v>3732</v>
      </c>
      <c r="B1162">
        <v>443000</v>
      </c>
      <c r="C1162">
        <v>1</v>
      </c>
      <c r="D1162" t="str">
        <f t="shared" si="18"/>
        <v>1443000.692</v>
      </c>
      <c r="E1162" t="s">
        <v>4608</v>
      </c>
      <c r="F1162" s="242"/>
      <c r="G1162"/>
      <c r="H1162" s="242">
        <v>-3500000</v>
      </c>
      <c r="I1162" s="242">
        <v>-3032643</v>
      </c>
      <c r="J1162"/>
    </row>
    <row r="1163" spans="1:10" ht="15.75" customHeight="1">
      <c r="A1163" t="s">
        <v>4609</v>
      </c>
      <c r="B1163">
        <v>443000</v>
      </c>
      <c r="C1163">
        <v>1</v>
      </c>
      <c r="D1163" t="str">
        <f t="shared" si="18"/>
        <v>1443000.694</v>
      </c>
      <c r="E1163" t="s">
        <v>4610</v>
      </c>
      <c r="F1163" s="242"/>
      <c r="G1163"/>
      <c r="H1163" s="242">
        <v>-30000</v>
      </c>
      <c r="I1163" s="242">
        <v>-34018</v>
      </c>
      <c r="J1163"/>
    </row>
    <row r="1164" spans="1:10" ht="15.75" customHeight="1">
      <c r="A1164" t="s">
        <v>2865</v>
      </c>
      <c r="B1164">
        <v>443000</v>
      </c>
      <c r="C1164">
        <v>1</v>
      </c>
      <c r="D1164" t="str">
        <f t="shared" si="18"/>
        <v>1443000.695</v>
      </c>
      <c r="E1164" t="s">
        <v>4611</v>
      </c>
      <c r="F1164" s="242"/>
      <c r="G1164"/>
      <c r="H1164" s="242">
        <v>-10000</v>
      </c>
      <c r="I1164" s="242">
        <v>-485</v>
      </c>
      <c r="J1164"/>
    </row>
    <row r="1165" spans="1:10" ht="15.75" customHeight="1">
      <c r="A1165" t="s">
        <v>4612</v>
      </c>
      <c r="B1165">
        <v>443000</v>
      </c>
      <c r="C1165">
        <v>1</v>
      </c>
      <c r="D1165" t="str">
        <f t="shared" si="18"/>
        <v>1443000.696</v>
      </c>
      <c r="E1165" t="s">
        <v>4613</v>
      </c>
      <c r="F1165" s="242"/>
      <c r="G1165"/>
      <c r="H1165" s="242">
        <v>-7080000</v>
      </c>
      <c r="I1165" s="242">
        <v>-6191429</v>
      </c>
      <c r="J1165"/>
    </row>
    <row r="1166" spans="1:10" ht="15.75" customHeight="1">
      <c r="A1166" t="s">
        <v>2973</v>
      </c>
      <c r="B1166">
        <v>470000</v>
      </c>
      <c r="C1166">
        <v>1</v>
      </c>
      <c r="D1166" t="str">
        <f t="shared" si="18"/>
        <v>1470000.217</v>
      </c>
      <c r="E1166" t="s">
        <v>2974</v>
      </c>
      <c r="F1166" s="242"/>
      <c r="G1166"/>
      <c r="H1166" s="242">
        <v>-1200000</v>
      </c>
      <c r="I1166" s="242">
        <v>-939727</v>
      </c>
      <c r="J1166"/>
    </row>
    <row r="1167" spans="1:10" ht="15.75" customHeight="1">
      <c r="A1167" t="s">
        <v>2694</v>
      </c>
      <c r="B1167">
        <v>480000</v>
      </c>
      <c r="C1167">
        <v>1</v>
      </c>
      <c r="D1167" t="str">
        <f t="shared" si="18"/>
        <v>1480000.690</v>
      </c>
      <c r="E1167" t="s">
        <v>2975</v>
      </c>
      <c r="F1167" s="242"/>
      <c r="G1167"/>
      <c r="H1167" s="242">
        <v>-280300</v>
      </c>
      <c r="I1167" s="242">
        <v>-452437</v>
      </c>
      <c r="J1167"/>
    </row>
    <row r="1168" spans="1:10" ht="15.75" customHeight="1">
      <c r="A1168" t="s">
        <v>2634</v>
      </c>
      <c r="B1168">
        <v>482000</v>
      </c>
      <c r="C1168">
        <v>1</v>
      </c>
      <c r="D1168" t="str">
        <f t="shared" si="18"/>
        <v>1482000.490</v>
      </c>
      <c r="E1168" t="s">
        <v>2861</v>
      </c>
      <c r="F1168" s="242"/>
      <c r="G1168"/>
      <c r="H1168" s="242">
        <v>0</v>
      </c>
      <c r="I1168" s="242">
        <v>-16130</v>
      </c>
      <c r="J1168"/>
    </row>
    <row r="1169" spans="1:10" ht="15.75" customHeight="1">
      <c r="A1169" t="s">
        <v>4296</v>
      </c>
      <c r="B1169">
        <v>483000</v>
      </c>
      <c r="C1169">
        <v>1</v>
      </c>
      <c r="D1169" t="str">
        <f t="shared" si="18"/>
        <v>1483000.661</v>
      </c>
      <c r="E1169" t="s">
        <v>4297</v>
      </c>
      <c r="F1169" s="242"/>
      <c r="G1169"/>
      <c r="H1169" s="242">
        <v>-4000000</v>
      </c>
      <c r="I1169" s="242">
        <v>-4000000</v>
      </c>
      <c r="J1169"/>
    </row>
    <row r="1170" spans="1:10" ht="15.75" customHeight="1">
      <c r="A1170" t="s">
        <v>2286</v>
      </c>
      <c r="B1170">
        <v>513000</v>
      </c>
      <c r="C1170">
        <v>1</v>
      </c>
      <c r="D1170" t="str">
        <f t="shared" si="18"/>
        <v>1513000.511</v>
      </c>
      <c r="E1170" t="s">
        <v>4298</v>
      </c>
      <c r="F1170" s="242"/>
      <c r="G1170"/>
      <c r="H1170" s="242">
        <v>-4000000</v>
      </c>
      <c r="I1170" s="242">
        <v>-1243188</v>
      </c>
      <c r="J1170"/>
    </row>
    <row r="1171" spans="1:10" ht="15.75" customHeight="1">
      <c r="A1171" t="s">
        <v>1800</v>
      </c>
      <c r="B1171">
        <v>591900</v>
      </c>
      <c r="C1171">
        <v>1</v>
      </c>
      <c r="D1171" t="str">
        <f t="shared" si="18"/>
        <v>1591900.591</v>
      </c>
      <c r="E1171" t="s">
        <v>4569</v>
      </c>
      <c r="F1171" s="242"/>
      <c r="G1171"/>
      <c r="H1171" s="242">
        <v>-500000</v>
      </c>
      <c r="I1171" s="242">
        <v>-1389526</v>
      </c>
      <c r="J1171"/>
    </row>
    <row r="1172" spans="1:10" ht="15.75" customHeight="1">
      <c r="A1172" t="s">
        <v>1800</v>
      </c>
      <c r="B1172">
        <v>591920</v>
      </c>
      <c r="C1172">
        <v>1</v>
      </c>
      <c r="D1172" t="str">
        <f t="shared" si="18"/>
        <v>1591920.591</v>
      </c>
      <c r="E1172" t="s">
        <v>4320</v>
      </c>
      <c r="F1172" s="242"/>
      <c r="G1172"/>
      <c r="H1172" s="242">
        <v>-19645000</v>
      </c>
      <c r="I1172" s="242">
        <v>-12819379</v>
      </c>
      <c r="J1172"/>
    </row>
    <row r="1173" spans="1:10" ht="15.75" customHeight="1">
      <c r="A1173" t="s">
        <v>4321</v>
      </c>
      <c r="B1173">
        <v>591920</v>
      </c>
      <c r="C1173">
        <v>1</v>
      </c>
      <c r="D1173" t="str">
        <f t="shared" si="18"/>
        <v>1591920.592</v>
      </c>
      <c r="E1173" t="s">
        <v>4322</v>
      </c>
      <c r="F1173" s="242"/>
      <c r="G1173"/>
      <c r="H1173" s="242">
        <v>-9222000</v>
      </c>
      <c r="I1173" s="242">
        <v>-5965947</v>
      </c>
      <c r="J1173"/>
    </row>
    <row r="1174" spans="1:10" ht="15.75" customHeight="1">
      <c r="A1174" t="s">
        <v>4323</v>
      </c>
      <c r="B1174">
        <v>591920</v>
      </c>
      <c r="C1174">
        <v>1</v>
      </c>
      <c r="D1174" t="str">
        <f t="shared" si="18"/>
        <v>1591920.593</v>
      </c>
      <c r="E1174" t="s">
        <v>4324</v>
      </c>
      <c r="F1174" s="242"/>
      <c r="G1174"/>
      <c r="H1174" s="242">
        <v>-2602000</v>
      </c>
      <c r="I1174" s="242">
        <v>-1898813</v>
      </c>
      <c r="J1174"/>
    </row>
    <row r="1175" spans="1:10" ht="15.75" customHeight="1">
      <c r="A1175" t="s">
        <v>2286</v>
      </c>
      <c r="B1175">
        <v>594000</v>
      </c>
      <c r="C1175">
        <v>1</v>
      </c>
      <c r="D1175" t="str">
        <f t="shared" si="18"/>
        <v>1594000.511</v>
      </c>
      <c r="E1175" t="s">
        <v>4299</v>
      </c>
      <c r="F1175" s="242"/>
      <c r="G1175"/>
      <c r="H1175" s="242">
        <v>-2000000</v>
      </c>
      <c r="I1175" s="242">
        <v>-1011457</v>
      </c>
      <c r="J1175"/>
    </row>
    <row r="1176" spans="1:10" ht="15.75" customHeight="1">
      <c r="A1176" t="s">
        <v>2694</v>
      </c>
      <c r="B1176">
        <v>594000</v>
      </c>
      <c r="C1176">
        <v>1</v>
      </c>
      <c r="D1176" t="str">
        <f t="shared" si="18"/>
        <v>1594000.690</v>
      </c>
      <c r="E1176" t="s">
        <v>4300</v>
      </c>
      <c r="F1176" s="242"/>
      <c r="G1176"/>
      <c r="H1176" s="242">
        <v>0</v>
      </c>
      <c r="I1176" s="242">
        <v>0</v>
      </c>
      <c r="J1176"/>
    </row>
    <row r="1177" spans="1:10" ht="15.75" customHeight="1">
      <c r="A1177" t="s">
        <v>2588</v>
      </c>
      <c r="B1177">
        <v>594000</v>
      </c>
      <c r="C1177">
        <v>1</v>
      </c>
      <c r="D1177" t="str">
        <f t="shared" si="18"/>
        <v>1594000.522</v>
      </c>
      <c r="E1177" t="s">
        <v>4570</v>
      </c>
      <c r="F1177" s="242"/>
      <c r="G1177"/>
      <c r="H1177" s="242">
        <v>-40000</v>
      </c>
      <c r="I1177" s="242">
        <v>-1565</v>
      </c>
      <c r="J1177"/>
    </row>
    <row r="1178" spans="1:10" ht="15.75" customHeight="1">
      <c r="A1178" t="s">
        <v>2588</v>
      </c>
      <c r="B1178">
        <v>594100</v>
      </c>
      <c r="C1178">
        <v>1</v>
      </c>
      <c r="D1178" t="str">
        <f t="shared" si="18"/>
        <v>1594100.522</v>
      </c>
      <c r="E1178" t="s">
        <v>4571</v>
      </c>
      <c r="F1178" s="242"/>
      <c r="G1178"/>
      <c r="H1178" s="242">
        <v>0</v>
      </c>
      <c r="I1178" s="242">
        <v>-50</v>
      </c>
      <c r="J1178"/>
    </row>
    <row r="1179" spans="1:10" ht="15.75" customHeight="1">
      <c r="A1179" t="s">
        <v>2588</v>
      </c>
      <c r="B1179">
        <v>594110</v>
      </c>
      <c r="C1179">
        <v>1</v>
      </c>
      <c r="D1179" t="str">
        <f t="shared" si="18"/>
        <v>1594110.522</v>
      </c>
      <c r="E1179" t="s">
        <v>4572</v>
      </c>
      <c r="F1179" s="242"/>
      <c r="G1179"/>
      <c r="H1179" s="242">
        <v>0</v>
      </c>
      <c r="I1179" s="242">
        <v>-19163</v>
      </c>
      <c r="J1179"/>
    </row>
    <row r="1180" spans="1:10" ht="15.75" customHeight="1">
      <c r="A1180" t="s">
        <v>2634</v>
      </c>
      <c r="B1180">
        <v>594500</v>
      </c>
      <c r="C1180">
        <v>1</v>
      </c>
      <c r="D1180" t="str">
        <f t="shared" si="18"/>
        <v>1594500.490</v>
      </c>
      <c r="E1180" t="s">
        <v>2861</v>
      </c>
      <c r="F1180" s="242"/>
      <c r="G1180"/>
      <c r="H1180" s="242">
        <v>0</v>
      </c>
      <c r="I1180" s="242">
        <v>-9355</v>
      </c>
      <c r="J1180"/>
    </row>
    <row r="1181" spans="1:10" ht="15.75" customHeight="1">
      <c r="A1181" t="s">
        <v>3544</v>
      </c>
      <c r="B1181">
        <v>610000</v>
      </c>
      <c r="C1181">
        <v>1</v>
      </c>
      <c r="D1181" t="str">
        <f t="shared" si="18"/>
        <v>1610000.970</v>
      </c>
      <c r="E1181" t="s">
        <v>4301</v>
      </c>
      <c r="F1181" s="242"/>
      <c r="G1181"/>
      <c r="H1181" s="242">
        <v>80000</v>
      </c>
      <c r="I1181" s="242">
        <v>81253</v>
      </c>
      <c r="J1181"/>
    </row>
    <row r="1182" spans="1:10" ht="15.75" customHeight="1">
      <c r="A1182" t="s">
        <v>4573</v>
      </c>
      <c r="B1182">
        <v>610000</v>
      </c>
      <c r="C1182">
        <v>1</v>
      </c>
      <c r="D1182" t="str">
        <f t="shared" si="18"/>
        <v>1610000.320</v>
      </c>
      <c r="E1182" t="s">
        <v>4574</v>
      </c>
      <c r="F1182" s="242"/>
      <c r="G1182"/>
      <c r="H1182" s="242">
        <v>60000</v>
      </c>
      <c r="I1182" s="242">
        <v>484794</v>
      </c>
      <c r="J1182"/>
    </row>
    <row r="1183" spans="1:10" ht="15.75" customHeight="1">
      <c r="A1183" t="s">
        <v>2571</v>
      </c>
      <c r="B1183">
        <v>611100</v>
      </c>
      <c r="C1183">
        <v>1</v>
      </c>
      <c r="D1183" t="str">
        <f t="shared" si="18"/>
        <v>1611100.105</v>
      </c>
      <c r="E1183" t="s">
        <v>2572</v>
      </c>
      <c r="F1183" s="242"/>
      <c r="G1183"/>
      <c r="H1183" s="242">
        <v>0</v>
      </c>
      <c r="I1183" s="242">
        <v>44719</v>
      </c>
      <c r="J1183"/>
    </row>
    <row r="1184" spans="1:10" ht="15.75" customHeight="1">
      <c r="A1184" t="s">
        <v>2403</v>
      </c>
      <c r="B1184">
        <v>611100</v>
      </c>
      <c r="C1184">
        <v>1</v>
      </c>
      <c r="D1184" t="str">
        <f t="shared" si="18"/>
        <v>1611100.110</v>
      </c>
      <c r="E1184" t="s">
        <v>2573</v>
      </c>
      <c r="F1184" s="242"/>
      <c r="G1184"/>
      <c r="H1184" s="242">
        <v>3733080</v>
      </c>
      <c r="I1184" s="242">
        <v>3373840</v>
      </c>
      <c r="J1184"/>
    </row>
    <row r="1185" spans="1:10" ht="15.75" customHeight="1">
      <c r="A1185" t="s">
        <v>2404</v>
      </c>
      <c r="B1185">
        <v>611100</v>
      </c>
      <c r="C1185">
        <v>1</v>
      </c>
      <c r="D1185" t="str">
        <f t="shared" si="18"/>
        <v>1611100.120</v>
      </c>
      <c r="E1185" t="s">
        <v>2574</v>
      </c>
      <c r="F1185" s="242"/>
      <c r="G1185"/>
      <c r="H1185" s="242">
        <v>229250</v>
      </c>
      <c r="I1185" s="242">
        <v>199877</v>
      </c>
      <c r="J1185"/>
    </row>
    <row r="1186" spans="1:10" ht="15.75" customHeight="1">
      <c r="A1186" t="s">
        <v>2575</v>
      </c>
      <c r="B1186">
        <v>611100</v>
      </c>
      <c r="C1186">
        <v>1</v>
      </c>
      <c r="D1186" t="str">
        <f t="shared" si="18"/>
        <v>1611100.130</v>
      </c>
      <c r="E1186" t="s">
        <v>2576</v>
      </c>
      <c r="F1186" s="242"/>
      <c r="G1186"/>
      <c r="H1186" s="242">
        <v>19599</v>
      </c>
      <c r="I1186" s="242">
        <v>16077</v>
      </c>
      <c r="J1186"/>
    </row>
    <row r="1187" spans="1:10" ht="15.75" customHeight="1">
      <c r="A1187" t="s">
        <v>2577</v>
      </c>
      <c r="B1187">
        <v>611100</v>
      </c>
      <c r="C1187">
        <v>1</v>
      </c>
      <c r="D1187" t="str">
        <f t="shared" si="18"/>
        <v>1611100.140</v>
      </c>
      <c r="E1187" t="s">
        <v>2578</v>
      </c>
      <c r="F1187" s="242"/>
      <c r="G1187"/>
      <c r="H1187" s="242">
        <v>435373</v>
      </c>
      <c r="I1187" s="242">
        <v>412926</v>
      </c>
      <c r="J1187"/>
    </row>
    <row r="1188" spans="1:10" ht="15.75" customHeight="1">
      <c r="A1188" t="s">
        <v>2579</v>
      </c>
      <c r="B1188">
        <v>611100</v>
      </c>
      <c r="C1188">
        <v>1</v>
      </c>
      <c r="D1188" t="str">
        <f t="shared" si="18"/>
        <v>1611100.181</v>
      </c>
      <c r="E1188" t="s">
        <v>2580</v>
      </c>
      <c r="F1188" s="242"/>
      <c r="G1188"/>
      <c r="H1188" s="242">
        <v>1018647</v>
      </c>
      <c r="I1188" s="242">
        <v>926632</v>
      </c>
      <c r="J1188"/>
    </row>
    <row r="1189" spans="1:10" ht="15.75" customHeight="1">
      <c r="A1189" t="s">
        <v>2581</v>
      </c>
      <c r="B1189">
        <v>611100</v>
      </c>
      <c r="C1189">
        <v>1</v>
      </c>
      <c r="D1189" t="str">
        <f t="shared" si="18"/>
        <v>1611100.182</v>
      </c>
      <c r="E1189" t="s">
        <v>2582</v>
      </c>
      <c r="F1189" s="242"/>
      <c r="G1189"/>
      <c r="H1189" s="242">
        <v>352385</v>
      </c>
      <c r="I1189" s="242">
        <v>324329</v>
      </c>
      <c r="J1189"/>
    </row>
    <row r="1190" spans="1:10" ht="15.75" customHeight="1">
      <c r="A1190" t="s">
        <v>2413</v>
      </c>
      <c r="B1190">
        <v>611100</v>
      </c>
      <c r="C1190">
        <v>1</v>
      </c>
      <c r="D1190" t="str">
        <f t="shared" si="18"/>
        <v>1611100.510</v>
      </c>
      <c r="E1190" t="s">
        <v>2583</v>
      </c>
      <c r="F1190" s="242"/>
      <c r="G1190"/>
      <c r="H1190" s="242">
        <v>10000</v>
      </c>
      <c r="I1190" s="242">
        <v>0</v>
      </c>
      <c r="J1190"/>
    </row>
    <row r="1191" spans="1:10" ht="15.75" customHeight="1">
      <c r="A1191" t="s">
        <v>2286</v>
      </c>
      <c r="B1191">
        <v>611100</v>
      </c>
      <c r="C1191">
        <v>1</v>
      </c>
      <c r="D1191" t="str">
        <f t="shared" si="18"/>
        <v>1611100.511</v>
      </c>
      <c r="E1191" t="s">
        <v>2584</v>
      </c>
      <c r="F1191" s="242"/>
      <c r="G1191"/>
      <c r="H1191" s="242">
        <v>43000</v>
      </c>
      <c r="I1191" s="242">
        <v>63780</v>
      </c>
      <c r="J1191"/>
    </row>
    <row r="1192" spans="1:10" ht="15.75" customHeight="1">
      <c r="A1192" t="s">
        <v>2414</v>
      </c>
      <c r="B1192">
        <v>611100</v>
      </c>
      <c r="C1192">
        <v>1</v>
      </c>
      <c r="D1192" t="str">
        <f t="shared" si="18"/>
        <v>1611100.512</v>
      </c>
      <c r="E1192" t="s">
        <v>2585</v>
      </c>
      <c r="F1192" s="242"/>
      <c r="G1192"/>
      <c r="H1192" s="242">
        <v>1000</v>
      </c>
      <c r="I1192" s="242">
        <v>129</v>
      </c>
      <c r="J1192"/>
    </row>
    <row r="1193" spans="1:10" ht="15.75" customHeight="1">
      <c r="A1193" t="s">
        <v>2586</v>
      </c>
      <c r="B1193">
        <v>611100</v>
      </c>
      <c r="C1193">
        <v>1</v>
      </c>
      <c r="D1193" t="str">
        <f t="shared" si="18"/>
        <v>1611100.514</v>
      </c>
      <c r="E1193" t="s">
        <v>2587</v>
      </c>
      <c r="F1193" s="242"/>
      <c r="G1193"/>
      <c r="H1193" s="242">
        <v>36720</v>
      </c>
      <c r="I1193" s="242">
        <v>24590</v>
      </c>
      <c r="J1193"/>
    </row>
    <row r="1194" spans="1:10" ht="15.75" customHeight="1">
      <c r="A1194" t="s">
        <v>2588</v>
      </c>
      <c r="B1194">
        <v>611100</v>
      </c>
      <c r="C1194">
        <v>1</v>
      </c>
      <c r="D1194" t="str">
        <f t="shared" si="18"/>
        <v>1611100.522</v>
      </c>
      <c r="E1194" t="s">
        <v>2589</v>
      </c>
      <c r="F1194" s="242"/>
      <c r="G1194"/>
      <c r="H1194" s="242">
        <v>50000</v>
      </c>
      <c r="I1194" s="242">
        <v>33246</v>
      </c>
      <c r="J1194"/>
    </row>
    <row r="1195" spans="1:10" ht="15.75" customHeight="1">
      <c r="A1195" t="s">
        <v>2590</v>
      </c>
      <c r="B1195">
        <v>611100</v>
      </c>
      <c r="C1195">
        <v>1</v>
      </c>
      <c r="D1195" t="str">
        <f t="shared" si="18"/>
        <v>1611100.523</v>
      </c>
      <c r="E1195" t="s">
        <v>2591</v>
      </c>
      <c r="F1195" s="242"/>
      <c r="G1195"/>
      <c r="H1195" s="242">
        <v>3000</v>
      </c>
      <c r="I1195" s="242">
        <v>2500</v>
      </c>
      <c r="J1195"/>
    </row>
    <row r="1196" spans="1:10" ht="15.75" customHeight="1">
      <c r="A1196" t="s">
        <v>2592</v>
      </c>
      <c r="B1196">
        <v>611100</v>
      </c>
      <c r="C1196">
        <v>1</v>
      </c>
      <c r="D1196" t="str">
        <f t="shared" si="18"/>
        <v>1611100.531</v>
      </c>
      <c r="E1196" t="s">
        <v>2593</v>
      </c>
      <c r="F1196" s="242"/>
      <c r="G1196"/>
      <c r="H1196" s="242">
        <v>161291</v>
      </c>
      <c r="I1196" s="242">
        <v>172266</v>
      </c>
      <c r="J1196"/>
    </row>
    <row r="1197" spans="1:10" ht="15.75" customHeight="1">
      <c r="A1197" t="s">
        <v>2594</v>
      </c>
      <c r="B1197">
        <v>611100</v>
      </c>
      <c r="C1197">
        <v>1</v>
      </c>
      <c r="D1197" t="str">
        <f t="shared" si="18"/>
        <v>1611100.540</v>
      </c>
      <c r="E1197" t="s">
        <v>2595</v>
      </c>
      <c r="F1197" s="242"/>
      <c r="G1197"/>
      <c r="H1197" s="242">
        <v>100000</v>
      </c>
      <c r="I1197" s="242">
        <v>54514</v>
      </c>
      <c r="J1197"/>
    </row>
    <row r="1198" spans="1:10" ht="15.75" customHeight="1">
      <c r="A1198" t="s">
        <v>2596</v>
      </c>
      <c r="B1198">
        <v>611100</v>
      </c>
      <c r="C1198">
        <v>1</v>
      </c>
      <c r="D1198" t="str">
        <f t="shared" si="18"/>
        <v>1611100.550</v>
      </c>
      <c r="E1198" t="s">
        <v>2597</v>
      </c>
      <c r="F1198" s="242"/>
      <c r="G1198"/>
      <c r="H1198" s="242">
        <v>5000</v>
      </c>
      <c r="I1198" s="242">
        <v>5101</v>
      </c>
      <c r="J1198"/>
    </row>
    <row r="1199" spans="1:10" ht="15.75" customHeight="1">
      <c r="A1199" t="s">
        <v>2598</v>
      </c>
      <c r="B1199">
        <v>611100</v>
      </c>
      <c r="C1199">
        <v>1</v>
      </c>
      <c r="D1199" t="str">
        <f t="shared" si="18"/>
        <v>1611100.561</v>
      </c>
      <c r="E1199" t="s">
        <v>2599</v>
      </c>
      <c r="F1199" s="242"/>
      <c r="G1199"/>
      <c r="H1199" s="242">
        <v>17000</v>
      </c>
      <c r="I1199" s="242">
        <v>17045</v>
      </c>
      <c r="J1199"/>
    </row>
    <row r="1200" spans="1:10" ht="15.75" customHeight="1">
      <c r="A1200" t="s">
        <v>2600</v>
      </c>
      <c r="B1200">
        <v>611100</v>
      </c>
      <c r="C1200">
        <v>1</v>
      </c>
      <c r="D1200" t="str">
        <f t="shared" si="18"/>
        <v>1611100.580</v>
      </c>
      <c r="E1200" t="s">
        <v>2601</v>
      </c>
      <c r="F1200" s="242"/>
      <c r="G1200"/>
      <c r="H1200" s="242">
        <v>12500</v>
      </c>
      <c r="I1200" s="242">
        <v>12453</v>
      </c>
      <c r="J1200"/>
    </row>
    <row r="1201" spans="1:10" ht="15.75" customHeight="1">
      <c r="A1201" t="s">
        <v>2418</v>
      </c>
      <c r="B1201">
        <v>611100</v>
      </c>
      <c r="C1201">
        <v>1</v>
      </c>
      <c r="D1201" t="str">
        <f t="shared" si="18"/>
        <v>1611100.735</v>
      </c>
      <c r="E1201" t="s">
        <v>2602</v>
      </c>
      <c r="F1201" s="242"/>
      <c r="G1201"/>
      <c r="H1201" s="242">
        <v>250302</v>
      </c>
      <c r="I1201" s="242">
        <v>242271</v>
      </c>
      <c r="J1201"/>
    </row>
    <row r="1202" spans="1:10" ht="15.75" customHeight="1">
      <c r="A1202" t="s">
        <v>2603</v>
      </c>
      <c r="B1202">
        <v>611100</v>
      </c>
      <c r="C1202">
        <v>1</v>
      </c>
      <c r="D1202" t="str">
        <f t="shared" si="18"/>
        <v>1611100.759</v>
      </c>
      <c r="E1202" t="s">
        <v>2604</v>
      </c>
      <c r="F1202" s="242"/>
      <c r="G1202"/>
      <c r="H1202" s="242">
        <v>360000</v>
      </c>
      <c r="I1202" s="242">
        <v>0</v>
      </c>
      <c r="J1202"/>
    </row>
    <row r="1203" spans="1:10" ht="15.75" customHeight="1">
      <c r="A1203" t="s">
        <v>835</v>
      </c>
      <c r="B1203">
        <v>611100</v>
      </c>
      <c r="C1203">
        <v>1</v>
      </c>
      <c r="D1203" t="str">
        <f t="shared" si="18"/>
        <v>1611100.769</v>
      </c>
      <c r="E1203" t="s">
        <v>2605</v>
      </c>
      <c r="F1203" s="242"/>
      <c r="G1203"/>
      <c r="H1203" s="242">
        <v>38400</v>
      </c>
      <c r="I1203" s="242">
        <v>20046</v>
      </c>
      <c r="J1203"/>
    </row>
    <row r="1204" spans="1:10" ht="15.75" customHeight="1">
      <c r="A1204" t="s">
        <v>2575</v>
      </c>
      <c r="B1204">
        <v>611110</v>
      </c>
      <c r="C1204">
        <v>1</v>
      </c>
      <c r="D1204" t="str">
        <f t="shared" si="18"/>
        <v>1611110.130</v>
      </c>
      <c r="E1204" t="s">
        <v>2576</v>
      </c>
      <c r="F1204" s="242"/>
      <c r="G1204"/>
      <c r="H1204" s="242">
        <v>0</v>
      </c>
      <c r="I1204" s="242">
        <v>0</v>
      </c>
      <c r="J1204"/>
    </row>
    <row r="1205" spans="1:10" ht="15.75" customHeight="1">
      <c r="A1205" t="s">
        <v>2579</v>
      </c>
      <c r="B1205">
        <v>611110</v>
      </c>
      <c r="C1205">
        <v>1</v>
      </c>
      <c r="D1205" t="str">
        <f t="shared" si="18"/>
        <v>1611110.181</v>
      </c>
      <c r="E1205" t="s">
        <v>2580</v>
      </c>
      <c r="F1205" s="242"/>
      <c r="G1205"/>
      <c r="H1205" s="242">
        <v>0</v>
      </c>
      <c r="I1205" s="242">
        <v>0</v>
      </c>
      <c r="J1205"/>
    </row>
    <row r="1206" spans="1:10" ht="15.75" customHeight="1">
      <c r="A1206" t="s">
        <v>2581</v>
      </c>
      <c r="B1206">
        <v>611110</v>
      </c>
      <c r="C1206">
        <v>1</v>
      </c>
      <c r="D1206" t="str">
        <f t="shared" si="18"/>
        <v>1611110.182</v>
      </c>
      <c r="E1206" t="s">
        <v>2582</v>
      </c>
      <c r="F1206" s="242"/>
      <c r="G1206"/>
      <c r="H1206" s="242">
        <v>0</v>
      </c>
      <c r="I1206" s="242">
        <v>0</v>
      </c>
      <c r="J1206"/>
    </row>
    <row r="1207" spans="1:10" ht="15.75" customHeight="1">
      <c r="A1207" t="s">
        <v>2403</v>
      </c>
      <c r="B1207">
        <v>611200</v>
      </c>
      <c r="C1207">
        <v>1</v>
      </c>
      <c r="D1207" t="str">
        <f t="shared" si="18"/>
        <v>1611200.110</v>
      </c>
      <c r="E1207" t="s">
        <v>2573</v>
      </c>
      <c r="F1207" s="242"/>
      <c r="G1207"/>
      <c r="H1207" s="242">
        <v>65271</v>
      </c>
      <c r="I1207" s="242">
        <v>0</v>
      </c>
      <c r="J1207"/>
    </row>
    <row r="1208" spans="1:10" ht="15.75" customHeight="1">
      <c r="A1208" t="s">
        <v>2404</v>
      </c>
      <c r="B1208">
        <v>611200</v>
      </c>
      <c r="C1208">
        <v>1</v>
      </c>
      <c r="D1208" t="str">
        <f t="shared" si="18"/>
        <v>1611200.120</v>
      </c>
      <c r="E1208" t="s">
        <v>2574</v>
      </c>
      <c r="F1208" s="242"/>
      <c r="G1208"/>
      <c r="H1208" s="242">
        <v>3968</v>
      </c>
      <c r="I1208" s="242">
        <v>0</v>
      </c>
      <c r="J1208"/>
    </row>
    <row r="1209" spans="1:10" ht="15.75" customHeight="1">
      <c r="A1209" t="s">
        <v>2575</v>
      </c>
      <c r="B1209">
        <v>611200</v>
      </c>
      <c r="C1209">
        <v>1</v>
      </c>
      <c r="D1209" t="str">
        <f t="shared" si="18"/>
        <v>1611200.130</v>
      </c>
      <c r="E1209" t="s">
        <v>2576</v>
      </c>
      <c r="F1209" s="242"/>
      <c r="G1209"/>
      <c r="H1209" s="242">
        <v>1050</v>
      </c>
      <c r="I1209" s="242">
        <v>0</v>
      </c>
      <c r="J1209"/>
    </row>
    <row r="1210" spans="1:10" ht="15.75" customHeight="1">
      <c r="A1210" t="s">
        <v>2577</v>
      </c>
      <c r="B1210">
        <v>611200</v>
      </c>
      <c r="C1210">
        <v>1</v>
      </c>
      <c r="D1210" t="str">
        <f t="shared" si="18"/>
        <v>1611200.140</v>
      </c>
      <c r="E1210" t="s">
        <v>2578</v>
      </c>
      <c r="F1210" s="242"/>
      <c r="G1210"/>
      <c r="H1210" s="242">
        <v>7798</v>
      </c>
      <c r="I1210" s="242">
        <v>0</v>
      </c>
      <c r="J1210"/>
    </row>
    <row r="1211" spans="1:10" ht="15.75" customHeight="1">
      <c r="A1211" t="s">
        <v>2579</v>
      </c>
      <c r="B1211">
        <v>611200</v>
      </c>
      <c r="C1211">
        <v>1</v>
      </c>
      <c r="D1211" t="str">
        <f t="shared" si="18"/>
        <v>1611200.181</v>
      </c>
      <c r="E1211" t="s">
        <v>2580</v>
      </c>
      <c r="F1211" s="242"/>
      <c r="G1211"/>
      <c r="H1211" s="242">
        <v>11101</v>
      </c>
      <c r="I1211" s="242">
        <v>0</v>
      </c>
      <c r="J1211"/>
    </row>
    <row r="1212" spans="1:10" ht="15.75" customHeight="1">
      <c r="A1212" t="s">
        <v>2581</v>
      </c>
      <c r="B1212">
        <v>611200</v>
      </c>
      <c r="C1212">
        <v>1</v>
      </c>
      <c r="D1212" t="str">
        <f t="shared" si="18"/>
        <v>1611200.182</v>
      </c>
      <c r="E1212" t="s">
        <v>2582</v>
      </c>
      <c r="F1212" s="242"/>
      <c r="G1212"/>
      <c r="H1212" s="242">
        <v>6155</v>
      </c>
      <c r="I1212" s="242">
        <v>0</v>
      </c>
      <c r="J1212"/>
    </row>
    <row r="1213" spans="1:10" ht="15.75" customHeight="1">
      <c r="A1213" t="s">
        <v>2606</v>
      </c>
      <c r="B1213">
        <v>611200</v>
      </c>
      <c r="C1213">
        <v>1</v>
      </c>
      <c r="D1213" t="str">
        <f t="shared" si="18"/>
        <v>1611200.440</v>
      </c>
      <c r="E1213" t="s">
        <v>2607</v>
      </c>
      <c r="F1213" s="242"/>
      <c r="G1213"/>
      <c r="H1213" s="242">
        <v>22800</v>
      </c>
      <c r="I1213" s="242">
        <v>22034</v>
      </c>
      <c r="J1213"/>
    </row>
    <row r="1214" spans="1:10" ht="15.75" customHeight="1">
      <c r="A1214" t="s">
        <v>2286</v>
      </c>
      <c r="B1214">
        <v>611200</v>
      </c>
      <c r="C1214">
        <v>1</v>
      </c>
      <c r="D1214" t="str">
        <f t="shared" si="18"/>
        <v>1611200.511</v>
      </c>
      <c r="E1214" t="s">
        <v>2584</v>
      </c>
      <c r="F1214" s="242"/>
      <c r="G1214"/>
      <c r="H1214" s="242">
        <v>53000</v>
      </c>
      <c r="I1214" s="242">
        <v>35883</v>
      </c>
      <c r="J1214"/>
    </row>
    <row r="1215" spans="1:10" ht="15.75" customHeight="1">
      <c r="A1215" t="s">
        <v>2414</v>
      </c>
      <c r="B1215">
        <v>611200</v>
      </c>
      <c r="C1215">
        <v>1</v>
      </c>
      <c r="D1215" t="str">
        <f t="shared" si="18"/>
        <v>1611200.512</v>
      </c>
      <c r="E1215" t="s">
        <v>2585</v>
      </c>
      <c r="F1215" s="242"/>
      <c r="G1215"/>
      <c r="H1215" s="242">
        <v>1000</v>
      </c>
      <c r="I1215" s="242">
        <v>0</v>
      </c>
      <c r="J1215"/>
    </row>
    <row r="1216" spans="1:10" ht="15.75" customHeight="1">
      <c r="A1216" t="s">
        <v>2588</v>
      </c>
      <c r="B1216">
        <v>611200</v>
      </c>
      <c r="C1216">
        <v>1</v>
      </c>
      <c r="D1216" t="str">
        <f t="shared" si="18"/>
        <v>1611200.522</v>
      </c>
      <c r="E1216" t="s">
        <v>2608</v>
      </c>
      <c r="F1216" s="242"/>
      <c r="G1216"/>
      <c r="H1216" s="242">
        <v>6500</v>
      </c>
      <c r="I1216" s="242">
        <v>1080</v>
      </c>
      <c r="J1216"/>
    </row>
    <row r="1217" spans="1:10" ht="15.75" customHeight="1">
      <c r="A1217" t="s">
        <v>2594</v>
      </c>
      <c r="B1217">
        <v>611200</v>
      </c>
      <c r="C1217">
        <v>1</v>
      </c>
      <c r="D1217" t="str">
        <f t="shared" si="18"/>
        <v>1611200.540</v>
      </c>
      <c r="E1217" t="s">
        <v>2595</v>
      </c>
      <c r="F1217" s="242"/>
      <c r="G1217"/>
      <c r="H1217" s="242">
        <v>8000</v>
      </c>
      <c r="I1217" s="242">
        <v>4851</v>
      </c>
      <c r="J1217"/>
    </row>
    <row r="1218" spans="1:10" ht="15.75" customHeight="1">
      <c r="A1218" t="s">
        <v>2598</v>
      </c>
      <c r="B1218">
        <v>611200</v>
      </c>
      <c r="C1218">
        <v>1</v>
      </c>
      <c r="D1218" t="str">
        <f t="shared" si="18"/>
        <v>1611200.561</v>
      </c>
      <c r="E1218" t="s">
        <v>2599</v>
      </c>
      <c r="F1218" s="242"/>
      <c r="G1218"/>
      <c r="H1218" s="242">
        <v>21500</v>
      </c>
      <c r="I1218" s="242">
        <v>15008</v>
      </c>
      <c r="J1218"/>
    </row>
    <row r="1219" spans="1:10" ht="15.75" customHeight="1">
      <c r="A1219" t="s">
        <v>2600</v>
      </c>
      <c r="B1219">
        <v>611200</v>
      </c>
      <c r="C1219">
        <v>1</v>
      </c>
      <c r="D1219" t="str">
        <f t="shared" ref="D1219:D1282" si="19">C1219&amp;B1219&amp;"."&amp;A1219</f>
        <v>1611200.580</v>
      </c>
      <c r="E1219" t="s">
        <v>2601</v>
      </c>
      <c r="F1219" s="242"/>
      <c r="G1219"/>
      <c r="H1219" s="242">
        <v>6000</v>
      </c>
      <c r="I1219" s="242">
        <v>6198</v>
      </c>
      <c r="J1219"/>
    </row>
    <row r="1220" spans="1:10" ht="15.75" customHeight="1">
      <c r="A1220" t="s">
        <v>2609</v>
      </c>
      <c r="B1220">
        <v>611200</v>
      </c>
      <c r="C1220">
        <v>1</v>
      </c>
      <c r="D1220" t="str">
        <f t="shared" si="19"/>
        <v>1611200.710</v>
      </c>
      <c r="E1220" t="s">
        <v>2610</v>
      </c>
      <c r="F1220" s="242"/>
      <c r="G1220"/>
      <c r="H1220" s="242">
        <v>5000</v>
      </c>
      <c r="I1220" s="242">
        <v>0</v>
      </c>
      <c r="J1220"/>
    </row>
    <row r="1221" spans="1:10" ht="15.75" customHeight="1">
      <c r="A1221" t="s">
        <v>600</v>
      </c>
      <c r="B1221">
        <v>611200</v>
      </c>
      <c r="C1221">
        <v>1</v>
      </c>
      <c r="D1221" t="str">
        <f t="shared" si="19"/>
        <v>1611200.731</v>
      </c>
      <c r="E1221" t="s">
        <v>2593</v>
      </c>
      <c r="F1221" s="242"/>
      <c r="G1221"/>
      <c r="H1221" s="242">
        <v>13366</v>
      </c>
      <c r="I1221" s="242">
        <v>12680</v>
      </c>
      <c r="J1221"/>
    </row>
    <row r="1222" spans="1:10" ht="15.75" customHeight="1">
      <c r="A1222" t="s">
        <v>2418</v>
      </c>
      <c r="B1222">
        <v>611200</v>
      </c>
      <c r="C1222">
        <v>1</v>
      </c>
      <c r="D1222" t="str">
        <f t="shared" si="19"/>
        <v>1611200.735</v>
      </c>
      <c r="E1222" t="s">
        <v>2602</v>
      </c>
      <c r="F1222" s="242"/>
      <c r="G1222"/>
      <c r="H1222" s="242">
        <v>34100</v>
      </c>
      <c r="I1222" s="242">
        <v>32781</v>
      </c>
      <c r="J1222"/>
    </row>
    <row r="1223" spans="1:10" ht="15.75" customHeight="1">
      <c r="A1223" t="s">
        <v>2611</v>
      </c>
      <c r="B1223">
        <v>611200</v>
      </c>
      <c r="C1223">
        <v>1</v>
      </c>
      <c r="D1223" t="str">
        <f t="shared" si="19"/>
        <v>1611200.750</v>
      </c>
      <c r="E1223" t="s">
        <v>2612</v>
      </c>
      <c r="F1223" s="242"/>
      <c r="G1223"/>
      <c r="H1223" s="242">
        <v>71000</v>
      </c>
      <c r="I1223" s="242">
        <v>75490</v>
      </c>
      <c r="J1223"/>
    </row>
    <row r="1224" spans="1:10" ht="15.75" customHeight="1">
      <c r="A1224" t="s">
        <v>772</v>
      </c>
      <c r="B1224">
        <v>611200</v>
      </c>
      <c r="C1224">
        <v>1</v>
      </c>
      <c r="D1224" t="str">
        <f t="shared" si="19"/>
        <v>1611200.751</v>
      </c>
      <c r="E1224" t="s">
        <v>2613</v>
      </c>
      <c r="F1224" s="242"/>
      <c r="G1224"/>
      <c r="H1224" s="242">
        <v>80000</v>
      </c>
      <c r="I1224" s="242">
        <v>0</v>
      </c>
      <c r="J1224"/>
    </row>
    <row r="1225" spans="1:10" ht="15.75" customHeight="1">
      <c r="A1225" t="s">
        <v>2571</v>
      </c>
      <c r="B1225">
        <v>611300</v>
      </c>
      <c r="C1225">
        <v>1</v>
      </c>
      <c r="D1225" t="str">
        <f t="shared" si="19"/>
        <v>1611300.105</v>
      </c>
      <c r="E1225" t="s">
        <v>2572</v>
      </c>
      <c r="F1225" s="242"/>
      <c r="G1225"/>
      <c r="H1225" s="242">
        <v>0</v>
      </c>
      <c r="I1225" s="242">
        <v>1055</v>
      </c>
      <c r="J1225"/>
    </row>
    <row r="1226" spans="1:10" ht="15.75" customHeight="1">
      <c r="A1226" t="s">
        <v>2403</v>
      </c>
      <c r="B1226">
        <v>611300</v>
      </c>
      <c r="C1226">
        <v>1</v>
      </c>
      <c r="D1226" t="str">
        <f t="shared" si="19"/>
        <v>1611300.110</v>
      </c>
      <c r="E1226" t="s">
        <v>2573</v>
      </c>
      <c r="F1226" s="242"/>
      <c r="G1226"/>
      <c r="H1226" s="242">
        <v>855195</v>
      </c>
      <c r="I1226" s="242">
        <v>616397</v>
      </c>
      <c r="J1226"/>
    </row>
    <row r="1227" spans="1:10" ht="15.75" customHeight="1">
      <c r="A1227" t="s">
        <v>2404</v>
      </c>
      <c r="B1227">
        <v>611300</v>
      </c>
      <c r="C1227">
        <v>1</v>
      </c>
      <c r="D1227" t="str">
        <f t="shared" si="19"/>
        <v>1611300.120</v>
      </c>
      <c r="E1227" t="s">
        <v>2574</v>
      </c>
      <c r="F1227" s="242"/>
      <c r="G1227"/>
      <c r="H1227" s="242">
        <v>22814</v>
      </c>
      <c r="I1227" s="242">
        <v>22203</v>
      </c>
      <c r="J1227"/>
    </row>
    <row r="1228" spans="1:10" ht="15.75" customHeight="1">
      <c r="A1228" t="s">
        <v>2575</v>
      </c>
      <c r="B1228">
        <v>611300</v>
      </c>
      <c r="C1228">
        <v>1</v>
      </c>
      <c r="D1228" t="str">
        <f t="shared" si="19"/>
        <v>1611300.130</v>
      </c>
      <c r="E1228" t="s">
        <v>2576</v>
      </c>
      <c r="F1228" s="242"/>
      <c r="G1228"/>
      <c r="H1228" s="242">
        <v>14311</v>
      </c>
      <c r="I1228" s="242">
        <v>11506</v>
      </c>
      <c r="J1228"/>
    </row>
    <row r="1229" spans="1:10" ht="15.75" customHeight="1">
      <c r="A1229" t="s">
        <v>2577</v>
      </c>
      <c r="B1229">
        <v>611300</v>
      </c>
      <c r="C1229">
        <v>1</v>
      </c>
      <c r="D1229" t="str">
        <f t="shared" si="19"/>
        <v>1611300.140</v>
      </c>
      <c r="E1229" t="s">
        <v>2578</v>
      </c>
      <c r="F1229" s="242"/>
      <c r="G1229"/>
      <c r="H1229" s="242">
        <v>97357</v>
      </c>
      <c r="I1229" s="242">
        <v>102898</v>
      </c>
      <c r="J1229"/>
    </row>
    <row r="1230" spans="1:10" ht="15.75" customHeight="1">
      <c r="A1230" t="s">
        <v>2579</v>
      </c>
      <c r="B1230">
        <v>611300</v>
      </c>
      <c r="C1230">
        <v>1</v>
      </c>
      <c r="D1230" t="str">
        <f t="shared" si="19"/>
        <v>1611300.181</v>
      </c>
      <c r="E1230" t="s">
        <v>2580</v>
      </c>
      <c r="F1230" s="242"/>
      <c r="G1230"/>
      <c r="H1230" s="242">
        <v>131394</v>
      </c>
      <c r="I1230" s="242">
        <v>121946</v>
      </c>
      <c r="J1230"/>
    </row>
    <row r="1231" spans="1:10" ht="15.75" customHeight="1">
      <c r="A1231" t="s">
        <v>2581</v>
      </c>
      <c r="B1231">
        <v>611300</v>
      </c>
      <c r="C1231">
        <v>1</v>
      </c>
      <c r="D1231" t="str">
        <f t="shared" si="19"/>
        <v>1611300.182</v>
      </c>
      <c r="E1231" t="s">
        <v>2582</v>
      </c>
      <c r="F1231" s="242"/>
      <c r="G1231"/>
      <c r="H1231" s="242">
        <v>61306</v>
      </c>
      <c r="I1231" s="242">
        <v>57571</v>
      </c>
      <c r="J1231"/>
    </row>
    <row r="1232" spans="1:10" ht="15.75" customHeight="1">
      <c r="A1232" t="s">
        <v>2650</v>
      </c>
      <c r="B1232">
        <v>611300</v>
      </c>
      <c r="C1232">
        <v>1</v>
      </c>
      <c r="D1232" t="str">
        <f t="shared" si="19"/>
        <v>1611300.288</v>
      </c>
      <c r="E1232" t="s">
        <v>2651</v>
      </c>
      <c r="F1232" s="242"/>
      <c r="G1232"/>
      <c r="H1232" s="242">
        <v>160000</v>
      </c>
      <c r="I1232" s="242">
        <v>151279</v>
      </c>
      <c r="J1232"/>
    </row>
    <row r="1233" spans="1:10" ht="15.75" customHeight="1">
      <c r="A1233" t="s">
        <v>2411</v>
      </c>
      <c r="B1233">
        <v>611300</v>
      </c>
      <c r="C1233">
        <v>1</v>
      </c>
      <c r="D1233" t="str">
        <f t="shared" si="19"/>
        <v>1611300.470</v>
      </c>
      <c r="E1233" t="s">
        <v>2660</v>
      </c>
      <c r="F1233" s="242"/>
      <c r="G1233"/>
      <c r="H1233" s="242">
        <v>5000</v>
      </c>
      <c r="I1233" s="242">
        <v>3812</v>
      </c>
      <c r="J1233"/>
    </row>
    <row r="1234" spans="1:10" ht="15.75" customHeight="1">
      <c r="A1234" t="s">
        <v>2286</v>
      </c>
      <c r="B1234">
        <v>611300</v>
      </c>
      <c r="C1234">
        <v>1</v>
      </c>
      <c r="D1234" t="str">
        <f t="shared" si="19"/>
        <v>1611300.511</v>
      </c>
      <c r="E1234" t="s">
        <v>2584</v>
      </c>
      <c r="F1234" s="242"/>
      <c r="G1234"/>
      <c r="H1234" s="242">
        <v>6000</v>
      </c>
      <c r="I1234" s="242">
        <v>4841</v>
      </c>
      <c r="J1234"/>
    </row>
    <row r="1235" spans="1:10" ht="15.75" customHeight="1">
      <c r="A1235" t="s">
        <v>2414</v>
      </c>
      <c r="B1235">
        <v>611300</v>
      </c>
      <c r="C1235">
        <v>1</v>
      </c>
      <c r="D1235" t="str">
        <f t="shared" si="19"/>
        <v>1611300.512</v>
      </c>
      <c r="E1235" t="s">
        <v>2733</v>
      </c>
      <c r="F1235" s="242"/>
      <c r="G1235"/>
      <c r="H1235" s="242">
        <v>1000</v>
      </c>
      <c r="I1235" s="242">
        <v>0</v>
      </c>
      <c r="J1235"/>
    </row>
    <row r="1236" spans="1:10" ht="15.75" customHeight="1">
      <c r="A1236" t="s">
        <v>2644</v>
      </c>
      <c r="B1236">
        <v>611300</v>
      </c>
      <c r="C1236">
        <v>1</v>
      </c>
      <c r="D1236" t="str">
        <f t="shared" si="19"/>
        <v>1611300.521</v>
      </c>
      <c r="E1236" t="s">
        <v>2734</v>
      </c>
      <c r="F1236" s="242"/>
      <c r="G1236"/>
      <c r="H1236" s="242">
        <v>36000</v>
      </c>
      <c r="I1236" s="242">
        <v>15015</v>
      </c>
      <c r="J1236"/>
    </row>
    <row r="1237" spans="1:10" ht="15.75" customHeight="1">
      <c r="A1237" t="s">
        <v>2588</v>
      </c>
      <c r="B1237">
        <v>611300</v>
      </c>
      <c r="C1237">
        <v>1</v>
      </c>
      <c r="D1237" t="str">
        <f t="shared" si="19"/>
        <v>1611300.522</v>
      </c>
      <c r="E1237" t="s">
        <v>2608</v>
      </c>
      <c r="F1237" s="242"/>
      <c r="G1237"/>
      <c r="H1237" s="242">
        <v>1000</v>
      </c>
      <c r="I1237" s="242">
        <v>540</v>
      </c>
      <c r="J1237"/>
    </row>
    <row r="1238" spans="1:10" ht="15.75" customHeight="1">
      <c r="A1238" t="s">
        <v>2594</v>
      </c>
      <c r="B1238">
        <v>611300</v>
      </c>
      <c r="C1238">
        <v>1</v>
      </c>
      <c r="D1238" t="str">
        <f t="shared" si="19"/>
        <v>1611300.540</v>
      </c>
      <c r="E1238" t="s">
        <v>2595</v>
      </c>
      <c r="F1238" s="242"/>
      <c r="G1238"/>
      <c r="H1238" s="242">
        <v>22000</v>
      </c>
      <c r="I1238" s="242">
        <v>8598</v>
      </c>
      <c r="J1238"/>
    </row>
    <row r="1239" spans="1:10" ht="15.75" customHeight="1">
      <c r="A1239" t="s">
        <v>2596</v>
      </c>
      <c r="B1239">
        <v>611300</v>
      </c>
      <c r="C1239">
        <v>1</v>
      </c>
      <c r="D1239" t="str">
        <f t="shared" si="19"/>
        <v>1611300.550</v>
      </c>
      <c r="E1239" t="s">
        <v>2597</v>
      </c>
      <c r="F1239" s="242"/>
      <c r="G1239"/>
      <c r="H1239" s="242">
        <v>5000</v>
      </c>
      <c r="I1239" s="242">
        <v>4599</v>
      </c>
      <c r="J1239"/>
    </row>
    <row r="1240" spans="1:10" ht="15.75" customHeight="1">
      <c r="A1240" t="s">
        <v>2598</v>
      </c>
      <c r="B1240">
        <v>611300</v>
      </c>
      <c r="C1240">
        <v>1</v>
      </c>
      <c r="D1240" t="str">
        <f t="shared" si="19"/>
        <v>1611300.561</v>
      </c>
      <c r="E1240" t="s">
        <v>2599</v>
      </c>
      <c r="F1240" s="242"/>
      <c r="G1240"/>
      <c r="H1240" s="242">
        <v>7500</v>
      </c>
      <c r="I1240" s="242">
        <v>8934</v>
      </c>
      <c r="J1240"/>
    </row>
    <row r="1241" spans="1:10" ht="15.75" customHeight="1">
      <c r="A1241" t="s">
        <v>2647</v>
      </c>
      <c r="B1241">
        <v>611300</v>
      </c>
      <c r="C1241">
        <v>1</v>
      </c>
      <c r="D1241" t="str">
        <f t="shared" si="19"/>
        <v>1611300.574</v>
      </c>
      <c r="E1241" t="s">
        <v>2648</v>
      </c>
      <c r="F1241" s="242"/>
      <c r="G1241"/>
      <c r="H1241" s="242">
        <v>29200</v>
      </c>
      <c r="I1241" s="242">
        <v>28698</v>
      </c>
      <c r="J1241"/>
    </row>
    <row r="1242" spans="1:10" ht="15.75" customHeight="1">
      <c r="A1242" t="s">
        <v>2620</v>
      </c>
      <c r="B1242">
        <v>611300</v>
      </c>
      <c r="C1242">
        <v>1</v>
      </c>
      <c r="D1242" t="str">
        <f t="shared" si="19"/>
        <v>1611300.575</v>
      </c>
      <c r="E1242" t="s">
        <v>2628</v>
      </c>
      <c r="F1242" s="242"/>
      <c r="G1242"/>
      <c r="H1242" s="242">
        <v>77734</v>
      </c>
      <c r="I1242" s="242">
        <v>43487</v>
      </c>
      <c r="J1242"/>
    </row>
    <row r="1243" spans="1:10" ht="15.75" customHeight="1">
      <c r="A1243" t="s">
        <v>2735</v>
      </c>
      <c r="B1243">
        <v>611300</v>
      </c>
      <c r="C1243">
        <v>1</v>
      </c>
      <c r="D1243" t="str">
        <f t="shared" si="19"/>
        <v>1611300.576</v>
      </c>
      <c r="E1243" t="s">
        <v>2736</v>
      </c>
      <c r="F1243" s="242"/>
      <c r="G1243"/>
      <c r="H1243" s="242">
        <v>0</v>
      </c>
      <c r="I1243" s="242">
        <v>0</v>
      </c>
      <c r="J1243"/>
    </row>
    <row r="1244" spans="1:10" ht="15.75" customHeight="1">
      <c r="A1244" t="s">
        <v>2700</v>
      </c>
      <c r="B1244">
        <v>611300</v>
      </c>
      <c r="C1244">
        <v>1</v>
      </c>
      <c r="D1244" t="str">
        <f t="shared" si="19"/>
        <v>1611300.579</v>
      </c>
      <c r="E1244" t="s">
        <v>2737</v>
      </c>
      <c r="F1244" s="242"/>
      <c r="G1244"/>
      <c r="H1244" s="242">
        <v>9000</v>
      </c>
      <c r="I1244" s="242">
        <v>2472</v>
      </c>
      <c r="J1244"/>
    </row>
    <row r="1245" spans="1:10" ht="15.75" customHeight="1">
      <c r="A1245" t="s">
        <v>2600</v>
      </c>
      <c r="B1245">
        <v>611300</v>
      </c>
      <c r="C1245">
        <v>1</v>
      </c>
      <c r="D1245" t="str">
        <f t="shared" si="19"/>
        <v>1611300.580</v>
      </c>
      <c r="E1245" t="s">
        <v>2601</v>
      </c>
      <c r="F1245" s="242"/>
      <c r="G1245"/>
      <c r="H1245" s="242">
        <v>4500</v>
      </c>
      <c r="I1245" s="242">
        <v>3900</v>
      </c>
      <c r="J1245"/>
    </row>
    <row r="1246" spans="1:10" ht="15.75" customHeight="1">
      <c r="A1246" t="s">
        <v>600</v>
      </c>
      <c r="B1246">
        <v>611300</v>
      </c>
      <c r="C1246">
        <v>1</v>
      </c>
      <c r="D1246" t="str">
        <f t="shared" si="19"/>
        <v>1611300.731</v>
      </c>
      <c r="E1246" t="s">
        <v>2593</v>
      </c>
      <c r="F1246" s="242"/>
      <c r="G1246"/>
      <c r="H1246" s="242">
        <v>0</v>
      </c>
      <c r="I1246" s="242">
        <v>0</v>
      </c>
      <c r="J1246"/>
    </row>
    <row r="1247" spans="1:10" ht="15.75" customHeight="1">
      <c r="A1247" t="s">
        <v>2418</v>
      </c>
      <c r="B1247">
        <v>611300</v>
      </c>
      <c r="C1247">
        <v>1</v>
      </c>
      <c r="D1247" t="str">
        <f t="shared" si="19"/>
        <v>1611300.735</v>
      </c>
      <c r="E1247" t="s">
        <v>2602</v>
      </c>
      <c r="F1247" s="242"/>
      <c r="G1247"/>
      <c r="H1247" s="242">
        <v>0</v>
      </c>
      <c r="I1247" s="242">
        <v>0</v>
      </c>
      <c r="J1247"/>
    </row>
    <row r="1248" spans="1:10" ht="15.75" customHeight="1">
      <c r="A1248" t="s">
        <v>673</v>
      </c>
      <c r="B1248">
        <v>611300</v>
      </c>
      <c r="C1248">
        <v>1</v>
      </c>
      <c r="D1248" t="str">
        <f t="shared" si="19"/>
        <v>1611300.743</v>
      </c>
      <c r="E1248" t="s">
        <v>2622</v>
      </c>
      <c r="F1248" s="242"/>
      <c r="G1248"/>
      <c r="H1248" s="242">
        <v>9000</v>
      </c>
      <c r="I1248" s="242">
        <v>3071</v>
      </c>
      <c r="J1248"/>
    </row>
    <row r="1249" spans="1:10" ht="15.75" customHeight="1">
      <c r="A1249" t="s">
        <v>2611</v>
      </c>
      <c r="B1249">
        <v>611300</v>
      </c>
      <c r="C1249">
        <v>1</v>
      </c>
      <c r="D1249" t="str">
        <f t="shared" si="19"/>
        <v>1611300.750</v>
      </c>
      <c r="E1249" t="s">
        <v>2707</v>
      </c>
      <c r="F1249" s="242"/>
      <c r="G1249"/>
      <c r="H1249" s="242">
        <v>8000</v>
      </c>
      <c r="I1249" s="242">
        <v>7484</v>
      </c>
      <c r="J1249"/>
    </row>
    <row r="1250" spans="1:10" ht="15.75" customHeight="1">
      <c r="A1250" t="s">
        <v>772</v>
      </c>
      <c r="B1250">
        <v>611300</v>
      </c>
      <c r="C1250">
        <v>1</v>
      </c>
      <c r="D1250" t="str">
        <f t="shared" si="19"/>
        <v>1611300.751</v>
      </c>
      <c r="E1250" t="s">
        <v>2738</v>
      </c>
      <c r="F1250" s="242"/>
      <c r="G1250"/>
      <c r="H1250" s="242">
        <v>10000</v>
      </c>
      <c r="I1250" s="242">
        <v>2524</v>
      </c>
      <c r="J1250"/>
    </row>
    <row r="1251" spans="1:10" ht="15.75" customHeight="1">
      <c r="A1251" t="s">
        <v>781</v>
      </c>
      <c r="B1251">
        <v>611300</v>
      </c>
      <c r="C1251">
        <v>1</v>
      </c>
      <c r="D1251" t="str">
        <f t="shared" si="19"/>
        <v>1611300.753</v>
      </c>
      <c r="E1251" t="s">
        <v>2739</v>
      </c>
      <c r="F1251" s="242"/>
      <c r="G1251"/>
      <c r="H1251" s="242">
        <v>20000</v>
      </c>
      <c r="I1251" s="242">
        <v>27855</v>
      </c>
      <c r="J1251"/>
    </row>
    <row r="1252" spans="1:10" ht="15.75" customHeight="1">
      <c r="A1252" t="s">
        <v>835</v>
      </c>
      <c r="B1252">
        <v>611300</v>
      </c>
      <c r="C1252">
        <v>1</v>
      </c>
      <c r="D1252" t="str">
        <f t="shared" si="19"/>
        <v>1611300.769</v>
      </c>
      <c r="E1252" t="s">
        <v>2605</v>
      </c>
      <c r="F1252" s="242"/>
      <c r="G1252"/>
      <c r="H1252" s="242">
        <v>19200</v>
      </c>
      <c r="I1252" s="242">
        <v>3066</v>
      </c>
      <c r="J1252"/>
    </row>
    <row r="1253" spans="1:10" ht="15.75" customHeight="1">
      <c r="A1253" t="s">
        <v>2632</v>
      </c>
      <c r="B1253">
        <v>611300</v>
      </c>
      <c r="C1253">
        <v>1</v>
      </c>
      <c r="D1253" t="str">
        <f t="shared" si="19"/>
        <v>1611300.780</v>
      </c>
      <c r="E1253" t="s">
        <v>2675</v>
      </c>
      <c r="F1253" s="242"/>
      <c r="G1253"/>
      <c r="H1253" s="242">
        <v>9500</v>
      </c>
      <c r="I1253" s="242">
        <v>9535</v>
      </c>
      <c r="J1253"/>
    </row>
    <row r="1254" spans="1:10" ht="15.75" customHeight="1">
      <c r="A1254" t="s">
        <v>2740</v>
      </c>
      <c r="B1254">
        <v>611300</v>
      </c>
      <c r="C1254">
        <v>1</v>
      </c>
      <c r="D1254" t="str">
        <f t="shared" si="19"/>
        <v>1611300.930</v>
      </c>
      <c r="E1254" t="s">
        <v>2741</v>
      </c>
      <c r="F1254" s="242"/>
      <c r="G1254"/>
      <c r="H1254" s="242">
        <v>0</v>
      </c>
      <c r="I1254" s="242">
        <v>15692</v>
      </c>
      <c r="J1254"/>
    </row>
    <row r="1255" spans="1:10" ht="15.75" customHeight="1">
      <c r="A1255" t="s">
        <v>2691</v>
      </c>
      <c r="B1255">
        <v>611300</v>
      </c>
      <c r="C1255">
        <v>1</v>
      </c>
      <c r="D1255" t="str">
        <f t="shared" si="19"/>
        <v>1611300.986</v>
      </c>
      <c r="E1255" t="s">
        <v>2742</v>
      </c>
      <c r="F1255" s="242"/>
      <c r="G1255"/>
      <c r="H1255" s="242">
        <v>0</v>
      </c>
      <c r="I1255" s="242">
        <v>0</v>
      </c>
      <c r="J1255"/>
    </row>
    <row r="1256" spans="1:10" ht="15.75" customHeight="1">
      <c r="A1256" t="s">
        <v>2594</v>
      </c>
      <c r="B1256">
        <v>611310</v>
      </c>
      <c r="C1256">
        <v>1</v>
      </c>
      <c r="D1256" t="str">
        <f t="shared" si="19"/>
        <v>1611310.540</v>
      </c>
      <c r="E1256" t="s">
        <v>2743</v>
      </c>
      <c r="F1256" s="242"/>
      <c r="G1256"/>
      <c r="H1256" s="242">
        <v>0</v>
      </c>
      <c r="I1256" s="242">
        <v>0</v>
      </c>
      <c r="J1256"/>
    </row>
    <row r="1257" spans="1:10" ht="15.75" customHeight="1">
      <c r="A1257" t="s">
        <v>2571</v>
      </c>
      <c r="B1257">
        <v>611400</v>
      </c>
      <c r="C1257">
        <v>1</v>
      </c>
      <c r="D1257" t="str">
        <f t="shared" si="19"/>
        <v>1611400.105</v>
      </c>
      <c r="E1257" t="s">
        <v>2572</v>
      </c>
      <c r="F1257" s="242"/>
      <c r="G1257"/>
      <c r="H1257" s="242">
        <v>0</v>
      </c>
      <c r="I1257" s="242">
        <v>8031</v>
      </c>
      <c r="J1257"/>
    </row>
    <row r="1258" spans="1:10" ht="15.75" customHeight="1">
      <c r="A1258" t="s">
        <v>2403</v>
      </c>
      <c r="B1258">
        <v>611400</v>
      </c>
      <c r="C1258">
        <v>1</v>
      </c>
      <c r="D1258" t="str">
        <f t="shared" si="19"/>
        <v>1611400.110</v>
      </c>
      <c r="E1258" t="s">
        <v>2573</v>
      </c>
      <c r="F1258" s="242"/>
      <c r="G1258"/>
      <c r="H1258" s="242">
        <v>257540</v>
      </c>
      <c r="I1258" s="242">
        <v>245386</v>
      </c>
      <c r="J1258"/>
    </row>
    <row r="1259" spans="1:10" ht="15.75" customHeight="1">
      <c r="A1259" t="s">
        <v>2404</v>
      </c>
      <c r="B1259">
        <v>611400</v>
      </c>
      <c r="C1259">
        <v>1</v>
      </c>
      <c r="D1259" t="str">
        <f t="shared" si="19"/>
        <v>1611400.120</v>
      </c>
      <c r="E1259" t="s">
        <v>2574</v>
      </c>
      <c r="F1259" s="242"/>
      <c r="G1259"/>
      <c r="H1259" s="242">
        <v>24642</v>
      </c>
      <c r="I1259" s="242">
        <v>23381</v>
      </c>
      <c r="J1259"/>
    </row>
    <row r="1260" spans="1:10" ht="15.75" customHeight="1">
      <c r="A1260" t="s">
        <v>2577</v>
      </c>
      <c r="B1260">
        <v>611400</v>
      </c>
      <c r="C1260">
        <v>1</v>
      </c>
      <c r="D1260" t="str">
        <f t="shared" si="19"/>
        <v>1611400.140</v>
      </c>
      <c r="E1260" t="s">
        <v>2578</v>
      </c>
      <c r="F1260" s="242"/>
      <c r="G1260"/>
      <c r="H1260" s="242">
        <v>55952</v>
      </c>
      <c r="I1260" s="242">
        <v>44044</v>
      </c>
      <c r="J1260"/>
    </row>
    <row r="1261" spans="1:10" ht="15.75" customHeight="1">
      <c r="A1261" t="s">
        <v>2579</v>
      </c>
      <c r="B1261">
        <v>611400</v>
      </c>
      <c r="C1261">
        <v>1</v>
      </c>
      <c r="D1261" t="str">
        <f t="shared" si="19"/>
        <v>1611400.181</v>
      </c>
      <c r="E1261" t="s">
        <v>2580</v>
      </c>
      <c r="F1261" s="242"/>
      <c r="G1261"/>
      <c r="H1261" s="242">
        <v>57441</v>
      </c>
      <c r="I1261" s="242">
        <v>52630</v>
      </c>
      <c r="J1261"/>
    </row>
    <row r="1262" spans="1:10" ht="15.75" customHeight="1">
      <c r="A1262" t="s">
        <v>2581</v>
      </c>
      <c r="B1262">
        <v>611400</v>
      </c>
      <c r="C1262">
        <v>1</v>
      </c>
      <c r="D1262" t="str">
        <f t="shared" si="19"/>
        <v>1611400.182</v>
      </c>
      <c r="E1262" t="s">
        <v>2582</v>
      </c>
      <c r="F1262" s="242"/>
      <c r="G1262"/>
      <c r="H1262" s="242">
        <v>26374</v>
      </c>
      <c r="I1262" s="242">
        <v>24351</v>
      </c>
      <c r="J1262"/>
    </row>
    <row r="1263" spans="1:10" ht="15.75" customHeight="1">
      <c r="A1263" t="s">
        <v>2286</v>
      </c>
      <c r="B1263">
        <v>611400</v>
      </c>
      <c r="C1263">
        <v>1</v>
      </c>
      <c r="D1263" t="str">
        <f t="shared" si="19"/>
        <v>1611400.511</v>
      </c>
      <c r="E1263" t="s">
        <v>2584</v>
      </c>
      <c r="F1263" s="242"/>
      <c r="G1263"/>
      <c r="H1263" s="242">
        <v>8000</v>
      </c>
      <c r="I1263" s="242">
        <v>6492</v>
      </c>
      <c r="J1263"/>
    </row>
    <row r="1264" spans="1:10" ht="15.75" customHeight="1">
      <c r="A1264" t="s">
        <v>2414</v>
      </c>
      <c r="B1264">
        <v>611400</v>
      </c>
      <c r="C1264">
        <v>1</v>
      </c>
      <c r="D1264" t="str">
        <f t="shared" si="19"/>
        <v>1611400.512</v>
      </c>
      <c r="E1264" t="s">
        <v>2585</v>
      </c>
      <c r="F1264" s="242"/>
      <c r="G1264"/>
      <c r="H1264" s="242">
        <v>1000</v>
      </c>
      <c r="I1264" s="242">
        <v>0</v>
      </c>
      <c r="J1264"/>
    </row>
    <row r="1265" spans="1:10" ht="15.75" customHeight="1">
      <c r="A1265" t="s">
        <v>2590</v>
      </c>
      <c r="B1265">
        <v>611400</v>
      </c>
      <c r="C1265">
        <v>1</v>
      </c>
      <c r="D1265" t="str">
        <f t="shared" si="19"/>
        <v>1611400.523</v>
      </c>
      <c r="E1265" t="s">
        <v>2615</v>
      </c>
      <c r="F1265" s="242"/>
      <c r="G1265"/>
      <c r="H1265" s="242">
        <v>400</v>
      </c>
      <c r="I1265" s="242">
        <v>350</v>
      </c>
      <c r="J1265"/>
    </row>
    <row r="1266" spans="1:10" ht="15.75" customHeight="1">
      <c r="A1266" t="s">
        <v>2594</v>
      </c>
      <c r="B1266">
        <v>611400</v>
      </c>
      <c r="C1266">
        <v>1</v>
      </c>
      <c r="D1266" t="str">
        <f t="shared" si="19"/>
        <v>1611400.540</v>
      </c>
      <c r="E1266" t="s">
        <v>2595</v>
      </c>
      <c r="F1266" s="242"/>
      <c r="G1266"/>
      <c r="H1266" s="242">
        <v>8000</v>
      </c>
      <c r="I1266" s="242">
        <v>5700</v>
      </c>
      <c r="J1266"/>
    </row>
    <row r="1267" spans="1:10" ht="15.75" customHeight="1">
      <c r="A1267" t="s">
        <v>2596</v>
      </c>
      <c r="B1267">
        <v>611400</v>
      </c>
      <c r="C1267">
        <v>1</v>
      </c>
      <c r="D1267" t="str">
        <f t="shared" si="19"/>
        <v>1611400.550</v>
      </c>
      <c r="E1267" t="s">
        <v>2597</v>
      </c>
      <c r="F1267" s="242"/>
      <c r="G1267"/>
      <c r="H1267" s="242">
        <v>14000</v>
      </c>
      <c r="I1267" s="242">
        <v>10578</v>
      </c>
      <c r="J1267"/>
    </row>
    <row r="1268" spans="1:10" ht="15.75" customHeight="1">
      <c r="A1268" t="s">
        <v>2609</v>
      </c>
      <c r="B1268">
        <v>611400</v>
      </c>
      <c r="C1268">
        <v>1</v>
      </c>
      <c r="D1268" t="str">
        <f t="shared" si="19"/>
        <v>1611400.710</v>
      </c>
      <c r="E1268" t="s">
        <v>2638</v>
      </c>
      <c r="F1268" s="242"/>
      <c r="G1268"/>
      <c r="H1268" s="242">
        <v>7000</v>
      </c>
      <c r="I1268" s="242">
        <v>1400</v>
      </c>
      <c r="J1268"/>
    </row>
    <row r="1269" spans="1:10" ht="15.75" customHeight="1">
      <c r="A1269" t="s">
        <v>835</v>
      </c>
      <c r="B1269">
        <v>611400</v>
      </c>
      <c r="C1269">
        <v>1</v>
      </c>
      <c r="D1269" t="str">
        <f t="shared" si="19"/>
        <v>1611400.769</v>
      </c>
      <c r="E1269" t="s">
        <v>2605</v>
      </c>
      <c r="F1269" s="242"/>
      <c r="G1269"/>
      <c r="H1269" s="242">
        <v>19200</v>
      </c>
      <c r="I1269" s="242">
        <v>5991</v>
      </c>
      <c r="J1269"/>
    </row>
    <row r="1270" spans="1:10" ht="15.75" customHeight="1">
      <c r="A1270" t="s">
        <v>2632</v>
      </c>
      <c r="B1270">
        <v>611400</v>
      </c>
      <c r="C1270">
        <v>1</v>
      </c>
      <c r="D1270" t="str">
        <f t="shared" si="19"/>
        <v>1611400.780</v>
      </c>
      <c r="E1270" t="s">
        <v>2639</v>
      </c>
      <c r="F1270" s="242"/>
      <c r="G1270"/>
      <c r="H1270" s="242">
        <v>102500</v>
      </c>
      <c r="I1270" s="242">
        <v>110718</v>
      </c>
      <c r="J1270"/>
    </row>
    <row r="1271" spans="1:10" ht="15.75" customHeight="1">
      <c r="A1271" t="s">
        <v>872</v>
      </c>
      <c r="B1271">
        <v>611400</v>
      </c>
      <c r="C1271">
        <v>1</v>
      </c>
      <c r="D1271" t="str">
        <f t="shared" si="19"/>
        <v>1611400.781</v>
      </c>
      <c r="E1271" t="s">
        <v>2640</v>
      </c>
      <c r="F1271" s="242"/>
      <c r="G1271"/>
      <c r="H1271" s="242">
        <v>0</v>
      </c>
      <c r="I1271" s="242">
        <v>0</v>
      </c>
      <c r="J1271"/>
    </row>
    <row r="1272" spans="1:10" ht="15.75" customHeight="1">
      <c r="A1272" t="s">
        <v>2571</v>
      </c>
      <c r="B1272">
        <v>611500</v>
      </c>
      <c r="C1272">
        <v>1</v>
      </c>
      <c r="D1272" t="str">
        <f t="shared" si="19"/>
        <v>1611500.105</v>
      </c>
      <c r="E1272" t="s">
        <v>2572</v>
      </c>
      <c r="F1272" s="242"/>
      <c r="G1272"/>
      <c r="H1272" s="242">
        <v>0</v>
      </c>
      <c r="I1272" s="242">
        <v>60431</v>
      </c>
      <c r="J1272"/>
    </row>
    <row r="1273" spans="1:10" ht="15.75" customHeight="1">
      <c r="A1273" t="s">
        <v>2403</v>
      </c>
      <c r="B1273">
        <v>611500</v>
      </c>
      <c r="C1273">
        <v>1</v>
      </c>
      <c r="D1273" t="str">
        <f t="shared" si="19"/>
        <v>1611500.110</v>
      </c>
      <c r="E1273" t="s">
        <v>2573</v>
      </c>
      <c r="F1273" s="242"/>
      <c r="G1273"/>
      <c r="H1273" s="242">
        <v>321481</v>
      </c>
      <c r="I1273" s="242">
        <v>330930</v>
      </c>
      <c r="J1273"/>
    </row>
    <row r="1274" spans="1:10" ht="15.75" customHeight="1">
      <c r="A1274" t="s">
        <v>2404</v>
      </c>
      <c r="B1274">
        <v>611500</v>
      </c>
      <c r="C1274">
        <v>1</v>
      </c>
      <c r="D1274" t="str">
        <f t="shared" si="19"/>
        <v>1611500.120</v>
      </c>
      <c r="E1274" t="s">
        <v>2574</v>
      </c>
      <c r="F1274" s="242"/>
      <c r="G1274"/>
      <c r="H1274" s="242">
        <v>10993</v>
      </c>
      <c r="I1274" s="242">
        <v>9919</v>
      </c>
      <c r="J1274"/>
    </row>
    <row r="1275" spans="1:10" ht="15.75" customHeight="1">
      <c r="A1275" t="s">
        <v>2575</v>
      </c>
      <c r="B1275">
        <v>611500</v>
      </c>
      <c r="C1275">
        <v>1</v>
      </c>
      <c r="D1275" t="str">
        <f t="shared" si="19"/>
        <v>1611500.130</v>
      </c>
      <c r="E1275" t="s">
        <v>2576</v>
      </c>
      <c r="F1275" s="242"/>
      <c r="G1275"/>
      <c r="H1275" s="242">
        <v>2381</v>
      </c>
      <c r="I1275" s="242">
        <v>1795</v>
      </c>
      <c r="J1275"/>
    </row>
    <row r="1276" spans="1:10" ht="15.75" customHeight="1">
      <c r="A1276" t="s">
        <v>2577</v>
      </c>
      <c r="B1276">
        <v>611500</v>
      </c>
      <c r="C1276">
        <v>1</v>
      </c>
      <c r="D1276" t="str">
        <f t="shared" si="19"/>
        <v>1611500.140</v>
      </c>
      <c r="E1276" t="s">
        <v>2578</v>
      </c>
      <c r="F1276" s="242"/>
      <c r="G1276"/>
      <c r="H1276" s="242">
        <v>61681</v>
      </c>
      <c r="I1276" s="242">
        <v>52372</v>
      </c>
      <c r="J1276"/>
    </row>
    <row r="1277" spans="1:10" ht="15.75" customHeight="1">
      <c r="A1277" t="s">
        <v>2579</v>
      </c>
      <c r="B1277">
        <v>611500</v>
      </c>
      <c r="C1277">
        <v>1</v>
      </c>
      <c r="D1277" t="str">
        <f t="shared" si="19"/>
        <v>1611500.181</v>
      </c>
      <c r="E1277" t="s">
        <v>2580</v>
      </c>
      <c r="F1277" s="242"/>
      <c r="G1277"/>
      <c r="H1277" s="242">
        <v>97957</v>
      </c>
      <c r="I1277" s="242">
        <v>87286</v>
      </c>
      <c r="J1277"/>
    </row>
    <row r="1278" spans="1:10" ht="15.75" customHeight="1">
      <c r="A1278" t="s">
        <v>2581</v>
      </c>
      <c r="B1278">
        <v>611500</v>
      </c>
      <c r="C1278">
        <v>1</v>
      </c>
      <c r="D1278" t="str">
        <f t="shared" si="19"/>
        <v>1611500.182</v>
      </c>
      <c r="E1278" t="s">
        <v>2582</v>
      </c>
      <c r="F1278" s="242"/>
      <c r="G1278"/>
      <c r="H1278" s="242">
        <v>33320</v>
      </c>
      <c r="I1278" s="242">
        <v>29856</v>
      </c>
      <c r="J1278"/>
    </row>
    <row r="1279" spans="1:10" ht="15.75" customHeight="1">
      <c r="A1279" t="s">
        <v>2600</v>
      </c>
      <c r="B1279">
        <v>611500</v>
      </c>
      <c r="C1279">
        <v>1</v>
      </c>
      <c r="D1279" t="str">
        <f t="shared" si="19"/>
        <v>1611500.580</v>
      </c>
      <c r="E1279" t="s">
        <v>2601</v>
      </c>
      <c r="F1279" s="242"/>
      <c r="G1279"/>
      <c r="H1279" s="242">
        <v>4500</v>
      </c>
      <c r="I1279" s="242">
        <v>4599</v>
      </c>
      <c r="J1279"/>
    </row>
    <row r="1280" spans="1:10" ht="15.75" customHeight="1">
      <c r="A1280" t="s">
        <v>673</v>
      </c>
      <c r="B1280">
        <v>611500</v>
      </c>
      <c r="C1280">
        <v>1</v>
      </c>
      <c r="D1280" t="str">
        <f t="shared" si="19"/>
        <v>1611500.743</v>
      </c>
      <c r="E1280" t="s">
        <v>2622</v>
      </c>
      <c r="F1280" s="242"/>
      <c r="G1280"/>
      <c r="H1280" s="242">
        <v>10000</v>
      </c>
      <c r="I1280" s="242">
        <v>10000</v>
      </c>
      <c r="J1280"/>
    </row>
    <row r="1281" spans="1:10" ht="15.75" customHeight="1">
      <c r="A1281" t="s">
        <v>835</v>
      </c>
      <c r="B1281">
        <v>611500</v>
      </c>
      <c r="C1281">
        <v>1</v>
      </c>
      <c r="D1281" t="str">
        <f t="shared" si="19"/>
        <v>1611500.769</v>
      </c>
      <c r="E1281" t="s">
        <v>2605</v>
      </c>
      <c r="F1281" s="242"/>
      <c r="G1281"/>
      <c r="H1281" s="242">
        <v>19200</v>
      </c>
      <c r="I1281" s="242">
        <v>12295</v>
      </c>
      <c r="J1281"/>
    </row>
    <row r="1282" spans="1:10" ht="15.75" customHeight="1">
      <c r="A1282" t="s">
        <v>2403</v>
      </c>
      <c r="B1282">
        <v>612000</v>
      </c>
      <c r="C1282">
        <v>1</v>
      </c>
      <c r="D1282" t="str">
        <f t="shared" si="19"/>
        <v>1612000.110</v>
      </c>
      <c r="E1282" t="s">
        <v>2573</v>
      </c>
      <c r="F1282" s="242"/>
      <c r="G1282"/>
      <c r="H1282" s="242">
        <v>1038956</v>
      </c>
      <c r="I1282" s="242">
        <v>988818</v>
      </c>
      <c r="J1282"/>
    </row>
    <row r="1283" spans="1:10" ht="15.75" customHeight="1">
      <c r="A1283" t="s">
        <v>2404</v>
      </c>
      <c r="B1283">
        <v>612000</v>
      </c>
      <c r="C1283">
        <v>1</v>
      </c>
      <c r="D1283" t="str">
        <f t="shared" ref="D1283:D1346" si="20">C1283&amp;B1283&amp;"."&amp;A1283</f>
        <v>1612000.120</v>
      </c>
      <c r="E1283" t="s">
        <v>2574</v>
      </c>
      <c r="F1283" s="242"/>
      <c r="G1283"/>
      <c r="H1283" s="242">
        <v>95389</v>
      </c>
      <c r="I1283" s="242">
        <v>91297</v>
      </c>
      <c r="J1283"/>
    </row>
    <row r="1284" spans="1:10" ht="15.75" customHeight="1">
      <c r="A1284" t="s">
        <v>2575</v>
      </c>
      <c r="B1284">
        <v>612000</v>
      </c>
      <c r="C1284">
        <v>1</v>
      </c>
      <c r="D1284" t="str">
        <f t="shared" si="20"/>
        <v>1612000.130</v>
      </c>
      <c r="E1284" t="s">
        <v>2576</v>
      </c>
      <c r="F1284" s="242"/>
      <c r="G1284"/>
      <c r="H1284" s="242">
        <v>4858</v>
      </c>
      <c r="I1284" s="242">
        <v>4406</v>
      </c>
      <c r="J1284"/>
    </row>
    <row r="1285" spans="1:10" ht="15.75" customHeight="1">
      <c r="A1285" t="s">
        <v>2577</v>
      </c>
      <c r="B1285">
        <v>612000</v>
      </c>
      <c r="C1285">
        <v>1</v>
      </c>
      <c r="D1285" t="str">
        <f t="shared" si="20"/>
        <v>1612000.140</v>
      </c>
      <c r="E1285" t="s">
        <v>2578</v>
      </c>
      <c r="F1285" s="242"/>
      <c r="G1285"/>
      <c r="H1285" s="242">
        <v>118633</v>
      </c>
      <c r="I1285" s="242">
        <v>131055</v>
      </c>
      <c r="J1285"/>
    </row>
    <row r="1286" spans="1:10" ht="15.75" customHeight="1">
      <c r="A1286" t="s">
        <v>2579</v>
      </c>
      <c r="B1286">
        <v>612000</v>
      </c>
      <c r="C1286">
        <v>1</v>
      </c>
      <c r="D1286" t="str">
        <f t="shared" si="20"/>
        <v>1612000.181</v>
      </c>
      <c r="E1286" t="s">
        <v>2580</v>
      </c>
      <c r="F1286" s="242"/>
      <c r="G1286"/>
      <c r="H1286" s="242">
        <v>195678</v>
      </c>
      <c r="I1286" s="242">
        <v>184104</v>
      </c>
      <c r="J1286"/>
    </row>
    <row r="1287" spans="1:10" ht="15.75" customHeight="1">
      <c r="A1287" t="s">
        <v>2581</v>
      </c>
      <c r="B1287">
        <v>612000</v>
      </c>
      <c r="C1287">
        <v>1</v>
      </c>
      <c r="D1287" t="str">
        <f t="shared" si="20"/>
        <v>1612000.182</v>
      </c>
      <c r="E1287" t="s">
        <v>2582</v>
      </c>
      <c r="F1287" s="242"/>
      <c r="G1287"/>
      <c r="H1287" s="242">
        <v>98944</v>
      </c>
      <c r="I1287" s="242">
        <v>95534</v>
      </c>
      <c r="J1287"/>
    </row>
    <row r="1288" spans="1:10" ht="15.75" customHeight="1">
      <c r="A1288" t="s">
        <v>2286</v>
      </c>
      <c r="B1288">
        <v>612000</v>
      </c>
      <c r="C1288">
        <v>1</v>
      </c>
      <c r="D1288" t="str">
        <f t="shared" si="20"/>
        <v>1612000.511</v>
      </c>
      <c r="E1288" t="s">
        <v>2584</v>
      </c>
      <c r="F1288" s="242"/>
      <c r="G1288"/>
      <c r="H1288" s="242">
        <v>2500</v>
      </c>
      <c r="I1288" s="242">
        <v>1475</v>
      </c>
      <c r="J1288"/>
    </row>
    <row r="1289" spans="1:10" ht="15.75" customHeight="1">
      <c r="A1289" t="s">
        <v>2414</v>
      </c>
      <c r="B1289">
        <v>612000</v>
      </c>
      <c r="C1289">
        <v>1</v>
      </c>
      <c r="D1289" t="str">
        <f t="shared" si="20"/>
        <v>1612000.512</v>
      </c>
      <c r="E1289" t="s">
        <v>2585</v>
      </c>
      <c r="F1289" s="242"/>
      <c r="G1289"/>
      <c r="H1289" s="242">
        <v>1000</v>
      </c>
      <c r="I1289" s="242">
        <v>0</v>
      </c>
      <c r="J1289"/>
    </row>
    <row r="1290" spans="1:10" ht="15.75" customHeight="1">
      <c r="A1290" t="s">
        <v>2644</v>
      </c>
      <c r="B1290">
        <v>612000</v>
      </c>
      <c r="C1290">
        <v>1</v>
      </c>
      <c r="D1290" t="str">
        <f t="shared" si="20"/>
        <v>1612000.521</v>
      </c>
      <c r="E1290" t="s">
        <v>2645</v>
      </c>
      <c r="F1290" s="242"/>
      <c r="G1290"/>
      <c r="H1290" s="242">
        <v>5000</v>
      </c>
      <c r="I1290" s="242">
        <v>2990</v>
      </c>
      <c r="J1290"/>
    </row>
    <row r="1291" spans="1:10" ht="15.75" customHeight="1">
      <c r="A1291" t="s">
        <v>2588</v>
      </c>
      <c r="B1291">
        <v>612000</v>
      </c>
      <c r="C1291">
        <v>1</v>
      </c>
      <c r="D1291" t="str">
        <f t="shared" si="20"/>
        <v>1612000.522</v>
      </c>
      <c r="E1291" t="s">
        <v>2608</v>
      </c>
      <c r="F1291" s="242"/>
      <c r="G1291"/>
      <c r="H1291" s="242">
        <v>7000</v>
      </c>
      <c r="I1291" s="242">
        <v>3828</v>
      </c>
      <c r="J1291"/>
    </row>
    <row r="1292" spans="1:10" ht="15.75" customHeight="1">
      <c r="A1292" t="s">
        <v>2590</v>
      </c>
      <c r="B1292">
        <v>612000</v>
      </c>
      <c r="C1292">
        <v>1</v>
      </c>
      <c r="D1292" t="str">
        <f t="shared" si="20"/>
        <v>1612000.523</v>
      </c>
      <c r="E1292" t="s">
        <v>2646</v>
      </c>
      <c r="F1292" s="242"/>
      <c r="G1292"/>
      <c r="H1292" s="242">
        <v>3000</v>
      </c>
      <c r="I1292" s="242">
        <v>2080</v>
      </c>
      <c r="J1292"/>
    </row>
    <row r="1293" spans="1:10" ht="15.75" customHeight="1">
      <c r="A1293" t="s">
        <v>2594</v>
      </c>
      <c r="B1293">
        <v>612000</v>
      </c>
      <c r="C1293">
        <v>1</v>
      </c>
      <c r="D1293" t="str">
        <f t="shared" si="20"/>
        <v>1612000.540</v>
      </c>
      <c r="E1293" t="s">
        <v>2595</v>
      </c>
      <c r="F1293" s="242"/>
      <c r="G1293"/>
      <c r="H1293" s="242">
        <v>12000</v>
      </c>
      <c r="I1293" s="242">
        <v>8308</v>
      </c>
      <c r="J1293"/>
    </row>
    <row r="1294" spans="1:10" ht="15.75" customHeight="1">
      <c r="A1294" t="s">
        <v>2596</v>
      </c>
      <c r="B1294">
        <v>612000</v>
      </c>
      <c r="C1294">
        <v>1</v>
      </c>
      <c r="D1294" t="str">
        <f t="shared" si="20"/>
        <v>1612000.550</v>
      </c>
      <c r="E1294" t="s">
        <v>2597</v>
      </c>
      <c r="F1294" s="242"/>
      <c r="G1294"/>
      <c r="H1294" s="242">
        <v>25000</v>
      </c>
      <c r="I1294" s="242">
        <v>20011</v>
      </c>
      <c r="J1294"/>
    </row>
    <row r="1295" spans="1:10" ht="15.75" customHeight="1">
      <c r="A1295" t="s">
        <v>2598</v>
      </c>
      <c r="B1295">
        <v>612000</v>
      </c>
      <c r="C1295">
        <v>1</v>
      </c>
      <c r="D1295" t="str">
        <f t="shared" si="20"/>
        <v>1612000.561</v>
      </c>
      <c r="E1295" t="s">
        <v>2599</v>
      </c>
      <c r="F1295" s="242"/>
      <c r="G1295"/>
      <c r="H1295" s="242">
        <v>3500</v>
      </c>
      <c r="I1295" s="242">
        <v>2260</v>
      </c>
      <c r="J1295"/>
    </row>
    <row r="1296" spans="1:10" ht="15.75" customHeight="1">
      <c r="A1296" t="s">
        <v>2647</v>
      </c>
      <c r="B1296">
        <v>612000</v>
      </c>
      <c r="C1296">
        <v>1</v>
      </c>
      <c r="D1296" t="str">
        <f t="shared" si="20"/>
        <v>1612000.574</v>
      </c>
      <c r="E1296" t="s">
        <v>2648</v>
      </c>
      <c r="F1296" s="242"/>
      <c r="G1296"/>
      <c r="H1296" s="242">
        <v>2400</v>
      </c>
      <c r="I1296" s="242">
        <v>2362</v>
      </c>
      <c r="J1296"/>
    </row>
    <row r="1297" spans="1:10" ht="15.75" customHeight="1">
      <c r="A1297" t="s">
        <v>2600</v>
      </c>
      <c r="B1297">
        <v>612000</v>
      </c>
      <c r="C1297">
        <v>1</v>
      </c>
      <c r="D1297" t="str">
        <f t="shared" si="20"/>
        <v>1612000.580</v>
      </c>
      <c r="E1297" t="s">
        <v>2601</v>
      </c>
      <c r="F1297" s="242"/>
      <c r="G1297"/>
      <c r="H1297" s="242">
        <v>2500</v>
      </c>
      <c r="I1297" s="242">
        <v>1225</v>
      </c>
      <c r="J1297"/>
    </row>
    <row r="1298" spans="1:10" ht="15.75" customHeight="1">
      <c r="A1298" t="s">
        <v>600</v>
      </c>
      <c r="B1298">
        <v>612000</v>
      </c>
      <c r="C1298">
        <v>1</v>
      </c>
      <c r="D1298" t="str">
        <f t="shared" si="20"/>
        <v>1612000.731</v>
      </c>
      <c r="E1298" t="s">
        <v>2593</v>
      </c>
      <c r="F1298" s="242"/>
      <c r="G1298"/>
      <c r="H1298" s="242">
        <v>22278</v>
      </c>
      <c r="I1298" s="242">
        <v>19160</v>
      </c>
      <c r="J1298"/>
    </row>
    <row r="1299" spans="1:10" ht="15.75" customHeight="1">
      <c r="A1299" t="s">
        <v>2418</v>
      </c>
      <c r="B1299">
        <v>612000</v>
      </c>
      <c r="C1299">
        <v>1</v>
      </c>
      <c r="D1299" t="str">
        <f t="shared" si="20"/>
        <v>1612000.735</v>
      </c>
      <c r="E1299" t="s">
        <v>2602</v>
      </c>
      <c r="F1299" s="242"/>
      <c r="G1299"/>
      <c r="H1299" s="242">
        <v>34398</v>
      </c>
      <c r="I1299" s="242">
        <v>38416</v>
      </c>
      <c r="J1299"/>
    </row>
    <row r="1300" spans="1:10" ht="15.75" customHeight="1">
      <c r="A1300" t="s">
        <v>673</v>
      </c>
      <c r="B1300">
        <v>612000</v>
      </c>
      <c r="C1300">
        <v>1</v>
      </c>
      <c r="D1300" t="str">
        <f t="shared" si="20"/>
        <v>1612000.743</v>
      </c>
      <c r="E1300" t="s">
        <v>2622</v>
      </c>
      <c r="F1300" s="242"/>
      <c r="G1300"/>
      <c r="H1300" s="242">
        <v>5000</v>
      </c>
      <c r="I1300" s="242">
        <v>640</v>
      </c>
      <c r="J1300"/>
    </row>
    <row r="1301" spans="1:10" ht="15.75" customHeight="1">
      <c r="A1301" t="s">
        <v>2611</v>
      </c>
      <c r="B1301">
        <v>612000</v>
      </c>
      <c r="C1301">
        <v>1</v>
      </c>
      <c r="D1301" t="str">
        <f t="shared" si="20"/>
        <v>1612000.750</v>
      </c>
      <c r="E1301" t="s">
        <v>2649</v>
      </c>
      <c r="F1301" s="242"/>
      <c r="G1301"/>
      <c r="H1301" s="242">
        <v>65000</v>
      </c>
      <c r="I1301" s="242">
        <v>32752</v>
      </c>
      <c r="J1301"/>
    </row>
    <row r="1302" spans="1:10" ht="15.75" customHeight="1">
      <c r="A1302" t="s">
        <v>2403</v>
      </c>
      <c r="B1302">
        <v>613000</v>
      </c>
      <c r="C1302">
        <v>1</v>
      </c>
      <c r="D1302" t="str">
        <f t="shared" si="20"/>
        <v>1613000.110</v>
      </c>
      <c r="E1302" t="s">
        <v>2573</v>
      </c>
      <c r="F1302" s="242"/>
      <c r="G1302"/>
      <c r="H1302" s="242">
        <v>1118684</v>
      </c>
      <c r="I1302" s="242">
        <v>1318400</v>
      </c>
      <c r="J1302"/>
    </row>
    <row r="1303" spans="1:10" ht="15.75" customHeight="1">
      <c r="A1303" t="s">
        <v>2404</v>
      </c>
      <c r="B1303">
        <v>613000</v>
      </c>
      <c r="C1303">
        <v>1</v>
      </c>
      <c r="D1303" t="str">
        <f t="shared" si="20"/>
        <v>1613000.120</v>
      </c>
      <c r="E1303" t="s">
        <v>2574</v>
      </c>
      <c r="F1303" s="242"/>
      <c r="G1303"/>
      <c r="H1303" s="242">
        <v>68011</v>
      </c>
      <c r="I1303" s="242">
        <v>69425</v>
      </c>
      <c r="J1303"/>
    </row>
    <row r="1304" spans="1:10" ht="15.75" customHeight="1">
      <c r="A1304" t="s">
        <v>2575</v>
      </c>
      <c r="B1304">
        <v>613000</v>
      </c>
      <c r="C1304">
        <v>1</v>
      </c>
      <c r="D1304" t="str">
        <f t="shared" si="20"/>
        <v>1613000.130</v>
      </c>
      <c r="E1304" t="s">
        <v>2576</v>
      </c>
      <c r="F1304" s="242"/>
      <c r="G1304"/>
      <c r="H1304" s="242">
        <v>17997</v>
      </c>
      <c r="I1304" s="242">
        <v>19363</v>
      </c>
      <c r="J1304"/>
    </row>
    <row r="1305" spans="1:10" ht="15.75" customHeight="1">
      <c r="A1305" t="s">
        <v>2577</v>
      </c>
      <c r="B1305">
        <v>613000</v>
      </c>
      <c r="C1305">
        <v>1</v>
      </c>
      <c r="D1305" t="str">
        <f t="shared" si="20"/>
        <v>1613000.140</v>
      </c>
      <c r="E1305" t="s">
        <v>2578</v>
      </c>
      <c r="F1305" s="242"/>
      <c r="G1305"/>
      <c r="H1305" s="242">
        <v>133656</v>
      </c>
      <c r="I1305" s="242">
        <v>164867</v>
      </c>
      <c r="J1305"/>
    </row>
    <row r="1306" spans="1:10" ht="15.75" customHeight="1">
      <c r="A1306" t="s">
        <v>2579</v>
      </c>
      <c r="B1306">
        <v>613000</v>
      </c>
      <c r="C1306">
        <v>1</v>
      </c>
      <c r="D1306" t="str">
        <f t="shared" si="20"/>
        <v>1613000.181</v>
      </c>
      <c r="E1306" t="s">
        <v>2580</v>
      </c>
      <c r="F1306" s="242"/>
      <c r="G1306"/>
      <c r="H1306" s="242">
        <v>190262</v>
      </c>
      <c r="I1306" s="242">
        <v>255492</v>
      </c>
      <c r="J1306"/>
    </row>
    <row r="1307" spans="1:10" ht="15.75" customHeight="1">
      <c r="A1307" t="s">
        <v>2581</v>
      </c>
      <c r="B1307">
        <v>613000</v>
      </c>
      <c r="C1307">
        <v>1</v>
      </c>
      <c r="D1307" t="str">
        <f t="shared" si="20"/>
        <v>1613000.182</v>
      </c>
      <c r="E1307" t="s">
        <v>2582</v>
      </c>
      <c r="F1307" s="242"/>
      <c r="G1307"/>
      <c r="H1307" s="242">
        <v>105491</v>
      </c>
      <c r="I1307" s="242">
        <v>123927</v>
      </c>
      <c r="J1307"/>
    </row>
    <row r="1308" spans="1:10" ht="15.75" customHeight="1">
      <c r="A1308" t="s">
        <v>2286</v>
      </c>
      <c r="B1308">
        <v>613000</v>
      </c>
      <c r="C1308">
        <v>1</v>
      </c>
      <c r="D1308" t="str">
        <f t="shared" si="20"/>
        <v>1613000.511</v>
      </c>
      <c r="E1308" t="s">
        <v>2584</v>
      </c>
      <c r="F1308" s="242"/>
      <c r="G1308"/>
      <c r="H1308" s="242">
        <v>4000</v>
      </c>
      <c r="I1308" s="242">
        <v>3796</v>
      </c>
      <c r="J1308"/>
    </row>
    <row r="1309" spans="1:10" ht="15.75" customHeight="1">
      <c r="A1309" t="s">
        <v>2414</v>
      </c>
      <c r="B1309">
        <v>613000</v>
      </c>
      <c r="C1309">
        <v>1</v>
      </c>
      <c r="D1309" t="str">
        <f t="shared" si="20"/>
        <v>1613000.512</v>
      </c>
      <c r="E1309" t="s">
        <v>2585</v>
      </c>
      <c r="F1309" s="242"/>
      <c r="G1309"/>
      <c r="H1309" s="242">
        <v>500</v>
      </c>
      <c r="I1309" s="242">
        <v>0</v>
      </c>
      <c r="J1309"/>
    </row>
    <row r="1310" spans="1:10" ht="15.75" customHeight="1">
      <c r="A1310" t="s">
        <v>2588</v>
      </c>
      <c r="B1310">
        <v>613000</v>
      </c>
      <c r="C1310">
        <v>1</v>
      </c>
      <c r="D1310" t="str">
        <f t="shared" si="20"/>
        <v>1613000.522</v>
      </c>
      <c r="E1310" t="s">
        <v>2608</v>
      </c>
      <c r="F1310" s="242"/>
      <c r="G1310"/>
      <c r="H1310" s="242">
        <v>5000</v>
      </c>
      <c r="I1310" s="242">
        <v>4580</v>
      </c>
      <c r="J1310"/>
    </row>
    <row r="1311" spans="1:10" ht="15.75" customHeight="1">
      <c r="A1311" t="s">
        <v>2590</v>
      </c>
      <c r="B1311">
        <v>613000</v>
      </c>
      <c r="C1311">
        <v>1</v>
      </c>
      <c r="D1311" t="str">
        <f t="shared" si="20"/>
        <v>1613000.523</v>
      </c>
      <c r="E1311" t="s">
        <v>2615</v>
      </c>
      <c r="F1311" s="242"/>
      <c r="G1311"/>
      <c r="H1311" s="242">
        <v>2500</v>
      </c>
      <c r="I1311" s="242">
        <v>1650</v>
      </c>
      <c r="J1311"/>
    </row>
    <row r="1312" spans="1:10" ht="15.75" customHeight="1">
      <c r="A1312" t="s">
        <v>2594</v>
      </c>
      <c r="B1312">
        <v>613000</v>
      </c>
      <c r="C1312">
        <v>1</v>
      </c>
      <c r="D1312" t="str">
        <f t="shared" si="20"/>
        <v>1613000.540</v>
      </c>
      <c r="E1312" t="s">
        <v>2595</v>
      </c>
      <c r="F1312" s="242"/>
      <c r="G1312"/>
      <c r="H1312" s="242">
        <v>24000</v>
      </c>
      <c r="I1312" s="242">
        <v>20859</v>
      </c>
      <c r="J1312"/>
    </row>
    <row r="1313" spans="1:10" ht="15.75" customHeight="1">
      <c r="A1313" t="s">
        <v>2596</v>
      </c>
      <c r="B1313">
        <v>613000</v>
      </c>
      <c r="C1313">
        <v>1</v>
      </c>
      <c r="D1313" t="str">
        <f t="shared" si="20"/>
        <v>1613000.550</v>
      </c>
      <c r="E1313" t="s">
        <v>2597</v>
      </c>
      <c r="F1313" s="242"/>
      <c r="G1313"/>
      <c r="H1313" s="242">
        <v>2000</v>
      </c>
      <c r="I1313" s="242">
        <v>1755</v>
      </c>
      <c r="J1313"/>
    </row>
    <row r="1314" spans="1:10" ht="15.75" customHeight="1">
      <c r="A1314" t="s">
        <v>2598</v>
      </c>
      <c r="B1314">
        <v>613000</v>
      </c>
      <c r="C1314">
        <v>1</v>
      </c>
      <c r="D1314" t="str">
        <f t="shared" si="20"/>
        <v>1613000.561</v>
      </c>
      <c r="E1314" t="s">
        <v>2599</v>
      </c>
      <c r="F1314" s="242"/>
      <c r="G1314"/>
      <c r="H1314" s="242">
        <v>7000</v>
      </c>
      <c r="I1314" s="242">
        <v>11547</v>
      </c>
      <c r="J1314"/>
    </row>
    <row r="1315" spans="1:10" ht="15.75" customHeight="1">
      <c r="A1315" t="s">
        <v>2600</v>
      </c>
      <c r="B1315">
        <v>613000</v>
      </c>
      <c r="C1315">
        <v>1</v>
      </c>
      <c r="D1315" t="str">
        <f t="shared" si="20"/>
        <v>1613000.580</v>
      </c>
      <c r="E1315" t="s">
        <v>2601</v>
      </c>
      <c r="F1315" s="242"/>
      <c r="G1315"/>
      <c r="H1315" s="242">
        <v>3500</v>
      </c>
      <c r="I1315" s="242">
        <v>3507</v>
      </c>
      <c r="J1315"/>
    </row>
    <row r="1316" spans="1:10" ht="15.75" customHeight="1">
      <c r="A1316" t="s">
        <v>2702</v>
      </c>
      <c r="B1316">
        <v>613000</v>
      </c>
      <c r="C1316">
        <v>1</v>
      </c>
      <c r="D1316" t="str">
        <f t="shared" si="20"/>
        <v>1613000.582</v>
      </c>
      <c r="E1316" t="s">
        <v>2730</v>
      </c>
      <c r="F1316" s="242"/>
      <c r="G1316"/>
      <c r="H1316" s="242">
        <v>3500</v>
      </c>
      <c r="I1316" s="242">
        <v>2985</v>
      </c>
      <c r="J1316"/>
    </row>
    <row r="1317" spans="1:10" ht="15.75" customHeight="1">
      <c r="A1317" t="s">
        <v>600</v>
      </c>
      <c r="B1317">
        <v>613000</v>
      </c>
      <c r="C1317">
        <v>1</v>
      </c>
      <c r="D1317" t="str">
        <f t="shared" si="20"/>
        <v>1613000.731</v>
      </c>
      <c r="E1317" t="s">
        <v>2593</v>
      </c>
      <c r="F1317" s="242"/>
      <c r="G1317"/>
      <c r="H1317" s="242">
        <v>22278</v>
      </c>
      <c r="I1317" s="242">
        <v>22859</v>
      </c>
      <c r="J1317"/>
    </row>
    <row r="1318" spans="1:10" ht="15.75" customHeight="1">
      <c r="A1318" t="s">
        <v>2418</v>
      </c>
      <c r="B1318">
        <v>613000</v>
      </c>
      <c r="C1318">
        <v>1</v>
      </c>
      <c r="D1318" t="str">
        <f t="shared" si="20"/>
        <v>1613000.735</v>
      </c>
      <c r="E1318" t="s">
        <v>2667</v>
      </c>
      <c r="F1318" s="242"/>
      <c r="G1318"/>
      <c r="H1318" s="242">
        <v>44447</v>
      </c>
      <c r="I1318" s="242">
        <v>51777</v>
      </c>
      <c r="J1318"/>
    </row>
    <row r="1319" spans="1:10" ht="15.75" customHeight="1">
      <c r="A1319" t="s">
        <v>673</v>
      </c>
      <c r="B1319">
        <v>613000</v>
      </c>
      <c r="C1319">
        <v>1</v>
      </c>
      <c r="D1319" t="str">
        <f t="shared" si="20"/>
        <v>1613000.743</v>
      </c>
      <c r="E1319" t="s">
        <v>2622</v>
      </c>
      <c r="F1319" s="242"/>
      <c r="G1319"/>
      <c r="H1319" s="242">
        <v>9000</v>
      </c>
      <c r="I1319" s="242">
        <v>6211</v>
      </c>
      <c r="J1319"/>
    </row>
    <row r="1320" spans="1:10" ht="15.75" customHeight="1">
      <c r="A1320" t="s">
        <v>2611</v>
      </c>
      <c r="B1320">
        <v>613000</v>
      </c>
      <c r="C1320">
        <v>1</v>
      </c>
      <c r="D1320" t="str">
        <f t="shared" si="20"/>
        <v>1613000.750</v>
      </c>
      <c r="E1320" t="s">
        <v>2707</v>
      </c>
      <c r="F1320" s="242"/>
      <c r="G1320"/>
      <c r="H1320" s="242">
        <v>6000</v>
      </c>
      <c r="I1320" s="242">
        <v>1409</v>
      </c>
      <c r="J1320"/>
    </row>
    <row r="1321" spans="1:10" ht="15.75" customHeight="1">
      <c r="A1321" t="s">
        <v>772</v>
      </c>
      <c r="B1321">
        <v>613000</v>
      </c>
      <c r="C1321">
        <v>1</v>
      </c>
      <c r="D1321" t="str">
        <f t="shared" si="20"/>
        <v>1613000.751</v>
      </c>
      <c r="E1321" t="s">
        <v>2731</v>
      </c>
      <c r="F1321" s="242"/>
      <c r="G1321"/>
      <c r="H1321" s="242">
        <v>50000</v>
      </c>
      <c r="I1321" s="242">
        <v>45557</v>
      </c>
      <c r="J1321"/>
    </row>
    <row r="1322" spans="1:10" ht="15.75" customHeight="1">
      <c r="A1322" t="s">
        <v>776</v>
      </c>
      <c r="B1322">
        <v>613000</v>
      </c>
      <c r="C1322">
        <v>1</v>
      </c>
      <c r="D1322" t="str">
        <f t="shared" si="20"/>
        <v>1613000.752</v>
      </c>
      <c r="E1322" t="s">
        <v>2732</v>
      </c>
      <c r="F1322" s="242"/>
      <c r="G1322"/>
      <c r="H1322" s="242">
        <v>350000</v>
      </c>
      <c r="I1322" s="242">
        <v>393563</v>
      </c>
      <c r="J1322"/>
    </row>
    <row r="1323" spans="1:10" ht="15.75" customHeight="1">
      <c r="A1323" t="s">
        <v>835</v>
      </c>
      <c r="B1323">
        <v>613000</v>
      </c>
      <c r="C1323">
        <v>1</v>
      </c>
      <c r="D1323" t="str">
        <f t="shared" si="20"/>
        <v>1613000.769</v>
      </c>
      <c r="E1323" t="s">
        <v>2605</v>
      </c>
      <c r="F1323" s="242"/>
      <c r="G1323"/>
      <c r="H1323" s="242">
        <v>19200</v>
      </c>
      <c r="I1323" s="242">
        <v>13790</v>
      </c>
      <c r="J1323"/>
    </row>
    <row r="1324" spans="1:10" ht="15.75" customHeight="1">
      <c r="A1324" t="s">
        <v>2611</v>
      </c>
      <c r="B1324">
        <v>613100</v>
      </c>
      <c r="C1324">
        <v>1</v>
      </c>
      <c r="D1324" t="str">
        <f t="shared" si="20"/>
        <v>1613100.750</v>
      </c>
      <c r="E1324" t="s">
        <v>2751</v>
      </c>
      <c r="F1324" s="242"/>
      <c r="G1324"/>
      <c r="H1324" s="242">
        <v>340000</v>
      </c>
      <c r="I1324" s="242">
        <v>383818</v>
      </c>
      <c r="J1324"/>
    </row>
    <row r="1325" spans="1:10" ht="15.75" customHeight="1">
      <c r="A1325" t="s">
        <v>2571</v>
      </c>
      <c r="B1325">
        <v>614000</v>
      </c>
      <c r="C1325">
        <v>1</v>
      </c>
      <c r="D1325" t="str">
        <f t="shared" si="20"/>
        <v>1614000.105</v>
      </c>
      <c r="E1325" t="s">
        <v>2572</v>
      </c>
      <c r="F1325" s="242"/>
      <c r="G1325"/>
      <c r="H1325" s="242">
        <v>0</v>
      </c>
      <c r="I1325" s="242">
        <v>0</v>
      </c>
      <c r="J1325"/>
    </row>
    <row r="1326" spans="1:10" ht="15.75" customHeight="1">
      <c r="A1326" t="s">
        <v>2403</v>
      </c>
      <c r="B1326">
        <v>614000</v>
      </c>
      <c r="C1326">
        <v>1</v>
      </c>
      <c r="D1326" t="str">
        <f t="shared" si="20"/>
        <v>1614000.110</v>
      </c>
      <c r="E1326" t="s">
        <v>2573</v>
      </c>
      <c r="F1326" s="242"/>
      <c r="G1326"/>
      <c r="H1326" s="242">
        <v>361539</v>
      </c>
      <c r="I1326" s="242">
        <v>0</v>
      </c>
      <c r="J1326"/>
    </row>
    <row r="1327" spans="1:10" ht="15.75" customHeight="1">
      <c r="A1327" t="s">
        <v>2404</v>
      </c>
      <c r="B1327">
        <v>614000</v>
      </c>
      <c r="C1327">
        <v>1</v>
      </c>
      <c r="D1327" t="str">
        <f t="shared" si="20"/>
        <v>1614000.120</v>
      </c>
      <c r="E1327" t="s">
        <v>2574</v>
      </c>
      <c r="F1327" s="242"/>
      <c r="G1327"/>
      <c r="H1327" s="242">
        <v>63404</v>
      </c>
      <c r="I1327" s="242">
        <v>0</v>
      </c>
      <c r="J1327"/>
    </row>
    <row r="1328" spans="1:10" ht="15.75" customHeight="1">
      <c r="A1328" t="s">
        <v>2575</v>
      </c>
      <c r="B1328">
        <v>614000</v>
      </c>
      <c r="C1328">
        <v>1</v>
      </c>
      <c r="D1328" t="str">
        <f t="shared" si="20"/>
        <v>1614000.130</v>
      </c>
      <c r="E1328" t="s">
        <v>2576</v>
      </c>
      <c r="F1328" s="242"/>
      <c r="G1328"/>
      <c r="H1328" s="242">
        <v>1566</v>
      </c>
      <c r="I1328" s="242">
        <v>0</v>
      </c>
      <c r="J1328"/>
    </row>
    <row r="1329" spans="1:10" ht="15.75" customHeight="1">
      <c r="A1329" t="s">
        <v>2577</v>
      </c>
      <c r="B1329">
        <v>614000</v>
      </c>
      <c r="C1329">
        <v>1</v>
      </c>
      <c r="D1329" t="str">
        <f t="shared" si="20"/>
        <v>1614000.140</v>
      </c>
      <c r="E1329" t="s">
        <v>2578</v>
      </c>
      <c r="F1329" s="242"/>
      <c r="G1329"/>
      <c r="H1329" s="242">
        <v>57653</v>
      </c>
      <c r="I1329" s="242">
        <v>0</v>
      </c>
      <c r="J1329"/>
    </row>
    <row r="1330" spans="1:10" ht="15.75" customHeight="1">
      <c r="A1330" t="s">
        <v>2579</v>
      </c>
      <c r="B1330">
        <v>614000</v>
      </c>
      <c r="C1330">
        <v>1</v>
      </c>
      <c r="D1330" t="str">
        <f t="shared" si="20"/>
        <v>1614000.181</v>
      </c>
      <c r="E1330" t="s">
        <v>2580</v>
      </c>
      <c r="F1330" s="242"/>
      <c r="G1330"/>
      <c r="H1330" s="242">
        <v>76089</v>
      </c>
      <c r="I1330" s="242">
        <v>0</v>
      </c>
      <c r="J1330"/>
    </row>
    <row r="1331" spans="1:10" ht="15.75" customHeight="1">
      <c r="A1331" t="s">
        <v>2581</v>
      </c>
      <c r="B1331">
        <v>614000</v>
      </c>
      <c r="C1331">
        <v>1</v>
      </c>
      <c r="D1331" t="str">
        <f t="shared" si="20"/>
        <v>1614000.182</v>
      </c>
      <c r="E1331" t="s">
        <v>2582</v>
      </c>
      <c r="F1331" s="242"/>
      <c r="G1331"/>
      <c r="H1331" s="242">
        <v>39030</v>
      </c>
      <c r="I1331" s="242">
        <v>0</v>
      </c>
      <c r="J1331"/>
    </row>
    <row r="1332" spans="1:10" ht="15.75" customHeight="1">
      <c r="A1332" t="s">
        <v>2413</v>
      </c>
      <c r="B1332">
        <v>614000</v>
      </c>
      <c r="C1332">
        <v>1</v>
      </c>
      <c r="D1332" t="str">
        <f t="shared" si="20"/>
        <v>1614000.510</v>
      </c>
      <c r="E1332" t="s">
        <v>2583</v>
      </c>
      <c r="F1332" s="242"/>
      <c r="G1332"/>
      <c r="H1332" s="242">
        <v>20000</v>
      </c>
      <c r="I1332" s="242">
        <v>0</v>
      </c>
      <c r="J1332"/>
    </row>
    <row r="1333" spans="1:10" ht="15.75" customHeight="1">
      <c r="A1333" t="s">
        <v>2286</v>
      </c>
      <c r="B1333">
        <v>614000</v>
      </c>
      <c r="C1333">
        <v>1</v>
      </c>
      <c r="D1333" t="str">
        <f t="shared" si="20"/>
        <v>1614000.511</v>
      </c>
      <c r="E1333" t="s">
        <v>2584</v>
      </c>
      <c r="F1333" s="242"/>
      <c r="G1333"/>
      <c r="H1333" s="242">
        <v>10000</v>
      </c>
      <c r="I1333" s="242">
        <v>21232</v>
      </c>
      <c r="J1333"/>
    </row>
    <row r="1334" spans="1:10" ht="15.75" customHeight="1">
      <c r="A1334" t="s">
        <v>2586</v>
      </c>
      <c r="B1334">
        <v>614000</v>
      </c>
      <c r="C1334">
        <v>1</v>
      </c>
      <c r="D1334" t="str">
        <f t="shared" si="20"/>
        <v>1614000.514</v>
      </c>
      <c r="E1334" t="s">
        <v>2626</v>
      </c>
      <c r="F1334" s="242"/>
      <c r="G1334"/>
      <c r="H1334" s="242">
        <v>25600</v>
      </c>
      <c r="I1334" s="242">
        <v>23707</v>
      </c>
      <c r="J1334"/>
    </row>
    <row r="1335" spans="1:10" ht="15.75" customHeight="1">
      <c r="A1335" t="s">
        <v>2588</v>
      </c>
      <c r="B1335">
        <v>614000</v>
      </c>
      <c r="C1335">
        <v>1</v>
      </c>
      <c r="D1335" t="str">
        <f t="shared" si="20"/>
        <v>1614000.522</v>
      </c>
      <c r="E1335" t="s">
        <v>2608</v>
      </c>
      <c r="F1335" s="242"/>
      <c r="G1335"/>
      <c r="H1335" s="242">
        <v>10000</v>
      </c>
      <c r="I1335" s="242">
        <v>0</v>
      </c>
      <c r="J1335"/>
    </row>
    <row r="1336" spans="1:10" ht="15.75" customHeight="1">
      <c r="A1336" t="s">
        <v>2596</v>
      </c>
      <c r="B1336">
        <v>614000</v>
      </c>
      <c r="C1336">
        <v>1</v>
      </c>
      <c r="D1336" t="str">
        <f t="shared" si="20"/>
        <v>1614000.550</v>
      </c>
      <c r="E1336" t="s">
        <v>2627</v>
      </c>
      <c r="F1336" s="242"/>
      <c r="G1336"/>
      <c r="H1336" s="242">
        <v>104400</v>
      </c>
      <c r="I1336" s="242">
        <v>108328</v>
      </c>
      <c r="J1336"/>
    </row>
    <row r="1337" spans="1:10" ht="15.75" customHeight="1">
      <c r="A1337" t="s">
        <v>2620</v>
      </c>
      <c r="B1337">
        <v>614000</v>
      </c>
      <c r="C1337">
        <v>1</v>
      </c>
      <c r="D1337" t="str">
        <f t="shared" si="20"/>
        <v>1614000.575</v>
      </c>
      <c r="E1337" t="s">
        <v>2628</v>
      </c>
      <c r="F1337" s="242"/>
      <c r="G1337"/>
      <c r="H1337" s="242">
        <v>0</v>
      </c>
      <c r="I1337" s="242">
        <v>0</v>
      </c>
      <c r="J1337"/>
    </row>
    <row r="1338" spans="1:10" ht="15.75" customHeight="1">
      <c r="A1338" t="s">
        <v>2600</v>
      </c>
      <c r="B1338">
        <v>614000</v>
      </c>
      <c r="C1338">
        <v>1</v>
      </c>
      <c r="D1338" t="str">
        <f t="shared" si="20"/>
        <v>1614000.580</v>
      </c>
      <c r="E1338" t="s">
        <v>2629</v>
      </c>
      <c r="F1338" s="242"/>
      <c r="G1338"/>
      <c r="H1338" s="242">
        <v>74000</v>
      </c>
      <c r="I1338" s="242">
        <v>72853</v>
      </c>
      <c r="J1338"/>
    </row>
    <row r="1339" spans="1:10" ht="15.75" customHeight="1">
      <c r="A1339" t="s">
        <v>2609</v>
      </c>
      <c r="B1339">
        <v>614000</v>
      </c>
      <c r="C1339">
        <v>1</v>
      </c>
      <c r="D1339" t="str">
        <f t="shared" si="20"/>
        <v>1614000.710</v>
      </c>
      <c r="E1339" t="s">
        <v>2630</v>
      </c>
      <c r="F1339" s="242"/>
      <c r="G1339"/>
      <c r="H1339" s="242">
        <v>25000</v>
      </c>
      <c r="I1339" s="242">
        <v>11146</v>
      </c>
      <c r="J1339"/>
    </row>
    <row r="1340" spans="1:10" ht="15.75" customHeight="1">
      <c r="A1340" t="s">
        <v>600</v>
      </c>
      <c r="B1340">
        <v>614000</v>
      </c>
      <c r="C1340">
        <v>1</v>
      </c>
      <c r="D1340" t="str">
        <f t="shared" si="20"/>
        <v>1614000.731</v>
      </c>
      <c r="E1340" t="s">
        <v>2593</v>
      </c>
      <c r="F1340" s="242"/>
      <c r="G1340"/>
      <c r="H1340" s="242">
        <v>22278</v>
      </c>
      <c r="I1340" s="242">
        <v>0</v>
      </c>
      <c r="J1340"/>
    </row>
    <row r="1341" spans="1:10" ht="15.75" customHeight="1">
      <c r="A1341" t="s">
        <v>2418</v>
      </c>
      <c r="B1341">
        <v>614000</v>
      </c>
      <c r="C1341">
        <v>1</v>
      </c>
      <c r="D1341" t="str">
        <f t="shared" si="20"/>
        <v>1614000.735</v>
      </c>
      <c r="E1341" t="s">
        <v>2602</v>
      </c>
      <c r="F1341" s="242"/>
      <c r="G1341"/>
      <c r="H1341" s="242">
        <v>33096</v>
      </c>
      <c r="I1341" s="242">
        <v>0</v>
      </c>
      <c r="J1341"/>
    </row>
    <row r="1342" spans="1:10" ht="15.75" customHeight="1">
      <c r="A1342" t="s">
        <v>673</v>
      </c>
      <c r="B1342">
        <v>614000</v>
      </c>
      <c r="C1342">
        <v>1</v>
      </c>
      <c r="D1342" t="str">
        <f t="shared" si="20"/>
        <v>1614000.743</v>
      </c>
      <c r="E1342" t="s">
        <v>2622</v>
      </c>
      <c r="F1342" s="242"/>
      <c r="G1342"/>
      <c r="H1342" s="242">
        <v>0</v>
      </c>
      <c r="I1342" s="242">
        <v>0</v>
      </c>
      <c r="J1342"/>
    </row>
    <row r="1343" spans="1:10" ht="15.75" customHeight="1">
      <c r="A1343" t="s">
        <v>2611</v>
      </c>
      <c r="B1343">
        <v>614000</v>
      </c>
      <c r="C1343">
        <v>1</v>
      </c>
      <c r="D1343" t="str">
        <f t="shared" si="20"/>
        <v>1614000.750</v>
      </c>
      <c r="E1343" t="s">
        <v>2631</v>
      </c>
      <c r="F1343" s="242"/>
      <c r="G1343"/>
      <c r="H1343" s="242">
        <v>1093266</v>
      </c>
      <c r="I1343" s="242">
        <v>1177021</v>
      </c>
      <c r="J1343"/>
    </row>
    <row r="1344" spans="1:10" ht="15.75" customHeight="1">
      <c r="A1344" t="s">
        <v>835</v>
      </c>
      <c r="B1344">
        <v>614000</v>
      </c>
      <c r="C1344">
        <v>1</v>
      </c>
      <c r="D1344" t="str">
        <f t="shared" si="20"/>
        <v>1614000.769</v>
      </c>
      <c r="E1344" t="s">
        <v>2605</v>
      </c>
      <c r="F1344" s="242"/>
      <c r="G1344"/>
      <c r="H1344" s="242">
        <v>17600</v>
      </c>
      <c r="I1344" s="242">
        <v>0</v>
      </c>
      <c r="J1344"/>
    </row>
    <row r="1345" spans="1:10" ht="15.75" customHeight="1">
      <c r="A1345" t="s">
        <v>2632</v>
      </c>
      <c r="B1345">
        <v>614000</v>
      </c>
      <c r="C1345">
        <v>1</v>
      </c>
      <c r="D1345" t="str">
        <f t="shared" si="20"/>
        <v>1614000.780</v>
      </c>
      <c r="E1345" t="s">
        <v>2633</v>
      </c>
      <c r="F1345" s="242"/>
      <c r="G1345"/>
      <c r="H1345" s="242">
        <v>77400</v>
      </c>
      <c r="I1345" s="242">
        <v>66000</v>
      </c>
      <c r="J1345"/>
    </row>
    <row r="1346" spans="1:10" ht="15.75" customHeight="1">
      <c r="A1346" t="s">
        <v>2571</v>
      </c>
      <c r="B1346">
        <v>614100</v>
      </c>
      <c r="C1346">
        <v>1</v>
      </c>
      <c r="D1346" t="str">
        <f t="shared" si="20"/>
        <v>1614100.105</v>
      </c>
      <c r="E1346" t="s">
        <v>2572</v>
      </c>
      <c r="F1346" s="242"/>
      <c r="G1346"/>
      <c r="H1346" s="242">
        <v>0</v>
      </c>
      <c r="I1346" s="242">
        <v>45131</v>
      </c>
      <c r="J1346"/>
    </row>
    <row r="1347" spans="1:10" ht="15.75" customHeight="1">
      <c r="A1347" t="s">
        <v>2403</v>
      </c>
      <c r="B1347">
        <v>614100</v>
      </c>
      <c r="C1347">
        <v>1</v>
      </c>
      <c r="D1347" t="str">
        <f t="shared" ref="D1347:D1410" si="21">C1347&amp;B1347&amp;"."&amp;A1347</f>
        <v>1614100.110</v>
      </c>
      <c r="E1347" t="s">
        <v>2573</v>
      </c>
      <c r="F1347" s="242"/>
      <c r="G1347"/>
      <c r="H1347" s="242">
        <v>453076</v>
      </c>
      <c r="I1347" s="242">
        <v>415048</v>
      </c>
      <c r="J1347"/>
    </row>
    <row r="1348" spans="1:10" ht="15.75" customHeight="1">
      <c r="A1348" t="s">
        <v>2404</v>
      </c>
      <c r="B1348">
        <v>614100</v>
      </c>
      <c r="C1348">
        <v>1</v>
      </c>
      <c r="D1348" t="str">
        <f t="shared" si="21"/>
        <v>1614100.120</v>
      </c>
      <c r="E1348" t="s">
        <v>2574</v>
      </c>
      <c r="F1348" s="242"/>
      <c r="G1348"/>
      <c r="H1348" s="242">
        <v>79457</v>
      </c>
      <c r="I1348" s="242">
        <v>74712</v>
      </c>
      <c r="J1348"/>
    </row>
    <row r="1349" spans="1:10" ht="15.75" customHeight="1">
      <c r="A1349" t="s">
        <v>2575</v>
      </c>
      <c r="B1349">
        <v>614100</v>
      </c>
      <c r="C1349">
        <v>1</v>
      </c>
      <c r="D1349" t="str">
        <f t="shared" si="21"/>
        <v>1614100.130</v>
      </c>
      <c r="E1349" t="s">
        <v>2576</v>
      </c>
      <c r="F1349" s="242"/>
      <c r="G1349"/>
      <c r="H1349" s="242">
        <v>1962</v>
      </c>
      <c r="I1349" s="242">
        <v>4565</v>
      </c>
      <c r="J1349"/>
    </row>
    <row r="1350" spans="1:10" ht="15.75" customHeight="1">
      <c r="A1350" t="s">
        <v>2577</v>
      </c>
      <c r="B1350">
        <v>614100</v>
      </c>
      <c r="C1350">
        <v>1</v>
      </c>
      <c r="D1350" t="str">
        <f t="shared" si="21"/>
        <v>1614100.140</v>
      </c>
      <c r="E1350" t="s">
        <v>2578</v>
      </c>
      <c r="F1350" s="242"/>
      <c r="G1350"/>
      <c r="H1350" s="242">
        <v>72250</v>
      </c>
      <c r="I1350" s="242">
        <v>69860</v>
      </c>
      <c r="J1350"/>
    </row>
    <row r="1351" spans="1:10" ht="15.75" customHeight="1">
      <c r="A1351" t="s">
        <v>2579</v>
      </c>
      <c r="B1351">
        <v>614100</v>
      </c>
      <c r="C1351">
        <v>1</v>
      </c>
      <c r="D1351" t="str">
        <f t="shared" si="21"/>
        <v>1614100.181</v>
      </c>
      <c r="E1351" t="s">
        <v>2580</v>
      </c>
      <c r="F1351" s="242"/>
      <c r="G1351"/>
      <c r="H1351" s="242">
        <v>95355</v>
      </c>
      <c r="I1351" s="242">
        <v>89432</v>
      </c>
      <c r="J1351"/>
    </row>
    <row r="1352" spans="1:10" ht="15.75" customHeight="1">
      <c r="A1352" t="s">
        <v>2581</v>
      </c>
      <c r="B1352">
        <v>614100</v>
      </c>
      <c r="C1352">
        <v>1</v>
      </c>
      <c r="D1352" t="str">
        <f t="shared" si="21"/>
        <v>1614100.182</v>
      </c>
      <c r="E1352" t="s">
        <v>2582</v>
      </c>
      <c r="F1352" s="242"/>
      <c r="G1352"/>
      <c r="H1352" s="242">
        <v>48911</v>
      </c>
      <c r="I1352" s="242">
        <v>45466</v>
      </c>
      <c r="J1352"/>
    </row>
    <row r="1353" spans="1:10" ht="15.75" customHeight="1">
      <c r="A1353" t="s">
        <v>2409</v>
      </c>
      <c r="B1353">
        <v>614100</v>
      </c>
      <c r="C1353">
        <v>1</v>
      </c>
      <c r="D1353" t="str">
        <f t="shared" si="21"/>
        <v>1614100.410</v>
      </c>
      <c r="E1353" t="s">
        <v>2614</v>
      </c>
      <c r="F1353" s="242"/>
      <c r="G1353"/>
      <c r="H1353" s="242">
        <v>88000</v>
      </c>
      <c r="I1353" s="242">
        <v>104000</v>
      </c>
      <c r="J1353"/>
    </row>
    <row r="1354" spans="1:10" ht="15.75" customHeight="1">
      <c r="A1354" t="s">
        <v>2286</v>
      </c>
      <c r="B1354">
        <v>614100</v>
      </c>
      <c r="C1354">
        <v>1</v>
      </c>
      <c r="D1354" t="str">
        <f t="shared" si="21"/>
        <v>1614100.511</v>
      </c>
      <c r="E1354" t="s">
        <v>2584</v>
      </c>
      <c r="F1354" s="242"/>
      <c r="G1354"/>
      <c r="H1354" s="242">
        <v>9500</v>
      </c>
      <c r="I1354" s="242">
        <v>2435</v>
      </c>
      <c r="J1354"/>
    </row>
    <row r="1355" spans="1:10" ht="15.75" customHeight="1">
      <c r="A1355" t="s">
        <v>2414</v>
      </c>
      <c r="B1355">
        <v>614100</v>
      </c>
      <c r="C1355">
        <v>1</v>
      </c>
      <c r="D1355" t="str">
        <f t="shared" si="21"/>
        <v>1614100.512</v>
      </c>
      <c r="E1355" t="s">
        <v>2585</v>
      </c>
      <c r="F1355" s="242"/>
      <c r="G1355"/>
      <c r="H1355" s="242">
        <v>1000</v>
      </c>
      <c r="I1355" s="242">
        <v>0</v>
      </c>
      <c r="J1355"/>
    </row>
    <row r="1356" spans="1:10" ht="15.75" customHeight="1">
      <c r="A1356" t="s">
        <v>2588</v>
      </c>
      <c r="B1356">
        <v>614100</v>
      </c>
      <c r="C1356">
        <v>1</v>
      </c>
      <c r="D1356" t="str">
        <f t="shared" si="21"/>
        <v>1614100.522</v>
      </c>
      <c r="E1356" t="s">
        <v>2589</v>
      </c>
      <c r="F1356" s="242"/>
      <c r="G1356"/>
      <c r="H1356" s="242">
        <v>30000</v>
      </c>
      <c r="I1356" s="242">
        <v>24515</v>
      </c>
      <c r="J1356"/>
    </row>
    <row r="1357" spans="1:10" ht="15.75" customHeight="1">
      <c r="A1357" t="s">
        <v>2590</v>
      </c>
      <c r="B1357">
        <v>614100</v>
      </c>
      <c r="C1357">
        <v>1</v>
      </c>
      <c r="D1357" t="str">
        <f t="shared" si="21"/>
        <v>1614100.523</v>
      </c>
      <c r="E1357" t="s">
        <v>2615</v>
      </c>
      <c r="F1357" s="242"/>
      <c r="G1357"/>
      <c r="H1357" s="242">
        <v>1000</v>
      </c>
      <c r="I1357" s="242">
        <v>800</v>
      </c>
      <c r="J1357"/>
    </row>
    <row r="1358" spans="1:10" ht="15.75" customHeight="1">
      <c r="A1358" t="s">
        <v>2594</v>
      </c>
      <c r="B1358">
        <v>614100</v>
      </c>
      <c r="C1358">
        <v>1</v>
      </c>
      <c r="D1358" t="str">
        <f t="shared" si="21"/>
        <v>1614100.540</v>
      </c>
      <c r="E1358" t="s">
        <v>2595</v>
      </c>
      <c r="F1358" s="242"/>
      <c r="G1358"/>
      <c r="H1358" s="242">
        <v>14000</v>
      </c>
      <c r="I1358" s="242">
        <v>7920</v>
      </c>
      <c r="J1358"/>
    </row>
    <row r="1359" spans="1:10" ht="15.75" customHeight="1">
      <c r="A1359" t="s">
        <v>2596</v>
      </c>
      <c r="B1359">
        <v>614100</v>
      </c>
      <c r="C1359">
        <v>1</v>
      </c>
      <c r="D1359" t="str">
        <f t="shared" si="21"/>
        <v>1614100.550</v>
      </c>
      <c r="E1359" t="s">
        <v>2597</v>
      </c>
      <c r="F1359" s="242"/>
      <c r="G1359"/>
      <c r="H1359" s="242">
        <v>136000</v>
      </c>
      <c r="I1359" s="242">
        <v>172811</v>
      </c>
      <c r="J1359"/>
    </row>
    <row r="1360" spans="1:10" ht="15.75" customHeight="1">
      <c r="A1360" t="s">
        <v>2616</v>
      </c>
      <c r="B1360">
        <v>614100</v>
      </c>
      <c r="C1360">
        <v>1</v>
      </c>
      <c r="D1360" t="str">
        <f t="shared" si="21"/>
        <v>1614100.551</v>
      </c>
      <c r="E1360" t="s">
        <v>2617</v>
      </c>
      <c r="F1360" s="242"/>
      <c r="G1360"/>
      <c r="H1360" s="242">
        <v>40000</v>
      </c>
      <c r="I1360" s="242">
        <v>25540</v>
      </c>
      <c r="J1360"/>
    </row>
    <row r="1361" spans="1:10" ht="15.75" customHeight="1">
      <c r="A1361" t="s">
        <v>2618</v>
      </c>
      <c r="B1361">
        <v>614100</v>
      </c>
      <c r="C1361">
        <v>1</v>
      </c>
      <c r="D1361" t="str">
        <f t="shared" si="21"/>
        <v>1614100.552</v>
      </c>
      <c r="E1361" t="s">
        <v>2619</v>
      </c>
      <c r="F1361" s="242"/>
      <c r="G1361"/>
      <c r="H1361" s="242">
        <v>135000</v>
      </c>
      <c r="I1361" s="242">
        <v>132634</v>
      </c>
      <c r="J1361"/>
    </row>
    <row r="1362" spans="1:10" ht="15.75" customHeight="1">
      <c r="A1362" t="s">
        <v>2598</v>
      </c>
      <c r="B1362">
        <v>614100</v>
      </c>
      <c r="C1362">
        <v>1</v>
      </c>
      <c r="D1362" t="str">
        <f t="shared" si="21"/>
        <v>1614100.561</v>
      </c>
      <c r="E1362" t="s">
        <v>2599</v>
      </c>
      <c r="F1362" s="242"/>
      <c r="G1362"/>
      <c r="H1362" s="242">
        <v>2000</v>
      </c>
      <c r="I1362" s="242">
        <v>1829</v>
      </c>
      <c r="J1362"/>
    </row>
    <row r="1363" spans="1:10" ht="15.75" customHeight="1">
      <c r="A1363" t="s">
        <v>2620</v>
      </c>
      <c r="B1363">
        <v>614100</v>
      </c>
      <c r="C1363">
        <v>1</v>
      </c>
      <c r="D1363" t="str">
        <f t="shared" si="21"/>
        <v>1614100.575</v>
      </c>
      <c r="E1363" t="s">
        <v>2621</v>
      </c>
      <c r="F1363" s="242"/>
      <c r="G1363"/>
      <c r="H1363" s="242">
        <v>2700</v>
      </c>
      <c r="I1363" s="242">
        <v>2714</v>
      </c>
      <c r="J1363"/>
    </row>
    <row r="1364" spans="1:10" ht="15.75" customHeight="1">
      <c r="A1364" t="s">
        <v>2600</v>
      </c>
      <c r="B1364">
        <v>614100</v>
      </c>
      <c r="C1364">
        <v>1</v>
      </c>
      <c r="D1364" t="str">
        <f t="shared" si="21"/>
        <v>1614100.580</v>
      </c>
      <c r="E1364" t="s">
        <v>2601</v>
      </c>
      <c r="F1364" s="242"/>
      <c r="G1364"/>
      <c r="H1364" s="242">
        <v>3500</v>
      </c>
      <c r="I1364" s="242">
        <v>3096</v>
      </c>
      <c r="J1364"/>
    </row>
    <row r="1365" spans="1:10" ht="15.75" customHeight="1">
      <c r="A1365" t="s">
        <v>600</v>
      </c>
      <c r="B1365">
        <v>614100</v>
      </c>
      <c r="C1365">
        <v>1</v>
      </c>
      <c r="D1365" t="str">
        <f t="shared" si="21"/>
        <v>1614100.731</v>
      </c>
      <c r="E1365" t="s">
        <v>2593</v>
      </c>
      <c r="F1365" s="242"/>
      <c r="G1365"/>
      <c r="H1365" s="242">
        <v>22278</v>
      </c>
      <c r="I1365" s="242">
        <v>22781</v>
      </c>
      <c r="J1365"/>
    </row>
    <row r="1366" spans="1:10" ht="15.75" customHeight="1">
      <c r="A1366" t="s">
        <v>2418</v>
      </c>
      <c r="B1366">
        <v>614100</v>
      </c>
      <c r="C1366">
        <v>1</v>
      </c>
      <c r="D1366" t="str">
        <f t="shared" si="21"/>
        <v>1614100.735</v>
      </c>
      <c r="E1366" t="s">
        <v>2602</v>
      </c>
      <c r="F1366" s="242"/>
      <c r="G1366"/>
      <c r="H1366" s="242">
        <v>37998</v>
      </c>
      <c r="I1366" s="242">
        <v>43752</v>
      </c>
      <c r="J1366"/>
    </row>
    <row r="1367" spans="1:10" ht="15.75" customHeight="1">
      <c r="A1367" t="s">
        <v>673</v>
      </c>
      <c r="B1367">
        <v>614100</v>
      </c>
      <c r="C1367">
        <v>1</v>
      </c>
      <c r="D1367" t="str">
        <f t="shared" si="21"/>
        <v>1614100.743</v>
      </c>
      <c r="E1367" t="s">
        <v>2622</v>
      </c>
      <c r="F1367" s="242"/>
      <c r="G1367"/>
      <c r="H1367" s="242">
        <v>5000</v>
      </c>
      <c r="I1367" s="242">
        <v>4328</v>
      </c>
      <c r="J1367"/>
    </row>
    <row r="1368" spans="1:10" ht="15.75" customHeight="1">
      <c r="A1368" t="s">
        <v>772</v>
      </c>
      <c r="B1368">
        <v>614100</v>
      </c>
      <c r="C1368">
        <v>1</v>
      </c>
      <c r="D1368" t="str">
        <f t="shared" si="21"/>
        <v>1614100.751</v>
      </c>
      <c r="E1368" t="s">
        <v>2623</v>
      </c>
      <c r="F1368" s="242"/>
      <c r="G1368"/>
      <c r="H1368" s="242">
        <v>50000</v>
      </c>
      <c r="I1368" s="242">
        <v>29999</v>
      </c>
      <c r="J1368"/>
    </row>
    <row r="1369" spans="1:10" ht="15.75" customHeight="1">
      <c r="A1369" t="s">
        <v>835</v>
      </c>
      <c r="B1369">
        <v>614100</v>
      </c>
      <c r="C1369">
        <v>1</v>
      </c>
      <c r="D1369" t="str">
        <f t="shared" si="21"/>
        <v>1614100.769</v>
      </c>
      <c r="E1369" t="s">
        <v>2605</v>
      </c>
      <c r="F1369" s="242"/>
      <c r="G1369"/>
      <c r="H1369" s="242">
        <v>19200</v>
      </c>
      <c r="I1369" s="242">
        <v>2223</v>
      </c>
      <c r="J1369"/>
    </row>
    <row r="1370" spans="1:10" ht="15.75" customHeight="1">
      <c r="A1370" t="s">
        <v>872</v>
      </c>
      <c r="B1370">
        <v>614100</v>
      </c>
      <c r="C1370">
        <v>1</v>
      </c>
      <c r="D1370" t="str">
        <f t="shared" si="21"/>
        <v>1614100.781</v>
      </c>
      <c r="E1370" t="s">
        <v>2624</v>
      </c>
      <c r="F1370" s="242"/>
      <c r="G1370"/>
      <c r="H1370" s="242">
        <v>230000</v>
      </c>
      <c r="I1370" s="242">
        <v>187012</v>
      </c>
      <c r="J1370"/>
    </row>
    <row r="1371" spans="1:10" ht="15.75" customHeight="1">
      <c r="A1371" t="s">
        <v>2588</v>
      </c>
      <c r="B1371">
        <v>614101</v>
      </c>
      <c r="C1371">
        <v>1</v>
      </c>
      <c r="D1371" t="str">
        <f t="shared" si="21"/>
        <v>1614101.522</v>
      </c>
      <c r="E1371" t="s">
        <v>2589</v>
      </c>
      <c r="F1371" s="242"/>
      <c r="G1371"/>
      <c r="H1371" s="242">
        <v>8000</v>
      </c>
      <c r="I1371" s="242">
        <v>5145</v>
      </c>
      <c r="J1371"/>
    </row>
    <row r="1372" spans="1:10" ht="15.75" customHeight="1">
      <c r="A1372" t="s">
        <v>2596</v>
      </c>
      <c r="B1372">
        <v>614101</v>
      </c>
      <c r="C1372">
        <v>1</v>
      </c>
      <c r="D1372" t="str">
        <f t="shared" si="21"/>
        <v>1614101.550</v>
      </c>
      <c r="E1372" t="s">
        <v>2625</v>
      </c>
      <c r="F1372" s="242"/>
      <c r="G1372"/>
      <c r="H1372" s="242">
        <v>30000</v>
      </c>
      <c r="I1372" s="242">
        <v>28743</v>
      </c>
      <c r="J1372"/>
    </row>
    <row r="1373" spans="1:10" ht="15.75" customHeight="1">
      <c r="A1373" t="s">
        <v>2571</v>
      </c>
      <c r="B1373">
        <v>615000</v>
      </c>
      <c r="C1373">
        <v>1</v>
      </c>
      <c r="D1373" t="str">
        <f t="shared" si="21"/>
        <v>1615000.105</v>
      </c>
      <c r="E1373" t="s">
        <v>2572</v>
      </c>
      <c r="F1373" s="242"/>
      <c r="G1373"/>
      <c r="H1373" s="242">
        <v>176250</v>
      </c>
      <c r="I1373" s="242">
        <v>0</v>
      </c>
      <c r="J1373"/>
    </row>
    <row r="1374" spans="1:10" ht="15.75" customHeight="1">
      <c r="A1374" t="s">
        <v>2403</v>
      </c>
      <c r="B1374">
        <v>615000</v>
      </c>
      <c r="C1374">
        <v>1</v>
      </c>
      <c r="D1374" t="str">
        <f t="shared" si="21"/>
        <v>1615000.110</v>
      </c>
      <c r="E1374" t="s">
        <v>2573</v>
      </c>
      <c r="F1374" s="242"/>
      <c r="G1374"/>
      <c r="H1374" s="242">
        <v>521623</v>
      </c>
      <c r="I1374" s="242">
        <v>591444</v>
      </c>
      <c r="J1374"/>
    </row>
    <row r="1375" spans="1:10" ht="15.75" customHeight="1">
      <c r="A1375" t="s">
        <v>2404</v>
      </c>
      <c r="B1375">
        <v>615000</v>
      </c>
      <c r="C1375">
        <v>1</v>
      </c>
      <c r="D1375" t="str">
        <f t="shared" si="21"/>
        <v>1615000.120</v>
      </c>
      <c r="E1375" t="s">
        <v>2574</v>
      </c>
      <c r="F1375" s="242"/>
      <c r="G1375"/>
      <c r="H1375" s="242">
        <v>27034</v>
      </c>
      <c r="I1375" s="242">
        <v>23111</v>
      </c>
      <c r="J1375"/>
    </row>
    <row r="1376" spans="1:10" ht="15.75" customHeight="1">
      <c r="A1376" t="s">
        <v>2575</v>
      </c>
      <c r="B1376">
        <v>615000</v>
      </c>
      <c r="C1376">
        <v>1</v>
      </c>
      <c r="D1376" t="str">
        <f t="shared" si="21"/>
        <v>1615000.130</v>
      </c>
      <c r="E1376" t="s">
        <v>2576</v>
      </c>
      <c r="F1376" s="242"/>
      <c r="G1376"/>
      <c r="H1376" s="242">
        <v>19936</v>
      </c>
      <c r="I1376" s="242">
        <v>21257</v>
      </c>
      <c r="J1376"/>
    </row>
    <row r="1377" spans="1:10" ht="15.75" customHeight="1">
      <c r="A1377" t="s">
        <v>2577</v>
      </c>
      <c r="B1377">
        <v>615000</v>
      </c>
      <c r="C1377">
        <v>1</v>
      </c>
      <c r="D1377" t="str">
        <f t="shared" si="21"/>
        <v>1615000.140</v>
      </c>
      <c r="E1377" t="s">
        <v>2578</v>
      </c>
      <c r="F1377" s="242"/>
      <c r="G1377"/>
      <c r="H1377" s="242">
        <v>89585</v>
      </c>
      <c r="I1377" s="242">
        <v>79382</v>
      </c>
      <c r="J1377"/>
    </row>
    <row r="1378" spans="1:10" ht="15.75" customHeight="1">
      <c r="A1378" t="s">
        <v>2579</v>
      </c>
      <c r="B1378">
        <v>615000</v>
      </c>
      <c r="C1378">
        <v>1</v>
      </c>
      <c r="D1378" t="str">
        <f t="shared" si="21"/>
        <v>1615000.181</v>
      </c>
      <c r="E1378" t="s">
        <v>2580</v>
      </c>
      <c r="F1378" s="242"/>
      <c r="G1378"/>
      <c r="H1378" s="242">
        <v>165913</v>
      </c>
      <c r="I1378" s="242">
        <v>165323</v>
      </c>
      <c r="J1378"/>
    </row>
    <row r="1379" spans="1:10" ht="15.75" customHeight="1">
      <c r="A1379" t="s">
        <v>2581</v>
      </c>
      <c r="B1379">
        <v>615000</v>
      </c>
      <c r="C1379">
        <v>1</v>
      </c>
      <c r="D1379" t="str">
        <f t="shared" si="21"/>
        <v>1615000.182</v>
      </c>
      <c r="E1379" t="s">
        <v>2582</v>
      </c>
      <c r="F1379" s="242"/>
      <c r="G1379"/>
      <c r="H1379" s="242">
        <v>58102</v>
      </c>
      <c r="I1379" s="242">
        <v>57688</v>
      </c>
      <c r="J1379"/>
    </row>
    <row r="1380" spans="1:10" ht="15.75" customHeight="1">
      <c r="A1380" t="s">
        <v>2650</v>
      </c>
      <c r="B1380">
        <v>615000</v>
      </c>
      <c r="C1380">
        <v>1</v>
      </c>
      <c r="D1380" t="str">
        <f t="shared" si="21"/>
        <v>1615000.288</v>
      </c>
      <c r="E1380" t="s">
        <v>2651</v>
      </c>
      <c r="F1380" s="242"/>
      <c r="G1380"/>
      <c r="H1380" s="242">
        <v>22100</v>
      </c>
      <c r="I1380" s="242">
        <v>20893</v>
      </c>
      <c r="J1380"/>
    </row>
    <row r="1381" spans="1:10" ht="15.75" customHeight="1">
      <c r="A1381" t="s">
        <v>2652</v>
      </c>
      <c r="B1381">
        <v>615000</v>
      </c>
      <c r="C1381">
        <v>1</v>
      </c>
      <c r="D1381" t="str">
        <f t="shared" si="21"/>
        <v>1615000.420</v>
      </c>
      <c r="E1381" t="s">
        <v>4491</v>
      </c>
      <c r="F1381" s="242"/>
      <c r="G1381"/>
      <c r="H1381" s="242">
        <v>9000</v>
      </c>
      <c r="I1381" s="242">
        <v>7540</v>
      </c>
      <c r="J1381"/>
    </row>
    <row r="1382" spans="1:10" ht="15.75" customHeight="1">
      <c r="A1382" t="s">
        <v>2606</v>
      </c>
      <c r="B1382">
        <v>615000</v>
      </c>
      <c r="C1382">
        <v>1</v>
      </c>
      <c r="D1382" t="str">
        <f t="shared" si="21"/>
        <v>1615000.440</v>
      </c>
      <c r="E1382" t="s">
        <v>4492</v>
      </c>
      <c r="F1382" s="242"/>
      <c r="G1382"/>
      <c r="H1382" s="242">
        <v>209300</v>
      </c>
      <c r="I1382" s="242">
        <v>202102</v>
      </c>
      <c r="J1382"/>
    </row>
    <row r="1383" spans="1:10" ht="15.75" customHeight="1">
      <c r="A1383" t="s">
        <v>2286</v>
      </c>
      <c r="B1383">
        <v>615000</v>
      </c>
      <c r="C1383">
        <v>1</v>
      </c>
      <c r="D1383" t="str">
        <f t="shared" si="21"/>
        <v>1615000.511</v>
      </c>
      <c r="E1383" t="s">
        <v>2584</v>
      </c>
      <c r="F1383" s="242"/>
      <c r="G1383"/>
      <c r="H1383" s="242">
        <v>5000</v>
      </c>
      <c r="I1383" s="242">
        <v>4776</v>
      </c>
      <c r="J1383"/>
    </row>
    <row r="1384" spans="1:10" ht="15.75" customHeight="1">
      <c r="A1384" t="s">
        <v>2414</v>
      </c>
      <c r="B1384">
        <v>615000</v>
      </c>
      <c r="C1384">
        <v>1</v>
      </c>
      <c r="D1384" t="str">
        <f t="shared" si="21"/>
        <v>1615000.512</v>
      </c>
      <c r="E1384" t="s">
        <v>2585</v>
      </c>
      <c r="F1384" s="242"/>
      <c r="G1384"/>
      <c r="H1384" s="242">
        <v>1000</v>
      </c>
      <c r="I1384" s="242">
        <v>170</v>
      </c>
      <c r="J1384"/>
    </row>
    <row r="1385" spans="1:10" ht="15.75" customHeight="1">
      <c r="A1385" t="s">
        <v>2644</v>
      </c>
      <c r="B1385">
        <v>615000</v>
      </c>
      <c r="C1385">
        <v>1</v>
      </c>
      <c r="D1385" t="str">
        <f t="shared" si="21"/>
        <v>1615000.521</v>
      </c>
      <c r="E1385" t="s">
        <v>2734</v>
      </c>
      <c r="F1385" s="242"/>
      <c r="G1385"/>
      <c r="H1385" s="242">
        <v>0</v>
      </c>
      <c r="I1385" s="242">
        <v>0</v>
      </c>
      <c r="J1385"/>
    </row>
    <row r="1386" spans="1:10" ht="15.75" customHeight="1">
      <c r="A1386" t="s">
        <v>2588</v>
      </c>
      <c r="B1386">
        <v>615000</v>
      </c>
      <c r="C1386">
        <v>1</v>
      </c>
      <c r="D1386" t="str">
        <f t="shared" si="21"/>
        <v>1615000.522</v>
      </c>
      <c r="E1386" t="s">
        <v>2608</v>
      </c>
      <c r="F1386" s="242"/>
      <c r="G1386"/>
      <c r="H1386" s="242">
        <v>10000</v>
      </c>
      <c r="I1386" s="242">
        <v>7417</v>
      </c>
      <c r="J1386"/>
    </row>
    <row r="1387" spans="1:10" ht="15.75" customHeight="1">
      <c r="A1387" t="s">
        <v>2590</v>
      </c>
      <c r="B1387">
        <v>615000</v>
      </c>
      <c r="C1387">
        <v>1</v>
      </c>
      <c r="D1387" t="str">
        <f t="shared" si="21"/>
        <v>1615000.523</v>
      </c>
      <c r="E1387" t="s">
        <v>2615</v>
      </c>
      <c r="F1387" s="242"/>
      <c r="G1387"/>
      <c r="H1387" s="242">
        <v>2000</v>
      </c>
      <c r="I1387" s="242">
        <v>750</v>
      </c>
      <c r="J1387"/>
    </row>
    <row r="1388" spans="1:10" ht="15.75" customHeight="1">
      <c r="A1388" t="s">
        <v>2594</v>
      </c>
      <c r="B1388">
        <v>615000</v>
      </c>
      <c r="C1388">
        <v>1</v>
      </c>
      <c r="D1388" t="str">
        <f t="shared" si="21"/>
        <v>1615000.540</v>
      </c>
      <c r="E1388" t="s">
        <v>2595</v>
      </c>
      <c r="F1388" s="242"/>
      <c r="G1388"/>
      <c r="H1388" s="242">
        <v>43000</v>
      </c>
      <c r="I1388" s="242">
        <v>37425</v>
      </c>
      <c r="J1388"/>
    </row>
    <row r="1389" spans="1:10" ht="15.75" customHeight="1">
      <c r="A1389" t="s">
        <v>2596</v>
      </c>
      <c r="B1389">
        <v>615000</v>
      </c>
      <c r="C1389">
        <v>1</v>
      </c>
      <c r="D1389" t="str">
        <f t="shared" si="21"/>
        <v>1615000.550</v>
      </c>
      <c r="E1389" t="s">
        <v>2597</v>
      </c>
      <c r="F1389" s="242"/>
      <c r="G1389"/>
      <c r="H1389" s="242">
        <v>80000</v>
      </c>
      <c r="I1389" s="242">
        <v>156470</v>
      </c>
      <c r="J1389"/>
    </row>
    <row r="1390" spans="1:10" ht="15.75" customHeight="1">
      <c r="A1390" t="s">
        <v>2598</v>
      </c>
      <c r="B1390">
        <v>615000</v>
      </c>
      <c r="C1390">
        <v>1</v>
      </c>
      <c r="D1390" t="str">
        <f t="shared" si="21"/>
        <v>1615000.561</v>
      </c>
      <c r="E1390" t="s">
        <v>2599</v>
      </c>
      <c r="F1390" s="242"/>
      <c r="G1390"/>
      <c r="H1390" s="242">
        <v>21500</v>
      </c>
      <c r="I1390" s="242">
        <v>20158</v>
      </c>
      <c r="J1390"/>
    </row>
    <row r="1391" spans="1:10" ht="15.75" customHeight="1">
      <c r="A1391" t="s">
        <v>2647</v>
      </c>
      <c r="B1391">
        <v>615000</v>
      </c>
      <c r="C1391">
        <v>1</v>
      </c>
      <c r="D1391" t="str">
        <f t="shared" si="21"/>
        <v>1615000.574</v>
      </c>
      <c r="E1391" t="s">
        <v>2648</v>
      </c>
      <c r="F1391" s="242"/>
      <c r="G1391"/>
      <c r="H1391" s="242">
        <v>16200</v>
      </c>
      <c r="I1391" s="242">
        <v>15835</v>
      </c>
      <c r="J1391"/>
    </row>
    <row r="1392" spans="1:10" ht="15.75" customHeight="1">
      <c r="A1392" t="s">
        <v>2735</v>
      </c>
      <c r="B1392">
        <v>615000</v>
      </c>
      <c r="C1392">
        <v>1</v>
      </c>
      <c r="D1392" t="str">
        <f t="shared" si="21"/>
        <v>1615000.576</v>
      </c>
      <c r="E1392" t="s">
        <v>4493</v>
      </c>
      <c r="F1392" s="242"/>
      <c r="G1392"/>
      <c r="H1392" s="242">
        <v>0</v>
      </c>
      <c r="I1392" s="242">
        <v>0</v>
      </c>
      <c r="J1392"/>
    </row>
    <row r="1393" spans="1:10" ht="15.75" customHeight="1">
      <c r="A1393" t="s">
        <v>2600</v>
      </c>
      <c r="B1393">
        <v>615000</v>
      </c>
      <c r="C1393">
        <v>1</v>
      </c>
      <c r="D1393" t="str">
        <f t="shared" si="21"/>
        <v>1615000.580</v>
      </c>
      <c r="E1393" t="s">
        <v>2601</v>
      </c>
      <c r="F1393" s="242"/>
      <c r="G1393"/>
      <c r="H1393" s="242">
        <v>5000</v>
      </c>
      <c r="I1393" s="242">
        <v>4181</v>
      </c>
      <c r="J1393"/>
    </row>
    <row r="1394" spans="1:10" ht="15.75" customHeight="1">
      <c r="A1394" t="s">
        <v>2702</v>
      </c>
      <c r="B1394">
        <v>615000</v>
      </c>
      <c r="C1394">
        <v>1</v>
      </c>
      <c r="D1394" t="str">
        <f t="shared" si="21"/>
        <v>1615000.582</v>
      </c>
      <c r="E1394" t="s">
        <v>2730</v>
      </c>
      <c r="F1394" s="242"/>
      <c r="G1394"/>
      <c r="H1394" s="242">
        <v>1000</v>
      </c>
      <c r="I1394" s="242">
        <v>0</v>
      </c>
      <c r="J1394"/>
    </row>
    <row r="1395" spans="1:10" ht="15.75" customHeight="1">
      <c r="A1395" t="s">
        <v>424</v>
      </c>
      <c r="B1395">
        <v>615000</v>
      </c>
      <c r="C1395">
        <v>1</v>
      </c>
      <c r="D1395" t="str">
        <f t="shared" si="21"/>
        <v>1615000.711</v>
      </c>
      <c r="E1395" t="s">
        <v>4494</v>
      </c>
      <c r="F1395" s="242"/>
      <c r="G1395"/>
      <c r="H1395" s="242">
        <v>0</v>
      </c>
      <c r="I1395" s="242">
        <v>0</v>
      </c>
      <c r="J1395"/>
    </row>
    <row r="1396" spans="1:10" ht="15.75" customHeight="1">
      <c r="A1396" t="s">
        <v>600</v>
      </c>
      <c r="B1396">
        <v>615000</v>
      </c>
      <c r="C1396">
        <v>1</v>
      </c>
      <c r="D1396" t="str">
        <f t="shared" si="21"/>
        <v>1615000.731</v>
      </c>
      <c r="E1396" t="s">
        <v>2593</v>
      </c>
      <c r="F1396" s="242"/>
      <c r="G1396"/>
      <c r="H1396" s="242">
        <v>22278</v>
      </c>
      <c r="I1396" s="242">
        <v>21233</v>
      </c>
      <c r="J1396"/>
    </row>
    <row r="1397" spans="1:10" ht="15.75" customHeight="1">
      <c r="A1397" t="s">
        <v>2418</v>
      </c>
      <c r="B1397">
        <v>615000</v>
      </c>
      <c r="C1397">
        <v>1</v>
      </c>
      <c r="D1397" t="str">
        <f t="shared" si="21"/>
        <v>1615000.735</v>
      </c>
      <c r="E1397" t="s">
        <v>2602</v>
      </c>
      <c r="F1397" s="242"/>
      <c r="G1397"/>
      <c r="H1397" s="242">
        <v>41121</v>
      </c>
      <c r="I1397" s="242">
        <v>45473</v>
      </c>
      <c r="J1397"/>
    </row>
    <row r="1398" spans="1:10" ht="15.75" customHeight="1">
      <c r="A1398" t="s">
        <v>658</v>
      </c>
      <c r="B1398">
        <v>615000</v>
      </c>
      <c r="C1398">
        <v>1</v>
      </c>
      <c r="D1398" t="str">
        <f t="shared" si="21"/>
        <v>1615000.742</v>
      </c>
      <c r="E1398" t="s">
        <v>2668</v>
      </c>
      <c r="F1398" s="242"/>
      <c r="G1398"/>
      <c r="H1398" s="242">
        <v>4275</v>
      </c>
      <c r="I1398" s="242">
        <v>267</v>
      </c>
      <c r="J1398"/>
    </row>
    <row r="1399" spans="1:10" ht="15.75" customHeight="1">
      <c r="A1399" t="s">
        <v>673</v>
      </c>
      <c r="B1399">
        <v>615000</v>
      </c>
      <c r="C1399">
        <v>1</v>
      </c>
      <c r="D1399" t="str">
        <f t="shared" si="21"/>
        <v>1615000.743</v>
      </c>
      <c r="E1399" t="s">
        <v>2763</v>
      </c>
      <c r="F1399" s="242"/>
      <c r="G1399"/>
      <c r="H1399" s="242">
        <v>25000</v>
      </c>
      <c r="I1399" s="242">
        <v>59174</v>
      </c>
      <c r="J1399"/>
    </row>
    <row r="1400" spans="1:10" ht="15.75" customHeight="1">
      <c r="A1400" t="s">
        <v>2611</v>
      </c>
      <c r="B1400">
        <v>615000</v>
      </c>
      <c r="C1400">
        <v>1</v>
      </c>
      <c r="D1400" t="str">
        <f t="shared" si="21"/>
        <v>1615000.750</v>
      </c>
      <c r="E1400" t="s">
        <v>4495</v>
      </c>
      <c r="F1400" s="242"/>
      <c r="G1400"/>
      <c r="H1400" s="242">
        <v>42000</v>
      </c>
      <c r="I1400" s="242">
        <v>27712</v>
      </c>
      <c r="J1400"/>
    </row>
    <row r="1401" spans="1:10" ht="15.75" customHeight="1">
      <c r="A1401" t="s">
        <v>772</v>
      </c>
      <c r="B1401">
        <v>615000</v>
      </c>
      <c r="C1401">
        <v>1</v>
      </c>
      <c r="D1401" t="str">
        <f t="shared" si="21"/>
        <v>1615000.751</v>
      </c>
      <c r="E1401" t="s">
        <v>2924</v>
      </c>
      <c r="F1401" s="242"/>
      <c r="G1401"/>
      <c r="H1401" s="242">
        <v>390000</v>
      </c>
      <c r="I1401" s="242">
        <v>288443</v>
      </c>
      <c r="J1401"/>
    </row>
    <row r="1402" spans="1:10" ht="15.75" customHeight="1">
      <c r="A1402" t="s">
        <v>776</v>
      </c>
      <c r="B1402">
        <v>615000</v>
      </c>
      <c r="C1402">
        <v>1</v>
      </c>
      <c r="D1402" t="str">
        <f t="shared" si="21"/>
        <v>1615000.752</v>
      </c>
      <c r="E1402" t="s">
        <v>2707</v>
      </c>
      <c r="F1402" s="242"/>
      <c r="G1402"/>
      <c r="H1402" s="242">
        <v>40000</v>
      </c>
      <c r="I1402" s="242">
        <v>67536</v>
      </c>
      <c r="J1402"/>
    </row>
    <row r="1403" spans="1:10" ht="15.75" customHeight="1">
      <c r="A1403" t="s">
        <v>781</v>
      </c>
      <c r="B1403">
        <v>615000</v>
      </c>
      <c r="C1403">
        <v>1</v>
      </c>
      <c r="D1403" t="str">
        <f t="shared" si="21"/>
        <v>1615000.753</v>
      </c>
      <c r="E1403" t="s">
        <v>4496</v>
      </c>
      <c r="F1403" s="242"/>
      <c r="G1403"/>
      <c r="H1403" s="242">
        <v>48000</v>
      </c>
      <c r="I1403" s="242">
        <v>10237</v>
      </c>
      <c r="J1403"/>
    </row>
    <row r="1404" spans="1:10" ht="15.75" customHeight="1">
      <c r="A1404" t="s">
        <v>786</v>
      </c>
      <c r="B1404">
        <v>615000</v>
      </c>
      <c r="C1404">
        <v>1</v>
      </c>
      <c r="D1404" t="str">
        <f t="shared" si="21"/>
        <v>1615000.754</v>
      </c>
      <c r="E1404" t="s">
        <v>4497</v>
      </c>
      <c r="F1404" s="242"/>
      <c r="G1404"/>
      <c r="H1404" s="242">
        <v>0</v>
      </c>
      <c r="I1404" s="242">
        <v>791780</v>
      </c>
      <c r="J1404"/>
    </row>
    <row r="1405" spans="1:10" ht="15.75" customHeight="1">
      <c r="A1405" t="s">
        <v>2670</v>
      </c>
      <c r="B1405">
        <v>615000</v>
      </c>
      <c r="C1405">
        <v>1</v>
      </c>
      <c r="D1405" t="str">
        <f t="shared" si="21"/>
        <v>1615000.755</v>
      </c>
      <c r="E1405" t="s">
        <v>4498</v>
      </c>
      <c r="F1405" s="242"/>
      <c r="G1405"/>
      <c r="H1405" s="242">
        <v>80960</v>
      </c>
      <c r="I1405" s="242">
        <v>44034</v>
      </c>
      <c r="J1405"/>
    </row>
    <row r="1406" spans="1:10" ht="15.75" customHeight="1">
      <c r="A1406" t="s">
        <v>791</v>
      </c>
      <c r="B1406">
        <v>615000</v>
      </c>
      <c r="C1406">
        <v>1</v>
      </c>
      <c r="D1406" t="str">
        <f t="shared" si="21"/>
        <v>1615000.756</v>
      </c>
      <c r="E1406" t="s">
        <v>4499</v>
      </c>
      <c r="F1406" s="242"/>
      <c r="G1406"/>
      <c r="H1406" s="242">
        <v>97148</v>
      </c>
      <c r="I1406" s="242">
        <v>0</v>
      </c>
      <c r="J1406"/>
    </row>
    <row r="1407" spans="1:10" ht="15.75" customHeight="1">
      <c r="A1407" t="s">
        <v>2767</v>
      </c>
      <c r="B1407">
        <v>615000</v>
      </c>
      <c r="C1407">
        <v>1</v>
      </c>
      <c r="D1407" t="str">
        <f t="shared" si="21"/>
        <v>1615000.757</v>
      </c>
      <c r="E1407" t="s">
        <v>2738</v>
      </c>
      <c r="F1407" s="242"/>
      <c r="G1407"/>
      <c r="H1407" s="242">
        <v>10000</v>
      </c>
      <c r="I1407" s="242">
        <v>7479</v>
      </c>
      <c r="J1407"/>
    </row>
    <row r="1408" spans="1:10" ht="15.75" customHeight="1">
      <c r="A1408" t="s">
        <v>2603</v>
      </c>
      <c r="B1408">
        <v>615000</v>
      </c>
      <c r="C1408">
        <v>1</v>
      </c>
      <c r="D1408" t="str">
        <f t="shared" si="21"/>
        <v>1615000.759</v>
      </c>
      <c r="E1408" t="s">
        <v>2642</v>
      </c>
      <c r="F1408" s="242"/>
      <c r="G1408"/>
      <c r="H1408" s="242">
        <v>0</v>
      </c>
      <c r="I1408" s="242">
        <v>0</v>
      </c>
      <c r="J1408"/>
    </row>
    <row r="1409" spans="1:10" ht="15.75" customHeight="1">
      <c r="A1409" t="s">
        <v>835</v>
      </c>
      <c r="B1409">
        <v>615000</v>
      </c>
      <c r="C1409">
        <v>1</v>
      </c>
      <c r="D1409" t="str">
        <f t="shared" si="21"/>
        <v>1615000.769</v>
      </c>
      <c r="E1409" t="s">
        <v>2605</v>
      </c>
      <c r="F1409" s="242"/>
      <c r="G1409"/>
      <c r="H1409" s="242">
        <v>57600</v>
      </c>
      <c r="I1409" s="242">
        <v>32883</v>
      </c>
      <c r="J1409"/>
    </row>
    <row r="1410" spans="1:10" ht="15.75" customHeight="1">
      <c r="A1410" t="s">
        <v>872</v>
      </c>
      <c r="B1410">
        <v>615000</v>
      </c>
      <c r="C1410">
        <v>1</v>
      </c>
      <c r="D1410" t="str">
        <f t="shared" si="21"/>
        <v>1615000.781</v>
      </c>
      <c r="E1410" t="s">
        <v>4500</v>
      </c>
      <c r="F1410" s="242"/>
      <c r="G1410"/>
      <c r="H1410" s="242">
        <v>0</v>
      </c>
      <c r="I1410" s="242">
        <v>27396</v>
      </c>
      <c r="J1410"/>
    </row>
    <row r="1411" spans="1:10" ht="15.75" customHeight="1">
      <c r="A1411" t="s">
        <v>2740</v>
      </c>
      <c r="B1411">
        <v>615000</v>
      </c>
      <c r="C1411">
        <v>1</v>
      </c>
      <c r="D1411" t="str">
        <f t="shared" ref="D1411:D1474" si="22">C1411&amp;B1411&amp;"."&amp;A1411</f>
        <v>1615000.930</v>
      </c>
      <c r="E1411" t="s">
        <v>2741</v>
      </c>
      <c r="F1411" s="242"/>
      <c r="G1411"/>
      <c r="H1411" s="242">
        <v>0</v>
      </c>
      <c r="I1411" s="242">
        <v>8944</v>
      </c>
      <c r="J1411"/>
    </row>
    <row r="1412" spans="1:10" ht="15.75" customHeight="1">
      <c r="A1412" t="s">
        <v>2606</v>
      </c>
      <c r="B1412">
        <v>615001</v>
      </c>
      <c r="C1412">
        <v>1</v>
      </c>
      <c r="D1412" t="str">
        <f t="shared" si="22"/>
        <v>1615001.440</v>
      </c>
      <c r="E1412" t="s">
        <v>4501</v>
      </c>
      <c r="F1412" s="242"/>
      <c r="G1412"/>
      <c r="H1412" s="242">
        <v>149000</v>
      </c>
      <c r="I1412" s="242">
        <v>143857</v>
      </c>
      <c r="J1412"/>
    </row>
    <row r="1413" spans="1:10" ht="15.75" customHeight="1">
      <c r="A1413" t="s">
        <v>2606</v>
      </c>
      <c r="B1413">
        <v>615002</v>
      </c>
      <c r="C1413">
        <v>1</v>
      </c>
      <c r="D1413" t="str">
        <f t="shared" si="22"/>
        <v>1615002.440</v>
      </c>
      <c r="E1413" t="s">
        <v>4502</v>
      </c>
      <c r="F1413" s="242"/>
      <c r="G1413"/>
      <c r="H1413" s="242">
        <v>103900</v>
      </c>
      <c r="I1413" s="242">
        <v>100350</v>
      </c>
      <c r="J1413"/>
    </row>
    <row r="1414" spans="1:10" ht="15.75" customHeight="1">
      <c r="A1414" t="s">
        <v>2691</v>
      </c>
      <c r="B1414">
        <v>615004</v>
      </c>
      <c r="C1414">
        <v>1</v>
      </c>
      <c r="D1414" t="str">
        <f t="shared" si="22"/>
        <v>1615004.986</v>
      </c>
      <c r="E1414" t="s">
        <v>4503</v>
      </c>
      <c r="F1414" s="242"/>
      <c r="G1414"/>
      <c r="H1414" s="242">
        <v>0</v>
      </c>
      <c r="I1414" s="242">
        <v>0</v>
      </c>
      <c r="J1414"/>
    </row>
    <row r="1415" spans="1:10" ht="15.75" customHeight="1">
      <c r="A1415" t="s">
        <v>2403</v>
      </c>
      <c r="B1415">
        <v>615100</v>
      </c>
      <c r="C1415">
        <v>1</v>
      </c>
      <c r="D1415" t="str">
        <f t="shared" si="22"/>
        <v>1615100.110</v>
      </c>
      <c r="E1415" t="s">
        <v>2573</v>
      </c>
      <c r="F1415" s="242"/>
      <c r="G1415"/>
      <c r="H1415" s="242">
        <v>521351</v>
      </c>
      <c r="I1415" s="242">
        <v>488944</v>
      </c>
      <c r="J1415"/>
    </row>
    <row r="1416" spans="1:10" ht="15.75" customHeight="1">
      <c r="A1416" t="s">
        <v>2404</v>
      </c>
      <c r="B1416">
        <v>615100</v>
      </c>
      <c r="C1416">
        <v>1</v>
      </c>
      <c r="D1416" t="str">
        <f t="shared" si="22"/>
        <v>1615100.120</v>
      </c>
      <c r="E1416" t="s">
        <v>2574</v>
      </c>
      <c r="F1416" s="242"/>
      <c r="G1416"/>
      <c r="H1416" s="242">
        <v>216954</v>
      </c>
      <c r="I1416" s="242">
        <v>222173</v>
      </c>
      <c r="J1416"/>
    </row>
    <row r="1417" spans="1:10" ht="15.75" customHeight="1">
      <c r="A1417" t="s">
        <v>2575</v>
      </c>
      <c r="B1417">
        <v>615100</v>
      </c>
      <c r="C1417">
        <v>1</v>
      </c>
      <c r="D1417" t="str">
        <f t="shared" si="22"/>
        <v>1615100.130</v>
      </c>
      <c r="E1417" t="s">
        <v>2576</v>
      </c>
      <c r="F1417" s="242"/>
      <c r="G1417"/>
      <c r="H1417" s="242">
        <v>9624</v>
      </c>
      <c r="I1417" s="242">
        <v>5365</v>
      </c>
      <c r="J1417"/>
    </row>
    <row r="1418" spans="1:10" ht="15.75" customHeight="1">
      <c r="A1418" t="s">
        <v>2577</v>
      </c>
      <c r="B1418">
        <v>615100</v>
      </c>
      <c r="C1418">
        <v>1</v>
      </c>
      <c r="D1418" t="str">
        <f t="shared" si="22"/>
        <v>1615100.140</v>
      </c>
      <c r="E1418" t="s">
        <v>2578</v>
      </c>
      <c r="F1418" s="242"/>
      <c r="G1418"/>
      <c r="H1418" s="242">
        <v>142378</v>
      </c>
      <c r="I1418" s="242">
        <v>144066</v>
      </c>
      <c r="J1418"/>
    </row>
    <row r="1419" spans="1:10" ht="15.75" customHeight="1">
      <c r="A1419" t="s">
        <v>2579</v>
      </c>
      <c r="B1419">
        <v>615100</v>
      </c>
      <c r="C1419">
        <v>1</v>
      </c>
      <c r="D1419" t="str">
        <f t="shared" si="22"/>
        <v>1615100.181</v>
      </c>
      <c r="E1419" t="s">
        <v>2580</v>
      </c>
      <c r="F1419" s="242"/>
      <c r="G1419"/>
      <c r="H1419" s="242">
        <v>136810</v>
      </c>
      <c r="I1419" s="242">
        <v>127473</v>
      </c>
      <c r="J1419"/>
    </row>
    <row r="1420" spans="1:10" ht="15.75" customHeight="1">
      <c r="A1420" t="s">
        <v>2581</v>
      </c>
      <c r="B1420">
        <v>615100</v>
      </c>
      <c r="C1420">
        <v>1</v>
      </c>
      <c r="D1420" t="str">
        <f t="shared" si="22"/>
        <v>1615100.182</v>
      </c>
      <c r="E1420" t="s">
        <v>2582</v>
      </c>
      <c r="F1420" s="242"/>
      <c r="G1420"/>
      <c r="H1420" s="242">
        <v>68914</v>
      </c>
      <c r="I1420" s="242">
        <v>65068</v>
      </c>
      <c r="J1420"/>
    </row>
    <row r="1421" spans="1:10" ht="15.75" customHeight="1">
      <c r="A1421" t="s">
        <v>2286</v>
      </c>
      <c r="B1421">
        <v>615100</v>
      </c>
      <c r="C1421">
        <v>1</v>
      </c>
      <c r="D1421" t="str">
        <f t="shared" si="22"/>
        <v>1615100.511</v>
      </c>
      <c r="E1421" t="s">
        <v>2584</v>
      </c>
      <c r="F1421" s="242"/>
      <c r="G1421"/>
      <c r="H1421" s="242">
        <v>500</v>
      </c>
      <c r="I1421" s="242">
        <v>140</v>
      </c>
      <c r="J1421"/>
    </row>
    <row r="1422" spans="1:10" ht="15.75" customHeight="1">
      <c r="A1422" t="s">
        <v>2590</v>
      </c>
      <c r="B1422">
        <v>615100</v>
      </c>
      <c r="C1422">
        <v>1</v>
      </c>
      <c r="D1422" t="str">
        <f t="shared" si="22"/>
        <v>1615100.523</v>
      </c>
      <c r="E1422" t="s">
        <v>2615</v>
      </c>
      <c r="F1422" s="242"/>
      <c r="G1422"/>
      <c r="H1422" s="242">
        <v>1120000</v>
      </c>
      <c r="I1422" s="242">
        <v>1030198</v>
      </c>
      <c r="J1422"/>
    </row>
    <row r="1423" spans="1:10" ht="15.75" customHeight="1">
      <c r="A1423" t="s">
        <v>2596</v>
      </c>
      <c r="B1423">
        <v>615100</v>
      </c>
      <c r="C1423">
        <v>1</v>
      </c>
      <c r="D1423" t="str">
        <f t="shared" si="22"/>
        <v>1615100.550</v>
      </c>
      <c r="E1423" t="s">
        <v>2597</v>
      </c>
      <c r="F1423" s="242"/>
      <c r="G1423"/>
      <c r="H1423" s="242">
        <v>7000</v>
      </c>
      <c r="I1423" s="242">
        <v>3695</v>
      </c>
      <c r="J1423"/>
    </row>
    <row r="1424" spans="1:10" ht="15.75" customHeight="1">
      <c r="A1424" t="s">
        <v>3062</v>
      </c>
      <c r="B1424">
        <v>615100</v>
      </c>
      <c r="C1424">
        <v>1</v>
      </c>
      <c r="D1424" t="str">
        <f t="shared" si="22"/>
        <v>1615100.571</v>
      </c>
      <c r="E1424" t="s">
        <v>4509</v>
      </c>
      <c r="F1424" s="242"/>
      <c r="G1424"/>
      <c r="H1424" s="242">
        <v>7700</v>
      </c>
      <c r="I1424" s="242">
        <v>7524</v>
      </c>
      <c r="J1424"/>
    </row>
    <row r="1425" spans="1:10" ht="15.75" customHeight="1">
      <c r="A1425" t="s">
        <v>4183</v>
      </c>
      <c r="B1425">
        <v>615100</v>
      </c>
      <c r="C1425">
        <v>1</v>
      </c>
      <c r="D1425" t="str">
        <f t="shared" si="22"/>
        <v>1615100.572</v>
      </c>
      <c r="E1425" t="s">
        <v>4510</v>
      </c>
      <c r="F1425" s="242"/>
      <c r="G1425"/>
      <c r="H1425" s="242">
        <v>12700</v>
      </c>
      <c r="I1425" s="242">
        <v>12423</v>
      </c>
      <c r="J1425"/>
    </row>
    <row r="1426" spans="1:10" ht="15.75" customHeight="1">
      <c r="A1426" t="s">
        <v>2647</v>
      </c>
      <c r="B1426">
        <v>615100</v>
      </c>
      <c r="C1426">
        <v>1</v>
      </c>
      <c r="D1426" t="str">
        <f t="shared" si="22"/>
        <v>1615100.574</v>
      </c>
      <c r="E1426" t="s">
        <v>2648</v>
      </c>
      <c r="F1426" s="242"/>
      <c r="G1426"/>
      <c r="H1426" s="242">
        <v>6800</v>
      </c>
      <c r="I1426" s="242">
        <v>6650</v>
      </c>
      <c r="J1426"/>
    </row>
    <row r="1427" spans="1:10" ht="15.75" customHeight="1">
      <c r="A1427" t="s">
        <v>2620</v>
      </c>
      <c r="B1427">
        <v>615100</v>
      </c>
      <c r="C1427">
        <v>1</v>
      </c>
      <c r="D1427" t="str">
        <f t="shared" si="22"/>
        <v>1615100.575</v>
      </c>
      <c r="E1427" t="s">
        <v>2775</v>
      </c>
      <c r="F1427" s="242"/>
      <c r="G1427"/>
      <c r="H1427" s="242">
        <v>11000</v>
      </c>
      <c r="I1427" s="242">
        <v>6960</v>
      </c>
      <c r="J1427"/>
    </row>
    <row r="1428" spans="1:10" ht="15.75" customHeight="1">
      <c r="A1428" t="s">
        <v>2600</v>
      </c>
      <c r="B1428">
        <v>615100</v>
      </c>
      <c r="C1428">
        <v>1</v>
      </c>
      <c r="D1428" t="str">
        <f t="shared" si="22"/>
        <v>1615100.580</v>
      </c>
      <c r="E1428" t="s">
        <v>2629</v>
      </c>
      <c r="F1428" s="242"/>
      <c r="G1428"/>
      <c r="H1428" s="242">
        <v>600</v>
      </c>
      <c r="I1428" s="242">
        <v>99</v>
      </c>
      <c r="J1428"/>
    </row>
    <row r="1429" spans="1:10" ht="15.75" customHeight="1">
      <c r="A1429" t="s">
        <v>658</v>
      </c>
      <c r="B1429">
        <v>615100</v>
      </c>
      <c r="C1429">
        <v>1</v>
      </c>
      <c r="D1429" t="str">
        <f t="shared" si="22"/>
        <v>1615100.742</v>
      </c>
      <c r="E1429" t="s">
        <v>4511</v>
      </c>
      <c r="F1429" s="242"/>
      <c r="G1429"/>
      <c r="H1429" s="242">
        <v>44000</v>
      </c>
      <c r="I1429" s="242">
        <v>10748</v>
      </c>
      <c r="J1429"/>
    </row>
    <row r="1430" spans="1:10" ht="15.75" customHeight="1">
      <c r="A1430" t="s">
        <v>673</v>
      </c>
      <c r="B1430">
        <v>615100</v>
      </c>
      <c r="C1430">
        <v>1</v>
      </c>
      <c r="D1430" t="str">
        <f t="shared" si="22"/>
        <v>1615100.743</v>
      </c>
      <c r="E1430" t="s">
        <v>2622</v>
      </c>
      <c r="F1430" s="242"/>
      <c r="G1430"/>
      <c r="H1430" s="242">
        <v>0</v>
      </c>
      <c r="I1430" s="242">
        <v>0</v>
      </c>
      <c r="J1430"/>
    </row>
    <row r="1431" spans="1:10" ht="15.75" customHeight="1">
      <c r="A1431" t="s">
        <v>776</v>
      </c>
      <c r="B1431">
        <v>615100</v>
      </c>
      <c r="C1431">
        <v>1</v>
      </c>
      <c r="D1431" t="str">
        <f t="shared" si="22"/>
        <v>1615100.752</v>
      </c>
      <c r="E1431" t="s">
        <v>4512</v>
      </c>
      <c r="F1431" s="242"/>
      <c r="G1431"/>
      <c r="H1431" s="242">
        <v>30000</v>
      </c>
      <c r="I1431" s="242">
        <v>15000</v>
      </c>
      <c r="J1431"/>
    </row>
    <row r="1432" spans="1:10" ht="15.75" customHeight="1">
      <c r="A1432" t="s">
        <v>781</v>
      </c>
      <c r="B1432">
        <v>615100</v>
      </c>
      <c r="C1432">
        <v>1</v>
      </c>
      <c r="D1432" t="str">
        <f t="shared" si="22"/>
        <v>1615100.753</v>
      </c>
      <c r="E1432" t="s">
        <v>4513</v>
      </c>
      <c r="F1432" s="242"/>
      <c r="G1432"/>
      <c r="H1432" s="242">
        <v>0</v>
      </c>
      <c r="I1432" s="242">
        <v>30763</v>
      </c>
      <c r="J1432"/>
    </row>
    <row r="1433" spans="1:10" ht="15.75" customHeight="1">
      <c r="A1433" t="s">
        <v>2740</v>
      </c>
      <c r="B1433">
        <v>615100</v>
      </c>
      <c r="C1433">
        <v>1</v>
      </c>
      <c r="D1433" t="str">
        <f t="shared" si="22"/>
        <v>1615100.930</v>
      </c>
      <c r="E1433" t="s">
        <v>4514</v>
      </c>
      <c r="F1433" s="242"/>
      <c r="G1433"/>
      <c r="H1433" s="242">
        <v>16000</v>
      </c>
      <c r="I1433" s="242">
        <v>13456</v>
      </c>
      <c r="J1433"/>
    </row>
    <row r="1434" spans="1:10" ht="15.75" customHeight="1">
      <c r="A1434" t="s">
        <v>2691</v>
      </c>
      <c r="B1434">
        <v>615100</v>
      </c>
      <c r="C1434">
        <v>1</v>
      </c>
      <c r="D1434" t="str">
        <f t="shared" si="22"/>
        <v>1615100.986</v>
      </c>
      <c r="E1434" t="s">
        <v>4515</v>
      </c>
      <c r="F1434" s="242"/>
      <c r="G1434"/>
      <c r="H1434" s="242">
        <v>0</v>
      </c>
      <c r="I1434" s="242">
        <v>0</v>
      </c>
      <c r="J1434"/>
    </row>
    <row r="1435" spans="1:10" ht="15.75" customHeight="1">
      <c r="A1435" t="s">
        <v>4307</v>
      </c>
      <c r="B1435">
        <v>615101</v>
      </c>
      <c r="C1435">
        <v>1</v>
      </c>
      <c r="D1435" t="str">
        <f t="shared" si="22"/>
        <v>1615101.989</v>
      </c>
      <c r="E1435" t="s">
        <v>4309</v>
      </c>
      <c r="F1435" s="242"/>
      <c r="G1435"/>
      <c r="H1435" s="242">
        <v>500000</v>
      </c>
      <c r="I1435" s="242">
        <v>0</v>
      </c>
      <c r="J1435"/>
    </row>
    <row r="1436" spans="1:10" ht="15.75" customHeight="1">
      <c r="A1436" t="s">
        <v>4307</v>
      </c>
      <c r="B1436">
        <v>615102</v>
      </c>
      <c r="C1436">
        <v>1</v>
      </c>
      <c r="D1436" t="str">
        <f t="shared" si="22"/>
        <v>1615102.989</v>
      </c>
      <c r="E1436" t="s">
        <v>4516</v>
      </c>
      <c r="F1436" s="242"/>
      <c r="G1436"/>
      <c r="H1436" s="242">
        <v>0</v>
      </c>
      <c r="I1436" s="242">
        <v>0</v>
      </c>
      <c r="J1436"/>
    </row>
    <row r="1437" spans="1:10" ht="15.75" customHeight="1">
      <c r="A1437" t="s">
        <v>2403</v>
      </c>
      <c r="B1437">
        <v>615200</v>
      </c>
      <c r="C1437">
        <v>1</v>
      </c>
      <c r="D1437" t="str">
        <f t="shared" si="22"/>
        <v>1615200.110</v>
      </c>
      <c r="E1437" t="s">
        <v>2573</v>
      </c>
      <c r="F1437" s="242"/>
      <c r="G1437"/>
      <c r="H1437" s="242">
        <v>540470</v>
      </c>
      <c r="I1437" s="242">
        <v>535328</v>
      </c>
      <c r="J1437"/>
    </row>
    <row r="1438" spans="1:10" ht="15.75" customHeight="1">
      <c r="A1438" t="s">
        <v>2404</v>
      </c>
      <c r="B1438">
        <v>615200</v>
      </c>
      <c r="C1438">
        <v>1</v>
      </c>
      <c r="D1438" t="str">
        <f t="shared" si="22"/>
        <v>1615200.120</v>
      </c>
      <c r="E1438" t="s">
        <v>2574</v>
      </c>
      <c r="F1438" s="242"/>
      <c r="G1438"/>
      <c r="H1438" s="242">
        <v>68189</v>
      </c>
      <c r="I1438" s="242">
        <v>65788</v>
      </c>
      <c r="J1438"/>
    </row>
    <row r="1439" spans="1:10" ht="15.75" customHeight="1">
      <c r="A1439" t="s">
        <v>2575</v>
      </c>
      <c r="B1439">
        <v>615200</v>
      </c>
      <c r="C1439">
        <v>1</v>
      </c>
      <c r="D1439" t="str">
        <f t="shared" si="22"/>
        <v>1615200.130</v>
      </c>
      <c r="E1439" t="s">
        <v>2576</v>
      </c>
      <c r="F1439" s="242"/>
      <c r="G1439"/>
      <c r="H1439" s="242">
        <v>30193</v>
      </c>
      <c r="I1439" s="242">
        <v>25390</v>
      </c>
      <c r="J1439"/>
    </row>
    <row r="1440" spans="1:10" ht="15.75" customHeight="1">
      <c r="A1440" t="s">
        <v>2577</v>
      </c>
      <c r="B1440">
        <v>615200</v>
      </c>
      <c r="C1440">
        <v>1</v>
      </c>
      <c r="D1440" t="str">
        <f t="shared" si="22"/>
        <v>1615200.140</v>
      </c>
      <c r="E1440" t="s">
        <v>2578</v>
      </c>
      <c r="F1440" s="242"/>
      <c r="G1440"/>
      <c r="H1440" s="242">
        <v>102146</v>
      </c>
      <c r="I1440" s="242">
        <v>89676</v>
      </c>
      <c r="J1440"/>
    </row>
    <row r="1441" spans="1:10" ht="15.75" customHeight="1">
      <c r="A1441" t="s">
        <v>2579</v>
      </c>
      <c r="B1441">
        <v>615200</v>
      </c>
      <c r="C1441">
        <v>1</v>
      </c>
      <c r="D1441" t="str">
        <f t="shared" si="22"/>
        <v>1615200.181</v>
      </c>
      <c r="E1441" t="s">
        <v>2580</v>
      </c>
      <c r="F1441" s="242"/>
      <c r="G1441"/>
      <c r="H1441" s="242">
        <v>143199</v>
      </c>
      <c r="I1441" s="242">
        <v>137443</v>
      </c>
      <c r="J1441"/>
    </row>
    <row r="1442" spans="1:10" ht="15.75" customHeight="1">
      <c r="A1442" t="s">
        <v>2581</v>
      </c>
      <c r="B1442">
        <v>615200</v>
      </c>
      <c r="C1442">
        <v>1</v>
      </c>
      <c r="D1442" t="str">
        <f t="shared" si="22"/>
        <v>1615200.182</v>
      </c>
      <c r="E1442" t="s">
        <v>2582</v>
      </c>
      <c r="F1442" s="242"/>
      <c r="G1442"/>
      <c r="H1442" s="242">
        <v>56165</v>
      </c>
      <c r="I1442" s="242">
        <v>54244</v>
      </c>
      <c r="J1442"/>
    </row>
    <row r="1443" spans="1:10" ht="15.75" customHeight="1">
      <c r="A1443" t="s">
        <v>2286</v>
      </c>
      <c r="B1443">
        <v>615200</v>
      </c>
      <c r="C1443">
        <v>1</v>
      </c>
      <c r="D1443" t="str">
        <f t="shared" si="22"/>
        <v>1615200.511</v>
      </c>
      <c r="E1443" t="s">
        <v>2584</v>
      </c>
      <c r="F1443" s="242"/>
      <c r="G1443"/>
      <c r="H1443" s="242">
        <v>500</v>
      </c>
      <c r="I1443" s="242">
        <v>157</v>
      </c>
      <c r="J1443"/>
    </row>
    <row r="1444" spans="1:10" ht="15.75" customHeight="1">
      <c r="A1444" t="s">
        <v>2414</v>
      </c>
      <c r="B1444">
        <v>615200</v>
      </c>
      <c r="C1444">
        <v>1</v>
      </c>
      <c r="D1444" t="str">
        <f t="shared" si="22"/>
        <v>1615200.512</v>
      </c>
      <c r="E1444" t="s">
        <v>2585</v>
      </c>
      <c r="F1444" s="242"/>
      <c r="G1444"/>
      <c r="H1444" s="242">
        <v>500</v>
      </c>
      <c r="I1444" s="242">
        <v>0</v>
      </c>
      <c r="J1444"/>
    </row>
    <row r="1445" spans="1:10" ht="15.75" customHeight="1">
      <c r="A1445" t="s">
        <v>2588</v>
      </c>
      <c r="B1445">
        <v>615200</v>
      </c>
      <c r="C1445">
        <v>1</v>
      </c>
      <c r="D1445" t="str">
        <f t="shared" si="22"/>
        <v>1615200.522</v>
      </c>
      <c r="E1445" t="s">
        <v>2608</v>
      </c>
      <c r="F1445" s="242"/>
      <c r="G1445"/>
      <c r="H1445" s="242">
        <v>5000</v>
      </c>
      <c r="I1445" s="242">
        <v>770</v>
      </c>
      <c r="J1445"/>
    </row>
    <row r="1446" spans="1:10" ht="15.75" customHeight="1">
      <c r="A1446" t="s">
        <v>3630</v>
      </c>
      <c r="B1446">
        <v>615200</v>
      </c>
      <c r="C1446">
        <v>1</v>
      </c>
      <c r="D1446" t="str">
        <f t="shared" si="22"/>
        <v>1615200.524</v>
      </c>
      <c r="E1446" t="s">
        <v>4517</v>
      </c>
      <c r="F1446" s="242"/>
      <c r="G1446"/>
      <c r="H1446" s="242">
        <v>54120</v>
      </c>
      <c r="I1446" s="242">
        <v>39600</v>
      </c>
      <c r="J1446"/>
    </row>
    <row r="1447" spans="1:10" ht="15.75" customHeight="1">
      <c r="A1447" t="s">
        <v>2596</v>
      </c>
      <c r="B1447">
        <v>615200</v>
      </c>
      <c r="C1447">
        <v>1</v>
      </c>
      <c r="D1447" t="str">
        <f t="shared" si="22"/>
        <v>1615200.550</v>
      </c>
      <c r="E1447" t="s">
        <v>2597</v>
      </c>
      <c r="F1447" s="242"/>
      <c r="G1447"/>
      <c r="H1447" s="242">
        <v>7000</v>
      </c>
      <c r="I1447" s="242">
        <v>468</v>
      </c>
      <c r="J1447"/>
    </row>
    <row r="1448" spans="1:10" ht="15.75" customHeight="1">
      <c r="A1448" t="s">
        <v>2647</v>
      </c>
      <c r="B1448">
        <v>615200</v>
      </c>
      <c r="C1448">
        <v>1</v>
      </c>
      <c r="D1448" t="str">
        <f t="shared" si="22"/>
        <v>1615200.574</v>
      </c>
      <c r="E1448" t="s">
        <v>2648</v>
      </c>
      <c r="F1448" s="242"/>
      <c r="G1448"/>
      <c r="H1448" s="242">
        <v>2400</v>
      </c>
      <c r="I1448" s="242">
        <v>2362</v>
      </c>
      <c r="J1448"/>
    </row>
    <row r="1449" spans="1:10" ht="15.75" customHeight="1">
      <c r="A1449" t="s">
        <v>2600</v>
      </c>
      <c r="B1449">
        <v>615200</v>
      </c>
      <c r="C1449">
        <v>1</v>
      </c>
      <c r="D1449" t="str">
        <f t="shared" si="22"/>
        <v>1615200.580</v>
      </c>
      <c r="E1449" t="s">
        <v>2629</v>
      </c>
      <c r="F1449" s="242"/>
      <c r="G1449"/>
      <c r="H1449" s="242">
        <v>600</v>
      </c>
      <c r="I1449" s="242">
        <v>90</v>
      </c>
      <c r="J1449"/>
    </row>
    <row r="1450" spans="1:10" ht="15.75" customHeight="1">
      <c r="A1450" t="s">
        <v>772</v>
      </c>
      <c r="B1450">
        <v>615200</v>
      </c>
      <c r="C1450">
        <v>1</v>
      </c>
      <c r="D1450" t="str">
        <f t="shared" si="22"/>
        <v>1615200.751</v>
      </c>
      <c r="E1450" t="s">
        <v>4518</v>
      </c>
      <c r="F1450" s="242"/>
      <c r="G1450"/>
      <c r="H1450" s="242">
        <v>130000</v>
      </c>
      <c r="I1450" s="242">
        <v>0</v>
      </c>
      <c r="J1450"/>
    </row>
    <row r="1451" spans="1:10" ht="15.75" customHeight="1">
      <c r="A1451" t="s">
        <v>2403</v>
      </c>
      <c r="B1451">
        <v>615300</v>
      </c>
      <c r="C1451">
        <v>1</v>
      </c>
      <c r="D1451" t="str">
        <f t="shared" si="22"/>
        <v>1615300.110</v>
      </c>
      <c r="E1451" t="s">
        <v>2573</v>
      </c>
      <c r="F1451" s="242"/>
      <c r="G1451"/>
      <c r="H1451" s="242">
        <v>176868</v>
      </c>
      <c r="I1451" s="242">
        <v>0</v>
      </c>
      <c r="J1451"/>
    </row>
    <row r="1452" spans="1:10" ht="15.75" customHeight="1">
      <c r="A1452" t="s">
        <v>2404</v>
      </c>
      <c r="B1452">
        <v>615300</v>
      </c>
      <c r="C1452">
        <v>1</v>
      </c>
      <c r="D1452" t="str">
        <f t="shared" si="22"/>
        <v>1615300.120</v>
      </c>
      <c r="E1452" t="s">
        <v>2574</v>
      </c>
      <c r="F1452" s="242"/>
      <c r="G1452"/>
      <c r="H1452" s="242">
        <v>10593</v>
      </c>
      <c r="I1452" s="242">
        <v>0</v>
      </c>
      <c r="J1452"/>
    </row>
    <row r="1453" spans="1:10" ht="15.75" customHeight="1">
      <c r="A1453" t="s">
        <v>2575</v>
      </c>
      <c r="B1453">
        <v>615300</v>
      </c>
      <c r="C1453">
        <v>1</v>
      </c>
      <c r="D1453" t="str">
        <f t="shared" si="22"/>
        <v>1615300.130</v>
      </c>
      <c r="E1453" t="s">
        <v>2576</v>
      </c>
      <c r="F1453" s="242"/>
      <c r="G1453"/>
      <c r="H1453" s="242">
        <v>7592</v>
      </c>
      <c r="I1453" s="242">
        <v>0</v>
      </c>
      <c r="J1453"/>
    </row>
    <row r="1454" spans="1:10" ht="15.75" customHeight="1">
      <c r="A1454" t="s">
        <v>2577</v>
      </c>
      <c r="B1454">
        <v>615300</v>
      </c>
      <c r="C1454">
        <v>1</v>
      </c>
      <c r="D1454" t="str">
        <f t="shared" si="22"/>
        <v>1615300.140</v>
      </c>
      <c r="E1454" t="s">
        <v>2578</v>
      </c>
      <c r="F1454" s="242"/>
      <c r="G1454"/>
      <c r="H1454" s="242">
        <v>62932</v>
      </c>
      <c r="I1454" s="242">
        <v>0</v>
      </c>
      <c r="J1454"/>
    </row>
    <row r="1455" spans="1:10" ht="15.75" customHeight="1">
      <c r="A1455" t="s">
        <v>2579</v>
      </c>
      <c r="B1455">
        <v>615300</v>
      </c>
      <c r="C1455">
        <v>1</v>
      </c>
      <c r="D1455" t="str">
        <f t="shared" si="22"/>
        <v>1615300.181</v>
      </c>
      <c r="E1455" t="s">
        <v>2580</v>
      </c>
      <c r="F1455" s="242"/>
      <c r="G1455"/>
      <c r="H1455" s="242">
        <v>50166</v>
      </c>
      <c r="I1455" s="242">
        <v>0</v>
      </c>
      <c r="J1455"/>
    </row>
    <row r="1456" spans="1:10" ht="15.75" customHeight="1">
      <c r="A1456" t="s">
        <v>2581</v>
      </c>
      <c r="B1456">
        <v>615300</v>
      </c>
      <c r="C1456">
        <v>1</v>
      </c>
      <c r="D1456" t="str">
        <f t="shared" si="22"/>
        <v>1615300.182</v>
      </c>
      <c r="E1456" t="s">
        <v>2582</v>
      </c>
      <c r="F1456" s="242"/>
      <c r="G1456"/>
      <c r="H1456" s="242">
        <v>19598</v>
      </c>
      <c r="I1456" s="242">
        <v>0</v>
      </c>
      <c r="J1456"/>
    </row>
    <row r="1457" spans="1:10" ht="15.75" customHeight="1">
      <c r="A1457" t="s">
        <v>2403</v>
      </c>
      <c r="B1457">
        <v>615400</v>
      </c>
      <c r="C1457">
        <v>1</v>
      </c>
      <c r="D1457" t="str">
        <f t="shared" si="22"/>
        <v>1615400.110</v>
      </c>
      <c r="E1457" t="s">
        <v>2573</v>
      </c>
      <c r="F1457" s="242"/>
      <c r="G1457"/>
      <c r="H1457" s="242">
        <v>422860</v>
      </c>
      <c r="I1457" s="242">
        <v>431000</v>
      </c>
      <c r="J1457"/>
    </row>
    <row r="1458" spans="1:10" ht="15.75" customHeight="1">
      <c r="A1458" t="s">
        <v>2404</v>
      </c>
      <c r="B1458">
        <v>615400</v>
      </c>
      <c r="C1458">
        <v>1</v>
      </c>
      <c r="D1458" t="str">
        <f t="shared" si="22"/>
        <v>1615400.120</v>
      </c>
      <c r="E1458" t="s">
        <v>2574</v>
      </c>
      <c r="F1458" s="242"/>
      <c r="G1458"/>
      <c r="H1458" s="242">
        <v>149777</v>
      </c>
      <c r="I1458" s="242">
        <v>148282</v>
      </c>
      <c r="J1458"/>
    </row>
    <row r="1459" spans="1:10" ht="15.75" customHeight="1">
      <c r="A1459" t="s">
        <v>2575</v>
      </c>
      <c r="B1459">
        <v>615400</v>
      </c>
      <c r="C1459">
        <v>1</v>
      </c>
      <c r="D1459" t="str">
        <f t="shared" si="22"/>
        <v>1615400.130</v>
      </c>
      <c r="E1459" t="s">
        <v>2576</v>
      </c>
      <c r="F1459" s="242"/>
      <c r="G1459"/>
      <c r="H1459" s="242">
        <v>2752</v>
      </c>
      <c r="I1459" s="242">
        <v>2439</v>
      </c>
      <c r="J1459"/>
    </row>
    <row r="1460" spans="1:10" ht="15.75" customHeight="1">
      <c r="A1460" t="s">
        <v>2577</v>
      </c>
      <c r="B1460">
        <v>615400</v>
      </c>
      <c r="C1460">
        <v>1</v>
      </c>
      <c r="D1460" t="str">
        <f t="shared" si="22"/>
        <v>1615400.140</v>
      </c>
      <c r="E1460" t="s">
        <v>2578</v>
      </c>
      <c r="F1460" s="242"/>
      <c r="G1460"/>
      <c r="H1460" s="242">
        <v>99941</v>
      </c>
      <c r="I1460" s="242">
        <v>96976</v>
      </c>
      <c r="J1460"/>
    </row>
    <row r="1461" spans="1:10" ht="15.75" customHeight="1">
      <c r="A1461" t="s">
        <v>2579</v>
      </c>
      <c r="B1461">
        <v>615400</v>
      </c>
      <c r="C1461">
        <v>1</v>
      </c>
      <c r="D1461" t="str">
        <f t="shared" si="22"/>
        <v>1615400.181</v>
      </c>
      <c r="E1461" t="s">
        <v>2580</v>
      </c>
      <c r="F1461" s="242"/>
      <c r="G1461"/>
      <c r="H1461" s="242">
        <v>108142</v>
      </c>
      <c r="I1461" s="242">
        <v>110730</v>
      </c>
      <c r="J1461"/>
    </row>
    <row r="1462" spans="1:10" ht="15.75" customHeight="1">
      <c r="A1462" t="s">
        <v>2581</v>
      </c>
      <c r="B1462">
        <v>615400</v>
      </c>
      <c r="C1462">
        <v>1</v>
      </c>
      <c r="D1462" t="str">
        <f t="shared" si="22"/>
        <v>1615400.182</v>
      </c>
      <c r="E1462" t="s">
        <v>2582</v>
      </c>
      <c r="F1462" s="242"/>
      <c r="G1462"/>
      <c r="H1462" s="242">
        <v>51073</v>
      </c>
      <c r="I1462" s="242">
        <v>51316</v>
      </c>
      <c r="J1462"/>
    </row>
    <row r="1463" spans="1:10" ht="15.75" customHeight="1">
      <c r="A1463" t="s">
        <v>2286</v>
      </c>
      <c r="B1463">
        <v>615400</v>
      </c>
      <c r="C1463">
        <v>1</v>
      </c>
      <c r="D1463" t="str">
        <f t="shared" si="22"/>
        <v>1615400.511</v>
      </c>
      <c r="E1463" t="s">
        <v>2584</v>
      </c>
      <c r="F1463" s="242"/>
      <c r="G1463"/>
      <c r="H1463" s="242">
        <v>0</v>
      </c>
      <c r="I1463" s="242">
        <v>0</v>
      </c>
      <c r="J1463"/>
    </row>
    <row r="1464" spans="1:10" ht="15.75" customHeight="1">
      <c r="A1464" t="s">
        <v>2735</v>
      </c>
      <c r="B1464">
        <v>615400</v>
      </c>
      <c r="C1464">
        <v>1</v>
      </c>
      <c r="D1464" t="str">
        <f t="shared" si="22"/>
        <v>1615400.576</v>
      </c>
      <c r="E1464" t="s">
        <v>4504</v>
      </c>
      <c r="F1464" s="242"/>
      <c r="G1464"/>
      <c r="H1464" s="242">
        <v>26000</v>
      </c>
      <c r="I1464" s="242">
        <v>16287</v>
      </c>
      <c r="J1464"/>
    </row>
    <row r="1465" spans="1:10" ht="15.75" customHeight="1">
      <c r="A1465" t="s">
        <v>2600</v>
      </c>
      <c r="B1465">
        <v>615400</v>
      </c>
      <c r="C1465">
        <v>1</v>
      </c>
      <c r="D1465" t="str">
        <f t="shared" si="22"/>
        <v>1615400.580</v>
      </c>
      <c r="E1465" t="s">
        <v>2601</v>
      </c>
      <c r="F1465" s="242"/>
      <c r="G1465"/>
      <c r="H1465" s="242">
        <v>2000</v>
      </c>
      <c r="I1465" s="242">
        <v>0</v>
      </c>
      <c r="J1465"/>
    </row>
    <row r="1466" spans="1:10" ht="15.75" customHeight="1">
      <c r="A1466" t="s">
        <v>2611</v>
      </c>
      <c r="B1466">
        <v>615400</v>
      </c>
      <c r="C1466">
        <v>1</v>
      </c>
      <c r="D1466" t="str">
        <f t="shared" si="22"/>
        <v>1615400.750</v>
      </c>
      <c r="E1466" t="s">
        <v>4505</v>
      </c>
      <c r="F1466" s="242"/>
      <c r="G1466"/>
      <c r="H1466" s="242">
        <v>120000</v>
      </c>
      <c r="I1466" s="242">
        <v>120142</v>
      </c>
      <c r="J1466"/>
    </row>
    <row r="1467" spans="1:10" ht="15.75" customHeight="1">
      <c r="A1467" t="s">
        <v>772</v>
      </c>
      <c r="B1467">
        <v>615400</v>
      </c>
      <c r="C1467">
        <v>1</v>
      </c>
      <c r="D1467" t="str">
        <f t="shared" si="22"/>
        <v>1615400.751</v>
      </c>
      <c r="E1467" t="s">
        <v>2924</v>
      </c>
      <c r="F1467" s="242"/>
      <c r="G1467"/>
      <c r="H1467" s="242">
        <v>45000</v>
      </c>
      <c r="I1467" s="242">
        <v>7500</v>
      </c>
      <c r="J1467"/>
    </row>
    <row r="1468" spans="1:10" ht="15.75" customHeight="1">
      <c r="A1468" t="s">
        <v>2403</v>
      </c>
      <c r="B1468">
        <v>615500</v>
      </c>
      <c r="C1468">
        <v>1</v>
      </c>
      <c r="D1468" t="str">
        <f t="shared" si="22"/>
        <v>1615500.110</v>
      </c>
      <c r="E1468" t="s">
        <v>2573</v>
      </c>
      <c r="F1468" s="242"/>
      <c r="G1468"/>
      <c r="H1468" s="242">
        <v>0</v>
      </c>
      <c r="I1468" s="242">
        <v>0</v>
      </c>
      <c r="J1468"/>
    </row>
    <row r="1469" spans="1:10" ht="15.75" customHeight="1">
      <c r="A1469" t="s">
        <v>2404</v>
      </c>
      <c r="B1469">
        <v>615500</v>
      </c>
      <c r="C1469">
        <v>1</v>
      </c>
      <c r="D1469" t="str">
        <f t="shared" si="22"/>
        <v>1615500.120</v>
      </c>
      <c r="E1469" t="s">
        <v>2574</v>
      </c>
      <c r="F1469" s="242"/>
      <c r="G1469"/>
      <c r="H1469" s="242">
        <v>0</v>
      </c>
      <c r="I1469" s="242">
        <v>0</v>
      </c>
      <c r="J1469"/>
    </row>
    <row r="1470" spans="1:10" ht="15.75" customHeight="1">
      <c r="A1470" t="s">
        <v>2575</v>
      </c>
      <c r="B1470">
        <v>615500</v>
      </c>
      <c r="C1470">
        <v>1</v>
      </c>
      <c r="D1470" t="str">
        <f t="shared" si="22"/>
        <v>1615500.130</v>
      </c>
      <c r="E1470" t="s">
        <v>2576</v>
      </c>
      <c r="F1470" s="242"/>
      <c r="G1470"/>
      <c r="H1470" s="242">
        <v>0</v>
      </c>
      <c r="I1470" s="242">
        <v>0</v>
      </c>
      <c r="J1470"/>
    </row>
    <row r="1471" spans="1:10" ht="15.75" customHeight="1">
      <c r="A1471" t="s">
        <v>2577</v>
      </c>
      <c r="B1471">
        <v>615500</v>
      </c>
      <c r="C1471">
        <v>1</v>
      </c>
      <c r="D1471" t="str">
        <f t="shared" si="22"/>
        <v>1615500.140</v>
      </c>
      <c r="E1471" t="s">
        <v>2578</v>
      </c>
      <c r="F1471" s="242"/>
      <c r="G1471"/>
      <c r="H1471" s="242">
        <v>0</v>
      </c>
      <c r="I1471" s="242">
        <v>0</v>
      </c>
      <c r="J1471"/>
    </row>
    <row r="1472" spans="1:10" ht="15.75" customHeight="1">
      <c r="A1472" t="s">
        <v>2579</v>
      </c>
      <c r="B1472">
        <v>615500</v>
      </c>
      <c r="C1472">
        <v>1</v>
      </c>
      <c r="D1472" t="str">
        <f t="shared" si="22"/>
        <v>1615500.181</v>
      </c>
      <c r="E1472" t="s">
        <v>2580</v>
      </c>
      <c r="F1472" s="242"/>
      <c r="G1472"/>
      <c r="H1472" s="242">
        <v>0</v>
      </c>
      <c r="I1472" s="242">
        <v>0</v>
      </c>
      <c r="J1472"/>
    </row>
    <row r="1473" spans="1:10" ht="15.75" customHeight="1">
      <c r="A1473" t="s">
        <v>2581</v>
      </c>
      <c r="B1473">
        <v>615500</v>
      </c>
      <c r="C1473">
        <v>1</v>
      </c>
      <c r="D1473" t="str">
        <f t="shared" si="22"/>
        <v>1615500.182</v>
      </c>
      <c r="E1473" t="s">
        <v>2582</v>
      </c>
      <c r="F1473" s="242"/>
      <c r="G1473"/>
      <c r="H1473" s="242">
        <v>0</v>
      </c>
      <c r="I1473" s="242">
        <v>0</v>
      </c>
      <c r="J1473"/>
    </row>
    <row r="1474" spans="1:10" ht="15.75" customHeight="1">
      <c r="A1474" t="s">
        <v>2286</v>
      </c>
      <c r="B1474">
        <v>615500</v>
      </c>
      <c r="C1474">
        <v>1</v>
      </c>
      <c r="D1474" t="str">
        <f t="shared" si="22"/>
        <v>1615500.511</v>
      </c>
      <c r="E1474" t="s">
        <v>2584</v>
      </c>
      <c r="F1474" s="242"/>
      <c r="G1474"/>
      <c r="H1474" s="242">
        <v>0</v>
      </c>
      <c r="I1474" s="242">
        <v>0</v>
      </c>
      <c r="J1474"/>
    </row>
    <row r="1475" spans="1:10" ht="15.75" customHeight="1">
      <c r="A1475" t="s">
        <v>2596</v>
      </c>
      <c r="B1475">
        <v>615500</v>
      </c>
      <c r="C1475">
        <v>1</v>
      </c>
      <c r="D1475" t="str">
        <f t="shared" ref="D1475:D1538" si="23">C1475&amp;B1475&amp;"."&amp;A1475</f>
        <v>1615500.550</v>
      </c>
      <c r="E1475" t="s">
        <v>2597</v>
      </c>
      <c r="F1475" s="242"/>
      <c r="G1475"/>
      <c r="H1475" s="242">
        <v>0</v>
      </c>
      <c r="I1475" s="242">
        <v>0</v>
      </c>
      <c r="J1475"/>
    </row>
    <row r="1476" spans="1:10" ht="15.75" customHeight="1">
      <c r="A1476" t="s">
        <v>2611</v>
      </c>
      <c r="B1476">
        <v>615500</v>
      </c>
      <c r="C1476">
        <v>1</v>
      </c>
      <c r="D1476" t="str">
        <f t="shared" si="23"/>
        <v>1615500.750</v>
      </c>
      <c r="E1476" t="s">
        <v>4495</v>
      </c>
      <c r="F1476" s="242"/>
      <c r="G1476"/>
      <c r="H1476" s="242">
        <v>0</v>
      </c>
      <c r="I1476" s="242">
        <v>0</v>
      </c>
      <c r="J1476"/>
    </row>
    <row r="1477" spans="1:10" ht="15.75" customHeight="1">
      <c r="A1477" t="s">
        <v>2571</v>
      </c>
      <c r="B1477">
        <v>616100</v>
      </c>
      <c r="C1477">
        <v>1</v>
      </c>
      <c r="D1477" t="str">
        <f t="shared" si="23"/>
        <v>1616100.105</v>
      </c>
      <c r="E1477" t="s">
        <v>2572</v>
      </c>
      <c r="F1477" s="242"/>
      <c r="G1477"/>
      <c r="H1477" s="242">
        <v>0</v>
      </c>
      <c r="I1477" s="242">
        <v>20299</v>
      </c>
      <c r="J1477"/>
    </row>
    <row r="1478" spans="1:10" ht="15.75" customHeight="1">
      <c r="A1478" t="s">
        <v>2403</v>
      </c>
      <c r="B1478">
        <v>616100</v>
      </c>
      <c r="C1478">
        <v>1</v>
      </c>
      <c r="D1478" t="str">
        <f t="shared" si="23"/>
        <v>1616100.110</v>
      </c>
      <c r="E1478" t="s">
        <v>2573</v>
      </c>
      <c r="F1478" s="242"/>
      <c r="G1478"/>
      <c r="H1478" s="242">
        <v>660971</v>
      </c>
      <c r="I1478" s="242">
        <v>706891</v>
      </c>
      <c r="J1478"/>
    </row>
    <row r="1479" spans="1:10" ht="15.75" customHeight="1">
      <c r="A1479" t="s">
        <v>2404</v>
      </c>
      <c r="B1479">
        <v>616100</v>
      </c>
      <c r="C1479">
        <v>1</v>
      </c>
      <c r="D1479" t="str">
        <f t="shared" si="23"/>
        <v>1616100.120</v>
      </c>
      <c r="E1479" t="s">
        <v>2574</v>
      </c>
      <c r="F1479" s="242"/>
      <c r="G1479"/>
      <c r="H1479" s="242">
        <v>39586</v>
      </c>
      <c r="I1479" s="242">
        <v>43975</v>
      </c>
      <c r="J1479"/>
    </row>
    <row r="1480" spans="1:10" ht="15.75" customHeight="1">
      <c r="A1480" t="s">
        <v>2575</v>
      </c>
      <c r="B1480">
        <v>616100</v>
      </c>
      <c r="C1480">
        <v>1</v>
      </c>
      <c r="D1480" t="str">
        <f t="shared" si="23"/>
        <v>1616100.130</v>
      </c>
      <c r="E1480" t="s">
        <v>2576</v>
      </c>
      <c r="F1480" s="242"/>
      <c r="G1480"/>
      <c r="H1480" s="242">
        <v>28374</v>
      </c>
      <c r="I1480" s="242">
        <v>39291</v>
      </c>
      <c r="J1480"/>
    </row>
    <row r="1481" spans="1:10" ht="15.75" customHeight="1">
      <c r="A1481" t="s">
        <v>2577</v>
      </c>
      <c r="B1481">
        <v>616100</v>
      </c>
      <c r="C1481">
        <v>1</v>
      </c>
      <c r="D1481" t="str">
        <f t="shared" si="23"/>
        <v>1616100.140</v>
      </c>
      <c r="E1481" t="s">
        <v>2578</v>
      </c>
      <c r="F1481" s="242"/>
      <c r="G1481"/>
      <c r="H1481" s="242">
        <v>235184</v>
      </c>
      <c r="I1481" s="242">
        <v>230257</v>
      </c>
      <c r="J1481"/>
    </row>
    <row r="1482" spans="1:10" ht="15.75" customHeight="1">
      <c r="A1482" t="s">
        <v>2579</v>
      </c>
      <c r="B1482">
        <v>616100</v>
      </c>
      <c r="C1482">
        <v>1</v>
      </c>
      <c r="D1482" t="str">
        <f t="shared" si="23"/>
        <v>1616100.181</v>
      </c>
      <c r="E1482" t="s">
        <v>2580</v>
      </c>
      <c r="F1482" s="242"/>
      <c r="G1482"/>
      <c r="H1482" s="242">
        <v>187475</v>
      </c>
      <c r="I1482" s="242">
        <v>202874</v>
      </c>
      <c r="J1482"/>
    </row>
    <row r="1483" spans="1:10" ht="15.75" customHeight="1">
      <c r="A1483" t="s">
        <v>2581</v>
      </c>
      <c r="B1483">
        <v>616100</v>
      </c>
      <c r="C1483">
        <v>1</v>
      </c>
      <c r="D1483" t="str">
        <f t="shared" si="23"/>
        <v>1616100.182</v>
      </c>
      <c r="E1483" t="s">
        <v>2582</v>
      </c>
      <c r="F1483" s="242"/>
      <c r="G1483"/>
      <c r="H1483" s="242">
        <v>73241</v>
      </c>
      <c r="I1483" s="242">
        <v>77496</v>
      </c>
      <c r="J1483"/>
    </row>
    <row r="1484" spans="1:10" ht="15.75" customHeight="1">
      <c r="A1484" t="s">
        <v>2286</v>
      </c>
      <c r="B1484">
        <v>616100</v>
      </c>
      <c r="C1484">
        <v>1</v>
      </c>
      <c r="D1484" t="str">
        <f t="shared" si="23"/>
        <v>1616100.511</v>
      </c>
      <c r="E1484" t="s">
        <v>2584</v>
      </c>
      <c r="F1484" s="242"/>
      <c r="G1484"/>
      <c r="H1484" s="242">
        <v>58009</v>
      </c>
      <c r="I1484" s="242">
        <v>8871</v>
      </c>
      <c r="J1484"/>
    </row>
    <row r="1485" spans="1:10" ht="15.75" customHeight="1">
      <c r="A1485" t="s">
        <v>2414</v>
      </c>
      <c r="B1485">
        <v>616100</v>
      </c>
      <c r="C1485">
        <v>1</v>
      </c>
      <c r="D1485" t="str">
        <f t="shared" si="23"/>
        <v>1616100.512</v>
      </c>
      <c r="E1485" t="s">
        <v>2814</v>
      </c>
      <c r="F1485" s="242"/>
      <c r="G1485"/>
      <c r="H1485" s="242">
        <v>500</v>
      </c>
      <c r="I1485" s="242">
        <v>0</v>
      </c>
      <c r="J1485"/>
    </row>
    <row r="1486" spans="1:10" ht="15.75" customHeight="1">
      <c r="A1486" t="s">
        <v>2596</v>
      </c>
      <c r="B1486">
        <v>616100</v>
      </c>
      <c r="C1486">
        <v>1</v>
      </c>
      <c r="D1486" t="str">
        <f t="shared" si="23"/>
        <v>1616100.550</v>
      </c>
      <c r="E1486" t="s">
        <v>2597</v>
      </c>
      <c r="F1486" s="242"/>
      <c r="G1486"/>
      <c r="H1486" s="242">
        <v>18000</v>
      </c>
      <c r="I1486" s="242">
        <v>9994</v>
      </c>
      <c r="J1486"/>
    </row>
    <row r="1487" spans="1:10" ht="15.75" customHeight="1">
      <c r="A1487" t="s">
        <v>2600</v>
      </c>
      <c r="B1487">
        <v>616100</v>
      </c>
      <c r="C1487">
        <v>1</v>
      </c>
      <c r="D1487" t="str">
        <f t="shared" si="23"/>
        <v>1616100.580</v>
      </c>
      <c r="E1487" t="s">
        <v>2629</v>
      </c>
      <c r="F1487" s="242"/>
      <c r="G1487"/>
      <c r="H1487" s="242">
        <v>0</v>
      </c>
      <c r="I1487" s="242">
        <v>63</v>
      </c>
      <c r="J1487"/>
    </row>
    <row r="1488" spans="1:10" ht="15.75" customHeight="1">
      <c r="A1488" t="s">
        <v>673</v>
      </c>
      <c r="B1488">
        <v>616100</v>
      </c>
      <c r="C1488">
        <v>1</v>
      </c>
      <c r="D1488" t="str">
        <f t="shared" si="23"/>
        <v>1616100.743</v>
      </c>
      <c r="E1488" t="s">
        <v>2622</v>
      </c>
      <c r="F1488" s="242"/>
      <c r="G1488"/>
      <c r="H1488" s="242">
        <v>0</v>
      </c>
      <c r="I1488" s="242">
        <v>0</v>
      </c>
      <c r="J1488"/>
    </row>
    <row r="1489" spans="1:10" ht="15.75" customHeight="1">
      <c r="A1489" t="s">
        <v>776</v>
      </c>
      <c r="B1489">
        <v>616100</v>
      </c>
      <c r="C1489">
        <v>1</v>
      </c>
      <c r="D1489" t="str">
        <f t="shared" si="23"/>
        <v>1616100.752</v>
      </c>
      <c r="E1489" t="s">
        <v>4521</v>
      </c>
      <c r="F1489" s="242"/>
      <c r="G1489"/>
      <c r="H1489" s="242">
        <v>85000</v>
      </c>
      <c r="I1489" s="242">
        <v>38040</v>
      </c>
      <c r="J1489"/>
    </row>
    <row r="1490" spans="1:10" ht="15.75" customHeight="1">
      <c r="A1490" t="s">
        <v>781</v>
      </c>
      <c r="B1490">
        <v>616100</v>
      </c>
      <c r="C1490">
        <v>1</v>
      </c>
      <c r="D1490" t="str">
        <f t="shared" si="23"/>
        <v>1616100.753</v>
      </c>
      <c r="E1490" t="s">
        <v>4522</v>
      </c>
      <c r="F1490" s="242"/>
      <c r="G1490"/>
      <c r="H1490" s="242">
        <v>0</v>
      </c>
      <c r="I1490" s="242">
        <v>172405</v>
      </c>
      <c r="J1490"/>
    </row>
    <row r="1491" spans="1:10" ht="15.75" customHeight="1">
      <c r="A1491" t="s">
        <v>786</v>
      </c>
      <c r="B1491">
        <v>616100</v>
      </c>
      <c r="C1491">
        <v>1</v>
      </c>
      <c r="D1491" t="str">
        <f t="shared" si="23"/>
        <v>1616100.754</v>
      </c>
      <c r="E1491" t="s">
        <v>4523</v>
      </c>
      <c r="F1491" s="242"/>
      <c r="G1491"/>
      <c r="H1491" s="242">
        <v>47000</v>
      </c>
      <c r="I1491" s="242">
        <v>0</v>
      </c>
      <c r="J1491"/>
    </row>
    <row r="1492" spans="1:10" ht="15.75" customHeight="1">
      <c r="A1492" t="s">
        <v>791</v>
      </c>
      <c r="B1492">
        <v>616100</v>
      </c>
      <c r="C1492">
        <v>1</v>
      </c>
      <c r="D1492" t="str">
        <f t="shared" si="23"/>
        <v>1616100.756</v>
      </c>
      <c r="E1492" t="s">
        <v>4524</v>
      </c>
      <c r="F1492" s="242"/>
      <c r="G1492"/>
      <c r="H1492" s="242">
        <v>0</v>
      </c>
      <c r="I1492" s="242">
        <v>0</v>
      </c>
      <c r="J1492"/>
    </row>
    <row r="1493" spans="1:10" ht="15.75" customHeight="1">
      <c r="A1493" t="s">
        <v>2632</v>
      </c>
      <c r="B1493">
        <v>616100</v>
      </c>
      <c r="C1493">
        <v>1</v>
      </c>
      <c r="D1493" t="str">
        <f t="shared" si="23"/>
        <v>1616100.780</v>
      </c>
      <c r="E1493" t="s">
        <v>4525</v>
      </c>
      <c r="F1493" s="242"/>
      <c r="G1493"/>
      <c r="H1493" s="242">
        <v>28800</v>
      </c>
      <c r="I1493" s="242">
        <v>9532</v>
      </c>
      <c r="J1493"/>
    </row>
    <row r="1494" spans="1:10" ht="15.75" customHeight="1">
      <c r="A1494" t="s">
        <v>2691</v>
      </c>
      <c r="B1494">
        <v>616100</v>
      </c>
      <c r="C1494">
        <v>1</v>
      </c>
      <c r="D1494" t="str">
        <f t="shared" si="23"/>
        <v>1616100.986</v>
      </c>
      <c r="E1494" t="s">
        <v>4526</v>
      </c>
      <c r="F1494" s="242"/>
      <c r="G1494"/>
      <c r="H1494" s="242">
        <v>0</v>
      </c>
      <c r="I1494" s="242">
        <v>0</v>
      </c>
      <c r="J1494"/>
    </row>
    <row r="1495" spans="1:10" ht="15.75" customHeight="1">
      <c r="A1495" t="s">
        <v>2611</v>
      </c>
      <c r="B1495">
        <v>616101</v>
      </c>
      <c r="C1495">
        <v>1</v>
      </c>
      <c r="D1495" t="str">
        <f t="shared" si="23"/>
        <v>1616101.750</v>
      </c>
      <c r="E1495" t="s">
        <v>4527</v>
      </c>
      <c r="F1495" s="242"/>
      <c r="G1495"/>
      <c r="H1495" s="242">
        <v>20188</v>
      </c>
      <c r="I1495" s="242">
        <v>20188</v>
      </c>
      <c r="J1495"/>
    </row>
    <row r="1496" spans="1:10" ht="15.75" customHeight="1">
      <c r="A1496" t="s">
        <v>2691</v>
      </c>
      <c r="B1496">
        <v>616101</v>
      </c>
      <c r="C1496">
        <v>1</v>
      </c>
      <c r="D1496" t="str">
        <f t="shared" si="23"/>
        <v>1616101.986</v>
      </c>
      <c r="E1496" t="s">
        <v>4528</v>
      </c>
      <c r="F1496" s="242"/>
      <c r="G1496"/>
      <c r="H1496" s="242">
        <v>0</v>
      </c>
      <c r="I1496" s="242">
        <v>0</v>
      </c>
      <c r="J1496"/>
    </row>
    <row r="1497" spans="1:10" ht="15.75" customHeight="1">
      <c r="A1497" t="s">
        <v>2611</v>
      </c>
      <c r="B1497">
        <v>616102</v>
      </c>
      <c r="C1497">
        <v>1</v>
      </c>
      <c r="D1497" t="str">
        <f t="shared" si="23"/>
        <v>1616102.750</v>
      </c>
      <c r="E1497" t="s">
        <v>4529</v>
      </c>
      <c r="F1497" s="242"/>
      <c r="G1497"/>
      <c r="H1497" s="242">
        <v>8085</v>
      </c>
      <c r="I1497" s="242">
        <v>4067</v>
      </c>
      <c r="J1497"/>
    </row>
    <row r="1498" spans="1:10" ht="15.75" customHeight="1">
      <c r="A1498" t="s">
        <v>2611</v>
      </c>
      <c r="B1498">
        <v>616103</v>
      </c>
      <c r="C1498">
        <v>1</v>
      </c>
      <c r="D1498" t="str">
        <f t="shared" si="23"/>
        <v>1616103.750</v>
      </c>
      <c r="E1498" t="s">
        <v>4530</v>
      </c>
      <c r="F1498" s="242"/>
      <c r="G1498"/>
      <c r="H1498" s="242">
        <v>12238</v>
      </c>
      <c r="I1498" s="242">
        <v>3072</v>
      </c>
      <c r="J1498"/>
    </row>
    <row r="1499" spans="1:10" ht="15.75" customHeight="1">
      <c r="A1499" t="s">
        <v>2611</v>
      </c>
      <c r="B1499">
        <v>616104</v>
      </c>
      <c r="C1499">
        <v>1</v>
      </c>
      <c r="D1499" t="str">
        <f t="shared" si="23"/>
        <v>1616104.750</v>
      </c>
      <c r="E1499" t="s">
        <v>4531</v>
      </c>
      <c r="F1499" s="242"/>
      <c r="G1499"/>
      <c r="H1499" s="242">
        <v>60037</v>
      </c>
      <c r="I1499" s="242">
        <v>46905</v>
      </c>
      <c r="J1499"/>
    </row>
    <row r="1500" spans="1:10" ht="15.75" customHeight="1">
      <c r="A1500" t="s">
        <v>2691</v>
      </c>
      <c r="B1500">
        <v>616104</v>
      </c>
      <c r="C1500">
        <v>1</v>
      </c>
      <c r="D1500" t="str">
        <f t="shared" si="23"/>
        <v>1616104.986</v>
      </c>
      <c r="E1500" t="s">
        <v>4532</v>
      </c>
      <c r="F1500" s="242"/>
      <c r="G1500"/>
      <c r="H1500" s="242">
        <v>0</v>
      </c>
      <c r="I1500" s="242">
        <v>0</v>
      </c>
      <c r="J1500"/>
    </row>
    <row r="1501" spans="1:10" ht="15.75" customHeight="1">
      <c r="A1501" t="s">
        <v>2611</v>
      </c>
      <c r="B1501">
        <v>616105</v>
      </c>
      <c r="C1501">
        <v>1</v>
      </c>
      <c r="D1501" t="str">
        <f t="shared" si="23"/>
        <v>1616105.750</v>
      </c>
      <c r="E1501" t="s">
        <v>4533</v>
      </c>
      <c r="F1501" s="242"/>
      <c r="G1501"/>
      <c r="H1501" s="242">
        <v>25553</v>
      </c>
      <c r="I1501" s="242">
        <v>5714</v>
      </c>
      <c r="J1501"/>
    </row>
    <row r="1502" spans="1:10" ht="15.75" customHeight="1">
      <c r="A1502" t="s">
        <v>2611</v>
      </c>
      <c r="B1502">
        <v>616106</v>
      </c>
      <c r="C1502">
        <v>1</v>
      </c>
      <c r="D1502" t="str">
        <f t="shared" si="23"/>
        <v>1616106.750</v>
      </c>
      <c r="E1502" t="s">
        <v>4534</v>
      </c>
      <c r="F1502" s="242"/>
      <c r="G1502"/>
      <c r="H1502" s="242">
        <v>37635</v>
      </c>
      <c r="I1502" s="242">
        <v>24807</v>
      </c>
      <c r="J1502"/>
    </row>
    <row r="1503" spans="1:10" ht="15.75" customHeight="1">
      <c r="A1503" t="s">
        <v>2611</v>
      </c>
      <c r="B1503">
        <v>616107</v>
      </c>
      <c r="C1503">
        <v>1</v>
      </c>
      <c r="D1503" t="str">
        <f t="shared" si="23"/>
        <v>1616107.750</v>
      </c>
      <c r="E1503" t="s">
        <v>4535</v>
      </c>
      <c r="F1503" s="242"/>
      <c r="G1503"/>
      <c r="H1503" s="242">
        <v>12124</v>
      </c>
      <c r="I1503" s="242">
        <v>8173</v>
      </c>
      <c r="J1503"/>
    </row>
    <row r="1504" spans="1:10" ht="15.75" customHeight="1">
      <c r="A1504" t="s">
        <v>2611</v>
      </c>
      <c r="B1504">
        <v>616108</v>
      </c>
      <c r="C1504">
        <v>1</v>
      </c>
      <c r="D1504" t="str">
        <f t="shared" si="23"/>
        <v>1616108.750</v>
      </c>
      <c r="E1504" t="s">
        <v>4536</v>
      </c>
      <c r="F1504" s="242"/>
      <c r="G1504"/>
      <c r="H1504" s="242">
        <v>6064</v>
      </c>
      <c r="I1504" s="242">
        <v>6064</v>
      </c>
      <c r="J1504"/>
    </row>
    <row r="1505" spans="1:10" ht="15.75" customHeight="1">
      <c r="A1505" t="s">
        <v>2611</v>
      </c>
      <c r="B1505">
        <v>616109</v>
      </c>
      <c r="C1505">
        <v>1</v>
      </c>
      <c r="D1505" t="str">
        <f t="shared" si="23"/>
        <v>1616109.750</v>
      </c>
      <c r="E1505" t="s">
        <v>4537</v>
      </c>
      <c r="F1505" s="242"/>
      <c r="G1505"/>
      <c r="H1505" s="242">
        <v>13552</v>
      </c>
      <c r="I1505" s="242">
        <v>14116</v>
      </c>
      <c r="J1505"/>
    </row>
    <row r="1506" spans="1:10" ht="15.75" customHeight="1">
      <c r="A1506" t="s">
        <v>2611</v>
      </c>
      <c r="B1506">
        <v>616110</v>
      </c>
      <c r="C1506">
        <v>1</v>
      </c>
      <c r="D1506" t="str">
        <f t="shared" si="23"/>
        <v>1616110.750</v>
      </c>
      <c r="E1506" t="s">
        <v>4538</v>
      </c>
      <c r="F1506" s="242"/>
      <c r="G1506"/>
      <c r="H1506" s="242">
        <v>12238</v>
      </c>
      <c r="I1506" s="242">
        <v>0</v>
      </c>
      <c r="J1506"/>
    </row>
    <row r="1507" spans="1:10" ht="15.75" customHeight="1">
      <c r="A1507" t="s">
        <v>2403</v>
      </c>
      <c r="B1507">
        <v>616200</v>
      </c>
      <c r="C1507">
        <v>1</v>
      </c>
      <c r="D1507" t="str">
        <f t="shared" si="23"/>
        <v>1616200.110</v>
      </c>
      <c r="E1507" t="s">
        <v>2573</v>
      </c>
      <c r="F1507" s="242"/>
      <c r="G1507"/>
      <c r="H1507" s="242">
        <v>0</v>
      </c>
      <c r="I1507" s="242">
        <v>0</v>
      </c>
      <c r="J1507"/>
    </row>
    <row r="1508" spans="1:10" ht="15.75" customHeight="1">
      <c r="A1508" t="s">
        <v>2404</v>
      </c>
      <c r="B1508">
        <v>616200</v>
      </c>
      <c r="C1508">
        <v>1</v>
      </c>
      <c r="D1508" t="str">
        <f t="shared" si="23"/>
        <v>1616200.120</v>
      </c>
      <c r="E1508" t="s">
        <v>2574</v>
      </c>
      <c r="F1508" s="242"/>
      <c r="G1508"/>
      <c r="H1508" s="242">
        <v>0</v>
      </c>
      <c r="I1508" s="242">
        <v>0</v>
      </c>
      <c r="J1508"/>
    </row>
    <row r="1509" spans="1:10" ht="15.75" customHeight="1">
      <c r="A1509" t="s">
        <v>2575</v>
      </c>
      <c r="B1509">
        <v>616200</v>
      </c>
      <c r="C1509">
        <v>1</v>
      </c>
      <c r="D1509" t="str">
        <f t="shared" si="23"/>
        <v>1616200.130</v>
      </c>
      <c r="E1509" t="s">
        <v>2576</v>
      </c>
      <c r="F1509" s="242"/>
      <c r="G1509"/>
      <c r="H1509" s="242">
        <v>0</v>
      </c>
      <c r="I1509" s="242">
        <v>0</v>
      </c>
      <c r="J1509"/>
    </row>
    <row r="1510" spans="1:10" ht="15.75" customHeight="1">
      <c r="A1510" t="s">
        <v>2577</v>
      </c>
      <c r="B1510">
        <v>616200</v>
      </c>
      <c r="C1510">
        <v>1</v>
      </c>
      <c r="D1510" t="str">
        <f t="shared" si="23"/>
        <v>1616200.140</v>
      </c>
      <c r="E1510" t="s">
        <v>2578</v>
      </c>
      <c r="F1510" s="242"/>
      <c r="G1510"/>
      <c r="H1510" s="242">
        <v>0</v>
      </c>
      <c r="I1510" s="242">
        <v>0</v>
      </c>
      <c r="J1510"/>
    </row>
    <row r="1511" spans="1:10" ht="15.75" customHeight="1">
      <c r="A1511" t="s">
        <v>2579</v>
      </c>
      <c r="B1511">
        <v>616200</v>
      </c>
      <c r="C1511">
        <v>1</v>
      </c>
      <c r="D1511" t="str">
        <f t="shared" si="23"/>
        <v>1616200.181</v>
      </c>
      <c r="E1511" t="s">
        <v>2580</v>
      </c>
      <c r="F1511" s="242"/>
      <c r="G1511"/>
      <c r="H1511" s="242">
        <v>0</v>
      </c>
      <c r="I1511" s="242">
        <v>0</v>
      </c>
      <c r="J1511"/>
    </row>
    <row r="1512" spans="1:10" ht="15.75" customHeight="1">
      <c r="A1512" t="s">
        <v>2581</v>
      </c>
      <c r="B1512">
        <v>616200</v>
      </c>
      <c r="C1512">
        <v>1</v>
      </c>
      <c r="D1512" t="str">
        <f t="shared" si="23"/>
        <v>1616200.182</v>
      </c>
      <c r="E1512" t="s">
        <v>2582</v>
      </c>
      <c r="F1512" s="242"/>
      <c r="G1512"/>
      <c r="H1512" s="242">
        <v>0</v>
      </c>
      <c r="I1512" s="242">
        <v>0</v>
      </c>
      <c r="J1512"/>
    </row>
    <row r="1513" spans="1:10" ht="15.75" customHeight="1">
      <c r="A1513" t="s">
        <v>2286</v>
      </c>
      <c r="B1513">
        <v>616300</v>
      </c>
      <c r="C1513">
        <v>1</v>
      </c>
      <c r="D1513" t="str">
        <f t="shared" si="23"/>
        <v>1616300.511</v>
      </c>
      <c r="E1513" t="s">
        <v>2584</v>
      </c>
      <c r="F1513" s="242"/>
      <c r="G1513"/>
      <c r="H1513" s="242">
        <v>2000</v>
      </c>
      <c r="I1513" s="242">
        <v>1089</v>
      </c>
      <c r="J1513"/>
    </row>
    <row r="1514" spans="1:10" ht="15.75" customHeight="1">
      <c r="A1514" t="s">
        <v>2414</v>
      </c>
      <c r="B1514">
        <v>616300</v>
      </c>
      <c r="C1514">
        <v>1</v>
      </c>
      <c r="D1514" t="str">
        <f t="shared" si="23"/>
        <v>1616300.512</v>
      </c>
      <c r="E1514" t="s">
        <v>2814</v>
      </c>
      <c r="F1514" s="242"/>
      <c r="G1514"/>
      <c r="H1514" s="242">
        <v>500</v>
      </c>
      <c r="I1514" s="242">
        <v>0</v>
      </c>
      <c r="J1514"/>
    </row>
    <row r="1515" spans="1:10" ht="15.75" customHeight="1">
      <c r="A1515" t="s">
        <v>2644</v>
      </c>
      <c r="B1515">
        <v>616300</v>
      </c>
      <c r="C1515">
        <v>1</v>
      </c>
      <c r="D1515" t="str">
        <f t="shared" si="23"/>
        <v>1616300.521</v>
      </c>
      <c r="E1515" t="s">
        <v>2734</v>
      </c>
      <c r="F1515" s="242"/>
      <c r="G1515"/>
      <c r="H1515" s="242">
        <v>43400</v>
      </c>
      <c r="I1515" s="242">
        <v>45062</v>
      </c>
      <c r="J1515"/>
    </row>
    <row r="1516" spans="1:10" ht="15.75" customHeight="1">
      <c r="A1516" t="s">
        <v>2600</v>
      </c>
      <c r="B1516">
        <v>616300</v>
      </c>
      <c r="C1516">
        <v>1</v>
      </c>
      <c r="D1516" t="str">
        <f t="shared" si="23"/>
        <v>1616300.580</v>
      </c>
      <c r="E1516" t="s">
        <v>2629</v>
      </c>
      <c r="F1516" s="242"/>
      <c r="G1516"/>
      <c r="H1516" s="242">
        <v>1000</v>
      </c>
      <c r="I1516" s="242">
        <v>0</v>
      </c>
      <c r="J1516"/>
    </row>
    <row r="1517" spans="1:10" ht="15.75" customHeight="1">
      <c r="A1517" t="s">
        <v>772</v>
      </c>
      <c r="B1517">
        <v>616400</v>
      </c>
      <c r="C1517">
        <v>1</v>
      </c>
      <c r="D1517" t="str">
        <f t="shared" si="23"/>
        <v>1616400.751</v>
      </c>
      <c r="E1517" t="s">
        <v>4539</v>
      </c>
      <c r="F1517" s="242"/>
      <c r="G1517"/>
      <c r="H1517" s="242">
        <v>0</v>
      </c>
      <c r="I1517" s="242">
        <v>106758</v>
      </c>
      <c r="J1517"/>
    </row>
    <row r="1518" spans="1:10" ht="15.75" customHeight="1">
      <c r="A1518" t="s">
        <v>2691</v>
      </c>
      <c r="B1518">
        <v>616401</v>
      </c>
      <c r="C1518">
        <v>1</v>
      </c>
      <c r="D1518" t="str">
        <f t="shared" si="23"/>
        <v>1616401.986</v>
      </c>
      <c r="E1518" t="s">
        <v>4540</v>
      </c>
      <c r="F1518" s="242"/>
      <c r="G1518"/>
      <c r="H1518" s="242">
        <v>0</v>
      </c>
      <c r="I1518" s="242">
        <v>0</v>
      </c>
      <c r="J1518"/>
    </row>
    <row r="1519" spans="1:10" ht="15.75" customHeight="1">
      <c r="A1519" t="s">
        <v>772</v>
      </c>
      <c r="B1519">
        <v>616500</v>
      </c>
      <c r="C1519">
        <v>1</v>
      </c>
      <c r="D1519" t="str">
        <f t="shared" si="23"/>
        <v>1616500.751</v>
      </c>
      <c r="E1519" t="s">
        <v>4541</v>
      </c>
      <c r="F1519" s="242"/>
      <c r="G1519"/>
      <c r="H1519" s="242">
        <v>170000</v>
      </c>
      <c r="I1519" s="242">
        <v>178057</v>
      </c>
      <c r="J1519"/>
    </row>
    <row r="1520" spans="1:10" ht="15.75" customHeight="1">
      <c r="A1520" t="s">
        <v>2632</v>
      </c>
      <c r="B1520">
        <v>616500</v>
      </c>
      <c r="C1520">
        <v>1</v>
      </c>
      <c r="D1520" t="str">
        <f t="shared" si="23"/>
        <v>1616500.780</v>
      </c>
      <c r="E1520" t="s">
        <v>2633</v>
      </c>
      <c r="F1520" s="242"/>
      <c r="G1520"/>
      <c r="H1520" s="242">
        <v>0</v>
      </c>
      <c r="I1520" s="242">
        <v>0</v>
      </c>
      <c r="J1520"/>
    </row>
    <row r="1521" spans="1:10" ht="15.75" customHeight="1">
      <c r="A1521" t="s">
        <v>872</v>
      </c>
      <c r="B1521">
        <v>616500</v>
      </c>
      <c r="C1521">
        <v>1</v>
      </c>
      <c r="D1521" t="str">
        <f t="shared" si="23"/>
        <v>1616500.781</v>
      </c>
      <c r="E1521" t="s">
        <v>4542</v>
      </c>
      <c r="F1521" s="242"/>
      <c r="G1521"/>
      <c r="H1521" s="242">
        <v>20000</v>
      </c>
      <c r="I1521" s="242">
        <v>0</v>
      </c>
      <c r="J1521"/>
    </row>
    <row r="1522" spans="1:10" ht="15.75" customHeight="1">
      <c r="A1522" t="s">
        <v>2609</v>
      </c>
      <c r="B1522">
        <v>616600</v>
      </c>
      <c r="C1522">
        <v>1</v>
      </c>
      <c r="D1522" t="str">
        <f t="shared" si="23"/>
        <v>1616600.710</v>
      </c>
      <c r="E1522" t="s">
        <v>4543</v>
      </c>
      <c r="F1522" s="242"/>
      <c r="G1522"/>
      <c r="H1522" s="242">
        <v>0</v>
      </c>
      <c r="I1522" s="242">
        <v>0</v>
      </c>
      <c r="J1522"/>
    </row>
    <row r="1523" spans="1:10" ht="15.75" customHeight="1">
      <c r="A1523" t="s">
        <v>2603</v>
      </c>
      <c r="B1523">
        <v>616600</v>
      </c>
      <c r="C1523">
        <v>1</v>
      </c>
      <c r="D1523" t="str">
        <f t="shared" si="23"/>
        <v>1616600.759</v>
      </c>
      <c r="E1523" t="s">
        <v>2642</v>
      </c>
      <c r="F1523" s="242"/>
      <c r="G1523"/>
      <c r="H1523" s="242">
        <v>0</v>
      </c>
      <c r="I1523" s="242">
        <v>0</v>
      </c>
      <c r="J1523"/>
    </row>
    <row r="1524" spans="1:10" ht="15.75" customHeight="1">
      <c r="A1524" t="s">
        <v>2632</v>
      </c>
      <c r="B1524">
        <v>616600</v>
      </c>
      <c r="C1524">
        <v>1</v>
      </c>
      <c r="D1524" t="str">
        <f t="shared" si="23"/>
        <v>1616600.780</v>
      </c>
      <c r="E1524" t="s">
        <v>4544</v>
      </c>
      <c r="F1524" s="242"/>
      <c r="G1524"/>
      <c r="H1524" s="242">
        <v>0</v>
      </c>
      <c r="I1524" s="242">
        <v>0</v>
      </c>
      <c r="J1524"/>
    </row>
    <row r="1525" spans="1:10" ht="15.75" customHeight="1">
      <c r="A1525" t="s">
        <v>872</v>
      </c>
      <c r="B1525">
        <v>616600</v>
      </c>
      <c r="C1525">
        <v>1</v>
      </c>
      <c r="D1525" t="str">
        <f t="shared" si="23"/>
        <v>1616600.781</v>
      </c>
      <c r="E1525" t="s">
        <v>4545</v>
      </c>
      <c r="F1525" s="242"/>
      <c r="G1525"/>
      <c r="H1525" s="242">
        <v>0</v>
      </c>
      <c r="I1525" s="242">
        <v>29559</v>
      </c>
      <c r="J1525"/>
    </row>
    <row r="1526" spans="1:10" ht="15.75" customHeight="1">
      <c r="A1526" t="s">
        <v>877</v>
      </c>
      <c r="B1526">
        <v>616600</v>
      </c>
      <c r="C1526">
        <v>1</v>
      </c>
      <c r="D1526" t="str">
        <f t="shared" si="23"/>
        <v>1616600.782</v>
      </c>
      <c r="E1526" t="s">
        <v>4546</v>
      </c>
      <c r="F1526" s="242"/>
      <c r="G1526"/>
      <c r="H1526" s="242">
        <v>0</v>
      </c>
      <c r="I1526" s="242">
        <v>6670</v>
      </c>
      <c r="J1526"/>
    </row>
    <row r="1527" spans="1:10" ht="15.75" customHeight="1">
      <c r="A1527" t="s">
        <v>2674</v>
      </c>
      <c r="B1527">
        <v>616600</v>
      </c>
      <c r="C1527">
        <v>1</v>
      </c>
      <c r="D1527" t="str">
        <f t="shared" si="23"/>
        <v>1616600.783</v>
      </c>
      <c r="E1527" t="s">
        <v>4547</v>
      </c>
      <c r="F1527" s="242"/>
      <c r="G1527"/>
      <c r="H1527" s="242">
        <v>0</v>
      </c>
      <c r="I1527" s="242">
        <v>22078</v>
      </c>
      <c r="J1527"/>
    </row>
    <row r="1528" spans="1:10" ht="15.75" customHeight="1">
      <c r="A1528" t="s">
        <v>2676</v>
      </c>
      <c r="B1528">
        <v>616600</v>
      </c>
      <c r="C1528">
        <v>1</v>
      </c>
      <c r="D1528" t="str">
        <f t="shared" si="23"/>
        <v>1616600.784</v>
      </c>
      <c r="E1528" t="s">
        <v>4548</v>
      </c>
      <c r="F1528" s="242"/>
      <c r="G1528"/>
      <c r="H1528" s="242">
        <v>0</v>
      </c>
      <c r="I1528" s="242">
        <v>118453</v>
      </c>
      <c r="J1528"/>
    </row>
    <row r="1529" spans="1:10" ht="15.75" customHeight="1">
      <c r="A1529" t="s">
        <v>2750</v>
      </c>
      <c r="B1529">
        <v>616600</v>
      </c>
      <c r="C1529">
        <v>1</v>
      </c>
      <c r="D1529" t="str">
        <f t="shared" si="23"/>
        <v>1616600.785</v>
      </c>
      <c r="E1529" t="s">
        <v>4549</v>
      </c>
      <c r="F1529" s="242"/>
      <c r="G1529"/>
      <c r="H1529" s="242">
        <v>0</v>
      </c>
      <c r="I1529" s="242">
        <v>28337</v>
      </c>
      <c r="J1529"/>
    </row>
    <row r="1530" spans="1:10" ht="15.75" customHeight="1">
      <c r="A1530" t="s">
        <v>2850</v>
      </c>
      <c r="B1530">
        <v>616600</v>
      </c>
      <c r="C1530">
        <v>1</v>
      </c>
      <c r="D1530" t="str">
        <f t="shared" si="23"/>
        <v>1616600.786</v>
      </c>
      <c r="E1530" t="s">
        <v>4550</v>
      </c>
      <c r="F1530" s="242"/>
      <c r="G1530"/>
      <c r="H1530" s="242">
        <v>0</v>
      </c>
      <c r="I1530" s="242">
        <v>28337</v>
      </c>
      <c r="J1530"/>
    </row>
    <row r="1531" spans="1:10" ht="15.75" customHeight="1">
      <c r="A1531" t="s">
        <v>3030</v>
      </c>
      <c r="B1531">
        <v>616600</v>
      </c>
      <c r="C1531">
        <v>1</v>
      </c>
      <c r="D1531" t="str">
        <f t="shared" si="23"/>
        <v>1616600.787</v>
      </c>
      <c r="E1531" t="s">
        <v>4551</v>
      </c>
      <c r="F1531" s="242"/>
      <c r="G1531"/>
      <c r="H1531" s="242">
        <v>0</v>
      </c>
      <c r="I1531" s="242">
        <v>32594</v>
      </c>
      <c r="J1531"/>
    </row>
    <row r="1532" spans="1:10" ht="15.75" customHeight="1">
      <c r="A1532" t="s">
        <v>2841</v>
      </c>
      <c r="B1532">
        <v>616600</v>
      </c>
      <c r="C1532">
        <v>1</v>
      </c>
      <c r="D1532" t="str">
        <f t="shared" si="23"/>
        <v>1616600.788</v>
      </c>
      <c r="E1532" t="s">
        <v>4552</v>
      </c>
      <c r="F1532" s="242"/>
      <c r="G1532"/>
      <c r="H1532" s="242">
        <v>0</v>
      </c>
      <c r="I1532" s="242">
        <v>17568</v>
      </c>
      <c r="J1532"/>
    </row>
    <row r="1533" spans="1:10" ht="15.75" customHeight="1">
      <c r="A1533" t="s">
        <v>3056</v>
      </c>
      <c r="B1533">
        <v>616600</v>
      </c>
      <c r="C1533">
        <v>1</v>
      </c>
      <c r="D1533" t="str">
        <f t="shared" si="23"/>
        <v>1616600.789</v>
      </c>
      <c r="E1533" t="s">
        <v>4553</v>
      </c>
      <c r="F1533" s="242"/>
      <c r="G1533"/>
      <c r="H1533" s="242">
        <v>0</v>
      </c>
      <c r="I1533" s="242">
        <v>22897</v>
      </c>
      <c r="J1533"/>
    </row>
    <row r="1534" spans="1:10" ht="15.75" customHeight="1">
      <c r="A1534" t="s">
        <v>2691</v>
      </c>
      <c r="B1534">
        <v>616600</v>
      </c>
      <c r="C1534">
        <v>1</v>
      </c>
      <c r="D1534" t="str">
        <f t="shared" si="23"/>
        <v>1616600.986</v>
      </c>
      <c r="E1534" t="s">
        <v>4554</v>
      </c>
      <c r="F1534" s="242"/>
      <c r="G1534"/>
      <c r="H1534" s="242">
        <v>0</v>
      </c>
      <c r="I1534" s="242">
        <v>0</v>
      </c>
      <c r="J1534"/>
    </row>
    <row r="1535" spans="1:10" ht="15.75" customHeight="1">
      <c r="A1535" t="s">
        <v>2403</v>
      </c>
      <c r="B1535">
        <v>616700</v>
      </c>
      <c r="C1535">
        <v>1</v>
      </c>
      <c r="D1535" t="str">
        <f t="shared" si="23"/>
        <v>1616700.110</v>
      </c>
      <c r="E1535" t="s">
        <v>2573</v>
      </c>
      <c r="F1535" s="242"/>
      <c r="G1535"/>
      <c r="H1535" s="242">
        <v>78721</v>
      </c>
      <c r="I1535" s="242">
        <v>0</v>
      </c>
      <c r="J1535"/>
    </row>
    <row r="1536" spans="1:10" ht="15.75" customHeight="1">
      <c r="A1536" t="s">
        <v>2404</v>
      </c>
      <c r="B1536">
        <v>616700</v>
      </c>
      <c r="C1536">
        <v>1</v>
      </c>
      <c r="D1536" t="str">
        <f t="shared" si="23"/>
        <v>1616700.120</v>
      </c>
      <c r="E1536" t="s">
        <v>2574</v>
      </c>
      <c r="F1536" s="242"/>
      <c r="G1536"/>
      <c r="H1536" s="242">
        <v>4715</v>
      </c>
      <c r="I1536" s="242">
        <v>0</v>
      </c>
      <c r="J1536"/>
    </row>
    <row r="1537" spans="1:10" ht="15.75" customHeight="1">
      <c r="A1537" t="s">
        <v>2575</v>
      </c>
      <c r="B1537">
        <v>616700</v>
      </c>
      <c r="C1537">
        <v>1</v>
      </c>
      <c r="D1537" t="str">
        <f t="shared" si="23"/>
        <v>1616700.130</v>
      </c>
      <c r="E1537" t="s">
        <v>2576</v>
      </c>
      <c r="F1537" s="242"/>
      <c r="G1537"/>
      <c r="H1537" s="242">
        <v>3379</v>
      </c>
      <c r="I1537" s="242">
        <v>0</v>
      </c>
      <c r="J1537"/>
    </row>
    <row r="1538" spans="1:10" ht="15.75" customHeight="1">
      <c r="A1538" t="s">
        <v>2577</v>
      </c>
      <c r="B1538">
        <v>616700</v>
      </c>
      <c r="C1538">
        <v>1</v>
      </c>
      <c r="D1538" t="str">
        <f t="shared" si="23"/>
        <v>1616700.140</v>
      </c>
      <c r="E1538" t="s">
        <v>2578</v>
      </c>
      <c r="F1538" s="242"/>
      <c r="G1538"/>
      <c r="H1538" s="242">
        <v>28010</v>
      </c>
      <c r="I1538" s="242">
        <v>0</v>
      </c>
      <c r="J1538"/>
    </row>
    <row r="1539" spans="1:10" ht="15.75" customHeight="1">
      <c r="A1539" t="s">
        <v>2579</v>
      </c>
      <c r="B1539">
        <v>616700</v>
      </c>
      <c r="C1539">
        <v>1</v>
      </c>
      <c r="D1539" t="str">
        <f t="shared" ref="D1539:D1602" si="24">C1539&amp;B1539&amp;"."&amp;A1539</f>
        <v>1616700.181</v>
      </c>
      <c r="E1539" t="s">
        <v>2580</v>
      </c>
      <c r="F1539" s="242"/>
      <c r="G1539"/>
      <c r="H1539" s="242">
        <v>22328</v>
      </c>
      <c r="I1539" s="242">
        <v>0</v>
      </c>
      <c r="J1539"/>
    </row>
    <row r="1540" spans="1:10" ht="15.75" customHeight="1">
      <c r="A1540" t="s">
        <v>2581</v>
      </c>
      <c r="B1540">
        <v>616700</v>
      </c>
      <c r="C1540">
        <v>1</v>
      </c>
      <c r="D1540" t="str">
        <f t="shared" si="24"/>
        <v>1616700.182</v>
      </c>
      <c r="E1540" t="s">
        <v>2582</v>
      </c>
      <c r="F1540" s="242"/>
      <c r="G1540"/>
      <c r="H1540" s="242">
        <v>8722</v>
      </c>
      <c r="I1540" s="242">
        <v>0</v>
      </c>
      <c r="J1540"/>
    </row>
    <row r="1541" spans="1:10" ht="15.75" customHeight="1">
      <c r="A1541" t="s">
        <v>2286</v>
      </c>
      <c r="B1541">
        <v>616700</v>
      </c>
      <c r="C1541">
        <v>1</v>
      </c>
      <c r="D1541" t="str">
        <f t="shared" si="24"/>
        <v>1616700.511</v>
      </c>
      <c r="E1541" t="s">
        <v>2584</v>
      </c>
      <c r="F1541" s="242"/>
      <c r="G1541"/>
      <c r="H1541" s="242">
        <v>9500</v>
      </c>
      <c r="I1541" s="242">
        <v>7329</v>
      </c>
      <c r="J1541"/>
    </row>
    <row r="1542" spans="1:10" ht="15.75" customHeight="1">
      <c r="A1542" t="s">
        <v>2609</v>
      </c>
      <c r="B1542">
        <v>616700</v>
      </c>
      <c r="C1542">
        <v>1</v>
      </c>
      <c r="D1542" t="str">
        <f t="shared" si="24"/>
        <v>1616700.710</v>
      </c>
      <c r="E1542" t="s">
        <v>4555</v>
      </c>
      <c r="F1542" s="242"/>
      <c r="G1542"/>
      <c r="H1542" s="242">
        <v>45000</v>
      </c>
      <c r="I1542" s="242">
        <v>38638</v>
      </c>
      <c r="J1542"/>
    </row>
    <row r="1543" spans="1:10" ht="15.75" customHeight="1">
      <c r="A1543" t="s">
        <v>673</v>
      </c>
      <c r="B1543">
        <v>616700</v>
      </c>
      <c r="C1543">
        <v>1</v>
      </c>
      <c r="D1543" t="str">
        <f t="shared" si="24"/>
        <v>1616700.743</v>
      </c>
      <c r="E1543" t="s">
        <v>2622</v>
      </c>
      <c r="F1543" s="242"/>
      <c r="G1543"/>
      <c r="H1543" s="242">
        <v>41000</v>
      </c>
      <c r="I1543" s="242">
        <v>28173</v>
      </c>
      <c r="J1543"/>
    </row>
    <row r="1544" spans="1:10" ht="15.75" customHeight="1">
      <c r="A1544" t="s">
        <v>772</v>
      </c>
      <c r="B1544">
        <v>616700</v>
      </c>
      <c r="C1544">
        <v>1</v>
      </c>
      <c r="D1544" t="str">
        <f t="shared" si="24"/>
        <v>1616700.751</v>
      </c>
      <c r="E1544" t="s">
        <v>4556</v>
      </c>
      <c r="F1544" s="242"/>
      <c r="G1544"/>
      <c r="H1544" s="242">
        <v>50500</v>
      </c>
      <c r="I1544" s="242">
        <v>35399</v>
      </c>
      <c r="J1544"/>
    </row>
    <row r="1545" spans="1:10" ht="15.75" customHeight="1">
      <c r="A1545" t="s">
        <v>776</v>
      </c>
      <c r="B1545">
        <v>616700</v>
      </c>
      <c r="C1545">
        <v>1</v>
      </c>
      <c r="D1545" t="str">
        <f t="shared" si="24"/>
        <v>1616700.752</v>
      </c>
      <c r="E1545" t="s">
        <v>4557</v>
      </c>
      <c r="F1545" s="242"/>
      <c r="G1545"/>
      <c r="H1545" s="242">
        <v>8750</v>
      </c>
      <c r="I1545" s="242">
        <v>0</v>
      </c>
      <c r="J1545"/>
    </row>
    <row r="1546" spans="1:10" ht="15.75" customHeight="1">
      <c r="A1546" t="s">
        <v>781</v>
      </c>
      <c r="B1546">
        <v>616700</v>
      </c>
      <c r="C1546">
        <v>1</v>
      </c>
      <c r="D1546" t="str">
        <f t="shared" si="24"/>
        <v>1616700.753</v>
      </c>
      <c r="E1546" t="s">
        <v>4558</v>
      </c>
      <c r="F1546" s="242"/>
      <c r="G1546"/>
      <c r="H1546" s="242">
        <v>0</v>
      </c>
      <c r="I1546" s="242">
        <v>0</v>
      </c>
      <c r="J1546"/>
    </row>
    <row r="1547" spans="1:10" ht="15.75" customHeight="1">
      <c r="A1547" t="s">
        <v>2632</v>
      </c>
      <c r="B1547">
        <v>616700</v>
      </c>
      <c r="C1547">
        <v>1</v>
      </c>
      <c r="D1547" t="str">
        <f t="shared" si="24"/>
        <v>1616700.780</v>
      </c>
      <c r="E1547" t="s">
        <v>4559</v>
      </c>
      <c r="F1547" s="242"/>
      <c r="G1547"/>
      <c r="H1547" s="242">
        <v>24000</v>
      </c>
      <c r="I1547" s="242">
        <v>15204</v>
      </c>
      <c r="J1547"/>
    </row>
    <row r="1548" spans="1:10" ht="15.75" customHeight="1">
      <c r="A1548" t="s">
        <v>877</v>
      </c>
      <c r="B1548">
        <v>616700</v>
      </c>
      <c r="C1548">
        <v>1</v>
      </c>
      <c r="D1548" t="str">
        <f t="shared" si="24"/>
        <v>1616700.782</v>
      </c>
      <c r="E1548" t="s">
        <v>4560</v>
      </c>
      <c r="F1548" s="242"/>
      <c r="G1548"/>
      <c r="H1548" s="242">
        <v>16000</v>
      </c>
      <c r="I1548" s="242">
        <v>0</v>
      </c>
      <c r="J1548"/>
    </row>
    <row r="1549" spans="1:10" ht="15.75" customHeight="1">
      <c r="A1549" t="s">
        <v>2403</v>
      </c>
      <c r="B1549">
        <v>616800</v>
      </c>
      <c r="C1549">
        <v>1</v>
      </c>
      <c r="D1549" t="str">
        <f t="shared" si="24"/>
        <v>1616800.110</v>
      </c>
      <c r="E1549" t="s">
        <v>2573</v>
      </c>
      <c r="F1549" s="242"/>
      <c r="G1549"/>
      <c r="H1549" s="242">
        <v>147004</v>
      </c>
      <c r="I1549" s="242">
        <v>0</v>
      </c>
      <c r="J1549"/>
    </row>
    <row r="1550" spans="1:10" ht="15.75" customHeight="1">
      <c r="A1550" t="s">
        <v>2404</v>
      </c>
      <c r="B1550">
        <v>616800</v>
      </c>
      <c r="C1550">
        <v>1</v>
      </c>
      <c r="D1550" t="str">
        <f t="shared" si="24"/>
        <v>1616800.120</v>
      </c>
      <c r="E1550" t="s">
        <v>2574</v>
      </c>
      <c r="F1550" s="242"/>
      <c r="G1550"/>
      <c r="H1550" s="242">
        <v>8804</v>
      </c>
      <c r="I1550" s="242">
        <v>0</v>
      </c>
      <c r="J1550"/>
    </row>
    <row r="1551" spans="1:10" ht="15.75" customHeight="1">
      <c r="A1551" t="s">
        <v>2575</v>
      </c>
      <c r="B1551">
        <v>616800</v>
      </c>
      <c r="C1551">
        <v>1</v>
      </c>
      <c r="D1551" t="str">
        <f t="shared" si="24"/>
        <v>1616800.130</v>
      </c>
      <c r="E1551" t="s">
        <v>2576</v>
      </c>
      <c r="F1551" s="242"/>
      <c r="G1551"/>
      <c r="H1551" s="242">
        <v>6310</v>
      </c>
      <c r="I1551" s="242">
        <v>0</v>
      </c>
      <c r="J1551"/>
    </row>
    <row r="1552" spans="1:10" ht="15.75" customHeight="1">
      <c r="A1552" t="s">
        <v>2577</v>
      </c>
      <c r="B1552">
        <v>616800</v>
      </c>
      <c r="C1552">
        <v>1</v>
      </c>
      <c r="D1552" t="str">
        <f t="shared" si="24"/>
        <v>1616800.140</v>
      </c>
      <c r="E1552" t="s">
        <v>2578</v>
      </c>
      <c r="F1552" s="242"/>
      <c r="G1552"/>
      <c r="H1552" s="242">
        <v>52306</v>
      </c>
      <c r="I1552" s="242">
        <v>0</v>
      </c>
      <c r="J1552"/>
    </row>
    <row r="1553" spans="1:10" ht="15.75" customHeight="1">
      <c r="A1553" t="s">
        <v>2579</v>
      </c>
      <c r="B1553">
        <v>616800</v>
      </c>
      <c r="C1553">
        <v>1</v>
      </c>
      <c r="D1553" t="str">
        <f t="shared" si="24"/>
        <v>1616800.181</v>
      </c>
      <c r="E1553" t="s">
        <v>2580</v>
      </c>
      <c r="F1553" s="242"/>
      <c r="G1553"/>
      <c r="H1553" s="242">
        <v>41695</v>
      </c>
      <c r="I1553" s="242">
        <v>0</v>
      </c>
      <c r="J1553"/>
    </row>
    <row r="1554" spans="1:10" ht="15.75" customHeight="1">
      <c r="A1554" t="s">
        <v>2581</v>
      </c>
      <c r="B1554">
        <v>616800</v>
      </c>
      <c r="C1554">
        <v>1</v>
      </c>
      <c r="D1554" t="str">
        <f t="shared" si="24"/>
        <v>1616800.182</v>
      </c>
      <c r="E1554" t="s">
        <v>2582</v>
      </c>
      <c r="F1554" s="242"/>
      <c r="G1554"/>
      <c r="H1554" s="242">
        <v>16289</v>
      </c>
      <c r="I1554" s="242">
        <v>0</v>
      </c>
      <c r="J1554"/>
    </row>
    <row r="1555" spans="1:10" ht="15.75" customHeight="1">
      <c r="A1555" t="s">
        <v>2286</v>
      </c>
      <c r="B1555">
        <v>616800</v>
      </c>
      <c r="C1555">
        <v>1</v>
      </c>
      <c r="D1555" t="str">
        <f t="shared" si="24"/>
        <v>1616800.511</v>
      </c>
      <c r="E1555" t="s">
        <v>2584</v>
      </c>
      <c r="F1555" s="242"/>
      <c r="G1555"/>
      <c r="H1555" s="242">
        <v>1000</v>
      </c>
      <c r="I1555" s="242">
        <v>0</v>
      </c>
      <c r="J1555"/>
    </row>
    <row r="1556" spans="1:10" ht="15.75" customHeight="1">
      <c r="A1556" t="s">
        <v>2588</v>
      </c>
      <c r="B1556">
        <v>616800</v>
      </c>
      <c r="C1556">
        <v>1</v>
      </c>
      <c r="D1556" t="str">
        <f t="shared" si="24"/>
        <v>1616800.522</v>
      </c>
      <c r="E1556" t="s">
        <v>2608</v>
      </c>
      <c r="F1556" s="242"/>
      <c r="G1556"/>
      <c r="H1556" s="242">
        <v>2000</v>
      </c>
      <c r="I1556" s="242">
        <v>0</v>
      </c>
      <c r="J1556"/>
    </row>
    <row r="1557" spans="1:10" ht="15.75" customHeight="1">
      <c r="A1557" t="s">
        <v>2596</v>
      </c>
      <c r="B1557">
        <v>616800</v>
      </c>
      <c r="C1557">
        <v>1</v>
      </c>
      <c r="D1557" t="str">
        <f t="shared" si="24"/>
        <v>1616800.550</v>
      </c>
      <c r="E1557" t="s">
        <v>2597</v>
      </c>
      <c r="F1557" s="242"/>
      <c r="G1557"/>
      <c r="H1557" s="242">
        <v>27000</v>
      </c>
      <c r="I1557" s="242">
        <v>0</v>
      </c>
      <c r="J1557"/>
    </row>
    <row r="1558" spans="1:10" ht="15.75" customHeight="1">
      <c r="A1558" t="s">
        <v>2600</v>
      </c>
      <c r="B1558">
        <v>616800</v>
      </c>
      <c r="C1558">
        <v>1</v>
      </c>
      <c r="D1558" t="str">
        <f t="shared" si="24"/>
        <v>1616800.580</v>
      </c>
      <c r="E1558" t="s">
        <v>2601</v>
      </c>
      <c r="F1558" s="242"/>
      <c r="G1558"/>
      <c r="H1558" s="242">
        <v>2000</v>
      </c>
      <c r="I1558" s="242">
        <v>0</v>
      </c>
      <c r="J1558"/>
    </row>
    <row r="1559" spans="1:10" ht="15.75" customHeight="1">
      <c r="A1559" t="s">
        <v>737</v>
      </c>
      <c r="B1559">
        <v>616800</v>
      </c>
      <c r="C1559">
        <v>1</v>
      </c>
      <c r="D1559" t="str">
        <f t="shared" si="24"/>
        <v>1616800.747</v>
      </c>
      <c r="E1559" t="s">
        <v>2765</v>
      </c>
      <c r="F1559" s="242"/>
      <c r="G1559"/>
      <c r="H1559" s="242">
        <v>0</v>
      </c>
      <c r="I1559" s="242">
        <v>0</v>
      </c>
      <c r="J1559"/>
    </row>
    <row r="1560" spans="1:10" ht="15.75" customHeight="1">
      <c r="A1560" t="s">
        <v>772</v>
      </c>
      <c r="B1560">
        <v>616800</v>
      </c>
      <c r="C1560">
        <v>1</v>
      </c>
      <c r="D1560" t="str">
        <f t="shared" si="24"/>
        <v>1616800.751</v>
      </c>
      <c r="E1560" t="s">
        <v>4497</v>
      </c>
      <c r="F1560" s="242"/>
      <c r="G1560"/>
      <c r="H1560" s="242">
        <v>698040</v>
      </c>
      <c r="I1560" s="242">
        <v>0</v>
      </c>
      <c r="J1560"/>
    </row>
    <row r="1561" spans="1:10" ht="15.75" customHeight="1">
      <c r="A1561" t="s">
        <v>776</v>
      </c>
      <c r="B1561">
        <v>616800</v>
      </c>
      <c r="C1561">
        <v>1</v>
      </c>
      <c r="D1561" t="str">
        <f t="shared" si="24"/>
        <v>1616800.752</v>
      </c>
      <c r="E1561" t="s">
        <v>3715</v>
      </c>
      <c r="F1561" s="242"/>
      <c r="G1561"/>
      <c r="H1561" s="242">
        <v>0</v>
      </c>
      <c r="I1561" s="242">
        <v>0</v>
      </c>
      <c r="J1561"/>
    </row>
    <row r="1562" spans="1:10" ht="15.75" customHeight="1">
      <c r="A1562" t="s">
        <v>2403</v>
      </c>
      <c r="B1562">
        <v>617000</v>
      </c>
      <c r="C1562">
        <v>1</v>
      </c>
      <c r="D1562" t="str">
        <f t="shared" si="24"/>
        <v>1617000.110</v>
      </c>
      <c r="E1562" t="s">
        <v>2573</v>
      </c>
      <c r="F1562" s="242"/>
      <c r="G1562"/>
      <c r="H1562" s="242">
        <v>3793901</v>
      </c>
      <c r="I1562" s="242">
        <v>3207879</v>
      </c>
      <c r="J1562"/>
    </row>
    <row r="1563" spans="1:10" ht="15.75" customHeight="1">
      <c r="A1563" t="s">
        <v>2404</v>
      </c>
      <c r="B1563">
        <v>617000</v>
      </c>
      <c r="C1563">
        <v>1</v>
      </c>
      <c r="D1563" t="str">
        <f t="shared" si="24"/>
        <v>1617000.120</v>
      </c>
      <c r="E1563" t="s">
        <v>2574</v>
      </c>
      <c r="F1563" s="242"/>
      <c r="G1563"/>
      <c r="H1563" s="242">
        <v>221574</v>
      </c>
      <c r="I1563" s="242">
        <v>191537</v>
      </c>
      <c r="J1563"/>
    </row>
    <row r="1564" spans="1:10" ht="15.75" customHeight="1">
      <c r="A1564" t="s">
        <v>2575</v>
      </c>
      <c r="B1564">
        <v>617000</v>
      </c>
      <c r="C1564">
        <v>1</v>
      </c>
      <c r="D1564" t="str">
        <f t="shared" si="24"/>
        <v>1617000.130</v>
      </c>
      <c r="E1564" t="s">
        <v>2576</v>
      </c>
      <c r="F1564" s="242"/>
      <c r="G1564"/>
      <c r="H1564" s="242">
        <v>50610</v>
      </c>
      <c r="I1564" s="242">
        <v>47579</v>
      </c>
      <c r="J1564"/>
    </row>
    <row r="1565" spans="1:10" ht="15.75" customHeight="1">
      <c r="A1565" t="s">
        <v>2577</v>
      </c>
      <c r="B1565">
        <v>617000</v>
      </c>
      <c r="C1565">
        <v>1</v>
      </c>
      <c r="D1565" t="str">
        <f t="shared" si="24"/>
        <v>1617000.140</v>
      </c>
      <c r="E1565" t="s">
        <v>2578</v>
      </c>
      <c r="F1565" s="242"/>
      <c r="G1565"/>
      <c r="H1565" s="242">
        <v>677300</v>
      </c>
      <c r="I1565" s="242">
        <v>585890</v>
      </c>
      <c r="J1565"/>
    </row>
    <row r="1566" spans="1:10" ht="15.75" customHeight="1">
      <c r="A1566" t="s">
        <v>2579</v>
      </c>
      <c r="B1566">
        <v>617000</v>
      </c>
      <c r="C1566">
        <v>1</v>
      </c>
      <c r="D1566" t="str">
        <f t="shared" si="24"/>
        <v>1617000.181</v>
      </c>
      <c r="E1566" t="s">
        <v>2580</v>
      </c>
      <c r="F1566" s="242"/>
      <c r="G1566"/>
      <c r="H1566" s="242">
        <v>894382</v>
      </c>
      <c r="I1566" s="242">
        <v>748176</v>
      </c>
      <c r="J1566"/>
    </row>
    <row r="1567" spans="1:10" ht="15.75" customHeight="1">
      <c r="A1567" t="s">
        <v>2581</v>
      </c>
      <c r="B1567">
        <v>617000</v>
      </c>
      <c r="C1567">
        <v>1</v>
      </c>
      <c r="D1567" t="str">
        <f t="shared" si="24"/>
        <v>1617000.182</v>
      </c>
      <c r="E1567" t="s">
        <v>2582</v>
      </c>
      <c r="F1567" s="242"/>
      <c r="G1567"/>
      <c r="H1567" s="242">
        <v>369758</v>
      </c>
      <c r="I1567" s="242">
        <v>309952</v>
      </c>
      <c r="J1567"/>
    </row>
    <row r="1568" spans="1:10" ht="15.75" customHeight="1">
      <c r="A1568" t="s">
        <v>2606</v>
      </c>
      <c r="B1568">
        <v>617000</v>
      </c>
      <c r="C1568">
        <v>1</v>
      </c>
      <c r="D1568" t="str">
        <f t="shared" si="24"/>
        <v>1617000.440</v>
      </c>
      <c r="E1568" t="s">
        <v>2794</v>
      </c>
      <c r="F1568" s="242"/>
      <c r="G1568"/>
      <c r="H1568" s="242">
        <v>8600</v>
      </c>
      <c r="I1568" s="242">
        <v>8266</v>
      </c>
      <c r="J1568"/>
    </row>
    <row r="1569" spans="1:10" ht="15.75" customHeight="1">
      <c r="A1569" t="s">
        <v>2286</v>
      </c>
      <c r="B1569">
        <v>617000</v>
      </c>
      <c r="C1569">
        <v>1</v>
      </c>
      <c r="D1569" t="str">
        <f t="shared" si="24"/>
        <v>1617000.511</v>
      </c>
      <c r="E1569" t="s">
        <v>2584</v>
      </c>
      <c r="F1569" s="242"/>
      <c r="G1569"/>
      <c r="H1569" s="242">
        <v>7500</v>
      </c>
      <c r="I1569" s="242">
        <v>5842</v>
      </c>
      <c r="J1569"/>
    </row>
    <row r="1570" spans="1:10" ht="15.75" customHeight="1">
      <c r="A1570" t="s">
        <v>2414</v>
      </c>
      <c r="B1570">
        <v>617000</v>
      </c>
      <c r="C1570">
        <v>1</v>
      </c>
      <c r="D1570" t="str">
        <f t="shared" si="24"/>
        <v>1617000.512</v>
      </c>
      <c r="E1570" t="s">
        <v>2585</v>
      </c>
      <c r="F1570" s="242"/>
      <c r="G1570"/>
      <c r="H1570" s="242">
        <v>1000</v>
      </c>
      <c r="I1570" s="242">
        <v>0</v>
      </c>
      <c r="J1570"/>
    </row>
    <row r="1571" spans="1:10" ht="15.75" customHeight="1">
      <c r="A1571" t="s">
        <v>2644</v>
      </c>
      <c r="B1571">
        <v>617000</v>
      </c>
      <c r="C1571">
        <v>1</v>
      </c>
      <c r="D1571" t="str">
        <f t="shared" si="24"/>
        <v>1617000.521</v>
      </c>
      <c r="E1571" t="s">
        <v>2795</v>
      </c>
      <c r="F1571" s="242"/>
      <c r="G1571"/>
      <c r="H1571" s="242">
        <v>10000</v>
      </c>
      <c r="I1571" s="242">
        <v>18100</v>
      </c>
      <c r="J1571"/>
    </row>
    <row r="1572" spans="1:10" ht="15.75" customHeight="1">
      <c r="A1572" t="s">
        <v>2588</v>
      </c>
      <c r="B1572">
        <v>617000</v>
      </c>
      <c r="C1572">
        <v>1</v>
      </c>
      <c r="D1572" t="str">
        <f t="shared" si="24"/>
        <v>1617000.522</v>
      </c>
      <c r="E1572" t="s">
        <v>2608</v>
      </c>
      <c r="F1572" s="242"/>
      <c r="G1572"/>
      <c r="H1572" s="242">
        <v>48000</v>
      </c>
      <c r="I1572" s="242">
        <v>47436</v>
      </c>
      <c r="J1572"/>
    </row>
    <row r="1573" spans="1:10" ht="15.75" customHeight="1">
      <c r="A1573" t="s">
        <v>2590</v>
      </c>
      <c r="B1573">
        <v>617000</v>
      </c>
      <c r="C1573">
        <v>1</v>
      </c>
      <c r="D1573" t="str">
        <f t="shared" si="24"/>
        <v>1617000.523</v>
      </c>
      <c r="E1573" t="s">
        <v>2796</v>
      </c>
      <c r="F1573" s="242"/>
      <c r="G1573"/>
      <c r="H1573" s="242">
        <v>25000</v>
      </c>
      <c r="I1573" s="242">
        <v>18000</v>
      </c>
      <c r="J1573"/>
    </row>
    <row r="1574" spans="1:10" ht="15.75" customHeight="1">
      <c r="A1574" t="s">
        <v>2594</v>
      </c>
      <c r="B1574">
        <v>617000</v>
      </c>
      <c r="C1574">
        <v>1</v>
      </c>
      <c r="D1574" t="str">
        <f t="shared" si="24"/>
        <v>1617000.540</v>
      </c>
      <c r="E1574" t="s">
        <v>2595</v>
      </c>
      <c r="F1574" s="242"/>
      <c r="G1574"/>
      <c r="H1574" s="242">
        <v>30000</v>
      </c>
      <c r="I1574" s="242">
        <v>26099</v>
      </c>
      <c r="J1574"/>
    </row>
    <row r="1575" spans="1:10" ht="15.75" customHeight="1">
      <c r="A1575" t="s">
        <v>2596</v>
      </c>
      <c r="B1575">
        <v>617000</v>
      </c>
      <c r="C1575">
        <v>1</v>
      </c>
      <c r="D1575" t="str">
        <f t="shared" si="24"/>
        <v>1617000.550</v>
      </c>
      <c r="E1575" t="s">
        <v>2597</v>
      </c>
      <c r="F1575" s="242"/>
      <c r="G1575"/>
      <c r="H1575" s="242">
        <v>4750</v>
      </c>
      <c r="I1575" s="242">
        <v>900</v>
      </c>
      <c r="J1575"/>
    </row>
    <row r="1576" spans="1:10" ht="15.75" customHeight="1">
      <c r="A1576" t="s">
        <v>2598</v>
      </c>
      <c r="B1576">
        <v>617000</v>
      </c>
      <c r="C1576">
        <v>1</v>
      </c>
      <c r="D1576" t="str">
        <f t="shared" si="24"/>
        <v>1617000.561</v>
      </c>
      <c r="E1576" t="s">
        <v>2599</v>
      </c>
      <c r="F1576" s="242"/>
      <c r="G1576"/>
      <c r="H1576" s="242">
        <v>9000</v>
      </c>
      <c r="I1576" s="242">
        <v>7327</v>
      </c>
      <c r="J1576"/>
    </row>
    <row r="1577" spans="1:10" ht="15.75" customHeight="1">
      <c r="A1577" t="s">
        <v>2600</v>
      </c>
      <c r="B1577">
        <v>617000</v>
      </c>
      <c r="C1577">
        <v>1</v>
      </c>
      <c r="D1577" t="str">
        <f t="shared" si="24"/>
        <v>1617000.580</v>
      </c>
      <c r="E1577" t="s">
        <v>2601</v>
      </c>
      <c r="F1577" s="242"/>
      <c r="G1577"/>
      <c r="H1577" s="242">
        <v>14000</v>
      </c>
      <c r="I1577" s="242">
        <v>9741</v>
      </c>
      <c r="J1577"/>
    </row>
    <row r="1578" spans="1:10" ht="15.75" customHeight="1">
      <c r="A1578" t="s">
        <v>2702</v>
      </c>
      <c r="B1578">
        <v>617000</v>
      </c>
      <c r="C1578">
        <v>1</v>
      </c>
      <c r="D1578" t="str">
        <f t="shared" si="24"/>
        <v>1617000.582</v>
      </c>
      <c r="E1578" t="s">
        <v>2797</v>
      </c>
      <c r="F1578" s="242"/>
      <c r="G1578"/>
      <c r="H1578" s="242">
        <v>6000</v>
      </c>
      <c r="I1578" s="242">
        <v>5292</v>
      </c>
      <c r="J1578"/>
    </row>
    <row r="1579" spans="1:10" ht="15.75" customHeight="1">
      <c r="A1579" t="s">
        <v>2609</v>
      </c>
      <c r="B1579">
        <v>617000</v>
      </c>
      <c r="C1579">
        <v>1</v>
      </c>
      <c r="D1579" t="str">
        <f t="shared" si="24"/>
        <v>1617000.710</v>
      </c>
      <c r="E1579" t="s">
        <v>2798</v>
      </c>
      <c r="F1579" s="242"/>
      <c r="G1579"/>
      <c r="H1579" s="242">
        <v>2500</v>
      </c>
      <c r="I1579" s="242">
        <v>0</v>
      </c>
      <c r="J1579"/>
    </row>
    <row r="1580" spans="1:10" ht="15.75" customHeight="1">
      <c r="A1580" t="s">
        <v>600</v>
      </c>
      <c r="B1580">
        <v>617000</v>
      </c>
      <c r="C1580">
        <v>1</v>
      </c>
      <c r="D1580" t="str">
        <f t="shared" si="24"/>
        <v>1617000.731</v>
      </c>
      <c r="E1580" t="s">
        <v>2593</v>
      </c>
      <c r="F1580" s="242"/>
      <c r="G1580"/>
      <c r="H1580" s="242">
        <v>22278</v>
      </c>
      <c r="I1580" s="242">
        <v>16199</v>
      </c>
      <c r="J1580"/>
    </row>
    <row r="1581" spans="1:10" ht="15.75" customHeight="1">
      <c r="A1581" t="s">
        <v>2418</v>
      </c>
      <c r="B1581">
        <v>617000</v>
      </c>
      <c r="C1581">
        <v>1</v>
      </c>
      <c r="D1581" t="str">
        <f t="shared" si="24"/>
        <v>1617000.735</v>
      </c>
      <c r="E1581" t="s">
        <v>2602</v>
      </c>
      <c r="F1581" s="242"/>
      <c r="G1581"/>
      <c r="H1581" s="242">
        <v>37788</v>
      </c>
      <c r="I1581" s="242">
        <v>42725</v>
      </c>
      <c r="J1581"/>
    </row>
    <row r="1582" spans="1:10" ht="15.75" customHeight="1">
      <c r="A1582" t="s">
        <v>673</v>
      </c>
      <c r="B1582">
        <v>617000</v>
      </c>
      <c r="C1582">
        <v>1</v>
      </c>
      <c r="D1582" t="str">
        <f t="shared" si="24"/>
        <v>1617000.743</v>
      </c>
      <c r="E1582" t="s">
        <v>2622</v>
      </c>
      <c r="F1582" s="242"/>
      <c r="G1582"/>
      <c r="H1582" s="242">
        <v>25000</v>
      </c>
      <c r="I1582" s="242">
        <v>19601</v>
      </c>
      <c r="J1582"/>
    </row>
    <row r="1583" spans="1:10" ht="15.75" customHeight="1">
      <c r="A1583" t="s">
        <v>2611</v>
      </c>
      <c r="B1583">
        <v>617000</v>
      </c>
      <c r="C1583">
        <v>1</v>
      </c>
      <c r="D1583" t="str">
        <f t="shared" si="24"/>
        <v>1617000.750</v>
      </c>
      <c r="E1583" t="s">
        <v>2799</v>
      </c>
      <c r="F1583" s="242"/>
      <c r="G1583"/>
      <c r="H1583" s="242">
        <v>40000</v>
      </c>
      <c r="I1583" s="242">
        <v>35378</v>
      </c>
      <c r="J1583"/>
    </row>
    <row r="1584" spans="1:10" ht="15.75" customHeight="1">
      <c r="A1584" t="s">
        <v>772</v>
      </c>
      <c r="B1584">
        <v>617000</v>
      </c>
      <c r="C1584">
        <v>1</v>
      </c>
      <c r="D1584" t="str">
        <f t="shared" si="24"/>
        <v>1617000.751</v>
      </c>
      <c r="E1584" t="s">
        <v>2800</v>
      </c>
      <c r="F1584" s="242"/>
      <c r="G1584"/>
      <c r="H1584" s="242">
        <v>0</v>
      </c>
      <c r="I1584" s="242">
        <v>0</v>
      </c>
      <c r="J1584"/>
    </row>
    <row r="1585" spans="1:10" ht="15.75" customHeight="1">
      <c r="A1585" t="s">
        <v>781</v>
      </c>
      <c r="B1585">
        <v>617000</v>
      </c>
      <c r="C1585">
        <v>1</v>
      </c>
      <c r="D1585" t="str">
        <f t="shared" si="24"/>
        <v>1617000.753</v>
      </c>
      <c r="E1585" t="s">
        <v>2738</v>
      </c>
      <c r="F1585" s="242"/>
      <c r="G1585"/>
      <c r="H1585" s="242">
        <v>40000</v>
      </c>
      <c r="I1585" s="242">
        <v>25056</v>
      </c>
      <c r="J1585"/>
    </row>
    <row r="1586" spans="1:10" ht="15.75" customHeight="1">
      <c r="A1586" t="s">
        <v>2801</v>
      </c>
      <c r="B1586">
        <v>617000</v>
      </c>
      <c r="C1586">
        <v>1</v>
      </c>
      <c r="D1586" t="str">
        <f t="shared" si="24"/>
        <v>1617000.758</v>
      </c>
      <c r="E1586" t="s">
        <v>2802</v>
      </c>
      <c r="F1586" s="242"/>
      <c r="G1586"/>
      <c r="H1586" s="242">
        <v>60000</v>
      </c>
      <c r="I1586" s="242">
        <v>0</v>
      </c>
      <c r="J1586"/>
    </row>
    <row r="1587" spans="1:10" ht="15.75" customHeight="1">
      <c r="A1587" t="s">
        <v>2603</v>
      </c>
      <c r="B1587">
        <v>617000</v>
      </c>
      <c r="C1587">
        <v>1</v>
      </c>
      <c r="D1587" t="str">
        <f t="shared" si="24"/>
        <v>1617000.759</v>
      </c>
      <c r="E1587" t="s">
        <v>2803</v>
      </c>
      <c r="F1587" s="242"/>
      <c r="G1587"/>
      <c r="H1587" s="242">
        <v>104000</v>
      </c>
      <c r="I1587" s="242">
        <v>0</v>
      </c>
      <c r="J1587"/>
    </row>
    <row r="1588" spans="1:10" ht="15.75" customHeight="1">
      <c r="A1588" t="s">
        <v>835</v>
      </c>
      <c r="B1588">
        <v>617000</v>
      </c>
      <c r="C1588">
        <v>1</v>
      </c>
      <c r="D1588" t="str">
        <f t="shared" si="24"/>
        <v>1617000.769</v>
      </c>
      <c r="E1588" t="s">
        <v>2605</v>
      </c>
      <c r="F1588" s="242"/>
      <c r="G1588"/>
      <c r="H1588" s="242">
        <v>38400</v>
      </c>
      <c r="I1588" s="242">
        <v>18600</v>
      </c>
      <c r="J1588"/>
    </row>
    <row r="1589" spans="1:10" ht="15.75" customHeight="1">
      <c r="A1589" t="s">
        <v>2403</v>
      </c>
      <c r="B1589">
        <v>617200</v>
      </c>
      <c r="C1589">
        <v>1</v>
      </c>
      <c r="D1589" t="str">
        <f t="shared" si="24"/>
        <v>1617200.110</v>
      </c>
      <c r="E1589" t="s">
        <v>2573</v>
      </c>
      <c r="F1589" s="242"/>
      <c r="G1589"/>
      <c r="H1589" s="242">
        <v>121802</v>
      </c>
      <c r="I1589" s="242">
        <v>124363</v>
      </c>
      <c r="J1589"/>
    </row>
    <row r="1590" spans="1:10" ht="15.75" customHeight="1">
      <c r="A1590" t="s">
        <v>2404</v>
      </c>
      <c r="B1590">
        <v>617200</v>
      </c>
      <c r="C1590">
        <v>1</v>
      </c>
      <c r="D1590" t="str">
        <f t="shared" si="24"/>
        <v>1617200.120</v>
      </c>
      <c r="E1590" t="s">
        <v>2574</v>
      </c>
      <c r="F1590" s="242"/>
      <c r="G1590"/>
      <c r="H1590" s="242">
        <v>12585</v>
      </c>
      <c r="I1590" s="242">
        <v>12610</v>
      </c>
      <c r="J1590"/>
    </row>
    <row r="1591" spans="1:10" ht="15.75" customHeight="1">
      <c r="A1591" t="s">
        <v>2575</v>
      </c>
      <c r="B1591">
        <v>617200</v>
      </c>
      <c r="C1591">
        <v>1</v>
      </c>
      <c r="D1591" t="str">
        <f t="shared" si="24"/>
        <v>1617200.130</v>
      </c>
      <c r="E1591" t="s">
        <v>2576</v>
      </c>
      <c r="F1591" s="242"/>
      <c r="G1591"/>
      <c r="H1591" s="242">
        <v>0</v>
      </c>
      <c r="I1591" s="242">
        <v>0</v>
      </c>
      <c r="J1591"/>
    </row>
    <row r="1592" spans="1:10" ht="15.75" customHeight="1">
      <c r="A1592" t="s">
        <v>2577</v>
      </c>
      <c r="B1592">
        <v>617200</v>
      </c>
      <c r="C1592">
        <v>1</v>
      </c>
      <c r="D1592" t="str">
        <f t="shared" si="24"/>
        <v>1617200.140</v>
      </c>
      <c r="E1592" t="s">
        <v>2578</v>
      </c>
      <c r="F1592" s="242"/>
      <c r="G1592"/>
      <c r="H1592" s="242">
        <v>3618</v>
      </c>
      <c r="I1592" s="242">
        <v>3652</v>
      </c>
      <c r="J1592"/>
    </row>
    <row r="1593" spans="1:10" ht="15.75" customHeight="1">
      <c r="A1593" t="s">
        <v>2579</v>
      </c>
      <c r="B1593">
        <v>617200</v>
      </c>
      <c r="C1593">
        <v>1</v>
      </c>
      <c r="D1593" t="str">
        <f t="shared" si="24"/>
        <v>1617200.181</v>
      </c>
      <c r="E1593" t="s">
        <v>2580</v>
      </c>
      <c r="F1593" s="242"/>
      <c r="G1593"/>
      <c r="H1593" s="242">
        <v>22604</v>
      </c>
      <c r="I1593" s="242">
        <v>23798</v>
      </c>
      <c r="J1593"/>
    </row>
    <row r="1594" spans="1:10" ht="15.75" customHeight="1">
      <c r="A1594" t="s">
        <v>2581</v>
      </c>
      <c r="B1594">
        <v>617200</v>
      </c>
      <c r="C1594">
        <v>1</v>
      </c>
      <c r="D1594" t="str">
        <f t="shared" si="24"/>
        <v>1617200.182</v>
      </c>
      <c r="E1594" t="s">
        <v>2582</v>
      </c>
      <c r="F1594" s="242"/>
      <c r="G1594"/>
      <c r="H1594" s="242">
        <v>10517</v>
      </c>
      <c r="I1594" s="242">
        <v>10714</v>
      </c>
      <c r="J1594"/>
    </row>
    <row r="1595" spans="1:10" ht="15.75" customHeight="1">
      <c r="A1595" t="s">
        <v>2409</v>
      </c>
      <c r="B1595">
        <v>617200</v>
      </c>
      <c r="C1595">
        <v>1</v>
      </c>
      <c r="D1595" t="str">
        <f t="shared" si="24"/>
        <v>1617200.410</v>
      </c>
      <c r="E1595" t="s">
        <v>2804</v>
      </c>
      <c r="F1595" s="242"/>
      <c r="G1595"/>
      <c r="H1595" s="242">
        <v>0</v>
      </c>
      <c r="I1595" s="242">
        <v>0</v>
      </c>
      <c r="J1595"/>
    </row>
    <row r="1596" spans="1:10" ht="15.75" customHeight="1">
      <c r="A1596" t="s">
        <v>2286</v>
      </c>
      <c r="B1596">
        <v>617200</v>
      </c>
      <c r="C1596">
        <v>1</v>
      </c>
      <c r="D1596" t="str">
        <f t="shared" si="24"/>
        <v>1617200.511</v>
      </c>
      <c r="E1596" t="s">
        <v>2805</v>
      </c>
      <c r="F1596" s="242"/>
      <c r="G1596"/>
      <c r="H1596" s="242">
        <v>0</v>
      </c>
      <c r="I1596" s="242">
        <v>0</v>
      </c>
      <c r="J1596"/>
    </row>
    <row r="1597" spans="1:10" ht="15.75" customHeight="1">
      <c r="A1597" t="s">
        <v>2759</v>
      </c>
      <c r="B1597">
        <v>617200</v>
      </c>
      <c r="C1597">
        <v>1</v>
      </c>
      <c r="D1597" t="str">
        <f t="shared" si="24"/>
        <v>1617200.760</v>
      </c>
      <c r="E1597" t="s">
        <v>2806</v>
      </c>
      <c r="F1597" s="242"/>
      <c r="G1597"/>
      <c r="H1597" s="242">
        <v>0</v>
      </c>
      <c r="I1597" s="242">
        <v>207640</v>
      </c>
      <c r="J1597"/>
    </row>
    <row r="1598" spans="1:10" ht="15.75" customHeight="1">
      <c r="A1598" t="s">
        <v>835</v>
      </c>
      <c r="B1598">
        <v>617200</v>
      </c>
      <c r="C1598">
        <v>1</v>
      </c>
      <c r="D1598" t="str">
        <f t="shared" si="24"/>
        <v>1617200.769</v>
      </c>
      <c r="E1598" t="s">
        <v>2605</v>
      </c>
      <c r="F1598" s="242"/>
      <c r="G1598"/>
      <c r="H1598" s="242">
        <v>38400</v>
      </c>
      <c r="I1598" s="242">
        <v>13274</v>
      </c>
      <c r="J1598"/>
    </row>
    <row r="1599" spans="1:10" ht="15.75" customHeight="1">
      <c r="A1599" t="s">
        <v>2691</v>
      </c>
      <c r="B1599">
        <v>617201</v>
      </c>
      <c r="C1599">
        <v>1</v>
      </c>
      <c r="D1599" t="str">
        <f t="shared" si="24"/>
        <v>1617201.986</v>
      </c>
      <c r="E1599" t="s">
        <v>2807</v>
      </c>
      <c r="F1599" s="242"/>
      <c r="G1599"/>
      <c r="H1599" s="242">
        <v>0</v>
      </c>
      <c r="I1599" s="242">
        <v>0</v>
      </c>
      <c r="J1599"/>
    </row>
    <row r="1600" spans="1:10" ht="15.75" customHeight="1">
      <c r="A1600" t="s">
        <v>2571</v>
      </c>
      <c r="B1600">
        <v>618200</v>
      </c>
      <c r="C1600">
        <v>1</v>
      </c>
      <c r="D1600" t="str">
        <f t="shared" si="24"/>
        <v>1618200.105</v>
      </c>
      <c r="E1600" t="s">
        <v>2572</v>
      </c>
      <c r="F1600" s="242"/>
      <c r="G1600"/>
      <c r="H1600" s="242">
        <v>0</v>
      </c>
      <c r="I1600" s="242">
        <v>0</v>
      </c>
      <c r="J1600"/>
    </row>
    <row r="1601" spans="1:10" ht="15.75" customHeight="1">
      <c r="A1601" t="s">
        <v>2403</v>
      </c>
      <c r="B1601">
        <v>618200</v>
      </c>
      <c r="C1601">
        <v>1</v>
      </c>
      <c r="D1601" t="str">
        <f t="shared" si="24"/>
        <v>1618200.110</v>
      </c>
      <c r="E1601" t="s">
        <v>2573</v>
      </c>
      <c r="F1601" s="242"/>
      <c r="G1601"/>
      <c r="H1601" s="242">
        <v>516074</v>
      </c>
      <c r="I1601" s="242">
        <v>258066</v>
      </c>
      <c r="J1601"/>
    </row>
    <row r="1602" spans="1:10" ht="15.75" customHeight="1">
      <c r="A1602" t="s">
        <v>2404</v>
      </c>
      <c r="B1602">
        <v>618200</v>
      </c>
      <c r="C1602">
        <v>1</v>
      </c>
      <c r="D1602" t="str">
        <f t="shared" si="24"/>
        <v>1618200.120</v>
      </c>
      <c r="E1602" t="s">
        <v>2574</v>
      </c>
      <c r="F1602" s="242"/>
      <c r="G1602"/>
      <c r="H1602" s="242">
        <v>102158</v>
      </c>
      <c r="I1602" s="242">
        <v>38096</v>
      </c>
      <c r="J1602"/>
    </row>
    <row r="1603" spans="1:10" ht="15.75" customHeight="1">
      <c r="A1603" t="s">
        <v>2575</v>
      </c>
      <c r="B1603">
        <v>618200</v>
      </c>
      <c r="C1603">
        <v>1</v>
      </c>
      <c r="D1603" t="str">
        <f t="shared" ref="D1603:D1666" si="25">C1603&amp;B1603&amp;"."&amp;A1603</f>
        <v>1618200.130</v>
      </c>
      <c r="E1603" t="s">
        <v>2576</v>
      </c>
      <c r="F1603" s="242"/>
      <c r="G1603"/>
      <c r="H1603" s="242">
        <v>1428</v>
      </c>
      <c r="I1603" s="242">
        <v>307</v>
      </c>
      <c r="J1603"/>
    </row>
    <row r="1604" spans="1:10" ht="15.75" customHeight="1">
      <c r="A1604" t="s">
        <v>2577</v>
      </c>
      <c r="B1604">
        <v>618200</v>
      </c>
      <c r="C1604">
        <v>1</v>
      </c>
      <c r="D1604" t="str">
        <f t="shared" si="25"/>
        <v>1618200.140</v>
      </c>
      <c r="E1604" t="s">
        <v>2578</v>
      </c>
      <c r="F1604" s="242"/>
      <c r="G1604"/>
      <c r="H1604" s="242">
        <v>180074</v>
      </c>
      <c r="I1604" s="242">
        <v>56248</v>
      </c>
      <c r="J1604"/>
    </row>
    <row r="1605" spans="1:10" ht="15.75" customHeight="1">
      <c r="A1605" t="s">
        <v>2579</v>
      </c>
      <c r="B1605">
        <v>618200</v>
      </c>
      <c r="C1605">
        <v>1</v>
      </c>
      <c r="D1605" t="str">
        <f t="shared" si="25"/>
        <v>1618200.181</v>
      </c>
      <c r="E1605" t="s">
        <v>2580</v>
      </c>
      <c r="F1605" s="242"/>
      <c r="G1605"/>
      <c r="H1605" s="242">
        <v>123949</v>
      </c>
      <c r="I1605" s="242">
        <v>55720</v>
      </c>
      <c r="J1605"/>
    </row>
    <row r="1606" spans="1:10" ht="15.75" customHeight="1">
      <c r="A1606" t="s">
        <v>2581</v>
      </c>
      <c r="B1606">
        <v>618200</v>
      </c>
      <c r="C1606">
        <v>1</v>
      </c>
      <c r="D1606" t="str">
        <f t="shared" si="25"/>
        <v>1618200.182</v>
      </c>
      <c r="E1606" t="s">
        <v>2582</v>
      </c>
      <c r="F1606" s="242"/>
      <c r="G1606"/>
      <c r="H1606" s="242">
        <v>65930</v>
      </c>
      <c r="I1606" s="242">
        <v>26787</v>
      </c>
      <c r="J1606"/>
    </row>
    <row r="1607" spans="1:10" ht="15.75" customHeight="1">
      <c r="A1607" t="s">
        <v>2286</v>
      </c>
      <c r="B1607">
        <v>618200</v>
      </c>
      <c r="C1607">
        <v>1</v>
      </c>
      <c r="D1607" t="str">
        <f t="shared" si="25"/>
        <v>1618200.511</v>
      </c>
      <c r="E1607" t="s">
        <v>2584</v>
      </c>
      <c r="F1607" s="242"/>
      <c r="G1607"/>
      <c r="H1607" s="242">
        <v>500</v>
      </c>
      <c r="I1607" s="242">
        <v>60</v>
      </c>
      <c r="J1607"/>
    </row>
    <row r="1608" spans="1:10" ht="15.75" customHeight="1">
      <c r="A1608" t="s">
        <v>2588</v>
      </c>
      <c r="B1608">
        <v>618200</v>
      </c>
      <c r="C1608">
        <v>1</v>
      </c>
      <c r="D1608" t="str">
        <f t="shared" si="25"/>
        <v>1618200.522</v>
      </c>
      <c r="E1608" t="s">
        <v>2608</v>
      </c>
      <c r="F1608" s="242"/>
      <c r="G1608"/>
      <c r="H1608" s="242">
        <v>500</v>
      </c>
      <c r="I1608" s="242">
        <v>0</v>
      </c>
      <c r="J1608"/>
    </row>
    <row r="1609" spans="1:10" ht="15.75" customHeight="1">
      <c r="A1609" t="s">
        <v>2594</v>
      </c>
      <c r="B1609">
        <v>618200</v>
      </c>
      <c r="C1609">
        <v>1</v>
      </c>
      <c r="D1609" t="str">
        <f t="shared" si="25"/>
        <v>1618200.540</v>
      </c>
      <c r="E1609" t="s">
        <v>2595</v>
      </c>
      <c r="F1609" s="242"/>
      <c r="G1609"/>
      <c r="H1609" s="242">
        <v>35000</v>
      </c>
      <c r="I1609" s="242">
        <v>50419</v>
      </c>
      <c r="J1609"/>
    </row>
    <row r="1610" spans="1:10" ht="15.75" customHeight="1">
      <c r="A1610" t="s">
        <v>2598</v>
      </c>
      <c r="B1610">
        <v>618200</v>
      </c>
      <c r="C1610">
        <v>1</v>
      </c>
      <c r="D1610" t="str">
        <f t="shared" si="25"/>
        <v>1618200.561</v>
      </c>
      <c r="E1610" t="s">
        <v>2599</v>
      </c>
      <c r="F1610" s="242"/>
      <c r="G1610"/>
      <c r="H1610" s="242">
        <v>1900</v>
      </c>
      <c r="I1610" s="242">
        <v>1758</v>
      </c>
      <c r="J1610"/>
    </row>
    <row r="1611" spans="1:10" ht="15.75" customHeight="1">
      <c r="A1611" t="s">
        <v>2771</v>
      </c>
      <c r="B1611">
        <v>618200</v>
      </c>
      <c r="C1611">
        <v>1</v>
      </c>
      <c r="D1611" t="str">
        <f t="shared" si="25"/>
        <v>1618200.570</v>
      </c>
      <c r="E1611" t="s">
        <v>2772</v>
      </c>
      <c r="F1611" s="242"/>
      <c r="G1611"/>
      <c r="H1611" s="242">
        <v>71600</v>
      </c>
      <c r="I1611" s="242">
        <v>70340</v>
      </c>
      <c r="J1611"/>
    </row>
    <row r="1612" spans="1:10" ht="15.75" customHeight="1">
      <c r="A1612" t="s">
        <v>2773</v>
      </c>
      <c r="B1612">
        <v>618200</v>
      </c>
      <c r="C1612">
        <v>1</v>
      </c>
      <c r="D1612" t="str">
        <f t="shared" si="25"/>
        <v>1618200.573</v>
      </c>
      <c r="E1612" t="s">
        <v>2774</v>
      </c>
      <c r="F1612" s="242"/>
      <c r="G1612"/>
      <c r="H1612" s="242">
        <v>21600</v>
      </c>
      <c r="I1612" s="242">
        <v>21213</v>
      </c>
      <c r="J1612"/>
    </row>
    <row r="1613" spans="1:10" ht="15.75" customHeight="1">
      <c r="A1613" t="s">
        <v>2620</v>
      </c>
      <c r="B1613">
        <v>618200</v>
      </c>
      <c r="C1613">
        <v>1</v>
      </c>
      <c r="D1613" t="str">
        <f t="shared" si="25"/>
        <v>1618200.575</v>
      </c>
      <c r="E1613" t="s">
        <v>2775</v>
      </c>
      <c r="F1613" s="242"/>
      <c r="G1613"/>
      <c r="H1613" s="242">
        <v>573000</v>
      </c>
      <c r="I1613" s="242">
        <v>321521</v>
      </c>
      <c r="J1613"/>
    </row>
    <row r="1614" spans="1:10" ht="15.75" customHeight="1">
      <c r="A1614" t="s">
        <v>2735</v>
      </c>
      <c r="B1614">
        <v>618200</v>
      </c>
      <c r="C1614">
        <v>1</v>
      </c>
      <c r="D1614" t="str">
        <f t="shared" si="25"/>
        <v>1618200.576</v>
      </c>
      <c r="E1614" t="s">
        <v>4664</v>
      </c>
      <c r="F1614" s="242"/>
      <c r="G1614"/>
      <c r="H1614" s="242">
        <v>0</v>
      </c>
      <c r="I1614" s="242">
        <v>0</v>
      </c>
      <c r="J1614"/>
    </row>
    <row r="1615" spans="1:10" ht="15.75" customHeight="1">
      <c r="A1615" t="s">
        <v>2600</v>
      </c>
      <c r="B1615">
        <v>618200</v>
      </c>
      <c r="C1615">
        <v>1</v>
      </c>
      <c r="D1615" t="str">
        <f t="shared" si="25"/>
        <v>1618200.580</v>
      </c>
      <c r="E1615" t="s">
        <v>2601</v>
      </c>
      <c r="F1615" s="242"/>
      <c r="G1615"/>
      <c r="H1615" s="242">
        <v>2000</v>
      </c>
      <c r="I1615" s="242">
        <v>2013</v>
      </c>
      <c r="J1615"/>
    </row>
    <row r="1616" spans="1:10" ht="15.75" customHeight="1">
      <c r="A1616" t="s">
        <v>673</v>
      </c>
      <c r="B1616">
        <v>618200</v>
      </c>
      <c r="C1616">
        <v>1</v>
      </c>
      <c r="D1616" t="str">
        <f t="shared" si="25"/>
        <v>1618200.743</v>
      </c>
      <c r="E1616" t="s">
        <v>2622</v>
      </c>
      <c r="F1616" s="242"/>
      <c r="G1616"/>
      <c r="H1616" s="242">
        <v>15000</v>
      </c>
      <c r="I1616" s="242">
        <v>18390</v>
      </c>
      <c r="J1616"/>
    </row>
    <row r="1617" spans="1:10" ht="15.75" customHeight="1">
      <c r="A1617" t="s">
        <v>678</v>
      </c>
      <c r="B1617">
        <v>618200</v>
      </c>
      <c r="C1617">
        <v>1</v>
      </c>
      <c r="D1617" t="str">
        <f t="shared" si="25"/>
        <v>1618200.744</v>
      </c>
      <c r="E1617" t="s">
        <v>2770</v>
      </c>
      <c r="F1617" s="242"/>
      <c r="G1617"/>
      <c r="H1617" s="242">
        <v>0</v>
      </c>
      <c r="I1617" s="242">
        <v>0</v>
      </c>
      <c r="J1617"/>
    </row>
    <row r="1618" spans="1:10" ht="15.75" customHeight="1">
      <c r="A1618" t="s">
        <v>707</v>
      </c>
      <c r="B1618">
        <v>618200</v>
      </c>
      <c r="C1618">
        <v>1</v>
      </c>
      <c r="D1618" t="str">
        <f t="shared" si="25"/>
        <v>1618200.745</v>
      </c>
      <c r="E1618" t="s">
        <v>2777</v>
      </c>
      <c r="F1618" s="242"/>
      <c r="G1618"/>
      <c r="H1618" s="242">
        <v>0</v>
      </c>
      <c r="I1618" s="242">
        <v>0</v>
      </c>
      <c r="J1618"/>
    </row>
    <row r="1619" spans="1:10" ht="15.75" customHeight="1">
      <c r="A1619" t="s">
        <v>712</v>
      </c>
      <c r="B1619">
        <v>618200</v>
      </c>
      <c r="C1619">
        <v>1</v>
      </c>
      <c r="D1619" t="str">
        <f t="shared" si="25"/>
        <v>1618200.746</v>
      </c>
      <c r="E1619" t="s">
        <v>2778</v>
      </c>
      <c r="F1619" s="242"/>
      <c r="G1619"/>
      <c r="H1619" s="242">
        <v>20000</v>
      </c>
      <c r="I1619" s="242">
        <v>15100</v>
      </c>
      <c r="J1619"/>
    </row>
    <row r="1620" spans="1:10" ht="15.75" customHeight="1">
      <c r="A1620" t="s">
        <v>2611</v>
      </c>
      <c r="B1620">
        <v>618200</v>
      </c>
      <c r="C1620">
        <v>1</v>
      </c>
      <c r="D1620" t="str">
        <f t="shared" si="25"/>
        <v>1618200.750</v>
      </c>
      <c r="E1620" t="s">
        <v>2779</v>
      </c>
      <c r="F1620" s="242"/>
      <c r="G1620"/>
      <c r="H1620" s="242">
        <v>0</v>
      </c>
      <c r="I1620" s="242">
        <v>0</v>
      </c>
      <c r="J1620"/>
    </row>
    <row r="1621" spans="1:10" ht="15.75" customHeight="1">
      <c r="A1621" t="s">
        <v>772</v>
      </c>
      <c r="B1621">
        <v>618200</v>
      </c>
      <c r="C1621">
        <v>1</v>
      </c>
      <c r="D1621" t="str">
        <f t="shared" si="25"/>
        <v>1618200.751</v>
      </c>
      <c r="E1621" t="s">
        <v>2707</v>
      </c>
      <c r="F1621" s="242"/>
      <c r="G1621"/>
      <c r="H1621" s="242">
        <v>242370</v>
      </c>
      <c r="I1621" s="242">
        <v>0</v>
      </c>
      <c r="J1621"/>
    </row>
    <row r="1622" spans="1:10" ht="15.75" customHeight="1">
      <c r="A1622" t="s">
        <v>786</v>
      </c>
      <c r="B1622">
        <v>618200</v>
      </c>
      <c r="C1622">
        <v>1</v>
      </c>
      <c r="D1622" t="str">
        <f t="shared" si="25"/>
        <v>1618200.754</v>
      </c>
      <c r="E1622" t="s">
        <v>2780</v>
      </c>
      <c r="F1622" s="242"/>
      <c r="G1622"/>
      <c r="H1622" s="242">
        <v>3000</v>
      </c>
      <c r="I1622" s="242">
        <v>845</v>
      </c>
      <c r="J1622"/>
    </row>
    <row r="1623" spans="1:10" ht="15.75" customHeight="1">
      <c r="A1623" t="s">
        <v>791</v>
      </c>
      <c r="B1623">
        <v>618200</v>
      </c>
      <c r="C1623">
        <v>1</v>
      </c>
      <c r="D1623" t="str">
        <f t="shared" si="25"/>
        <v>1618200.756</v>
      </c>
      <c r="E1623" t="s">
        <v>2781</v>
      </c>
      <c r="F1623" s="242"/>
      <c r="G1623"/>
      <c r="H1623" s="242">
        <v>160000</v>
      </c>
      <c r="I1623" s="242">
        <v>150070</v>
      </c>
      <c r="J1623"/>
    </row>
    <row r="1624" spans="1:10" ht="15.75" customHeight="1">
      <c r="A1624" t="s">
        <v>2759</v>
      </c>
      <c r="B1624">
        <v>618200</v>
      </c>
      <c r="C1624">
        <v>1</v>
      </c>
      <c r="D1624" t="str">
        <f t="shared" si="25"/>
        <v>1618200.760</v>
      </c>
      <c r="E1624" t="s">
        <v>2782</v>
      </c>
      <c r="F1624" s="242"/>
      <c r="G1624"/>
      <c r="H1624" s="242">
        <v>30000</v>
      </c>
      <c r="I1624" s="242">
        <v>29936</v>
      </c>
      <c r="J1624"/>
    </row>
    <row r="1625" spans="1:10" ht="15.75" customHeight="1">
      <c r="A1625" t="s">
        <v>801</v>
      </c>
      <c r="B1625">
        <v>618200</v>
      </c>
      <c r="C1625">
        <v>1</v>
      </c>
      <c r="D1625" t="str">
        <f t="shared" si="25"/>
        <v>1618200.761</v>
      </c>
      <c r="E1625" t="s">
        <v>2783</v>
      </c>
      <c r="F1625" s="242"/>
      <c r="G1625"/>
      <c r="H1625" s="242">
        <v>30000</v>
      </c>
      <c r="I1625" s="242">
        <v>24435</v>
      </c>
      <c r="J1625"/>
    </row>
    <row r="1626" spans="1:10" ht="15.75" customHeight="1">
      <c r="A1626" t="s">
        <v>835</v>
      </c>
      <c r="B1626">
        <v>618200</v>
      </c>
      <c r="C1626">
        <v>1</v>
      </c>
      <c r="D1626" t="str">
        <f t="shared" si="25"/>
        <v>1618200.769</v>
      </c>
      <c r="E1626" t="s">
        <v>2605</v>
      </c>
      <c r="F1626" s="242"/>
      <c r="G1626"/>
      <c r="H1626" s="242">
        <v>19200</v>
      </c>
      <c r="I1626" s="242">
        <v>19999</v>
      </c>
      <c r="J1626"/>
    </row>
    <row r="1627" spans="1:10" ht="15.75" customHeight="1">
      <c r="A1627" t="s">
        <v>872</v>
      </c>
      <c r="B1627">
        <v>618200</v>
      </c>
      <c r="C1627">
        <v>1</v>
      </c>
      <c r="D1627" t="str">
        <f t="shared" si="25"/>
        <v>1618200.781</v>
      </c>
      <c r="E1627" t="s">
        <v>2784</v>
      </c>
      <c r="F1627" s="242"/>
      <c r="G1627"/>
      <c r="H1627" s="242">
        <v>20000</v>
      </c>
      <c r="I1627" s="242">
        <v>12491</v>
      </c>
      <c r="J1627"/>
    </row>
    <row r="1628" spans="1:10" ht="15.75" customHeight="1">
      <c r="A1628" t="s">
        <v>2691</v>
      </c>
      <c r="B1628">
        <v>618201</v>
      </c>
      <c r="C1628">
        <v>1</v>
      </c>
      <c r="D1628" t="str">
        <f t="shared" si="25"/>
        <v>1618201.986</v>
      </c>
      <c r="E1628" t="s">
        <v>2785</v>
      </c>
      <c r="F1628" s="242"/>
      <c r="G1628"/>
      <c r="H1628" s="242">
        <v>0</v>
      </c>
      <c r="I1628" s="242">
        <v>0</v>
      </c>
      <c r="J1628"/>
    </row>
    <row r="1629" spans="1:10" ht="15.75" customHeight="1">
      <c r="A1629" t="s">
        <v>2403</v>
      </c>
      <c r="B1629">
        <v>618300</v>
      </c>
      <c r="C1629">
        <v>1</v>
      </c>
      <c r="D1629" t="str">
        <f t="shared" si="25"/>
        <v>1618300.110</v>
      </c>
      <c r="E1629" t="s">
        <v>2573</v>
      </c>
      <c r="F1629" s="242"/>
      <c r="G1629"/>
      <c r="H1629" s="242">
        <v>0</v>
      </c>
      <c r="I1629" s="242">
        <v>0</v>
      </c>
      <c r="J1629"/>
    </row>
    <row r="1630" spans="1:10" ht="15.75" customHeight="1">
      <c r="A1630" t="s">
        <v>2404</v>
      </c>
      <c r="B1630">
        <v>618300</v>
      </c>
      <c r="C1630">
        <v>1</v>
      </c>
      <c r="D1630" t="str">
        <f t="shared" si="25"/>
        <v>1618300.120</v>
      </c>
      <c r="E1630" t="s">
        <v>2574</v>
      </c>
      <c r="F1630" s="242"/>
      <c r="G1630"/>
      <c r="H1630" s="242">
        <v>0</v>
      </c>
      <c r="I1630" s="242">
        <v>0</v>
      </c>
      <c r="J1630"/>
    </row>
    <row r="1631" spans="1:10" ht="15.75" customHeight="1">
      <c r="A1631" t="s">
        <v>2575</v>
      </c>
      <c r="B1631">
        <v>618300</v>
      </c>
      <c r="C1631">
        <v>1</v>
      </c>
      <c r="D1631" t="str">
        <f t="shared" si="25"/>
        <v>1618300.130</v>
      </c>
      <c r="E1631" t="s">
        <v>2576</v>
      </c>
      <c r="F1631" s="242"/>
      <c r="G1631"/>
      <c r="H1631" s="242">
        <v>0</v>
      </c>
      <c r="I1631" s="242">
        <v>0</v>
      </c>
      <c r="J1631"/>
    </row>
    <row r="1632" spans="1:10" ht="15.75" customHeight="1">
      <c r="A1632" t="s">
        <v>2577</v>
      </c>
      <c r="B1632">
        <v>618300</v>
      </c>
      <c r="C1632">
        <v>1</v>
      </c>
      <c r="D1632" t="str">
        <f t="shared" si="25"/>
        <v>1618300.140</v>
      </c>
      <c r="E1632" t="s">
        <v>2578</v>
      </c>
      <c r="F1632" s="242"/>
      <c r="G1632"/>
      <c r="H1632" s="242">
        <v>0</v>
      </c>
      <c r="I1632" s="242">
        <v>0</v>
      </c>
      <c r="J1632"/>
    </row>
    <row r="1633" spans="1:10" ht="15.75" customHeight="1">
      <c r="A1633" t="s">
        <v>2579</v>
      </c>
      <c r="B1633">
        <v>618300</v>
      </c>
      <c r="C1633">
        <v>1</v>
      </c>
      <c r="D1633" t="str">
        <f t="shared" si="25"/>
        <v>1618300.181</v>
      </c>
      <c r="E1633" t="s">
        <v>2580</v>
      </c>
      <c r="F1633" s="242"/>
      <c r="G1633"/>
      <c r="H1633" s="242">
        <v>0</v>
      </c>
      <c r="I1633" s="242">
        <v>0</v>
      </c>
      <c r="J1633"/>
    </row>
    <row r="1634" spans="1:10" ht="15.75" customHeight="1">
      <c r="A1634" t="s">
        <v>2581</v>
      </c>
      <c r="B1634">
        <v>618300</v>
      </c>
      <c r="C1634">
        <v>1</v>
      </c>
      <c r="D1634" t="str">
        <f t="shared" si="25"/>
        <v>1618300.182</v>
      </c>
      <c r="E1634" t="s">
        <v>2582</v>
      </c>
      <c r="F1634" s="242"/>
      <c r="G1634"/>
      <c r="H1634" s="242">
        <v>0</v>
      </c>
      <c r="I1634" s="242">
        <v>0</v>
      </c>
      <c r="J1634"/>
    </row>
    <row r="1635" spans="1:10" ht="15.75" customHeight="1">
      <c r="A1635" t="s">
        <v>2684</v>
      </c>
      <c r="B1635">
        <v>618300</v>
      </c>
      <c r="C1635">
        <v>1</v>
      </c>
      <c r="D1635" t="str">
        <f t="shared" si="25"/>
        <v>1618300.421</v>
      </c>
      <c r="E1635" t="s">
        <v>2786</v>
      </c>
      <c r="F1635" s="242"/>
      <c r="G1635"/>
      <c r="H1635" s="242">
        <v>0</v>
      </c>
      <c r="I1635" s="242">
        <v>0</v>
      </c>
      <c r="J1635"/>
    </row>
    <row r="1636" spans="1:10" ht="15.75" customHeight="1">
      <c r="A1636" t="s">
        <v>673</v>
      </c>
      <c r="B1636">
        <v>618300</v>
      </c>
      <c r="C1636">
        <v>1</v>
      </c>
      <c r="D1636" t="str">
        <f t="shared" si="25"/>
        <v>1618300.743</v>
      </c>
      <c r="E1636" t="s">
        <v>2787</v>
      </c>
      <c r="F1636" s="242"/>
      <c r="G1636"/>
      <c r="H1636" s="242">
        <v>0</v>
      </c>
      <c r="I1636" s="242">
        <v>0</v>
      </c>
      <c r="J1636"/>
    </row>
    <row r="1637" spans="1:10" ht="15.75" customHeight="1">
      <c r="A1637" t="s">
        <v>772</v>
      </c>
      <c r="B1637">
        <v>618300</v>
      </c>
      <c r="C1637">
        <v>1</v>
      </c>
      <c r="D1637" t="str">
        <f t="shared" si="25"/>
        <v>1618300.751</v>
      </c>
      <c r="E1637" t="s">
        <v>2788</v>
      </c>
      <c r="F1637" s="242"/>
      <c r="G1637"/>
      <c r="H1637" s="242">
        <v>0</v>
      </c>
      <c r="I1637" s="242">
        <v>0</v>
      </c>
      <c r="J1637"/>
    </row>
    <row r="1638" spans="1:10" ht="15.75" customHeight="1">
      <c r="A1638" t="s">
        <v>776</v>
      </c>
      <c r="B1638">
        <v>618300</v>
      </c>
      <c r="C1638">
        <v>1</v>
      </c>
      <c r="D1638" t="str">
        <f t="shared" si="25"/>
        <v>1618300.752</v>
      </c>
      <c r="E1638" t="s">
        <v>2789</v>
      </c>
      <c r="F1638" s="242"/>
      <c r="G1638"/>
      <c r="H1638" s="242">
        <v>0</v>
      </c>
      <c r="I1638" s="242">
        <v>0</v>
      </c>
      <c r="J1638"/>
    </row>
    <row r="1639" spans="1:10" ht="15.75" customHeight="1">
      <c r="A1639" t="s">
        <v>791</v>
      </c>
      <c r="B1639">
        <v>618300</v>
      </c>
      <c r="C1639">
        <v>1</v>
      </c>
      <c r="D1639" t="str">
        <f t="shared" si="25"/>
        <v>1618300.756</v>
      </c>
      <c r="E1639" t="s">
        <v>2781</v>
      </c>
      <c r="F1639" s="242"/>
      <c r="G1639"/>
      <c r="H1639" s="242">
        <v>0</v>
      </c>
      <c r="I1639" s="242">
        <v>0</v>
      </c>
      <c r="J1639"/>
    </row>
    <row r="1640" spans="1:10" ht="15.75" customHeight="1">
      <c r="A1640" t="s">
        <v>2691</v>
      </c>
      <c r="B1640">
        <v>618300</v>
      </c>
      <c r="C1640">
        <v>1</v>
      </c>
      <c r="D1640" t="str">
        <f t="shared" si="25"/>
        <v>1618300.986</v>
      </c>
      <c r="E1640" t="s">
        <v>2790</v>
      </c>
      <c r="F1640" s="242"/>
      <c r="G1640"/>
      <c r="H1640" s="242">
        <v>0</v>
      </c>
      <c r="I1640" s="242">
        <v>0</v>
      </c>
      <c r="J1640"/>
    </row>
    <row r="1641" spans="1:10" ht="15.75" customHeight="1">
      <c r="A1641" t="s">
        <v>2594</v>
      </c>
      <c r="B1641">
        <v>619000</v>
      </c>
      <c r="C1641">
        <v>1</v>
      </c>
      <c r="D1641" t="str">
        <f t="shared" si="25"/>
        <v>1619000.540</v>
      </c>
      <c r="E1641" t="s">
        <v>2641</v>
      </c>
      <c r="F1641" s="242"/>
      <c r="G1641"/>
      <c r="H1641" s="242">
        <v>30000</v>
      </c>
      <c r="I1641" s="242">
        <v>0</v>
      </c>
      <c r="J1641"/>
    </row>
    <row r="1642" spans="1:10" ht="15.75" customHeight="1">
      <c r="A1642" t="s">
        <v>2603</v>
      </c>
      <c r="B1642">
        <v>619000</v>
      </c>
      <c r="C1642">
        <v>1</v>
      </c>
      <c r="D1642" t="str">
        <f t="shared" si="25"/>
        <v>1619000.759</v>
      </c>
      <c r="E1642" t="s">
        <v>2642</v>
      </c>
      <c r="F1642" s="242"/>
      <c r="G1642"/>
      <c r="H1642" s="242">
        <v>110000</v>
      </c>
      <c r="I1642" s="242">
        <v>0</v>
      </c>
      <c r="J1642"/>
    </row>
    <row r="1643" spans="1:10" ht="15.75" customHeight="1">
      <c r="A1643" t="s">
        <v>2632</v>
      </c>
      <c r="B1643">
        <v>619000</v>
      </c>
      <c r="C1643">
        <v>1</v>
      </c>
      <c r="D1643" t="str">
        <f t="shared" si="25"/>
        <v>1619000.780</v>
      </c>
      <c r="E1643" t="s">
        <v>2643</v>
      </c>
      <c r="F1643" s="242"/>
      <c r="G1643"/>
      <c r="H1643" s="242">
        <v>700000</v>
      </c>
      <c r="I1643" s="242">
        <v>0</v>
      </c>
      <c r="J1643"/>
    </row>
    <row r="1644" spans="1:10" ht="15.75" customHeight="1">
      <c r="A1644" t="s">
        <v>2571</v>
      </c>
      <c r="B1644">
        <v>619000</v>
      </c>
      <c r="C1644">
        <v>1</v>
      </c>
      <c r="D1644" t="str">
        <f t="shared" si="25"/>
        <v>1619000.105</v>
      </c>
      <c r="E1644" t="s">
        <v>2572</v>
      </c>
      <c r="F1644" s="242"/>
      <c r="G1644"/>
      <c r="H1644" s="242">
        <v>2000000</v>
      </c>
      <c r="I1644" s="242">
        <v>0</v>
      </c>
      <c r="J1644"/>
    </row>
    <row r="1645" spans="1:10" ht="15.75" customHeight="1">
      <c r="A1645" t="s">
        <v>2403</v>
      </c>
      <c r="B1645">
        <v>619000</v>
      </c>
      <c r="C1645">
        <v>1</v>
      </c>
      <c r="D1645" t="str">
        <f t="shared" si="25"/>
        <v>1619000.110</v>
      </c>
      <c r="E1645" t="s">
        <v>2573</v>
      </c>
      <c r="F1645" s="242"/>
      <c r="G1645"/>
      <c r="H1645" s="242">
        <v>289800</v>
      </c>
      <c r="I1645" s="242">
        <v>0</v>
      </c>
      <c r="J1645"/>
    </row>
    <row r="1646" spans="1:10" ht="15.75" customHeight="1">
      <c r="A1646" t="s">
        <v>2404</v>
      </c>
      <c r="B1646">
        <v>619000</v>
      </c>
      <c r="C1646">
        <v>1</v>
      </c>
      <c r="D1646" t="str">
        <f t="shared" si="25"/>
        <v>1619000.120</v>
      </c>
      <c r="E1646" t="s">
        <v>2574</v>
      </c>
      <c r="F1646" s="242"/>
      <c r="G1646"/>
      <c r="H1646" s="242">
        <v>0</v>
      </c>
      <c r="I1646" s="242">
        <v>0</v>
      </c>
      <c r="J1646"/>
    </row>
    <row r="1647" spans="1:10" ht="15.75" customHeight="1">
      <c r="A1647" t="s">
        <v>2579</v>
      </c>
      <c r="B1647">
        <v>619000</v>
      </c>
      <c r="C1647">
        <v>1</v>
      </c>
      <c r="D1647" t="str">
        <f t="shared" si="25"/>
        <v>1619000.181</v>
      </c>
      <c r="E1647" t="s">
        <v>2580</v>
      </c>
      <c r="F1647" s="242"/>
      <c r="G1647"/>
      <c r="H1647" s="242">
        <v>0</v>
      </c>
      <c r="I1647" s="242">
        <v>0</v>
      </c>
      <c r="J1647"/>
    </row>
    <row r="1648" spans="1:10" ht="15.75" customHeight="1">
      <c r="A1648" t="s">
        <v>2581</v>
      </c>
      <c r="B1648">
        <v>619000</v>
      </c>
      <c r="C1648">
        <v>1</v>
      </c>
      <c r="D1648" t="str">
        <f t="shared" si="25"/>
        <v>1619000.182</v>
      </c>
      <c r="E1648" t="s">
        <v>2582</v>
      </c>
      <c r="F1648" s="242"/>
      <c r="G1648"/>
      <c r="H1648" s="242">
        <v>0</v>
      </c>
      <c r="I1648" s="242">
        <v>0</v>
      </c>
      <c r="J1648"/>
    </row>
    <row r="1649" spans="1:10" ht="15.75" customHeight="1">
      <c r="A1649" t="s">
        <v>4573</v>
      </c>
      <c r="B1649">
        <v>620000</v>
      </c>
      <c r="C1649">
        <v>1</v>
      </c>
      <c r="D1649" t="str">
        <f t="shared" si="25"/>
        <v>1620000.320</v>
      </c>
      <c r="E1649" t="s">
        <v>4574</v>
      </c>
      <c r="F1649" s="242"/>
      <c r="G1649"/>
      <c r="H1649" s="242">
        <v>100000</v>
      </c>
      <c r="I1649" s="242">
        <v>567017</v>
      </c>
      <c r="J1649"/>
    </row>
    <row r="1650" spans="1:10" ht="15.75" customHeight="1">
      <c r="A1650" t="s">
        <v>2403</v>
      </c>
      <c r="B1650">
        <v>621100</v>
      </c>
      <c r="C1650">
        <v>1</v>
      </c>
      <c r="D1650" t="str">
        <f t="shared" si="25"/>
        <v>1621100.110</v>
      </c>
      <c r="E1650" t="s">
        <v>2573</v>
      </c>
      <c r="F1650" s="242"/>
      <c r="G1650"/>
      <c r="H1650" s="242">
        <v>858522</v>
      </c>
      <c r="I1650" s="242">
        <v>838194</v>
      </c>
      <c r="J1650"/>
    </row>
    <row r="1651" spans="1:10" ht="15.75" customHeight="1">
      <c r="A1651" t="s">
        <v>2404</v>
      </c>
      <c r="B1651">
        <v>621100</v>
      </c>
      <c r="C1651">
        <v>1</v>
      </c>
      <c r="D1651" t="str">
        <f t="shared" si="25"/>
        <v>1621100.120</v>
      </c>
      <c r="E1651" t="s">
        <v>2574</v>
      </c>
      <c r="F1651" s="242"/>
      <c r="G1651"/>
      <c r="H1651" s="242">
        <v>115802</v>
      </c>
      <c r="I1651" s="242">
        <v>109385</v>
      </c>
      <c r="J1651"/>
    </row>
    <row r="1652" spans="1:10" ht="15.75" customHeight="1">
      <c r="A1652" t="s">
        <v>2575</v>
      </c>
      <c r="B1652">
        <v>621100</v>
      </c>
      <c r="C1652">
        <v>1</v>
      </c>
      <c r="D1652" t="str">
        <f t="shared" si="25"/>
        <v>1621100.130</v>
      </c>
      <c r="E1652" t="s">
        <v>2576</v>
      </c>
      <c r="F1652" s="242"/>
      <c r="G1652"/>
      <c r="H1652" s="242">
        <v>11003</v>
      </c>
      <c r="I1652" s="242">
        <v>15538</v>
      </c>
      <c r="J1652"/>
    </row>
    <row r="1653" spans="1:10" ht="15.75" customHeight="1">
      <c r="A1653" t="s">
        <v>2577</v>
      </c>
      <c r="B1653">
        <v>621100</v>
      </c>
      <c r="C1653">
        <v>1</v>
      </c>
      <c r="D1653" t="str">
        <f t="shared" si="25"/>
        <v>1621100.140</v>
      </c>
      <c r="E1653" t="s">
        <v>2578</v>
      </c>
      <c r="F1653" s="242"/>
      <c r="G1653"/>
      <c r="H1653" s="242">
        <v>68031</v>
      </c>
      <c r="I1653" s="242">
        <v>75005</v>
      </c>
      <c r="J1653"/>
    </row>
    <row r="1654" spans="1:10" ht="15.75" customHeight="1">
      <c r="A1654" t="s">
        <v>2579</v>
      </c>
      <c r="B1654">
        <v>621100</v>
      </c>
      <c r="C1654">
        <v>1</v>
      </c>
      <c r="D1654" t="str">
        <f t="shared" si="25"/>
        <v>1621100.181</v>
      </c>
      <c r="E1654" t="s">
        <v>2580</v>
      </c>
      <c r="F1654" s="242"/>
      <c r="G1654"/>
      <c r="H1654" s="242">
        <v>238400</v>
      </c>
      <c r="I1654" s="242">
        <v>235147</v>
      </c>
      <c r="J1654"/>
    </row>
    <row r="1655" spans="1:10" ht="15.75" customHeight="1">
      <c r="A1655" t="s">
        <v>2581</v>
      </c>
      <c r="B1655">
        <v>621100</v>
      </c>
      <c r="C1655">
        <v>1</v>
      </c>
      <c r="D1655" t="str">
        <f t="shared" si="25"/>
        <v>1621100.182</v>
      </c>
      <c r="E1655" t="s">
        <v>2582</v>
      </c>
      <c r="F1655" s="242"/>
      <c r="G1655"/>
      <c r="H1655" s="242">
        <v>86684</v>
      </c>
      <c r="I1655" s="242">
        <v>85076</v>
      </c>
      <c r="J1655"/>
    </row>
    <row r="1656" spans="1:10" ht="15.75" customHeight="1">
      <c r="A1656" t="s">
        <v>2650</v>
      </c>
      <c r="B1656">
        <v>621100</v>
      </c>
      <c r="C1656">
        <v>1</v>
      </c>
      <c r="D1656" t="str">
        <f t="shared" si="25"/>
        <v>1621100.288</v>
      </c>
      <c r="E1656" t="s">
        <v>2651</v>
      </c>
      <c r="F1656" s="242"/>
      <c r="G1656"/>
      <c r="H1656" s="242">
        <v>133400</v>
      </c>
      <c r="I1656" s="242">
        <v>126128</v>
      </c>
      <c r="J1656"/>
    </row>
    <row r="1657" spans="1:10" ht="15.75" customHeight="1">
      <c r="A1657" t="s">
        <v>2606</v>
      </c>
      <c r="B1657">
        <v>621100</v>
      </c>
      <c r="C1657">
        <v>1</v>
      </c>
      <c r="D1657" t="str">
        <f t="shared" si="25"/>
        <v>1621100.440</v>
      </c>
      <c r="E1657" t="s">
        <v>4168</v>
      </c>
      <c r="F1657" s="242"/>
      <c r="G1657"/>
      <c r="H1657" s="242">
        <v>9100</v>
      </c>
      <c r="I1657" s="242">
        <v>8779</v>
      </c>
      <c r="J1657"/>
    </row>
    <row r="1658" spans="1:10" ht="15.75" customHeight="1">
      <c r="A1658" t="s">
        <v>2411</v>
      </c>
      <c r="B1658">
        <v>621100</v>
      </c>
      <c r="C1658">
        <v>1</v>
      </c>
      <c r="D1658" t="str">
        <f t="shared" si="25"/>
        <v>1621100.470</v>
      </c>
      <c r="E1658" t="s">
        <v>2660</v>
      </c>
      <c r="F1658" s="242"/>
      <c r="G1658"/>
      <c r="H1658" s="242">
        <v>1000</v>
      </c>
      <c r="I1658" s="242">
        <v>143</v>
      </c>
      <c r="J1658"/>
    </row>
    <row r="1659" spans="1:10" ht="15.75" customHeight="1">
      <c r="A1659" t="s">
        <v>2286</v>
      </c>
      <c r="B1659">
        <v>621100</v>
      </c>
      <c r="C1659">
        <v>1</v>
      </c>
      <c r="D1659" t="str">
        <f t="shared" si="25"/>
        <v>1621100.511</v>
      </c>
      <c r="E1659" t="s">
        <v>2584</v>
      </c>
      <c r="F1659" s="242"/>
      <c r="G1659"/>
      <c r="H1659" s="242">
        <v>6000</v>
      </c>
      <c r="I1659" s="242">
        <v>8885</v>
      </c>
      <c r="J1659"/>
    </row>
    <row r="1660" spans="1:10" ht="15.75" customHeight="1">
      <c r="A1660" t="s">
        <v>2644</v>
      </c>
      <c r="B1660">
        <v>621100</v>
      </c>
      <c r="C1660">
        <v>1</v>
      </c>
      <c r="D1660" t="str">
        <f t="shared" si="25"/>
        <v>1621100.521</v>
      </c>
      <c r="E1660" t="s">
        <v>2734</v>
      </c>
      <c r="F1660" s="242"/>
      <c r="G1660"/>
      <c r="H1660" s="242">
        <v>8000</v>
      </c>
      <c r="I1660" s="242">
        <v>7950</v>
      </c>
      <c r="J1660"/>
    </row>
    <row r="1661" spans="1:10" ht="15.75" customHeight="1">
      <c r="A1661" t="s">
        <v>2588</v>
      </c>
      <c r="B1661">
        <v>621100</v>
      </c>
      <c r="C1661">
        <v>1</v>
      </c>
      <c r="D1661" t="str">
        <f t="shared" si="25"/>
        <v>1621100.522</v>
      </c>
      <c r="E1661" t="s">
        <v>2608</v>
      </c>
      <c r="F1661" s="242"/>
      <c r="G1661"/>
      <c r="H1661" s="242">
        <v>6500</v>
      </c>
      <c r="I1661" s="242">
        <v>6204</v>
      </c>
      <c r="J1661"/>
    </row>
    <row r="1662" spans="1:10" ht="15.75" customHeight="1">
      <c r="A1662" t="s">
        <v>2590</v>
      </c>
      <c r="B1662">
        <v>621100</v>
      </c>
      <c r="C1662">
        <v>1</v>
      </c>
      <c r="D1662" t="str">
        <f t="shared" si="25"/>
        <v>1621100.523</v>
      </c>
      <c r="E1662" t="s">
        <v>2646</v>
      </c>
      <c r="F1662" s="242"/>
      <c r="G1662"/>
      <c r="H1662" s="242">
        <v>4000</v>
      </c>
      <c r="I1662" s="242">
        <v>2967</v>
      </c>
      <c r="J1662"/>
    </row>
    <row r="1663" spans="1:10" ht="15.75" customHeight="1">
      <c r="A1663" t="s">
        <v>2594</v>
      </c>
      <c r="B1663">
        <v>621100</v>
      </c>
      <c r="C1663">
        <v>1</v>
      </c>
      <c r="D1663" t="str">
        <f t="shared" si="25"/>
        <v>1621100.540</v>
      </c>
      <c r="E1663" t="s">
        <v>2595</v>
      </c>
      <c r="F1663" s="242"/>
      <c r="G1663"/>
      <c r="H1663" s="242">
        <v>20000</v>
      </c>
      <c r="I1663" s="242">
        <v>12792</v>
      </c>
      <c r="J1663"/>
    </row>
    <row r="1664" spans="1:10" ht="15.75" customHeight="1">
      <c r="A1664" t="s">
        <v>2598</v>
      </c>
      <c r="B1664">
        <v>621100</v>
      </c>
      <c r="C1664">
        <v>1</v>
      </c>
      <c r="D1664" t="str">
        <f t="shared" si="25"/>
        <v>1621100.561</v>
      </c>
      <c r="E1664" t="s">
        <v>2599</v>
      </c>
      <c r="F1664" s="242"/>
      <c r="G1664"/>
      <c r="H1664" s="242">
        <v>9500</v>
      </c>
      <c r="I1664" s="242">
        <v>6897</v>
      </c>
      <c r="J1664"/>
    </row>
    <row r="1665" spans="1:10" ht="15.75" customHeight="1">
      <c r="A1665" t="s">
        <v>2647</v>
      </c>
      <c r="B1665">
        <v>621100</v>
      </c>
      <c r="C1665">
        <v>1</v>
      </c>
      <c r="D1665" t="str">
        <f t="shared" si="25"/>
        <v>1621100.574</v>
      </c>
      <c r="E1665" t="s">
        <v>2648</v>
      </c>
      <c r="F1665" s="242"/>
      <c r="G1665"/>
      <c r="H1665" s="242">
        <v>2400</v>
      </c>
      <c r="I1665" s="242">
        <v>2362</v>
      </c>
      <c r="J1665"/>
    </row>
    <row r="1666" spans="1:10" ht="15.75" customHeight="1">
      <c r="A1666" t="s">
        <v>2600</v>
      </c>
      <c r="B1666">
        <v>621100</v>
      </c>
      <c r="C1666">
        <v>1</v>
      </c>
      <c r="D1666" t="str">
        <f t="shared" si="25"/>
        <v>1621100.580</v>
      </c>
      <c r="E1666" t="s">
        <v>2601</v>
      </c>
      <c r="F1666" s="242"/>
      <c r="G1666"/>
      <c r="H1666" s="242">
        <v>4000</v>
      </c>
      <c r="I1666" s="242">
        <v>6387</v>
      </c>
      <c r="J1666"/>
    </row>
    <row r="1667" spans="1:10" ht="15.75" customHeight="1">
      <c r="A1667" t="s">
        <v>2702</v>
      </c>
      <c r="B1667">
        <v>621100</v>
      </c>
      <c r="C1667">
        <v>1</v>
      </c>
      <c r="D1667" t="str">
        <f t="shared" ref="D1667:D1730" si="26">C1667&amp;B1667&amp;"."&amp;A1667</f>
        <v>1621100.582</v>
      </c>
      <c r="E1667" t="s">
        <v>2730</v>
      </c>
      <c r="F1667" s="242"/>
      <c r="G1667"/>
      <c r="H1667" s="242">
        <v>0</v>
      </c>
      <c r="I1667" s="242">
        <v>0</v>
      </c>
      <c r="J1667"/>
    </row>
    <row r="1668" spans="1:10" ht="15.75" customHeight="1">
      <c r="A1668" t="s">
        <v>600</v>
      </c>
      <c r="B1668">
        <v>621100</v>
      </c>
      <c r="C1668">
        <v>1</v>
      </c>
      <c r="D1668" t="str">
        <f t="shared" si="26"/>
        <v>1621100.731</v>
      </c>
      <c r="E1668" t="s">
        <v>2593</v>
      </c>
      <c r="F1668" s="242"/>
      <c r="G1668"/>
      <c r="H1668" s="242">
        <v>35644</v>
      </c>
      <c r="I1668" s="242">
        <v>34342</v>
      </c>
      <c r="J1668"/>
    </row>
    <row r="1669" spans="1:10" ht="15.75" customHeight="1">
      <c r="A1669" t="s">
        <v>2418</v>
      </c>
      <c r="B1669">
        <v>621100</v>
      </c>
      <c r="C1669">
        <v>1</v>
      </c>
      <c r="D1669" t="str">
        <f t="shared" si="26"/>
        <v>1621100.735</v>
      </c>
      <c r="E1669" t="s">
        <v>2602</v>
      </c>
      <c r="F1669" s="242"/>
      <c r="G1669"/>
      <c r="H1669" s="242">
        <v>75995</v>
      </c>
      <c r="I1669" s="242">
        <v>85294</v>
      </c>
      <c r="J1669"/>
    </row>
    <row r="1670" spans="1:10" ht="15.75" customHeight="1">
      <c r="A1670" t="s">
        <v>772</v>
      </c>
      <c r="B1670">
        <v>621100</v>
      </c>
      <c r="C1670">
        <v>1</v>
      </c>
      <c r="D1670" t="str">
        <f t="shared" si="26"/>
        <v>1621100.751</v>
      </c>
      <c r="E1670" t="s">
        <v>4169</v>
      </c>
      <c r="F1670" s="242"/>
      <c r="G1670"/>
      <c r="H1670" s="242">
        <v>184000</v>
      </c>
      <c r="I1670" s="242">
        <v>182863</v>
      </c>
      <c r="J1670"/>
    </row>
    <row r="1671" spans="1:10" ht="15.75" customHeight="1">
      <c r="A1671" t="s">
        <v>776</v>
      </c>
      <c r="B1671">
        <v>621100</v>
      </c>
      <c r="C1671">
        <v>1</v>
      </c>
      <c r="D1671" t="str">
        <f t="shared" si="26"/>
        <v>1621100.752</v>
      </c>
      <c r="E1671" t="s">
        <v>4170</v>
      </c>
      <c r="F1671" s="242"/>
      <c r="G1671"/>
      <c r="H1671" s="242">
        <v>700000</v>
      </c>
      <c r="I1671" s="242">
        <v>636019</v>
      </c>
      <c r="J1671"/>
    </row>
    <row r="1672" spans="1:10" ht="15.75" customHeight="1">
      <c r="A1672" t="s">
        <v>781</v>
      </c>
      <c r="B1672">
        <v>621100</v>
      </c>
      <c r="C1672">
        <v>1</v>
      </c>
      <c r="D1672" t="str">
        <f t="shared" si="26"/>
        <v>1621100.753</v>
      </c>
      <c r="E1672" t="s">
        <v>2707</v>
      </c>
      <c r="F1672" s="242"/>
      <c r="G1672"/>
      <c r="H1672" s="242">
        <v>20000</v>
      </c>
      <c r="I1672" s="242">
        <v>1225</v>
      </c>
      <c r="J1672"/>
    </row>
    <row r="1673" spans="1:10" ht="15.75" customHeight="1">
      <c r="A1673" t="s">
        <v>786</v>
      </c>
      <c r="B1673">
        <v>621100</v>
      </c>
      <c r="C1673">
        <v>1</v>
      </c>
      <c r="D1673" t="str">
        <f t="shared" si="26"/>
        <v>1621100.754</v>
      </c>
      <c r="E1673" t="s">
        <v>2738</v>
      </c>
      <c r="F1673" s="242"/>
      <c r="G1673"/>
      <c r="H1673" s="242">
        <v>10000</v>
      </c>
      <c r="I1673" s="242">
        <v>7831</v>
      </c>
      <c r="J1673"/>
    </row>
    <row r="1674" spans="1:10" ht="15.75" customHeight="1">
      <c r="A1674" t="s">
        <v>835</v>
      </c>
      <c r="B1674">
        <v>621100</v>
      </c>
      <c r="C1674">
        <v>1</v>
      </c>
      <c r="D1674" t="str">
        <f t="shared" si="26"/>
        <v>1621100.769</v>
      </c>
      <c r="E1674" t="s">
        <v>2605</v>
      </c>
      <c r="F1674" s="242"/>
      <c r="G1674"/>
      <c r="H1674" s="242">
        <v>38000</v>
      </c>
      <c r="I1674" s="242">
        <v>45743</v>
      </c>
      <c r="J1674"/>
    </row>
    <row r="1675" spans="1:10" ht="15.75" customHeight="1">
      <c r="A1675" t="s">
        <v>2632</v>
      </c>
      <c r="B1675">
        <v>621100</v>
      </c>
      <c r="C1675">
        <v>1</v>
      </c>
      <c r="D1675" t="str">
        <f t="shared" si="26"/>
        <v>1621100.780</v>
      </c>
      <c r="E1675" t="s">
        <v>11</v>
      </c>
      <c r="F1675" s="242"/>
      <c r="G1675"/>
      <c r="H1675" s="242">
        <v>20000</v>
      </c>
      <c r="I1675" s="242">
        <v>17090</v>
      </c>
      <c r="J1675"/>
    </row>
    <row r="1676" spans="1:10" ht="15.75" customHeight="1">
      <c r="A1676" t="s">
        <v>2740</v>
      </c>
      <c r="B1676">
        <v>621100</v>
      </c>
      <c r="C1676">
        <v>1</v>
      </c>
      <c r="D1676" t="str">
        <f t="shared" si="26"/>
        <v>1621100.930</v>
      </c>
      <c r="E1676" t="s">
        <v>2834</v>
      </c>
      <c r="F1676" s="242"/>
      <c r="G1676"/>
      <c r="H1676" s="242">
        <v>24000</v>
      </c>
      <c r="I1676" s="242">
        <v>20958</v>
      </c>
      <c r="J1676"/>
    </row>
    <row r="1677" spans="1:10" ht="15.75" customHeight="1">
      <c r="A1677" t="s">
        <v>1662</v>
      </c>
      <c r="B1677">
        <v>621100</v>
      </c>
      <c r="C1677">
        <v>1</v>
      </c>
      <c r="D1677" t="str">
        <f t="shared" si="26"/>
        <v>1621100.931</v>
      </c>
      <c r="E1677" t="s">
        <v>2741</v>
      </c>
      <c r="F1677" s="242"/>
      <c r="G1677"/>
      <c r="H1677" s="242">
        <v>0</v>
      </c>
      <c r="I1677" s="242">
        <v>14550</v>
      </c>
      <c r="J1677"/>
    </row>
    <row r="1678" spans="1:10" ht="15.75" customHeight="1">
      <c r="A1678" t="s">
        <v>2571</v>
      </c>
      <c r="B1678">
        <v>621200</v>
      </c>
      <c r="C1678">
        <v>1</v>
      </c>
      <c r="D1678" t="str">
        <f t="shared" si="26"/>
        <v>1621200.105</v>
      </c>
      <c r="E1678" t="s">
        <v>2572</v>
      </c>
      <c r="F1678" s="242"/>
      <c r="G1678"/>
      <c r="H1678" s="242">
        <v>0</v>
      </c>
      <c r="I1678" s="242">
        <v>97592</v>
      </c>
      <c r="J1678"/>
    </row>
    <row r="1679" spans="1:10" ht="15.75" customHeight="1">
      <c r="A1679" t="s">
        <v>2403</v>
      </c>
      <c r="B1679">
        <v>621200</v>
      </c>
      <c r="C1679">
        <v>1</v>
      </c>
      <c r="D1679" t="str">
        <f t="shared" si="26"/>
        <v>1621200.110</v>
      </c>
      <c r="E1679" t="s">
        <v>2573</v>
      </c>
      <c r="F1679" s="242"/>
      <c r="G1679"/>
      <c r="H1679" s="242">
        <v>2137856</v>
      </c>
      <c r="I1679" s="242">
        <v>2320185</v>
      </c>
      <c r="J1679"/>
    </row>
    <row r="1680" spans="1:10" ht="15.75" customHeight="1">
      <c r="A1680" t="s">
        <v>2404</v>
      </c>
      <c r="B1680">
        <v>621200</v>
      </c>
      <c r="C1680">
        <v>1</v>
      </c>
      <c r="D1680" t="str">
        <f t="shared" si="26"/>
        <v>1621200.120</v>
      </c>
      <c r="E1680" t="s">
        <v>2574</v>
      </c>
      <c r="F1680" s="242"/>
      <c r="G1680"/>
      <c r="H1680" s="242">
        <v>267266</v>
      </c>
      <c r="I1680" s="242">
        <v>285916</v>
      </c>
      <c r="J1680"/>
    </row>
    <row r="1681" spans="1:10" ht="15.75" customHeight="1">
      <c r="A1681" t="s">
        <v>2575</v>
      </c>
      <c r="B1681">
        <v>621200</v>
      </c>
      <c r="C1681">
        <v>1</v>
      </c>
      <c r="D1681" t="str">
        <f t="shared" si="26"/>
        <v>1621200.130</v>
      </c>
      <c r="E1681" t="s">
        <v>2576</v>
      </c>
      <c r="F1681" s="242"/>
      <c r="G1681"/>
      <c r="H1681" s="242">
        <v>52391</v>
      </c>
      <c r="I1681" s="242">
        <v>75701</v>
      </c>
      <c r="J1681"/>
    </row>
    <row r="1682" spans="1:10" ht="15.75" customHeight="1">
      <c r="A1682" t="s">
        <v>2577</v>
      </c>
      <c r="B1682">
        <v>621200</v>
      </c>
      <c r="C1682">
        <v>1</v>
      </c>
      <c r="D1682" t="str">
        <f t="shared" si="26"/>
        <v>1621200.140</v>
      </c>
      <c r="E1682" t="s">
        <v>2578</v>
      </c>
      <c r="F1682" s="242"/>
      <c r="G1682"/>
      <c r="H1682" s="242">
        <v>370392</v>
      </c>
      <c r="I1682" s="242">
        <v>410123</v>
      </c>
      <c r="J1682"/>
    </row>
    <row r="1683" spans="1:10" ht="15.75" customHeight="1">
      <c r="A1683" t="s">
        <v>2579</v>
      </c>
      <c r="B1683">
        <v>621200</v>
      </c>
      <c r="C1683">
        <v>1</v>
      </c>
      <c r="D1683" t="str">
        <f t="shared" si="26"/>
        <v>1621200.181</v>
      </c>
      <c r="E1683" t="s">
        <v>2580</v>
      </c>
      <c r="F1683" s="242"/>
      <c r="G1683"/>
      <c r="H1683" s="242">
        <v>462845</v>
      </c>
      <c r="I1683" s="242">
        <v>516470</v>
      </c>
      <c r="J1683"/>
    </row>
    <row r="1684" spans="1:10" ht="15.75" customHeight="1">
      <c r="A1684" t="s">
        <v>2581</v>
      </c>
      <c r="B1684">
        <v>621200</v>
      </c>
      <c r="C1684">
        <v>1</v>
      </c>
      <c r="D1684" t="str">
        <f t="shared" si="26"/>
        <v>1621200.182</v>
      </c>
      <c r="E1684" t="s">
        <v>2582</v>
      </c>
      <c r="F1684" s="242"/>
      <c r="G1684"/>
      <c r="H1684" s="242">
        <v>219427</v>
      </c>
      <c r="I1684" s="242">
        <v>240261</v>
      </c>
      <c r="J1684"/>
    </row>
    <row r="1685" spans="1:10" ht="15.75" customHeight="1">
      <c r="A1685" t="s">
        <v>2286</v>
      </c>
      <c r="B1685">
        <v>621200</v>
      </c>
      <c r="C1685">
        <v>1</v>
      </c>
      <c r="D1685" t="str">
        <f t="shared" si="26"/>
        <v>1621200.511</v>
      </c>
      <c r="E1685" t="s">
        <v>2584</v>
      </c>
      <c r="F1685" s="242"/>
      <c r="G1685"/>
      <c r="H1685" s="242">
        <v>500</v>
      </c>
      <c r="I1685" s="242">
        <v>95</v>
      </c>
      <c r="J1685"/>
    </row>
    <row r="1686" spans="1:10" ht="15.75" customHeight="1">
      <c r="A1686" t="s">
        <v>2644</v>
      </c>
      <c r="B1686">
        <v>621200</v>
      </c>
      <c r="C1686">
        <v>1</v>
      </c>
      <c r="D1686" t="str">
        <f t="shared" si="26"/>
        <v>1621200.521</v>
      </c>
      <c r="E1686" t="s">
        <v>2734</v>
      </c>
      <c r="F1686" s="242"/>
      <c r="G1686"/>
      <c r="H1686" s="242">
        <v>0</v>
      </c>
      <c r="I1686" s="242">
        <v>0</v>
      </c>
      <c r="J1686"/>
    </row>
    <row r="1687" spans="1:10" ht="15.75" customHeight="1">
      <c r="A1687" t="s">
        <v>2588</v>
      </c>
      <c r="B1687">
        <v>621200</v>
      </c>
      <c r="C1687">
        <v>1</v>
      </c>
      <c r="D1687" t="str">
        <f t="shared" si="26"/>
        <v>1621200.522</v>
      </c>
      <c r="E1687" t="s">
        <v>2608</v>
      </c>
      <c r="F1687" s="242"/>
      <c r="G1687"/>
      <c r="H1687" s="242">
        <v>600</v>
      </c>
      <c r="I1687" s="242">
        <v>0</v>
      </c>
      <c r="J1687"/>
    </row>
    <row r="1688" spans="1:10" ht="15.75" customHeight="1">
      <c r="A1688" t="s">
        <v>2594</v>
      </c>
      <c r="B1688">
        <v>621200</v>
      </c>
      <c r="C1688">
        <v>1</v>
      </c>
      <c r="D1688" t="str">
        <f t="shared" si="26"/>
        <v>1621200.540</v>
      </c>
      <c r="E1688" t="s">
        <v>2595</v>
      </c>
      <c r="F1688" s="242"/>
      <c r="G1688"/>
      <c r="H1688" s="242">
        <v>4000</v>
      </c>
      <c r="I1688" s="242">
        <v>2234</v>
      </c>
      <c r="J1688"/>
    </row>
    <row r="1689" spans="1:10" ht="15.75" customHeight="1">
      <c r="A1689" t="s">
        <v>2596</v>
      </c>
      <c r="B1689">
        <v>621200</v>
      </c>
      <c r="C1689">
        <v>1</v>
      </c>
      <c r="D1689" t="str">
        <f t="shared" si="26"/>
        <v>1621200.550</v>
      </c>
      <c r="E1689" t="s">
        <v>2597</v>
      </c>
      <c r="F1689" s="242"/>
      <c r="G1689"/>
      <c r="H1689" s="242">
        <v>12000</v>
      </c>
      <c r="I1689" s="242">
        <v>9370</v>
      </c>
      <c r="J1689"/>
    </row>
    <row r="1690" spans="1:10" ht="15.75" customHeight="1">
      <c r="A1690" t="s">
        <v>2771</v>
      </c>
      <c r="B1690">
        <v>621200</v>
      </c>
      <c r="C1690">
        <v>1</v>
      </c>
      <c r="D1690" t="str">
        <f t="shared" si="26"/>
        <v>1621200.570</v>
      </c>
      <c r="E1690" t="s">
        <v>4171</v>
      </c>
      <c r="F1690" s="242"/>
      <c r="G1690"/>
      <c r="H1690" s="242">
        <v>10000</v>
      </c>
      <c r="I1690" s="242">
        <v>9712</v>
      </c>
      <c r="J1690"/>
    </row>
    <row r="1691" spans="1:10" ht="15.75" customHeight="1">
      <c r="A1691" t="s">
        <v>3062</v>
      </c>
      <c r="B1691">
        <v>621200</v>
      </c>
      <c r="C1691">
        <v>1</v>
      </c>
      <c r="D1691" t="str">
        <f t="shared" si="26"/>
        <v>1621200.571</v>
      </c>
      <c r="E1691" t="s">
        <v>4172</v>
      </c>
      <c r="F1691" s="242"/>
      <c r="G1691"/>
      <c r="H1691" s="242">
        <v>6200</v>
      </c>
      <c r="I1691" s="242">
        <v>6123</v>
      </c>
      <c r="J1691"/>
    </row>
    <row r="1692" spans="1:10" ht="15.75" customHeight="1">
      <c r="A1692" t="s">
        <v>2647</v>
      </c>
      <c r="B1692">
        <v>621200</v>
      </c>
      <c r="C1692">
        <v>1</v>
      </c>
      <c r="D1692" t="str">
        <f t="shared" si="26"/>
        <v>1621200.574</v>
      </c>
      <c r="E1692" t="s">
        <v>2648</v>
      </c>
      <c r="F1692" s="242"/>
      <c r="G1692"/>
      <c r="H1692" s="242">
        <v>35700</v>
      </c>
      <c r="I1692" s="242">
        <v>35083</v>
      </c>
      <c r="J1692"/>
    </row>
    <row r="1693" spans="1:10" ht="15.75" customHeight="1">
      <c r="A1693" t="s">
        <v>2600</v>
      </c>
      <c r="B1693">
        <v>621200</v>
      </c>
      <c r="C1693">
        <v>1</v>
      </c>
      <c r="D1693" t="str">
        <f t="shared" si="26"/>
        <v>1621200.580</v>
      </c>
      <c r="E1693" t="s">
        <v>2601</v>
      </c>
      <c r="F1693" s="242"/>
      <c r="G1693"/>
      <c r="H1693" s="242">
        <v>600</v>
      </c>
      <c r="I1693" s="242">
        <v>51</v>
      </c>
      <c r="J1693"/>
    </row>
    <row r="1694" spans="1:10" ht="15.75" customHeight="1">
      <c r="A1694" t="s">
        <v>600</v>
      </c>
      <c r="B1694">
        <v>621200</v>
      </c>
      <c r="C1694">
        <v>1</v>
      </c>
      <c r="D1694" t="str">
        <f t="shared" si="26"/>
        <v>1621200.731</v>
      </c>
      <c r="E1694" t="s">
        <v>2593</v>
      </c>
      <c r="F1694" s="242"/>
      <c r="G1694"/>
      <c r="H1694" s="242">
        <v>13366</v>
      </c>
      <c r="I1694" s="242">
        <v>30266</v>
      </c>
      <c r="J1694"/>
    </row>
    <row r="1695" spans="1:10" ht="15.75" customHeight="1">
      <c r="A1695" t="s">
        <v>2418</v>
      </c>
      <c r="B1695">
        <v>621200</v>
      </c>
      <c r="C1695">
        <v>1</v>
      </c>
      <c r="D1695" t="str">
        <f t="shared" si="26"/>
        <v>1621200.735</v>
      </c>
      <c r="E1695" t="s">
        <v>2602</v>
      </c>
      <c r="F1695" s="242"/>
      <c r="G1695"/>
      <c r="H1695" s="242">
        <v>37998</v>
      </c>
      <c r="I1695" s="242">
        <v>71458</v>
      </c>
      <c r="J1695"/>
    </row>
    <row r="1696" spans="1:10" ht="15.75" customHeight="1">
      <c r="A1696" t="s">
        <v>2611</v>
      </c>
      <c r="B1696">
        <v>621200</v>
      </c>
      <c r="C1696">
        <v>1</v>
      </c>
      <c r="D1696" t="str">
        <f t="shared" si="26"/>
        <v>1621200.750</v>
      </c>
      <c r="E1696" t="s">
        <v>4173</v>
      </c>
      <c r="F1696" s="242"/>
      <c r="G1696"/>
      <c r="H1696" s="242">
        <v>0</v>
      </c>
      <c r="I1696" s="242">
        <v>24209</v>
      </c>
      <c r="J1696"/>
    </row>
    <row r="1697" spans="1:10" ht="15.75" customHeight="1">
      <c r="A1697" t="s">
        <v>781</v>
      </c>
      <c r="B1697">
        <v>621200</v>
      </c>
      <c r="C1697">
        <v>1</v>
      </c>
      <c r="D1697" t="str">
        <f t="shared" si="26"/>
        <v>1621200.753</v>
      </c>
      <c r="E1697" t="s">
        <v>2707</v>
      </c>
      <c r="F1697" s="242"/>
      <c r="G1697"/>
      <c r="H1697" s="242">
        <v>12000</v>
      </c>
      <c r="I1697" s="242">
        <v>10762</v>
      </c>
      <c r="J1697"/>
    </row>
    <row r="1698" spans="1:10" ht="15.75" customHeight="1">
      <c r="A1698" t="s">
        <v>835</v>
      </c>
      <c r="B1698">
        <v>621200</v>
      </c>
      <c r="C1698">
        <v>1</v>
      </c>
      <c r="D1698" t="str">
        <f t="shared" si="26"/>
        <v>1621200.769</v>
      </c>
      <c r="E1698" t="s">
        <v>2605</v>
      </c>
      <c r="F1698" s="242"/>
      <c r="G1698"/>
      <c r="H1698" s="242">
        <v>19000</v>
      </c>
      <c r="I1698" s="242">
        <v>6479</v>
      </c>
      <c r="J1698"/>
    </row>
    <row r="1699" spans="1:10" ht="15.75" customHeight="1">
      <c r="A1699" t="s">
        <v>2403</v>
      </c>
      <c r="B1699">
        <v>621210</v>
      </c>
      <c r="C1699">
        <v>1</v>
      </c>
      <c r="D1699" t="str">
        <f t="shared" si="26"/>
        <v>1621210.110</v>
      </c>
      <c r="E1699" t="s">
        <v>2573</v>
      </c>
      <c r="F1699" s="242"/>
      <c r="G1699"/>
      <c r="H1699" s="242">
        <v>522283</v>
      </c>
      <c r="I1699" s="242">
        <v>514337</v>
      </c>
      <c r="J1699"/>
    </row>
    <row r="1700" spans="1:10" ht="15.75" customHeight="1">
      <c r="A1700" t="s">
        <v>2404</v>
      </c>
      <c r="B1700">
        <v>621210</v>
      </c>
      <c r="C1700">
        <v>1</v>
      </c>
      <c r="D1700" t="str">
        <f t="shared" si="26"/>
        <v>1621210.120</v>
      </c>
      <c r="E1700" t="s">
        <v>2574</v>
      </c>
      <c r="F1700" s="242"/>
      <c r="G1700"/>
      <c r="H1700" s="242">
        <v>123199</v>
      </c>
      <c r="I1700" s="242">
        <v>119353</v>
      </c>
      <c r="J1700"/>
    </row>
    <row r="1701" spans="1:10" ht="15.75" customHeight="1">
      <c r="A1701" t="s">
        <v>2575</v>
      </c>
      <c r="B1701">
        <v>621210</v>
      </c>
      <c r="C1701">
        <v>1</v>
      </c>
      <c r="D1701" t="str">
        <f t="shared" si="26"/>
        <v>1621210.130</v>
      </c>
      <c r="E1701" t="s">
        <v>4174</v>
      </c>
      <c r="F1701" s="242"/>
      <c r="G1701"/>
      <c r="H1701" s="242">
        <v>1920</v>
      </c>
      <c r="I1701" s="242">
        <v>1728</v>
      </c>
      <c r="J1701"/>
    </row>
    <row r="1702" spans="1:10" ht="15.75" customHeight="1">
      <c r="A1702" t="s">
        <v>2577</v>
      </c>
      <c r="B1702">
        <v>621210</v>
      </c>
      <c r="C1702">
        <v>1</v>
      </c>
      <c r="D1702" t="str">
        <f t="shared" si="26"/>
        <v>1621210.140</v>
      </c>
      <c r="E1702" t="s">
        <v>2578</v>
      </c>
      <c r="F1702" s="242"/>
      <c r="G1702"/>
      <c r="H1702" s="242">
        <v>101788</v>
      </c>
      <c r="I1702" s="242">
        <v>123472</v>
      </c>
      <c r="J1702"/>
    </row>
    <row r="1703" spans="1:10" ht="15.75" customHeight="1">
      <c r="A1703" t="s">
        <v>2579</v>
      </c>
      <c r="B1703">
        <v>621210</v>
      </c>
      <c r="C1703">
        <v>1</v>
      </c>
      <c r="D1703" t="str">
        <f t="shared" si="26"/>
        <v>1621210.181</v>
      </c>
      <c r="E1703" t="s">
        <v>2580</v>
      </c>
      <c r="F1703" s="242"/>
      <c r="G1703"/>
      <c r="H1703" s="242">
        <v>113157</v>
      </c>
      <c r="I1703" s="242">
        <v>113092</v>
      </c>
      <c r="J1703"/>
    </row>
    <row r="1704" spans="1:10" ht="15.75" customHeight="1">
      <c r="A1704" t="s">
        <v>2581</v>
      </c>
      <c r="B1704">
        <v>621210</v>
      </c>
      <c r="C1704">
        <v>1</v>
      </c>
      <c r="D1704" t="str">
        <f t="shared" si="26"/>
        <v>1621210.182</v>
      </c>
      <c r="E1704" t="s">
        <v>2582</v>
      </c>
      <c r="F1704" s="242"/>
      <c r="G1704"/>
      <c r="H1704" s="242">
        <v>56945</v>
      </c>
      <c r="I1704" s="242">
        <v>57623</v>
      </c>
      <c r="J1704"/>
    </row>
    <row r="1705" spans="1:10" ht="15.75" customHeight="1">
      <c r="A1705" t="s">
        <v>2411</v>
      </c>
      <c r="B1705">
        <v>621210</v>
      </c>
      <c r="C1705">
        <v>1</v>
      </c>
      <c r="D1705" t="str">
        <f t="shared" si="26"/>
        <v>1621210.470</v>
      </c>
      <c r="E1705" t="s">
        <v>2660</v>
      </c>
      <c r="F1705" s="242"/>
      <c r="G1705"/>
      <c r="H1705" s="242">
        <v>800</v>
      </c>
      <c r="I1705" s="242">
        <v>0</v>
      </c>
      <c r="J1705"/>
    </row>
    <row r="1706" spans="1:10" ht="15.75" customHeight="1">
      <c r="A1706" t="s">
        <v>2286</v>
      </c>
      <c r="B1706">
        <v>621210</v>
      </c>
      <c r="C1706">
        <v>1</v>
      </c>
      <c r="D1706" t="str">
        <f t="shared" si="26"/>
        <v>1621210.511</v>
      </c>
      <c r="E1706" t="s">
        <v>2584</v>
      </c>
      <c r="F1706" s="242"/>
      <c r="G1706"/>
      <c r="H1706" s="242">
        <v>1500</v>
      </c>
      <c r="I1706" s="242">
        <v>1321</v>
      </c>
      <c r="J1706"/>
    </row>
    <row r="1707" spans="1:10" ht="15.75" customHeight="1">
      <c r="A1707" t="s">
        <v>2588</v>
      </c>
      <c r="B1707">
        <v>621210</v>
      </c>
      <c r="C1707">
        <v>1</v>
      </c>
      <c r="D1707" t="str">
        <f t="shared" si="26"/>
        <v>1621210.522</v>
      </c>
      <c r="E1707" t="s">
        <v>2608</v>
      </c>
      <c r="F1707" s="242"/>
      <c r="G1707"/>
      <c r="H1707" s="242">
        <v>600</v>
      </c>
      <c r="I1707" s="242">
        <v>540</v>
      </c>
      <c r="J1707"/>
    </row>
    <row r="1708" spans="1:10" ht="15.75" customHeight="1">
      <c r="A1708" t="s">
        <v>2594</v>
      </c>
      <c r="B1708">
        <v>621210</v>
      </c>
      <c r="C1708">
        <v>1</v>
      </c>
      <c r="D1708" t="str">
        <f t="shared" si="26"/>
        <v>1621210.540</v>
      </c>
      <c r="E1708" t="s">
        <v>2595</v>
      </c>
      <c r="F1708" s="242"/>
      <c r="G1708"/>
      <c r="H1708" s="242">
        <v>8000</v>
      </c>
      <c r="I1708" s="242">
        <v>4489</v>
      </c>
      <c r="J1708"/>
    </row>
    <row r="1709" spans="1:10" ht="15.75" customHeight="1">
      <c r="A1709" t="s">
        <v>2596</v>
      </c>
      <c r="B1709">
        <v>621210</v>
      </c>
      <c r="C1709">
        <v>1</v>
      </c>
      <c r="D1709" t="str">
        <f t="shared" si="26"/>
        <v>1621210.550</v>
      </c>
      <c r="E1709" t="s">
        <v>2597</v>
      </c>
      <c r="F1709" s="242"/>
      <c r="G1709"/>
      <c r="H1709" s="242">
        <v>3500</v>
      </c>
      <c r="I1709" s="242">
        <v>3500</v>
      </c>
      <c r="J1709"/>
    </row>
    <row r="1710" spans="1:10" ht="15.75" customHeight="1">
      <c r="A1710" t="s">
        <v>2598</v>
      </c>
      <c r="B1710">
        <v>621210</v>
      </c>
      <c r="C1710">
        <v>1</v>
      </c>
      <c r="D1710" t="str">
        <f t="shared" si="26"/>
        <v>1621210.561</v>
      </c>
      <c r="E1710" t="s">
        <v>2599</v>
      </c>
      <c r="F1710" s="242"/>
      <c r="G1710"/>
      <c r="H1710" s="242">
        <v>5100</v>
      </c>
      <c r="I1710" s="242">
        <v>4318</v>
      </c>
      <c r="J1710"/>
    </row>
    <row r="1711" spans="1:10" ht="15.75" customHeight="1">
      <c r="A1711" t="s">
        <v>2771</v>
      </c>
      <c r="B1711">
        <v>621210</v>
      </c>
      <c r="C1711">
        <v>1</v>
      </c>
      <c r="D1711" t="str">
        <f t="shared" si="26"/>
        <v>1621210.570</v>
      </c>
      <c r="E1711" t="s">
        <v>4175</v>
      </c>
      <c r="F1711" s="242"/>
      <c r="G1711"/>
      <c r="H1711" s="242">
        <v>5500</v>
      </c>
      <c r="I1711" s="242">
        <v>5423</v>
      </c>
      <c r="J1711"/>
    </row>
    <row r="1712" spans="1:10" ht="15.75" customHeight="1">
      <c r="A1712" t="s">
        <v>2647</v>
      </c>
      <c r="B1712">
        <v>621210</v>
      </c>
      <c r="C1712">
        <v>1</v>
      </c>
      <c r="D1712" t="str">
        <f t="shared" si="26"/>
        <v>1621210.574</v>
      </c>
      <c r="E1712" t="s">
        <v>2648</v>
      </c>
      <c r="F1712" s="242"/>
      <c r="G1712"/>
      <c r="H1712" s="242">
        <v>9100</v>
      </c>
      <c r="I1712" s="242">
        <v>8836</v>
      </c>
      <c r="J1712"/>
    </row>
    <row r="1713" spans="1:10" ht="15.75" customHeight="1">
      <c r="A1713" t="s">
        <v>2600</v>
      </c>
      <c r="B1713">
        <v>621210</v>
      </c>
      <c r="C1713">
        <v>1</v>
      </c>
      <c r="D1713" t="str">
        <f t="shared" si="26"/>
        <v>1621210.580</v>
      </c>
      <c r="E1713" t="s">
        <v>2629</v>
      </c>
      <c r="F1713" s="242"/>
      <c r="G1713"/>
      <c r="H1713" s="242">
        <v>800</v>
      </c>
      <c r="I1713" s="242">
        <v>1750</v>
      </c>
      <c r="J1713"/>
    </row>
    <row r="1714" spans="1:10" ht="15.75" customHeight="1">
      <c r="A1714" t="s">
        <v>2571</v>
      </c>
      <c r="B1714">
        <v>621220</v>
      </c>
      <c r="C1714">
        <v>1</v>
      </c>
      <c r="D1714" t="str">
        <f t="shared" si="26"/>
        <v>1621220.105</v>
      </c>
      <c r="E1714" t="s">
        <v>2572</v>
      </c>
      <c r="F1714" s="242"/>
      <c r="G1714"/>
      <c r="H1714" s="242">
        <v>0</v>
      </c>
      <c r="I1714" s="242">
        <v>0</v>
      </c>
      <c r="J1714"/>
    </row>
    <row r="1715" spans="1:10" ht="15.75" customHeight="1">
      <c r="A1715" t="s">
        <v>2403</v>
      </c>
      <c r="B1715">
        <v>621220</v>
      </c>
      <c r="C1715">
        <v>1</v>
      </c>
      <c r="D1715" t="str">
        <f t="shared" si="26"/>
        <v>1621220.110</v>
      </c>
      <c r="E1715" t="s">
        <v>2573</v>
      </c>
      <c r="F1715" s="242"/>
      <c r="G1715"/>
      <c r="H1715" s="242">
        <v>488443</v>
      </c>
      <c r="I1715" s="242">
        <v>0</v>
      </c>
      <c r="J1715"/>
    </row>
    <row r="1716" spans="1:10" ht="15.75" customHeight="1">
      <c r="A1716" t="s">
        <v>2404</v>
      </c>
      <c r="B1716">
        <v>621220</v>
      </c>
      <c r="C1716">
        <v>1</v>
      </c>
      <c r="D1716" t="str">
        <f t="shared" si="26"/>
        <v>1621220.120</v>
      </c>
      <c r="E1716" t="s">
        <v>2574</v>
      </c>
      <c r="F1716" s="242"/>
      <c r="G1716"/>
      <c r="H1716" s="242">
        <v>60218</v>
      </c>
      <c r="I1716" s="242">
        <v>0</v>
      </c>
      <c r="J1716"/>
    </row>
    <row r="1717" spans="1:10" ht="15.75" customHeight="1">
      <c r="A1717" t="s">
        <v>2575</v>
      </c>
      <c r="B1717">
        <v>621220</v>
      </c>
      <c r="C1717">
        <v>1</v>
      </c>
      <c r="D1717" t="str">
        <f t="shared" si="26"/>
        <v>1621220.130</v>
      </c>
      <c r="E1717" t="s">
        <v>2576</v>
      </c>
      <c r="F1717" s="242"/>
      <c r="G1717"/>
      <c r="H1717" s="242">
        <v>5721</v>
      </c>
      <c r="I1717" s="242">
        <v>0</v>
      </c>
      <c r="J1717"/>
    </row>
    <row r="1718" spans="1:10" ht="15.75" customHeight="1">
      <c r="A1718" t="s">
        <v>2577</v>
      </c>
      <c r="B1718">
        <v>621220</v>
      </c>
      <c r="C1718">
        <v>1</v>
      </c>
      <c r="D1718" t="str">
        <f t="shared" si="26"/>
        <v>1621220.140</v>
      </c>
      <c r="E1718" t="s">
        <v>2578</v>
      </c>
      <c r="F1718" s="242"/>
      <c r="G1718"/>
      <c r="H1718" s="242">
        <v>35377</v>
      </c>
      <c r="I1718" s="242">
        <v>0</v>
      </c>
      <c r="J1718"/>
    </row>
    <row r="1719" spans="1:10" ht="15.75" customHeight="1">
      <c r="A1719" t="s">
        <v>2579</v>
      </c>
      <c r="B1719">
        <v>621220</v>
      </c>
      <c r="C1719">
        <v>1</v>
      </c>
      <c r="D1719" t="str">
        <f t="shared" si="26"/>
        <v>1621220.181</v>
      </c>
      <c r="E1719" t="s">
        <v>2580</v>
      </c>
      <c r="F1719" s="242"/>
      <c r="G1719"/>
      <c r="H1719" s="242">
        <v>123971</v>
      </c>
      <c r="I1719" s="242">
        <v>0</v>
      </c>
      <c r="J1719"/>
    </row>
    <row r="1720" spans="1:10" ht="15.75" customHeight="1">
      <c r="A1720" t="s">
        <v>2581</v>
      </c>
      <c r="B1720">
        <v>621220</v>
      </c>
      <c r="C1720">
        <v>1</v>
      </c>
      <c r="D1720" t="str">
        <f t="shared" si="26"/>
        <v>1621220.182</v>
      </c>
      <c r="E1720" t="s">
        <v>2582</v>
      </c>
      <c r="F1720" s="242"/>
      <c r="G1720"/>
      <c r="H1720" s="242">
        <v>45077</v>
      </c>
      <c r="I1720" s="242">
        <v>0</v>
      </c>
      <c r="J1720"/>
    </row>
    <row r="1721" spans="1:10" ht="15.75" customHeight="1">
      <c r="A1721" t="s">
        <v>2644</v>
      </c>
      <c r="B1721">
        <v>621220</v>
      </c>
      <c r="C1721">
        <v>1</v>
      </c>
      <c r="D1721" t="str">
        <f t="shared" si="26"/>
        <v>1621220.521</v>
      </c>
      <c r="E1721" t="s">
        <v>2734</v>
      </c>
      <c r="F1721" s="242"/>
      <c r="G1721"/>
      <c r="H1721" s="242">
        <v>3000</v>
      </c>
      <c r="I1721" s="242">
        <v>0</v>
      </c>
      <c r="J1721"/>
    </row>
    <row r="1722" spans="1:10" ht="15.75" customHeight="1">
      <c r="A1722" t="s">
        <v>2588</v>
      </c>
      <c r="B1722">
        <v>621220</v>
      </c>
      <c r="C1722">
        <v>1</v>
      </c>
      <c r="D1722" t="str">
        <f t="shared" si="26"/>
        <v>1621220.522</v>
      </c>
      <c r="E1722" t="s">
        <v>2608</v>
      </c>
      <c r="F1722" s="242"/>
      <c r="G1722"/>
      <c r="H1722" s="242">
        <v>600</v>
      </c>
      <c r="I1722" s="242">
        <v>0</v>
      </c>
      <c r="J1722"/>
    </row>
    <row r="1723" spans="1:10" ht="15.75" customHeight="1">
      <c r="A1723" t="s">
        <v>2620</v>
      </c>
      <c r="B1723">
        <v>621220</v>
      </c>
      <c r="C1723">
        <v>1</v>
      </c>
      <c r="D1723" t="str">
        <f t="shared" si="26"/>
        <v>1621220.575</v>
      </c>
      <c r="E1723" t="s">
        <v>4235</v>
      </c>
      <c r="F1723" s="242"/>
      <c r="G1723"/>
      <c r="H1723" s="242">
        <v>10000</v>
      </c>
      <c r="I1723" s="242">
        <v>1190</v>
      </c>
      <c r="J1723"/>
    </row>
    <row r="1724" spans="1:10" ht="15.75" customHeight="1">
      <c r="A1724" t="s">
        <v>2600</v>
      </c>
      <c r="B1724">
        <v>621220</v>
      </c>
      <c r="C1724">
        <v>1</v>
      </c>
      <c r="D1724" t="str">
        <f t="shared" si="26"/>
        <v>1621220.580</v>
      </c>
      <c r="E1724" t="s">
        <v>2629</v>
      </c>
      <c r="F1724" s="242"/>
      <c r="G1724"/>
      <c r="H1724" s="242">
        <v>1000</v>
      </c>
      <c r="I1724" s="242">
        <v>0</v>
      </c>
      <c r="J1724"/>
    </row>
    <row r="1725" spans="1:10" ht="15.75" customHeight="1">
      <c r="A1725" t="s">
        <v>600</v>
      </c>
      <c r="B1725">
        <v>621220</v>
      </c>
      <c r="C1725">
        <v>1</v>
      </c>
      <c r="D1725" t="str">
        <f t="shared" si="26"/>
        <v>1621220.731</v>
      </c>
      <c r="E1725" t="s">
        <v>2593</v>
      </c>
      <c r="F1725" s="242"/>
      <c r="G1725"/>
      <c r="H1725" s="242">
        <v>13366</v>
      </c>
      <c r="I1725" s="242">
        <v>0</v>
      </c>
      <c r="J1725"/>
    </row>
    <row r="1726" spans="1:10" ht="15.75" customHeight="1">
      <c r="A1726" t="s">
        <v>2418</v>
      </c>
      <c r="B1726">
        <v>621220</v>
      </c>
      <c r="C1726">
        <v>1</v>
      </c>
      <c r="D1726" t="str">
        <f t="shared" si="26"/>
        <v>1621220.735</v>
      </c>
      <c r="E1726" t="s">
        <v>2602</v>
      </c>
      <c r="F1726" s="242"/>
      <c r="G1726"/>
      <c r="H1726" s="242">
        <v>30621</v>
      </c>
      <c r="I1726" s="242">
        <v>0</v>
      </c>
      <c r="J1726"/>
    </row>
    <row r="1727" spans="1:10" ht="15.75" customHeight="1">
      <c r="A1727" t="s">
        <v>2611</v>
      </c>
      <c r="B1727">
        <v>621220</v>
      </c>
      <c r="C1727">
        <v>1</v>
      </c>
      <c r="D1727" t="str">
        <f t="shared" si="26"/>
        <v>1621220.750</v>
      </c>
      <c r="E1727" t="s">
        <v>4173</v>
      </c>
      <c r="F1727" s="242"/>
      <c r="G1727"/>
      <c r="H1727" s="242">
        <v>220000</v>
      </c>
      <c r="I1727" s="242">
        <v>0</v>
      </c>
      <c r="J1727"/>
    </row>
    <row r="1728" spans="1:10" ht="15.75" customHeight="1">
      <c r="A1728" t="s">
        <v>772</v>
      </c>
      <c r="B1728">
        <v>621220</v>
      </c>
      <c r="C1728">
        <v>1</v>
      </c>
      <c r="D1728" t="str">
        <f t="shared" si="26"/>
        <v>1621220.751</v>
      </c>
      <c r="E1728" t="s">
        <v>4236</v>
      </c>
      <c r="F1728" s="242"/>
      <c r="G1728"/>
      <c r="H1728" s="242">
        <v>80000</v>
      </c>
      <c r="I1728" s="242">
        <v>0</v>
      </c>
      <c r="J1728"/>
    </row>
    <row r="1729" spans="1:10" ht="15.75" customHeight="1">
      <c r="A1729" t="s">
        <v>835</v>
      </c>
      <c r="B1729">
        <v>621220</v>
      </c>
      <c r="C1729">
        <v>1</v>
      </c>
      <c r="D1729" t="str">
        <f t="shared" si="26"/>
        <v>1621220.769</v>
      </c>
      <c r="E1729" t="s">
        <v>2605</v>
      </c>
      <c r="F1729" s="242"/>
      <c r="G1729"/>
      <c r="H1729" s="242">
        <v>0</v>
      </c>
      <c r="I1729" s="242">
        <v>0</v>
      </c>
      <c r="J1729"/>
    </row>
    <row r="1730" spans="1:10" ht="15.75" customHeight="1">
      <c r="A1730" t="s">
        <v>2571</v>
      </c>
      <c r="B1730">
        <v>621300</v>
      </c>
      <c r="C1730">
        <v>1</v>
      </c>
      <c r="D1730" t="str">
        <f t="shared" si="26"/>
        <v>1621300.105</v>
      </c>
      <c r="E1730" t="s">
        <v>2572</v>
      </c>
      <c r="F1730" s="242"/>
      <c r="G1730"/>
      <c r="H1730" s="242">
        <v>91000</v>
      </c>
      <c r="I1730" s="242">
        <v>47387</v>
      </c>
      <c r="J1730"/>
    </row>
    <row r="1731" spans="1:10" ht="15.75" customHeight="1">
      <c r="A1731" t="s">
        <v>2403</v>
      </c>
      <c r="B1731">
        <v>621300</v>
      </c>
      <c r="C1731">
        <v>1</v>
      </c>
      <c r="D1731" t="str">
        <f t="shared" ref="D1731:D1794" si="27">C1731&amp;B1731&amp;"."&amp;A1731</f>
        <v>1621300.110</v>
      </c>
      <c r="E1731" t="s">
        <v>2573</v>
      </c>
      <c r="F1731" s="242"/>
      <c r="G1731"/>
      <c r="H1731" s="242">
        <v>1088255</v>
      </c>
      <c r="I1731" s="242">
        <v>996841</v>
      </c>
      <c r="J1731"/>
    </row>
    <row r="1732" spans="1:10" ht="15.75" customHeight="1">
      <c r="A1732" t="s">
        <v>2404</v>
      </c>
      <c r="B1732">
        <v>621300</v>
      </c>
      <c r="C1732">
        <v>1</v>
      </c>
      <c r="D1732" t="str">
        <f t="shared" si="27"/>
        <v>1621300.120</v>
      </c>
      <c r="E1732" t="s">
        <v>2574</v>
      </c>
      <c r="F1732" s="242"/>
      <c r="G1732"/>
      <c r="H1732" s="242">
        <v>152740</v>
      </c>
      <c r="I1732" s="242">
        <v>140953</v>
      </c>
      <c r="J1732"/>
    </row>
    <row r="1733" spans="1:10" ht="15.75" customHeight="1">
      <c r="A1733" t="s">
        <v>2575</v>
      </c>
      <c r="B1733">
        <v>621300</v>
      </c>
      <c r="C1733">
        <v>1</v>
      </c>
      <c r="D1733" t="str">
        <f t="shared" si="27"/>
        <v>1621300.130</v>
      </c>
      <c r="E1733" t="s">
        <v>2576</v>
      </c>
      <c r="F1733" s="242"/>
      <c r="G1733"/>
      <c r="H1733" s="242">
        <v>6215</v>
      </c>
      <c r="I1733" s="242">
        <v>4090</v>
      </c>
      <c r="J1733"/>
    </row>
    <row r="1734" spans="1:10" ht="15.75" customHeight="1">
      <c r="A1734" t="s">
        <v>2577</v>
      </c>
      <c r="B1734">
        <v>621300</v>
      </c>
      <c r="C1734">
        <v>1</v>
      </c>
      <c r="D1734" t="str">
        <f t="shared" si="27"/>
        <v>1621300.140</v>
      </c>
      <c r="E1734" t="s">
        <v>2578</v>
      </c>
      <c r="F1734" s="242"/>
      <c r="G1734"/>
      <c r="H1734" s="242">
        <v>174359</v>
      </c>
      <c r="I1734" s="242">
        <v>183883</v>
      </c>
      <c r="J1734"/>
    </row>
    <row r="1735" spans="1:10" ht="15.75" customHeight="1">
      <c r="A1735" t="s">
        <v>2579</v>
      </c>
      <c r="B1735">
        <v>621300</v>
      </c>
      <c r="C1735">
        <v>1</v>
      </c>
      <c r="D1735" t="str">
        <f t="shared" si="27"/>
        <v>1621300.181</v>
      </c>
      <c r="E1735" t="s">
        <v>2580</v>
      </c>
      <c r="F1735" s="242"/>
      <c r="G1735"/>
      <c r="H1735" s="242">
        <v>264577</v>
      </c>
      <c r="I1735" s="242">
        <v>238450</v>
      </c>
      <c r="J1735"/>
    </row>
    <row r="1736" spans="1:10" ht="15.75" customHeight="1">
      <c r="A1736" t="s">
        <v>2581</v>
      </c>
      <c r="B1736">
        <v>621300</v>
      </c>
      <c r="C1736">
        <v>1</v>
      </c>
      <c r="D1736" t="str">
        <f t="shared" si="27"/>
        <v>1621300.182</v>
      </c>
      <c r="E1736" t="s">
        <v>2582</v>
      </c>
      <c r="F1736" s="242"/>
      <c r="G1736"/>
      <c r="H1736" s="242">
        <v>107849</v>
      </c>
      <c r="I1736" s="242">
        <v>100448</v>
      </c>
      <c r="J1736"/>
    </row>
    <row r="1737" spans="1:10" ht="15.75" customHeight="1">
      <c r="A1737" t="s">
        <v>2286</v>
      </c>
      <c r="B1737">
        <v>621300</v>
      </c>
      <c r="C1737">
        <v>1</v>
      </c>
      <c r="D1737" t="str">
        <f t="shared" si="27"/>
        <v>1621300.511</v>
      </c>
      <c r="E1737" t="s">
        <v>2584</v>
      </c>
      <c r="F1737" s="242"/>
      <c r="G1737"/>
      <c r="H1737" s="242">
        <v>1000</v>
      </c>
      <c r="I1737" s="242">
        <v>156</v>
      </c>
      <c r="J1737"/>
    </row>
    <row r="1738" spans="1:10" ht="15.75" customHeight="1">
      <c r="A1738" t="s">
        <v>2594</v>
      </c>
      <c r="B1738">
        <v>621300</v>
      </c>
      <c r="C1738">
        <v>1</v>
      </c>
      <c r="D1738" t="str">
        <f t="shared" si="27"/>
        <v>1621300.540</v>
      </c>
      <c r="E1738" t="s">
        <v>2595</v>
      </c>
      <c r="F1738" s="242"/>
      <c r="G1738"/>
      <c r="H1738" s="242">
        <v>23000</v>
      </c>
      <c r="I1738" s="242">
        <v>14054</v>
      </c>
      <c r="J1738"/>
    </row>
    <row r="1739" spans="1:10" ht="15.75" customHeight="1">
      <c r="A1739" t="s">
        <v>2596</v>
      </c>
      <c r="B1739">
        <v>621300</v>
      </c>
      <c r="C1739">
        <v>1</v>
      </c>
      <c r="D1739" t="str">
        <f t="shared" si="27"/>
        <v>1621300.550</v>
      </c>
      <c r="E1739" t="s">
        <v>2597</v>
      </c>
      <c r="F1739" s="242"/>
      <c r="G1739"/>
      <c r="H1739" s="242">
        <v>1000</v>
      </c>
      <c r="I1739" s="242">
        <v>300</v>
      </c>
      <c r="J1739"/>
    </row>
    <row r="1740" spans="1:10" ht="15.75" customHeight="1">
      <c r="A1740" t="s">
        <v>2598</v>
      </c>
      <c r="B1740">
        <v>621300</v>
      </c>
      <c r="C1740">
        <v>1</v>
      </c>
      <c r="D1740" t="str">
        <f t="shared" si="27"/>
        <v>1621300.561</v>
      </c>
      <c r="E1740" t="s">
        <v>2599</v>
      </c>
      <c r="F1740" s="242"/>
      <c r="G1740"/>
      <c r="H1740" s="242">
        <v>8500</v>
      </c>
      <c r="I1740" s="242">
        <v>7973</v>
      </c>
      <c r="J1740"/>
    </row>
    <row r="1741" spans="1:10" ht="15.75" customHeight="1">
      <c r="A1741" t="s">
        <v>2771</v>
      </c>
      <c r="B1741">
        <v>621300</v>
      </c>
      <c r="C1741">
        <v>1</v>
      </c>
      <c r="D1741" t="str">
        <f t="shared" si="27"/>
        <v>1621300.570</v>
      </c>
      <c r="E1741" t="s">
        <v>4181</v>
      </c>
      <c r="F1741" s="242"/>
      <c r="G1741"/>
      <c r="H1741" s="242">
        <v>304000</v>
      </c>
      <c r="I1741" s="242">
        <v>298614</v>
      </c>
      <c r="J1741"/>
    </row>
    <row r="1742" spans="1:10" ht="15.75" customHeight="1">
      <c r="A1742" t="s">
        <v>3062</v>
      </c>
      <c r="B1742">
        <v>621300</v>
      </c>
      <c r="C1742">
        <v>1</v>
      </c>
      <c r="D1742" t="str">
        <f t="shared" si="27"/>
        <v>1621300.571</v>
      </c>
      <c r="E1742" t="s">
        <v>4182</v>
      </c>
      <c r="F1742" s="242"/>
      <c r="G1742"/>
      <c r="H1742" s="242">
        <v>13000</v>
      </c>
      <c r="I1742" s="242">
        <v>12773</v>
      </c>
      <c r="J1742"/>
    </row>
    <row r="1743" spans="1:10" ht="15.75" customHeight="1">
      <c r="A1743" t="s">
        <v>4183</v>
      </c>
      <c r="B1743">
        <v>621300</v>
      </c>
      <c r="C1743">
        <v>1</v>
      </c>
      <c r="D1743" t="str">
        <f t="shared" si="27"/>
        <v>1621300.572</v>
      </c>
      <c r="E1743" t="s">
        <v>4184</v>
      </c>
      <c r="F1743" s="242"/>
      <c r="G1743"/>
      <c r="H1743" s="242">
        <v>16400</v>
      </c>
      <c r="I1743" s="242">
        <v>16013</v>
      </c>
      <c r="J1743"/>
    </row>
    <row r="1744" spans="1:10" ht="15.75" customHeight="1">
      <c r="A1744" t="s">
        <v>2773</v>
      </c>
      <c r="B1744">
        <v>621300</v>
      </c>
      <c r="C1744">
        <v>1</v>
      </c>
      <c r="D1744" t="str">
        <f t="shared" si="27"/>
        <v>1621300.573</v>
      </c>
      <c r="E1744" t="s">
        <v>4185</v>
      </c>
      <c r="F1744" s="242"/>
      <c r="G1744"/>
      <c r="H1744" s="242">
        <v>6200</v>
      </c>
      <c r="I1744" s="242">
        <v>6123</v>
      </c>
      <c r="J1744"/>
    </row>
    <row r="1745" spans="1:10" ht="15.75" customHeight="1">
      <c r="A1745" t="s">
        <v>2647</v>
      </c>
      <c r="B1745">
        <v>621300</v>
      </c>
      <c r="C1745">
        <v>1</v>
      </c>
      <c r="D1745" t="str">
        <f t="shared" si="27"/>
        <v>1621300.574</v>
      </c>
      <c r="E1745" t="s">
        <v>2648</v>
      </c>
      <c r="F1745" s="242"/>
      <c r="G1745"/>
      <c r="H1745" s="242">
        <v>20600</v>
      </c>
      <c r="I1745" s="242">
        <v>20211</v>
      </c>
      <c r="J1745"/>
    </row>
    <row r="1746" spans="1:10" ht="15.75" customHeight="1">
      <c r="A1746" t="s">
        <v>2600</v>
      </c>
      <c r="B1746">
        <v>621300</v>
      </c>
      <c r="C1746">
        <v>1</v>
      </c>
      <c r="D1746" t="str">
        <f t="shared" si="27"/>
        <v>1621300.580</v>
      </c>
      <c r="E1746" t="s">
        <v>2601</v>
      </c>
      <c r="F1746" s="242"/>
      <c r="G1746"/>
      <c r="H1746" s="242">
        <v>3000</v>
      </c>
      <c r="I1746" s="242">
        <v>4478</v>
      </c>
      <c r="J1746"/>
    </row>
    <row r="1747" spans="1:10" ht="15.75" customHeight="1">
      <c r="A1747" t="s">
        <v>673</v>
      </c>
      <c r="B1747">
        <v>621300</v>
      </c>
      <c r="C1747">
        <v>1</v>
      </c>
      <c r="D1747" t="str">
        <f t="shared" si="27"/>
        <v>1621300.743</v>
      </c>
      <c r="E1747" t="s">
        <v>2622</v>
      </c>
      <c r="F1747" s="242"/>
      <c r="G1747"/>
      <c r="H1747" s="242">
        <v>22000</v>
      </c>
      <c r="I1747" s="242">
        <v>22638</v>
      </c>
      <c r="J1747"/>
    </row>
    <row r="1748" spans="1:10" ht="15.75" customHeight="1">
      <c r="A1748" t="s">
        <v>776</v>
      </c>
      <c r="B1748">
        <v>621300</v>
      </c>
      <c r="C1748">
        <v>1</v>
      </c>
      <c r="D1748" t="str">
        <f t="shared" si="27"/>
        <v>1621300.752</v>
      </c>
      <c r="E1748" t="s">
        <v>4186</v>
      </c>
      <c r="F1748" s="242"/>
      <c r="G1748"/>
      <c r="H1748" s="242">
        <v>205000</v>
      </c>
      <c r="I1748" s="242">
        <v>198218</v>
      </c>
      <c r="J1748"/>
    </row>
    <row r="1749" spans="1:10" ht="15.75" customHeight="1">
      <c r="A1749" t="s">
        <v>835</v>
      </c>
      <c r="B1749">
        <v>621300</v>
      </c>
      <c r="C1749">
        <v>1</v>
      </c>
      <c r="D1749" t="str">
        <f t="shared" si="27"/>
        <v>1621300.769</v>
      </c>
      <c r="E1749" t="s">
        <v>2605</v>
      </c>
      <c r="F1749" s="242"/>
      <c r="G1749"/>
      <c r="H1749" s="242">
        <v>0</v>
      </c>
      <c r="I1749" s="242">
        <v>13737</v>
      </c>
      <c r="J1749"/>
    </row>
    <row r="1750" spans="1:10" ht="15.75" customHeight="1">
      <c r="A1750" t="s">
        <v>2403</v>
      </c>
      <c r="B1750">
        <v>621310</v>
      </c>
      <c r="C1750">
        <v>1</v>
      </c>
      <c r="D1750" t="str">
        <f t="shared" si="27"/>
        <v>1621310.110</v>
      </c>
      <c r="E1750" t="s">
        <v>2573</v>
      </c>
      <c r="F1750" s="242"/>
      <c r="G1750"/>
      <c r="H1750" s="242">
        <v>506200</v>
      </c>
      <c r="I1750" s="242">
        <v>462066</v>
      </c>
      <c r="J1750"/>
    </row>
    <row r="1751" spans="1:10" ht="15.75" customHeight="1">
      <c r="A1751" t="s">
        <v>2404</v>
      </c>
      <c r="B1751">
        <v>621310</v>
      </c>
      <c r="C1751">
        <v>1</v>
      </c>
      <c r="D1751" t="str">
        <f t="shared" si="27"/>
        <v>1621310.120</v>
      </c>
      <c r="E1751" t="s">
        <v>2574</v>
      </c>
      <c r="F1751" s="242"/>
      <c r="G1751"/>
      <c r="H1751" s="242">
        <v>50186</v>
      </c>
      <c r="I1751" s="242">
        <v>41021</v>
      </c>
      <c r="J1751"/>
    </row>
    <row r="1752" spans="1:10" ht="15.75" customHeight="1">
      <c r="A1752" t="s">
        <v>2575</v>
      </c>
      <c r="B1752">
        <v>621310</v>
      </c>
      <c r="C1752">
        <v>1</v>
      </c>
      <c r="D1752" t="str">
        <f t="shared" si="27"/>
        <v>1621310.130</v>
      </c>
      <c r="E1752" t="s">
        <v>2576</v>
      </c>
      <c r="F1752" s="242"/>
      <c r="G1752"/>
      <c r="H1752" s="242">
        <v>1204</v>
      </c>
      <c r="I1752" s="242">
        <v>547</v>
      </c>
      <c r="J1752"/>
    </row>
    <row r="1753" spans="1:10" ht="15.75" customHeight="1">
      <c r="A1753" t="s">
        <v>2577</v>
      </c>
      <c r="B1753">
        <v>621310</v>
      </c>
      <c r="C1753">
        <v>1</v>
      </c>
      <c r="D1753" t="str">
        <f t="shared" si="27"/>
        <v>1621310.140</v>
      </c>
      <c r="E1753" t="s">
        <v>2578</v>
      </c>
      <c r="F1753" s="242"/>
      <c r="G1753"/>
      <c r="H1753" s="242">
        <v>58755</v>
      </c>
      <c r="I1753" s="242">
        <v>51628</v>
      </c>
      <c r="J1753"/>
    </row>
    <row r="1754" spans="1:10" ht="15.75" customHeight="1">
      <c r="A1754" t="s">
        <v>2579</v>
      </c>
      <c r="B1754">
        <v>621310</v>
      </c>
      <c r="C1754">
        <v>1</v>
      </c>
      <c r="D1754" t="str">
        <f t="shared" si="27"/>
        <v>1621310.181</v>
      </c>
      <c r="E1754" t="s">
        <v>2580</v>
      </c>
      <c r="F1754" s="242"/>
      <c r="G1754"/>
      <c r="H1754" s="242">
        <v>151298</v>
      </c>
      <c r="I1754" s="242">
        <v>126659</v>
      </c>
      <c r="J1754"/>
    </row>
    <row r="1755" spans="1:10" ht="15.75" customHeight="1">
      <c r="A1755" t="s">
        <v>2581</v>
      </c>
      <c r="B1755">
        <v>621310</v>
      </c>
      <c r="C1755">
        <v>1</v>
      </c>
      <c r="D1755" t="str">
        <f t="shared" si="27"/>
        <v>1621310.182</v>
      </c>
      <c r="E1755" t="s">
        <v>2582</v>
      </c>
      <c r="F1755" s="242"/>
      <c r="G1755"/>
      <c r="H1755" s="242">
        <v>54169</v>
      </c>
      <c r="I1755" s="242">
        <v>44832</v>
      </c>
      <c r="J1755"/>
    </row>
    <row r="1756" spans="1:10" ht="15.75" customHeight="1">
      <c r="A1756" t="s">
        <v>2644</v>
      </c>
      <c r="B1756">
        <v>621310</v>
      </c>
      <c r="C1756">
        <v>1</v>
      </c>
      <c r="D1756" t="str">
        <f t="shared" si="27"/>
        <v>1621310.521</v>
      </c>
      <c r="E1756" t="s">
        <v>2734</v>
      </c>
      <c r="F1756" s="242"/>
      <c r="G1756"/>
      <c r="H1756" s="242">
        <v>4000</v>
      </c>
      <c r="I1756" s="242">
        <v>468</v>
      </c>
      <c r="J1756"/>
    </row>
    <row r="1757" spans="1:10" ht="15.75" customHeight="1">
      <c r="A1757" t="s">
        <v>2588</v>
      </c>
      <c r="B1757">
        <v>621310</v>
      </c>
      <c r="C1757">
        <v>1</v>
      </c>
      <c r="D1757" t="str">
        <f t="shared" si="27"/>
        <v>1621310.522</v>
      </c>
      <c r="E1757" t="s">
        <v>2608</v>
      </c>
      <c r="F1757" s="242"/>
      <c r="G1757"/>
      <c r="H1757" s="242">
        <v>2000</v>
      </c>
      <c r="I1757" s="242">
        <v>0</v>
      </c>
      <c r="J1757"/>
    </row>
    <row r="1758" spans="1:10" ht="15.75" customHeight="1">
      <c r="A1758" t="s">
        <v>2590</v>
      </c>
      <c r="B1758">
        <v>621310</v>
      </c>
      <c r="C1758">
        <v>1</v>
      </c>
      <c r="D1758" t="str">
        <f t="shared" si="27"/>
        <v>1621310.523</v>
      </c>
      <c r="E1758" t="s">
        <v>2646</v>
      </c>
      <c r="F1758" s="242"/>
      <c r="G1758"/>
      <c r="H1758" s="242">
        <v>4000</v>
      </c>
      <c r="I1758" s="242">
        <v>3578</v>
      </c>
      <c r="J1758"/>
    </row>
    <row r="1759" spans="1:10" ht="15.75" customHeight="1">
      <c r="A1759" t="s">
        <v>2594</v>
      </c>
      <c r="B1759">
        <v>621310</v>
      </c>
      <c r="C1759">
        <v>1</v>
      </c>
      <c r="D1759" t="str">
        <f t="shared" si="27"/>
        <v>1621310.540</v>
      </c>
      <c r="E1759" t="s">
        <v>2595</v>
      </c>
      <c r="F1759" s="242"/>
      <c r="G1759"/>
      <c r="H1759" s="242">
        <v>3000</v>
      </c>
      <c r="I1759" s="242">
        <v>1861</v>
      </c>
      <c r="J1759"/>
    </row>
    <row r="1760" spans="1:10" ht="15.75" customHeight="1">
      <c r="A1760" t="s">
        <v>2596</v>
      </c>
      <c r="B1760">
        <v>621310</v>
      </c>
      <c r="C1760">
        <v>1</v>
      </c>
      <c r="D1760" t="str">
        <f t="shared" si="27"/>
        <v>1621310.550</v>
      </c>
      <c r="E1760" t="s">
        <v>2597</v>
      </c>
      <c r="F1760" s="242"/>
      <c r="G1760"/>
      <c r="H1760" s="242">
        <v>5000</v>
      </c>
      <c r="I1760" s="242">
        <v>2703</v>
      </c>
      <c r="J1760"/>
    </row>
    <row r="1761" spans="1:10" ht="15.75" customHeight="1">
      <c r="A1761" t="s">
        <v>2600</v>
      </c>
      <c r="B1761">
        <v>621310</v>
      </c>
      <c r="C1761">
        <v>1</v>
      </c>
      <c r="D1761" t="str">
        <f t="shared" si="27"/>
        <v>1621310.580</v>
      </c>
      <c r="E1761" t="s">
        <v>2601</v>
      </c>
      <c r="F1761" s="242"/>
      <c r="G1761"/>
      <c r="H1761" s="242">
        <v>1000</v>
      </c>
      <c r="I1761" s="242">
        <v>520</v>
      </c>
      <c r="J1761"/>
    </row>
    <row r="1762" spans="1:10" ht="15.75" customHeight="1">
      <c r="A1762" t="s">
        <v>600</v>
      </c>
      <c r="B1762">
        <v>621310</v>
      </c>
      <c r="C1762">
        <v>1</v>
      </c>
      <c r="D1762" t="str">
        <f t="shared" si="27"/>
        <v>1621310.731</v>
      </c>
      <c r="E1762" t="s">
        <v>2593</v>
      </c>
      <c r="F1762" s="242"/>
      <c r="G1762"/>
      <c r="H1762" s="242">
        <v>13366</v>
      </c>
      <c r="I1762" s="242">
        <v>15220</v>
      </c>
      <c r="J1762"/>
    </row>
    <row r="1763" spans="1:10" ht="15.75" customHeight="1">
      <c r="A1763" t="s">
        <v>2418</v>
      </c>
      <c r="B1763">
        <v>621310</v>
      </c>
      <c r="C1763">
        <v>1</v>
      </c>
      <c r="D1763" t="str">
        <f t="shared" si="27"/>
        <v>1621310.735</v>
      </c>
      <c r="E1763" t="s">
        <v>2602</v>
      </c>
      <c r="F1763" s="242"/>
      <c r="G1763"/>
      <c r="H1763" s="242">
        <v>41137</v>
      </c>
      <c r="I1763" s="242">
        <v>39841</v>
      </c>
      <c r="J1763"/>
    </row>
    <row r="1764" spans="1:10" ht="15.75" customHeight="1">
      <c r="A1764" t="s">
        <v>2611</v>
      </c>
      <c r="B1764">
        <v>621310</v>
      </c>
      <c r="C1764">
        <v>1</v>
      </c>
      <c r="D1764" t="str">
        <f t="shared" si="27"/>
        <v>1621310.750</v>
      </c>
      <c r="E1764" t="s">
        <v>4176</v>
      </c>
      <c r="F1764" s="242"/>
      <c r="G1764"/>
      <c r="H1764" s="242">
        <v>150000</v>
      </c>
      <c r="I1764" s="242">
        <v>140883</v>
      </c>
      <c r="J1764"/>
    </row>
    <row r="1765" spans="1:10" ht="15.75" customHeight="1">
      <c r="A1765" t="s">
        <v>772</v>
      </c>
      <c r="B1765">
        <v>621310</v>
      </c>
      <c r="C1765">
        <v>1</v>
      </c>
      <c r="D1765" t="str">
        <f t="shared" si="27"/>
        <v>1621310.751</v>
      </c>
      <c r="E1765" t="s">
        <v>4177</v>
      </c>
      <c r="F1765" s="242"/>
      <c r="G1765"/>
      <c r="H1765" s="242">
        <v>25000</v>
      </c>
      <c r="I1765" s="242">
        <v>8253</v>
      </c>
      <c r="J1765"/>
    </row>
    <row r="1766" spans="1:10" ht="15.75" customHeight="1">
      <c r="A1766" t="s">
        <v>776</v>
      </c>
      <c r="B1766">
        <v>621310</v>
      </c>
      <c r="C1766">
        <v>1</v>
      </c>
      <c r="D1766" t="str">
        <f t="shared" si="27"/>
        <v>1621310.752</v>
      </c>
      <c r="E1766" t="s">
        <v>4178</v>
      </c>
      <c r="F1766" s="242"/>
      <c r="G1766"/>
      <c r="H1766" s="242">
        <v>330000</v>
      </c>
      <c r="I1766" s="242">
        <v>312493</v>
      </c>
      <c r="J1766"/>
    </row>
    <row r="1767" spans="1:10" ht="15.75" customHeight="1">
      <c r="A1767" t="s">
        <v>781</v>
      </c>
      <c r="B1767">
        <v>621310</v>
      </c>
      <c r="C1767">
        <v>1</v>
      </c>
      <c r="D1767" t="str">
        <f t="shared" si="27"/>
        <v>1621310.753</v>
      </c>
      <c r="E1767" t="s">
        <v>4179</v>
      </c>
      <c r="F1767" s="242"/>
      <c r="G1767"/>
      <c r="H1767" s="242">
        <v>0</v>
      </c>
      <c r="I1767" s="242">
        <v>0</v>
      </c>
      <c r="J1767"/>
    </row>
    <row r="1768" spans="1:10" ht="15.75" customHeight="1">
      <c r="A1768" t="s">
        <v>786</v>
      </c>
      <c r="B1768">
        <v>621310</v>
      </c>
      <c r="C1768">
        <v>1</v>
      </c>
      <c r="D1768" t="str">
        <f t="shared" si="27"/>
        <v>1621310.754</v>
      </c>
      <c r="E1768" t="s">
        <v>4180</v>
      </c>
      <c r="F1768" s="242"/>
      <c r="G1768"/>
      <c r="H1768" s="242">
        <v>50000</v>
      </c>
      <c r="I1768" s="242">
        <v>0</v>
      </c>
      <c r="J1768"/>
    </row>
    <row r="1769" spans="1:10" ht="15.75" customHeight="1">
      <c r="A1769" t="s">
        <v>835</v>
      </c>
      <c r="B1769">
        <v>621310</v>
      </c>
      <c r="C1769">
        <v>1</v>
      </c>
      <c r="D1769" t="str">
        <f t="shared" si="27"/>
        <v>1621310.769</v>
      </c>
      <c r="E1769" t="s">
        <v>2605</v>
      </c>
      <c r="F1769" s="242"/>
      <c r="G1769"/>
      <c r="H1769" s="242">
        <v>38400</v>
      </c>
      <c r="I1769" s="242">
        <v>0</v>
      </c>
      <c r="J1769"/>
    </row>
    <row r="1770" spans="1:10" ht="15.75" customHeight="1">
      <c r="A1770" t="s">
        <v>2403</v>
      </c>
      <c r="B1770">
        <v>621400</v>
      </c>
      <c r="C1770">
        <v>1</v>
      </c>
      <c r="D1770" t="str">
        <f t="shared" si="27"/>
        <v>1621400.110</v>
      </c>
      <c r="E1770" t="s">
        <v>2573</v>
      </c>
      <c r="F1770" s="242"/>
      <c r="G1770"/>
      <c r="H1770" s="242">
        <v>265692</v>
      </c>
      <c r="I1770" s="242">
        <v>240073</v>
      </c>
      <c r="J1770"/>
    </row>
    <row r="1771" spans="1:10" ht="15.75" customHeight="1">
      <c r="A1771" t="s">
        <v>2404</v>
      </c>
      <c r="B1771">
        <v>621400</v>
      </c>
      <c r="C1771">
        <v>1</v>
      </c>
      <c r="D1771" t="str">
        <f t="shared" si="27"/>
        <v>1621400.120</v>
      </c>
      <c r="E1771" t="s">
        <v>2574</v>
      </c>
      <c r="F1771" s="242"/>
      <c r="G1771"/>
      <c r="H1771" s="242">
        <v>38725</v>
      </c>
      <c r="I1771" s="242">
        <v>38069</v>
      </c>
      <c r="J1771"/>
    </row>
    <row r="1772" spans="1:10" ht="15.75" customHeight="1">
      <c r="A1772" t="s">
        <v>2575</v>
      </c>
      <c r="B1772">
        <v>621400</v>
      </c>
      <c r="C1772">
        <v>1</v>
      </c>
      <c r="D1772" t="str">
        <f t="shared" si="27"/>
        <v>1621400.130</v>
      </c>
      <c r="E1772" t="s">
        <v>2576</v>
      </c>
      <c r="F1772" s="242"/>
      <c r="G1772"/>
      <c r="H1772" s="242">
        <v>41516</v>
      </c>
      <c r="I1772" s="242">
        <v>0</v>
      </c>
      <c r="J1772"/>
    </row>
    <row r="1773" spans="1:10" ht="15.75" customHeight="1">
      <c r="A1773" t="s">
        <v>2577</v>
      </c>
      <c r="B1773">
        <v>621400</v>
      </c>
      <c r="C1773">
        <v>1</v>
      </c>
      <c r="D1773" t="str">
        <f t="shared" si="27"/>
        <v>1621400.140</v>
      </c>
      <c r="E1773" t="s">
        <v>2578</v>
      </c>
      <c r="F1773" s="242"/>
      <c r="G1773"/>
      <c r="H1773" s="242">
        <v>0</v>
      </c>
      <c r="I1773" s="242">
        <v>50399</v>
      </c>
      <c r="J1773"/>
    </row>
    <row r="1774" spans="1:10" ht="15.75" customHeight="1">
      <c r="A1774" t="s">
        <v>2579</v>
      </c>
      <c r="B1774">
        <v>621400</v>
      </c>
      <c r="C1774">
        <v>1</v>
      </c>
      <c r="D1774" t="str">
        <f t="shared" si="27"/>
        <v>1621400.181</v>
      </c>
      <c r="E1774" t="s">
        <v>2580</v>
      </c>
      <c r="F1774" s="242"/>
      <c r="G1774"/>
      <c r="H1774" s="242">
        <v>58982</v>
      </c>
      <c r="I1774" s="242">
        <v>54646</v>
      </c>
      <c r="J1774"/>
    </row>
    <row r="1775" spans="1:10" ht="15.75" customHeight="1">
      <c r="A1775" t="s">
        <v>2581</v>
      </c>
      <c r="B1775">
        <v>621400</v>
      </c>
      <c r="C1775">
        <v>1</v>
      </c>
      <c r="D1775" t="str">
        <f t="shared" si="27"/>
        <v>1621400.182</v>
      </c>
      <c r="E1775" t="s">
        <v>2582</v>
      </c>
      <c r="F1775" s="242"/>
      <c r="G1775"/>
      <c r="H1775" s="242">
        <v>26091</v>
      </c>
      <c r="I1775" s="242">
        <v>24784</v>
      </c>
      <c r="J1775"/>
    </row>
    <row r="1776" spans="1:10" ht="15.75" customHeight="1">
      <c r="A1776" t="s">
        <v>2411</v>
      </c>
      <c r="B1776">
        <v>621400</v>
      </c>
      <c r="C1776">
        <v>1</v>
      </c>
      <c r="D1776" t="str">
        <f t="shared" si="27"/>
        <v>1621400.470</v>
      </c>
      <c r="E1776" t="s">
        <v>2660</v>
      </c>
      <c r="F1776" s="242"/>
      <c r="G1776"/>
      <c r="H1776" s="242">
        <v>400</v>
      </c>
      <c r="I1776" s="242">
        <v>0</v>
      </c>
      <c r="J1776"/>
    </row>
    <row r="1777" spans="1:10" ht="15.75" customHeight="1">
      <c r="A1777" t="s">
        <v>2286</v>
      </c>
      <c r="B1777">
        <v>621400</v>
      </c>
      <c r="C1777">
        <v>1</v>
      </c>
      <c r="D1777" t="str">
        <f t="shared" si="27"/>
        <v>1621400.511</v>
      </c>
      <c r="E1777" t="s">
        <v>2584</v>
      </c>
      <c r="F1777" s="242"/>
      <c r="G1777"/>
      <c r="H1777" s="242">
        <v>500</v>
      </c>
      <c r="I1777" s="242">
        <v>0</v>
      </c>
      <c r="J1777"/>
    </row>
    <row r="1778" spans="1:10" ht="15.75" customHeight="1">
      <c r="A1778" t="s">
        <v>2594</v>
      </c>
      <c r="B1778">
        <v>621400</v>
      </c>
      <c r="C1778">
        <v>1</v>
      </c>
      <c r="D1778" t="str">
        <f t="shared" si="27"/>
        <v>1621400.540</v>
      </c>
      <c r="E1778" t="s">
        <v>2595</v>
      </c>
      <c r="F1778" s="242"/>
      <c r="G1778"/>
      <c r="H1778" s="242">
        <v>4000</v>
      </c>
      <c r="I1778" s="242">
        <v>3430</v>
      </c>
      <c r="J1778"/>
    </row>
    <row r="1779" spans="1:10" ht="15.75" customHeight="1">
      <c r="A1779" t="s">
        <v>2596</v>
      </c>
      <c r="B1779">
        <v>621400</v>
      </c>
      <c r="C1779">
        <v>1</v>
      </c>
      <c r="D1779" t="str">
        <f t="shared" si="27"/>
        <v>1621400.550</v>
      </c>
      <c r="E1779" t="s">
        <v>2597</v>
      </c>
      <c r="F1779" s="242"/>
      <c r="G1779"/>
      <c r="H1779" s="242">
        <v>1000</v>
      </c>
      <c r="I1779" s="242">
        <v>290</v>
      </c>
      <c r="J1779"/>
    </row>
    <row r="1780" spans="1:10" ht="15.75" customHeight="1">
      <c r="A1780" t="s">
        <v>2598</v>
      </c>
      <c r="B1780">
        <v>621400</v>
      </c>
      <c r="C1780">
        <v>1</v>
      </c>
      <c r="D1780" t="str">
        <f t="shared" si="27"/>
        <v>1621400.561</v>
      </c>
      <c r="E1780" t="s">
        <v>2599</v>
      </c>
      <c r="F1780" s="242"/>
      <c r="G1780"/>
      <c r="H1780" s="242">
        <v>3000</v>
      </c>
      <c r="I1780" s="242">
        <v>1565</v>
      </c>
      <c r="J1780"/>
    </row>
    <row r="1781" spans="1:10" ht="15.75" customHeight="1">
      <c r="A1781" t="s">
        <v>2647</v>
      </c>
      <c r="B1781">
        <v>621400</v>
      </c>
      <c r="C1781">
        <v>1</v>
      </c>
      <c r="D1781" t="str">
        <f t="shared" si="27"/>
        <v>1621400.574</v>
      </c>
      <c r="E1781" t="s">
        <v>2648</v>
      </c>
      <c r="F1781" s="242"/>
      <c r="G1781"/>
      <c r="H1781" s="242">
        <v>7100</v>
      </c>
      <c r="I1781" s="242">
        <v>6998</v>
      </c>
      <c r="J1781"/>
    </row>
    <row r="1782" spans="1:10" ht="15.75" customHeight="1">
      <c r="A1782" t="s">
        <v>2735</v>
      </c>
      <c r="B1782">
        <v>621400</v>
      </c>
      <c r="C1782">
        <v>1</v>
      </c>
      <c r="D1782" t="str">
        <f t="shared" si="27"/>
        <v>1621400.576</v>
      </c>
      <c r="E1782" t="s">
        <v>4187</v>
      </c>
      <c r="F1782" s="242"/>
      <c r="G1782"/>
      <c r="H1782" s="242">
        <v>2000</v>
      </c>
      <c r="I1782" s="242">
        <v>0</v>
      </c>
      <c r="J1782"/>
    </row>
    <row r="1783" spans="1:10" ht="15.75" customHeight="1">
      <c r="A1783" t="s">
        <v>2600</v>
      </c>
      <c r="B1783">
        <v>621400</v>
      </c>
      <c r="C1783">
        <v>1</v>
      </c>
      <c r="D1783" t="str">
        <f t="shared" si="27"/>
        <v>1621400.580</v>
      </c>
      <c r="E1783" t="s">
        <v>2629</v>
      </c>
      <c r="F1783" s="242"/>
      <c r="G1783"/>
      <c r="H1783" s="242">
        <v>500</v>
      </c>
      <c r="I1783" s="242">
        <v>0</v>
      </c>
      <c r="J1783"/>
    </row>
    <row r="1784" spans="1:10" ht="15.75" customHeight="1">
      <c r="A1784" t="s">
        <v>2403</v>
      </c>
      <c r="B1784">
        <v>621500</v>
      </c>
      <c r="C1784">
        <v>1</v>
      </c>
      <c r="D1784" t="str">
        <f t="shared" si="27"/>
        <v>1621500.110</v>
      </c>
      <c r="E1784" t="s">
        <v>2573</v>
      </c>
      <c r="F1784" s="242"/>
      <c r="G1784"/>
      <c r="H1784" s="242">
        <v>564148</v>
      </c>
      <c r="I1784" s="242">
        <v>494113</v>
      </c>
      <c r="J1784"/>
    </row>
    <row r="1785" spans="1:10" ht="15.75" customHeight="1">
      <c r="A1785" t="s">
        <v>2404</v>
      </c>
      <c r="B1785">
        <v>621500</v>
      </c>
      <c r="C1785">
        <v>1</v>
      </c>
      <c r="D1785" t="str">
        <f t="shared" si="27"/>
        <v>1621500.120</v>
      </c>
      <c r="E1785" t="s">
        <v>2574</v>
      </c>
      <c r="F1785" s="242"/>
      <c r="G1785"/>
      <c r="H1785" s="242">
        <v>201629</v>
      </c>
      <c r="I1785" s="242">
        <v>159939</v>
      </c>
      <c r="J1785"/>
    </row>
    <row r="1786" spans="1:10" ht="15.75" customHeight="1">
      <c r="A1786" t="s">
        <v>2575</v>
      </c>
      <c r="B1786">
        <v>621500</v>
      </c>
      <c r="C1786">
        <v>1</v>
      </c>
      <c r="D1786" t="str">
        <f t="shared" si="27"/>
        <v>1621500.130</v>
      </c>
      <c r="E1786" t="s">
        <v>2576</v>
      </c>
      <c r="F1786" s="242"/>
      <c r="G1786"/>
      <c r="H1786" s="242">
        <v>5072</v>
      </c>
      <c r="I1786" s="242">
        <v>2298</v>
      </c>
      <c r="J1786"/>
    </row>
    <row r="1787" spans="1:10" ht="15.75" customHeight="1">
      <c r="A1787" t="s">
        <v>2577</v>
      </c>
      <c r="B1787">
        <v>621500</v>
      </c>
      <c r="C1787">
        <v>1</v>
      </c>
      <c r="D1787" t="str">
        <f t="shared" si="27"/>
        <v>1621500.140</v>
      </c>
      <c r="E1787" t="s">
        <v>2578</v>
      </c>
      <c r="F1787" s="242"/>
      <c r="G1787"/>
      <c r="H1787" s="242">
        <v>174600</v>
      </c>
      <c r="I1787" s="242">
        <v>150150</v>
      </c>
      <c r="J1787"/>
    </row>
    <row r="1788" spans="1:10" ht="15.75" customHeight="1">
      <c r="A1788" t="s">
        <v>2579</v>
      </c>
      <c r="B1788">
        <v>621500</v>
      </c>
      <c r="C1788">
        <v>1</v>
      </c>
      <c r="D1788" t="str">
        <f t="shared" si="27"/>
        <v>1621500.181</v>
      </c>
      <c r="E1788" t="s">
        <v>2580</v>
      </c>
      <c r="F1788" s="242"/>
      <c r="G1788"/>
      <c r="H1788" s="242">
        <v>186271</v>
      </c>
      <c r="I1788" s="242">
        <v>149196</v>
      </c>
      <c r="J1788"/>
    </row>
    <row r="1789" spans="1:10" ht="15.75" customHeight="1">
      <c r="A1789" t="s">
        <v>2581</v>
      </c>
      <c r="B1789">
        <v>621500</v>
      </c>
      <c r="C1789">
        <v>1</v>
      </c>
      <c r="D1789" t="str">
        <f t="shared" si="27"/>
        <v>1621500.182</v>
      </c>
      <c r="E1789" t="s">
        <v>2582</v>
      </c>
      <c r="F1789" s="242"/>
      <c r="G1789"/>
      <c r="H1789" s="242">
        <v>72173</v>
      </c>
      <c r="I1789" s="242">
        <v>61180</v>
      </c>
      <c r="J1789"/>
    </row>
    <row r="1790" spans="1:10" ht="15.75" customHeight="1">
      <c r="A1790" t="s">
        <v>2286</v>
      </c>
      <c r="B1790">
        <v>621500</v>
      </c>
      <c r="C1790">
        <v>1</v>
      </c>
      <c r="D1790" t="str">
        <f t="shared" si="27"/>
        <v>1621500.511</v>
      </c>
      <c r="E1790" t="s">
        <v>2584</v>
      </c>
      <c r="F1790" s="242"/>
      <c r="G1790"/>
      <c r="H1790" s="242">
        <v>900</v>
      </c>
      <c r="I1790" s="242">
        <v>171</v>
      </c>
      <c r="J1790"/>
    </row>
    <row r="1791" spans="1:10" ht="15.75" customHeight="1">
      <c r="A1791" t="s">
        <v>2588</v>
      </c>
      <c r="B1791">
        <v>621500</v>
      </c>
      <c r="C1791">
        <v>1</v>
      </c>
      <c r="D1791" t="str">
        <f t="shared" si="27"/>
        <v>1621500.522</v>
      </c>
      <c r="E1791" t="s">
        <v>2608</v>
      </c>
      <c r="F1791" s="242"/>
      <c r="G1791"/>
      <c r="H1791" s="242">
        <v>8000</v>
      </c>
      <c r="I1791" s="242">
        <v>5134</v>
      </c>
      <c r="J1791"/>
    </row>
    <row r="1792" spans="1:10" ht="15.75" customHeight="1">
      <c r="A1792" t="s">
        <v>2590</v>
      </c>
      <c r="B1792">
        <v>621500</v>
      </c>
      <c r="C1792">
        <v>1</v>
      </c>
      <c r="D1792" t="str">
        <f t="shared" si="27"/>
        <v>1621500.523</v>
      </c>
      <c r="E1792" t="s">
        <v>2646</v>
      </c>
      <c r="F1792" s="242"/>
      <c r="G1792"/>
      <c r="H1792" s="242">
        <v>1000</v>
      </c>
      <c r="I1792" s="242">
        <v>1000</v>
      </c>
      <c r="J1792"/>
    </row>
    <row r="1793" spans="1:10" ht="15.75" customHeight="1">
      <c r="A1793" t="s">
        <v>2771</v>
      </c>
      <c r="B1793">
        <v>621500</v>
      </c>
      <c r="C1793">
        <v>1</v>
      </c>
      <c r="D1793" t="str">
        <f t="shared" si="27"/>
        <v>1621500.570</v>
      </c>
      <c r="E1793" t="s">
        <v>4506</v>
      </c>
      <c r="F1793" s="242"/>
      <c r="G1793"/>
      <c r="H1793" s="242">
        <v>791700</v>
      </c>
      <c r="I1793" s="242">
        <v>777499</v>
      </c>
      <c r="J1793"/>
    </row>
    <row r="1794" spans="1:10" ht="15.75" customHeight="1">
      <c r="A1794" t="s">
        <v>2647</v>
      </c>
      <c r="B1794">
        <v>621500</v>
      </c>
      <c r="C1794">
        <v>1</v>
      </c>
      <c r="D1794" t="str">
        <f t="shared" si="27"/>
        <v>1621500.574</v>
      </c>
      <c r="E1794" t="s">
        <v>2648</v>
      </c>
      <c r="F1794" s="242"/>
      <c r="G1794"/>
      <c r="H1794" s="242">
        <v>9000</v>
      </c>
      <c r="I1794" s="242">
        <v>8836</v>
      </c>
      <c r="J1794"/>
    </row>
    <row r="1795" spans="1:10" ht="15.75" customHeight="1">
      <c r="A1795" t="s">
        <v>2620</v>
      </c>
      <c r="B1795">
        <v>621500</v>
      </c>
      <c r="C1795">
        <v>1</v>
      </c>
      <c r="D1795" t="str">
        <f t="shared" ref="D1795:D1858" si="28">C1795&amp;B1795&amp;"."&amp;A1795</f>
        <v>1621500.575</v>
      </c>
      <c r="E1795" t="s">
        <v>4507</v>
      </c>
      <c r="F1795" s="242"/>
      <c r="G1795"/>
      <c r="H1795" s="242">
        <v>20000</v>
      </c>
      <c r="I1795" s="242">
        <v>7408</v>
      </c>
      <c r="J1795"/>
    </row>
    <row r="1796" spans="1:10" ht="15.75" customHeight="1">
      <c r="A1796" t="s">
        <v>2735</v>
      </c>
      <c r="B1796">
        <v>621500</v>
      </c>
      <c r="C1796">
        <v>1</v>
      </c>
      <c r="D1796" t="str">
        <f t="shared" si="28"/>
        <v>1621500.576</v>
      </c>
      <c r="E1796" t="s">
        <v>4508</v>
      </c>
      <c r="F1796" s="242"/>
      <c r="G1796"/>
      <c r="H1796" s="242">
        <v>20000</v>
      </c>
      <c r="I1796" s="242">
        <v>0</v>
      </c>
      <c r="J1796"/>
    </row>
    <row r="1797" spans="1:10" ht="15.75" customHeight="1">
      <c r="A1797" t="s">
        <v>2600</v>
      </c>
      <c r="B1797">
        <v>621500</v>
      </c>
      <c r="C1797">
        <v>1</v>
      </c>
      <c r="D1797" t="str">
        <f t="shared" si="28"/>
        <v>1621500.580</v>
      </c>
      <c r="E1797" t="s">
        <v>2629</v>
      </c>
      <c r="F1797" s="242"/>
      <c r="G1797"/>
      <c r="H1797" s="242">
        <v>2000</v>
      </c>
      <c r="I1797" s="242">
        <v>2005</v>
      </c>
      <c r="J1797"/>
    </row>
    <row r="1798" spans="1:10" ht="15.75" customHeight="1">
      <c r="A1798" t="s">
        <v>673</v>
      </c>
      <c r="B1798">
        <v>621500</v>
      </c>
      <c r="C1798">
        <v>1</v>
      </c>
      <c r="D1798" t="str">
        <f t="shared" si="28"/>
        <v>1621500.743</v>
      </c>
      <c r="E1798" t="s">
        <v>2622</v>
      </c>
      <c r="F1798" s="242"/>
      <c r="G1798"/>
      <c r="H1798" s="242">
        <v>2500</v>
      </c>
      <c r="I1798" s="242">
        <v>1113</v>
      </c>
      <c r="J1798"/>
    </row>
    <row r="1799" spans="1:10" ht="15.75" customHeight="1">
      <c r="A1799" t="s">
        <v>835</v>
      </c>
      <c r="B1799">
        <v>621500</v>
      </c>
      <c r="C1799">
        <v>1</v>
      </c>
      <c r="D1799" t="str">
        <f t="shared" si="28"/>
        <v>1621500.769</v>
      </c>
      <c r="E1799" t="s">
        <v>2605</v>
      </c>
      <c r="F1799" s="242"/>
      <c r="G1799"/>
      <c r="H1799" s="242">
        <v>0</v>
      </c>
      <c r="I1799" s="242">
        <v>0</v>
      </c>
      <c r="J1799"/>
    </row>
    <row r="1800" spans="1:10" ht="15.75" customHeight="1">
      <c r="A1800" t="s">
        <v>2571</v>
      </c>
      <c r="B1800">
        <v>621600</v>
      </c>
      <c r="C1800">
        <v>1</v>
      </c>
      <c r="D1800" t="str">
        <f t="shared" si="28"/>
        <v>1621600.105</v>
      </c>
      <c r="E1800" t="s">
        <v>2572</v>
      </c>
      <c r="F1800" s="242"/>
      <c r="G1800"/>
      <c r="H1800" s="242">
        <v>300000</v>
      </c>
      <c r="I1800" s="242">
        <v>284264</v>
      </c>
      <c r="J1800"/>
    </row>
    <row r="1801" spans="1:10" ht="15.75" customHeight="1">
      <c r="A1801" t="s">
        <v>2403</v>
      </c>
      <c r="B1801">
        <v>621600</v>
      </c>
      <c r="C1801">
        <v>1</v>
      </c>
      <c r="D1801" t="str">
        <f t="shared" si="28"/>
        <v>1621600.110</v>
      </c>
      <c r="E1801" t="s">
        <v>2573</v>
      </c>
      <c r="F1801" s="242"/>
      <c r="G1801"/>
      <c r="H1801" s="242">
        <v>1384998</v>
      </c>
      <c r="I1801" s="242">
        <v>1090999</v>
      </c>
      <c r="J1801"/>
    </row>
    <row r="1802" spans="1:10" ht="15.75" customHeight="1">
      <c r="A1802" t="s">
        <v>2404</v>
      </c>
      <c r="B1802">
        <v>621600</v>
      </c>
      <c r="C1802">
        <v>1</v>
      </c>
      <c r="D1802" t="str">
        <f t="shared" si="28"/>
        <v>1621600.120</v>
      </c>
      <c r="E1802" t="s">
        <v>2574</v>
      </c>
      <c r="F1802" s="242"/>
      <c r="G1802"/>
      <c r="H1802" s="242">
        <v>171231</v>
      </c>
      <c r="I1802" s="242">
        <v>145825</v>
      </c>
      <c r="J1802"/>
    </row>
    <row r="1803" spans="1:10" ht="15.75" customHeight="1">
      <c r="A1803" t="s">
        <v>2575</v>
      </c>
      <c r="B1803">
        <v>621600</v>
      </c>
      <c r="C1803">
        <v>1</v>
      </c>
      <c r="D1803" t="str">
        <f t="shared" si="28"/>
        <v>1621600.130</v>
      </c>
      <c r="E1803" t="s">
        <v>2576</v>
      </c>
      <c r="F1803" s="242"/>
      <c r="G1803"/>
      <c r="H1803" s="242">
        <v>32181</v>
      </c>
      <c r="I1803" s="242">
        <v>23015</v>
      </c>
      <c r="J1803"/>
    </row>
    <row r="1804" spans="1:10" ht="15.75" customHeight="1">
      <c r="A1804" t="s">
        <v>2577</v>
      </c>
      <c r="B1804">
        <v>621600</v>
      </c>
      <c r="C1804">
        <v>1</v>
      </c>
      <c r="D1804" t="str">
        <f t="shared" si="28"/>
        <v>1621600.140</v>
      </c>
      <c r="E1804" t="s">
        <v>2578</v>
      </c>
      <c r="F1804" s="242"/>
      <c r="G1804"/>
      <c r="H1804" s="242">
        <v>173988</v>
      </c>
      <c r="I1804" s="242">
        <v>156931</v>
      </c>
      <c r="J1804"/>
    </row>
    <row r="1805" spans="1:10" ht="15.75" customHeight="1">
      <c r="A1805" t="s">
        <v>2579</v>
      </c>
      <c r="B1805">
        <v>621600</v>
      </c>
      <c r="C1805">
        <v>1</v>
      </c>
      <c r="D1805" t="str">
        <f t="shared" si="28"/>
        <v>1621600.181</v>
      </c>
      <c r="E1805" t="s">
        <v>2580</v>
      </c>
      <c r="F1805" s="242"/>
      <c r="G1805"/>
      <c r="H1805" s="242">
        <v>321820</v>
      </c>
      <c r="I1805" s="242">
        <v>265390</v>
      </c>
      <c r="J1805"/>
    </row>
    <row r="1806" spans="1:10" ht="15.75" customHeight="1">
      <c r="A1806" t="s">
        <v>2581</v>
      </c>
      <c r="B1806">
        <v>621600</v>
      </c>
      <c r="C1806">
        <v>1</v>
      </c>
      <c r="D1806" t="str">
        <f t="shared" si="28"/>
        <v>1621600.182</v>
      </c>
      <c r="E1806" t="s">
        <v>2582</v>
      </c>
      <c r="F1806" s="242"/>
      <c r="G1806"/>
      <c r="H1806" s="242">
        <v>129912</v>
      </c>
      <c r="I1806" s="242">
        <v>109576</v>
      </c>
      <c r="J1806"/>
    </row>
    <row r="1807" spans="1:10" ht="15.75" customHeight="1">
      <c r="A1807" t="s">
        <v>1627</v>
      </c>
      <c r="B1807">
        <v>621600</v>
      </c>
      <c r="C1807">
        <v>1</v>
      </c>
      <c r="D1807" t="str">
        <f t="shared" si="28"/>
        <v>1621600.412</v>
      </c>
      <c r="E1807" t="s">
        <v>4192</v>
      </c>
      <c r="F1807" s="242"/>
      <c r="G1807"/>
      <c r="H1807" s="242">
        <v>75000</v>
      </c>
      <c r="I1807" s="242">
        <v>40980</v>
      </c>
      <c r="J1807"/>
    </row>
    <row r="1808" spans="1:10" ht="15.75" customHeight="1">
      <c r="A1808" t="s">
        <v>2652</v>
      </c>
      <c r="B1808">
        <v>621600</v>
      </c>
      <c r="C1808">
        <v>1</v>
      </c>
      <c r="D1808" t="str">
        <f t="shared" si="28"/>
        <v>1621600.420</v>
      </c>
      <c r="E1808" t="s">
        <v>2653</v>
      </c>
      <c r="F1808" s="242"/>
      <c r="G1808"/>
      <c r="H1808" s="242">
        <v>100000</v>
      </c>
      <c r="I1808" s="242">
        <v>102978</v>
      </c>
      <c r="J1808"/>
    </row>
    <row r="1809" spans="1:10" ht="15.75" customHeight="1">
      <c r="A1809" t="s">
        <v>2684</v>
      </c>
      <c r="B1809">
        <v>621600</v>
      </c>
      <c r="C1809">
        <v>1</v>
      </c>
      <c r="D1809" t="str">
        <f t="shared" si="28"/>
        <v>1621600.421</v>
      </c>
      <c r="E1809" t="s">
        <v>4193</v>
      </c>
      <c r="F1809" s="242"/>
      <c r="G1809"/>
      <c r="H1809" s="242">
        <v>154000</v>
      </c>
      <c r="I1809" s="242">
        <v>137083</v>
      </c>
      <c r="J1809"/>
    </row>
    <row r="1810" spans="1:10" ht="15.75" customHeight="1">
      <c r="A1810" t="s">
        <v>1663</v>
      </c>
      <c r="B1810">
        <v>621600</v>
      </c>
      <c r="C1810">
        <v>1</v>
      </c>
      <c r="D1810" t="str">
        <f t="shared" si="28"/>
        <v>1621600.431</v>
      </c>
      <c r="E1810" t="s">
        <v>2654</v>
      </c>
      <c r="F1810" s="242"/>
      <c r="G1810"/>
      <c r="H1810" s="242">
        <v>126500</v>
      </c>
      <c r="I1810" s="242">
        <v>140015</v>
      </c>
      <c r="J1810"/>
    </row>
    <row r="1811" spans="1:10" ht="15.75" customHeight="1">
      <c r="A1811" t="s">
        <v>1668</v>
      </c>
      <c r="B1811">
        <v>621600</v>
      </c>
      <c r="C1811">
        <v>1</v>
      </c>
      <c r="D1811" t="str">
        <f t="shared" si="28"/>
        <v>1621600.432</v>
      </c>
      <c r="E1811" t="s">
        <v>2687</v>
      </c>
      <c r="F1811" s="242"/>
      <c r="G1811"/>
      <c r="H1811" s="242">
        <v>4700</v>
      </c>
      <c r="I1811" s="242">
        <v>3889</v>
      </c>
      <c r="J1811"/>
    </row>
    <row r="1812" spans="1:10" ht="15.75" customHeight="1">
      <c r="A1812" t="s">
        <v>1673</v>
      </c>
      <c r="B1812">
        <v>621600</v>
      </c>
      <c r="C1812">
        <v>1</v>
      </c>
      <c r="D1812" t="str">
        <f t="shared" si="28"/>
        <v>1621600.433</v>
      </c>
      <c r="E1812" t="s">
        <v>2655</v>
      </c>
      <c r="F1812" s="242"/>
      <c r="G1812"/>
      <c r="H1812" s="242">
        <v>27000</v>
      </c>
      <c r="I1812" s="242">
        <v>21818</v>
      </c>
      <c r="J1812"/>
    </row>
    <row r="1813" spans="1:10" ht="15.75" customHeight="1">
      <c r="A1813" t="s">
        <v>1678</v>
      </c>
      <c r="B1813">
        <v>621600</v>
      </c>
      <c r="C1813">
        <v>1</v>
      </c>
      <c r="D1813" t="str">
        <f t="shared" si="28"/>
        <v>1621600.434</v>
      </c>
      <c r="E1813" t="s">
        <v>2753</v>
      </c>
      <c r="F1813" s="242"/>
      <c r="G1813"/>
      <c r="H1813" s="242">
        <v>242000</v>
      </c>
      <c r="I1813" s="242">
        <v>197331</v>
      </c>
      <c r="J1813"/>
    </row>
    <row r="1814" spans="1:10" ht="15.75" customHeight="1">
      <c r="A1814" t="s">
        <v>2606</v>
      </c>
      <c r="B1814">
        <v>621600</v>
      </c>
      <c r="C1814">
        <v>1</v>
      </c>
      <c r="D1814" t="str">
        <f t="shared" si="28"/>
        <v>1621600.440</v>
      </c>
      <c r="E1814" t="s">
        <v>3024</v>
      </c>
      <c r="F1814" s="242"/>
      <c r="G1814"/>
      <c r="H1814" s="242">
        <v>17700</v>
      </c>
      <c r="I1814" s="242">
        <v>17060</v>
      </c>
      <c r="J1814"/>
    </row>
    <row r="1815" spans="1:10" ht="15.75" customHeight="1">
      <c r="A1815" t="s">
        <v>2411</v>
      </c>
      <c r="B1815">
        <v>621600</v>
      </c>
      <c r="C1815">
        <v>1</v>
      </c>
      <c r="D1815" t="str">
        <f t="shared" si="28"/>
        <v>1621600.470</v>
      </c>
      <c r="E1815" t="s">
        <v>2830</v>
      </c>
      <c r="F1815" s="242"/>
      <c r="G1815"/>
      <c r="H1815" s="242">
        <v>68000</v>
      </c>
      <c r="I1815" s="242">
        <v>32343</v>
      </c>
      <c r="J1815"/>
    </row>
    <row r="1816" spans="1:10" ht="15.75" customHeight="1">
      <c r="A1816" t="s">
        <v>2286</v>
      </c>
      <c r="B1816">
        <v>621600</v>
      </c>
      <c r="C1816">
        <v>1</v>
      </c>
      <c r="D1816" t="str">
        <f t="shared" si="28"/>
        <v>1621600.511</v>
      </c>
      <c r="E1816" t="s">
        <v>2584</v>
      </c>
      <c r="F1816" s="242"/>
      <c r="G1816"/>
      <c r="H1816" s="242">
        <v>45000</v>
      </c>
      <c r="I1816" s="242">
        <v>31128</v>
      </c>
      <c r="J1816"/>
    </row>
    <row r="1817" spans="1:10" ht="15.75" customHeight="1">
      <c r="A1817" t="s">
        <v>2644</v>
      </c>
      <c r="B1817">
        <v>621600</v>
      </c>
      <c r="C1817">
        <v>1</v>
      </c>
      <c r="D1817" t="str">
        <f t="shared" si="28"/>
        <v>1621600.521</v>
      </c>
      <c r="E1817" t="s">
        <v>2734</v>
      </c>
      <c r="F1817" s="242"/>
      <c r="G1817"/>
      <c r="H1817" s="242">
        <v>50000</v>
      </c>
      <c r="I1817" s="242">
        <v>0</v>
      </c>
      <c r="J1817"/>
    </row>
    <row r="1818" spans="1:10" ht="15.75" customHeight="1">
      <c r="A1818" t="s">
        <v>2588</v>
      </c>
      <c r="B1818">
        <v>621600</v>
      </c>
      <c r="C1818">
        <v>1</v>
      </c>
      <c r="D1818" t="str">
        <f t="shared" si="28"/>
        <v>1621600.522</v>
      </c>
      <c r="E1818" t="s">
        <v>2608</v>
      </c>
      <c r="F1818" s="242"/>
      <c r="G1818"/>
      <c r="H1818" s="242">
        <v>1200</v>
      </c>
      <c r="I1818" s="242">
        <v>1080</v>
      </c>
      <c r="J1818"/>
    </row>
    <row r="1819" spans="1:10" ht="15.75" customHeight="1">
      <c r="A1819" t="s">
        <v>2590</v>
      </c>
      <c r="B1819">
        <v>621600</v>
      </c>
      <c r="C1819">
        <v>1</v>
      </c>
      <c r="D1819" t="str">
        <f t="shared" si="28"/>
        <v>1621600.523</v>
      </c>
      <c r="E1819" t="s">
        <v>2646</v>
      </c>
      <c r="F1819" s="242"/>
      <c r="G1819"/>
      <c r="H1819" s="242">
        <v>0</v>
      </c>
      <c r="I1819" s="242">
        <v>0</v>
      </c>
      <c r="J1819"/>
    </row>
    <row r="1820" spans="1:10" ht="15.75" customHeight="1">
      <c r="A1820" t="s">
        <v>2594</v>
      </c>
      <c r="B1820">
        <v>621600</v>
      </c>
      <c r="C1820">
        <v>1</v>
      </c>
      <c r="D1820" t="str">
        <f t="shared" si="28"/>
        <v>1621600.540</v>
      </c>
      <c r="E1820" t="s">
        <v>2595</v>
      </c>
      <c r="F1820" s="242"/>
      <c r="G1820"/>
      <c r="H1820" s="242">
        <v>83000</v>
      </c>
      <c r="I1820" s="242">
        <v>54636</v>
      </c>
      <c r="J1820"/>
    </row>
    <row r="1821" spans="1:10" ht="15.75" customHeight="1">
      <c r="A1821" t="s">
        <v>2815</v>
      </c>
      <c r="B1821">
        <v>621600</v>
      </c>
      <c r="C1821">
        <v>1</v>
      </c>
      <c r="D1821" t="str">
        <f t="shared" si="28"/>
        <v>1621600.541</v>
      </c>
      <c r="E1821" t="s">
        <v>4194</v>
      </c>
      <c r="F1821" s="242"/>
      <c r="G1821"/>
      <c r="H1821" s="242">
        <v>270000</v>
      </c>
      <c r="I1821" s="242">
        <v>221829</v>
      </c>
      <c r="J1821"/>
    </row>
    <row r="1822" spans="1:10" ht="15.75" customHeight="1">
      <c r="A1822" t="s">
        <v>2817</v>
      </c>
      <c r="B1822">
        <v>621600</v>
      </c>
      <c r="C1822">
        <v>1</v>
      </c>
      <c r="D1822" t="str">
        <f t="shared" si="28"/>
        <v>1621600.542</v>
      </c>
      <c r="E1822" t="s">
        <v>4195</v>
      </c>
      <c r="F1822" s="242"/>
      <c r="G1822"/>
      <c r="H1822" s="242">
        <v>34000</v>
      </c>
      <c r="I1822" s="242">
        <v>32585</v>
      </c>
      <c r="J1822"/>
    </row>
    <row r="1823" spans="1:10" ht="15.75" customHeight="1">
      <c r="A1823" t="s">
        <v>2596</v>
      </c>
      <c r="B1823">
        <v>621600</v>
      </c>
      <c r="C1823">
        <v>1</v>
      </c>
      <c r="D1823" t="str">
        <f t="shared" si="28"/>
        <v>1621600.550</v>
      </c>
      <c r="E1823" t="s">
        <v>2597</v>
      </c>
      <c r="F1823" s="242"/>
      <c r="G1823"/>
      <c r="H1823" s="242">
        <v>190000</v>
      </c>
      <c r="I1823" s="242">
        <v>181051</v>
      </c>
      <c r="J1823"/>
    </row>
    <row r="1824" spans="1:10" ht="15.75" customHeight="1">
      <c r="A1824" t="s">
        <v>2598</v>
      </c>
      <c r="B1824">
        <v>621600</v>
      </c>
      <c r="C1824">
        <v>1</v>
      </c>
      <c r="D1824" t="str">
        <f t="shared" si="28"/>
        <v>1621600.561</v>
      </c>
      <c r="E1824" t="s">
        <v>2599</v>
      </c>
      <c r="F1824" s="242"/>
      <c r="G1824"/>
      <c r="H1824" s="242">
        <v>25000</v>
      </c>
      <c r="I1824" s="242">
        <v>28890</v>
      </c>
      <c r="J1824"/>
    </row>
    <row r="1825" spans="1:10" ht="15.75" customHeight="1">
      <c r="A1825" t="s">
        <v>2771</v>
      </c>
      <c r="B1825">
        <v>621600</v>
      </c>
      <c r="C1825">
        <v>1</v>
      </c>
      <c r="D1825" t="str">
        <f t="shared" si="28"/>
        <v>1621600.570</v>
      </c>
      <c r="E1825" t="s">
        <v>4196</v>
      </c>
      <c r="F1825" s="242"/>
      <c r="G1825"/>
      <c r="H1825" s="242">
        <v>4008800</v>
      </c>
      <c r="I1825" s="242">
        <v>3938204</v>
      </c>
      <c r="J1825"/>
    </row>
    <row r="1826" spans="1:10" ht="15.75" customHeight="1">
      <c r="A1826" t="s">
        <v>4183</v>
      </c>
      <c r="B1826">
        <v>621600</v>
      </c>
      <c r="C1826">
        <v>1</v>
      </c>
      <c r="D1826" t="str">
        <f t="shared" si="28"/>
        <v>1621600.572</v>
      </c>
      <c r="E1826" t="s">
        <v>3063</v>
      </c>
      <c r="F1826" s="242"/>
      <c r="G1826"/>
      <c r="H1826" s="242">
        <v>67200</v>
      </c>
      <c r="I1826" s="242">
        <v>65968</v>
      </c>
      <c r="J1826"/>
    </row>
    <row r="1827" spans="1:10" ht="15.75" customHeight="1">
      <c r="A1827" t="s">
        <v>2647</v>
      </c>
      <c r="B1827">
        <v>621600</v>
      </c>
      <c r="C1827">
        <v>1</v>
      </c>
      <c r="D1827" t="str">
        <f t="shared" si="28"/>
        <v>1621600.574</v>
      </c>
      <c r="E1827" t="s">
        <v>2648</v>
      </c>
      <c r="F1827" s="242"/>
      <c r="G1827"/>
      <c r="H1827" s="242">
        <v>107400</v>
      </c>
      <c r="I1827" s="242">
        <v>105428</v>
      </c>
      <c r="J1827"/>
    </row>
    <row r="1828" spans="1:10" ht="15.75" customHeight="1">
      <c r="A1828" t="s">
        <v>2735</v>
      </c>
      <c r="B1828">
        <v>621600</v>
      </c>
      <c r="C1828">
        <v>1</v>
      </c>
      <c r="D1828" t="str">
        <f t="shared" si="28"/>
        <v>1621600.576</v>
      </c>
      <c r="E1828" t="s">
        <v>4197</v>
      </c>
      <c r="F1828" s="242"/>
      <c r="G1828"/>
      <c r="H1828" s="242">
        <v>0</v>
      </c>
      <c r="I1828" s="242">
        <v>0</v>
      </c>
      <c r="J1828"/>
    </row>
    <row r="1829" spans="1:10" ht="15.75" customHeight="1">
      <c r="A1829" t="s">
        <v>2776</v>
      </c>
      <c r="B1829">
        <v>621600</v>
      </c>
      <c r="C1829">
        <v>1</v>
      </c>
      <c r="D1829" t="str">
        <f t="shared" si="28"/>
        <v>1621600.577</v>
      </c>
      <c r="E1829" t="s">
        <v>4198</v>
      </c>
      <c r="F1829" s="242"/>
      <c r="G1829"/>
      <c r="H1829" s="242">
        <v>902000</v>
      </c>
      <c r="I1829" s="242">
        <v>706902</v>
      </c>
      <c r="J1829"/>
    </row>
    <row r="1830" spans="1:10" ht="15.75" customHeight="1">
      <c r="A1830" t="s">
        <v>2661</v>
      </c>
      <c r="B1830">
        <v>621600</v>
      </c>
      <c r="C1830">
        <v>1</v>
      </c>
      <c r="D1830" t="str">
        <f t="shared" si="28"/>
        <v>1621600.578</v>
      </c>
      <c r="E1830" t="s">
        <v>4199</v>
      </c>
      <c r="F1830" s="242"/>
      <c r="G1830"/>
      <c r="H1830" s="242">
        <v>0</v>
      </c>
      <c r="I1830" s="242">
        <v>0</v>
      </c>
      <c r="J1830"/>
    </row>
    <row r="1831" spans="1:10" ht="15.75" customHeight="1">
      <c r="A1831" t="s">
        <v>2600</v>
      </c>
      <c r="B1831">
        <v>621600</v>
      </c>
      <c r="C1831">
        <v>1</v>
      </c>
      <c r="D1831" t="str">
        <f t="shared" si="28"/>
        <v>1621600.580</v>
      </c>
      <c r="E1831" t="s">
        <v>2601</v>
      </c>
      <c r="F1831" s="242"/>
      <c r="G1831"/>
      <c r="H1831" s="242">
        <v>6000</v>
      </c>
      <c r="I1831" s="242">
        <v>6673</v>
      </c>
      <c r="J1831"/>
    </row>
    <row r="1832" spans="1:10" ht="15.75" customHeight="1">
      <c r="A1832" t="s">
        <v>4200</v>
      </c>
      <c r="B1832">
        <v>621600</v>
      </c>
      <c r="C1832">
        <v>1</v>
      </c>
      <c r="D1832" t="str">
        <f t="shared" si="28"/>
        <v>1621600.581</v>
      </c>
      <c r="E1832" t="s">
        <v>4201</v>
      </c>
      <c r="F1832" s="242"/>
      <c r="G1832"/>
      <c r="H1832" s="242">
        <v>85000</v>
      </c>
      <c r="I1832" s="242">
        <v>72934</v>
      </c>
      <c r="J1832"/>
    </row>
    <row r="1833" spans="1:10" ht="15.75" customHeight="1">
      <c r="A1833" t="s">
        <v>600</v>
      </c>
      <c r="B1833">
        <v>621600</v>
      </c>
      <c r="C1833">
        <v>1</v>
      </c>
      <c r="D1833" t="str">
        <f t="shared" si="28"/>
        <v>1621600.731</v>
      </c>
      <c r="E1833" t="s">
        <v>2593</v>
      </c>
      <c r="F1833" s="242"/>
      <c r="G1833"/>
      <c r="H1833" s="242">
        <v>13366</v>
      </c>
      <c r="I1833" s="242">
        <v>21356</v>
      </c>
      <c r="J1833"/>
    </row>
    <row r="1834" spans="1:10" ht="15.75" customHeight="1">
      <c r="A1834" t="s">
        <v>2418</v>
      </c>
      <c r="B1834">
        <v>621600</v>
      </c>
      <c r="C1834">
        <v>1</v>
      </c>
      <c r="D1834" t="str">
        <f t="shared" si="28"/>
        <v>1621600.735</v>
      </c>
      <c r="E1834" t="s">
        <v>2602</v>
      </c>
      <c r="F1834" s="242"/>
      <c r="G1834"/>
      <c r="H1834" s="242">
        <v>33936</v>
      </c>
      <c r="I1834" s="242">
        <v>24533</v>
      </c>
      <c r="J1834"/>
    </row>
    <row r="1835" spans="1:10" ht="15.75" customHeight="1">
      <c r="A1835" t="s">
        <v>673</v>
      </c>
      <c r="B1835">
        <v>621600</v>
      </c>
      <c r="C1835">
        <v>1</v>
      </c>
      <c r="D1835" t="str">
        <f t="shared" si="28"/>
        <v>1621600.743</v>
      </c>
      <c r="E1835" t="s">
        <v>2622</v>
      </c>
      <c r="F1835" s="242"/>
      <c r="G1835"/>
      <c r="H1835" s="242">
        <v>122000</v>
      </c>
      <c r="I1835" s="242">
        <v>147347</v>
      </c>
      <c r="J1835"/>
    </row>
    <row r="1836" spans="1:10" ht="15.75" customHeight="1">
      <c r="A1836" t="s">
        <v>707</v>
      </c>
      <c r="B1836">
        <v>621600</v>
      </c>
      <c r="C1836">
        <v>1</v>
      </c>
      <c r="D1836" t="str">
        <f t="shared" si="28"/>
        <v>1621600.745</v>
      </c>
      <c r="E1836" t="s">
        <v>2833</v>
      </c>
      <c r="F1836" s="242"/>
      <c r="G1836"/>
      <c r="H1836" s="242">
        <v>50000</v>
      </c>
      <c r="I1836" s="242">
        <v>38915</v>
      </c>
      <c r="J1836"/>
    </row>
    <row r="1837" spans="1:10" ht="15.75" customHeight="1">
      <c r="A1837" t="s">
        <v>2611</v>
      </c>
      <c r="B1837">
        <v>621600</v>
      </c>
      <c r="C1837">
        <v>1</v>
      </c>
      <c r="D1837" t="str">
        <f t="shared" si="28"/>
        <v>1621600.750</v>
      </c>
      <c r="E1837" t="s">
        <v>4202</v>
      </c>
      <c r="F1837" s="242"/>
      <c r="G1837"/>
      <c r="H1837" s="242">
        <v>0</v>
      </c>
      <c r="I1837" s="242">
        <v>0</v>
      </c>
      <c r="J1837"/>
    </row>
    <row r="1838" spans="1:10" ht="15.75" customHeight="1">
      <c r="A1838" t="s">
        <v>772</v>
      </c>
      <c r="B1838">
        <v>621600</v>
      </c>
      <c r="C1838">
        <v>1</v>
      </c>
      <c r="D1838" t="str">
        <f t="shared" si="28"/>
        <v>1621600.751</v>
      </c>
      <c r="E1838" t="s">
        <v>4170</v>
      </c>
      <c r="F1838" s="242"/>
      <c r="G1838"/>
      <c r="H1838" s="242">
        <v>158000</v>
      </c>
      <c r="I1838" s="242">
        <v>181230</v>
      </c>
      <c r="J1838"/>
    </row>
    <row r="1839" spans="1:10" ht="15.75" customHeight="1">
      <c r="A1839" t="s">
        <v>776</v>
      </c>
      <c r="B1839">
        <v>621600</v>
      </c>
      <c r="C1839">
        <v>1</v>
      </c>
      <c r="D1839" t="str">
        <f t="shared" si="28"/>
        <v>1621600.752</v>
      </c>
      <c r="E1839" t="s">
        <v>4203</v>
      </c>
      <c r="F1839" s="242"/>
      <c r="G1839"/>
      <c r="H1839" s="242">
        <v>120000</v>
      </c>
      <c r="I1839" s="242">
        <v>100235</v>
      </c>
      <c r="J1839"/>
    </row>
    <row r="1840" spans="1:10" ht="15.75" customHeight="1">
      <c r="A1840" t="s">
        <v>781</v>
      </c>
      <c r="B1840">
        <v>621600</v>
      </c>
      <c r="C1840">
        <v>1</v>
      </c>
      <c r="D1840" t="str">
        <f t="shared" si="28"/>
        <v>1621600.753</v>
      </c>
      <c r="E1840" t="s">
        <v>4204</v>
      </c>
      <c r="F1840" s="242"/>
      <c r="G1840"/>
      <c r="H1840" s="242">
        <v>45000</v>
      </c>
      <c r="I1840" s="242">
        <v>42623</v>
      </c>
      <c r="J1840"/>
    </row>
    <row r="1841" spans="1:10" ht="15.75" customHeight="1">
      <c r="A1841" t="s">
        <v>786</v>
      </c>
      <c r="B1841">
        <v>621600</v>
      </c>
      <c r="C1841">
        <v>1</v>
      </c>
      <c r="D1841" t="str">
        <f t="shared" si="28"/>
        <v>1621600.754</v>
      </c>
      <c r="E1841" t="s">
        <v>4205</v>
      </c>
      <c r="F1841" s="242"/>
      <c r="G1841"/>
      <c r="H1841" s="242">
        <v>32000</v>
      </c>
      <c r="I1841" s="242">
        <v>28280</v>
      </c>
      <c r="J1841"/>
    </row>
    <row r="1842" spans="1:10" ht="15.75" customHeight="1">
      <c r="A1842" t="s">
        <v>2670</v>
      </c>
      <c r="B1842">
        <v>621600</v>
      </c>
      <c r="C1842">
        <v>1</v>
      </c>
      <c r="D1842" t="str">
        <f t="shared" si="28"/>
        <v>1621600.755</v>
      </c>
      <c r="E1842" t="s">
        <v>4206</v>
      </c>
      <c r="F1842" s="242"/>
      <c r="G1842"/>
      <c r="H1842" s="242">
        <v>0</v>
      </c>
      <c r="I1842" s="242">
        <v>0</v>
      </c>
      <c r="J1842"/>
    </row>
    <row r="1843" spans="1:10" ht="15.75" customHeight="1">
      <c r="A1843" t="s">
        <v>791</v>
      </c>
      <c r="B1843">
        <v>621600</v>
      </c>
      <c r="C1843">
        <v>1</v>
      </c>
      <c r="D1843" t="str">
        <f t="shared" si="28"/>
        <v>1621600.756</v>
      </c>
      <c r="E1843" t="s">
        <v>4207</v>
      </c>
      <c r="F1843" s="242"/>
      <c r="G1843"/>
      <c r="H1843" s="242">
        <v>300000</v>
      </c>
      <c r="I1843" s="242">
        <v>273812</v>
      </c>
      <c r="J1843"/>
    </row>
    <row r="1844" spans="1:10" ht="15.75" customHeight="1">
      <c r="A1844" t="s">
        <v>2767</v>
      </c>
      <c r="B1844">
        <v>621600</v>
      </c>
      <c r="C1844">
        <v>1</v>
      </c>
      <c r="D1844" t="str">
        <f t="shared" si="28"/>
        <v>1621600.757</v>
      </c>
      <c r="E1844" t="s">
        <v>4208</v>
      </c>
      <c r="F1844" s="242"/>
      <c r="G1844"/>
      <c r="H1844" s="242">
        <v>30000</v>
      </c>
      <c r="I1844" s="242">
        <v>0</v>
      </c>
      <c r="J1844"/>
    </row>
    <row r="1845" spans="1:10" ht="15.75" customHeight="1">
      <c r="A1845" t="s">
        <v>2801</v>
      </c>
      <c r="B1845">
        <v>621600</v>
      </c>
      <c r="C1845">
        <v>1</v>
      </c>
      <c r="D1845" t="str">
        <f t="shared" si="28"/>
        <v>1621600.758</v>
      </c>
      <c r="E1845" t="s">
        <v>4209</v>
      </c>
      <c r="F1845" s="242"/>
      <c r="G1845"/>
      <c r="H1845" s="242">
        <v>50000</v>
      </c>
      <c r="I1845" s="242">
        <v>21850</v>
      </c>
      <c r="J1845"/>
    </row>
    <row r="1846" spans="1:10" ht="15.75" customHeight="1">
      <c r="A1846" t="s">
        <v>835</v>
      </c>
      <c r="B1846">
        <v>621600</v>
      </c>
      <c r="C1846">
        <v>1</v>
      </c>
      <c r="D1846" t="str">
        <f t="shared" si="28"/>
        <v>1621600.769</v>
      </c>
      <c r="E1846" t="s">
        <v>2605</v>
      </c>
      <c r="F1846" s="242"/>
      <c r="G1846"/>
      <c r="H1846" s="242">
        <v>58000</v>
      </c>
      <c r="I1846" s="242">
        <v>33559</v>
      </c>
      <c r="J1846"/>
    </row>
    <row r="1847" spans="1:10" ht="15.75" customHeight="1">
      <c r="A1847" t="s">
        <v>872</v>
      </c>
      <c r="B1847">
        <v>621600</v>
      </c>
      <c r="C1847">
        <v>1</v>
      </c>
      <c r="D1847" t="str">
        <f t="shared" si="28"/>
        <v>1621600.781</v>
      </c>
      <c r="E1847" t="s">
        <v>4210</v>
      </c>
      <c r="F1847" s="242"/>
      <c r="G1847"/>
      <c r="H1847" s="242">
        <v>10000</v>
      </c>
      <c r="I1847" s="242">
        <v>9900</v>
      </c>
      <c r="J1847"/>
    </row>
    <row r="1848" spans="1:10" ht="15.75" customHeight="1">
      <c r="A1848" t="s">
        <v>2740</v>
      </c>
      <c r="B1848">
        <v>621600</v>
      </c>
      <c r="C1848">
        <v>1</v>
      </c>
      <c r="D1848" t="str">
        <f t="shared" si="28"/>
        <v>1621600.930</v>
      </c>
      <c r="E1848" t="s">
        <v>2834</v>
      </c>
      <c r="F1848" s="242"/>
      <c r="G1848"/>
      <c r="H1848" s="242">
        <v>140000</v>
      </c>
      <c r="I1848" s="242">
        <v>149163</v>
      </c>
      <c r="J1848"/>
    </row>
    <row r="1849" spans="1:10" ht="15.75" customHeight="1">
      <c r="A1849" t="s">
        <v>2571</v>
      </c>
      <c r="B1849">
        <v>621610</v>
      </c>
      <c r="C1849">
        <v>1</v>
      </c>
      <c r="D1849" t="str">
        <f t="shared" si="28"/>
        <v>1621610.105</v>
      </c>
      <c r="E1849" t="s">
        <v>2572</v>
      </c>
      <c r="F1849" s="242"/>
      <c r="G1849"/>
      <c r="H1849" s="242">
        <v>0</v>
      </c>
      <c r="I1849" s="242">
        <v>0</v>
      </c>
      <c r="J1849"/>
    </row>
    <row r="1850" spans="1:10" ht="15.75" customHeight="1">
      <c r="A1850" t="s">
        <v>2403</v>
      </c>
      <c r="B1850">
        <v>621610</v>
      </c>
      <c r="C1850">
        <v>1</v>
      </c>
      <c r="D1850" t="str">
        <f t="shared" si="28"/>
        <v>1621610.110</v>
      </c>
      <c r="E1850" t="s">
        <v>2573</v>
      </c>
      <c r="F1850" s="242"/>
      <c r="G1850"/>
      <c r="H1850" s="242">
        <v>630087</v>
      </c>
      <c r="I1850" s="242">
        <v>602689</v>
      </c>
      <c r="J1850"/>
    </row>
    <row r="1851" spans="1:10" ht="15.75" customHeight="1">
      <c r="A1851" t="s">
        <v>2404</v>
      </c>
      <c r="B1851">
        <v>621610</v>
      </c>
      <c r="C1851">
        <v>1</v>
      </c>
      <c r="D1851" t="str">
        <f t="shared" si="28"/>
        <v>1621610.120</v>
      </c>
      <c r="E1851" t="s">
        <v>2574</v>
      </c>
      <c r="F1851" s="242"/>
      <c r="G1851"/>
      <c r="H1851" s="242">
        <v>58585</v>
      </c>
      <c r="I1851" s="242">
        <v>56306</v>
      </c>
      <c r="J1851"/>
    </row>
    <row r="1852" spans="1:10" ht="15.75" customHeight="1">
      <c r="A1852" t="s">
        <v>2575</v>
      </c>
      <c r="B1852">
        <v>621610</v>
      </c>
      <c r="C1852">
        <v>1</v>
      </c>
      <c r="D1852" t="str">
        <f t="shared" si="28"/>
        <v>1621610.130</v>
      </c>
      <c r="E1852" t="s">
        <v>2576</v>
      </c>
      <c r="F1852" s="242"/>
      <c r="G1852"/>
      <c r="H1852" s="242">
        <v>46273</v>
      </c>
      <c r="I1852" s="242">
        <v>42476</v>
      </c>
      <c r="J1852"/>
    </row>
    <row r="1853" spans="1:10" ht="15.75" customHeight="1">
      <c r="A1853" t="s">
        <v>2577</v>
      </c>
      <c r="B1853">
        <v>621610</v>
      </c>
      <c r="C1853">
        <v>1</v>
      </c>
      <c r="D1853" t="str">
        <f t="shared" si="28"/>
        <v>1621610.140</v>
      </c>
      <c r="E1853" t="s">
        <v>2578</v>
      </c>
      <c r="F1853" s="242"/>
      <c r="G1853"/>
      <c r="H1853" s="242">
        <v>112523</v>
      </c>
      <c r="I1853" s="242">
        <v>111705</v>
      </c>
      <c r="J1853"/>
    </row>
    <row r="1854" spans="1:10" ht="15.75" customHeight="1">
      <c r="A1854" t="s">
        <v>2579</v>
      </c>
      <c r="B1854">
        <v>621610</v>
      </c>
      <c r="C1854">
        <v>1</v>
      </c>
      <c r="D1854" t="str">
        <f t="shared" si="28"/>
        <v>1621610.181</v>
      </c>
      <c r="E1854" t="s">
        <v>2580</v>
      </c>
      <c r="F1854" s="242"/>
      <c r="G1854"/>
      <c r="H1854" s="242">
        <v>167552</v>
      </c>
      <c r="I1854" s="242">
        <v>159942</v>
      </c>
      <c r="J1854"/>
    </row>
    <row r="1855" spans="1:10" ht="15.75" customHeight="1">
      <c r="A1855" t="s">
        <v>2581</v>
      </c>
      <c r="B1855">
        <v>621610</v>
      </c>
      <c r="C1855">
        <v>1</v>
      </c>
      <c r="D1855" t="str">
        <f t="shared" si="28"/>
        <v>1621610.182</v>
      </c>
      <c r="E1855" t="s">
        <v>2582</v>
      </c>
      <c r="F1855" s="242"/>
      <c r="G1855"/>
      <c r="H1855" s="242">
        <v>64082</v>
      </c>
      <c r="I1855" s="242">
        <v>61533</v>
      </c>
      <c r="J1855"/>
    </row>
    <row r="1856" spans="1:10" ht="15.75" customHeight="1">
      <c r="A1856" t="s">
        <v>2409</v>
      </c>
      <c r="B1856">
        <v>621610</v>
      </c>
      <c r="C1856">
        <v>1</v>
      </c>
      <c r="D1856" t="str">
        <f t="shared" si="28"/>
        <v>1621610.410</v>
      </c>
      <c r="E1856" t="s">
        <v>3023</v>
      </c>
      <c r="F1856" s="242"/>
      <c r="G1856"/>
      <c r="H1856" s="242">
        <v>44500</v>
      </c>
      <c r="I1856" s="242">
        <v>43410</v>
      </c>
      <c r="J1856"/>
    </row>
    <row r="1857" spans="1:10" ht="15.75" customHeight="1">
      <c r="A1857" t="s">
        <v>2652</v>
      </c>
      <c r="B1857">
        <v>621610</v>
      </c>
      <c r="C1857">
        <v>1</v>
      </c>
      <c r="D1857" t="str">
        <f t="shared" si="28"/>
        <v>1621610.420</v>
      </c>
      <c r="E1857" t="s">
        <v>2653</v>
      </c>
      <c r="F1857" s="242"/>
      <c r="G1857"/>
      <c r="H1857" s="242">
        <v>0</v>
      </c>
      <c r="I1857" s="242">
        <v>0</v>
      </c>
      <c r="J1857"/>
    </row>
    <row r="1858" spans="1:10" ht="15.75" customHeight="1">
      <c r="A1858" t="s">
        <v>1663</v>
      </c>
      <c r="B1858">
        <v>621610</v>
      </c>
      <c r="C1858">
        <v>1</v>
      </c>
      <c r="D1858" t="str">
        <f t="shared" si="28"/>
        <v>1621610.431</v>
      </c>
      <c r="E1858" t="s">
        <v>2654</v>
      </c>
      <c r="F1858" s="242"/>
      <c r="G1858"/>
      <c r="H1858" s="242">
        <v>12000</v>
      </c>
      <c r="I1858" s="242">
        <v>0</v>
      </c>
      <c r="J1858"/>
    </row>
    <row r="1859" spans="1:10" ht="15.75" customHeight="1">
      <c r="A1859" t="s">
        <v>2411</v>
      </c>
      <c r="B1859">
        <v>621610</v>
      </c>
      <c r="C1859">
        <v>1</v>
      </c>
      <c r="D1859" t="str">
        <f t="shared" ref="D1859:D1922" si="29">C1859&amp;B1859&amp;"."&amp;A1859</f>
        <v>1621610.470</v>
      </c>
      <c r="E1859" t="s">
        <v>2660</v>
      </c>
      <c r="F1859" s="242"/>
      <c r="G1859"/>
      <c r="H1859" s="242">
        <v>1000</v>
      </c>
      <c r="I1859" s="242">
        <v>0</v>
      </c>
      <c r="J1859"/>
    </row>
    <row r="1860" spans="1:10" ht="15.75" customHeight="1">
      <c r="A1860" t="s">
        <v>2286</v>
      </c>
      <c r="B1860">
        <v>621610</v>
      </c>
      <c r="C1860">
        <v>1</v>
      </c>
      <c r="D1860" t="str">
        <f t="shared" si="29"/>
        <v>1621610.511</v>
      </c>
      <c r="E1860" t="s">
        <v>2805</v>
      </c>
      <c r="F1860" s="242"/>
      <c r="G1860"/>
      <c r="H1860" s="242">
        <v>500</v>
      </c>
      <c r="I1860" s="242">
        <v>0</v>
      </c>
      <c r="J1860"/>
    </row>
    <row r="1861" spans="1:10" ht="15.75" customHeight="1">
      <c r="A1861" t="s">
        <v>2594</v>
      </c>
      <c r="B1861">
        <v>621610</v>
      </c>
      <c r="C1861">
        <v>1</v>
      </c>
      <c r="D1861" t="str">
        <f t="shared" si="29"/>
        <v>1621610.540</v>
      </c>
      <c r="E1861" t="s">
        <v>2595</v>
      </c>
      <c r="F1861" s="242"/>
      <c r="G1861"/>
      <c r="H1861" s="242">
        <v>6000</v>
      </c>
      <c r="I1861" s="242">
        <v>0</v>
      </c>
      <c r="J1861"/>
    </row>
    <row r="1862" spans="1:10" ht="15.75" customHeight="1">
      <c r="A1862" t="s">
        <v>2598</v>
      </c>
      <c r="B1862">
        <v>621610</v>
      </c>
      <c r="C1862">
        <v>1</v>
      </c>
      <c r="D1862" t="str">
        <f t="shared" si="29"/>
        <v>1621610.561</v>
      </c>
      <c r="E1862" t="s">
        <v>2599</v>
      </c>
      <c r="F1862" s="242"/>
      <c r="G1862"/>
      <c r="H1862" s="242">
        <v>5600</v>
      </c>
      <c r="I1862" s="242">
        <v>4233</v>
      </c>
      <c r="J1862"/>
    </row>
    <row r="1863" spans="1:10" ht="15.75" customHeight="1">
      <c r="A1863" t="s">
        <v>2735</v>
      </c>
      <c r="B1863">
        <v>621610</v>
      </c>
      <c r="C1863">
        <v>1</v>
      </c>
      <c r="D1863" t="str">
        <f t="shared" si="29"/>
        <v>1621610.576</v>
      </c>
      <c r="E1863" t="s">
        <v>4188</v>
      </c>
      <c r="F1863" s="242"/>
      <c r="G1863"/>
      <c r="H1863" s="242">
        <v>0</v>
      </c>
      <c r="I1863" s="242">
        <v>34398</v>
      </c>
      <c r="J1863"/>
    </row>
    <row r="1864" spans="1:10" ht="15.75" customHeight="1">
      <c r="A1864" t="s">
        <v>673</v>
      </c>
      <c r="B1864">
        <v>621610</v>
      </c>
      <c r="C1864">
        <v>1</v>
      </c>
      <c r="D1864" t="str">
        <f t="shared" si="29"/>
        <v>1621610.743</v>
      </c>
      <c r="E1864" t="s">
        <v>2622</v>
      </c>
      <c r="F1864" s="242"/>
      <c r="G1864"/>
      <c r="H1864" s="242">
        <v>18000</v>
      </c>
      <c r="I1864" s="242">
        <v>9522</v>
      </c>
      <c r="J1864"/>
    </row>
    <row r="1865" spans="1:10" ht="15.75" customHeight="1">
      <c r="A1865" t="s">
        <v>2611</v>
      </c>
      <c r="B1865">
        <v>621610</v>
      </c>
      <c r="C1865">
        <v>1</v>
      </c>
      <c r="D1865" t="str">
        <f t="shared" si="29"/>
        <v>1621610.750</v>
      </c>
      <c r="E1865" t="s">
        <v>4189</v>
      </c>
      <c r="F1865" s="242"/>
      <c r="G1865"/>
      <c r="H1865" s="242">
        <v>45000</v>
      </c>
      <c r="I1865" s="242">
        <v>0</v>
      </c>
      <c r="J1865"/>
    </row>
    <row r="1866" spans="1:10" ht="15.75" customHeight="1">
      <c r="A1866" t="s">
        <v>772</v>
      </c>
      <c r="B1866">
        <v>621610</v>
      </c>
      <c r="C1866">
        <v>1</v>
      </c>
      <c r="D1866" t="str">
        <f t="shared" si="29"/>
        <v>1621610.751</v>
      </c>
      <c r="E1866" t="s">
        <v>4190</v>
      </c>
      <c r="F1866" s="242"/>
      <c r="G1866"/>
      <c r="H1866" s="242">
        <v>100000</v>
      </c>
      <c r="I1866" s="242">
        <v>0</v>
      </c>
      <c r="J1866"/>
    </row>
    <row r="1867" spans="1:10" ht="15.75" customHeight="1">
      <c r="A1867" t="s">
        <v>776</v>
      </c>
      <c r="B1867">
        <v>621610</v>
      </c>
      <c r="C1867">
        <v>1</v>
      </c>
      <c r="D1867" t="str">
        <f t="shared" si="29"/>
        <v>1621610.752</v>
      </c>
      <c r="E1867" t="s">
        <v>4191</v>
      </c>
      <c r="F1867" s="242"/>
      <c r="G1867"/>
      <c r="H1867" s="242">
        <v>0</v>
      </c>
      <c r="I1867" s="242">
        <v>0</v>
      </c>
      <c r="J1867"/>
    </row>
    <row r="1868" spans="1:10" ht="15.75" customHeight="1">
      <c r="A1868" t="s">
        <v>2571</v>
      </c>
      <c r="B1868">
        <v>621700</v>
      </c>
      <c r="C1868">
        <v>1</v>
      </c>
      <c r="D1868" t="str">
        <f t="shared" si="29"/>
        <v>1621700.105</v>
      </c>
      <c r="E1868" t="s">
        <v>2572</v>
      </c>
      <c r="F1868" s="242"/>
      <c r="G1868"/>
      <c r="H1868" s="242">
        <v>60000</v>
      </c>
      <c r="I1868" s="242">
        <v>0</v>
      </c>
      <c r="J1868"/>
    </row>
    <row r="1869" spans="1:10" ht="15.75" customHeight="1">
      <c r="A1869" t="s">
        <v>2403</v>
      </c>
      <c r="B1869">
        <v>621700</v>
      </c>
      <c r="C1869">
        <v>1</v>
      </c>
      <c r="D1869" t="str">
        <f t="shared" si="29"/>
        <v>1621700.110</v>
      </c>
      <c r="E1869" t="s">
        <v>2573</v>
      </c>
      <c r="F1869" s="242"/>
      <c r="G1869"/>
      <c r="H1869" s="242">
        <v>318946</v>
      </c>
      <c r="I1869" s="242">
        <v>248650</v>
      </c>
      <c r="J1869"/>
    </row>
    <row r="1870" spans="1:10" ht="15.75" customHeight="1">
      <c r="A1870" t="s">
        <v>2404</v>
      </c>
      <c r="B1870">
        <v>621700</v>
      </c>
      <c r="C1870">
        <v>1</v>
      </c>
      <c r="D1870" t="str">
        <f t="shared" si="29"/>
        <v>1621700.120</v>
      </c>
      <c r="E1870" t="s">
        <v>2574</v>
      </c>
      <c r="F1870" s="242"/>
      <c r="G1870"/>
      <c r="H1870" s="242">
        <v>43318</v>
      </c>
      <c r="I1870" s="242">
        <v>36588</v>
      </c>
      <c r="J1870"/>
    </row>
    <row r="1871" spans="1:10" ht="15.75" customHeight="1">
      <c r="A1871" t="s">
        <v>2575</v>
      </c>
      <c r="B1871">
        <v>621700</v>
      </c>
      <c r="C1871">
        <v>1</v>
      </c>
      <c r="D1871" t="str">
        <f t="shared" si="29"/>
        <v>1621700.130</v>
      </c>
      <c r="E1871" t="s">
        <v>2576</v>
      </c>
      <c r="F1871" s="242"/>
      <c r="G1871"/>
      <c r="H1871" s="242">
        <v>1513</v>
      </c>
      <c r="I1871" s="242">
        <v>904</v>
      </c>
      <c r="J1871"/>
    </row>
    <row r="1872" spans="1:10" ht="15.75" customHeight="1">
      <c r="A1872" t="s">
        <v>2577</v>
      </c>
      <c r="B1872">
        <v>621700</v>
      </c>
      <c r="C1872">
        <v>1</v>
      </c>
      <c r="D1872" t="str">
        <f t="shared" si="29"/>
        <v>1621700.140</v>
      </c>
      <c r="E1872" t="s">
        <v>2578</v>
      </c>
      <c r="F1872" s="242"/>
      <c r="G1872"/>
      <c r="H1872" s="242">
        <v>55731</v>
      </c>
      <c r="I1872" s="242">
        <v>47410</v>
      </c>
      <c r="J1872"/>
    </row>
    <row r="1873" spans="1:10" ht="15.75" customHeight="1">
      <c r="A1873" t="s">
        <v>2579</v>
      </c>
      <c r="B1873">
        <v>621700</v>
      </c>
      <c r="C1873">
        <v>1</v>
      </c>
      <c r="D1873" t="str">
        <f t="shared" si="29"/>
        <v>1621700.181</v>
      </c>
      <c r="E1873" t="s">
        <v>2580</v>
      </c>
      <c r="F1873" s="242"/>
      <c r="G1873"/>
      <c r="H1873" s="242">
        <v>102511</v>
      </c>
      <c r="I1873" s="242">
        <v>66755</v>
      </c>
      <c r="J1873"/>
    </row>
    <row r="1874" spans="1:10" ht="15.75" customHeight="1">
      <c r="A1874" t="s">
        <v>2581</v>
      </c>
      <c r="B1874">
        <v>621700</v>
      </c>
      <c r="C1874">
        <v>1</v>
      </c>
      <c r="D1874" t="str">
        <f t="shared" si="29"/>
        <v>1621700.182</v>
      </c>
      <c r="E1874" t="s">
        <v>2582</v>
      </c>
      <c r="F1874" s="242"/>
      <c r="G1874"/>
      <c r="H1874" s="242">
        <v>36652</v>
      </c>
      <c r="I1874" s="242">
        <v>25421</v>
      </c>
      <c r="J1874"/>
    </row>
    <row r="1875" spans="1:10" ht="15.75" customHeight="1">
      <c r="A1875" t="s">
        <v>2286</v>
      </c>
      <c r="B1875">
        <v>621700</v>
      </c>
      <c r="C1875">
        <v>1</v>
      </c>
      <c r="D1875" t="str">
        <f t="shared" si="29"/>
        <v>1621700.511</v>
      </c>
      <c r="E1875" t="s">
        <v>2584</v>
      </c>
      <c r="F1875" s="242"/>
      <c r="G1875"/>
      <c r="H1875" s="242">
        <v>500</v>
      </c>
      <c r="I1875" s="242">
        <v>0</v>
      </c>
      <c r="J1875"/>
    </row>
    <row r="1876" spans="1:10" ht="15.75" customHeight="1">
      <c r="A1876" t="s">
        <v>2588</v>
      </c>
      <c r="B1876">
        <v>621700</v>
      </c>
      <c r="C1876">
        <v>1</v>
      </c>
      <c r="D1876" t="str">
        <f t="shared" si="29"/>
        <v>1621700.522</v>
      </c>
      <c r="E1876" t="s">
        <v>2608</v>
      </c>
      <c r="F1876" s="242"/>
      <c r="G1876"/>
      <c r="H1876" s="242">
        <v>600</v>
      </c>
      <c r="I1876" s="242">
        <v>0</v>
      </c>
      <c r="J1876"/>
    </row>
    <row r="1877" spans="1:10" ht="15.75" customHeight="1">
      <c r="A1877" t="s">
        <v>2590</v>
      </c>
      <c r="B1877">
        <v>621700</v>
      </c>
      <c r="C1877">
        <v>1</v>
      </c>
      <c r="D1877" t="str">
        <f t="shared" si="29"/>
        <v>1621700.523</v>
      </c>
      <c r="E1877" t="s">
        <v>2796</v>
      </c>
      <c r="F1877" s="242"/>
      <c r="G1877"/>
      <c r="H1877" s="242">
        <v>1200</v>
      </c>
      <c r="I1877" s="242">
        <v>1130</v>
      </c>
      <c r="J1877"/>
    </row>
    <row r="1878" spans="1:10" ht="15.75" customHeight="1">
      <c r="A1878" t="s">
        <v>2594</v>
      </c>
      <c r="B1878">
        <v>621700</v>
      </c>
      <c r="C1878">
        <v>1</v>
      </c>
      <c r="D1878" t="str">
        <f t="shared" si="29"/>
        <v>1621700.540</v>
      </c>
      <c r="E1878" t="s">
        <v>2595</v>
      </c>
      <c r="F1878" s="242"/>
      <c r="G1878"/>
      <c r="H1878" s="242">
        <v>9000</v>
      </c>
      <c r="I1878" s="242">
        <v>3111</v>
      </c>
      <c r="J1878"/>
    </row>
    <row r="1879" spans="1:10" ht="15.75" customHeight="1">
      <c r="A1879" t="s">
        <v>2596</v>
      </c>
      <c r="B1879">
        <v>621700</v>
      </c>
      <c r="C1879">
        <v>1</v>
      </c>
      <c r="D1879" t="str">
        <f t="shared" si="29"/>
        <v>1621700.550</v>
      </c>
      <c r="E1879" t="s">
        <v>2597</v>
      </c>
      <c r="F1879" s="242"/>
      <c r="G1879"/>
      <c r="H1879" s="242">
        <v>97000</v>
      </c>
      <c r="I1879" s="242">
        <v>178591</v>
      </c>
      <c r="J1879"/>
    </row>
    <row r="1880" spans="1:10" ht="15.75" customHeight="1">
      <c r="A1880" t="s">
        <v>2598</v>
      </c>
      <c r="B1880">
        <v>621700</v>
      </c>
      <c r="C1880">
        <v>1</v>
      </c>
      <c r="D1880" t="str">
        <f t="shared" si="29"/>
        <v>1621700.561</v>
      </c>
      <c r="E1880" t="s">
        <v>2599</v>
      </c>
      <c r="F1880" s="242"/>
      <c r="G1880"/>
      <c r="H1880" s="242">
        <v>7500</v>
      </c>
      <c r="I1880" s="242">
        <v>6087</v>
      </c>
      <c r="J1880"/>
    </row>
    <row r="1881" spans="1:10" ht="15.75" customHeight="1">
      <c r="A1881" t="s">
        <v>2600</v>
      </c>
      <c r="B1881">
        <v>621700</v>
      </c>
      <c r="C1881">
        <v>1</v>
      </c>
      <c r="D1881" t="str">
        <f t="shared" si="29"/>
        <v>1621700.580</v>
      </c>
      <c r="E1881" t="s">
        <v>2601</v>
      </c>
      <c r="F1881" s="242"/>
      <c r="G1881"/>
      <c r="H1881" s="242">
        <v>1500</v>
      </c>
      <c r="I1881" s="242">
        <v>0</v>
      </c>
      <c r="J1881"/>
    </row>
    <row r="1882" spans="1:10" ht="15.75" customHeight="1">
      <c r="A1882" t="s">
        <v>673</v>
      </c>
      <c r="B1882">
        <v>621700</v>
      </c>
      <c r="C1882">
        <v>1</v>
      </c>
      <c r="D1882" t="str">
        <f t="shared" si="29"/>
        <v>1621700.743</v>
      </c>
      <c r="E1882" t="s">
        <v>2622</v>
      </c>
      <c r="F1882" s="242"/>
      <c r="G1882"/>
      <c r="H1882" s="242">
        <v>5000</v>
      </c>
      <c r="I1882" s="242">
        <v>3219</v>
      </c>
      <c r="J1882"/>
    </row>
    <row r="1883" spans="1:10" ht="15.75" customHeight="1">
      <c r="A1883" t="s">
        <v>772</v>
      </c>
      <c r="B1883">
        <v>621700</v>
      </c>
      <c r="C1883">
        <v>1</v>
      </c>
      <c r="D1883" t="str">
        <f t="shared" si="29"/>
        <v>1621700.751</v>
      </c>
      <c r="E1883" t="s">
        <v>4238</v>
      </c>
      <c r="F1883" s="242"/>
      <c r="G1883"/>
      <c r="H1883" s="242">
        <v>233000</v>
      </c>
      <c r="I1883" s="242">
        <v>230874</v>
      </c>
      <c r="J1883"/>
    </row>
    <row r="1884" spans="1:10" ht="15.75" customHeight="1">
      <c r="A1884" t="s">
        <v>776</v>
      </c>
      <c r="B1884">
        <v>621700</v>
      </c>
      <c r="C1884">
        <v>1</v>
      </c>
      <c r="D1884" t="str">
        <f t="shared" si="29"/>
        <v>1621700.752</v>
      </c>
      <c r="E1884" t="s">
        <v>4239</v>
      </c>
      <c r="F1884" s="242"/>
      <c r="G1884"/>
      <c r="H1884" s="242">
        <v>25000</v>
      </c>
      <c r="I1884" s="242">
        <v>15080</v>
      </c>
      <c r="J1884"/>
    </row>
    <row r="1885" spans="1:10" ht="15.75" customHeight="1">
      <c r="A1885" t="s">
        <v>835</v>
      </c>
      <c r="B1885">
        <v>621700</v>
      </c>
      <c r="C1885">
        <v>1</v>
      </c>
      <c r="D1885" t="str">
        <f t="shared" si="29"/>
        <v>1621700.769</v>
      </c>
      <c r="E1885" t="s">
        <v>2605</v>
      </c>
      <c r="F1885" s="242"/>
      <c r="G1885"/>
      <c r="H1885" s="242">
        <v>19000</v>
      </c>
      <c r="I1885" s="242">
        <v>0</v>
      </c>
      <c r="J1885"/>
    </row>
    <row r="1886" spans="1:10" ht="15.75" customHeight="1">
      <c r="A1886" t="s">
        <v>2403</v>
      </c>
      <c r="B1886">
        <v>621800</v>
      </c>
      <c r="C1886">
        <v>1</v>
      </c>
      <c r="D1886" t="str">
        <f t="shared" si="29"/>
        <v>1621800.110</v>
      </c>
      <c r="E1886" t="s">
        <v>2573</v>
      </c>
      <c r="F1886" s="242"/>
      <c r="G1886"/>
      <c r="H1886" s="242">
        <v>0</v>
      </c>
      <c r="I1886" s="242">
        <v>0</v>
      </c>
      <c r="J1886"/>
    </row>
    <row r="1887" spans="1:10" ht="15.75" customHeight="1">
      <c r="A1887" t="s">
        <v>2404</v>
      </c>
      <c r="B1887">
        <v>621800</v>
      </c>
      <c r="C1887">
        <v>1</v>
      </c>
      <c r="D1887" t="str">
        <f t="shared" si="29"/>
        <v>1621800.120</v>
      </c>
      <c r="E1887" t="s">
        <v>2574</v>
      </c>
      <c r="F1887" s="242"/>
      <c r="G1887"/>
      <c r="H1887" s="242">
        <v>0</v>
      </c>
      <c r="I1887" s="242">
        <v>0</v>
      </c>
      <c r="J1887"/>
    </row>
    <row r="1888" spans="1:10" ht="15.75" customHeight="1">
      <c r="A1888" t="s">
        <v>2575</v>
      </c>
      <c r="B1888">
        <v>621800</v>
      </c>
      <c r="C1888">
        <v>1</v>
      </c>
      <c r="D1888" t="str">
        <f t="shared" si="29"/>
        <v>1621800.130</v>
      </c>
      <c r="E1888" t="s">
        <v>2576</v>
      </c>
      <c r="F1888" s="242"/>
      <c r="G1888"/>
      <c r="H1888" s="242">
        <v>0</v>
      </c>
      <c r="I1888" s="242">
        <v>0</v>
      </c>
      <c r="J1888"/>
    </row>
    <row r="1889" spans="1:10" ht="15.75" customHeight="1">
      <c r="A1889" t="s">
        <v>2577</v>
      </c>
      <c r="B1889">
        <v>621800</v>
      </c>
      <c r="C1889">
        <v>1</v>
      </c>
      <c r="D1889" t="str">
        <f t="shared" si="29"/>
        <v>1621800.140</v>
      </c>
      <c r="E1889" t="s">
        <v>2578</v>
      </c>
      <c r="F1889" s="242"/>
      <c r="G1889"/>
      <c r="H1889" s="242">
        <v>0</v>
      </c>
      <c r="I1889" s="242">
        <v>0</v>
      </c>
      <c r="J1889"/>
    </row>
    <row r="1890" spans="1:10" ht="15.75" customHeight="1">
      <c r="A1890" t="s">
        <v>2579</v>
      </c>
      <c r="B1890">
        <v>621800</v>
      </c>
      <c r="C1890">
        <v>1</v>
      </c>
      <c r="D1890" t="str">
        <f t="shared" si="29"/>
        <v>1621800.181</v>
      </c>
      <c r="E1890" t="s">
        <v>2580</v>
      </c>
      <c r="F1890" s="242"/>
      <c r="G1890"/>
      <c r="H1890" s="242">
        <v>0</v>
      </c>
      <c r="I1890" s="242">
        <v>0</v>
      </c>
      <c r="J1890"/>
    </row>
    <row r="1891" spans="1:10" ht="15.75" customHeight="1">
      <c r="A1891" t="s">
        <v>2581</v>
      </c>
      <c r="B1891">
        <v>621800</v>
      </c>
      <c r="C1891">
        <v>1</v>
      </c>
      <c r="D1891" t="str">
        <f t="shared" si="29"/>
        <v>1621800.182</v>
      </c>
      <c r="E1891" t="s">
        <v>2582</v>
      </c>
      <c r="F1891" s="242"/>
      <c r="G1891"/>
      <c r="H1891" s="242">
        <v>0</v>
      </c>
      <c r="I1891" s="242">
        <v>0</v>
      </c>
      <c r="J1891"/>
    </row>
    <row r="1892" spans="1:10" ht="15.75" customHeight="1">
      <c r="A1892" t="s">
        <v>2403</v>
      </c>
      <c r="B1892">
        <v>623100</v>
      </c>
      <c r="C1892">
        <v>1</v>
      </c>
      <c r="D1892" t="str">
        <f t="shared" si="29"/>
        <v>1623100.110</v>
      </c>
      <c r="E1892" t="s">
        <v>2573</v>
      </c>
      <c r="F1892" s="242"/>
      <c r="G1892"/>
      <c r="H1892" s="242">
        <v>2286359</v>
      </c>
      <c r="I1892" s="242">
        <v>2115759</v>
      </c>
      <c r="J1892"/>
    </row>
    <row r="1893" spans="1:10" ht="15.75" customHeight="1">
      <c r="A1893" t="s">
        <v>2404</v>
      </c>
      <c r="B1893">
        <v>623100</v>
      </c>
      <c r="C1893">
        <v>1</v>
      </c>
      <c r="D1893" t="str">
        <f t="shared" si="29"/>
        <v>1623100.120</v>
      </c>
      <c r="E1893" t="s">
        <v>2574</v>
      </c>
      <c r="F1893" s="242"/>
      <c r="G1893"/>
      <c r="H1893" s="242">
        <v>1144470</v>
      </c>
      <c r="I1893" s="242">
        <v>1014013</v>
      </c>
      <c r="J1893"/>
    </row>
    <row r="1894" spans="1:10" ht="15.75" customHeight="1">
      <c r="A1894" t="s">
        <v>2575</v>
      </c>
      <c r="B1894">
        <v>623100</v>
      </c>
      <c r="C1894">
        <v>1</v>
      </c>
      <c r="D1894" t="str">
        <f t="shared" si="29"/>
        <v>1623100.130</v>
      </c>
      <c r="E1894" t="s">
        <v>2576</v>
      </c>
      <c r="F1894" s="242"/>
      <c r="G1894"/>
      <c r="H1894" s="242">
        <v>82684</v>
      </c>
      <c r="I1894" s="242">
        <v>61839</v>
      </c>
      <c r="J1894"/>
    </row>
    <row r="1895" spans="1:10" ht="15.75" customHeight="1">
      <c r="A1895" t="s">
        <v>2577</v>
      </c>
      <c r="B1895">
        <v>623100</v>
      </c>
      <c r="C1895">
        <v>1</v>
      </c>
      <c r="D1895" t="str">
        <f t="shared" si="29"/>
        <v>1623100.140</v>
      </c>
      <c r="E1895" t="s">
        <v>2578</v>
      </c>
      <c r="F1895" s="242"/>
      <c r="G1895"/>
      <c r="H1895" s="242">
        <v>307797</v>
      </c>
      <c r="I1895" s="242">
        <v>301228</v>
      </c>
      <c r="J1895"/>
    </row>
    <row r="1896" spans="1:10" ht="15.75" customHeight="1">
      <c r="A1896" t="s">
        <v>2579</v>
      </c>
      <c r="B1896">
        <v>623100</v>
      </c>
      <c r="C1896">
        <v>1</v>
      </c>
      <c r="D1896" t="str">
        <f t="shared" si="29"/>
        <v>1623100.181</v>
      </c>
      <c r="E1896" t="s">
        <v>2580</v>
      </c>
      <c r="F1896" s="242"/>
      <c r="G1896"/>
      <c r="H1896" s="242">
        <v>659715</v>
      </c>
      <c r="I1896" s="242">
        <v>588366</v>
      </c>
      <c r="J1896"/>
    </row>
    <row r="1897" spans="1:10" ht="15.75" customHeight="1">
      <c r="A1897" t="s">
        <v>2581</v>
      </c>
      <c r="B1897">
        <v>623100</v>
      </c>
      <c r="C1897">
        <v>1</v>
      </c>
      <c r="D1897" t="str">
        <f t="shared" si="29"/>
        <v>1623100.182</v>
      </c>
      <c r="E1897" t="s">
        <v>2582</v>
      </c>
      <c r="F1897" s="242"/>
      <c r="G1897"/>
      <c r="H1897" s="242">
        <v>289492</v>
      </c>
      <c r="I1897" s="242">
        <v>264464</v>
      </c>
      <c r="J1897"/>
    </row>
    <row r="1898" spans="1:10" ht="15.75" customHeight="1">
      <c r="A1898" t="s">
        <v>2644</v>
      </c>
      <c r="B1898">
        <v>623100</v>
      </c>
      <c r="C1898">
        <v>1</v>
      </c>
      <c r="D1898" t="str">
        <f t="shared" si="29"/>
        <v>1623100.521</v>
      </c>
      <c r="E1898" t="s">
        <v>1</v>
      </c>
      <c r="F1898" s="242"/>
      <c r="G1898"/>
      <c r="H1898" s="242">
        <v>0</v>
      </c>
      <c r="I1898" s="242">
        <v>21590</v>
      </c>
      <c r="J1898"/>
    </row>
    <row r="1899" spans="1:10" ht="15.75" customHeight="1">
      <c r="A1899" t="s">
        <v>2771</v>
      </c>
      <c r="B1899">
        <v>623100</v>
      </c>
      <c r="C1899">
        <v>1</v>
      </c>
      <c r="D1899" t="str">
        <f t="shared" si="29"/>
        <v>1623100.570</v>
      </c>
      <c r="E1899" t="s">
        <v>4217</v>
      </c>
      <c r="F1899" s="242"/>
      <c r="G1899"/>
      <c r="H1899" s="242">
        <v>107400</v>
      </c>
      <c r="I1899" s="242">
        <v>105428</v>
      </c>
      <c r="J1899"/>
    </row>
    <row r="1900" spans="1:10" ht="15.75" customHeight="1">
      <c r="A1900" t="s">
        <v>2735</v>
      </c>
      <c r="B1900">
        <v>623100</v>
      </c>
      <c r="C1900">
        <v>1</v>
      </c>
      <c r="D1900" t="str">
        <f t="shared" si="29"/>
        <v>1623100.576</v>
      </c>
      <c r="E1900" t="s">
        <v>4218</v>
      </c>
      <c r="F1900" s="242"/>
      <c r="G1900"/>
      <c r="H1900" s="242">
        <v>1500</v>
      </c>
      <c r="I1900" s="242">
        <v>0</v>
      </c>
      <c r="J1900"/>
    </row>
    <row r="1901" spans="1:10" ht="15.75" customHeight="1">
      <c r="A1901" t="s">
        <v>2776</v>
      </c>
      <c r="B1901">
        <v>623100</v>
      </c>
      <c r="C1901">
        <v>1</v>
      </c>
      <c r="D1901" t="str">
        <f t="shared" si="29"/>
        <v>1623100.577</v>
      </c>
      <c r="E1901" t="s">
        <v>4219</v>
      </c>
      <c r="F1901" s="242"/>
      <c r="G1901"/>
      <c r="H1901" s="242">
        <v>0</v>
      </c>
      <c r="I1901" s="242">
        <v>4640</v>
      </c>
      <c r="J1901"/>
    </row>
    <row r="1902" spans="1:10" ht="15.75" customHeight="1">
      <c r="A1902" t="s">
        <v>2661</v>
      </c>
      <c r="B1902">
        <v>623100</v>
      </c>
      <c r="C1902">
        <v>1</v>
      </c>
      <c r="D1902" t="str">
        <f t="shared" si="29"/>
        <v>1623100.578</v>
      </c>
      <c r="E1902" t="s">
        <v>4220</v>
      </c>
      <c r="F1902" s="242"/>
      <c r="G1902"/>
      <c r="H1902" s="242">
        <v>0</v>
      </c>
      <c r="I1902" s="242">
        <v>0</v>
      </c>
      <c r="J1902"/>
    </row>
    <row r="1903" spans="1:10" ht="15.75" customHeight="1">
      <c r="A1903" t="s">
        <v>4200</v>
      </c>
      <c r="B1903">
        <v>623100</v>
      </c>
      <c r="C1903">
        <v>1</v>
      </c>
      <c r="D1903" t="str">
        <f t="shared" si="29"/>
        <v>1623100.581</v>
      </c>
      <c r="E1903" t="s">
        <v>4221</v>
      </c>
      <c r="F1903" s="242"/>
      <c r="G1903"/>
      <c r="H1903" s="242">
        <v>100000</v>
      </c>
      <c r="I1903" s="242">
        <v>33291</v>
      </c>
      <c r="J1903"/>
    </row>
    <row r="1904" spans="1:10" ht="15.75" customHeight="1">
      <c r="A1904" t="s">
        <v>600</v>
      </c>
      <c r="B1904">
        <v>623100</v>
      </c>
      <c r="C1904">
        <v>1</v>
      </c>
      <c r="D1904" t="str">
        <f t="shared" si="29"/>
        <v>1623100.731</v>
      </c>
      <c r="E1904" t="s">
        <v>2593</v>
      </c>
      <c r="F1904" s="242"/>
      <c r="G1904"/>
      <c r="H1904" s="242">
        <v>32302</v>
      </c>
      <c r="I1904" s="242">
        <v>29984</v>
      </c>
      <c r="J1904"/>
    </row>
    <row r="1905" spans="1:10" ht="15.75" customHeight="1">
      <c r="A1905" t="s">
        <v>2418</v>
      </c>
      <c r="B1905">
        <v>623100</v>
      </c>
      <c r="C1905">
        <v>1</v>
      </c>
      <c r="D1905" t="str">
        <f t="shared" si="29"/>
        <v>1623100.735</v>
      </c>
      <c r="E1905" t="s">
        <v>2667</v>
      </c>
      <c r="F1905" s="242"/>
      <c r="G1905"/>
      <c r="H1905" s="242">
        <v>52601</v>
      </c>
      <c r="I1905" s="242">
        <v>89582</v>
      </c>
      <c r="J1905"/>
    </row>
    <row r="1906" spans="1:10" ht="15.75" customHeight="1">
      <c r="A1906" t="s">
        <v>673</v>
      </c>
      <c r="B1906">
        <v>623100</v>
      </c>
      <c r="C1906">
        <v>1</v>
      </c>
      <c r="D1906" t="str">
        <f t="shared" si="29"/>
        <v>1623100.743</v>
      </c>
      <c r="E1906" t="s">
        <v>2622</v>
      </c>
      <c r="F1906" s="242"/>
      <c r="G1906"/>
      <c r="H1906" s="242">
        <v>38000</v>
      </c>
      <c r="I1906" s="242">
        <v>29144</v>
      </c>
      <c r="J1906"/>
    </row>
    <row r="1907" spans="1:10" ht="15.75" customHeight="1">
      <c r="A1907" t="s">
        <v>772</v>
      </c>
      <c r="B1907">
        <v>623100</v>
      </c>
      <c r="C1907">
        <v>1</v>
      </c>
      <c r="D1907" t="str">
        <f t="shared" si="29"/>
        <v>1623100.751</v>
      </c>
      <c r="E1907" t="s">
        <v>4222</v>
      </c>
      <c r="F1907" s="242"/>
      <c r="G1907"/>
      <c r="H1907" s="242">
        <v>0</v>
      </c>
      <c r="I1907" s="242">
        <v>0</v>
      </c>
      <c r="J1907"/>
    </row>
    <row r="1908" spans="1:10" ht="15.75" customHeight="1">
      <c r="A1908" t="s">
        <v>776</v>
      </c>
      <c r="B1908">
        <v>623100</v>
      </c>
      <c r="C1908">
        <v>1</v>
      </c>
      <c r="D1908" t="str">
        <f t="shared" si="29"/>
        <v>1623100.752</v>
      </c>
      <c r="E1908" t="s">
        <v>4223</v>
      </c>
      <c r="F1908" s="242"/>
      <c r="G1908"/>
      <c r="H1908" s="242">
        <v>5000</v>
      </c>
      <c r="I1908" s="242">
        <v>0</v>
      </c>
      <c r="J1908"/>
    </row>
    <row r="1909" spans="1:10" ht="15.75" customHeight="1">
      <c r="A1909" t="s">
        <v>2767</v>
      </c>
      <c r="B1909">
        <v>623100</v>
      </c>
      <c r="C1909">
        <v>1</v>
      </c>
      <c r="D1909" t="str">
        <f t="shared" si="29"/>
        <v>1623100.757</v>
      </c>
      <c r="E1909" t="s">
        <v>2707</v>
      </c>
      <c r="F1909" s="242"/>
      <c r="G1909"/>
      <c r="H1909" s="242">
        <v>20000</v>
      </c>
      <c r="I1909" s="242">
        <v>10000</v>
      </c>
      <c r="J1909"/>
    </row>
    <row r="1910" spans="1:10" ht="15.75" customHeight="1">
      <c r="A1910" t="s">
        <v>2632</v>
      </c>
      <c r="B1910">
        <v>623100</v>
      </c>
      <c r="C1910">
        <v>1</v>
      </c>
      <c r="D1910" t="str">
        <f t="shared" si="29"/>
        <v>1623100.780</v>
      </c>
      <c r="E1910" t="s">
        <v>4224</v>
      </c>
      <c r="F1910" s="242"/>
      <c r="G1910"/>
      <c r="H1910" s="242">
        <v>0</v>
      </c>
      <c r="I1910" s="242">
        <v>0</v>
      </c>
      <c r="J1910"/>
    </row>
    <row r="1911" spans="1:10" ht="15.75" customHeight="1">
      <c r="A1911" t="s">
        <v>2403</v>
      </c>
      <c r="B1911">
        <v>623110</v>
      </c>
      <c r="C1911">
        <v>1</v>
      </c>
      <c r="D1911" t="str">
        <f t="shared" si="29"/>
        <v>1623110.110</v>
      </c>
      <c r="E1911" t="s">
        <v>2573</v>
      </c>
      <c r="F1911" s="242"/>
      <c r="G1911"/>
      <c r="H1911" s="242">
        <v>1043503</v>
      </c>
      <c r="I1911" s="242">
        <v>1049846</v>
      </c>
      <c r="J1911"/>
    </row>
    <row r="1912" spans="1:10" ht="15.75" customHeight="1">
      <c r="A1912" t="s">
        <v>2404</v>
      </c>
      <c r="B1912">
        <v>623110</v>
      </c>
      <c r="C1912">
        <v>1</v>
      </c>
      <c r="D1912" t="str">
        <f t="shared" si="29"/>
        <v>1623110.120</v>
      </c>
      <c r="E1912" t="s">
        <v>2574</v>
      </c>
      <c r="F1912" s="242"/>
      <c r="G1912"/>
      <c r="H1912" s="242">
        <v>229370</v>
      </c>
      <c r="I1912" s="242">
        <v>247512</v>
      </c>
      <c r="J1912"/>
    </row>
    <row r="1913" spans="1:10" ht="15.75" customHeight="1">
      <c r="A1913" t="s">
        <v>2575</v>
      </c>
      <c r="B1913">
        <v>623110</v>
      </c>
      <c r="C1913">
        <v>1</v>
      </c>
      <c r="D1913" t="str">
        <f t="shared" si="29"/>
        <v>1623110.130</v>
      </c>
      <c r="E1913" t="s">
        <v>2576</v>
      </c>
      <c r="F1913" s="242"/>
      <c r="G1913"/>
      <c r="H1913" s="242">
        <v>32969</v>
      </c>
      <c r="I1913" s="242">
        <v>28226</v>
      </c>
      <c r="J1913"/>
    </row>
    <row r="1914" spans="1:10" ht="15.75" customHeight="1">
      <c r="A1914" t="s">
        <v>2577</v>
      </c>
      <c r="B1914">
        <v>623110</v>
      </c>
      <c r="C1914">
        <v>1</v>
      </c>
      <c r="D1914" t="str">
        <f t="shared" si="29"/>
        <v>1623110.140</v>
      </c>
      <c r="E1914" t="s">
        <v>2578</v>
      </c>
      <c r="F1914" s="242"/>
      <c r="G1914"/>
      <c r="H1914" s="242">
        <v>116022</v>
      </c>
      <c r="I1914" s="242">
        <v>119545</v>
      </c>
      <c r="J1914"/>
    </row>
    <row r="1915" spans="1:10" ht="15.75" customHeight="1">
      <c r="A1915" t="s">
        <v>2579</v>
      </c>
      <c r="B1915">
        <v>623110</v>
      </c>
      <c r="C1915">
        <v>1</v>
      </c>
      <c r="D1915" t="str">
        <f t="shared" si="29"/>
        <v>1623110.181</v>
      </c>
      <c r="E1915" t="s">
        <v>2580</v>
      </c>
      <c r="F1915" s="242"/>
      <c r="G1915"/>
      <c r="H1915" s="242">
        <v>223720</v>
      </c>
      <c r="I1915" s="242">
        <v>226379</v>
      </c>
      <c r="J1915"/>
    </row>
    <row r="1916" spans="1:10" ht="15.75" customHeight="1">
      <c r="A1916" t="s">
        <v>2581</v>
      </c>
      <c r="B1916">
        <v>623110</v>
      </c>
      <c r="C1916">
        <v>1</v>
      </c>
      <c r="D1916" t="str">
        <f t="shared" si="29"/>
        <v>1623110.182</v>
      </c>
      <c r="E1916" t="s">
        <v>2582</v>
      </c>
      <c r="F1916" s="242"/>
      <c r="G1916"/>
      <c r="H1916" s="242">
        <v>107424</v>
      </c>
      <c r="I1916" s="242">
        <v>109301</v>
      </c>
      <c r="J1916"/>
    </row>
    <row r="1917" spans="1:10" ht="15.75" customHeight="1">
      <c r="A1917" t="s">
        <v>2644</v>
      </c>
      <c r="B1917">
        <v>623110</v>
      </c>
      <c r="C1917">
        <v>1</v>
      </c>
      <c r="D1917" t="str">
        <f t="shared" si="29"/>
        <v>1623110.521</v>
      </c>
      <c r="E1917" t="s">
        <v>1</v>
      </c>
      <c r="F1917" s="242"/>
      <c r="G1917"/>
      <c r="H1917" s="242">
        <v>0</v>
      </c>
      <c r="I1917" s="242">
        <v>0</v>
      </c>
      <c r="J1917"/>
    </row>
    <row r="1918" spans="1:10" ht="15.75" customHeight="1">
      <c r="A1918" t="s">
        <v>772</v>
      </c>
      <c r="B1918">
        <v>623110</v>
      </c>
      <c r="C1918">
        <v>1</v>
      </c>
      <c r="D1918" t="str">
        <f t="shared" si="29"/>
        <v>1623110.751</v>
      </c>
      <c r="E1918" t="s">
        <v>4231</v>
      </c>
      <c r="F1918" s="242"/>
      <c r="G1918"/>
      <c r="H1918" s="242">
        <v>1000000</v>
      </c>
      <c r="I1918" s="242">
        <v>2261140</v>
      </c>
      <c r="J1918"/>
    </row>
    <row r="1919" spans="1:10" ht="15.75" customHeight="1">
      <c r="A1919" t="s">
        <v>776</v>
      </c>
      <c r="B1919">
        <v>623110</v>
      </c>
      <c r="C1919">
        <v>1</v>
      </c>
      <c r="D1919" t="str">
        <f t="shared" si="29"/>
        <v>1623110.752</v>
      </c>
      <c r="E1919" t="s">
        <v>4232</v>
      </c>
      <c r="F1919" s="242"/>
      <c r="G1919"/>
      <c r="H1919" s="242">
        <v>0</v>
      </c>
      <c r="I1919" s="242">
        <v>0</v>
      </c>
      <c r="J1919"/>
    </row>
    <row r="1920" spans="1:10" ht="15.75" customHeight="1">
      <c r="A1920" t="s">
        <v>781</v>
      </c>
      <c r="B1920">
        <v>623110</v>
      </c>
      <c r="C1920">
        <v>1</v>
      </c>
      <c r="D1920" t="str">
        <f t="shared" si="29"/>
        <v>1623110.753</v>
      </c>
      <c r="E1920" t="s">
        <v>4233</v>
      </c>
      <c r="F1920" s="242"/>
      <c r="G1920"/>
      <c r="H1920" s="242">
        <v>0</v>
      </c>
      <c r="I1920" s="242">
        <v>0</v>
      </c>
      <c r="J1920"/>
    </row>
    <row r="1921" spans="1:10" ht="15.75" customHeight="1">
      <c r="A1921" t="s">
        <v>2670</v>
      </c>
      <c r="B1921">
        <v>623110</v>
      </c>
      <c r="C1921">
        <v>1</v>
      </c>
      <c r="D1921" t="str">
        <f t="shared" si="29"/>
        <v>1623110.755</v>
      </c>
      <c r="E1921" t="s">
        <v>4234</v>
      </c>
      <c r="F1921" s="242"/>
      <c r="G1921"/>
      <c r="H1921" s="242">
        <v>0</v>
      </c>
      <c r="I1921" s="242">
        <v>0</v>
      </c>
      <c r="J1921"/>
    </row>
    <row r="1922" spans="1:10" ht="15.75" customHeight="1">
      <c r="A1922" t="s">
        <v>2571</v>
      </c>
      <c r="B1922">
        <v>623111</v>
      </c>
      <c r="C1922">
        <v>1</v>
      </c>
      <c r="D1922" t="str">
        <f t="shared" si="29"/>
        <v>1623111.105</v>
      </c>
      <c r="E1922" t="s">
        <v>2572</v>
      </c>
      <c r="F1922" s="242"/>
      <c r="G1922"/>
      <c r="H1922" s="242">
        <v>50000</v>
      </c>
      <c r="I1922" s="242">
        <v>0</v>
      </c>
      <c r="J1922"/>
    </row>
    <row r="1923" spans="1:10" ht="15.75" customHeight="1">
      <c r="A1923" t="s">
        <v>2403</v>
      </c>
      <c r="B1923">
        <v>623111</v>
      </c>
      <c r="C1923">
        <v>1</v>
      </c>
      <c r="D1923" t="str">
        <f t="shared" ref="D1923:D1986" si="30">C1923&amp;B1923&amp;"."&amp;A1923</f>
        <v>1623111.110</v>
      </c>
      <c r="E1923" t="s">
        <v>2757</v>
      </c>
      <c r="F1923" s="242"/>
      <c r="G1923"/>
      <c r="H1923" s="242">
        <v>368842</v>
      </c>
      <c r="I1923" s="242">
        <v>472972</v>
      </c>
      <c r="J1923"/>
    </row>
    <row r="1924" spans="1:10" ht="15.75" customHeight="1">
      <c r="A1924" t="s">
        <v>2404</v>
      </c>
      <c r="B1924">
        <v>623111</v>
      </c>
      <c r="C1924">
        <v>1</v>
      </c>
      <c r="D1924" t="str">
        <f t="shared" si="30"/>
        <v>1623111.120</v>
      </c>
      <c r="E1924" t="s">
        <v>2574</v>
      </c>
      <c r="F1924" s="242"/>
      <c r="G1924"/>
      <c r="H1924" s="242">
        <v>24740</v>
      </c>
      <c r="I1924" s="242">
        <v>29867</v>
      </c>
      <c r="J1924"/>
    </row>
    <row r="1925" spans="1:10" ht="15.75" customHeight="1">
      <c r="A1925" t="s">
        <v>2575</v>
      </c>
      <c r="B1925">
        <v>623111</v>
      </c>
      <c r="C1925">
        <v>1</v>
      </c>
      <c r="D1925" t="str">
        <f t="shared" si="30"/>
        <v>1623111.130</v>
      </c>
      <c r="E1925" t="s">
        <v>2576</v>
      </c>
      <c r="F1925" s="242"/>
      <c r="G1925"/>
      <c r="H1925" s="242">
        <v>2367</v>
      </c>
      <c r="I1925" s="242">
        <v>1953</v>
      </c>
      <c r="J1925"/>
    </row>
    <row r="1926" spans="1:10" ht="15.75" customHeight="1">
      <c r="A1926" t="s">
        <v>2577</v>
      </c>
      <c r="B1926">
        <v>623111</v>
      </c>
      <c r="C1926">
        <v>1</v>
      </c>
      <c r="D1926" t="str">
        <f t="shared" si="30"/>
        <v>1623111.140</v>
      </c>
      <c r="E1926" t="s">
        <v>2578</v>
      </c>
      <c r="F1926" s="242"/>
      <c r="G1926"/>
      <c r="H1926" s="242">
        <v>11976</v>
      </c>
      <c r="I1926" s="242">
        <v>15656</v>
      </c>
      <c r="J1926"/>
    </row>
    <row r="1927" spans="1:10" ht="15.75" customHeight="1">
      <c r="A1927" t="s">
        <v>2579</v>
      </c>
      <c r="B1927">
        <v>623111</v>
      </c>
      <c r="C1927">
        <v>1</v>
      </c>
      <c r="D1927" t="str">
        <f t="shared" si="30"/>
        <v>1623111.181</v>
      </c>
      <c r="E1927" t="s">
        <v>2580</v>
      </c>
      <c r="F1927" s="242"/>
      <c r="G1927"/>
      <c r="H1927" s="242">
        <v>89697</v>
      </c>
      <c r="I1927" s="242">
        <v>116003</v>
      </c>
      <c r="J1927"/>
    </row>
    <row r="1928" spans="1:10" ht="15.75" customHeight="1">
      <c r="A1928" t="s">
        <v>2581</v>
      </c>
      <c r="B1928">
        <v>623111</v>
      </c>
      <c r="C1928">
        <v>1</v>
      </c>
      <c r="D1928" t="str">
        <f t="shared" si="30"/>
        <v>1623111.182</v>
      </c>
      <c r="E1928" t="s">
        <v>2582</v>
      </c>
      <c r="F1928" s="242"/>
      <c r="G1928"/>
      <c r="H1928" s="242">
        <v>31045</v>
      </c>
      <c r="I1928" s="242">
        <v>39665</v>
      </c>
      <c r="J1928"/>
    </row>
    <row r="1929" spans="1:10" ht="15.75" customHeight="1">
      <c r="A1929" t="s">
        <v>2661</v>
      </c>
      <c r="B1929">
        <v>623111</v>
      </c>
      <c r="C1929">
        <v>1</v>
      </c>
      <c r="D1929" t="str">
        <f t="shared" si="30"/>
        <v>1623111.578</v>
      </c>
      <c r="E1929" t="s">
        <v>2758</v>
      </c>
      <c r="F1929" s="242"/>
      <c r="G1929"/>
      <c r="H1929" s="242">
        <v>6000</v>
      </c>
      <c r="I1929" s="242">
        <v>0</v>
      </c>
      <c r="J1929"/>
    </row>
    <row r="1930" spans="1:10" ht="15.75" customHeight="1">
      <c r="A1930" t="s">
        <v>673</v>
      </c>
      <c r="B1930">
        <v>623111</v>
      </c>
      <c r="C1930">
        <v>1</v>
      </c>
      <c r="D1930" t="str">
        <f t="shared" si="30"/>
        <v>1623111.743</v>
      </c>
      <c r="E1930" t="s">
        <v>2622</v>
      </c>
      <c r="F1930" s="242"/>
      <c r="G1930"/>
      <c r="H1930" s="242">
        <v>15000</v>
      </c>
      <c r="I1930" s="242">
        <v>0</v>
      </c>
      <c r="J1930"/>
    </row>
    <row r="1931" spans="1:10" ht="15.75" customHeight="1">
      <c r="A1931" t="s">
        <v>2647</v>
      </c>
      <c r="B1931">
        <v>623120</v>
      </c>
      <c r="C1931">
        <v>1</v>
      </c>
      <c r="D1931" t="str">
        <f t="shared" si="30"/>
        <v>1623120.574</v>
      </c>
      <c r="E1931" t="s">
        <v>4225</v>
      </c>
      <c r="F1931" s="242"/>
      <c r="G1931"/>
      <c r="H1931" s="242">
        <v>18000</v>
      </c>
      <c r="I1931" s="242">
        <v>17674</v>
      </c>
      <c r="J1931"/>
    </row>
    <row r="1932" spans="1:10" ht="15.75" customHeight="1">
      <c r="A1932" t="s">
        <v>2611</v>
      </c>
      <c r="B1932">
        <v>623120</v>
      </c>
      <c r="C1932">
        <v>1</v>
      </c>
      <c r="D1932" t="str">
        <f t="shared" si="30"/>
        <v>1623120.750</v>
      </c>
      <c r="E1932" t="s">
        <v>4226</v>
      </c>
      <c r="F1932" s="242"/>
      <c r="G1932"/>
      <c r="H1932" s="242">
        <v>5000000</v>
      </c>
      <c r="I1932" s="242">
        <v>6457896</v>
      </c>
      <c r="J1932"/>
    </row>
    <row r="1933" spans="1:10" ht="15.75" customHeight="1">
      <c r="A1933" t="s">
        <v>772</v>
      </c>
      <c r="B1933">
        <v>623120</v>
      </c>
      <c r="C1933">
        <v>1</v>
      </c>
      <c r="D1933" t="str">
        <f t="shared" si="30"/>
        <v>1623120.751</v>
      </c>
      <c r="E1933" t="s">
        <v>4227</v>
      </c>
      <c r="F1933" s="242"/>
      <c r="G1933"/>
      <c r="H1933" s="242">
        <v>470000</v>
      </c>
      <c r="I1933" s="242">
        <v>305789</v>
      </c>
      <c r="J1933"/>
    </row>
    <row r="1934" spans="1:10" ht="15.75" customHeight="1">
      <c r="A1934" t="s">
        <v>776</v>
      </c>
      <c r="B1934">
        <v>623120</v>
      </c>
      <c r="C1934">
        <v>1</v>
      </c>
      <c r="D1934" t="str">
        <f t="shared" si="30"/>
        <v>1623120.752</v>
      </c>
      <c r="E1934" t="s">
        <v>4228</v>
      </c>
      <c r="F1934" s="242"/>
      <c r="G1934"/>
      <c r="H1934" s="242">
        <v>0</v>
      </c>
      <c r="I1934" s="242">
        <v>0</v>
      </c>
      <c r="J1934"/>
    </row>
    <row r="1935" spans="1:10" ht="15.75" customHeight="1">
      <c r="A1935" t="s">
        <v>781</v>
      </c>
      <c r="B1935">
        <v>623120</v>
      </c>
      <c r="C1935">
        <v>1</v>
      </c>
      <c r="D1935" t="str">
        <f t="shared" si="30"/>
        <v>1623120.753</v>
      </c>
      <c r="E1935" t="s">
        <v>4229</v>
      </c>
      <c r="F1935" s="242"/>
      <c r="G1935"/>
      <c r="H1935" s="242">
        <v>0</v>
      </c>
      <c r="I1935" s="242">
        <v>0</v>
      </c>
      <c r="J1935"/>
    </row>
    <row r="1936" spans="1:10" ht="15.75" customHeight="1">
      <c r="A1936" t="s">
        <v>2603</v>
      </c>
      <c r="B1936">
        <v>623120</v>
      </c>
      <c r="C1936">
        <v>1</v>
      </c>
      <c r="D1936" t="str">
        <f t="shared" si="30"/>
        <v>1623120.759</v>
      </c>
      <c r="E1936" t="s">
        <v>4230</v>
      </c>
      <c r="F1936" s="242"/>
      <c r="G1936"/>
      <c r="H1936" s="242">
        <v>2500000</v>
      </c>
      <c r="I1936" s="242">
        <v>2885343</v>
      </c>
      <c r="J1936"/>
    </row>
    <row r="1937" spans="1:10" ht="15.75" customHeight="1">
      <c r="A1937" t="s">
        <v>2863</v>
      </c>
      <c r="B1937">
        <v>631000</v>
      </c>
      <c r="C1937">
        <v>1</v>
      </c>
      <c r="D1937" t="str">
        <f t="shared" si="30"/>
        <v>1631000.610</v>
      </c>
      <c r="E1937" t="s">
        <v>4270</v>
      </c>
      <c r="F1937" s="242"/>
      <c r="G1937"/>
      <c r="H1937" s="242">
        <v>3200000</v>
      </c>
      <c r="I1937" s="242">
        <v>3060265</v>
      </c>
      <c r="J1937"/>
    </row>
    <row r="1938" spans="1:10" ht="15.75" customHeight="1">
      <c r="A1938" t="s">
        <v>2969</v>
      </c>
      <c r="B1938">
        <v>632000</v>
      </c>
      <c r="C1938">
        <v>1</v>
      </c>
      <c r="D1938" t="str">
        <f t="shared" si="30"/>
        <v>1632000.620</v>
      </c>
      <c r="E1938" t="s">
        <v>4271</v>
      </c>
      <c r="F1938" s="242"/>
      <c r="G1938"/>
      <c r="H1938" s="242">
        <v>2200000</v>
      </c>
      <c r="I1938" s="242">
        <v>3446</v>
      </c>
      <c r="J1938"/>
    </row>
    <row r="1939" spans="1:10" ht="15.75" customHeight="1">
      <c r="A1939" t="s">
        <v>4272</v>
      </c>
      <c r="B1939">
        <v>632000</v>
      </c>
      <c r="C1939">
        <v>1</v>
      </c>
      <c r="D1939" t="str">
        <f t="shared" si="30"/>
        <v>1632000.640</v>
      </c>
      <c r="E1939" t="s">
        <v>4273</v>
      </c>
      <c r="F1939" s="242"/>
      <c r="G1939"/>
      <c r="H1939" s="242">
        <v>200000</v>
      </c>
      <c r="I1939" s="242">
        <v>0</v>
      </c>
      <c r="J1939"/>
    </row>
    <row r="1940" spans="1:10" ht="15.75" customHeight="1">
      <c r="A1940" t="s">
        <v>2980</v>
      </c>
      <c r="B1940">
        <v>632000</v>
      </c>
      <c r="C1940">
        <v>1</v>
      </c>
      <c r="D1940" t="str">
        <f t="shared" si="30"/>
        <v>1632000.651</v>
      </c>
      <c r="E1940" t="s">
        <v>4274</v>
      </c>
      <c r="F1940" s="242"/>
      <c r="G1940"/>
      <c r="H1940" s="242">
        <v>300000</v>
      </c>
      <c r="I1940" s="242">
        <v>800000</v>
      </c>
      <c r="J1940"/>
    </row>
    <row r="1941" spans="1:10" ht="15.75" customHeight="1">
      <c r="A1941" t="s">
        <v>4302</v>
      </c>
      <c r="B1941">
        <v>632000</v>
      </c>
      <c r="C1941">
        <v>1</v>
      </c>
      <c r="D1941" t="str">
        <f t="shared" si="30"/>
        <v>1632000.860</v>
      </c>
      <c r="E1941" t="s">
        <v>4303</v>
      </c>
      <c r="F1941" s="242"/>
      <c r="G1941"/>
      <c r="H1941" s="242">
        <v>3300000</v>
      </c>
      <c r="I1941" s="242">
        <v>3531000</v>
      </c>
      <c r="J1941"/>
    </row>
    <row r="1942" spans="1:10" ht="15.75" customHeight="1">
      <c r="A1942" t="s">
        <v>3730</v>
      </c>
      <c r="B1942">
        <v>648100</v>
      </c>
      <c r="C1942">
        <v>1</v>
      </c>
      <c r="D1942" t="str">
        <f t="shared" si="30"/>
        <v>1648100.691</v>
      </c>
      <c r="E1942" t="s">
        <v>4325</v>
      </c>
      <c r="F1942" s="242"/>
      <c r="G1942"/>
      <c r="H1942" s="242">
        <v>9761000</v>
      </c>
      <c r="I1942" s="242">
        <v>6777778</v>
      </c>
      <c r="J1942"/>
    </row>
    <row r="1943" spans="1:10" ht="15.75" customHeight="1">
      <c r="A1943" t="s">
        <v>3732</v>
      </c>
      <c r="B1943">
        <v>648100</v>
      </c>
      <c r="C1943">
        <v>1</v>
      </c>
      <c r="D1943" t="str">
        <f t="shared" si="30"/>
        <v>1648100.692</v>
      </c>
      <c r="E1943" t="s">
        <v>4326</v>
      </c>
      <c r="F1943" s="242"/>
      <c r="G1943"/>
      <c r="H1943" s="242">
        <v>4433000</v>
      </c>
      <c r="I1943" s="242">
        <v>2789071</v>
      </c>
      <c r="J1943"/>
    </row>
    <row r="1944" spans="1:10" ht="15.75" customHeight="1">
      <c r="A1944" t="s">
        <v>3734</v>
      </c>
      <c r="B1944">
        <v>648100</v>
      </c>
      <c r="C1944">
        <v>1</v>
      </c>
      <c r="D1944" t="str">
        <f t="shared" si="30"/>
        <v>1648100.693</v>
      </c>
      <c r="E1944" t="s">
        <v>4327</v>
      </c>
      <c r="F1944" s="242"/>
      <c r="G1944"/>
      <c r="H1944" s="242">
        <v>1771000</v>
      </c>
      <c r="I1944" s="242">
        <v>1428751</v>
      </c>
      <c r="J1944"/>
    </row>
    <row r="1945" spans="1:10" ht="15.75" customHeight="1">
      <c r="A1945" t="s">
        <v>3730</v>
      </c>
      <c r="B1945">
        <v>648110</v>
      </c>
      <c r="C1945">
        <v>1</v>
      </c>
      <c r="D1945" t="str">
        <f t="shared" si="30"/>
        <v>1648110.691</v>
      </c>
      <c r="E1945" t="s">
        <v>4328</v>
      </c>
      <c r="F1945" s="242"/>
      <c r="G1945"/>
      <c r="H1945" s="242">
        <v>9884000</v>
      </c>
      <c r="I1945" s="242">
        <v>6041601</v>
      </c>
      <c r="J1945"/>
    </row>
    <row r="1946" spans="1:10" ht="15.75" customHeight="1">
      <c r="A1946" t="s">
        <v>3732</v>
      </c>
      <c r="B1946">
        <v>648110</v>
      </c>
      <c r="C1946">
        <v>1</v>
      </c>
      <c r="D1946" t="str">
        <f t="shared" si="30"/>
        <v>1648110.692</v>
      </c>
      <c r="E1946" t="s">
        <v>4329</v>
      </c>
      <c r="F1946" s="242"/>
      <c r="G1946"/>
      <c r="H1946" s="242">
        <v>4789000</v>
      </c>
      <c r="I1946" s="242">
        <v>3176876</v>
      </c>
      <c r="J1946"/>
    </row>
    <row r="1947" spans="1:10" ht="15.75" customHeight="1">
      <c r="A1947" t="s">
        <v>3734</v>
      </c>
      <c r="B1947">
        <v>648110</v>
      </c>
      <c r="C1947">
        <v>1</v>
      </c>
      <c r="D1947" t="str">
        <f t="shared" si="30"/>
        <v>1648110.693</v>
      </c>
      <c r="E1947" t="s">
        <v>4330</v>
      </c>
      <c r="F1947" s="242"/>
      <c r="G1947"/>
      <c r="H1947" s="242">
        <v>831000</v>
      </c>
      <c r="I1947" s="242">
        <v>478449</v>
      </c>
      <c r="J1947"/>
    </row>
    <row r="1948" spans="1:10" ht="15.75" customHeight="1">
      <c r="A1948" t="s">
        <v>3730</v>
      </c>
      <c r="B1948">
        <v>649100</v>
      </c>
      <c r="C1948">
        <v>1</v>
      </c>
      <c r="D1948" t="str">
        <f t="shared" si="30"/>
        <v>1649100.691</v>
      </c>
      <c r="E1948" t="s">
        <v>4331</v>
      </c>
      <c r="F1948" s="242"/>
      <c r="G1948"/>
      <c r="H1948" s="242">
        <v>20924000</v>
      </c>
      <c r="I1948" s="242">
        <v>21796822</v>
      </c>
      <c r="J1948"/>
    </row>
    <row r="1949" spans="1:10" ht="15.75" customHeight="1">
      <c r="A1949" t="s">
        <v>3732</v>
      </c>
      <c r="B1949">
        <v>649100</v>
      </c>
      <c r="C1949">
        <v>1</v>
      </c>
      <c r="D1949" t="str">
        <f t="shared" si="30"/>
        <v>1649100.692</v>
      </c>
      <c r="E1949" t="s">
        <v>4332</v>
      </c>
      <c r="F1949" s="242"/>
      <c r="G1949"/>
      <c r="H1949" s="242">
        <v>6004000</v>
      </c>
      <c r="I1949" s="242">
        <v>7398248</v>
      </c>
      <c r="J1949"/>
    </row>
    <row r="1950" spans="1:10" ht="15.75" customHeight="1">
      <c r="A1950" t="s">
        <v>3734</v>
      </c>
      <c r="B1950">
        <v>649100</v>
      </c>
      <c r="C1950">
        <v>1</v>
      </c>
      <c r="D1950" t="str">
        <f t="shared" si="30"/>
        <v>1649100.693</v>
      </c>
      <c r="E1950" t="s">
        <v>4333</v>
      </c>
      <c r="F1950" s="242"/>
      <c r="G1950"/>
      <c r="H1950" s="242">
        <v>7180000</v>
      </c>
      <c r="I1950" s="242">
        <v>6842814</v>
      </c>
      <c r="J1950"/>
    </row>
    <row r="1951" spans="1:10" ht="15.75" customHeight="1">
      <c r="A1951" t="s">
        <v>3730</v>
      </c>
      <c r="B1951">
        <v>649110</v>
      </c>
      <c r="C1951">
        <v>1</v>
      </c>
      <c r="D1951" t="str">
        <f t="shared" si="30"/>
        <v>1649110.691</v>
      </c>
      <c r="E1951" t="s">
        <v>4334</v>
      </c>
      <c r="F1951" s="242"/>
      <c r="G1951"/>
      <c r="H1951" s="242">
        <v>0</v>
      </c>
      <c r="I1951" s="242">
        <v>0</v>
      </c>
      <c r="J1951"/>
    </row>
    <row r="1952" spans="1:10" ht="15.75" customHeight="1">
      <c r="A1952" t="s">
        <v>3732</v>
      </c>
      <c r="B1952">
        <v>649110</v>
      </c>
      <c r="C1952">
        <v>1</v>
      </c>
      <c r="D1952" t="str">
        <f t="shared" si="30"/>
        <v>1649110.692</v>
      </c>
      <c r="E1952" t="s">
        <v>4335</v>
      </c>
      <c r="F1952" s="242"/>
      <c r="G1952"/>
      <c r="H1952" s="242">
        <v>0</v>
      </c>
      <c r="I1952" s="242">
        <v>0</v>
      </c>
      <c r="J1952"/>
    </row>
    <row r="1953" spans="1:10" ht="15.75" customHeight="1">
      <c r="A1953" t="s">
        <v>3734</v>
      </c>
      <c r="B1953">
        <v>649110</v>
      </c>
      <c r="C1953">
        <v>1</v>
      </c>
      <c r="D1953" t="str">
        <f t="shared" si="30"/>
        <v>1649110.693</v>
      </c>
      <c r="E1953" t="s">
        <v>4336</v>
      </c>
      <c r="F1953" s="242"/>
      <c r="G1953"/>
      <c r="H1953" s="242">
        <v>0</v>
      </c>
      <c r="I1953" s="242">
        <v>0</v>
      </c>
      <c r="J1953"/>
    </row>
    <row r="1954" spans="1:10" ht="15.75" customHeight="1">
      <c r="A1954" t="s">
        <v>4573</v>
      </c>
      <c r="B1954">
        <v>710000</v>
      </c>
      <c r="C1954">
        <v>1</v>
      </c>
      <c r="D1954" t="str">
        <f t="shared" si="30"/>
        <v>1710000.320</v>
      </c>
      <c r="E1954" t="s">
        <v>4574</v>
      </c>
      <c r="F1954" s="242"/>
      <c r="G1954"/>
      <c r="H1954" s="242">
        <v>100000</v>
      </c>
      <c r="I1954" s="242">
        <v>620419</v>
      </c>
      <c r="J1954"/>
    </row>
    <row r="1955" spans="1:10" ht="15.75" customHeight="1">
      <c r="A1955" t="s">
        <v>2571</v>
      </c>
      <c r="B1955">
        <v>711000</v>
      </c>
      <c r="C1955">
        <v>1</v>
      </c>
      <c r="D1955" t="str">
        <f t="shared" si="30"/>
        <v>1711000.105</v>
      </c>
      <c r="E1955" t="s">
        <v>2572</v>
      </c>
      <c r="F1955" s="242"/>
      <c r="G1955"/>
      <c r="H1955" s="242">
        <v>90000</v>
      </c>
      <c r="I1955" s="242">
        <v>51334</v>
      </c>
      <c r="J1955"/>
    </row>
    <row r="1956" spans="1:10" ht="15.75" customHeight="1">
      <c r="A1956" t="s">
        <v>2403</v>
      </c>
      <c r="B1956">
        <v>711000</v>
      </c>
      <c r="C1956">
        <v>1</v>
      </c>
      <c r="D1956" t="str">
        <f t="shared" si="30"/>
        <v>1711000.110</v>
      </c>
      <c r="E1956" t="s">
        <v>2573</v>
      </c>
      <c r="F1956" s="242"/>
      <c r="G1956"/>
      <c r="H1956" s="242">
        <v>1602701</v>
      </c>
      <c r="I1956" s="242">
        <v>1345228</v>
      </c>
      <c r="J1956"/>
    </row>
    <row r="1957" spans="1:10" ht="15.75" customHeight="1">
      <c r="A1957" t="s">
        <v>2404</v>
      </c>
      <c r="B1957">
        <v>711000</v>
      </c>
      <c r="C1957">
        <v>1</v>
      </c>
      <c r="D1957" t="str">
        <f t="shared" si="30"/>
        <v>1711000.120</v>
      </c>
      <c r="E1957" t="s">
        <v>2574</v>
      </c>
      <c r="F1957" s="242"/>
      <c r="G1957"/>
      <c r="H1957" s="242">
        <v>292468</v>
      </c>
      <c r="I1957" s="242">
        <v>257616</v>
      </c>
      <c r="J1957"/>
    </row>
    <row r="1958" spans="1:10" ht="15.75" customHeight="1">
      <c r="A1958" t="s">
        <v>2575</v>
      </c>
      <c r="B1958">
        <v>711000</v>
      </c>
      <c r="C1958">
        <v>1</v>
      </c>
      <c r="D1958" t="str">
        <f t="shared" si="30"/>
        <v>1711000.130</v>
      </c>
      <c r="E1958" t="s">
        <v>2576</v>
      </c>
      <c r="F1958" s="242"/>
      <c r="G1958"/>
      <c r="H1958" s="242">
        <v>62726</v>
      </c>
      <c r="I1958" s="242">
        <v>46074</v>
      </c>
      <c r="J1958"/>
    </row>
    <row r="1959" spans="1:10" ht="15.75" customHeight="1">
      <c r="A1959" t="s">
        <v>2577</v>
      </c>
      <c r="B1959">
        <v>711000</v>
      </c>
      <c r="C1959">
        <v>1</v>
      </c>
      <c r="D1959" t="str">
        <f t="shared" si="30"/>
        <v>1711000.140</v>
      </c>
      <c r="E1959" t="s">
        <v>2578</v>
      </c>
      <c r="F1959" s="242"/>
      <c r="G1959"/>
      <c r="H1959" s="242">
        <v>316381</v>
      </c>
      <c r="I1959" s="242">
        <v>268146</v>
      </c>
      <c r="J1959"/>
    </row>
    <row r="1960" spans="1:10" ht="15.75" customHeight="1">
      <c r="A1960" t="s">
        <v>2579</v>
      </c>
      <c r="B1960">
        <v>711000</v>
      </c>
      <c r="C1960">
        <v>1</v>
      </c>
      <c r="D1960" t="str">
        <f t="shared" si="30"/>
        <v>1711000.181</v>
      </c>
      <c r="E1960" t="s">
        <v>2580</v>
      </c>
      <c r="F1960" s="242"/>
      <c r="G1960"/>
      <c r="H1960" s="242">
        <v>405472</v>
      </c>
      <c r="I1960" s="242">
        <v>361736</v>
      </c>
      <c r="J1960"/>
    </row>
    <row r="1961" spans="1:10" ht="15.75" customHeight="1">
      <c r="A1961" t="s">
        <v>2581</v>
      </c>
      <c r="B1961">
        <v>711000</v>
      </c>
      <c r="C1961">
        <v>1</v>
      </c>
      <c r="D1961" t="str">
        <f t="shared" si="30"/>
        <v>1711000.182</v>
      </c>
      <c r="E1961" t="s">
        <v>2582</v>
      </c>
      <c r="F1961" s="242"/>
      <c r="G1961"/>
      <c r="H1961" s="242">
        <v>176286</v>
      </c>
      <c r="I1961" s="242">
        <v>149058</v>
      </c>
      <c r="J1961"/>
    </row>
    <row r="1962" spans="1:10" ht="15.75" customHeight="1">
      <c r="A1962" t="s">
        <v>2650</v>
      </c>
      <c r="B1962">
        <v>711000</v>
      </c>
      <c r="C1962">
        <v>1</v>
      </c>
      <c r="D1962" t="str">
        <f t="shared" si="30"/>
        <v>1711000.288</v>
      </c>
      <c r="E1962" t="s">
        <v>2651</v>
      </c>
      <c r="F1962" s="242"/>
      <c r="G1962"/>
      <c r="H1962" s="242">
        <v>282500</v>
      </c>
      <c r="I1962" s="242">
        <v>267178</v>
      </c>
      <c r="J1962"/>
    </row>
    <row r="1963" spans="1:10" ht="15.75" customHeight="1">
      <c r="A1963" t="s">
        <v>2684</v>
      </c>
      <c r="B1963">
        <v>711000</v>
      </c>
      <c r="C1963">
        <v>1</v>
      </c>
      <c r="D1963" t="str">
        <f t="shared" si="30"/>
        <v>1711000.421</v>
      </c>
      <c r="E1963" t="s">
        <v>2793</v>
      </c>
      <c r="F1963" s="242"/>
      <c r="G1963"/>
      <c r="H1963" s="242">
        <v>21200</v>
      </c>
      <c r="I1963" s="242">
        <v>2982</v>
      </c>
      <c r="J1963"/>
    </row>
    <row r="1964" spans="1:10" ht="15.75" customHeight="1">
      <c r="A1964" t="s">
        <v>1712</v>
      </c>
      <c r="B1964">
        <v>711000</v>
      </c>
      <c r="C1964">
        <v>1</v>
      </c>
      <c r="D1964" t="str">
        <f t="shared" si="30"/>
        <v>1711000.442</v>
      </c>
      <c r="E1964" t="s">
        <v>2813</v>
      </c>
      <c r="F1964" s="242"/>
      <c r="G1964"/>
      <c r="H1964" s="242">
        <v>100</v>
      </c>
      <c r="I1964" s="242">
        <v>0</v>
      </c>
      <c r="J1964"/>
    </row>
    <row r="1965" spans="1:10" ht="15.75" customHeight="1">
      <c r="A1965" t="s">
        <v>2411</v>
      </c>
      <c r="B1965">
        <v>711000</v>
      </c>
      <c r="C1965">
        <v>1</v>
      </c>
      <c r="D1965" t="str">
        <f t="shared" si="30"/>
        <v>1711000.470</v>
      </c>
      <c r="E1965" t="s">
        <v>2660</v>
      </c>
      <c r="F1965" s="242"/>
      <c r="G1965"/>
      <c r="H1965" s="242">
        <v>2000</v>
      </c>
      <c r="I1965" s="242">
        <v>2080</v>
      </c>
      <c r="J1965"/>
    </row>
    <row r="1966" spans="1:10" ht="15.75" customHeight="1">
      <c r="A1966" t="s">
        <v>2286</v>
      </c>
      <c r="B1966">
        <v>711000</v>
      </c>
      <c r="C1966">
        <v>1</v>
      </c>
      <c r="D1966" t="str">
        <f t="shared" si="30"/>
        <v>1711000.511</v>
      </c>
      <c r="E1966" t="s">
        <v>2584</v>
      </c>
      <c r="F1966" s="242"/>
      <c r="G1966"/>
      <c r="H1966" s="242">
        <v>5000</v>
      </c>
      <c r="I1966" s="242">
        <v>3702</v>
      </c>
      <c r="J1966"/>
    </row>
    <row r="1967" spans="1:10" ht="15.75" customHeight="1">
      <c r="A1967" t="s">
        <v>2644</v>
      </c>
      <c r="B1967">
        <v>711000</v>
      </c>
      <c r="C1967">
        <v>1</v>
      </c>
      <c r="D1967" t="str">
        <f t="shared" si="30"/>
        <v>1711000.521</v>
      </c>
      <c r="E1967" t="s">
        <v>2734</v>
      </c>
      <c r="F1967" s="242"/>
      <c r="G1967"/>
      <c r="H1967" s="242">
        <v>31600</v>
      </c>
      <c r="I1967" s="242">
        <v>25950</v>
      </c>
      <c r="J1967"/>
    </row>
    <row r="1968" spans="1:10" ht="15.75" customHeight="1">
      <c r="A1968" t="s">
        <v>2590</v>
      </c>
      <c r="B1968">
        <v>711000</v>
      </c>
      <c r="C1968">
        <v>1</v>
      </c>
      <c r="D1968" t="str">
        <f t="shared" si="30"/>
        <v>1711000.523</v>
      </c>
      <c r="E1968" t="s">
        <v>3706</v>
      </c>
      <c r="F1968" s="242"/>
      <c r="G1968"/>
      <c r="H1968" s="242">
        <v>1000</v>
      </c>
      <c r="I1968" s="242">
        <v>500</v>
      </c>
      <c r="J1968"/>
    </row>
    <row r="1969" spans="1:10" ht="15.75" customHeight="1">
      <c r="A1969" t="s">
        <v>2594</v>
      </c>
      <c r="B1969">
        <v>711000</v>
      </c>
      <c r="C1969">
        <v>1</v>
      </c>
      <c r="D1969" t="str">
        <f t="shared" si="30"/>
        <v>1711000.540</v>
      </c>
      <c r="E1969" t="s">
        <v>2595</v>
      </c>
      <c r="F1969" s="242"/>
      <c r="G1969"/>
      <c r="H1969" s="242">
        <v>30000</v>
      </c>
      <c r="I1969" s="242">
        <v>21467</v>
      </c>
      <c r="J1969"/>
    </row>
    <row r="1970" spans="1:10" ht="15.75" customHeight="1">
      <c r="A1970" t="s">
        <v>2596</v>
      </c>
      <c r="B1970">
        <v>711000</v>
      </c>
      <c r="C1970">
        <v>1</v>
      </c>
      <c r="D1970" t="str">
        <f t="shared" si="30"/>
        <v>1711000.550</v>
      </c>
      <c r="E1970" t="s">
        <v>2597</v>
      </c>
      <c r="F1970" s="242"/>
      <c r="G1970"/>
      <c r="H1970" s="242">
        <v>10000</v>
      </c>
      <c r="I1970" s="242">
        <v>11999</v>
      </c>
      <c r="J1970"/>
    </row>
    <row r="1971" spans="1:10" ht="15.75" customHeight="1">
      <c r="A1971" t="s">
        <v>2598</v>
      </c>
      <c r="B1971">
        <v>711000</v>
      </c>
      <c r="C1971">
        <v>1</v>
      </c>
      <c r="D1971" t="str">
        <f t="shared" si="30"/>
        <v>1711000.561</v>
      </c>
      <c r="E1971" t="s">
        <v>2599</v>
      </c>
      <c r="F1971" s="242"/>
      <c r="G1971"/>
      <c r="H1971" s="242">
        <v>17000</v>
      </c>
      <c r="I1971" s="242">
        <v>7749</v>
      </c>
      <c r="J1971"/>
    </row>
    <row r="1972" spans="1:10" ht="15.75" customHeight="1">
      <c r="A1972" t="s">
        <v>2647</v>
      </c>
      <c r="B1972">
        <v>711000</v>
      </c>
      <c r="C1972">
        <v>1</v>
      </c>
      <c r="D1972" t="str">
        <f t="shared" si="30"/>
        <v>1711000.574</v>
      </c>
      <c r="E1972" t="s">
        <v>2648</v>
      </c>
      <c r="F1972" s="242"/>
      <c r="G1972"/>
      <c r="H1972" s="242">
        <v>9600</v>
      </c>
      <c r="I1972" s="242">
        <v>9361</v>
      </c>
      <c r="J1972"/>
    </row>
    <row r="1973" spans="1:10" ht="15.75" customHeight="1">
      <c r="A1973" t="s">
        <v>2620</v>
      </c>
      <c r="B1973">
        <v>711000</v>
      </c>
      <c r="C1973">
        <v>1</v>
      </c>
      <c r="D1973" t="str">
        <f t="shared" si="30"/>
        <v>1711000.575</v>
      </c>
      <c r="E1973" t="s">
        <v>2908</v>
      </c>
      <c r="F1973" s="242"/>
      <c r="G1973"/>
      <c r="H1973" s="242">
        <v>10000</v>
      </c>
      <c r="I1973" s="242">
        <v>8064</v>
      </c>
      <c r="J1973"/>
    </row>
    <row r="1974" spans="1:10" ht="15.75" customHeight="1">
      <c r="A1974" t="s">
        <v>2700</v>
      </c>
      <c r="B1974">
        <v>711000</v>
      </c>
      <c r="C1974">
        <v>1</v>
      </c>
      <c r="D1974" t="str">
        <f t="shared" si="30"/>
        <v>1711000.579</v>
      </c>
      <c r="E1974" t="s">
        <v>2737</v>
      </c>
      <c r="F1974" s="242"/>
      <c r="G1974"/>
      <c r="H1974" s="242">
        <v>10000</v>
      </c>
      <c r="I1974" s="242">
        <v>9397</v>
      </c>
      <c r="J1974"/>
    </row>
    <row r="1975" spans="1:10" ht="15.75" customHeight="1">
      <c r="A1975" t="s">
        <v>2600</v>
      </c>
      <c r="B1975">
        <v>711000</v>
      </c>
      <c r="C1975">
        <v>1</v>
      </c>
      <c r="D1975" t="str">
        <f t="shared" si="30"/>
        <v>1711000.580</v>
      </c>
      <c r="E1975" t="s">
        <v>2601</v>
      </c>
      <c r="F1975" s="242"/>
      <c r="G1975"/>
      <c r="H1975" s="242">
        <v>6500</v>
      </c>
      <c r="I1975" s="242">
        <v>5118</v>
      </c>
      <c r="J1975"/>
    </row>
    <row r="1976" spans="1:10" ht="15.75" customHeight="1">
      <c r="A1976" t="s">
        <v>2702</v>
      </c>
      <c r="B1976">
        <v>711000</v>
      </c>
      <c r="C1976">
        <v>1</v>
      </c>
      <c r="D1976" t="str">
        <f t="shared" si="30"/>
        <v>1711000.582</v>
      </c>
      <c r="E1976" t="s">
        <v>2730</v>
      </c>
      <c r="F1976" s="242"/>
      <c r="G1976"/>
      <c r="H1976" s="242">
        <v>4000</v>
      </c>
      <c r="I1976" s="242">
        <v>0</v>
      </c>
      <c r="J1976"/>
    </row>
    <row r="1977" spans="1:10" ht="15.75" customHeight="1">
      <c r="A1977" t="s">
        <v>600</v>
      </c>
      <c r="B1977">
        <v>711000</v>
      </c>
      <c r="C1977">
        <v>1</v>
      </c>
      <c r="D1977" t="str">
        <f t="shared" si="30"/>
        <v>1711000.731</v>
      </c>
      <c r="E1977" t="s">
        <v>2593</v>
      </c>
      <c r="F1977" s="242"/>
      <c r="G1977"/>
      <c r="H1977" s="242">
        <v>44555</v>
      </c>
      <c r="I1977" s="242">
        <v>23549</v>
      </c>
      <c r="J1977"/>
    </row>
    <row r="1978" spans="1:10" ht="15.75" customHeight="1">
      <c r="A1978" t="s">
        <v>2418</v>
      </c>
      <c r="B1978">
        <v>711000</v>
      </c>
      <c r="C1978">
        <v>1</v>
      </c>
      <c r="D1978" t="str">
        <f t="shared" si="30"/>
        <v>1711000.735</v>
      </c>
      <c r="E1978" t="s">
        <v>2602</v>
      </c>
      <c r="F1978" s="242"/>
      <c r="G1978"/>
      <c r="H1978" s="242">
        <v>70554</v>
      </c>
      <c r="I1978" s="242">
        <v>57052</v>
      </c>
      <c r="J1978"/>
    </row>
    <row r="1979" spans="1:10" ht="15.75" customHeight="1">
      <c r="A1979" t="s">
        <v>673</v>
      </c>
      <c r="B1979">
        <v>711000</v>
      </c>
      <c r="C1979">
        <v>1</v>
      </c>
      <c r="D1979" t="str">
        <f t="shared" si="30"/>
        <v>1711000.743</v>
      </c>
      <c r="E1979" t="s">
        <v>2622</v>
      </c>
      <c r="F1979" s="242"/>
      <c r="G1979"/>
      <c r="H1979" s="242">
        <v>13000</v>
      </c>
      <c r="I1979" s="242">
        <v>5456</v>
      </c>
      <c r="J1979"/>
    </row>
    <row r="1980" spans="1:10" ht="15.75" customHeight="1">
      <c r="A1980" t="s">
        <v>2611</v>
      </c>
      <c r="B1980">
        <v>711000</v>
      </c>
      <c r="C1980">
        <v>1</v>
      </c>
      <c r="D1980" t="str">
        <f t="shared" si="30"/>
        <v>1711000.750</v>
      </c>
      <c r="E1980" t="s">
        <v>3707</v>
      </c>
      <c r="F1980" s="242"/>
      <c r="G1980"/>
      <c r="H1980" s="242">
        <v>15000</v>
      </c>
      <c r="I1980" s="242">
        <v>22389</v>
      </c>
      <c r="J1980"/>
    </row>
    <row r="1981" spans="1:10" ht="15.75" customHeight="1">
      <c r="A1981" t="s">
        <v>2670</v>
      </c>
      <c r="B1981">
        <v>711000</v>
      </c>
      <c r="C1981">
        <v>1</v>
      </c>
      <c r="D1981" t="str">
        <f t="shared" si="30"/>
        <v>1711000.755</v>
      </c>
      <c r="E1981" t="s">
        <v>2671</v>
      </c>
      <c r="F1981" s="242"/>
      <c r="G1981"/>
      <c r="H1981" s="242">
        <v>15000</v>
      </c>
      <c r="I1981" s="242">
        <v>12968</v>
      </c>
      <c r="J1981"/>
    </row>
    <row r="1982" spans="1:10" ht="15.75" customHeight="1">
      <c r="A1982" t="s">
        <v>2759</v>
      </c>
      <c r="B1982">
        <v>711000</v>
      </c>
      <c r="C1982">
        <v>1</v>
      </c>
      <c r="D1982" t="str">
        <f t="shared" si="30"/>
        <v>1711000.760</v>
      </c>
      <c r="E1982" t="s">
        <v>3708</v>
      </c>
      <c r="F1982" s="242"/>
      <c r="G1982"/>
      <c r="H1982" s="242">
        <v>0</v>
      </c>
      <c r="I1982" s="242">
        <v>0</v>
      </c>
      <c r="J1982"/>
    </row>
    <row r="1983" spans="1:10" ht="15.75" customHeight="1">
      <c r="A1983" t="s">
        <v>835</v>
      </c>
      <c r="B1983">
        <v>711000</v>
      </c>
      <c r="C1983">
        <v>1</v>
      </c>
      <c r="D1983" t="str">
        <f t="shared" si="30"/>
        <v>1711000.769</v>
      </c>
      <c r="E1983" t="s">
        <v>2605</v>
      </c>
      <c r="F1983" s="242"/>
      <c r="G1983"/>
      <c r="H1983" s="242">
        <v>55188</v>
      </c>
      <c r="I1983" s="242">
        <v>88746</v>
      </c>
      <c r="J1983"/>
    </row>
    <row r="1984" spans="1:10" ht="15.75" customHeight="1">
      <c r="A1984" t="s">
        <v>2632</v>
      </c>
      <c r="B1984">
        <v>711000</v>
      </c>
      <c r="C1984">
        <v>1</v>
      </c>
      <c r="D1984" t="str">
        <f t="shared" si="30"/>
        <v>1711000.780</v>
      </c>
      <c r="E1984" t="s">
        <v>3709</v>
      </c>
      <c r="F1984" s="242"/>
      <c r="G1984"/>
      <c r="H1984" s="242">
        <v>0</v>
      </c>
      <c r="I1984" s="242">
        <v>0</v>
      </c>
      <c r="J1984"/>
    </row>
    <row r="1985" spans="1:10" ht="15.75" customHeight="1">
      <c r="A1985" t="s">
        <v>872</v>
      </c>
      <c r="B1985">
        <v>711000</v>
      </c>
      <c r="C1985">
        <v>1</v>
      </c>
      <c r="D1985" t="str">
        <f t="shared" si="30"/>
        <v>1711000.781</v>
      </c>
      <c r="E1985" t="s">
        <v>3710</v>
      </c>
      <c r="F1985" s="242"/>
      <c r="G1985"/>
      <c r="H1985" s="242">
        <v>135000</v>
      </c>
      <c r="I1985" s="242">
        <v>130156</v>
      </c>
      <c r="J1985"/>
    </row>
    <row r="1986" spans="1:10" ht="15.75" customHeight="1">
      <c r="A1986" t="s">
        <v>2740</v>
      </c>
      <c r="B1986">
        <v>711000</v>
      </c>
      <c r="C1986">
        <v>1</v>
      </c>
      <c r="D1986" t="str">
        <f t="shared" si="30"/>
        <v>1711000.930</v>
      </c>
      <c r="E1986" t="s">
        <v>2741</v>
      </c>
      <c r="F1986" s="242"/>
      <c r="G1986"/>
      <c r="H1986" s="242">
        <v>0</v>
      </c>
      <c r="I1986" s="242">
        <v>6619</v>
      </c>
      <c r="J1986"/>
    </row>
    <row r="1987" spans="1:10" ht="15.75" customHeight="1">
      <c r="A1987" t="s">
        <v>2691</v>
      </c>
      <c r="B1987">
        <v>711000</v>
      </c>
      <c r="C1987">
        <v>1</v>
      </c>
      <c r="D1987" t="str">
        <f t="shared" ref="D1987:D2050" si="31">C1987&amp;B1987&amp;"."&amp;A1987</f>
        <v>1711000.986</v>
      </c>
      <c r="E1987" t="s">
        <v>3711</v>
      </c>
      <c r="F1987" s="242"/>
      <c r="G1987"/>
      <c r="H1987" s="242">
        <v>0</v>
      </c>
      <c r="I1987" s="242">
        <v>0</v>
      </c>
      <c r="J1987"/>
    </row>
    <row r="1988" spans="1:10" ht="15.75" customHeight="1">
      <c r="A1988" t="s">
        <v>2403</v>
      </c>
      <c r="B1988">
        <v>711100</v>
      </c>
      <c r="C1988">
        <v>1</v>
      </c>
      <c r="D1988" t="str">
        <f t="shared" si="31"/>
        <v>1711100.110</v>
      </c>
      <c r="E1988" t="s">
        <v>2573</v>
      </c>
      <c r="F1988" s="242"/>
      <c r="G1988"/>
      <c r="H1988" s="242">
        <v>0</v>
      </c>
      <c r="I1988" s="242">
        <v>0</v>
      </c>
      <c r="J1988"/>
    </row>
    <row r="1989" spans="1:10" ht="15.75" customHeight="1">
      <c r="A1989" t="s">
        <v>2404</v>
      </c>
      <c r="B1989">
        <v>711100</v>
      </c>
      <c r="C1989">
        <v>1</v>
      </c>
      <c r="D1989" t="str">
        <f t="shared" si="31"/>
        <v>1711100.120</v>
      </c>
      <c r="E1989" t="s">
        <v>2574</v>
      </c>
      <c r="F1989" s="242"/>
      <c r="G1989"/>
      <c r="H1989" s="242">
        <v>0</v>
      </c>
      <c r="I1989" s="242">
        <v>0</v>
      </c>
      <c r="J1989"/>
    </row>
    <row r="1990" spans="1:10" ht="15.75" customHeight="1">
      <c r="A1990" t="s">
        <v>2575</v>
      </c>
      <c r="B1990">
        <v>711100</v>
      </c>
      <c r="C1990">
        <v>1</v>
      </c>
      <c r="D1990" t="str">
        <f t="shared" si="31"/>
        <v>1711100.130</v>
      </c>
      <c r="E1990" t="s">
        <v>2576</v>
      </c>
      <c r="F1990" s="242"/>
      <c r="G1990"/>
      <c r="H1990" s="242">
        <v>0</v>
      </c>
      <c r="I1990" s="242">
        <v>0</v>
      </c>
      <c r="J1990"/>
    </row>
    <row r="1991" spans="1:10" ht="15.75" customHeight="1">
      <c r="A1991" t="s">
        <v>2577</v>
      </c>
      <c r="B1991">
        <v>711100</v>
      </c>
      <c r="C1991">
        <v>1</v>
      </c>
      <c r="D1991" t="str">
        <f t="shared" si="31"/>
        <v>1711100.140</v>
      </c>
      <c r="E1991" t="s">
        <v>2578</v>
      </c>
      <c r="F1991" s="242"/>
      <c r="G1991"/>
      <c r="H1991" s="242">
        <v>0</v>
      </c>
      <c r="I1991" s="242">
        <v>0</v>
      </c>
      <c r="J1991"/>
    </row>
    <row r="1992" spans="1:10" ht="15.75" customHeight="1">
      <c r="A1992" t="s">
        <v>2579</v>
      </c>
      <c r="B1992">
        <v>711100</v>
      </c>
      <c r="C1992">
        <v>1</v>
      </c>
      <c r="D1992" t="str">
        <f t="shared" si="31"/>
        <v>1711100.181</v>
      </c>
      <c r="E1992" t="s">
        <v>2580</v>
      </c>
      <c r="F1992" s="242"/>
      <c r="G1992"/>
      <c r="H1992" s="242">
        <v>0</v>
      </c>
      <c r="I1992" s="242">
        <v>0</v>
      </c>
      <c r="J1992"/>
    </row>
    <row r="1993" spans="1:10" ht="15.75" customHeight="1">
      <c r="A1993" t="s">
        <v>2581</v>
      </c>
      <c r="B1993">
        <v>711100</v>
      </c>
      <c r="C1993">
        <v>1</v>
      </c>
      <c r="D1993" t="str">
        <f t="shared" si="31"/>
        <v>1711100.182</v>
      </c>
      <c r="E1993" t="s">
        <v>2582</v>
      </c>
      <c r="F1993" s="242"/>
      <c r="G1993"/>
      <c r="H1993" s="242">
        <v>0</v>
      </c>
      <c r="I1993" s="242">
        <v>0</v>
      </c>
      <c r="J1993"/>
    </row>
    <row r="1994" spans="1:10" ht="15.75" customHeight="1">
      <c r="A1994" t="s">
        <v>835</v>
      </c>
      <c r="B1994">
        <v>711100</v>
      </c>
      <c r="C1994">
        <v>1</v>
      </c>
      <c r="D1994" t="str">
        <f t="shared" si="31"/>
        <v>1711100.769</v>
      </c>
      <c r="E1994" t="s">
        <v>2605</v>
      </c>
      <c r="F1994" s="242"/>
      <c r="G1994"/>
      <c r="H1994" s="242">
        <v>0</v>
      </c>
      <c r="I1994" s="242">
        <v>0</v>
      </c>
      <c r="J1994"/>
    </row>
    <row r="1995" spans="1:10" ht="15.75" customHeight="1">
      <c r="A1995" t="s">
        <v>2403</v>
      </c>
      <c r="B1995">
        <v>711300</v>
      </c>
      <c r="C1995">
        <v>1</v>
      </c>
      <c r="D1995" t="str">
        <f t="shared" si="31"/>
        <v>1711300.110</v>
      </c>
      <c r="E1995" t="s">
        <v>2573</v>
      </c>
      <c r="F1995" s="242"/>
      <c r="G1995"/>
      <c r="H1995" s="242">
        <v>406650</v>
      </c>
      <c r="I1995" s="242">
        <v>385625</v>
      </c>
      <c r="J1995"/>
    </row>
    <row r="1996" spans="1:10" ht="15.75" customHeight="1">
      <c r="A1996" t="s">
        <v>2404</v>
      </c>
      <c r="B1996">
        <v>711300</v>
      </c>
      <c r="C1996">
        <v>1</v>
      </c>
      <c r="D1996" t="str">
        <f t="shared" si="31"/>
        <v>1711300.120</v>
      </c>
      <c r="E1996" t="s">
        <v>2574</v>
      </c>
      <c r="F1996" s="242"/>
      <c r="G1996"/>
      <c r="H1996" s="242">
        <v>168779</v>
      </c>
      <c r="I1996" s="242">
        <v>167797</v>
      </c>
      <c r="J1996"/>
    </row>
    <row r="1997" spans="1:10" ht="15.75" customHeight="1">
      <c r="A1997" t="s">
        <v>2575</v>
      </c>
      <c r="B1997">
        <v>711300</v>
      </c>
      <c r="C1997">
        <v>1</v>
      </c>
      <c r="D1997" t="str">
        <f t="shared" si="31"/>
        <v>1711300.130</v>
      </c>
      <c r="E1997" t="s">
        <v>2576</v>
      </c>
      <c r="F1997" s="242"/>
      <c r="G1997"/>
      <c r="H1997" s="242">
        <v>61445</v>
      </c>
      <c r="I1997" s="242">
        <v>54401</v>
      </c>
      <c r="J1997"/>
    </row>
    <row r="1998" spans="1:10" ht="15.75" customHeight="1">
      <c r="A1998" t="s">
        <v>2577</v>
      </c>
      <c r="B1998">
        <v>711300</v>
      </c>
      <c r="C1998">
        <v>1</v>
      </c>
      <c r="D1998" t="str">
        <f t="shared" si="31"/>
        <v>1711300.140</v>
      </c>
      <c r="E1998" t="s">
        <v>2578</v>
      </c>
      <c r="F1998" s="242"/>
      <c r="G1998"/>
      <c r="H1998" s="242">
        <v>38284</v>
      </c>
      <c r="I1998" s="242">
        <v>36187</v>
      </c>
      <c r="J1998"/>
    </row>
    <row r="1999" spans="1:10" ht="15.75" customHeight="1">
      <c r="A1999" t="s">
        <v>2579</v>
      </c>
      <c r="B1999">
        <v>711300</v>
      </c>
      <c r="C1999">
        <v>1</v>
      </c>
      <c r="D1999" t="str">
        <f t="shared" si="31"/>
        <v>1711300.181</v>
      </c>
      <c r="E1999" t="s">
        <v>2580</v>
      </c>
      <c r="F1999" s="242"/>
      <c r="G1999"/>
      <c r="H1999" s="242">
        <v>104872</v>
      </c>
      <c r="I1999" s="242">
        <v>99730</v>
      </c>
      <c r="J1999"/>
    </row>
    <row r="2000" spans="1:10" ht="15.75" customHeight="1">
      <c r="A2000" t="s">
        <v>2581</v>
      </c>
      <c r="B2000">
        <v>711300</v>
      </c>
      <c r="C2000">
        <v>1</v>
      </c>
      <c r="D2000" t="str">
        <f t="shared" si="31"/>
        <v>1711300.182</v>
      </c>
      <c r="E2000" t="s">
        <v>2582</v>
      </c>
      <c r="F2000" s="242"/>
      <c r="G2000"/>
      <c r="H2000" s="242">
        <v>51083</v>
      </c>
      <c r="I2000" s="242">
        <v>48720</v>
      </c>
      <c r="J2000"/>
    </row>
    <row r="2001" spans="1:10" ht="15.75" customHeight="1">
      <c r="A2001" t="s">
        <v>1673</v>
      </c>
      <c r="B2001">
        <v>711300</v>
      </c>
      <c r="C2001">
        <v>1</v>
      </c>
      <c r="D2001" t="str">
        <f t="shared" si="31"/>
        <v>1711300.433</v>
      </c>
      <c r="E2001" t="s">
        <v>2655</v>
      </c>
      <c r="F2001" s="242"/>
      <c r="G2001"/>
      <c r="H2001" s="242">
        <v>2000</v>
      </c>
      <c r="I2001" s="242">
        <v>1797</v>
      </c>
      <c r="J2001"/>
    </row>
    <row r="2002" spans="1:10" ht="15.75" customHeight="1">
      <c r="A2002" t="s">
        <v>2411</v>
      </c>
      <c r="B2002">
        <v>711300</v>
      </c>
      <c r="C2002">
        <v>1</v>
      </c>
      <c r="D2002" t="str">
        <f t="shared" si="31"/>
        <v>1711300.470</v>
      </c>
      <c r="E2002" t="s">
        <v>2660</v>
      </c>
      <c r="F2002" s="242"/>
      <c r="G2002"/>
      <c r="H2002" s="242">
        <v>1000</v>
      </c>
      <c r="I2002" s="242">
        <v>909</v>
      </c>
      <c r="J2002"/>
    </row>
    <row r="2003" spans="1:10" ht="15.75" customHeight="1">
      <c r="A2003" t="s">
        <v>2286</v>
      </c>
      <c r="B2003">
        <v>711300</v>
      </c>
      <c r="C2003">
        <v>1</v>
      </c>
      <c r="D2003" t="str">
        <f t="shared" si="31"/>
        <v>1711300.511</v>
      </c>
      <c r="E2003" t="s">
        <v>2805</v>
      </c>
      <c r="F2003" s="242"/>
      <c r="G2003"/>
      <c r="H2003" s="242">
        <v>900</v>
      </c>
      <c r="I2003" s="242">
        <v>961</v>
      </c>
      <c r="J2003"/>
    </row>
    <row r="2004" spans="1:10" ht="15.75" customHeight="1">
      <c r="A2004" t="s">
        <v>2598</v>
      </c>
      <c r="B2004">
        <v>711300</v>
      </c>
      <c r="C2004">
        <v>1</v>
      </c>
      <c r="D2004" t="str">
        <f t="shared" si="31"/>
        <v>1711300.561</v>
      </c>
      <c r="E2004" t="s">
        <v>2599</v>
      </c>
      <c r="F2004" s="242"/>
      <c r="G2004"/>
      <c r="H2004" s="242">
        <v>3000</v>
      </c>
      <c r="I2004" s="242">
        <v>1566</v>
      </c>
      <c r="J2004"/>
    </row>
    <row r="2005" spans="1:10" ht="15.75" customHeight="1">
      <c r="A2005" t="s">
        <v>2600</v>
      </c>
      <c r="B2005">
        <v>711300</v>
      </c>
      <c r="C2005">
        <v>1</v>
      </c>
      <c r="D2005" t="str">
        <f t="shared" si="31"/>
        <v>1711300.580</v>
      </c>
      <c r="E2005" t="s">
        <v>2629</v>
      </c>
      <c r="F2005" s="242"/>
      <c r="G2005"/>
      <c r="H2005" s="242">
        <v>1000</v>
      </c>
      <c r="I2005" s="242">
        <v>0</v>
      </c>
      <c r="J2005"/>
    </row>
    <row r="2006" spans="1:10" ht="15.75" customHeight="1">
      <c r="A2006" t="s">
        <v>2704</v>
      </c>
      <c r="B2006">
        <v>711300</v>
      </c>
      <c r="C2006">
        <v>1</v>
      </c>
      <c r="D2006" t="str">
        <f t="shared" si="31"/>
        <v>1711300.720</v>
      </c>
      <c r="E2006" t="s">
        <v>2705</v>
      </c>
      <c r="F2006" s="242"/>
      <c r="G2006"/>
      <c r="H2006" s="242">
        <v>10000</v>
      </c>
      <c r="I2006" s="242">
        <v>3510</v>
      </c>
      <c r="J2006"/>
    </row>
    <row r="2007" spans="1:10" ht="15.75" customHeight="1">
      <c r="A2007" t="s">
        <v>600</v>
      </c>
      <c r="B2007">
        <v>711300</v>
      </c>
      <c r="C2007">
        <v>1</v>
      </c>
      <c r="D2007" t="str">
        <f t="shared" si="31"/>
        <v>1711300.731</v>
      </c>
      <c r="E2007" t="s">
        <v>2593</v>
      </c>
      <c r="F2007" s="242"/>
      <c r="G2007"/>
      <c r="H2007" s="242">
        <v>44813</v>
      </c>
      <c r="I2007" s="242">
        <v>47315</v>
      </c>
      <c r="J2007"/>
    </row>
    <row r="2008" spans="1:10" ht="15.75" customHeight="1">
      <c r="A2008" t="s">
        <v>2418</v>
      </c>
      <c r="B2008">
        <v>711300</v>
      </c>
      <c r="C2008">
        <v>1</v>
      </c>
      <c r="D2008" t="str">
        <f t="shared" si="31"/>
        <v>1711300.735</v>
      </c>
      <c r="E2008" t="s">
        <v>2602</v>
      </c>
      <c r="F2008" s="242"/>
      <c r="G2008"/>
      <c r="H2008" s="242">
        <v>54962</v>
      </c>
      <c r="I2008" s="242">
        <v>64672</v>
      </c>
      <c r="J2008"/>
    </row>
    <row r="2009" spans="1:10" ht="15.75" customHeight="1">
      <c r="A2009" t="s">
        <v>673</v>
      </c>
      <c r="B2009">
        <v>711300</v>
      </c>
      <c r="C2009">
        <v>1</v>
      </c>
      <c r="D2009" t="str">
        <f t="shared" si="31"/>
        <v>1711300.743</v>
      </c>
      <c r="E2009" t="s">
        <v>2622</v>
      </c>
      <c r="F2009" s="242"/>
      <c r="G2009"/>
      <c r="H2009" s="242">
        <v>9000</v>
      </c>
      <c r="I2009" s="242">
        <v>362</v>
      </c>
      <c r="J2009"/>
    </row>
    <row r="2010" spans="1:10" ht="15.75" customHeight="1">
      <c r="A2010" t="s">
        <v>737</v>
      </c>
      <c r="B2010">
        <v>711300</v>
      </c>
      <c r="C2010">
        <v>1</v>
      </c>
      <c r="D2010" t="str">
        <f t="shared" si="31"/>
        <v>1711300.747</v>
      </c>
      <c r="E2010" t="s">
        <v>2765</v>
      </c>
      <c r="F2010" s="242"/>
      <c r="G2010"/>
      <c r="H2010" s="242">
        <v>5000</v>
      </c>
      <c r="I2010" s="242">
        <v>0</v>
      </c>
      <c r="J2010"/>
    </row>
    <row r="2011" spans="1:10" ht="15.75" customHeight="1">
      <c r="A2011" t="s">
        <v>835</v>
      </c>
      <c r="B2011">
        <v>711300</v>
      </c>
      <c r="C2011">
        <v>1</v>
      </c>
      <c r="D2011" t="str">
        <f t="shared" si="31"/>
        <v>1711300.769</v>
      </c>
      <c r="E2011" t="s">
        <v>2605</v>
      </c>
      <c r="F2011" s="242"/>
      <c r="G2011"/>
      <c r="H2011" s="242">
        <v>15200</v>
      </c>
      <c r="I2011" s="242">
        <v>0</v>
      </c>
      <c r="J2011"/>
    </row>
    <row r="2012" spans="1:10" ht="15.75" customHeight="1">
      <c r="A2012" t="s">
        <v>2403</v>
      </c>
      <c r="B2012">
        <v>711500</v>
      </c>
      <c r="C2012">
        <v>1</v>
      </c>
      <c r="D2012" t="str">
        <f t="shared" si="31"/>
        <v>1711500.110</v>
      </c>
      <c r="E2012" t="s">
        <v>2573</v>
      </c>
      <c r="F2012" s="242"/>
      <c r="G2012"/>
      <c r="H2012" s="242">
        <v>296591</v>
      </c>
      <c r="I2012" s="242">
        <v>274075</v>
      </c>
      <c r="J2012"/>
    </row>
    <row r="2013" spans="1:10" ht="15.75" customHeight="1">
      <c r="A2013" t="s">
        <v>2404</v>
      </c>
      <c r="B2013">
        <v>711500</v>
      </c>
      <c r="C2013">
        <v>1</v>
      </c>
      <c r="D2013" t="str">
        <f t="shared" si="31"/>
        <v>1711500.120</v>
      </c>
      <c r="E2013" t="s">
        <v>2574</v>
      </c>
      <c r="F2013" s="242"/>
      <c r="G2013"/>
      <c r="H2013" s="242">
        <v>141569</v>
      </c>
      <c r="I2013" s="242">
        <v>125200</v>
      </c>
      <c r="J2013"/>
    </row>
    <row r="2014" spans="1:10" ht="15.75" customHeight="1">
      <c r="A2014" t="s">
        <v>2575</v>
      </c>
      <c r="B2014">
        <v>711500</v>
      </c>
      <c r="C2014">
        <v>1</v>
      </c>
      <c r="D2014" t="str">
        <f t="shared" si="31"/>
        <v>1711500.130</v>
      </c>
      <c r="E2014" t="s">
        <v>2576</v>
      </c>
      <c r="F2014" s="242"/>
      <c r="G2014"/>
      <c r="H2014" s="242">
        <v>21390</v>
      </c>
      <c r="I2014" s="242">
        <v>22979</v>
      </c>
      <c r="J2014"/>
    </row>
    <row r="2015" spans="1:10" ht="15.75" customHeight="1">
      <c r="A2015" t="s">
        <v>2577</v>
      </c>
      <c r="B2015">
        <v>711500</v>
      </c>
      <c r="C2015">
        <v>1</v>
      </c>
      <c r="D2015" t="str">
        <f t="shared" si="31"/>
        <v>1711500.140</v>
      </c>
      <c r="E2015" t="s">
        <v>2578</v>
      </c>
      <c r="F2015" s="242"/>
      <c r="G2015"/>
      <c r="H2015" s="242">
        <v>77709</v>
      </c>
      <c r="I2015" s="242">
        <v>76791</v>
      </c>
      <c r="J2015"/>
    </row>
    <row r="2016" spans="1:10" ht="15.75" customHeight="1">
      <c r="A2016" t="s">
        <v>2579</v>
      </c>
      <c r="B2016">
        <v>711500</v>
      </c>
      <c r="C2016">
        <v>1</v>
      </c>
      <c r="D2016" t="str">
        <f t="shared" si="31"/>
        <v>1711500.181</v>
      </c>
      <c r="E2016" t="s">
        <v>2580</v>
      </c>
      <c r="F2016" s="242"/>
      <c r="G2016"/>
      <c r="H2016" s="242">
        <v>90210</v>
      </c>
      <c r="I2016" s="242">
        <v>83310</v>
      </c>
      <c r="J2016"/>
    </row>
    <row r="2017" spans="1:10" ht="15.75" customHeight="1">
      <c r="A2017" t="s">
        <v>2581</v>
      </c>
      <c r="B2017">
        <v>711500</v>
      </c>
      <c r="C2017">
        <v>1</v>
      </c>
      <c r="D2017" t="str">
        <f t="shared" si="31"/>
        <v>1711500.182</v>
      </c>
      <c r="E2017" t="s">
        <v>2582</v>
      </c>
      <c r="F2017" s="242"/>
      <c r="G2017"/>
      <c r="H2017" s="242">
        <v>40740</v>
      </c>
      <c r="I2017" s="242">
        <v>37817</v>
      </c>
      <c r="J2017"/>
    </row>
    <row r="2018" spans="1:10" ht="15.75" customHeight="1">
      <c r="A2018" t="s">
        <v>2286</v>
      </c>
      <c r="B2018">
        <v>711500</v>
      </c>
      <c r="C2018">
        <v>1</v>
      </c>
      <c r="D2018" t="str">
        <f t="shared" si="31"/>
        <v>1711500.511</v>
      </c>
      <c r="E2018" t="s">
        <v>2805</v>
      </c>
      <c r="F2018" s="242"/>
      <c r="G2018"/>
      <c r="H2018" s="242">
        <v>500</v>
      </c>
      <c r="I2018" s="242">
        <v>646</v>
      </c>
      <c r="J2018"/>
    </row>
    <row r="2019" spans="1:10" ht="15.75" customHeight="1">
      <c r="A2019" t="s">
        <v>2598</v>
      </c>
      <c r="B2019">
        <v>711500</v>
      </c>
      <c r="C2019">
        <v>1</v>
      </c>
      <c r="D2019" t="str">
        <f t="shared" si="31"/>
        <v>1711500.561</v>
      </c>
      <c r="E2019" t="s">
        <v>2599</v>
      </c>
      <c r="F2019" s="242"/>
      <c r="G2019"/>
      <c r="H2019" s="242">
        <v>3000</v>
      </c>
      <c r="I2019" s="242">
        <v>1566</v>
      </c>
      <c r="J2019"/>
    </row>
    <row r="2020" spans="1:10" ht="15.75" customHeight="1">
      <c r="A2020" t="s">
        <v>600</v>
      </c>
      <c r="B2020">
        <v>711500</v>
      </c>
      <c r="C2020">
        <v>1</v>
      </c>
      <c r="D2020" t="str">
        <f t="shared" si="31"/>
        <v>1711500.731</v>
      </c>
      <c r="E2020" t="s">
        <v>2593</v>
      </c>
      <c r="F2020" s="242"/>
      <c r="G2020"/>
      <c r="H2020" s="242">
        <v>25607</v>
      </c>
      <c r="I2020" s="242">
        <v>12396</v>
      </c>
      <c r="J2020"/>
    </row>
    <row r="2021" spans="1:10" ht="15.75" customHeight="1">
      <c r="A2021" t="s">
        <v>2418</v>
      </c>
      <c r="B2021">
        <v>711500</v>
      </c>
      <c r="C2021">
        <v>1</v>
      </c>
      <c r="D2021" t="str">
        <f t="shared" si="31"/>
        <v>1711500.735</v>
      </c>
      <c r="E2021" t="s">
        <v>2602</v>
      </c>
      <c r="F2021" s="242"/>
      <c r="G2021"/>
      <c r="H2021" s="242">
        <v>49462</v>
      </c>
      <c r="I2021" s="242">
        <v>82998</v>
      </c>
      <c r="J2021"/>
    </row>
    <row r="2022" spans="1:10" ht="15.75" customHeight="1">
      <c r="A2022" t="s">
        <v>835</v>
      </c>
      <c r="B2022">
        <v>711500</v>
      </c>
      <c r="C2022">
        <v>1</v>
      </c>
      <c r="D2022" t="str">
        <f t="shared" si="31"/>
        <v>1711500.769</v>
      </c>
      <c r="E2022" t="s">
        <v>2605</v>
      </c>
      <c r="F2022" s="242"/>
      <c r="G2022"/>
      <c r="H2022" s="242">
        <v>19000</v>
      </c>
      <c r="I2022" s="242">
        <v>12257</v>
      </c>
      <c r="J2022"/>
    </row>
    <row r="2023" spans="1:10" ht="15.75" customHeight="1">
      <c r="A2023" t="s">
        <v>2403</v>
      </c>
      <c r="B2023">
        <v>712100</v>
      </c>
      <c r="C2023">
        <v>1</v>
      </c>
      <c r="D2023" t="str">
        <f t="shared" si="31"/>
        <v>1712100.110</v>
      </c>
      <c r="E2023" t="s">
        <v>2573</v>
      </c>
      <c r="F2023" s="242"/>
      <c r="G2023"/>
      <c r="H2023" s="242">
        <v>3239219</v>
      </c>
      <c r="I2023" s="242">
        <v>3025751</v>
      </c>
      <c r="J2023"/>
    </row>
    <row r="2024" spans="1:10" ht="15.75" customHeight="1">
      <c r="A2024" t="s">
        <v>2404</v>
      </c>
      <c r="B2024">
        <v>712100</v>
      </c>
      <c r="C2024">
        <v>1</v>
      </c>
      <c r="D2024" t="str">
        <f t="shared" si="31"/>
        <v>1712100.120</v>
      </c>
      <c r="E2024" t="s">
        <v>2574</v>
      </c>
      <c r="F2024" s="242"/>
      <c r="G2024"/>
      <c r="H2024" s="242">
        <v>2062924</v>
      </c>
      <c r="I2024" s="242">
        <v>1947420</v>
      </c>
      <c r="J2024"/>
    </row>
    <row r="2025" spans="1:10" ht="15.75" customHeight="1">
      <c r="A2025" t="s">
        <v>2575</v>
      </c>
      <c r="B2025">
        <v>712100</v>
      </c>
      <c r="C2025">
        <v>1</v>
      </c>
      <c r="D2025" t="str">
        <f t="shared" si="31"/>
        <v>1712100.130</v>
      </c>
      <c r="E2025" t="s">
        <v>2576</v>
      </c>
      <c r="F2025" s="242"/>
      <c r="G2025"/>
      <c r="H2025" s="242">
        <v>184932</v>
      </c>
      <c r="I2025" s="242">
        <v>133056</v>
      </c>
      <c r="J2025"/>
    </row>
    <row r="2026" spans="1:10" ht="15.75" customHeight="1">
      <c r="A2026" t="s">
        <v>2577</v>
      </c>
      <c r="B2026">
        <v>712100</v>
      </c>
      <c r="C2026">
        <v>1</v>
      </c>
      <c r="D2026" t="str">
        <f t="shared" si="31"/>
        <v>1712100.140</v>
      </c>
      <c r="E2026" t="s">
        <v>2578</v>
      </c>
      <c r="F2026" s="242"/>
      <c r="G2026"/>
      <c r="H2026" s="242">
        <v>830034</v>
      </c>
      <c r="I2026" s="242">
        <v>798028</v>
      </c>
      <c r="J2026"/>
    </row>
    <row r="2027" spans="1:10" ht="15.75" customHeight="1">
      <c r="A2027" t="s">
        <v>2579</v>
      </c>
      <c r="B2027">
        <v>712100</v>
      </c>
      <c r="C2027">
        <v>1</v>
      </c>
      <c r="D2027" t="str">
        <f t="shared" si="31"/>
        <v>1712100.181</v>
      </c>
      <c r="E2027" t="s">
        <v>2580</v>
      </c>
      <c r="F2027" s="242"/>
      <c r="G2027"/>
      <c r="H2027" s="242">
        <v>971693</v>
      </c>
      <c r="I2027" s="242">
        <v>898973</v>
      </c>
      <c r="J2027"/>
    </row>
    <row r="2028" spans="1:10" ht="15.75" customHeight="1">
      <c r="A2028" t="s">
        <v>2581</v>
      </c>
      <c r="B2028">
        <v>712100</v>
      </c>
      <c r="C2028">
        <v>1</v>
      </c>
      <c r="D2028" t="str">
        <f t="shared" si="31"/>
        <v>1712100.182</v>
      </c>
      <c r="E2028" t="s">
        <v>2582</v>
      </c>
      <c r="F2028" s="242"/>
      <c r="G2028"/>
      <c r="H2028" s="242">
        <v>477620</v>
      </c>
      <c r="I2028" s="242">
        <v>446197</v>
      </c>
      <c r="J2028"/>
    </row>
    <row r="2029" spans="1:10" ht="15.75" customHeight="1">
      <c r="A2029" t="s">
        <v>1663</v>
      </c>
      <c r="B2029">
        <v>712100</v>
      </c>
      <c r="C2029">
        <v>1</v>
      </c>
      <c r="D2029" t="str">
        <f t="shared" si="31"/>
        <v>1712100.431</v>
      </c>
      <c r="E2029" t="s">
        <v>2654</v>
      </c>
      <c r="F2029" s="242"/>
      <c r="G2029"/>
      <c r="H2029" s="242">
        <v>63400</v>
      </c>
      <c r="I2029" s="242">
        <v>85106</v>
      </c>
      <c r="J2029"/>
    </row>
    <row r="2030" spans="1:10" ht="15.75" customHeight="1">
      <c r="A2030" t="s">
        <v>1668</v>
      </c>
      <c r="B2030">
        <v>712100</v>
      </c>
      <c r="C2030">
        <v>1</v>
      </c>
      <c r="D2030" t="str">
        <f t="shared" si="31"/>
        <v>1712100.432</v>
      </c>
      <c r="E2030" t="s">
        <v>2687</v>
      </c>
      <c r="F2030" s="242"/>
      <c r="G2030"/>
      <c r="H2030" s="242">
        <v>0</v>
      </c>
      <c r="I2030" s="242">
        <v>3805</v>
      </c>
      <c r="J2030"/>
    </row>
    <row r="2031" spans="1:10" ht="15.75" customHeight="1">
      <c r="A2031" t="s">
        <v>1673</v>
      </c>
      <c r="B2031">
        <v>712100</v>
      </c>
      <c r="C2031">
        <v>1</v>
      </c>
      <c r="D2031" t="str">
        <f t="shared" si="31"/>
        <v>1712100.433</v>
      </c>
      <c r="E2031" t="s">
        <v>2655</v>
      </c>
      <c r="F2031" s="242"/>
      <c r="G2031"/>
      <c r="H2031" s="242">
        <v>9000</v>
      </c>
      <c r="I2031" s="242">
        <v>9180</v>
      </c>
      <c r="J2031"/>
    </row>
    <row r="2032" spans="1:10" ht="15.75" customHeight="1">
      <c r="A2032" t="s">
        <v>2606</v>
      </c>
      <c r="B2032">
        <v>712100</v>
      </c>
      <c r="C2032">
        <v>1</v>
      </c>
      <c r="D2032" t="str">
        <f t="shared" si="31"/>
        <v>1712100.440</v>
      </c>
      <c r="E2032" t="s">
        <v>3720</v>
      </c>
      <c r="F2032" s="242"/>
      <c r="G2032"/>
      <c r="H2032" s="242">
        <v>8600</v>
      </c>
      <c r="I2032" s="242">
        <v>8329</v>
      </c>
      <c r="J2032"/>
    </row>
    <row r="2033" spans="1:10" ht="15.75" customHeight="1">
      <c r="A2033" t="s">
        <v>2411</v>
      </c>
      <c r="B2033">
        <v>712100</v>
      </c>
      <c r="C2033">
        <v>1</v>
      </c>
      <c r="D2033" t="str">
        <f t="shared" si="31"/>
        <v>1712100.470</v>
      </c>
      <c r="E2033" t="s">
        <v>2660</v>
      </c>
      <c r="F2033" s="242"/>
      <c r="G2033"/>
      <c r="H2033" s="242">
        <v>8000</v>
      </c>
      <c r="I2033" s="242">
        <v>8028</v>
      </c>
      <c r="J2033"/>
    </row>
    <row r="2034" spans="1:10" ht="15.75" customHeight="1">
      <c r="A2034" t="s">
        <v>2286</v>
      </c>
      <c r="B2034">
        <v>712100</v>
      </c>
      <c r="C2034">
        <v>1</v>
      </c>
      <c r="D2034" t="str">
        <f t="shared" si="31"/>
        <v>1712100.511</v>
      </c>
      <c r="E2034" t="s">
        <v>2584</v>
      </c>
      <c r="F2034" s="242"/>
      <c r="G2034"/>
      <c r="H2034" s="242">
        <v>8000</v>
      </c>
      <c r="I2034" s="242">
        <v>7060</v>
      </c>
      <c r="J2034"/>
    </row>
    <row r="2035" spans="1:10" ht="15.75" customHeight="1">
      <c r="A2035" t="s">
        <v>2594</v>
      </c>
      <c r="B2035">
        <v>712100</v>
      </c>
      <c r="C2035">
        <v>1</v>
      </c>
      <c r="D2035" t="str">
        <f t="shared" si="31"/>
        <v>1712100.540</v>
      </c>
      <c r="E2035" t="s">
        <v>2595</v>
      </c>
      <c r="F2035" s="242"/>
      <c r="G2035"/>
      <c r="H2035" s="242">
        <v>110000</v>
      </c>
      <c r="I2035" s="242">
        <v>101541</v>
      </c>
      <c r="J2035"/>
    </row>
    <row r="2036" spans="1:10" ht="15.75" customHeight="1">
      <c r="A2036" t="s">
        <v>2596</v>
      </c>
      <c r="B2036">
        <v>712100</v>
      </c>
      <c r="C2036">
        <v>1</v>
      </c>
      <c r="D2036" t="str">
        <f t="shared" si="31"/>
        <v>1712100.550</v>
      </c>
      <c r="E2036" t="s">
        <v>2597</v>
      </c>
      <c r="F2036" s="242"/>
      <c r="G2036"/>
      <c r="H2036" s="242">
        <v>8000</v>
      </c>
      <c r="I2036" s="242">
        <v>0</v>
      </c>
      <c r="J2036"/>
    </row>
    <row r="2037" spans="1:10" ht="15.75" customHeight="1">
      <c r="A2037" t="s">
        <v>2598</v>
      </c>
      <c r="B2037">
        <v>712100</v>
      </c>
      <c r="C2037">
        <v>1</v>
      </c>
      <c r="D2037" t="str">
        <f t="shared" si="31"/>
        <v>1712100.561</v>
      </c>
      <c r="E2037" t="s">
        <v>2599</v>
      </c>
      <c r="F2037" s="242"/>
      <c r="G2037"/>
      <c r="H2037" s="242">
        <v>22500</v>
      </c>
      <c r="I2037" s="242">
        <v>7870</v>
      </c>
      <c r="J2037"/>
    </row>
    <row r="2038" spans="1:10" ht="15.75" customHeight="1">
      <c r="A2038" t="s">
        <v>2600</v>
      </c>
      <c r="B2038">
        <v>712100</v>
      </c>
      <c r="C2038">
        <v>1</v>
      </c>
      <c r="D2038" t="str">
        <f t="shared" si="31"/>
        <v>1712100.580</v>
      </c>
      <c r="E2038" t="s">
        <v>2601</v>
      </c>
      <c r="F2038" s="242"/>
      <c r="G2038"/>
      <c r="H2038" s="242">
        <v>1000</v>
      </c>
      <c r="I2038" s="242">
        <v>894</v>
      </c>
      <c r="J2038"/>
    </row>
    <row r="2039" spans="1:10" ht="15.75" customHeight="1">
      <c r="A2039" t="s">
        <v>600</v>
      </c>
      <c r="B2039">
        <v>712100</v>
      </c>
      <c r="C2039">
        <v>1</v>
      </c>
      <c r="D2039" t="str">
        <f t="shared" si="31"/>
        <v>1712100.731</v>
      </c>
      <c r="E2039" t="s">
        <v>2593</v>
      </c>
      <c r="F2039" s="242"/>
      <c r="G2039"/>
      <c r="H2039" s="242">
        <v>266476</v>
      </c>
      <c r="I2039" s="242">
        <v>201884</v>
      </c>
      <c r="J2039"/>
    </row>
    <row r="2040" spans="1:10" ht="15.75" customHeight="1">
      <c r="A2040" t="s">
        <v>2418</v>
      </c>
      <c r="B2040">
        <v>712100</v>
      </c>
      <c r="C2040">
        <v>1</v>
      </c>
      <c r="D2040" t="str">
        <f t="shared" si="31"/>
        <v>1712100.735</v>
      </c>
      <c r="E2040" t="s">
        <v>2667</v>
      </c>
      <c r="F2040" s="242"/>
      <c r="G2040"/>
      <c r="H2040" s="242">
        <v>353461</v>
      </c>
      <c r="I2040" s="242">
        <v>492441</v>
      </c>
      <c r="J2040"/>
    </row>
    <row r="2041" spans="1:10" ht="15.75" customHeight="1">
      <c r="A2041" t="s">
        <v>673</v>
      </c>
      <c r="B2041">
        <v>712100</v>
      </c>
      <c r="C2041">
        <v>1</v>
      </c>
      <c r="D2041" t="str">
        <f t="shared" si="31"/>
        <v>1712100.743</v>
      </c>
      <c r="E2041" t="s">
        <v>3721</v>
      </c>
      <c r="F2041" s="242"/>
      <c r="G2041"/>
      <c r="H2041" s="242">
        <v>2000</v>
      </c>
      <c r="I2041" s="242">
        <v>0</v>
      </c>
      <c r="J2041"/>
    </row>
    <row r="2042" spans="1:10" ht="15.75" customHeight="1">
      <c r="A2042" t="s">
        <v>737</v>
      </c>
      <c r="B2042">
        <v>712100</v>
      </c>
      <c r="C2042">
        <v>1</v>
      </c>
      <c r="D2042" t="str">
        <f t="shared" si="31"/>
        <v>1712100.747</v>
      </c>
      <c r="E2042" t="s">
        <v>2765</v>
      </c>
      <c r="F2042" s="242"/>
      <c r="G2042"/>
      <c r="H2042" s="242">
        <v>6300</v>
      </c>
      <c r="I2042" s="242">
        <v>5542</v>
      </c>
      <c r="J2042"/>
    </row>
    <row r="2043" spans="1:10" ht="15.75" customHeight="1">
      <c r="A2043" t="s">
        <v>2632</v>
      </c>
      <c r="B2043">
        <v>712100</v>
      </c>
      <c r="C2043">
        <v>1</v>
      </c>
      <c r="D2043" t="str">
        <f t="shared" si="31"/>
        <v>1712100.780</v>
      </c>
      <c r="E2043" t="s">
        <v>2926</v>
      </c>
      <c r="F2043" s="242"/>
      <c r="G2043"/>
      <c r="H2043" s="242">
        <v>2000</v>
      </c>
      <c r="I2043" s="242">
        <v>1329</v>
      </c>
      <c r="J2043"/>
    </row>
    <row r="2044" spans="1:10" ht="15.75" customHeight="1">
      <c r="A2044" t="s">
        <v>2403</v>
      </c>
      <c r="B2044">
        <v>712200</v>
      </c>
      <c r="C2044">
        <v>1</v>
      </c>
      <c r="D2044" t="str">
        <f t="shared" si="31"/>
        <v>1712200.110</v>
      </c>
      <c r="E2044" t="s">
        <v>2573</v>
      </c>
      <c r="F2044" s="242"/>
      <c r="G2044"/>
      <c r="H2044" s="242">
        <v>4859314</v>
      </c>
      <c r="I2044" s="242">
        <v>4989304</v>
      </c>
      <c r="J2044"/>
    </row>
    <row r="2045" spans="1:10" ht="15.75" customHeight="1">
      <c r="A2045" t="s">
        <v>2404</v>
      </c>
      <c r="B2045">
        <v>712200</v>
      </c>
      <c r="C2045">
        <v>1</v>
      </c>
      <c r="D2045" t="str">
        <f t="shared" si="31"/>
        <v>1712200.120</v>
      </c>
      <c r="E2045" t="s">
        <v>2574</v>
      </c>
      <c r="F2045" s="242"/>
      <c r="G2045"/>
      <c r="H2045" s="242">
        <v>3052505</v>
      </c>
      <c r="I2045" s="242">
        <v>2366268</v>
      </c>
      <c r="J2045"/>
    </row>
    <row r="2046" spans="1:10" ht="15.75" customHeight="1">
      <c r="A2046" t="s">
        <v>2575</v>
      </c>
      <c r="B2046">
        <v>712200</v>
      </c>
      <c r="C2046">
        <v>1</v>
      </c>
      <c r="D2046" t="str">
        <f t="shared" si="31"/>
        <v>1712200.130</v>
      </c>
      <c r="E2046" t="s">
        <v>2576</v>
      </c>
      <c r="F2046" s="242"/>
      <c r="G2046"/>
      <c r="H2046" s="242">
        <v>115269</v>
      </c>
      <c r="I2046" s="242">
        <v>94083</v>
      </c>
      <c r="J2046"/>
    </row>
    <row r="2047" spans="1:10" ht="15.75" customHeight="1">
      <c r="A2047" t="s">
        <v>2577</v>
      </c>
      <c r="B2047">
        <v>712200</v>
      </c>
      <c r="C2047">
        <v>1</v>
      </c>
      <c r="D2047" t="str">
        <f t="shared" si="31"/>
        <v>1712200.140</v>
      </c>
      <c r="E2047" t="s">
        <v>2578</v>
      </c>
      <c r="F2047" s="242"/>
      <c r="G2047"/>
      <c r="H2047" s="242">
        <v>180315</v>
      </c>
      <c r="I2047" s="242">
        <v>194847</v>
      </c>
      <c r="J2047"/>
    </row>
    <row r="2048" spans="1:10" ht="15.75" customHeight="1">
      <c r="A2048" t="s">
        <v>2579</v>
      </c>
      <c r="B2048">
        <v>712200</v>
      </c>
      <c r="C2048">
        <v>1</v>
      </c>
      <c r="D2048" t="str">
        <f t="shared" si="31"/>
        <v>1712200.181</v>
      </c>
      <c r="E2048" t="s">
        <v>2580</v>
      </c>
      <c r="F2048" s="242"/>
      <c r="G2048"/>
      <c r="H2048" s="242">
        <v>1175888</v>
      </c>
      <c r="I2048" s="242">
        <v>1221465</v>
      </c>
      <c r="J2048"/>
    </row>
    <row r="2049" spans="1:10" ht="15.75" customHeight="1">
      <c r="A2049" t="s">
        <v>2581</v>
      </c>
      <c r="B2049">
        <v>712200</v>
      </c>
      <c r="C2049">
        <v>1</v>
      </c>
      <c r="D2049" t="str">
        <f t="shared" si="31"/>
        <v>1712200.182</v>
      </c>
      <c r="E2049" t="s">
        <v>2582</v>
      </c>
      <c r="F2049" s="242"/>
      <c r="G2049"/>
      <c r="H2049" s="242">
        <v>556169</v>
      </c>
      <c r="I2049" s="242">
        <v>578802</v>
      </c>
      <c r="J2049"/>
    </row>
    <row r="2050" spans="1:10" ht="15.75" customHeight="1">
      <c r="A2050" t="s">
        <v>2652</v>
      </c>
      <c r="B2050">
        <v>712200</v>
      </c>
      <c r="C2050">
        <v>1</v>
      </c>
      <c r="D2050" t="str">
        <f t="shared" si="31"/>
        <v>1712200.420</v>
      </c>
      <c r="E2050" t="s">
        <v>2653</v>
      </c>
      <c r="F2050" s="242"/>
      <c r="G2050"/>
      <c r="H2050" s="242">
        <v>64000</v>
      </c>
      <c r="I2050" s="242">
        <v>94914</v>
      </c>
      <c r="J2050"/>
    </row>
    <row r="2051" spans="1:10" ht="15.75" customHeight="1">
      <c r="A2051" t="s">
        <v>1673</v>
      </c>
      <c r="B2051">
        <v>712200</v>
      </c>
      <c r="C2051">
        <v>1</v>
      </c>
      <c r="D2051" t="str">
        <f t="shared" ref="D2051:D2114" si="32">C2051&amp;B2051&amp;"."&amp;A2051</f>
        <v>1712200.433</v>
      </c>
      <c r="E2051" t="s">
        <v>2655</v>
      </c>
      <c r="F2051" s="242"/>
      <c r="G2051"/>
      <c r="H2051" s="242">
        <v>4000</v>
      </c>
      <c r="I2051" s="242">
        <v>2454</v>
      </c>
      <c r="J2051"/>
    </row>
    <row r="2052" spans="1:10" ht="15.75" customHeight="1">
      <c r="A2052" t="s">
        <v>2658</v>
      </c>
      <c r="B2052">
        <v>712200</v>
      </c>
      <c r="C2052">
        <v>1</v>
      </c>
      <c r="D2052" t="str">
        <f t="shared" si="32"/>
        <v>1712200.441</v>
      </c>
      <c r="E2052" t="s">
        <v>2720</v>
      </c>
      <c r="F2052" s="242"/>
      <c r="G2052"/>
      <c r="H2052" s="242">
        <v>16000</v>
      </c>
      <c r="I2052" s="242">
        <v>27090</v>
      </c>
      <c r="J2052"/>
    </row>
    <row r="2053" spans="1:10" ht="15.75" customHeight="1">
      <c r="A2053" t="s">
        <v>600</v>
      </c>
      <c r="B2053">
        <v>712200</v>
      </c>
      <c r="C2053">
        <v>1</v>
      </c>
      <c r="D2053" t="str">
        <f t="shared" si="32"/>
        <v>1712200.731</v>
      </c>
      <c r="E2053" t="s">
        <v>2593</v>
      </c>
      <c r="F2053" s="242"/>
      <c r="G2053"/>
      <c r="H2053" s="242">
        <v>1900</v>
      </c>
      <c r="I2053" s="242">
        <v>1068</v>
      </c>
      <c r="J2053"/>
    </row>
    <row r="2054" spans="1:10" ht="15.75" customHeight="1">
      <c r="A2054" t="s">
        <v>605</v>
      </c>
      <c r="B2054">
        <v>712200</v>
      </c>
      <c r="C2054">
        <v>1</v>
      </c>
      <c r="D2054" t="str">
        <f t="shared" si="32"/>
        <v>1712200.732</v>
      </c>
      <c r="E2054" t="s">
        <v>2902</v>
      </c>
      <c r="F2054" s="242"/>
      <c r="G2054"/>
      <c r="H2054" s="242">
        <v>21000</v>
      </c>
      <c r="I2054" s="242">
        <v>16720</v>
      </c>
      <c r="J2054"/>
    </row>
    <row r="2055" spans="1:10" ht="15.75" customHeight="1">
      <c r="A2055" t="s">
        <v>624</v>
      </c>
      <c r="B2055">
        <v>712200</v>
      </c>
      <c r="C2055">
        <v>1</v>
      </c>
      <c r="D2055" t="str">
        <f t="shared" si="32"/>
        <v>1712200.733</v>
      </c>
      <c r="E2055" t="s">
        <v>2723</v>
      </c>
      <c r="F2055" s="242"/>
      <c r="G2055"/>
      <c r="H2055" s="242">
        <v>1000</v>
      </c>
      <c r="I2055" s="242">
        <v>787</v>
      </c>
      <c r="J2055"/>
    </row>
    <row r="2056" spans="1:10" ht="15.75" customHeight="1">
      <c r="A2056" t="s">
        <v>673</v>
      </c>
      <c r="B2056">
        <v>712200</v>
      </c>
      <c r="C2056">
        <v>1</v>
      </c>
      <c r="D2056" t="str">
        <f t="shared" si="32"/>
        <v>1712200.743</v>
      </c>
      <c r="E2056" t="s">
        <v>2622</v>
      </c>
      <c r="F2056" s="242"/>
      <c r="G2056"/>
      <c r="H2056" s="242">
        <v>108000</v>
      </c>
      <c r="I2056" s="242">
        <v>132896</v>
      </c>
      <c r="J2056"/>
    </row>
    <row r="2057" spans="1:10" ht="15.75" customHeight="1">
      <c r="A2057" t="s">
        <v>737</v>
      </c>
      <c r="B2057">
        <v>712200</v>
      </c>
      <c r="C2057">
        <v>1</v>
      </c>
      <c r="D2057" t="str">
        <f t="shared" si="32"/>
        <v>1712200.747</v>
      </c>
      <c r="E2057" t="s">
        <v>2765</v>
      </c>
      <c r="F2057" s="242"/>
      <c r="G2057"/>
      <c r="H2057" s="242">
        <v>80000</v>
      </c>
      <c r="I2057" s="242">
        <v>0</v>
      </c>
      <c r="J2057"/>
    </row>
    <row r="2058" spans="1:10" ht="15.75" customHeight="1">
      <c r="A2058" t="s">
        <v>776</v>
      </c>
      <c r="B2058">
        <v>712200</v>
      </c>
      <c r="C2058">
        <v>1</v>
      </c>
      <c r="D2058" t="str">
        <f t="shared" si="32"/>
        <v>1712200.752</v>
      </c>
      <c r="E2058" t="s">
        <v>3722</v>
      </c>
      <c r="F2058" s="242"/>
      <c r="G2058"/>
      <c r="H2058" s="242">
        <v>0</v>
      </c>
      <c r="I2058" s="242">
        <v>1985959</v>
      </c>
      <c r="J2058"/>
    </row>
    <row r="2059" spans="1:10" ht="15.75" customHeight="1">
      <c r="A2059" t="s">
        <v>781</v>
      </c>
      <c r="B2059">
        <v>712200</v>
      </c>
      <c r="C2059">
        <v>1</v>
      </c>
      <c r="D2059" t="str">
        <f t="shared" si="32"/>
        <v>1712200.753</v>
      </c>
      <c r="E2059" t="s">
        <v>3723</v>
      </c>
      <c r="F2059" s="242"/>
      <c r="G2059"/>
      <c r="H2059" s="242">
        <v>21191900</v>
      </c>
      <c r="I2059" s="242">
        <v>17567817</v>
      </c>
      <c r="J2059"/>
    </row>
    <row r="2060" spans="1:10" ht="15.75" customHeight="1">
      <c r="A2060" t="s">
        <v>2767</v>
      </c>
      <c r="B2060">
        <v>712200</v>
      </c>
      <c r="C2060">
        <v>1</v>
      </c>
      <c r="D2060" t="str">
        <f t="shared" si="32"/>
        <v>1712200.757</v>
      </c>
      <c r="E2060" t="s">
        <v>3724</v>
      </c>
      <c r="F2060" s="242"/>
      <c r="G2060"/>
      <c r="H2060" s="242">
        <v>3394400</v>
      </c>
      <c r="I2060" s="242">
        <v>2197907</v>
      </c>
      <c r="J2060"/>
    </row>
    <row r="2061" spans="1:10" ht="15.75" customHeight="1">
      <c r="A2061" t="s">
        <v>2632</v>
      </c>
      <c r="B2061">
        <v>712200</v>
      </c>
      <c r="C2061">
        <v>1</v>
      </c>
      <c r="D2061" t="str">
        <f t="shared" si="32"/>
        <v>1712200.780</v>
      </c>
      <c r="E2061" t="s">
        <v>3725</v>
      </c>
      <c r="F2061" s="242"/>
      <c r="G2061"/>
      <c r="H2061" s="242">
        <v>70000</v>
      </c>
      <c r="I2061" s="242">
        <v>97440</v>
      </c>
      <c r="J2061"/>
    </row>
    <row r="2062" spans="1:10" ht="15.75" customHeight="1">
      <c r="A2062" t="s">
        <v>2740</v>
      </c>
      <c r="B2062">
        <v>712200</v>
      </c>
      <c r="C2062">
        <v>1</v>
      </c>
      <c r="D2062" t="str">
        <f t="shared" si="32"/>
        <v>1712200.930</v>
      </c>
      <c r="E2062" t="s">
        <v>2834</v>
      </c>
      <c r="F2062" s="242"/>
      <c r="G2062"/>
      <c r="H2062" s="242">
        <v>230000</v>
      </c>
      <c r="I2062" s="242">
        <v>207591</v>
      </c>
      <c r="J2062"/>
    </row>
    <row r="2063" spans="1:10" ht="15.75" customHeight="1">
      <c r="A2063" t="s">
        <v>2691</v>
      </c>
      <c r="B2063">
        <v>712201</v>
      </c>
      <c r="C2063">
        <v>1</v>
      </c>
      <c r="D2063" t="str">
        <f t="shared" si="32"/>
        <v>1712201.986</v>
      </c>
      <c r="E2063" t="s">
        <v>3726</v>
      </c>
      <c r="F2063" s="242"/>
      <c r="G2063"/>
      <c r="H2063" s="242">
        <v>0</v>
      </c>
      <c r="I2063" s="242">
        <v>0</v>
      </c>
      <c r="J2063"/>
    </row>
    <row r="2064" spans="1:10" ht="15.75" customHeight="1">
      <c r="A2064" t="s">
        <v>2403</v>
      </c>
      <c r="B2064">
        <v>712300</v>
      </c>
      <c r="C2064">
        <v>1</v>
      </c>
      <c r="D2064" t="str">
        <f t="shared" si="32"/>
        <v>1712300.110</v>
      </c>
      <c r="E2064" t="s">
        <v>2573</v>
      </c>
      <c r="F2064" s="242"/>
      <c r="G2064"/>
      <c r="H2064" s="242">
        <v>3433745</v>
      </c>
      <c r="I2064" s="242">
        <v>3346689</v>
      </c>
      <c r="J2064"/>
    </row>
    <row r="2065" spans="1:10" ht="15.75" customHeight="1">
      <c r="A2065" t="s">
        <v>2404</v>
      </c>
      <c r="B2065">
        <v>712300</v>
      </c>
      <c r="C2065">
        <v>1</v>
      </c>
      <c r="D2065" t="str">
        <f t="shared" si="32"/>
        <v>1712300.120</v>
      </c>
      <c r="E2065" t="s">
        <v>2574</v>
      </c>
      <c r="F2065" s="242"/>
      <c r="G2065"/>
      <c r="H2065" s="242">
        <v>1771239</v>
      </c>
      <c r="I2065" s="242">
        <v>1806915</v>
      </c>
      <c r="J2065"/>
    </row>
    <row r="2066" spans="1:10" ht="15.75" customHeight="1">
      <c r="A2066" t="s">
        <v>2575</v>
      </c>
      <c r="B2066">
        <v>712300</v>
      </c>
      <c r="C2066">
        <v>1</v>
      </c>
      <c r="D2066" t="str">
        <f t="shared" si="32"/>
        <v>1712300.130</v>
      </c>
      <c r="E2066" t="s">
        <v>2576</v>
      </c>
      <c r="F2066" s="242"/>
      <c r="G2066"/>
      <c r="H2066" s="242">
        <v>275617</v>
      </c>
      <c r="I2066" s="242">
        <v>231702</v>
      </c>
      <c r="J2066"/>
    </row>
    <row r="2067" spans="1:10" ht="15.75" customHeight="1">
      <c r="A2067" t="s">
        <v>2577</v>
      </c>
      <c r="B2067">
        <v>712300</v>
      </c>
      <c r="C2067">
        <v>1</v>
      </c>
      <c r="D2067" t="str">
        <f t="shared" si="32"/>
        <v>1712300.140</v>
      </c>
      <c r="E2067" t="s">
        <v>2578</v>
      </c>
      <c r="F2067" s="242"/>
      <c r="G2067"/>
      <c r="H2067" s="242">
        <v>144633</v>
      </c>
      <c r="I2067" s="242">
        <v>132796</v>
      </c>
      <c r="J2067"/>
    </row>
    <row r="2068" spans="1:10" ht="15.75" customHeight="1">
      <c r="A2068" t="s">
        <v>2579</v>
      </c>
      <c r="B2068">
        <v>712300</v>
      </c>
      <c r="C2068">
        <v>1</v>
      </c>
      <c r="D2068" t="str">
        <f t="shared" si="32"/>
        <v>1712300.181</v>
      </c>
      <c r="E2068" t="s">
        <v>2580</v>
      </c>
      <c r="F2068" s="242"/>
      <c r="G2068"/>
      <c r="H2068" s="242">
        <v>984703</v>
      </c>
      <c r="I2068" s="242">
        <v>957457</v>
      </c>
      <c r="J2068"/>
    </row>
    <row r="2069" spans="1:10" ht="15.75" customHeight="1">
      <c r="A2069" t="s">
        <v>2581</v>
      </c>
      <c r="B2069">
        <v>712300</v>
      </c>
      <c r="C2069">
        <v>1</v>
      </c>
      <c r="D2069" t="str">
        <f t="shared" si="32"/>
        <v>1712300.182</v>
      </c>
      <c r="E2069" t="s">
        <v>2582</v>
      </c>
      <c r="F2069" s="242"/>
      <c r="G2069"/>
      <c r="H2069" s="242">
        <v>425943</v>
      </c>
      <c r="I2069" s="242">
        <v>417791</v>
      </c>
      <c r="J2069"/>
    </row>
    <row r="2070" spans="1:10" ht="15.75" customHeight="1">
      <c r="A2070" t="s">
        <v>2606</v>
      </c>
      <c r="B2070">
        <v>712300</v>
      </c>
      <c r="C2070">
        <v>1</v>
      </c>
      <c r="D2070" t="str">
        <f t="shared" si="32"/>
        <v>1712300.440</v>
      </c>
      <c r="E2070" t="s">
        <v>3737</v>
      </c>
      <c r="F2070" s="242"/>
      <c r="G2070"/>
      <c r="H2070" s="242">
        <v>9600</v>
      </c>
      <c r="I2070" s="242">
        <v>9318</v>
      </c>
      <c r="J2070"/>
    </row>
    <row r="2071" spans="1:10" ht="15.75" customHeight="1">
      <c r="A2071" t="s">
        <v>2658</v>
      </c>
      <c r="B2071">
        <v>712300</v>
      </c>
      <c r="C2071">
        <v>1</v>
      </c>
      <c r="D2071" t="str">
        <f t="shared" si="32"/>
        <v>1712300.441</v>
      </c>
      <c r="E2071" t="s">
        <v>2720</v>
      </c>
      <c r="F2071" s="242"/>
      <c r="G2071"/>
      <c r="H2071" s="242">
        <v>27500</v>
      </c>
      <c r="I2071" s="242">
        <v>52689</v>
      </c>
      <c r="J2071"/>
    </row>
    <row r="2072" spans="1:10" ht="15.75" customHeight="1">
      <c r="A2072" t="s">
        <v>2286</v>
      </c>
      <c r="B2072">
        <v>712300</v>
      </c>
      <c r="C2072">
        <v>1</v>
      </c>
      <c r="D2072" t="str">
        <f t="shared" si="32"/>
        <v>1712300.511</v>
      </c>
      <c r="E2072" t="s">
        <v>2805</v>
      </c>
      <c r="F2072" s="242"/>
      <c r="G2072"/>
      <c r="H2072" s="242">
        <v>1000</v>
      </c>
      <c r="I2072" s="242">
        <v>966</v>
      </c>
      <c r="J2072"/>
    </row>
    <row r="2073" spans="1:10" ht="15.75" customHeight="1">
      <c r="A2073" t="s">
        <v>2598</v>
      </c>
      <c r="B2073">
        <v>712300</v>
      </c>
      <c r="C2073">
        <v>1</v>
      </c>
      <c r="D2073" t="str">
        <f t="shared" si="32"/>
        <v>1712300.561</v>
      </c>
      <c r="E2073" t="s">
        <v>2599</v>
      </c>
      <c r="F2073" s="242"/>
      <c r="G2073"/>
      <c r="H2073" s="242">
        <v>3000</v>
      </c>
      <c r="I2073" s="242">
        <v>1932</v>
      </c>
      <c r="J2073"/>
    </row>
    <row r="2074" spans="1:10" ht="15.75" customHeight="1">
      <c r="A2074" t="s">
        <v>600</v>
      </c>
      <c r="B2074">
        <v>712300</v>
      </c>
      <c r="C2074">
        <v>1</v>
      </c>
      <c r="D2074" t="str">
        <f t="shared" si="32"/>
        <v>1712300.731</v>
      </c>
      <c r="E2074" t="s">
        <v>2593</v>
      </c>
      <c r="F2074" s="242"/>
      <c r="G2074"/>
      <c r="H2074" s="242">
        <v>20600</v>
      </c>
      <c r="I2074" s="242">
        <v>121590</v>
      </c>
      <c r="J2074"/>
    </row>
    <row r="2075" spans="1:10" ht="15.75" customHeight="1">
      <c r="A2075" t="s">
        <v>605</v>
      </c>
      <c r="B2075">
        <v>712300</v>
      </c>
      <c r="C2075">
        <v>1</v>
      </c>
      <c r="D2075" t="str">
        <f t="shared" si="32"/>
        <v>1712300.732</v>
      </c>
      <c r="E2075" t="s">
        <v>2902</v>
      </c>
      <c r="F2075" s="242"/>
      <c r="G2075"/>
      <c r="H2075" s="242">
        <v>105000</v>
      </c>
      <c r="I2075" s="242">
        <v>217445</v>
      </c>
      <c r="J2075"/>
    </row>
    <row r="2076" spans="1:10" ht="15.75" customHeight="1">
      <c r="A2076" t="s">
        <v>624</v>
      </c>
      <c r="B2076">
        <v>712300</v>
      </c>
      <c r="C2076">
        <v>1</v>
      </c>
      <c r="D2076" t="str">
        <f t="shared" si="32"/>
        <v>1712300.733</v>
      </c>
      <c r="E2076" t="s">
        <v>2723</v>
      </c>
      <c r="F2076" s="242"/>
      <c r="G2076"/>
      <c r="H2076" s="242">
        <v>3500</v>
      </c>
      <c r="I2076" s="242">
        <v>3390</v>
      </c>
      <c r="J2076"/>
    </row>
    <row r="2077" spans="1:10" ht="15.75" customHeight="1">
      <c r="A2077" t="s">
        <v>2418</v>
      </c>
      <c r="B2077">
        <v>712300</v>
      </c>
      <c r="C2077">
        <v>1</v>
      </c>
      <c r="D2077" t="str">
        <f t="shared" si="32"/>
        <v>1712300.735</v>
      </c>
      <c r="E2077" t="s">
        <v>3738</v>
      </c>
      <c r="F2077" s="242"/>
      <c r="G2077"/>
      <c r="H2077" s="242">
        <v>2502000</v>
      </c>
      <c r="I2077" s="242">
        <v>2293745</v>
      </c>
      <c r="J2077"/>
    </row>
    <row r="2078" spans="1:10" ht="15.75" customHeight="1">
      <c r="A2078" t="s">
        <v>653</v>
      </c>
      <c r="B2078">
        <v>712300</v>
      </c>
      <c r="C2078">
        <v>1</v>
      </c>
      <c r="D2078" t="str">
        <f t="shared" si="32"/>
        <v>1712300.741</v>
      </c>
      <c r="E2078" t="s">
        <v>3739</v>
      </c>
      <c r="F2078" s="242"/>
      <c r="G2078"/>
      <c r="H2078" s="242">
        <v>100300</v>
      </c>
      <c r="I2078" s="242">
        <v>100243</v>
      </c>
      <c r="J2078"/>
    </row>
    <row r="2079" spans="1:10" ht="15.75" customHeight="1">
      <c r="A2079" t="s">
        <v>673</v>
      </c>
      <c r="B2079">
        <v>712300</v>
      </c>
      <c r="C2079">
        <v>1</v>
      </c>
      <c r="D2079" t="str">
        <f t="shared" si="32"/>
        <v>1712300.743</v>
      </c>
      <c r="E2079" t="s">
        <v>2622</v>
      </c>
      <c r="F2079" s="242"/>
      <c r="G2079"/>
      <c r="H2079" s="242">
        <v>12000</v>
      </c>
      <c r="I2079" s="242">
        <v>1070</v>
      </c>
      <c r="J2079"/>
    </row>
    <row r="2080" spans="1:10" ht="15.75" customHeight="1">
      <c r="A2080" t="s">
        <v>678</v>
      </c>
      <c r="B2080">
        <v>712300</v>
      </c>
      <c r="C2080">
        <v>1</v>
      </c>
      <c r="D2080" t="str">
        <f t="shared" si="32"/>
        <v>1712300.744</v>
      </c>
      <c r="E2080" t="s">
        <v>3740</v>
      </c>
      <c r="F2080" s="242"/>
      <c r="G2080"/>
      <c r="H2080" s="242">
        <v>104000</v>
      </c>
      <c r="I2080" s="242">
        <v>42224</v>
      </c>
      <c r="J2080"/>
    </row>
    <row r="2081" spans="1:10" ht="15.75" customHeight="1">
      <c r="A2081" t="s">
        <v>737</v>
      </c>
      <c r="B2081">
        <v>712300</v>
      </c>
      <c r="C2081">
        <v>1</v>
      </c>
      <c r="D2081" t="str">
        <f t="shared" si="32"/>
        <v>1712300.747</v>
      </c>
      <c r="E2081" t="s">
        <v>2765</v>
      </c>
      <c r="F2081" s="242"/>
      <c r="G2081"/>
      <c r="H2081" s="242">
        <v>30000</v>
      </c>
      <c r="I2081" s="242">
        <v>0</v>
      </c>
      <c r="J2081"/>
    </row>
    <row r="2082" spans="1:10" ht="15.75" customHeight="1">
      <c r="A2082" t="s">
        <v>772</v>
      </c>
      <c r="B2082">
        <v>712300</v>
      </c>
      <c r="C2082">
        <v>1</v>
      </c>
      <c r="D2082" t="str">
        <f t="shared" si="32"/>
        <v>1712300.751</v>
      </c>
      <c r="E2082" t="s">
        <v>3717</v>
      </c>
      <c r="F2082" s="242"/>
      <c r="G2082"/>
      <c r="H2082" s="242">
        <v>265000</v>
      </c>
      <c r="I2082" s="242">
        <v>192472</v>
      </c>
      <c r="J2082"/>
    </row>
    <row r="2083" spans="1:10" ht="15.75" customHeight="1">
      <c r="A2083" t="s">
        <v>786</v>
      </c>
      <c r="B2083">
        <v>712300</v>
      </c>
      <c r="C2083">
        <v>1</v>
      </c>
      <c r="D2083" t="str">
        <f t="shared" si="32"/>
        <v>1712300.754</v>
      </c>
      <c r="E2083" t="s">
        <v>3741</v>
      </c>
      <c r="F2083" s="242"/>
      <c r="G2083"/>
      <c r="H2083" s="242">
        <v>30000</v>
      </c>
      <c r="I2083" s="242">
        <v>7749</v>
      </c>
      <c r="J2083"/>
    </row>
    <row r="2084" spans="1:10" ht="15.75" customHeight="1">
      <c r="A2084" t="s">
        <v>791</v>
      </c>
      <c r="B2084">
        <v>712300</v>
      </c>
      <c r="C2084">
        <v>1</v>
      </c>
      <c r="D2084" t="str">
        <f t="shared" si="32"/>
        <v>1712300.756</v>
      </c>
      <c r="E2084" t="s">
        <v>3742</v>
      </c>
      <c r="F2084" s="242"/>
      <c r="G2084"/>
      <c r="H2084" s="242">
        <v>21445721</v>
      </c>
      <c r="I2084" s="242">
        <v>19088903</v>
      </c>
      <c r="J2084"/>
    </row>
    <row r="2085" spans="1:10" ht="15.75" customHeight="1">
      <c r="A2085" t="s">
        <v>2801</v>
      </c>
      <c r="B2085">
        <v>712300</v>
      </c>
      <c r="C2085">
        <v>1</v>
      </c>
      <c r="D2085" t="str">
        <f t="shared" si="32"/>
        <v>1712300.758</v>
      </c>
      <c r="E2085" t="s">
        <v>3743</v>
      </c>
      <c r="F2085" s="242"/>
      <c r="G2085"/>
      <c r="H2085" s="242">
        <v>466000</v>
      </c>
      <c r="I2085" s="242">
        <v>756719</v>
      </c>
      <c r="J2085"/>
    </row>
    <row r="2086" spans="1:10" ht="15.75" customHeight="1">
      <c r="A2086" t="s">
        <v>2603</v>
      </c>
      <c r="B2086">
        <v>712300</v>
      </c>
      <c r="C2086">
        <v>1</v>
      </c>
      <c r="D2086" t="str">
        <f t="shared" si="32"/>
        <v>1712300.759</v>
      </c>
      <c r="E2086" t="s">
        <v>3718</v>
      </c>
      <c r="F2086" s="242"/>
      <c r="G2086"/>
      <c r="H2086" s="242">
        <v>30000</v>
      </c>
      <c r="I2086" s="242">
        <v>0</v>
      </c>
      <c r="J2086"/>
    </row>
    <row r="2087" spans="1:10" ht="15.75" customHeight="1">
      <c r="A2087" t="s">
        <v>2759</v>
      </c>
      <c r="B2087">
        <v>712300</v>
      </c>
      <c r="C2087">
        <v>1</v>
      </c>
      <c r="D2087" t="str">
        <f t="shared" si="32"/>
        <v>1712300.760</v>
      </c>
      <c r="E2087" t="s">
        <v>3744</v>
      </c>
      <c r="F2087" s="242"/>
      <c r="G2087"/>
      <c r="H2087" s="242">
        <v>1256512</v>
      </c>
      <c r="I2087" s="242">
        <v>1110266</v>
      </c>
      <c r="J2087"/>
    </row>
    <row r="2088" spans="1:10" ht="15.75" customHeight="1">
      <c r="A2088" t="s">
        <v>806</v>
      </c>
      <c r="B2088">
        <v>712300</v>
      </c>
      <c r="C2088">
        <v>1</v>
      </c>
      <c r="D2088" t="str">
        <f t="shared" si="32"/>
        <v>1712300.762</v>
      </c>
      <c r="E2088" t="s">
        <v>3745</v>
      </c>
      <c r="F2088" s="242"/>
      <c r="G2088"/>
      <c r="H2088" s="242">
        <v>4882401</v>
      </c>
      <c r="I2088" s="242">
        <v>4104726</v>
      </c>
      <c r="J2088"/>
    </row>
    <row r="2089" spans="1:10" ht="15.75" customHeight="1">
      <c r="A2089" t="s">
        <v>3147</v>
      </c>
      <c r="B2089">
        <v>712300</v>
      </c>
      <c r="C2089">
        <v>1</v>
      </c>
      <c r="D2089" t="str">
        <f t="shared" si="32"/>
        <v>1712300.763</v>
      </c>
      <c r="E2089" t="s">
        <v>3746</v>
      </c>
      <c r="F2089" s="242"/>
      <c r="G2089"/>
      <c r="H2089" s="242">
        <v>160000</v>
      </c>
      <c r="I2089" s="242">
        <v>144485</v>
      </c>
      <c r="J2089"/>
    </row>
    <row r="2090" spans="1:10" ht="15.75" customHeight="1">
      <c r="A2090" t="s">
        <v>835</v>
      </c>
      <c r="B2090">
        <v>712300</v>
      </c>
      <c r="C2090">
        <v>1</v>
      </c>
      <c r="D2090" t="str">
        <f t="shared" si="32"/>
        <v>1712300.769</v>
      </c>
      <c r="E2090" t="s">
        <v>2605</v>
      </c>
      <c r="F2090" s="242"/>
      <c r="G2090"/>
      <c r="H2090" s="242">
        <v>19000</v>
      </c>
      <c r="I2090" s="242">
        <v>12290</v>
      </c>
      <c r="J2090"/>
    </row>
    <row r="2091" spans="1:10" ht="15.75" customHeight="1">
      <c r="A2091" t="s">
        <v>2632</v>
      </c>
      <c r="B2091">
        <v>712300</v>
      </c>
      <c r="C2091">
        <v>1</v>
      </c>
      <c r="D2091" t="str">
        <f t="shared" si="32"/>
        <v>1712300.780</v>
      </c>
      <c r="E2091" t="s">
        <v>3747</v>
      </c>
      <c r="F2091" s="242"/>
      <c r="G2091"/>
      <c r="H2091" s="242">
        <v>9505952</v>
      </c>
      <c r="I2091" s="242">
        <v>8267779</v>
      </c>
      <c r="J2091"/>
    </row>
    <row r="2092" spans="1:10" ht="15.75" customHeight="1">
      <c r="A2092" t="s">
        <v>2740</v>
      </c>
      <c r="B2092">
        <v>712300</v>
      </c>
      <c r="C2092">
        <v>1</v>
      </c>
      <c r="D2092" t="str">
        <f t="shared" si="32"/>
        <v>1712300.930</v>
      </c>
      <c r="E2092" t="s">
        <v>2834</v>
      </c>
      <c r="F2092" s="242"/>
      <c r="G2092"/>
      <c r="H2092" s="242">
        <v>184000</v>
      </c>
      <c r="I2092" s="242">
        <v>227801</v>
      </c>
      <c r="J2092"/>
    </row>
    <row r="2093" spans="1:10" ht="15.75" customHeight="1">
      <c r="A2093" t="s">
        <v>600</v>
      </c>
      <c r="B2093">
        <v>712310</v>
      </c>
      <c r="C2093">
        <v>1</v>
      </c>
      <c r="D2093" t="str">
        <f t="shared" si="32"/>
        <v>1712310.731</v>
      </c>
      <c r="E2093" t="s">
        <v>2593</v>
      </c>
      <c r="F2093" s="242"/>
      <c r="G2093"/>
      <c r="H2093" s="242">
        <v>45607</v>
      </c>
      <c r="I2093" s="242">
        <v>50273</v>
      </c>
      <c r="J2093"/>
    </row>
    <row r="2094" spans="1:10" ht="15.75" customHeight="1">
      <c r="A2094" t="s">
        <v>2418</v>
      </c>
      <c r="B2094">
        <v>712310</v>
      </c>
      <c r="C2094">
        <v>1</v>
      </c>
      <c r="D2094" t="str">
        <f t="shared" si="32"/>
        <v>1712310.735</v>
      </c>
      <c r="E2094" t="s">
        <v>3748</v>
      </c>
      <c r="F2094" s="242"/>
      <c r="G2094"/>
      <c r="H2094" s="242">
        <v>106462</v>
      </c>
      <c r="I2094" s="242">
        <v>86456</v>
      </c>
      <c r="J2094"/>
    </row>
    <row r="2095" spans="1:10" ht="15.75" customHeight="1">
      <c r="A2095" t="s">
        <v>776</v>
      </c>
      <c r="B2095">
        <v>712310</v>
      </c>
      <c r="C2095">
        <v>1</v>
      </c>
      <c r="D2095" t="str">
        <f t="shared" si="32"/>
        <v>1712310.752</v>
      </c>
      <c r="E2095" t="s">
        <v>3749</v>
      </c>
      <c r="F2095" s="242"/>
      <c r="G2095"/>
      <c r="H2095" s="242">
        <v>0</v>
      </c>
      <c r="I2095" s="242">
        <v>0</v>
      </c>
      <c r="J2095"/>
    </row>
    <row r="2096" spans="1:10" ht="15.75" customHeight="1">
      <c r="A2096" t="s">
        <v>781</v>
      </c>
      <c r="B2096">
        <v>712310</v>
      </c>
      <c r="C2096">
        <v>1</v>
      </c>
      <c r="D2096" t="str">
        <f t="shared" si="32"/>
        <v>1712310.753</v>
      </c>
      <c r="E2096" t="s">
        <v>3750</v>
      </c>
      <c r="F2096" s="242"/>
      <c r="G2096"/>
      <c r="H2096" s="242">
        <v>1210100</v>
      </c>
      <c r="I2096" s="242">
        <v>2203821</v>
      </c>
      <c r="J2096"/>
    </row>
    <row r="2097" spans="1:10" ht="15.75" customHeight="1">
      <c r="A2097" t="s">
        <v>786</v>
      </c>
      <c r="B2097">
        <v>712310</v>
      </c>
      <c r="C2097">
        <v>1</v>
      </c>
      <c r="D2097" t="str">
        <f t="shared" si="32"/>
        <v>1712310.754</v>
      </c>
      <c r="E2097" t="s">
        <v>3736</v>
      </c>
      <c r="F2097" s="242"/>
      <c r="G2097"/>
      <c r="H2097" s="242">
        <v>750000</v>
      </c>
      <c r="I2097" s="242">
        <v>0</v>
      </c>
      <c r="J2097"/>
    </row>
    <row r="2098" spans="1:10" ht="15.75" customHeight="1">
      <c r="A2098" t="s">
        <v>2652</v>
      </c>
      <c r="B2098">
        <v>712500</v>
      </c>
      <c r="C2098">
        <v>1</v>
      </c>
      <c r="D2098" t="str">
        <f t="shared" si="32"/>
        <v>1712500.420</v>
      </c>
      <c r="E2098" t="s">
        <v>2653</v>
      </c>
      <c r="F2098" s="242"/>
      <c r="G2098"/>
      <c r="H2098" s="242">
        <v>3700</v>
      </c>
      <c r="I2098" s="242">
        <v>0</v>
      </c>
      <c r="J2098"/>
    </row>
    <row r="2099" spans="1:10" ht="15.75" customHeight="1">
      <c r="A2099" t="s">
        <v>1663</v>
      </c>
      <c r="B2099">
        <v>712500</v>
      </c>
      <c r="C2099">
        <v>1</v>
      </c>
      <c r="D2099" t="str">
        <f t="shared" si="32"/>
        <v>1712500.431</v>
      </c>
      <c r="E2099" t="s">
        <v>2654</v>
      </c>
      <c r="F2099" s="242"/>
      <c r="G2099"/>
      <c r="H2099" s="242">
        <v>1100</v>
      </c>
      <c r="I2099" s="242">
        <v>1212</v>
      </c>
      <c r="J2099"/>
    </row>
    <row r="2100" spans="1:10" ht="15.75" customHeight="1">
      <c r="A2100" t="s">
        <v>1668</v>
      </c>
      <c r="B2100">
        <v>712500</v>
      </c>
      <c r="C2100">
        <v>1</v>
      </c>
      <c r="D2100" t="str">
        <f t="shared" si="32"/>
        <v>1712500.432</v>
      </c>
      <c r="E2100" t="s">
        <v>2687</v>
      </c>
      <c r="F2100" s="242"/>
      <c r="G2100"/>
      <c r="H2100" s="242">
        <v>26000</v>
      </c>
      <c r="I2100" s="242">
        <v>25564</v>
      </c>
      <c r="J2100"/>
    </row>
    <row r="2101" spans="1:10" ht="15.75" customHeight="1">
      <c r="A2101" t="s">
        <v>2606</v>
      </c>
      <c r="B2101">
        <v>712500</v>
      </c>
      <c r="C2101">
        <v>1</v>
      </c>
      <c r="D2101" t="str">
        <f t="shared" si="32"/>
        <v>1712500.440</v>
      </c>
      <c r="E2101" t="s">
        <v>2657</v>
      </c>
      <c r="F2101" s="242"/>
      <c r="G2101"/>
      <c r="H2101" s="242">
        <v>3400</v>
      </c>
      <c r="I2101" s="242">
        <v>3312</v>
      </c>
      <c r="J2101"/>
    </row>
    <row r="2102" spans="1:10" ht="15.75" customHeight="1">
      <c r="A2102" t="s">
        <v>2403</v>
      </c>
      <c r="B2102">
        <v>713000</v>
      </c>
      <c r="C2102">
        <v>1</v>
      </c>
      <c r="D2102" t="str">
        <f t="shared" si="32"/>
        <v>1713000.110</v>
      </c>
      <c r="E2102" t="s">
        <v>2573</v>
      </c>
      <c r="F2102" s="242"/>
      <c r="G2102"/>
      <c r="H2102" s="242">
        <v>725812</v>
      </c>
      <c r="I2102" s="242">
        <v>733133</v>
      </c>
      <c r="J2102"/>
    </row>
    <row r="2103" spans="1:10" ht="15.75" customHeight="1">
      <c r="A2103" t="s">
        <v>2404</v>
      </c>
      <c r="B2103">
        <v>713000</v>
      </c>
      <c r="C2103">
        <v>1</v>
      </c>
      <c r="D2103" t="str">
        <f t="shared" si="32"/>
        <v>1713000.120</v>
      </c>
      <c r="E2103" t="s">
        <v>2574</v>
      </c>
      <c r="F2103" s="242"/>
      <c r="G2103"/>
      <c r="H2103" s="242">
        <v>91872</v>
      </c>
      <c r="I2103" s="242">
        <v>91761</v>
      </c>
      <c r="J2103"/>
    </row>
    <row r="2104" spans="1:10" ht="15.75" customHeight="1">
      <c r="A2104" t="s">
        <v>2575</v>
      </c>
      <c r="B2104">
        <v>713000</v>
      </c>
      <c r="C2104">
        <v>1</v>
      </c>
      <c r="D2104" t="str">
        <f t="shared" si="32"/>
        <v>1713000.130</v>
      </c>
      <c r="E2104" t="s">
        <v>2576</v>
      </c>
      <c r="F2104" s="242"/>
      <c r="G2104"/>
      <c r="H2104" s="242">
        <v>14143</v>
      </c>
      <c r="I2104" s="242">
        <v>15006</v>
      </c>
      <c r="J2104"/>
    </row>
    <row r="2105" spans="1:10" ht="15.75" customHeight="1">
      <c r="A2105" t="s">
        <v>2577</v>
      </c>
      <c r="B2105">
        <v>713000</v>
      </c>
      <c r="C2105">
        <v>1</v>
      </c>
      <c r="D2105" t="str">
        <f t="shared" si="32"/>
        <v>1713000.140</v>
      </c>
      <c r="E2105" t="s">
        <v>2578</v>
      </c>
      <c r="F2105" s="242"/>
      <c r="G2105"/>
      <c r="H2105" s="242">
        <v>117090</v>
      </c>
      <c r="I2105" s="242">
        <v>118995</v>
      </c>
      <c r="J2105"/>
    </row>
    <row r="2106" spans="1:10" ht="15.75" customHeight="1">
      <c r="A2106" t="s">
        <v>2579</v>
      </c>
      <c r="B2106">
        <v>713000</v>
      </c>
      <c r="C2106">
        <v>1</v>
      </c>
      <c r="D2106" t="str">
        <f t="shared" si="32"/>
        <v>1713000.181</v>
      </c>
      <c r="E2106" t="s">
        <v>2580</v>
      </c>
      <c r="F2106" s="242"/>
      <c r="G2106"/>
      <c r="H2106" s="242">
        <v>164968</v>
      </c>
      <c r="I2106" s="242">
        <v>165500</v>
      </c>
      <c r="J2106"/>
    </row>
    <row r="2107" spans="1:10" ht="15.75" customHeight="1">
      <c r="A2107" t="s">
        <v>2581</v>
      </c>
      <c r="B2107">
        <v>713000</v>
      </c>
      <c r="C2107">
        <v>1</v>
      </c>
      <c r="D2107" t="str">
        <f t="shared" si="32"/>
        <v>1713000.182</v>
      </c>
      <c r="E2107" t="s">
        <v>2582</v>
      </c>
      <c r="F2107" s="242"/>
      <c r="G2107"/>
      <c r="H2107" s="242">
        <v>71731</v>
      </c>
      <c r="I2107" s="242">
        <v>72545</v>
      </c>
      <c r="J2107"/>
    </row>
    <row r="2108" spans="1:10" ht="15.75" customHeight="1">
      <c r="A2108" t="s">
        <v>2411</v>
      </c>
      <c r="B2108">
        <v>713000</v>
      </c>
      <c r="C2108">
        <v>1</v>
      </c>
      <c r="D2108" t="str">
        <f t="shared" si="32"/>
        <v>1713000.470</v>
      </c>
      <c r="E2108" t="s">
        <v>2660</v>
      </c>
      <c r="F2108" s="242"/>
      <c r="G2108"/>
      <c r="H2108" s="242">
        <v>1000</v>
      </c>
      <c r="I2108" s="242">
        <v>860</v>
      </c>
      <c r="J2108"/>
    </row>
    <row r="2109" spans="1:10" ht="15.75" customHeight="1">
      <c r="A2109" t="s">
        <v>2286</v>
      </c>
      <c r="B2109">
        <v>713000</v>
      </c>
      <c r="C2109">
        <v>1</v>
      </c>
      <c r="D2109" t="str">
        <f t="shared" si="32"/>
        <v>1713000.511</v>
      </c>
      <c r="E2109" t="s">
        <v>2805</v>
      </c>
      <c r="F2109" s="242"/>
      <c r="G2109"/>
      <c r="H2109" s="242">
        <v>1500</v>
      </c>
      <c r="I2109" s="242">
        <v>1536</v>
      </c>
      <c r="J2109"/>
    </row>
    <row r="2110" spans="1:10" ht="15.75" customHeight="1">
      <c r="A2110" t="s">
        <v>2594</v>
      </c>
      <c r="B2110">
        <v>713000</v>
      </c>
      <c r="C2110">
        <v>1</v>
      </c>
      <c r="D2110" t="str">
        <f t="shared" si="32"/>
        <v>1713000.540</v>
      </c>
      <c r="E2110" t="s">
        <v>2595</v>
      </c>
      <c r="F2110" s="242"/>
      <c r="G2110"/>
      <c r="H2110" s="242">
        <v>11000</v>
      </c>
      <c r="I2110" s="242">
        <v>8755</v>
      </c>
      <c r="J2110"/>
    </row>
    <row r="2111" spans="1:10" ht="15.75" customHeight="1">
      <c r="A2111" t="s">
        <v>2596</v>
      </c>
      <c r="B2111">
        <v>713000</v>
      </c>
      <c r="C2111">
        <v>1</v>
      </c>
      <c r="D2111" t="str">
        <f t="shared" si="32"/>
        <v>1713000.550</v>
      </c>
      <c r="E2111" t="s">
        <v>2597</v>
      </c>
      <c r="F2111" s="242"/>
      <c r="G2111"/>
      <c r="H2111" s="242">
        <v>4800</v>
      </c>
      <c r="I2111" s="242">
        <v>0</v>
      </c>
      <c r="J2111"/>
    </row>
    <row r="2112" spans="1:10" ht="15.75" customHeight="1">
      <c r="A2112" t="s">
        <v>2598</v>
      </c>
      <c r="B2112">
        <v>713000</v>
      </c>
      <c r="C2112">
        <v>1</v>
      </c>
      <c r="D2112" t="str">
        <f t="shared" si="32"/>
        <v>1713000.561</v>
      </c>
      <c r="E2112" t="s">
        <v>2599</v>
      </c>
      <c r="F2112" s="242"/>
      <c r="G2112"/>
      <c r="H2112" s="242">
        <v>3000</v>
      </c>
      <c r="I2112" s="242">
        <v>2750</v>
      </c>
      <c r="J2112"/>
    </row>
    <row r="2113" spans="1:10" ht="15.75" customHeight="1">
      <c r="A2113" t="s">
        <v>2600</v>
      </c>
      <c r="B2113">
        <v>713000</v>
      </c>
      <c r="C2113">
        <v>1</v>
      </c>
      <c r="D2113" t="str">
        <f t="shared" si="32"/>
        <v>1713000.580</v>
      </c>
      <c r="E2113" t="s">
        <v>2601</v>
      </c>
      <c r="F2113" s="242"/>
      <c r="G2113"/>
      <c r="H2113" s="242">
        <v>1700</v>
      </c>
      <c r="I2113" s="242">
        <v>587</v>
      </c>
      <c r="J2113"/>
    </row>
    <row r="2114" spans="1:10" ht="15.75" customHeight="1">
      <c r="A2114" t="s">
        <v>673</v>
      </c>
      <c r="B2114">
        <v>713000</v>
      </c>
      <c r="C2114">
        <v>1</v>
      </c>
      <c r="D2114" t="str">
        <f t="shared" si="32"/>
        <v>1713000.743</v>
      </c>
      <c r="E2114" t="s">
        <v>2622</v>
      </c>
      <c r="F2114" s="242"/>
      <c r="G2114"/>
      <c r="H2114" s="242">
        <v>14000</v>
      </c>
      <c r="I2114" s="242">
        <v>6295</v>
      </c>
      <c r="J2114"/>
    </row>
    <row r="2115" spans="1:10" ht="15.75" customHeight="1">
      <c r="A2115" t="s">
        <v>737</v>
      </c>
      <c r="B2115">
        <v>713000</v>
      </c>
      <c r="C2115">
        <v>1</v>
      </c>
      <c r="D2115" t="str">
        <f t="shared" ref="D2115:D2178" si="33">C2115&amp;B2115&amp;"."&amp;A2115</f>
        <v>1713000.747</v>
      </c>
      <c r="E2115" t="s">
        <v>2765</v>
      </c>
      <c r="F2115" s="242"/>
      <c r="G2115"/>
      <c r="H2115" s="242">
        <v>2400</v>
      </c>
      <c r="I2115" s="242">
        <v>0</v>
      </c>
      <c r="J2115"/>
    </row>
    <row r="2116" spans="1:10" ht="15.75" customHeight="1">
      <c r="A2116" t="s">
        <v>2403</v>
      </c>
      <c r="B2116">
        <v>713300</v>
      </c>
      <c r="C2116">
        <v>1</v>
      </c>
      <c r="D2116" t="str">
        <f t="shared" si="33"/>
        <v>1713300.110</v>
      </c>
      <c r="E2116" t="s">
        <v>2573</v>
      </c>
      <c r="F2116" s="242"/>
      <c r="G2116"/>
      <c r="H2116" s="242">
        <v>408118</v>
      </c>
      <c r="I2116" s="242">
        <v>370140</v>
      </c>
      <c r="J2116"/>
    </row>
    <row r="2117" spans="1:10" ht="15.75" customHeight="1">
      <c r="A2117" t="s">
        <v>2404</v>
      </c>
      <c r="B2117">
        <v>713300</v>
      </c>
      <c r="C2117">
        <v>1</v>
      </c>
      <c r="D2117" t="str">
        <f t="shared" si="33"/>
        <v>1713300.120</v>
      </c>
      <c r="E2117" t="s">
        <v>2574</v>
      </c>
      <c r="F2117" s="242"/>
      <c r="G2117"/>
      <c r="H2117" s="242">
        <v>72028</v>
      </c>
      <c r="I2117" s="242">
        <v>58118</v>
      </c>
      <c r="J2117"/>
    </row>
    <row r="2118" spans="1:10" ht="15.75" customHeight="1">
      <c r="A2118" t="s">
        <v>2575</v>
      </c>
      <c r="B2118">
        <v>713300</v>
      </c>
      <c r="C2118">
        <v>1</v>
      </c>
      <c r="D2118" t="str">
        <f t="shared" si="33"/>
        <v>1713300.130</v>
      </c>
      <c r="E2118" t="s">
        <v>2576</v>
      </c>
      <c r="F2118" s="242"/>
      <c r="G2118"/>
      <c r="H2118" s="242">
        <v>23028</v>
      </c>
      <c r="I2118" s="242">
        <v>18643</v>
      </c>
      <c r="J2118"/>
    </row>
    <row r="2119" spans="1:10" ht="15.75" customHeight="1">
      <c r="A2119" t="s">
        <v>2577</v>
      </c>
      <c r="B2119">
        <v>713300</v>
      </c>
      <c r="C2119">
        <v>1</v>
      </c>
      <c r="D2119" t="str">
        <f t="shared" si="33"/>
        <v>1713300.140</v>
      </c>
      <c r="E2119" t="s">
        <v>2578</v>
      </c>
      <c r="F2119" s="242"/>
      <c r="G2119"/>
      <c r="H2119" s="242">
        <v>140691</v>
      </c>
      <c r="I2119" s="242">
        <v>107005</v>
      </c>
      <c r="J2119"/>
    </row>
    <row r="2120" spans="1:10" ht="15.75" customHeight="1">
      <c r="A2120" t="s">
        <v>2579</v>
      </c>
      <c r="B2120">
        <v>713300</v>
      </c>
      <c r="C2120">
        <v>1</v>
      </c>
      <c r="D2120" t="str">
        <f t="shared" si="33"/>
        <v>1713300.181</v>
      </c>
      <c r="E2120" t="s">
        <v>2580</v>
      </c>
      <c r="F2120" s="242"/>
      <c r="G2120"/>
      <c r="H2120" s="242">
        <v>109300</v>
      </c>
      <c r="I2120" s="242">
        <v>88335</v>
      </c>
      <c r="J2120"/>
    </row>
    <row r="2121" spans="1:10" ht="15.75" customHeight="1">
      <c r="A2121" t="s">
        <v>2581</v>
      </c>
      <c r="B2121">
        <v>713300</v>
      </c>
      <c r="C2121">
        <v>1</v>
      </c>
      <c r="D2121" t="str">
        <f t="shared" si="33"/>
        <v>1713300.182</v>
      </c>
      <c r="E2121" t="s">
        <v>2582</v>
      </c>
      <c r="F2121" s="242"/>
      <c r="G2121"/>
      <c r="H2121" s="242">
        <v>52410</v>
      </c>
      <c r="I2121" s="242">
        <v>41889</v>
      </c>
      <c r="J2121"/>
    </row>
    <row r="2122" spans="1:10" ht="15.75" customHeight="1">
      <c r="A2122" t="s">
        <v>2286</v>
      </c>
      <c r="B2122">
        <v>713300</v>
      </c>
      <c r="C2122">
        <v>1</v>
      </c>
      <c r="D2122" t="str">
        <f t="shared" si="33"/>
        <v>1713300.511</v>
      </c>
      <c r="E2122" t="s">
        <v>2584</v>
      </c>
      <c r="F2122" s="242"/>
      <c r="G2122"/>
      <c r="H2122" s="242">
        <v>1000</v>
      </c>
      <c r="I2122" s="242">
        <v>596</v>
      </c>
      <c r="J2122"/>
    </row>
    <row r="2123" spans="1:10" ht="15.75" customHeight="1">
      <c r="A2123" t="s">
        <v>2414</v>
      </c>
      <c r="B2123">
        <v>713300</v>
      </c>
      <c r="C2123">
        <v>1</v>
      </c>
      <c r="D2123" t="str">
        <f t="shared" si="33"/>
        <v>1713300.512</v>
      </c>
      <c r="E2123" t="s">
        <v>2585</v>
      </c>
      <c r="F2123" s="242"/>
      <c r="G2123"/>
      <c r="H2123" s="242">
        <v>500</v>
      </c>
      <c r="I2123" s="242">
        <v>0</v>
      </c>
      <c r="J2123"/>
    </row>
    <row r="2124" spans="1:10" ht="15.75" customHeight="1">
      <c r="A2124" t="s">
        <v>2594</v>
      </c>
      <c r="B2124">
        <v>713300</v>
      </c>
      <c r="C2124">
        <v>1</v>
      </c>
      <c r="D2124" t="str">
        <f t="shared" si="33"/>
        <v>1713300.540</v>
      </c>
      <c r="E2124" t="s">
        <v>2595</v>
      </c>
      <c r="F2124" s="242"/>
      <c r="G2124"/>
      <c r="H2124" s="242">
        <v>9000</v>
      </c>
      <c r="I2124" s="242">
        <v>6491</v>
      </c>
      <c r="J2124"/>
    </row>
    <row r="2125" spans="1:10" ht="15.75" customHeight="1">
      <c r="A2125" t="s">
        <v>2596</v>
      </c>
      <c r="B2125">
        <v>713300</v>
      </c>
      <c r="C2125">
        <v>1</v>
      </c>
      <c r="D2125" t="str">
        <f t="shared" si="33"/>
        <v>1713300.550</v>
      </c>
      <c r="E2125" t="s">
        <v>2597</v>
      </c>
      <c r="F2125" s="242"/>
      <c r="G2125"/>
      <c r="H2125" s="242">
        <v>13800</v>
      </c>
      <c r="I2125" s="242">
        <v>0</v>
      </c>
      <c r="J2125"/>
    </row>
    <row r="2126" spans="1:10" ht="15.75" customHeight="1">
      <c r="A2126" t="s">
        <v>2598</v>
      </c>
      <c r="B2126">
        <v>713300</v>
      </c>
      <c r="C2126">
        <v>1</v>
      </c>
      <c r="D2126" t="str">
        <f t="shared" si="33"/>
        <v>1713300.561</v>
      </c>
      <c r="E2126" t="s">
        <v>2914</v>
      </c>
      <c r="F2126" s="242"/>
      <c r="G2126"/>
      <c r="H2126" s="242">
        <v>3300</v>
      </c>
      <c r="I2126" s="242">
        <v>0</v>
      </c>
      <c r="J2126"/>
    </row>
    <row r="2127" spans="1:10" ht="15.75" customHeight="1">
      <c r="A2127" t="s">
        <v>2771</v>
      </c>
      <c r="B2127">
        <v>713300</v>
      </c>
      <c r="C2127">
        <v>1</v>
      </c>
      <c r="D2127" t="str">
        <f t="shared" si="33"/>
        <v>1713300.570</v>
      </c>
      <c r="E2127" t="s">
        <v>2915</v>
      </c>
      <c r="F2127" s="242"/>
      <c r="G2127"/>
      <c r="H2127" s="242">
        <v>59100</v>
      </c>
      <c r="I2127" s="242">
        <v>57998</v>
      </c>
      <c r="J2127"/>
    </row>
    <row r="2128" spans="1:10" ht="15.75" customHeight="1">
      <c r="A2128" t="s">
        <v>2647</v>
      </c>
      <c r="B2128">
        <v>713300</v>
      </c>
      <c r="C2128">
        <v>1</v>
      </c>
      <c r="D2128" t="str">
        <f t="shared" si="33"/>
        <v>1713300.574</v>
      </c>
      <c r="E2128" t="s">
        <v>2648</v>
      </c>
      <c r="F2128" s="242"/>
      <c r="G2128"/>
      <c r="H2128" s="242">
        <v>7300</v>
      </c>
      <c r="I2128" s="242">
        <v>7174</v>
      </c>
      <c r="J2128"/>
    </row>
    <row r="2129" spans="1:10" ht="15.75" customHeight="1">
      <c r="A2129" t="s">
        <v>2600</v>
      </c>
      <c r="B2129">
        <v>713300</v>
      </c>
      <c r="C2129">
        <v>1</v>
      </c>
      <c r="D2129" t="str">
        <f t="shared" si="33"/>
        <v>1713300.580</v>
      </c>
      <c r="E2129" t="s">
        <v>2601</v>
      </c>
      <c r="F2129" s="242"/>
      <c r="G2129"/>
      <c r="H2129" s="242">
        <v>1000</v>
      </c>
      <c r="I2129" s="242">
        <v>565</v>
      </c>
      <c r="J2129"/>
    </row>
    <row r="2130" spans="1:10" ht="15.75" customHeight="1">
      <c r="A2130" t="s">
        <v>673</v>
      </c>
      <c r="B2130">
        <v>713300</v>
      </c>
      <c r="C2130">
        <v>1</v>
      </c>
      <c r="D2130" t="str">
        <f t="shared" si="33"/>
        <v>1713300.743</v>
      </c>
      <c r="E2130" t="s">
        <v>2622</v>
      </c>
      <c r="F2130" s="242"/>
      <c r="G2130"/>
      <c r="H2130" s="242">
        <v>10400</v>
      </c>
      <c r="I2130" s="242">
        <v>5858</v>
      </c>
      <c r="J2130"/>
    </row>
    <row r="2131" spans="1:10" ht="15.75" customHeight="1">
      <c r="A2131" t="s">
        <v>2571</v>
      </c>
      <c r="B2131">
        <v>713310</v>
      </c>
      <c r="C2131">
        <v>1</v>
      </c>
      <c r="D2131" t="str">
        <f t="shared" si="33"/>
        <v>1713310.105</v>
      </c>
      <c r="E2131" t="s">
        <v>2572</v>
      </c>
      <c r="F2131" s="242"/>
      <c r="G2131"/>
      <c r="H2131" s="242">
        <v>110200</v>
      </c>
      <c r="I2131" s="242">
        <v>0</v>
      </c>
      <c r="J2131"/>
    </row>
    <row r="2132" spans="1:10" ht="15.75" customHeight="1">
      <c r="A2132" t="s">
        <v>2403</v>
      </c>
      <c r="B2132">
        <v>713310</v>
      </c>
      <c r="C2132">
        <v>1</v>
      </c>
      <c r="D2132" t="str">
        <f t="shared" si="33"/>
        <v>1713310.110</v>
      </c>
      <c r="E2132" t="s">
        <v>2573</v>
      </c>
      <c r="F2132" s="242"/>
      <c r="G2132"/>
      <c r="H2132" s="242">
        <v>357186</v>
      </c>
      <c r="I2132" s="242">
        <v>469047</v>
      </c>
      <c r="J2132"/>
    </row>
    <row r="2133" spans="1:10" ht="15.75" customHeight="1">
      <c r="A2133" t="s">
        <v>2404</v>
      </c>
      <c r="B2133">
        <v>713310</v>
      </c>
      <c r="C2133">
        <v>1</v>
      </c>
      <c r="D2133" t="str">
        <f t="shared" si="33"/>
        <v>1713310.120</v>
      </c>
      <c r="E2133" t="s">
        <v>2574</v>
      </c>
      <c r="F2133" s="242"/>
      <c r="G2133"/>
      <c r="H2133" s="242">
        <v>72028</v>
      </c>
      <c r="I2133" s="242">
        <v>87131</v>
      </c>
      <c r="J2133"/>
    </row>
    <row r="2134" spans="1:10" ht="15.75" customHeight="1">
      <c r="A2134" t="s">
        <v>2575</v>
      </c>
      <c r="B2134">
        <v>713310</v>
      </c>
      <c r="C2134">
        <v>1</v>
      </c>
      <c r="D2134" t="str">
        <f t="shared" si="33"/>
        <v>1713310.130</v>
      </c>
      <c r="E2134" t="s">
        <v>2576</v>
      </c>
      <c r="F2134" s="242"/>
      <c r="G2134"/>
      <c r="H2134" s="242">
        <v>412</v>
      </c>
      <c r="I2134" s="242">
        <v>283</v>
      </c>
      <c r="J2134"/>
    </row>
    <row r="2135" spans="1:10" ht="15.75" customHeight="1">
      <c r="A2135" t="s">
        <v>2577</v>
      </c>
      <c r="B2135">
        <v>713310</v>
      </c>
      <c r="C2135">
        <v>1</v>
      </c>
      <c r="D2135" t="str">
        <f t="shared" si="33"/>
        <v>1713310.140</v>
      </c>
      <c r="E2135" t="s">
        <v>2578</v>
      </c>
      <c r="F2135" s="242"/>
      <c r="G2135"/>
      <c r="H2135" s="242">
        <v>65131</v>
      </c>
      <c r="I2135" s="242">
        <v>68611</v>
      </c>
      <c r="J2135"/>
    </row>
    <row r="2136" spans="1:10" ht="15.75" customHeight="1">
      <c r="A2136" t="s">
        <v>2579</v>
      </c>
      <c r="B2136">
        <v>713310</v>
      </c>
      <c r="C2136">
        <v>1</v>
      </c>
      <c r="D2136" t="str">
        <f t="shared" si="33"/>
        <v>1713310.181</v>
      </c>
      <c r="E2136" t="s">
        <v>2580</v>
      </c>
      <c r="F2136" s="242"/>
      <c r="G2136"/>
      <c r="H2136" s="242">
        <v>86870</v>
      </c>
      <c r="I2136" s="242">
        <v>107133</v>
      </c>
      <c r="J2136"/>
    </row>
    <row r="2137" spans="1:10" ht="15.75" customHeight="1">
      <c r="A2137" t="s">
        <v>2581</v>
      </c>
      <c r="B2137">
        <v>713310</v>
      </c>
      <c r="C2137">
        <v>1</v>
      </c>
      <c r="D2137" t="str">
        <f t="shared" si="33"/>
        <v>1713310.182</v>
      </c>
      <c r="E2137" t="s">
        <v>2582</v>
      </c>
      <c r="F2137" s="242"/>
      <c r="G2137"/>
      <c r="H2137" s="242">
        <v>37385</v>
      </c>
      <c r="I2137" s="242">
        <v>47276</v>
      </c>
      <c r="J2137"/>
    </row>
    <row r="2138" spans="1:10" ht="15.75" customHeight="1">
      <c r="A2138" t="s">
        <v>2411</v>
      </c>
      <c r="B2138">
        <v>713310</v>
      </c>
      <c r="C2138">
        <v>1</v>
      </c>
      <c r="D2138" t="str">
        <f t="shared" si="33"/>
        <v>1713310.470</v>
      </c>
      <c r="E2138" t="s">
        <v>2660</v>
      </c>
      <c r="F2138" s="242"/>
      <c r="G2138"/>
      <c r="H2138" s="242">
        <v>1000</v>
      </c>
      <c r="I2138" s="242">
        <v>450</v>
      </c>
      <c r="J2138"/>
    </row>
    <row r="2139" spans="1:10" ht="15.75" customHeight="1">
      <c r="A2139" t="s">
        <v>2286</v>
      </c>
      <c r="B2139">
        <v>713310</v>
      </c>
      <c r="C2139">
        <v>1</v>
      </c>
      <c r="D2139" t="str">
        <f t="shared" si="33"/>
        <v>1713310.511</v>
      </c>
      <c r="E2139" t="s">
        <v>2584</v>
      </c>
      <c r="F2139" s="242"/>
      <c r="G2139"/>
      <c r="H2139" s="242">
        <v>4300</v>
      </c>
      <c r="I2139" s="242">
        <v>3341</v>
      </c>
      <c r="J2139"/>
    </row>
    <row r="2140" spans="1:10" ht="15.75" customHeight="1">
      <c r="A2140" t="s">
        <v>2414</v>
      </c>
      <c r="B2140">
        <v>713310</v>
      </c>
      <c r="C2140">
        <v>1</v>
      </c>
      <c r="D2140" t="str">
        <f t="shared" si="33"/>
        <v>1713310.512</v>
      </c>
      <c r="E2140" t="s">
        <v>2585</v>
      </c>
      <c r="F2140" s="242"/>
      <c r="G2140"/>
      <c r="H2140" s="242">
        <v>500</v>
      </c>
      <c r="I2140" s="242">
        <v>0</v>
      </c>
      <c r="J2140"/>
    </row>
    <row r="2141" spans="1:10" ht="15.75" customHeight="1">
      <c r="A2141" t="s">
        <v>2644</v>
      </c>
      <c r="B2141">
        <v>713310</v>
      </c>
      <c r="C2141">
        <v>1</v>
      </c>
      <c r="D2141" t="str">
        <f t="shared" si="33"/>
        <v>1713310.521</v>
      </c>
      <c r="E2141" t="s">
        <v>2734</v>
      </c>
      <c r="F2141" s="242"/>
      <c r="G2141"/>
      <c r="H2141" s="242">
        <v>56000</v>
      </c>
      <c r="I2141" s="242">
        <v>6488</v>
      </c>
      <c r="J2141"/>
    </row>
    <row r="2142" spans="1:10" ht="15.75" customHeight="1">
      <c r="A2142" t="s">
        <v>2588</v>
      </c>
      <c r="B2142">
        <v>713310</v>
      </c>
      <c r="C2142">
        <v>1</v>
      </c>
      <c r="D2142" t="str">
        <f t="shared" si="33"/>
        <v>1713310.522</v>
      </c>
      <c r="E2142" t="s">
        <v>2608</v>
      </c>
      <c r="F2142" s="242"/>
      <c r="G2142"/>
      <c r="H2142" s="242">
        <v>600</v>
      </c>
      <c r="I2142" s="242">
        <v>0</v>
      </c>
      <c r="J2142"/>
    </row>
    <row r="2143" spans="1:10" ht="15.75" customHeight="1">
      <c r="A2143" t="s">
        <v>2596</v>
      </c>
      <c r="B2143">
        <v>713310</v>
      </c>
      <c r="C2143">
        <v>1</v>
      </c>
      <c r="D2143" t="str">
        <f t="shared" si="33"/>
        <v>1713310.550</v>
      </c>
      <c r="E2143" t="s">
        <v>2597</v>
      </c>
      <c r="F2143" s="242"/>
      <c r="G2143"/>
      <c r="H2143" s="242">
        <v>19200</v>
      </c>
      <c r="I2143" s="242">
        <v>13018</v>
      </c>
      <c r="J2143"/>
    </row>
    <row r="2144" spans="1:10" ht="15.75" customHeight="1">
      <c r="A2144" t="s">
        <v>2598</v>
      </c>
      <c r="B2144">
        <v>713310</v>
      </c>
      <c r="C2144">
        <v>1</v>
      </c>
      <c r="D2144" t="str">
        <f t="shared" si="33"/>
        <v>1713310.561</v>
      </c>
      <c r="E2144" t="s">
        <v>2599</v>
      </c>
      <c r="F2144" s="242"/>
      <c r="G2144"/>
      <c r="H2144" s="242">
        <v>3300</v>
      </c>
      <c r="I2144" s="242">
        <v>2662</v>
      </c>
      <c r="J2144"/>
    </row>
    <row r="2145" spans="1:10" ht="15.75" customHeight="1">
      <c r="A2145" t="s">
        <v>2620</v>
      </c>
      <c r="B2145">
        <v>713310</v>
      </c>
      <c r="C2145">
        <v>1</v>
      </c>
      <c r="D2145" t="str">
        <f t="shared" si="33"/>
        <v>1713310.575</v>
      </c>
      <c r="E2145" t="s">
        <v>2908</v>
      </c>
      <c r="F2145" s="242"/>
      <c r="G2145"/>
      <c r="H2145" s="242">
        <v>6800</v>
      </c>
      <c r="I2145" s="242">
        <v>0</v>
      </c>
      <c r="J2145"/>
    </row>
    <row r="2146" spans="1:10" ht="15.75" customHeight="1">
      <c r="A2146" t="s">
        <v>2600</v>
      </c>
      <c r="B2146">
        <v>713310</v>
      </c>
      <c r="C2146">
        <v>1</v>
      </c>
      <c r="D2146" t="str">
        <f t="shared" si="33"/>
        <v>1713310.580</v>
      </c>
      <c r="E2146" t="s">
        <v>2601</v>
      </c>
      <c r="F2146" s="242"/>
      <c r="G2146"/>
      <c r="H2146" s="242">
        <v>1000</v>
      </c>
      <c r="I2146" s="242">
        <v>1235</v>
      </c>
      <c r="J2146"/>
    </row>
    <row r="2147" spans="1:10" ht="15.75" customHeight="1">
      <c r="A2147" t="s">
        <v>2702</v>
      </c>
      <c r="B2147">
        <v>713310</v>
      </c>
      <c r="C2147">
        <v>1</v>
      </c>
      <c r="D2147" t="str">
        <f t="shared" si="33"/>
        <v>1713310.582</v>
      </c>
      <c r="E2147" t="s">
        <v>2730</v>
      </c>
      <c r="F2147" s="242"/>
      <c r="G2147"/>
      <c r="H2147" s="242">
        <v>4400</v>
      </c>
      <c r="I2147" s="242">
        <v>0</v>
      </c>
      <c r="J2147"/>
    </row>
    <row r="2148" spans="1:10" ht="15.75" customHeight="1">
      <c r="A2148" t="s">
        <v>673</v>
      </c>
      <c r="B2148">
        <v>713310</v>
      </c>
      <c r="C2148">
        <v>1</v>
      </c>
      <c r="D2148" t="str">
        <f t="shared" si="33"/>
        <v>1713310.743</v>
      </c>
      <c r="E2148" t="s">
        <v>2622</v>
      </c>
      <c r="F2148" s="242"/>
      <c r="G2148"/>
      <c r="H2148" s="242">
        <v>21600</v>
      </c>
      <c r="I2148" s="242">
        <v>21143</v>
      </c>
      <c r="J2148"/>
    </row>
    <row r="2149" spans="1:10" ht="15.75" customHeight="1">
      <c r="A2149" t="s">
        <v>2611</v>
      </c>
      <c r="B2149">
        <v>713310</v>
      </c>
      <c r="C2149">
        <v>1</v>
      </c>
      <c r="D2149" t="str">
        <f t="shared" si="33"/>
        <v>1713310.750</v>
      </c>
      <c r="E2149" t="s">
        <v>2707</v>
      </c>
      <c r="F2149" s="242"/>
      <c r="G2149"/>
      <c r="H2149" s="242">
        <v>47200</v>
      </c>
      <c r="I2149" s="242">
        <v>2106</v>
      </c>
      <c r="J2149"/>
    </row>
    <row r="2150" spans="1:10" ht="15.75" customHeight="1">
      <c r="A2150" t="s">
        <v>776</v>
      </c>
      <c r="B2150">
        <v>713310</v>
      </c>
      <c r="C2150">
        <v>1</v>
      </c>
      <c r="D2150" t="str">
        <f t="shared" si="33"/>
        <v>1713310.752</v>
      </c>
      <c r="E2150" t="s">
        <v>2909</v>
      </c>
      <c r="F2150" s="242"/>
      <c r="G2150"/>
      <c r="H2150" s="242">
        <v>0</v>
      </c>
      <c r="I2150" s="242">
        <v>0</v>
      </c>
      <c r="J2150"/>
    </row>
    <row r="2151" spans="1:10" ht="15.75" customHeight="1">
      <c r="A2151" t="s">
        <v>835</v>
      </c>
      <c r="B2151">
        <v>713310</v>
      </c>
      <c r="C2151">
        <v>1</v>
      </c>
      <c r="D2151" t="str">
        <f t="shared" si="33"/>
        <v>1713310.769</v>
      </c>
      <c r="E2151" t="s">
        <v>2605</v>
      </c>
      <c r="F2151" s="242"/>
      <c r="G2151"/>
      <c r="H2151" s="242">
        <v>19000</v>
      </c>
      <c r="I2151" s="242">
        <v>4458</v>
      </c>
      <c r="J2151"/>
    </row>
    <row r="2152" spans="1:10" ht="15.75" customHeight="1">
      <c r="A2152" t="s">
        <v>2632</v>
      </c>
      <c r="B2152">
        <v>713310</v>
      </c>
      <c r="C2152">
        <v>1</v>
      </c>
      <c r="D2152" t="str">
        <f t="shared" si="33"/>
        <v>1713310.780</v>
      </c>
      <c r="E2152" t="s">
        <v>2910</v>
      </c>
      <c r="F2152" s="242"/>
      <c r="G2152"/>
      <c r="H2152" s="242">
        <v>4500</v>
      </c>
      <c r="I2152" s="242">
        <v>0</v>
      </c>
      <c r="J2152"/>
    </row>
    <row r="2153" spans="1:10" ht="15.75" customHeight="1">
      <c r="A2153" t="s">
        <v>2740</v>
      </c>
      <c r="B2153">
        <v>713310</v>
      </c>
      <c r="C2153">
        <v>1</v>
      </c>
      <c r="D2153" t="str">
        <f t="shared" si="33"/>
        <v>1713310.930</v>
      </c>
      <c r="E2153" t="s">
        <v>2834</v>
      </c>
      <c r="F2153" s="242"/>
      <c r="G2153"/>
      <c r="H2153" s="242">
        <v>16000</v>
      </c>
      <c r="I2153" s="242">
        <v>0</v>
      </c>
      <c r="J2153"/>
    </row>
    <row r="2154" spans="1:10" ht="15.75" customHeight="1">
      <c r="A2154" t="s">
        <v>1662</v>
      </c>
      <c r="B2154">
        <v>713310</v>
      </c>
      <c r="C2154">
        <v>1</v>
      </c>
      <c r="D2154" t="str">
        <f t="shared" si="33"/>
        <v>1713310.931</v>
      </c>
      <c r="E2154" t="s">
        <v>2741</v>
      </c>
      <c r="F2154" s="242"/>
      <c r="G2154"/>
      <c r="H2154" s="242">
        <v>0</v>
      </c>
      <c r="I2154" s="242">
        <v>0</v>
      </c>
      <c r="J2154"/>
    </row>
    <row r="2155" spans="1:10" ht="15.75" customHeight="1">
      <c r="A2155" t="s">
        <v>2691</v>
      </c>
      <c r="B2155">
        <v>713310</v>
      </c>
      <c r="C2155">
        <v>1</v>
      </c>
      <c r="D2155" t="str">
        <f t="shared" si="33"/>
        <v>1713310.986</v>
      </c>
      <c r="E2155" t="s">
        <v>2911</v>
      </c>
      <c r="F2155" s="242"/>
      <c r="G2155"/>
      <c r="H2155" s="242">
        <v>0</v>
      </c>
      <c r="I2155" s="242">
        <v>0</v>
      </c>
      <c r="J2155"/>
    </row>
    <row r="2156" spans="1:10" ht="15.75" customHeight="1">
      <c r="A2156" t="s">
        <v>2403</v>
      </c>
      <c r="B2156">
        <v>713311</v>
      </c>
      <c r="C2156">
        <v>1</v>
      </c>
      <c r="D2156" t="str">
        <f t="shared" si="33"/>
        <v>1713311.110</v>
      </c>
      <c r="E2156" t="s">
        <v>2573</v>
      </c>
      <c r="F2156" s="242"/>
      <c r="G2156"/>
      <c r="H2156" s="242">
        <v>474582</v>
      </c>
      <c r="I2156" s="242">
        <v>517745</v>
      </c>
      <c r="J2156"/>
    </row>
    <row r="2157" spans="1:10" ht="15.75" customHeight="1">
      <c r="A2157" t="s">
        <v>2404</v>
      </c>
      <c r="B2157">
        <v>713311</v>
      </c>
      <c r="C2157">
        <v>1</v>
      </c>
      <c r="D2157" t="str">
        <f t="shared" si="33"/>
        <v>1713311.120</v>
      </c>
      <c r="E2157" t="s">
        <v>2574</v>
      </c>
      <c r="F2157" s="242"/>
      <c r="G2157"/>
      <c r="H2157" s="242">
        <v>50693</v>
      </c>
      <c r="I2157" s="242">
        <v>59171</v>
      </c>
      <c r="J2157"/>
    </row>
    <row r="2158" spans="1:10" ht="15.75" customHeight="1">
      <c r="A2158" t="s">
        <v>2575</v>
      </c>
      <c r="B2158">
        <v>713311</v>
      </c>
      <c r="C2158">
        <v>1</v>
      </c>
      <c r="D2158" t="str">
        <f t="shared" si="33"/>
        <v>1713311.130</v>
      </c>
      <c r="E2158" t="s">
        <v>2576</v>
      </c>
      <c r="F2158" s="242"/>
      <c r="G2158"/>
      <c r="H2158" s="242">
        <v>7986</v>
      </c>
      <c r="I2158" s="242">
        <v>12290</v>
      </c>
      <c r="J2158"/>
    </row>
    <row r="2159" spans="1:10" ht="15.75" customHeight="1">
      <c r="A2159" t="s">
        <v>2577</v>
      </c>
      <c r="B2159">
        <v>713311</v>
      </c>
      <c r="C2159">
        <v>1</v>
      </c>
      <c r="D2159" t="str">
        <f t="shared" si="33"/>
        <v>1713311.140</v>
      </c>
      <c r="E2159" t="s">
        <v>2578</v>
      </c>
      <c r="F2159" s="242"/>
      <c r="G2159"/>
      <c r="H2159" s="242">
        <v>150959</v>
      </c>
      <c r="I2159" s="242">
        <v>162230</v>
      </c>
      <c r="J2159"/>
    </row>
    <row r="2160" spans="1:10" ht="15.75" customHeight="1">
      <c r="A2160" t="s">
        <v>2579</v>
      </c>
      <c r="B2160">
        <v>713311</v>
      </c>
      <c r="C2160">
        <v>1</v>
      </c>
      <c r="D2160" t="str">
        <f t="shared" si="33"/>
        <v>1713311.181</v>
      </c>
      <c r="E2160" t="s">
        <v>2580</v>
      </c>
      <c r="F2160" s="242"/>
      <c r="G2160"/>
      <c r="H2160" s="242">
        <v>123515</v>
      </c>
      <c r="I2160" s="242">
        <v>135168</v>
      </c>
      <c r="J2160"/>
    </row>
    <row r="2161" spans="1:10" ht="15.75" customHeight="1">
      <c r="A2161" t="s">
        <v>2581</v>
      </c>
      <c r="B2161">
        <v>713311</v>
      </c>
      <c r="C2161">
        <v>1</v>
      </c>
      <c r="D2161" t="str">
        <f t="shared" si="33"/>
        <v>1713311.182</v>
      </c>
      <c r="E2161" t="s">
        <v>2582</v>
      </c>
      <c r="F2161" s="242"/>
      <c r="G2161"/>
      <c r="H2161" s="242">
        <v>51721</v>
      </c>
      <c r="I2161" s="242">
        <v>56855</v>
      </c>
      <c r="J2161"/>
    </row>
    <row r="2162" spans="1:10" ht="15.75" customHeight="1">
      <c r="A2162" t="s">
        <v>2286</v>
      </c>
      <c r="B2162">
        <v>713311</v>
      </c>
      <c r="C2162">
        <v>1</v>
      </c>
      <c r="D2162" t="str">
        <f t="shared" si="33"/>
        <v>1713311.511</v>
      </c>
      <c r="E2162" t="s">
        <v>2805</v>
      </c>
      <c r="F2162" s="242"/>
      <c r="G2162"/>
      <c r="H2162" s="242">
        <v>1000</v>
      </c>
      <c r="I2162" s="242">
        <v>986</v>
      </c>
      <c r="J2162"/>
    </row>
    <row r="2163" spans="1:10" ht="15.75" customHeight="1">
      <c r="A2163" t="s">
        <v>2598</v>
      </c>
      <c r="B2163">
        <v>713311</v>
      </c>
      <c r="C2163">
        <v>1</v>
      </c>
      <c r="D2163" t="str">
        <f t="shared" si="33"/>
        <v>1713311.561</v>
      </c>
      <c r="E2163" t="s">
        <v>2599</v>
      </c>
      <c r="F2163" s="242"/>
      <c r="G2163"/>
      <c r="H2163" s="242">
        <v>3000</v>
      </c>
      <c r="I2163" s="242">
        <v>2213</v>
      </c>
      <c r="J2163"/>
    </row>
    <row r="2164" spans="1:10" ht="15.75" customHeight="1">
      <c r="A2164" t="s">
        <v>600</v>
      </c>
      <c r="B2164">
        <v>713311</v>
      </c>
      <c r="C2164">
        <v>1</v>
      </c>
      <c r="D2164" t="str">
        <f t="shared" si="33"/>
        <v>1713311.731</v>
      </c>
      <c r="E2164" t="s">
        <v>2593</v>
      </c>
      <c r="F2164" s="242"/>
      <c r="G2164"/>
      <c r="H2164" s="242">
        <v>33417</v>
      </c>
      <c r="I2164" s="242">
        <v>26644</v>
      </c>
      <c r="J2164"/>
    </row>
    <row r="2165" spans="1:10" ht="15.75" customHeight="1">
      <c r="A2165" t="s">
        <v>2418</v>
      </c>
      <c r="B2165">
        <v>713311</v>
      </c>
      <c r="C2165">
        <v>1</v>
      </c>
      <c r="D2165" t="str">
        <f t="shared" si="33"/>
        <v>1713311.735</v>
      </c>
      <c r="E2165" t="s">
        <v>2602</v>
      </c>
      <c r="F2165" s="242"/>
      <c r="G2165"/>
      <c r="H2165" s="242">
        <v>135945</v>
      </c>
      <c r="I2165" s="242">
        <v>130253</v>
      </c>
      <c r="J2165"/>
    </row>
    <row r="2166" spans="1:10" ht="15.75" customHeight="1">
      <c r="A2166" t="s">
        <v>673</v>
      </c>
      <c r="B2166">
        <v>713311</v>
      </c>
      <c r="C2166">
        <v>1</v>
      </c>
      <c r="D2166" t="str">
        <f t="shared" si="33"/>
        <v>1713311.743</v>
      </c>
      <c r="E2166" t="s">
        <v>2622</v>
      </c>
      <c r="F2166" s="242"/>
      <c r="G2166"/>
      <c r="H2166" s="242">
        <v>24800</v>
      </c>
      <c r="I2166" s="242">
        <v>28153</v>
      </c>
      <c r="J2166"/>
    </row>
    <row r="2167" spans="1:10" ht="15.75" customHeight="1">
      <c r="A2167" t="s">
        <v>737</v>
      </c>
      <c r="B2167">
        <v>713311</v>
      </c>
      <c r="C2167">
        <v>1</v>
      </c>
      <c r="D2167" t="str">
        <f t="shared" si="33"/>
        <v>1713311.747</v>
      </c>
      <c r="E2167" t="s">
        <v>2765</v>
      </c>
      <c r="F2167" s="242"/>
      <c r="G2167"/>
      <c r="H2167" s="242">
        <v>6900</v>
      </c>
      <c r="I2167" s="242">
        <v>0</v>
      </c>
      <c r="J2167"/>
    </row>
    <row r="2168" spans="1:10" ht="15.75" customHeight="1">
      <c r="A2168" t="s">
        <v>2403</v>
      </c>
      <c r="B2168">
        <v>713320</v>
      </c>
      <c r="C2168">
        <v>1</v>
      </c>
      <c r="D2168" t="str">
        <f t="shared" si="33"/>
        <v>1713320.110</v>
      </c>
      <c r="E2168" t="s">
        <v>2573</v>
      </c>
      <c r="F2168" s="242"/>
      <c r="G2168"/>
      <c r="H2168" s="242">
        <v>190707</v>
      </c>
      <c r="I2168" s="242">
        <v>106148</v>
      </c>
      <c r="J2168"/>
    </row>
    <row r="2169" spans="1:10" ht="15.75" customHeight="1">
      <c r="A2169" t="s">
        <v>2404</v>
      </c>
      <c r="B2169">
        <v>713320</v>
      </c>
      <c r="C2169">
        <v>1</v>
      </c>
      <c r="D2169" t="str">
        <f t="shared" si="33"/>
        <v>1713320.120</v>
      </c>
      <c r="E2169" t="s">
        <v>2574</v>
      </c>
      <c r="F2169" s="242"/>
      <c r="G2169"/>
      <c r="H2169" s="242">
        <v>51009</v>
      </c>
      <c r="I2169" s="242">
        <v>22704</v>
      </c>
      <c r="J2169"/>
    </row>
    <row r="2170" spans="1:10" ht="15.75" customHeight="1">
      <c r="A2170" t="s">
        <v>2575</v>
      </c>
      <c r="B2170">
        <v>713320</v>
      </c>
      <c r="C2170">
        <v>1</v>
      </c>
      <c r="D2170" t="str">
        <f t="shared" si="33"/>
        <v>1713320.130</v>
      </c>
      <c r="E2170" t="s">
        <v>2576</v>
      </c>
      <c r="F2170" s="242"/>
      <c r="G2170"/>
      <c r="H2170" s="242">
        <v>7982</v>
      </c>
      <c r="I2170" s="242">
        <v>925</v>
      </c>
      <c r="J2170"/>
    </row>
    <row r="2171" spans="1:10" ht="15.75" customHeight="1">
      <c r="A2171" t="s">
        <v>2577</v>
      </c>
      <c r="B2171">
        <v>713320</v>
      </c>
      <c r="C2171">
        <v>1</v>
      </c>
      <c r="D2171" t="str">
        <f t="shared" si="33"/>
        <v>1713320.140</v>
      </c>
      <c r="E2171" t="s">
        <v>2578</v>
      </c>
      <c r="F2171" s="242"/>
      <c r="G2171"/>
      <c r="H2171" s="242">
        <v>73728</v>
      </c>
      <c r="I2171" s="242">
        <v>35167</v>
      </c>
      <c r="J2171"/>
    </row>
    <row r="2172" spans="1:10" ht="15.75" customHeight="1">
      <c r="A2172" t="s">
        <v>2579</v>
      </c>
      <c r="B2172">
        <v>713320</v>
      </c>
      <c r="C2172">
        <v>1</v>
      </c>
      <c r="D2172" t="str">
        <f t="shared" si="33"/>
        <v>1713320.181</v>
      </c>
      <c r="E2172" t="s">
        <v>2580</v>
      </c>
      <c r="F2172" s="242"/>
      <c r="G2172"/>
      <c r="H2172" s="242">
        <v>56594</v>
      </c>
      <c r="I2172" s="242">
        <v>25903</v>
      </c>
      <c r="J2172"/>
    </row>
    <row r="2173" spans="1:10" ht="15.75" customHeight="1">
      <c r="A2173" t="s">
        <v>2581</v>
      </c>
      <c r="B2173">
        <v>713320</v>
      </c>
      <c r="C2173">
        <v>1</v>
      </c>
      <c r="D2173" t="str">
        <f t="shared" si="33"/>
        <v>1713320.182</v>
      </c>
      <c r="E2173" t="s">
        <v>2582</v>
      </c>
      <c r="F2173" s="242"/>
      <c r="G2173"/>
      <c r="H2173" s="242">
        <v>26560</v>
      </c>
      <c r="I2173" s="242">
        <v>12458</v>
      </c>
      <c r="J2173"/>
    </row>
    <row r="2174" spans="1:10" ht="15.75" customHeight="1">
      <c r="A2174" t="s">
        <v>2286</v>
      </c>
      <c r="B2174">
        <v>713320</v>
      </c>
      <c r="C2174">
        <v>1</v>
      </c>
      <c r="D2174" t="str">
        <f t="shared" si="33"/>
        <v>1713320.511</v>
      </c>
      <c r="E2174" t="s">
        <v>2584</v>
      </c>
      <c r="F2174" s="242"/>
      <c r="G2174"/>
      <c r="H2174" s="242">
        <v>0</v>
      </c>
      <c r="I2174" s="242">
        <v>0</v>
      </c>
      <c r="J2174"/>
    </row>
    <row r="2175" spans="1:10" ht="15.75" customHeight="1">
      <c r="A2175" t="s">
        <v>2598</v>
      </c>
      <c r="B2175">
        <v>713320</v>
      </c>
      <c r="C2175">
        <v>1</v>
      </c>
      <c r="D2175" t="str">
        <f t="shared" si="33"/>
        <v>1713320.561</v>
      </c>
      <c r="E2175" t="s">
        <v>2599</v>
      </c>
      <c r="F2175" s="242"/>
      <c r="G2175"/>
      <c r="H2175" s="242">
        <v>0</v>
      </c>
      <c r="I2175" s="242">
        <v>0</v>
      </c>
      <c r="J2175"/>
    </row>
    <row r="2176" spans="1:10" ht="15.75" customHeight="1">
      <c r="A2176" t="s">
        <v>2571</v>
      </c>
      <c r="B2176">
        <v>714200</v>
      </c>
      <c r="C2176">
        <v>1</v>
      </c>
      <c r="D2176" t="str">
        <f t="shared" si="33"/>
        <v>1714200.105</v>
      </c>
      <c r="E2176" t="s">
        <v>2572</v>
      </c>
      <c r="F2176" s="242"/>
      <c r="G2176"/>
      <c r="H2176" s="242">
        <v>0</v>
      </c>
      <c r="I2176" s="242">
        <v>0</v>
      </c>
      <c r="J2176"/>
    </row>
    <row r="2177" spans="1:10" ht="15.75" customHeight="1">
      <c r="A2177" t="s">
        <v>2403</v>
      </c>
      <c r="B2177">
        <v>714200</v>
      </c>
      <c r="C2177">
        <v>1</v>
      </c>
      <c r="D2177" t="str">
        <f t="shared" si="33"/>
        <v>1714200.110</v>
      </c>
      <c r="E2177" t="s">
        <v>2573</v>
      </c>
      <c r="F2177" s="242"/>
      <c r="G2177"/>
      <c r="H2177" s="242">
        <v>1548712</v>
      </c>
      <c r="I2177" s="242">
        <v>1560135</v>
      </c>
      <c r="J2177"/>
    </row>
    <row r="2178" spans="1:10" ht="15.75" customHeight="1">
      <c r="A2178" t="s">
        <v>2404</v>
      </c>
      <c r="B2178">
        <v>714200</v>
      </c>
      <c r="C2178">
        <v>1</v>
      </c>
      <c r="D2178" t="str">
        <f t="shared" si="33"/>
        <v>1714200.120</v>
      </c>
      <c r="E2178" t="s">
        <v>2574</v>
      </c>
      <c r="F2178" s="242"/>
      <c r="G2178"/>
      <c r="H2178" s="242">
        <v>21004</v>
      </c>
      <c r="I2178" s="242">
        <v>23244</v>
      </c>
      <c r="J2178"/>
    </row>
    <row r="2179" spans="1:10" ht="15.75" customHeight="1">
      <c r="A2179" t="s">
        <v>2575</v>
      </c>
      <c r="B2179">
        <v>714200</v>
      </c>
      <c r="C2179">
        <v>1</v>
      </c>
      <c r="D2179" t="str">
        <f t="shared" ref="D2179:D2242" si="34">C2179&amp;B2179&amp;"."&amp;A2179</f>
        <v>1714200.130</v>
      </c>
      <c r="E2179" t="s">
        <v>2576</v>
      </c>
      <c r="F2179" s="242"/>
      <c r="G2179"/>
      <c r="H2179" s="242">
        <v>38600</v>
      </c>
      <c r="I2179" s="242">
        <v>49675</v>
      </c>
      <c r="J2179"/>
    </row>
    <row r="2180" spans="1:10" ht="15.75" customHeight="1">
      <c r="A2180" t="s">
        <v>2577</v>
      </c>
      <c r="B2180">
        <v>714200</v>
      </c>
      <c r="C2180">
        <v>1</v>
      </c>
      <c r="D2180" t="str">
        <f t="shared" si="34"/>
        <v>1714200.140</v>
      </c>
      <c r="E2180" t="s">
        <v>2578</v>
      </c>
      <c r="F2180" s="242"/>
      <c r="G2180"/>
      <c r="H2180" s="242">
        <v>157562</v>
      </c>
      <c r="I2180" s="242">
        <v>161949</v>
      </c>
      <c r="J2180"/>
    </row>
    <row r="2181" spans="1:10" ht="15.75" customHeight="1">
      <c r="A2181" t="s">
        <v>2579</v>
      </c>
      <c r="B2181">
        <v>714200</v>
      </c>
      <c r="C2181">
        <v>1</v>
      </c>
      <c r="D2181" t="str">
        <f t="shared" si="34"/>
        <v>1714200.181</v>
      </c>
      <c r="E2181" t="s">
        <v>2580</v>
      </c>
      <c r="F2181" s="242"/>
      <c r="G2181"/>
      <c r="H2181" s="242">
        <v>306023</v>
      </c>
      <c r="I2181" s="242">
        <v>313689</v>
      </c>
      <c r="J2181"/>
    </row>
    <row r="2182" spans="1:10" ht="15.75" customHeight="1">
      <c r="A2182" t="s">
        <v>2581</v>
      </c>
      <c r="B2182">
        <v>714200</v>
      </c>
      <c r="C2182">
        <v>1</v>
      </c>
      <c r="D2182" t="str">
        <f t="shared" si="34"/>
        <v>1714200.182</v>
      </c>
      <c r="E2182" t="s">
        <v>2582</v>
      </c>
      <c r="F2182" s="242"/>
      <c r="G2182"/>
      <c r="H2182" s="242">
        <v>135246</v>
      </c>
      <c r="I2182" s="242">
        <v>137538</v>
      </c>
      <c r="J2182"/>
    </row>
    <row r="2183" spans="1:10" ht="15.75" customHeight="1">
      <c r="A2183" t="s">
        <v>2606</v>
      </c>
      <c r="B2183">
        <v>714200</v>
      </c>
      <c r="C2183">
        <v>1</v>
      </c>
      <c r="D2183" t="str">
        <f t="shared" si="34"/>
        <v>1714200.440</v>
      </c>
      <c r="E2183" t="s">
        <v>2794</v>
      </c>
      <c r="F2183" s="242"/>
      <c r="G2183"/>
      <c r="H2183" s="242">
        <v>8600</v>
      </c>
      <c r="I2183" s="242">
        <v>8263</v>
      </c>
      <c r="J2183"/>
    </row>
    <row r="2184" spans="1:10" ht="15.75" customHeight="1">
      <c r="A2184" t="s">
        <v>2590</v>
      </c>
      <c r="B2184">
        <v>714200</v>
      </c>
      <c r="C2184">
        <v>1</v>
      </c>
      <c r="D2184" t="str">
        <f t="shared" si="34"/>
        <v>1714200.523</v>
      </c>
      <c r="E2184" t="s">
        <v>2615</v>
      </c>
      <c r="F2184" s="242"/>
      <c r="G2184"/>
      <c r="H2184" s="242">
        <v>1584</v>
      </c>
      <c r="I2184" s="242">
        <v>1560</v>
      </c>
      <c r="J2184"/>
    </row>
    <row r="2185" spans="1:10" ht="15.75" customHeight="1">
      <c r="A2185" t="s">
        <v>2594</v>
      </c>
      <c r="B2185">
        <v>714200</v>
      </c>
      <c r="C2185">
        <v>1</v>
      </c>
      <c r="D2185" t="str">
        <f t="shared" si="34"/>
        <v>1714200.540</v>
      </c>
      <c r="E2185" t="s">
        <v>2595</v>
      </c>
      <c r="F2185" s="242"/>
      <c r="G2185"/>
      <c r="H2185" s="242">
        <v>6000</v>
      </c>
      <c r="I2185" s="242">
        <v>4317</v>
      </c>
      <c r="J2185"/>
    </row>
    <row r="2186" spans="1:10" ht="15.75" customHeight="1">
      <c r="A2186" t="s">
        <v>835</v>
      </c>
      <c r="B2186">
        <v>714200</v>
      </c>
      <c r="C2186">
        <v>1</v>
      </c>
      <c r="D2186" t="str">
        <f t="shared" si="34"/>
        <v>1714200.769</v>
      </c>
      <c r="E2186" t="s">
        <v>2605</v>
      </c>
      <c r="F2186" s="242"/>
      <c r="G2186"/>
      <c r="H2186" s="242">
        <v>19000</v>
      </c>
      <c r="I2186" s="242">
        <v>15953</v>
      </c>
      <c r="J2186"/>
    </row>
    <row r="2187" spans="1:10" ht="15.75" customHeight="1">
      <c r="A2187" t="s">
        <v>2403</v>
      </c>
      <c r="B2187">
        <v>714300</v>
      </c>
      <c r="C2187">
        <v>1</v>
      </c>
      <c r="D2187" t="str">
        <f t="shared" si="34"/>
        <v>1714300.110</v>
      </c>
      <c r="E2187" t="s">
        <v>2573</v>
      </c>
      <c r="F2187" s="242"/>
      <c r="G2187"/>
      <c r="H2187" s="242">
        <v>346496</v>
      </c>
      <c r="I2187" s="242">
        <v>238123</v>
      </c>
      <c r="J2187"/>
    </row>
    <row r="2188" spans="1:10" ht="15.75" customHeight="1">
      <c r="A2188" t="s">
        <v>2404</v>
      </c>
      <c r="B2188">
        <v>714300</v>
      </c>
      <c r="C2188">
        <v>1</v>
      </c>
      <c r="D2188" t="str">
        <f t="shared" si="34"/>
        <v>1714300.120</v>
      </c>
      <c r="E2188" t="s">
        <v>2574</v>
      </c>
      <c r="F2188" s="242"/>
      <c r="G2188"/>
      <c r="H2188" s="242">
        <v>117953</v>
      </c>
      <c r="I2188" s="242">
        <v>84921</v>
      </c>
      <c r="J2188"/>
    </row>
    <row r="2189" spans="1:10" ht="15.75" customHeight="1">
      <c r="A2189" t="s">
        <v>2575</v>
      </c>
      <c r="B2189">
        <v>714300</v>
      </c>
      <c r="C2189">
        <v>1</v>
      </c>
      <c r="D2189" t="str">
        <f t="shared" si="34"/>
        <v>1714300.130</v>
      </c>
      <c r="E2189" t="s">
        <v>2576</v>
      </c>
      <c r="F2189" s="242"/>
      <c r="G2189"/>
      <c r="H2189" s="242">
        <v>66537</v>
      </c>
      <c r="I2189" s="242">
        <v>33894</v>
      </c>
      <c r="J2189"/>
    </row>
    <row r="2190" spans="1:10" ht="15.75" customHeight="1">
      <c r="A2190" t="s">
        <v>2577</v>
      </c>
      <c r="B2190">
        <v>714300</v>
      </c>
      <c r="C2190">
        <v>1</v>
      </c>
      <c r="D2190" t="str">
        <f t="shared" si="34"/>
        <v>1714300.140</v>
      </c>
      <c r="E2190" t="s">
        <v>2578</v>
      </c>
      <c r="F2190" s="242"/>
      <c r="G2190"/>
      <c r="H2190" s="242">
        <v>14367</v>
      </c>
      <c r="I2190" s="242">
        <v>9878</v>
      </c>
      <c r="J2190"/>
    </row>
    <row r="2191" spans="1:10" ht="15.75" customHeight="1">
      <c r="A2191" t="s">
        <v>2579</v>
      </c>
      <c r="B2191">
        <v>714300</v>
      </c>
      <c r="C2191">
        <v>1</v>
      </c>
      <c r="D2191" t="str">
        <f t="shared" si="34"/>
        <v>1714300.181</v>
      </c>
      <c r="E2191" t="s">
        <v>2580</v>
      </c>
      <c r="F2191" s="242"/>
      <c r="G2191"/>
      <c r="H2191" s="242">
        <v>85496</v>
      </c>
      <c r="I2191" s="242">
        <v>56889</v>
      </c>
      <c r="J2191"/>
    </row>
    <row r="2192" spans="1:10" ht="15.75" customHeight="1">
      <c r="A2192" t="s">
        <v>2581</v>
      </c>
      <c r="B2192">
        <v>714300</v>
      </c>
      <c r="C2192">
        <v>1</v>
      </c>
      <c r="D2192" t="str">
        <f t="shared" si="34"/>
        <v>1714300.182</v>
      </c>
      <c r="E2192" t="s">
        <v>2582</v>
      </c>
      <c r="F2192" s="242"/>
      <c r="G2192"/>
      <c r="H2192" s="242">
        <v>41271</v>
      </c>
      <c r="I2192" s="242">
        <v>27763</v>
      </c>
      <c r="J2192"/>
    </row>
    <row r="2193" spans="1:10" ht="15.75" customHeight="1">
      <c r="A2193" t="s">
        <v>2409</v>
      </c>
      <c r="B2193">
        <v>714300</v>
      </c>
      <c r="C2193">
        <v>1</v>
      </c>
      <c r="D2193" t="str">
        <f t="shared" si="34"/>
        <v>1714300.410</v>
      </c>
      <c r="E2193" t="s">
        <v>3766</v>
      </c>
      <c r="F2193" s="242"/>
      <c r="G2193"/>
      <c r="H2193" s="242">
        <v>197400</v>
      </c>
      <c r="I2193" s="242">
        <v>195720</v>
      </c>
      <c r="J2193"/>
    </row>
    <row r="2194" spans="1:10" ht="15.75" customHeight="1">
      <c r="A2194" t="s">
        <v>2652</v>
      </c>
      <c r="B2194">
        <v>714300</v>
      </c>
      <c r="C2194">
        <v>1</v>
      </c>
      <c r="D2194" t="str">
        <f t="shared" si="34"/>
        <v>1714300.420</v>
      </c>
      <c r="E2194" t="s">
        <v>2653</v>
      </c>
      <c r="F2194" s="242"/>
      <c r="G2194"/>
      <c r="H2194" s="242">
        <v>12000</v>
      </c>
      <c r="I2194" s="242">
        <v>18984</v>
      </c>
      <c r="J2194"/>
    </row>
    <row r="2195" spans="1:10" ht="15.75" customHeight="1">
      <c r="A2195" t="s">
        <v>1663</v>
      </c>
      <c r="B2195">
        <v>714300</v>
      </c>
      <c r="C2195">
        <v>1</v>
      </c>
      <c r="D2195" t="str">
        <f t="shared" si="34"/>
        <v>1714300.431</v>
      </c>
      <c r="E2195" t="s">
        <v>2654</v>
      </c>
      <c r="F2195" s="242"/>
      <c r="G2195"/>
      <c r="H2195" s="242">
        <v>37000</v>
      </c>
      <c r="I2195" s="242">
        <v>48403</v>
      </c>
      <c r="J2195"/>
    </row>
    <row r="2196" spans="1:10" ht="15.75" customHeight="1">
      <c r="A2196" t="s">
        <v>1673</v>
      </c>
      <c r="B2196">
        <v>714300</v>
      </c>
      <c r="C2196">
        <v>1</v>
      </c>
      <c r="D2196" t="str">
        <f t="shared" si="34"/>
        <v>1714300.433</v>
      </c>
      <c r="E2196" t="s">
        <v>2655</v>
      </c>
      <c r="F2196" s="242"/>
      <c r="G2196"/>
      <c r="H2196" s="242">
        <v>3000</v>
      </c>
      <c r="I2196" s="242">
        <v>2954</v>
      </c>
      <c r="J2196"/>
    </row>
    <row r="2197" spans="1:10" ht="15.75" customHeight="1">
      <c r="A2197" t="s">
        <v>1678</v>
      </c>
      <c r="B2197">
        <v>714300</v>
      </c>
      <c r="C2197">
        <v>1</v>
      </c>
      <c r="D2197" t="str">
        <f t="shared" si="34"/>
        <v>1714300.434</v>
      </c>
      <c r="E2197" t="s">
        <v>2656</v>
      </c>
      <c r="F2197" s="242"/>
      <c r="G2197"/>
      <c r="H2197" s="242">
        <v>45000</v>
      </c>
      <c r="I2197" s="242">
        <v>38983</v>
      </c>
      <c r="J2197"/>
    </row>
    <row r="2198" spans="1:10" ht="15.75" customHeight="1">
      <c r="A2198" t="s">
        <v>2606</v>
      </c>
      <c r="B2198">
        <v>714300</v>
      </c>
      <c r="C2198">
        <v>1</v>
      </c>
      <c r="D2198" t="str">
        <f t="shared" si="34"/>
        <v>1714300.440</v>
      </c>
      <c r="E2198" t="s">
        <v>3024</v>
      </c>
      <c r="F2198" s="242"/>
      <c r="G2198"/>
      <c r="H2198" s="242">
        <v>8600</v>
      </c>
      <c r="I2198" s="242">
        <v>8329</v>
      </c>
      <c r="J2198"/>
    </row>
    <row r="2199" spans="1:10" ht="15.75" customHeight="1">
      <c r="A2199" t="s">
        <v>2658</v>
      </c>
      <c r="B2199">
        <v>714300</v>
      </c>
      <c r="C2199">
        <v>1</v>
      </c>
      <c r="D2199" t="str">
        <f t="shared" si="34"/>
        <v>1714300.441</v>
      </c>
      <c r="E2199" t="s">
        <v>2720</v>
      </c>
      <c r="F2199" s="242"/>
      <c r="G2199"/>
      <c r="H2199" s="242">
        <v>1200</v>
      </c>
      <c r="I2199" s="242">
        <v>1076</v>
      </c>
      <c r="J2199"/>
    </row>
    <row r="2200" spans="1:10" ht="15.75" customHeight="1">
      <c r="A2200" t="s">
        <v>2411</v>
      </c>
      <c r="B2200">
        <v>714300</v>
      </c>
      <c r="C2200">
        <v>1</v>
      </c>
      <c r="D2200" t="str">
        <f t="shared" si="34"/>
        <v>1714300.470</v>
      </c>
      <c r="E2200" t="s">
        <v>2660</v>
      </c>
      <c r="F2200" s="242"/>
      <c r="G2200"/>
      <c r="H2200" s="242">
        <v>3000</v>
      </c>
      <c r="I2200" s="242">
        <v>2996</v>
      </c>
      <c r="J2200"/>
    </row>
    <row r="2201" spans="1:10" ht="15.75" customHeight="1">
      <c r="A2201" t="s">
        <v>2286</v>
      </c>
      <c r="B2201">
        <v>714300</v>
      </c>
      <c r="C2201">
        <v>1</v>
      </c>
      <c r="D2201" t="str">
        <f t="shared" si="34"/>
        <v>1714300.511</v>
      </c>
      <c r="E2201" t="s">
        <v>2584</v>
      </c>
      <c r="F2201" s="242"/>
      <c r="G2201"/>
      <c r="H2201" s="242">
        <v>2000</v>
      </c>
      <c r="I2201" s="242">
        <v>2041</v>
      </c>
      <c r="J2201"/>
    </row>
    <row r="2202" spans="1:10" ht="15.75" customHeight="1">
      <c r="A2202" t="s">
        <v>2594</v>
      </c>
      <c r="B2202">
        <v>714300</v>
      </c>
      <c r="C2202">
        <v>1</v>
      </c>
      <c r="D2202" t="str">
        <f t="shared" si="34"/>
        <v>1714300.540</v>
      </c>
      <c r="E2202" t="s">
        <v>2595</v>
      </c>
      <c r="F2202" s="242"/>
      <c r="G2202"/>
      <c r="H2202" s="242">
        <v>12000</v>
      </c>
      <c r="I2202" s="242">
        <v>16119</v>
      </c>
      <c r="J2202"/>
    </row>
    <row r="2203" spans="1:10" ht="15.75" customHeight="1">
      <c r="A2203" t="s">
        <v>2596</v>
      </c>
      <c r="B2203">
        <v>714300</v>
      </c>
      <c r="C2203">
        <v>1</v>
      </c>
      <c r="D2203" t="str">
        <f t="shared" si="34"/>
        <v>1714300.550</v>
      </c>
      <c r="E2203" t="s">
        <v>2597</v>
      </c>
      <c r="F2203" s="242"/>
      <c r="G2203"/>
      <c r="H2203" s="242">
        <v>19000</v>
      </c>
      <c r="I2203" s="242">
        <v>2165</v>
      </c>
      <c r="J2203"/>
    </row>
    <row r="2204" spans="1:10" ht="15.75" customHeight="1">
      <c r="A2204" t="s">
        <v>2598</v>
      </c>
      <c r="B2204">
        <v>714300</v>
      </c>
      <c r="C2204">
        <v>1</v>
      </c>
      <c r="D2204" t="str">
        <f t="shared" si="34"/>
        <v>1714300.561</v>
      </c>
      <c r="E2204" t="s">
        <v>2914</v>
      </c>
      <c r="F2204" s="242"/>
      <c r="G2204"/>
      <c r="H2204" s="242">
        <v>3000</v>
      </c>
      <c r="I2204" s="242">
        <v>2618</v>
      </c>
      <c r="J2204"/>
    </row>
    <row r="2205" spans="1:10" ht="15.75" customHeight="1">
      <c r="A2205" t="s">
        <v>2620</v>
      </c>
      <c r="B2205">
        <v>714300</v>
      </c>
      <c r="C2205">
        <v>1</v>
      </c>
      <c r="D2205" t="str">
        <f t="shared" si="34"/>
        <v>1714300.575</v>
      </c>
      <c r="E2205" t="s">
        <v>2775</v>
      </c>
      <c r="F2205" s="242"/>
      <c r="G2205"/>
      <c r="H2205" s="242">
        <v>13800</v>
      </c>
      <c r="I2205" s="242">
        <v>0</v>
      </c>
      <c r="J2205"/>
    </row>
    <row r="2206" spans="1:10" ht="15.75" customHeight="1">
      <c r="A2206" t="s">
        <v>2704</v>
      </c>
      <c r="B2206">
        <v>714300</v>
      </c>
      <c r="C2206">
        <v>1</v>
      </c>
      <c r="D2206" t="str">
        <f t="shared" si="34"/>
        <v>1714300.720</v>
      </c>
      <c r="E2206" t="s">
        <v>3767</v>
      </c>
      <c r="F2206" s="242"/>
      <c r="G2206"/>
      <c r="H2206" s="242">
        <v>207360</v>
      </c>
      <c r="I2206" s="242">
        <v>239999</v>
      </c>
      <c r="J2206"/>
    </row>
    <row r="2207" spans="1:10" ht="15.75" customHeight="1">
      <c r="A2207" t="s">
        <v>542</v>
      </c>
      <c r="B2207">
        <v>714300</v>
      </c>
      <c r="C2207">
        <v>1</v>
      </c>
      <c r="D2207" t="str">
        <f t="shared" si="34"/>
        <v>1714300.721</v>
      </c>
      <c r="E2207" t="s">
        <v>3768</v>
      </c>
      <c r="F2207" s="242"/>
      <c r="G2207"/>
      <c r="H2207" s="242">
        <v>70000</v>
      </c>
      <c r="I2207" s="242">
        <v>65802</v>
      </c>
      <c r="J2207"/>
    </row>
    <row r="2208" spans="1:10" ht="15.75" customHeight="1">
      <c r="A2208" t="s">
        <v>547</v>
      </c>
      <c r="B2208">
        <v>714300</v>
      </c>
      <c r="C2208">
        <v>1</v>
      </c>
      <c r="D2208" t="str">
        <f t="shared" si="34"/>
        <v>1714300.722</v>
      </c>
      <c r="E2208" t="s">
        <v>3769</v>
      </c>
      <c r="F2208" s="242"/>
      <c r="G2208"/>
      <c r="H2208" s="242">
        <v>66000</v>
      </c>
      <c r="I2208" s="242">
        <v>50135</v>
      </c>
      <c r="J2208"/>
    </row>
    <row r="2209" spans="1:10" ht="15.75" customHeight="1">
      <c r="A2209" t="s">
        <v>558</v>
      </c>
      <c r="B2209">
        <v>714300</v>
      </c>
      <c r="C2209">
        <v>1</v>
      </c>
      <c r="D2209" t="str">
        <f t="shared" si="34"/>
        <v>1714300.723</v>
      </c>
      <c r="E2209" t="s">
        <v>3770</v>
      </c>
      <c r="F2209" s="242"/>
      <c r="G2209"/>
      <c r="H2209" s="242">
        <v>50000</v>
      </c>
      <c r="I2209" s="242">
        <v>0</v>
      </c>
      <c r="J2209"/>
    </row>
    <row r="2210" spans="1:10" ht="15.75" customHeight="1">
      <c r="A2210" t="s">
        <v>600</v>
      </c>
      <c r="B2210">
        <v>714300</v>
      </c>
      <c r="C2210">
        <v>1</v>
      </c>
      <c r="D2210" t="str">
        <f t="shared" si="34"/>
        <v>1714300.731</v>
      </c>
      <c r="E2210" t="s">
        <v>2593</v>
      </c>
      <c r="F2210" s="242"/>
      <c r="G2210"/>
      <c r="H2210" s="242">
        <v>41611</v>
      </c>
      <c r="I2210" s="242">
        <v>47300</v>
      </c>
      <c r="J2210"/>
    </row>
    <row r="2211" spans="1:10" ht="15.75" customHeight="1">
      <c r="A2211" t="s">
        <v>605</v>
      </c>
      <c r="B2211">
        <v>714300</v>
      </c>
      <c r="C2211">
        <v>1</v>
      </c>
      <c r="D2211" t="str">
        <f t="shared" si="34"/>
        <v>1714300.732</v>
      </c>
      <c r="E2211" t="s">
        <v>2902</v>
      </c>
      <c r="F2211" s="242"/>
      <c r="G2211"/>
      <c r="H2211" s="242">
        <v>10000</v>
      </c>
      <c r="I2211" s="242">
        <v>9525</v>
      </c>
      <c r="J2211"/>
    </row>
    <row r="2212" spans="1:10" ht="15.75" customHeight="1">
      <c r="A2212" t="s">
        <v>624</v>
      </c>
      <c r="B2212">
        <v>714300</v>
      </c>
      <c r="C2212">
        <v>1</v>
      </c>
      <c r="D2212" t="str">
        <f t="shared" si="34"/>
        <v>1714300.733</v>
      </c>
      <c r="E2212" t="s">
        <v>3771</v>
      </c>
      <c r="F2212" s="242"/>
      <c r="G2212"/>
      <c r="H2212" s="242">
        <v>200</v>
      </c>
      <c r="I2212" s="242">
        <v>99</v>
      </c>
      <c r="J2212"/>
    </row>
    <row r="2213" spans="1:10" ht="15.75" customHeight="1">
      <c r="A2213" t="s">
        <v>2418</v>
      </c>
      <c r="B2213">
        <v>714300</v>
      </c>
      <c r="C2213">
        <v>1</v>
      </c>
      <c r="D2213" t="str">
        <f t="shared" si="34"/>
        <v>1714300.735</v>
      </c>
      <c r="E2213" t="s">
        <v>2762</v>
      </c>
      <c r="F2213" s="242"/>
      <c r="G2213"/>
      <c r="H2213" s="242">
        <v>60689</v>
      </c>
      <c r="I2213" s="242">
        <v>83372</v>
      </c>
      <c r="J2213"/>
    </row>
    <row r="2214" spans="1:10" ht="15.75" customHeight="1">
      <c r="A2214" t="s">
        <v>673</v>
      </c>
      <c r="B2214">
        <v>714300</v>
      </c>
      <c r="C2214">
        <v>1</v>
      </c>
      <c r="D2214" t="str">
        <f t="shared" si="34"/>
        <v>1714300.743</v>
      </c>
      <c r="E2214" t="s">
        <v>2622</v>
      </c>
      <c r="F2214" s="242"/>
      <c r="G2214"/>
      <c r="H2214" s="242">
        <v>65816</v>
      </c>
      <c r="I2214" s="242">
        <v>39624</v>
      </c>
      <c r="J2214"/>
    </row>
    <row r="2215" spans="1:10" ht="15.75" customHeight="1">
      <c r="A2215" t="s">
        <v>707</v>
      </c>
      <c r="B2215">
        <v>714300</v>
      </c>
      <c r="C2215">
        <v>1</v>
      </c>
      <c r="D2215" t="str">
        <f t="shared" si="34"/>
        <v>1714300.745</v>
      </c>
      <c r="E2215" t="s">
        <v>3772</v>
      </c>
      <c r="F2215" s="242"/>
      <c r="G2215"/>
      <c r="H2215" s="242">
        <v>16000</v>
      </c>
      <c r="I2215" s="242">
        <v>30001</v>
      </c>
      <c r="J2215"/>
    </row>
    <row r="2216" spans="1:10" ht="15.75" customHeight="1">
      <c r="A2216" t="s">
        <v>737</v>
      </c>
      <c r="B2216">
        <v>714300</v>
      </c>
      <c r="C2216">
        <v>1</v>
      </c>
      <c r="D2216" t="str">
        <f t="shared" si="34"/>
        <v>1714300.747</v>
      </c>
      <c r="E2216" t="s">
        <v>2765</v>
      </c>
      <c r="F2216" s="242"/>
      <c r="G2216"/>
      <c r="H2216" s="242">
        <v>3000</v>
      </c>
      <c r="I2216" s="242">
        <v>773</v>
      </c>
      <c r="J2216"/>
    </row>
    <row r="2217" spans="1:10" ht="15.75" customHeight="1">
      <c r="A2217" t="s">
        <v>2611</v>
      </c>
      <c r="B2217">
        <v>714300</v>
      </c>
      <c r="C2217">
        <v>1</v>
      </c>
      <c r="D2217" t="str">
        <f t="shared" si="34"/>
        <v>1714300.750</v>
      </c>
      <c r="E2217" t="s">
        <v>3761</v>
      </c>
      <c r="F2217" s="242"/>
      <c r="G2217"/>
      <c r="H2217" s="242">
        <v>145000</v>
      </c>
      <c r="I2217" s="242">
        <v>0</v>
      </c>
      <c r="J2217"/>
    </row>
    <row r="2218" spans="1:10" ht="15.75" customHeight="1">
      <c r="A2218" t="s">
        <v>772</v>
      </c>
      <c r="B2218">
        <v>714300</v>
      </c>
      <c r="C2218">
        <v>1</v>
      </c>
      <c r="D2218" t="str">
        <f t="shared" si="34"/>
        <v>1714300.751</v>
      </c>
      <c r="E2218" t="s">
        <v>3773</v>
      </c>
      <c r="F2218" s="242"/>
      <c r="G2218"/>
      <c r="H2218" s="242">
        <v>310000</v>
      </c>
      <c r="I2218" s="242">
        <v>299858</v>
      </c>
      <c r="J2218"/>
    </row>
    <row r="2219" spans="1:10" ht="15.75" customHeight="1">
      <c r="A2219" t="s">
        <v>781</v>
      </c>
      <c r="B2219">
        <v>714300</v>
      </c>
      <c r="C2219">
        <v>1</v>
      </c>
      <c r="D2219" t="str">
        <f t="shared" si="34"/>
        <v>1714300.753</v>
      </c>
      <c r="E2219" t="s">
        <v>3774</v>
      </c>
      <c r="F2219" s="242"/>
      <c r="G2219"/>
      <c r="H2219" s="242">
        <v>100000</v>
      </c>
      <c r="I2219" s="242">
        <v>100000</v>
      </c>
      <c r="J2219"/>
    </row>
    <row r="2220" spans="1:10" ht="15.75" customHeight="1">
      <c r="A2220" t="s">
        <v>2670</v>
      </c>
      <c r="B2220">
        <v>714300</v>
      </c>
      <c r="C2220">
        <v>1</v>
      </c>
      <c r="D2220" t="str">
        <f t="shared" si="34"/>
        <v>1714300.755</v>
      </c>
      <c r="E2220" t="s">
        <v>3775</v>
      </c>
      <c r="F2220" s="242"/>
      <c r="G2220"/>
      <c r="H2220" s="242">
        <v>200000</v>
      </c>
      <c r="I2220" s="242">
        <v>200000</v>
      </c>
      <c r="J2220"/>
    </row>
    <row r="2221" spans="1:10" ht="15.75" customHeight="1">
      <c r="A2221" t="s">
        <v>791</v>
      </c>
      <c r="B2221">
        <v>714300</v>
      </c>
      <c r="C2221">
        <v>1</v>
      </c>
      <c r="D2221" t="str">
        <f t="shared" si="34"/>
        <v>1714300.756</v>
      </c>
      <c r="E2221" t="s">
        <v>3776</v>
      </c>
      <c r="F2221" s="242"/>
      <c r="G2221"/>
      <c r="H2221" s="242">
        <v>5000</v>
      </c>
      <c r="I2221" s="242">
        <v>988</v>
      </c>
      <c r="J2221"/>
    </row>
    <row r="2222" spans="1:10" ht="15.75" customHeight="1">
      <c r="A2222" t="s">
        <v>2632</v>
      </c>
      <c r="B2222">
        <v>714300</v>
      </c>
      <c r="C2222">
        <v>1</v>
      </c>
      <c r="D2222" t="str">
        <f t="shared" si="34"/>
        <v>1714300.780</v>
      </c>
      <c r="E2222" t="s">
        <v>2675</v>
      </c>
      <c r="F2222" s="242"/>
      <c r="G2222"/>
      <c r="H2222" s="242">
        <v>8000</v>
      </c>
      <c r="I2222" s="242">
        <v>6772</v>
      </c>
      <c r="J2222"/>
    </row>
    <row r="2223" spans="1:10" ht="15.75" customHeight="1">
      <c r="A2223" t="s">
        <v>872</v>
      </c>
      <c r="B2223">
        <v>714300</v>
      </c>
      <c r="C2223">
        <v>1</v>
      </c>
      <c r="D2223" t="str">
        <f t="shared" si="34"/>
        <v>1714300.781</v>
      </c>
      <c r="E2223" t="s">
        <v>3777</v>
      </c>
      <c r="F2223" s="242"/>
      <c r="G2223"/>
      <c r="H2223" s="242">
        <v>40000</v>
      </c>
      <c r="I2223" s="242">
        <v>35860</v>
      </c>
      <c r="J2223"/>
    </row>
    <row r="2224" spans="1:10" ht="15.75" customHeight="1">
      <c r="A2224" t="s">
        <v>877</v>
      </c>
      <c r="B2224">
        <v>714300</v>
      </c>
      <c r="C2224">
        <v>1</v>
      </c>
      <c r="D2224" t="str">
        <f t="shared" si="34"/>
        <v>1714300.782</v>
      </c>
      <c r="E2224" t="s">
        <v>3778</v>
      </c>
      <c r="F2224" s="242"/>
      <c r="G2224"/>
      <c r="H2224" s="242">
        <v>0</v>
      </c>
      <c r="I2224" s="242">
        <v>0</v>
      </c>
      <c r="J2224"/>
    </row>
    <row r="2225" spans="1:10" ht="15.75" customHeight="1">
      <c r="A2225" t="s">
        <v>2571</v>
      </c>
      <c r="B2225">
        <v>715300</v>
      </c>
      <c r="C2225">
        <v>1</v>
      </c>
      <c r="D2225" t="str">
        <f t="shared" si="34"/>
        <v>1715300.105</v>
      </c>
      <c r="E2225" t="s">
        <v>2572</v>
      </c>
      <c r="F2225" s="242"/>
      <c r="G2225"/>
      <c r="H2225" s="242">
        <v>0</v>
      </c>
      <c r="I2225" s="242">
        <v>0</v>
      </c>
      <c r="J2225"/>
    </row>
    <row r="2226" spans="1:10" ht="15.75" customHeight="1">
      <c r="A2226" t="s">
        <v>2403</v>
      </c>
      <c r="B2226">
        <v>715300</v>
      </c>
      <c r="C2226">
        <v>1</v>
      </c>
      <c r="D2226" t="str">
        <f t="shared" si="34"/>
        <v>1715300.110</v>
      </c>
      <c r="E2226" t="s">
        <v>2573</v>
      </c>
      <c r="F2226" s="242"/>
      <c r="G2226"/>
      <c r="H2226" s="242">
        <v>312858</v>
      </c>
      <c r="I2226" s="242">
        <v>253113</v>
      </c>
      <c r="J2226"/>
    </row>
    <row r="2227" spans="1:10" ht="15.75" customHeight="1">
      <c r="A2227" t="s">
        <v>2404</v>
      </c>
      <c r="B2227">
        <v>715300</v>
      </c>
      <c r="C2227">
        <v>1</v>
      </c>
      <c r="D2227" t="str">
        <f t="shared" si="34"/>
        <v>1715300.120</v>
      </c>
      <c r="E2227" t="s">
        <v>2574</v>
      </c>
      <c r="F2227" s="242"/>
      <c r="G2227"/>
      <c r="H2227" s="242">
        <v>75794</v>
      </c>
      <c r="I2227" s="242">
        <v>51945</v>
      </c>
      <c r="J2227"/>
    </row>
    <row r="2228" spans="1:10" ht="15.75" customHeight="1">
      <c r="A2228" t="s">
        <v>2575</v>
      </c>
      <c r="B2228">
        <v>715300</v>
      </c>
      <c r="C2228">
        <v>1</v>
      </c>
      <c r="D2228" t="str">
        <f t="shared" si="34"/>
        <v>1715300.130</v>
      </c>
      <c r="E2228" t="s">
        <v>2576</v>
      </c>
      <c r="F2228" s="242"/>
      <c r="G2228"/>
      <c r="H2228" s="242">
        <v>10385</v>
      </c>
      <c r="I2228" s="242">
        <v>10603</v>
      </c>
      <c r="J2228"/>
    </row>
    <row r="2229" spans="1:10" ht="15.75" customHeight="1">
      <c r="A2229" t="s">
        <v>2577</v>
      </c>
      <c r="B2229">
        <v>715300</v>
      </c>
      <c r="C2229">
        <v>1</v>
      </c>
      <c r="D2229" t="str">
        <f t="shared" si="34"/>
        <v>1715300.140</v>
      </c>
      <c r="E2229" t="s">
        <v>2578</v>
      </c>
      <c r="F2229" s="242"/>
      <c r="G2229"/>
      <c r="H2229" s="242">
        <v>64417</v>
      </c>
      <c r="I2229" s="242">
        <v>57767</v>
      </c>
      <c r="J2229"/>
    </row>
    <row r="2230" spans="1:10" ht="15.75" customHeight="1">
      <c r="A2230" t="s">
        <v>2579</v>
      </c>
      <c r="B2230">
        <v>715300</v>
      </c>
      <c r="C2230">
        <v>1</v>
      </c>
      <c r="D2230" t="str">
        <f t="shared" si="34"/>
        <v>1715300.181</v>
      </c>
      <c r="E2230" t="s">
        <v>2580</v>
      </c>
      <c r="F2230" s="242"/>
      <c r="G2230"/>
      <c r="H2230" s="242">
        <v>90299</v>
      </c>
      <c r="I2230" s="242">
        <v>70794</v>
      </c>
      <c r="J2230"/>
    </row>
    <row r="2231" spans="1:10" ht="15.75" customHeight="1">
      <c r="A2231" t="s">
        <v>2581</v>
      </c>
      <c r="B2231">
        <v>715300</v>
      </c>
      <c r="C2231">
        <v>1</v>
      </c>
      <c r="D2231" t="str">
        <f t="shared" si="34"/>
        <v>1715300.182</v>
      </c>
      <c r="E2231" t="s">
        <v>2582</v>
      </c>
      <c r="F2231" s="242"/>
      <c r="G2231"/>
      <c r="H2231" s="242">
        <v>35172</v>
      </c>
      <c r="I2231" s="242">
        <v>28345</v>
      </c>
      <c r="J2231"/>
    </row>
    <row r="2232" spans="1:10" ht="15.75" customHeight="1">
      <c r="A2232" t="s">
        <v>2652</v>
      </c>
      <c r="B2232">
        <v>715300</v>
      </c>
      <c r="C2232">
        <v>1</v>
      </c>
      <c r="D2232" t="str">
        <f t="shared" si="34"/>
        <v>1715300.420</v>
      </c>
      <c r="E2232" t="s">
        <v>2653</v>
      </c>
      <c r="F2232" s="242"/>
      <c r="G2232"/>
      <c r="H2232" s="242">
        <v>2000</v>
      </c>
      <c r="I2232" s="242">
        <v>0</v>
      </c>
      <c r="J2232"/>
    </row>
    <row r="2233" spans="1:10" ht="15.75" customHeight="1">
      <c r="A2233" t="s">
        <v>1673</v>
      </c>
      <c r="B2233">
        <v>715300</v>
      </c>
      <c r="C2233">
        <v>1</v>
      </c>
      <c r="D2233" t="str">
        <f t="shared" si="34"/>
        <v>1715300.433</v>
      </c>
      <c r="E2233" t="s">
        <v>2655</v>
      </c>
      <c r="F2233" s="242"/>
      <c r="G2233"/>
      <c r="H2233" s="242">
        <v>1000</v>
      </c>
      <c r="I2233" s="242">
        <v>745</v>
      </c>
      <c r="J2233"/>
    </row>
    <row r="2234" spans="1:10" ht="15.75" customHeight="1">
      <c r="A2234" t="s">
        <v>2411</v>
      </c>
      <c r="B2234">
        <v>715300</v>
      </c>
      <c r="C2234">
        <v>1</v>
      </c>
      <c r="D2234" t="str">
        <f t="shared" si="34"/>
        <v>1715300.470</v>
      </c>
      <c r="E2234" t="s">
        <v>2660</v>
      </c>
      <c r="F2234" s="242"/>
      <c r="G2234"/>
      <c r="H2234" s="242">
        <v>1000</v>
      </c>
      <c r="I2234" s="242">
        <v>694</v>
      </c>
      <c r="J2234"/>
    </row>
    <row r="2235" spans="1:10" ht="15.75" customHeight="1">
      <c r="A2235" t="s">
        <v>2286</v>
      </c>
      <c r="B2235">
        <v>715300</v>
      </c>
      <c r="C2235">
        <v>1</v>
      </c>
      <c r="D2235" t="str">
        <f t="shared" si="34"/>
        <v>1715300.511</v>
      </c>
      <c r="E2235" t="s">
        <v>2584</v>
      </c>
      <c r="F2235" s="242"/>
      <c r="G2235"/>
      <c r="H2235" s="242">
        <v>0</v>
      </c>
      <c r="I2235" s="242">
        <v>741</v>
      </c>
      <c r="J2235"/>
    </row>
    <row r="2236" spans="1:10" ht="15.75" customHeight="1">
      <c r="A2236" t="s">
        <v>2594</v>
      </c>
      <c r="B2236">
        <v>715300</v>
      </c>
      <c r="C2236">
        <v>1</v>
      </c>
      <c r="D2236" t="str">
        <f t="shared" si="34"/>
        <v>1715300.540</v>
      </c>
      <c r="E2236" t="s">
        <v>2595</v>
      </c>
      <c r="F2236" s="242"/>
      <c r="G2236"/>
      <c r="H2236" s="242">
        <v>2000</v>
      </c>
      <c r="I2236" s="242">
        <v>935</v>
      </c>
      <c r="J2236"/>
    </row>
    <row r="2237" spans="1:10" ht="15.75" customHeight="1">
      <c r="A2237" t="s">
        <v>2600</v>
      </c>
      <c r="B2237">
        <v>715300</v>
      </c>
      <c r="C2237">
        <v>1</v>
      </c>
      <c r="D2237" t="str">
        <f t="shared" si="34"/>
        <v>1715300.580</v>
      </c>
      <c r="E2237" t="s">
        <v>3752</v>
      </c>
      <c r="F2237" s="242"/>
      <c r="G2237"/>
      <c r="H2237" s="242">
        <v>2200</v>
      </c>
      <c r="I2237" s="242">
        <v>0</v>
      </c>
      <c r="J2237"/>
    </row>
    <row r="2238" spans="1:10" ht="15.75" customHeight="1">
      <c r="A2238" t="s">
        <v>547</v>
      </c>
      <c r="B2238">
        <v>715300</v>
      </c>
      <c r="C2238">
        <v>1</v>
      </c>
      <c r="D2238" t="str">
        <f t="shared" si="34"/>
        <v>1715300.722</v>
      </c>
      <c r="E2238" t="s">
        <v>3753</v>
      </c>
      <c r="F2238" s="242"/>
      <c r="G2238"/>
      <c r="H2238" s="242">
        <v>177200</v>
      </c>
      <c r="I2238" s="242">
        <v>275241</v>
      </c>
      <c r="J2238"/>
    </row>
    <row r="2239" spans="1:10" ht="15.75" customHeight="1">
      <c r="A2239" t="s">
        <v>600</v>
      </c>
      <c r="B2239">
        <v>715300</v>
      </c>
      <c r="C2239">
        <v>1</v>
      </c>
      <c r="D2239" t="str">
        <f t="shared" si="34"/>
        <v>1715300.731</v>
      </c>
      <c r="E2239" t="s">
        <v>2593</v>
      </c>
      <c r="F2239" s="242"/>
      <c r="G2239"/>
      <c r="H2239" s="242">
        <v>25607</v>
      </c>
      <c r="I2239" s="242">
        <v>23284</v>
      </c>
      <c r="J2239"/>
    </row>
    <row r="2240" spans="1:10" ht="15.75" customHeight="1">
      <c r="A2240" t="s">
        <v>2418</v>
      </c>
      <c r="B2240">
        <v>715300</v>
      </c>
      <c r="C2240">
        <v>1</v>
      </c>
      <c r="D2240" t="str">
        <f t="shared" si="34"/>
        <v>1715300.735</v>
      </c>
      <c r="E2240" t="s">
        <v>2602</v>
      </c>
      <c r="F2240" s="242"/>
      <c r="G2240"/>
      <c r="H2240" s="242">
        <v>94568</v>
      </c>
      <c r="I2240" s="242">
        <v>100541</v>
      </c>
      <c r="J2240"/>
    </row>
    <row r="2241" spans="1:10" ht="15.75" customHeight="1">
      <c r="A2241" t="s">
        <v>658</v>
      </c>
      <c r="B2241">
        <v>715300</v>
      </c>
      <c r="C2241">
        <v>1</v>
      </c>
      <c r="D2241" t="str">
        <f t="shared" si="34"/>
        <v>1715300.742</v>
      </c>
      <c r="E2241" t="s">
        <v>3754</v>
      </c>
      <c r="F2241" s="242"/>
      <c r="G2241"/>
      <c r="H2241" s="242">
        <v>6800</v>
      </c>
      <c r="I2241" s="242">
        <v>3348</v>
      </c>
      <c r="J2241"/>
    </row>
    <row r="2242" spans="1:10" ht="15.75" customHeight="1">
      <c r="A2242" t="s">
        <v>673</v>
      </c>
      <c r="B2242">
        <v>715300</v>
      </c>
      <c r="C2242">
        <v>1</v>
      </c>
      <c r="D2242" t="str">
        <f t="shared" si="34"/>
        <v>1715300.743</v>
      </c>
      <c r="E2242" t="s">
        <v>2622</v>
      </c>
      <c r="F2242" s="242"/>
      <c r="G2242"/>
      <c r="H2242" s="242">
        <v>13000</v>
      </c>
      <c r="I2242" s="242">
        <v>2287</v>
      </c>
      <c r="J2242"/>
    </row>
    <row r="2243" spans="1:10" ht="15.75" customHeight="1">
      <c r="A2243" t="s">
        <v>737</v>
      </c>
      <c r="B2243">
        <v>715300</v>
      </c>
      <c r="C2243">
        <v>1</v>
      </c>
      <c r="D2243" t="str">
        <f t="shared" ref="D2243:D2306" si="35">C2243&amp;B2243&amp;"."&amp;A2243</f>
        <v>1715300.747</v>
      </c>
      <c r="E2243" t="s">
        <v>2765</v>
      </c>
      <c r="F2243" s="242"/>
      <c r="G2243"/>
      <c r="H2243" s="242">
        <v>1500</v>
      </c>
      <c r="I2243" s="242">
        <v>0</v>
      </c>
      <c r="J2243"/>
    </row>
    <row r="2244" spans="1:10" ht="15.75" customHeight="1">
      <c r="A2244" t="s">
        <v>772</v>
      </c>
      <c r="B2244">
        <v>715300</v>
      </c>
      <c r="C2244">
        <v>1</v>
      </c>
      <c r="D2244" t="str">
        <f t="shared" si="35"/>
        <v>1715300.751</v>
      </c>
      <c r="E2244" t="s">
        <v>3755</v>
      </c>
      <c r="F2244" s="242"/>
      <c r="G2244"/>
      <c r="H2244" s="242">
        <v>426000</v>
      </c>
      <c r="I2244" s="242">
        <v>430560</v>
      </c>
      <c r="J2244"/>
    </row>
    <row r="2245" spans="1:10" ht="15.75" customHeight="1">
      <c r="A2245" t="s">
        <v>776</v>
      </c>
      <c r="B2245">
        <v>715300</v>
      </c>
      <c r="C2245">
        <v>1</v>
      </c>
      <c r="D2245" t="str">
        <f t="shared" si="35"/>
        <v>1715300.752</v>
      </c>
      <c r="E2245" t="s">
        <v>3756</v>
      </c>
      <c r="F2245" s="242"/>
      <c r="G2245"/>
      <c r="H2245" s="242">
        <v>115000</v>
      </c>
      <c r="I2245" s="242">
        <v>0</v>
      </c>
      <c r="J2245"/>
    </row>
    <row r="2246" spans="1:10" ht="15.75" customHeight="1">
      <c r="A2246" t="s">
        <v>4573</v>
      </c>
      <c r="B2246">
        <v>720000</v>
      </c>
      <c r="C2246">
        <v>1</v>
      </c>
      <c r="D2246" t="str">
        <f t="shared" si="35"/>
        <v>1720000.320</v>
      </c>
      <c r="E2246" t="s">
        <v>4574</v>
      </c>
      <c r="F2246" s="242"/>
      <c r="G2246"/>
      <c r="H2246" s="242">
        <v>20000</v>
      </c>
      <c r="I2246" s="242">
        <v>3787</v>
      </c>
      <c r="J2246"/>
    </row>
    <row r="2247" spans="1:10" ht="15.75" customHeight="1">
      <c r="A2247" t="s">
        <v>2571</v>
      </c>
      <c r="B2247">
        <v>721000</v>
      </c>
      <c r="C2247">
        <v>1</v>
      </c>
      <c r="D2247" t="str">
        <f t="shared" si="35"/>
        <v>1721000.105</v>
      </c>
      <c r="E2247" t="s">
        <v>2572</v>
      </c>
      <c r="F2247" s="242"/>
      <c r="G2247"/>
      <c r="H2247" s="242">
        <v>32000</v>
      </c>
      <c r="I2247" s="242">
        <v>0</v>
      </c>
      <c r="J2247"/>
    </row>
    <row r="2248" spans="1:10" ht="15.75" customHeight="1">
      <c r="A2248" t="s">
        <v>2403</v>
      </c>
      <c r="B2248">
        <v>721000</v>
      </c>
      <c r="C2248">
        <v>1</v>
      </c>
      <c r="D2248" t="str">
        <f t="shared" si="35"/>
        <v>1721000.110</v>
      </c>
      <c r="E2248" t="s">
        <v>2573</v>
      </c>
      <c r="F2248" s="242"/>
      <c r="G2248"/>
      <c r="H2248" s="242">
        <v>296951</v>
      </c>
      <c r="I2248" s="242">
        <v>204583</v>
      </c>
      <c r="J2248"/>
    </row>
    <row r="2249" spans="1:10" ht="15.75" customHeight="1">
      <c r="A2249" t="s">
        <v>2404</v>
      </c>
      <c r="B2249">
        <v>721000</v>
      </c>
      <c r="C2249">
        <v>1</v>
      </c>
      <c r="D2249" t="str">
        <f t="shared" si="35"/>
        <v>1721000.120</v>
      </c>
      <c r="E2249" t="s">
        <v>2574</v>
      </c>
      <c r="F2249" s="242"/>
      <c r="G2249"/>
      <c r="H2249" s="242">
        <v>112947</v>
      </c>
      <c r="I2249" s="242">
        <v>115551</v>
      </c>
      <c r="J2249"/>
    </row>
    <row r="2250" spans="1:10" ht="15.75" customHeight="1">
      <c r="A2250" t="s">
        <v>2575</v>
      </c>
      <c r="B2250">
        <v>721000</v>
      </c>
      <c r="C2250">
        <v>1</v>
      </c>
      <c r="D2250" t="str">
        <f t="shared" si="35"/>
        <v>1721000.130</v>
      </c>
      <c r="E2250" t="s">
        <v>2576</v>
      </c>
      <c r="F2250" s="242"/>
      <c r="G2250"/>
      <c r="H2250" s="242">
        <v>13958</v>
      </c>
      <c r="I2250" s="242">
        <v>9092</v>
      </c>
      <c r="J2250"/>
    </row>
    <row r="2251" spans="1:10" ht="15.75" customHeight="1">
      <c r="A2251" t="s">
        <v>2577</v>
      </c>
      <c r="B2251">
        <v>721000</v>
      </c>
      <c r="C2251">
        <v>1</v>
      </c>
      <c r="D2251" t="str">
        <f t="shared" si="35"/>
        <v>1721000.140</v>
      </c>
      <c r="E2251" t="s">
        <v>2578</v>
      </c>
      <c r="F2251" s="242"/>
      <c r="G2251"/>
      <c r="H2251" s="242">
        <v>82762</v>
      </c>
      <c r="I2251" s="242">
        <v>80489</v>
      </c>
      <c r="J2251"/>
    </row>
    <row r="2252" spans="1:10" ht="15.75" customHeight="1">
      <c r="A2252" t="s">
        <v>2579</v>
      </c>
      <c r="B2252">
        <v>721000</v>
      </c>
      <c r="C2252">
        <v>1</v>
      </c>
      <c r="D2252" t="str">
        <f t="shared" si="35"/>
        <v>1721000.181</v>
      </c>
      <c r="E2252" t="s">
        <v>2580</v>
      </c>
      <c r="F2252" s="242"/>
      <c r="G2252"/>
      <c r="H2252" s="242">
        <v>85252</v>
      </c>
      <c r="I2252" s="242">
        <v>82510</v>
      </c>
      <c r="J2252"/>
    </row>
    <row r="2253" spans="1:10" ht="15.75" customHeight="1">
      <c r="A2253" t="s">
        <v>2581</v>
      </c>
      <c r="B2253">
        <v>721000</v>
      </c>
      <c r="C2253">
        <v>1</v>
      </c>
      <c r="D2253" t="str">
        <f t="shared" si="35"/>
        <v>1721000.182</v>
      </c>
      <c r="E2253" t="s">
        <v>2582</v>
      </c>
      <c r="F2253" s="242"/>
      <c r="G2253"/>
      <c r="H2253" s="242">
        <v>38406</v>
      </c>
      <c r="I2253" s="242">
        <v>37749</v>
      </c>
      <c r="J2253"/>
    </row>
    <row r="2254" spans="1:10" ht="15.75" customHeight="1">
      <c r="A2254" t="s">
        <v>2652</v>
      </c>
      <c r="B2254">
        <v>721000</v>
      </c>
      <c r="C2254">
        <v>1</v>
      </c>
      <c r="D2254" t="str">
        <f t="shared" si="35"/>
        <v>1721000.420</v>
      </c>
      <c r="E2254" t="s">
        <v>2653</v>
      </c>
      <c r="F2254" s="242"/>
      <c r="G2254"/>
      <c r="H2254" s="242">
        <v>14000</v>
      </c>
      <c r="I2254" s="242">
        <v>7748</v>
      </c>
      <c r="J2254"/>
    </row>
    <row r="2255" spans="1:10" ht="15.75" customHeight="1">
      <c r="A2255" t="s">
        <v>1663</v>
      </c>
      <c r="B2255">
        <v>721000</v>
      </c>
      <c r="C2255">
        <v>1</v>
      </c>
      <c r="D2255" t="str">
        <f t="shared" si="35"/>
        <v>1721000.431</v>
      </c>
      <c r="E2255" t="s">
        <v>2654</v>
      </c>
      <c r="F2255" s="242"/>
      <c r="G2255"/>
      <c r="H2255" s="242">
        <v>48800</v>
      </c>
      <c r="I2255" s="242">
        <v>56292</v>
      </c>
      <c r="J2255"/>
    </row>
    <row r="2256" spans="1:10" ht="15.75" customHeight="1">
      <c r="A2256" t="s">
        <v>1673</v>
      </c>
      <c r="B2256">
        <v>721000</v>
      </c>
      <c r="C2256">
        <v>1</v>
      </c>
      <c r="D2256" t="str">
        <f t="shared" si="35"/>
        <v>1721000.433</v>
      </c>
      <c r="E2256" t="s">
        <v>2655</v>
      </c>
      <c r="F2256" s="242"/>
      <c r="G2256"/>
      <c r="H2256" s="242">
        <v>6000</v>
      </c>
      <c r="I2256" s="242">
        <v>6172</v>
      </c>
      <c r="J2256"/>
    </row>
    <row r="2257" spans="1:10" ht="15.75" customHeight="1">
      <c r="A2257" t="s">
        <v>1678</v>
      </c>
      <c r="B2257">
        <v>721000</v>
      </c>
      <c r="C2257">
        <v>1</v>
      </c>
      <c r="D2257" t="str">
        <f t="shared" si="35"/>
        <v>1721000.434</v>
      </c>
      <c r="E2257" t="s">
        <v>2656</v>
      </c>
      <c r="F2257" s="242"/>
      <c r="G2257"/>
      <c r="H2257" s="242">
        <v>36000</v>
      </c>
      <c r="I2257" s="242">
        <v>35944</v>
      </c>
      <c r="J2257"/>
    </row>
    <row r="2258" spans="1:10" ht="15.75" customHeight="1">
      <c r="A2258" t="s">
        <v>2606</v>
      </c>
      <c r="B2258">
        <v>721000</v>
      </c>
      <c r="C2258">
        <v>1</v>
      </c>
      <c r="D2258" t="str">
        <f t="shared" si="35"/>
        <v>1721000.440</v>
      </c>
      <c r="E2258" t="s">
        <v>2657</v>
      </c>
      <c r="F2258" s="242"/>
      <c r="G2258"/>
      <c r="H2258" s="242">
        <v>3400</v>
      </c>
      <c r="I2258" s="242">
        <v>3312</v>
      </c>
      <c r="J2258"/>
    </row>
    <row r="2259" spans="1:10" ht="15.75" customHeight="1">
      <c r="A2259" t="s">
        <v>2658</v>
      </c>
      <c r="B2259">
        <v>721000</v>
      </c>
      <c r="C2259">
        <v>1</v>
      </c>
      <c r="D2259" t="str">
        <f t="shared" si="35"/>
        <v>1721000.441</v>
      </c>
      <c r="E2259" t="s">
        <v>2659</v>
      </c>
      <c r="F2259" s="242"/>
      <c r="G2259"/>
      <c r="H2259" s="242">
        <v>65000</v>
      </c>
      <c r="I2259" s="242">
        <v>55865</v>
      </c>
      <c r="J2259"/>
    </row>
    <row r="2260" spans="1:10" ht="15.75" customHeight="1">
      <c r="A2260" t="s">
        <v>2411</v>
      </c>
      <c r="B2260">
        <v>721000</v>
      </c>
      <c r="C2260">
        <v>1</v>
      </c>
      <c r="D2260" t="str">
        <f t="shared" si="35"/>
        <v>1721000.470</v>
      </c>
      <c r="E2260" t="s">
        <v>2660</v>
      </c>
      <c r="F2260" s="242"/>
      <c r="G2260"/>
      <c r="H2260" s="242">
        <v>11000</v>
      </c>
      <c r="I2260" s="242">
        <v>12626</v>
      </c>
      <c r="J2260"/>
    </row>
    <row r="2261" spans="1:10" ht="15.75" customHeight="1">
      <c r="A2261" t="s">
        <v>2286</v>
      </c>
      <c r="B2261">
        <v>721000</v>
      </c>
      <c r="C2261">
        <v>1</v>
      </c>
      <c r="D2261" t="str">
        <f t="shared" si="35"/>
        <v>1721000.511</v>
      </c>
      <c r="E2261" t="s">
        <v>2584</v>
      </c>
      <c r="F2261" s="242"/>
      <c r="G2261"/>
      <c r="H2261" s="242">
        <v>14000</v>
      </c>
      <c r="I2261" s="242">
        <v>14960</v>
      </c>
      <c r="J2261"/>
    </row>
    <row r="2262" spans="1:10" ht="15.75" customHeight="1">
      <c r="A2262" t="s">
        <v>2414</v>
      </c>
      <c r="B2262">
        <v>721000</v>
      </c>
      <c r="C2262">
        <v>1</v>
      </c>
      <c r="D2262" t="str">
        <f t="shared" si="35"/>
        <v>1721000.512</v>
      </c>
      <c r="E2262" t="s">
        <v>2585</v>
      </c>
      <c r="F2262" s="242"/>
      <c r="G2262"/>
      <c r="H2262" s="242">
        <v>500</v>
      </c>
      <c r="I2262" s="242">
        <v>0</v>
      </c>
      <c r="J2262"/>
    </row>
    <row r="2263" spans="1:10" ht="15.75" customHeight="1">
      <c r="A2263" t="s">
        <v>2588</v>
      </c>
      <c r="B2263">
        <v>721000</v>
      </c>
      <c r="C2263">
        <v>1</v>
      </c>
      <c r="D2263" t="str">
        <f t="shared" si="35"/>
        <v>1721000.522</v>
      </c>
      <c r="E2263" t="s">
        <v>2608</v>
      </c>
      <c r="F2263" s="242"/>
      <c r="G2263"/>
      <c r="H2263" s="242">
        <v>500</v>
      </c>
      <c r="I2263" s="242">
        <v>0</v>
      </c>
      <c r="J2263"/>
    </row>
    <row r="2264" spans="1:10" ht="15.75" customHeight="1">
      <c r="A2264" t="s">
        <v>2594</v>
      </c>
      <c r="B2264">
        <v>721000</v>
      </c>
      <c r="C2264">
        <v>1</v>
      </c>
      <c r="D2264" t="str">
        <f t="shared" si="35"/>
        <v>1721000.540</v>
      </c>
      <c r="E2264" t="s">
        <v>2595</v>
      </c>
      <c r="F2264" s="242"/>
      <c r="G2264"/>
      <c r="H2264" s="242">
        <v>34000</v>
      </c>
      <c r="I2264" s="242">
        <v>41630</v>
      </c>
      <c r="J2264"/>
    </row>
    <row r="2265" spans="1:10" ht="15.75" customHeight="1">
      <c r="A2265" t="s">
        <v>2598</v>
      </c>
      <c r="B2265">
        <v>721000</v>
      </c>
      <c r="C2265">
        <v>1</v>
      </c>
      <c r="D2265" t="str">
        <f t="shared" si="35"/>
        <v>1721000.561</v>
      </c>
      <c r="E2265" t="s">
        <v>2599</v>
      </c>
      <c r="F2265" s="242"/>
      <c r="G2265"/>
      <c r="H2265" s="242">
        <v>7500</v>
      </c>
      <c r="I2265" s="242">
        <v>10775</v>
      </c>
      <c r="J2265"/>
    </row>
    <row r="2266" spans="1:10" ht="15.75" customHeight="1">
      <c r="A2266" t="s">
        <v>2661</v>
      </c>
      <c r="B2266">
        <v>721000</v>
      </c>
      <c r="C2266">
        <v>1</v>
      </c>
      <c r="D2266" t="str">
        <f t="shared" si="35"/>
        <v>1721000.578</v>
      </c>
      <c r="E2266" t="s">
        <v>2662</v>
      </c>
      <c r="F2266" s="242"/>
      <c r="G2266"/>
      <c r="H2266" s="242">
        <v>8000</v>
      </c>
      <c r="I2266" s="242">
        <v>6960</v>
      </c>
      <c r="J2266"/>
    </row>
    <row r="2267" spans="1:10" ht="15.75" customHeight="1">
      <c r="A2267" t="s">
        <v>2600</v>
      </c>
      <c r="B2267">
        <v>721000</v>
      </c>
      <c r="C2267">
        <v>1</v>
      </c>
      <c r="D2267" t="str">
        <f t="shared" si="35"/>
        <v>1721000.580</v>
      </c>
      <c r="E2267" t="s">
        <v>2601</v>
      </c>
      <c r="F2267" s="242"/>
      <c r="G2267"/>
      <c r="H2267" s="242">
        <v>5000</v>
      </c>
      <c r="I2267" s="242">
        <v>7066</v>
      </c>
      <c r="J2267"/>
    </row>
    <row r="2268" spans="1:10" ht="15.75" customHeight="1">
      <c r="A2268" t="s">
        <v>2663</v>
      </c>
      <c r="B2268">
        <v>721000</v>
      </c>
      <c r="C2268">
        <v>1</v>
      </c>
      <c r="D2268" t="str">
        <f t="shared" si="35"/>
        <v>1721000.585</v>
      </c>
      <c r="E2268" t="s">
        <v>2664</v>
      </c>
      <c r="F2268" s="242"/>
      <c r="G2268"/>
      <c r="H2268" s="242">
        <v>16000</v>
      </c>
      <c r="I2268" s="242">
        <v>0</v>
      </c>
      <c r="J2268"/>
    </row>
    <row r="2269" spans="1:10" ht="15.75" customHeight="1">
      <c r="A2269" t="s">
        <v>600</v>
      </c>
      <c r="B2269">
        <v>721000</v>
      </c>
      <c r="C2269">
        <v>1</v>
      </c>
      <c r="D2269" t="str">
        <f t="shared" si="35"/>
        <v>1721000.731</v>
      </c>
      <c r="E2269" t="s">
        <v>2593</v>
      </c>
      <c r="F2269" s="242"/>
      <c r="G2269"/>
      <c r="H2269" s="242">
        <v>25607</v>
      </c>
      <c r="I2269" s="242">
        <v>41321</v>
      </c>
      <c r="J2269"/>
    </row>
    <row r="2270" spans="1:10" ht="15.75" customHeight="1">
      <c r="A2270" t="s">
        <v>605</v>
      </c>
      <c r="B2270">
        <v>721000</v>
      </c>
      <c r="C2270">
        <v>1</v>
      </c>
      <c r="D2270" t="str">
        <f t="shared" si="35"/>
        <v>1721000.732</v>
      </c>
      <c r="E2270" t="s">
        <v>2665</v>
      </c>
      <c r="F2270" s="242"/>
      <c r="G2270"/>
      <c r="H2270" s="242">
        <v>20000</v>
      </c>
      <c r="I2270" s="242">
        <v>15140</v>
      </c>
      <c r="J2270"/>
    </row>
    <row r="2271" spans="1:10" ht="15.75" customHeight="1">
      <c r="A2271" t="s">
        <v>624</v>
      </c>
      <c r="B2271">
        <v>721000</v>
      </c>
      <c r="C2271">
        <v>1</v>
      </c>
      <c r="D2271" t="str">
        <f t="shared" si="35"/>
        <v>1721000.733</v>
      </c>
      <c r="E2271" t="s">
        <v>2666</v>
      </c>
      <c r="F2271" s="242"/>
      <c r="G2271"/>
      <c r="H2271" s="242">
        <v>1500</v>
      </c>
      <c r="I2271" s="242">
        <v>1767</v>
      </c>
      <c r="J2271"/>
    </row>
    <row r="2272" spans="1:10" ht="15.75" customHeight="1">
      <c r="A2272" t="s">
        <v>2418</v>
      </c>
      <c r="B2272">
        <v>721000</v>
      </c>
      <c r="C2272">
        <v>1</v>
      </c>
      <c r="D2272" t="str">
        <f t="shared" si="35"/>
        <v>1721000.735</v>
      </c>
      <c r="E2272" t="s">
        <v>2667</v>
      </c>
      <c r="F2272" s="242"/>
      <c r="G2272"/>
      <c r="H2272" s="242">
        <v>55267</v>
      </c>
      <c r="I2272" s="242">
        <v>59739</v>
      </c>
      <c r="J2272"/>
    </row>
    <row r="2273" spans="1:10" ht="15.75" customHeight="1">
      <c r="A2273" t="s">
        <v>658</v>
      </c>
      <c r="B2273">
        <v>721000</v>
      </c>
      <c r="C2273">
        <v>1</v>
      </c>
      <c r="D2273" t="str">
        <f t="shared" si="35"/>
        <v>1721000.742</v>
      </c>
      <c r="E2273" t="s">
        <v>2668</v>
      </c>
      <c r="F2273" s="242"/>
      <c r="G2273"/>
      <c r="H2273" s="242">
        <v>5000</v>
      </c>
      <c r="I2273" s="242">
        <v>1137</v>
      </c>
      <c r="J2273"/>
    </row>
    <row r="2274" spans="1:10" ht="15.75" customHeight="1">
      <c r="A2274" t="s">
        <v>673</v>
      </c>
      <c r="B2274">
        <v>721000</v>
      </c>
      <c r="C2274">
        <v>1</v>
      </c>
      <c r="D2274" t="str">
        <f t="shared" si="35"/>
        <v>1721000.743</v>
      </c>
      <c r="E2274" t="s">
        <v>2622</v>
      </c>
      <c r="F2274" s="242"/>
      <c r="G2274"/>
      <c r="H2274" s="242">
        <v>17800</v>
      </c>
      <c r="I2274" s="242">
        <v>20341</v>
      </c>
      <c r="J2274"/>
    </row>
    <row r="2275" spans="1:10" ht="15.75" customHeight="1">
      <c r="A2275" t="s">
        <v>678</v>
      </c>
      <c r="B2275">
        <v>721000</v>
      </c>
      <c r="C2275">
        <v>1</v>
      </c>
      <c r="D2275" t="str">
        <f t="shared" si="35"/>
        <v>1721000.744</v>
      </c>
      <c r="E2275" t="s">
        <v>2669</v>
      </c>
      <c r="F2275" s="242"/>
      <c r="G2275"/>
      <c r="H2275" s="242">
        <v>9000</v>
      </c>
      <c r="I2275" s="242">
        <v>7161</v>
      </c>
      <c r="J2275"/>
    </row>
    <row r="2276" spans="1:10" ht="15.75" customHeight="1">
      <c r="A2276" t="s">
        <v>2670</v>
      </c>
      <c r="B2276">
        <v>721000</v>
      </c>
      <c r="C2276">
        <v>1</v>
      </c>
      <c r="D2276" t="str">
        <f t="shared" si="35"/>
        <v>1721000.755</v>
      </c>
      <c r="E2276" t="s">
        <v>2671</v>
      </c>
      <c r="F2276" s="242"/>
      <c r="G2276"/>
      <c r="H2276" s="242">
        <v>5000</v>
      </c>
      <c r="I2276" s="242">
        <v>2559</v>
      </c>
      <c r="J2276"/>
    </row>
    <row r="2277" spans="1:10" ht="15.75" customHeight="1">
      <c r="A2277" t="s">
        <v>2632</v>
      </c>
      <c r="B2277">
        <v>721000</v>
      </c>
      <c r="C2277">
        <v>1</v>
      </c>
      <c r="D2277" t="str">
        <f t="shared" si="35"/>
        <v>1721000.780</v>
      </c>
      <c r="E2277" t="s">
        <v>2672</v>
      </c>
      <c r="F2277" s="242"/>
      <c r="G2277"/>
      <c r="H2277" s="242">
        <v>460000</v>
      </c>
      <c r="I2277" s="242">
        <v>430407</v>
      </c>
      <c r="J2277"/>
    </row>
    <row r="2278" spans="1:10" ht="15.75" customHeight="1">
      <c r="A2278" t="s">
        <v>872</v>
      </c>
      <c r="B2278">
        <v>721000</v>
      </c>
      <c r="C2278">
        <v>1</v>
      </c>
      <c r="D2278" t="str">
        <f t="shared" si="35"/>
        <v>1721000.781</v>
      </c>
      <c r="E2278" t="s">
        <v>2673</v>
      </c>
      <c r="F2278" s="242"/>
      <c r="G2278"/>
      <c r="H2278" s="242">
        <v>4200</v>
      </c>
      <c r="I2278" s="242">
        <v>1955</v>
      </c>
      <c r="J2278"/>
    </row>
    <row r="2279" spans="1:10" ht="15.75" customHeight="1">
      <c r="A2279" t="s">
        <v>2674</v>
      </c>
      <c r="B2279">
        <v>721000</v>
      </c>
      <c r="C2279">
        <v>1</v>
      </c>
      <c r="D2279" t="str">
        <f t="shared" si="35"/>
        <v>1721000.783</v>
      </c>
      <c r="E2279" t="s">
        <v>2675</v>
      </c>
      <c r="F2279" s="242"/>
      <c r="G2279"/>
      <c r="H2279" s="242">
        <v>15000</v>
      </c>
      <c r="I2279" s="242">
        <v>15100</v>
      </c>
      <c r="J2279"/>
    </row>
    <row r="2280" spans="1:10" ht="15.75" customHeight="1">
      <c r="A2280" t="s">
        <v>2676</v>
      </c>
      <c r="B2280">
        <v>721000</v>
      </c>
      <c r="C2280">
        <v>1</v>
      </c>
      <c r="D2280" t="str">
        <f t="shared" si="35"/>
        <v>1721000.784</v>
      </c>
      <c r="E2280" t="s">
        <v>2677</v>
      </c>
      <c r="F2280" s="242"/>
      <c r="G2280"/>
      <c r="H2280" s="242">
        <v>0</v>
      </c>
      <c r="I2280" s="242">
        <v>0</v>
      </c>
      <c r="J2280"/>
    </row>
    <row r="2281" spans="1:10" ht="15.75" customHeight="1">
      <c r="A2281" t="s">
        <v>2606</v>
      </c>
      <c r="B2281">
        <v>721001</v>
      </c>
      <c r="C2281">
        <v>1</v>
      </c>
      <c r="D2281" t="str">
        <f t="shared" si="35"/>
        <v>1721001.440</v>
      </c>
      <c r="E2281" t="s">
        <v>2678</v>
      </c>
      <c r="F2281" s="242"/>
      <c r="G2281"/>
      <c r="H2281" s="242">
        <v>4400</v>
      </c>
      <c r="I2281" s="242">
        <v>4262</v>
      </c>
      <c r="J2281"/>
    </row>
    <row r="2282" spans="1:10" ht="15.75" customHeight="1">
      <c r="A2282" t="s">
        <v>2594</v>
      </c>
      <c r="B2282">
        <v>721100</v>
      </c>
      <c r="C2282">
        <v>1</v>
      </c>
      <c r="D2282" t="str">
        <f t="shared" si="35"/>
        <v>1721100.540</v>
      </c>
      <c r="E2282" t="s">
        <v>2679</v>
      </c>
      <c r="F2282" s="242"/>
      <c r="G2282"/>
      <c r="H2282" s="242">
        <v>3500</v>
      </c>
      <c r="I2282" s="242">
        <v>2294</v>
      </c>
      <c r="J2282"/>
    </row>
    <row r="2283" spans="1:10" ht="15.75" customHeight="1">
      <c r="A2283" t="s">
        <v>2652</v>
      </c>
      <c r="B2283">
        <v>722100</v>
      </c>
      <c r="C2283">
        <v>1</v>
      </c>
      <c r="D2283" t="str">
        <f t="shared" si="35"/>
        <v>1722100.420</v>
      </c>
      <c r="E2283" t="s">
        <v>2712</v>
      </c>
      <c r="F2283" s="242"/>
      <c r="G2283"/>
      <c r="H2283" s="242">
        <v>10000</v>
      </c>
      <c r="I2283" s="242">
        <v>580</v>
      </c>
      <c r="J2283"/>
    </row>
    <row r="2284" spans="1:10" ht="15.75" customHeight="1">
      <c r="A2284" t="s">
        <v>1663</v>
      </c>
      <c r="B2284">
        <v>722100</v>
      </c>
      <c r="C2284">
        <v>1</v>
      </c>
      <c r="D2284" t="str">
        <f t="shared" si="35"/>
        <v>1722100.431</v>
      </c>
      <c r="E2284" t="s">
        <v>2654</v>
      </c>
      <c r="F2284" s="242"/>
      <c r="G2284"/>
      <c r="H2284" s="242">
        <v>18900</v>
      </c>
      <c r="I2284" s="242">
        <v>23029</v>
      </c>
      <c r="J2284"/>
    </row>
    <row r="2285" spans="1:10" ht="15.75" customHeight="1">
      <c r="A2285" t="s">
        <v>1668</v>
      </c>
      <c r="B2285">
        <v>722100</v>
      </c>
      <c r="C2285">
        <v>1</v>
      </c>
      <c r="D2285" t="str">
        <f t="shared" si="35"/>
        <v>1722100.432</v>
      </c>
      <c r="E2285" t="s">
        <v>2687</v>
      </c>
      <c r="F2285" s="242"/>
      <c r="G2285"/>
      <c r="H2285" s="242">
        <v>100</v>
      </c>
      <c r="I2285" s="242">
        <v>2077</v>
      </c>
      <c r="J2285"/>
    </row>
    <row r="2286" spans="1:10" ht="15.75" customHeight="1">
      <c r="A2286" t="s">
        <v>1673</v>
      </c>
      <c r="B2286">
        <v>722100</v>
      </c>
      <c r="C2286">
        <v>1</v>
      </c>
      <c r="D2286" t="str">
        <f t="shared" si="35"/>
        <v>1722100.433</v>
      </c>
      <c r="E2286" t="s">
        <v>2655</v>
      </c>
      <c r="F2286" s="242"/>
      <c r="G2286"/>
      <c r="H2286" s="242">
        <v>2000</v>
      </c>
      <c r="I2286" s="242">
        <v>1573</v>
      </c>
      <c r="J2286"/>
    </row>
    <row r="2287" spans="1:10" ht="15.75" customHeight="1">
      <c r="A2287" t="s">
        <v>2606</v>
      </c>
      <c r="B2287">
        <v>722100</v>
      </c>
      <c r="C2287">
        <v>1</v>
      </c>
      <c r="D2287" t="str">
        <f t="shared" si="35"/>
        <v>1722100.440</v>
      </c>
      <c r="E2287" t="s">
        <v>2657</v>
      </c>
      <c r="F2287" s="242"/>
      <c r="G2287"/>
      <c r="H2287" s="242">
        <v>3400</v>
      </c>
      <c r="I2287" s="242">
        <v>3312</v>
      </c>
      <c r="J2287"/>
    </row>
    <row r="2288" spans="1:10" ht="15.75" customHeight="1">
      <c r="A2288" t="s">
        <v>2411</v>
      </c>
      <c r="B2288">
        <v>722100</v>
      </c>
      <c r="C2288">
        <v>1</v>
      </c>
      <c r="D2288" t="str">
        <f t="shared" si="35"/>
        <v>1722100.470</v>
      </c>
      <c r="E2288" t="s">
        <v>2660</v>
      </c>
      <c r="F2288" s="242"/>
      <c r="G2288"/>
      <c r="H2288" s="242">
        <v>5000</v>
      </c>
      <c r="I2288" s="242">
        <v>3894</v>
      </c>
      <c r="J2288"/>
    </row>
    <row r="2289" spans="1:10" ht="15.75" customHeight="1">
      <c r="A2289" t="s">
        <v>2286</v>
      </c>
      <c r="B2289">
        <v>722100</v>
      </c>
      <c r="C2289">
        <v>1</v>
      </c>
      <c r="D2289" t="str">
        <f t="shared" si="35"/>
        <v>1722100.511</v>
      </c>
      <c r="E2289" t="s">
        <v>2584</v>
      </c>
      <c r="F2289" s="242"/>
      <c r="G2289"/>
      <c r="H2289" s="242">
        <v>15000</v>
      </c>
      <c r="I2289" s="242">
        <v>15547</v>
      </c>
      <c r="J2289"/>
    </row>
    <row r="2290" spans="1:10" ht="15.75" customHeight="1">
      <c r="A2290" t="s">
        <v>2598</v>
      </c>
      <c r="B2290">
        <v>722100</v>
      </c>
      <c r="C2290">
        <v>1</v>
      </c>
      <c r="D2290" t="str">
        <f t="shared" si="35"/>
        <v>1722100.561</v>
      </c>
      <c r="E2290" t="s">
        <v>2599</v>
      </c>
      <c r="F2290" s="242"/>
      <c r="G2290"/>
      <c r="H2290" s="242">
        <v>2000</v>
      </c>
      <c r="I2290" s="242">
        <v>1764</v>
      </c>
      <c r="J2290"/>
    </row>
    <row r="2291" spans="1:10" ht="15.75" customHeight="1">
      <c r="A2291" t="s">
        <v>2600</v>
      </c>
      <c r="B2291">
        <v>722100</v>
      </c>
      <c r="C2291">
        <v>1</v>
      </c>
      <c r="D2291" t="str">
        <f t="shared" si="35"/>
        <v>1722100.580</v>
      </c>
      <c r="E2291" t="s">
        <v>2601</v>
      </c>
      <c r="F2291" s="242"/>
      <c r="G2291"/>
      <c r="H2291" s="242">
        <v>3000</v>
      </c>
      <c r="I2291" s="242">
        <v>2966</v>
      </c>
      <c r="J2291"/>
    </row>
    <row r="2292" spans="1:10" ht="15.75" customHeight="1">
      <c r="A2292" t="s">
        <v>673</v>
      </c>
      <c r="B2292">
        <v>722100</v>
      </c>
      <c r="C2292">
        <v>1</v>
      </c>
      <c r="D2292" t="str">
        <f t="shared" si="35"/>
        <v>1722100.743</v>
      </c>
      <c r="E2292" t="s">
        <v>2622</v>
      </c>
      <c r="F2292" s="242"/>
      <c r="G2292"/>
      <c r="H2292" s="242">
        <v>7500</v>
      </c>
      <c r="I2292" s="242">
        <v>7972</v>
      </c>
      <c r="J2292"/>
    </row>
    <row r="2293" spans="1:10" ht="15.75" customHeight="1">
      <c r="A2293" t="s">
        <v>835</v>
      </c>
      <c r="B2293">
        <v>722100</v>
      </c>
      <c r="C2293">
        <v>1</v>
      </c>
      <c r="D2293" t="str">
        <f t="shared" si="35"/>
        <v>1722100.769</v>
      </c>
      <c r="E2293" t="s">
        <v>2605</v>
      </c>
      <c r="F2293" s="242"/>
      <c r="G2293"/>
      <c r="H2293" s="242">
        <v>19200</v>
      </c>
      <c r="I2293" s="242">
        <v>24377</v>
      </c>
      <c r="J2293"/>
    </row>
    <row r="2294" spans="1:10" ht="15.75" customHeight="1">
      <c r="A2294" t="s">
        <v>2632</v>
      </c>
      <c r="B2294">
        <v>722100</v>
      </c>
      <c r="C2294">
        <v>1</v>
      </c>
      <c r="D2294" t="str">
        <f t="shared" si="35"/>
        <v>1722100.780</v>
      </c>
      <c r="E2294" t="s">
        <v>2713</v>
      </c>
      <c r="F2294" s="242"/>
      <c r="G2294"/>
      <c r="H2294" s="242">
        <v>4500</v>
      </c>
      <c r="I2294" s="242">
        <v>1181</v>
      </c>
      <c r="J2294"/>
    </row>
    <row r="2295" spans="1:10" ht="15.75" customHeight="1">
      <c r="A2295" t="s">
        <v>872</v>
      </c>
      <c r="B2295">
        <v>722100</v>
      </c>
      <c r="C2295">
        <v>1</v>
      </c>
      <c r="D2295" t="str">
        <f t="shared" si="35"/>
        <v>1722100.781</v>
      </c>
      <c r="E2295" t="s">
        <v>2714</v>
      </c>
      <c r="F2295" s="242"/>
      <c r="G2295"/>
      <c r="H2295" s="242">
        <v>25000</v>
      </c>
      <c r="I2295" s="242">
        <v>22724</v>
      </c>
      <c r="J2295"/>
    </row>
    <row r="2296" spans="1:10" ht="15.75" customHeight="1">
      <c r="A2296" t="s">
        <v>2403</v>
      </c>
      <c r="B2296">
        <v>722200</v>
      </c>
      <c r="C2296">
        <v>1</v>
      </c>
      <c r="D2296" t="str">
        <f t="shared" si="35"/>
        <v>1722200.110</v>
      </c>
      <c r="E2296" t="s">
        <v>2573</v>
      </c>
      <c r="F2296" s="242"/>
      <c r="G2296"/>
      <c r="H2296" s="242">
        <v>245667</v>
      </c>
      <c r="I2296" s="242">
        <v>264104</v>
      </c>
      <c r="J2296"/>
    </row>
    <row r="2297" spans="1:10" ht="15.75" customHeight="1">
      <c r="A2297" t="s">
        <v>2404</v>
      </c>
      <c r="B2297">
        <v>722200</v>
      </c>
      <c r="C2297">
        <v>1</v>
      </c>
      <c r="D2297" t="str">
        <f t="shared" si="35"/>
        <v>1722200.120</v>
      </c>
      <c r="E2297" t="s">
        <v>2574</v>
      </c>
      <c r="F2297" s="242"/>
      <c r="G2297"/>
      <c r="H2297" s="242">
        <v>32285</v>
      </c>
      <c r="I2297" s="242">
        <v>31136</v>
      </c>
      <c r="J2297"/>
    </row>
    <row r="2298" spans="1:10" ht="15.75" customHeight="1">
      <c r="A2298" t="s">
        <v>2575</v>
      </c>
      <c r="B2298">
        <v>722200</v>
      </c>
      <c r="C2298">
        <v>1</v>
      </c>
      <c r="D2298" t="str">
        <f t="shared" si="35"/>
        <v>1722200.130</v>
      </c>
      <c r="E2298" t="s">
        <v>2576</v>
      </c>
      <c r="F2298" s="242"/>
      <c r="G2298"/>
      <c r="H2298" s="242">
        <v>70263</v>
      </c>
      <c r="I2298" s="242">
        <v>63988</v>
      </c>
      <c r="J2298"/>
    </row>
    <row r="2299" spans="1:10" ht="15.75" customHeight="1">
      <c r="A2299" t="s">
        <v>2577</v>
      </c>
      <c r="B2299">
        <v>722200</v>
      </c>
      <c r="C2299">
        <v>1</v>
      </c>
      <c r="D2299" t="str">
        <f t="shared" si="35"/>
        <v>1722200.140</v>
      </c>
      <c r="E2299" t="s">
        <v>2578</v>
      </c>
      <c r="F2299" s="242"/>
      <c r="G2299"/>
      <c r="H2299" s="242">
        <v>53367</v>
      </c>
      <c r="I2299" s="242">
        <v>45446</v>
      </c>
      <c r="J2299"/>
    </row>
    <row r="2300" spans="1:10" ht="15.75" customHeight="1">
      <c r="A2300" t="s">
        <v>2579</v>
      </c>
      <c r="B2300">
        <v>722200</v>
      </c>
      <c r="C2300">
        <v>1</v>
      </c>
      <c r="D2300" t="str">
        <f t="shared" si="35"/>
        <v>1722200.181</v>
      </c>
      <c r="E2300" t="s">
        <v>2580</v>
      </c>
      <c r="F2300" s="242"/>
      <c r="G2300"/>
      <c r="H2300" s="242">
        <v>76875</v>
      </c>
      <c r="I2300" s="242">
        <v>71583</v>
      </c>
      <c r="J2300"/>
    </row>
    <row r="2301" spans="1:10" ht="15.75" customHeight="1">
      <c r="A2301" t="s">
        <v>2581</v>
      </c>
      <c r="B2301">
        <v>722200</v>
      </c>
      <c r="C2301">
        <v>1</v>
      </c>
      <c r="D2301" t="str">
        <f t="shared" si="35"/>
        <v>1722200.182</v>
      </c>
      <c r="E2301" t="s">
        <v>2582</v>
      </c>
      <c r="F2301" s="242"/>
      <c r="G2301"/>
      <c r="H2301" s="242">
        <v>33015</v>
      </c>
      <c r="I2301" s="242">
        <v>30793</v>
      </c>
      <c r="J2301"/>
    </row>
    <row r="2302" spans="1:10" ht="15.75" customHeight="1">
      <c r="A2302" t="s">
        <v>2652</v>
      </c>
      <c r="B2302">
        <v>722200</v>
      </c>
      <c r="C2302">
        <v>1</v>
      </c>
      <c r="D2302" t="str">
        <f t="shared" si="35"/>
        <v>1722200.420</v>
      </c>
      <c r="E2302" t="s">
        <v>2696</v>
      </c>
      <c r="F2302" s="242"/>
      <c r="G2302"/>
      <c r="H2302" s="242">
        <v>9000</v>
      </c>
      <c r="I2302" s="242">
        <v>9346</v>
      </c>
      <c r="J2302"/>
    </row>
    <row r="2303" spans="1:10" ht="15.75" customHeight="1">
      <c r="A2303" t="s">
        <v>1663</v>
      </c>
      <c r="B2303">
        <v>722200</v>
      </c>
      <c r="C2303">
        <v>1</v>
      </c>
      <c r="D2303" t="str">
        <f t="shared" si="35"/>
        <v>1722200.431</v>
      </c>
      <c r="E2303" t="s">
        <v>2654</v>
      </c>
      <c r="F2303" s="242"/>
      <c r="G2303"/>
      <c r="H2303" s="242">
        <v>18000</v>
      </c>
      <c r="I2303" s="242">
        <v>18756</v>
      </c>
      <c r="J2303"/>
    </row>
    <row r="2304" spans="1:10" ht="15.75" customHeight="1">
      <c r="A2304" t="s">
        <v>1678</v>
      </c>
      <c r="B2304">
        <v>722200</v>
      </c>
      <c r="C2304">
        <v>1</v>
      </c>
      <c r="D2304" t="str">
        <f t="shared" si="35"/>
        <v>1722200.434</v>
      </c>
      <c r="E2304" t="s">
        <v>2656</v>
      </c>
      <c r="F2304" s="242"/>
      <c r="G2304"/>
      <c r="H2304" s="242">
        <v>48300</v>
      </c>
      <c r="I2304" s="242">
        <v>38314</v>
      </c>
      <c r="J2304"/>
    </row>
    <row r="2305" spans="1:10" ht="15.75" customHeight="1">
      <c r="A2305" t="s">
        <v>2606</v>
      </c>
      <c r="B2305">
        <v>722200</v>
      </c>
      <c r="C2305">
        <v>1</v>
      </c>
      <c r="D2305" t="str">
        <f t="shared" si="35"/>
        <v>1722200.440</v>
      </c>
      <c r="E2305" t="s">
        <v>2697</v>
      </c>
      <c r="F2305" s="242"/>
      <c r="G2305"/>
      <c r="H2305" s="242">
        <v>12400</v>
      </c>
      <c r="I2305" s="242">
        <v>11942</v>
      </c>
      <c r="J2305"/>
    </row>
    <row r="2306" spans="1:10" ht="15.75" customHeight="1">
      <c r="A2306" t="s">
        <v>2594</v>
      </c>
      <c r="B2306">
        <v>722200</v>
      </c>
      <c r="C2306">
        <v>1</v>
      </c>
      <c r="D2306" t="str">
        <f t="shared" si="35"/>
        <v>1722200.540</v>
      </c>
      <c r="E2306" t="s">
        <v>2595</v>
      </c>
      <c r="F2306" s="242"/>
      <c r="G2306"/>
      <c r="H2306" s="242">
        <v>9000</v>
      </c>
      <c r="I2306" s="242">
        <v>6215</v>
      </c>
      <c r="J2306"/>
    </row>
    <row r="2307" spans="1:10" ht="15.75" customHeight="1">
      <c r="A2307" t="s">
        <v>2596</v>
      </c>
      <c r="B2307">
        <v>722200</v>
      </c>
      <c r="C2307">
        <v>1</v>
      </c>
      <c r="D2307" t="str">
        <f t="shared" ref="D2307:D2370" si="36">C2307&amp;B2307&amp;"."&amp;A2307</f>
        <v>1722200.550</v>
      </c>
      <c r="E2307" t="s">
        <v>2597</v>
      </c>
      <c r="F2307" s="242"/>
      <c r="G2307"/>
      <c r="H2307" s="242">
        <v>2000</v>
      </c>
      <c r="I2307" s="242">
        <v>0</v>
      </c>
      <c r="J2307"/>
    </row>
    <row r="2308" spans="1:10" ht="15.75" customHeight="1">
      <c r="A2308" t="s">
        <v>2698</v>
      </c>
      <c r="B2308">
        <v>722200</v>
      </c>
      <c r="C2308">
        <v>1</v>
      </c>
      <c r="D2308" t="str">
        <f t="shared" si="36"/>
        <v>1722200.555</v>
      </c>
      <c r="E2308" t="s">
        <v>2699</v>
      </c>
      <c r="F2308" s="242"/>
      <c r="G2308"/>
      <c r="H2308" s="242">
        <v>2000</v>
      </c>
      <c r="I2308" s="242">
        <v>0</v>
      </c>
      <c r="J2308"/>
    </row>
    <row r="2309" spans="1:10" ht="15.75" customHeight="1">
      <c r="A2309" t="s">
        <v>2700</v>
      </c>
      <c r="B2309">
        <v>722200</v>
      </c>
      <c r="C2309">
        <v>1</v>
      </c>
      <c r="D2309" t="str">
        <f t="shared" si="36"/>
        <v>1722200.579</v>
      </c>
      <c r="E2309" t="s">
        <v>2701</v>
      </c>
      <c r="F2309" s="242"/>
      <c r="G2309"/>
      <c r="H2309" s="242">
        <v>3400</v>
      </c>
      <c r="I2309" s="242">
        <v>0</v>
      </c>
      <c r="J2309"/>
    </row>
    <row r="2310" spans="1:10" ht="15.75" customHeight="1">
      <c r="A2310" t="s">
        <v>2702</v>
      </c>
      <c r="B2310">
        <v>722200</v>
      </c>
      <c r="C2310">
        <v>1</v>
      </c>
      <c r="D2310" t="str">
        <f t="shared" si="36"/>
        <v>1722200.582</v>
      </c>
      <c r="E2310" t="s">
        <v>2703</v>
      </c>
      <c r="F2310" s="242"/>
      <c r="G2310"/>
      <c r="H2310" s="242">
        <v>12000</v>
      </c>
      <c r="I2310" s="242">
        <v>5075</v>
      </c>
      <c r="J2310"/>
    </row>
    <row r="2311" spans="1:10" ht="15.75" customHeight="1">
      <c r="A2311" t="s">
        <v>2704</v>
      </c>
      <c r="B2311">
        <v>722200</v>
      </c>
      <c r="C2311">
        <v>1</v>
      </c>
      <c r="D2311" t="str">
        <f t="shared" si="36"/>
        <v>1722200.720</v>
      </c>
      <c r="E2311" t="s">
        <v>2705</v>
      </c>
      <c r="F2311" s="242"/>
      <c r="G2311"/>
      <c r="H2311" s="242">
        <v>8000</v>
      </c>
      <c r="I2311" s="242">
        <v>11401</v>
      </c>
      <c r="J2311"/>
    </row>
    <row r="2312" spans="1:10" ht="15.75" customHeight="1">
      <c r="A2312" t="s">
        <v>658</v>
      </c>
      <c r="B2312">
        <v>722200</v>
      </c>
      <c r="C2312">
        <v>1</v>
      </c>
      <c r="D2312" t="str">
        <f t="shared" si="36"/>
        <v>1722200.742</v>
      </c>
      <c r="E2312" t="s">
        <v>2668</v>
      </c>
      <c r="F2312" s="242"/>
      <c r="G2312"/>
      <c r="H2312" s="242">
        <v>3000</v>
      </c>
      <c r="I2312" s="242">
        <v>1099</v>
      </c>
      <c r="J2312"/>
    </row>
    <row r="2313" spans="1:10" ht="15.75" customHeight="1">
      <c r="A2313" t="s">
        <v>673</v>
      </c>
      <c r="B2313">
        <v>722200</v>
      </c>
      <c r="C2313">
        <v>1</v>
      </c>
      <c r="D2313" t="str">
        <f t="shared" si="36"/>
        <v>1722200.743</v>
      </c>
      <c r="E2313" t="s">
        <v>2622</v>
      </c>
      <c r="F2313" s="242"/>
      <c r="G2313"/>
      <c r="H2313" s="242">
        <v>14000</v>
      </c>
      <c r="I2313" s="242">
        <v>13970</v>
      </c>
      <c r="J2313"/>
    </row>
    <row r="2314" spans="1:10" ht="15.75" customHeight="1">
      <c r="A2314" t="s">
        <v>712</v>
      </c>
      <c r="B2314">
        <v>722200</v>
      </c>
      <c r="C2314">
        <v>1</v>
      </c>
      <c r="D2314" t="str">
        <f t="shared" si="36"/>
        <v>1722200.746</v>
      </c>
      <c r="E2314" t="s">
        <v>2706</v>
      </c>
      <c r="F2314" s="242"/>
      <c r="G2314"/>
      <c r="H2314" s="242">
        <v>90000</v>
      </c>
      <c r="I2314" s="242">
        <v>88365</v>
      </c>
      <c r="J2314"/>
    </row>
    <row r="2315" spans="1:10" ht="15.75" customHeight="1">
      <c r="A2315" t="s">
        <v>2611</v>
      </c>
      <c r="B2315">
        <v>722200</v>
      </c>
      <c r="C2315">
        <v>1</v>
      </c>
      <c r="D2315" t="str">
        <f t="shared" si="36"/>
        <v>1722200.750</v>
      </c>
      <c r="E2315" t="s">
        <v>2707</v>
      </c>
      <c r="F2315" s="242"/>
      <c r="G2315"/>
      <c r="H2315" s="242">
        <v>18000</v>
      </c>
      <c r="I2315" s="242">
        <v>17012</v>
      </c>
      <c r="J2315"/>
    </row>
    <row r="2316" spans="1:10" ht="15.75" customHeight="1">
      <c r="A2316" t="s">
        <v>772</v>
      </c>
      <c r="B2316">
        <v>722200</v>
      </c>
      <c r="C2316">
        <v>1</v>
      </c>
      <c r="D2316" t="str">
        <f t="shared" si="36"/>
        <v>1722200.751</v>
      </c>
      <c r="E2316" t="s">
        <v>2708</v>
      </c>
      <c r="F2316" s="242"/>
      <c r="G2316"/>
      <c r="H2316" s="242">
        <v>6000</v>
      </c>
      <c r="I2316" s="242">
        <v>5712</v>
      </c>
      <c r="J2316"/>
    </row>
    <row r="2317" spans="1:10" ht="15.75" customHeight="1">
      <c r="A2317" t="s">
        <v>2632</v>
      </c>
      <c r="B2317">
        <v>722200</v>
      </c>
      <c r="C2317">
        <v>1</v>
      </c>
      <c r="D2317" t="str">
        <f t="shared" si="36"/>
        <v>1722200.780</v>
      </c>
      <c r="E2317" t="s">
        <v>2709</v>
      </c>
      <c r="F2317" s="242"/>
      <c r="G2317"/>
      <c r="H2317" s="242">
        <v>2000</v>
      </c>
      <c r="I2317" s="242">
        <v>2038</v>
      </c>
      <c r="J2317"/>
    </row>
    <row r="2318" spans="1:10" ht="15.75" customHeight="1">
      <c r="A2318" t="s">
        <v>2606</v>
      </c>
      <c r="B2318">
        <v>722201</v>
      </c>
      <c r="C2318">
        <v>1</v>
      </c>
      <c r="D2318" t="str">
        <f t="shared" si="36"/>
        <v>1722201.440</v>
      </c>
      <c r="E2318" t="s">
        <v>2710</v>
      </c>
      <c r="F2318" s="242"/>
      <c r="G2318"/>
      <c r="H2318" s="242">
        <v>8600</v>
      </c>
      <c r="I2318" s="242">
        <v>8263</v>
      </c>
      <c r="J2318"/>
    </row>
    <row r="2319" spans="1:10" ht="15.75" customHeight="1">
      <c r="A2319" t="s">
        <v>2409</v>
      </c>
      <c r="B2319">
        <v>723000</v>
      </c>
      <c r="C2319">
        <v>1</v>
      </c>
      <c r="D2319" t="str">
        <f t="shared" si="36"/>
        <v>1723000.410</v>
      </c>
      <c r="E2319" t="s">
        <v>2681</v>
      </c>
      <c r="F2319" s="242"/>
      <c r="G2319"/>
      <c r="H2319" s="242">
        <v>35000</v>
      </c>
      <c r="I2319" s="242">
        <v>32695</v>
      </c>
      <c r="J2319"/>
    </row>
    <row r="2320" spans="1:10" ht="15.75" customHeight="1">
      <c r="A2320" t="s">
        <v>1622</v>
      </c>
      <c r="B2320">
        <v>723000</v>
      </c>
      <c r="C2320">
        <v>1</v>
      </c>
      <c r="D2320" t="str">
        <f t="shared" si="36"/>
        <v>1723000.411</v>
      </c>
      <c r="E2320" t="s">
        <v>2682</v>
      </c>
      <c r="F2320" s="242"/>
      <c r="G2320"/>
      <c r="H2320" s="242">
        <v>22000</v>
      </c>
      <c r="I2320" s="242">
        <v>20647</v>
      </c>
      <c r="J2320"/>
    </row>
    <row r="2321" spans="1:10" ht="15.75" customHeight="1">
      <c r="A2321" t="s">
        <v>2652</v>
      </c>
      <c r="B2321">
        <v>723000</v>
      </c>
      <c r="C2321">
        <v>1</v>
      </c>
      <c r="D2321" t="str">
        <f t="shared" si="36"/>
        <v>1723000.420</v>
      </c>
      <c r="E2321" t="s">
        <v>2683</v>
      </c>
      <c r="F2321" s="242"/>
      <c r="G2321"/>
      <c r="H2321" s="242">
        <v>600000</v>
      </c>
      <c r="I2321" s="242">
        <v>613301</v>
      </c>
      <c r="J2321"/>
    </row>
    <row r="2322" spans="1:10" ht="15.75" customHeight="1">
      <c r="A2322" t="s">
        <v>2684</v>
      </c>
      <c r="B2322">
        <v>723000</v>
      </c>
      <c r="C2322">
        <v>1</v>
      </c>
      <c r="D2322" t="str">
        <f t="shared" si="36"/>
        <v>1723000.421</v>
      </c>
      <c r="E2322" t="s">
        <v>2685</v>
      </c>
      <c r="F2322" s="242"/>
      <c r="G2322"/>
      <c r="H2322" s="242">
        <v>18000</v>
      </c>
      <c r="I2322" s="242">
        <v>17675</v>
      </c>
      <c r="J2322"/>
    </row>
    <row r="2323" spans="1:10" ht="15.75" customHeight="1">
      <c r="A2323" t="s">
        <v>1649</v>
      </c>
      <c r="B2323">
        <v>723000</v>
      </c>
      <c r="C2323">
        <v>1</v>
      </c>
      <c r="D2323" t="str">
        <f t="shared" si="36"/>
        <v>1723000.422</v>
      </c>
      <c r="E2323" t="s">
        <v>2686</v>
      </c>
      <c r="F2323" s="242"/>
      <c r="G2323"/>
      <c r="H2323" s="242">
        <v>11000</v>
      </c>
      <c r="I2323" s="242">
        <v>10907</v>
      </c>
      <c r="J2323"/>
    </row>
    <row r="2324" spans="1:10" ht="15.75" customHeight="1">
      <c r="A2324" t="s">
        <v>1663</v>
      </c>
      <c r="B2324">
        <v>723000</v>
      </c>
      <c r="C2324">
        <v>1</v>
      </c>
      <c r="D2324" t="str">
        <f t="shared" si="36"/>
        <v>1723000.431</v>
      </c>
      <c r="E2324" t="s">
        <v>2654</v>
      </c>
      <c r="F2324" s="242"/>
      <c r="G2324"/>
      <c r="H2324" s="242">
        <v>20300</v>
      </c>
      <c r="I2324" s="242">
        <v>14986</v>
      </c>
      <c r="J2324"/>
    </row>
    <row r="2325" spans="1:10" ht="15.75" customHeight="1">
      <c r="A2325" t="s">
        <v>1668</v>
      </c>
      <c r="B2325">
        <v>723000</v>
      </c>
      <c r="C2325">
        <v>1</v>
      </c>
      <c r="D2325" t="str">
        <f t="shared" si="36"/>
        <v>1723000.432</v>
      </c>
      <c r="E2325" t="s">
        <v>2687</v>
      </c>
      <c r="F2325" s="242"/>
      <c r="G2325"/>
      <c r="H2325" s="242">
        <v>500</v>
      </c>
      <c r="I2325" s="242">
        <v>3058</v>
      </c>
      <c r="J2325"/>
    </row>
    <row r="2326" spans="1:10" ht="15.75" customHeight="1">
      <c r="A2326" t="s">
        <v>2606</v>
      </c>
      <c r="B2326">
        <v>723000</v>
      </c>
      <c r="C2326">
        <v>1</v>
      </c>
      <c r="D2326" t="str">
        <f t="shared" si="36"/>
        <v>1723000.440</v>
      </c>
      <c r="E2326" t="s">
        <v>2657</v>
      </c>
      <c r="F2326" s="242"/>
      <c r="G2326"/>
      <c r="H2326" s="242">
        <v>8600</v>
      </c>
      <c r="I2326" s="242">
        <v>8329</v>
      </c>
      <c r="J2326"/>
    </row>
    <row r="2327" spans="1:10" ht="15.75" customHeight="1">
      <c r="A2327" t="s">
        <v>2594</v>
      </c>
      <c r="B2327">
        <v>723000</v>
      </c>
      <c r="C2327">
        <v>1</v>
      </c>
      <c r="D2327" t="str">
        <f t="shared" si="36"/>
        <v>1723000.540</v>
      </c>
      <c r="E2327" t="s">
        <v>2595</v>
      </c>
      <c r="F2327" s="242"/>
      <c r="G2327"/>
      <c r="H2327" s="242">
        <v>12000</v>
      </c>
      <c r="I2327" s="242">
        <v>9285</v>
      </c>
      <c r="J2327"/>
    </row>
    <row r="2328" spans="1:10" ht="15.75" customHeight="1">
      <c r="A2328" t="s">
        <v>2596</v>
      </c>
      <c r="B2328">
        <v>723000</v>
      </c>
      <c r="C2328">
        <v>1</v>
      </c>
      <c r="D2328" t="str">
        <f t="shared" si="36"/>
        <v>1723000.550</v>
      </c>
      <c r="E2328" t="s">
        <v>2597</v>
      </c>
      <c r="F2328" s="242"/>
      <c r="G2328"/>
      <c r="H2328" s="242">
        <v>20000</v>
      </c>
      <c r="I2328" s="242">
        <v>5972</v>
      </c>
      <c r="J2328"/>
    </row>
    <row r="2329" spans="1:10" ht="15.75" customHeight="1">
      <c r="A2329" t="s">
        <v>673</v>
      </c>
      <c r="B2329">
        <v>723000</v>
      </c>
      <c r="C2329">
        <v>1</v>
      </c>
      <c r="D2329" t="str">
        <f t="shared" si="36"/>
        <v>1723000.743</v>
      </c>
      <c r="E2329" t="s">
        <v>2622</v>
      </c>
      <c r="F2329" s="242"/>
      <c r="G2329"/>
      <c r="H2329" s="242">
        <v>110000</v>
      </c>
      <c r="I2329" s="242">
        <v>112978</v>
      </c>
      <c r="J2329"/>
    </row>
    <row r="2330" spans="1:10" ht="15.75" customHeight="1">
      <c r="A2330" t="s">
        <v>2603</v>
      </c>
      <c r="B2330">
        <v>723000</v>
      </c>
      <c r="C2330">
        <v>1</v>
      </c>
      <c r="D2330" t="str">
        <f t="shared" si="36"/>
        <v>1723000.759</v>
      </c>
      <c r="E2330" t="s">
        <v>2688</v>
      </c>
      <c r="F2330" s="242"/>
      <c r="G2330"/>
      <c r="H2330" s="242">
        <v>10000</v>
      </c>
      <c r="I2330" s="242">
        <v>5464</v>
      </c>
      <c r="J2330"/>
    </row>
    <row r="2331" spans="1:10" ht="15.75" customHeight="1">
      <c r="A2331" t="s">
        <v>3307</v>
      </c>
      <c r="B2331">
        <v>723000</v>
      </c>
      <c r="C2331">
        <v>1</v>
      </c>
      <c r="D2331" t="str">
        <f t="shared" si="36"/>
        <v>1723000.810</v>
      </c>
      <c r="E2331" t="s">
        <v>4340</v>
      </c>
      <c r="F2331" s="242"/>
      <c r="G2331"/>
      <c r="H2331" s="242">
        <v>920000</v>
      </c>
      <c r="I2331" s="242">
        <v>904101</v>
      </c>
      <c r="J2331"/>
    </row>
    <row r="2332" spans="1:10" ht="15.75" customHeight="1">
      <c r="A2332" t="s">
        <v>2403</v>
      </c>
      <c r="B2332">
        <v>723100</v>
      </c>
      <c r="C2332">
        <v>1</v>
      </c>
      <c r="D2332" t="str">
        <f t="shared" si="36"/>
        <v>1723100.110</v>
      </c>
      <c r="E2332" t="s">
        <v>2573</v>
      </c>
      <c r="F2332" s="242"/>
      <c r="G2332"/>
      <c r="H2332" s="242">
        <v>390784</v>
      </c>
      <c r="I2332" s="242">
        <v>342321</v>
      </c>
      <c r="J2332"/>
    </row>
    <row r="2333" spans="1:10" ht="15.75" customHeight="1">
      <c r="A2333" t="s">
        <v>2404</v>
      </c>
      <c r="B2333">
        <v>723100</v>
      </c>
      <c r="C2333">
        <v>1</v>
      </c>
      <c r="D2333" t="str">
        <f t="shared" si="36"/>
        <v>1723100.120</v>
      </c>
      <c r="E2333" t="s">
        <v>2574</v>
      </c>
      <c r="F2333" s="242"/>
      <c r="G2333"/>
      <c r="H2333" s="242">
        <v>96015</v>
      </c>
      <c r="I2333" s="242">
        <v>87550</v>
      </c>
      <c r="J2333"/>
    </row>
    <row r="2334" spans="1:10" ht="15.75" customHeight="1">
      <c r="A2334" t="s">
        <v>2575</v>
      </c>
      <c r="B2334">
        <v>723100</v>
      </c>
      <c r="C2334">
        <v>1</v>
      </c>
      <c r="D2334" t="str">
        <f t="shared" si="36"/>
        <v>1723100.130</v>
      </c>
      <c r="E2334" t="s">
        <v>2576</v>
      </c>
      <c r="F2334" s="242"/>
      <c r="G2334"/>
      <c r="H2334" s="242">
        <v>55549</v>
      </c>
      <c r="I2334" s="242">
        <v>47131</v>
      </c>
      <c r="J2334"/>
    </row>
    <row r="2335" spans="1:10" ht="15.75" customHeight="1">
      <c r="A2335" t="s">
        <v>2577</v>
      </c>
      <c r="B2335">
        <v>723100</v>
      </c>
      <c r="C2335">
        <v>1</v>
      </c>
      <c r="D2335" t="str">
        <f t="shared" si="36"/>
        <v>1723100.140</v>
      </c>
      <c r="E2335" t="s">
        <v>2578</v>
      </c>
      <c r="F2335" s="242"/>
      <c r="G2335"/>
      <c r="H2335" s="242">
        <v>143691</v>
      </c>
      <c r="I2335" s="242">
        <v>112537</v>
      </c>
      <c r="J2335"/>
    </row>
    <row r="2336" spans="1:10" ht="15.75" customHeight="1">
      <c r="A2336" t="s">
        <v>2579</v>
      </c>
      <c r="B2336">
        <v>723100</v>
      </c>
      <c r="C2336">
        <v>1</v>
      </c>
      <c r="D2336" t="str">
        <f t="shared" si="36"/>
        <v>1723100.181</v>
      </c>
      <c r="E2336" t="s">
        <v>2580</v>
      </c>
      <c r="F2336" s="242"/>
      <c r="G2336"/>
      <c r="H2336" s="242">
        <v>131123</v>
      </c>
      <c r="I2336" s="242">
        <v>113344</v>
      </c>
      <c r="J2336"/>
    </row>
    <row r="2337" spans="1:10" ht="15.75" customHeight="1">
      <c r="A2337" t="s">
        <v>2581</v>
      </c>
      <c r="B2337">
        <v>723100</v>
      </c>
      <c r="C2337">
        <v>1</v>
      </c>
      <c r="D2337" t="str">
        <f t="shared" si="36"/>
        <v>1723100.182</v>
      </c>
      <c r="E2337" t="s">
        <v>2582</v>
      </c>
      <c r="F2337" s="242"/>
      <c r="G2337"/>
      <c r="H2337" s="242">
        <v>52005</v>
      </c>
      <c r="I2337" s="242">
        <v>44668</v>
      </c>
      <c r="J2337"/>
    </row>
    <row r="2338" spans="1:10" ht="15.75" customHeight="1">
      <c r="A2338" t="s">
        <v>1678</v>
      </c>
      <c r="B2338">
        <v>723100</v>
      </c>
      <c r="C2338">
        <v>1</v>
      </c>
      <c r="D2338" t="str">
        <f t="shared" si="36"/>
        <v>1723100.434</v>
      </c>
      <c r="E2338" t="s">
        <v>2656</v>
      </c>
      <c r="F2338" s="242"/>
      <c r="G2338"/>
      <c r="H2338" s="242">
        <v>0</v>
      </c>
      <c r="I2338" s="242">
        <v>0</v>
      </c>
      <c r="J2338"/>
    </row>
    <row r="2339" spans="1:10" ht="15.75" customHeight="1">
      <c r="A2339" t="s">
        <v>2620</v>
      </c>
      <c r="B2339">
        <v>723100</v>
      </c>
      <c r="C2339">
        <v>1</v>
      </c>
      <c r="D2339" t="str">
        <f t="shared" si="36"/>
        <v>1723100.575</v>
      </c>
      <c r="E2339" t="s">
        <v>2690</v>
      </c>
      <c r="F2339" s="242"/>
      <c r="G2339"/>
      <c r="H2339" s="242">
        <v>10000</v>
      </c>
      <c r="I2339" s="242">
        <v>6049</v>
      </c>
      <c r="J2339"/>
    </row>
    <row r="2340" spans="1:10" ht="15.75" customHeight="1">
      <c r="A2340" t="s">
        <v>600</v>
      </c>
      <c r="B2340">
        <v>723100</v>
      </c>
      <c r="C2340">
        <v>1</v>
      </c>
      <c r="D2340" t="str">
        <f t="shared" si="36"/>
        <v>1723100.731</v>
      </c>
      <c r="E2340" t="s">
        <v>2593</v>
      </c>
      <c r="F2340" s="242"/>
      <c r="G2340"/>
      <c r="H2340" s="242">
        <v>24506</v>
      </c>
      <c r="I2340" s="242">
        <v>22106</v>
      </c>
      <c r="J2340"/>
    </row>
    <row r="2341" spans="1:10" ht="15.75" customHeight="1">
      <c r="A2341" t="s">
        <v>2418</v>
      </c>
      <c r="B2341">
        <v>723100</v>
      </c>
      <c r="C2341">
        <v>1</v>
      </c>
      <c r="D2341" t="str">
        <f t="shared" si="36"/>
        <v>1723100.735</v>
      </c>
      <c r="E2341" t="s">
        <v>2602</v>
      </c>
      <c r="F2341" s="242"/>
      <c r="G2341"/>
      <c r="H2341" s="242">
        <v>66881</v>
      </c>
      <c r="I2341" s="242">
        <v>32781</v>
      </c>
      <c r="J2341"/>
    </row>
    <row r="2342" spans="1:10" ht="15.75" customHeight="1">
      <c r="A2342" t="s">
        <v>2691</v>
      </c>
      <c r="B2342">
        <v>723100</v>
      </c>
      <c r="C2342">
        <v>1</v>
      </c>
      <c r="D2342" t="str">
        <f t="shared" si="36"/>
        <v>1723100.986</v>
      </c>
      <c r="E2342" t="s">
        <v>2692</v>
      </c>
      <c r="F2342" s="242"/>
      <c r="G2342"/>
      <c r="H2342" s="242">
        <v>0</v>
      </c>
      <c r="I2342" s="242">
        <v>0</v>
      </c>
      <c r="J2342"/>
    </row>
    <row r="2343" spans="1:10" ht="15.75" customHeight="1">
      <c r="A2343" t="s">
        <v>4341</v>
      </c>
      <c r="B2343">
        <v>724100</v>
      </c>
      <c r="C2343">
        <v>1</v>
      </c>
      <c r="D2343" t="str">
        <f t="shared" si="36"/>
        <v>1724100.830</v>
      </c>
      <c r="E2343" t="s">
        <v>4342</v>
      </c>
      <c r="F2343" s="242"/>
      <c r="G2343"/>
      <c r="H2343" s="242">
        <v>4633900</v>
      </c>
      <c r="I2343" s="242">
        <v>4659297</v>
      </c>
      <c r="J2343"/>
    </row>
    <row r="2344" spans="1:10" ht="15.75" customHeight="1">
      <c r="A2344" t="s">
        <v>4343</v>
      </c>
      <c r="B2344">
        <v>724100</v>
      </c>
      <c r="C2344">
        <v>1</v>
      </c>
      <c r="D2344" t="str">
        <f t="shared" si="36"/>
        <v>1724100.831</v>
      </c>
      <c r="E2344" t="s">
        <v>4344</v>
      </c>
      <c r="F2344" s="242"/>
      <c r="G2344"/>
      <c r="H2344" s="242">
        <v>0</v>
      </c>
      <c r="I2344" s="242">
        <v>280000</v>
      </c>
      <c r="J2344"/>
    </row>
    <row r="2345" spans="1:10" ht="15.75" customHeight="1">
      <c r="A2345" t="s">
        <v>2403</v>
      </c>
      <c r="B2345">
        <v>726000</v>
      </c>
      <c r="C2345">
        <v>1</v>
      </c>
      <c r="D2345" t="str">
        <f t="shared" si="36"/>
        <v>1726000.110</v>
      </c>
      <c r="E2345" t="s">
        <v>2573</v>
      </c>
      <c r="F2345" s="242"/>
      <c r="G2345"/>
      <c r="H2345" s="242">
        <v>135591</v>
      </c>
      <c r="I2345" s="242">
        <v>139086</v>
      </c>
      <c r="J2345"/>
    </row>
    <row r="2346" spans="1:10" ht="15.75" customHeight="1">
      <c r="A2346" t="s">
        <v>2404</v>
      </c>
      <c r="B2346">
        <v>726000</v>
      </c>
      <c r="C2346">
        <v>1</v>
      </c>
      <c r="D2346" t="str">
        <f t="shared" si="36"/>
        <v>1726000.120</v>
      </c>
      <c r="E2346" t="s">
        <v>2574</v>
      </c>
      <c r="F2346" s="242"/>
      <c r="G2346"/>
      <c r="H2346" s="242">
        <v>2983</v>
      </c>
      <c r="I2346" s="242">
        <v>70600</v>
      </c>
      <c r="J2346"/>
    </row>
    <row r="2347" spans="1:10" ht="15.75" customHeight="1">
      <c r="A2347" t="s">
        <v>2575</v>
      </c>
      <c r="B2347">
        <v>726000</v>
      </c>
      <c r="C2347">
        <v>1</v>
      </c>
      <c r="D2347" t="str">
        <f t="shared" si="36"/>
        <v>1726000.130</v>
      </c>
      <c r="E2347" t="s">
        <v>2719</v>
      </c>
      <c r="F2347" s="242"/>
      <c r="G2347"/>
      <c r="H2347" s="242">
        <v>21879</v>
      </c>
      <c r="I2347" s="242">
        <v>152723</v>
      </c>
      <c r="J2347"/>
    </row>
    <row r="2348" spans="1:10" ht="15.75" customHeight="1">
      <c r="A2348" t="s">
        <v>2577</v>
      </c>
      <c r="B2348">
        <v>726000</v>
      </c>
      <c r="C2348">
        <v>1</v>
      </c>
      <c r="D2348" t="str">
        <f t="shared" si="36"/>
        <v>1726000.140</v>
      </c>
      <c r="E2348" t="s">
        <v>2578</v>
      </c>
      <c r="F2348" s="242"/>
      <c r="G2348"/>
      <c r="H2348" s="242">
        <v>39441</v>
      </c>
      <c r="I2348" s="242">
        <v>22846</v>
      </c>
      <c r="J2348"/>
    </row>
    <row r="2349" spans="1:10" ht="15.75" customHeight="1">
      <c r="A2349" t="s">
        <v>2579</v>
      </c>
      <c r="B2349">
        <v>726000</v>
      </c>
      <c r="C2349">
        <v>1</v>
      </c>
      <c r="D2349" t="str">
        <f t="shared" si="36"/>
        <v>1726000.181</v>
      </c>
      <c r="E2349" t="s">
        <v>2580</v>
      </c>
      <c r="F2349" s="242"/>
      <c r="G2349"/>
      <c r="H2349" s="242">
        <v>36962</v>
      </c>
      <c r="I2349" s="242">
        <v>68403</v>
      </c>
      <c r="J2349"/>
    </row>
    <row r="2350" spans="1:10" ht="15.75" customHeight="1">
      <c r="A2350" t="s">
        <v>2581</v>
      </c>
      <c r="B2350">
        <v>726000</v>
      </c>
      <c r="C2350">
        <v>1</v>
      </c>
      <c r="D2350" t="str">
        <f t="shared" si="36"/>
        <v>1726000.182</v>
      </c>
      <c r="E2350" t="s">
        <v>2582</v>
      </c>
      <c r="F2350" s="242"/>
      <c r="G2350"/>
      <c r="H2350" s="242">
        <v>15135</v>
      </c>
      <c r="I2350" s="242">
        <v>29050</v>
      </c>
      <c r="J2350"/>
    </row>
    <row r="2351" spans="1:10" ht="15.75" customHeight="1">
      <c r="A2351" t="s">
        <v>2658</v>
      </c>
      <c r="B2351">
        <v>726000</v>
      </c>
      <c r="C2351">
        <v>1</v>
      </c>
      <c r="D2351" t="str">
        <f t="shared" si="36"/>
        <v>1726000.441</v>
      </c>
      <c r="E2351" t="s">
        <v>2720</v>
      </c>
      <c r="F2351" s="242"/>
      <c r="G2351"/>
      <c r="H2351" s="242">
        <v>8000</v>
      </c>
      <c r="I2351" s="242">
        <v>7532</v>
      </c>
      <c r="J2351"/>
    </row>
    <row r="2352" spans="1:10" ht="15.75" customHeight="1">
      <c r="A2352" t="s">
        <v>2286</v>
      </c>
      <c r="B2352">
        <v>726000</v>
      </c>
      <c r="C2352">
        <v>1</v>
      </c>
      <c r="D2352" t="str">
        <f t="shared" si="36"/>
        <v>1726000.511</v>
      </c>
      <c r="E2352" t="s">
        <v>2584</v>
      </c>
      <c r="F2352" s="242"/>
      <c r="G2352"/>
      <c r="H2352" s="242">
        <v>1500</v>
      </c>
      <c r="I2352" s="242">
        <v>741</v>
      </c>
      <c r="J2352"/>
    </row>
    <row r="2353" spans="1:10" ht="15.75" customHeight="1">
      <c r="A2353" t="s">
        <v>2414</v>
      </c>
      <c r="B2353">
        <v>726000</v>
      </c>
      <c r="C2353">
        <v>1</v>
      </c>
      <c r="D2353" t="str">
        <f t="shared" si="36"/>
        <v>1726000.512</v>
      </c>
      <c r="E2353" t="s">
        <v>2585</v>
      </c>
      <c r="F2353" s="242"/>
      <c r="G2353"/>
      <c r="H2353" s="242">
        <v>500</v>
      </c>
      <c r="I2353" s="242">
        <v>0</v>
      </c>
      <c r="J2353"/>
    </row>
    <row r="2354" spans="1:10" ht="15.75" customHeight="1">
      <c r="A2354" t="s">
        <v>2644</v>
      </c>
      <c r="B2354">
        <v>726000</v>
      </c>
      <c r="C2354">
        <v>1</v>
      </c>
      <c r="D2354" t="str">
        <f t="shared" si="36"/>
        <v>1726000.521</v>
      </c>
      <c r="E2354" t="s">
        <v>2721</v>
      </c>
      <c r="F2354" s="242"/>
      <c r="G2354"/>
      <c r="H2354" s="242">
        <v>0</v>
      </c>
      <c r="I2354" s="242">
        <v>0</v>
      </c>
      <c r="J2354"/>
    </row>
    <row r="2355" spans="1:10" ht="15.75" customHeight="1">
      <c r="A2355" t="s">
        <v>2700</v>
      </c>
      <c r="B2355">
        <v>726000</v>
      </c>
      <c r="C2355">
        <v>1</v>
      </c>
      <c r="D2355" t="str">
        <f t="shared" si="36"/>
        <v>1726000.579</v>
      </c>
      <c r="E2355" t="s">
        <v>2722</v>
      </c>
      <c r="F2355" s="242"/>
      <c r="G2355"/>
      <c r="H2355" s="242">
        <v>16600</v>
      </c>
      <c r="I2355" s="242">
        <v>17354</v>
      </c>
      <c r="J2355"/>
    </row>
    <row r="2356" spans="1:10" ht="15.75" customHeight="1">
      <c r="A2356" t="s">
        <v>2609</v>
      </c>
      <c r="B2356">
        <v>726000</v>
      </c>
      <c r="C2356">
        <v>1</v>
      </c>
      <c r="D2356" t="str">
        <f t="shared" si="36"/>
        <v>1726000.710</v>
      </c>
      <c r="E2356" t="s">
        <v>2630</v>
      </c>
      <c r="F2356" s="242"/>
      <c r="G2356"/>
      <c r="H2356" s="242">
        <v>10000</v>
      </c>
      <c r="I2356" s="242">
        <v>0</v>
      </c>
      <c r="J2356"/>
    </row>
    <row r="2357" spans="1:10" ht="15.75" customHeight="1">
      <c r="A2357" t="s">
        <v>624</v>
      </c>
      <c r="B2357">
        <v>726000</v>
      </c>
      <c r="C2357">
        <v>1</v>
      </c>
      <c r="D2357" t="str">
        <f t="shared" si="36"/>
        <v>1726000.733</v>
      </c>
      <c r="E2357" t="s">
        <v>2723</v>
      </c>
      <c r="F2357" s="242"/>
      <c r="G2357"/>
      <c r="H2357" s="242">
        <v>1000</v>
      </c>
      <c r="I2357" s="242">
        <v>1142</v>
      </c>
      <c r="J2357"/>
    </row>
    <row r="2358" spans="1:10" ht="15.75" customHeight="1">
      <c r="A2358" t="s">
        <v>673</v>
      </c>
      <c r="B2358">
        <v>726000</v>
      </c>
      <c r="C2358">
        <v>1</v>
      </c>
      <c r="D2358" t="str">
        <f t="shared" si="36"/>
        <v>1726000.743</v>
      </c>
      <c r="E2358" t="s">
        <v>2622</v>
      </c>
      <c r="F2358" s="242"/>
      <c r="G2358"/>
      <c r="H2358" s="242">
        <v>5000</v>
      </c>
      <c r="I2358" s="242">
        <v>1000</v>
      </c>
      <c r="J2358"/>
    </row>
    <row r="2359" spans="1:10" ht="15.75" customHeight="1">
      <c r="A2359" t="s">
        <v>2611</v>
      </c>
      <c r="B2359">
        <v>726000</v>
      </c>
      <c r="C2359">
        <v>1</v>
      </c>
      <c r="D2359" t="str">
        <f t="shared" si="36"/>
        <v>1726000.750</v>
      </c>
      <c r="E2359" t="s">
        <v>2707</v>
      </c>
      <c r="F2359" s="242"/>
      <c r="G2359"/>
      <c r="H2359" s="242">
        <v>7000</v>
      </c>
      <c r="I2359" s="242">
        <v>6500</v>
      </c>
      <c r="J2359"/>
    </row>
    <row r="2360" spans="1:10" ht="15.75" customHeight="1">
      <c r="A2360" t="s">
        <v>2632</v>
      </c>
      <c r="B2360">
        <v>726000</v>
      </c>
      <c r="C2360">
        <v>1</v>
      </c>
      <c r="D2360" t="str">
        <f t="shared" si="36"/>
        <v>1726000.780</v>
      </c>
      <c r="E2360" t="s">
        <v>2724</v>
      </c>
      <c r="F2360" s="242"/>
      <c r="G2360"/>
      <c r="H2360" s="242">
        <v>10000</v>
      </c>
      <c r="I2360" s="242">
        <v>989462</v>
      </c>
      <c r="J2360"/>
    </row>
    <row r="2361" spans="1:10" ht="15.75" customHeight="1">
      <c r="A2361" t="s">
        <v>877</v>
      </c>
      <c r="B2361">
        <v>726000</v>
      </c>
      <c r="C2361">
        <v>1</v>
      </c>
      <c r="D2361" t="str">
        <f t="shared" si="36"/>
        <v>1726000.782</v>
      </c>
      <c r="E2361" t="s">
        <v>2725</v>
      </c>
      <c r="F2361" s="242"/>
      <c r="G2361"/>
      <c r="H2361" s="242">
        <v>15000</v>
      </c>
      <c r="I2361" s="242">
        <v>5155</v>
      </c>
      <c r="J2361"/>
    </row>
    <row r="2362" spans="1:10" ht="15.75" customHeight="1">
      <c r="A2362" t="s">
        <v>2674</v>
      </c>
      <c r="B2362">
        <v>726000</v>
      </c>
      <c r="C2362">
        <v>1</v>
      </c>
      <c r="D2362" t="str">
        <f t="shared" si="36"/>
        <v>1726000.783</v>
      </c>
      <c r="E2362" t="s">
        <v>2716</v>
      </c>
      <c r="F2362" s="242"/>
      <c r="G2362"/>
      <c r="H2362" s="242">
        <v>0</v>
      </c>
      <c r="I2362" s="242">
        <v>0</v>
      </c>
      <c r="J2362"/>
    </row>
    <row r="2363" spans="1:10" ht="15.75" customHeight="1">
      <c r="A2363" t="s">
        <v>2676</v>
      </c>
      <c r="B2363">
        <v>726000</v>
      </c>
      <c r="C2363">
        <v>1</v>
      </c>
      <c r="D2363" t="str">
        <f t="shared" si="36"/>
        <v>1726000.784</v>
      </c>
      <c r="E2363" t="s">
        <v>2726</v>
      </c>
      <c r="F2363" s="242"/>
      <c r="G2363"/>
      <c r="H2363" s="242">
        <v>66100</v>
      </c>
      <c r="I2363" s="242">
        <v>0</v>
      </c>
      <c r="J2363"/>
    </row>
    <row r="2364" spans="1:10" ht="15.75" customHeight="1">
      <c r="A2364" t="s">
        <v>2575</v>
      </c>
      <c r="B2364">
        <v>726100</v>
      </c>
      <c r="C2364">
        <v>1</v>
      </c>
      <c r="D2364" t="str">
        <f t="shared" si="36"/>
        <v>1726100.130</v>
      </c>
      <c r="E2364" t="s">
        <v>2719</v>
      </c>
      <c r="F2364" s="242"/>
      <c r="G2364"/>
      <c r="H2364" s="242">
        <v>0</v>
      </c>
      <c r="I2364" s="242">
        <v>13847</v>
      </c>
      <c r="J2364"/>
    </row>
    <row r="2365" spans="1:10" ht="15.75" customHeight="1">
      <c r="A2365" t="s">
        <v>2579</v>
      </c>
      <c r="B2365">
        <v>726100</v>
      </c>
      <c r="C2365">
        <v>1</v>
      </c>
      <c r="D2365" t="str">
        <f t="shared" si="36"/>
        <v>1726100.181</v>
      </c>
      <c r="E2365" t="s">
        <v>2580</v>
      </c>
      <c r="F2365" s="242"/>
      <c r="G2365"/>
      <c r="H2365" s="242">
        <v>0</v>
      </c>
      <c r="I2365" s="242">
        <v>2446</v>
      </c>
      <c r="J2365"/>
    </row>
    <row r="2366" spans="1:10" ht="15.75" customHeight="1">
      <c r="A2366" t="s">
        <v>2581</v>
      </c>
      <c r="B2366">
        <v>726100</v>
      </c>
      <c r="C2366">
        <v>1</v>
      </c>
      <c r="D2366" t="str">
        <f t="shared" si="36"/>
        <v>1726100.182</v>
      </c>
      <c r="E2366" t="s">
        <v>2582</v>
      </c>
      <c r="F2366" s="242"/>
      <c r="G2366"/>
      <c r="H2366" s="242">
        <v>0</v>
      </c>
      <c r="I2366" s="242">
        <v>1039</v>
      </c>
      <c r="J2366"/>
    </row>
    <row r="2367" spans="1:10" ht="15.75" customHeight="1">
      <c r="A2367" t="s">
        <v>4573</v>
      </c>
      <c r="B2367">
        <v>730000</v>
      </c>
      <c r="C2367">
        <v>1</v>
      </c>
      <c r="D2367" t="str">
        <f t="shared" si="36"/>
        <v>1730000.320</v>
      </c>
      <c r="E2367" t="s">
        <v>4574</v>
      </c>
      <c r="F2367" s="242"/>
      <c r="G2367"/>
      <c r="H2367" s="242">
        <v>80000</v>
      </c>
      <c r="I2367" s="242">
        <v>562040</v>
      </c>
      <c r="J2367"/>
    </row>
    <row r="2368" spans="1:10" ht="15.75" customHeight="1">
      <c r="A2368" t="s">
        <v>2571</v>
      </c>
      <c r="B2368">
        <v>731000</v>
      </c>
      <c r="C2368">
        <v>1</v>
      </c>
      <c r="D2368" t="str">
        <f t="shared" si="36"/>
        <v>1731000.105</v>
      </c>
      <c r="E2368" t="s">
        <v>2572</v>
      </c>
      <c r="F2368" s="242"/>
      <c r="G2368"/>
      <c r="H2368" s="242">
        <v>100000</v>
      </c>
      <c r="I2368" s="242">
        <v>26994</v>
      </c>
      <c r="J2368"/>
    </row>
    <row r="2369" spans="1:10" ht="15.75" customHeight="1">
      <c r="A2369" t="s">
        <v>2403</v>
      </c>
      <c r="B2369">
        <v>731000</v>
      </c>
      <c r="C2369">
        <v>1</v>
      </c>
      <c r="D2369" t="str">
        <f t="shared" si="36"/>
        <v>1731000.110</v>
      </c>
      <c r="E2369" t="s">
        <v>2573</v>
      </c>
      <c r="F2369" s="242"/>
      <c r="G2369"/>
      <c r="H2369" s="242">
        <v>2220630</v>
      </c>
      <c r="I2369" s="242">
        <v>1848674</v>
      </c>
      <c r="J2369"/>
    </row>
    <row r="2370" spans="1:10" ht="15.75" customHeight="1">
      <c r="A2370" t="s">
        <v>2404</v>
      </c>
      <c r="B2370">
        <v>731000</v>
      </c>
      <c r="C2370">
        <v>1</v>
      </c>
      <c r="D2370" t="str">
        <f t="shared" si="36"/>
        <v>1731000.120</v>
      </c>
      <c r="E2370" t="s">
        <v>2574</v>
      </c>
      <c r="F2370" s="242"/>
      <c r="G2370"/>
      <c r="H2370" s="242">
        <v>190741</v>
      </c>
      <c r="I2370" s="242">
        <v>153687</v>
      </c>
      <c r="J2370"/>
    </row>
    <row r="2371" spans="1:10" ht="15.75" customHeight="1">
      <c r="A2371" t="s">
        <v>2575</v>
      </c>
      <c r="B2371">
        <v>731000</v>
      </c>
      <c r="C2371">
        <v>1</v>
      </c>
      <c r="D2371" t="str">
        <f t="shared" ref="D2371:D2434" si="37">C2371&amp;B2371&amp;"."&amp;A2371</f>
        <v>1731000.130</v>
      </c>
      <c r="E2371" t="s">
        <v>2576</v>
      </c>
      <c r="F2371" s="242"/>
      <c r="G2371"/>
      <c r="H2371" s="242">
        <v>1643</v>
      </c>
      <c r="I2371" s="242">
        <v>774</v>
      </c>
      <c r="J2371"/>
    </row>
    <row r="2372" spans="1:10" ht="15.75" customHeight="1">
      <c r="A2372" t="s">
        <v>2577</v>
      </c>
      <c r="B2372">
        <v>731000</v>
      </c>
      <c r="C2372">
        <v>1</v>
      </c>
      <c r="D2372" t="str">
        <f t="shared" si="37"/>
        <v>1731000.140</v>
      </c>
      <c r="E2372" t="s">
        <v>2578</v>
      </c>
      <c r="F2372" s="242"/>
      <c r="G2372"/>
      <c r="H2372" s="242">
        <v>357312</v>
      </c>
      <c r="I2372" s="242">
        <v>291523</v>
      </c>
      <c r="J2372"/>
    </row>
    <row r="2373" spans="1:10" ht="15.75" customHeight="1">
      <c r="A2373" t="s">
        <v>2579</v>
      </c>
      <c r="B2373">
        <v>731000</v>
      </c>
      <c r="C2373">
        <v>1</v>
      </c>
      <c r="D2373" t="str">
        <f t="shared" si="37"/>
        <v>1731000.181</v>
      </c>
      <c r="E2373" t="s">
        <v>2580</v>
      </c>
      <c r="F2373" s="242"/>
      <c r="G2373"/>
      <c r="H2373" s="242">
        <v>554480</v>
      </c>
      <c r="I2373" s="242">
        <v>458836</v>
      </c>
      <c r="J2373"/>
    </row>
    <row r="2374" spans="1:10" ht="15.75" customHeight="1">
      <c r="A2374" t="s">
        <v>2581</v>
      </c>
      <c r="B2374">
        <v>731000</v>
      </c>
      <c r="C2374">
        <v>1</v>
      </c>
      <c r="D2374" t="str">
        <f t="shared" si="37"/>
        <v>1731000.182</v>
      </c>
      <c r="E2374" t="s">
        <v>2582</v>
      </c>
      <c r="F2374" s="242"/>
      <c r="G2374"/>
      <c r="H2374" s="242">
        <v>218320</v>
      </c>
      <c r="I2374" s="242">
        <v>180856</v>
      </c>
      <c r="J2374"/>
    </row>
    <row r="2375" spans="1:10" ht="15.75" customHeight="1">
      <c r="A2375" t="s">
        <v>2650</v>
      </c>
      <c r="B2375">
        <v>731000</v>
      </c>
      <c r="C2375">
        <v>1</v>
      </c>
      <c r="D2375" t="str">
        <f t="shared" si="37"/>
        <v>1731000.288</v>
      </c>
      <c r="E2375" t="s">
        <v>2651</v>
      </c>
      <c r="F2375" s="242"/>
      <c r="G2375"/>
      <c r="H2375" s="242">
        <v>91900</v>
      </c>
      <c r="I2375" s="242">
        <v>86924</v>
      </c>
      <c r="J2375"/>
    </row>
    <row r="2376" spans="1:10" ht="15.75" customHeight="1">
      <c r="A2376" t="s">
        <v>2606</v>
      </c>
      <c r="B2376">
        <v>731000</v>
      </c>
      <c r="C2376">
        <v>1</v>
      </c>
      <c r="D2376" t="str">
        <f t="shared" si="37"/>
        <v>1731000.440</v>
      </c>
      <c r="E2376" t="s">
        <v>2794</v>
      </c>
      <c r="F2376" s="242"/>
      <c r="G2376"/>
      <c r="H2376" s="242">
        <v>96300</v>
      </c>
      <c r="I2376" s="242">
        <v>92964</v>
      </c>
      <c r="J2376"/>
    </row>
    <row r="2377" spans="1:10" ht="15.75" customHeight="1">
      <c r="A2377" t="s">
        <v>2286</v>
      </c>
      <c r="B2377">
        <v>731000</v>
      </c>
      <c r="C2377">
        <v>1</v>
      </c>
      <c r="D2377" t="str">
        <f t="shared" si="37"/>
        <v>1731000.511</v>
      </c>
      <c r="E2377" t="s">
        <v>2584</v>
      </c>
      <c r="F2377" s="242"/>
      <c r="G2377"/>
      <c r="H2377" s="242">
        <v>14000</v>
      </c>
      <c r="I2377" s="242">
        <v>9454</v>
      </c>
      <c r="J2377"/>
    </row>
    <row r="2378" spans="1:10" ht="15.75" customHeight="1">
      <c r="A2378" t="s">
        <v>2414</v>
      </c>
      <c r="B2378">
        <v>731000</v>
      </c>
      <c r="C2378">
        <v>1</v>
      </c>
      <c r="D2378" t="str">
        <f t="shared" si="37"/>
        <v>1731000.512</v>
      </c>
      <c r="E2378" t="s">
        <v>2585</v>
      </c>
      <c r="F2378" s="242"/>
      <c r="G2378"/>
      <c r="H2378" s="242">
        <v>1000</v>
      </c>
      <c r="I2378" s="242">
        <v>0</v>
      </c>
      <c r="J2378"/>
    </row>
    <row r="2379" spans="1:10" ht="15.75" customHeight="1">
      <c r="A2379" t="s">
        <v>2644</v>
      </c>
      <c r="B2379">
        <v>731000</v>
      </c>
      <c r="C2379">
        <v>1</v>
      </c>
      <c r="D2379" t="str">
        <f t="shared" si="37"/>
        <v>1731000.521</v>
      </c>
      <c r="E2379" t="s">
        <v>2734</v>
      </c>
      <c r="F2379" s="242"/>
      <c r="G2379"/>
      <c r="H2379" s="242">
        <v>0</v>
      </c>
      <c r="I2379" s="242">
        <v>0</v>
      </c>
      <c r="J2379"/>
    </row>
    <row r="2380" spans="1:10" ht="15.75" customHeight="1">
      <c r="A2380" t="s">
        <v>2588</v>
      </c>
      <c r="B2380">
        <v>731000</v>
      </c>
      <c r="C2380">
        <v>1</v>
      </c>
      <c r="D2380" t="str">
        <f t="shared" si="37"/>
        <v>1731000.522</v>
      </c>
      <c r="E2380" t="s">
        <v>2608</v>
      </c>
      <c r="F2380" s="242"/>
      <c r="G2380"/>
      <c r="H2380" s="242">
        <v>10000</v>
      </c>
      <c r="I2380" s="242">
        <v>4317</v>
      </c>
      <c r="J2380"/>
    </row>
    <row r="2381" spans="1:10" ht="15.75" customHeight="1">
      <c r="A2381" t="s">
        <v>2590</v>
      </c>
      <c r="B2381">
        <v>731000</v>
      </c>
      <c r="C2381">
        <v>1</v>
      </c>
      <c r="D2381" t="str">
        <f t="shared" si="37"/>
        <v>1731000.523</v>
      </c>
      <c r="E2381" t="s">
        <v>2615</v>
      </c>
      <c r="F2381" s="242"/>
      <c r="G2381"/>
      <c r="H2381" s="242">
        <v>4790</v>
      </c>
      <c r="I2381" s="242">
        <v>3063</v>
      </c>
      <c r="J2381"/>
    </row>
    <row r="2382" spans="1:10" ht="15.75" customHeight="1">
      <c r="A2382" t="s">
        <v>2594</v>
      </c>
      <c r="B2382">
        <v>731000</v>
      </c>
      <c r="C2382">
        <v>1</v>
      </c>
      <c r="D2382" t="str">
        <f t="shared" si="37"/>
        <v>1731000.540</v>
      </c>
      <c r="E2382" t="s">
        <v>2595</v>
      </c>
      <c r="F2382" s="242"/>
      <c r="G2382"/>
      <c r="H2382" s="242">
        <v>33000</v>
      </c>
      <c r="I2382" s="242">
        <v>19808</v>
      </c>
      <c r="J2382"/>
    </row>
    <row r="2383" spans="1:10" ht="15.75" customHeight="1">
      <c r="A2383" t="s">
        <v>2596</v>
      </c>
      <c r="B2383">
        <v>731000</v>
      </c>
      <c r="C2383">
        <v>1</v>
      </c>
      <c r="D2383" t="str">
        <f t="shared" si="37"/>
        <v>1731000.550</v>
      </c>
      <c r="E2383" t="s">
        <v>2597</v>
      </c>
      <c r="F2383" s="242"/>
      <c r="G2383"/>
      <c r="H2383" s="242">
        <v>40000</v>
      </c>
      <c r="I2383" s="242">
        <v>47000</v>
      </c>
      <c r="J2383"/>
    </row>
    <row r="2384" spans="1:10" ht="15.75" customHeight="1">
      <c r="A2384" t="s">
        <v>2918</v>
      </c>
      <c r="B2384">
        <v>731000</v>
      </c>
      <c r="C2384">
        <v>1</v>
      </c>
      <c r="D2384" t="str">
        <f t="shared" si="37"/>
        <v>1731000.560</v>
      </c>
      <c r="E2384" t="s">
        <v>2919</v>
      </c>
      <c r="F2384" s="242"/>
      <c r="G2384"/>
      <c r="H2384" s="242">
        <v>6000</v>
      </c>
      <c r="I2384" s="242">
        <v>134</v>
      </c>
      <c r="J2384"/>
    </row>
    <row r="2385" spans="1:10" ht="15.75" customHeight="1">
      <c r="A2385" t="s">
        <v>2598</v>
      </c>
      <c r="B2385">
        <v>731000</v>
      </c>
      <c r="C2385">
        <v>1</v>
      </c>
      <c r="D2385" t="str">
        <f t="shared" si="37"/>
        <v>1731000.561</v>
      </c>
      <c r="E2385" t="s">
        <v>2599</v>
      </c>
      <c r="F2385" s="242"/>
      <c r="G2385"/>
      <c r="H2385" s="242">
        <v>32500</v>
      </c>
      <c r="I2385" s="242">
        <v>19981</v>
      </c>
      <c r="J2385"/>
    </row>
    <row r="2386" spans="1:10" ht="15.75" customHeight="1">
      <c r="A2386" t="s">
        <v>2647</v>
      </c>
      <c r="B2386">
        <v>731000</v>
      </c>
      <c r="C2386">
        <v>1</v>
      </c>
      <c r="D2386" t="str">
        <f t="shared" si="37"/>
        <v>1731000.574</v>
      </c>
      <c r="E2386" t="s">
        <v>2648</v>
      </c>
      <c r="F2386" s="242"/>
      <c r="G2386"/>
      <c r="H2386" s="242">
        <v>11800</v>
      </c>
      <c r="I2386" s="242">
        <v>11543</v>
      </c>
      <c r="J2386"/>
    </row>
    <row r="2387" spans="1:10" ht="15.75" customHeight="1">
      <c r="A2387" t="s">
        <v>2620</v>
      </c>
      <c r="B2387">
        <v>731000</v>
      </c>
      <c r="C2387">
        <v>1</v>
      </c>
      <c r="D2387" t="str">
        <f t="shared" si="37"/>
        <v>1731000.575</v>
      </c>
      <c r="E2387" t="s">
        <v>2920</v>
      </c>
      <c r="F2387" s="242"/>
      <c r="G2387"/>
      <c r="H2387" s="242">
        <v>180000</v>
      </c>
      <c r="I2387" s="242">
        <v>184899</v>
      </c>
      <c r="J2387"/>
    </row>
    <row r="2388" spans="1:10" ht="15.75" customHeight="1">
      <c r="A2388" t="s">
        <v>2735</v>
      </c>
      <c r="B2388">
        <v>731000</v>
      </c>
      <c r="C2388">
        <v>1</v>
      </c>
      <c r="D2388" t="str">
        <f t="shared" si="37"/>
        <v>1731000.576</v>
      </c>
      <c r="E2388" t="s">
        <v>2921</v>
      </c>
      <c r="F2388" s="242"/>
      <c r="G2388"/>
      <c r="H2388" s="242">
        <v>230000</v>
      </c>
      <c r="I2388" s="242">
        <v>0</v>
      </c>
      <c r="J2388"/>
    </row>
    <row r="2389" spans="1:10" ht="15.75" customHeight="1">
      <c r="A2389" t="s">
        <v>2702</v>
      </c>
      <c r="B2389">
        <v>731000</v>
      </c>
      <c r="C2389">
        <v>1</v>
      </c>
      <c r="D2389" t="str">
        <f t="shared" si="37"/>
        <v>1731000.582</v>
      </c>
      <c r="E2389" t="s">
        <v>2797</v>
      </c>
      <c r="F2389" s="242"/>
      <c r="G2389"/>
      <c r="H2389" s="242">
        <v>50000</v>
      </c>
      <c r="I2389" s="242">
        <v>40085</v>
      </c>
      <c r="J2389"/>
    </row>
    <row r="2390" spans="1:10" ht="15.75" customHeight="1">
      <c r="A2390" t="s">
        <v>600</v>
      </c>
      <c r="B2390">
        <v>731000</v>
      </c>
      <c r="C2390">
        <v>1</v>
      </c>
      <c r="D2390" t="str">
        <f t="shared" si="37"/>
        <v>1731000.731</v>
      </c>
      <c r="E2390" t="s">
        <v>2593</v>
      </c>
      <c r="F2390" s="242"/>
      <c r="G2390"/>
      <c r="H2390" s="242">
        <v>57922</v>
      </c>
      <c r="I2390" s="242">
        <v>50350</v>
      </c>
      <c r="J2390"/>
    </row>
    <row r="2391" spans="1:10" ht="15.75" customHeight="1">
      <c r="A2391" t="s">
        <v>2418</v>
      </c>
      <c r="B2391">
        <v>731000</v>
      </c>
      <c r="C2391">
        <v>1</v>
      </c>
      <c r="D2391" t="str">
        <f t="shared" si="37"/>
        <v>1731000.735</v>
      </c>
      <c r="E2391" t="s">
        <v>2667</v>
      </c>
      <c r="F2391" s="242"/>
      <c r="G2391"/>
      <c r="H2391" s="242">
        <v>117125</v>
      </c>
      <c r="I2391" s="242">
        <v>126107</v>
      </c>
      <c r="J2391"/>
    </row>
    <row r="2392" spans="1:10" ht="15.75" customHeight="1">
      <c r="A2392" t="s">
        <v>673</v>
      </c>
      <c r="B2392">
        <v>731000</v>
      </c>
      <c r="C2392">
        <v>1</v>
      </c>
      <c r="D2392" t="str">
        <f t="shared" si="37"/>
        <v>1731000.743</v>
      </c>
      <c r="E2392" t="s">
        <v>2922</v>
      </c>
      <c r="F2392" s="242"/>
      <c r="G2392"/>
      <c r="H2392" s="242">
        <v>4000</v>
      </c>
      <c r="I2392" s="242">
        <v>0</v>
      </c>
      <c r="J2392"/>
    </row>
    <row r="2393" spans="1:10" ht="15.75" customHeight="1">
      <c r="A2393" t="s">
        <v>772</v>
      </c>
      <c r="B2393">
        <v>731000</v>
      </c>
      <c r="C2393">
        <v>1</v>
      </c>
      <c r="D2393" t="str">
        <f t="shared" si="37"/>
        <v>1731000.751</v>
      </c>
      <c r="E2393" t="s">
        <v>2923</v>
      </c>
      <c r="F2393" s="242"/>
      <c r="G2393"/>
      <c r="H2393" s="242">
        <v>0</v>
      </c>
      <c r="I2393" s="242">
        <v>0</v>
      </c>
      <c r="J2393"/>
    </row>
    <row r="2394" spans="1:10" ht="15.75" customHeight="1">
      <c r="A2394" t="s">
        <v>776</v>
      </c>
      <c r="B2394">
        <v>731000</v>
      </c>
      <c r="C2394">
        <v>1</v>
      </c>
      <c r="D2394" t="str">
        <f t="shared" si="37"/>
        <v>1731000.752</v>
      </c>
      <c r="E2394" t="s">
        <v>2924</v>
      </c>
      <c r="F2394" s="242"/>
      <c r="G2394"/>
      <c r="H2394" s="242">
        <v>160000</v>
      </c>
      <c r="I2394" s="242">
        <v>78729</v>
      </c>
      <c r="J2394"/>
    </row>
    <row r="2395" spans="1:10" ht="15.75" customHeight="1">
      <c r="A2395" t="s">
        <v>781</v>
      </c>
      <c r="B2395">
        <v>731000</v>
      </c>
      <c r="C2395">
        <v>1</v>
      </c>
      <c r="D2395" t="str">
        <f t="shared" si="37"/>
        <v>1731000.753</v>
      </c>
      <c r="E2395" t="s">
        <v>2925</v>
      </c>
      <c r="F2395" s="242"/>
      <c r="G2395"/>
      <c r="H2395" s="242">
        <v>200000</v>
      </c>
      <c r="I2395" s="242">
        <v>211512</v>
      </c>
      <c r="J2395"/>
    </row>
    <row r="2396" spans="1:10" ht="15.75" customHeight="1">
      <c r="A2396" t="s">
        <v>835</v>
      </c>
      <c r="B2396">
        <v>731000</v>
      </c>
      <c r="C2396">
        <v>1</v>
      </c>
      <c r="D2396" t="str">
        <f t="shared" si="37"/>
        <v>1731000.769</v>
      </c>
      <c r="E2396" t="s">
        <v>2605</v>
      </c>
      <c r="F2396" s="242"/>
      <c r="G2396"/>
      <c r="H2396" s="242">
        <v>120000</v>
      </c>
      <c r="I2396" s="242">
        <v>77149</v>
      </c>
      <c r="J2396"/>
    </row>
    <row r="2397" spans="1:10" ht="15.75" customHeight="1">
      <c r="A2397" t="s">
        <v>872</v>
      </c>
      <c r="B2397">
        <v>731000</v>
      </c>
      <c r="C2397">
        <v>1</v>
      </c>
      <c r="D2397" t="str">
        <f t="shared" si="37"/>
        <v>1731000.781</v>
      </c>
      <c r="E2397" t="s">
        <v>2926</v>
      </c>
      <c r="F2397" s="242"/>
      <c r="G2397"/>
      <c r="H2397" s="242">
        <v>29000</v>
      </c>
      <c r="I2397" s="242">
        <v>29059</v>
      </c>
      <c r="J2397"/>
    </row>
    <row r="2398" spans="1:10" ht="15.75" customHeight="1">
      <c r="A2398" t="s">
        <v>2740</v>
      </c>
      <c r="B2398">
        <v>731000</v>
      </c>
      <c r="C2398">
        <v>1</v>
      </c>
      <c r="D2398" t="str">
        <f t="shared" si="37"/>
        <v>1731000.930</v>
      </c>
      <c r="E2398" t="s">
        <v>2741</v>
      </c>
      <c r="F2398" s="242"/>
      <c r="G2398"/>
      <c r="H2398" s="242">
        <v>0</v>
      </c>
      <c r="I2398" s="242">
        <v>667</v>
      </c>
      <c r="J2398"/>
    </row>
    <row r="2399" spans="1:10" ht="15.75" customHeight="1">
      <c r="A2399" t="s">
        <v>2606</v>
      </c>
      <c r="B2399">
        <v>731100</v>
      </c>
      <c r="C2399">
        <v>1</v>
      </c>
      <c r="D2399" t="str">
        <f t="shared" si="37"/>
        <v>1731100.440</v>
      </c>
      <c r="E2399" t="s">
        <v>2927</v>
      </c>
      <c r="F2399" s="242"/>
      <c r="G2399"/>
      <c r="H2399" s="242">
        <v>8600</v>
      </c>
      <c r="I2399" s="242">
        <v>8264</v>
      </c>
      <c r="J2399"/>
    </row>
    <row r="2400" spans="1:10" ht="15.75" customHeight="1">
      <c r="A2400" t="s">
        <v>2590</v>
      </c>
      <c r="B2400">
        <v>731100</v>
      </c>
      <c r="C2400">
        <v>1</v>
      </c>
      <c r="D2400" t="str">
        <f t="shared" si="37"/>
        <v>1731100.523</v>
      </c>
      <c r="E2400" t="s">
        <v>4345</v>
      </c>
      <c r="F2400" s="242"/>
      <c r="G2400"/>
      <c r="H2400" s="242">
        <v>46000</v>
      </c>
      <c r="I2400" s="242">
        <v>48399</v>
      </c>
      <c r="J2400"/>
    </row>
    <row r="2401" spans="1:10" ht="15.75" customHeight="1">
      <c r="A2401" t="s">
        <v>2403</v>
      </c>
      <c r="B2401">
        <v>731200</v>
      </c>
      <c r="C2401">
        <v>1</v>
      </c>
      <c r="D2401" t="str">
        <f t="shared" si="37"/>
        <v>1731200.110</v>
      </c>
      <c r="E2401" t="s">
        <v>2573</v>
      </c>
      <c r="F2401" s="242"/>
      <c r="G2401"/>
      <c r="H2401" s="242">
        <v>0</v>
      </c>
      <c r="I2401" s="242">
        <v>0</v>
      </c>
      <c r="J2401"/>
    </row>
    <row r="2402" spans="1:10" ht="15.75" customHeight="1">
      <c r="A2402" t="s">
        <v>2404</v>
      </c>
      <c r="B2402">
        <v>731200</v>
      </c>
      <c r="C2402">
        <v>1</v>
      </c>
      <c r="D2402" t="str">
        <f t="shared" si="37"/>
        <v>1731200.120</v>
      </c>
      <c r="E2402" t="s">
        <v>2574</v>
      </c>
      <c r="F2402" s="242"/>
      <c r="G2402"/>
      <c r="H2402" s="242">
        <v>0</v>
      </c>
      <c r="I2402" s="242">
        <v>0</v>
      </c>
      <c r="J2402"/>
    </row>
    <row r="2403" spans="1:10" ht="15.75" customHeight="1">
      <c r="A2403" t="s">
        <v>2575</v>
      </c>
      <c r="B2403">
        <v>731200</v>
      </c>
      <c r="C2403">
        <v>1</v>
      </c>
      <c r="D2403" t="str">
        <f t="shared" si="37"/>
        <v>1731200.130</v>
      </c>
      <c r="E2403" t="s">
        <v>2576</v>
      </c>
      <c r="F2403" s="242"/>
      <c r="G2403"/>
      <c r="H2403" s="242">
        <v>0</v>
      </c>
      <c r="I2403" s="242">
        <v>0</v>
      </c>
      <c r="J2403"/>
    </row>
    <row r="2404" spans="1:10" ht="15.75" customHeight="1">
      <c r="A2404" t="s">
        <v>2577</v>
      </c>
      <c r="B2404">
        <v>731200</v>
      </c>
      <c r="C2404">
        <v>1</v>
      </c>
      <c r="D2404" t="str">
        <f t="shared" si="37"/>
        <v>1731200.140</v>
      </c>
      <c r="E2404" t="s">
        <v>2578</v>
      </c>
      <c r="F2404" s="242"/>
      <c r="G2404"/>
      <c r="H2404" s="242">
        <v>0</v>
      </c>
      <c r="I2404" s="242">
        <v>0</v>
      </c>
      <c r="J2404"/>
    </row>
    <row r="2405" spans="1:10" ht="15.75" customHeight="1">
      <c r="A2405" t="s">
        <v>2579</v>
      </c>
      <c r="B2405">
        <v>731200</v>
      </c>
      <c r="C2405">
        <v>1</v>
      </c>
      <c r="D2405" t="str">
        <f t="shared" si="37"/>
        <v>1731200.181</v>
      </c>
      <c r="E2405" t="s">
        <v>2580</v>
      </c>
      <c r="F2405" s="242"/>
      <c r="G2405"/>
      <c r="H2405" s="242">
        <v>0</v>
      </c>
      <c r="I2405" s="242">
        <v>0</v>
      </c>
      <c r="J2405"/>
    </row>
    <row r="2406" spans="1:10" ht="15.75" customHeight="1">
      <c r="A2406" t="s">
        <v>2581</v>
      </c>
      <c r="B2406">
        <v>731200</v>
      </c>
      <c r="C2406">
        <v>1</v>
      </c>
      <c r="D2406" t="str">
        <f t="shared" si="37"/>
        <v>1731200.182</v>
      </c>
      <c r="E2406" t="s">
        <v>2582</v>
      </c>
      <c r="F2406" s="242"/>
      <c r="G2406"/>
      <c r="H2406" s="242">
        <v>0</v>
      </c>
      <c r="I2406" s="242">
        <v>0</v>
      </c>
      <c r="J2406"/>
    </row>
    <row r="2407" spans="1:10" ht="15.75" customHeight="1">
      <c r="A2407" t="s">
        <v>2286</v>
      </c>
      <c r="B2407">
        <v>731200</v>
      </c>
      <c r="C2407">
        <v>1</v>
      </c>
      <c r="D2407" t="str">
        <f t="shared" si="37"/>
        <v>1731200.511</v>
      </c>
      <c r="E2407" t="s">
        <v>2584</v>
      </c>
      <c r="F2407" s="242"/>
      <c r="G2407"/>
      <c r="H2407" s="242">
        <v>0</v>
      </c>
      <c r="I2407" s="242">
        <v>0</v>
      </c>
      <c r="J2407"/>
    </row>
    <row r="2408" spans="1:10" ht="15.75" customHeight="1">
      <c r="A2408" t="s">
        <v>2588</v>
      </c>
      <c r="B2408">
        <v>731200</v>
      </c>
      <c r="C2408">
        <v>1</v>
      </c>
      <c r="D2408" t="str">
        <f t="shared" si="37"/>
        <v>1731200.522</v>
      </c>
      <c r="E2408" t="s">
        <v>2608</v>
      </c>
      <c r="F2408" s="242"/>
      <c r="G2408"/>
      <c r="H2408" s="242">
        <v>0</v>
      </c>
      <c r="I2408" s="242">
        <v>0</v>
      </c>
      <c r="J2408"/>
    </row>
    <row r="2409" spans="1:10" ht="15.75" customHeight="1">
      <c r="A2409" t="s">
        <v>2918</v>
      </c>
      <c r="B2409">
        <v>731200</v>
      </c>
      <c r="C2409">
        <v>1</v>
      </c>
      <c r="D2409" t="str">
        <f t="shared" si="37"/>
        <v>1731200.560</v>
      </c>
      <c r="E2409" t="s">
        <v>2919</v>
      </c>
      <c r="F2409" s="242"/>
      <c r="G2409"/>
      <c r="H2409" s="242">
        <v>0</v>
      </c>
      <c r="I2409" s="242">
        <v>0</v>
      </c>
      <c r="J2409"/>
    </row>
    <row r="2410" spans="1:10" ht="15.75" customHeight="1">
      <c r="A2410" t="s">
        <v>2598</v>
      </c>
      <c r="B2410">
        <v>731200</v>
      </c>
      <c r="C2410">
        <v>1</v>
      </c>
      <c r="D2410" t="str">
        <f t="shared" si="37"/>
        <v>1731200.561</v>
      </c>
      <c r="E2410" t="s">
        <v>2599</v>
      </c>
      <c r="F2410" s="242"/>
      <c r="G2410"/>
      <c r="H2410" s="242">
        <v>0</v>
      </c>
      <c r="I2410" s="242">
        <v>0</v>
      </c>
      <c r="J2410"/>
    </row>
    <row r="2411" spans="1:10" ht="15.75" customHeight="1">
      <c r="A2411" t="s">
        <v>600</v>
      </c>
      <c r="B2411">
        <v>731200</v>
      </c>
      <c r="C2411">
        <v>1</v>
      </c>
      <c r="D2411" t="str">
        <f t="shared" si="37"/>
        <v>1731200.731</v>
      </c>
      <c r="E2411" t="s">
        <v>2593</v>
      </c>
      <c r="F2411" s="242"/>
      <c r="G2411"/>
      <c r="H2411" s="242">
        <v>0</v>
      </c>
      <c r="I2411" s="242">
        <v>0</v>
      </c>
      <c r="J2411"/>
    </row>
    <row r="2412" spans="1:10" ht="15.75" customHeight="1">
      <c r="A2412" t="s">
        <v>2418</v>
      </c>
      <c r="B2412">
        <v>731200</v>
      </c>
      <c r="C2412">
        <v>1</v>
      </c>
      <c r="D2412" t="str">
        <f t="shared" si="37"/>
        <v>1731200.735</v>
      </c>
      <c r="E2412" t="s">
        <v>2667</v>
      </c>
      <c r="F2412" s="242"/>
      <c r="G2412"/>
      <c r="H2412" s="242">
        <v>0</v>
      </c>
      <c r="I2412" s="242">
        <v>0</v>
      </c>
      <c r="J2412"/>
    </row>
    <row r="2413" spans="1:10" ht="15.75" customHeight="1">
      <c r="A2413" t="s">
        <v>673</v>
      </c>
      <c r="B2413">
        <v>731200</v>
      </c>
      <c r="C2413">
        <v>1</v>
      </c>
      <c r="D2413" t="str">
        <f t="shared" si="37"/>
        <v>1731200.743</v>
      </c>
      <c r="E2413" t="s">
        <v>2622</v>
      </c>
      <c r="F2413" s="242"/>
      <c r="G2413"/>
      <c r="H2413" s="242">
        <v>0</v>
      </c>
      <c r="I2413" s="242">
        <v>0</v>
      </c>
      <c r="J2413"/>
    </row>
    <row r="2414" spans="1:10" ht="15.75" customHeight="1">
      <c r="A2414" t="s">
        <v>2611</v>
      </c>
      <c r="B2414">
        <v>731200</v>
      </c>
      <c r="C2414">
        <v>1</v>
      </c>
      <c r="D2414" t="str">
        <f t="shared" si="37"/>
        <v>1731200.750</v>
      </c>
      <c r="E2414" t="s">
        <v>2707</v>
      </c>
      <c r="F2414" s="242"/>
      <c r="G2414"/>
      <c r="H2414" s="242">
        <v>0</v>
      </c>
      <c r="I2414" s="242">
        <v>0</v>
      </c>
      <c r="J2414"/>
    </row>
    <row r="2415" spans="1:10" ht="15.75" customHeight="1">
      <c r="A2415" t="s">
        <v>772</v>
      </c>
      <c r="B2415">
        <v>731200</v>
      </c>
      <c r="C2415">
        <v>1</v>
      </c>
      <c r="D2415" t="str">
        <f t="shared" si="37"/>
        <v>1731200.751</v>
      </c>
      <c r="E2415" t="s">
        <v>2928</v>
      </c>
      <c r="F2415" s="242"/>
      <c r="G2415"/>
      <c r="H2415" s="242">
        <v>0</v>
      </c>
      <c r="I2415" s="242">
        <v>0</v>
      </c>
      <c r="J2415"/>
    </row>
    <row r="2416" spans="1:10" ht="15.75" customHeight="1">
      <c r="A2416" t="s">
        <v>2827</v>
      </c>
      <c r="B2416">
        <v>731200</v>
      </c>
      <c r="C2416">
        <v>1</v>
      </c>
      <c r="D2416" t="str">
        <f t="shared" si="37"/>
        <v>1731200.950</v>
      </c>
      <c r="E2416" t="s">
        <v>2929</v>
      </c>
      <c r="F2416" s="242"/>
      <c r="G2416"/>
      <c r="H2416" s="242">
        <v>0</v>
      </c>
      <c r="I2416" s="242">
        <v>0</v>
      </c>
      <c r="J2416"/>
    </row>
    <row r="2417" spans="1:10" ht="15.75" customHeight="1">
      <c r="A2417" t="s">
        <v>2403</v>
      </c>
      <c r="B2417">
        <v>731300</v>
      </c>
      <c r="C2417">
        <v>1</v>
      </c>
      <c r="D2417" t="str">
        <f t="shared" si="37"/>
        <v>1731300.110</v>
      </c>
      <c r="E2417" t="s">
        <v>2573</v>
      </c>
      <c r="F2417" s="242"/>
      <c r="G2417"/>
      <c r="H2417" s="242">
        <v>0</v>
      </c>
      <c r="I2417" s="242">
        <v>0</v>
      </c>
      <c r="J2417"/>
    </row>
    <row r="2418" spans="1:10" ht="15.75" customHeight="1">
      <c r="A2418" t="s">
        <v>2404</v>
      </c>
      <c r="B2418">
        <v>731300</v>
      </c>
      <c r="C2418">
        <v>1</v>
      </c>
      <c r="D2418" t="str">
        <f t="shared" si="37"/>
        <v>1731300.120</v>
      </c>
      <c r="E2418" t="s">
        <v>2574</v>
      </c>
      <c r="F2418" s="242"/>
      <c r="G2418"/>
      <c r="H2418" s="242">
        <v>0</v>
      </c>
      <c r="I2418" s="242">
        <v>0</v>
      </c>
      <c r="J2418"/>
    </row>
    <row r="2419" spans="1:10" ht="15.75" customHeight="1">
      <c r="A2419" t="s">
        <v>2575</v>
      </c>
      <c r="B2419">
        <v>731300</v>
      </c>
      <c r="C2419">
        <v>1</v>
      </c>
      <c r="D2419" t="str">
        <f t="shared" si="37"/>
        <v>1731300.130</v>
      </c>
      <c r="E2419" t="s">
        <v>2576</v>
      </c>
      <c r="F2419" s="242"/>
      <c r="G2419"/>
      <c r="H2419" s="242">
        <v>0</v>
      </c>
      <c r="I2419" s="242">
        <v>0</v>
      </c>
      <c r="J2419"/>
    </row>
    <row r="2420" spans="1:10" ht="15.75" customHeight="1">
      <c r="A2420" t="s">
        <v>2577</v>
      </c>
      <c r="B2420">
        <v>731300</v>
      </c>
      <c r="C2420">
        <v>1</v>
      </c>
      <c r="D2420" t="str">
        <f t="shared" si="37"/>
        <v>1731300.140</v>
      </c>
      <c r="E2420" t="s">
        <v>2578</v>
      </c>
      <c r="F2420" s="242"/>
      <c r="G2420"/>
      <c r="H2420" s="242">
        <v>0</v>
      </c>
      <c r="I2420" s="242">
        <v>0</v>
      </c>
      <c r="J2420"/>
    </row>
    <row r="2421" spans="1:10" ht="15.75" customHeight="1">
      <c r="A2421" t="s">
        <v>2579</v>
      </c>
      <c r="B2421">
        <v>731300</v>
      </c>
      <c r="C2421">
        <v>1</v>
      </c>
      <c r="D2421" t="str">
        <f t="shared" si="37"/>
        <v>1731300.181</v>
      </c>
      <c r="E2421" t="s">
        <v>2580</v>
      </c>
      <c r="F2421" s="242"/>
      <c r="G2421"/>
      <c r="H2421" s="242">
        <v>0</v>
      </c>
      <c r="I2421" s="242">
        <v>0</v>
      </c>
      <c r="J2421"/>
    </row>
    <row r="2422" spans="1:10" ht="15.75" customHeight="1">
      <c r="A2422" t="s">
        <v>2581</v>
      </c>
      <c r="B2422">
        <v>731300</v>
      </c>
      <c r="C2422">
        <v>1</v>
      </c>
      <c r="D2422" t="str">
        <f t="shared" si="37"/>
        <v>1731300.182</v>
      </c>
      <c r="E2422" t="s">
        <v>2582</v>
      </c>
      <c r="F2422" s="242"/>
      <c r="G2422"/>
      <c r="H2422" s="242">
        <v>0</v>
      </c>
      <c r="I2422" s="242">
        <v>0</v>
      </c>
      <c r="J2422"/>
    </row>
    <row r="2423" spans="1:10" ht="15.75" customHeight="1">
      <c r="A2423" t="s">
        <v>2414</v>
      </c>
      <c r="B2423">
        <v>731300</v>
      </c>
      <c r="C2423">
        <v>1</v>
      </c>
      <c r="D2423" t="str">
        <f t="shared" si="37"/>
        <v>1731300.512</v>
      </c>
      <c r="E2423" t="s">
        <v>2585</v>
      </c>
      <c r="F2423" s="242"/>
      <c r="G2423"/>
      <c r="H2423" s="242">
        <v>0</v>
      </c>
      <c r="I2423" s="242">
        <v>0</v>
      </c>
      <c r="J2423"/>
    </row>
    <row r="2424" spans="1:10" ht="15.75" customHeight="1">
      <c r="A2424" t="s">
        <v>2588</v>
      </c>
      <c r="B2424">
        <v>731300</v>
      </c>
      <c r="C2424">
        <v>1</v>
      </c>
      <c r="D2424" t="str">
        <f t="shared" si="37"/>
        <v>1731300.522</v>
      </c>
      <c r="E2424" t="s">
        <v>2608</v>
      </c>
      <c r="F2424" s="242"/>
      <c r="G2424"/>
      <c r="H2424" s="242">
        <v>0</v>
      </c>
      <c r="I2424" s="242">
        <v>0</v>
      </c>
      <c r="J2424"/>
    </row>
    <row r="2425" spans="1:10" ht="15.75" customHeight="1">
      <c r="A2425" t="s">
        <v>2598</v>
      </c>
      <c r="B2425">
        <v>731300</v>
      </c>
      <c r="C2425">
        <v>1</v>
      </c>
      <c r="D2425" t="str">
        <f t="shared" si="37"/>
        <v>1731300.561</v>
      </c>
      <c r="E2425" t="s">
        <v>2599</v>
      </c>
      <c r="F2425" s="242"/>
      <c r="G2425"/>
      <c r="H2425" s="242">
        <v>0</v>
      </c>
      <c r="I2425" s="242">
        <v>0</v>
      </c>
      <c r="J2425"/>
    </row>
    <row r="2426" spans="1:10" ht="15.75" customHeight="1">
      <c r="A2426" t="s">
        <v>2702</v>
      </c>
      <c r="B2426">
        <v>731300</v>
      </c>
      <c r="C2426">
        <v>1</v>
      </c>
      <c r="D2426" t="str">
        <f t="shared" si="37"/>
        <v>1731300.582</v>
      </c>
      <c r="E2426" t="s">
        <v>2730</v>
      </c>
      <c r="F2426" s="242"/>
      <c r="G2426"/>
      <c r="H2426" s="242">
        <v>0</v>
      </c>
      <c r="I2426" s="242">
        <v>0</v>
      </c>
      <c r="J2426"/>
    </row>
    <row r="2427" spans="1:10" ht="15.75" customHeight="1">
      <c r="A2427" t="s">
        <v>600</v>
      </c>
      <c r="B2427">
        <v>731300</v>
      </c>
      <c r="C2427">
        <v>1</v>
      </c>
      <c r="D2427" t="str">
        <f t="shared" si="37"/>
        <v>1731300.731</v>
      </c>
      <c r="E2427" t="s">
        <v>2593</v>
      </c>
      <c r="F2427" s="242"/>
      <c r="G2427"/>
      <c r="H2427" s="242">
        <v>0</v>
      </c>
      <c r="I2427" s="242">
        <v>0</v>
      </c>
      <c r="J2427"/>
    </row>
    <row r="2428" spans="1:10" ht="15.75" customHeight="1">
      <c r="A2428" t="s">
        <v>2418</v>
      </c>
      <c r="B2428">
        <v>731300</v>
      </c>
      <c r="C2428">
        <v>1</v>
      </c>
      <c r="D2428" t="str">
        <f t="shared" si="37"/>
        <v>1731300.735</v>
      </c>
      <c r="E2428" t="s">
        <v>2667</v>
      </c>
      <c r="F2428" s="242"/>
      <c r="G2428"/>
      <c r="H2428" s="242">
        <v>0</v>
      </c>
      <c r="I2428" s="242">
        <v>0</v>
      </c>
      <c r="J2428"/>
    </row>
    <row r="2429" spans="1:10" ht="15.75" customHeight="1">
      <c r="A2429" t="s">
        <v>2403</v>
      </c>
      <c r="B2429">
        <v>732000</v>
      </c>
      <c r="C2429">
        <v>1</v>
      </c>
      <c r="D2429" t="str">
        <f t="shared" si="37"/>
        <v>1732000.110</v>
      </c>
      <c r="E2429" t="s">
        <v>2573</v>
      </c>
      <c r="F2429" s="242"/>
      <c r="G2429"/>
      <c r="H2429" s="242">
        <v>1807429</v>
      </c>
      <c r="I2429" s="242">
        <v>1194797</v>
      </c>
      <c r="J2429"/>
    </row>
    <row r="2430" spans="1:10" ht="15.75" customHeight="1">
      <c r="A2430" t="s">
        <v>2404</v>
      </c>
      <c r="B2430">
        <v>732000</v>
      </c>
      <c r="C2430">
        <v>1</v>
      </c>
      <c r="D2430" t="str">
        <f t="shared" si="37"/>
        <v>1732000.120</v>
      </c>
      <c r="E2430" t="s">
        <v>2574</v>
      </c>
      <c r="F2430" s="242"/>
      <c r="G2430"/>
      <c r="H2430" s="242">
        <v>265994</v>
      </c>
      <c r="I2430" s="242">
        <v>175984</v>
      </c>
      <c r="J2430"/>
    </row>
    <row r="2431" spans="1:10" ht="15.75" customHeight="1">
      <c r="A2431" t="s">
        <v>2575</v>
      </c>
      <c r="B2431">
        <v>732000</v>
      </c>
      <c r="C2431">
        <v>1</v>
      </c>
      <c r="D2431" t="str">
        <f t="shared" si="37"/>
        <v>1732000.130</v>
      </c>
      <c r="E2431" t="s">
        <v>2576</v>
      </c>
      <c r="F2431" s="242"/>
      <c r="G2431"/>
      <c r="H2431" s="242">
        <v>4579</v>
      </c>
      <c r="I2431" s="242">
        <v>2215</v>
      </c>
      <c r="J2431"/>
    </row>
    <row r="2432" spans="1:10" ht="15.75" customHeight="1">
      <c r="A2432" t="s">
        <v>2577</v>
      </c>
      <c r="B2432">
        <v>732000</v>
      </c>
      <c r="C2432">
        <v>1</v>
      </c>
      <c r="D2432" t="str">
        <f t="shared" si="37"/>
        <v>1732000.140</v>
      </c>
      <c r="E2432" t="s">
        <v>2578</v>
      </c>
      <c r="F2432" s="242"/>
      <c r="G2432"/>
      <c r="H2432" s="242">
        <v>339737</v>
      </c>
      <c r="I2432" s="242">
        <v>256574</v>
      </c>
      <c r="J2432"/>
    </row>
    <row r="2433" spans="1:10" ht="15.75" customHeight="1">
      <c r="A2433" t="s">
        <v>2579</v>
      </c>
      <c r="B2433">
        <v>732000</v>
      </c>
      <c r="C2433">
        <v>1</v>
      </c>
      <c r="D2433" t="str">
        <f t="shared" si="37"/>
        <v>1732000.181</v>
      </c>
      <c r="E2433" t="s">
        <v>2580</v>
      </c>
      <c r="F2433" s="242"/>
      <c r="G2433"/>
      <c r="H2433" s="242">
        <v>446130</v>
      </c>
      <c r="I2433" s="242">
        <v>297942</v>
      </c>
      <c r="J2433"/>
    </row>
    <row r="2434" spans="1:10" ht="15.75" customHeight="1">
      <c r="A2434" t="s">
        <v>2581</v>
      </c>
      <c r="B2434">
        <v>732000</v>
      </c>
      <c r="C2434">
        <v>1</v>
      </c>
      <c r="D2434" t="str">
        <f t="shared" si="37"/>
        <v>1732000.182</v>
      </c>
      <c r="E2434" t="s">
        <v>2582</v>
      </c>
      <c r="F2434" s="242"/>
      <c r="G2434"/>
      <c r="H2434" s="242">
        <v>187132</v>
      </c>
      <c r="I2434" s="242">
        <v>126179</v>
      </c>
      <c r="J2434"/>
    </row>
    <row r="2435" spans="1:10" ht="15.75" customHeight="1">
      <c r="A2435" t="s">
        <v>2286</v>
      </c>
      <c r="B2435">
        <v>732000</v>
      </c>
      <c r="C2435">
        <v>1</v>
      </c>
      <c r="D2435" t="str">
        <f t="shared" ref="D2435:D2498" si="38">C2435&amp;B2435&amp;"."&amp;A2435</f>
        <v>1732000.511</v>
      </c>
      <c r="E2435" t="s">
        <v>2584</v>
      </c>
      <c r="F2435" s="242"/>
      <c r="G2435"/>
      <c r="H2435" s="242">
        <v>6000</v>
      </c>
      <c r="I2435" s="242">
        <v>3324</v>
      </c>
      <c r="J2435"/>
    </row>
    <row r="2436" spans="1:10" ht="15.75" customHeight="1">
      <c r="A2436" t="s">
        <v>2414</v>
      </c>
      <c r="B2436">
        <v>732000</v>
      </c>
      <c r="C2436">
        <v>1</v>
      </c>
      <c r="D2436" t="str">
        <f t="shared" si="38"/>
        <v>1732000.512</v>
      </c>
      <c r="E2436" t="s">
        <v>2585</v>
      </c>
      <c r="F2436" s="242"/>
      <c r="G2436"/>
      <c r="H2436" s="242">
        <v>500</v>
      </c>
      <c r="I2436" s="242">
        <v>0</v>
      </c>
      <c r="J2436"/>
    </row>
    <row r="2437" spans="1:10" ht="15.75" customHeight="1">
      <c r="A2437" t="s">
        <v>2588</v>
      </c>
      <c r="B2437">
        <v>732000</v>
      </c>
      <c r="C2437">
        <v>1</v>
      </c>
      <c r="D2437" t="str">
        <f t="shared" si="38"/>
        <v>1732000.522</v>
      </c>
      <c r="E2437" t="s">
        <v>2608</v>
      </c>
      <c r="F2437" s="242"/>
      <c r="G2437"/>
      <c r="H2437" s="242">
        <v>6000</v>
      </c>
      <c r="I2437" s="242">
        <v>2484</v>
      </c>
      <c r="J2437"/>
    </row>
    <row r="2438" spans="1:10" ht="15.75" customHeight="1">
      <c r="A2438" t="s">
        <v>2594</v>
      </c>
      <c r="B2438">
        <v>732000</v>
      </c>
      <c r="C2438">
        <v>1</v>
      </c>
      <c r="D2438" t="str">
        <f t="shared" si="38"/>
        <v>1732000.540</v>
      </c>
      <c r="E2438" t="s">
        <v>2595</v>
      </c>
      <c r="F2438" s="242"/>
      <c r="G2438"/>
      <c r="H2438" s="242">
        <v>12000</v>
      </c>
      <c r="I2438" s="242">
        <v>6101</v>
      </c>
      <c r="J2438"/>
    </row>
    <row r="2439" spans="1:10" ht="15.75" customHeight="1">
      <c r="A2439" t="s">
        <v>2596</v>
      </c>
      <c r="B2439">
        <v>732000</v>
      </c>
      <c r="C2439">
        <v>1</v>
      </c>
      <c r="D2439" t="str">
        <f t="shared" si="38"/>
        <v>1732000.550</v>
      </c>
      <c r="E2439" t="s">
        <v>2597</v>
      </c>
      <c r="F2439" s="242"/>
      <c r="G2439"/>
      <c r="H2439" s="242">
        <v>25000</v>
      </c>
      <c r="I2439" s="242">
        <v>25000</v>
      </c>
      <c r="J2439"/>
    </row>
    <row r="2440" spans="1:10" ht="15.75" customHeight="1">
      <c r="A2440" t="s">
        <v>2598</v>
      </c>
      <c r="B2440">
        <v>732000</v>
      </c>
      <c r="C2440">
        <v>1</v>
      </c>
      <c r="D2440" t="str">
        <f t="shared" si="38"/>
        <v>1732000.561</v>
      </c>
      <c r="E2440" t="s">
        <v>2599</v>
      </c>
      <c r="F2440" s="242"/>
      <c r="G2440"/>
      <c r="H2440" s="242">
        <v>0</v>
      </c>
      <c r="I2440" s="242">
        <v>0</v>
      </c>
      <c r="J2440"/>
    </row>
    <row r="2441" spans="1:10" ht="15.75" customHeight="1">
      <c r="A2441" t="s">
        <v>600</v>
      </c>
      <c r="B2441">
        <v>732000</v>
      </c>
      <c r="C2441">
        <v>1</v>
      </c>
      <c r="D2441" t="str">
        <f t="shared" si="38"/>
        <v>1732000.731</v>
      </c>
      <c r="E2441" t="s">
        <v>2593</v>
      </c>
      <c r="F2441" s="242"/>
      <c r="G2441"/>
      <c r="H2441" s="242">
        <v>0</v>
      </c>
      <c r="I2441" s="242">
        <v>0</v>
      </c>
      <c r="J2441"/>
    </row>
    <row r="2442" spans="1:10" ht="15.75" customHeight="1">
      <c r="A2442" t="s">
        <v>2418</v>
      </c>
      <c r="B2442">
        <v>732000</v>
      </c>
      <c r="C2442">
        <v>1</v>
      </c>
      <c r="D2442" t="str">
        <f t="shared" si="38"/>
        <v>1732000.735</v>
      </c>
      <c r="E2442" t="s">
        <v>2667</v>
      </c>
      <c r="F2442" s="242"/>
      <c r="G2442"/>
      <c r="H2442" s="242">
        <v>0</v>
      </c>
      <c r="I2442" s="242">
        <v>0</v>
      </c>
      <c r="J2442"/>
    </row>
    <row r="2443" spans="1:10" ht="15.75" customHeight="1">
      <c r="A2443" t="s">
        <v>673</v>
      </c>
      <c r="B2443">
        <v>732000</v>
      </c>
      <c r="C2443">
        <v>1</v>
      </c>
      <c r="D2443" t="str">
        <f t="shared" si="38"/>
        <v>1732000.743</v>
      </c>
      <c r="E2443" t="s">
        <v>2622</v>
      </c>
      <c r="F2443" s="242"/>
      <c r="G2443"/>
      <c r="H2443" s="242">
        <v>65000</v>
      </c>
      <c r="I2443" s="242">
        <v>38778</v>
      </c>
      <c r="J2443"/>
    </row>
    <row r="2444" spans="1:10" ht="15.75" customHeight="1">
      <c r="A2444" t="s">
        <v>2611</v>
      </c>
      <c r="B2444">
        <v>732000</v>
      </c>
      <c r="C2444">
        <v>1</v>
      </c>
      <c r="D2444" t="str">
        <f t="shared" si="38"/>
        <v>1732000.750</v>
      </c>
      <c r="E2444" t="s">
        <v>2933</v>
      </c>
      <c r="F2444" s="242"/>
      <c r="G2444"/>
      <c r="H2444" s="242">
        <v>0</v>
      </c>
      <c r="I2444" s="242">
        <v>230661</v>
      </c>
      <c r="J2444"/>
    </row>
    <row r="2445" spans="1:10" ht="15.75" customHeight="1">
      <c r="A2445" t="s">
        <v>772</v>
      </c>
      <c r="B2445">
        <v>732000</v>
      </c>
      <c r="C2445">
        <v>1</v>
      </c>
      <c r="D2445" t="str">
        <f t="shared" si="38"/>
        <v>1732000.751</v>
      </c>
      <c r="E2445" t="s">
        <v>2928</v>
      </c>
      <c r="F2445" s="242"/>
      <c r="G2445"/>
      <c r="H2445" s="242">
        <v>15800</v>
      </c>
      <c r="I2445" s="242">
        <v>13216</v>
      </c>
      <c r="J2445"/>
    </row>
    <row r="2446" spans="1:10" ht="15.75" customHeight="1">
      <c r="A2446" t="s">
        <v>2632</v>
      </c>
      <c r="B2446">
        <v>732000</v>
      </c>
      <c r="C2446">
        <v>1</v>
      </c>
      <c r="D2446" t="str">
        <f t="shared" si="38"/>
        <v>1732000.780</v>
      </c>
      <c r="E2446" t="s">
        <v>2709</v>
      </c>
      <c r="F2446" s="242"/>
      <c r="G2446"/>
      <c r="H2446" s="242">
        <v>1000</v>
      </c>
      <c r="I2446" s="242">
        <v>526</v>
      </c>
      <c r="J2446"/>
    </row>
    <row r="2447" spans="1:10" ht="15.75" customHeight="1">
      <c r="A2447" t="s">
        <v>2827</v>
      </c>
      <c r="B2447">
        <v>732000</v>
      </c>
      <c r="C2447">
        <v>1</v>
      </c>
      <c r="D2447" t="str">
        <f t="shared" si="38"/>
        <v>1732000.950</v>
      </c>
      <c r="E2447" t="s">
        <v>2929</v>
      </c>
      <c r="F2447" s="242"/>
      <c r="G2447"/>
      <c r="H2447" s="242">
        <v>200000</v>
      </c>
      <c r="I2447" s="242">
        <v>141079</v>
      </c>
      <c r="J2447"/>
    </row>
    <row r="2448" spans="1:10" ht="15.75" customHeight="1">
      <c r="A2448" t="s">
        <v>2934</v>
      </c>
      <c r="B2448">
        <v>732000</v>
      </c>
      <c r="C2448">
        <v>1</v>
      </c>
      <c r="D2448" t="str">
        <f t="shared" si="38"/>
        <v>1732000.951</v>
      </c>
      <c r="E2448" t="s">
        <v>2935</v>
      </c>
      <c r="F2448" s="242"/>
      <c r="G2448"/>
      <c r="H2448" s="242">
        <v>200000</v>
      </c>
      <c r="I2448" s="242">
        <v>200000</v>
      </c>
      <c r="J2448"/>
    </row>
    <row r="2449" spans="1:10" ht="15.75" customHeight="1">
      <c r="A2449" t="s">
        <v>2403</v>
      </c>
      <c r="B2449">
        <v>732300</v>
      </c>
      <c r="C2449">
        <v>1</v>
      </c>
      <c r="D2449" t="str">
        <f t="shared" si="38"/>
        <v>1732300.110</v>
      </c>
      <c r="E2449" t="s">
        <v>2573</v>
      </c>
      <c r="F2449" s="242"/>
      <c r="G2449"/>
      <c r="H2449" s="242">
        <v>809107</v>
      </c>
      <c r="I2449" s="242">
        <v>776093</v>
      </c>
      <c r="J2449"/>
    </row>
    <row r="2450" spans="1:10" ht="15.75" customHeight="1">
      <c r="A2450" t="s">
        <v>2404</v>
      </c>
      <c r="B2450">
        <v>732300</v>
      </c>
      <c r="C2450">
        <v>1</v>
      </c>
      <c r="D2450" t="str">
        <f t="shared" si="38"/>
        <v>1732300.120</v>
      </c>
      <c r="E2450" t="s">
        <v>2574</v>
      </c>
      <c r="F2450" s="242"/>
      <c r="G2450"/>
      <c r="H2450" s="242">
        <v>42518</v>
      </c>
      <c r="I2450" s="242">
        <v>43023</v>
      </c>
      <c r="J2450"/>
    </row>
    <row r="2451" spans="1:10" ht="15.75" customHeight="1">
      <c r="A2451" t="s">
        <v>2575</v>
      </c>
      <c r="B2451">
        <v>732300</v>
      </c>
      <c r="C2451">
        <v>1</v>
      </c>
      <c r="D2451" t="str">
        <f t="shared" si="38"/>
        <v>1732300.130</v>
      </c>
      <c r="E2451" t="s">
        <v>2576</v>
      </c>
      <c r="F2451" s="242"/>
      <c r="G2451"/>
      <c r="H2451" s="242">
        <v>2772</v>
      </c>
      <c r="I2451" s="242">
        <v>1533</v>
      </c>
      <c r="J2451"/>
    </row>
    <row r="2452" spans="1:10" ht="15.75" customHeight="1">
      <c r="A2452" t="s">
        <v>2577</v>
      </c>
      <c r="B2452">
        <v>732300</v>
      </c>
      <c r="C2452">
        <v>1</v>
      </c>
      <c r="D2452" t="str">
        <f t="shared" si="38"/>
        <v>1732300.140</v>
      </c>
      <c r="E2452" t="s">
        <v>2578</v>
      </c>
      <c r="F2452" s="242"/>
      <c r="G2452"/>
      <c r="H2452" s="242">
        <v>215524</v>
      </c>
      <c r="I2452" s="242">
        <v>197425</v>
      </c>
      <c r="J2452"/>
    </row>
    <row r="2453" spans="1:10" ht="15.75" customHeight="1">
      <c r="A2453" t="s">
        <v>2579</v>
      </c>
      <c r="B2453">
        <v>732300</v>
      </c>
      <c r="C2453">
        <v>1</v>
      </c>
      <c r="D2453" t="str">
        <f t="shared" si="38"/>
        <v>1732300.181</v>
      </c>
      <c r="E2453" t="s">
        <v>2580</v>
      </c>
      <c r="F2453" s="242"/>
      <c r="G2453"/>
      <c r="H2453" s="242">
        <v>191490</v>
      </c>
      <c r="I2453" s="242">
        <v>183290</v>
      </c>
      <c r="J2453"/>
    </row>
    <row r="2454" spans="1:10" ht="15.75" customHeight="1">
      <c r="A2454" t="s">
        <v>2581</v>
      </c>
      <c r="B2454">
        <v>732300</v>
      </c>
      <c r="C2454">
        <v>1</v>
      </c>
      <c r="D2454" t="str">
        <f t="shared" si="38"/>
        <v>1732300.182</v>
      </c>
      <c r="E2454" t="s">
        <v>2582</v>
      </c>
      <c r="F2454" s="242"/>
      <c r="G2454"/>
      <c r="H2454" s="242">
        <v>80816</v>
      </c>
      <c r="I2454" s="242">
        <v>76920</v>
      </c>
      <c r="J2454"/>
    </row>
    <row r="2455" spans="1:10" ht="15.75" customHeight="1">
      <c r="A2455" t="s">
        <v>2286</v>
      </c>
      <c r="B2455">
        <v>732300</v>
      </c>
      <c r="C2455">
        <v>1</v>
      </c>
      <c r="D2455" t="str">
        <f t="shared" si="38"/>
        <v>1732300.511</v>
      </c>
      <c r="E2455" t="s">
        <v>2584</v>
      </c>
      <c r="F2455" s="242"/>
      <c r="G2455"/>
      <c r="H2455" s="242">
        <v>2000</v>
      </c>
      <c r="I2455" s="242">
        <v>1252</v>
      </c>
      <c r="J2455"/>
    </row>
    <row r="2456" spans="1:10" ht="15.75" customHeight="1">
      <c r="A2456" t="s">
        <v>2644</v>
      </c>
      <c r="B2456">
        <v>732300</v>
      </c>
      <c r="C2456">
        <v>1</v>
      </c>
      <c r="D2456" t="str">
        <f t="shared" si="38"/>
        <v>1732300.521</v>
      </c>
      <c r="E2456" t="s">
        <v>2734</v>
      </c>
      <c r="F2456" s="242"/>
      <c r="G2456"/>
      <c r="H2456" s="242">
        <v>14000</v>
      </c>
      <c r="I2456" s="242">
        <v>7450</v>
      </c>
      <c r="J2456"/>
    </row>
    <row r="2457" spans="1:10" ht="15.75" customHeight="1">
      <c r="A2457" t="s">
        <v>2594</v>
      </c>
      <c r="B2457">
        <v>732300</v>
      </c>
      <c r="C2457">
        <v>1</v>
      </c>
      <c r="D2457" t="str">
        <f t="shared" si="38"/>
        <v>1732300.540</v>
      </c>
      <c r="E2457" t="s">
        <v>2595</v>
      </c>
      <c r="F2457" s="242"/>
      <c r="G2457"/>
      <c r="H2457" s="242">
        <v>7000</v>
      </c>
      <c r="I2457" s="242">
        <v>4618</v>
      </c>
      <c r="J2457"/>
    </row>
    <row r="2458" spans="1:10" ht="15.75" customHeight="1">
      <c r="A2458" t="s">
        <v>2702</v>
      </c>
      <c r="B2458">
        <v>732300</v>
      </c>
      <c r="C2458">
        <v>1</v>
      </c>
      <c r="D2458" t="str">
        <f t="shared" si="38"/>
        <v>1732300.582</v>
      </c>
      <c r="E2458" t="s">
        <v>2730</v>
      </c>
      <c r="F2458" s="242"/>
      <c r="G2458"/>
      <c r="H2458" s="242">
        <v>0</v>
      </c>
      <c r="I2458" s="242">
        <v>150</v>
      </c>
      <c r="J2458"/>
    </row>
    <row r="2459" spans="1:10" ht="15.75" customHeight="1">
      <c r="A2459" t="s">
        <v>673</v>
      </c>
      <c r="B2459">
        <v>732300</v>
      </c>
      <c r="C2459">
        <v>1</v>
      </c>
      <c r="D2459" t="str">
        <f t="shared" si="38"/>
        <v>1732300.743</v>
      </c>
      <c r="E2459" t="s">
        <v>2622</v>
      </c>
      <c r="F2459" s="242"/>
      <c r="G2459"/>
      <c r="H2459" s="242">
        <v>28500</v>
      </c>
      <c r="I2459" s="242">
        <v>14010</v>
      </c>
      <c r="J2459"/>
    </row>
    <row r="2460" spans="1:10" ht="15.75" customHeight="1">
      <c r="A2460" t="s">
        <v>2611</v>
      </c>
      <c r="B2460">
        <v>732300</v>
      </c>
      <c r="C2460">
        <v>1</v>
      </c>
      <c r="D2460" t="str">
        <f t="shared" si="38"/>
        <v>1732300.750</v>
      </c>
      <c r="E2460" t="s">
        <v>2936</v>
      </c>
      <c r="F2460" s="242"/>
      <c r="G2460"/>
      <c r="H2460" s="242">
        <v>50000</v>
      </c>
      <c r="I2460" s="242">
        <v>48249</v>
      </c>
      <c r="J2460"/>
    </row>
    <row r="2461" spans="1:10" ht="15.75" customHeight="1">
      <c r="A2461" t="s">
        <v>2571</v>
      </c>
      <c r="B2461">
        <v>733100</v>
      </c>
      <c r="C2461">
        <v>1</v>
      </c>
      <c r="D2461" t="str">
        <f t="shared" si="38"/>
        <v>1733100.105</v>
      </c>
      <c r="E2461" t="s">
        <v>2572</v>
      </c>
      <c r="F2461" s="242"/>
      <c r="G2461"/>
      <c r="H2461" s="242">
        <v>0</v>
      </c>
      <c r="I2461" s="242">
        <v>0</v>
      </c>
      <c r="J2461"/>
    </row>
    <row r="2462" spans="1:10" ht="15.75" customHeight="1">
      <c r="A2462" t="s">
        <v>2403</v>
      </c>
      <c r="B2462">
        <v>733100</v>
      </c>
      <c r="C2462">
        <v>1</v>
      </c>
      <c r="D2462" t="str">
        <f t="shared" si="38"/>
        <v>1733100.110</v>
      </c>
      <c r="E2462" t="s">
        <v>2573</v>
      </c>
      <c r="F2462" s="242"/>
      <c r="G2462"/>
      <c r="H2462" s="242">
        <v>1689332</v>
      </c>
      <c r="I2462" s="242">
        <v>1414406</v>
      </c>
      <c r="J2462"/>
    </row>
    <row r="2463" spans="1:10" ht="15.75" customHeight="1">
      <c r="A2463" t="s">
        <v>2404</v>
      </c>
      <c r="B2463">
        <v>733100</v>
      </c>
      <c r="C2463">
        <v>1</v>
      </c>
      <c r="D2463" t="str">
        <f t="shared" si="38"/>
        <v>1733100.120</v>
      </c>
      <c r="E2463" t="s">
        <v>2574</v>
      </c>
      <c r="F2463" s="242"/>
      <c r="G2463"/>
      <c r="H2463" s="242">
        <v>293342</v>
      </c>
      <c r="I2463" s="242">
        <v>250556</v>
      </c>
      <c r="J2463"/>
    </row>
    <row r="2464" spans="1:10" ht="15.75" customHeight="1">
      <c r="A2464" t="s">
        <v>2575</v>
      </c>
      <c r="B2464">
        <v>733100</v>
      </c>
      <c r="C2464">
        <v>1</v>
      </c>
      <c r="D2464" t="str">
        <f t="shared" si="38"/>
        <v>1733100.130</v>
      </c>
      <c r="E2464" t="s">
        <v>2576</v>
      </c>
      <c r="F2464" s="242"/>
      <c r="G2464"/>
      <c r="H2464" s="242">
        <v>25118</v>
      </c>
      <c r="I2464" s="242">
        <v>18477</v>
      </c>
      <c r="J2464"/>
    </row>
    <row r="2465" spans="1:10" ht="15.75" customHeight="1">
      <c r="A2465" t="s">
        <v>2577</v>
      </c>
      <c r="B2465">
        <v>733100</v>
      </c>
      <c r="C2465">
        <v>1</v>
      </c>
      <c r="D2465" t="str">
        <f t="shared" si="38"/>
        <v>1733100.140</v>
      </c>
      <c r="E2465" t="s">
        <v>2578</v>
      </c>
      <c r="F2465" s="242"/>
      <c r="G2465"/>
      <c r="H2465" s="242">
        <v>316661</v>
      </c>
      <c r="I2465" s="242">
        <v>301375</v>
      </c>
      <c r="J2465"/>
    </row>
    <row r="2466" spans="1:10" ht="15.75" customHeight="1">
      <c r="A2466" t="s">
        <v>2579</v>
      </c>
      <c r="B2466">
        <v>733100</v>
      </c>
      <c r="C2466">
        <v>1</v>
      </c>
      <c r="D2466" t="str">
        <f t="shared" si="38"/>
        <v>1733100.181</v>
      </c>
      <c r="E2466" t="s">
        <v>2580</v>
      </c>
      <c r="F2466" s="242"/>
      <c r="G2466"/>
      <c r="H2466" s="242">
        <v>394247</v>
      </c>
      <c r="I2466" s="242">
        <v>328575</v>
      </c>
      <c r="J2466"/>
    </row>
    <row r="2467" spans="1:10" ht="15.75" customHeight="1">
      <c r="A2467" t="s">
        <v>2581</v>
      </c>
      <c r="B2467">
        <v>733100</v>
      </c>
      <c r="C2467">
        <v>1</v>
      </c>
      <c r="D2467" t="str">
        <f t="shared" si="38"/>
        <v>1733100.182</v>
      </c>
      <c r="E2467" t="s">
        <v>2582</v>
      </c>
      <c r="F2467" s="242"/>
      <c r="G2467"/>
      <c r="H2467" s="242">
        <v>175742</v>
      </c>
      <c r="I2467" s="242">
        <v>149962</v>
      </c>
      <c r="J2467"/>
    </row>
    <row r="2468" spans="1:10" ht="15.75" customHeight="1">
      <c r="A2468" t="s">
        <v>2286</v>
      </c>
      <c r="B2468">
        <v>733100</v>
      </c>
      <c r="C2468">
        <v>1</v>
      </c>
      <c r="D2468" t="str">
        <f t="shared" si="38"/>
        <v>1733100.511</v>
      </c>
      <c r="E2468" t="s">
        <v>2584</v>
      </c>
      <c r="F2468" s="242"/>
      <c r="G2468"/>
      <c r="H2468" s="242">
        <v>4500</v>
      </c>
      <c r="I2468" s="242">
        <v>3067</v>
      </c>
      <c r="J2468"/>
    </row>
    <row r="2469" spans="1:10" ht="15.75" customHeight="1">
      <c r="A2469" t="s">
        <v>2588</v>
      </c>
      <c r="B2469">
        <v>733100</v>
      </c>
      <c r="C2469">
        <v>1</v>
      </c>
      <c r="D2469" t="str">
        <f t="shared" si="38"/>
        <v>1733100.522</v>
      </c>
      <c r="E2469" t="s">
        <v>2608</v>
      </c>
      <c r="F2469" s="242"/>
      <c r="G2469"/>
      <c r="H2469" s="242">
        <v>2000</v>
      </c>
      <c r="I2469" s="242">
        <v>345</v>
      </c>
      <c r="J2469"/>
    </row>
    <row r="2470" spans="1:10" ht="15.75" customHeight="1">
      <c r="A2470" t="s">
        <v>2594</v>
      </c>
      <c r="B2470">
        <v>733100</v>
      </c>
      <c r="C2470">
        <v>1</v>
      </c>
      <c r="D2470" t="str">
        <f t="shared" si="38"/>
        <v>1733100.540</v>
      </c>
      <c r="E2470" t="s">
        <v>2595</v>
      </c>
      <c r="F2470" s="242"/>
      <c r="G2470"/>
      <c r="H2470" s="242">
        <v>15000</v>
      </c>
      <c r="I2470" s="242">
        <v>10411</v>
      </c>
      <c r="J2470"/>
    </row>
    <row r="2471" spans="1:10" ht="15.75" customHeight="1">
      <c r="A2471" t="s">
        <v>2598</v>
      </c>
      <c r="B2471">
        <v>733100</v>
      </c>
      <c r="C2471">
        <v>1</v>
      </c>
      <c r="D2471" t="str">
        <f t="shared" si="38"/>
        <v>1733100.561</v>
      </c>
      <c r="E2471" t="s">
        <v>2599</v>
      </c>
      <c r="F2471" s="242"/>
      <c r="G2471"/>
      <c r="H2471" s="242">
        <v>12000</v>
      </c>
      <c r="I2471" s="242">
        <v>11001</v>
      </c>
      <c r="J2471"/>
    </row>
    <row r="2472" spans="1:10" ht="15.75" customHeight="1">
      <c r="A2472" t="s">
        <v>2771</v>
      </c>
      <c r="B2472">
        <v>733100</v>
      </c>
      <c r="C2472">
        <v>1</v>
      </c>
      <c r="D2472" t="str">
        <f t="shared" si="38"/>
        <v>1733100.570</v>
      </c>
      <c r="E2472" t="s">
        <v>2944</v>
      </c>
      <c r="F2472" s="242"/>
      <c r="G2472"/>
      <c r="H2472" s="242">
        <v>58300</v>
      </c>
      <c r="I2472" s="242">
        <v>57219</v>
      </c>
      <c r="J2472"/>
    </row>
    <row r="2473" spans="1:10" ht="15.75" customHeight="1">
      <c r="A2473" t="s">
        <v>600</v>
      </c>
      <c r="B2473">
        <v>733100</v>
      </c>
      <c r="C2473">
        <v>1</v>
      </c>
      <c r="D2473" t="str">
        <f t="shared" si="38"/>
        <v>1733100.731</v>
      </c>
      <c r="E2473" t="s">
        <v>2593</v>
      </c>
      <c r="F2473" s="242"/>
      <c r="G2473"/>
      <c r="H2473" s="242">
        <v>0</v>
      </c>
      <c r="I2473" s="242">
        <v>0</v>
      </c>
      <c r="J2473"/>
    </row>
    <row r="2474" spans="1:10" ht="15.75" customHeight="1">
      <c r="A2474" t="s">
        <v>2418</v>
      </c>
      <c r="B2474">
        <v>733100</v>
      </c>
      <c r="C2474">
        <v>1</v>
      </c>
      <c r="D2474" t="str">
        <f t="shared" si="38"/>
        <v>1733100.735</v>
      </c>
      <c r="E2474" t="s">
        <v>2667</v>
      </c>
      <c r="F2474" s="242"/>
      <c r="G2474"/>
      <c r="H2474" s="242">
        <v>0</v>
      </c>
      <c r="I2474" s="242">
        <v>0</v>
      </c>
      <c r="J2474"/>
    </row>
    <row r="2475" spans="1:10" ht="15.75" customHeight="1">
      <c r="A2475" t="s">
        <v>673</v>
      </c>
      <c r="B2475">
        <v>733100</v>
      </c>
      <c r="C2475">
        <v>1</v>
      </c>
      <c r="D2475" t="str">
        <f t="shared" si="38"/>
        <v>1733100.743</v>
      </c>
      <c r="E2475" t="s">
        <v>2622</v>
      </c>
      <c r="F2475" s="242"/>
      <c r="G2475"/>
      <c r="H2475" s="242">
        <v>46000</v>
      </c>
      <c r="I2475" s="242">
        <v>45088</v>
      </c>
      <c r="J2475"/>
    </row>
    <row r="2476" spans="1:10" ht="15.75" customHeight="1">
      <c r="A2476" t="s">
        <v>2611</v>
      </c>
      <c r="B2476">
        <v>733100</v>
      </c>
      <c r="C2476">
        <v>1</v>
      </c>
      <c r="D2476" t="str">
        <f t="shared" si="38"/>
        <v>1733100.750</v>
      </c>
      <c r="E2476" t="s">
        <v>2945</v>
      </c>
      <c r="F2476" s="242"/>
      <c r="G2476"/>
      <c r="H2476" s="242">
        <v>50000</v>
      </c>
      <c r="I2476" s="242">
        <v>34398</v>
      </c>
      <c r="J2476"/>
    </row>
    <row r="2477" spans="1:10" ht="15.75" customHeight="1">
      <c r="A2477" t="s">
        <v>772</v>
      </c>
      <c r="B2477">
        <v>733100</v>
      </c>
      <c r="C2477">
        <v>1</v>
      </c>
      <c r="D2477" t="str">
        <f t="shared" si="38"/>
        <v>1733100.751</v>
      </c>
      <c r="E2477" t="s">
        <v>2946</v>
      </c>
      <c r="F2477" s="242"/>
      <c r="G2477"/>
      <c r="H2477" s="242">
        <v>500000</v>
      </c>
      <c r="I2477" s="242">
        <v>241157</v>
      </c>
      <c r="J2477"/>
    </row>
    <row r="2478" spans="1:10" ht="15.75" customHeight="1">
      <c r="A2478" t="s">
        <v>2632</v>
      </c>
      <c r="B2478">
        <v>733100</v>
      </c>
      <c r="C2478">
        <v>1</v>
      </c>
      <c r="D2478" t="str">
        <f t="shared" si="38"/>
        <v>1733100.780</v>
      </c>
      <c r="E2478" t="s">
        <v>2926</v>
      </c>
      <c r="F2478" s="242"/>
      <c r="G2478"/>
      <c r="H2478" s="242">
        <v>1000</v>
      </c>
      <c r="I2478" s="242">
        <v>1000</v>
      </c>
      <c r="J2478"/>
    </row>
    <row r="2479" spans="1:10" ht="15.75" customHeight="1">
      <c r="A2479" t="s">
        <v>2403</v>
      </c>
      <c r="B2479">
        <v>733200</v>
      </c>
      <c r="C2479">
        <v>1</v>
      </c>
      <c r="D2479" t="str">
        <f t="shared" si="38"/>
        <v>1733200.110</v>
      </c>
      <c r="E2479" t="s">
        <v>2573</v>
      </c>
      <c r="F2479" s="242"/>
      <c r="G2479"/>
      <c r="H2479" s="242">
        <v>990004</v>
      </c>
      <c r="I2479" s="242">
        <v>822510</v>
      </c>
      <c r="J2479"/>
    </row>
    <row r="2480" spans="1:10" ht="15.75" customHeight="1">
      <c r="A2480" t="s">
        <v>2404</v>
      </c>
      <c r="B2480">
        <v>733200</v>
      </c>
      <c r="C2480">
        <v>1</v>
      </c>
      <c r="D2480" t="str">
        <f t="shared" si="38"/>
        <v>1733200.120</v>
      </c>
      <c r="E2480" t="s">
        <v>2574</v>
      </c>
      <c r="F2480" s="242"/>
      <c r="G2480"/>
      <c r="H2480" s="242">
        <v>201078</v>
      </c>
      <c r="I2480" s="242">
        <v>158193</v>
      </c>
      <c r="J2480"/>
    </row>
    <row r="2481" spans="1:10" ht="15.75" customHeight="1">
      <c r="A2481" t="s">
        <v>2575</v>
      </c>
      <c r="B2481">
        <v>733200</v>
      </c>
      <c r="C2481">
        <v>1</v>
      </c>
      <c r="D2481" t="str">
        <f t="shared" si="38"/>
        <v>1733200.130</v>
      </c>
      <c r="E2481" t="s">
        <v>2576</v>
      </c>
      <c r="F2481" s="242"/>
      <c r="G2481"/>
      <c r="H2481" s="242">
        <v>63138</v>
      </c>
      <c r="I2481" s="242">
        <v>47889</v>
      </c>
      <c r="J2481"/>
    </row>
    <row r="2482" spans="1:10" ht="15.75" customHeight="1">
      <c r="A2482" t="s">
        <v>2577</v>
      </c>
      <c r="B2482">
        <v>733200</v>
      </c>
      <c r="C2482">
        <v>1</v>
      </c>
      <c r="D2482" t="str">
        <f t="shared" si="38"/>
        <v>1733200.140</v>
      </c>
      <c r="E2482" t="s">
        <v>2578</v>
      </c>
      <c r="F2482" s="242"/>
      <c r="G2482"/>
      <c r="H2482" s="242">
        <v>299967</v>
      </c>
      <c r="I2482" s="242">
        <v>260487</v>
      </c>
      <c r="J2482"/>
    </row>
    <row r="2483" spans="1:10" ht="15.75" customHeight="1">
      <c r="A2483" t="s">
        <v>2579</v>
      </c>
      <c r="B2483">
        <v>733200</v>
      </c>
      <c r="C2483">
        <v>1</v>
      </c>
      <c r="D2483" t="str">
        <f t="shared" si="38"/>
        <v>1733200.181</v>
      </c>
      <c r="E2483" t="s">
        <v>2580</v>
      </c>
      <c r="F2483" s="242"/>
      <c r="G2483"/>
      <c r="H2483" s="242">
        <v>291054</v>
      </c>
      <c r="I2483" s="242">
        <v>239924</v>
      </c>
      <c r="J2483"/>
    </row>
    <row r="2484" spans="1:10" ht="15.75" customHeight="1">
      <c r="A2484" t="s">
        <v>2581</v>
      </c>
      <c r="B2484">
        <v>733200</v>
      </c>
      <c r="C2484">
        <v>1</v>
      </c>
      <c r="D2484" t="str">
        <f t="shared" si="38"/>
        <v>1733200.182</v>
      </c>
      <c r="E2484" t="s">
        <v>2582</v>
      </c>
      <c r="F2484" s="242"/>
      <c r="G2484"/>
      <c r="H2484" s="242">
        <v>117743</v>
      </c>
      <c r="I2484" s="242">
        <v>97581</v>
      </c>
      <c r="J2484"/>
    </row>
    <row r="2485" spans="1:10" ht="15.75" customHeight="1">
      <c r="A2485" t="s">
        <v>2286</v>
      </c>
      <c r="B2485">
        <v>733200</v>
      </c>
      <c r="C2485">
        <v>1</v>
      </c>
      <c r="D2485" t="str">
        <f t="shared" si="38"/>
        <v>1733200.511</v>
      </c>
      <c r="E2485" t="s">
        <v>2584</v>
      </c>
      <c r="F2485" s="242"/>
      <c r="G2485"/>
      <c r="H2485" s="242">
        <v>3000</v>
      </c>
      <c r="I2485" s="242">
        <v>2013</v>
      </c>
      <c r="J2485"/>
    </row>
    <row r="2486" spans="1:10" ht="15.75" customHeight="1">
      <c r="A2486" t="s">
        <v>2588</v>
      </c>
      <c r="B2486">
        <v>733200</v>
      </c>
      <c r="C2486">
        <v>1</v>
      </c>
      <c r="D2486" t="str">
        <f t="shared" si="38"/>
        <v>1733200.522</v>
      </c>
      <c r="E2486" t="s">
        <v>2608</v>
      </c>
      <c r="F2486" s="242"/>
      <c r="G2486"/>
      <c r="H2486" s="242">
        <v>2500</v>
      </c>
      <c r="I2486" s="242">
        <v>345</v>
      </c>
      <c r="J2486"/>
    </row>
    <row r="2487" spans="1:10" ht="15.75" customHeight="1">
      <c r="A2487" t="s">
        <v>2594</v>
      </c>
      <c r="B2487">
        <v>733200</v>
      </c>
      <c r="C2487">
        <v>1</v>
      </c>
      <c r="D2487" t="str">
        <f t="shared" si="38"/>
        <v>1733200.540</v>
      </c>
      <c r="E2487" t="s">
        <v>2595</v>
      </c>
      <c r="F2487" s="242"/>
      <c r="G2487"/>
      <c r="H2487" s="242">
        <v>19000</v>
      </c>
      <c r="I2487" s="242">
        <v>18507</v>
      </c>
      <c r="J2487"/>
    </row>
    <row r="2488" spans="1:10" ht="15.75" customHeight="1">
      <c r="A2488" t="s">
        <v>2596</v>
      </c>
      <c r="B2488">
        <v>733200</v>
      </c>
      <c r="C2488">
        <v>1</v>
      </c>
      <c r="D2488" t="str">
        <f t="shared" si="38"/>
        <v>1733200.550</v>
      </c>
      <c r="E2488" t="s">
        <v>2597</v>
      </c>
      <c r="F2488" s="242"/>
      <c r="G2488"/>
      <c r="H2488" s="242">
        <v>4000</v>
      </c>
      <c r="I2488" s="242">
        <v>4000</v>
      </c>
      <c r="J2488"/>
    </row>
    <row r="2489" spans="1:10" ht="15.75" customHeight="1">
      <c r="A2489" t="s">
        <v>2598</v>
      </c>
      <c r="B2489">
        <v>733200</v>
      </c>
      <c r="C2489">
        <v>1</v>
      </c>
      <c r="D2489" t="str">
        <f t="shared" si="38"/>
        <v>1733200.561</v>
      </c>
      <c r="E2489" t="s">
        <v>2599</v>
      </c>
      <c r="F2489" s="242"/>
      <c r="G2489"/>
      <c r="H2489" s="242">
        <v>7500</v>
      </c>
      <c r="I2489" s="242">
        <v>7951</v>
      </c>
      <c r="J2489"/>
    </row>
    <row r="2490" spans="1:10" ht="15.75" customHeight="1">
      <c r="A2490" t="s">
        <v>2702</v>
      </c>
      <c r="B2490">
        <v>733200</v>
      </c>
      <c r="C2490">
        <v>1</v>
      </c>
      <c r="D2490" t="str">
        <f t="shared" si="38"/>
        <v>1733200.582</v>
      </c>
      <c r="E2490" t="s">
        <v>2730</v>
      </c>
      <c r="F2490" s="242"/>
      <c r="G2490"/>
      <c r="H2490" s="242">
        <v>500</v>
      </c>
      <c r="I2490" s="242">
        <v>0</v>
      </c>
      <c r="J2490"/>
    </row>
    <row r="2491" spans="1:10" ht="15.75" customHeight="1">
      <c r="A2491" t="s">
        <v>600</v>
      </c>
      <c r="B2491">
        <v>733200</v>
      </c>
      <c r="C2491">
        <v>1</v>
      </c>
      <c r="D2491" t="str">
        <f t="shared" si="38"/>
        <v>1733200.731</v>
      </c>
      <c r="E2491" t="s">
        <v>2593</v>
      </c>
      <c r="F2491" s="242"/>
      <c r="G2491"/>
      <c r="H2491" s="242">
        <v>25619</v>
      </c>
      <c r="I2491" s="242">
        <v>25720</v>
      </c>
      <c r="J2491"/>
    </row>
    <row r="2492" spans="1:10" ht="15.75" customHeight="1">
      <c r="A2492" t="s">
        <v>2418</v>
      </c>
      <c r="B2492">
        <v>733200</v>
      </c>
      <c r="C2492">
        <v>1</v>
      </c>
      <c r="D2492" t="str">
        <f t="shared" si="38"/>
        <v>1733200.735</v>
      </c>
      <c r="E2492" t="s">
        <v>2667</v>
      </c>
      <c r="F2492" s="242"/>
      <c r="G2492"/>
      <c r="H2492" s="242">
        <v>44431</v>
      </c>
      <c r="I2492" s="242">
        <v>69527</v>
      </c>
      <c r="J2492"/>
    </row>
    <row r="2493" spans="1:10" ht="15.75" customHeight="1">
      <c r="A2493" t="s">
        <v>673</v>
      </c>
      <c r="B2493">
        <v>733200</v>
      </c>
      <c r="C2493">
        <v>1</v>
      </c>
      <c r="D2493" t="str">
        <f t="shared" si="38"/>
        <v>1733200.743</v>
      </c>
      <c r="E2493" t="s">
        <v>2622</v>
      </c>
      <c r="F2493" s="242"/>
      <c r="G2493"/>
      <c r="H2493" s="242">
        <v>38000</v>
      </c>
      <c r="I2493" s="242">
        <v>27735</v>
      </c>
      <c r="J2493"/>
    </row>
    <row r="2494" spans="1:10" ht="15.75" customHeight="1">
      <c r="A2494" t="s">
        <v>2611</v>
      </c>
      <c r="B2494">
        <v>733200</v>
      </c>
      <c r="C2494">
        <v>1</v>
      </c>
      <c r="D2494" t="str">
        <f t="shared" si="38"/>
        <v>1733200.750</v>
      </c>
      <c r="E2494" t="s">
        <v>2938</v>
      </c>
      <c r="F2494" s="242"/>
      <c r="G2494"/>
      <c r="H2494" s="242">
        <v>40000</v>
      </c>
      <c r="I2494" s="242">
        <v>39941</v>
      </c>
      <c r="J2494"/>
    </row>
    <row r="2495" spans="1:10" ht="15.75" customHeight="1">
      <c r="A2495" t="s">
        <v>772</v>
      </c>
      <c r="B2495">
        <v>733200</v>
      </c>
      <c r="C2495">
        <v>1</v>
      </c>
      <c r="D2495" t="str">
        <f t="shared" si="38"/>
        <v>1733200.751</v>
      </c>
      <c r="E2495" t="s">
        <v>2939</v>
      </c>
      <c r="F2495" s="242"/>
      <c r="G2495"/>
      <c r="H2495" s="242">
        <v>1000</v>
      </c>
      <c r="I2495" s="242">
        <v>0</v>
      </c>
      <c r="J2495"/>
    </row>
    <row r="2496" spans="1:10" ht="15.75" customHeight="1">
      <c r="A2496" t="s">
        <v>2801</v>
      </c>
      <c r="B2496">
        <v>733200</v>
      </c>
      <c r="C2496">
        <v>1</v>
      </c>
      <c r="D2496" t="str">
        <f t="shared" si="38"/>
        <v>1733200.758</v>
      </c>
      <c r="E2496" t="s">
        <v>2940</v>
      </c>
      <c r="F2496" s="242"/>
      <c r="G2496"/>
      <c r="H2496" s="242">
        <v>200000</v>
      </c>
      <c r="I2496" s="242">
        <v>145951</v>
      </c>
      <c r="J2496"/>
    </row>
    <row r="2497" spans="1:10" ht="15.75" customHeight="1">
      <c r="A2497" t="s">
        <v>2632</v>
      </c>
      <c r="B2497">
        <v>733200</v>
      </c>
      <c r="C2497">
        <v>1</v>
      </c>
      <c r="D2497" t="str">
        <f t="shared" si="38"/>
        <v>1733200.780</v>
      </c>
      <c r="E2497" t="s">
        <v>2926</v>
      </c>
      <c r="F2497" s="242"/>
      <c r="G2497"/>
      <c r="H2497" s="242">
        <v>1000</v>
      </c>
      <c r="I2497" s="242">
        <v>1000</v>
      </c>
      <c r="J2497"/>
    </row>
    <row r="2498" spans="1:10" ht="15.75" customHeight="1">
      <c r="A2498" t="s">
        <v>2611</v>
      </c>
      <c r="B2498">
        <v>733400</v>
      </c>
      <c r="C2498">
        <v>1</v>
      </c>
      <c r="D2498" t="str">
        <f t="shared" si="38"/>
        <v>1733400.750</v>
      </c>
      <c r="E2498" t="s">
        <v>2948</v>
      </c>
      <c r="F2498" s="242"/>
      <c r="G2498"/>
      <c r="H2498" s="242">
        <v>1000000</v>
      </c>
      <c r="I2498" s="242">
        <v>78975</v>
      </c>
      <c r="J2498"/>
    </row>
    <row r="2499" spans="1:10" ht="15.75" customHeight="1">
      <c r="A2499" t="s">
        <v>2632</v>
      </c>
      <c r="B2499">
        <v>733400</v>
      </c>
      <c r="C2499">
        <v>1</v>
      </c>
      <c r="D2499" t="str">
        <f t="shared" ref="D2499:D2562" si="39">C2499&amp;B2499&amp;"."&amp;A2499</f>
        <v>1733400.780</v>
      </c>
      <c r="E2499" t="s">
        <v>2947</v>
      </c>
      <c r="F2499" s="242"/>
      <c r="G2499"/>
      <c r="H2499" s="242">
        <v>100</v>
      </c>
      <c r="I2499" s="242">
        <v>946000</v>
      </c>
      <c r="J2499"/>
    </row>
    <row r="2500" spans="1:10" ht="15.75" customHeight="1">
      <c r="A2500" t="s">
        <v>4573</v>
      </c>
      <c r="B2500">
        <v>740000</v>
      </c>
      <c r="C2500">
        <v>1</v>
      </c>
      <c r="D2500" t="str">
        <f t="shared" si="39"/>
        <v>1740000.320</v>
      </c>
      <c r="E2500" t="s">
        <v>4574</v>
      </c>
      <c r="F2500" s="242"/>
      <c r="G2500"/>
      <c r="H2500" s="242">
        <v>100000</v>
      </c>
      <c r="I2500" s="242">
        <v>29214</v>
      </c>
      <c r="J2500"/>
    </row>
    <row r="2501" spans="1:10" ht="15.75" customHeight="1">
      <c r="A2501" t="s">
        <v>2571</v>
      </c>
      <c r="B2501">
        <v>741000</v>
      </c>
      <c r="C2501">
        <v>1</v>
      </c>
      <c r="D2501" t="str">
        <f t="shared" si="39"/>
        <v>1741000.105</v>
      </c>
      <c r="E2501" t="s">
        <v>2572</v>
      </c>
      <c r="F2501" s="242"/>
      <c r="G2501"/>
      <c r="H2501" s="242">
        <v>160000</v>
      </c>
      <c r="I2501" s="242">
        <v>112462</v>
      </c>
      <c r="J2501"/>
    </row>
    <row r="2502" spans="1:10" ht="15.75" customHeight="1">
      <c r="A2502" t="s">
        <v>2403</v>
      </c>
      <c r="B2502">
        <v>741000</v>
      </c>
      <c r="C2502">
        <v>1</v>
      </c>
      <c r="D2502" t="str">
        <f t="shared" si="39"/>
        <v>1741000.110</v>
      </c>
      <c r="E2502" t="s">
        <v>2573</v>
      </c>
      <c r="F2502" s="242"/>
      <c r="G2502"/>
      <c r="H2502" s="242">
        <v>653876</v>
      </c>
      <c r="I2502" s="242">
        <v>361140</v>
      </c>
      <c r="J2502"/>
    </row>
    <row r="2503" spans="1:10" ht="15.75" customHeight="1">
      <c r="A2503" t="s">
        <v>2404</v>
      </c>
      <c r="B2503">
        <v>741000</v>
      </c>
      <c r="C2503">
        <v>1</v>
      </c>
      <c r="D2503" t="str">
        <f t="shared" si="39"/>
        <v>1741000.120</v>
      </c>
      <c r="E2503" t="s">
        <v>2574</v>
      </c>
      <c r="F2503" s="242"/>
      <c r="G2503"/>
      <c r="H2503" s="242">
        <v>15273</v>
      </c>
      <c r="I2503" s="242">
        <v>7443</v>
      </c>
      <c r="J2503"/>
    </row>
    <row r="2504" spans="1:10" ht="15.75" customHeight="1">
      <c r="A2504" t="s">
        <v>2575</v>
      </c>
      <c r="B2504">
        <v>741000</v>
      </c>
      <c r="C2504">
        <v>1</v>
      </c>
      <c r="D2504" t="str">
        <f t="shared" si="39"/>
        <v>1741000.130</v>
      </c>
      <c r="E2504" t="s">
        <v>2576</v>
      </c>
      <c r="F2504" s="242"/>
      <c r="G2504"/>
      <c r="H2504" s="242">
        <v>4473</v>
      </c>
      <c r="I2504" s="242">
        <v>1221</v>
      </c>
      <c r="J2504"/>
    </row>
    <row r="2505" spans="1:10" ht="15.75" customHeight="1">
      <c r="A2505" t="s">
        <v>2577</v>
      </c>
      <c r="B2505">
        <v>741000</v>
      </c>
      <c r="C2505">
        <v>1</v>
      </c>
      <c r="D2505" t="str">
        <f t="shared" si="39"/>
        <v>1741000.140</v>
      </c>
      <c r="E2505" t="s">
        <v>2578</v>
      </c>
      <c r="F2505" s="242"/>
      <c r="G2505"/>
      <c r="H2505" s="242">
        <v>100947</v>
      </c>
      <c r="I2505" s="242">
        <v>82741</v>
      </c>
      <c r="J2505"/>
    </row>
    <row r="2506" spans="1:10" ht="15.75" customHeight="1">
      <c r="A2506" t="s">
        <v>2579</v>
      </c>
      <c r="B2506">
        <v>741000</v>
      </c>
      <c r="C2506">
        <v>1</v>
      </c>
      <c r="D2506" t="str">
        <f t="shared" si="39"/>
        <v>1741000.181</v>
      </c>
      <c r="E2506" t="s">
        <v>2580</v>
      </c>
      <c r="F2506" s="242"/>
      <c r="G2506"/>
      <c r="H2506" s="242">
        <v>173566</v>
      </c>
      <c r="I2506" s="242">
        <v>93700</v>
      </c>
      <c r="J2506"/>
    </row>
    <row r="2507" spans="1:10" ht="15.75" customHeight="1">
      <c r="A2507" t="s">
        <v>2581</v>
      </c>
      <c r="B2507">
        <v>741000</v>
      </c>
      <c r="C2507">
        <v>1</v>
      </c>
      <c r="D2507" t="str">
        <f t="shared" si="39"/>
        <v>1741000.182</v>
      </c>
      <c r="E2507" t="s">
        <v>2582</v>
      </c>
      <c r="F2507" s="242"/>
      <c r="G2507"/>
      <c r="H2507" s="242">
        <v>64779</v>
      </c>
      <c r="I2507" s="242">
        <v>34339</v>
      </c>
      <c r="J2507"/>
    </row>
    <row r="2508" spans="1:10" ht="15.75" customHeight="1">
      <c r="A2508" t="s">
        <v>2411</v>
      </c>
      <c r="B2508">
        <v>741000</v>
      </c>
      <c r="C2508">
        <v>1</v>
      </c>
      <c r="D2508" t="str">
        <f t="shared" si="39"/>
        <v>1741000.470</v>
      </c>
      <c r="E2508" t="s">
        <v>2660</v>
      </c>
      <c r="F2508" s="242"/>
      <c r="G2508"/>
      <c r="H2508" s="242">
        <v>2500</v>
      </c>
      <c r="I2508" s="242">
        <v>0</v>
      </c>
      <c r="J2508"/>
    </row>
    <row r="2509" spans="1:10" ht="15.75" customHeight="1">
      <c r="A2509" t="s">
        <v>2286</v>
      </c>
      <c r="B2509">
        <v>741000</v>
      </c>
      <c r="C2509">
        <v>1</v>
      </c>
      <c r="D2509" t="str">
        <f t="shared" si="39"/>
        <v>1741000.511</v>
      </c>
      <c r="E2509" t="s">
        <v>2805</v>
      </c>
      <c r="F2509" s="242"/>
      <c r="G2509"/>
      <c r="H2509" s="242">
        <v>4500</v>
      </c>
      <c r="I2509" s="242">
        <v>2873</v>
      </c>
      <c r="J2509"/>
    </row>
    <row r="2510" spans="1:10" ht="15.75" customHeight="1">
      <c r="A2510" t="s">
        <v>2644</v>
      </c>
      <c r="B2510">
        <v>741000</v>
      </c>
      <c r="C2510">
        <v>1</v>
      </c>
      <c r="D2510" t="str">
        <f t="shared" si="39"/>
        <v>1741000.521</v>
      </c>
      <c r="E2510" t="s">
        <v>2734</v>
      </c>
      <c r="F2510" s="242"/>
      <c r="G2510"/>
      <c r="H2510" s="242">
        <v>45000</v>
      </c>
      <c r="I2510" s="242">
        <v>19750</v>
      </c>
      <c r="J2510"/>
    </row>
    <row r="2511" spans="1:10" ht="15.75" customHeight="1">
      <c r="A2511" t="s">
        <v>2588</v>
      </c>
      <c r="B2511">
        <v>741000</v>
      </c>
      <c r="C2511">
        <v>1</v>
      </c>
      <c r="D2511" t="str">
        <f t="shared" si="39"/>
        <v>1741000.522</v>
      </c>
      <c r="E2511" t="s">
        <v>2608</v>
      </c>
      <c r="F2511" s="242"/>
      <c r="G2511"/>
      <c r="H2511" s="242">
        <v>15000</v>
      </c>
      <c r="I2511" s="242">
        <v>0</v>
      </c>
      <c r="J2511"/>
    </row>
    <row r="2512" spans="1:10" ht="15.75" customHeight="1">
      <c r="A2512" t="s">
        <v>2594</v>
      </c>
      <c r="B2512">
        <v>741000</v>
      </c>
      <c r="C2512">
        <v>1</v>
      </c>
      <c r="D2512" t="str">
        <f t="shared" si="39"/>
        <v>1741000.540</v>
      </c>
      <c r="E2512" t="s">
        <v>2595</v>
      </c>
      <c r="F2512" s="242"/>
      <c r="G2512"/>
      <c r="H2512" s="242">
        <v>12000</v>
      </c>
      <c r="I2512" s="242">
        <v>0</v>
      </c>
      <c r="J2512"/>
    </row>
    <row r="2513" spans="1:10" ht="15.75" customHeight="1">
      <c r="A2513" t="s">
        <v>2600</v>
      </c>
      <c r="B2513">
        <v>741000</v>
      </c>
      <c r="C2513">
        <v>1</v>
      </c>
      <c r="D2513" t="str">
        <f t="shared" si="39"/>
        <v>1741000.580</v>
      </c>
      <c r="E2513" t="s">
        <v>2601</v>
      </c>
      <c r="F2513" s="242"/>
      <c r="G2513"/>
      <c r="H2513" s="242">
        <v>2000</v>
      </c>
      <c r="I2513" s="242">
        <v>599</v>
      </c>
      <c r="J2513"/>
    </row>
    <row r="2514" spans="1:10" ht="15.75" customHeight="1">
      <c r="A2514" t="s">
        <v>600</v>
      </c>
      <c r="B2514">
        <v>741000</v>
      </c>
      <c r="C2514">
        <v>1</v>
      </c>
      <c r="D2514" t="str">
        <f t="shared" si="39"/>
        <v>1741000.731</v>
      </c>
      <c r="E2514" t="s">
        <v>2593</v>
      </c>
      <c r="F2514" s="242"/>
      <c r="G2514"/>
      <c r="H2514" s="242">
        <v>22278</v>
      </c>
      <c r="I2514" s="242">
        <v>0</v>
      </c>
      <c r="J2514"/>
    </row>
    <row r="2515" spans="1:10" ht="15.75" customHeight="1">
      <c r="A2515" t="s">
        <v>2418</v>
      </c>
      <c r="B2515">
        <v>741000</v>
      </c>
      <c r="C2515">
        <v>1</v>
      </c>
      <c r="D2515" t="str">
        <f t="shared" si="39"/>
        <v>1741000.735</v>
      </c>
      <c r="E2515" t="s">
        <v>2602</v>
      </c>
      <c r="F2515" s="242"/>
      <c r="G2515"/>
      <c r="H2515" s="242">
        <v>41122</v>
      </c>
      <c r="I2515" s="242">
        <v>2679</v>
      </c>
      <c r="J2515"/>
    </row>
    <row r="2516" spans="1:10" ht="15.75" customHeight="1">
      <c r="A2516" t="s">
        <v>673</v>
      </c>
      <c r="B2516">
        <v>741000</v>
      </c>
      <c r="C2516">
        <v>1</v>
      </c>
      <c r="D2516" t="str">
        <f t="shared" si="39"/>
        <v>1741000.743</v>
      </c>
      <c r="E2516" t="s">
        <v>2622</v>
      </c>
      <c r="F2516" s="242"/>
      <c r="G2516"/>
      <c r="H2516" s="242">
        <v>47500</v>
      </c>
      <c r="I2516" s="242">
        <v>30890</v>
      </c>
      <c r="J2516"/>
    </row>
    <row r="2517" spans="1:10" ht="15.75" customHeight="1">
      <c r="A2517" t="s">
        <v>2611</v>
      </c>
      <c r="B2517">
        <v>741000</v>
      </c>
      <c r="C2517">
        <v>1</v>
      </c>
      <c r="D2517" t="str">
        <f t="shared" si="39"/>
        <v>1741000.750</v>
      </c>
      <c r="E2517" t="s">
        <v>2707</v>
      </c>
      <c r="F2517" s="242"/>
      <c r="G2517"/>
      <c r="H2517" s="242">
        <v>418000</v>
      </c>
      <c r="I2517" s="242">
        <v>368158</v>
      </c>
      <c r="J2517"/>
    </row>
    <row r="2518" spans="1:10" ht="15.75" customHeight="1">
      <c r="A2518" t="s">
        <v>772</v>
      </c>
      <c r="B2518">
        <v>741000</v>
      </c>
      <c r="C2518">
        <v>1</v>
      </c>
      <c r="D2518" t="str">
        <f t="shared" si="39"/>
        <v>1741000.751</v>
      </c>
      <c r="E2518" t="s">
        <v>4647</v>
      </c>
      <c r="F2518" s="242"/>
      <c r="G2518"/>
      <c r="H2518" s="242">
        <v>150000</v>
      </c>
      <c r="I2518" s="242">
        <v>99977</v>
      </c>
      <c r="J2518"/>
    </row>
    <row r="2519" spans="1:10" ht="15.75" customHeight="1">
      <c r="A2519" t="s">
        <v>835</v>
      </c>
      <c r="B2519">
        <v>741000</v>
      </c>
      <c r="C2519">
        <v>1</v>
      </c>
      <c r="D2519" t="str">
        <f t="shared" si="39"/>
        <v>1741000.769</v>
      </c>
      <c r="E2519" t="s">
        <v>2605</v>
      </c>
      <c r="F2519" s="242"/>
      <c r="G2519"/>
      <c r="H2519" s="242">
        <v>39000</v>
      </c>
      <c r="I2519" s="242">
        <v>18474</v>
      </c>
      <c r="J2519"/>
    </row>
    <row r="2520" spans="1:10" ht="15.75" customHeight="1">
      <c r="A2520" t="s">
        <v>2740</v>
      </c>
      <c r="B2520">
        <v>741000</v>
      </c>
      <c r="C2520">
        <v>1</v>
      </c>
      <c r="D2520" t="str">
        <f t="shared" si="39"/>
        <v>1741000.930</v>
      </c>
      <c r="E2520" t="s">
        <v>2834</v>
      </c>
      <c r="F2520" s="242"/>
      <c r="G2520"/>
      <c r="H2520" s="242">
        <v>105000</v>
      </c>
      <c r="I2520" s="242">
        <v>89366</v>
      </c>
      <c r="J2520"/>
    </row>
    <row r="2521" spans="1:10" ht="15.75" customHeight="1">
      <c r="A2521" t="s">
        <v>2403</v>
      </c>
      <c r="B2521">
        <v>742000</v>
      </c>
      <c r="C2521">
        <v>1</v>
      </c>
      <c r="D2521" t="str">
        <f t="shared" si="39"/>
        <v>1742000.110</v>
      </c>
      <c r="E2521" t="s">
        <v>2573</v>
      </c>
      <c r="F2521" s="242"/>
      <c r="G2521"/>
      <c r="H2521" s="242">
        <v>873921</v>
      </c>
      <c r="I2521" s="242">
        <v>786706</v>
      </c>
      <c r="J2521"/>
    </row>
    <row r="2522" spans="1:10" ht="15.75" customHeight="1">
      <c r="A2522" t="s">
        <v>2404</v>
      </c>
      <c r="B2522">
        <v>742000</v>
      </c>
      <c r="C2522">
        <v>1</v>
      </c>
      <c r="D2522" t="str">
        <f t="shared" si="39"/>
        <v>1742000.120</v>
      </c>
      <c r="E2522" t="s">
        <v>2574</v>
      </c>
      <c r="F2522" s="242"/>
      <c r="G2522"/>
      <c r="H2522" s="242">
        <v>203355</v>
      </c>
      <c r="I2522" s="242">
        <v>183107</v>
      </c>
      <c r="J2522"/>
    </row>
    <row r="2523" spans="1:10" ht="15.75" customHeight="1">
      <c r="A2523" t="s">
        <v>2575</v>
      </c>
      <c r="B2523">
        <v>742000</v>
      </c>
      <c r="C2523">
        <v>1</v>
      </c>
      <c r="D2523" t="str">
        <f t="shared" si="39"/>
        <v>1742000.130</v>
      </c>
      <c r="E2523" t="s">
        <v>2576</v>
      </c>
      <c r="F2523" s="242"/>
      <c r="G2523"/>
      <c r="H2523" s="242">
        <v>41761</v>
      </c>
      <c r="I2523" s="242">
        <v>45705</v>
      </c>
      <c r="J2523"/>
    </row>
    <row r="2524" spans="1:10" ht="15.75" customHeight="1">
      <c r="A2524" t="s">
        <v>2577</v>
      </c>
      <c r="B2524">
        <v>742000</v>
      </c>
      <c r="C2524">
        <v>1</v>
      </c>
      <c r="D2524" t="str">
        <f t="shared" si="39"/>
        <v>1742000.140</v>
      </c>
      <c r="E2524" t="s">
        <v>2578</v>
      </c>
      <c r="F2524" s="242"/>
      <c r="G2524"/>
      <c r="H2524" s="242">
        <v>189555</v>
      </c>
      <c r="I2524" s="242">
        <v>179361</v>
      </c>
      <c r="J2524"/>
    </row>
    <row r="2525" spans="1:10" ht="15.75" customHeight="1">
      <c r="A2525" t="s">
        <v>2579</v>
      </c>
      <c r="B2525">
        <v>742000</v>
      </c>
      <c r="C2525">
        <v>1</v>
      </c>
      <c r="D2525" t="str">
        <f t="shared" si="39"/>
        <v>1742000.181</v>
      </c>
      <c r="E2525" t="s">
        <v>2580</v>
      </c>
      <c r="F2525" s="242"/>
      <c r="G2525"/>
      <c r="H2525" s="242">
        <v>238381</v>
      </c>
      <c r="I2525" s="242">
        <v>212953</v>
      </c>
      <c r="J2525"/>
    </row>
    <row r="2526" spans="1:10" ht="15.75" customHeight="1">
      <c r="A2526" t="s">
        <v>2581</v>
      </c>
      <c r="B2526">
        <v>742000</v>
      </c>
      <c r="C2526">
        <v>1</v>
      </c>
      <c r="D2526" t="str">
        <f t="shared" si="39"/>
        <v>1742000.182</v>
      </c>
      <c r="E2526" t="s">
        <v>2582</v>
      </c>
      <c r="F2526" s="242"/>
      <c r="G2526"/>
      <c r="H2526" s="242">
        <v>99413</v>
      </c>
      <c r="I2526" s="242">
        <v>90677</v>
      </c>
      <c r="J2526"/>
    </row>
    <row r="2527" spans="1:10" ht="15.75" customHeight="1">
      <c r="A2527" t="s">
        <v>2606</v>
      </c>
      <c r="B2527">
        <v>742000</v>
      </c>
      <c r="C2527">
        <v>1</v>
      </c>
      <c r="D2527" t="str">
        <f t="shared" si="39"/>
        <v>1742000.440</v>
      </c>
      <c r="E2527" t="s">
        <v>4650</v>
      </c>
      <c r="F2527" s="242"/>
      <c r="G2527"/>
      <c r="H2527" s="242">
        <v>52700</v>
      </c>
      <c r="I2527" s="242">
        <v>50877</v>
      </c>
      <c r="J2527"/>
    </row>
    <row r="2528" spans="1:10" ht="15.75" customHeight="1">
      <c r="A2528" t="s">
        <v>2286</v>
      </c>
      <c r="B2528">
        <v>742000</v>
      </c>
      <c r="C2528">
        <v>1</v>
      </c>
      <c r="D2528" t="str">
        <f t="shared" si="39"/>
        <v>1742000.511</v>
      </c>
      <c r="E2528" t="s">
        <v>2584</v>
      </c>
      <c r="F2528" s="242"/>
      <c r="G2528"/>
      <c r="H2528" s="242">
        <v>2800</v>
      </c>
      <c r="I2528" s="242">
        <v>1818</v>
      </c>
      <c r="J2528"/>
    </row>
    <row r="2529" spans="1:10" ht="15.75" customHeight="1">
      <c r="A2529" t="s">
        <v>2588</v>
      </c>
      <c r="B2529">
        <v>742000</v>
      </c>
      <c r="C2529">
        <v>1</v>
      </c>
      <c r="D2529" t="str">
        <f t="shared" si="39"/>
        <v>1742000.522</v>
      </c>
      <c r="E2529" t="s">
        <v>2608</v>
      </c>
      <c r="F2529" s="242"/>
      <c r="G2529"/>
      <c r="H2529" s="242">
        <v>2500</v>
      </c>
      <c r="I2529" s="242">
        <v>2202</v>
      </c>
      <c r="J2529"/>
    </row>
    <row r="2530" spans="1:10" ht="15.75" customHeight="1">
      <c r="A2530" t="s">
        <v>2594</v>
      </c>
      <c r="B2530">
        <v>742000</v>
      </c>
      <c r="C2530">
        <v>1</v>
      </c>
      <c r="D2530" t="str">
        <f t="shared" si="39"/>
        <v>1742000.540</v>
      </c>
      <c r="E2530" t="s">
        <v>2595</v>
      </c>
      <c r="F2530" s="242"/>
      <c r="G2530"/>
      <c r="H2530" s="242">
        <v>15000</v>
      </c>
      <c r="I2530" s="242">
        <v>12448</v>
      </c>
      <c r="J2530"/>
    </row>
    <row r="2531" spans="1:10" ht="15.75" customHeight="1">
      <c r="A2531" t="s">
        <v>2702</v>
      </c>
      <c r="B2531">
        <v>742000</v>
      </c>
      <c r="C2531">
        <v>1</v>
      </c>
      <c r="D2531" t="str">
        <f t="shared" si="39"/>
        <v>1742000.582</v>
      </c>
      <c r="E2531" t="s">
        <v>2730</v>
      </c>
      <c r="F2531" s="242"/>
      <c r="G2531"/>
      <c r="H2531" s="242">
        <v>350</v>
      </c>
      <c r="I2531" s="242">
        <v>0</v>
      </c>
      <c r="J2531"/>
    </row>
    <row r="2532" spans="1:10" ht="15.75" customHeight="1">
      <c r="A2532" t="s">
        <v>600</v>
      </c>
      <c r="B2532">
        <v>742000</v>
      </c>
      <c r="C2532">
        <v>1</v>
      </c>
      <c r="D2532" t="str">
        <f t="shared" si="39"/>
        <v>1742000.731</v>
      </c>
      <c r="E2532" t="s">
        <v>2593</v>
      </c>
      <c r="F2532" s="242"/>
      <c r="G2532"/>
      <c r="H2532" s="242">
        <v>60150</v>
      </c>
      <c r="I2532" s="242">
        <v>31476</v>
      </c>
      <c r="J2532"/>
    </row>
    <row r="2533" spans="1:10" ht="15.75" customHeight="1">
      <c r="A2533" t="s">
        <v>2418</v>
      </c>
      <c r="B2533">
        <v>742000</v>
      </c>
      <c r="C2533">
        <v>1</v>
      </c>
      <c r="D2533" t="str">
        <f t="shared" si="39"/>
        <v>1742000.735</v>
      </c>
      <c r="E2533" t="s">
        <v>2667</v>
      </c>
      <c r="F2533" s="242"/>
      <c r="G2533"/>
      <c r="H2533" s="242">
        <v>109520</v>
      </c>
      <c r="I2533" s="242">
        <v>148871</v>
      </c>
      <c r="J2533"/>
    </row>
    <row r="2534" spans="1:10" ht="15.75" customHeight="1">
      <c r="A2534" t="s">
        <v>673</v>
      </c>
      <c r="B2534">
        <v>742000</v>
      </c>
      <c r="C2534">
        <v>1</v>
      </c>
      <c r="D2534" t="str">
        <f t="shared" si="39"/>
        <v>1742000.743</v>
      </c>
      <c r="E2534" t="s">
        <v>4651</v>
      </c>
      <c r="F2534" s="242"/>
      <c r="G2534"/>
      <c r="H2534" s="242">
        <v>25000</v>
      </c>
      <c r="I2534" s="242">
        <v>8989</v>
      </c>
      <c r="J2534"/>
    </row>
    <row r="2535" spans="1:10" ht="15.75" customHeight="1">
      <c r="A2535" t="s">
        <v>786</v>
      </c>
      <c r="B2535">
        <v>742000</v>
      </c>
      <c r="C2535">
        <v>1</v>
      </c>
      <c r="D2535" t="str">
        <f t="shared" si="39"/>
        <v>1742000.754</v>
      </c>
      <c r="E2535" t="s">
        <v>4652</v>
      </c>
      <c r="F2535" s="242"/>
      <c r="G2535"/>
      <c r="H2535" s="242">
        <v>350000</v>
      </c>
      <c r="I2535" s="242">
        <v>297729</v>
      </c>
      <c r="J2535"/>
    </row>
    <row r="2536" spans="1:10" ht="15.75" customHeight="1">
      <c r="A2536" t="s">
        <v>2632</v>
      </c>
      <c r="B2536">
        <v>742000</v>
      </c>
      <c r="C2536">
        <v>1</v>
      </c>
      <c r="D2536" t="str">
        <f t="shared" si="39"/>
        <v>1742000.780</v>
      </c>
      <c r="E2536" t="s">
        <v>2709</v>
      </c>
      <c r="F2536" s="242"/>
      <c r="G2536"/>
      <c r="H2536" s="242">
        <v>700</v>
      </c>
      <c r="I2536" s="242">
        <v>700</v>
      </c>
      <c r="J2536"/>
    </row>
    <row r="2537" spans="1:10" ht="15.75" customHeight="1">
      <c r="A2537" t="s">
        <v>2403</v>
      </c>
      <c r="B2537">
        <v>743000</v>
      </c>
      <c r="C2537">
        <v>1</v>
      </c>
      <c r="D2537" t="str">
        <f t="shared" si="39"/>
        <v>1743000.110</v>
      </c>
      <c r="E2537" t="s">
        <v>2573</v>
      </c>
      <c r="F2537" s="242"/>
      <c r="G2537"/>
      <c r="H2537" s="242">
        <v>766967</v>
      </c>
      <c r="I2537" s="242">
        <v>691943</v>
      </c>
      <c r="J2537"/>
    </row>
    <row r="2538" spans="1:10" ht="15.75" customHeight="1">
      <c r="A2538" t="s">
        <v>2404</v>
      </c>
      <c r="B2538">
        <v>743000</v>
      </c>
      <c r="C2538">
        <v>1</v>
      </c>
      <c r="D2538" t="str">
        <f t="shared" si="39"/>
        <v>1743000.120</v>
      </c>
      <c r="E2538" t="s">
        <v>2574</v>
      </c>
      <c r="F2538" s="242"/>
      <c r="G2538"/>
      <c r="H2538" s="242">
        <v>119443</v>
      </c>
      <c r="I2538" s="242">
        <v>113239</v>
      </c>
      <c r="J2538"/>
    </row>
    <row r="2539" spans="1:10" ht="15.75" customHeight="1">
      <c r="A2539" t="s">
        <v>2575</v>
      </c>
      <c r="B2539">
        <v>743000</v>
      </c>
      <c r="C2539">
        <v>1</v>
      </c>
      <c r="D2539" t="str">
        <f t="shared" si="39"/>
        <v>1743000.130</v>
      </c>
      <c r="E2539" t="s">
        <v>2576</v>
      </c>
      <c r="F2539" s="242"/>
      <c r="G2539"/>
      <c r="H2539" s="242">
        <v>16392</v>
      </c>
      <c r="I2539" s="242">
        <v>13480</v>
      </c>
      <c r="J2539"/>
    </row>
    <row r="2540" spans="1:10" ht="15.75" customHeight="1">
      <c r="A2540" t="s">
        <v>2577</v>
      </c>
      <c r="B2540">
        <v>743000</v>
      </c>
      <c r="C2540">
        <v>1</v>
      </c>
      <c r="D2540" t="str">
        <f t="shared" si="39"/>
        <v>1743000.140</v>
      </c>
      <c r="E2540" t="s">
        <v>2578</v>
      </c>
      <c r="F2540" s="242"/>
      <c r="G2540"/>
      <c r="H2540" s="242">
        <v>219421</v>
      </c>
      <c r="I2540" s="242">
        <v>182796</v>
      </c>
      <c r="J2540"/>
    </row>
    <row r="2541" spans="1:10" ht="15.75" customHeight="1">
      <c r="A2541" t="s">
        <v>2579</v>
      </c>
      <c r="B2541">
        <v>743000</v>
      </c>
      <c r="C2541">
        <v>1</v>
      </c>
      <c r="D2541" t="str">
        <f t="shared" si="39"/>
        <v>1743000.181</v>
      </c>
      <c r="E2541" t="s">
        <v>2580</v>
      </c>
      <c r="F2541" s="242"/>
      <c r="G2541"/>
      <c r="H2541" s="242">
        <v>192553</v>
      </c>
      <c r="I2541" s="242">
        <v>169501</v>
      </c>
      <c r="J2541"/>
    </row>
    <row r="2542" spans="1:10" ht="15.75" customHeight="1">
      <c r="A2542" t="s">
        <v>2581</v>
      </c>
      <c r="B2542">
        <v>743000</v>
      </c>
      <c r="C2542">
        <v>1</v>
      </c>
      <c r="D2542" t="str">
        <f t="shared" si="39"/>
        <v>1743000.182</v>
      </c>
      <c r="E2542" t="s">
        <v>2582</v>
      </c>
      <c r="F2542" s="242"/>
      <c r="G2542"/>
      <c r="H2542" s="242">
        <v>84944</v>
      </c>
      <c r="I2542" s="242">
        <v>75771</v>
      </c>
      <c r="J2542"/>
    </row>
    <row r="2543" spans="1:10" ht="15.75" customHeight="1">
      <c r="A2543" t="s">
        <v>2652</v>
      </c>
      <c r="B2543">
        <v>743000</v>
      </c>
      <c r="C2543">
        <v>1</v>
      </c>
      <c r="D2543" t="str">
        <f t="shared" si="39"/>
        <v>1743000.420</v>
      </c>
      <c r="E2543" t="s">
        <v>2950</v>
      </c>
      <c r="F2543" s="242"/>
      <c r="G2543"/>
      <c r="H2543" s="242">
        <v>3000</v>
      </c>
      <c r="I2543" s="242">
        <v>0</v>
      </c>
      <c r="J2543"/>
    </row>
    <row r="2544" spans="1:10" ht="15.75" customHeight="1">
      <c r="A2544" t="s">
        <v>2286</v>
      </c>
      <c r="B2544">
        <v>743000</v>
      </c>
      <c r="C2544">
        <v>1</v>
      </c>
      <c r="D2544" t="str">
        <f t="shared" si="39"/>
        <v>1743000.511</v>
      </c>
      <c r="E2544" t="s">
        <v>2584</v>
      </c>
      <c r="F2544" s="242"/>
      <c r="G2544"/>
      <c r="H2544" s="242">
        <v>4000</v>
      </c>
      <c r="I2544" s="242">
        <v>2825</v>
      </c>
      <c r="J2544"/>
    </row>
    <row r="2545" spans="1:10" ht="15.75" customHeight="1">
      <c r="A2545" t="s">
        <v>2594</v>
      </c>
      <c r="B2545">
        <v>743000</v>
      </c>
      <c r="C2545">
        <v>1</v>
      </c>
      <c r="D2545" t="str">
        <f t="shared" si="39"/>
        <v>1743000.540</v>
      </c>
      <c r="E2545" t="s">
        <v>2595</v>
      </c>
      <c r="F2545" s="242"/>
      <c r="G2545"/>
      <c r="H2545" s="242">
        <v>21000</v>
      </c>
      <c r="I2545" s="242">
        <v>12296</v>
      </c>
      <c r="J2545"/>
    </row>
    <row r="2546" spans="1:10" ht="15.75" customHeight="1">
      <c r="A2546" t="s">
        <v>2702</v>
      </c>
      <c r="B2546">
        <v>743000</v>
      </c>
      <c r="C2546">
        <v>1</v>
      </c>
      <c r="D2546" t="str">
        <f t="shared" si="39"/>
        <v>1743000.582</v>
      </c>
      <c r="E2546" t="s">
        <v>2730</v>
      </c>
      <c r="F2546" s="242"/>
      <c r="G2546"/>
      <c r="H2546" s="242">
        <v>210</v>
      </c>
      <c r="I2546" s="242">
        <v>0</v>
      </c>
      <c r="J2546"/>
    </row>
    <row r="2547" spans="1:10" ht="15.75" customHeight="1">
      <c r="A2547" t="s">
        <v>600</v>
      </c>
      <c r="B2547">
        <v>743000</v>
      </c>
      <c r="C2547">
        <v>1</v>
      </c>
      <c r="D2547" t="str">
        <f t="shared" si="39"/>
        <v>1743000.731</v>
      </c>
      <c r="E2547" t="s">
        <v>2593</v>
      </c>
      <c r="F2547" s="242"/>
      <c r="G2547"/>
      <c r="H2547" s="242">
        <v>30942</v>
      </c>
      <c r="I2547" s="242">
        <v>25813</v>
      </c>
      <c r="J2547"/>
    </row>
    <row r="2548" spans="1:10" ht="15.75" customHeight="1">
      <c r="A2548" t="s">
        <v>2418</v>
      </c>
      <c r="B2548">
        <v>743000</v>
      </c>
      <c r="C2548">
        <v>1</v>
      </c>
      <c r="D2548" t="str">
        <f t="shared" si="39"/>
        <v>1743000.735</v>
      </c>
      <c r="E2548" t="s">
        <v>2667</v>
      </c>
      <c r="F2548" s="242"/>
      <c r="G2548"/>
      <c r="H2548" s="242">
        <v>126486</v>
      </c>
      <c r="I2548" s="242">
        <v>133847</v>
      </c>
      <c r="J2548"/>
    </row>
    <row r="2549" spans="1:10" ht="15.75" customHeight="1">
      <c r="A2549" t="s">
        <v>791</v>
      </c>
      <c r="B2549">
        <v>743000</v>
      </c>
      <c r="C2549">
        <v>1</v>
      </c>
      <c r="D2549" t="str">
        <f t="shared" si="39"/>
        <v>1743000.756</v>
      </c>
      <c r="E2549" t="s">
        <v>2951</v>
      </c>
      <c r="F2549" s="242"/>
      <c r="G2549"/>
      <c r="H2549" s="242">
        <v>58000</v>
      </c>
      <c r="I2549" s="242">
        <v>46833</v>
      </c>
      <c r="J2549"/>
    </row>
    <row r="2550" spans="1:10" ht="15.75" customHeight="1">
      <c r="A2550" t="s">
        <v>2632</v>
      </c>
      <c r="B2550">
        <v>743000</v>
      </c>
      <c r="C2550">
        <v>1</v>
      </c>
      <c r="D2550" t="str">
        <f t="shared" si="39"/>
        <v>1743000.780</v>
      </c>
      <c r="E2550" t="s">
        <v>2926</v>
      </c>
      <c r="F2550" s="242"/>
      <c r="G2550"/>
      <c r="H2550" s="242">
        <v>1000</v>
      </c>
      <c r="I2550" s="242">
        <v>702</v>
      </c>
      <c r="J2550"/>
    </row>
    <row r="2551" spans="1:10" ht="15.75" customHeight="1">
      <c r="A2551" t="s">
        <v>2827</v>
      </c>
      <c r="B2551">
        <v>743000</v>
      </c>
      <c r="C2551">
        <v>1</v>
      </c>
      <c r="D2551" t="str">
        <f t="shared" si="39"/>
        <v>1743000.950</v>
      </c>
      <c r="E2551" t="s">
        <v>2952</v>
      </c>
      <c r="F2551" s="242"/>
      <c r="G2551"/>
      <c r="H2551" s="242">
        <v>100</v>
      </c>
      <c r="I2551" s="242">
        <v>40000</v>
      </c>
      <c r="J2551"/>
    </row>
    <row r="2552" spans="1:10" ht="15.75" customHeight="1">
      <c r="A2552" t="s">
        <v>2403</v>
      </c>
      <c r="B2552">
        <v>743100</v>
      </c>
      <c r="C2552">
        <v>1</v>
      </c>
      <c r="D2552" t="str">
        <f t="shared" si="39"/>
        <v>1743100.110</v>
      </c>
      <c r="E2552" t="s">
        <v>2573</v>
      </c>
      <c r="F2552" s="242"/>
      <c r="G2552"/>
      <c r="H2552" s="242">
        <v>88909</v>
      </c>
      <c r="I2552" s="242">
        <v>83439</v>
      </c>
      <c r="J2552"/>
    </row>
    <row r="2553" spans="1:10" ht="15.75" customHeight="1">
      <c r="A2553" t="s">
        <v>2404</v>
      </c>
      <c r="B2553">
        <v>743100</v>
      </c>
      <c r="C2553">
        <v>1</v>
      </c>
      <c r="D2553" t="str">
        <f t="shared" si="39"/>
        <v>1743100.120</v>
      </c>
      <c r="E2553" t="s">
        <v>2574</v>
      </c>
      <c r="F2553" s="242"/>
      <c r="G2553"/>
      <c r="H2553" s="242">
        <v>44168</v>
      </c>
      <c r="I2553" s="242">
        <v>40997</v>
      </c>
      <c r="J2553"/>
    </row>
    <row r="2554" spans="1:10" ht="15.75" customHeight="1">
      <c r="A2554" t="s">
        <v>2575</v>
      </c>
      <c r="B2554">
        <v>743100</v>
      </c>
      <c r="C2554">
        <v>1</v>
      </c>
      <c r="D2554" t="str">
        <f t="shared" si="39"/>
        <v>1743100.130</v>
      </c>
      <c r="E2554" t="s">
        <v>2576</v>
      </c>
      <c r="F2554" s="242"/>
      <c r="G2554"/>
      <c r="H2554" s="242">
        <v>20999</v>
      </c>
      <c r="I2554" s="242">
        <v>14961</v>
      </c>
      <c r="J2554"/>
    </row>
    <row r="2555" spans="1:10" ht="15.75" customHeight="1">
      <c r="A2555" t="s">
        <v>2577</v>
      </c>
      <c r="B2555">
        <v>743100</v>
      </c>
      <c r="C2555">
        <v>1</v>
      </c>
      <c r="D2555" t="str">
        <f t="shared" si="39"/>
        <v>1743100.140</v>
      </c>
      <c r="E2555" t="s">
        <v>2578</v>
      </c>
      <c r="F2555" s="242"/>
      <c r="G2555"/>
      <c r="H2555" s="242">
        <v>27271</v>
      </c>
      <c r="I2555" s="242">
        <v>30896</v>
      </c>
      <c r="J2555"/>
    </row>
    <row r="2556" spans="1:10" ht="15.75" customHeight="1">
      <c r="A2556" t="s">
        <v>2579</v>
      </c>
      <c r="B2556">
        <v>743100</v>
      </c>
      <c r="C2556">
        <v>1</v>
      </c>
      <c r="D2556" t="str">
        <f t="shared" si="39"/>
        <v>1743100.181</v>
      </c>
      <c r="E2556" t="s">
        <v>2580</v>
      </c>
      <c r="F2556" s="242"/>
      <c r="G2556"/>
      <c r="H2556" s="242">
        <v>27639</v>
      </c>
      <c r="I2556" s="242">
        <v>25111</v>
      </c>
      <c r="J2556"/>
    </row>
    <row r="2557" spans="1:10" ht="15.75" customHeight="1">
      <c r="A2557" t="s">
        <v>2581</v>
      </c>
      <c r="B2557">
        <v>743100</v>
      </c>
      <c r="C2557">
        <v>1</v>
      </c>
      <c r="D2557" t="str">
        <f t="shared" si="39"/>
        <v>1743100.182</v>
      </c>
      <c r="E2557" t="s">
        <v>2582</v>
      </c>
      <c r="F2557" s="242"/>
      <c r="G2557"/>
      <c r="H2557" s="242">
        <v>13694</v>
      </c>
      <c r="I2557" s="242">
        <v>12856</v>
      </c>
      <c r="J2557"/>
    </row>
    <row r="2558" spans="1:10" ht="15.75" customHeight="1">
      <c r="A2558" t="s">
        <v>2606</v>
      </c>
      <c r="B2558">
        <v>743100</v>
      </c>
      <c r="C2558">
        <v>1</v>
      </c>
      <c r="D2558" t="str">
        <f t="shared" si="39"/>
        <v>1743100.440</v>
      </c>
      <c r="E2558" t="s">
        <v>2953</v>
      </c>
      <c r="F2558" s="242"/>
      <c r="G2558"/>
      <c r="H2558" s="242">
        <v>17700</v>
      </c>
      <c r="I2558" s="242">
        <v>17059</v>
      </c>
      <c r="J2558"/>
    </row>
    <row r="2559" spans="1:10" ht="15.75" customHeight="1">
      <c r="A2559" t="s">
        <v>2611</v>
      </c>
      <c r="B2559">
        <v>743100</v>
      </c>
      <c r="C2559">
        <v>1</v>
      </c>
      <c r="D2559" t="str">
        <f t="shared" si="39"/>
        <v>1743100.750</v>
      </c>
      <c r="E2559" t="s">
        <v>2954</v>
      </c>
      <c r="F2559" s="242"/>
      <c r="G2559"/>
      <c r="H2559" s="242">
        <v>2786630</v>
      </c>
      <c r="I2559" s="242">
        <v>2180167</v>
      </c>
      <c r="J2559"/>
    </row>
    <row r="2560" spans="1:10" ht="15.75" customHeight="1">
      <c r="A2560" t="s">
        <v>772</v>
      </c>
      <c r="B2560">
        <v>743100</v>
      </c>
      <c r="C2560">
        <v>1</v>
      </c>
      <c r="D2560" t="str">
        <f t="shared" si="39"/>
        <v>1743100.751</v>
      </c>
      <c r="E2560" t="s">
        <v>2955</v>
      </c>
      <c r="F2560" s="242"/>
      <c r="G2560"/>
      <c r="H2560" s="242">
        <v>400000</v>
      </c>
      <c r="I2560" s="242">
        <v>387044</v>
      </c>
      <c r="J2560"/>
    </row>
    <row r="2561" spans="1:10" ht="15.75" customHeight="1">
      <c r="A2561" t="s">
        <v>776</v>
      </c>
      <c r="B2561">
        <v>743100</v>
      </c>
      <c r="C2561">
        <v>1</v>
      </c>
      <c r="D2561" t="str">
        <f t="shared" si="39"/>
        <v>1743100.752</v>
      </c>
      <c r="E2561" t="s">
        <v>2956</v>
      </c>
      <c r="F2561" s="242"/>
      <c r="G2561"/>
      <c r="H2561" s="242">
        <v>190000</v>
      </c>
      <c r="I2561" s="242">
        <v>158553</v>
      </c>
      <c r="J2561"/>
    </row>
    <row r="2562" spans="1:10" ht="15.75" customHeight="1">
      <c r="A2562" t="s">
        <v>781</v>
      </c>
      <c r="B2562">
        <v>743100</v>
      </c>
      <c r="C2562">
        <v>1</v>
      </c>
      <c r="D2562" t="str">
        <f t="shared" si="39"/>
        <v>1743100.753</v>
      </c>
      <c r="E2562" t="s">
        <v>2957</v>
      </c>
      <c r="F2562" s="242"/>
      <c r="G2562"/>
      <c r="H2562" s="242">
        <v>255000</v>
      </c>
      <c r="I2562" s="242">
        <v>277742</v>
      </c>
      <c r="J2562"/>
    </row>
    <row r="2563" spans="1:10" ht="15.75" customHeight="1">
      <c r="A2563" t="s">
        <v>844</v>
      </c>
      <c r="B2563">
        <v>743110</v>
      </c>
      <c r="C2563">
        <v>1</v>
      </c>
      <c r="D2563" t="str">
        <f t="shared" ref="D2563:D2626" si="40">C2563&amp;B2563&amp;"."&amp;A2563</f>
        <v>1743110.771</v>
      </c>
      <c r="E2563" t="s">
        <v>2958</v>
      </c>
      <c r="F2563" s="242"/>
      <c r="G2563"/>
      <c r="H2563" s="242">
        <v>11500000</v>
      </c>
      <c r="I2563" s="242">
        <v>10348932</v>
      </c>
      <c r="J2563"/>
    </row>
    <row r="2564" spans="1:10" ht="15.75" customHeight="1">
      <c r="A2564" t="s">
        <v>2403</v>
      </c>
      <c r="B2564">
        <v>744000</v>
      </c>
      <c r="C2564">
        <v>1</v>
      </c>
      <c r="D2564" t="str">
        <f t="shared" si="40"/>
        <v>1744000.110</v>
      </c>
      <c r="E2564" t="s">
        <v>2573</v>
      </c>
      <c r="F2564" s="242"/>
      <c r="G2564"/>
      <c r="H2564" s="242">
        <v>834235</v>
      </c>
      <c r="I2564" s="242">
        <v>750969</v>
      </c>
      <c r="J2564"/>
    </row>
    <row r="2565" spans="1:10" ht="15.75" customHeight="1">
      <c r="A2565" t="s">
        <v>2404</v>
      </c>
      <c r="B2565">
        <v>744000</v>
      </c>
      <c r="C2565">
        <v>1</v>
      </c>
      <c r="D2565" t="str">
        <f t="shared" si="40"/>
        <v>1744000.120</v>
      </c>
      <c r="E2565" t="s">
        <v>2574</v>
      </c>
      <c r="F2565" s="242"/>
      <c r="G2565"/>
      <c r="H2565" s="242">
        <v>23768</v>
      </c>
      <c r="I2565" s="242">
        <v>21902</v>
      </c>
      <c r="J2565"/>
    </row>
    <row r="2566" spans="1:10" ht="15.75" customHeight="1">
      <c r="A2566" t="s">
        <v>2575</v>
      </c>
      <c r="B2566">
        <v>744000</v>
      </c>
      <c r="C2566">
        <v>1</v>
      </c>
      <c r="D2566" t="str">
        <f t="shared" si="40"/>
        <v>1744000.130</v>
      </c>
      <c r="E2566" t="s">
        <v>2576</v>
      </c>
      <c r="F2566" s="242"/>
      <c r="G2566"/>
      <c r="H2566" s="242">
        <v>20138</v>
      </c>
      <c r="I2566" s="242">
        <v>16561</v>
      </c>
      <c r="J2566"/>
    </row>
    <row r="2567" spans="1:10" ht="15.75" customHeight="1">
      <c r="A2567" t="s">
        <v>2577</v>
      </c>
      <c r="B2567">
        <v>744000</v>
      </c>
      <c r="C2567">
        <v>1</v>
      </c>
      <c r="D2567" t="str">
        <f t="shared" si="40"/>
        <v>1744000.140</v>
      </c>
      <c r="E2567" t="s">
        <v>2578</v>
      </c>
      <c r="F2567" s="242"/>
      <c r="G2567"/>
      <c r="H2567" s="242">
        <v>142699</v>
      </c>
      <c r="I2567" s="242">
        <v>142727</v>
      </c>
      <c r="J2567"/>
    </row>
    <row r="2568" spans="1:10" ht="15.75" customHeight="1">
      <c r="A2568" t="s">
        <v>2579</v>
      </c>
      <c r="B2568">
        <v>744000</v>
      </c>
      <c r="C2568">
        <v>1</v>
      </c>
      <c r="D2568" t="str">
        <f t="shared" si="40"/>
        <v>1744000.181</v>
      </c>
      <c r="E2568" t="s">
        <v>2580</v>
      </c>
      <c r="F2568" s="242"/>
      <c r="G2568"/>
      <c r="H2568" s="242">
        <v>158292</v>
      </c>
      <c r="I2568" s="242">
        <v>151491</v>
      </c>
      <c r="J2568"/>
    </row>
    <row r="2569" spans="1:10" ht="15.75" customHeight="1">
      <c r="A2569" t="s">
        <v>2581</v>
      </c>
      <c r="B2569">
        <v>744000</v>
      </c>
      <c r="C2569">
        <v>1</v>
      </c>
      <c r="D2569" t="str">
        <f t="shared" si="40"/>
        <v>1744000.182</v>
      </c>
      <c r="E2569" t="s">
        <v>2582</v>
      </c>
      <c r="F2569" s="242"/>
      <c r="G2569"/>
      <c r="H2569" s="242">
        <v>77487</v>
      </c>
      <c r="I2569" s="242">
        <v>70771</v>
      </c>
      <c r="J2569"/>
    </row>
    <row r="2570" spans="1:10" ht="15.75" customHeight="1">
      <c r="A2570" t="s">
        <v>2414</v>
      </c>
      <c r="B2570">
        <v>744000</v>
      </c>
      <c r="C2570">
        <v>1</v>
      </c>
      <c r="D2570" t="str">
        <f t="shared" si="40"/>
        <v>1744000.512</v>
      </c>
      <c r="E2570" t="s">
        <v>2585</v>
      </c>
      <c r="F2570" s="242"/>
      <c r="G2570"/>
      <c r="H2570" s="242">
        <v>800</v>
      </c>
      <c r="I2570" s="242">
        <v>0</v>
      </c>
      <c r="J2570"/>
    </row>
    <row r="2571" spans="1:10" ht="15.75" customHeight="1">
      <c r="A2571" t="s">
        <v>2588</v>
      </c>
      <c r="B2571">
        <v>744000</v>
      </c>
      <c r="C2571">
        <v>1</v>
      </c>
      <c r="D2571" t="str">
        <f t="shared" si="40"/>
        <v>1744000.522</v>
      </c>
      <c r="E2571" t="s">
        <v>2608</v>
      </c>
      <c r="F2571" s="242"/>
      <c r="G2571"/>
      <c r="H2571" s="242">
        <v>1000</v>
      </c>
      <c r="I2571" s="242">
        <v>0</v>
      </c>
      <c r="J2571"/>
    </row>
    <row r="2572" spans="1:10" ht="15.75" customHeight="1">
      <c r="A2572" t="s">
        <v>2594</v>
      </c>
      <c r="B2572">
        <v>744000</v>
      </c>
      <c r="C2572">
        <v>1</v>
      </c>
      <c r="D2572" t="str">
        <f t="shared" si="40"/>
        <v>1744000.540</v>
      </c>
      <c r="E2572" t="s">
        <v>2595</v>
      </c>
      <c r="F2572" s="242"/>
      <c r="G2572"/>
      <c r="H2572" s="242">
        <v>8000</v>
      </c>
      <c r="I2572" s="242">
        <v>5764</v>
      </c>
      <c r="J2572"/>
    </row>
    <row r="2573" spans="1:10" ht="15.75" customHeight="1">
      <c r="A2573" t="s">
        <v>2702</v>
      </c>
      <c r="B2573">
        <v>744000</v>
      </c>
      <c r="C2573">
        <v>1</v>
      </c>
      <c r="D2573" t="str">
        <f t="shared" si="40"/>
        <v>1744000.582</v>
      </c>
      <c r="E2573" t="s">
        <v>2730</v>
      </c>
      <c r="F2573" s="242"/>
      <c r="G2573"/>
      <c r="H2573" s="242">
        <v>210</v>
      </c>
      <c r="I2573" s="242">
        <v>0</v>
      </c>
      <c r="J2573"/>
    </row>
    <row r="2574" spans="1:10" ht="15.75" customHeight="1">
      <c r="A2574" t="s">
        <v>600</v>
      </c>
      <c r="B2574">
        <v>744000</v>
      </c>
      <c r="C2574">
        <v>1</v>
      </c>
      <c r="D2574" t="str">
        <f t="shared" si="40"/>
        <v>1744000.731</v>
      </c>
      <c r="E2574" t="s">
        <v>2593</v>
      </c>
      <c r="F2574" s="242"/>
      <c r="G2574"/>
      <c r="H2574" s="242">
        <v>8354</v>
      </c>
      <c r="I2574" s="242">
        <v>23721</v>
      </c>
      <c r="J2574"/>
    </row>
    <row r="2575" spans="1:10" ht="15.75" customHeight="1">
      <c r="A2575" t="s">
        <v>2418</v>
      </c>
      <c r="B2575">
        <v>744000</v>
      </c>
      <c r="C2575">
        <v>1</v>
      </c>
      <c r="D2575" t="str">
        <f t="shared" si="40"/>
        <v>1744000.735</v>
      </c>
      <c r="E2575" t="s">
        <v>2602</v>
      </c>
      <c r="F2575" s="242"/>
      <c r="G2575"/>
      <c r="H2575" s="242">
        <v>24928</v>
      </c>
      <c r="I2575" s="242">
        <v>64973</v>
      </c>
      <c r="J2575"/>
    </row>
    <row r="2576" spans="1:10" ht="15.75" customHeight="1">
      <c r="A2576" t="s">
        <v>2403</v>
      </c>
      <c r="B2576">
        <v>744100</v>
      </c>
      <c r="C2576">
        <v>1</v>
      </c>
      <c r="D2576" t="str">
        <f t="shared" si="40"/>
        <v>1744100.110</v>
      </c>
      <c r="E2576" t="s">
        <v>2573</v>
      </c>
      <c r="F2576" s="242"/>
      <c r="G2576"/>
      <c r="H2576" s="242">
        <v>75686</v>
      </c>
      <c r="I2576" s="242">
        <v>80654</v>
      </c>
      <c r="J2576"/>
    </row>
    <row r="2577" spans="1:10" ht="15.75" customHeight="1">
      <c r="A2577" t="s">
        <v>2404</v>
      </c>
      <c r="B2577">
        <v>744100</v>
      </c>
      <c r="C2577">
        <v>1</v>
      </c>
      <c r="D2577" t="str">
        <f t="shared" si="40"/>
        <v>1744100.120</v>
      </c>
      <c r="E2577" t="s">
        <v>2574</v>
      </c>
      <c r="F2577" s="242"/>
      <c r="G2577"/>
      <c r="H2577" s="242">
        <v>30590</v>
      </c>
      <c r="I2577" s="242">
        <v>31864</v>
      </c>
      <c r="J2577"/>
    </row>
    <row r="2578" spans="1:10" ht="15.75" customHeight="1">
      <c r="A2578" t="s">
        <v>2575</v>
      </c>
      <c r="B2578">
        <v>744100</v>
      </c>
      <c r="C2578">
        <v>1</v>
      </c>
      <c r="D2578" t="str">
        <f t="shared" si="40"/>
        <v>1744100.130</v>
      </c>
      <c r="E2578" t="s">
        <v>2576</v>
      </c>
      <c r="F2578" s="242"/>
      <c r="G2578"/>
      <c r="H2578" s="242">
        <v>7542</v>
      </c>
      <c r="I2578" s="242">
        <v>4561</v>
      </c>
      <c r="J2578"/>
    </row>
    <row r="2579" spans="1:10" ht="15.75" customHeight="1">
      <c r="A2579" t="s">
        <v>2577</v>
      </c>
      <c r="B2579">
        <v>744100</v>
      </c>
      <c r="C2579">
        <v>1</v>
      </c>
      <c r="D2579" t="str">
        <f t="shared" si="40"/>
        <v>1744100.140</v>
      </c>
      <c r="E2579" t="s">
        <v>2578</v>
      </c>
      <c r="F2579" s="242"/>
      <c r="G2579"/>
      <c r="H2579" s="242">
        <v>32753</v>
      </c>
      <c r="I2579" s="242">
        <v>32894</v>
      </c>
      <c r="J2579"/>
    </row>
    <row r="2580" spans="1:10" ht="15.75" customHeight="1">
      <c r="A2580" t="s">
        <v>2579</v>
      </c>
      <c r="B2580">
        <v>744100</v>
      </c>
      <c r="C2580">
        <v>1</v>
      </c>
      <c r="D2580" t="str">
        <f t="shared" si="40"/>
        <v>1744100.181</v>
      </c>
      <c r="E2580" t="s">
        <v>2959</v>
      </c>
      <c r="F2580" s="242"/>
      <c r="G2580"/>
      <c r="H2580" s="242">
        <v>21395</v>
      </c>
      <c r="I2580" s="242">
        <v>21492</v>
      </c>
      <c r="J2580"/>
    </row>
    <row r="2581" spans="1:10" ht="15.75" customHeight="1">
      <c r="A2581" t="s">
        <v>2581</v>
      </c>
      <c r="B2581">
        <v>744100</v>
      </c>
      <c r="C2581">
        <v>1</v>
      </c>
      <c r="D2581" t="str">
        <f t="shared" si="40"/>
        <v>1744100.182</v>
      </c>
      <c r="E2581" t="s">
        <v>2582</v>
      </c>
      <c r="F2581" s="242"/>
      <c r="G2581"/>
      <c r="H2581" s="242">
        <v>11196</v>
      </c>
      <c r="I2581" s="242">
        <v>11428</v>
      </c>
      <c r="J2581"/>
    </row>
    <row r="2582" spans="1:10" ht="15.75" customHeight="1">
      <c r="A2582" t="s">
        <v>2606</v>
      </c>
      <c r="B2582">
        <v>744100</v>
      </c>
      <c r="C2582">
        <v>1</v>
      </c>
      <c r="D2582" t="str">
        <f t="shared" si="40"/>
        <v>1744100.440</v>
      </c>
      <c r="E2582" t="s">
        <v>2960</v>
      </c>
      <c r="F2582" s="242"/>
      <c r="G2582"/>
      <c r="H2582" s="242">
        <v>122900</v>
      </c>
      <c r="I2582" s="242">
        <v>118714</v>
      </c>
      <c r="J2582"/>
    </row>
    <row r="2583" spans="1:10" ht="15.75" customHeight="1">
      <c r="A2583" t="s">
        <v>772</v>
      </c>
      <c r="B2583">
        <v>744100</v>
      </c>
      <c r="C2583">
        <v>1</v>
      </c>
      <c r="D2583" t="str">
        <f t="shared" si="40"/>
        <v>1744100.751</v>
      </c>
      <c r="E2583" t="s">
        <v>2961</v>
      </c>
      <c r="F2583" s="242"/>
      <c r="G2583"/>
      <c r="H2583" s="242">
        <v>2292280</v>
      </c>
      <c r="I2583" s="242">
        <v>1003646</v>
      </c>
      <c r="J2583"/>
    </row>
    <row r="2584" spans="1:10" ht="15.75" customHeight="1">
      <c r="A2584" t="s">
        <v>2670</v>
      </c>
      <c r="B2584">
        <v>744100</v>
      </c>
      <c r="C2584">
        <v>1</v>
      </c>
      <c r="D2584" t="str">
        <f t="shared" si="40"/>
        <v>1744100.755</v>
      </c>
      <c r="E2584" t="s">
        <v>2962</v>
      </c>
      <c r="F2584" s="242"/>
      <c r="G2584"/>
      <c r="H2584" s="242">
        <v>200000</v>
      </c>
      <c r="I2584" s="242">
        <v>0</v>
      </c>
      <c r="J2584"/>
    </row>
    <row r="2585" spans="1:10" ht="15.75" customHeight="1">
      <c r="A2585" t="s">
        <v>844</v>
      </c>
      <c r="B2585">
        <v>744100</v>
      </c>
      <c r="C2585">
        <v>1</v>
      </c>
      <c r="D2585" t="str">
        <f t="shared" si="40"/>
        <v>1744100.771</v>
      </c>
      <c r="E2585" t="s">
        <v>2963</v>
      </c>
      <c r="F2585" s="242"/>
      <c r="G2585"/>
      <c r="H2585" s="242">
        <v>876000</v>
      </c>
      <c r="I2585" s="242">
        <v>831213</v>
      </c>
      <c r="J2585"/>
    </row>
    <row r="2586" spans="1:10" ht="15.75" customHeight="1">
      <c r="A2586" t="s">
        <v>658</v>
      </c>
      <c r="B2586">
        <v>744300</v>
      </c>
      <c r="C2586">
        <v>1</v>
      </c>
      <c r="D2586" t="str">
        <f t="shared" si="40"/>
        <v>1744300.742</v>
      </c>
      <c r="E2586" t="s">
        <v>4653</v>
      </c>
      <c r="F2586" s="242"/>
      <c r="G2586"/>
      <c r="H2586" s="242">
        <v>250000</v>
      </c>
      <c r="I2586" s="242">
        <v>213137</v>
      </c>
      <c r="J2586"/>
    </row>
    <row r="2587" spans="1:10" ht="15.75" customHeight="1">
      <c r="A2587" t="s">
        <v>2611</v>
      </c>
      <c r="B2587">
        <v>744300</v>
      </c>
      <c r="C2587">
        <v>1</v>
      </c>
      <c r="D2587" t="str">
        <f t="shared" si="40"/>
        <v>1744300.750</v>
      </c>
      <c r="E2587" t="s">
        <v>4654</v>
      </c>
      <c r="F2587" s="242"/>
      <c r="G2587"/>
      <c r="H2587" s="242">
        <v>400000</v>
      </c>
      <c r="I2587" s="242">
        <v>330226</v>
      </c>
      <c r="J2587"/>
    </row>
    <row r="2588" spans="1:10" ht="15.75" customHeight="1">
      <c r="A2588" t="s">
        <v>658</v>
      </c>
      <c r="B2588">
        <v>744400</v>
      </c>
      <c r="C2588">
        <v>1</v>
      </c>
      <c r="D2588" t="str">
        <f t="shared" si="40"/>
        <v>1744400.742</v>
      </c>
      <c r="E2588" t="s">
        <v>4655</v>
      </c>
      <c r="F2588" s="242"/>
      <c r="G2588"/>
      <c r="H2588" s="242">
        <v>250000</v>
      </c>
      <c r="I2588" s="242">
        <v>250925</v>
      </c>
      <c r="J2588"/>
    </row>
    <row r="2589" spans="1:10" ht="15.75" customHeight="1">
      <c r="A2589" t="s">
        <v>772</v>
      </c>
      <c r="B2589">
        <v>744400</v>
      </c>
      <c r="C2589">
        <v>1</v>
      </c>
      <c r="D2589" t="str">
        <f t="shared" si="40"/>
        <v>1744400.751</v>
      </c>
      <c r="E2589" t="s">
        <v>4656</v>
      </c>
      <c r="F2589" s="242"/>
      <c r="G2589"/>
      <c r="H2589" s="242">
        <v>200000</v>
      </c>
      <c r="I2589" s="242">
        <v>115529</v>
      </c>
      <c r="J2589"/>
    </row>
    <row r="2590" spans="1:10" ht="15.75" customHeight="1">
      <c r="A2590" t="s">
        <v>2403</v>
      </c>
      <c r="B2590">
        <v>744500</v>
      </c>
      <c r="C2590">
        <v>1</v>
      </c>
      <c r="D2590" t="str">
        <f t="shared" si="40"/>
        <v>1744500.110</v>
      </c>
      <c r="E2590" t="s">
        <v>2573</v>
      </c>
      <c r="F2590" s="242"/>
      <c r="G2590"/>
      <c r="H2590" s="242">
        <v>660625</v>
      </c>
      <c r="I2590" s="242">
        <v>657294</v>
      </c>
      <c r="J2590"/>
    </row>
    <row r="2591" spans="1:10" ht="15.75" customHeight="1">
      <c r="A2591" t="s">
        <v>2404</v>
      </c>
      <c r="B2591">
        <v>744500</v>
      </c>
      <c r="C2591">
        <v>1</v>
      </c>
      <c r="D2591" t="str">
        <f t="shared" si="40"/>
        <v>1744500.120</v>
      </c>
      <c r="E2591" t="s">
        <v>2574</v>
      </c>
      <c r="F2591" s="242"/>
      <c r="G2591"/>
      <c r="H2591" s="242">
        <v>92090</v>
      </c>
      <c r="I2591" s="242">
        <v>92921</v>
      </c>
      <c r="J2591"/>
    </row>
    <row r="2592" spans="1:10" ht="15.75" customHeight="1">
      <c r="A2592" t="s">
        <v>2575</v>
      </c>
      <c r="B2592">
        <v>744500</v>
      </c>
      <c r="C2592">
        <v>1</v>
      </c>
      <c r="D2592" t="str">
        <f t="shared" si="40"/>
        <v>1744500.130</v>
      </c>
      <c r="E2592" t="s">
        <v>2576</v>
      </c>
      <c r="F2592" s="242"/>
      <c r="G2592"/>
      <c r="H2592" s="242">
        <v>4520</v>
      </c>
      <c r="I2592" s="242">
        <v>2559</v>
      </c>
      <c r="J2592"/>
    </row>
    <row r="2593" spans="1:10" ht="15.75" customHeight="1">
      <c r="A2593" t="s">
        <v>2577</v>
      </c>
      <c r="B2593">
        <v>744500</v>
      </c>
      <c r="C2593">
        <v>1</v>
      </c>
      <c r="D2593" t="str">
        <f t="shared" si="40"/>
        <v>1744500.140</v>
      </c>
      <c r="E2593" t="s">
        <v>2578</v>
      </c>
      <c r="F2593" s="242"/>
      <c r="G2593"/>
      <c r="H2593" s="242">
        <v>132245</v>
      </c>
      <c r="I2593" s="242">
        <v>130651</v>
      </c>
      <c r="J2593"/>
    </row>
    <row r="2594" spans="1:10" ht="15.75" customHeight="1">
      <c r="A2594" t="s">
        <v>2579</v>
      </c>
      <c r="B2594">
        <v>744500</v>
      </c>
      <c r="C2594">
        <v>1</v>
      </c>
      <c r="D2594" t="str">
        <f t="shared" si="40"/>
        <v>1744500.181</v>
      </c>
      <c r="E2594" t="s">
        <v>2580</v>
      </c>
      <c r="F2594" s="242"/>
      <c r="G2594"/>
      <c r="H2594" s="242">
        <v>146479</v>
      </c>
      <c r="I2594" s="242">
        <v>141303</v>
      </c>
      <c r="J2594"/>
    </row>
    <row r="2595" spans="1:10" ht="15.75" customHeight="1">
      <c r="A2595" t="s">
        <v>2581</v>
      </c>
      <c r="B2595">
        <v>744500</v>
      </c>
      <c r="C2595">
        <v>1</v>
      </c>
      <c r="D2595" t="str">
        <f t="shared" si="40"/>
        <v>1744500.182</v>
      </c>
      <c r="E2595" t="s">
        <v>2582</v>
      </c>
      <c r="F2595" s="242"/>
      <c r="G2595"/>
      <c r="H2595" s="242">
        <v>67837</v>
      </c>
      <c r="I2595" s="242">
        <v>67297</v>
      </c>
      <c r="J2595"/>
    </row>
    <row r="2596" spans="1:10" ht="15.75" customHeight="1">
      <c r="A2596" t="s">
        <v>1673</v>
      </c>
      <c r="B2596">
        <v>744500</v>
      </c>
      <c r="C2596">
        <v>1</v>
      </c>
      <c r="D2596" t="str">
        <f t="shared" si="40"/>
        <v>1744500.433</v>
      </c>
      <c r="E2596" t="s">
        <v>2655</v>
      </c>
      <c r="F2596" s="242"/>
      <c r="G2596"/>
      <c r="H2596" s="242">
        <v>2000</v>
      </c>
      <c r="I2596" s="242">
        <v>168</v>
      </c>
      <c r="J2596"/>
    </row>
    <row r="2597" spans="1:10" ht="15.75" customHeight="1">
      <c r="A2597" t="s">
        <v>1678</v>
      </c>
      <c r="B2597">
        <v>744500</v>
      </c>
      <c r="C2597">
        <v>1</v>
      </c>
      <c r="D2597" t="str">
        <f t="shared" si="40"/>
        <v>1744500.434</v>
      </c>
      <c r="E2597" t="s">
        <v>2656</v>
      </c>
      <c r="F2597" s="242"/>
      <c r="G2597"/>
      <c r="H2597" s="242">
        <v>20000</v>
      </c>
      <c r="I2597" s="242">
        <v>16719</v>
      </c>
      <c r="J2597"/>
    </row>
    <row r="2598" spans="1:10" ht="15.75" customHeight="1">
      <c r="A2598" t="s">
        <v>2286</v>
      </c>
      <c r="B2598">
        <v>744500</v>
      </c>
      <c r="C2598">
        <v>1</v>
      </c>
      <c r="D2598" t="str">
        <f t="shared" si="40"/>
        <v>1744500.511</v>
      </c>
      <c r="E2598" t="s">
        <v>2584</v>
      </c>
      <c r="F2598" s="242"/>
      <c r="G2598"/>
      <c r="H2598" s="242">
        <v>1500</v>
      </c>
      <c r="I2598" s="242">
        <v>417</v>
      </c>
      <c r="J2598"/>
    </row>
    <row r="2599" spans="1:10" ht="15.75" customHeight="1">
      <c r="A2599" t="s">
        <v>2588</v>
      </c>
      <c r="B2599">
        <v>744500</v>
      </c>
      <c r="C2599">
        <v>1</v>
      </c>
      <c r="D2599" t="str">
        <f t="shared" si="40"/>
        <v>1744500.522</v>
      </c>
      <c r="E2599" t="s">
        <v>2608</v>
      </c>
      <c r="F2599" s="242"/>
      <c r="G2599"/>
      <c r="H2599" s="242">
        <v>1500</v>
      </c>
      <c r="I2599" s="242">
        <v>1180</v>
      </c>
      <c r="J2599"/>
    </row>
    <row r="2600" spans="1:10" ht="15.75" customHeight="1">
      <c r="A2600" t="s">
        <v>2590</v>
      </c>
      <c r="B2600">
        <v>744500</v>
      </c>
      <c r="C2600">
        <v>1</v>
      </c>
      <c r="D2600" t="str">
        <f t="shared" si="40"/>
        <v>1744500.523</v>
      </c>
      <c r="E2600" t="s">
        <v>2890</v>
      </c>
      <c r="F2600" s="242"/>
      <c r="G2600"/>
      <c r="H2600" s="242">
        <v>2000</v>
      </c>
      <c r="I2600" s="242">
        <v>500</v>
      </c>
      <c r="J2600"/>
    </row>
    <row r="2601" spans="1:10" ht="15.75" customHeight="1">
      <c r="A2601" t="s">
        <v>2594</v>
      </c>
      <c r="B2601">
        <v>744500</v>
      </c>
      <c r="C2601">
        <v>1</v>
      </c>
      <c r="D2601" t="str">
        <f t="shared" si="40"/>
        <v>1744500.540</v>
      </c>
      <c r="E2601" t="s">
        <v>2595</v>
      </c>
      <c r="F2601" s="242"/>
      <c r="G2601"/>
      <c r="H2601" s="242">
        <v>13000</v>
      </c>
      <c r="I2601" s="242">
        <v>8882</v>
      </c>
      <c r="J2601"/>
    </row>
    <row r="2602" spans="1:10" ht="15.75" customHeight="1">
      <c r="A2602" t="s">
        <v>2596</v>
      </c>
      <c r="B2602">
        <v>744500</v>
      </c>
      <c r="C2602">
        <v>1</v>
      </c>
      <c r="D2602" t="str">
        <f t="shared" si="40"/>
        <v>1744500.550</v>
      </c>
      <c r="E2602" t="s">
        <v>2597</v>
      </c>
      <c r="F2602" s="242"/>
      <c r="G2602"/>
      <c r="H2602" s="242">
        <v>8000</v>
      </c>
      <c r="I2602" s="242">
        <v>0</v>
      </c>
      <c r="J2602"/>
    </row>
    <row r="2603" spans="1:10" ht="15.75" customHeight="1">
      <c r="A2603" t="s">
        <v>2598</v>
      </c>
      <c r="B2603">
        <v>744500</v>
      </c>
      <c r="C2603">
        <v>1</v>
      </c>
      <c r="D2603" t="str">
        <f t="shared" si="40"/>
        <v>1744500.561</v>
      </c>
      <c r="E2603" t="s">
        <v>2599</v>
      </c>
      <c r="F2603" s="242"/>
      <c r="G2603"/>
      <c r="H2603" s="242">
        <v>9500</v>
      </c>
      <c r="I2603" s="242">
        <v>10155</v>
      </c>
      <c r="J2603"/>
    </row>
    <row r="2604" spans="1:10" ht="15.75" customHeight="1">
      <c r="A2604" t="s">
        <v>2735</v>
      </c>
      <c r="B2604">
        <v>744500</v>
      </c>
      <c r="C2604">
        <v>1</v>
      </c>
      <c r="D2604" t="str">
        <f t="shared" si="40"/>
        <v>1744500.576</v>
      </c>
      <c r="E2604" t="s">
        <v>2891</v>
      </c>
      <c r="F2604" s="242"/>
      <c r="G2604"/>
      <c r="H2604" s="242">
        <v>9700</v>
      </c>
      <c r="I2604" s="242">
        <v>0</v>
      </c>
      <c r="J2604"/>
    </row>
    <row r="2605" spans="1:10" ht="15.75" customHeight="1">
      <c r="A2605" t="s">
        <v>2600</v>
      </c>
      <c r="B2605">
        <v>744500</v>
      </c>
      <c r="C2605">
        <v>1</v>
      </c>
      <c r="D2605" t="str">
        <f t="shared" si="40"/>
        <v>1744500.580</v>
      </c>
      <c r="E2605" t="s">
        <v>2601</v>
      </c>
      <c r="F2605" s="242"/>
      <c r="G2605"/>
      <c r="H2605" s="242">
        <v>11000</v>
      </c>
      <c r="I2605" s="242">
        <v>2129</v>
      </c>
      <c r="J2605"/>
    </row>
    <row r="2606" spans="1:10" ht="15.75" customHeight="1">
      <c r="A2606" t="s">
        <v>600</v>
      </c>
      <c r="B2606">
        <v>744500</v>
      </c>
      <c r="C2606">
        <v>1</v>
      </c>
      <c r="D2606" t="str">
        <f t="shared" si="40"/>
        <v>1744500.731</v>
      </c>
      <c r="E2606" t="s">
        <v>2593</v>
      </c>
      <c r="F2606" s="242"/>
      <c r="G2606"/>
      <c r="H2606" s="242">
        <v>69062</v>
      </c>
      <c r="I2606" s="242">
        <v>25562</v>
      </c>
      <c r="J2606"/>
    </row>
    <row r="2607" spans="1:10" ht="15.75" customHeight="1">
      <c r="A2607" t="s">
        <v>2418</v>
      </c>
      <c r="B2607">
        <v>744500</v>
      </c>
      <c r="C2607">
        <v>1</v>
      </c>
      <c r="D2607" t="str">
        <f t="shared" si="40"/>
        <v>1744500.735</v>
      </c>
      <c r="E2607" t="s">
        <v>2602</v>
      </c>
      <c r="F2607" s="242"/>
      <c r="G2607"/>
      <c r="H2607" s="242">
        <v>73871</v>
      </c>
      <c r="I2607" s="242">
        <v>35686</v>
      </c>
      <c r="J2607"/>
    </row>
    <row r="2608" spans="1:10" ht="15.75" customHeight="1">
      <c r="A2608" t="s">
        <v>673</v>
      </c>
      <c r="B2608">
        <v>744500</v>
      </c>
      <c r="C2608">
        <v>1</v>
      </c>
      <c r="D2608" t="str">
        <f t="shared" si="40"/>
        <v>1744500.743</v>
      </c>
      <c r="E2608" t="s">
        <v>2622</v>
      </c>
      <c r="F2608" s="242"/>
      <c r="G2608"/>
      <c r="H2608" s="242">
        <v>9000</v>
      </c>
      <c r="I2608" s="242">
        <v>0</v>
      </c>
      <c r="J2608"/>
    </row>
    <row r="2609" spans="1:10" ht="15.75" customHeight="1">
      <c r="A2609" t="s">
        <v>737</v>
      </c>
      <c r="B2609">
        <v>744500</v>
      </c>
      <c r="C2609">
        <v>1</v>
      </c>
      <c r="D2609" t="str">
        <f t="shared" si="40"/>
        <v>1744500.747</v>
      </c>
      <c r="E2609" t="s">
        <v>2765</v>
      </c>
      <c r="F2609" s="242"/>
      <c r="G2609"/>
      <c r="H2609" s="242">
        <v>2400</v>
      </c>
      <c r="I2609" s="242">
        <v>0</v>
      </c>
      <c r="J2609"/>
    </row>
    <row r="2610" spans="1:10" ht="15.75" customHeight="1">
      <c r="A2610" t="s">
        <v>835</v>
      </c>
      <c r="B2610">
        <v>744500</v>
      </c>
      <c r="C2610">
        <v>1</v>
      </c>
      <c r="D2610" t="str">
        <f t="shared" si="40"/>
        <v>1744500.769</v>
      </c>
      <c r="E2610" t="s">
        <v>2605</v>
      </c>
      <c r="F2610" s="242"/>
      <c r="G2610"/>
      <c r="H2610" s="242">
        <v>0</v>
      </c>
      <c r="I2610" s="242">
        <v>0</v>
      </c>
      <c r="J2610"/>
    </row>
    <row r="2611" spans="1:10" ht="15.75" customHeight="1">
      <c r="A2611" t="s">
        <v>2403</v>
      </c>
      <c r="B2611">
        <v>744520</v>
      </c>
      <c r="C2611">
        <v>1</v>
      </c>
      <c r="D2611" t="str">
        <f t="shared" si="40"/>
        <v>1744520.110</v>
      </c>
      <c r="E2611" t="s">
        <v>2573</v>
      </c>
      <c r="F2611" s="242"/>
      <c r="G2611"/>
      <c r="H2611" s="242">
        <v>329757</v>
      </c>
      <c r="I2611" s="242">
        <v>317742</v>
      </c>
      <c r="J2611"/>
    </row>
    <row r="2612" spans="1:10" ht="15.75" customHeight="1">
      <c r="A2612" t="s">
        <v>2404</v>
      </c>
      <c r="B2612">
        <v>744520</v>
      </c>
      <c r="C2612">
        <v>1</v>
      </c>
      <c r="D2612" t="str">
        <f t="shared" si="40"/>
        <v>1744520.120</v>
      </c>
      <c r="E2612" t="s">
        <v>2574</v>
      </c>
      <c r="F2612" s="242"/>
      <c r="G2612"/>
      <c r="H2612" s="242">
        <v>102348</v>
      </c>
      <c r="I2612" s="242">
        <v>100860</v>
      </c>
      <c r="J2612"/>
    </row>
    <row r="2613" spans="1:10" ht="15.75" customHeight="1">
      <c r="A2613" t="s">
        <v>2575</v>
      </c>
      <c r="B2613">
        <v>744520</v>
      </c>
      <c r="C2613">
        <v>1</v>
      </c>
      <c r="D2613" t="str">
        <f t="shared" si="40"/>
        <v>1744520.130</v>
      </c>
      <c r="E2613" t="s">
        <v>2576</v>
      </c>
      <c r="F2613" s="242"/>
      <c r="G2613"/>
      <c r="H2613" s="242">
        <v>17909</v>
      </c>
      <c r="I2613" s="242">
        <v>13835</v>
      </c>
      <c r="J2613"/>
    </row>
    <row r="2614" spans="1:10" ht="15.75" customHeight="1">
      <c r="A2614" t="s">
        <v>2577</v>
      </c>
      <c r="B2614">
        <v>744520</v>
      </c>
      <c r="C2614">
        <v>1</v>
      </c>
      <c r="D2614" t="str">
        <f t="shared" si="40"/>
        <v>1744520.140</v>
      </c>
      <c r="E2614" t="s">
        <v>2578</v>
      </c>
      <c r="F2614" s="242"/>
      <c r="G2614"/>
      <c r="H2614" s="242">
        <v>70838</v>
      </c>
      <c r="I2614" s="242">
        <v>61250</v>
      </c>
      <c r="J2614"/>
    </row>
    <row r="2615" spans="1:10" ht="15.75" customHeight="1">
      <c r="A2615" t="s">
        <v>2579</v>
      </c>
      <c r="B2615">
        <v>744520</v>
      </c>
      <c r="C2615">
        <v>1</v>
      </c>
      <c r="D2615" t="str">
        <f t="shared" si="40"/>
        <v>1744520.181</v>
      </c>
      <c r="E2615" t="s">
        <v>2580</v>
      </c>
      <c r="F2615" s="242"/>
      <c r="G2615"/>
      <c r="H2615" s="242">
        <v>93164</v>
      </c>
      <c r="I2615" s="242">
        <v>88638</v>
      </c>
      <c r="J2615"/>
    </row>
    <row r="2616" spans="1:10" ht="15.75" customHeight="1">
      <c r="A2616" t="s">
        <v>2581</v>
      </c>
      <c r="B2616">
        <v>744520</v>
      </c>
      <c r="C2616">
        <v>1</v>
      </c>
      <c r="D2616" t="str">
        <f t="shared" si="40"/>
        <v>1744520.182</v>
      </c>
      <c r="E2616" t="s">
        <v>2582</v>
      </c>
      <c r="F2616" s="242"/>
      <c r="G2616"/>
      <c r="H2616" s="242">
        <v>39480</v>
      </c>
      <c r="I2616" s="242">
        <v>37439</v>
      </c>
      <c r="J2616"/>
    </row>
    <row r="2617" spans="1:10" ht="15.75" customHeight="1">
      <c r="A2617" t="s">
        <v>2652</v>
      </c>
      <c r="B2617">
        <v>744520</v>
      </c>
      <c r="C2617">
        <v>1</v>
      </c>
      <c r="D2617" t="str">
        <f t="shared" si="40"/>
        <v>1744520.420</v>
      </c>
      <c r="E2617" t="s">
        <v>2653</v>
      </c>
      <c r="F2617" s="242"/>
      <c r="G2617"/>
      <c r="H2617" s="242">
        <v>11000</v>
      </c>
      <c r="I2617" s="242">
        <v>4050</v>
      </c>
      <c r="J2617"/>
    </row>
    <row r="2618" spans="1:10" ht="15.75" customHeight="1">
      <c r="A2618" t="s">
        <v>1663</v>
      </c>
      <c r="B2618">
        <v>744520</v>
      </c>
      <c r="C2618">
        <v>1</v>
      </c>
      <c r="D2618" t="str">
        <f t="shared" si="40"/>
        <v>1744520.431</v>
      </c>
      <c r="E2618" t="s">
        <v>3699</v>
      </c>
      <c r="F2618" s="242"/>
      <c r="G2618"/>
      <c r="H2618" s="242">
        <v>10300</v>
      </c>
      <c r="I2618" s="242">
        <v>10989</v>
      </c>
      <c r="J2618"/>
    </row>
    <row r="2619" spans="1:10" ht="15.75" customHeight="1">
      <c r="A2619" t="s">
        <v>1678</v>
      </c>
      <c r="B2619">
        <v>744520</v>
      </c>
      <c r="C2619">
        <v>1</v>
      </c>
      <c r="D2619" t="str">
        <f t="shared" si="40"/>
        <v>1744520.434</v>
      </c>
      <c r="E2619" t="s">
        <v>2656</v>
      </c>
      <c r="F2619" s="242"/>
      <c r="G2619"/>
      <c r="H2619" s="242">
        <v>20000</v>
      </c>
      <c r="I2619" s="242">
        <v>19336</v>
      </c>
      <c r="J2619"/>
    </row>
    <row r="2620" spans="1:10" ht="15.75" customHeight="1">
      <c r="A2620" t="s">
        <v>2286</v>
      </c>
      <c r="B2620">
        <v>744520</v>
      </c>
      <c r="C2620">
        <v>1</v>
      </c>
      <c r="D2620" t="str">
        <f t="shared" si="40"/>
        <v>1744520.511</v>
      </c>
      <c r="E2620" t="s">
        <v>2584</v>
      </c>
      <c r="F2620" s="242"/>
      <c r="G2620"/>
      <c r="H2620" s="242">
        <v>1500</v>
      </c>
      <c r="I2620" s="242">
        <v>2368</v>
      </c>
      <c r="J2620"/>
    </row>
    <row r="2621" spans="1:10" ht="15.75" customHeight="1">
      <c r="A2621" t="s">
        <v>2590</v>
      </c>
      <c r="B2621">
        <v>744520</v>
      </c>
      <c r="C2621">
        <v>1</v>
      </c>
      <c r="D2621" t="str">
        <f t="shared" si="40"/>
        <v>1744520.523</v>
      </c>
      <c r="E2621" t="s">
        <v>3700</v>
      </c>
      <c r="F2621" s="242"/>
      <c r="G2621"/>
      <c r="H2621" s="242">
        <v>15000</v>
      </c>
      <c r="I2621" s="242">
        <v>15000</v>
      </c>
      <c r="J2621"/>
    </row>
    <row r="2622" spans="1:10" ht="15.75" customHeight="1">
      <c r="A2622" t="s">
        <v>2594</v>
      </c>
      <c r="B2622">
        <v>744520</v>
      </c>
      <c r="C2622">
        <v>1</v>
      </c>
      <c r="D2622" t="str">
        <f t="shared" si="40"/>
        <v>1744520.540</v>
      </c>
      <c r="E2622" t="s">
        <v>3701</v>
      </c>
      <c r="F2622" s="242"/>
      <c r="G2622"/>
      <c r="H2622" s="242">
        <v>6000</v>
      </c>
      <c r="I2622" s="242">
        <v>3847</v>
      </c>
      <c r="J2622"/>
    </row>
    <row r="2623" spans="1:10" ht="15.75" customHeight="1">
      <c r="A2623" t="s">
        <v>2596</v>
      </c>
      <c r="B2623">
        <v>744520</v>
      </c>
      <c r="C2623">
        <v>1</v>
      </c>
      <c r="D2623" t="str">
        <f t="shared" si="40"/>
        <v>1744520.550</v>
      </c>
      <c r="E2623" t="s">
        <v>2597</v>
      </c>
      <c r="F2623" s="242"/>
      <c r="G2623"/>
      <c r="H2623" s="242">
        <v>4000</v>
      </c>
      <c r="I2623" s="242">
        <v>4914</v>
      </c>
      <c r="J2623"/>
    </row>
    <row r="2624" spans="1:10" ht="15.75" customHeight="1">
      <c r="A2624" t="s">
        <v>2598</v>
      </c>
      <c r="B2624">
        <v>744520</v>
      </c>
      <c r="C2624">
        <v>1</v>
      </c>
      <c r="D2624" t="str">
        <f t="shared" si="40"/>
        <v>1744520.561</v>
      </c>
      <c r="E2624" t="s">
        <v>2599</v>
      </c>
      <c r="F2624" s="242"/>
      <c r="G2624"/>
      <c r="H2624" s="242">
        <v>2000</v>
      </c>
      <c r="I2624" s="242">
        <v>1308</v>
      </c>
      <c r="J2624"/>
    </row>
    <row r="2625" spans="1:10" ht="15.75" customHeight="1">
      <c r="A2625" t="s">
        <v>673</v>
      </c>
      <c r="B2625">
        <v>744520</v>
      </c>
      <c r="C2625">
        <v>1</v>
      </c>
      <c r="D2625" t="str">
        <f t="shared" si="40"/>
        <v>1744520.743</v>
      </c>
      <c r="E2625" t="s">
        <v>2622</v>
      </c>
      <c r="F2625" s="242"/>
      <c r="G2625"/>
      <c r="H2625" s="242">
        <v>15000</v>
      </c>
      <c r="I2625" s="242">
        <v>12285</v>
      </c>
      <c r="J2625"/>
    </row>
    <row r="2626" spans="1:10" ht="15.75" customHeight="1">
      <c r="A2626" t="s">
        <v>877</v>
      </c>
      <c r="B2626">
        <v>744520</v>
      </c>
      <c r="C2626">
        <v>1</v>
      </c>
      <c r="D2626" t="str">
        <f t="shared" si="40"/>
        <v>1744520.782</v>
      </c>
      <c r="E2626" t="s">
        <v>3702</v>
      </c>
      <c r="F2626" s="242"/>
      <c r="G2626"/>
      <c r="H2626" s="242">
        <v>0</v>
      </c>
      <c r="I2626" s="242">
        <v>15482</v>
      </c>
      <c r="J2626"/>
    </row>
    <row r="2627" spans="1:10" ht="15.75" customHeight="1">
      <c r="A2627" t="s">
        <v>2674</v>
      </c>
      <c r="B2627">
        <v>744520</v>
      </c>
      <c r="C2627">
        <v>1</v>
      </c>
      <c r="D2627" t="str">
        <f t="shared" ref="D2627:D2690" si="41">C2627&amp;B2627&amp;"."&amp;A2627</f>
        <v>1744520.783</v>
      </c>
      <c r="E2627" t="s">
        <v>3703</v>
      </c>
      <c r="F2627" s="242"/>
      <c r="G2627"/>
      <c r="H2627" s="242">
        <v>30000</v>
      </c>
      <c r="I2627" s="242">
        <v>23414</v>
      </c>
      <c r="J2627"/>
    </row>
    <row r="2628" spans="1:10" ht="15.75" customHeight="1">
      <c r="A2628" t="s">
        <v>2676</v>
      </c>
      <c r="B2628">
        <v>744520</v>
      </c>
      <c r="C2628">
        <v>1</v>
      </c>
      <c r="D2628" t="str">
        <f t="shared" si="41"/>
        <v>1744520.784</v>
      </c>
      <c r="E2628" t="s">
        <v>3704</v>
      </c>
      <c r="F2628" s="242"/>
      <c r="G2628"/>
      <c r="H2628" s="242">
        <v>450000</v>
      </c>
      <c r="I2628" s="242">
        <v>303968</v>
      </c>
      <c r="J2628"/>
    </row>
    <row r="2629" spans="1:10" ht="15.75" customHeight="1">
      <c r="A2629" t="s">
        <v>2403</v>
      </c>
      <c r="B2629">
        <v>746000</v>
      </c>
      <c r="C2629">
        <v>1</v>
      </c>
      <c r="D2629" t="str">
        <f t="shared" si="41"/>
        <v>1746000.110</v>
      </c>
      <c r="E2629" t="s">
        <v>2573</v>
      </c>
      <c r="F2629" s="242"/>
      <c r="G2629"/>
      <c r="H2629" s="242">
        <v>1821988</v>
      </c>
      <c r="I2629" s="242">
        <v>1737331</v>
      </c>
      <c r="J2629"/>
    </row>
    <row r="2630" spans="1:10" ht="15.75" customHeight="1">
      <c r="A2630" t="s">
        <v>2404</v>
      </c>
      <c r="B2630">
        <v>746000</v>
      </c>
      <c r="C2630">
        <v>1</v>
      </c>
      <c r="D2630" t="str">
        <f t="shared" si="41"/>
        <v>1746000.120</v>
      </c>
      <c r="E2630" t="s">
        <v>2574</v>
      </c>
      <c r="F2630" s="242"/>
      <c r="G2630"/>
      <c r="H2630" s="242">
        <v>443620</v>
      </c>
      <c r="I2630" s="242">
        <v>431276</v>
      </c>
      <c r="J2630"/>
    </row>
    <row r="2631" spans="1:10" ht="15.75" customHeight="1">
      <c r="A2631" t="s">
        <v>2575</v>
      </c>
      <c r="B2631">
        <v>746000</v>
      </c>
      <c r="C2631">
        <v>1</v>
      </c>
      <c r="D2631" t="str">
        <f t="shared" si="41"/>
        <v>1746000.130</v>
      </c>
      <c r="E2631" t="s">
        <v>2576</v>
      </c>
      <c r="F2631" s="242"/>
      <c r="G2631"/>
      <c r="H2631" s="242">
        <v>63647</v>
      </c>
      <c r="I2631" s="242">
        <v>51669</v>
      </c>
      <c r="J2631"/>
    </row>
    <row r="2632" spans="1:10" ht="15.75" customHeight="1">
      <c r="A2632" t="s">
        <v>2577</v>
      </c>
      <c r="B2632">
        <v>746000</v>
      </c>
      <c r="C2632">
        <v>1</v>
      </c>
      <c r="D2632" t="str">
        <f t="shared" si="41"/>
        <v>1746000.140</v>
      </c>
      <c r="E2632" t="s">
        <v>2578</v>
      </c>
      <c r="F2632" s="242"/>
      <c r="G2632"/>
      <c r="H2632" s="242">
        <v>572849</v>
      </c>
      <c r="I2632" s="242">
        <v>538684</v>
      </c>
      <c r="J2632"/>
    </row>
    <row r="2633" spans="1:10" ht="15.75" customHeight="1">
      <c r="A2633" t="s">
        <v>2579</v>
      </c>
      <c r="B2633">
        <v>746000</v>
      </c>
      <c r="C2633">
        <v>1</v>
      </c>
      <c r="D2633" t="str">
        <f t="shared" si="41"/>
        <v>1746000.181</v>
      </c>
      <c r="E2633" t="s">
        <v>2580</v>
      </c>
      <c r="F2633" s="242"/>
      <c r="G2633"/>
      <c r="H2633" s="242">
        <v>464479</v>
      </c>
      <c r="I2633" s="242">
        <v>437284</v>
      </c>
      <c r="J2633"/>
    </row>
    <row r="2634" spans="1:10" ht="15.75" customHeight="1">
      <c r="A2634" t="s">
        <v>2581</v>
      </c>
      <c r="B2634">
        <v>746000</v>
      </c>
      <c r="C2634">
        <v>1</v>
      </c>
      <c r="D2634" t="str">
        <f t="shared" si="41"/>
        <v>1746000.182</v>
      </c>
      <c r="E2634" t="s">
        <v>2582</v>
      </c>
      <c r="F2634" s="242"/>
      <c r="G2634"/>
      <c r="H2634" s="242">
        <v>219541</v>
      </c>
      <c r="I2634" s="242">
        <v>208691</v>
      </c>
      <c r="J2634"/>
    </row>
    <row r="2635" spans="1:10" ht="15.75" customHeight="1">
      <c r="A2635" t="s">
        <v>2650</v>
      </c>
      <c r="B2635">
        <v>746000</v>
      </c>
      <c r="C2635">
        <v>1</v>
      </c>
      <c r="D2635" t="str">
        <f t="shared" si="41"/>
        <v>1746000.288</v>
      </c>
      <c r="E2635" t="s">
        <v>2651</v>
      </c>
      <c r="F2635" s="242"/>
      <c r="G2635"/>
      <c r="H2635" s="242">
        <v>24900</v>
      </c>
      <c r="I2635" s="242">
        <v>23553</v>
      </c>
      <c r="J2635"/>
    </row>
    <row r="2636" spans="1:10" ht="15.75" customHeight="1">
      <c r="A2636" t="s">
        <v>2652</v>
      </c>
      <c r="B2636">
        <v>746000</v>
      </c>
      <c r="C2636">
        <v>1</v>
      </c>
      <c r="D2636" t="str">
        <f t="shared" si="41"/>
        <v>1746000.420</v>
      </c>
      <c r="E2636" t="s">
        <v>2653</v>
      </c>
      <c r="F2636" s="242"/>
      <c r="G2636"/>
      <c r="H2636" s="242">
        <v>31500</v>
      </c>
      <c r="I2636" s="242">
        <v>0</v>
      </c>
      <c r="J2636"/>
    </row>
    <row r="2637" spans="1:10" ht="15.75" customHeight="1">
      <c r="A2637" t="s">
        <v>1663</v>
      </c>
      <c r="B2637">
        <v>746000</v>
      </c>
      <c r="C2637">
        <v>1</v>
      </c>
      <c r="D2637" t="str">
        <f t="shared" si="41"/>
        <v>1746000.431</v>
      </c>
      <c r="E2637" t="s">
        <v>2654</v>
      </c>
      <c r="F2637" s="242"/>
      <c r="G2637"/>
      <c r="H2637" s="242">
        <v>22400</v>
      </c>
      <c r="I2637" s="242">
        <v>19183</v>
      </c>
      <c r="J2637"/>
    </row>
    <row r="2638" spans="1:10" ht="15.75" customHeight="1">
      <c r="A2638" t="s">
        <v>1673</v>
      </c>
      <c r="B2638">
        <v>746000</v>
      </c>
      <c r="C2638">
        <v>1</v>
      </c>
      <c r="D2638" t="str">
        <f t="shared" si="41"/>
        <v>1746000.433</v>
      </c>
      <c r="E2638" t="s">
        <v>3787</v>
      </c>
      <c r="F2638" s="242"/>
      <c r="G2638"/>
      <c r="H2638" s="242">
        <v>1000</v>
      </c>
      <c r="I2638" s="242">
        <v>902</v>
      </c>
      <c r="J2638"/>
    </row>
    <row r="2639" spans="1:10" ht="15.75" customHeight="1">
      <c r="A2639" t="s">
        <v>1678</v>
      </c>
      <c r="B2639">
        <v>746000</v>
      </c>
      <c r="C2639">
        <v>1</v>
      </c>
      <c r="D2639" t="str">
        <f t="shared" si="41"/>
        <v>1746000.434</v>
      </c>
      <c r="E2639" t="s">
        <v>2656</v>
      </c>
      <c r="F2639" s="242"/>
      <c r="G2639"/>
      <c r="H2639" s="242">
        <v>30000</v>
      </c>
      <c r="I2639" s="242">
        <v>29552</v>
      </c>
      <c r="J2639"/>
    </row>
    <row r="2640" spans="1:10" ht="15.75" customHeight="1">
      <c r="A2640" t="s">
        <v>2606</v>
      </c>
      <c r="B2640">
        <v>746000</v>
      </c>
      <c r="C2640">
        <v>1</v>
      </c>
      <c r="D2640" t="str">
        <f t="shared" si="41"/>
        <v>1746000.440</v>
      </c>
      <c r="E2640" t="s">
        <v>2657</v>
      </c>
      <c r="F2640" s="242"/>
      <c r="G2640"/>
      <c r="H2640" s="242">
        <v>1800</v>
      </c>
      <c r="I2640" s="242">
        <v>1706</v>
      </c>
      <c r="J2640"/>
    </row>
    <row r="2641" spans="1:10" ht="15.75" customHeight="1">
      <c r="A2641" t="s">
        <v>2411</v>
      </c>
      <c r="B2641">
        <v>746000</v>
      </c>
      <c r="C2641">
        <v>1</v>
      </c>
      <c r="D2641" t="str">
        <f t="shared" si="41"/>
        <v>1746000.470</v>
      </c>
      <c r="E2641" t="s">
        <v>2660</v>
      </c>
      <c r="F2641" s="242"/>
      <c r="G2641"/>
      <c r="H2641" s="242">
        <v>2000</v>
      </c>
      <c r="I2641" s="242">
        <v>1648</v>
      </c>
      <c r="J2641"/>
    </row>
    <row r="2642" spans="1:10" ht="15.75" customHeight="1">
      <c r="A2642" t="s">
        <v>2286</v>
      </c>
      <c r="B2642">
        <v>746000</v>
      </c>
      <c r="C2642">
        <v>1</v>
      </c>
      <c r="D2642" t="str">
        <f t="shared" si="41"/>
        <v>1746000.511</v>
      </c>
      <c r="E2642" t="s">
        <v>2584</v>
      </c>
      <c r="F2642" s="242"/>
      <c r="G2642"/>
      <c r="H2642" s="242">
        <v>1900</v>
      </c>
      <c r="I2642" s="242">
        <v>1985</v>
      </c>
      <c r="J2642"/>
    </row>
    <row r="2643" spans="1:10" ht="15.75" customHeight="1">
      <c r="A2643" t="s">
        <v>2414</v>
      </c>
      <c r="B2643">
        <v>746000</v>
      </c>
      <c r="C2643">
        <v>1</v>
      </c>
      <c r="D2643" t="str">
        <f t="shared" si="41"/>
        <v>1746000.512</v>
      </c>
      <c r="E2643" t="s">
        <v>2585</v>
      </c>
      <c r="F2643" s="242"/>
      <c r="G2643"/>
      <c r="H2643" s="242">
        <v>2000</v>
      </c>
      <c r="I2643" s="242">
        <v>0</v>
      </c>
      <c r="J2643"/>
    </row>
    <row r="2644" spans="1:10" ht="15.75" customHeight="1">
      <c r="A2644" t="s">
        <v>2588</v>
      </c>
      <c r="B2644">
        <v>746000</v>
      </c>
      <c r="C2644">
        <v>1</v>
      </c>
      <c r="D2644" t="str">
        <f t="shared" si="41"/>
        <v>1746000.522</v>
      </c>
      <c r="E2644" t="s">
        <v>2608</v>
      </c>
      <c r="F2644" s="242"/>
      <c r="G2644"/>
      <c r="H2644" s="242">
        <v>1000</v>
      </c>
      <c r="I2644" s="242">
        <v>0</v>
      </c>
      <c r="J2644"/>
    </row>
    <row r="2645" spans="1:10" ht="15.75" customHeight="1">
      <c r="A2645" t="s">
        <v>2590</v>
      </c>
      <c r="B2645">
        <v>746000</v>
      </c>
      <c r="C2645">
        <v>1</v>
      </c>
      <c r="D2645" t="str">
        <f t="shared" si="41"/>
        <v>1746000.523</v>
      </c>
      <c r="E2645" t="s">
        <v>2615</v>
      </c>
      <c r="F2645" s="242"/>
      <c r="G2645"/>
      <c r="H2645" s="242">
        <v>3000</v>
      </c>
      <c r="I2645" s="242">
        <v>0</v>
      </c>
      <c r="J2645"/>
    </row>
    <row r="2646" spans="1:10" ht="15.75" customHeight="1">
      <c r="A2646" t="s">
        <v>2594</v>
      </c>
      <c r="B2646">
        <v>746000</v>
      </c>
      <c r="C2646">
        <v>1</v>
      </c>
      <c r="D2646" t="str">
        <f t="shared" si="41"/>
        <v>1746000.540</v>
      </c>
      <c r="E2646" t="s">
        <v>2595</v>
      </c>
      <c r="F2646" s="242"/>
      <c r="G2646"/>
      <c r="H2646" s="242">
        <v>31000</v>
      </c>
      <c r="I2646" s="242">
        <v>26337</v>
      </c>
      <c r="J2646"/>
    </row>
    <row r="2647" spans="1:10" ht="15.75" customHeight="1">
      <c r="A2647" t="s">
        <v>2598</v>
      </c>
      <c r="B2647">
        <v>746000</v>
      </c>
      <c r="C2647">
        <v>1</v>
      </c>
      <c r="D2647" t="str">
        <f t="shared" si="41"/>
        <v>1746000.561</v>
      </c>
      <c r="E2647" t="s">
        <v>2599</v>
      </c>
      <c r="F2647" s="242"/>
      <c r="G2647"/>
      <c r="H2647" s="242">
        <v>2000</v>
      </c>
      <c r="I2647" s="242">
        <v>1869</v>
      </c>
      <c r="J2647"/>
    </row>
    <row r="2648" spans="1:10" ht="15.75" customHeight="1">
      <c r="A2648" t="s">
        <v>569</v>
      </c>
      <c r="B2648">
        <v>746000</v>
      </c>
      <c r="C2648">
        <v>1</v>
      </c>
      <c r="D2648" t="str">
        <f t="shared" si="41"/>
        <v>1746000.725</v>
      </c>
      <c r="E2648" t="s">
        <v>3788</v>
      </c>
      <c r="F2648" s="242"/>
      <c r="G2648"/>
      <c r="H2648" s="242">
        <v>9000</v>
      </c>
      <c r="I2648" s="242">
        <v>0</v>
      </c>
      <c r="J2648"/>
    </row>
    <row r="2649" spans="1:10" ht="15.75" customHeight="1">
      <c r="A2649" t="s">
        <v>3164</v>
      </c>
      <c r="B2649">
        <v>746000</v>
      </c>
      <c r="C2649">
        <v>1</v>
      </c>
      <c r="D2649" t="str">
        <f t="shared" si="41"/>
        <v>1746000.728</v>
      </c>
      <c r="E2649" t="s">
        <v>3789</v>
      </c>
      <c r="F2649" s="242"/>
      <c r="G2649"/>
      <c r="H2649" s="242">
        <v>9000</v>
      </c>
      <c r="I2649" s="242">
        <v>6654</v>
      </c>
      <c r="J2649"/>
    </row>
    <row r="2650" spans="1:10" ht="15.75" customHeight="1">
      <c r="A2650" t="s">
        <v>600</v>
      </c>
      <c r="B2650">
        <v>746000</v>
      </c>
      <c r="C2650">
        <v>1</v>
      </c>
      <c r="D2650" t="str">
        <f t="shared" si="41"/>
        <v>1746000.731</v>
      </c>
      <c r="E2650" t="s">
        <v>2593</v>
      </c>
      <c r="F2650" s="242"/>
      <c r="G2650"/>
      <c r="H2650" s="242">
        <v>24540</v>
      </c>
      <c r="I2650" s="242">
        <v>18313</v>
      </c>
      <c r="J2650"/>
    </row>
    <row r="2651" spans="1:10" ht="15.75" customHeight="1">
      <c r="A2651" t="s">
        <v>2418</v>
      </c>
      <c r="B2651">
        <v>746000</v>
      </c>
      <c r="C2651">
        <v>1</v>
      </c>
      <c r="D2651" t="str">
        <f t="shared" si="41"/>
        <v>1746000.735</v>
      </c>
      <c r="E2651" t="s">
        <v>2667</v>
      </c>
      <c r="F2651" s="242"/>
      <c r="G2651"/>
      <c r="H2651" s="242">
        <v>49462</v>
      </c>
      <c r="I2651" s="242">
        <v>73056</v>
      </c>
      <c r="J2651"/>
    </row>
    <row r="2652" spans="1:10" ht="15.75" customHeight="1">
      <c r="A2652" t="s">
        <v>658</v>
      </c>
      <c r="B2652">
        <v>746000</v>
      </c>
      <c r="C2652">
        <v>1</v>
      </c>
      <c r="D2652" t="str">
        <f t="shared" si="41"/>
        <v>1746000.742</v>
      </c>
      <c r="E2652" t="s">
        <v>3790</v>
      </c>
      <c r="F2652" s="242"/>
      <c r="G2652"/>
      <c r="H2652" s="242">
        <v>12000</v>
      </c>
      <c r="I2652" s="242">
        <v>12597</v>
      </c>
      <c r="J2652"/>
    </row>
    <row r="2653" spans="1:10" ht="15.75" customHeight="1">
      <c r="A2653" t="s">
        <v>673</v>
      </c>
      <c r="B2653">
        <v>746000</v>
      </c>
      <c r="C2653">
        <v>1</v>
      </c>
      <c r="D2653" t="str">
        <f t="shared" si="41"/>
        <v>1746000.743</v>
      </c>
      <c r="E2653" t="s">
        <v>3791</v>
      </c>
      <c r="F2653" s="242"/>
      <c r="G2653"/>
      <c r="H2653" s="242">
        <v>23000</v>
      </c>
      <c r="I2653" s="242">
        <v>2021</v>
      </c>
      <c r="J2653"/>
    </row>
    <row r="2654" spans="1:10" ht="15.75" customHeight="1">
      <c r="A2654" t="s">
        <v>737</v>
      </c>
      <c r="B2654">
        <v>746000</v>
      </c>
      <c r="C2654">
        <v>1</v>
      </c>
      <c r="D2654" t="str">
        <f t="shared" si="41"/>
        <v>1746000.747</v>
      </c>
      <c r="E2654" t="s">
        <v>2765</v>
      </c>
      <c r="F2654" s="242"/>
      <c r="G2654"/>
      <c r="H2654" s="242">
        <v>5000</v>
      </c>
      <c r="I2654" s="242">
        <v>1473</v>
      </c>
      <c r="J2654"/>
    </row>
    <row r="2655" spans="1:10" ht="15.75" customHeight="1">
      <c r="A2655" t="s">
        <v>772</v>
      </c>
      <c r="B2655">
        <v>746000</v>
      </c>
      <c r="C2655">
        <v>1</v>
      </c>
      <c r="D2655" t="str">
        <f t="shared" si="41"/>
        <v>1746000.751</v>
      </c>
      <c r="E2655" t="s">
        <v>4674</v>
      </c>
      <c r="F2655" s="242"/>
      <c r="G2655"/>
      <c r="H2655" s="242">
        <v>13732676</v>
      </c>
      <c r="I2655" s="242">
        <v>13371815</v>
      </c>
      <c r="J2655"/>
    </row>
    <row r="2656" spans="1:10" ht="15.75" customHeight="1">
      <c r="A2656" t="s">
        <v>776</v>
      </c>
      <c r="B2656">
        <v>746000</v>
      </c>
      <c r="C2656">
        <v>1</v>
      </c>
      <c r="D2656" t="str">
        <f t="shared" si="41"/>
        <v>1746000.752</v>
      </c>
      <c r="E2656" t="s">
        <v>3793</v>
      </c>
      <c r="F2656" s="242"/>
      <c r="G2656"/>
      <c r="H2656" s="242">
        <v>200000</v>
      </c>
      <c r="I2656" s="242">
        <v>205628</v>
      </c>
      <c r="J2656"/>
    </row>
    <row r="2657" spans="1:10" ht="15.75" customHeight="1">
      <c r="A2657" t="s">
        <v>781</v>
      </c>
      <c r="B2657">
        <v>746000</v>
      </c>
      <c r="C2657">
        <v>1</v>
      </c>
      <c r="D2657" t="str">
        <f t="shared" si="41"/>
        <v>1746000.753</v>
      </c>
      <c r="E2657" t="s">
        <v>3801</v>
      </c>
      <c r="F2657" s="242"/>
      <c r="G2657"/>
      <c r="H2657" s="242">
        <v>0</v>
      </c>
      <c r="I2657" s="242">
        <v>0</v>
      </c>
      <c r="J2657"/>
    </row>
    <row r="2658" spans="1:10" ht="15.75" customHeight="1">
      <c r="A2658" t="s">
        <v>2670</v>
      </c>
      <c r="B2658">
        <v>746000</v>
      </c>
      <c r="C2658">
        <v>1</v>
      </c>
      <c r="D2658" t="str">
        <f t="shared" si="41"/>
        <v>1746000.755</v>
      </c>
      <c r="E2658" t="s">
        <v>3794</v>
      </c>
      <c r="F2658" s="242"/>
      <c r="G2658"/>
      <c r="H2658" s="242">
        <v>331500</v>
      </c>
      <c r="I2658" s="242">
        <v>320499</v>
      </c>
      <c r="J2658"/>
    </row>
    <row r="2659" spans="1:10" ht="15.75" customHeight="1">
      <c r="A2659" t="s">
        <v>791</v>
      </c>
      <c r="B2659">
        <v>746000</v>
      </c>
      <c r="C2659">
        <v>1</v>
      </c>
      <c r="D2659" t="str">
        <f t="shared" si="41"/>
        <v>1746000.756</v>
      </c>
      <c r="E2659" t="s">
        <v>3795</v>
      </c>
      <c r="F2659" s="242"/>
      <c r="G2659"/>
      <c r="H2659" s="242">
        <v>500</v>
      </c>
      <c r="I2659" s="242">
        <v>0</v>
      </c>
      <c r="J2659"/>
    </row>
    <row r="2660" spans="1:10" ht="15.75" customHeight="1">
      <c r="A2660" t="s">
        <v>2767</v>
      </c>
      <c r="B2660">
        <v>746000</v>
      </c>
      <c r="C2660">
        <v>1</v>
      </c>
      <c r="D2660" t="str">
        <f t="shared" si="41"/>
        <v>1746000.757</v>
      </c>
      <c r="E2660" t="s">
        <v>3796</v>
      </c>
      <c r="F2660" s="242"/>
      <c r="G2660"/>
      <c r="H2660" s="242">
        <v>110000</v>
      </c>
      <c r="I2660" s="242">
        <v>55717</v>
      </c>
      <c r="J2660"/>
    </row>
    <row r="2661" spans="1:10" ht="15.75" customHeight="1">
      <c r="A2661" t="s">
        <v>2801</v>
      </c>
      <c r="B2661">
        <v>746000</v>
      </c>
      <c r="C2661">
        <v>1</v>
      </c>
      <c r="D2661" t="str">
        <f t="shared" si="41"/>
        <v>1746000.758</v>
      </c>
      <c r="E2661" t="s">
        <v>3797</v>
      </c>
      <c r="F2661" s="242"/>
      <c r="G2661"/>
      <c r="H2661" s="242">
        <v>600000</v>
      </c>
      <c r="I2661" s="242">
        <v>253395</v>
      </c>
      <c r="J2661"/>
    </row>
    <row r="2662" spans="1:10" ht="15.75" customHeight="1">
      <c r="A2662" t="s">
        <v>835</v>
      </c>
      <c r="B2662">
        <v>746000</v>
      </c>
      <c r="C2662">
        <v>1</v>
      </c>
      <c r="D2662" t="str">
        <f t="shared" si="41"/>
        <v>1746000.769</v>
      </c>
      <c r="E2662" t="s">
        <v>2605</v>
      </c>
      <c r="F2662" s="242"/>
      <c r="G2662"/>
      <c r="H2662" s="242">
        <v>38000</v>
      </c>
      <c r="I2662" s="242">
        <v>19993</v>
      </c>
      <c r="J2662"/>
    </row>
    <row r="2663" spans="1:10" ht="15.75" customHeight="1">
      <c r="A2663" t="s">
        <v>849</v>
      </c>
      <c r="B2663">
        <v>746000</v>
      </c>
      <c r="C2663">
        <v>1</v>
      </c>
      <c r="D2663" t="str">
        <f t="shared" si="41"/>
        <v>1746000.772</v>
      </c>
      <c r="E2663" t="s">
        <v>3798</v>
      </c>
      <c r="F2663" s="242"/>
      <c r="G2663"/>
      <c r="H2663" s="242">
        <v>8500000</v>
      </c>
      <c r="I2663" s="242">
        <v>9289507</v>
      </c>
      <c r="J2663"/>
    </row>
    <row r="2664" spans="1:10" ht="15.75" customHeight="1">
      <c r="A2664" t="s">
        <v>2632</v>
      </c>
      <c r="B2664">
        <v>746000</v>
      </c>
      <c r="C2664">
        <v>1</v>
      </c>
      <c r="D2664" t="str">
        <f t="shared" si="41"/>
        <v>1746000.780</v>
      </c>
      <c r="E2664" t="s">
        <v>3799</v>
      </c>
      <c r="F2664" s="242"/>
      <c r="G2664"/>
      <c r="H2664" s="242">
        <v>20000</v>
      </c>
      <c r="I2664" s="242">
        <v>0</v>
      </c>
      <c r="J2664"/>
    </row>
    <row r="2665" spans="1:10" ht="15.75" customHeight="1">
      <c r="A2665" t="s">
        <v>877</v>
      </c>
      <c r="B2665">
        <v>746000</v>
      </c>
      <c r="C2665">
        <v>1</v>
      </c>
      <c r="D2665" t="str">
        <f t="shared" si="41"/>
        <v>1746000.782</v>
      </c>
      <c r="E2665" t="s">
        <v>2675</v>
      </c>
      <c r="F2665" s="242"/>
      <c r="G2665"/>
      <c r="H2665" s="242">
        <v>1000</v>
      </c>
      <c r="I2665" s="242">
        <v>0</v>
      </c>
      <c r="J2665"/>
    </row>
    <row r="2666" spans="1:10" ht="15.75" customHeight="1">
      <c r="A2666" t="s">
        <v>2611</v>
      </c>
      <c r="B2666">
        <v>746100</v>
      </c>
      <c r="C2666">
        <v>1</v>
      </c>
      <c r="D2666" t="str">
        <f t="shared" si="41"/>
        <v>1746100.750</v>
      </c>
      <c r="E2666" t="s">
        <v>3800</v>
      </c>
      <c r="F2666" s="242"/>
      <c r="G2666"/>
      <c r="H2666" s="242">
        <v>0</v>
      </c>
      <c r="I2666" s="242">
        <v>125000</v>
      </c>
      <c r="J2666"/>
    </row>
    <row r="2667" spans="1:10" ht="15.75" customHeight="1">
      <c r="A2667" t="s">
        <v>2403</v>
      </c>
      <c r="B2667">
        <v>746300</v>
      </c>
      <c r="C2667">
        <v>1</v>
      </c>
      <c r="D2667" t="str">
        <f t="shared" si="41"/>
        <v>1746300.110</v>
      </c>
      <c r="E2667" t="s">
        <v>2573</v>
      </c>
      <c r="F2667" s="242"/>
      <c r="G2667"/>
      <c r="H2667" s="242">
        <v>75525</v>
      </c>
      <c r="I2667" s="242">
        <v>44142</v>
      </c>
      <c r="J2667"/>
    </row>
    <row r="2668" spans="1:10" ht="15.75" customHeight="1">
      <c r="A2668" t="s">
        <v>2404</v>
      </c>
      <c r="B2668">
        <v>746300</v>
      </c>
      <c r="C2668">
        <v>1</v>
      </c>
      <c r="D2668" t="str">
        <f t="shared" si="41"/>
        <v>1746300.120</v>
      </c>
      <c r="E2668" t="s">
        <v>2574</v>
      </c>
      <c r="F2668" s="242"/>
      <c r="G2668"/>
      <c r="H2668" s="242">
        <v>4330</v>
      </c>
      <c r="I2668" s="242">
        <v>2325</v>
      </c>
      <c r="J2668"/>
    </row>
    <row r="2669" spans="1:10" ht="15.75" customHeight="1">
      <c r="A2669" t="s">
        <v>2575</v>
      </c>
      <c r="B2669">
        <v>746300</v>
      </c>
      <c r="C2669">
        <v>1</v>
      </c>
      <c r="D2669" t="str">
        <f t="shared" si="41"/>
        <v>1746300.130</v>
      </c>
      <c r="E2669" t="s">
        <v>2576</v>
      </c>
      <c r="F2669" s="242"/>
      <c r="G2669"/>
      <c r="H2669" s="242">
        <v>1704</v>
      </c>
      <c r="I2669" s="242">
        <v>2477</v>
      </c>
      <c r="J2669"/>
    </row>
    <row r="2670" spans="1:10" ht="15.75" customHeight="1">
      <c r="A2670" t="s">
        <v>2577</v>
      </c>
      <c r="B2670">
        <v>746300</v>
      </c>
      <c r="C2670">
        <v>1</v>
      </c>
      <c r="D2670" t="str">
        <f t="shared" si="41"/>
        <v>1746300.140</v>
      </c>
      <c r="E2670" t="s">
        <v>2578</v>
      </c>
      <c r="F2670" s="242"/>
      <c r="G2670"/>
      <c r="H2670" s="242">
        <v>21550</v>
      </c>
      <c r="I2670" s="242">
        <v>10633</v>
      </c>
      <c r="J2670"/>
    </row>
    <row r="2671" spans="1:10" ht="15.75" customHeight="1">
      <c r="A2671" t="s">
        <v>2579</v>
      </c>
      <c r="B2671">
        <v>746300</v>
      </c>
      <c r="C2671">
        <v>1</v>
      </c>
      <c r="D2671" t="str">
        <f t="shared" si="41"/>
        <v>1746300.181</v>
      </c>
      <c r="E2671" t="s">
        <v>2580</v>
      </c>
      <c r="F2671" s="242"/>
      <c r="G2671"/>
      <c r="H2671" s="242">
        <v>24939</v>
      </c>
      <c r="I2671" s="242">
        <v>13042</v>
      </c>
      <c r="J2671"/>
    </row>
    <row r="2672" spans="1:10" ht="15.75" customHeight="1">
      <c r="A2672" t="s">
        <v>2581</v>
      </c>
      <c r="B2672">
        <v>746300</v>
      </c>
      <c r="C2672">
        <v>1</v>
      </c>
      <c r="D2672" t="str">
        <f t="shared" si="41"/>
        <v>1746300.182</v>
      </c>
      <c r="E2672" t="s">
        <v>2582</v>
      </c>
      <c r="F2672" s="242"/>
      <c r="G2672"/>
      <c r="H2672" s="242">
        <v>7733</v>
      </c>
      <c r="I2672" s="242">
        <v>4493</v>
      </c>
      <c r="J2672"/>
    </row>
    <row r="2673" spans="1:10" ht="15.75" customHeight="1">
      <c r="A2673" t="s">
        <v>600</v>
      </c>
      <c r="B2673">
        <v>746300</v>
      </c>
      <c r="C2673">
        <v>1</v>
      </c>
      <c r="D2673" t="str">
        <f t="shared" si="41"/>
        <v>1746300.731</v>
      </c>
      <c r="E2673" t="s">
        <v>2593</v>
      </c>
      <c r="F2673" s="242"/>
      <c r="G2673"/>
      <c r="H2673" s="242">
        <v>22278</v>
      </c>
      <c r="I2673" s="242">
        <v>9275</v>
      </c>
      <c r="J2673"/>
    </row>
    <row r="2674" spans="1:10" ht="15.75" customHeight="1">
      <c r="A2674" t="s">
        <v>2418</v>
      </c>
      <c r="B2674">
        <v>746300</v>
      </c>
      <c r="C2674">
        <v>1</v>
      </c>
      <c r="D2674" t="str">
        <f t="shared" si="41"/>
        <v>1746300.735</v>
      </c>
      <c r="E2674" t="s">
        <v>2602</v>
      </c>
      <c r="F2674" s="242"/>
      <c r="G2674"/>
      <c r="H2674" s="242">
        <v>20611</v>
      </c>
      <c r="I2674" s="242">
        <v>17450</v>
      </c>
      <c r="J2674"/>
    </row>
    <row r="2675" spans="1:10" ht="15.75" customHeight="1">
      <c r="A2675" t="s">
        <v>673</v>
      </c>
      <c r="B2675">
        <v>746300</v>
      </c>
      <c r="C2675">
        <v>1</v>
      </c>
      <c r="D2675" t="str">
        <f t="shared" si="41"/>
        <v>1746300.743</v>
      </c>
      <c r="E2675" t="s">
        <v>2622</v>
      </c>
      <c r="F2675" s="242"/>
      <c r="G2675"/>
      <c r="H2675" s="242">
        <v>0</v>
      </c>
      <c r="I2675" s="242">
        <v>0</v>
      </c>
      <c r="J2675"/>
    </row>
    <row r="2676" spans="1:10" ht="15.75" customHeight="1">
      <c r="A2676" t="s">
        <v>2767</v>
      </c>
      <c r="B2676">
        <v>746300</v>
      </c>
      <c r="C2676">
        <v>1</v>
      </c>
      <c r="D2676" t="str">
        <f t="shared" si="41"/>
        <v>1746300.757</v>
      </c>
      <c r="E2676" t="s">
        <v>4657</v>
      </c>
      <c r="F2676" s="242"/>
      <c r="G2676"/>
      <c r="H2676" s="242">
        <v>820295</v>
      </c>
      <c r="I2676" s="242">
        <v>473230</v>
      </c>
      <c r="J2676"/>
    </row>
    <row r="2677" spans="1:10" ht="15.75" customHeight="1">
      <c r="A2677" t="s">
        <v>844</v>
      </c>
      <c r="B2677">
        <v>746300</v>
      </c>
      <c r="C2677">
        <v>1</v>
      </c>
      <c r="D2677" t="str">
        <f t="shared" si="41"/>
        <v>1746300.771</v>
      </c>
      <c r="E2677" t="s">
        <v>4658</v>
      </c>
      <c r="F2677" s="242"/>
      <c r="G2677"/>
      <c r="H2677" s="242">
        <v>180000</v>
      </c>
      <c r="I2677" s="242">
        <v>170328</v>
      </c>
      <c r="J2677"/>
    </row>
    <row r="2678" spans="1:10" ht="15.75" customHeight="1">
      <c r="A2678" t="s">
        <v>849</v>
      </c>
      <c r="B2678">
        <v>746300</v>
      </c>
      <c r="C2678">
        <v>1</v>
      </c>
      <c r="D2678" t="str">
        <f t="shared" si="41"/>
        <v>1746300.772</v>
      </c>
      <c r="E2678" t="s">
        <v>4659</v>
      </c>
      <c r="F2678" s="242"/>
      <c r="G2678"/>
      <c r="H2678" s="242">
        <v>400000</v>
      </c>
      <c r="I2678" s="242">
        <v>367766</v>
      </c>
      <c r="J2678"/>
    </row>
    <row r="2679" spans="1:10" ht="15.75" customHeight="1">
      <c r="A2679" t="s">
        <v>1712</v>
      </c>
      <c r="B2679">
        <v>746400</v>
      </c>
      <c r="C2679">
        <v>1</v>
      </c>
      <c r="D2679" t="str">
        <f t="shared" si="41"/>
        <v>1746400.442</v>
      </c>
      <c r="E2679" t="s">
        <v>2813</v>
      </c>
      <c r="F2679" s="242"/>
      <c r="G2679"/>
      <c r="H2679" s="242">
        <v>0</v>
      </c>
      <c r="I2679" s="242">
        <v>0</v>
      </c>
      <c r="J2679"/>
    </row>
    <row r="2680" spans="1:10" ht="15.75" customHeight="1">
      <c r="A2680" t="s">
        <v>2611</v>
      </c>
      <c r="B2680">
        <v>746400</v>
      </c>
      <c r="C2680">
        <v>1</v>
      </c>
      <c r="D2680" t="str">
        <f t="shared" si="41"/>
        <v>1746400.750</v>
      </c>
      <c r="E2680" t="s">
        <v>3801</v>
      </c>
      <c r="F2680" s="242"/>
      <c r="G2680"/>
      <c r="H2680" s="242">
        <v>950000</v>
      </c>
      <c r="I2680" s="242">
        <v>1214137</v>
      </c>
      <c r="J2680"/>
    </row>
    <row r="2681" spans="1:10" ht="15.75" customHeight="1">
      <c r="A2681" t="s">
        <v>2403</v>
      </c>
      <c r="B2681">
        <v>749000</v>
      </c>
      <c r="C2681">
        <v>1</v>
      </c>
      <c r="D2681" t="str">
        <f t="shared" si="41"/>
        <v>1749000.110</v>
      </c>
      <c r="E2681" t="s">
        <v>2573</v>
      </c>
      <c r="F2681" s="242"/>
      <c r="G2681"/>
      <c r="H2681" s="242">
        <v>157568</v>
      </c>
      <c r="I2681" s="242">
        <v>173554</v>
      </c>
      <c r="J2681"/>
    </row>
    <row r="2682" spans="1:10" ht="15.75" customHeight="1">
      <c r="A2682" t="s">
        <v>2404</v>
      </c>
      <c r="B2682">
        <v>749000</v>
      </c>
      <c r="C2682">
        <v>1</v>
      </c>
      <c r="D2682" t="str">
        <f t="shared" si="41"/>
        <v>1749000.120</v>
      </c>
      <c r="E2682" t="s">
        <v>2574</v>
      </c>
      <c r="F2682" s="242"/>
      <c r="G2682"/>
      <c r="H2682" s="242">
        <v>79358</v>
      </c>
      <c r="I2682" s="242">
        <v>90492</v>
      </c>
      <c r="J2682"/>
    </row>
    <row r="2683" spans="1:10" ht="15.75" customHeight="1">
      <c r="A2683" t="s">
        <v>2575</v>
      </c>
      <c r="B2683">
        <v>749000</v>
      </c>
      <c r="C2683">
        <v>1</v>
      </c>
      <c r="D2683" t="str">
        <f t="shared" si="41"/>
        <v>1749000.130</v>
      </c>
      <c r="E2683" t="s">
        <v>2576</v>
      </c>
      <c r="F2683" s="242"/>
      <c r="G2683"/>
      <c r="H2683" s="242">
        <v>29799</v>
      </c>
      <c r="I2683" s="242">
        <v>29272</v>
      </c>
      <c r="J2683"/>
    </row>
    <row r="2684" spans="1:10" ht="15.75" customHeight="1">
      <c r="A2684" t="s">
        <v>2577</v>
      </c>
      <c r="B2684">
        <v>749000</v>
      </c>
      <c r="C2684">
        <v>1</v>
      </c>
      <c r="D2684" t="str">
        <f t="shared" si="41"/>
        <v>1749000.140</v>
      </c>
      <c r="E2684" t="s">
        <v>2578</v>
      </c>
      <c r="F2684" s="242"/>
      <c r="G2684"/>
      <c r="H2684" s="242">
        <v>52476</v>
      </c>
      <c r="I2684" s="242">
        <v>59760</v>
      </c>
      <c r="J2684"/>
    </row>
    <row r="2685" spans="1:10" ht="15.75" customHeight="1">
      <c r="A2685" t="s">
        <v>2579</v>
      </c>
      <c r="B2685">
        <v>749000</v>
      </c>
      <c r="C2685">
        <v>1</v>
      </c>
      <c r="D2685" t="str">
        <f t="shared" si="41"/>
        <v>1749000.181</v>
      </c>
      <c r="E2685" t="s">
        <v>2959</v>
      </c>
      <c r="F2685" s="242"/>
      <c r="G2685"/>
      <c r="H2685" s="242">
        <v>48263</v>
      </c>
      <c r="I2685" s="242">
        <v>52487</v>
      </c>
      <c r="J2685"/>
    </row>
    <row r="2686" spans="1:10" ht="15.75" customHeight="1">
      <c r="A2686" t="s">
        <v>2581</v>
      </c>
      <c r="B2686">
        <v>749000</v>
      </c>
      <c r="C2686">
        <v>1</v>
      </c>
      <c r="D2686" t="str">
        <f t="shared" si="41"/>
        <v>1749000.182</v>
      </c>
      <c r="E2686" t="s">
        <v>2582</v>
      </c>
      <c r="F2686" s="242"/>
      <c r="G2686"/>
      <c r="H2686" s="242">
        <v>24098</v>
      </c>
      <c r="I2686" s="242">
        <v>26649</v>
      </c>
      <c r="J2686"/>
    </row>
    <row r="2687" spans="1:10" ht="15.75" customHeight="1">
      <c r="A2687" t="s">
        <v>2704</v>
      </c>
      <c r="B2687">
        <v>749000</v>
      </c>
      <c r="C2687">
        <v>1</v>
      </c>
      <c r="D2687" t="str">
        <f t="shared" si="41"/>
        <v>1749000.720</v>
      </c>
      <c r="E2687" t="s">
        <v>2964</v>
      </c>
      <c r="F2687" s="242"/>
      <c r="G2687"/>
      <c r="H2687" s="242">
        <v>15000</v>
      </c>
      <c r="I2687" s="242">
        <v>12812</v>
      </c>
      <c r="J2687"/>
    </row>
    <row r="2688" spans="1:10" ht="15.75" customHeight="1">
      <c r="A2688" t="s">
        <v>673</v>
      </c>
      <c r="B2688">
        <v>749000</v>
      </c>
      <c r="C2688">
        <v>1</v>
      </c>
      <c r="D2688" t="str">
        <f t="shared" si="41"/>
        <v>1749000.743</v>
      </c>
      <c r="E2688" t="s">
        <v>2622</v>
      </c>
      <c r="F2688" s="242"/>
      <c r="G2688"/>
      <c r="H2688" s="242">
        <v>17000</v>
      </c>
      <c r="I2688" s="242">
        <v>15562</v>
      </c>
      <c r="J2688"/>
    </row>
    <row r="2689" spans="1:10" ht="15.75" customHeight="1">
      <c r="A2689" t="s">
        <v>2403</v>
      </c>
      <c r="B2689">
        <v>749100</v>
      </c>
      <c r="C2689">
        <v>1</v>
      </c>
      <c r="D2689" t="str">
        <f t="shared" si="41"/>
        <v>1749100.110</v>
      </c>
      <c r="E2689" t="s">
        <v>2573</v>
      </c>
      <c r="F2689" s="242"/>
      <c r="G2689"/>
      <c r="H2689" s="242">
        <v>2155443</v>
      </c>
      <c r="I2689" s="242">
        <v>1971071</v>
      </c>
      <c r="J2689"/>
    </row>
    <row r="2690" spans="1:10" ht="15.75" customHeight="1">
      <c r="A2690" t="s">
        <v>2404</v>
      </c>
      <c r="B2690">
        <v>749100</v>
      </c>
      <c r="C2690">
        <v>1</v>
      </c>
      <c r="D2690" t="str">
        <f t="shared" si="41"/>
        <v>1749100.120</v>
      </c>
      <c r="E2690" t="s">
        <v>2574</v>
      </c>
      <c r="F2690" s="242"/>
      <c r="G2690"/>
      <c r="H2690" s="242">
        <v>341692</v>
      </c>
      <c r="I2690" s="242">
        <v>324774</v>
      </c>
      <c r="J2690"/>
    </row>
    <row r="2691" spans="1:10" ht="15.75" customHeight="1">
      <c r="A2691" t="s">
        <v>2575</v>
      </c>
      <c r="B2691">
        <v>749100</v>
      </c>
      <c r="C2691">
        <v>1</v>
      </c>
      <c r="D2691" t="str">
        <f t="shared" ref="D2691:D2754" si="42">C2691&amp;B2691&amp;"."&amp;A2691</f>
        <v>1749100.130</v>
      </c>
      <c r="E2691" t="s">
        <v>2576</v>
      </c>
      <c r="F2691" s="242"/>
      <c r="G2691"/>
      <c r="H2691" s="242">
        <v>30386</v>
      </c>
      <c r="I2691" s="242">
        <v>32852</v>
      </c>
      <c r="J2691"/>
    </row>
    <row r="2692" spans="1:10" ht="15.75" customHeight="1">
      <c r="A2692" t="s">
        <v>2577</v>
      </c>
      <c r="B2692">
        <v>749100</v>
      </c>
      <c r="C2692">
        <v>1</v>
      </c>
      <c r="D2692" t="str">
        <f t="shared" si="42"/>
        <v>1749100.140</v>
      </c>
      <c r="E2692" t="s">
        <v>2578</v>
      </c>
      <c r="F2692" s="242"/>
      <c r="G2692"/>
      <c r="H2692" s="242">
        <v>225858</v>
      </c>
      <c r="I2692" s="242">
        <v>236309</v>
      </c>
      <c r="J2692"/>
    </row>
    <row r="2693" spans="1:10" ht="15.75" customHeight="1">
      <c r="A2693" t="s">
        <v>2579</v>
      </c>
      <c r="B2693">
        <v>749100</v>
      </c>
      <c r="C2693">
        <v>1</v>
      </c>
      <c r="D2693" t="str">
        <f t="shared" si="42"/>
        <v>1749100.181</v>
      </c>
      <c r="E2693" t="s">
        <v>2580</v>
      </c>
      <c r="F2693" s="242"/>
      <c r="G2693"/>
      <c r="H2693" s="242">
        <v>463109</v>
      </c>
      <c r="I2693" s="242">
        <v>433177</v>
      </c>
      <c r="J2693"/>
    </row>
    <row r="2694" spans="1:10" ht="15.75" customHeight="1">
      <c r="A2694" t="s">
        <v>2581</v>
      </c>
      <c r="B2694">
        <v>749100</v>
      </c>
      <c r="C2694">
        <v>1</v>
      </c>
      <c r="D2694" t="str">
        <f t="shared" si="42"/>
        <v>1749100.182</v>
      </c>
      <c r="E2694" t="s">
        <v>2582</v>
      </c>
      <c r="F2694" s="242"/>
      <c r="G2694"/>
      <c r="H2694" s="242">
        <v>207140</v>
      </c>
      <c r="I2694" s="242">
        <v>195019</v>
      </c>
      <c r="J2694"/>
    </row>
    <row r="2695" spans="1:10" ht="15.75" customHeight="1">
      <c r="A2695" t="s">
        <v>2650</v>
      </c>
      <c r="B2695">
        <v>749100</v>
      </c>
      <c r="C2695">
        <v>1</v>
      </c>
      <c r="D2695" t="str">
        <f t="shared" si="42"/>
        <v>1749100.288</v>
      </c>
      <c r="E2695" t="s">
        <v>2651</v>
      </c>
      <c r="F2695" s="242"/>
      <c r="G2695"/>
      <c r="H2695" s="242">
        <v>34500</v>
      </c>
      <c r="I2695" s="242">
        <v>32612</v>
      </c>
      <c r="J2695"/>
    </row>
    <row r="2696" spans="1:10" ht="15.75" customHeight="1">
      <c r="A2696" t="s">
        <v>2652</v>
      </c>
      <c r="B2696">
        <v>749100</v>
      </c>
      <c r="C2696">
        <v>1</v>
      </c>
      <c r="D2696" t="str">
        <f t="shared" si="42"/>
        <v>1749100.420</v>
      </c>
      <c r="E2696" t="s">
        <v>2653</v>
      </c>
      <c r="F2696" s="242"/>
      <c r="G2696"/>
      <c r="H2696" s="242">
        <v>5000</v>
      </c>
      <c r="I2696" s="242">
        <v>0</v>
      </c>
      <c r="J2696"/>
    </row>
    <row r="2697" spans="1:10" ht="15.75" customHeight="1">
      <c r="A2697" t="s">
        <v>1663</v>
      </c>
      <c r="B2697">
        <v>749100</v>
      </c>
      <c r="C2697">
        <v>1</v>
      </c>
      <c r="D2697" t="str">
        <f t="shared" si="42"/>
        <v>1749100.431</v>
      </c>
      <c r="E2697" t="s">
        <v>2654</v>
      </c>
      <c r="F2697" s="242"/>
      <c r="G2697"/>
      <c r="H2697" s="242">
        <v>40800</v>
      </c>
      <c r="I2697" s="242">
        <v>45287</v>
      </c>
      <c r="J2697"/>
    </row>
    <row r="2698" spans="1:10" ht="15.75" customHeight="1">
      <c r="A2698" t="s">
        <v>1673</v>
      </c>
      <c r="B2698">
        <v>749100</v>
      </c>
      <c r="C2698">
        <v>1</v>
      </c>
      <c r="D2698" t="str">
        <f t="shared" si="42"/>
        <v>1749100.433</v>
      </c>
      <c r="E2698" t="s">
        <v>2655</v>
      </c>
      <c r="F2698" s="242"/>
      <c r="G2698"/>
      <c r="H2698" s="242">
        <v>2000</v>
      </c>
      <c r="I2698" s="242">
        <v>553</v>
      </c>
      <c r="J2698"/>
    </row>
    <row r="2699" spans="1:10" ht="15.75" customHeight="1">
      <c r="A2699" t="s">
        <v>1678</v>
      </c>
      <c r="B2699">
        <v>749100</v>
      </c>
      <c r="C2699">
        <v>1</v>
      </c>
      <c r="D2699" t="str">
        <f t="shared" si="42"/>
        <v>1749100.434</v>
      </c>
      <c r="E2699" t="s">
        <v>2656</v>
      </c>
      <c r="F2699" s="242"/>
      <c r="G2699"/>
      <c r="H2699" s="242">
        <v>25000</v>
      </c>
      <c r="I2699" s="242">
        <v>14032</v>
      </c>
      <c r="J2699"/>
    </row>
    <row r="2700" spans="1:10" ht="15.75" customHeight="1">
      <c r="A2700" t="s">
        <v>2606</v>
      </c>
      <c r="B2700">
        <v>749100</v>
      </c>
      <c r="C2700">
        <v>1</v>
      </c>
      <c r="D2700" t="str">
        <f t="shared" si="42"/>
        <v>1749100.440</v>
      </c>
      <c r="E2700" t="s">
        <v>2657</v>
      </c>
      <c r="F2700" s="242"/>
      <c r="G2700"/>
      <c r="H2700" s="242">
        <v>5200</v>
      </c>
      <c r="I2700" s="242">
        <v>5018</v>
      </c>
      <c r="J2700"/>
    </row>
    <row r="2701" spans="1:10" ht="15.75" customHeight="1">
      <c r="A2701" t="s">
        <v>2658</v>
      </c>
      <c r="B2701">
        <v>749100</v>
      </c>
      <c r="C2701">
        <v>1</v>
      </c>
      <c r="D2701" t="str">
        <f t="shared" si="42"/>
        <v>1749100.441</v>
      </c>
      <c r="E2701" t="s">
        <v>2720</v>
      </c>
      <c r="F2701" s="242"/>
      <c r="G2701"/>
      <c r="H2701" s="242">
        <v>10855</v>
      </c>
      <c r="I2701" s="242">
        <v>9181</v>
      </c>
      <c r="J2701"/>
    </row>
    <row r="2702" spans="1:10" ht="15.75" customHeight="1">
      <c r="A2702" t="s">
        <v>2286</v>
      </c>
      <c r="B2702">
        <v>749100</v>
      </c>
      <c r="C2702">
        <v>1</v>
      </c>
      <c r="D2702" t="str">
        <f t="shared" si="42"/>
        <v>1749100.511</v>
      </c>
      <c r="E2702" t="s">
        <v>2584</v>
      </c>
      <c r="F2702" s="242"/>
      <c r="G2702"/>
      <c r="H2702" s="242">
        <v>2800</v>
      </c>
      <c r="I2702" s="242">
        <v>1182</v>
      </c>
      <c r="J2702"/>
    </row>
    <row r="2703" spans="1:10" ht="15.75" customHeight="1">
      <c r="A2703" t="s">
        <v>2594</v>
      </c>
      <c r="B2703">
        <v>749100</v>
      </c>
      <c r="C2703">
        <v>1</v>
      </c>
      <c r="D2703" t="str">
        <f t="shared" si="42"/>
        <v>1749100.540</v>
      </c>
      <c r="E2703" t="s">
        <v>2595</v>
      </c>
      <c r="F2703" s="242"/>
      <c r="G2703"/>
      <c r="H2703" s="242">
        <v>20000</v>
      </c>
      <c r="I2703" s="242">
        <v>21223</v>
      </c>
      <c r="J2703"/>
    </row>
    <row r="2704" spans="1:10" ht="15.75" customHeight="1">
      <c r="A2704" t="s">
        <v>2598</v>
      </c>
      <c r="B2704">
        <v>749100</v>
      </c>
      <c r="C2704">
        <v>1</v>
      </c>
      <c r="D2704" t="str">
        <f t="shared" si="42"/>
        <v>1749100.561</v>
      </c>
      <c r="E2704" t="s">
        <v>2599</v>
      </c>
      <c r="F2704" s="242"/>
      <c r="G2704"/>
      <c r="H2704" s="242">
        <v>2500</v>
      </c>
      <c r="I2704" s="242">
        <v>5117</v>
      </c>
      <c r="J2704"/>
    </row>
    <row r="2705" spans="1:10" ht="15.75" customHeight="1">
      <c r="A2705" t="s">
        <v>2704</v>
      </c>
      <c r="B2705">
        <v>749100</v>
      </c>
      <c r="C2705">
        <v>1</v>
      </c>
      <c r="D2705" t="str">
        <f t="shared" si="42"/>
        <v>1749100.720</v>
      </c>
      <c r="E2705" t="s">
        <v>2705</v>
      </c>
      <c r="F2705" s="242"/>
      <c r="G2705"/>
      <c r="H2705" s="242">
        <v>5000</v>
      </c>
      <c r="I2705" s="242">
        <v>0</v>
      </c>
      <c r="J2705"/>
    </row>
    <row r="2706" spans="1:10" ht="15.75" customHeight="1">
      <c r="A2706" t="s">
        <v>600</v>
      </c>
      <c r="B2706">
        <v>749100</v>
      </c>
      <c r="C2706">
        <v>1</v>
      </c>
      <c r="D2706" t="str">
        <f t="shared" si="42"/>
        <v>1749100.731</v>
      </c>
      <c r="E2706" t="s">
        <v>2593</v>
      </c>
      <c r="F2706" s="242"/>
      <c r="G2706"/>
      <c r="H2706" s="242">
        <v>62373</v>
      </c>
      <c r="I2706" s="242">
        <v>103516</v>
      </c>
      <c r="J2706"/>
    </row>
    <row r="2707" spans="1:10" ht="15.75" customHeight="1">
      <c r="A2707" t="s">
        <v>605</v>
      </c>
      <c r="B2707">
        <v>749100</v>
      </c>
      <c r="C2707">
        <v>1</v>
      </c>
      <c r="D2707" t="str">
        <f t="shared" si="42"/>
        <v>1749100.732</v>
      </c>
      <c r="E2707" t="s">
        <v>2902</v>
      </c>
      <c r="F2707" s="242"/>
      <c r="G2707"/>
      <c r="H2707" s="242">
        <v>7000</v>
      </c>
      <c r="I2707" s="242">
        <v>5667</v>
      </c>
      <c r="J2707"/>
    </row>
    <row r="2708" spans="1:10" ht="15.75" customHeight="1">
      <c r="A2708" t="s">
        <v>624</v>
      </c>
      <c r="B2708">
        <v>749100</v>
      </c>
      <c r="C2708">
        <v>1</v>
      </c>
      <c r="D2708" t="str">
        <f t="shared" si="42"/>
        <v>1749100.733</v>
      </c>
      <c r="E2708" t="s">
        <v>2723</v>
      </c>
      <c r="F2708" s="242"/>
      <c r="G2708"/>
      <c r="H2708" s="242">
        <v>1000</v>
      </c>
      <c r="I2708" s="242">
        <v>295</v>
      </c>
      <c r="J2708"/>
    </row>
    <row r="2709" spans="1:10" ht="15.75" customHeight="1">
      <c r="A2709" t="s">
        <v>2418</v>
      </c>
      <c r="B2709">
        <v>749100</v>
      </c>
      <c r="C2709">
        <v>1</v>
      </c>
      <c r="D2709" t="str">
        <f t="shared" si="42"/>
        <v>1749100.735</v>
      </c>
      <c r="E2709" t="s">
        <v>2602</v>
      </c>
      <c r="F2709" s="242"/>
      <c r="G2709"/>
      <c r="H2709" s="242">
        <v>336897</v>
      </c>
      <c r="I2709" s="242">
        <v>404489</v>
      </c>
      <c r="J2709"/>
    </row>
    <row r="2710" spans="1:10" ht="15.75" customHeight="1">
      <c r="A2710" t="s">
        <v>658</v>
      </c>
      <c r="B2710">
        <v>749100</v>
      </c>
      <c r="C2710">
        <v>1</v>
      </c>
      <c r="D2710" t="str">
        <f t="shared" si="42"/>
        <v>1749100.742</v>
      </c>
      <c r="E2710" t="s">
        <v>2668</v>
      </c>
      <c r="F2710" s="242"/>
      <c r="G2710"/>
      <c r="H2710" s="242">
        <v>5000</v>
      </c>
      <c r="I2710" s="242">
        <v>0</v>
      </c>
      <c r="J2710"/>
    </row>
    <row r="2711" spans="1:10" ht="15.75" customHeight="1">
      <c r="A2711" t="s">
        <v>673</v>
      </c>
      <c r="B2711">
        <v>749100</v>
      </c>
      <c r="C2711">
        <v>1</v>
      </c>
      <c r="D2711" t="str">
        <f t="shared" si="42"/>
        <v>1749100.743</v>
      </c>
      <c r="E2711" t="s">
        <v>2622</v>
      </c>
      <c r="F2711" s="242"/>
      <c r="G2711"/>
      <c r="H2711" s="242">
        <v>20600</v>
      </c>
      <c r="I2711" s="242">
        <v>14310</v>
      </c>
      <c r="J2711"/>
    </row>
    <row r="2712" spans="1:10" ht="15.75" customHeight="1">
      <c r="A2712" t="s">
        <v>737</v>
      </c>
      <c r="B2712">
        <v>749100</v>
      </c>
      <c r="C2712">
        <v>1</v>
      </c>
      <c r="D2712" t="str">
        <f t="shared" si="42"/>
        <v>1749100.747</v>
      </c>
      <c r="E2712" t="s">
        <v>2765</v>
      </c>
      <c r="F2712" s="242"/>
      <c r="G2712"/>
      <c r="H2712" s="242">
        <v>0</v>
      </c>
      <c r="I2712" s="242">
        <v>0</v>
      </c>
      <c r="J2712"/>
    </row>
    <row r="2713" spans="1:10" ht="15.75" customHeight="1">
      <c r="A2713" t="s">
        <v>2611</v>
      </c>
      <c r="B2713">
        <v>749100</v>
      </c>
      <c r="C2713">
        <v>1</v>
      </c>
      <c r="D2713" t="str">
        <f t="shared" si="42"/>
        <v>1749100.750</v>
      </c>
      <c r="E2713" t="s">
        <v>2707</v>
      </c>
      <c r="F2713" s="242"/>
      <c r="G2713"/>
      <c r="H2713" s="242">
        <v>0</v>
      </c>
      <c r="I2713" s="242">
        <v>0</v>
      </c>
      <c r="J2713"/>
    </row>
    <row r="2714" spans="1:10" ht="15.75" customHeight="1">
      <c r="A2714" t="s">
        <v>2691</v>
      </c>
      <c r="B2714">
        <v>749100</v>
      </c>
      <c r="C2714">
        <v>1</v>
      </c>
      <c r="D2714" t="str">
        <f t="shared" si="42"/>
        <v>1749100.986</v>
      </c>
      <c r="E2714" t="s">
        <v>4648</v>
      </c>
      <c r="F2714" s="242"/>
      <c r="G2714"/>
      <c r="H2714" s="242">
        <v>0</v>
      </c>
      <c r="I2714" s="242">
        <v>0</v>
      </c>
      <c r="J2714"/>
    </row>
    <row r="2715" spans="1:10" ht="15.75" customHeight="1">
      <c r="A2715" t="s">
        <v>2606</v>
      </c>
      <c r="B2715">
        <v>749110</v>
      </c>
      <c r="C2715">
        <v>1</v>
      </c>
      <c r="D2715" t="str">
        <f t="shared" si="42"/>
        <v>1749110.440</v>
      </c>
      <c r="E2715" t="s">
        <v>2927</v>
      </c>
      <c r="F2715" s="242"/>
      <c r="G2715"/>
      <c r="H2715" s="242">
        <v>8600</v>
      </c>
      <c r="I2715" s="242">
        <v>8263</v>
      </c>
      <c r="J2715"/>
    </row>
    <row r="2716" spans="1:10" ht="15.75" customHeight="1">
      <c r="A2716" t="s">
        <v>2403</v>
      </c>
      <c r="B2716">
        <v>749200</v>
      </c>
      <c r="C2716">
        <v>1</v>
      </c>
      <c r="D2716" t="str">
        <f t="shared" si="42"/>
        <v>1749200.110</v>
      </c>
      <c r="E2716" t="s">
        <v>2573</v>
      </c>
      <c r="F2716" s="242"/>
      <c r="G2716"/>
      <c r="H2716" s="242">
        <v>295158</v>
      </c>
      <c r="I2716" s="242">
        <v>306576</v>
      </c>
      <c r="J2716"/>
    </row>
    <row r="2717" spans="1:10" ht="15.75" customHeight="1">
      <c r="A2717" t="s">
        <v>2404</v>
      </c>
      <c r="B2717">
        <v>749200</v>
      </c>
      <c r="C2717">
        <v>1</v>
      </c>
      <c r="D2717" t="str">
        <f t="shared" si="42"/>
        <v>1749200.120</v>
      </c>
      <c r="E2717" t="s">
        <v>2574</v>
      </c>
      <c r="F2717" s="242"/>
      <c r="G2717"/>
      <c r="H2717" s="242">
        <v>227334</v>
      </c>
      <c r="I2717" s="242">
        <v>192440</v>
      </c>
      <c r="J2717"/>
    </row>
    <row r="2718" spans="1:10" ht="15.75" customHeight="1">
      <c r="A2718" t="s">
        <v>2575</v>
      </c>
      <c r="B2718">
        <v>749200</v>
      </c>
      <c r="C2718">
        <v>1</v>
      </c>
      <c r="D2718" t="str">
        <f t="shared" si="42"/>
        <v>1749200.130</v>
      </c>
      <c r="E2718" t="s">
        <v>2576</v>
      </c>
      <c r="F2718" s="242"/>
      <c r="G2718"/>
      <c r="H2718" s="242">
        <v>66172</v>
      </c>
      <c r="I2718" s="242">
        <v>67354</v>
      </c>
      <c r="J2718"/>
    </row>
    <row r="2719" spans="1:10" ht="15.75" customHeight="1">
      <c r="A2719" t="s">
        <v>2577</v>
      </c>
      <c r="B2719">
        <v>749200</v>
      </c>
      <c r="C2719">
        <v>1</v>
      </c>
      <c r="D2719" t="str">
        <f t="shared" si="42"/>
        <v>1749200.140</v>
      </c>
      <c r="E2719" t="s">
        <v>2578</v>
      </c>
      <c r="F2719" s="242"/>
      <c r="G2719"/>
      <c r="H2719" s="242">
        <v>66577</v>
      </c>
      <c r="I2719" s="242">
        <v>69957</v>
      </c>
      <c r="J2719"/>
    </row>
    <row r="2720" spans="1:10" ht="15.75" customHeight="1">
      <c r="A2720" t="s">
        <v>2579</v>
      </c>
      <c r="B2720">
        <v>749200</v>
      </c>
      <c r="C2720">
        <v>1</v>
      </c>
      <c r="D2720" t="str">
        <f t="shared" si="42"/>
        <v>1749200.181</v>
      </c>
      <c r="E2720" t="s">
        <v>2580</v>
      </c>
      <c r="F2720" s="242"/>
      <c r="G2720"/>
      <c r="H2720" s="242">
        <v>94173</v>
      </c>
      <c r="I2720" s="242">
        <v>98417</v>
      </c>
      <c r="J2720"/>
    </row>
    <row r="2721" spans="1:10" ht="15.75" customHeight="1">
      <c r="A2721" t="s">
        <v>2581</v>
      </c>
      <c r="B2721">
        <v>749200</v>
      </c>
      <c r="C2721">
        <v>1</v>
      </c>
      <c r="D2721" t="str">
        <f t="shared" si="42"/>
        <v>1749200.182</v>
      </c>
      <c r="E2721" t="s">
        <v>2582</v>
      </c>
      <c r="F2721" s="242"/>
      <c r="G2721"/>
      <c r="H2721" s="242">
        <v>45823</v>
      </c>
      <c r="I2721" s="242">
        <v>48036</v>
      </c>
      <c r="J2721"/>
    </row>
    <row r="2722" spans="1:10" ht="15.75" customHeight="1">
      <c r="A2722" t="s">
        <v>1673</v>
      </c>
      <c r="B2722">
        <v>749200</v>
      </c>
      <c r="C2722">
        <v>1</v>
      </c>
      <c r="D2722" t="str">
        <f t="shared" si="42"/>
        <v>1749200.433</v>
      </c>
      <c r="E2722" t="s">
        <v>2655</v>
      </c>
      <c r="F2722" s="242"/>
      <c r="G2722"/>
      <c r="H2722" s="242">
        <v>4000</v>
      </c>
      <c r="I2722" s="242">
        <v>8483</v>
      </c>
      <c r="J2722"/>
    </row>
    <row r="2723" spans="1:10" ht="15.75" customHeight="1">
      <c r="A2723" t="s">
        <v>2411</v>
      </c>
      <c r="B2723">
        <v>749200</v>
      </c>
      <c r="C2723">
        <v>1</v>
      </c>
      <c r="D2723" t="str">
        <f t="shared" si="42"/>
        <v>1749200.470</v>
      </c>
      <c r="E2723" t="s">
        <v>2660</v>
      </c>
      <c r="F2723" s="242"/>
      <c r="G2723"/>
      <c r="H2723" s="242">
        <v>2500</v>
      </c>
      <c r="I2723" s="242">
        <v>462</v>
      </c>
      <c r="J2723"/>
    </row>
    <row r="2724" spans="1:10" ht="15.75" customHeight="1">
      <c r="A2724" t="s">
        <v>2286</v>
      </c>
      <c r="B2724">
        <v>749200</v>
      </c>
      <c r="C2724">
        <v>1</v>
      </c>
      <c r="D2724" t="str">
        <f t="shared" si="42"/>
        <v>1749200.511</v>
      </c>
      <c r="E2724" t="s">
        <v>2584</v>
      </c>
      <c r="F2724" s="242"/>
      <c r="G2724"/>
      <c r="H2724" s="242">
        <v>3800</v>
      </c>
      <c r="I2724" s="242">
        <v>4957</v>
      </c>
      <c r="J2724"/>
    </row>
    <row r="2725" spans="1:10" ht="15.75" customHeight="1">
      <c r="A2725" t="s">
        <v>2594</v>
      </c>
      <c r="B2725">
        <v>749200</v>
      </c>
      <c r="C2725">
        <v>1</v>
      </c>
      <c r="D2725" t="str">
        <f t="shared" si="42"/>
        <v>1749200.540</v>
      </c>
      <c r="E2725" t="s">
        <v>2595</v>
      </c>
      <c r="F2725" s="242"/>
      <c r="G2725"/>
      <c r="H2725" s="242">
        <v>15000</v>
      </c>
      <c r="I2725" s="242">
        <v>12476</v>
      </c>
      <c r="J2725"/>
    </row>
    <row r="2726" spans="1:10" ht="15.75" customHeight="1">
      <c r="A2726" t="s">
        <v>2598</v>
      </c>
      <c r="B2726">
        <v>749200</v>
      </c>
      <c r="C2726">
        <v>1</v>
      </c>
      <c r="D2726" t="str">
        <f t="shared" si="42"/>
        <v>1749200.561</v>
      </c>
      <c r="E2726" t="s">
        <v>2599</v>
      </c>
      <c r="F2726" s="242"/>
      <c r="G2726"/>
      <c r="H2726" s="242">
        <v>2000</v>
      </c>
      <c r="I2726" s="242">
        <v>5104</v>
      </c>
      <c r="J2726"/>
    </row>
    <row r="2727" spans="1:10" ht="15.75" customHeight="1">
      <c r="A2727" t="s">
        <v>2704</v>
      </c>
      <c r="B2727">
        <v>749200</v>
      </c>
      <c r="C2727">
        <v>1</v>
      </c>
      <c r="D2727" t="str">
        <f t="shared" si="42"/>
        <v>1749200.720</v>
      </c>
      <c r="E2727" t="s">
        <v>2705</v>
      </c>
      <c r="F2727" s="242"/>
      <c r="G2727"/>
      <c r="H2727" s="242">
        <v>2000</v>
      </c>
      <c r="I2727" s="242">
        <v>0</v>
      </c>
      <c r="J2727"/>
    </row>
    <row r="2728" spans="1:10" ht="15.75" customHeight="1">
      <c r="A2728" t="s">
        <v>658</v>
      </c>
      <c r="B2728">
        <v>749200</v>
      </c>
      <c r="C2728">
        <v>1</v>
      </c>
      <c r="D2728" t="str">
        <f t="shared" si="42"/>
        <v>1749200.742</v>
      </c>
      <c r="E2728" t="s">
        <v>4661</v>
      </c>
      <c r="F2728" s="242"/>
      <c r="G2728"/>
      <c r="H2728" s="242">
        <v>7000</v>
      </c>
      <c r="I2728" s="242">
        <v>0</v>
      </c>
      <c r="J2728"/>
    </row>
    <row r="2729" spans="1:10" ht="15.75" customHeight="1">
      <c r="A2729" t="s">
        <v>673</v>
      </c>
      <c r="B2729">
        <v>749200</v>
      </c>
      <c r="C2729">
        <v>1</v>
      </c>
      <c r="D2729" t="str">
        <f t="shared" si="42"/>
        <v>1749200.743</v>
      </c>
      <c r="E2729" t="s">
        <v>2622</v>
      </c>
      <c r="F2729" s="242"/>
      <c r="G2729"/>
      <c r="H2729" s="242">
        <v>31000</v>
      </c>
      <c r="I2729" s="242">
        <v>16428</v>
      </c>
      <c r="J2729"/>
    </row>
    <row r="2730" spans="1:10" ht="15.75" customHeight="1">
      <c r="A2730" t="s">
        <v>2611</v>
      </c>
      <c r="B2730">
        <v>749200</v>
      </c>
      <c r="C2730">
        <v>1</v>
      </c>
      <c r="D2730" t="str">
        <f t="shared" si="42"/>
        <v>1749200.750</v>
      </c>
      <c r="E2730" t="s">
        <v>4662</v>
      </c>
      <c r="F2730" s="242"/>
      <c r="G2730"/>
      <c r="H2730" s="242">
        <v>70000</v>
      </c>
      <c r="I2730" s="242">
        <v>66134</v>
      </c>
      <c r="J2730"/>
    </row>
    <row r="2731" spans="1:10" ht="15.75" customHeight="1">
      <c r="A2731" t="s">
        <v>772</v>
      </c>
      <c r="B2731">
        <v>749200</v>
      </c>
      <c r="C2731">
        <v>1</v>
      </c>
      <c r="D2731" t="str">
        <f t="shared" si="42"/>
        <v>1749200.751</v>
      </c>
      <c r="E2731" t="s">
        <v>2708</v>
      </c>
      <c r="F2731" s="242"/>
      <c r="G2731"/>
      <c r="H2731" s="242">
        <v>191745</v>
      </c>
      <c r="I2731" s="242">
        <v>12783</v>
      </c>
      <c r="J2731"/>
    </row>
    <row r="2732" spans="1:10" ht="15.75" customHeight="1">
      <c r="A2732" t="s">
        <v>776</v>
      </c>
      <c r="B2732">
        <v>749200</v>
      </c>
      <c r="C2732">
        <v>1</v>
      </c>
      <c r="D2732" t="str">
        <f t="shared" si="42"/>
        <v>1749200.752</v>
      </c>
      <c r="E2732" t="s">
        <v>3801</v>
      </c>
      <c r="F2732" s="242"/>
      <c r="G2732"/>
      <c r="H2732" s="242">
        <v>36000</v>
      </c>
      <c r="I2732" s="242">
        <v>17534</v>
      </c>
      <c r="J2732"/>
    </row>
    <row r="2733" spans="1:10" ht="15.75" customHeight="1">
      <c r="A2733" t="s">
        <v>2603</v>
      </c>
      <c r="B2733">
        <v>749200</v>
      </c>
      <c r="C2733">
        <v>1</v>
      </c>
      <c r="D2733" t="str">
        <f t="shared" si="42"/>
        <v>1749200.759</v>
      </c>
      <c r="E2733" t="s">
        <v>2905</v>
      </c>
      <c r="F2733" s="242"/>
      <c r="G2733"/>
      <c r="H2733" s="242">
        <v>359400</v>
      </c>
      <c r="I2733" s="242">
        <v>372493</v>
      </c>
      <c r="J2733"/>
    </row>
    <row r="2734" spans="1:10" ht="15.75" customHeight="1">
      <c r="A2734" t="s">
        <v>673</v>
      </c>
      <c r="B2734">
        <v>749300</v>
      </c>
      <c r="C2734">
        <v>1</v>
      </c>
      <c r="D2734" t="str">
        <f t="shared" si="42"/>
        <v>1749300.743</v>
      </c>
      <c r="E2734" t="s">
        <v>2622</v>
      </c>
      <c r="F2734" s="242"/>
      <c r="G2734"/>
      <c r="H2734" s="242">
        <v>0</v>
      </c>
      <c r="I2734" s="242">
        <v>0</v>
      </c>
      <c r="J2734"/>
    </row>
    <row r="2735" spans="1:10" ht="15.75" customHeight="1">
      <c r="A2735" t="s">
        <v>2611</v>
      </c>
      <c r="B2735">
        <v>749300</v>
      </c>
      <c r="C2735">
        <v>1</v>
      </c>
      <c r="D2735" t="str">
        <f t="shared" si="42"/>
        <v>1749300.750</v>
      </c>
      <c r="E2735" t="s">
        <v>3802</v>
      </c>
      <c r="F2735" s="242"/>
      <c r="G2735"/>
      <c r="H2735" s="242">
        <v>348153</v>
      </c>
      <c r="I2735" s="242">
        <v>150299</v>
      </c>
      <c r="J2735"/>
    </row>
    <row r="2736" spans="1:10" ht="15.75" customHeight="1">
      <c r="A2736" t="s">
        <v>772</v>
      </c>
      <c r="B2736">
        <v>749300</v>
      </c>
      <c r="C2736">
        <v>1</v>
      </c>
      <c r="D2736" t="str">
        <f t="shared" si="42"/>
        <v>1749300.751</v>
      </c>
      <c r="E2736" t="s">
        <v>2707</v>
      </c>
      <c r="F2736" s="242"/>
      <c r="G2736"/>
      <c r="H2736" s="242">
        <v>309000</v>
      </c>
      <c r="I2736" s="242">
        <v>350000</v>
      </c>
      <c r="J2736"/>
    </row>
    <row r="2737" spans="1:10" ht="15.75" customHeight="1">
      <c r="A2737" t="s">
        <v>776</v>
      </c>
      <c r="B2737">
        <v>749300</v>
      </c>
      <c r="C2737">
        <v>1</v>
      </c>
      <c r="D2737" t="str">
        <f t="shared" si="42"/>
        <v>1749300.752</v>
      </c>
      <c r="E2737" t="s">
        <v>3792</v>
      </c>
      <c r="F2737" s="242"/>
      <c r="G2737"/>
      <c r="H2737" s="242">
        <v>1512570</v>
      </c>
      <c r="I2737" s="242">
        <v>1715570</v>
      </c>
      <c r="J2737"/>
    </row>
    <row r="2738" spans="1:10" ht="15.75" customHeight="1">
      <c r="A2738" t="s">
        <v>2603</v>
      </c>
      <c r="B2738">
        <v>749300</v>
      </c>
      <c r="C2738">
        <v>1</v>
      </c>
      <c r="D2738" t="str">
        <f t="shared" si="42"/>
        <v>1749300.759</v>
      </c>
      <c r="E2738" t="s">
        <v>2642</v>
      </c>
      <c r="F2738" s="242"/>
      <c r="G2738"/>
      <c r="H2738" s="242">
        <v>625147</v>
      </c>
      <c r="I2738" s="242">
        <v>499999</v>
      </c>
      <c r="J2738"/>
    </row>
    <row r="2739" spans="1:10" ht="15.75" customHeight="1">
      <c r="A2739" t="s">
        <v>844</v>
      </c>
      <c r="B2739">
        <v>749300</v>
      </c>
      <c r="C2739">
        <v>1</v>
      </c>
      <c r="D2739" t="str">
        <f t="shared" si="42"/>
        <v>1749300.771</v>
      </c>
      <c r="E2739" t="s">
        <v>3188</v>
      </c>
      <c r="F2739" s="242"/>
      <c r="G2739"/>
      <c r="H2739" s="242">
        <v>0</v>
      </c>
      <c r="I2739" s="242">
        <v>0</v>
      </c>
      <c r="J2739"/>
    </row>
    <row r="2740" spans="1:10" ht="15.75" customHeight="1">
      <c r="A2740" t="s">
        <v>849</v>
      </c>
      <c r="B2740">
        <v>749300</v>
      </c>
      <c r="C2740">
        <v>1</v>
      </c>
      <c r="D2740" t="str">
        <f t="shared" si="42"/>
        <v>1749300.772</v>
      </c>
      <c r="E2740" t="s">
        <v>2687</v>
      </c>
      <c r="F2740" s="242"/>
      <c r="G2740"/>
      <c r="H2740" s="242">
        <v>115500</v>
      </c>
      <c r="I2740" s="242">
        <v>0</v>
      </c>
      <c r="J2740"/>
    </row>
    <row r="2741" spans="1:10" ht="15.75" customHeight="1">
      <c r="A2741" t="s">
        <v>2611</v>
      </c>
      <c r="B2741">
        <v>749400</v>
      </c>
      <c r="C2741">
        <v>1</v>
      </c>
      <c r="D2741" t="str">
        <f t="shared" si="42"/>
        <v>1749400.750</v>
      </c>
      <c r="E2741" t="s">
        <v>3803</v>
      </c>
      <c r="F2741" s="242"/>
      <c r="G2741"/>
      <c r="H2741" s="242">
        <v>100000</v>
      </c>
      <c r="I2741" s="242">
        <v>0</v>
      </c>
      <c r="J2741"/>
    </row>
    <row r="2742" spans="1:10" ht="15.75" customHeight="1">
      <c r="A2742" t="s">
        <v>2575</v>
      </c>
      <c r="B2742">
        <v>751000</v>
      </c>
      <c r="C2742">
        <v>1</v>
      </c>
      <c r="D2742" t="str">
        <f t="shared" si="42"/>
        <v>1751000.130</v>
      </c>
      <c r="E2742" t="s">
        <v>2576</v>
      </c>
      <c r="F2742" s="242"/>
      <c r="G2742"/>
      <c r="H2742" s="242">
        <v>86940</v>
      </c>
      <c r="I2742" s="242">
        <v>85666</v>
      </c>
      <c r="J2742"/>
    </row>
    <row r="2743" spans="1:10" ht="15.75" customHeight="1">
      <c r="A2743" t="s">
        <v>2579</v>
      </c>
      <c r="B2743">
        <v>751000</v>
      </c>
      <c r="C2743">
        <v>1</v>
      </c>
      <c r="D2743" t="str">
        <f t="shared" si="42"/>
        <v>1751000.181</v>
      </c>
      <c r="E2743" t="s">
        <v>2580</v>
      </c>
      <c r="F2743" s="242"/>
      <c r="G2743"/>
      <c r="H2743" s="242">
        <v>16422</v>
      </c>
      <c r="I2743" s="242">
        <v>14279</v>
      </c>
      <c r="J2743"/>
    </row>
    <row r="2744" spans="1:10" ht="15.75" customHeight="1">
      <c r="A2744" t="s">
        <v>2581</v>
      </c>
      <c r="B2744">
        <v>751000</v>
      </c>
      <c r="C2744">
        <v>1</v>
      </c>
      <c r="D2744" t="str">
        <f t="shared" si="42"/>
        <v>1751000.182</v>
      </c>
      <c r="E2744" t="s">
        <v>2582</v>
      </c>
      <c r="F2744" s="242"/>
      <c r="G2744"/>
      <c r="H2744" s="242">
        <v>7728</v>
      </c>
      <c r="I2744" s="242">
        <v>6424</v>
      </c>
      <c r="J2744"/>
    </row>
    <row r="2745" spans="1:10" ht="15.75" customHeight="1">
      <c r="A2745" t="s">
        <v>2632</v>
      </c>
      <c r="B2745">
        <v>751000</v>
      </c>
      <c r="C2745">
        <v>1</v>
      </c>
      <c r="D2745" t="str">
        <f t="shared" si="42"/>
        <v>1751000.780</v>
      </c>
      <c r="E2745" t="s">
        <v>2853</v>
      </c>
      <c r="F2745" s="242"/>
      <c r="G2745"/>
      <c r="H2745" s="242">
        <v>1700000</v>
      </c>
      <c r="I2745" s="242">
        <v>1779823</v>
      </c>
      <c r="J2745"/>
    </row>
    <row r="2746" spans="1:10" ht="15.75" customHeight="1">
      <c r="A2746" t="s">
        <v>872</v>
      </c>
      <c r="B2746">
        <v>751000</v>
      </c>
      <c r="C2746">
        <v>1</v>
      </c>
      <c r="D2746" t="str">
        <f t="shared" si="42"/>
        <v>1751000.781</v>
      </c>
      <c r="E2746" t="s">
        <v>2854</v>
      </c>
      <c r="F2746" s="242"/>
      <c r="G2746"/>
      <c r="H2746" s="242">
        <v>100</v>
      </c>
      <c r="I2746" s="242">
        <v>0</v>
      </c>
      <c r="J2746"/>
    </row>
    <row r="2747" spans="1:10" ht="15.75" customHeight="1">
      <c r="A2747" t="s">
        <v>2403</v>
      </c>
      <c r="B2747">
        <v>752000</v>
      </c>
      <c r="C2747">
        <v>1</v>
      </c>
      <c r="D2747" t="str">
        <f t="shared" si="42"/>
        <v>1752000.110</v>
      </c>
      <c r="E2747" t="s">
        <v>2573</v>
      </c>
      <c r="F2747" s="242"/>
      <c r="G2747"/>
      <c r="H2747" s="242">
        <v>613636</v>
      </c>
      <c r="I2747" s="242">
        <v>609611</v>
      </c>
      <c r="J2747"/>
    </row>
    <row r="2748" spans="1:10" ht="15.75" customHeight="1">
      <c r="A2748" t="s">
        <v>2404</v>
      </c>
      <c r="B2748">
        <v>752000</v>
      </c>
      <c r="C2748">
        <v>1</v>
      </c>
      <c r="D2748" t="str">
        <f t="shared" si="42"/>
        <v>1752000.120</v>
      </c>
      <c r="E2748" t="s">
        <v>2574</v>
      </c>
      <c r="F2748" s="242"/>
      <c r="G2748"/>
      <c r="H2748" s="242">
        <v>117203</v>
      </c>
      <c r="I2748" s="242">
        <v>117770</v>
      </c>
      <c r="J2748"/>
    </row>
    <row r="2749" spans="1:10" ht="15.75" customHeight="1">
      <c r="A2749" t="s">
        <v>2575</v>
      </c>
      <c r="B2749">
        <v>752000</v>
      </c>
      <c r="C2749">
        <v>1</v>
      </c>
      <c r="D2749" t="str">
        <f t="shared" si="42"/>
        <v>1752000.130</v>
      </c>
      <c r="E2749" t="s">
        <v>2576</v>
      </c>
      <c r="F2749" s="242"/>
      <c r="G2749"/>
      <c r="H2749" s="242">
        <v>12989</v>
      </c>
      <c r="I2749" s="242">
        <v>12131</v>
      </c>
      <c r="J2749"/>
    </row>
    <row r="2750" spans="1:10" ht="15.75" customHeight="1">
      <c r="A2750" t="s">
        <v>2577</v>
      </c>
      <c r="B2750">
        <v>752000</v>
      </c>
      <c r="C2750">
        <v>1</v>
      </c>
      <c r="D2750" t="str">
        <f t="shared" si="42"/>
        <v>1752000.140</v>
      </c>
      <c r="E2750" t="s">
        <v>2578</v>
      </c>
      <c r="F2750" s="242"/>
      <c r="G2750"/>
      <c r="H2750" s="242">
        <v>156279</v>
      </c>
      <c r="I2750" s="242">
        <v>167616</v>
      </c>
      <c r="J2750"/>
    </row>
    <row r="2751" spans="1:10" ht="15.75" customHeight="1">
      <c r="A2751" t="s">
        <v>2579</v>
      </c>
      <c r="B2751">
        <v>752000</v>
      </c>
      <c r="C2751">
        <v>1</v>
      </c>
      <c r="D2751" t="str">
        <f t="shared" si="42"/>
        <v>1752000.181</v>
      </c>
      <c r="E2751" t="s">
        <v>2580</v>
      </c>
      <c r="F2751" s="242"/>
      <c r="G2751"/>
      <c r="H2751" s="242">
        <v>129016</v>
      </c>
      <c r="I2751" s="242">
        <v>128547</v>
      </c>
      <c r="J2751"/>
    </row>
    <row r="2752" spans="1:10" ht="15.75" customHeight="1">
      <c r="A2752" t="s">
        <v>2581</v>
      </c>
      <c r="B2752">
        <v>752000</v>
      </c>
      <c r="C2752">
        <v>1</v>
      </c>
      <c r="D2752" t="str">
        <f t="shared" si="42"/>
        <v>1752000.182</v>
      </c>
      <c r="E2752" t="s">
        <v>2582</v>
      </c>
      <c r="F2752" s="242"/>
      <c r="G2752"/>
      <c r="H2752" s="242">
        <v>68598</v>
      </c>
      <c r="I2752" s="242">
        <v>69047</v>
      </c>
      <c r="J2752"/>
    </row>
    <row r="2753" spans="1:10" ht="15.75" customHeight="1">
      <c r="A2753" t="s">
        <v>2414</v>
      </c>
      <c r="B2753">
        <v>752000</v>
      </c>
      <c r="C2753">
        <v>1</v>
      </c>
      <c r="D2753" t="str">
        <f t="shared" si="42"/>
        <v>1752000.512</v>
      </c>
      <c r="E2753" t="s">
        <v>2585</v>
      </c>
      <c r="F2753" s="242"/>
      <c r="G2753"/>
      <c r="H2753" s="242">
        <v>2000</v>
      </c>
      <c r="I2753" s="242">
        <v>1708</v>
      </c>
      <c r="J2753"/>
    </row>
    <row r="2754" spans="1:10" ht="15.75" customHeight="1">
      <c r="A2754" t="s">
        <v>2590</v>
      </c>
      <c r="B2754">
        <v>752000</v>
      </c>
      <c r="C2754">
        <v>1</v>
      </c>
      <c r="D2754" t="str">
        <f t="shared" si="42"/>
        <v>1752000.523</v>
      </c>
      <c r="E2754" t="s">
        <v>2615</v>
      </c>
      <c r="F2754" s="242"/>
      <c r="G2754"/>
      <c r="H2754" s="242">
        <v>650</v>
      </c>
      <c r="I2754" s="242">
        <v>700</v>
      </c>
      <c r="J2754"/>
    </row>
    <row r="2755" spans="1:10" ht="15.75" customHeight="1">
      <c r="A2755" t="s">
        <v>2594</v>
      </c>
      <c r="B2755">
        <v>752000</v>
      </c>
      <c r="C2755">
        <v>1</v>
      </c>
      <c r="D2755" t="str">
        <f t="shared" ref="D2755:D2818" si="43">C2755&amp;B2755&amp;"."&amp;A2755</f>
        <v>1752000.540</v>
      </c>
      <c r="E2755" t="s">
        <v>2595</v>
      </c>
      <c r="F2755" s="242"/>
      <c r="G2755"/>
      <c r="H2755" s="242">
        <v>17000</v>
      </c>
      <c r="I2755" s="242">
        <v>15848</v>
      </c>
      <c r="J2755"/>
    </row>
    <row r="2756" spans="1:10" ht="15.75" customHeight="1">
      <c r="A2756" t="s">
        <v>2596</v>
      </c>
      <c r="B2756">
        <v>752000</v>
      </c>
      <c r="C2756">
        <v>1</v>
      </c>
      <c r="D2756" t="str">
        <f t="shared" si="43"/>
        <v>1752000.550</v>
      </c>
      <c r="E2756" t="s">
        <v>2597</v>
      </c>
      <c r="F2756" s="242"/>
      <c r="G2756"/>
      <c r="H2756" s="242">
        <v>0</v>
      </c>
      <c r="I2756" s="242">
        <v>0</v>
      </c>
      <c r="J2756"/>
    </row>
    <row r="2757" spans="1:10" ht="15.75" customHeight="1">
      <c r="A2757" t="s">
        <v>2598</v>
      </c>
      <c r="B2757">
        <v>752000</v>
      </c>
      <c r="C2757">
        <v>1</v>
      </c>
      <c r="D2757" t="str">
        <f t="shared" si="43"/>
        <v>1752000.561</v>
      </c>
      <c r="E2757" t="s">
        <v>2599</v>
      </c>
      <c r="F2757" s="242"/>
      <c r="G2757"/>
      <c r="H2757" s="242">
        <v>3500</v>
      </c>
      <c r="I2757" s="242">
        <v>3511</v>
      </c>
      <c r="J2757"/>
    </row>
    <row r="2758" spans="1:10" ht="15.75" customHeight="1">
      <c r="A2758" t="s">
        <v>2600</v>
      </c>
      <c r="B2758">
        <v>752000</v>
      </c>
      <c r="C2758">
        <v>1</v>
      </c>
      <c r="D2758" t="str">
        <f t="shared" si="43"/>
        <v>1752000.580</v>
      </c>
      <c r="E2758" t="s">
        <v>2601</v>
      </c>
      <c r="F2758" s="242"/>
      <c r="G2758"/>
      <c r="H2758" s="242">
        <v>0</v>
      </c>
      <c r="I2758" s="242">
        <v>5</v>
      </c>
      <c r="J2758"/>
    </row>
    <row r="2759" spans="1:10" ht="15.75" customHeight="1">
      <c r="A2759" t="s">
        <v>835</v>
      </c>
      <c r="B2759">
        <v>752000</v>
      </c>
      <c r="C2759">
        <v>1</v>
      </c>
      <c r="D2759" t="str">
        <f t="shared" si="43"/>
        <v>1752000.769</v>
      </c>
      <c r="E2759" t="s">
        <v>2605</v>
      </c>
      <c r="F2759" s="242"/>
      <c r="G2759"/>
      <c r="H2759" s="242">
        <v>19200</v>
      </c>
      <c r="I2759" s="242">
        <v>12419</v>
      </c>
      <c r="J2759"/>
    </row>
    <row r="2760" spans="1:10" ht="15.75" customHeight="1">
      <c r="A2760" t="s">
        <v>2632</v>
      </c>
      <c r="B2760">
        <v>752000</v>
      </c>
      <c r="C2760">
        <v>1</v>
      </c>
      <c r="D2760" t="str">
        <f t="shared" si="43"/>
        <v>1752000.780</v>
      </c>
      <c r="E2760" t="s">
        <v>2838</v>
      </c>
      <c r="F2760" s="242"/>
      <c r="G2760"/>
      <c r="H2760" s="242">
        <v>812236</v>
      </c>
      <c r="I2760" s="242">
        <v>885926</v>
      </c>
      <c r="J2760"/>
    </row>
    <row r="2761" spans="1:10" ht="15.75" customHeight="1">
      <c r="A2761" t="s">
        <v>872</v>
      </c>
      <c r="B2761">
        <v>752000</v>
      </c>
      <c r="C2761">
        <v>1</v>
      </c>
      <c r="D2761" t="str">
        <f t="shared" si="43"/>
        <v>1752000.781</v>
      </c>
      <c r="E2761" t="s">
        <v>2839</v>
      </c>
      <c r="F2761" s="242"/>
      <c r="G2761"/>
      <c r="H2761" s="242">
        <v>100000</v>
      </c>
      <c r="I2761" s="242">
        <v>0</v>
      </c>
      <c r="J2761"/>
    </row>
    <row r="2762" spans="1:10" ht="15.75" customHeight="1">
      <c r="A2762" t="s">
        <v>877</v>
      </c>
      <c r="B2762">
        <v>752000</v>
      </c>
      <c r="C2762">
        <v>1</v>
      </c>
      <c r="D2762" t="str">
        <f t="shared" si="43"/>
        <v>1752000.782</v>
      </c>
      <c r="E2762" t="s">
        <v>2840</v>
      </c>
      <c r="F2762" s="242"/>
      <c r="G2762"/>
      <c r="H2762" s="242">
        <v>100</v>
      </c>
      <c r="I2762" s="242">
        <v>0</v>
      </c>
      <c r="J2762"/>
    </row>
    <row r="2763" spans="1:10" ht="15.75" customHeight="1">
      <c r="A2763" t="s">
        <v>2841</v>
      </c>
      <c r="B2763">
        <v>752000</v>
      </c>
      <c r="C2763">
        <v>1</v>
      </c>
      <c r="D2763" t="str">
        <f t="shared" si="43"/>
        <v>1752000.788</v>
      </c>
      <c r="E2763" t="s">
        <v>2842</v>
      </c>
      <c r="F2763" s="242"/>
      <c r="G2763"/>
      <c r="H2763" s="242">
        <v>216714</v>
      </c>
      <c r="I2763" s="242">
        <v>226710</v>
      </c>
      <c r="J2763"/>
    </row>
    <row r="2764" spans="1:10" ht="15.75" customHeight="1">
      <c r="A2764" t="s">
        <v>2674</v>
      </c>
      <c r="B2764">
        <v>752000</v>
      </c>
      <c r="C2764">
        <v>1</v>
      </c>
      <c r="D2764" t="str">
        <f t="shared" si="43"/>
        <v>1752000.783</v>
      </c>
      <c r="E2764" t="s">
        <v>2847</v>
      </c>
      <c r="F2764" s="242"/>
      <c r="G2764"/>
      <c r="H2764" s="242">
        <v>93000</v>
      </c>
      <c r="I2764" s="242">
        <v>88399</v>
      </c>
      <c r="J2764"/>
    </row>
    <row r="2765" spans="1:10" ht="15.75" customHeight="1">
      <c r="A2765" t="s">
        <v>2676</v>
      </c>
      <c r="B2765">
        <v>752000</v>
      </c>
      <c r="C2765">
        <v>1</v>
      </c>
      <c r="D2765" t="str">
        <f t="shared" si="43"/>
        <v>1752000.784</v>
      </c>
      <c r="E2765" t="s">
        <v>2848</v>
      </c>
      <c r="F2765" s="242"/>
      <c r="G2765"/>
      <c r="H2765" s="242">
        <v>63000</v>
      </c>
      <c r="I2765" s="242">
        <v>59792</v>
      </c>
      <c r="J2765"/>
    </row>
    <row r="2766" spans="1:10" ht="15.75" customHeight="1">
      <c r="A2766" t="s">
        <v>2750</v>
      </c>
      <c r="B2766">
        <v>752000</v>
      </c>
      <c r="C2766">
        <v>1</v>
      </c>
      <c r="D2766" t="str">
        <f t="shared" si="43"/>
        <v>1752000.785</v>
      </c>
      <c r="E2766" t="s">
        <v>2849</v>
      </c>
      <c r="F2766" s="242"/>
      <c r="G2766"/>
      <c r="H2766" s="242">
        <v>46000</v>
      </c>
      <c r="I2766" s="242">
        <v>43269</v>
      </c>
      <c r="J2766"/>
    </row>
    <row r="2767" spans="1:10" ht="15.75" customHeight="1">
      <c r="A2767" t="s">
        <v>2850</v>
      </c>
      <c r="B2767">
        <v>752000</v>
      </c>
      <c r="C2767">
        <v>1</v>
      </c>
      <c r="D2767" t="str">
        <f t="shared" si="43"/>
        <v>1752000.786</v>
      </c>
      <c r="E2767" t="s">
        <v>2851</v>
      </c>
      <c r="F2767" s="242"/>
      <c r="G2767"/>
      <c r="H2767" s="242">
        <v>90000</v>
      </c>
      <c r="I2767" s="242">
        <v>85590</v>
      </c>
      <c r="J2767"/>
    </row>
    <row r="2768" spans="1:10" ht="15.75" customHeight="1">
      <c r="A2768" t="s">
        <v>2575</v>
      </c>
      <c r="B2768">
        <v>752001</v>
      </c>
      <c r="C2768">
        <v>1</v>
      </c>
      <c r="D2768" t="str">
        <f t="shared" si="43"/>
        <v>1752001.130</v>
      </c>
      <c r="E2768" t="s">
        <v>2843</v>
      </c>
      <c r="F2768" s="242"/>
      <c r="G2768"/>
      <c r="H2768" s="242">
        <v>125580</v>
      </c>
      <c r="I2768" s="242">
        <v>159226</v>
      </c>
      <c r="J2768"/>
    </row>
    <row r="2769" spans="1:10" ht="15.75" customHeight="1">
      <c r="A2769" t="s">
        <v>2579</v>
      </c>
      <c r="B2769">
        <v>752001</v>
      </c>
      <c r="C2769">
        <v>1</v>
      </c>
      <c r="D2769" t="str">
        <f t="shared" si="43"/>
        <v>1752001.181</v>
      </c>
      <c r="E2769" t="s">
        <v>2580</v>
      </c>
      <c r="F2769" s="242"/>
      <c r="G2769"/>
      <c r="H2769" s="242">
        <v>24150</v>
      </c>
      <c r="I2769" s="242">
        <v>25448</v>
      </c>
      <c r="J2769"/>
    </row>
    <row r="2770" spans="1:10" ht="15.75" customHeight="1">
      <c r="A2770" t="s">
        <v>2581</v>
      </c>
      <c r="B2770">
        <v>752001</v>
      </c>
      <c r="C2770">
        <v>1</v>
      </c>
      <c r="D2770" t="str">
        <f t="shared" si="43"/>
        <v>1752001.182</v>
      </c>
      <c r="E2770" t="s">
        <v>2582</v>
      </c>
      <c r="F2770" s="242"/>
      <c r="G2770"/>
      <c r="H2770" s="242">
        <v>12558</v>
      </c>
      <c r="I2770" s="242">
        <v>11940</v>
      </c>
      <c r="J2770"/>
    </row>
    <row r="2771" spans="1:10" ht="15.75" customHeight="1">
      <c r="A2771" t="s">
        <v>872</v>
      </c>
      <c r="B2771">
        <v>752001</v>
      </c>
      <c r="C2771">
        <v>1</v>
      </c>
      <c r="D2771" t="str">
        <f t="shared" si="43"/>
        <v>1752001.781</v>
      </c>
      <c r="E2771" t="s">
        <v>2844</v>
      </c>
      <c r="F2771" s="242"/>
      <c r="G2771"/>
      <c r="H2771" s="242">
        <v>80000</v>
      </c>
      <c r="I2771" s="242">
        <v>81906</v>
      </c>
      <c r="J2771"/>
    </row>
    <row r="2772" spans="1:10" ht="15.75" customHeight="1">
      <c r="A2772" t="s">
        <v>2674</v>
      </c>
      <c r="B2772">
        <v>752001</v>
      </c>
      <c r="C2772">
        <v>1</v>
      </c>
      <c r="D2772" t="str">
        <f t="shared" si="43"/>
        <v>1752001.783</v>
      </c>
      <c r="E2772" t="s">
        <v>2845</v>
      </c>
      <c r="F2772" s="242"/>
      <c r="G2772"/>
      <c r="H2772" s="242">
        <v>3325000</v>
      </c>
      <c r="I2772" s="242">
        <v>3325000</v>
      </c>
      <c r="J2772"/>
    </row>
    <row r="2773" spans="1:10" ht="15.75" customHeight="1">
      <c r="A2773" t="s">
        <v>2632</v>
      </c>
      <c r="B2773">
        <v>752001</v>
      </c>
      <c r="C2773">
        <v>1</v>
      </c>
      <c r="D2773" t="str">
        <f t="shared" si="43"/>
        <v>1752001.780</v>
      </c>
      <c r="E2773" t="s">
        <v>4259</v>
      </c>
      <c r="F2773" s="242"/>
      <c r="G2773"/>
      <c r="H2773" s="242">
        <v>600000</v>
      </c>
      <c r="I2773" s="242">
        <v>600000</v>
      </c>
      <c r="J2773"/>
    </row>
    <row r="2774" spans="1:10" ht="15.75" customHeight="1">
      <c r="A2774" t="s">
        <v>1026</v>
      </c>
      <c r="B2774">
        <v>753000</v>
      </c>
      <c r="C2774">
        <v>1</v>
      </c>
      <c r="D2774" t="str">
        <f t="shared" si="43"/>
        <v>1753000.815</v>
      </c>
      <c r="E2774" t="s">
        <v>2846</v>
      </c>
      <c r="F2774" s="242"/>
      <c r="G2774"/>
      <c r="H2774" s="242">
        <v>20000</v>
      </c>
      <c r="I2774" s="242">
        <v>6976</v>
      </c>
      <c r="J2774"/>
    </row>
    <row r="2775" spans="1:10" ht="15.75" customHeight="1">
      <c r="A2775" t="s">
        <v>2403</v>
      </c>
      <c r="B2775">
        <v>754000</v>
      </c>
      <c r="C2775">
        <v>1</v>
      </c>
      <c r="D2775" t="str">
        <f t="shared" si="43"/>
        <v>1754000.110</v>
      </c>
      <c r="E2775" t="s">
        <v>2573</v>
      </c>
      <c r="F2775" s="242"/>
      <c r="G2775"/>
      <c r="H2775" s="242">
        <v>264891</v>
      </c>
      <c r="I2775" s="242">
        <v>244587</v>
      </c>
      <c r="J2775"/>
    </row>
    <row r="2776" spans="1:10" ht="15.75" customHeight="1">
      <c r="A2776" t="s">
        <v>2404</v>
      </c>
      <c r="B2776">
        <v>754000</v>
      </c>
      <c r="C2776">
        <v>1</v>
      </c>
      <c r="D2776" t="str">
        <f t="shared" si="43"/>
        <v>1754000.120</v>
      </c>
      <c r="E2776" t="s">
        <v>2574</v>
      </c>
      <c r="F2776" s="242"/>
      <c r="G2776"/>
      <c r="H2776" s="242">
        <v>26735</v>
      </c>
      <c r="I2776" s="242">
        <v>21234</v>
      </c>
      <c r="J2776"/>
    </row>
    <row r="2777" spans="1:10" ht="15.75" customHeight="1">
      <c r="A2777" t="s">
        <v>2575</v>
      </c>
      <c r="B2777">
        <v>754000</v>
      </c>
      <c r="C2777">
        <v>1</v>
      </c>
      <c r="D2777" t="str">
        <f t="shared" si="43"/>
        <v>1754000.130</v>
      </c>
      <c r="E2777" t="s">
        <v>2576</v>
      </c>
      <c r="F2777" s="242"/>
      <c r="G2777"/>
      <c r="H2777" s="242">
        <v>124</v>
      </c>
      <c r="I2777" s="242">
        <v>2853</v>
      </c>
      <c r="J2777"/>
    </row>
    <row r="2778" spans="1:10" ht="15.75" customHeight="1">
      <c r="A2778" t="s">
        <v>2577</v>
      </c>
      <c r="B2778">
        <v>754000</v>
      </c>
      <c r="C2778">
        <v>1</v>
      </c>
      <c r="D2778" t="str">
        <f t="shared" si="43"/>
        <v>1754000.140</v>
      </c>
      <c r="E2778" t="s">
        <v>2578</v>
      </c>
      <c r="F2778" s="242"/>
      <c r="G2778"/>
      <c r="H2778" s="242">
        <v>42493</v>
      </c>
      <c r="I2778" s="242">
        <v>44125</v>
      </c>
      <c r="J2778"/>
    </row>
    <row r="2779" spans="1:10" ht="15.75" customHeight="1">
      <c r="A2779" t="s">
        <v>2579</v>
      </c>
      <c r="B2779">
        <v>754000</v>
      </c>
      <c r="C2779">
        <v>1</v>
      </c>
      <c r="D2779" t="str">
        <f t="shared" si="43"/>
        <v>1754000.181</v>
      </c>
      <c r="E2779" t="s">
        <v>2580</v>
      </c>
      <c r="F2779" s="242"/>
      <c r="G2779"/>
      <c r="H2779" s="242">
        <v>68887</v>
      </c>
      <c r="I2779" s="242">
        <v>64490</v>
      </c>
      <c r="J2779"/>
    </row>
    <row r="2780" spans="1:10" ht="15.75" customHeight="1">
      <c r="A2780" t="s">
        <v>2581</v>
      </c>
      <c r="B2780">
        <v>754000</v>
      </c>
      <c r="C2780">
        <v>1</v>
      </c>
      <c r="D2780" t="str">
        <f t="shared" si="43"/>
        <v>1754000.182</v>
      </c>
      <c r="E2780" t="s">
        <v>2582</v>
      </c>
      <c r="F2780" s="242"/>
      <c r="G2780"/>
      <c r="H2780" s="242">
        <v>25357</v>
      </c>
      <c r="I2780" s="242">
        <v>23704</v>
      </c>
      <c r="J2780"/>
    </row>
    <row r="2781" spans="1:10" ht="15.75" customHeight="1">
      <c r="A2781" t="s">
        <v>2413</v>
      </c>
      <c r="B2781">
        <v>754000</v>
      </c>
      <c r="C2781">
        <v>1</v>
      </c>
      <c r="D2781" t="str">
        <f t="shared" si="43"/>
        <v>1754000.510</v>
      </c>
      <c r="E2781" t="s">
        <v>2583</v>
      </c>
      <c r="F2781" s="242"/>
      <c r="G2781"/>
      <c r="H2781" s="242">
        <v>30000</v>
      </c>
      <c r="I2781" s="242">
        <v>0</v>
      </c>
      <c r="J2781"/>
    </row>
    <row r="2782" spans="1:10" ht="15.75" customHeight="1">
      <c r="A2782" t="s">
        <v>2286</v>
      </c>
      <c r="B2782">
        <v>754000</v>
      </c>
      <c r="C2782">
        <v>1</v>
      </c>
      <c r="D2782" t="str">
        <f t="shared" si="43"/>
        <v>1754000.511</v>
      </c>
      <c r="E2782" t="s">
        <v>2584</v>
      </c>
      <c r="F2782" s="242"/>
      <c r="G2782"/>
      <c r="H2782" s="242">
        <v>9500</v>
      </c>
      <c r="I2782" s="242">
        <v>3842</v>
      </c>
      <c r="J2782"/>
    </row>
    <row r="2783" spans="1:10" ht="15.75" customHeight="1">
      <c r="A2783" t="s">
        <v>2414</v>
      </c>
      <c r="B2783">
        <v>754000</v>
      </c>
      <c r="C2783">
        <v>1</v>
      </c>
      <c r="D2783" t="str">
        <f t="shared" si="43"/>
        <v>1754000.512</v>
      </c>
      <c r="E2783" t="s">
        <v>2585</v>
      </c>
      <c r="F2783" s="242"/>
      <c r="G2783"/>
      <c r="H2783" s="242">
        <v>500</v>
      </c>
      <c r="I2783" s="242">
        <v>183</v>
      </c>
      <c r="J2783"/>
    </row>
    <row r="2784" spans="1:10" ht="15.75" customHeight="1">
      <c r="A2784" t="s">
        <v>2586</v>
      </c>
      <c r="B2784">
        <v>754000</v>
      </c>
      <c r="C2784">
        <v>1</v>
      </c>
      <c r="D2784" t="str">
        <f t="shared" si="43"/>
        <v>1754000.514</v>
      </c>
      <c r="E2784" t="s">
        <v>2855</v>
      </c>
      <c r="F2784" s="242"/>
      <c r="G2784"/>
      <c r="H2784" s="242">
        <v>38000</v>
      </c>
      <c r="I2784" s="242">
        <v>25847</v>
      </c>
      <c r="J2784"/>
    </row>
    <row r="2785" spans="1:10" ht="15.75" customHeight="1">
      <c r="A2785" t="s">
        <v>2588</v>
      </c>
      <c r="B2785">
        <v>754000</v>
      </c>
      <c r="C2785">
        <v>1</v>
      </c>
      <c r="D2785" t="str">
        <f t="shared" si="43"/>
        <v>1754000.522</v>
      </c>
      <c r="E2785" t="s">
        <v>2608</v>
      </c>
      <c r="F2785" s="242"/>
      <c r="G2785"/>
      <c r="H2785" s="242">
        <v>500</v>
      </c>
      <c r="I2785" s="242">
        <v>0</v>
      </c>
      <c r="J2785"/>
    </row>
    <row r="2786" spans="1:10" ht="15.75" customHeight="1">
      <c r="A2786" t="s">
        <v>2590</v>
      </c>
      <c r="B2786">
        <v>754000</v>
      </c>
      <c r="C2786">
        <v>1</v>
      </c>
      <c r="D2786" t="str">
        <f t="shared" si="43"/>
        <v>1754000.523</v>
      </c>
      <c r="E2786" t="s">
        <v>2615</v>
      </c>
      <c r="F2786" s="242"/>
      <c r="G2786"/>
      <c r="H2786" s="242">
        <v>1000</v>
      </c>
      <c r="I2786" s="242">
        <v>0</v>
      </c>
      <c r="J2786"/>
    </row>
    <row r="2787" spans="1:10" ht="15.75" customHeight="1">
      <c r="A2787" t="s">
        <v>2594</v>
      </c>
      <c r="B2787">
        <v>754000</v>
      </c>
      <c r="C2787">
        <v>1</v>
      </c>
      <c r="D2787" t="str">
        <f t="shared" si="43"/>
        <v>1754000.540</v>
      </c>
      <c r="E2787" t="s">
        <v>2595</v>
      </c>
      <c r="F2787" s="242"/>
      <c r="G2787"/>
      <c r="H2787" s="242">
        <v>10000</v>
      </c>
      <c r="I2787" s="242">
        <v>9032</v>
      </c>
      <c r="J2787"/>
    </row>
    <row r="2788" spans="1:10" ht="15.75" customHeight="1">
      <c r="A2788" t="s">
        <v>2596</v>
      </c>
      <c r="B2788">
        <v>754000</v>
      </c>
      <c r="C2788">
        <v>1</v>
      </c>
      <c r="D2788" t="str">
        <f t="shared" si="43"/>
        <v>1754000.550</v>
      </c>
      <c r="E2788" t="s">
        <v>2597</v>
      </c>
      <c r="F2788" s="242"/>
      <c r="G2788"/>
      <c r="H2788" s="242">
        <v>5000</v>
      </c>
      <c r="I2788" s="242">
        <v>4964</v>
      </c>
      <c r="J2788"/>
    </row>
    <row r="2789" spans="1:10" ht="15.75" customHeight="1">
      <c r="A2789" t="s">
        <v>2598</v>
      </c>
      <c r="B2789">
        <v>754000</v>
      </c>
      <c r="C2789">
        <v>1</v>
      </c>
      <c r="D2789" t="str">
        <f t="shared" si="43"/>
        <v>1754000.561</v>
      </c>
      <c r="E2789" t="s">
        <v>2599</v>
      </c>
      <c r="F2789" s="242"/>
      <c r="G2789"/>
      <c r="H2789" s="242">
        <v>2000</v>
      </c>
      <c r="I2789" s="242">
        <v>2755</v>
      </c>
      <c r="J2789"/>
    </row>
    <row r="2790" spans="1:10" ht="15.75" customHeight="1">
      <c r="A2790" t="s">
        <v>2600</v>
      </c>
      <c r="B2790">
        <v>754000</v>
      </c>
      <c r="C2790">
        <v>1</v>
      </c>
      <c r="D2790" t="str">
        <f t="shared" si="43"/>
        <v>1754000.580</v>
      </c>
      <c r="E2790" t="s">
        <v>2601</v>
      </c>
      <c r="F2790" s="242"/>
      <c r="G2790"/>
      <c r="H2790" s="242">
        <v>9000</v>
      </c>
      <c r="I2790" s="242">
        <v>4261</v>
      </c>
      <c r="J2790"/>
    </row>
    <row r="2791" spans="1:10" ht="15.75" customHeight="1">
      <c r="A2791" t="s">
        <v>2609</v>
      </c>
      <c r="B2791">
        <v>754000</v>
      </c>
      <c r="C2791">
        <v>1</v>
      </c>
      <c r="D2791" t="str">
        <f t="shared" si="43"/>
        <v>1754000.710</v>
      </c>
      <c r="E2791" t="s">
        <v>2798</v>
      </c>
      <c r="F2791" s="242"/>
      <c r="G2791"/>
      <c r="H2791" s="242">
        <v>16000</v>
      </c>
      <c r="I2791" s="242">
        <v>12848</v>
      </c>
      <c r="J2791"/>
    </row>
    <row r="2792" spans="1:10" ht="15.75" customHeight="1">
      <c r="A2792" t="s">
        <v>2611</v>
      </c>
      <c r="B2792">
        <v>754000</v>
      </c>
      <c r="C2792">
        <v>1</v>
      </c>
      <c r="D2792" t="str">
        <f t="shared" si="43"/>
        <v>1754000.750</v>
      </c>
      <c r="E2792" t="s">
        <v>2856</v>
      </c>
      <c r="F2792" s="242"/>
      <c r="G2792"/>
      <c r="H2792" s="242">
        <v>8000</v>
      </c>
      <c r="I2792" s="242">
        <v>6000</v>
      </c>
      <c r="J2792"/>
    </row>
    <row r="2793" spans="1:10" ht="15.75" customHeight="1">
      <c r="A2793" t="s">
        <v>2632</v>
      </c>
      <c r="B2793">
        <v>754000</v>
      </c>
      <c r="C2793">
        <v>1</v>
      </c>
      <c r="D2793" t="str">
        <f t="shared" si="43"/>
        <v>1754000.780</v>
      </c>
      <c r="E2793" t="s">
        <v>2857</v>
      </c>
      <c r="F2793" s="242"/>
      <c r="G2793"/>
      <c r="H2793" s="242">
        <v>44000</v>
      </c>
      <c r="I2793" s="242">
        <v>67341</v>
      </c>
      <c r="J2793"/>
    </row>
    <row r="2794" spans="1:10" ht="15.75" customHeight="1">
      <c r="A2794" t="s">
        <v>877</v>
      </c>
      <c r="B2794">
        <v>754000</v>
      </c>
      <c r="C2794">
        <v>1</v>
      </c>
      <c r="D2794" t="str">
        <f t="shared" si="43"/>
        <v>1754000.782</v>
      </c>
      <c r="E2794" t="s">
        <v>2858</v>
      </c>
      <c r="F2794" s="242"/>
      <c r="G2794"/>
      <c r="H2794" s="242">
        <v>45050</v>
      </c>
      <c r="I2794" s="242">
        <v>73765</v>
      </c>
      <c r="J2794"/>
    </row>
    <row r="2795" spans="1:10" ht="15.75" customHeight="1">
      <c r="A2795" t="s">
        <v>1176</v>
      </c>
      <c r="B2795">
        <v>754000</v>
      </c>
      <c r="C2795">
        <v>1</v>
      </c>
      <c r="D2795" t="str">
        <f t="shared" si="43"/>
        <v>1754000.821</v>
      </c>
      <c r="E2795" t="s">
        <v>4346</v>
      </c>
      <c r="F2795" s="242"/>
      <c r="G2795"/>
      <c r="H2795" s="242">
        <v>0</v>
      </c>
      <c r="I2795" s="242">
        <v>4145</v>
      </c>
      <c r="J2795"/>
    </row>
    <row r="2796" spans="1:10" ht="15.75" customHeight="1">
      <c r="A2796" t="s">
        <v>4573</v>
      </c>
      <c r="B2796">
        <v>760000</v>
      </c>
      <c r="C2796">
        <v>1</v>
      </c>
      <c r="D2796" t="str">
        <f t="shared" si="43"/>
        <v>1760000.320</v>
      </c>
      <c r="E2796" t="s">
        <v>4574</v>
      </c>
      <c r="F2796" s="242"/>
      <c r="G2796"/>
      <c r="H2796" s="242">
        <v>20000</v>
      </c>
      <c r="I2796" s="242">
        <v>13435</v>
      </c>
      <c r="J2796"/>
    </row>
    <row r="2797" spans="1:10" ht="15.75" customHeight="1">
      <c r="A2797" t="s">
        <v>2571</v>
      </c>
      <c r="B2797">
        <v>761000</v>
      </c>
      <c r="C2797">
        <v>1</v>
      </c>
      <c r="D2797" t="str">
        <f t="shared" si="43"/>
        <v>1761000.105</v>
      </c>
      <c r="E2797" t="s">
        <v>2572</v>
      </c>
      <c r="F2797" s="242"/>
      <c r="G2797"/>
      <c r="H2797" s="242">
        <v>328000</v>
      </c>
      <c r="I2797" s="242">
        <v>50360</v>
      </c>
      <c r="J2797"/>
    </row>
    <row r="2798" spans="1:10" ht="15.75" customHeight="1">
      <c r="A2798" t="s">
        <v>2403</v>
      </c>
      <c r="B2798">
        <v>761000</v>
      </c>
      <c r="C2798">
        <v>1</v>
      </c>
      <c r="D2798" t="str">
        <f t="shared" si="43"/>
        <v>1761000.110</v>
      </c>
      <c r="E2798" t="s">
        <v>2573</v>
      </c>
      <c r="F2798" s="242"/>
      <c r="G2798"/>
      <c r="H2798" s="242">
        <v>2357153</v>
      </c>
      <c r="I2798" s="242">
        <v>2202984</v>
      </c>
      <c r="J2798"/>
    </row>
    <row r="2799" spans="1:10" ht="15.75" customHeight="1">
      <c r="A2799" t="s">
        <v>2404</v>
      </c>
      <c r="B2799">
        <v>761000</v>
      </c>
      <c r="C2799">
        <v>1</v>
      </c>
      <c r="D2799" t="str">
        <f t="shared" si="43"/>
        <v>1761000.120</v>
      </c>
      <c r="E2799" t="s">
        <v>2574</v>
      </c>
      <c r="F2799" s="242"/>
      <c r="G2799"/>
      <c r="H2799" s="242">
        <v>545442</v>
      </c>
      <c r="I2799" s="242">
        <v>482319</v>
      </c>
      <c r="J2799"/>
    </row>
    <row r="2800" spans="1:10" ht="15.75" customHeight="1">
      <c r="A2800" t="s">
        <v>2575</v>
      </c>
      <c r="B2800">
        <v>761000</v>
      </c>
      <c r="C2800">
        <v>1</v>
      </c>
      <c r="D2800" t="str">
        <f t="shared" si="43"/>
        <v>1761000.130</v>
      </c>
      <c r="E2800" t="s">
        <v>2576</v>
      </c>
      <c r="F2800" s="242"/>
      <c r="G2800"/>
      <c r="H2800" s="242">
        <v>27160</v>
      </c>
      <c r="I2800" s="242">
        <v>26263</v>
      </c>
      <c r="J2800"/>
    </row>
    <row r="2801" spans="1:10" ht="15.75" customHeight="1">
      <c r="A2801" t="s">
        <v>2577</v>
      </c>
      <c r="B2801">
        <v>761000</v>
      </c>
      <c r="C2801">
        <v>1</v>
      </c>
      <c r="D2801" t="str">
        <f t="shared" si="43"/>
        <v>1761000.140</v>
      </c>
      <c r="E2801" t="s">
        <v>2578</v>
      </c>
      <c r="F2801" s="242"/>
      <c r="G2801"/>
      <c r="H2801" s="242">
        <v>162569</v>
      </c>
      <c r="I2801" s="242">
        <v>182424</v>
      </c>
      <c r="J2801"/>
    </row>
    <row r="2802" spans="1:10" ht="15.75" customHeight="1">
      <c r="A2802" t="s">
        <v>2579</v>
      </c>
      <c r="B2802">
        <v>761000</v>
      </c>
      <c r="C2802">
        <v>1</v>
      </c>
      <c r="D2802" t="str">
        <f t="shared" si="43"/>
        <v>1761000.181</v>
      </c>
      <c r="E2802" t="s">
        <v>2580</v>
      </c>
      <c r="F2802" s="242"/>
      <c r="G2802"/>
      <c r="H2802" s="242">
        <v>577706</v>
      </c>
      <c r="I2802" s="242">
        <v>533722</v>
      </c>
      <c r="J2802"/>
    </row>
    <row r="2803" spans="1:10" ht="15.75" customHeight="1">
      <c r="A2803" t="s">
        <v>2581</v>
      </c>
      <c r="B2803">
        <v>761000</v>
      </c>
      <c r="C2803">
        <v>1</v>
      </c>
      <c r="D2803" t="str">
        <f t="shared" si="43"/>
        <v>1761000.182</v>
      </c>
      <c r="E2803" t="s">
        <v>2582</v>
      </c>
      <c r="F2803" s="242"/>
      <c r="G2803"/>
      <c r="H2803" s="242">
        <v>232309</v>
      </c>
      <c r="I2803" s="242">
        <v>218683</v>
      </c>
      <c r="J2803"/>
    </row>
    <row r="2804" spans="1:10" ht="15.75" customHeight="1">
      <c r="A2804" t="s">
        <v>2286</v>
      </c>
      <c r="B2804">
        <v>761000</v>
      </c>
      <c r="C2804">
        <v>1</v>
      </c>
      <c r="D2804" t="str">
        <f t="shared" si="43"/>
        <v>1761000.511</v>
      </c>
      <c r="E2804" t="s">
        <v>2584</v>
      </c>
      <c r="F2804" s="242"/>
      <c r="G2804"/>
      <c r="H2804" s="242">
        <v>7500</v>
      </c>
      <c r="I2804" s="242">
        <v>12022</v>
      </c>
      <c r="J2804"/>
    </row>
    <row r="2805" spans="1:10" ht="15.75" customHeight="1">
      <c r="A2805" t="s">
        <v>2414</v>
      </c>
      <c r="B2805">
        <v>761000</v>
      </c>
      <c r="C2805">
        <v>1</v>
      </c>
      <c r="D2805" t="str">
        <f t="shared" si="43"/>
        <v>1761000.512</v>
      </c>
      <c r="E2805" t="s">
        <v>2585</v>
      </c>
      <c r="F2805" s="242"/>
      <c r="G2805"/>
      <c r="H2805" s="242">
        <v>500</v>
      </c>
      <c r="I2805" s="242">
        <v>0</v>
      </c>
      <c r="J2805"/>
    </row>
    <row r="2806" spans="1:10" ht="15.75" customHeight="1">
      <c r="A2806" t="s">
        <v>2588</v>
      </c>
      <c r="B2806">
        <v>761000</v>
      </c>
      <c r="C2806">
        <v>1</v>
      </c>
      <c r="D2806" t="str">
        <f t="shared" si="43"/>
        <v>1761000.522</v>
      </c>
      <c r="E2806" t="s">
        <v>2608</v>
      </c>
      <c r="F2806" s="242"/>
      <c r="G2806"/>
      <c r="H2806" s="242">
        <v>500</v>
      </c>
      <c r="I2806" s="242">
        <v>0</v>
      </c>
      <c r="J2806"/>
    </row>
    <row r="2807" spans="1:10" ht="15.75" customHeight="1">
      <c r="A2807" t="s">
        <v>2590</v>
      </c>
      <c r="B2807">
        <v>761000</v>
      </c>
      <c r="C2807">
        <v>1</v>
      </c>
      <c r="D2807" t="str">
        <f t="shared" si="43"/>
        <v>1761000.523</v>
      </c>
      <c r="E2807" t="s">
        <v>2760</v>
      </c>
      <c r="F2807" s="242"/>
      <c r="G2807"/>
      <c r="H2807" s="242">
        <v>0</v>
      </c>
      <c r="I2807" s="242">
        <v>350</v>
      </c>
      <c r="J2807"/>
    </row>
    <row r="2808" spans="1:10" ht="15.75" customHeight="1">
      <c r="A2808" t="s">
        <v>2594</v>
      </c>
      <c r="B2808">
        <v>761000</v>
      </c>
      <c r="C2808">
        <v>1</v>
      </c>
      <c r="D2808" t="str">
        <f t="shared" si="43"/>
        <v>1761000.540</v>
      </c>
      <c r="E2808" t="s">
        <v>2595</v>
      </c>
      <c r="F2808" s="242"/>
      <c r="G2808"/>
      <c r="H2808" s="242">
        <v>98000</v>
      </c>
      <c r="I2808" s="242">
        <v>81504</v>
      </c>
      <c r="J2808"/>
    </row>
    <row r="2809" spans="1:10" ht="15.75" customHeight="1">
      <c r="A2809" t="s">
        <v>2596</v>
      </c>
      <c r="B2809">
        <v>761000</v>
      </c>
      <c r="C2809">
        <v>1</v>
      </c>
      <c r="D2809" t="str">
        <f t="shared" si="43"/>
        <v>1761000.550</v>
      </c>
      <c r="E2809" t="s">
        <v>2597</v>
      </c>
      <c r="F2809" s="242"/>
      <c r="G2809"/>
      <c r="H2809" s="242">
        <v>13000</v>
      </c>
      <c r="I2809" s="242">
        <v>12783</v>
      </c>
      <c r="J2809"/>
    </row>
    <row r="2810" spans="1:10" ht="15.75" customHeight="1">
      <c r="A2810" t="s">
        <v>2598</v>
      </c>
      <c r="B2810">
        <v>761000</v>
      </c>
      <c r="C2810">
        <v>1</v>
      </c>
      <c r="D2810" t="str">
        <f t="shared" si="43"/>
        <v>1761000.561</v>
      </c>
      <c r="E2810" t="s">
        <v>2599</v>
      </c>
      <c r="F2810" s="242"/>
      <c r="G2810"/>
      <c r="H2810" s="242">
        <v>23000</v>
      </c>
      <c r="I2810" s="242">
        <v>26637</v>
      </c>
      <c r="J2810"/>
    </row>
    <row r="2811" spans="1:10" ht="15.75" customHeight="1">
      <c r="A2811" t="s">
        <v>2735</v>
      </c>
      <c r="B2811">
        <v>761000</v>
      </c>
      <c r="C2811">
        <v>1</v>
      </c>
      <c r="D2811" t="str">
        <f t="shared" si="43"/>
        <v>1761000.576</v>
      </c>
      <c r="E2811" t="s">
        <v>2761</v>
      </c>
      <c r="F2811" s="242"/>
      <c r="G2811"/>
      <c r="H2811" s="242">
        <v>0</v>
      </c>
      <c r="I2811" s="242">
        <v>0</v>
      </c>
      <c r="J2811"/>
    </row>
    <row r="2812" spans="1:10" ht="15.75" customHeight="1">
      <c r="A2812" t="s">
        <v>2600</v>
      </c>
      <c r="B2812">
        <v>761000</v>
      </c>
      <c r="C2812">
        <v>1</v>
      </c>
      <c r="D2812" t="str">
        <f t="shared" si="43"/>
        <v>1761000.580</v>
      </c>
      <c r="E2812" t="s">
        <v>2601</v>
      </c>
      <c r="F2812" s="242"/>
      <c r="G2812"/>
      <c r="H2812" s="242">
        <v>7000</v>
      </c>
      <c r="I2812" s="242">
        <v>8346</v>
      </c>
      <c r="J2812"/>
    </row>
    <row r="2813" spans="1:10" ht="15.75" customHeight="1">
      <c r="A2813" t="s">
        <v>600</v>
      </c>
      <c r="B2813">
        <v>761000</v>
      </c>
      <c r="C2813">
        <v>1</v>
      </c>
      <c r="D2813" t="str">
        <f t="shared" si="43"/>
        <v>1761000.731</v>
      </c>
      <c r="E2813" t="s">
        <v>2593</v>
      </c>
      <c r="F2813" s="242"/>
      <c r="G2813"/>
      <c r="H2813" s="242">
        <v>133371</v>
      </c>
      <c r="I2813" s="242">
        <v>156023</v>
      </c>
      <c r="J2813"/>
    </row>
    <row r="2814" spans="1:10" ht="15.75" customHeight="1">
      <c r="A2814" t="s">
        <v>2418</v>
      </c>
      <c r="B2814">
        <v>761000</v>
      </c>
      <c r="C2814">
        <v>1</v>
      </c>
      <c r="D2814" t="str">
        <f t="shared" si="43"/>
        <v>1761000.735</v>
      </c>
      <c r="E2814" t="s">
        <v>2762</v>
      </c>
      <c r="F2814" s="242"/>
      <c r="G2814"/>
      <c r="H2814" s="242">
        <v>210594</v>
      </c>
      <c r="I2814" s="242">
        <v>196267</v>
      </c>
      <c r="J2814"/>
    </row>
    <row r="2815" spans="1:10" ht="15.75" customHeight="1">
      <c r="A2815" t="s">
        <v>673</v>
      </c>
      <c r="B2815">
        <v>761000</v>
      </c>
      <c r="C2815">
        <v>1</v>
      </c>
      <c r="D2815" t="str">
        <f t="shared" si="43"/>
        <v>1761000.743</v>
      </c>
      <c r="E2815" t="s">
        <v>2763</v>
      </c>
      <c r="F2815" s="242"/>
      <c r="G2815"/>
      <c r="H2815" s="242">
        <v>40000</v>
      </c>
      <c r="I2815" s="242">
        <v>37825</v>
      </c>
      <c r="J2815"/>
    </row>
    <row r="2816" spans="1:10" ht="15.75" customHeight="1">
      <c r="A2816" t="s">
        <v>678</v>
      </c>
      <c r="B2816">
        <v>761000</v>
      </c>
      <c r="C2816">
        <v>1</v>
      </c>
      <c r="D2816" t="str">
        <f t="shared" si="43"/>
        <v>1761000.744</v>
      </c>
      <c r="E2816" t="s">
        <v>2764</v>
      </c>
      <c r="F2816" s="242"/>
      <c r="G2816"/>
      <c r="H2816" s="242">
        <v>34200</v>
      </c>
      <c r="I2816" s="242">
        <v>34000</v>
      </c>
      <c r="J2816"/>
    </row>
    <row r="2817" spans="1:10" ht="15.75" customHeight="1">
      <c r="A2817" t="s">
        <v>737</v>
      </c>
      <c r="B2817">
        <v>761000</v>
      </c>
      <c r="C2817">
        <v>1</v>
      </c>
      <c r="D2817" t="str">
        <f t="shared" si="43"/>
        <v>1761000.747</v>
      </c>
      <c r="E2817" t="s">
        <v>2765</v>
      </c>
      <c r="F2817" s="242"/>
      <c r="G2817"/>
      <c r="H2817" s="242">
        <v>8000</v>
      </c>
      <c r="I2817" s="242">
        <v>5686</v>
      </c>
      <c r="J2817"/>
    </row>
    <row r="2818" spans="1:10" ht="15.75" customHeight="1">
      <c r="A2818" t="s">
        <v>2611</v>
      </c>
      <c r="B2818">
        <v>761000</v>
      </c>
      <c r="C2818">
        <v>1</v>
      </c>
      <c r="D2818" t="str">
        <f t="shared" si="43"/>
        <v>1761000.750</v>
      </c>
      <c r="E2818" t="s">
        <v>2707</v>
      </c>
      <c r="F2818" s="242"/>
      <c r="G2818"/>
      <c r="H2818" s="242">
        <v>30000</v>
      </c>
      <c r="I2818" s="242">
        <v>25200</v>
      </c>
      <c r="J2818"/>
    </row>
    <row r="2819" spans="1:10" ht="15.75" customHeight="1">
      <c r="A2819" t="s">
        <v>791</v>
      </c>
      <c r="B2819">
        <v>761000</v>
      </c>
      <c r="C2819">
        <v>1</v>
      </c>
      <c r="D2819" t="str">
        <f t="shared" ref="D2819:D2882" si="44">C2819&amp;B2819&amp;"."&amp;A2819</f>
        <v>1761000.756</v>
      </c>
      <c r="E2819" t="s">
        <v>2766</v>
      </c>
      <c r="F2819" s="242"/>
      <c r="G2819"/>
      <c r="H2819" s="242">
        <v>50000</v>
      </c>
      <c r="I2819" s="242">
        <v>44155</v>
      </c>
      <c r="J2819"/>
    </row>
    <row r="2820" spans="1:10" ht="15.75" customHeight="1">
      <c r="A2820" t="s">
        <v>2767</v>
      </c>
      <c r="B2820">
        <v>761000</v>
      </c>
      <c r="C2820">
        <v>1</v>
      </c>
      <c r="D2820" t="str">
        <f t="shared" si="44"/>
        <v>1761000.757</v>
      </c>
      <c r="E2820" t="s">
        <v>2768</v>
      </c>
      <c r="F2820" s="242"/>
      <c r="G2820"/>
      <c r="H2820" s="242">
        <v>7000</v>
      </c>
      <c r="I2820" s="242">
        <v>6170</v>
      </c>
      <c r="J2820"/>
    </row>
    <row r="2821" spans="1:10" ht="15.75" customHeight="1">
      <c r="A2821" t="s">
        <v>835</v>
      </c>
      <c r="B2821">
        <v>761000</v>
      </c>
      <c r="C2821">
        <v>1</v>
      </c>
      <c r="D2821" t="str">
        <f t="shared" si="44"/>
        <v>1761000.769</v>
      </c>
      <c r="E2821" t="s">
        <v>2605</v>
      </c>
      <c r="F2821" s="242"/>
      <c r="G2821"/>
      <c r="H2821" s="242">
        <v>19200</v>
      </c>
      <c r="I2821" s="242">
        <v>12261</v>
      </c>
      <c r="J2821"/>
    </row>
    <row r="2822" spans="1:10" ht="15.75" customHeight="1">
      <c r="A2822" t="s">
        <v>2403</v>
      </c>
      <c r="B2822">
        <v>762000</v>
      </c>
      <c r="C2822">
        <v>1</v>
      </c>
      <c r="D2822" t="str">
        <f t="shared" si="44"/>
        <v>1762000.110</v>
      </c>
      <c r="E2822" t="s">
        <v>2573</v>
      </c>
      <c r="F2822" s="242"/>
      <c r="G2822"/>
      <c r="H2822" s="242">
        <v>130894</v>
      </c>
      <c r="I2822" s="242">
        <v>134912</v>
      </c>
      <c r="J2822"/>
    </row>
    <row r="2823" spans="1:10" ht="15.75" customHeight="1">
      <c r="A2823" t="s">
        <v>2404</v>
      </c>
      <c r="B2823">
        <v>762000</v>
      </c>
      <c r="C2823">
        <v>1</v>
      </c>
      <c r="D2823" t="str">
        <f t="shared" si="44"/>
        <v>1762000.120</v>
      </c>
      <c r="E2823" t="s">
        <v>2574</v>
      </c>
      <c r="F2823" s="242"/>
      <c r="G2823"/>
      <c r="H2823" s="242">
        <v>24441</v>
      </c>
      <c r="I2823" s="242">
        <v>25719</v>
      </c>
      <c r="J2823"/>
    </row>
    <row r="2824" spans="1:10" ht="15.75" customHeight="1">
      <c r="A2824" t="s">
        <v>2575</v>
      </c>
      <c r="B2824">
        <v>762000</v>
      </c>
      <c r="C2824">
        <v>1</v>
      </c>
      <c r="D2824" t="str">
        <f t="shared" si="44"/>
        <v>1762000.130</v>
      </c>
      <c r="E2824" t="s">
        <v>2576</v>
      </c>
      <c r="F2824" s="242"/>
      <c r="G2824"/>
      <c r="H2824" s="242">
        <v>2071</v>
      </c>
      <c r="I2824" s="242">
        <v>1239</v>
      </c>
      <c r="J2824"/>
    </row>
    <row r="2825" spans="1:10" ht="15.75" customHeight="1">
      <c r="A2825" t="s">
        <v>2577</v>
      </c>
      <c r="B2825">
        <v>762000</v>
      </c>
      <c r="C2825">
        <v>1</v>
      </c>
      <c r="D2825" t="str">
        <f t="shared" si="44"/>
        <v>1762000.140</v>
      </c>
      <c r="E2825" t="s">
        <v>2578</v>
      </c>
      <c r="F2825" s="242"/>
      <c r="G2825"/>
      <c r="H2825" s="242">
        <v>28265</v>
      </c>
      <c r="I2825" s="242">
        <v>24346</v>
      </c>
      <c r="J2825"/>
    </row>
    <row r="2826" spans="1:10" ht="15.75" customHeight="1">
      <c r="A2826" t="s">
        <v>2579</v>
      </c>
      <c r="B2826">
        <v>762000</v>
      </c>
      <c r="C2826">
        <v>1</v>
      </c>
      <c r="D2826" t="str">
        <f t="shared" si="44"/>
        <v>1762000.181</v>
      </c>
      <c r="E2826" t="s">
        <v>2580</v>
      </c>
      <c r="F2826" s="242"/>
      <c r="G2826"/>
      <c r="H2826" s="242">
        <v>26311</v>
      </c>
      <c r="I2826" s="242">
        <v>26303</v>
      </c>
      <c r="J2826"/>
    </row>
    <row r="2827" spans="1:10" ht="15.75" customHeight="1">
      <c r="A2827" t="s">
        <v>2581</v>
      </c>
      <c r="B2827">
        <v>762000</v>
      </c>
      <c r="C2827">
        <v>1</v>
      </c>
      <c r="D2827" t="str">
        <f t="shared" si="44"/>
        <v>1762000.182</v>
      </c>
      <c r="E2827" t="s">
        <v>2582</v>
      </c>
      <c r="F2827" s="242"/>
      <c r="G2827"/>
      <c r="H2827" s="242">
        <v>14090</v>
      </c>
      <c r="I2827" s="242">
        <v>14134</v>
      </c>
      <c r="J2827"/>
    </row>
    <row r="2828" spans="1:10" ht="15.75" customHeight="1">
      <c r="A2828" t="s">
        <v>2409</v>
      </c>
      <c r="B2828">
        <v>762000</v>
      </c>
      <c r="C2828">
        <v>1</v>
      </c>
      <c r="D2828" t="str">
        <f t="shared" si="44"/>
        <v>1762000.410</v>
      </c>
      <c r="E2828" t="s">
        <v>2752</v>
      </c>
      <c r="F2828" s="242"/>
      <c r="G2828"/>
      <c r="H2828" s="242">
        <v>20000</v>
      </c>
      <c r="I2828" s="242">
        <v>19066</v>
      </c>
      <c r="J2828"/>
    </row>
    <row r="2829" spans="1:10" ht="15.75" customHeight="1">
      <c r="A2829" t="s">
        <v>2652</v>
      </c>
      <c r="B2829">
        <v>762000</v>
      </c>
      <c r="C2829">
        <v>1</v>
      </c>
      <c r="D2829" t="str">
        <f t="shared" si="44"/>
        <v>1762000.420</v>
      </c>
      <c r="E2829" t="s">
        <v>2653</v>
      </c>
      <c r="F2829" s="242"/>
      <c r="G2829"/>
      <c r="H2829" s="242">
        <v>7000</v>
      </c>
      <c r="I2829" s="242">
        <v>0</v>
      </c>
      <c r="J2829"/>
    </row>
    <row r="2830" spans="1:10" ht="15.75" customHeight="1">
      <c r="A2830" t="s">
        <v>1663</v>
      </c>
      <c r="B2830">
        <v>762000</v>
      </c>
      <c r="C2830">
        <v>1</v>
      </c>
      <c r="D2830" t="str">
        <f t="shared" si="44"/>
        <v>1762000.431</v>
      </c>
      <c r="E2830" t="s">
        <v>2654</v>
      </c>
      <c r="F2830" s="242"/>
      <c r="G2830"/>
      <c r="H2830" s="242">
        <v>6000</v>
      </c>
      <c r="I2830" s="242">
        <v>5448</v>
      </c>
      <c r="J2830"/>
    </row>
    <row r="2831" spans="1:10" ht="15.75" customHeight="1">
      <c r="A2831" t="s">
        <v>1668</v>
      </c>
      <c r="B2831">
        <v>762000</v>
      </c>
      <c r="C2831">
        <v>1</v>
      </c>
      <c r="D2831" t="str">
        <f t="shared" si="44"/>
        <v>1762000.432</v>
      </c>
      <c r="E2831" t="s">
        <v>2687</v>
      </c>
      <c r="F2831" s="242"/>
      <c r="G2831"/>
      <c r="H2831" s="242">
        <v>800</v>
      </c>
      <c r="I2831" s="242">
        <v>543</v>
      </c>
      <c r="J2831"/>
    </row>
    <row r="2832" spans="1:10" ht="15.75" customHeight="1">
      <c r="A2832" t="s">
        <v>1673</v>
      </c>
      <c r="B2832">
        <v>762000</v>
      </c>
      <c r="C2832">
        <v>1</v>
      </c>
      <c r="D2832" t="str">
        <f t="shared" si="44"/>
        <v>1762000.433</v>
      </c>
      <c r="E2832" t="s">
        <v>2655</v>
      </c>
      <c r="F2832" s="242"/>
      <c r="G2832"/>
      <c r="H2832" s="242">
        <v>1000</v>
      </c>
      <c r="I2832" s="242">
        <v>1326</v>
      </c>
      <c r="J2832"/>
    </row>
    <row r="2833" spans="1:10" ht="15.75" customHeight="1">
      <c r="A2833" t="s">
        <v>1678</v>
      </c>
      <c r="B2833">
        <v>762000</v>
      </c>
      <c r="C2833">
        <v>1</v>
      </c>
      <c r="D2833" t="str">
        <f t="shared" si="44"/>
        <v>1762000.434</v>
      </c>
      <c r="E2833" t="s">
        <v>2753</v>
      </c>
      <c r="F2833" s="242"/>
      <c r="G2833"/>
      <c r="H2833" s="242">
        <v>15200</v>
      </c>
      <c r="I2833" s="242">
        <v>13870</v>
      </c>
      <c r="J2833"/>
    </row>
    <row r="2834" spans="1:10" ht="15.75" customHeight="1">
      <c r="A2834" t="s">
        <v>2606</v>
      </c>
      <c r="B2834">
        <v>762000</v>
      </c>
      <c r="C2834">
        <v>1</v>
      </c>
      <c r="D2834" t="str">
        <f t="shared" si="44"/>
        <v>1762000.440</v>
      </c>
      <c r="E2834" t="s">
        <v>2657</v>
      </c>
      <c r="F2834" s="242"/>
      <c r="G2834"/>
      <c r="H2834" s="242">
        <v>1800</v>
      </c>
      <c r="I2834" s="242">
        <v>1706</v>
      </c>
      <c r="J2834"/>
    </row>
    <row r="2835" spans="1:10" ht="15.75" customHeight="1">
      <c r="A2835" t="s">
        <v>2411</v>
      </c>
      <c r="B2835">
        <v>762000</v>
      </c>
      <c r="C2835">
        <v>1</v>
      </c>
      <c r="D2835" t="str">
        <f t="shared" si="44"/>
        <v>1762000.470</v>
      </c>
      <c r="E2835" t="s">
        <v>2660</v>
      </c>
      <c r="F2835" s="242"/>
      <c r="G2835"/>
      <c r="H2835" s="242">
        <v>1500</v>
      </c>
      <c r="I2835" s="242">
        <v>1219</v>
      </c>
      <c r="J2835"/>
    </row>
    <row r="2836" spans="1:10" ht="15.75" customHeight="1">
      <c r="A2836" t="s">
        <v>2286</v>
      </c>
      <c r="B2836">
        <v>762000</v>
      </c>
      <c r="C2836">
        <v>1</v>
      </c>
      <c r="D2836" t="str">
        <f t="shared" si="44"/>
        <v>1762000.511</v>
      </c>
      <c r="E2836" t="s">
        <v>2584</v>
      </c>
      <c r="F2836" s="242"/>
      <c r="G2836"/>
      <c r="H2836" s="242">
        <v>1000</v>
      </c>
      <c r="I2836" s="242">
        <v>762</v>
      </c>
      <c r="J2836"/>
    </row>
    <row r="2837" spans="1:10" ht="15.75" customHeight="1">
      <c r="A2837" t="s">
        <v>2414</v>
      </c>
      <c r="B2837">
        <v>762000</v>
      </c>
      <c r="C2837">
        <v>1</v>
      </c>
      <c r="D2837" t="str">
        <f t="shared" si="44"/>
        <v>1762000.512</v>
      </c>
      <c r="E2837" t="s">
        <v>2585</v>
      </c>
      <c r="F2837" s="242"/>
      <c r="G2837"/>
      <c r="H2837" s="242">
        <v>500</v>
      </c>
      <c r="I2837" s="242">
        <v>0</v>
      </c>
      <c r="J2837"/>
    </row>
    <row r="2838" spans="1:10" ht="15.75" customHeight="1">
      <c r="A2838" t="s">
        <v>2590</v>
      </c>
      <c r="B2838">
        <v>762000</v>
      </c>
      <c r="C2838">
        <v>1</v>
      </c>
      <c r="D2838" t="str">
        <f t="shared" si="44"/>
        <v>1762000.523</v>
      </c>
      <c r="E2838" t="s">
        <v>2615</v>
      </c>
      <c r="F2838" s="242"/>
      <c r="G2838"/>
      <c r="H2838" s="242">
        <v>600</v>
      </c>
      <c r="I2838" s="242">
        <v>350</v>
      </c>
      <c r="J2838"/>
    </row>
    <row r="2839" spans="1:10" ht="15.75" customHeight="1">
      <c r="A2839" t="s">
        <v>2594</v>
      </c>
      <c r="B2839">
        <v>762000</v>
      </c>
      <c r="C2839">
        <v>1</v>
      </c>
      <c r="D2839" t="str">
        <f t="shared" si="44"/>
        <v>1762000.540</v>
      </c>
      <c r="E2839" t="s">
        <v>2595</v>
      </c>
      <c r="F2839" s="242"/>
      <c r="G2839"/>
      <c r="H2839" s="242">
        <v>10000</v>
      </c>
      <c r="I2839" s="242">
        <v>3756</v>
      </c>
      <c r="J2839"/>
    </row>
    <row r="2840" spans="1:10" ht="15.75" customHeight="1">
      <c r="A2840" t="s">
        <v>2596</v>
      </c>
      <c r="B2840">
        <v>762000</v>
      </c>
      <c r="C2840">
        <v>1</v>
      </c>
      <c r="D2840" t="str">
        <f t="shared" si="44"/>
        <v>1762000.550</v>
      </c>
      <c r="E2840" t="s">
        <v>2597</v>
      </c>
      <c r="F2840" s="242"/>
      <c r="G2840"/>
      <c r="H2840" s="242">
        <v>2000</v>
      </c>
      <c r="I2840" s="242">
        <v>0</v>
      </c>
      <c r="J2840"/>
    </row>
    <row r="2841" spans="1:10" ht="15.75" customHeight="1">
      <c r="A2841" t="s">
        <v>2598</v>
      </c>
      <c r="B2841">
        <v>762000</v>
      </c>
      <c r="C2841">
        <v>1</v>
      </c>
      <c r="D2841" t="str">
        <f t="shared" si="44"/>
        <v>1762000.561</v>
      </c>
      <c r="E2841" t="s">
        <v>2599</v>
      </c>
      <c r="F2841" s="242"/>
      <c r="G2841"/>
      <c r="H2841" s="242">
        <v>4500</v>
      </c>
      <c r="I2841" s="242">
        <v>4543</v>
      </c>
      <c r="J2841"/>
    </row>
    <row r="2842" spans="1:10" ht="15.75" customHeight="1">
      <c r="A2842" t="s">
        <v>2600</v>
      </c>
      <c r="B2842">
        <v>762000</v>
      </c>
      <c r="C2842">
        <v>1</v>
      </c>
      <c r="D2842" t="str">
        <f t="shared" si="44"/>
        <v>1762000.580</v>
      </c>
      <c r="E2842" t="s">
        <v>2601</v>
      </c>
      <c r="F2842" s="242"/>
      <c r="G2842"/>
      <c r="H2842" s="242">
        <v>1100</v>
      </c>
      <c r="I2842" s="242">
        <v>546</v>
      </c>
      <c r="J2842"/>
    </row>
    <row r="2843" spans="1:10" ht="15.75" customHeight="1">
      <c r="A2843" t="s">
        <v>673</v>
      </c>
      <c r="B2843">
        <v>762000</v>
      </c>
      <c r="C2843">
        <v>1</v>
      </c>
      <c r="D2843" t="str">
        <f t="shared" si="44"/>
        <v>1762000.743</v>
      </c>
      <c r="E2843" t="s">
        <v>2622</v>
      </c>
      <c r="F2843" s="242"/>
      <c r="G2843"/>
      <c r="H2843" s="242">
        <v>4000</v>
      </c>
      <c r="I2843" s="242">
        <v>30</v>
      </c>
      <c r="J2843"/>
    </row>
    <row r="2844" spans="1:10" ht="15.75" customHeight="1">
      <c r="A2844" t="s">
        <v>2632</v>
      </c>
      <c r="B2844">
        <v>762100</v>
      </c>
      <c r="C2844">
        <v>1</v>
      </c>
      <c r="D2844" t="str">
        <f t="shared" si="44"/>
        <v>1762100.780</v>
      </c>
      <c r="E2844" t="s">
        <v>3551</v>
      </c>
      <c r="F2844" s="242"/>
      <c r="G2844"/>
      <c r="H2844" s="242">
        <v>0</v>
      </c>
      <c r="I2844" s="242">
        <v>0</v>
      </c>
      <c r="J2844"/>
    </row>
    <row r="2845" spans="1:10" ht="15.75" customHeight="1">
      <c r="A2845" t="s">
        <v>2403</v>
      </c>
      <c r="B2845">
        <v>764000</v>
      </c>
      <c r="C2845">
        <v>1</v>
      </c>
      <c r="D2845" t="str">
        <f t="shared" si="44"/>
        <v>1764000.110</v>
      </c>
      <c r="E2845" t="s">
        <v>2573</v>
      </c>
      <c r="F2845" s="242"/>
      <c r="G2845"/>
      <c r="H2845" s="242">
        <v>410531</v>
      </c>
      <c r="I2845" s="242">
        <v>391455</v>
      </c>
      <c r="J2845"/>
    </row>
    <row r="2846" spans="1:10" ht="15.75" customHeight="1">
      <c r="A2846" t="s">
        <v>2404</v>
      </c>
      <c r="B2846">
        <v>764000</v>
      </c>
      <c r="C2846">
        <v>1</v>
      </c>
      <c r="D2846" t="str">
        <f t="shared" si="44"/>
        <v>1764000.120</v>
      </c>
      <c r="E2846" t="s">
        <v>2574</v>
      </c>
      <c r="F2846" s="242"/>
      <c r="G2846"/>
      <c r="H2846" s="242">
        <v>8079</v>
      </c>
      <c r="I2846" s="242">
        <v>7792</v>
      </c>
      <c r="J2846"/>
    </row>
    <row r="2847" spans="1:10" ht="15.75" customHeight="1">
      <c r="A2847" t="s">
        <v>2577</v>
      </c>
      <c r="B2847">
        <v>764000</v>
      </c>
      <c r="C2847">
        <v>1</v>
      </c>
      <c r="D2847" t="str">
        <f t="shared" si="44"/>
        <v>1764000.140</v>
      </c>
      <c r="E2847" t="s">
        <v>2578</v>
      </c>
      <c r="F2847" s="242"/>
      <c r="G2847"/>
      <c r="H2847" s="242">
        <v>57797</v>
      </c>
      <c r="I2847" s="242">
        <v>49488</v>
      </c>
      <c r="J2847"/>
    </row>
    <row r="2848" spans="1:10" ht="15.75" customHeight="1">
      <c r="A2848" t="s">
        <v>2579</v>
      </c>
      <c r="B2848">
        <v>764000</v>
      </c>
      <c r="C2848">
        <v>1</v>
      </c>
      <c r="D2848" t="str">
        <f t="shared" si="44"/>
        <v>1764000.181</v>
      </c>
      <c r="E2848" t="s">
        <v>2580</v>
      </c>
      <c r="F2848" s="242"/>
      <c r="G2848"/>
      <c r="H2848" s="242">
        <v>65310</v>
      </c>
      <c r="I2848" s="242">
        <v>61762</v>
      </c>
      <c r="J2848"/>
    </row>
    <row r="2849" spans="1:10" ht="15.75" customHeight="1">
      <c r="A2849" t="s">
        <v>2581</v>
      </c>
      <c r="B2849">
        <v>764000</v>
      </c>
      <c r="C2849">
        <v>1</v>
      </c>
      <c r="D2849" t="str">
        <f t="shared" si="44"/>
        <v>1764000.182</v>
      </c>
      <c r="E2849" t="s">
        <v>2582</v>
      </c>
      <c r="F2849" s="242"/>
      <c r="G2849"/>
      <c r="H2849" s="242">
        <v>36448</v>
      </c>
      <c r="I2849" s="242">
        <v>34335</v>
      </c>
      <c r="J2849"/>
    </row>
    <row r="2850" spans="1:10" ht="15.75" customHeight="1">
      <c r="A2850" t="s">
        <v>2650</v>
      </c>
      <c r="B2850">
        <v>764000</v>
      </c>
      <c r="C2850">
        <v>1</v>
      </c>
      <c r="D2850" t="str">
        <f t="shared" si="44"/>
        <v>1764000.288</v>
      </c>
      <c r="E2850" t="s">
        <v>2651</v>
      </c>
      <c r="F2850" s="242"/>
      <c r="G2850"/>
      <c r="H2850" s="242">
        <v>2700</v>
      </c>
      <c r="I2850" s="242">
        <v>2562</v>
      </c>
      <c r="J2850"/>
    </row>
    <row r="2851" spans="1:10" ht="15.75" customHeight="1">
      <c r="A2851" t="s">
        <v>2859</v>
      </c>
      <c r="B2851">
        <v>764000</v>
      </c>
      <c r="C2851">
        <v>1</v>
      </c>
      <c r="D2851" t="str">
        <f t="shared" si="44"/>
        <v>1764000.870</v>
      </c>
      <c r="E2851" t="s">
        <v>2860</v>
      </c>
      <c r="F2851" s="242"/>
      <c r="G2851"/>
      <c r="H2851" s="242">
        <v>69395</v>
      </c>
      <c r="I2851" s="242">
        <v>69000</v>
      </c>
      <c r="J2851"/>
    </row>
    <row r="2852" spans="1:10" ht="15.75" customHeight="1">
      <c r="A2852" t="s">
        <v>2590</v>
      </c>
      <c r="B2852">
        <v>765000</v>
      </c>
      <c r="C2852">
        <v>1</v>
      </c>
      <c r="D2852" t="str">
        <f t="shared" si="44"/>
        <v>1765000.523</v>
      </c>
      <c r="E2852" t="s">
        <v>4347</v>
      </c>
      <c r="F2852" s="242"/>
      <c r="G2852"/>
      <c r="H2852" s="242">
        <v>484000</v>
      </c>
      <c r="I2852" s="242">
        <v>472900</v>
      </c>
      <c r="J2852"/>
    </row>
    <row r="2853" spans="1:10" ht="15.75" customHeight="1">
      <c r="A2853" t="s">
        <v>3307</v>
      </c>
      <c r="B2853">
        <v>765000</v>
      </c>
      <c r="C2853">
        <v>1</v>
      </c>
      <c r="D2853" t="str">
        <f t="shared" si="44"/>
        <v>1765000.810</v>
      </c>
      <c r="E2853" t="s">
        <v>4348</v>
      </c>
      <c r="F2853" s="242"/>
      <c r="G2853"/>
      <c r="H2853" s="242">
        <v>95000</v>
      </c>
      <c r="I2853" s="242">
        <v>95000</v>
      </c>
      <c r="J2853"/>
    </row>
    <row r="2854" spans="1:10" ht="15.75" customHeight="1">
      <c r="A2854" t="s">
        <v>3662</v>
      </c>
      <c r="B2854">
        <v>765000</v>
      </c>
      <c r="C2854">
        <v>1</v>
      </c>
      <c r="D2854" t="str">
        <f t="shared" si="44"/>
        <v>1765000.820</v>
      </c>
      <c r="E2854" t="s">
        <v>4349</v>
      </c>
      <c r="F2854" s="242"/>
      <c r="G2854"/>
      <c r="H2854" s="242">
        <v>55000</v>
      </c>
      <c r="I2854" s="242">
        <v>0</v>
      </c>
      <c r="J2854"/>
    </row>
    <row r="2855" spans="1:10" ht="15.75" customHeight="1">
      <c r="A2855" t="s">
        <v>1176</v>
      </c>
      <c r="B2855">
        <v>765000</v>
      </c>
      <c r="C2855">
        <v>1</v>
      </c>
      <c r="D2855" t="str">
        <f t="shared" si="44"/>
        <v>1765000.821</v>
      </c>
      <c r="E2855" t="s">
        <v>4350</v>
      </c>
      <c r="F2855" s="242"/>
      <c r="G2855"/>
      <c r="H2855" s="242">
        <v>0</v>
      </c>
      <c r="I2855" s="242">
        <v>20489</v>
      </c>
      <c r="J2855"/>
    </row>
    <row r="2856" spans="1:10" ht="15.75" customHeight="1">
      <c r="A2856" t="s">
        <v>1186</v>
      </c>
      <c r="B2856">
        <v>765000</v>
      </c>
      <c r="C2856">
        <v>1</v>
      </c>
      <c r="D2856" t="str">
        <f t="shared" si="44"/>
        <v>1765000.823</v>
      </c>
      <c r="E2856" t="s">
        <v>4351</v>
      </c>
      <c r="F2856" s="242"/>
      <c r="G2856"/>
      <c r="H2856" s="242">
        <v>0</v>
      </c>
      <c r="I2856" s="242">
        <v>4323</v>
      </c>
      <c r="J2856"/>
    </row>
    <row r="2857" spans="1:10" ht="15.75" customHeight="1">
      <c r="A2857" t="s">
        <v>1196</v>
      </c>
      <c r="B2857">
        <v>765000</v>
      </c>
      <c r="C2857">
        <v>1</v>
      </c>
      <c r="D2857" t="str">
        <f t="shared" si="44"/>
        <v>1765000.825</v>
      </c>
      <c r="E2857" t="s">
        <v>4352</v>
      </c>
      <c r="F2857" s="242"/>
      <c r="G2857"/>
      <c r="H2857" s="242">
        <v>0</v>
      </c>
      <c r="I2857" s="242">
        <v>10188</v>
      </c>
      <c r="J2857"/>
    </row>
    <row r="2858" spans="1:10" ht="15.75" customHeight="1">
      <c r="A2858" t="s">
        <v>2403</v>
      </c>
      <c r="B2858">
        <v>766000</v>
      </c>
      <c r="C2858">
        <v>1</v>
      </c>
      <c r="D2858" t="str">
        <f t="shared" si="44"/>
        <v>1766000.110</v>
      </c>
      <c r="E2858" t="s">
        <v>2573</v>
      </c>
      <c r="F2858" s="242"/>
      <c r="G2858"/>
      <c r="H2858" s="242">
        <v>138795</v>
      </c>
      <c r="I2858" s="242">
        <v>147325</v>
      </c>
      <c r="J2858"/>
    </row>
    <row r="2859" spans="1:10" ht="15.75" customHeight="1">
      <c r="A2859" t="s">
        <v>2404</v>
      </c>
      <c r="B2859">
        <v>766000</v>
      </c>
      <c r="C2859">
        <v>1</v>
      </c>
      <c r="D2859" t="str">
        <f t="shared" si="44"/>
        <v>1766000.120</v>
      </c>
      <c r="E2859" t="s">
        <v>2574</v>
      </c>
      <c r="F2859" s="242"/>
      <c r="G2859"/>
      <c r="H2859" s="242">
        <v>43718</v>
      </c>
      <c r="I2859" s="242">
        <v>43582</v>
      </c>
      <c r="J2859"/>
    </row>
    <row r="2860" spans="1:10" ht="15.75" customHeight="1">
      <c r="A2860" t="s">
        <v>2577</v>
      </c>
      <c r="B2860">
        <v>766000</v>
      </c>
      <c r="C2860">
        <v>1</v>
      </c>
      <c r="D2860" t="str">
        <f t="shared" si="44"/>
        <v>1766000.140</v>
      </c>
      <c r="E2860" t="s">
        <v>2578</v>
      </c>
      <c r="F2860" s="242"/>
      <c r="G2860"/>
      <c r="H2860" s="242">
        <v>28083</v>
      </c>
      <c r="I2860" s="242">
        <v>25921</v>
      </c>
      <c r="J2860"/>
    </row>
    <row r="2861" spans="1:10" ht="15.75" customHeight="1">
      <c r="A2861" t="s">
        <v>2579</v>
      </c>
      <c r="B2861">
        <v>766000</v>
      </c>
      <c r="C2861">
        <v>1</v>
      </c>
      <c r="D2861" t="str">
        <f t="shared" si="44"/>
        <v>1766000.181</v>
      </c>
      <c r="E2861" t="s">
        <v>2580</v>
      </c>
      <c r="F2861" s="242"/>
      <c r="G2861"/>
      <c r="H2861" s="242">
        <v>31888</v>
      </c>
      <c r="I2861" s="242">
        <v>32215</v>
      </c>
      <c r="J2861"/>
    </row>
    <row r="2862" spans="1:10" ht="15.75" customHeight="1">
      <c r="A2862" t="s">
        <v>2581</v>
      </c>
      <c r="B2862">
        <v>766000</v>
      </c>
      <c r="C2862">
        <v>1</v>
      </c>
      <c r="D2862" t="str">
        <f t="shared" si="44"/>
        <v>1766000.182</v>
      </c>
      <c r="E2862" t="s">
        <v>2582</v>
      </c>
      <c r="F2862" s="242"/>
      <c r="G2862"/>
      <c r="H2862" s="242">
        <v>15882</v>
      </c>
      <c r="I2862" s="242">
        <v>16377</v>
      </c>
      <c r="J2862"/>
    </row>
    <row r="2863" spans="1:10" ht="15.75" customHeight="1">
      <c r="A2863" t="s">
        <v>2650</v>
      </c>
      <c r="B2863">
        <v>766000</v>
      </c>
      <c r="C2863">
        <v>1</v>
      </c>
      <c r="D2863" t="str">
        <f t="shared" si="44"/>
        <v>1766000.288</v>
      </c>
      <c r="E2863" t="s">
        <v>2651</v>
      </c>
      <c r="F2863" s="242"/>
      <c r="G2863"/>
      <c r="H2863" s="242">
        <v>2700</v>
      </c>
      <c r="I2863" s="242">
        <v>2562</v>
      </c>
      <c r="J2863"/>
    </row>
    <row r="2864" spans="1:10" ht="15.75" customHeight="1">
      <c r="A2864" t="s">
        <v>2594</v>
      </c>
      <c r="B2864">
        <v>766000</v>
      </c>
      <c r="C2864">
        <v>1</v>
      </c>
      <c r="D2864" t="str">
        <f t="shared" si="44"/>
        <v>1766000.540</v>
      </c>
      <c r="E2864" t="s">
        <v>2595</v>
      </c>
      <c r="F2864" s="242"/>
      <c r="G2864"/>
      <c r="H2864" s="242">
        <v>8000</v>
      </c>
      <c r="I2864" s="242">
        <v>5990</v>
      </c>
      <c r="J2864"/>
    </row>
    <row r="2865" spans="1:10" ht="15.75" customHeight="1">
      <c r="A2865" t="s">
        <v>2598</v>
      </c>
      <c r="B2865">
        <v>766000</v>
      </c>
      <c r="C2865">
        <v>1</v>
      </c>
      <c r="D2865" t="str">
        <f t="shared" si="44"/>
        <v>1766000.561</v>
      </c>
      <c r="E2865" t="s">
        <v>2599</v>
      </c>
      <c r="F2865" s="242"/>
      <c r="G2865"/>
      <c r="H2865" s="242">
        <v>0</v>
      </c>
      <c r="I2865" s="242">
        <v>0</v>
      </c>
      <c r="J2865"/>
    </row>
    <row r="2866" spans="1:10" ht="15.75" customHeight="1">
      <c r="A2866" t="s">
        <v>835</v>
      </c>
      <c r="B2866">
        <v>766000</v>
      </c>
      <c r="C2866">
        <v>1</v>
      </c>
      <c r="D2866" t="str">
        <f t="shared" si="44"/>
        <v>1766000.769</v>
      </c>
      <c r="E2866" t="s">
        <v>2605</v>
      </c>
      <c r="F2866" s="242"/>
      <c r="G2866"/>
      <c r="H2866" s="242">
        <v>0</v>
      </c>
      <c r="I2866" s="242">
        <v>0</v>
      </c>
      <c r="J2866"/>
    </row>
    <row r="2867" spans="1:10" ht="15.75" customHeight="1">
      <c r="A2867" t="s">
        <v>2632</v>
      </c>
      <c r="B2867">
        <v>766000</v>
      </c>
      <c r="C2867">
        <v>1</v>
      </c>
      <c r="D2867" t="str">
        <f t="shared" si="44"/>
        <v>1766000.780</v>
      </c>
      <c r="E2867" t="s">
        <v>4561</v>
      </c>
      <c r="F2867" s="242"/>
      <c r="G2867"/>
      <c r="H2867" s="242">
        <v>0</v>
      </c>
      <c r="I2867" s="242">
        <v>37792</v>
      </c>
      <c r="J2867"/>
    </row>
    <row r="2868" spans="1:10" ht="15.75" customHeight="1">
      <c r="A2868" t="s">
        <v>872</v>
      </c>
      <c r="B2868">
        <v>766000</v>
      </c>
      <c r="C2868">
        <v>1</v>
      </c>
      <c r="D2868" t="str">
        <f t="shared" si="44"/>
        <v>1766000.781</v>
      </c>
      <c r="E2868" t="s">
        <v>4562</v>
      </c>
      <c r="F2868" s="242"/>
      <c r="G2868"/>
      <c r="H2868" s="242">
        <v>5000</v>
      </c>
      <c r="I2868" s="242">
        <v>0</v>
      </c>
      <c r="J2868"/>
    </row>
    <row r="2869" spans="1:10" ht="15.75" customHeight="1">
      <c r="A2869" t="s">
        <v>2575</v>
      </c>
      <c r="B2869">
        <v>766100</v>
      </c>
      <c r="C2869">
        <v>1</v>
      </c>
      <c r="D2869" t="str">
        <f t="shared" si="44"/>
        <v>1766100.130</v>
      </c>
      <c r="E2869" t="s">
        <v>2576</v>
      </c>
      <c r="F2869" s="242"/>
      <c r="G2869"/>
      <c r="H2869" s="242">
        <v>0</v>
      </c>
      <c r="I2869" s="242">
        <v>11542</v>
      </c>
      <c r="J2869"/>
    </row>
    <row r="2870" spans="1:10" ht="15.75" customHeight="1">
      <c r="A2870" t="s">
        <v>2579</v>
      </c>
      <c r="B2870">
        <v>766100</v>
      </c>
      <c r="C2870">
        <v>1</v>
      </c>
      <c r="D2870" t="str">
        <f t="shared" si="44"/>
        <v>1766100.181</v>
      </c>
      <c r="E2870" t="s">
        <v>2580</v>
      </c>
      <c r="F2870" s="242"/>
      <c r="G2870"/>
      <c r="H2870" s="242">
        <v>0</v>
      </c>
      <c r="I2870" s="242">
        <v>1419</v>
      </c>
      <c r="J2870"/>
    </row>
    <row r="2871" spans="1:10" ht="15.75" customHeight="1">
      <c r="A2871" t="s">
        <v>2581</v>
      </c>
      <c r="B2871">
        <v>766100</v>
      </c>
      <c r="C2871">
        <v>1</v>
      </c>
      <c r="D2871" t="str">
        <f t="shared" si="44"/>
        <v>1766100.182</v>
      </c>
      <c r="E2871" t="s">
        <v>2582</v>
      </c>
      <c r="F2871" s="242"/>
      <c r="G2871"/>
      <c r="H2871" s="242">
        <v>0</v>
      </c>
      <c r="I2871" s="242">
        <v>866</v>
      </c>
      <c r="J2871"/>
    </row>
    <row r="2872" spans="1:10" ht="15.75" customHeight="1">
      <c r="A2872" t="s">
        <v>2404</v>
      </c>
      <c r="B2872">
        <v>766200</v>
      </c>
      <c r="C2872">
        <v>1</v>
      </c>
      <c r="D2872" t="str">
        <f t="shared" si="44"/>
        <v>1766200.120</v>
      </c>
      <c r="E2872" t="s">
        <v>4563</v>
      </c>
      <c r="F2872" s="242"/>
      <c r="G2872"/>
      <c r="H2872" s="242">
        <v>0</v>
      </c>
      <c r="I2872" s="242">
        <v>34669</v>
      </c>
      <c r="J2872"/>
    </row>
    <row r="2873" spans="1:10" ht="15.75" customHeight="1">
      <c r="A2873" t="s">
        <v>2579</v>
      </c>
      <c r="B2873">
        <v>766200</v>
      </c>
      <c r="C2873">
        <v>1</v>
      </c>
      <c r="D2873" t="str">
        <f t="shared" si="44"/>
        <v>1766200.181</v>
      </c>
      <c r="E2873" t="s">
        <v>2580</v>
      </c>
      <c r="F2873" s="242"/>
      <c r="G2873"/>
      <c r="H2873" s="242">
        <v>0</v>
      </c>
      <c r="I2873" s="242">
        <v>1742</v>
      </c>
      <c r="J2873"/>
    </row>
    <row r="2874" spans="1:10" ht="15.75" customHeight="1">
      <c r="A2874" t="s">
        <v>2581</v>
      </c>
      <c r="B2874">
        <v>766200</v>
      </c>
      <c r="C2874">
        <v>1</v>
      </c>
      <c r="D2874" t="str">
        <f t="shared" si="44"/>
        <v>1766200.182</v>
      </c>
      <c r="E2874" t="s">
        <v>2582</v>
      </c>
      <c r="F2874" s="242"/>
      <c r="G2874"/>
      <c r="H2874" s="242">
        <v>0</v>
      </c>
      <c r="I2874" s="242">
        <v>2600</v>
      </c>
      <c r="J2874"/>
    </row>
    <row r="2875" spans="1:10" ht="15.75" customHeight="1">
      <c r="A2875" t="s">
        <v>2403</v>
      </c>
      <c r="B2875">
        <v>767000</v>
      </c>
      <c r="C2875">
        <v>1</v>
      </c>
      <c r="D2875" t="str">
        <f t="shared" si="44"/>
        <v>1767000.110</v>
      </c>
      <c r="E2875" t="s">
        <v>2573</v>
      </c>
      <c r="F2875" s="242"/>
      <c r="G2875"/>
      <c r="H2875" s="242">
        <v>81620</v>
      </c>
      <c r="I2875" s="242">
        <v>78412</v>
      </c>
      <c r="J2875"/>
    </row>
    <row r="2876" spans="1:10" ht="15.75" customHeight="1">
      <c r="A2876" t="s">
        <v>2404</v>
      </c>
      <c r="B2876">
        <v>767000</v>
      </c>
      <c r="C2876">
        <v>1</v>
      </c>
      <c r="D2876" t="str">
        <f t="shared" si="44"/>
        <v>1767000.120</v>
      </c>
      <c r="E2876" t="s">
        <v>2574</v>
      </c>
      <c r="F2876" s="242"/>
      <c r="G2876"/>
      <c r="H2876" s="242">
        <v>11778</v>
      </c>
      <c r="I2876" s="242">
        <v>11999</v>
      </c>
      <c r="J2876"/>
    </row>
    <row r="2877" spans="1:10" ht="15.75" customHeight="1">
      <c r="A2877" t="s">
        <v>2575</v>
      </c>
      <c r="B2877">
        <v>767000</v>
      </c>
      <c r="C2877">
        <v>1</v>
      </c>
      <c r="D2877" t="str">
        <f t="shared" si="44"/>
        <v>1767000.130</v>
      </c>
      <c r="E2877" t="s">
        <v>2576</v>
      </c>
      <c r="F2877" s="242"/>
      <c r="G2877"/>
      <c r="H2877" s="242">
        <v>846</v>
      </c>
      <c r="I2877" s="242">
        <v>440</v>
      </c>
      <c r="J2877"/>
    </row>
    <row r="2878" spans="1:10" ht="15.75" customHeight="1">
      <c r="A2878" t="s">
        <v>2577</v>
      </c>
      <c r="B2878">
        <v>767000</v>
      </c>
      <c r="C2878">
        <v>1</v>
      </c>
      <c r="D2878" t="str">
        <f t="shared" si="44"/>
        <v>1767000.140</v>
      </c>
      <c r="E2878" t="s">
        <v>2578</v>
      </c>
      <c r="F2878" s="242"/>
      <c r="G2878"/>
      <c r="H2878" s="242">
        <v>25255</v>
      </c>
      <c r="I2878" s="242">
        <v>21251</v>
      </c>
      <c r="J2878"/>
    </row>
    <row r="2879" spans="1:10" ht="15.75" customHeight="1">
      <c r="A2879" t="s">
        <v>2579</v>
      </c>
      <c r="B2879">
        <v>767000</v>
      </c>
      <c r="C2879">
        <v>1</v>
      </c>
      <c r="D2879" t="str">
        <f t="shared" si="44"/>
        <v>1767000.181</v>
      </c>
      <c r="E2879" t="s">
        <v>2580</v>
      </c>
      <c r="F2879" s="242"/>
      <c r="G2879"/>
      <c r="H2879" s="242">
        <v>16529</v>
      </c>
      <c r="I2879" s="242">
        <v>15343</v>
      </c>
      <c r="J2879"/>
    </row>
    <row r="2880" spans="1:10" ht="15.75" customHeight="1">
      <c r="A2880" t="s">
        <v>2581</v>
      </c>
      <c r="B2880">
        <v>767000</v>
      </c>
      <c r="C2880">
        <v>1</v>
      </c>
      <c r="D2880" t="str">
        <f t="shared" si="44"/>
        <v>1767000.182</v>
      </c>
      <c r="E2880" t="s">
        <v>2582</v>
      </c>
      <c r="F2880" s="242"/>
      <c r="G2880"/>
      <c r="H2880" s="242">
        <v>9057</v>
      </c>
      <c r="I2880" s="242">
        <v>8491</v>
      </c>
      <c r="J2880"/>
    </row>
    <row r="2881" spans="1:10" ht="15.75" customHeight="1">
      <c r="A2881" t="s">
        <v>2606</v>
      </c>
      <c r="B2881">
        <v>767000</v>
      </c>
      <c r="C2881">
        <v>1</v>
      </c>
      <c r="D2881" t="str">
        <f t="shared" si="44"/>
        <v>1767000.440</v>
      </c>
      <c r="E2881" t="s">
        <v>4240</v>
      </c>
      <c r="F2881" s="242"/>
      <c r="G2881"/>
      <c r="H2881" s="242">
        <v>1230100</v>
      </c>
      <c r="I2881" s="242">
        <v>1187869</v>
      </c>
      <c r="J2881"/>
    </row>
    <row r="2882" spans="1:10" ht="15.75" customHeight="1">
      <c r="A2882" t="s">
        <v>1747</v>
      </c>
      <c r="B2882">
        <v>767000</v>
      </c>
      <c r="C2882">
        <v>1</v>
      </c>
      <c r="D2882" t="str">
        <f t="shared" si="44"/>
        <v>1767000.444</v>
      </c>
      <c r="E2882" t="s">
        <v>4241</v>
      </c>
      <c r="F2882" s="242"/>
      <c r="G2882"/>
      <c r="H2882" s="242">
        <v>492000</v>
      </c>
      <c r="I2882" s="242">
        <v>354861</v>
      </c>
      <c r="J2882"/>
    </row>
    <row r="2883" spans="1:10" ht="15.75" customHeight="1">
      <c r="A2883" t="s">
        <v>4242</v>
      </c>
      <c r="B2883">
        <v>767000</v>
      </c>
      <c r="C2883">
        <v>1</v>
      </c>
      <c r="D2883" t="str">
        <f t="shared" ref="D2883:D2946" si="45">C2883&amp;B2883&amp;"."&amp;A2883</f>
        <v>1767000.449</v>
      </c>
      <c r="E2883" t="s">
        <v>4243</v>
      </c>
      <c r="F2883" s="242"/>
      <c r="G2883"/>
      <c r="H2883" s="242">
        <v>900000</v>
      </c>
      <c r="I2883" s="242">
        <v>1225400</v>
      </c>
      <c r="J2883"/>
    </row>
    <row r="2884" spans="1:10" ht="15.75" customHeight="1">
      <c r="A2884" t="s">
        <v>2588</v>
      </c>
      <c r="B2884">
        <v>767000</v>
      </c>
      <c r="C2884">
        <v>1</v>
      </c>
      <c r="D2884" t="str">
        <f t="shared" si="45"/>
        <v>1767000.522</v>
      </c>
      <c r="E2884" t="s">
        <v>2608</v>
      </c>
      <c r="F2884" s="242"/>
      <c r="G2884"/>
      <c r="H2884" s="242">
        <v>1200</v>
      </c>
      <c r="I2884" s="242">
        <v>0</v>
      </c>
      <c r="J2884"/>
    </row>
    <row r="2885" spans="1:10" ht="15.75" customHeight="1">
      <c r="A2885" t="s">
        <v>2594</v>
      </c>
      <c r="B2885">
        <v>767000</v>
      </c>
      <c r="C2885">
        <v>1</v>
      </c>
      <c r="D2885" t="str">
        <f t="shared" si="45"/>
        <v>1767000.540</v>
      </c>
      <c r="E2885" t="s">
        <v>2595</v>
      </c>
      <c r="F2885" s="242"/>
      <c r="G2885"/>
      <c r="H2885" s="242">
        <v>1000</v>
      </c>
      <c r="I2885" s="242">
        <v>291</v>
      </c>
      <c r="J2885"/>
    </row>
    <row r="2886" spans="1:10" ht="15.75" customHeight="1">
      <c r="A2886" t="s">
        <v>2611</v>
      </c>
      <c r="B2886">
        <v>767000</v>
      </c>
      <c r="C2886">
        <v>1</v>
      </c>
      <c r="D2886" t="str">
        <f t="shared" si="45"/>
        <v>1767000.750</v>
      </c>
      <c r="E2886" t="s">
        <v>4244</v>
      </c>
      <c r="F2886" s="242"/>
      <c r="G2886"/>
      <c r="H2886" s="242">
        <v>160000</v>
      </c>
      <c r="I2886" s="242">
        <v>93624</v>
      </c>
      <c r="J2886"/>
    </row>
    <row r="2887" spans="1:10" ht="15.75" customHeight="1">
      <c r="A2887" t="s">
        <v>772</v>
      </c>
      <c r="B2887">
        <v>767000</v>
      </c>
      <c r="C2887">
        <v>1</v>
      </c>
      <c r="D2887" t="str">
        <f t="shared" si="45"/>
        <v>1767000.751</v>
      </c>
      <c r="E2887" t="s">
        <v>4245</v>
      </c>
      <c r="F2887" s="242"/>
      <c r="G2887"/>
      <c r="H2887" s="242">
        <v>100000</v>
      </c>
      <c r="I2887" s="242">
        <v>0</v>
      </c>
      <c r="J2887"/>
    </row>
    <row r="2888" spans="1:10" ht="15.75" customHeight="1">
      <c r="A2888" t="s">
        <v>776</v>
      </c>
      <c r="B2888">
        <v>767000</v>
      </c>
      <c r="C2888">
        <v>1</v>
      </c>
      <c r="D2888" t="str">
        <f t="shared" si="45"/>
        <v>1767000.752</v>
      </c>
      <c r="E2888" t="s">
        <v>4246</v>
      </c>
      <c r="F2888" s="242"/>
      <c r="G2888"/>
      <c r="H2888" s="242">
        <v>77000</v>
      </c>
      <c r="I2888" s="242">
        <v>73709</v>
      </c>
      <c r="J2888"/>
    </row>
    <row r="2889" spans="1:10" ht="15.75" customHeight="1">
      <c r="A2889" t="s">
        <v>2606</v>
      </c>
      <c r="B2889">
        <v>767003</v>
      </c>
      <c r="C2889">
        <v>1</v>
      </c>
      <c r="D2889" t="str">
        <f t="shared" si="45"/>
        <v>1767003.440</v>
      </c>
      <c r="E2889" t="s">
        <v>4247</v>
      </c>
      <c r="F2889" s="242"/>
      <c r="G2889"/>
      <c r="H2889" s="242">
        <v>20800</v>
      </c>
      <c r="I2889" s="242">
        <v>20070</v>
      </c>
      <c r="J2889"/>
    </row>
    <row r="2890" spans="1:10" ht="15.75" customHeight="1">
      <c r="A2890" t="s">
        <v>2606</v>
      </c>
      <c r="B2890">
        <v>767110</v>
      </c>
      <c r="C2890">
        <v>1</v>
      </c>
      <c r="D2890" t="str">
        <f t="shared" si="45"/>
        <v>1767110.440</v>
      </c>
      <c r="E2890" t="s">
        <v>4248</v>
      </c>
      <c r="F2890" s="242"/>
      <c r="G2890"/>
      <c r="H2890" s="242">
        <v>69500</v>
      </c>
      <c r="I2890" s="242">
        <v>67141</v>
      </c>
      <c r="J2890"/>
    </row>
    <row r="2891" spans="1:10" ht="15.75" customHeight="1">
      <c r="A2891" t="s">
        <v>2596</v>
      </c>
      <c r="B2891">
        <v>769000</v>
      </c>
      <c r="C2891">
        <v>1</v>
      </c>
      <c r="D2891" t="str">
        <f t="shared" si="45"/>
        <v>1769000.550</v>
      </c>
      <c r="E2891" t="s">
        <v>4590</v>
      </c>
      <c r="F2891" s="242"/>
      <c r="G2891"/>
      <c r="H2891" s="242">
        <v>22000</v>
      </c>
      <c r="I2891" s="242">
        <v>17618</v>
      </c>
      <c r="J2891"/>
    </row>
    <row r="2892" spans="1:10" ht="15.75" customHeight="1">
      <c r="A2892" t="s">
        <v>673</v>
      </c>
      <c r="B2892">
        <v>769000</v>
      </c>
      <c r="C2892">
        <v>1</v>
      </c>
      <c r="D2892" t="str">
        <f t="shared" si="45"/>
        <v>1769000.743</v>
      </c>
      <c r="E2892" t="s">
        <v>4591</v>
      </c>
      <c r="F2892" s="242"/>
      <c r="G2892"/>
      <c r="H2892" s="242">
        <v>18000</v>
      </c>
      <c r="I2892" s="242">
        <v>10750</v>
      </c>
      <c r="J2892"/>
    </row>
    <row r="2893" spans="1:10" ht="15.75" customHeight="1">
      <c r="A2893" t="s">
        <v>678</v>
      </c>
      <c r="B2893">
        <v>769000</v>
      </c>
      <c r="C2893">
        <v>1</v>
      </c>
      <c r="D2893" t="str">
        <f t="shared" si="45"/>
        <v>1769000.744</v>
      </c>
      <c r="E2893" t="s">
        <v>4592</v>
      </c>
      <c r="F2893" s="242"/>
      <c r="G2893"/>
      <c r="H2893" s="242">
        <v>5000</v>
      </c>
      <c r="I2893" s="242">
        <v>4750</v>
      </c>
      <c r="J2893"/>
    </row>
    <row r="2894" spans="1:10" ht="15.75" customHeight="1">
      <c r="A2894" t="s">
        <v>2611</v>
      </c>
      <c r="B2894">
        <v>769000</v>
      </c>
      <c r="C2894">
        <v>1</v>
      </c>
      <c r="D2894" t="str">
        <f t="shared" si="45"/>
        <v>1769000.750</v>
      </c>
      <c r="E2894" t="s">
        <v>4593</v>
      </c>
      <c r="F2894" s="242"/>
      <c r="G2894"/>
      <c r="H2894" s="242">
        <v>5000</v>
      </c>
      <c r="I2894" s="242">
        <v>4329</v>
      </c>
      <c r="J2894"/>
    </row>
    <row r="2895" spans="1:10" ht="15.75" customHeight="1">
      <c r="A2895" t="s">
        <v>2740</v>
      </c>
      <c r="B2895">
        <v>769000</v>
      </c>
      <c r="C2895">
        <v>1</v>
      </c>
      <c r="D2895" t="str">
        <f t="shared" si="45"/>
        <v>1769000.930</v>
      </c>
      <c r="E2895" t="s">
        <v>4594</v>
      </c>
      <c r="F2895" s="242"/>
      <c r="G2895"/>
      <c r="H2895" s="242">
        <v>14000</v>
      </c>
      <c r="I2895" s="242">
        <v>7539</v>
      </c>
      <c r="J2895"/>
    </row>
    <row r="2896" spans="1:10" ht="15.75" customHeight="1">
      <c r="A2896" t="s">
        <v>4573</v>
      </c>
      <c r="B2896">
        <v>770000</v>
      </c>
      <c r="C2896">
        <v>1</v>
      </c>
      <c r="D2896" t="str">
        <f t="shared" si="45"/>
        <v>1770000.320</v>
      </c>
      <c r="E2896" t="s">
        <v>4574</v>
      </c>
      <c r="F2896" s="242"/>
      <c r="G2896"/>
      <c r="H2896" s="242">
        <v>0</v>
      </c>
      <c r="I2896" s="242">
        <v>110938</v>
      </c>
      <c r="J2896"/>
    </row>
    <row r="2897" spans="1:10" ht="15.75" customHeight="1">
      <c r="A2897" t="s">
        <v>2403</v>
      </c>
      <c r="B2897">
        <v>771000</v>
      </c>
      <c r="C2897">
        <v>1</v>
      </c>
      <c r="D2897" t="str">
        <f t="shared" si="45"/>
        <v>1771000.110</v>
      </c>
      <c r="E2897" t="s">
        <v>2573</v>
      </c>
      <c r="F2897" s="242"/>
      <c r="G2897"/>
      <c r="H2897" s="242">
        <v>0</v>
      </c>
      <c r="I2897" s="242">
        <v>232691</v>
      </c>
      <c r="J2897"/>
    </row>
    <row r="2898" spans="1:10" ht="15.75" customHeight="1">
      <c r="A2898" t="s">
        <v>2404</v>
      </c>
      <c r="B2898">
        <v>771000</v>
      </c>
      <c r="C2898">
        <v>1</v>
      </c>
      <c r="D2898" t="str">
        <f t="shared" si="45"/>
        <v>1771000.120</v>
      </c>
      <c r="E2898" t="s">
        <v>2574</v>
      </c>
      <c r="F2898" s="242"/>
      <c r="G2898"/>
      <c r="H2898" s="242">
        <v>0</v>
      </c>
      <c r="I2898" s="242">
        <v>15517</v>
      </c>
      <c r="J2898"/>
    </row>
    <row r="2899" spans="1:10" ht="15.75" customHeight="1">
      <c r="A2899" t="s">
        <v>2575</v>
      </c>
      <c r="B2899">
        <v>771000</v>
      </c>
      <c r="C2899">
        <v>1</v>
      </c>
      <c r="D2899" t="str">
        <f t="shared" si="45"/>
        <v>1771000.130</v>
      </c>
      <c r="E2899" t="s">
        <v>2576</v>
      </c>
      <c r="F2899" s="242"/>
      <c r="G2899"/>
      <c r="H2899" s="242">
        <v>0</v>
      </c>
      <c r="I2899" s="242">
        <v>6</v>
      </c>
      <c r="J2899"/>
    </row>
    <row r="2900" spans="1:10" ht="15.75" customHeight="1">
      <c r="A2900" t="s">
        <v>2577</v>
      </c>
      <c r="B2900">
        <v>771000</v>
      </c>
      <c r="C2900">
        <v>1</v>
      </c>
      <c r="D2900" t="str">
        <f t="shared" si="45"/>
        <v>1771000.140</v>
      </c>
      <c r="E2900" t="s">
        <v>2578</v>
      </c>
      <c r="F2900" s="242"/>
      <c r="G2900"/>
      <c r="H2900" s="242">
        <v>0</v>
      </c>
      <c r="I2900" s="242">
        <v>54144</v>
      </c>
      <c r="J2900"/>
    </row>
    <row r="2901" spans="1:10" ht="15.75" customHeight="1">
      <c r="A2901" t="s">
        <v>2579</v>
      </c>
      <c r="B2901">
        <v>771000</v>
      </c>
      <c r="C2901">
        <v>1</v>
      </c>
      <c r="D2901" t="str">
        <f t="shared" si="45"/>
        <v>1771000.181</v>
      </c>
      <c r="E2901" t="s">
        <v>2580</v>
      </c>
      <c r="F2901" s="242"/>
      <c r="G2901"/>
      <c r="H2901" s="242">
        <v>0</v>
      </c>
      <c r="I2901" s="242">
        <v>56804</v>
      </c>
      <c r="J2901"/>
    </row>
    <row r="2902" spans="1:10" ht="15.75" customHeight="1">
      <c r="A2902" t="s">
        <v>2581</v>
      </c>
      <c r="B2902">
        <v>771000</v>
      </c>
      <c r="C2902">
        <v>1</v>
      </c>
      <c r="D2902" t="str">
        <f t="shared" si="45"/>
        <v>1771000.182</v>
      </c>
      <c r="E2902" t="s">
        <v>2582</v>
      </c>
      <c r="F2902" s="242"/>
      <c r="G2902"/>
      <c r="H2902" s="242">
        <v>0</v>
      </c>
      <c r="I2902" s="242">
        <v>23016</v>
      </c>
      <c r="J2902"/>
    </row>
    <row r="2903" spans="1:10" ht="15.75" customHeight="1">
      <c r="A2903" t="s">
        <v>1663</v>
      </c>
      <c r="B2903">
        <v>771000</v>
      </c>
      <c r="C2903">
        <v>1</v>
      </c>
      <c r="D2903" t="str">
        <f t="shared" si="45"/>
        <v>1771000.431</v>
      </c>
      <c r="E2903" t="s">
        <v>2868</v>
      </c>
      <c r="F2903" s="242"/>
      <c r="G2903"/>
      <c r="H2903" s="242">
        <v>0</v>
      </c>
      <c r="I2903" s="242">
        <v>17216</v>
      </c>
      <c r="J2903"/>
    </row>
    <row r="2904" spans="1:10" ht="15.75" customHeight="1">
      <c r="A2904" t="s">
        <v>1668</v>
      </c>
      <c r="B2904">
        <v>771000</v>
      </c>
      <c r="C2904">
        <v>1</v>
      </c>
      <c r="D2904" t="str">
        <f t="shared" si="45"/>
        <v>1771000.432</v>
      </c>
      <c r="E2904" t="s">
        <v>2869</v>
      </c>
      <c r="F2904" s="242"/>
      <c r="G2904"/>
      <c r="H2904" s="242">
        <v>0</v>
      </c>
      <c r="I2904" s="242">
        <v>167</v>
      </c>
      <c r="J2904"/>
    </row>
    <row r="2905" spans="1:10" ht="15.75" customHeight="1">
      <c r="A2905" t="s">
        <v>1673</v>
      </c>
      <c r="B2905">
        <v>771000</v>
      </c>
      <c r="C2905">
        <v>1</v>
      </c>
      <c r="D2905" t="str">
        <f t="shared" si="45"/>
        <v>1771000.433</v>
      </c>
      <c r="E2905" t="s">
        <v>2655</v>
      </c>
      <c r="F2905" s="242"/>
      <c r="G2905"/>
      <c r="H2905" s="242">
        <v>0</v>
      </c>
      <c r="I2905" s="242">
        <v>0</v>
      </c>
      <c r="J2905"/>
    </row>
    <row r="2906" spans="1:10" ht="15.75" customHeight="1">
      <c r="A2906" t="s">
        <v>2606</v>
      </c>
      <c r="B2906">
        <v>771000</v>
      </c>
      <c r="C2906">
        <v>1</v>
      </c>
      <c r="D2906" t="str">
        <f t="shared" si="45"/>
        <v>1771000.440</v>
      </c>
      <c r="E2906" t="s">
        <v>2870</v>
      </c>
      <c r="F2906" s="242"/>
      <c r="G2906"/>
      <c r="H2906" s="242">
        <v>3400</v>
      </c>
      <c r="I2906" s="242">
        <v>3312</v>
      </c>
      <c r="J2906"/>
    </row>
    <row r="2907" spans="1:10" ht="15.75" customHeight="1">
      <c r="A2907" t="s">
        <v>2411</v>
      </c>
      <c r="B2907">
        <v>771000</v>
      </c>
      <c r="C2907">
        <v>1</v>
      </c>
      <c r="D2907" t="str">
        <f t="shared" si="45"/>
        <v>1771000.470</v>
      </c>
      <c r="E2907" t="s">
        <v>2660</v>
      </c>
      <c r="F2907" s="242"/>
      <c r="G2907"/>
      <c r="H2907" s="242">
        <v>0</v>
      </c>
      <c r="I2907" s="242">
        <v>112</v>
      </c>
      <c r="J2907"/>
    </row>
    <row r="2908" spans="1:10" ht="15.75" customHeight="1">
      <c r="A2908" t="s">
        <v>2286</v>
      </c>
      <c r="B2908">
        <v>771000</v>
      </c>
      <c r="C2908">
        <v>1</v>
      </c>
      <c r="D2908" t="str">
        <f t="shared" si="45"/>
        <v>1771000.511</v>
      </c>
      <c r="E2908" t="s">
        <v>2584</v>
      </c>
      <c r="F2908" s="242"/>
      <c r="G2908"/>
      <c r="H2908" s="242">
        <v>0</v>
      </c>
      <c r="I2908" s="242">
        <v>2594</v>
      </c>
      <c r="J2908"/>
    </row>
    <row r="2909" spans="1:10" ht="15.75" customHeight="1">
      <c r="A2909" t="s">
        <v>2594</v>
      </c>
      <c r="B2909">
        <v>771000</v>
      </c>
      <c r="C2909">
        <v>1</v>
      </c>
      <c r="D2909" t="str">
        <f t="shared" si="45"/>
        <v>1771000.540</v>
      </c>
      <c r="E2909" t="s">
        <v>2595</v>
      </c>
      <c r="F2909" s="242"/>
      <c r="G2909"/>
      <c r="H2909" s="242">
        <v>0</v>
      </c>
      <c r="I2909" s="242">
        <v>23281</v>
      </c>
      <c r="J2909"/>
    </row>
    <row r="2910" spans="1:10" ht="15.75" customHeight="1">
      <c r="A2910" t="s">
        <v>2596</v>
      </c>
      <c r="B2910">
        <v>771000</v>
      </c>
      <c r="C2910">
        <v>1</v>
      </c>
      <c r="D2910" t="str">
        <f t="shared" si="45"/>
        <v>1771000.550</v>
      </c>
      <c r="E2910" t="s">
        <v>2871</v>
      </c>
      <c r="F2910" s="242"/>
      <c r="G2910"/>
      <c r="H2910" s="242">
        <v>0</v>
      </c>
      <c r="I2910" s="242">
        <v>9772</v>
      </c>
      <c r="J2910"/>
    </row>
    <row r="2911" spans="1:10" ht="15.75" customHeight="1">
      <c r="A2911" t="s">
        <v>2598</v>
      </c>
      <c r="B2911">
        <v>771000</v>
      </c>
      <c r="C2911">
        <v>1</v>
      </c>
      <c r="D2911" t="str">
        <f t="shared" si="45"/>
        <v>1771000.561</v>
      </c>
      <c r="E2911" t="s">
        <v>2599</v>
      </c>
      <c r="F2911" s="242"/>
      <c r="G2911"/>
      <c r="H2911" s="242">
        <v>0</v>
      </c>
      <c r="I2911" s="242">
        <v>1801</v>
      </c>
      <c r="J2911"/>
    </row>
    <row r="2912" spans="1:10" ht="15.75" customHeight="1">
      <c r="A2912" t="s">
        <v>2600</v>
      </c>
      <c r="B2912">
        <v>771000</v>
      </c>
      <c r="C2912">
        <v>1</v>
      </c>
      <c r="D2912" t="str">
        <f t="shared" si="45"/>
        <v>1771000.580</v>
      </c>
      <c r="E2912" t="s">
        <v>2629</v>
      </c>
      <c r="F2912" s="242"/>
      <c r="G2912"/>
      <c r="H2912" s="242">
        <v>0</v>
      </c>
      <c r="I2912" s="242">
        <v>5886</v>
      </c>
      <c r="J2912"/>
    </row>
    <row r="2913" spans="1:10" ht="15.75" customHeight="1">
      <c r="A2913" t="s">
        <v>2609</v>
      </c>
      <c r="B2913">
        <v>771000</v>
      </c>
      <c r="C2913">
        <v>1</v>
      </c>
      <c r="D2913" t="str">
        <f t="shared" si="45"/>
        <v>1771000.710</v>
      </c>
      <c r="E2913" t="s">
        <v>2872</v>
      </c>
      <c r="F2913" s="242"/>
      <c r="G2913"/>
      <c r="H2913" s="242">
        <v>0</v>
      </c>
      <c r="I2913" s="242">
        <v>6986</v>
      </c>
      <c r="J2913"/>
    </row>
    <row r="2914" spans="1:10" ht="15.75" customHeight="1">
      <c r="A2914" t="s">
        <v>658</v>
      </c>
      <c r="B2914">
        <v>771000</v>
      </c>
      <c r="C2914">
        <v>1</v>
      </c>
      <c r="D2914" t="str">
        <f t="shared" si="45"/>
        <v>1771000.742</v>
      </c>
      <c r="E2914" t="s">
        <v>2668</v>
      </c>
      <c r="F2914" s="242"/>
      <c r="G2914"/>
      <c r="H2914" s="242">
        <v>0</v>
      </c>
      <c r="I2914" s="242">
        <v>864</v>
      </c>
      <c r="J2914"/>
    </row>
    <row r="2915" spans="1:10" ht="15.75" customHeight="1">
      <c r="A2915" t="s">
        <v>673</v>
      </c>
      <c r="B2915">
        <v>771000</v>
      </c>
      <c r="C2915">
        <v>1</v>
      </c>
      <c r="D2915" t="str">
        <f t="shared" si="45"/>
        <v>1771000.743</v>
      </c>
      <c r="E2915" t="s">
        <v>2622</v>
      </c>
      <c r="F2915" s="242"/>
      <c r="G2915"/>
      <c r="H2915" s="242">
        <v>0</v>
      </c>
      <c r="I2915" s="242">
        <v>0</v>
      </c>
      <c r="J2915"/>
    </row>
    <row r="2916" spans="1:10" ht="15.75" customHeight="1">
      <c r="A2916" t="s">
        <v>707</v>
      </c>
      <c r="B2916">
        <v>771000</v>
      </c>
      <c r="C2916">
        <v>1</v>
      </c>
      <c r="D2916" t="str">
        <f t="shared" si="45"/>
        <v>1771000.745</v>
      </c>
      <c r="E2916" t="s">
        <v>2873</v>
      </c>
      <c r="F2916" s="242"/>
      <c r="G2916"/>
      <c r="H2916" s="242">
        <v>0</v>
      </c>
      <c r="I2916" s="242">
        <v>3300</v>
      </c>
      <c r="J2916"/>
    </row>
    <row r="2917" spans="1:10" ht="15.75" customHeight="1">
      <c r="A2917" t="s">
        <v>2611</v>
      </c>
      <c r="B2917">
        <v>771000</v>
      </c>
      <c r="C2917">
        <v>1</v>
      </c>
      <c r="D2917" t="str">
        <f t="shared" si="45"/>
        <v>1771000.750</v>
      </c>
      <c r="E2917" t="s">
        <v>2874</v>
      </c>
      <c r="F2917" s="242"/>
      <c r="G2917"/>
      <c r="H2917" s="242">
        <v>0</v>
      </c>
      <c r="I2917" s="242">
        <v>39482</v>
      </c>
      <c r="J2917"/>
    </row>
    <row r="2918" spans="1:10" ht="15.75" customHeight="1">
      <c r="A2918" t="s">
        <v>772</v>
      </c>
      <c r="B2918">
        <v>771000</v>
      </c>
      <c r="C2918">
        <v>1</v>
      </c>
      <c r="D2918" t="str">
        <f t="shared" si="45"/>
        <v>1771000.751</v>
      </c>
      <c r="E2918" t="s">
        <v>2875</v>
      </c>
      <c r="F2918" s="242"/>
      <c r="G2918"/>
      <c r="H2918" s="242">
        <v>0</v>
      </c>
      <c r="I2918" s="242">
        <v>20535</v>
      </c>
      <c r="J2918"/>
    </row>
    <row r="2919" spans="1:10" ht="15.75" customHeight="1">
      <c r="A2919" t="s">
        <v>776</v>
      </c>
      <c r="B2919">
        <v>771000</v>
      </c>
      <c r="C2919">
        <v>1</v>
      </c>
      <c r="D2919" t="str">
        <f t="shared" si="45"/>
        <v>1771000.752</v>
      </c>
      <c r="E2919" t="s">
        <v>2876</v>
      </c>
      <c r="F2919" s="242"/>
      <c r="G2919"/>
      <c r="H2919" s="242">
        <v>0</v>
      </c>
      <c r="I2919" s="242">
        <v>54016</v>
      </c>
      <c r="J2919"/>
    </row>
    <row r="2920" spans="1:10" ht="15.75" customHeight="1">
      <c r="A2920" t="s">
        <v>786</v>
      </c>
      <c r="B2920">
        <v>771000</v>
      </c>
      <c r="C2920">
        <v>1</v>
      </c>
      <c r="D2920" t="str">
        <f t="shared" si="45"/>
        <v>1771000.754</v>
      </c>
      <c r="E2920" t="s">
        <v>2877</v>
      </c>
      <c r="F2920" s="242"/>
      <c r="G2920"/>
      <c r="H2920" s="242">
        <v>0</v>
      </c>
      <c r="I2920" s="242">
        <v>0</v>
      </c>
      <c r="J2920"/>
    </row>
    <row r="2921" spans="1:10" ht="15.75" customHeight="1">
      <c r="A2921" t="s">
        <v>835</v>
      </c>
      <c r="B2921">
        <v>771000</v>
      </c>
      <c r="C2921">
        <v>1</v>
      </c>
      <c r="D2921" t="str">
        <f t="shared" si="45"/>
        <v>1771000.769</v>
      </c>
      <c r="E2921" t="s">
        <v>2605</v>
      </c>
      <c r="F2921" s="242"/>
      <c r="G2921"/>
      <c r="H2921" s="242">
        <v>0</v>
      </c>
      <c r="I2921" s="242">
        <v>14279</v>
      </c>
      <c r="J2921"/>
    </row>
    <row r="2922" spans="1:10" ht="15.75" customHeight="1">
      <c r="A2922" t="s">
        <v>2632</v>
      </c>
      <c r="B2922">
        <v>771000</v>
      </c>
      <c r="C2922">
        <v>1</v>
      </c>
      <c r="D2922" t="str">
        <f t="shared" si="45"/>
        <v>1771000.780</v>
      </c>
      <c r="E2922" t="s">
        <v>2675</v>
      </c>
      <c r="F2922" s="242"/>
      <c r="G2922"/>
      <c r="H2922" s="242">
        <v>0</v>
      </c>
      <c r="I2922" s="242">
        <v>23343</v>
      </c>
      <c r="J2922"/>
    </row>
    <row r="2923" spans="1:10" ht="15.75" customHeight="1">
      <c r="A2923" t="s">
        <v>872</v>
      </c>
      <c r="B2923">
        <v>771000</v>
      </c>
      <c r="C2923">
        <v>1</v>
      </c>
      <c r="D2923" t="str">
        <f t="shared" si="45"/>
        <v>1771000.781</v>
      </c>
      <c r="E2923" t="s">
        <v>2854</v>
      </c>
      <c r="F2923" s="242"/>
      <c r="G2923"/>
      <c r="H2923" s="242">
        <v>0</v>
      </c>
      <c r="I2923" s="242">
        <v>0</v>
      </c>
      <c r="J2923"/>
    </row>
    <row r="2924" spans="1:10" ht="15.75" customHeight="1">
      <c r="A2924" t="s">
        <v>877</v>
      </c>
      <c r="B2924">
        <v>771000</v>
      </c>
      <c r="C2924">
        <v>1</v>
      </c>
      <c r="D2924" t="str">
        <f t="shared" si="45"/>
        <v>1771000.782</v>
      </c>
      <c r="E2924" t="s">
        <v>2878</v>
      </c>
      <c r="F2924" s="242"/>
      <c r="G2924"/>
      <c r="H2924" s="242">
        <v>0</v>
      </c>
      <c r="I2924" s="242">
        <v>0</v>
      </c>
      <c r="J2924"/>
    </row>
    <row r="2925" spans="1:10" ht="15.75" customHeight="1">
      <c r="A2925" t="s">
        <v>2850</v>
      </c>
      <c r="B2925">
        <v>771000</v>
      </c>
      <c r="C2925">
        <v>1</v>
      </c>
      <c r="D2925" t="str">
        <f t="shared" si="45"/>
        <v>1771000.786</v>
      </c>
      <c r="E2925" t="s">
        <v>2879</v>
      </c>
      <c r="F2925" s="242"/>
      <c r="G2925"/>
      <c r="H2925" s="242">
        <v>0</v>
      </c>
      <c r="I2925" s="242">
        <v>0</v>
      </c>
      <c r="J2925"/>
    </row>
    <row r="2926" spans="1:10" ht="15.75" customHeight="1">
      <c r="A2926" t="s">
        <v>2859</v>
      </c>
      <c r="B2926">
        <v>771000</v>
      </c>
      <c r="C2926">
        <v>1</v>
      </c>
      <c r="D2926" t="str">
        <f t="shared" si="45"/>
        <v>1771000.870</v>
      </c>
      <c r="E2926" t="s">
        <v>2880</v>
      </c>
      <c r="F2926" s="242"/>
      <c r="G2926"/>
      <c r="H2926" s="242">
        <v>1000000</v>
      </c>
      <c r="I2926" s="242">
        <v>0</v>
      </c>
      <c r="J2926"/>
    </row>
    <row r="2927" spans="1:10" ht="15.75" customHeight="1">
      <c r="A2927" t="s">
        <v>2881</v>
      </c>
      <c r="B2927">
        <v>771000</v>
      </c>
      <c r="C2927">
        <v>1</v>
      </c>
      <c r="D2927" t="str">
        <f t="shared" si="45"/>
        <v>1771000.871</v>
      </c>
      <c r="E2927" t="s">
        <v>2882</v>
      </c>
      <c r="F2927" s="242"/>
      <c r="G2927"/>
      <c r="H2927" s="242">
        <v>850000</v>
      </c>
      <c r="I2927" s="242">
        <v>0</v>
      </c>
      <c r="J2927"/>
    </row>
    <row r="2928" spans="1:10" ht="15.75" customHeight="1">
      <c r="A2928" t="s">
        <v>2740</v>
      </c>
      <c r="B2928">
        <v>771000</v>
      </c>
      <c r="C2928">
        <v>1</v>
      </c>
      <c r="D2928" t="str">
        <f t="shared" si="45"/>
        <v>1771000.930</v>
      </c>
      <c r="E2928" t="s">
        <v>2834</v>
      </c>
      <c r="F2928" s="242"/>
      <c r="G2928"/>
      <c r="H2928" s="242">
        <v>0</v>
      </c>
      <c r="I2928" s="242">
        <v>3300</v>
      </c>
      <c r="J2928"/>
    </row>
    <row r="2929" spans="1:10" ht="15.75" customHeight="1">
      <c r="A2929" t="s">
        <v>2827</v>
      </c>
      <c r="B2929">
        <v>771000</v>
      </c>
      <c r="C2929">
        <v>1</v>
      </c>
      <c r="D2929" t="str">
        <f t="shared" si="45"/>
        <v>1771000.950</v>
      </c>
      <c r="E2929" t="s">
        <v>2883</v>
      </c>
      <c r="F2929" s="242"/>
      <c r="G2929"/>
      <c r="H2929" s="242">
        <v>0</v>
      </c>
      <c r="I2929" s="242">
        <v>0</v>
      </c>
      <c r="J2929"/>
    </row>
    <row r="2930" spans="1:10" ht="15.75" customHeight="1">
      <c r="A2930" t="s">
        <v>2691</v>
      </c>
      <c r="B2930">
        <v>771000</v>
      </c>
      <c r="C2930">
        <v>1</v>
      </c>
      <c r="D2930" t="str">
        <f t="shared" si="45"/>
        <v>1771000.986</v>
      </c>
      <c r="E2930" t="s">
        <v>2884</v>
      </c>
      <c r="F2930" s="242"/>
      <c r="G2930"/>
      <c r="H2930" s="242">
        <v>0</v>
      </c>
      <c r="I2930" s="242">
        <v>0</v>
      </c>
      <c r="J2930"/>
    </row>
    <row r="2931" spans="1:10" ht="15.75" customHeight="1">
      <c r="A2931" t="s">
        <v>2603</v>
      </c>
      <c r="B2931">
        <v>771001</v>
      </c>
      <c r="C2931">
        <v>1</v>
      </c>
      <c r="D2931" t="str">
        <f t="shared" si="45"/>
        <v>1771001.759</v>
      </c>
      <c r="E2931" t="s">
        <v>2885</v>
      </c>
      <c r="F2931" s="242"/>
      <c r="G2931"/>
      <c r="H2931" s="242">
        <v>0</v>
      </c>
      <c r="I2931" s="242">
        <v>0</v>
      </c>
      <c r="J2931"/>
    </row>
    <row r="2932" spans="1:10" ht="15.75" customHeight="1">
      <c r="A2932" t="s">
        <v>2691</v>
      </c>
      <c r="B2932">
        <v>771004</v>
      </c>
      <c r="C2932">
        <v>1</v>
      </c>
      <c r="D2932" t="str">
        <f t="shared" si="45"/>
        <v>1771004.986</v>
      </c>
      <c r="E2932" t="s">
        <v>2886</v>
      </c>
      <c r="F2932" s="242"/>
      <c r="G2932"/>
      <c r="H2932" s="242">
        <v>0</v>
      </c>
      <c r="I2932" s="242">
        <v>0</v>
      </c>
      <c r="J2932"/>
    </row>
    <row r="2933" spans="1:10" ht="15.75" customHeight="1">
      <c r="A2933" t="s">
        <v>2691</v>
      </c>
      <c r="B2933">
        <v>771005</v>
      </c>
      <c r="C2933">
        <v>1</v>
      </c>
      <c r="D2933" t="str">
        <f t="shared" si="45"/>
        <v>1771005.986</v>
      </c>
      <c r="E2933" t="s">
        <v>2887</v>
      </c>
      <c r="F2933" s="242"/>
      <c r="G2933"/>
      <c r="H2933" s="242">
        <v>0</v>
      </c>
      <c r="I2933" s="242">
        <v>0</v>
      </c>
      <c r="J2933"/>
    </row>
    <row r="2934" spans="1:10" ht="15.75" customHeight="1">
      <c r="A2934" t="s">
        <v>2403</v>
      </c>
      <c r="B2934">
        <v>771100</v>
      </c>
      <c r="C2934">
        <v>1</v>
      </c>
      <c r="D2934" t="str">
        <f t="shared" si="45"/>
        <v>1771100.110</v>
      </c>
      <c r="E2934" t="s">
        <v>2573</v>
      </c>
      <c r="F2934" s="242"/>
      <c r="G2934"/>
      <c r="H2934" s="242">
        <v>74525</v>
      </c>
      <c r="I2934" s="242">
        <v>67341</v>
      </c>
      <c r="J2934"/>
    </row>
    <row r="2935" spans="1:10" ht="15.75" customHeight="1">
      <c r="A2935" t="s">
        <v>2404</v>
      </c>
      <c r="B2935">
        <v>771100</v>
      </c>
      <c r="C2935">
        <v>1</v>
      </c>
      <c r="D2935" t="str">
        <f t="shared" si="45"/>
        <v>1771100.120</v>
      </c>
      <c r="E2935" t="s">
        <v>2574</v>
      </c>
      <c r="F2935" s="242"/>
      <c r="G2935"/>
      <c r="H2935" s="242">
        <v>10462</v>
      </c>
      <c r="I2935" s="242">
        <v>10072</v>
      </c>
      <c r="J2935"/>
    </row>
    <row r="2936" spans="1:10" ht="15.75" customHeight="1">
      <c r="A2936" t="s">
        <v>2575</v>
      </c>
      <c r="B2936">
        <v>771100</v>
      </c>
      <c r="C2936">
        <v>1</v>
      </c>
      <c r="D2936" t="str">
        <f t="shared" si="45"/>
        <v>1771100.130</v>
      </c>
      <c r="E2936" t="s">
        <v>2576</v>
      </c>
      <c r="F2936" s="242"/>
      <c r="G2936"/>
      <c r="H2936" s="242">
        <v>51823</v>
      </c>
      <c r="I2936" s="242">
        <v>48371</v>
      </c>
      <c r="J2936"/>
    </row>
    <row r="2937" spans="1:10" ht="15.75" customHeight="1">
      <c r="A2937" t="s">
        <v>2577</v>
      </c>
      <c r="B2937">
        <v>771100</v>
      </c>
      <c r="C2937">
        <v>1</v>
      </c>
      <c r="D2937" t="str">
        <f t="shared" si="45"/>
        <v>1771100.140</v>
      </c>
      <c r="E2937" t="s">
        <v>2578</v>
      </c>
      <c r="F2937" s="242"/>
      <c r="G2937"/>
      <c r="H2937" s="242">
        <v>15401</v>
      </c>
      <c r="I2937" s="242">
        <v>13959</v>
      </c>
      <c r="J2937"/>
    </row>
    <row r="2938" spans="1:10" ht="15.75" customHeight="1">
      <c r="A2938" t="s">
        <v>2579</v>
      </c>
      <c r="B2938">
        <v>771100</v>
      </c>
      <c r="C2938">
        <v>1</v>
      </c>
      <c r="D2938" t="str">
        <f t="shared" si="45"/>
        <v>1771100.181</v>
      </c>
      <c r="E2938" t="s">
        <v>2580</v>
      </c>
      <c r="F2938" s="242"/>
      <c r="G2938"/>
      <c r="H2938" s="242">
        <v>30490</v>
      </c>
      <c r="I2938" s="242">
        <v>27621</v>
      </c>
      <c r="J2938"/>
    </row>
    <row r="2939" spans="1:10" ht="15.75" customHeight="1">
      <c r="A2939" t="s">
        <v>2581</v>
      </c>
      <c r="B2939">
        <v>771100</v>
      </c>
      <c r="C2939">
        <v>1</v>
      </c>
      <c r="D2939" t="str">
        <f t="shared" si="45"/>
        <v>1771100.182</v>
      </c>
      <c r="E2939" t="s">
        <v>2582</v>
      </c>
      <c r="F2939" s="242"/>
      <c r="G2939"/>
      <c r="H2939" s="242">
        <v>11592</v>
      </c>
      <c r="I2939" s="242">
        <v>10628</v>
      </c>
      <c r="J2939"/>
    </row>
    <row r="2940" spans="1:10" ht="15.75" customHeight="1">
      <c r="A2940" t="s">
        <v>1673</v>
      </c>
      <c r="B2940">
        <v>771100</v>
      </c>
      <c r="C2940">
        <v>1</v>
      </c>
      <c r="D2940" t="str">
        <f t="shared" si="45"/>
        <v>1771100.433</v>
      </c>
      <c r="E2940" t="s">
        <v>2655</v>
      </c>
      <c r="F2940" s="242"/>
      <c r="G2940"/>
      <c r="H2940" s="242">
        <v>2000</v>
      </c>
      <c r="I2940" s="242">
        <v>0</v>
      </c>
      <c r="J2940"/>
    </row>
    <row r="2941" spans="1:10" ht="15.75" customHeight="1">
      <c r="A2941" t="s">
        <v>1678</v>
      </c>
      <c r="B2941">
        <v>771100</v>
      </c>
      <c r="C2941">
        <v>1</v>
      </c>
      <c r="D2941" t="str">
        <f t="shared" si="45"/>
        <v>1771100.434</v>
      </c>
      <c r="E2941" t="s">
        <v>2656</v>
      </c>
      <c r="F2941" s="242"/>
      <c r="G2941"/>
      <c r="H2941" s="242">
        <v>12500</v>
      </c>
      <c r="I2941" s="242">
        <v>12402</v>
      </c>
      <c r="J2941"/>
    </row>
    <row r="2942" spans="1:10" ht="15.75" customHeight="1">
      <c r="A2942" t="s">
        <v>2658</v>
      </c>
      <c r="B2942">
        <v>771100</v>
      </c>
      <c r="C2942">
        <v>1</v>
      </c>
      <c r="D2942" t="str">
        <f t="shared" si="45"/>
        <v>1771100.441</v>
      </c>
      <c r="E2942" t="s">
        <v>2720</v>
      </c>
      <c r="F2942" s="242"/>
      <c r="G2942"/>
      <c r="H2942" s="242">
        <v>3500</v>
      </c>
      <c r="I2942" s="242">
        <v>3149</v>
      </c>
      <c r="J2942"/>
    </row>
    <row r="2943" spans="1:10" ht="15.75" customHeight="1">
      <c r="A2943" t="s">
        <v>2594</v>
      </c>
      <c r="B2943">
        <v>771100</v>
      </c>
      <c r="C2943">
        <v>1</v>
      </c>
      <c r="D2943" t="str">
        <f t="shared" si="45"/>
        <v>1771100.540</v>
      </c>
      <c r="E2943" t="s">
        <v>2595</v>
      </c>
      <c r="F2943" s="242"/>
      <c r="G2943"/>
      <c r="H2943" s="242">
        <v>0</v>
      </c>
      <c r="I2943" s="242">
        <v>0</v>
      </c>
      <c r="J2943"/>
    </row>
    <row r="2944" spans="1:10" ht="15.75" customHeight="1">
      <c r="A2944" t="s">
        <v>2596</v>
      </c>
      <c r="B2944">
        <v>771100</v>
      </c>
      <c r="C2944">
        <v>1</v>
      </c>
      <c r="D2944" t="str">
        <f t="shared" si="45"/>
        <v>1771100.550</v>
      </c>
      <c r="E2944" t="s">
        <v>2597</v>
      </c>
      <c r="F2944" s="242"/>
      <c r="G2944"/>
      <c r="H2944" s="242">
        <v>2000</v>
      </c>
      <c r="I2944" s="242">
        <v>0</v>
      </c>
      <c r="J2944"/>
    </row>
    <row r="2945" spans="1:10" ht="15.75" customHeight="1">
      <c r="A2945" t="s">
        <v>605</v>
      </c>
      <c r="B2945">
        <v>771100</v>
      </c>
      <c r="C2945">
        <v>1</v>
      </c>
      <c r="D2945" t="str">
        <f t="shared" si="45"/>
        <v>1771100.732</v>
      </c>
      <c r="E2945" t="s">
        <v>2902</v>
      </c>
      <c r="F2945" s="242"/>
      <c r="G2945"/>
      <c r="H2945" s="242">
        <v>4000</v>
      </c>
      <c r="I2945" s="242">
        <v>916</v>
      </c>
      <c r="J2945"/>
    </row>
    <row r="2946" spans="1:10" ht="15.75" customHeight="1">
      <c r="A2946" t="s">
        <v>624</v>
      </c>
      <c r="B2946">
        <v>771100</v>
      </c>
      <c r="C2946">
        <v>1</v>
      </c>
      <c r="D2946" t="str">
        <f t="shared" si="45"/>
        <v>1771100.733</v>
      </c>
      <c r="E2946" t="s">
        <v>2723</v>
      </c>
      <c r="F2946" s="242"/>
      <c r="G2946"/>
      <c r="H2946" s="242">
        <v>1000</v>
      </c>
      <c r="I2946" s="242">
        <v>0</v>
      </c>
      <c r="J2946"/>
    </row>
    <row r="2947" spans="1:10" ht="15.75" customHeight="1">
      <c r="A2947" t="s">
        <v>2603</v>
      </c>
      <c r="B2947">
        <v>771100</v>
      </c>
      <c r="C2947">
        <v>1</v>
      </c>
      <c r="D2947" t="str">
        <f t="shared" ref="D2947:D3010" si="46">C2947&amp;B2947&amp;"."&amp;A2947</f>
        <v>1771100.759</v>
      </c>
      <c r="E2947" t="s">
        <v>2642</v>
      </c>
      <c r="F2947" s="242"/>
      <c r="G2947"/>
      <c r="H2947" s="242">
        <v>260000</v>
      </c>
      <c r="I2947" s="242">
        <v>218771</v>
      </c>
      <c r="J2947"/>
    </row>
    <row r="2948" spans="1:10" ht="15.75" customHeight="1">
      <c r="A2948" t="s">
        <v>844</v>
      </c>
      <c r="B2948">
        <v>771100</v>
      </c>
      <c r="C2948">
        <v>1</v>
      </c>
      <c r="D2948" t="str">
        <f t="shared" si="46"/>
        <v>1771100.771</v>
      </c>
      <c r="E2948" t="s">
        <v>3188</v>
      </c>
      <c r="F2948" s="242"/>
      <c r="G2948"/>
      <c r="H2948" s="242">
        <v>34600</v>
      </c>
      <c r="I2948" s="242">
        <v>32126</v>
      </c>
      <c r="J2948"/>
    </row>
    <row r="2949" spans="1:10" ht="15.75" customHeight="1">
      <c r="A2949" t="s">
        <v>2632</v>
      </c>
      <c r="B2949">
        <v>771100</v>
      </c>
      <c r="C2949">
        <v>1</v>
      </c>
      <c r="D2949" t="str">
        <f t="shared" si="46"/>
        <v>1771100.780</v>
      </c>
      <c r="E2949" t="s">
        <v>2675</v>
      </c>
      <c r="F2949" s="242"/>
      <c r="G2949"/>
      <c r="H2949" s="242">
        <v>62000</v>
      </c>
      <c r="I2949" s="242">
        <v>59879</v>
      </c>
      <c r="J2949"/>
    </row>
    <row r="2950" spans="1:10" ht="15.75" customHeight="1">
      <c r="A2950" t="s">
        <v>2740</v>
      </c>
      <c r="B2950">
        <v>771100</v>
      </c>
      <c r="C2950">
        <v>1</v>
      </c>
      <c r="D2950" t="str">
        <f t="shared" si="46"/>
        <v>1771100.930</v>
      </c>
      <c r="E2950" t="s">
        <v>2834</v>
      </c>
      <c r="F2950" s="242"/>
      <c r="G2950"/>
      <c r="H2950" s="242">
        <v>8000</v>
      </c>
      <c r="I2950" s="242">
        <v>992</v>
      </c>
      <c r="J2950"/>
    </row>
    <row r="2951" spans="1:10" ht="15.75" customHeight="1">
      <c r="A2951" t="s">
        <v>2403</v>
      </c>
      <c r="B2951">
        <v>772100</v>
      </c>
      <c r="C2951">
        <v>1</v>
      </c>
      <c r="D2951" t="str">
        <f t="shared" si="46"/>
        <v>1772100.110</v>
      </c>
      <c r="E2951" t="s">
        <v>2573</v>
      </c>
      <c r="F2951" s="242"/>
      <c r="G2951"/>
      <c r="H2951" s="242">
        <v>0</v>
      </c>
      <c r="I2951" s="242">
        <v>18588</v>
      </c>
      <c r="J2951"/>
    </row>
    <row r="2952" spans="1:10" ht="15.75" customHeight="1">
      <c r="A2952" t="s">
        <v>2404</v>
      </c>
      <c r="B2952">
        <v>772100</v>
      </c>
      <c r="C2952">
        <v>1</v>
      </c>
      <c r="D2952" t="str">
        <f t="shared" si="46"/>
        <v>1772100.120</v>
      </c>
      <c r="E2952" t="s">
        <v>2574</v>
      </c>
      <c r="F2952" s="242"/>
      <c r="G2952"/>
      <c r="H2952" s="242">
        <v>0</v>
      </c>
      <c r="I2952" s="242">
        <v>48</v>
      </c>
      <c r="J2952"/>
    </row>
    <row r="2953" spans="1:10" ht="15.75" customHeight="1">
      <c r="A2953" t="s">
        <v>2577</v>
      </c>
      <c r="B2953">
        <v>772100</v>
      </c>
      <c r="C2953">
        <v>1</v>
      </c>
      <c r="D2953" t="str">
        <f t="shared" si="46"/>
        <v>1772100.140</v>
      </c>
      <c r="E2953" t="s">
        <v>2578</v>
      </c>
      <c r="F2953" s="242"/>
      <c r="G2953"/>
      <c r="H2953" s="242">
        <v>0</v>
      </c>
      <c r="I2953" s="242">
        <v>1698</v>
      </c>
      <c r="J2953"/>
    </row>
    <row r="2954" spans="1:10" ht="15.75" customHeight="1">
      <c r="A2954" t="s">
        <v>2579</v>
      </c>
      <c r="B2954">
        <v>772100</v>
      </c>
      <c r="C2954">
        <v>1</v>
      </c>
      <c r="D2954" t="str">
        <f t="shared" si="46"/>
        <v>1772100.181</v>
      </c>
      <c r="E2954" t="s">
        <v>2580</v>
      </c>
      <c r="F2954" s="242"/>
      <c r="G2954"/>
      <c r="H2954" s="242">
        <v>0</v>
      </c>
      <c r="I2954" s="242">
        <v>4793</v>
      </c>
      <c r="J2954"/>
    </row>
    <row r="2955" spans="1:10" ht="15.75" customHeight="1">
      <c r="A2955" t="s">
        <v>2581</v>
      </c>
      <c r="B2955">
        <v>772100</v>
      </c>
      <c r="C2955">
        <v>1</v>
      </c>
      <c r="D2955" t="str">
        <f t="shared" si="46"/>
        <v>1772100.182</v>
      </c>
      <c r="E2955" t="s">
        <v>2582</v>
      </c>
      <c r="F2955" s="242"/>
      <c r="G2955"/>
      <c r="H2955" s="242">
        <v>0</v>
      </c>
      <c r="I2955" s="242">
        <v>1529</v>
      </c>
      <c r="J2955"/>
    </row>
    <row r="2956" spans="1:10" ht="15.75" customHeight="1">
      <c r="A2956" t="s">
        <v>1663</v>
      </c>
      <c r="B2956">
        <v>772100</v>
      </c>
      <c r="C2956">
        <v>1</v>
      </c>
      <c r="D2956" t="str">
        <f t="shared" si="46"/>
        <v>1772100.431</v>
      </c>
      <c r="E2956" t="s">
        <v>2654</v>
      </c>
      <c r="F2956" s="242"/>
      <c r="G2956"/>
      <c r="H2956" s="242">
        <v>2800</v>
      </c>
      <c r="I2956" s="242">
        <v>3242</v>
      </c>
      <c r="J2956"/>
    </row>
    <row r="2957" spans="1:10" ht="15.75" customHeight="1">
      <c r="A2957" t="s">
        <v>2606</v>
      </c>
      <c r="B2957">
        <v>772100</v>
      </c>
      <c r="C2957">
        <v>1</v>
      </c>
      <c r="D2957" t="str">
        <f t="shared" si="46"/>
        <v>1772100.440</v>
      </c>
      <c r="E2957" t="s">
        <v>2657</v>
      </c>
      <c r="F2957" s="242"/>
      <c r="G2957"/>
      <c r="H2957" s="242">
        <v>1800</v>
      </c>
      <c r="I2957" s="242">
        <v>1706</v>
      </c>
      <c r="J2957"/>
    </row>
    <row r="2958" spans="1:10" ht="15.75" customHeight="1">
      <c r="A2958" t="s">
        <v>2859</v>
      </c>
      <c r="B2958">
        <v>772100</v>
      </c>
      <c r="C2958">
        <v>1</v>
      </c>
      <c r="D2958" t="str">
        <f t="shared" si="46"/>
        <v>1772100.870</v>
      </c>
      <c r="E2958" t="s">
        <v>4253</v>
      </c>
      <c r="F2958" s="242"/>
      <c r="G2958"/>
      <c r="H2958" s="242">
        <v>2440000</v>
      </c>
      <c r="I2958" s="242">
        <v>2023370</v>
      </c>
      <c r="J2958"/>
    </row>
    <row r="2959" spans="1:10" ht="15.75" customHeight="1">
      <c r="A2959" t="s">
        <v>3650</v>
      </c>
      <c r="B2959">
        <v>772100</v>
      </c>
      <c r="C2959">
        <v>1</v>
      </c>
      <c r="D2959" t="str">
        <f t="shared" si="46"/>
        <v>1772100.873</v>
      </c>
      <c r="E2959" t="s">
        <v>4254</v>
      </c>
      <c r="F2959" s="242"/>
      <c r="G2959"/>
      <c r="H2959" s="242">
        <v>134500</v>
      </c>
      <c r="I2959" s="242">
        <v>127000</v>
      </c>
      <c r="J2959"/>
    </row>
    <row r="2960" spans="1:10" ht="15.75" customHeight="1">
      <c r="A2960" t="s">
        <v>3652</v>
      </c>
      <c r="B2960">
        <v>772100</v>
      </c>
      <c r="C2960">
        <v>1</v>
      </c>
      <c r="D2960" t="str">
        <f t="shared" si="46"/>
        <v>1772100.874</v>
      </c>
      <c r="E2960" t="s">
        <v>4255</v>
      </c>
      <c r="F2960" s="242"/>
      <c r="G2960"/>
      <c r="H2960" s="242">
        <v>900000</v>
      </c>
      <c r="I2960" s="242">
        <v>1200000</v>
      </c>
      <c r="J2960"/>
    </row>
    <row r="2961" spans="1:10" ht="15.75" customHeight="1">
      <c r="A2961" t="s">
        <v>4256</v>
      </c>
      <c r="B2961">
        <v>772100</v>
      </c>
      <c r="C2961">
        <v>1</v>
      </c>
      <c r="D2961" t="str">
        <f t="shared" si="46"/>
        <v>1772100.875</v>
      </c>
      <c r="E2961" t="s">
        <v>4257</v>
      </c>
      <c r="F2961" s="242"/>
      <c r="G2961"/>
      <c r="H2961" s="242">
        <v>97000</v>
      </c>
      <c r="I2961" s="242">
        <v>105000</v>
      </c>
      <c r="J2961"/>
    </row>
    <row r="2962" spans="1:10" ht="15.75" customHeight="1">
      <c r="A2962" t="s">
        <v>2611</v>
      </c>
      <c r="B2962">
        <v>772100</v>
      </c>
      <c r="C2962">
        <v>1</v>
      </c>
      <c r="D2962" t="str">
        <f t="shared" si="46"/>
        <v>1772100.750</v>
      </c>
      <c r="E2962" t="s">
        <v>4260</v>
      </c>
      <c r="F2962" s="242"/>
      <c r="G2962"/>
      <c r="H2962" s="242">
        <v>0</v>
      </c>
      <c r="I2962" s="242">
        <v>0</v>
      </c>
      <c r="J2962"/>
    </row>
    <row r="2963" spans="1:10" ht="15.75" customHeight="1">
      <c r="A2963" t="s">
        <v>2632</v>
      </c>
      <c r="B2963">
        <v>772100</v>
      </c>
      <c r="C2963">
        <v>1</v>
      </c>
      <c r="D2963" t="str">
        <f t="shared" si="46"/>
        <v>1772100.780</v>
      </c>
      <c r="E2963" t="s">
        <v>4258</v>
      </c>
      <c r="F2963" s="242"/>
      <c r="G2963"/>
      <c r="H2963" s="242">
        <v>1200000</v>
      </c>
      <c r="I2963" s="242">
        <v>0</v>
      </c>
      <c r="J2963"/>
    </row>
    <row r="2964" spans="1:10" ht="15.75" customHeight="1">
      <c r="A2964" t="s">
        <v>2881</v>
      </c>
      <c r="B2964">
        <v>772100</v>
      </c>
      <c r="C2964">
        <v>1</v>
      </c>
      <c r="D2964" t="str">
        <f t="shared" si="46"/>
        <v>1772100.871</v>
      </c>
      <c r="E2964" t="s">
        <v>4261</v>
      </c>
      <c r="F2964" s="242"/>
      <c r="G2964"/>
      <c r="H2964" s="242">
        <v>300000</v>
      </c>
      <c r="I2964" s="242">
        <v>350000</v>
      </c>
      <c r="J2964"/>
    </row>
    <row r="2965" spans="1:10" ht="15.75" customHeight="1">
      <c r="A2965" t="s">
        <v>3648</v>
      </c>
      <c r="B2965">
        <v>772100</v>
      </c>
      <c r="C2965">
        <v>1</v>
      </c>
      <c r="D2965" t="str">
        <f t="shared" si="46"/>
        <v>1772100.872</v>
      </c>
      <c r="E2965" t="s">
        <v>4262</v>
      </c>
      <c r="F2965" s="242"/>
      <c r="G2965"/>
      <c r="H2965" s="242">
        <v>0</v>
      </c>
      <c r="I2965" s="242">
        <v>0</v>
      </c>
      <c r="J2965"/>
    </row>
    <row r="2966" spans="1:10" ht="15.75" customHeight="1">
      <c r="A2966" t="s">
        <v>2691</v>
      </c>
      <c r="B2966">
        <v>772104</v>
      </c>
      <c r="C2966">
        <v>1</v>
      </c>
      <c r="D2966" t="str">
        <f t="shared" si="46"/>
        <v>1772104.986</v>
      </c>
      <c r="E2966" t="s">
        <v>4263</v>
      </c>
      <c r="F2966" s="242"/>
      <c r="G2966"/>
      <c r="H2966" s="242">
        <v>0</v>
      </c>
      <c r="I2966" s="242">
        <v>0</v>
      </c>
      <c r="J2966"/>
    </row>
    <row r="2967" spans="1:10" ht="15.75" customHeight="1">
      <c r="A2967" t="s">
        <v>2691</v>
      </c>
      <c r="B2967">
        <v>772105</v>
      </c>
      <c r="C2967">
        <v>1</v>
      </c>
      <c r="D2967" t="str">
        <f t="shared" si="46"/>
        <v>1772105.986</v>
      </c>
      <c r="E2967" t="s">
        <v>4264</v>
      </c>
      <c r="F2967" s="242"/>
      <c r="G2967"/>
      <c r="H2967" s="242">
        <v>0</v>
      </c>
      <c r="I2967" s="242">
        <v>0</v>
      </c>
      <c r="J2967"/>
    </row>
    <row r="2968" spans="1:10" ht="15.75" customHeight="1">
      <c r="A2968" t="s">
        <v>2859</v>
      </c>
      <c r="B2968">
        <v>772200</v>
      </c>
      <c r="C2968">
        <v>1</v>
      </c>
      <c r="D2968" t="str">
        <f t="shared" si="46"/>
        <v>1772200.870</v>
      </c>
      <c r="E2968" t="s">
        <v>4265</v>
      </c>
      <c r="F2968" s="242"/>
      <c r="G2968"/>
      <c r="H2968" s="242">
        <v>0</v>
      </c>
      <c r="I2968" s="242">
        <v>0</v>
      </c>
      <c r="J2968"/>
    </row>
    <row r="2969" spans="1:10" ht="15.75" customHeight="1">
      <c r="A2969" t="s">
        <v>2691</v>
      </c>
      <c r="B2969">
        <v>772200</v>
      </c>
      <c r="C2969">
        <v>1</v>
      </c>
      <c r="D2969" t="str">
        <f t="shared" si="46"/>
        <v>1772200.986</v>
      </c>
      <c r="E2969" t="s">
        <v>4266</v>
      </c>
      <c r="F2969" s="242"/>
      <c r="G2969"/>
      <c r="H2969" s="242">
        <v>0</v>
      </c>
      <c r="I2969" s="242">
        <v>0</v>
      </c>
      <c r="J2969"/>
    </row>
    <row r="2970" spans="1:10" ht="15.75" customHeight="1">
      <c r="A2970" t="s">
        <v>4573</v>
      </c>
      <c r="B2970">
        <v>780000</v>
      </c>
      <c r="C2970">
        <v>1</v>
      </c>
      <c r="D2970" t="str">
        <f t="shared" si="46"/>
        <v>1780000.320</v>
      </c>
      <c r="E2970" t="s">
        <v>4574</v>
      </c>
      <c r="F2970" s="242"/>
      <c r="G2970"/>
      <c r="H2970" s="242">
        <v>40000</v>
      </c>
      <c r="I2970" s="242">
        <v>1558</v>
      </c>
      <c r="J2970"/>
    </row>
    <row r="2971" spans="1:10" ht="15.75" customHeight="1">
      <c r="A2971" t="s">
        <v>2403</v>
      </c>
      <c r="B2971">
        <v>780000</v>
      </c>
      <c r="C2971">
        <v>1</v>
      </c>
      <c r="D2971" t="str">
        <f t="shared" si="46"/>
        <v>1780000.110</v>
      </c>
      <c r="E2971" t="s">
        <v>2573</v>
      </c>
      <c r="F2971" s="242"/>
      <c r="G2971"/>
      <c r="H2971" s="242">
        <v>1287295</v>
      </c>
      <c r="I2971" s="242">
        <v>1301540</v>
      </c>
      <c r="J2971"/>
    </row>
    <row r="2972" spans="1:10" ht="15.75" customHeight="1">
      <c r="A2972" t="s">
        <v>2404</v>
      </c>
      <c r="B2972">
        <v>780000</v>
      </c>
      <c r="C2972">
        <v>1</v>
      </c>
      <c r="D2972" t="str">
        <f t="shared" si="46"/>
        <v>1780000.120</v>
      </c>
      <c r="E2972" t="s">
        <v>2574</v>
      </c>
      <c r="F2972" s="242"/>
      <c r="G2972"/>
      <c r="H2972" s="242">
        <v>281874</v>
      </c>
      <c r="I2972" s="242">
        <v>282804</v>
      </c>
      <c r="J2972"/>
    </row>
    <row r="2973" spans="1:10" ht="15.75" customHeight="1">
      <c r="A2973" t="s">
        <v>2575</v>
      </c>
      <c r="B2973">
        <v>780000</v>
      </c>
      <c r="C2973">
        <v>1</v>
      </c>
      <c r="D2973" t="str">
        <f t="shared" si="46"/>
        <v>1780000.130</v>
      </c>
      <c r="E2973" t="s">
        <v>2576</v>
      </c>
      <c r="F2973" s="242"/>
      <c r="G2973"/>
      <c r="H2973" s="242">
        <v>22621</v>
      </c>
      <c r="I2973" s="242">
        <v>23862</v>
      </c>
      <c r="J2973"/>
    </row>
    <row r="2974" spans="1:10" ht="15.75" customHeight="1">
      <c r="A2974" t="s">
        <v>2577</v>
      </c>
      <c r="B2974">
        <v>780000</v>
      </c>
      <c r="C2974">
        <v>1</v>
      </c>
      <c r="D2974" t="str">
        <f t="shared" si="46"/>
        <v>1780000.140</v>
      </c>
      <c r="E2974" t="s">
        <v>2578</v>
      </c>
      <c r="F2974" s="242"/>
      <c r="G2974"/>
      <c r="H2974" s="242">
        <v>260692</v>
      </c>
      <c r="I2974" s="242">
        <v>260343</v>
      </c>
      <c r="J2974"/>
    </row>
    <row r="2975" spans="1:10" ht="15.75" customHeight="1">
      <c r="A2975" t="s">
        <v>2579</v>
      </c>
      <c r="B2975">
        <v>780000</v>
      </c>
      <c r="C2975">
        <v>1</v>
      </c>
      <c r="D2975" t="str">
        <f t="shared" si="46"/>
        <v>1780000.181</v>
      </c>
      <c r="E2975" t="s">
        <v>2580</v>
      </c>
      <c r="F2975" s="242"/>
      <c r="G2975"/>
      <c r="H2975" s="242">
        <v>328795</v>
      </c>
      <c r="I2975" s="242">
        <v>326097</v>
      </c>
      <c r="J2975"/>
    </row>
    <row r="2976" spans="1:10" ht="15.75" customHeight="1">
      <c r="A2976" t="s">
        <v>2581</v>
      </c>
      <c r="B2976">
        <v>780000</v>
      </c>
      <c r="C2976">
        <v>1</v>
      </c>
      <c r="D2976" t="str">
        <f t="shared" si="46"/>
        <v>1780000.182</v>
      </c>
      <c r="E2976" t="s">
        <v>2582</v>
      </c>
      <c r="F2976" s="242"/>
      <c r="G2976"/>
      <c r="H2976" s="242">
        <v>140773</v>
      </c>
      <c r="I2976" s="242">
        <v>141857</v>
      </c>
      <c r="J2976"/>
    </row>
    <row r="2977" spans="1:10" ht="15.75" customHeight="1">
      <c r="A2977" t="s">
        <v>2650</v>
      </c>
      <c r="B2977">
        <v>780000</v>
      </c>
      <c r="C2977">
        <v>1</v>
      </c>
      <c r="D2977" t="str">
        <f t="shared" si="46"/>
        <v>1780000.288</v>
      </c>
      <c r="E2977" t="s">
        <v>2651</v>
      </c>
      <c r="F2977" s="242"/>
      <c r="G2977"/>
      <c r="H2977" s="242">
        <v>57800</v>
      </c>
      <c r="I2977" s="242">
        <v>54696</v>
      </c>
      <c r="J2977"/>
    </row>
    <row r="2978" spans="1:10" ht="15.75" customHeight="1">
      <c r="A2978" t="s">
        <v>2409</v>
      </c>
      <c r="B2978">
        <v>780000</v>
      </c>
      <c r="C2978">
        <v>1</v>
      </c>
      <c r="D2978" t="str">
        <f t="shared" si="46"/>
        <v>1780000.410</v>
      </c>
      <c r="E2978" t="s">
        <v>2752</v>
      </c>
      <c r="F2978" s="242"/>
      <c r="G2978"/>
      <c r="H2978" s="242">
        <v>310000</v>
      </c>
      <c r="I2978" s="242">
        <v>293529</v>
      </c>
      <c r="J2978"/>
    </row>
    <row r="2979" spans="1:10" ht="15.75" customHeight="1">
      <c r="A2979" t="s">
        <v>1622</v>
      </c>
      <c r="B2979">
        <v>780000</v>
      </c>
      <c r="C2979">
        <v>1</v>
      </c>
      <c r="D2979" t="str">
        <f t="shared" si="46"/>
        <v>1780000.411</v>
      </c>
      <c r="E2979" t="s">
        <v>3839</v>
      </c>
      <c r="F2979" s="242"/>
      <c r="G2979"/>
      <c r="H2979" s="242">
        <v>120000</v>
      </c>
      <c r="I2979" s="242">
        <v>120000</v>
      </c>
      <c r="J2979"/>
    </row>
    <row r="2980" spans="1:10" ht="15.75" customHeight="1">
      <c r="A2980" t="s">
        <v>2652</v>
      </c>
      <c r="B2980">
        <v>780000</v>
      </c>
      <c r="C2980">
        <v>1</v>
      </c>
      <c r="D2980" t="str">
        <f t="shared" si="46"/>
        <v>1780000.420</v>
      </c>
      <c r="E2980" t="s">
        <v>2653</v>
      </c>
      <c r="F2980" s="242"/>
      <c r="G2980"/>
      <c r="H2980" s="242">
        <v>39000</v>
      </c>
      <c r="I2980" s="242">
        <v>15334</v>
      </c>
      <c r="J2980"/>
    </row>
    <row r="2981" spans="1:10" ht="15.75" customHeight="1">
      <c r="A2981" t="s">
        <v>2792</v>
      </c>
      <c r="B2981">
        <v>780000</v>
      </c>
      <c r="C2981">
        <v>1</v>
      </c>
      <c r="D2981" t="str">
        <f t="shared" si="46"/>
        <v>1780000.425</v>
      </c>
      <c r="E2981" t="s">
        <v>2793</v>
      </c>
      <c r="F2981" s="242"/>
      <c r="G2981"/>
      <c r="H2981" s="242">
        <v>10000</v>
      </c>
      <c r="I2981" s="242">
        <v>7857</v>
      </c>
      <c r="J2981"/>
    </row>
    <row r="2982" spans="1:10" ht="15.75" customHeight="1">
      <c r="A2982" t="s">
        <v>1663</v>
      </c>
      <c r="B2982">
        <v>780000</v>
      </c>
      <c r="C2982">
        <v>1</v>
      </c>
      <c r="D2982" t="str">
        <f t="shared" si="46"/>
        <v>1780000.431</v>
      </c>
      <c r="E2982" t="s">
        <v>2654</v>
      </c>
      <c r="F2982" s="242"/>
      <c r="G2982"/>
      <c r="H2982" s="242">
        <v>81900</v>
      </c>
      <c r="I2982" s="242">
        <v>76561</v>
      </c>
      <c r="J2982"/>
    </row>
    <row r="2983" spans="1:10" ht="15.75" customHeight="1">
      <c r="A2983" t="s">
        <v>1668</v>
      </c>
      <c r="B2983">
        <v>780000</v>
      </c>
      <c r="C2983">
        <v>1</v>
      </c>
      <c r="D2983" t="str">
        <f t="shared" si="46"/>
        <v>1780000.432</v>
      </c>
      <c r="E2983" t="s">
        <v>2687</v>
      </c>
      <c r="F2983" s="242"/>
      <c r="G2983"/>
      <c r="H2983" s="242">
        <v>3200</v>
      </c>
      <c r="I2983" s="242">
        <v>3449</v>
      </c>
      <c r="J2983"/>
    </row>
    <row r="2984" spans="1:10" ht="15.75" customHeight="1">
      <c r="A2984" t="s">
        <v>1673</v>
      </c>
      <c r="B2984">
        <v>780000</v>
      </c>
      <c r="C2984">
        <v>1</v>
      </c>
      <c r="D2984" t="str">
        <f t="shared" si="46"/>
        <v>1780000.433</v>
      </c>
      <c r="E2984" t="s">
        <v>2655</v>
      </c>
      <c r="F2984" s="242"/>
      <c r="G2984"/>
      <c r="H2984" s="242">
        <v>13500</v>
      </c>
      <c r="I2984" s="242">
        <v>15489</v>
      </c>
      <c r="J2984"/>
    </row>
    <row r="2985" spans="1:10" ht="15.75" customHeight="1">
      <c r="A2985" t="s">
        <v>1678</v>
      </c>
      <c r="B2985">
        <v>780000</v>
      </c>
      <c r="C2985">
        <v>1</v>
      </c>
      <c r="D2985" t="str">
        <f t="shared" si="46"/>
        <v>1780000.434</v>
      </c>
      <c r="E2985" t="s">
        <v>2753</v>
      </c>
      <c r="F2985" s="242"/>
      <c r="G2985"/>
      <c r="H2985" s="242">
        <v>42000</v>
      </c>
      <c r="I2985" s="242">
        <v>40491</v>
      </c>
      <c r="J2985"/>
    </row>
    <row r="2986" spans="1:10" ht="15.75" customHeight="1">
      <c r="A2986" t="s">
        <v>2606</v>
      </c>
      <c r="B2986">
        <v>780000</v>
      </c>
      <c r="C2986">
        <v>1</v>
      </c>
      <c r="D2986" t="str">
        <f t="shared" si="46"/>
        <v>1780000.440</v>
      </c>
      <c r="E2986" t="s">
        <v>2657</v>
      </c>
      <c r="F2986" s="242"/>
      <c r="G2986"/>
      <c r="H2986" s="242">
        <v>5200</v>
      </c>
      <c r="I2986" s="242">
        <v>5018</v>
      </c>
      <c r="J2986"/>
    </row>
    <row r="2987" spans="1:10" ht="15.75" customHeight="1">
      <c r="A2987" t="s">
        <v>2411</v>
      </c>
      <c r="B2987">
        <v>780000</v>
      </c>
      <c r="C2987">
        <v>1</v>
      </c>
      <c r="D2987" t="str">
        <f t="shared" si="46"/>
        <v>1780000.470</v>
      </c>
      <c r="E2987" t="s">
        <v>2830</v>
      </c>
      <c r="F2987" s="242"/>
      <c r="G2987"/>
      <c r="H2987" s="242">
        <v>26000</v>
      </c>
      <c r="I2987" s="242">
        <v>23503</v>
      </c>
      <c r="J2987"/>
    </row>
    <row r="2988" spans="1:10" ht="15.75" customHeight="1">
      <c r="A2988" t="s">
        <v>2286</v>
      </c>
      <c r="B2988">
        <v>780000</v>
      </c>
      <c r="C2988">
        <v>1</v>
      </c>
      <c r="D2988" t="str">
        <f t="shared" si="46"/>
        <v>1780000.511</v>
      </c>
      <c r="E2988" t="s">
        <v>2584</v>
      </c>
      <c r="F2988" s="242"/>
      <c r="G2988"/>
      <c r="H2988" s="242">
        <v>19000</v>
      </c>
      <c r="I2988" s="242">
        <v>16035</v>
      </c>
      <c r="J2988"/>
    </row>
    <row r="2989" spans="1:10" ht="15.75" customHeight="1">
      <c r="A2989" t="s">
        <v>2414</v>
      </c>
      <c r="B2989">
        <v>780000</v>
      </c>
      <c r="C2989">
        <v>1</v>
      </c>
      <c r="D2989" t="str">
        <f t="shared" si="46"/>
        <v>1780000.512</v>
      </c>
      <c r="E2989" t="s">
        <v>2585</v>
      </c>
      <c r="F2989" s="242"/>
      <c r="G2989"/>
      <c r="H2989" s="242">
        <v>1000</v>
      </c>
      <c r="I2989" s="242">
        <v>0</v>
      </c>
      <c r="J2989"/>
    </row>
    <row r="2990" spans="1:10" ht="15.75" customHeight="1">
      <c r="A2990" t="s">
        <v>2644</v>
      </c>
      <c r="B2990">
        <v>780000</v>
      </c>
      <c r="C2990">
        <v>1</v>
      </c>
      <c r="D2990" t="str">
        <f t="shared" si="46"/>
        <v>1780000.521</v>
      </c>
      <c r="E2990" t="s">
        <v>4583</v>
      </c>
      <c r="F2990" s="242"/>
      <c r="G2990"/>
      <c r="H2990" s="242">
        <v>40000</v>
      </c>
      <c r="I2990" s="242">
        <v>52600</v>
      </c>
      <c r="J2990"/>
    </row>
    <row r="2991" spans="1:10" ht="15.75" customHeight="1">
      <c r="A2991" t="s">
        <v>2588</v>
      </c>
      <c r="B2991">
        <v>780000</v>
      </c>
      <c r="C2991">
        <v>1</v>
      </c>
      <c r="D2991" t="str">
        <f t="shared" si="46"/>
        <v>1780000.522</v>
      </c>
      <c r="E2991" t="s">
        <v>2608</v>
      </c>
      <c r="F2991" s="242"/>
      <c r="G2991"/>
      <c r="H2991" s="242">
        <v>8000</v>
      </c>
      <c r="I2991" s="242">
        <v>3500</v>
      </c>
      <c r="J2991"/>
    </row>
    <row r="2992" spans="1:10" ht="15.75" customHeight="1">
      <c r="A2992" t="s">
        <v>2594</v>
      </c>
      <c r="B2992">
        <v>780000</v>
      </c>
      <c r="C2992">
        <v>1</v>
      </c>
      <c r="D2992" t="str">
        <f t="shared" si="46"/>
        <v>1780000.540</v>
      </c>
      <c r="E2992" t="s">
        <v>2595</v>
      </c>
      <c r="F2992" s="242"/>
      <c r="G2992"/>
      <c r="H2992" s="242">
        <v>65000</v>
      </c>
      <c r="I2992" s="242">
        <v>45944</v>
      </c>
      <c r="J2992"/>
    </row>
    <row r="2993" spans="1:10" ht="15.75" customHeight="1">
      <c r="A2993" t="s">
        <v>2596</v>
      </c>
      <c r="B2993">
        <v>780000</v>
      </c>
      <c r="C2993">
        <v>1</v>
      </c>
      <c r="D2993" t="str">
        <f t="shared" si="46"/>
        <v>1780000.550</v>
      </c>
      <c r="E2993" t="s">
        <v>2597</v>
      </c>
      <c r="F2993" s="242"/>
      <c r="G2993"/>
      <c r="H2993" s="242">
        <v>6000</v>
      </c>
      <c r="I2993" s="242">
        <v>0</v>
      </c>
      <c r="J2993"/>
    </row>
    <row r="2994" spans="1:10" ht="15.75" customHeight="1">
      <c r="A2994" t="s">
        <v>2598</v>
      </c>
      <c r="B2994">
        <v>780000</v>
      </c>
      <c r="C2994">
        <v>1</v>
      </c>
      <c r="D2994" t="str">
        <f t="shared" si="46"/>
        <v>1780000.561</v>
      </c>
      <c r="E2994" t="s">
        <v>2599</v>
      </c>
      <c r="F2994" s="242"/>
      <c r="G2994"/>
      <c r="H2994" s="242">
        <v>35500</v>
      </c>
      <c r="I2994" s="242">
        <v>37104</v>
      </c>
      <c r="J2994"/>
    </row>
    <row r="2995" spans="1:10" ht="15.75" customHeight="1">
      <c r="A2995" t="s">
        <v>2771</v>
      </c>
      <c r="B2995">
        <v>780000</v>
      </c>
      <c r="C2995">
        <v>1</v>
      </c>
      <c r="D2995" t="str">
        <f t="shared" si="46"/>
        <v>1780000.570</v>
      </c>
      <c r="E2995" t="s">
        <v>4584</v>
      </c>
      <c r="F2995" s="242"/>
      <c r="G2995"/>
      <c r="H2995" s="242">
        <v>16300</v>
      </c>
      <c r="I2995" s="242">
        <v>16013</v>
      </c>
      <c r="J2995"/>
    </row>
    <row r="2996" spans="1:10" ht="15.75" customHeight="1">
      <c r="A2996" t="s">
        <v>2647</v>
      </c>
      <c r="B2996">
        <v>780000</v>
      </c>
      <c r="C2996">
        <v>1</v>
      </c>
      <c r="D2996" t="str">
        <f t="shared" si="46"/>
        <v>1780000.574</v>
      </c>
      <c r="E2996" t="s">
        <v>2648</v>
      </c>
      <c r="F2996" s="242"/>
      <c r="G2996"/>
      <c r="H2996" s="242">
        <v>19700</v>
      </c>
      <c r="I2996" s="242">
        <v>19337</v>
      </c>
      <c r="J2996"/>
    </row>
    <row r="2997" spans="1:10" ht="15.75" customHeight="1">
      <c r="A2997" t="s">
        <v>2620</v>
      </c>
      <c r="B2997">
        <v>780000</v>
      </c>
      <c r="C2997">
        <v>1</v>
      </c>
      <c r="D2997" t="str">
        <f t="shared" si="46"/>
        <v>1780000.575</v>
      </c>
      <c r="E2997" t="s">
        <v>2775</v>
      </c>
      <c r="F2997" s="242"/>
      <c r="G2997"/>
      <c r="H2997" s="242">
        <v>8677</v>
      </c>
      <c r="I2997" s="242">
        <v>0</v>
      </c>
      <c r="J2997"/>
    </row>
    <row r="2998" spans="1:10" ht="15.75" customHeight="1">
      <c r="A2998" t="s">
        <v>2735</v>
      </c>
      <c r="B2998">
        <v>780000</v>
      </c>
      <c r="C2998">
        <v>1</v>
      </c>
      <c r="D2998" t="str">
        <f t="shared" si="46"/>
        <v>1780000.576</v>
      </c>
      <c r="E2998" t="s">
        <v>4585</v>
      </c>
      <c r="F2998" s="242"/>
      <c r="G2998"/>
      <c r="H2998" s="242">
        <v>10000</v>
      </c>
      <c r="I2998" s="242">
        <v>9429</v>
      </c>
      <c r="J2998"/>
    </row>
    <row r="2999" spans="1:10" ht="15.75" customHeight="1">
      <c r="A2999" t="s">
        <v>2700</v>
      </c>
      <c r="B2999">
        <v>780000</v>
      </c>
      <c r="C2999">
        <v>1</v>
      </c>
      <c r="D2999" t="str">
        <f t="shared" si="46"/>
        <v>1780000.579</v>
      </c>
      <c r="E2999" t="s">
        <v>2737</v>
      </c>
      <c r="F2999" s="242"/>
      <c r="G2999"/>
      <c r="H2999" s="242">
        <v>36200</v>
      </c>
      <c r="I2999" s="242">
        <v>18997</v>
      </c>
      <c r="J2999"/>
    </row>
    <row r="3000" spans="1:10" ht="15.75" customHeight="1">
      <c r="A3000" t="s">
        <v>2600</v>
      </c>
      <c r="B3000">
        <v>780000</v>
      </c>
      <c r="C3000">
        <v>1</v>
      </c>
      <c r="D3000" t="str">
        <f t="shared" si="46"/>
        <v>1780000.580</v>
      </c>
      <c r="E3000" t="s">
        <v>2601</v>
      </c>
      <c r="F3000" s="242"/>
      <c r="G3000"/>
      <c r="H3000" s="242">
        <v>18000</v>
      </c>
      <c r="I3000" s="242">
        <v>12811</v>
      </c>
      <c r="J3000"/>
    </row>
    <row r="3001" spans="1:10" ht="15.75" customHeight="1">
      <c r="A3001" t="s">
        <v>2702</v>
      </c>
      <c r="B3001">
        <v>780000</v>
      </c>
      <c r="C3001">
        <v>1</v>
      </c>
      <c r="D3001" t="str">
        <f t="shared" si="46"/>
        <v>1780000.582</v>
      </c>
      <c r="E3001" t="s">
        <v>2797</v>
      </c>
      <c r="F3001" s="242"/>
      <c r="G3001"/>
      <c r="H3001" s="242">
        <v>10000</v>
      </c>
      <c r="I3001" s="242">
        <v>2822</v>
      </c>
      <c r="J3001"/>
    </row>
    <row r="3002" spans="1:10" ht="15.75" customHeight="1">
      <c r="A3002" t="s">
        <v>2609</v>
      </c>
      <c r="B3002">
        <v>780000</v>
      </c>
      <c r="C3002">
        <v>1</v>
      </c>
      <c r="D3002" t="str">
        <f t="shared" si="46"/>
        <v>1780000.710</v>
      </c>
      <c r="E3002" t="s">
        <v>2872</v>
      </c>
      <c r="F3002" s="242"/>
      <c r="G3002"/>
      <c r="H3002" s="242">
        <v>0</v>
      </c>
      <c r="I3002" s="242">
        <v>0</v>
      </c>
      <c r="J3002"/>
    </row>
    <row r="3003" spans="1:10" ht="15.75" customHeight="1">
      <c r="A3003" t="s">
        <v>658</v>
      </c>
      <c r="B3003">
        <v>780000</v>
      </c>
      <c r="C3003">
        <v>1</v>
      </c>
      <c r="D3003" t="str">
        <f t="shared" si="46"/>
        <v>1780000.742</v>
      </c>
      <c r="E3003" t="s">
        <v>2668</v>
      </c>
      <c r="F3003" s="242"/>
      <c r="G3003"/>
      <c r="H3003" s="242">
        <v>8000</v>
      </c>
      <c r="I3003" s="242">
        <v>0</v>
      </c>
      <c r="J3003"/>
    </row>
    <row r="3004" spans="1:10" ht="15.75" customHeight="1">
      <c r="A3004" t="s">
        <v>673</v>
      </c>
      <c r="B3004">
        <v>780000</v>
      </c>
      <c r="C3004">
        <v>1</v>
      </c>
      <c r="D3004" t="str">
        <f t="shared" si="46"/>
        <v>1780000.743</v>
      </c>
      <c r="E3004" t="s">
        <v>2622</v>
      </c>
      <c r="F3004" s="242"/>
      <c r="G3004"/>
      <c r="H3004" s="242">
        <v>30000</v>
      </c>
      <c r="I3004" s="242">
        <v>24470</v>
      </c>
      <c r="J3004"/>
    </row>
    <row r="3005" spans="1:10" ht="15.75" customHeight="1">
      <c r="A3005" t="s">
        <v>678</v>
      </c>
      <c r="B3005">
        <v>780000</v>
      </c>
      <c r="C3005">
        <v>1</v>
      </c>
      <c r="D3005" t="str">
        <f t="shared" si="46"/>
        <v>1780000.744</v>
      </c>
      <c r="E3005" t="s">
        <v>2832</v>
      </c>
      <c r="F3005" s="242"/>
      <c r="G3005"/>
      <c r="H3005" s="242">
        <v>9000</v>
      </c>
      <c r="I3005" s="242">
        <v>0</v>
      </c>
      <c r="J3005"/>
    </row>
    <row r="3006" spans="1:10" ht="15.75" customHeight="1">
      <c r="A3006" t="s">
        <v>707</v>
      </c>
      <c r="B3006">
        <v>780000</v>
      </c>
      <c r="C3006">
        <v>1</v>
      </c>
      <c r="D3006" t="str">
        <f t="shared" si="46"/>
        <v>1780000.745</v>
      </c>
      <c r="E3006" t="s">
        <v>2833</v>
      </c>
      <c r="F3006" s="242"/>
      <c r="G3006"/>
      <c r="H3006" s="242">
        <v>15000</v>
      </c>
      <c r="I3006" s="242">
        <v>17482</v>
      </c>
      <c r="J3006"/>
    </row>
    <row r="3007" spans="1:10" ht="15.75" customHeight="1">
      <c r="A3007" t="s">
        <v>772</v>
      </c>
      <c r="B3007">
        <v>780000</v>
      </c>
      <c r="C3007">
        <v>1</v>
      </c>
      <c r="D3007" t="str">
        <f t="shared" si="46"/>
        <v>1780000.751</v>
      </c>
      <c r="E3007" t="s">
        <v>2707</v>
      </c>
      <c r="F3007" s="242"/>
      <c r="G3007"/>
      <c r="H3007" s="242">
        <v>30000</v>
      </c>
      <c r="I3007" s="242">
        <v>29998</v>
      </c>
      <c r="J3007"/>
    </row>
    <row r="3008" spans="1:10" ht="15.75" customHeight="1">
      <c r="A3008" t="s">
        <v>786</v>
      </c>
      <c r="B3008">
        <v>780000</v>
      </c>
      <c r="C3008">
        <v>1</v>
      </c>
      <c r="D3008" t="str">
        <f t="shared" si="46"/>
        <v>1780000.754</v>
      </c>
      <c r="E3008" t="s">
        <v>4586</v>
      </c>
      <c r="F3008" s="242"/>
      <c r="G3008"/>
      <c r="H3008" s="242">
        <v>2500000</v>
      </c>
      <c r="I3008" s="242">
        <v>3082721</v>
      </c>
      <c r="J3008"/>
    </row>
    <row r="3009" spans="1:10" ht="15.75" customHeight="1">
      <c r="A3009" t="s">
        <v>2670</v>
      </c>
      <c r="B3009">
        <v>780000</v>
      </c>
      <c r="C3009">
        <v>1</v>
      </c>
      <c r="D3009" t="str">
        <f t="shared" si="46"/>
        <v>1780000.755</v>
      </c>
      <c r="E3009" t="s">
        <v>2671</v>
      </c>
      <c r="F3009" s="242"/>
      <c r="G3009"/>
      <c r="H3009" s="242">
        <v>5000</v>
      </c>
      <c r="I3009" s="242">
        <v>188</v>
      </c>
      <c r="J3009"/>
    </row>
    <row r="3010" spans="1:10" ht="15.75" customHeight="1">
      <c r="A3010" t="s">
        <v>791</v>
      </c>
      <c r="B3010">
        <v>780000</v>
      </c>
      <c r="C3010">
        <v>1</v>
      </c>
      <c r="D3010" t="str">
        <f t="shared" si="46"/>
        <v>1780000.756</v>
      </c>
      <c r="E3010" t="s">
        <v>2738</v>
      </c>
      <c r="F3010" s="242"/>
      <c r="G3010"/>
      <c r="H3010" s="242">
        <v>20000</v>
      </c>
      <c r="I3010" s="242">
        <v>1469</v>
      </c>
      <c r="J3010"/>
    </row>
    <row r="3011" spans="1:10" ht="15.75" customHeight="1">
      <c r="A3011" t="s">
        <v>2603</v>
      </c>
      <c r="B3011">
        <v>780000</v>
      </c>
      <c r="C3011">
        <v>1</v>
      </c>
      <c r="D3011" t="str">
        <f t="shared" ref="D3011:D3074" si="47">C3011&amp;B3011&amp;"."&amp;A3011</f>
        <v>1780000.759</v>
      </c>
      <c r="E3011" t="s">
        <v>2905</v>
      </c>
      <c r="F3011" s="242"/>
      <c r="G3011"/>
      <c r="H3011" s="242">
        <v>0</v>
      </c>
      <c r="I3011" s="242">
        <v>0</v>
      </c>
      <c r="J3011"/>
    </row>
    <row r="3012" spans="1:10" ht="15.75" customHeight="1">
      <c r="A3012" t="s">
        <v>835</v>
      </c>
      <c r="B3012">
        <v>780000</v>
      </c>
      <c r="C3012">
        <v>1</v>
      </c>
      <c r="D3012" t="str">
        <f t="shared" si="47"/>
        <v>1780000.769</v>
      </c>
      <c r="E3012" t="s">
        <v>2605</v>
      </c>
      <c r="F3012" s="242"/>
      <c r="G3012"/>
      <c r="H3012" s="242">
        <v>57600</v>
      </c>
      <c r="I3012" s="242">
        <v>38388</v>
      </c>
      <c r="J3012"/>
    </row>
    <row r="3013" spans="1:10" ht="15.75" customHeight="1">
      <c r="A3013" t="s">
        <v>2740</v>
      </c>
      <c r="B3013">
        <v>780000</v>
      </c>
      <c r="C3013">
        <v>1</v>
      </c>
      <c r="D3013" t="str">
        <f t="shared" si="47"/>
        <v>1780000.930</v>
      </c>
      <c r="E3013" t="s">
        <v>2741</v>
      </c>
      <c r="F3013" s="242"/>
      <c r="G3013"/>
      <c r="H3013" s="242">
        <v>0</v>
      </c>
      <c r="I3013" s="242">
        <v>7029</v>
      </c>
      <c r="J3013"/>
    </row>
    <row r="3014" spans="1:10" ht="15.75" customHeight="1">
      <c r="A3014" t="s">
        <v>2691</v>
      </c>
      <c r="B3014">
        <v>780001</v>
      </c>
      <c r="C3014">
        <v>1</v>
      </c>
      <c r="D3014" t="str">
        <f t="shared" si="47"/>
        <v>1780001.986</v>
      </c>
      <c r="E3014" t="s">
        <v>4587</v>
      </c>
      <c r="F3014" s="242"/>
      <c r="G3014"/>
      <c r="H3014" s="242">
        <v>0</v>
      </c>
      <c r="I3014" s="242">
        <v>0</v>
      </c>
      <c r="J3014"/>
    </row>
    <row r="3015" spans="1:10" ht="15.75" customHeight="1">
      <c r="A3015" t="s">
        <v>2403</v>
      </c>
      <c r="B3015">
        <v>781000</v>
      </c>
      <c r="C3015">
        <v>1</v>
      </c>
      <c r="D3015" t="str">
        <f t="shared" si="47"/>
        <v>1781000.110</v>
      </c>
      <c r="E3015" t="s">
        <v>2573</v>
      </c>
      <c r="F3015" s="242"/>
      <c r="G3015"/>
      <c r="H3015" s="242">
        <v>833175</v>
      </c>
      <c r="I3015" s="242">
        <v>810487</v>
      </c>
      <c r="J3015"/>
    </row>
    <row r="3016" spans="1:10" ht="15.75" customHeight="1">
      <c r="A3016" t="s">
        <v>2404</v>
      </c>
      <c r="B3016">
        <v>781000</v>
      </c>
      <c r="C3016">
        <v>1</v>
      </c>
      <c r="D3016" t="str">
        <f t="shared" si="47"/>
        <v>1781000.120</v>
      </c>
      <c r="E3016" t="s">
        <v>2574</v>
      </c>
      <c r="F3016" s="242"/>
      <c r="G3016"/>
      <c r="H3016" s="242">
        <v>341981</v>
      </c>
      <c r="I3016" s="242">
        <v>344225</v>
      </c>
      <c r="J3016"/>
    </row>
    <row r="3017" spans="1:10" ht="15.75" customHeight="1">
      <c r="A3017" t="s">
        <v>2575</v>
      </c>
      <c r="B3017">
        <v>781000</v>
      </c>
      <c r="C3017">
        <v>1</v>
      </c>
      <c r="D3017" t="str">
        <f t="shared" si="47"/>
        <v>1781000.130</v>
      </c>
      <c r="E3017" t="s">
        <v>2576</v>
      </c>
      <c r="F3017" s="242"/>
      <c r="G3017"/>
      <c r="H3017" s="242">
        <v>40320</v>
      </c>
      <c r="I3017" s="242">
        <v>36933</v>
      </c>
      <c r="J3017"/>
    </row>
    <row r="3018" spans="1:10" ht="15.75" customHeight="1">
      <c r="A3018" t="s">
        <v>2577</v>
      </c>
      <c r="B3018">
        <v>781000</v>
      </c>
      <c r="C3018">
        <v>1</v>
      </c>
      <c r="D3018" t="str">
        <f t="shared" si="47"/>
        <v>1781000.140</v>
      </c>
      <c r="E3018" t="s">
        <v>2578</v>
      </c>
      <c r="F3018" s="242"/>
      <c r="G3018"/>
      <c r="H3018" s="242">
        <v>148827</v>
      </c>
      <c r="I3018" s="242">
        <v>144873</v>
      </c>
      <c r="J3018"/>
    </row>
    <row r="3019" spans="1:10" ht="15.75" customHeight="1">
      <c r="A3019" t="s">
        <v>2579</v>
      </c>
      <c r="B3019">
        <v>781000</v>
      </c>
      <c r="C3019">
        <v>1</v>
      </c>
      <c r="D3019" t="str">
        <f t="shared" si="47"/>
        <v>1781000.181</v>
      </c>
      <c r="E3019" t="s">
        <v>2580</v>
      </c>
      <c r="F3019" s="242"/>
      <c r="G3019"/>
      <c r="H3019" s="242">
        <v>223914</v>
      </c>
      <c r="I3019" s="242">
        <v>217149</v>
      </c>
      <c r="J3019"/>
    </row>
    <row r="3020" spans="1:10" ht="15.75" customHeight="1">
      <c r="A3020" t="s">
        <v>2581</v>
      </c>
      <c r="B3020">
        <v>781000</v>
      </c>
      <c r="C3020">
        <v>1</v>
      </c>
      <c r="D3020" t="str">
        <f t="shared" si="47"/>
        <v>1781000.182</v>
      </c>
      <c r="E3020" t="s">
        <v>2582</v>
      </c>
      <c r="F3020" s="242"/>
      <c r="G3020"/>
      <c r="H3020" s="242">
        <v>103309</v>
      </c>
      <c r="I3020" s="242">
        <v>101218</v>
      </c>
      <c r="J3020"/>
    </row>
    <row r="3021" spans="1:10" ht="15.75" customHeight="1">
      <c r="A3021" t="s">
        <v>2606</v>
      </c>
      <c r="B3021">
        <v>781000</v>
      </c>
      <c r="C3021">
        <v>1</v>
      </c>
      <c r="D3021" t="str">
        <f t="shared" si="47"/>
        <v>1781000.440</v>
      </c>
      <c r="E3021" t="s">
        <v>4596</v>
      </c>
      <c r="F3021" s="242"/>
      <c r="G3021"/>
      <c r="H3021" s="242">
        <v>0</v>
      </c>
      <c r="I3021" s="242">
        <v>0</v>
      </c>
      <c r="J3021"/>
    </row>
    <row r="3022" spans="1:10" ht="15.75" customHeight="1">
      <c r="A3022" t="s">
        <v>2658</v>
      </c>
      <c r="B3022">
        <v>781000</v>
      </c>
      <c r="C3022">
        <v>1</v>
      </c>
      <c r="D3022" t="str">
        <f t="shared" si="47"/>
        <v>1781000.441</v>
      </c>
      <c r="E3022" t="s">
        <v>2659</v>
      </c>
      <c r="F3022" s="242"/>
      <c r="G3022"/>
      <c r="H3022" s="242">
        <v>70000</v>
      </c>
      <c r="I3022" s="242">
        <v>100976</v>
      </c>
      <c r="J3022"/>
    </row>
    <row r="3023" spans="1:10" ht="15.75" customHeight="1">
      <c r="A3023" t="s">
        <v>2286</v>
      </c>
      <c r="B3023">
        <v>781000</v>
      </c>
      <c r="C3023">
        <v>1</v>
      </c>
      <c r="D3023" t="str">
        <f t="shared" si="47"/>
        <v>1781000.511</v>
      </c>
      <c r="E3023" t="s">
        <v>2584</v>
      </c>
      <c r="F3023" s="242"/>
      <c r="G3023"/>
      <c r="H3023" s="242">
        <v>6500</v>
      </c>
      <c r="I3023" s="242">
        <v>6674</v>
      </c>
      <c r="J3023"/>
    </row>
    <row r="3024" spans="1:10" ht="15.75" customHeight="1">
      <c r="A3024" t="s">
        <v>2594</v>
      </c>
      <c r="B3024">
        <v>781000</v>
      </c>
      <c r="C3024">
        <v>1</v>
      </c>
      <c r="D3024" t="str">
        <f t="shared" si="47"/>
        <v>1781000.540</v>
      </c>
      <c r="E3024" t="s">
        <v>2595</v>
      </c>
      <c r="F3024" s="242"/>
      <c r="G3024"/>
      <c r="H3024" s="242">
        <v>55000</v>
      </c>
      <c r="I3024" s="242">
        <v>52240</v>
      </c>
      <c r="J3024"/>
    </row>
    <row r="3025" spans="1:10" ht="15.75" customHeight="1">
      <c r="A3025" t="s">
        <v>2596</v>
      </c>
      <c r="B3025">
        <v>781000</v>
      </c>
      <c r="C3025">
        <v>1</v>
      </c>
      <c r="D3025" t="str">
        <f t="shared" si="47"/>
        <v>1781000.550</v>
      </c>
      <c r="E3025" t="s">
        <v>2597</v>
      </c>
      <c r="F3025" s="242"/>
      <c r="G3025"/>
      <c r="H3025" s="242">
        <v>7000</v>
      </c>
      <c r="I3025" s="242">
        <v>6977</v>
      </c>
      <c r="J3025"/>
    </row>
    <row r="3026" spans="1:10" ht="15.75" customHeight="1">
      <c r="A3026" t="s">
        <v>2735</v>
      </c>
      <c r="B3026">
        <v>781000</v>
      </c>
      <c r="C3026">
        <v>1</v>
      </c>
      <c r="D3026" t="str">
        <f t="shared" si="47"/>
        <v>1781000.576</v>
      </c>
      <c r="E3026" t="s">
        <v>4597</v>
      </c>
      <c r="F3026" s="242"/>
      <c r="G3026"/>
      <c r="H3026" s="242">
        <v>13000</v>
      </c>
      <c r="I3026" s="242">
        <v>4227</v>
      </c>
      <c r="J3026"/>
    </row>
    <row r="3027" spans="1:10" ht="15.75" customHeight="1">
      <c r="A3027" t="s">
        <v>2776</v>
      </c>
      <c r="B3027">
        <v>781000</v>
      </c>
      <c r="C3027">
        <v>1</v>
      </c>
      <c r="D3027" t="str">
        <f t="shared" si="47"/>
        <v>1781000.577</v>
      </c>
      <c r="E3027" t="s">
        <v>4598</v>
      </c>
      <c r="F3027" s="242"/>
      <c r="G3027"/>
      <c r="H3027" s="242">
        <v>21060</v>
      </c>
      <c r="I3027" s="242">
        <v>0</v>
      </c>
      <c r="J3027"/>
    </row>
    <row r="3028" spans="1:10" ht="15.75" customHeight="1">
      <c r="A3028" t="s">
        <v>600</v>
      </c>
      <c r="B3028">
        <v>781000</v>
      </c>
      <c r="C3028">
        <v>1</v>
      </c>
      <c r="D3028" t="str">
        <f t="shared" si="47"/>
        <v>1781000.731</v>
      </c>
      <c r="E3028" t="s">
        <v>2901</v>
      </c>
      <c r="F3028" s="242"/>
      <c r="G3028"/>
      <c r="H3028" s="242">
        <v>74688</v>
      </c>
      <c r="I3028" s="242">
        <v>57307</v>
      </c>
      <c r="J3028"/>
    </row>
    <row r="3029" spans="1:10" ht="15.75" customHeight="1">
      <c r="A3029" t="s">
        <v>605</v>
      </c>
      <c r="B3029">
        <v>781000</v>
      </c>
      <c r="C3029">
        <v>1</v>
      </c>
      <c r="D3029" t="str">
        <f t="shared" si="47"/>
        <v>1781000.732</v>
      </c>
      <c r="E3029" t="s">
        <v>4599</v>
      </c>
      <c r="F3029" s="242"/>
      <c r="G3029"/>
      <c r="H3029" s="242">
        <v>40000</v>
      </c>
      <c r="I3029" s="242">
        <v>29042</v>
      </c>
      <c r="J3029"/>
    </row>
    <row r="3030" spans="1:10" ht="15.75" customHeight="1">
      <c r="A3030" t="s">
        <v>624</v>
      </c>
      <c r="B3030">
        <v>781000</v>
      </c>
      <c r="C3030">
        <v>1</v>
      </c>
      <c r="D3030" t="str">
        <f t="shared" si="47"/>
        <v>1781000.733</v>
      </c>
      <c r="E3030" t="s">
        <v>2666</v>
      </c>
      <c r="F3030" s="242"/>
      <c r="G3030"/>
      <c r="H3030" s="242">
        <v>3500</v>
      </c>
      <c r="I3030" s="242">
        <v>3960</v>
      </c>
      <c r="J3030"/>
    </row>
    <row r="3031" spans="1:10" ht="15.75" customHeight="1">
      <c r="A3031" t="s">
        <v>2418</v>
      </c>
      <c r="B3031">
        <v>781000</v>
      </c>
      <c r="C3031">
        <v>1</v>
      </c>
      <c r="D3031" t="str">
        <f t="shared" si="47"/>
        <v>1781000.735</v>
      </c>
      <c r="E3031" t="s">
        <v>2667</v>
      </c>
      <c r="F3031" s="242"/>
      <c r="G3031"/>
      <c r="H3031" s="242">
        <v>116197</v>
      </c>
      <c r="I3031" s="242">
        <v>110588</v>
      </c>
      <c r="J3031"/>
    </row>
    <row r="3032" spans="1:10" ht="15.75" customHeight="1">
      <c r="A3032" t="s">
        <v>673</v>
      </c>
      <c r="B3032">
        <v>781000</v>
      </c>
      <c r="C3032">
        <v>1</v>
      </c>
      <c r="D3032" t="str">
        <f t="shared" si="47"/>
        <v>1781000.743</v>
      </c>
      <c r="E3032" t="s">
        <v>2763</v>
      </c>
      <c r="F3032" s="242"/>
      <c r="G3032"/>
      <c r="H3032" s="242">
        <v>8000</v>
      </c>
      <c r="I3032" s="242">
        <v>7068</v>
      </c>
      <c r="J3032"/>
    </row>
    <row r="3033" spans="1:10" ht="15.75" customHeight="1">
      <c r="A3033" t="s">
        <v>737</v>
      </c>
      <c r="B3033">
        <v>781000</v>
      </c>
      <c r="C3033">
        <v>1</v>
      </c>
      <c r="D3033" t="str">
        <f t="shared" si="47"/>
        <v>1781000.747</v>
      </c>
      <c r="E3033" t="s">
        <v>2765</v>
      </c>
      <c r="F3033" s="242"/>
      <c r="G3033"/>
      <c r="H3033" s="242">
        <v>83000</v>
      </c>
      <c r="I3033" s="242">
        <v>27308</v>
      </c>
      <c r="J3033"/>
    </row>
    <row r="3034" spans="1:10" ht="15.75" customHeight="1">
      <c r="A3034" t="s">
        <v>776</v>
      </c>
      <c r="B3034">
        <v>781000</v>
      </c>
      <c r="C3034">
        <v>1</v>
      </c>
      <c r="D3034" t="str">
        <f t="shared" si="47"/>
        <v>1781000.752</v>
      </c>
      <c r="E3034" t="s">
        <v>4601</v>
      </c>
      <c r="F3034" s="242"/>
      <c r="G3034"/>
      <c r="H3034" s="242">
        <v>40000</v>
      </c>
      <c r="I3034" s="242">
        <v>0</v>
      </c>
      <c r="J3034"/>
    </row>
    <row r="3035" spans="1:10" ht="15.75" customHeight="1">
      <c r="A3035" t="s">
        <v>781</v>
      </c>
      <c r="B3035">
        <v>781000</v>
      </c>
      <c r="C3035">
        <v>1</v>
      </c>
      <c r="D3035" t="str">
        <f t="shared" si="47"/>
        <v>1781000.753</v>
      </c>
      <c r="E3035" t="s">
        <v>4602</v>
      </c>
      <c r="F3035" s="242"/>
      <c r="G3035"/>
      <c r="H3035" s="242">
        <v>100000</v>
      </c>
      <c r="I3035" s="242">
        <v>143382</v>
      </c>
      <c r="J3035"/>
    </row>
    <row r="3036" spans="1:10" ht="15.75" customHeight="1">
      <c r="A3036" t="s">
        <v>2632</v>
      </c>
      <c r="B3036">
        <v>781000</v>
      </c>
      <c r="C3036">
        <v>1</v>
      </c>
      <c r="D3036" t="str">
        <f t="shared" si="47"/>
        <v>1781000.780</v>
      </c>
      <c r="E3036" t="s">
        <v>2709</v>
      </c>
      <c r="F3036" s="242"/>
      <c r="G3036"/>
      <c r="H3036" s="242">
        <v>3500</v>
      </c>
      <c r="I3036" s="242">
        <v>0</v>
      </c>
      <c r="J3036"/>
    </row>
    <row r="3037" spans="1:10" ht="15.75" customHeight="1">
      <c r="A3037" t="s">
        <v>2403</v>
      </c>
      <c r="B3037">
        <v>781200</v>
      </c>
      <c r="C3037">
        <v>1</v>
      </c>
      <c r="D3037" t="str">
        <f t="shared" si="47"/>
        <v>1781200.110</v>
      </c>
      <c r="E3037" t="s">
        <v>2573</v>
      </c>
      <c r="F3037" s="242"/>
      <c r="G3037"/>
      <c r="H3037" s="242">
        <v>572988</v>
      </c>
      <c r="I3037" s="242">
        <v>496732</v>
      </c>
      <c r="J3037"/>
    </row>
    <row r="3038" spans="1:10" ht="15.75" customHeight="1">
      <c r="A3038" t="s">
        <v>2404</v>
      </c>
      <c r="B3038">
        <v>781200</v>
      </c>
      <c r="C3038">
        <v>1</v>
      </c>
      <c r="D3038" t="str">
        <f t="shared" si="47"/>
        <v>1781200.120</v>
      </c>
      <c r="E3038" t="s">
        <v>2574</v>
      </c>
      <c r="F3038" s="242"/>
      <c r="G3038"/>
      <c r="H3038" s="242">
        <v>187277</v>
      </c>
      <c r="I3038" s="242">
        <v>164027</v>
      </c>
      <c r="J3038"/>
    </row>
    <row r="3039" spans="1:10" ht="15.75" customHeight="1">
      <c r="A3039" t="s">
        <v>2575</v>
      </c>
      <c r="B3039">
        <v>781200</v>
      </c>
      <c r="C3039">
        <v>1</v>
      </c>
      <c r="D3039" t="str">
        <f t="shared" si="47"/>
        <v>1781200.130</v>
      </c>
      <c r="E3039" t="s">
        <v>2576</v>
      </c>
      <c r="F3039" s="242"/>
      <c r="G3039"/>
      <c r="H3039" s="242">
        <v>97273</v>
      </c>
      <c r="I3039" s="242">
        <v>77022</v>
      </c>
      <c r="J3039"/>
    </row>
    <row r="3040" spans="1:10" ht="15.75" customHeight="1">
      <c r="A3040" t="s">
        <v>2577</v>
      </c>
      <c r="B3040">
        <v>781200</v>
      </c>
      <c r="C3040">
        <v>1</v>
      </c>
      <c r="D3040" t="str">
        <f t="shared" si="47"/>
        <v>1781200.140</v>
      </c>
      <c r="E3040" t="s">
        <v>2578</v>
      </c>
      <c r="F3040" s="242"/>
      <c r="G3040"/>
      <c r="H3040" s="242">
        <v>53072</v>
      </c>
      <c r="I3040" s="242">
        <v>40510</v>
      </c>
      <c r="J3040"/>
    </row>
    <row r="3041" spans="1:10" ht="15.75" customHeight="1">
      <c r="A3041" t="s">
        <v>2579</v>
      </c>
      <c r="B3041">
        <v>781200</v>
      </c>
      <c r="C3041">
        <v>1</v>
      </c>
      <c r="D3041" t="str">
        <f t="shared" si="47"/>
        <v>1781200.181</v>
      </c>
      <c r="E3041" t="s">
        <v>2580</v>
      </c>
      <c r="F3041" s="242"/>
      <c r="G3041"/>
      <c r="H3041" s="242">
        <v>169070</v>
      </c>
      <c r="I3041" s="242">
        <v>145002</v>
      </c>
      <c r="J3041"/>
    </row>
    <row r="3042" spans="1:10" ht="15.75" customHeight="1">
      <c r="A3042" t="s">
        <v>2581</v>
      </c>
      <c r="B3042">
        <v>781200</v>
      </c>
      <c r="C3042">
        <v>1</v>
      </c>
      <c r="D3042" t="str">
        <f t="shared" si="47"/>
        <v>1781200.182</v>
      </c>
      <c r="E3042" t="s">
        <v>2582</v>
      </c>
      <c r="F3042" s="242"/>
      <c r="G3042"/>
      <c r="H3042" s="242">
        <v>68997</v>
      </c>
      <c r="I3042" s="242">
        <v>58990</v>
      </c>
      <c r="J3042"/>
    </row>
    <row r="3043" spans="1:10" ht="15.75" customHeight="1">
      <c r="A3043" t="s">
        <v>2594</v>
      </c>
      <c r="B3043">
        <v>781200</v>
      </c>
      <c r="C3043">
        <v>1</v>
      </c>
      <c r="D3043" t="str">
        <f t="shared" si="47"/>
        <v>1781200.540</v>
      </c>
      <c r="E3043" t="s">
        <v>2595</v>
      </c>
      <c r="F3043" s="242"/>
      <c r="G3043"/>
      <c r="H3043" s="242">
        <v>7000</v>
      </c>
      <c r="I3043" s="242">
        <v>5350</v>
      </c>
      <c r="J3043"/>
    </row>
    <row r="3044" spans="1:10" ht="15.75" customHeight="1">
      <c r="A3044" t="s">
        <v>2596</v>
      </c>
      <c r="B3044">
        <v>781200</v>
      </c>
      <c r="C3044">
        <v>1</v>
      </c>
      <c r="D3044" t="str">
        <f t="shared" si="47"/>
        <v>1781200.550</v>
      </c>
      <c r="E3044" t="s">
        <v>2597</v>
      </c>
      <c r="F3044" s="242"/>
      <c r="G3044"/>
      <c r="H3044" s="242">
        <v>37323</v>
      </c>
      <c r="I3044" s="242">
        <v>38565</v>
      </c>
      <c r="J3044"/>
    </row>
    <row r="3045" spans="1:10" ht="15.75" customHeight="1">
      <c r="A3045" t="s">
        <v>2771</v>
      </c>
      <c r="B3045">
        <v>781200</v>
      </c>
      <c r="C3045">
        <v>1</v>
      </c>
      <c r="D3045" t="str">
        <f t="shared" si="47"/>
        <v>1781200.570</v>
      </c>
      <c r="E3045" t="s">
        <v>4630</v>
      </c>
      <c r="F3045" s="242"/>
      <c r="G3045"/>
      <c r="H3045" s="242">
        <v>96700</v>
      </c>
      <c r="I3045" s="242">
        <v>94928</v>
      </c>
      <c r="J3045"/>
    </row>
    <row r="3046" spans="1:10" ht="15.75" customHeight="1">
      <c r="A3046" t="s">
        <v>2704</v>
      </c>
      <c r="B3046">
        <v>781200</v>
      </c>
      <c r="C3046">
        <v>1</v>
      </c>
      <c r="D3046" t="str">
        <f t="shared" si="47"/>
        <v>1781200.720</v>
      </c>
      <c r="E3046" t="s">
        <v>4631</v>
      </c>
      <c r="F3046" s="242"/>
      <c r="G3046"/>
      <c r="H3046" s="242">
        <v>2000</v>
      </c>
      <c r="I3046" s="242">
        <v>1717</v>
      </c>
      <c r="J3046"/>
    </row>
    <row r="3047" spans="1:10" ht="15.75" customHeight="1">
      <c r="A3047" t="s">
        <v>600</v>
      </c>
      <c r="B3047">
        <v>781200</v>
      </c>
      <c r="C3047">
        <v>1</v>
      </c>
      <c r="D3047" t="str">
        <f t="shared" si="47"/>
        <v>1781200.731</v>
      </c>
      <c r="E3047" t="s">
        <v>2593</v>
      </c>
      <c r="F3047" s="242"/>
      <c r="G3047"/>
      <c r="H3047" s="242">
        <v>51214</v>
      </c>
      <c r="I3047" s="242">
        <v>30044</v>
      </c>
      <c r="J3047"/>
    </row>
    <row r="3048" spans="1:10" ht="15.75" customHeight="1">
      <c r="A3048" t="s">
        <v>2418</v>
      </c>
      <c r="B3048">
        <v>781200</v>
      </c>
      <c r="C3048">
        <v>1</v>
      </c>
      <c r="D3048" t="str">
        <f t="shared" si="47"/>
        <v>1781200.735</v>
      </c>
      <c r="E3048" t="s">
        <v>2602</v>
      </c>
      <c r="F3048" s="242"/>
      <c r="G3048"/>
      <c r="H3048" s="242">
        <v>55267</v>
      </c>
      <c r="I3048" s="242">
        <v>32668</v>
      </c>
      <c r="J3048"/>
    </row>
    <row r="3049" spans="1:10" ht="15.75" customHeight="1">
      <c r="A3049" t="s">
        <v>653</v>
      </c>
      <c r="B3049">
        <v>781200</v>
      </c>
      <c r="C3049">
        <v>1</v>
      </c>
      <c r="D3049" t="str">
        <f t="shared" si="47"/>
        <v>1781200.741</v>
      </c>
      <c r="E3049" t="s">
        <v>4619</v>
      </c>
      <c r="F3049" s="242"/>
      <c r="G3049"/>
      <c r="H3049" s="242">
        <v>5400</v>
      </c>
      <c r="I3049" s="242">
        <v>0</v>
      </c>
      <c r="J3049"/>
    </row>
    <row r="3050" spans="1:10" ht="15.75" customHeight="1">
      <c r="A3050" t="s">
        <v>673</v>
      </c>
      <c r="B3050">
        <v>781200</v>
      </c>
      <c r="C3050">
        <v>1</v>
      </c>
      <c r="D3050" t="str">
        <f t="shared" si="47"/>
        <v>1781200.743</v>
      </c>
      <c r="E3050" t="s">
        <v>2622</v>
      </c>
      <c r="F3050" s="242"/>
      <c r="G3050"/>
      <c r="H3050" s="242">
        <v>35000</v>
      </c>
      <c r="I3050" s="242">
        <v>27677</v>
      </c>
      <c r="J3050"/>
    </row>
    <row r="3051" spans="1:10" ht="15.75" customHeight="1">
      <c r="A3051" t="s">
        <v>737</v>
      </c>
      <c r="B3051">
        <v>781200</v>
      </c>
      <c r="C3051">
        <v>1</v>
      </c>
      <c r="D3051" t="str">
        <f t="shared" si="47"/>
        <v>1781200.747</v>
      </c>
      <c r="E3051" t="s">
        <v>2765</v>
      </c>
      <c r="F3051" s="242"/>
      <c r="G3051"/>
      <c r="H3051" s="242">
        <v>14000</v>
      </c>
      <c r="I3051" s="242">
        <v>11965</v>
      </c>
      <c r="J3051"/>
    </row>
    <row r="3052" spans="1:10" ht="15.75" customHeight="1">
      <c r="A3052" t="s">
        <v>2611</v>
      </c>
      <c r="B3052">
        <v>781200</v>
      </c>
      <c r="C3052">
        <v>1</v>
      </c>
      <c r="D3052" t="str">
        <f t="shared" si="47"/>
        <v>1781200.750</v>
      </c>
      <c r="E3052" t="s">
        <v>2707</v>
      </c>
      <c r="F3052" s="242"/>
      <c r="G3052"/>
      <c r="H3052" s="242">
        <v>48940</v>
      </c>
      <c r="I3052" s="242">
        <v>20574</v>
      </c>
      <c r="J3052"/>
    </row>
    <row r="3053" spans="1:10" ht="15.75" customHeight="1">
      <c r="A3053" t="s">
        <v>776</v>
      </c>
      <c r="B3053">
        <v>781200</v>
      </c>
      <c r="C3053">
        <v>1</v>
      </c>
      <c r="D3053" t="str">
        <f t="shared" si="47"/>
        <v>1781200.752</v>
      </c>
      <c r="E3053" t="s">
        <v>4632</v>
      </c>
      <c r="F3053" s="242"/>
      <c r="G3053"/>
      <c r="H3053" s="242">
        <v>600000</v>
      </c>
      <c r="I3053" s="242">
        <v>708411</v>
      </c>
      <c r="J3053"/>
    </row>
    <row r="3054" spans="1:10" ht="15.75" customHeight="1">
      <c r="A3054" t="s">
        <v>781</v>
      </c>
      <c r="B3054">
        <v>781200</v>
      </c>
      <c r="C3054">
        <v>1</v>
      </c>
      <c r="D3054" t="str">
        <f t="shared" si="47"/>
        <v>1781200.753</v>
      </c>
      <c r="E3054" t="s">
        <v>4633</v>
      </c>
      <c r="F3054" s="242"/>
      <c r="G3054"/>
      <c r="H3054" s="242">
        <v>300000</v>
      </c>
      <c r="I3054" s="242">
        <v>130961</v>
      </c>
      <c r="J3054"/>
    </row>
    <row r="3055" spans="1:10" ht="15.75" customHeight="1">
      <c r="A3055" t="s">
        <v>786</v>
      </c>
      <c r="B3055">
        <v>781200</v>
      </c>
      <c r="C3055">
        <v>1</v>
      </c>
      <c r="D3055" t="str">
        <f t="shared" si="47"/>
        <v>1781200.754</v>
      </c>
      <c r="E3055" t="s">
        <v>4634</v>
      </c>
      <c r="F3055" s="242"/>
      <c r="G3055"/>
      <c r="H3055" s="242">
        <v>30000</v>
      </c>
      <c r="I3055" s="242">
        <v>0</v>
      </c>
      <c r="J3055"/>
    </row>
    <row r="3056" spans="1:10" ht="15.75" customHeight="1">
      <c r="A3056" t="s">
        <v>2670</v>
      </c>
      <c r="B3056">
        <v>781200</v>
      </c>
      <c r="C3056">
        <v>1</v>
      </c>
      <c r="D3056" t="str">
        <f t="shared" si="47"/>
        <v>1781200.755</v>
      </c>
      <c r="E3056" t="s">
        <v>4635</v>
      </c>
      <c r="F3056" s="242"/>
      <c r="G3056"/>
      <c r="H3056" s="242">
        <v>80000</v>
      </c>
      <c r="I3056" s="242">
        <v>13480</v>
      </c>
      <c r="J3056"/>
    </row>
    <row r="3057" spans="1:10" ht="15.75" customHeight="1">
      <c r="A3057" t="s">
        <v>835</v>
      </c>
      <c r="B3057">
        <v>781200</v>
      </c>
      <c r="C3057">
        <v>1</v>
      </c>
      <c r="D3057" t="str">
        <f t="shared" si="47"/>
        <v>1781200.769</v>
      </c>
      <c r="E3057" t="s">
        <v>2605</v>
      </c>
      <c r="F3057" s="242"/>
      <c r="G3057"/>
      <c r="H3057" s="242">
        <v>0</v>
      </c>
      <c r="I3057" s="242">
        <v>0</v>
      </c>
      <c r="J3057"/>
    </row>
    <row r="3058" spans="1:10" ht="15.75" customHeight="1">
      <c r="A3058" t="s">
        <v>844</v>
      </c>
      <c r="B3058">
        <v>781201</v>
      </c>
      <c r="C3058">
        <v>1</v>
      </c>
      <c r="D3058" t="str">
        <f t="shared" si="47"/>
        <v>1781201.771</v>
      </c>
      <c r="E3058" t="s">
        <v>4644</v>
      </c>
      <c r="F3058" s="242"/>
      <c r="G3058"/>
      <c r="H3058" s="242">
        <v>50000</v>
      </c>
      <c r="I3058" s="242">
        <v>0</v>
      </c>
      <c r="J3058"/>
    </row>
    <row r="3059" spans="1:10" ht="15.75" customHeight="1">
      <c r="A3059" t="s">
        <v>844</v>
      </c>
      <c r="B3059">
        <v>781202</v>
      </c>
      <c r="C3059">
        <v>1</v>
      </c>
      <c r="D3059" t="str">
        <f t="shared" si="47"/>
        <v>1781202.771</v>
      </c>
      <c r="E3059" t="s">
        <v>4645</v>
      </c>
      <c r="F3059" s="242"/>
      <c r="G3059"/>
      <c r="H3059" s="242">
        <v>35000</v>
      </c>
      <c r="I3059" s="242">
        <v>0</v>
      </c>
      <c r="J3059"/>
    </row>
    <row r="3060" spans="1:10" ht="15.75" customHeight="1">
      <c r="A3060" t="s">
        <v>2403</v>
      </c>
      <c r="B3060">
        <v>781400</v>
      </c>
      <c r="C3060">
        <v>1</v>
      </c>
      <c r="D3060" t="str">
        <f t="shared" si="47"/>
        <v>1781400.110</v>
      </c>
      <c r="E3060" t="s">
        <v>2573</v>
      </c>
      <c r="F3060" s="242"/>
      <c r="G3060"/>
      <c r="H3060" s="242">
        <v>1276541</v>
      </c>
      <c r="I3060" s="242">
        <v>544261</v>
      </c>
      <c r="J3060"/>
    </row>
    <row r="3061" spans="1:10" ht="15.75" customHeight="1">
      <c r="A3061" t="s">
        <v>2404</v>
      </c>
      <c r="B3061">
        <v>781400</v>
      </c>
      <c r="C3061">
        <v>1</v>
      </c>
      <c r="D3061" t="str">
        <f t="shared" si="47"/>
        <v>1781400.120</v>
      </c>
      <c r="E3061" t="s">
        <v>2574</v>
      </c>
      <c r="F3061" s="242"/>
      <c r="G3061"/>
      <c r="H3061" s="242">
        <v>257918</v>
      </c>
      <c r="I3061" s="242">
        <v>116926</v>
      </c>
      <c r="J3061"/>
    </row>
    <row r="3062" spans="1:10" ht="15.75" customHeight="1">
      <c r="A3062" t="s">
        <v>2575</v>
      </c>
      <c r="B3062">
        <v>781400</v>
      </c>
      <c r="C3062">
        <v>1</v>
      </c>
      <c r="D3062" t="str">
        <f t="shared" si="47"/>
        <v>1781400.130</v>
      </c>
      <c r="E3062" t="s">
        <v>2576</v>
      </c>
      <c r="F3062" s="242"/>
      <c r="G3062"/>
      <c r="H3062" s="242">
        <v>106122</v>
      </c>
      <c r="I3062" s="242">
        <v>49260</v>
      </c>
      <c r="J3062"/>
    </row>
    <row r="3063" spans="1:10" ht="15.75" customHeight="1">
      <c r="A3063" t="s">
        <v>2577</v>
      </c>
      <c r="B3063">
        <v>781400</v>
      </c>
      <c r="C3063">
        <v>1</v>
      </c>
      <c r="D3063" t="str">
        <f t="shared" si="47"/>
        <v>1781400.140</v>
      </c>
      <c r="E3063" t="s">
        <v>2578</v>
      </c>
      <c r="F3063" s="242"/>
      <c r="G3063"/>
      <c r="H3063" s="242">
        <v>111448</v>
      </c>
      <c r="I3063" s="242">
        <v>46474</v>
      </c>
      <c r="J3063"/>
    </row>
    <row r="3064" spans="1:10" ht="15.75" customHeight="1">
      <c r="A3064" t="s">
        <v>2579</v>
      </c>
      <c r="B3064">
        <v>781400</v>
      </c>
      <c r="C3064">
        <v>1</v>
      </c>
      <c r="D3064" t="str">
        <f t="shared" si="47"/>
        <v>1781400.181</v>
      </c>
      <c r="E3064" t="s">
        <v>2580</v>
      </c>
      <c r="F3064" s="242"/>
      <c r="G3064"/>
      <c r="H3064" s="242">
        <v>365419</v>
      </c>
      <c r="I3064" s="242">
        <v>156529</v>
      </c>
      <c r="J3064"/>
    </row>
    <row r="3065" spans="1:10" ht="15.75" customHeight="1">
      <c r="A3065" t="s">
        <v>2581</v>
      </c>
      <c r="B3065">
        <v>781400</v>
      </c>
      <c r="C3065">
        <v>1</v>
      </c>
      <c r="D3065" t="str">
        <f t="shared" si="47"/>
        <v>1781400.182</v>
      </c>
      <c r="E3065" t="s">
        <v>2582</v>
      </c>
      <c r="F3065" s="242"/>
      <c r="G3065"/>
      <c r="H3065" s="242">
        <v>132971</v>
      </c>
      <c r="I3065" s="242">
        <v>57342</v>
      </c>
      <c r="J3065"/>
    </row>
    <row r="3066" spans="1:10" ht="15.75" customHeight="1">
      <c r="A3066" t="s">
        <v>2792</v>
      </c>
      <c r="B3066">
        <v>781400</v>
      </c>
      <c r="C3066">
        <v>1</v>
      </c>
      <c r="D3066" t="str">
        <f t="shared" si="47"/>
        <v>1781400.425</v>
      </c>
      <c r="E3066" t="s">
        <v>2793</v>
      </c>
      <c r="F3066" s="242"/>
      <c r="G3066"/>
      <c r="H3066" s="242">
        <v>30000</v>
      </c>
      <c r="I3066" s="242">
        <v>0</v>
      </c>
      <c r="J3066"/>
    </row>
    <row r="3067" spans="1:10" ht="15.75" customHeight="1">
      <c r="A3067" t="s">
        <v>2606</v>
      </c>
      <c r="B3067">
        <v>781400</v>
      </c>
      <c r="C3067">
        <v>1</v>
      </c>
      <c r="D3067" t="str">
        <f t="shared" si="47"/>
        <v>1781400.440</v>
      </c>
      <c r="E3067" t="s">
        <v>4603</v>
      </c>
      <c r="F3067" s="242"/>
      <c r="G3067"/>
      <c r="H3067" s="242">
        <v>0</v>
      </c>
      <c r="I3067" s="242">
        <v>0</v>
      </c>
      <c r="J3067"/>
    </row>
    <row r="3068" spans="1:10" ht="15.75" customHeight="1">
      <c r="A3068" t="s">
        <v>2286</v>
      </c>
      <c r="B3068">
        <v>781400</v>
      </c>
      <c r="C3068">
        <v>1</v>
      </c>
      <c r="D3068" t="str">
        <f t="shared" si="47"/>
        <v>1781400.511</v>
      </c>
      <c r="E3068" t="s">
        <v>2584</v>
      </c>
      <c r="F3068" s="242"/>
      <c r="G3068"/>
      <c r="H3068" s="242">
        <v>25000</v>
      </c>
      <c r="I3068" s="242">
        <v>2850</v>
      </c>
      <c r="J3068"/>
    </row>
    <row r="3069" spans="1:10" ht="15.75" customHeight="1">
      <c r="A3069" t="s">
        <v>2644</v>
      </c>
      <c r="B3069">
        <v>781400</v>
      </c>
      <c r="C3069">
        <v>1</v>
      </c>
      <c r="D3069" t="str">
        <f t="shared" si="47"/>
        <v>1781400.521</v>
      </c>
      <c r="E3069" t="s">
        <v>4583</v>
      </c>
      <c r="F3069" s="242"/>
      <c r="G3069"/>
      <c r="H3069" s="242">
        <v>82800</v>
      </c>
      <c r="I3069" s="242">
        <v>0</v>
      </c>
      <c r="J3069"/>
    </row>
    <row r="3070" spans="1:10" ht="15.75" customHeight="1">
      <c r="A3070" t="s">
        <v>2588</v>
      </c>
      <c r="B3070">
        <v>781400</v>
      </c>
      <c r="C3070">
        <v>1</v>
      </c>
      <c r="D3070" t="str">
        <f t="shared" si="47"/>
        <v>1781400.522</v>
      </c>
      <c r="E3070" t="s">
        <v>2608</v>
      </c>
      <c r="F3070" s="242"/>
      <c r="G3070"/>
      <c r="H3070" s="242">
        <v>3000</v>
      </c>
      <c r="I3070" s="242">
        <v>0</v>
      </c>
      <c r="J3070"/>
    </row>
    <row r="3071" spans="1:10" ht="15.75" customHeight="1">
      <c r="A3071" t="s">
        <v>2594</v>
      </c>
      <c r="B3071">
        <v>781400</v>
      </c>
      <c r="C3071">
        <v>1</v>
      </c>
      <c r="D3071" t="str">
        <f t="shared" si="47"/>
        <v>1781400.540</v>
      </c>
      <c r="E3071" t="s">
        <v>2595</v>
      </c>
      <c r="F3071" s="242"/>
      <c r="G3071"/>
      <c r="H3071" s="242">
        <v>42000</v>
      </c>
      <c r="I3071" s="242">
        <v>37795</v>
      </c>
      <c r="J3071"/>
    </row>
    <row r="3072" spans="1:10" ht="15.75" customHeight="1">
      <c r="A3072" t="s">
        <v>2596</v>
      </c>
      <c r="B3072">
        <v>781400</v>
      </c>
      <c r="C3072">
        <v>1</v>
      </c>
      <c r="D3072" t="str">
        <f t="shared" si="47"/>
        <v>1781400.550</v>
      </c>
      <c r="E3072" t="s">
        <v>2597</v>
      </c>
      <c r="F3072" s="242"/>
      <c r="G3072"/>
      <c r="H3072" s="242">
        <v>19000</v>
      </c>
      <c r="I3072" s="242">
        <v>8584</v>
      </c>
      <c r="J3072"/>
    </row>
    <row r="3073" spans="1:10" ht="15.75" customHeight="1">
      <c r="A3073" t="s">
        <v>2600</v>
      </c>
      <c r="B3073">
        <v>781400</v>
      </c>
      <c r="C3073">
        <v>1</v>
      </c>
      <c r="D3073" t="str">
        <f t="shared" si="47"/>
        <v>1781400.580</v>
      </c>
      <c r="E3073" t="s">
        <v>2629</v>
      </c>
      <c r="F3073" s="242"/>
      <c r="G3073"/>
      <c r="H3073" s="242">
        <v>2000</v>
      </c>
      <c r="I3073" s="242">
        <v>675</v>
      </c>
      <c r="J3073"/>
    </row>
    <row r="3074" spans="1:10" ht="15.75" customHeight="1">
      <c r="A3074" t="s">
        <v>600</v>
      </c>
      <c r="B3074">
        <v>781400</v>
      </c>
      <c r="C3074">
        <v>1</v>
      </c>
      <c r="D3074" t="str">
        <f t="shared" si="47"/>
        <v>1781400.731</v>
      </c>
      <c r="E3074" t="s">
        <v>2593</v>
      </c>
      <c r="F3074" s="242"/>
      <c r="G3074"/>
      <c r="H3074" s="242">
        <v>242203</v>
      </c>
      <c r="I3074" s="242">
        <v>255675</v>
      </c>
      <c r="J3074"/>
    </row>
    <row r="3075" spans="1:10" ht="15.75" customHeight="1">
      <c r="A3075" t="s">
        <v>2418</v>
      </c>
      <c r="B3075">
        <v>781400</v>
      </c>
      <c r="C3075">
        <v>1</v>
      </c>
      <c r="D3075" t="str">
        <f t="shared" ref="D3075:D3138" si="48">C3075&amp;B3075&amp;"."&amp;A3075</f>
        <v>1781400.735</v>
      </c>
      <c r="E3075" t="s">
        <v>4604</v>
      </c>
      <c r="F3075" s="242"/>
      <c r="G3075"/>
      <c r="H3075" s="242">
        <v>468794</v>
      </c>
      <c r="I3075" s="242">
        <v>477342</v>
      </c>
      <c r="J3075"/>
    </row>
    <row r="3076" spans="1:10" ht="15.75" customHeight="1">
      <c r="A3076" t="s">
        <v>653</v>
      </c>
      <c r="B3076">
        <v>781400</v>
      </c>
      <c r="C3076">
        <v>1</v>
      </c>
      <c r="D3076" t="str">
        <f t="shared" si="48"/>
        <v>1781400.741</v>
      </c>
      <c r="E3076" t="s">
        <v>4600</v>
      </c>
      <c r="F3076" s="242"/>
      <c r="G3076"/>
      <c r="H3076" s="242">
        <v>80000</v>
      </c>
      <c r="I3076" s="242">
        <v>0</v>
      </c>
      <c r="J3076"/>
    </row>
    <row r="3077" spans="1:10" ht="15.75" customHeight="1">
      <c r="A3077" t="s">
        <v>673</v>
      </c>
      <c r="B3077">
        <v>781400</v>
      </c>
      <c r="C3077">
        <v>1</v>
      </c>
      <c r="D3077" t="str">
        <f t="shared" si="48"/>
        <v>1781400.743</v>
      </c>
      <c r="E3077" t="s">
        <v>2622</v>
      </c>
      <c r="F3077" s="242"/>
      <c r="G3077"/>
      <c r="H3077" s="242">
        <v>47500</v>
      </c>
      <c r="I3077" s="242">
        <v>26915</v>
      </c>
      <c r="J3077"/>
    </row>
    <row r="3078" spans="1:10" ht="15.75" customHeight="1">
      <c r="A3078" t="s">
        <v>737</v>
      </c>
      <c r="B3078">
        <v>781400</v>
      </c>
      <c r="C3078">
        <v>1</v>
      </c>
      <c r="D3078" t="str">
        <f t="shared" si="48"/>
        <v>1781400.747</v>
      </c>
      <c r="E3078" t="s">
        <v>2765</v>
      </c>
      <c r="F3078" s="242"/>
      <c r="G3078"/>
      <c r="H3078" s="242">
        <v>17000</v>
      </c>
      <c r="I3078" s="242">
        <v>0</v>
      </c>
      <c r="J3078"/>
    </row>
    <row r="3079" spans="1:10" ht="15.75" customHeight="1">
      <c r="A3079" t="s">
        <v>2403</v>
      </c>
      <c r="B3079">
        <v>781500</v>
      </c>
      <c r="C3079">
        <v>1</v>
      </c>
      <c r="D3079" t="str">
        <f t="shared" si="48"/>
        <v>1781500.110</v>
      </c>
      <c r="E3079" t="s">
        <v>2573</v>
      </c>
      <c r="F3079" s="242"/>
      <c r="G3079"/>
      <c r="H3079" s="242">
        <v>314413</v>
      </c>
      <c r="I3079" s="242">
        <v>309598</v>
      </c>
      <c r="J3079"/>
    </row>
    <row r="3080" spans="1:10" ht="15.75" customHeight="1">
      <c r="A3080" t="s">
        <v>2404</v>
      </c>
      <c r="B3080">
        <v>781500</v>
      </c>
      <c r="C3080">
        <v>1</v>
      </c>
      <c r="D3080" t="str">
        <f t="shared" si="48"/>
        <v>1781500.120</v>
      </c>
      <c r="E3080" t="s">
        <v>2574</v>
      </c>
      <c r="F3080" s="242"/>
      <c r="G3080"/>
      <c r="H3080" s="242">
        <v>32706</v>
      </c>
      <c r="I3080" s="242">
        <v>33142</v>
      </c>
      <c r="J3080"/>
    </row>
    <row r="3081" spans="1:10" ht="15.75" customHeight="1">
      <c r="A3081" t="s">
        <v>2575</v>
      </c>
      <c r="B3081">
        <v>781500</v>
      </c>
      <c r="C3081">
        <v>1</v>
      </c>
      <c r="D3081" t="str">
        <f t="shared" si="48"/>
        <v>1781500.130</v>
      </c>
      <c r="E3081" t="s">
        <v>2576</v>
      </c>
      <c r="F3081" s="242"/>
      <c r="G3081"/>
      <c r="H3081" s="242">
        <v>21402</v>
      </c>
      <c r="I3081" s="242">
        <v>19875</v>
      </c>
      <c r="J3081"/>
    </row>
    <row r="3082" spans="1:10" ht="15.75" customHeight="1">
      <c r="A3082" t="s">
        <v>2577</v>
      </c>
      <c r="B3082">
        <v>781500</v>
      </c>
      <c r="C3082">
        <v>1</v>
      </c>
      <c r="D3082" t="str">
        <f t="shared" si="48"/>
        <v>1781500.140</v>
      </c>
      <c r="E3082" t="s">
        <v>2578</v>
      </c>
      <c r="F3082" s="242"/>
      <c r="G3082"/>
      <c r="H3082" s="242">
        <v>10333</v>
      </c>
      <c r="I3082" s="242">
        <v>10336</v>
      </c>
      <c r="J3082"/>
    </row>
    <row r="3083" spans="1:10" ht="15.75" customHeight="1">
      <c r="A3083" t="s">
        <v>2579</v>
      </c>
      <c r="B3083">
        <v>781500</v>
      </c>
      <c r="C3083">
        <v>1</v>
      </c>
      <c r="D3083" t="str">
        <f t="shared" si="48"/>
        <v>1781500.181</v>
      </c>
      <c r="E3083" t="s">
        <v>2580</v>
      </c>
      <c r="F3083" s="242"/>
      <c r="G3083"/>
      <c r="H3083" s="242">
        <v>67938</v>
      </c>
      <c r="I3083" s="242">
        <v>70523</v>
      </c>
      <c r="J3083"/>
    </row>
    <row r="3084" spans="1:10" ht="15.75" customHeight="1">
      <c r="A3084" t="s">
        <v>2581</v>
      </c>
      <c r="B3084">
        <v>781500</v>
      </c>
      <c r="C3084">
        <v>1</v>
      </c>
      <c r="D3084" t="str">
        <f t="shared" si="48"/>
        <v>1781500.182</v>
      </c>
      <c r="E3084" t="s">
        <v>2582</v>
      </c>
      <c r="F3084" s="242"/>
      <c r="G3084"/>
      <c r="H3084" s="242">
        <v>28930</v>
      </c>
      <c r="I3084" s="242">
        <v>28467</v>
      </c>
      <c r="J3084"/>
    </row>
    <row r="3085" spans="1:10" ht="15.75" customHeight="1">
      <c r="A3085" t="s">
        <v>2596</v>
      </c>
      <c r="B3085">
        <v>781500</v>
      </c>
      <c r="C3085">
        <v>1</v>
      </c>
      <c r="D3085" t="str">
        <f t="shared" si="48"/>
        <v>1781500.550</v>
      </c>
      <c r="E3085" t="s">
        <v>2597</v>
      </c>
      <c r="F3085" s="242"/>
      <c r="G3085"/>
      <c r="H3085" s="242">
        <v>9500</v>
      </c>
      <c r="I3085" s="242">
        <v>10075</v>
      </c>
      <c r="J3085"/>
    </row>
    <row r="3086" spans="1:10" ht="15.75" customHeight="1">
      <c r="A3086" t="s">
        <v>600</v>
      </c>
      <c r="B3086">
        <v>781500</v>
      </c>
      <c r="C3086">
        <v>1</v>
      </c>
      <c r="D3086" t="str">
        <f t="shared" si="48"/>
        <v>1781500.731</v>
      </c>
      <c r="E3086" t="s">
        <v>2593</v>
      </c>
      <c r="F3086" s="242"/>
      <c r="G3086"/>
      <c r="H3086" s="242">
        <v>90692</v>
      </c>
      <c r="I3086" s="242">
        <v>131877</v>
      </c>
      <c r="J3086"/>
    </row>
    <row r="3087" spans="1:10" ht="15.75" customHeight="1">
      <c r="A3087" t="s">
        <v>2418</v>
      </c>
      <c r="B3087">
        <v>781500</v>
      </c>
      <c r="C3087">
        <v>1</v>
      </c>
      <c r="D3087" t="str">
        <f t="shared" si="48"/>
        <v>1781500.735</v>
      </c>
      <c r="E3087" t="s">
        <v>2602</v>
      </c>
      <c r="F3087" s="242"/>
      <c r="G3087"/>
      <c r="H3087" s="242">
        <v>314469</v>
      </c>
      <c r="I3087" s="242">
        <v>302487</v>
      </c>
      <c r="J3087"/>
    </row>
    <row r="3088" spans="1:10" ht="15.75" customHeight="1">
      <c r="A3088" t="s">
        <v>673</v>
      </c>
      <c r="B3088">
        <v>781500</v>
      </c>
      <c r="C3088">
        <v>1</v>
      </c>
      <c r="D3088" t="str">
        <f t="shared" si="48"/>
        <v>1781500.743</v>
      </c>
      <c r="E3088" t="s">
        <v>2622</v>
      </c>
      <c r="F3088" s="242"/>
      <c r="G3088"/>
      <c r="H3088" s="242">
        <v>27000</v>
      </c>
      <c r="I3088" s="242">
        <v>19081</v>
      </c>
      <c r="J3088"/>
    </row>
    <row r="3089" spans="1:10" ht="15.75" customHeight="1">
      <c r="A3089" t="s">
        <v>2403</v>
      </c>
      <c r="B3089">
        <v>781600</v>
      </c>
      <c r="C3089">
        <v>1</v>
      </c>
      <c r="D3089" t="str">
        <f t="shared" si="48"/>
        <v>1781600.110</v>
      </c>
      <c r="E3089" t="s">
        <v>2573</v>
      </c>
      <c r="F3089" s="242"/>
      <c r="G3089"/>
      <c r="H3089" s="242">
        <v>697614</v>
      </c>
      <c r="I3089" s="242">
        <v>604645</v>
      </c>
      <c r="J3089"/>
    </row>
    <row r="3090" spans="1:10" ht="15.75" customHeight="1">
      <c r="A3090" t="s">
        <v>2404</v>
      </c>
      <c r="B3090">
        <v>781600</v>
      </c>
      <c r="C3090">
        <v>1</v>
      </c>
      <c r="D3090" t="str">
        <f t="shared" si="48"/>
        <v>1781600.120</v>
      </c>
      <c r="E3090" t="s">
        <v>2574</v>
      </c>
      <c r="F3090" s="242"/>
      <c r="G3090"/>
      <c r="H3090" s="242">
        <v>148395</v>
      </c>
      <c r="I3090" s="242">
        <v>130267</v>
      </c>
      <c r="J3090"/>
    </row>
    <row r="3091" spans="1:10" ht="15.75" customHeight="1">
      <c r="A3091" t="s">
        <v>2575</v>
      </c>
      <c r="B3091">
        <v>781600</v>
      </c>
      <c r="C3091">
        <v>1</v>
      </c>
      <c r="D3091" t="str">
        <f t="shared" si="48"/>
        <v>1781600.130</v>
      </c>
      <c r="E3091" t="s">
        <v>2576</v>
      </c>
      <c r="F3091" s="242"/>
      <c r="G3091"/>
      <c r="H3091" s="242">
        <v>86110</v>
      </c>
      <c r="I3091" s="242">
        <v>81134</v>
      </c>
      <c r="J3091"/>
    </row>
    <row r="3092" spans="1:10" ht="15.75" customHeight="1">
      <c r="A3092" t="s">
        <v>2577</v>
      </c>
      <c r="B3092">
        <v>781600</v>
      </c>
      <c r="C3092">
        <v>1</v>
      </c>
      <c r="D3092" t="str">
        <f t="shared" si="48"/>
        <v>1781600.140</v>
      </c>
      <c r="E3092" t="s">
        <v>2578</v>
      </c>
      <c r="F3092" s="242"/>
      <c r="G3092"/>
      <c r="H3092" s="242">
        <v>86599</v>
      </c>
      <c r="I3092" s="242">
        <v>75345</v>
      </c>
      <c r="J3092"/>
    </row>
    <row r="3093" spans="1:10" ht="15.75" customHeight="1">
      <c r="A3093" t="s">
        <v>2579</v>
      </c>
      <c r="B3093">
        <v>781600</v>
      </c>
      <c r="C3093">
        <v>1</v>
      </c>
      <c r="D3093" t="str">
        <f t="shared" si="48"/>
        <v>1781600.181</v>
      </c>
      <c r="E3093" t="s">
        <v>2580</v>
      </c>
      <c r="F3093" s="242"/>
      <c r="G3093"/>
      <c r="H3093" s="242">
        <v>207884</v>
      </c>
      <c r="I3093" s="242">
        <v>180760</v>
      </c>
      <c r="J3093"/>
    </row>
    <row r="3094" spans="1:10" ht="15.75" customHeight="1">
      <c r="A3094" t="s">
        <v>2581</v>
      </c>
      <c r="B3094">
        <v>781600</v>
      </c>
      <c r="C3094">
        <v>1</v>
      </c>
      <c r="D3094" t="str">
        <f t="shared" si="48"/>
        <v>1781600.182</v>
      </c>
      <c r="E3094" t="s">
        <v>2582</v>
      </c>
      <c r="F3094" s="242"/>
      <c r="G3094"/>
      <c r="H3094" s="242">
        <v>77364</v>
      </c>
      <c r="I3094" s="242">
        <v>67583</v>
      </c>
      <c r="J3094"/>
    </row>
    <row r="3095" spans="1:10" ht="15.75" customHeight="1">
      <c r="A3095" t="s">
        <v>600</v>
      </c>
      <c r="B3095">
        <v>781600</v>
      </c>
      <c r="C3095">
        <v>1</v>
      </c>
      <c r="D3095" t="str">
        <f t="shared" si="48"/>
        <v>1781600.731</v>
      </c>
      <c r="E3095" t="s">
        <v>2593</v>
      </c>
      <c r="F3095" s="242"/>
      <c r="G3095"/>
      <c r="H3095" s="242">
        <v>139773</v>
      </c>
      <c r="I3095" s="242">
        <v>84370</v>
      </c>
      <c r="J3095"/>
    </row>
    <row r="3096" spans="1:10" ht="15.75" customHeight="1">
      <c r="A3096" t="s">
        <v>2418</v>
      </c>
      <c r="B3096">
        <v>781600</v>
      </c>
      <c r="C3096">
        <v>1</v>
      </c>
      <c r="D3096" t="str">
        <f t="shared" si="48"/>
        <v>1781600.735</v>
      </c>
      <c r="E3096" t="s">
        <v>2667</v>
      </c>
      <c r="F3096" s="242"/>
      <c r="G3096"/>
      <c r="H3096" s="242">
        <v>318022</v>
      </c>
      <c r="I3096" s="242">
        <v>404988</v>
      </c>
      <c r="J3096"/>
    </row>
    <row r="3097" spans="1:10" ht="15.75" customHeight="1">
      <c r="A3097" t="s">
        <v>673</v>
      </c>
      <c r="B3097">
        <v>781600</v>
      </c>
      <c r="C3097">
        <v>1</v>
      </c>
      <c r="D3097" t="str">
        <f t="shared" si="48"/>
        <v>1781600.743</v>
      </c>
      <c r="E3097" t="s">
        <v>4646</v>
      </c>
      <c r="F3097" s="242"/>
      <c r="G3097"/>
      <c r="H3097" s="242">
        <v>14000</v>
      </c>
      <c r="I3097" s="242">
        <v>0</v>
      </c>
      <c r="J3097"/>
    </row>
    <row r="3098" spans="1:10" ht="15.75" customHeight="1">
      <c r="A3098" t="s">
        <v>4573</v>
      </c>
      <c r="B3098">
        <v>810000</v>
      </c>
      <c r="C3098">
        <v>1</v>
      </c>
      <c r="D3098" t="str">
        <f t="shared" si="48"/>
        <v>1810000.320</v>
      </c>
      <c r="E3098" t="s">
        <v>4574</v>
      </c>
      <c r="F3098" s="242"/>
      <c r="G3098"/>
      <c r="H3098" s="242">
        <v>1200000</v>
      </c>
      <c r="I3098" s="242">
        <v>10717171</v>
      </c>
      <c r="J3098"/>
    </row>
    <row r="3099" spans="1:10" ht="15.75" customHeight="1">
      <c r="A3099" t="s">
        <v>2571</v>
      </c>
      <c r="B3099">
        <v>811000</v>
      </c>
      <c r="C3099">
        <v>1</v>
      </c>
      <c r="D3099" t="str">
        <f t="shared" si="48"/>
        <v>1811000.105</v>
      </c>
      <c r="E3099" t="s">
        <v>2572</v>
      </c>
      <c r="F3099" s="242"/>
      <c r="G3099"/>
      <c r="H3099" s="242">
        <v>330000</v>
      </c>
      <c r="I3099" s="242">
        <v>149988</v>
      </c>
      <c r="J3099"/>
    </row>
    <row r="3100" spans="1:10" ht="15.75" customHeight="1">
      <c r="A3100" t="s">
        <v>2403</v>
      </c>
      <c r="B3100">
        <v>811000</v>
      </c>
      <c r="C3100">
        <v>1</v>
      </c>
      <c r="D3100" t="str">
        <f t="shared" si="48"/>
        <v>1811000.110</v>
      </c>
      <c r="E3100" t="s">
        <v>2573</v>
      </c>
      <c r="F3100" s="242"/>
      <c r="G3100"/>
      <c r="H3100" s="242">
        <v>1030994</v>
      </c>
      <c r="I3100" s="242">
        <v>1148098</v>
      </c>
      <c r="J3100"/>
    </row>
    <row r="3101" spans="1:10" ht="15.75" customHeight="1">
      <c r="A3101" t="s">
        <v>2404</v>
      </c>
      <c r="B3101">
        <v>811000</v>
      </c>
      <c r="C3101">
        <v>1</v>
      </c>
      <c r="D3101" t="str">
        <f t="shared" si="48"/>
        <v>1811000.120</v>
      </c>
      <c r="E3101" t="s">
        <v>2574</v>
      </c>
      <c r="F3101" s="242"/>
      <c r="G3101"/>
      <c r="H3101" s="242">
        <v>113561</v>
      </c>
      <c r="I3101" s="242">
        <v>122536</v>
      </c>
      <c r="J3101"/>
    </row>
    <row r="3102" spans="1:10" ht="15.75" customHeight="1">
      <c r="A3102" t="s">
        <v>2575</v>
      </c>
      <c r="B3102">
        <v>811000</v>
      </c>
      <c r="C3102">
        <v>1</v>
      </c>
      <c r="D3102" t="str">
        <f t="shared" si="48"/>
        <v>1811000.130</v>
      </c>
      <c r="E3102" t="s">
        <v>2576</v>
      </c>
      <c r="F3102" s="242"/>
      <c r="G3102"/>
      <c r="H3102" s="242">
        <v>2648</v>
      </c>
      <c r="I3102" s="242">
        <v>3176</v>
      </c>
      <c r="J3102"/>
    </row>
    <row r="3103" spans="1:10" ht="15.75" customHeight="1">
      <c r="A3103" t="s">
        <v>2577</v>
      </c>
      <c r="B3103">
        <v>811000</v>
      </c>
      <c r="C3103">
        <v>1</v>
      </c>
      <c r="D3103" t="str">
        <f t="shared" si="48"/>
        <v>1811000.140</v>
      </c>
      <c r="E3103" t="s">
        <v>2578</v>
      </c>
      <c r="F3103" s="242"/>
      <c r="G3103"/>
      <c r="H3103" s="242">
        <v>180197</v>
      </c>
      <c r="I3103" s="242">
        <v>239273</v>
      </c>
      <c r="J3103"/>
    </row>
    <row r="3104" spans="1:10" ht="15.75" customHeight="1">
      <c r="A3104" t="s">
        <v>2579</v>
      </c>
      <c r="B3104">
        <v>811000</v>
      </c>
      <c r="C3104">
        <v>1</v>
      </c>
      <c r="D3104" t="str">
        <f t="shared" si="48"/>
        <v>1811000.181</v>
      </c>
      <c r="E3104" t="s">
        <v>2959</v>
      </c>
      <c r="F3104" s="242"/>
      <c r="G3104"/>
      <c r="H3104" s="242">
        <v>221390</v>
      </c>
      <c r="I3104" s="242">
        <v>255882</v>
      </c>
      <c r="J3104"/>
    </row>
    <row r="3105" spans="1:10" ht="15.75" customHeight="1">
      <c r="A3105" t="s">
        <v>2581</v>
      </c>
      <c r="B3105">
        <v>811000</v>
      </c>
      <c r="C3105">
        <v>1</v>
      </c>
      <c r="D3105" t="str">
        <f t="shared" si="48"/>
        <v>1811000.182</v>
      </c>
      <c r="E3105" t="s">
        <v>2582</v>
      </c>
      <c r="F3105" s="242"/>
      <c r="G3105"/>
      <c r="H3105" s="242">
        <v>103923</v>
      </c>
      <c r="I3105" s="242">
        <v>118883</v>
      </c>
      <c r="J3105"/>
    </row>
    <row r="3106" spans="1:10" ht="15.75" customHeight="1">
      <c r="A3106" t="s">
        <v>2650</v>
      </c>
      <c r="B3106">
        <v>811000</v>
      </c>
      <c r="C3106">
        <v>1</v>
      </c>
      <c r="D3106" t="str">
        <f t="shared" si="48"/>
        <v>1811000.288</v>
      </c>
      <c r="E3106" t="s">
        <v>2651</v>
      </c>
      <c r="F3106" s="242"/>
      <c r="G3106"/>
      <c r="H3106" s="242">
        <v>1201300</v>
      </c>
      <c r="I3106" s="242">
        <v>1136009</v>
      </c>
      <c r="J3106"/>
    </row>
    <row r="3107" spans="1:10" ht="15.75" customHeight="1">
      <c r="A3107" t="s">
        <v>2409</v>
      </c>
      <c r="B3107">
        <v>811000</v>
      </c>
      <c r="C3107">
        <v>1</v>
      </c>
      <c r="D3107" t="str">
        <f t="shared" si="48"/>
        <v>1811000.410</v>
      </c>
      <c r="E3107" t="s">
        <v>3023</v>
      </c>
      <c r="F3107" s="242"/>
      <c r="G3107"/>
      <c r="H3107" s="242">
        <v>0</v>
      </c>
      <c r="I3107" s="242">
        <v>0</v>
      </c>
      <c r="J3107"/>
    </row>
    <row r="3108" spans="1:10" ht="15.75" customHeight="1">
      <c r="A3108" t="s">
        <v>1712</v>
      </c>
      <c r="B3108">
        <v>811000</v>
      </c>
      <c r="C3108">
        <v>1</v>
      </c>
      <c r="D3108" t="str">
        <f t="shared" si="48"/>
        <v>1811000.442</v>
      </c>
      <c r="E3108" t="s">
        <v>2813</v>
      </c>
      <c r="F3108" s="242"/>
      <c r="G3108"/>
      <c r="H3108" s="242">
        <v>0</v>
      </c>
      <c r="I3108" s="242">
        <v>32056</v>
      </c>
      <c r="J3108"/>
    </row>
    <row r="3109" spans="1:10" ht="15.75" customHeight="1">
      <c r="A3109" t="s">
        <v>2411</v>
      </c>
      <c r="B3109">
        <v>811000</v>
      </c>
      <c r="C3109">
        <v>1</v>
      </c>
      <c r="D3109" t="str">
        <f t="shared" si="48"/>
        <v>1811000.470</v>
      </c>
      <c r="E3109" t="s">
        <v>2660</v>
      </c>
      <c r="F3109" s="242"/>
      <c r="G3109"/>
      <c r="H3109" s="242">
        <v>2000</v>
      </c>
      <c r="I3109" s="242">
        <v>0</v>
      </c>
      <c r="J3109"/>
    </row>
    <row r="3110" spans="1:10" ht="15.75" customHeight="1">
      <c r="A3110" t="s">
        <v>2286</v>
      </c>
      <c r="B3110">
        <v>811000</v>
      </c>
      <c r="C3110">
        <v>1</v>
      </c>
      <c r="D3110" t="str">
        <f t="shared" si="48"/>
        <v>1811000.511</v>
      </c>
      <c r="E3110" t="s">
        <v>2584</v>
      </c>
      <c r="F3110" s="242"/>
      <c r="G3110"/>
      <c r="H3110" s="242">
        <v>19000</v>
      </c>
      <c r="I3110" s="242">
        <v>16375</v>
      </c>
      <c r="J3110"/>
    </row>
    <row r="3111" spans="1:10" ht="15.75" customHeight="1">
      <c r="A3111" t="s">
        <v>2644</v>
      </c>
      <c r="B3111">
        <v>811000</v>
      </c>
      <c r="C3111">
        <v>1</v>
      </c>
      <c r="D3111" t="str">
        <f t="shared" si="48"/>
        <v>1811000.521</v>
      </c>
      <c r="E3111" t="s">
        <v>2734</v>
      </c>
      <c r="F3111" s="242"/>
      <c r="G3111"/>
      <c r="H3111" s="242">
        <v>10000</v>
      </c>
      <c r="I3111" s="242">
        <v>12550</v>
      </c>
      <c r="J3111"/>
    </row>
    <row r="3112" spans="1:10" ht="15.75" customHeight="1">
      <c r="A3112" t="s">
        <v>2588</v>
      </c>
      <c r="B3112">
        <v>811000</v>
      </c>
      <c r="C3112">
        <v>1</v>
      </c>
      <c r="D3112" t="str">
        <f t="shared" si="48"/>
        <v>1811000.522</v>
      </c>
      <c r="E3112" t="s">
        <v>2608</v>
      </c>
      <c r="F3112" s="242"/>
      <c r="G3112"/>
      <c r="H3112" s="242">
        <v>3000</v>
      </c>
      <c r="I3112" s="242">
        <v>203</v>
      </c>
      <c r="J3112"/>
    </row>
    <row r="3113" spans="1:10" ht="15.75" customHeight="1">
      <c r="A3113" t="s">
        <v>2590</v>
      </c>
      <c r="B3113">
        <v>811000</v>
      </c>
      <c r="C3113">
        <v>1</v>
      </c>
      <c r="D3113" t="str">
        <f t="shared" si="48"/>
        <v>1811000.523</v>
      </c>
      <c r="E3113" t="s">
        <v>3025</v>
      </c>
      <c r="F3113" s="242"/>
      <c r="G3113"/>
      <c r="H3113" s="242">
        <v>8000</v>
      </c>
      <c r="I3113" s="242">
        <v>6730</v>
      </c>
      <c r="J3113"/>
    </row>
    <row r="3114" spans="1:10" ht="15.75" customHeight="1">
      <c r="A3114" t="s">
        <v>2594</v>
      </c>
      <c r="B3114">
        <v>811000</v>
      </c>
      <c r="C3114">
        <v>1</v>
      </c>
      <c r="D3114" t="str">
        <f t="shared" si="48"/>
        <v>1811000.540</v>
      </c>
      <c r="E3114" t="s">
        <v>2595</v>
      </c>
      <c r="F3114" s="242"/>
      <c r="G3114"/>
      <c r="H3114" s="242">
        <v>38000</v>
      </c>
      <c r="I3114" s="242">
        <v>32942</v>
      </c>
      <c r="J3114"/>
    </row>
    <row r="3115" spans="1:10" ht="15.75" customHeight="1">
      <c r="A3115" t="s">
        <v>2596</v>
      </c>
      <c r="B3115">
        <v>811000</v>
      </c>
      <c r="C3115">
        <v>1</v>
      </c>
      <c r="D3115" t="str">
        <f t="shared" si="48"/>
        <v>1811000.550</v>
      </c>
      <c r="E3115" t="s">
        <v>2597</v>
      </c>
      <c r="F3115" s="242"/>
      <c r="G3115"/>
      <c r="H3115" s="242">
        <v>57000</v>
      </c>
      <c r="I3115" s="242">
        <v>50193</v>
      </c>
      <c r="J3115"/>
    </row>
    <row r="3116" spans="1:10" ht="15.75" customHeight="1">
      <c r="A3116" t="s">
        <v>2598</v>
      </c>
      <c r="B3116">
        <v>811000</v>
      </c>
      <c r="C3116">
        <v>1</v>
      </c>
      <c r="D3116" t="str">
        <f t="shared" si="48"/>
        <v>1811000.561</v>
      </c>
      <c r="E3116" t="s">
        <v>2599</v>
      </c>
      <c r="F3116" s="242"/>
      <c r="G3116"/>
      <c r="H3116" s="242">
        <v>28000</v>
      </c>
      <c r="I3116" s="242">
        <v>27018</v>
      </c>
      <c r="J3116"/>
    </row>
    <row r="3117" spans="1:10" ht="15.75" customHeight="1">
      <c r="A3117" t="s">
        <v>2647</v>
      </c>
      <c r="B3117">
        <v>811000</v>
      </c>
      <c r="C3117">
        <v>1</v>
      </c>
      <c r="D3117" t="str">
        <f t="shared" si="48"/>
        <v>1811000.574</v>
      </c>
      <c r="E3117" t="s">
        <v>2648</v>
      </c>
      <c r="F3117" s="242"/>
      <c r="G3117"/>
      <c r="H3117" s="242">
        <v>15900</v>
      </c>
      <c r="I3117" s="242">
        <v>15574</v>
      </c>
      <c r="J3117"/>
    </row>
    <row r="3118" spans="1:10" ht="15.75" customHeight="1">
      <c r="A3118" t="s">
        <v>2700</v>
      </c>
      <c r="B3118">
        <v>811000</v>
      </c>
      <c r="C3118">
        <v>1</v>
      </c>
      <c r="D3118" t="str">
        <f t="shared" si="48"/>
        <v>1811000.579</v>
      </c>
      <c r="E3118" t="s">
        <v>2737</v>
      </c>
      <c r="F3118" s="242"/>
      <c r="G3118"/>
      <c r="H3118" s="242">
        <v>46000</v>
      </c>
      <c r="I3118" s="242">
        <v>53340</v>
      </c>
      <c r="J3118"/>
    </row>
    <row r="3119" spans="1:10" ht="15.75" customHeight="1">
      <c r="A3119" t="s">
        <v>2600</v>
      </c>
      <c r="B3119">
        <v>811000</v>
      </c>
      <c r="C3119">
        <v>1</v>
      </c>
      <c r="D3119" t="str">
        <f t="shared" si="48"/>
        <v>1811000.580</v>
      </c>
      <c r="E3119" t="s">
        <v>2601</v>
      </c>
      <c r="F3119" s="242"/>
      <c r="G3119"/>
      <c r="H3119" s="242">
        <v>8000</v>
      </c>
      <c r="I3119" s="242">
        <v>7384</v>
      </c>
      <c r="J3119"/>
    </row>
    <row r="3120" spans="1:10" ht="15.75" customHeight="1">
      <c r="A3120" t="s">
        <v>2702</v>
      </c>
      <c r="B3120">
        <v>811000</v>
      </c>
      <c r="C3120">
        <v>1</v>
      </c>
      <c r="D3120" t="str">
        <f t="shared" si="48"/>
        <v>1811000.582</v>
      </c>
      <c r="E3120" t="s">
        <v>2730</v>
      </c>
      <c r="F3120" s="242"/>
      <c r="G3120"/>
      <c r="H3120" s="242">
        <v>1000</v>
      </c>
      <c r="I3120" s="242">
        <v>100</v>
      </c>
      <c r="J3120"/>
    </row>
    <row r="3121" spans="1:10" ht="15.75" customHeight="1">
      <c r="A3121" t="s">
        <v>600</v>
      </c>
      <c r="B3121">
        <v>811000</v>
      </c>
      <c r="C3121">
        <v>1</v>
      </c>
      <c r="D3121" t="str">
        <f t="shared" si="48"/>
        <v>1811000.731</v>
      </c>
      <c r="E3121" t="s">
        <v>2593</v>
      </c>
      <c r="F3121" s="242"/>
      <c r="G3121"/>
      <c r="H3121" s="242">
        <v>22278</v>
      </c>
      <c r="I3121" s="242">
        <v>20430</v>
      </c>
      <c r="J3121"/>
    </row>
    <row r="3122" spans="1:10" ht="15.75" customHeight="1">
      <c r="A3122" t="s">
        <v>2418</v>
      </c>
      <c r="B3122">
        <v>811000</v>
      </c>
      <c r="C3122">
        <v>1</v>
      </c>
      <c r="D3122" t="str">
        <f t="shared" si="48"/>
        <v>1811000.735</v>
      </c>
      <c r="E3122" t="s">
        <v>2602</v>
      </c>
      <c r="F3122" s="242"/>
      <c r="G3122"/>
      <c r="H3122" s="242">
        <v>27602</v>
      </c>
      <c r="I3122" s="242">
        <v>35815</v>
      </c>
      <c r="J3122"/>
    </row>
    <row r="3123" spans="1:10" ht="15.75" customHeight="1">
      <c r="A3123" t="s">
        <v>673</v>
      </c>
      <c r="B3123">
        <v>811000</v>
      </c>
      <c r="C3123">
        <v>1</v>
      </c>
      <c r="D3123" t="str">
        <f t="shared" si="48"/>
        <v>1811000.743</v>
      </c>
      <c r="E3123" t="s">
        <v>2622</v>
      </c>
      <c r="F3123" s="242"/>
      <c r="G3123"/>
      <c r="H3123" s="242">
        <v>90000</v>
      </c>
      <c r="I3123" s="242">
        <v>86269</v>
      </c>
      <c r="J3123"/>
    </row>
    <row r="3124" spans="1:10" ht="15.75" customHeight="1">
      <c r="A3124" t="s">
        <v>835</v>
      </c>
      <c r="B3124">
        <v>811000</v>
      </c>
      <c r="C3124">
        <v>1</v>
      </c>
      <c r="D3124" t="str">
        <f t="shared" si="48"/>
        <v>1811000.769</v>
      </c>
      <c r="E3124" t="s">
        <v>2605</v>
      </c>
      <c r="F3124" s="242"/>
      <c r="G3124"/>
      <c r="H3124" s="242">
        <v>57600</v>
      </c>
      <c r="I3124" s="242">
        <v>30437</v>
      </c>
      <c r="J3124"/>
    </row>
    <row r="3125" spans="1:10" ht="15.75" customHeight="1">
      <c r="A3125" t="s">
        <v>2632</v>
      </c>
      <c r="B3125">
        <v>811000</v>
      </c>
      <c r="C3125">
        <v>1</v>
      </c>
      <c r="D3125" t="str">
        <f t="shared" si="48"/>
        <v>1811000.780</v>
      </c>
      <c r="E3125" t="s">
        <v>3018</v>
      </c>
      <c r="F3125" s="242"/>
      <c r="G3125"/>
      <c r="H3125" s="242">
        <v>2224862</v>
      </c>
      <c r="I3125" s="242">
        <v>0</v>
      </c>
      <c r="J3125"/>
    </row>
    <row r="3126" spans="1:10" ht="15.75" customHeight="1">
      <c r="A3126" t="s">
        <v>872</v>
      </c>
      <c r="B3126">
        <v>811000</v>
      </c>
      <c r="C3126">
        <v>1</v>
      </c>
      <c r="D3126" t="str">
        <f t="shared" si="48"/>
        <v>1811000.781</v>
      </c>
      <c r="E3126" t="s">
        <v>3026</v>
      </c>
      <c r="F3126" s="242"/>
      <c r="G3126"/>
      <c r="H3126" s="242">
        <v>2749000</v>
      </c>
      <c r="I3126" s="242">
        <v>2603384</v>
      </c>
      <c r="J3126"/>
    </row>
    <row r="3127" spans="1:10" ht="15.75" customHeight="1">
      <c r="A3127" t="s">
        <v>877</v>
      </c>
      <c r="B3127">
        <v>811000</v>
      </c>
      <c r="C3127">
        <v>1</v>
      </c>
      <c r="D3127" t="str">
        <f t="shared" si="48"/>
        <v>1811000.782</v>
      </c>
      <c r="E3127" t="s">
        <v>11</v>
      </c>
      <c r="F3127" s="242"/>
      <c r="G3127"/>
      <c r="H3127" s="242">
        <v>400000</v>
      </c>
      <c r="I3127" s="242">
        <v>385845</v>
      </c>
      <c r="J3127"/>
    </row>
    <row r="3128" spans="1:10" ht="15.75" customHeight="1">
      <c r="A3128" t="s">
        <v>2674</v>
      </c>
      <c r="B3128">
        <v>811000</v>
      </c>
      <c r="C3128">
        <v>1</v>
      </c>
      <c r="D3128" t="str">
        <f t="shared" si="48"/>
        <v>1811000.783</v>
      </c>
      <c r="E3128" t="s">
        <v>3027</v>
      </c>
      <c r="F3128" s="242"/>
      <c r="G3128"/>
      <c r="H3128" s="242">
        <v>100000</v>
      </c>
      <c r="I3128" s="242">
        <v>101708</v>
      </c>
      <c r="J3128"/>
    </row>
    <row r="3129" spans="1:10" ht="15.75" customHeight="1">
      <c r="A3129" t="s">
        <v>2676</v>
      </c>
      <c r="B3129">
        <v>811000</v>
      </c>
      <c r="C3129">
        <v>1</v>
      </c>
      <c r="D3129" t="str">
        <f t="shared" si="48"/>
        <v>1811000.784</v>
      </c>
      <c r="E3129" t="s">
        <v>3028</v>
      </c>
      <c r="F3129" s="242"/>
      <c r="G3129"/>
      <c r="H3129" s="242">
        <v>0</v>
      </c>
      <c r="I3129" s="242">
        <v>73010</v>
      </c>
      <c r="J3129"/>
    </row>
    <row r="3130" spans="1:10" ht="15.75" customHeight="1">
      <c r="A3130" t="s">
        <v>2750</v>
      </c>
      <c r="B3130">
        <v>811000</v>
      </c>
      <c r="C3130">
        <v>1</v>
      </c>
      <c r="D3130" t="str">
        <f t="shared" si="48"/>
        <v>1811000.785</v>
      </c>
      <c r="E3130" t="s">
        <v>3029</v>
      </c>
      <c r="F3130" s="242"/>
      <c r="G3130"/>
      <c r="H3130" s="242">
        <v>10000</v>
      </c>
      <c r="I3130" s="242">
        <v>2044</v>
      </c>
      <c r="J3130"/>
    </row>
    <row r="3131" spans="1:10" ht="15.75" customHeight="1">
      <c r="A3131" t="s">
        <v>3030</v>
      </c>
      <c r="B3131">
        <v>811000</v>
      </c>
      <c r="C3131">
        <v>1</v>
      </c>
      <c r="D3131" t="str">
        <f t="shared" si="48"/>
        <v>1811000.787</v>
      </c>
      <c r="E3131" t="s">
        <v>3031</v>
      </c>
      <c r="F3131" s="242"/>
      <c r="G3131"/>
      <c r="H3131" s="242">
        <v>71250</v>
      </c>
      <c r="I3131" s="242">
        <v>71250</v>
      </c>
      <c r="J3131"/>
    </row>
    <row r="3132" spans="1:10" ht="15.75" customHeight="1">
      <c r="A3132" t="s">
        <v>2841</v>
      </c>
      <c r="B3132">
        <v>811000</v>
      </c>
      <c r="C3132">
        <v>1</v>
      </c>
      <c r="D3132" t="str">
        <f t="shared" si="48"/>
        <v>1811000.788</v>
      </c>
      <c r="E3132" t="s">
        <v>3032</v>
      </c>
      <c r="F3132" s="242"/>
      <c r="G3132"/>
      <c r="H3132" s="242">
        <v>50000</v>
      </c>
      <c r="I3132" s="242">
        <v>46957</v>
      </c>
      <c r="J3132"/>
    </row>
    <row r="3133" spans="1:10" ht="15.75" customHeight="1">
      <c r="A3133" t="s">
        <v>3033</v>
      </c>
      <c r="B3133">
        <v>811000</v>
      </c>
      <c r="C3133">
        <v>1</v>
      </c>
      <c r="D3133" t="str">
        <f t="shared" si="48"/>
        <v>1811000.850</v>
      </c>
      <c r="E3133" t="s">
        <v>3034</v>
      </c>
      <c r="F3133" s="242"/>
      <c r="G3133"/>
      <c r="H3133" s="242">
        <v>50000</v>
      </c>
      <c r="I3133" s="242">
        <v>43750</v>
      </c>
      <c r="J3133"/>
    </row>
    <row r="3134" spans="1:10" ht="15.75" customHeight="1">
      <c r="A3134" t="s">
        <v>2740</v>
      </c>
      <c r="B3134">
        <v>811000</v>
      </c>
      <c r="C3134">
        <v>1</v>
      </c>
      <c r="D3134" t="str">
        <f t="shared" si="48"/>
        <v>1811000.930</v>
      </c>
      <c r="E3134" t="s">
        <v>2741</v>
      </c>
      <c r="F3134" s="242"/>
      <c r="G3134"/>
      <c r="H3134" s="242">
        <v>0</v>
      </c>
      <c r="I3134" s="242">
        <v>1790</v>
      </c>
      <c r="J3134"/>
    </row>
    <row r="3135" spans="1:10" ht="15.75" customHeight="1">
      <c r="A3135" t="s">
        <v>2691</v>
      </c>
      <c r="B3135">
        <v>811000</v>
      </c>
      <c r="C3135">
        <v>1</v>
      </c>
      <c r="D3135" t="str">
        <f t="shared" si="48"/>
        <v>1811000.986</v>
      </c>
      <c r="E3135" t="s">
        <v>3035</v>
      </c>
      <c r="F3135" s="242"/>
      <c r="G3135"/>
      <c r="H3135" s="242">
        <v>0</v>
      </c>
      <c r="I3135" s="242">
        <v>0</v>
      </c>
      <c r="J3135"/>
    </row>
    <row r="3136" spans="1:10" ht="15.75" customHeight="1">
      <c r="A3136" t="s">
        <v>2620</v>
      </c>
      <c r="B3136">
        <v>811000</v>
      </c>
      <c r="C3136">
        <v>1</v>
      </c>
      <c r="D3136" t="str">
        <f t="shared" si="48"/>
        <v>1811000.575</v>
      </c>
      <c r="E3136" t="s">
        <v>2908</v>
      </c>
      <c r="F3136" s="242"/>
      <c r="G3136"/>
      <c r="H3136" s="242">
        <v>6000</v>
      </c>
      <c r="I3136" s="242">
        <v>4455</v>
      </c>
      <c r="J3136"/>
    </row>
    <row r="3137" spans="1:10" ht="15.75" customHeight="1">
      <c r="A3137" t="s">
        <v>2661</v>
      </c>
      <c r="B3137">
        <v>811000</v>
      </c>
      <c r="C3137">
        <v>1</v>
      </c>
      <c r="D3137" t="str">
        <f t="shared" si="48"/>
        <v>1811000.578</v>
      </c>
      <c r="E3137" t="s">
        <v>3044</v>
      </c>
      <c r="F3137" s="242"/>
      <c r="G3137"/>
      <c r="H3137" s="242">
        <v>92000</v>
      </c>
      <c r="I3137" s="242">
        <v>113623</v>
      </c>
      <c r="J3137"/>
    </row>
    <row r="3138" spans="1:10" ht="15.75" customHeight="1">
      <c r="A3138" t="s">
        <v>547</v>
      </c>
      <c r="B3138">
        <v>811000</v>
      </c>
      <c r="C3138">
        <v>1</v>
      </c>
      <c r="D3138" t="str">
        <f t="shared" si="48"/>
        <v>1811000.722</v>
      </c>
      <c r="E3138" t="s">
        <v>3040</v>
      </c>
      <c r="F3138" s="242"/>
      <c r="G3138"/>
      <c r="H3138" s="242">
        <v>500000</v>
      </c>
      <c r="I3138" s="242">
        <v>335789</v>
      </c>
      <c r="J3138"/>
    </row>
    <row r="3139" spans="1:10" ht="15.75" customHeight="1">
      <c r="A3139" t="s">
        <v>2611</v>
      </c>
      <c r="B3139">
        <v>811000</v>
      </c>
      <c r="C3139">
        <v>1</v>
      </c>
      <c r="D3139" t="str">
        <f t="shared" ref="D3139:D3202" si="49">C3139&amp;B3139&amp;"."&amp;A3139</f>
        <v>1811000.750</v>
      </c>
      <c r="E3139" t="s">
        <v>3045</v>
      </c>
      <c r="F3139" s="242"/>
      <c r="G3139"/>
      <c r="H3139" s="242">
        <v>150000</v>
      </c>
      <c r="I3139" s="242">
        <v>34840</v>
      </c>
      <c r="J3139"/>
    </row>
    <row r="3140" spans="1:10" ht="15.75" customHeight="1">
      <c r="A3140" t="s">
        <v>776</v>
      </c>
      <c r="B3140">
        <v>811000</v>
      </c>
      <c r="C3140">
        <v>1</v>
      </c>
      <c r="D3140" t="str">
        <f t="shared" si="49"/>
        <v>1811000.752</v>
      </c>
      <c r="E3140" t="s">
        <v>3046</v>
      </c>
      <c r="F3140" s="242"/>
      <c r="G3140"/>
      <c r="H3140" s="242">
        <v>80000</v>
      </c>
      <c r="I3140" s="242">
        <v>74862</v>
      </c>
      <c r="J3140"/>
    </row>
    <row r="3141" spans="1:10" ht="15.75" customHeight="1">
      <c r="A3141" t="s">
        <v>3662</v>
      </c>
      <c r="B3141">
        <v>811000</v>
      </c>
      <c r="C3141">
        <v>1</v>
      </c>
      <c r="D3141" t="str">
        <f t="shared" si="49"/>
        <v>1811000.820</v>
      </c>
      <c r="E3141" t="s">
        <v>4353</v>
      </c>
      <c r="F3141" s="242"/>
      <c r="G3141"/>
      <c r="H3141" s="242">
        <v>32000</v>
      </c>
      <c r="I3141" s="242">
        <v>0</v>
      </c>
      <c r="J3141"/>
    </row>
    <row r="3142" spans="1:10" ht="15.75" customHeight="1">
      <c r="A3142" t="s">
        <v>547</v>
      </c>
      <c r="B3142">
        <v>811100</v>
      </c>
      <c r="C3142">
        <v>1</v>
      </c>
      <c r="D3142" t="str">
        <f t="shared" si="49"/>
        <v>1811100.722</v>
      </c>
      <c r="E3142" t="s">
        <v>3036</v>
      </c>
      <c r="F3142" s="242"/>
      <c r="G3142"/>
      <c r="H3142" s="242">
        <v>100</v>
      </c>
      <c r="I3142" s="242">
        <v>0</v>
      </c>
      <c r="J3142"/>
    </row>
    <row r="3143" spans="1:10" ht="15.75" customHeight="1">
      <c r="A3143" t="s">
        <v>872</v>
      </c>
      <c r="B3143">
        <v>811100</v>
      </c>
      <c r="C3143">
        <v>1</v>
      </c>
      <c r="D3143" t="str">
        <f t="shared" si="49"/>
        <v>1811100.781</v>
      </c>
      <c r="E3143" t="s">
        <v>3037</v>
      </c>
      <c r="F3143" s="242"/>
      <c r="G3143"/>
      <c r="H3143" s="242">
        <v>21000</v>
      </c>
      <c r="I3143" s="242">
        <v>20205</v>
      </c>
      <c r="J3143"/>
    </row>
    <row r="3144" spans="1:10" ht="15.75" customHeight="1">
      <c r="A3144" t="s">
        <v>877</v>
      </c>
      <c r="B3144">
        <v>811100</v>
      </c>
      <c r="C3144">
        <v>1</v>
      </c>
      <c r="D3144" t="str">
        <f t="shared" si="49"/>
        <v>1811100.782</v>
      </c>
      <c r="E3144" t="s">
        <v>3038</v>
      </c>
      <c r="F3144" s="242"/>
      <c r="G3144"/>
      <c r="H3144" s="242">
        <v>50000</v>
      </c>
      <c r="I3144" s="242">
        <v>0</v>
      </c>
      <c r="J3144"/>
    </row>
    <row r="3145" spans="1:10" ht="15.75" customHeight="1">
      <c r="A3145" t="s">
        <v>2850</v>
      </c>
      <c r="B3145">
        <v>811100</v>
      </c>
      <c r="C3145">
        <v>1</v>
      </c>
      <c r="D3145" t="str">
        <f t="shared" si="49"/>
        <v>1811100.786</v>
      </c>
      <c r="E3145" t="s">
        <v>3039</v>
      </c>
      <c r="F3145" s="242"/>
      <c r="G3145"/>
      <c r="H3145" s="242">
        <v>0</v>
      </c>
      <c r="I3145" s="242">
        <v>80000</v>
      </c>
      <c r="J3145"/>
    </row>
    <row r="3146" spans="1:10" ht="15.75" customHeight="1">
      <c r="A3146" t="s">
        <v>2403</v>
      </c>
      <c r="B3146">
        <v>811200</v>
      </c>
      <c r="C3146">
        <v>1</v>
      </c>
      <c r="D3146" t="str">
        <f t="shared" si="49"/>
        <v>1811200.110</v>
      </c>
      <c r="E3146" t="s">
        <v>2573</v>
      </c>
      <c r="F3146" s="242"/>
      <c r="G3146"/>
      <c r="H3146" s="242">
        <v>231468</v>
      </c>
      <c r="I3146" s="242">
        <v>89711</v>
      </c>
      <c r="J3146"/>
    </row>
    <row r="3147" spans="1:10" ht="15.75" customHeight="1">
      <c r="A3147" t="s">
        <v>2404</v>
      </c>
      <c r="B3147">
        <v>811200</v>
      </c>
      <c r="C3147">
        <v>1</v>
      </c>
      <c r="D3147" t="str">
        <f t="shared" si="49"/>
        <v>1811200.120</v>
      </c>
      <c r="E3147" t="s">
        <v>2574</v>
      </c>
      <c r="F3147" s="242"/>
      <c r="G3147"/>
      <c r="H3147" s="242">
        <v>25495</v>
      </c>
      <c r="I3147" s="242">
        <v>240</v>
      </c>
      <c r="J3147"/>
    </row>
    <row r="3148" spans="1:10" ht="15.75" customHeight="1">
      <c r="A3148" t="s">
        <v>2575</v>
      </c>
      <c r="B3148">
        <v>811200</v>
      </c>
      <c r="C3148">
        <v>1</v>
      </c>
      <c r="D3148" t="str">
        <f t="shared" si="49"/>
        <v>1811200.130</v>
      </c>
      <c r="E3148" t="s">
        <v>2576</v>
      </c>
      <c r="F3148" s="242"/>
      <c r="G3148"/>
      <c r="H3148" s="242">
        <v>595</v>
      </c>
      <c r="I3148" s="242">
        <v>0</v>
      </c>
      <c r="J3148"/>
    </row>
    <row r="3149" spans="1:10" ht="15.75" customHeight="1">
      <c r="A3149" t="s">
        <v>2577</v>
      </c>
      <c r="B3149">
        <v>811200</v>
      </c>
      <c r="C3149">
        <v>1</v>
      </c>
      <c r="D3149" t="str">
        <f t="shared" si="49"/>
        <v>1811200.140</v>
      </c>
      <c r="E3149" t="s">
        <v>2578</v>
      </c>
      <c r="F3149" s="242"/>
      <c r="G3149"/>
      <c r="H3149" s="242">
        <v>40456</v>
      </c>
      <c r="I3149" s="242">
        <v>21165</v>
      </c>
      <c r="J3149"/>
    </row>
    <row r="3150" spans="1:10" ht="15.75" customHeight="1">
      <c r="A3150" t="s">
        <v>2579</v>
      </c>
      <c r="B3150">
        <v>811200</v>
      </c>
      <c r="C3150">
        <v>1</v>
      </c>
      <c r="D3150" t="str">
        <f t="shared" si="49"/>
        <v>1811200.181</v>
      </c>
      <c r="E3150" t="s">
        <v>2580</v>
      </c>
      <c r="F3150" s="242"/>
      <c r="G3150"/>
      <c r="H3150" s="242">
        <v>49704</v>
      </c>
      <c r="I3150" s="242">
        <v>25689</v>
      </c>
      <c r="J3150"/>
    </row>
    <row r="3151" spans="1:10" ht="15.75" customHeight="1">
      <c r="A3151" t="s">
        <v>2581</v>
      </c>
      <c r="B3151">
        <v>811200</v>
      </c>
      <c r="C3151">
        <v>1</v>
      </c>
      <c r="D3151" t="str">
        <f t="shared" si="49"/>
        <v>1811200.182</v>
      </c>
      <c r="E3151" t="s">
        <v>2582</v>
      </c>
      <c r="F3151" s="242"/>
      <c r="G3151"/>
      <c r="H3151" s="242">
        <v>23331</v>
      </c>
      <c r="I3151" s="242">
        <v>8395</v>
      </c>
      <c r="J3151"/>
    </row>
    <row r="3152" spans="1:10" ht="15.75" customHeight="1">
      <c r="A3152" t="s">
        <v>2632</v>
      </c>
      <c r="B3152">
        <v>811200</v>
      </c>
      <c r="C3152">
        <v>1</v>
      </c>
      <c r="D3152" t="str">
        <f t="shared" si="49"/>
        <v>1811200.780</v>
      </c>
      <c r="E3152" t="s">
        <v>3047</v>
      </c>
      <c r="F3152" s="242"/>
      <c r="G3152"/>
      <c r="H3152" s="242">
        <v>426300</v>
      </c>
      <c r="I3152" s="242">
        <v>265804</v>
      </c>
      <c r="J3152"/>
    </row>
    <row r="3153" spans="1:10" ht="15.75" customHeight="1">
      <c r="A3153" t="s">
        <v>2403</v>
      </c>
      <c r="B3153">
        <v>812100</v>
      </c>
      <c r="C3153">
        <v>1</v>
      </c>
      <c r="D3153" t="str">
        <f t="shared" si="49"/>
        <v>1812100.110</v>
      </c>
      <c r="E3153" t="s">
        <v>2573</v>
      </c>
      <c r="F3153" s="242"/>
      <c r="G3153"/>
      <c r="H3153" s="242">
        <v>932095</v>
      </c>
      <c r="I3153" s="242">
        <v>831019</v>
      </c>
      <c r="J3153"/>
    </row>
    <row r="3154" spans="1:10" ht="15.75" customHeight="1">
      <c r="A3154" t="s">
        <v>2404</v>
      </c>
      <c r="B3154">
        <v>812100</v>
      </c>
      <c r="C3154">
        <v>1</v>
      </c>
      <c r="D3154" t="str">
        <f t="shared" si="49"/>
        <v>1812100.120</v>
      </c>
      <c r="E3154" t="s">
        <v>2574</v>
      </c>
      <c r="F3154" s="242"/>
      <c r="G3154"/>
      <c r="H3154" s="242">
        <v>103769</v>
      </c>
      <c r="I3154" s="242">
        <v>104283</v>
      </c>
      <c r="J3154"/>
    </row>
    <row r="3155" spans="1:10" ht="15.75" customHeight="1">
      <c r="A3155" t="s">
        <v>2575</v>
      </c>
      <c r="B3155">
        <v>812100</v>
      </c>
      <c r="C3155">
        <v>1</v>
      </c>
      <c r="D3155" t="str">
        <f t="shared" si="49"/>
        <v>1812100.130</v>
      </c>
      <c r="E3155" t="s">
        <v>2576</v>
      </c>
      <c r="F3155" s="242"/>
      <c r="G3155"/>
      <c r="H3155" s="242">
        <v>2420</v>
      </c>
      <c r="I3155" s="242">
        <v>31863</v>
      </c>
      <c r="J3155"/>
    </row>
    <row r="3156" spans="1:10" ht="15.75" customHeight="1">
      <c r="A3156" t="s">
        <v>2577</v>
      </c>
      <c r="B3156">
        <v>812100</v>
      </c>
      <c r="C3156">
        <v>1</v>
      </c>
      <c r="D3156" t="str">
        <f t="shared" si="49"/>
        <v>1812100.140</v>
      </c>
      <c r="E3156" t="s">
        <v>2578</v>
      </c>
      <c r="F3156" s="242"/>
      <c r="G3156"/>
      <c r="H3156" s="242">
        <v>164659</v>
      </c>
      <c r="I3156" s="242">
        <v>180459</v>
      </c>
      <c r="J3156"/>
    </row>
    <row r="3157" spans="1:10" ht="15.75" customHeight="1">
      <c r="A3157" t="s">
        <v>2579</v>
      </c>
      <c r="B3157">
        <v>812100</v>
      </c>
      <c r="C3157">
        <v>1</v>
      </c>
      <c r="D3157" t="str">
        <f t="shared" si="49"/>
        <v>1812100.181</v>
      </c>
      <c r="E3157" t="s">
        <v>2580</v>
      </c>
      <c r="F3157" s="242"/>
      <c r="G3157"/>
      <c r="H3157" s="242">
        <v>202300</v>
      </c>
      <c r="I3157" s="242">
        <v>176191</v>
      </c>
      <c r="J3157"/>
    </row>
    <row r="3158" spans="1:10" ht="15.75" customHeight="1">
      <c r="A3158" t="s">
        <v>2581</v>
      </c>
      <c r="B3158">
        <v>812100</v>
      </c>
      <c r="C3158">
        <v>1</v>
      </c>
      <c r="D3158" t="str">
        <f t="shared" si="49"/>
        <v>1812100.182</v>
      </c>
      <c r="E3158" t="s">
        <v>2582</v>
      </c>
      <c r="F3158" s="242"/>
      <c r="G3158"/>
      <c r="H3158" s="242">
        <v>94962</v>
      </c>
      <c r="I3158" s="242">
        <v>86932</v>
      </c>
      <c r="J3158"/>
    </row>
    <row r="3159" spans="1:10" ht="15.75" customHeight="1">
      <c r="A3159" t="s">
        <v>2652</v>
      </c>
      <c r="B3159">
        <v>812100</v>
      </c>
      <c r="C3159">
        <v>1</v>
      </c>
      <c r="D3159" t="str">
        <f t="shared" si="49"/>
        <v>1812100.420</v>
      </c>
      <c r="E3159" t="s">
        <v>2653</v>
      </c>
      <c r="F3159" s="242"/>
      <c r="G3159"/>
      <c r="H3159" s="242">
        <v>3000</v>
      </c>
      <c r="I3159" s="242">
        <v>0</v>
      </c>
      <c r="J3159"/>
    </row>
    <row r="3160" spans="1:10" ht="15.75" customHeight="1">
      <c r="A3160" t="s">
        <v>1663</v>
      </c>
      <c r="B3160">
        <v>812100</v>
      </c>
      <c r="C3160">
        <v>1</v>
      </c>
      <c r="D3160" t="str">
        <f t="shared" si="49"/>
        <v>1812100.431</v>
      </c>
      <c r="E3160" t="s">
        <v>2654</v>
      </c>
      <c r="F3160" s="242"/>
      <c r="G3160"/>
      <c r="H3160" s="242">
        <v>15400</v>
      </c>
      <c r="I3160" s="242">
        <v>0</v>
      </c>
      <c r="J3160"/>
    </row>
    <row r="3161" spans="1:10" ht="15.75" customHeight="1">
      <c r="A3161" t="s">
        <v>1673</v>
      </c>
      <c r="B3161">
        <v>812100</v>
      </c>
      <c r="C3161">
        <v>1</v>
      </c>
      <c r="D3161" t="str">
        <f t="shared" si="49"/>
        <v>1812100.433</v>
      </c>
      <c r="E3161" t="s">
        <v>2655</v>
      </c>
      <c r="F3161" s="242"/>
      <c r="G3161"/>
      <c r="H3161" s="242">
        <v>3000</v>
      </c>
      <c r="I3161" s="242">
        <v>2119</v>
      </c>
      <c r="J3161"/>
    </row>
    <row r="3162" spans="1:10" ht="15.75" customHeight="1">
      <c r="A3162" t="s">
        <v>2606</v>
      </c>
      <c r="B3162">
        <v>812100</v>
      </c>
      <c r="C3162">
        <v>1</v>
      </c>
      <c r="D3162" t="str">
        <f t="shared" si="49"/>
        <v>1812100.440</v>
      </c>
      <c r="E3162" t="s">
        <v>2657</v>
      </c>
      <c r="F3162" s="242"/>
      <c r="G3162"/>
      <c r="H3162" s="242">
        <v>1800</v>
      </c>
      <c r="I3162" s="242">
        <v>1706</v>
      </c>
      <c r="J3162"/>
    </row>
    <row r="3163" spans="1:10" ht="15.75" customHeight="1">
      <c r="A3163" t="s">
        <v>2411</v>
      </c>
      <c r="B3163">
        <v>812100</v>
      </c>
      <c r="C3163">
        <v>1</v>
      </c>
      <c r="D3163" t="str">
        <f t="shared" si="49"/>
        <v>1812100.470</v>
      </c>
      <c r="E3163" t="s">
        <v>2660</v>
      </c>
      <c r="F3163" s="242"/>
      <c r="G3163"/>
      <c r="H3163" s="242">
        <v>15000</v>
      </c>
      <c r="I3163" s="242">
        <v>12232</v>
      </c>
      <c r="J3163"/>
    </row>
    <row r="3164" spans="1:10" ht="15.75" customHeight="1">
      <c r="A3164" t="s">
        <v>2286</v>
      </c>
      <c r="B3164">
        <v>812100</v>
      </c>
      <c r="C3164">
        <v>1</v>
      </c>
      <c r="D3164" t="str">
        <f t="shared" si="49"/>
        <v>1812100.511</v>
      </c>
      <c r="E3164" t="s">
        <v>2584</v>
      </c>
      <c r="F3164" s="242"/>
      <c r="G3164"/>
      <c r="H3164" s="242">
        <v>4500</v>
      </c>
      <c r="I3164" s="242">
        <v>1528</v>
      </c>
      <c r="J3164"/>
    </row>
    <row r="3165" spans="1:10" ht="15.75" customHeight="1">
      <c r="A3165" t="s">
        <v>2594</v>
      </c>
      <c r="B3165">
        <v>812100</v>
      </c>
      <c r="C3165">
        <v>1</v>
      </c>
      <c r="D3165" t="str">
        <f t="shared" si="49"/>
        <v>1812100.540</v>
      </c>
      <c r="E3165" t="s">
        <v>2595</v>
      </c>
      <c r="F3165" s="242"/>
      <c r="G3165"/>
      <c r="H3165" s="242">
        <v>12000</v>
      </c>
      <c r="I3165" s="242">
        <v>10907</v>
      </c>
      <c r="J3165"/>
    </row>
    <row r="3166" spans="1:10" ht="15.75" customHeight="1">
      <c r="A3166" t="s">
        <v>2815</v>
      </c>
      <c r="B3166">
        <v>812100</v>
      </c>
      <c r="C3166">
        <v>1</v>
      </c>
      <c r="D3166" t="str">
        <f t="shared" si="49"/>
        <v>1812100.541</v>
      </c>
      <c r="E3166" t="s">
        <v>3060</v>
      </c>
      <c r="F3166" s="242"/>
      <c r="G3166"/>
      <c r="H3166" s="242">
        <v>52000</v>
      </c>
      <c r="I3166" s="242">
        <v>31999</v>
      </c>
      <c r="J3166"/>
    </row>
    <row r="3167" spans="1:10" ht="15.75" customHeight="1">
      <c r="A3167" t="s">
        <v>2596</v>
      </c>
      <c r="B3167">
        <v>812100</v>
      </c>
      <c r="C3167">
        <v>1</v>
      </c>
      <c r="D3167" t="str">
        <f t="shared" si="49"/>
        <v>1812100.550</v>
      </c>
      <c r="E3167" t="s">
        <v>2597</v>
      </c>
      <c r="F3167" s="242"/>
      <c r="G3167"/>
      <c r="H3167" s="242">
        <v>95000</v>
      </c>
      <c r="I3167" s="242">
        <v>4883</v>
      </c>
      <c r="J3167"/>
    </row>
    <row r="3168" spans="1:10" ht="15.75" customHeight="1">
      <c r="A3168" t="s">
        <v>2598</v>
      </c>
      <c r="B3168">
        <v>812100</v>
      </c>
      <c r="C3168">
        <v>1</v>
      </c>
      <c r="D3168" t="str">
        <f t="shared" si="49"/>
        <v>1812100.561</v>
      </c>
      <c r="E3168" t="s">
        <v>2599</v>
      </c>
      <c r="F3168" s="242"/>
      <c r="G3168"/>
      <c r="H3168" s="242">
        <v>5500</v>
      </c>
      <c r="I3168" s="242">
        <v>5517</v>
      </c>
      <c r="J3168"/>
    </row>
    <row r="3169" spans="1:10" ht="15.75" customHeight="1">
      <c r="A3169" t="s">
        <v>2771</v>
      </c>
      <c r="B3169">
        <v>812100</v>
      </c>
      <c r="C3169">
        <v>1</v>
      </c>
      <c r="D3169" t="str">
        <f t="shared" si="49"/>
        <v>1812100.570</v>
      </c>
      <c r="E3169" t="s">
        <v>3061</v>
      </c>
      <c r="F3169" s="242"/>
      <c r="G3169"/>
      <c r="H3169" s="242">
        <v>438200</v>
      </c>
      <c r="I3169" s="242">
        <v>430367</v>
      </c>
      <c r="J3169"/>
    </row>
    <row r="3170" spans="1:10" ht="15.75" customHeight="1">
      <c r="A3170" t="s">
        <v>3062</v>
      </c>
      <c r="B3170">
        <v>812100</v>
      </c>
      <c r="C3170">
        <v>1</v>
      </c>
      <c r="D3170" t="str">
        <f t="shared" si="49"/>
        <v>1812100.571</v>
      </c>
      <c r="E3170" t="s">
        <v>3063</v>
      </c>
      <c r="F3170" s="242"/>
      <c r="G3170"/>
      <c r="H3170" s="242">
        <v>10900</v>
      </c>
      <c r="I3170" s="242">
        <v>10675</v>
      </c>
      <c r="J3170"/>
    </row>
    <row r="3171" spans="1:10" ht="15.75" customHeight="1">
      <c r="A3171" t="s">
        <v>2647</v>
      </c>
      <c r="B3171">
        <v>812100</v>
      </c>
      <c r="C3171">
        <v>1</v>
      </c>
      <c r="D3171" t="str">
        <f t="shared" si="49"/>
        <v>1812100.574</v>
      </c>
      <c r="E3171" t="s">
        <v>2648</v>
      </c>
      <c r="F3171" s="242"/>
      <c r="G3171"/>
      <c r="H3171" s="242">
        <v>22300</v>
      </c>
      <c r="I3171" s="242">
        <v>21872</v>
      </c>
      <c r="J3171"/>
    </row>
    <row r="3172" spans="1:10" ht="15.75" customHeight="1">
      <c r="A3172" t="s">
        <v>2600</v>
      </c>
      <c r="B3172">
        <v>812100</v>
      </c>
      <c r="C3172">
        <v>1</v>
      </c>
      <c r="D3172" t="str">
        <f t="shared" si="49"/>
        <v>1812100.580</v>
      </c>
      <c r="E3172" t="s">
        <v>2601</v>
      </c>
      <c r="F3172" s="242"/>
      <c r="G3172"/>
      <c r="H3172" s="242">
        <v>4000</v>
      </c>
      <c r="I3172" s="242">
        <v>3080</v>
      </c>
      <c r="J3172"/>
    </row>
    <row r="3173" spans="1:10" ht="15.75" customHeight="1">
      <c r="A3173" t="s">
        <v>673</v>
      </c>
      <c r="B3173">
        <v>812100</v>
      </c>
      <c r="C3173">
        <v>1</v>
      </c>
      <c r="D3173" t="str">
        <f t="shared" si="49"/>
        <v>1812100.743</v>
      </c>
      <c r="E3173" t="s">
        <v>2622</v>
      </c>
      <c r="F3173" s="242"/>
      <c r="G3173"/>
      <c r="H3173" s="242">
        <v>5500</v>
      </c>
      <c r="I3173" s="242">
        <v>49484</v>
      </c>
      <c r="J3173"/>
    </row>
    <row r="3174" spans="1:10" ht="15.75" customHeight="1">
      <c r="A3174" t="s">
        <v>772</v>
      </c>
      <c r="B3174">
        <v>812100</v>
      </c>
      <c r="C3174">
        <v>1</v>
      </c>
      <c r="D3174" t="str">
        <f t="shared" si="49"/>
        <v>1812100.751</v>
      </c>
      <c r="E3174" t="s">
        <v>3064</v>
      </c>
      <c r="F3174" s="242"/>
      <c r="G3174"/>
      <c r="H3174" s="242">
        <v>71700</v>
      </c>
      <c r="I3174" s="242">
        <v>0</v>
      </c>
      <c r="J3174"/>
    </row>
    <row r="3175" spans="1:10" ht="15.75" customHeight="1">
      <c r="A3175" t="s">
        <v>2603</v>
      </c>
      <c r="B3175">
        <v>812100</v>
      </c>
      <c r="C3175">
        <v>1</v>
      </c>
      <c r="D3175" t="str">
        <f t="shared" si="49"/>
        <v>1812100.759</v>
      </c>
      <c r="E3175" t="s">
        <v>2642</v>
      </c>
      <c r="F3175" s="242"/>
      <c r="G3175"/>
      <c r="H3175" s="242">
        <v>95000</v>
      </c>
      <c r="I3175" s="242">
        <v>39206</v>
      </c>
      <c r="J3175"/>
    </row>
    <row r="3176" spans="1:10" ht="15.75" customHeight="1">
      <c r="A3176" t="s">
        <v>2776</v>
      </c>
      <c r="B3176">
        <v>812110</v>
      </c>
      <c r="C3176">
        <v>1</v>
      </c>
      <c r="D3176" t="str">
        <f t="shared" si="49"/>
        <v>1812110.577</v>
      </c>
      <c r="E3176" t="s">
        <v>3049</v>
      </c>
      <c r="F3176" s="242"/>
      <c r="G3176"/>
      <c r="H3176" s="242">
        <v>45000</v>
      </c>
      <c r="I3176" s="242">
        <v>46842</v>
      </c>
      <c r="J3176"/>
    </row>
    <row r="3177" spans="1:10" ht="15.75" customHeight="1">
      <c r="A3177" t="s">
        <v>2403</v>
      </c>
      <c r="B3177">
        <v>812110</v>
      </c>
      <c r="C3177">
        <v>1</v>
      </c>
      <c r="D3177" t="str">
        <f t="shared" si="49"/>
        <v>1812110.110</v>
      </c>
      <c r="E3177" t="s">
        <v>2573</v>
      </c>
      <c r="F3177" s="242"/>
      <c r="G3177"/>
      <c r="H3177" s="242">
        <v>505671</v>
      </c>
      <c r="I3177" s="242">
        <v>448334</v>
      </c>
      <c r="J3177"/>
    </row>
    <row r="3178" spans="1:10" ht="15.75" customHeight="1">
      <c r="A3178" t="s">
        <v>2404</v>
      </c>
      <c r="B3178">
        <v>812110</v>
      </c>
      <c r="C3178">
        <v>1</v>
      </c>
      <c r="D3178" t="str">
        <f t="shared" si="49"/>
        <v>1812110.120</v>
      </c>
      <c r="E3178" t="s">
        <v>2574</v>
      </c>
      <c r="F3178" s="242"/>
      <c r="G3178"/>
      <c r="H3178" s="242">
        <v>88591</v>
      </c>
      <c r="I3178" s="242">
        <v>78621</v>
      </c>
      <c r="J3178"/>
    </row>
    <row r="3179" spans="1:10" ht="15.75" customHeight="1">
      <c r="A3179" t="s">
        <v>2575</v>
      </c>
      <c r="B3179">
        <v>812110</v>
      </c>
      <c r="C3179">
        <v>1</v>
      </c>
      <c r="D3179" t="str">
        <f t="shared" si="49"/>
        <v>1812110.130</v>
      </c>
      <c r="E3179" t="s">
        <v>2576</v>
      </c>
      <c r="F3179" s="242"/>
      <c r="G3179"/>
      <c r="H3179" s="242">
        <v>3661</v>
      </c>
      <c r="I3179" s="242">
        <v>3286</v>
      </c>
      <c r="J3179"/>
    </row>
    <row r="3180" spans="1:10" ht="15.75" customHeight="1">
      <c r="A3180" t="s">
        <v>2577</v>
      </c>
      <c r="B3180">
        <v>812110</v>
      </c>
      <c r="C3180">
        <v>1</v>
      </c>
      <c r="D3180" t="str">
        <f t="shared" si="49"/>
        <v>1812110.140</v>
      </c>
      <c r="E3180" t="s">
        <v>2578</v>
      </c>
      <c r="F3180" s="242"/>
      <c r="G3180"/>
      <c r="H3180" s="242">
        <v>125999</v>
      </c>
      <c r="I3180" s="242">
        <v>98021</v>
      </c>
      <c r="J3180"/>
    </row>
    <row r="3181" spans="1:10" ht="15.75" customHeight="1">
      <c r="A3181" t="s">
        <v>2579</v>
      </c>
      <c r="B3181">
        <v>812110</v>
      </c>
      <c r="C3181">
        <v>1</v>
      </c>
      <c r="D3181" t="str">
        <f t="shared" si="49"/>
        <v>1812110.181</v>
      </c>
      <c r="E3181" t="s">
        <v>2580</v>
      </c>
      <c r="F3181" s="242"/>
      <c r="G3181"/>
      <c r="H3181" s="242">
        <v>117316</v>
      </c>
      <c r="I3181" s="242">
        <v>100469</v>
      </c>
      <c r="J3181"/>
    </row>
    <row r="3182" spans="1:10" ht="15.75" customHeight="1">
      <c r="A3182" t="s">
        <v>2581</v>
      </c>
      <c r="B3182">
        <v>812110</v>
      </c>
      <c r="C3182">
        <v>1</v>
      </c>
      <c r="D3182" t="str">
        <f t="shared" si="49"/>
        <v>1812110.182</v>
      </c>
      <c r="E3182" t="s">
        <v>2582</v>
      </c>
      <c r="F3182" s="242"/>
      <c r="G3182"/>
      <c r="H3182" s="242">
        <v>54988</v>
      </c>
      <c r="I3182" s="242">
        <v>47655</v>
      </c>
      <c r="J3182"/>
    </row>
    <row r="3183" spans="1:10" ht="15.75" customHeight="1">
      <c r="A3183" t="s">
        <v>2594</v>
      </c>
      <c r="B3183">
        <v>812110</v>
      </c>
      <c r="C3183">
        <v>1</v>
      </c>
      <c r="D3183" t="str">
        <f t="shared" si="49"/>
        <v>1812110.540</v>
      </c>
      <c r="E3183" t="s">
        <v>2595</v>
      </c>
      <c r="F3183" s="242"/>
      <c r="G3183"/>
      <c r="H3183" s="242">
        <v>14000</v>
      </c>
      <c r="I3183" s="242">
        <v>6748</v>
      </c>
      <c r="J3183"/>
    </row>
    <row r="3184" spans="1:10" ht="15.75" customHeight="1">
      <c r="A3184" t="s">
        <v>2596</v>
      </c>
      <c r="B3184">
        <v>812110</v>
      </c>
      <c r="C3184">
        <v>1</v>
      </c>
      <c r="D3184" t="str">
        <f t="shared" si="49"/>
        <v>1812110.550</v>
      </c>
      <c r="E3184" t="s">
        <v>2597</v>
      </c>
      <c r="F3184" s="242"/>
      <c r="G3184"/>
      <c r="H3184" s="242">
        <v>4000</v>
      </c>
      <c r="I3184" s="242">
        <v>1299</v>
      </c>
      <c r="J3184"/>
    </row>
    <row r="3185" spans="1:10" ht="15.75" customHeight="1">
      <c r="A3185" t="s">
        <v>2598</v>
      </c>
      <c r="B3185">
        <v>812110</v>
      </c>
      <c r="C3185">
        <v>1</v>
      </c>
      <c r="D3185" t="str">
        <f t="shared" si="49"/>
        <v>1812110.561</v>
      </c>
      <c r="E3185" t="s">
        <v>2599</v>
      </c>
      <c r="F3185" s="242"/>
      <c r="G3185"/>
      <c r="H3185" s="242">
        <v>3700</v>
      </c>
      <c r="I3185" s="242">
        <v>4855</v>
      </c>
      <c r="J3185"/>
    </row>
    <row r="3186" spans="1:10" ht="15.75" customHeight="1">
      <c r="A3186" t="s">
        <v>2600</v>
      </c>
      <c r="B3186">
        <v>812110</v>
      </c>
      <c r="C3186">
        <v>1</v>
      </c>
      <c r="D3186" t="str">
        <f t="shared" si="49"/>
        <v>1812110.580</v>
      </c>
      <c r="E3186" t="s">
        <v>2629</v>
      </c>
      <c r="F3186" s="242"/>
      <c r="G3186"/>
      <c r="H3186" s="242">
        <v>20000</v>
      </c>
      <c r="I3186" s="242">
        <v>12200</v>
      </c>
      <c r="J3186"/>
    </row>
    <row r="3187" spans="1:10" ht="15.75" customHeight="1">
      <c r="A3187" t="s">
        <v>547</v>
      </c>
      <c r="B3187">
        <v>812110</v>
      </c>
      <c r="C3187">
        <v>1</v>
      </c>
      <c r="D3187" t="str">
        <f t="shared" si="49"/>
        <v>1812110.722</v>
      </c>
      <c r="E3187" t="s">
        <v>3036</v>
      </c>
      <c r="F3187" s="242"/>
      <c r="G3187"/>
      <c r="H3187" s="242">
        <v>0</v>
      </c>
      <c r="I3187" s="242">
        <v>5092</v>
      </c>
      <c r="J3187"/>
    </row>
    <row r="3188" spans="1:10" ht="15.75" customHeight="1">
      <c r="A3188" t="s">
        <v>600</v>
      </c>
      <c r="B3188">
        <v>812110</v>
      </c>
      <c r="C3188">
        <v>1</v>
      </c>
      <c r="D3188" t="str">
        <f t="shared" si="49"/>
        <v>1812110.731</v>
      </c>
      <c r="E3188" t="s">
        <v>2593</v>
      </c>
      <c r="F3188" s="242"/>
      <c r="G3188"/>
      <c r="H3188" s="242">
        <v>0</v>
      </c>
      <c r="I3188" s="242">
        <v>0</v>
      </c>
      <c r="J3188"/>
    </row>
    <row r="3189" spans="1:10" ht="15.75" customHeight="1">
      <c r="A3189" t="s">
        <v>2418</v>
      </c>
      <c r="B3189">
        <v>812110</v>
      </c>
      <c r="C3189">
        <v>1</v>
      </c>
      <c r="D3189" t="str">
        <f t="shared" si="49"/>
        <v>1812110.735</v>
      </c>
      <c r="E3189" t="s">
        <v>3071</v>
      </c>
      <c r="F3189" s="242"/>
      <c r="G3189"/>
      <c r="H3189" s="242">
        <v>0</v>
      </c>
      <c r="I3189" s="242">
        <v>0</v>
      </c>
      <c r="J3189"/>
    </row>
    <row r="3190" spans="1:10" ht="15.75" customHeight="1">
      <c r="A3190" t="s">
        <v>2759</v>
      </c>
      <c r="B3190">
        <v>812110</v>
      </c>
      <c r="C3190">
        <v>1</v>
      </c>
      <c r="D3190" t="str">
        <f t="shared" si="49"/>
        <v>1812110.760</v>
      </c>
      <c r="E3190" t="s">
        <v>3072</v>
      </c>
      <c r="F3190" s="242"/>
      <c r="G3190"/>
      <c r="H3190" s="242">
        <v>930329</v>
      </c>
      <c r="I3190" s="242">
        <v>20023</v>
      </c>
      <c r="J3190"/>
    </row>
    <row r="3191" spans="1:10" ht="15.75" customHeight="1">
      <c r="A3191" t="s">
        <v>2632</v>
      </c>
      <c r="B3191">
        <v>812110</v>
      </c>
      <c r="C3191">
        <v>1</v>
      </c>
      <c r="D3191" t="str">
        <f t="shared" si="49"/>
        <v>1812110.780</v>
      </c>
      <c r="E3191" t="s">
        <v>3073</v>
      </c>
      <c r="F3191" s="242"/>
      <c r="G3191"/>
      <c r="H3191" s="242">
        <v>40000</v>
      </c>
      <c r="I3191" s="242">
        <v>0</v>
      </c>
      <c r="J3191"/>
    </row>
    <row r="3192" spans="1:10" ht="15.75" customHeight="1">
      <c r="A3192" t="s">
        <v>872</v>
      </c>
      <c r="B3192">
        <v>812110</v>
      </c>
      <c r="C3192">
        <v>1</v>
      </c>
      <c r="D3192" t="str">
        <f t="shared" si="49"/>
        <v>1812110.781</v>
      </c>
      <c r="E3192" t="s">
        <v>3074</v>
      </c>
      <c r="F3192" s="242"/>
      <c r="G3192"/>
      <c r="H3192" s="242">
        <v>0</v>
      </c>
      <c r="I3192" s="242">
        <v>22270</v>
      </c>
      <c r="J3192"/>
    </row>
    <row r="3193" spans="1:10" ht="15.75" customHeight="1">
      <c r="A3193" t="s">
        <v>877</v>
      </c>
      <c r="B3193">
        <v>812110</v>
      </c>
      <c r="C3193">
        <v>1</v>
      </c>
      <c r="D3193" t="str">
        <f t="shared" si="49"/>
        <v>1812110.782</v>
      </c>
      <c r="E3193" t="s">
        <v>3075</v>
      </c>
      <c r="F3193" s="242"/>
      <c r="G3193"/>
      <c r="H3193" s="242">
        <v>40000</v>
      </c>
      <c r="I3193" s="242">
        <v>0</v>
      </c>
      <c r="J3193"/>
    </row>
    <row r="3194" spans="1:10" ht="15.75" customHeight="1">
      <c r="A3194" t="s">
        <v>2674</v>
      </c>
      <c r="B3194">
        <v>812110</v>
      </c>
      <c r="C3194">
        <v>1</v>
      </c>
      <c r="D3194" t="str">
        <f t="shared" si="49"/>
        <v>1812110.783</v>
      </c>
      <c r="E3194" t="s">
        <v>3027</v>
      </c>
      <c r="F3194" s="242"/>
      <c r="G3194"/>
      <c r="H3194" s="242">
        <v>30000</v>
      </c>
      <c r="I3194" s="242">
        <v>0</v>
      </c>
      <c r="J3194"/>
    </row>
    <row r="3195" spans="1:10" ht="15.75" customHeight="1">
      <c r="A3195" t="s">
        <v>2676</v>
      </c>
      <c r="B3195">
        <v>812110</v>
      </c>
      <c r="C3195">
        <v>1</v>
      </c>
      <c r="D3195" t="str">
        <f t="shared" si="49"/>
        <v>1812110.784</v>
      </c>
      <c r="E3195" t="s">
        <v>3076</v>
      </c>
      <c r="F3195" s="242"/>
      <c r="G3195"/>
      <c r="H3195" s="242">
        <v>0</v>
      </c>
      <c r="I3195" s="242">
        <v>0</v>
      </c>
      <c r="J3195"/>
    </row>
    <row r="3196" spans="1:10" ht="15.75" customHeight="1">
      <c r="A3196" t="s">
        <v>2850</v>
      </c>
      <c r="B3196">
        <v>812110</v>
      </c>
      <c r="C3196">
        <v>1</v>
      </c>
      <c r="D3196" t="str">
        <f t="shared" si="49"/>
        <v>1812110.786</v>
      </c>
      <c r="E3196" t="s">
        <v>3077</v>
      </c>
      <c r="F3196" s="242"/>
      <c r="G3196"/>
      <c r="H3196" s="242">
        <v>163640</v>
      </c>
      <c r="I3196" s="242">
        <v>0</v>
      </c>
      <c r="J3196"/>
    </row>
    <row r="3197" spans="1:10" ht="15.75" customHeight="1">
      <c r="A3197" t="s">
        <v>3056</v>
      </c>
      <c r="B3197">
        <v>812110</v>
      </c>
      <c r="C3197">
        <v>1</v>
      </c>
      <c r="D3197" t="str">
        <f t="shared" si="49"/>
        <v>1812110.789</v>
      </c>
      <c r="E3197" t="s">
        <v>3078</v>
      </c>
      <c r="F3197" s="242"/>
      <c r="G3197"/>
      <c r="H3197" s="242">
        <v>0</v>
      </c>
      <c r="I3197" s="242">
        <v>0</v>
      </c>
      <c r="J3197"/>
    </row>
    <row r="3198" spans="1:10" ht="15.75" customHeight="1">
      <c r="A3198" t="s">
        <v>2403</v>
      </c>
      <c r="B3198">
        <v>812200</v>
      </c>
      <c r="C3198">
        <v>1</v>
      </c>
      <c r="D3198" t="str">
        <f t="shared" si="49"/>
        <v>1812200.110</v>
      </c>
      <c r="E3198" t="s">
        <v>2573</v>
      </c>
      <c r="F3198" s="242"/>
      <c r="G3198"/>
      <c r="H3198" s="242">
        <v>11018114</v>
      </c>
      <c r="I3198" s="242">
        <v>10949286</v>
      </c>
      <c r="J3198"/>
    </row>
    <row r="3199" spans="1:10" ht="15.75" customHeight="1">
      <c r="A3199" t="s">
        <v>2404</v>
      </c>
      <c r="B3199">
        <v>812200</v>
      </c>
      <c r="C3199">
        <v>1</v>
      </c>
      <c r="D3199" t="str">
        <f t="shared" si="49"/>
        <v>1812200.120</v>
      </c>
      <c r="E3199" t="s">
        <v>2574</v>
      </c>
      <c r="F3199" s="242"/>
      <c r="G3199"/>
      <c r="H3199" s="242">
        <v>447586</v>
      </c>
      <c r="I3199" s="242">
        <v>411283</v>
      </c>
      <c r="J3199"/>
    </row>
    <row r="3200" spans="1:10" ht="15.75" customHeight="1">
      <c r="A3200" t="s">
        <v>2575</v>
      </c>
      <c r="B3200">
        <v>812200</v>
      </c>
      <c r="C3200">
        <v>1</v>
      </c>
      <c r="D3200" t="str">
        <f t="shared" si="49"/>
        <v>1812200.130</v>
      </c>
      <c r="E3200" t="s">
        <v>2576</v>
      </c>
      <c r="F3200" s="242"/>
      <c r="G3200"/>
      <c r="H3200" s="242">
        <v>9502</v>
      </c>
      <c r="I3200" s="242">
        <v>5294</v>
      </c>
      <c r="J3200"/>
    </row>
    <row r="3201" spans="1:10" ht="15.75" customHeight="1">
      <c r="A3201" t="s">
        <v>2577</v>
      </c>
      <c r="B3201">
        <v>812200</v>
      </c>
      <c r="C3201">
        <v>1</v>
      </c>
      <c r="D3201" t="str">
        <f t="shared" si="49"/>
        <v>1812200.140</v>
      </c>
      <c r="E3201" t="s">
        <v>2578</v>
      </c>
      <c r="F3201" s="242"/>
      <c r="G3201"/>
      <c r="H3201" s="242">
        <v>348052</v>
      </c>
      <c r="I3201" s="242">
        <v>342148</v>
      </c>
      <c r="J3201"/>
    </row>
    <row r="3202" spans="1:10" ht="15.75" customHeight="1">
      <c r="A3202" t="s">
        <v>2579</v>
      </c>
      <c r="B3202">
        <v>812200</v>
      </c>
      <c r="C3202">
        <v>1</v>
      </c>
      <c r="D3202" t="str">
        <f t="shared" si="49"/>
        <v>1812200.181</v>
      </c>
      <c r="E3202" t="s">
        <v>2580</v>
      </c>
      <c r="F3202" s="242"/>
      <c r="G3202"/>
      <c r="H3202" s="242">
        <v>2049358</v>
      </c>
      <c r="I3202" s="242">
        <v>2015439</v>
      </c>
      <c r="J3202"/>
    </row>
    <row r="3203" spans="1:10" ht="15.75" customHeight="1">
      <c r="A3203" t="s">
        <v>2581</v>
      </c>
      <c r="B3203">
        <v>812200</v>
      </c>
      <c r="C3203">
        <v>1</v>
      </c>
      <c r="D3203" t="str">
        <f t="shared" ref="D3203:D3266" si="50">C3203&amp;B3203&amp;"."&amp;A3203</f>
        <v>1812200.182</v>
      </c>
      <c r="E3203" t="s">
        <v>2582</v>
      </c>
      <c r="F3203" s="242"/>
      <c r="G3203"/>
      <c r="H3203" s="242">
        <v>899972</v>
      </c>
      <c r="I3203" s="242">
        <v>891594</v>
      </c>
      <c r="J3203"/>
    </row>
    <row r="3204" spans="1:10" ht="15.75" customHeight="1">
      <c r="A3204" t="s">
        <v>2652</v>
      </c>
      <c r="B3204">
        <v>812200</v>
      </c>
      <c r="C3204">
        <v>1</v>
      </c>
      <c r="D3204" t="str">
        <f t="shared" si="50"/>
        <v>1812200.420</v>
      </c>
      <c r="E3204" t="s">
        <v>2653</v>
      </c>
      <c r="F3204" s="242"/>
      <c r="G3204"/>
      <c r="H3204" s="242">
        <v>42500</v>
      </c>
      <c r="I3204" s="242">
        <v>44830</v>
      </c>
      <c r="J3204"/>
    </row>
    <row r="3205" spans="1:10" ht="15.75" customHeight="1">
      <c r="A3205" t="s">
        <v>1663</v>
      </c>
      <c r="B3205">
        <v>812200</v>
      </c>
      <c r="C3205">
        <v>1</v>
      </c>
      <c r="D3205" t="str">
        <f t="shared" si="50"/>
        <v>1812200.431</v>
      </c>
      <c r="E3205" t="s">
        <v>2654</v>
      </c>
      <c r="F3205" s="242"/>
      <c r="G3205"/>
      <c r="H3205" s="242">
        <v>446300</v>
      </c>
      <c r="I3205" s="242">
        <v>462882</v>
      </c>
      <c r="J3205"/>
    </row>
    <row r="3206" spans="1:10" ht="15.75" customHeight="1">
      <c r="A3206" t="s">
        <v>1668</v>
      </c>
      <c r="B3206">
        <v>812200</v>
      </c>
      <c r="C3206">
        <v>1</v>
      </c>
      <c r="D3206" t="str">
        <f t="shared" si="50"/>
        <v>1812200.432</v>
      </c>
      <c r="E3206" t="s">
        <v>2687</v>
      </c>
      <c r="F3206" s="242"/>
      <c r="G3206"/>
      <c r="H3206" s="242">
        <v>127800</v>
      </c>
      <c r="I3206" s="242">
        <v>124567</v>
      </c>
      <c r="J3206"/>
    </row>
    <row r="3207" spans="1:10" ht="15.75" customHeight="1">
      <c r="A3207" t="s">
        <v>1673</v>
      </c>
      <c r="B3207">
        <v>812200</v>
      </c>
      <c r="C3207">
        <v>1</v>
      </c>
      <c r="D3207" t="str">
        <f t="shared" si="50"/>
        <v>1812200.433</v>
      </c>
      <c r="E3207" t="s">
        <v>2655</v>
      </c>
      <c r="F3207" s="242"/>
      <c r="G3207"/>
      <c r="H3207" s="242">
        <v>18000</v>
      </c>
      <c r="I3207" s="242">
        <v>0</v>
      </c>
      <c r="J3207"/>
    </row>
    <row r="3208" spans="1:10" ht="15.75" customHeight="1">
      <c r="A3208" t="s">
        <v>2606</v>
      </c>
      <c r="B3208">
        <v>812200</v>
      </c>
      <c r="C3208">
        <v>1</v>
      </c>
      <c r="D3208" t="str">
        <f t="shared" si="50"/>
        <v>1812200.440</v>
      </c>
      <c r="E3208" t="s">
        <v>2657</v>
      </c>
      <c r="F3208" s="242"/>
      <c r="G3208"/>
      <c r="H3208" s="242">
        <v>70200</v>
      </c>
      <c r="I3208" s="242">
        <v>67837</v>
      </c>
      <c r="J3208"/>
    </row>
    <row r="3209" spans="1:10" ht="15.75" customHeight="1">
      <c r="A3209" t="s">
        <v>2594</v>
      </c>
      <c r="B3209">
        <v>812200</v>
      </c>
      <c r="C3209">
        <v>1</v>
      </c>
      <c r="D3209" t="str">
        <f t="shared" si="50"/>
        <v>1812200.540</v>
      </c>
      <c r="E3209" t="s">
        <v>2595</v>
      </c>
      <c r="F3209" s="242"/>
      <c r="G3209"/>
      <c r="H3209" s="242">
        <v>80000</v>
      </c>
      <c r="I3209" s="242">
        <v>61674</v>
      </c>
      <c r="J3209"/>
    </row>
    <row r="3210" spans="1:10" ht="15.75" customHeight="1">
      <c r="A3210" t="s">
        <v>2600</v>
      </c>
      <c r="B3210">
        <v>812200</v>
      </c>
      <c r="C3210">
        <v>1</v>
      </c>
      <c r="D3210" t="str">
        <f t="shared" si="50"/>
        <v>1812200.580</v>
      </c>
      <c r="E3210" t="s">
        <v>2601</v>
      </c>
      <c r="F3210" s="242"/>
      <c r="G3210"/>
      <c r="H3210" s="242">
        <v>4000</v>
      </c>
      <c r="I3210" s="242">
        <v>367</v>
      </c>
      <c r="J3210"/>
    </row>
    <row r="3211" spans="1:10" ht="15.75" customHeight="1">
      <c r="A3211" t="s">
        <v>575</v>
      </c>
      <c r="B3211">
        <v>812200</v>
      </c>
      <c r="C3211">
        <v>1</v>
      </c>
      <c r="D3211" t="str">
        <f t="shared" si="50"/>
        <v>1812200.726</v>
      </c>
      <c r="E3211" t="s">
        <v>3090</v>
      </c>
      <c r="F3211" s="242"/>
      <c r="G3211"/>
      <c r="H3211" s="242">
        <v>0</v>
      </c>
      <c r="I3211" s="242">
        <v>1351</v>
      </c>
      <c r="J3211"/>
    </row>
    <row r="3212" spans="1:10" ht="15.75" customHeight="1">
      <c r="A3212" t="s">
        <v>673</v>
      </c>
      <c r="B3212">
        <v>812200</v>
      </c>
      <c r="C3212">
        <v>1</v>
      </c>
      <c r="D3212" t="str">
        <f t="shared" si="50"/>
        <v>1812200.743</v>
      </c>
      <c r="E3212" t="s">
        <v>2622</v>
      </c>
      <c r="F3212" s="242"/>
      <c r="G3212"/>
      <c r="H3212" s="242">
        <v>95000</v>
      </c>
      <c r="I3212" s="242">
        <v>95960</v>
      </c>
      <c r="J3212"/>
    </row>
    <row r="3213" spans="1:10" ht="15.75" customHeight="1">
      <c r="A3213" t="s">
        <v>772</v>
      </c>
      <c r="B3213">
        <v>812200</v>
      </c>
      <c r="C3213">
        <v>1</v>
      </c>
      <c r="D3213" t="str">
        <f t="shared" si="50"/>
        <v>1812200.751</v>
      </c>
      <c r="E3213" t="s">
        <v>3091</v>
      </c>
      <c r="F3213" s="242"/>
      <c r="G3213"/>
      <c r="H3213" s="242">
        <v>839532</v>
      </c>
      <c r="I3213" s="242">
        <v>719745</v>
      </c>
      <c r="J3213"/>
    </row>
    <row r="3214" spans="1:10" ht="15.75" customHeight="1">
      <c r="A3214" t="s">
        <v>776</v>
      </c>
      <c r="B3214">
        <v>812200</v>
      </c>
      <c r="C3214">
        <v>1</v>
      </c>
      <c r="D3214" t="str">
        <f t="shared" si="50"/>
        <v>1812200.752</v>
      </c>
      <c r="E3214" t="s">
        <v>2835</v>
      </c>
      <c r="F3214" s="242"/>
      <c r="G3214"/>
      <c r="H3214" s="242">
        <v>35000</v>
      </c>
      <c r="I3214" s="242">
        <v>19378</v>
      </c>
      <c r="J3214"/>
    </row>
    <row r="3215" spans="1:10" ht="15.75" customHeight="1">
      <c r="A3215" t="s">
        <v>2759</v>
      </c>
      <c r="B3215">
        <v>812200</v>
      </c>
      <c r="C3215">
        <v>1</v>
      </c>
      <c r="D3215" t="str">
        <f t="shared" si="50"/>
        <v>1812200.760</v>
      </c>
      <c r="E3215" t="s">
        <v>3092</v>
      </c>
      <c r="F3215" s="242"/>
      <c r="G3215"/>
      <c r="H3215" s="242">
        <v>208916</v>
      </c>
      <c r="I3215" s="242">
        <v>293988</v>
      </c>
      <c r="J3215"/>
    </row>
    <row r="3216" spans="1:10" ht="15.75" customHeight="1">
      <c r="A3216" t="s">
        <v>801</v>
      </c>
      <c r="B3216">
        <v>812200</v>
      </c>
      <c r="C3216">
        <v>1</v>
      </c>
      <c r="D3216" t="str">
        <f t="shared" si="50"/>
        <v>1812200.761</v>
      </c>
      <c r="E3216" t="s">
        <v>4666</v>
      </c>
      <c r="F3216" s="242"/>
      <c r="G3216"/>
      <c r="H3216" s="242">
        <v>899950</v>
      </c>
      <c r="I3216" s="242">
        <v>2380</v>
      </c>
      <c r="J3216"/>
    </row>
    <row r="3217" spans="1:10" ht="15.75" customHeight="1">
      <c r="A3217" t="s">
        <v>2632</v>
      </c>
      <c r="B3217">
        <v>812200</v>
      </c>
      <c r="C3217">
        <v>1</v>
      </c>
      <c r="D3217" t="str">
        <f t="shared" si="50"/>
        <v>1812200.780</v>
      </c>
      <c r="E3217" t="s">
        <v>3093</v>
      </c>
      <c r="F3217" s="242"/>
      <c r="G3217"/>
      <c r="H3217" s="242">
        <v>120000</v>
      </c>
      <c r="I3217" s="242">
        <v>0</v>
      </c>
      <c r="J3217"/>
    </row>
    <row r="3218" spans="1:10" ht="15.75" customHeight="1">
      <c r="A3218" t="s">
        <v>872</v>
      </c>
      <c r="B3218">
        <v>812200</v>
      </c>
      <c r="C3218">
        <v>1</v>
      </c>
      <c r="D3218" t="str">
        <f t="shared" si="50"/>
        <v>1812200.781</v>
      </c>
      <c r="E3218" t="s">
        <v>3087</v>
      </c>
      <c r="F3218" s="242"/>
      <c r="G3218"/>
      <c r="H3218" s="242">
        <v>26400</v>
      </c>
      <c r="I3218" s="242">
        <v>26400</v>
      </c>
      <c r="J3218"/>
    </row>
    <row r="3219" spans="1:10" ht="15.75" customHeight="1">
      <c r="A3219" t="s">
        <v>877</v>
      </c>
      <c r="B3219">
        <v>812200</v>
      </c>
      <c r="C3219">
        <v>1</v>
      </c>
      <c r="D3219" t="str">
        <f t="shared" si="50"/>
        <v>1812200.782</v>
      </c>
      <c r="E3219" t="s">
        <v>3094</v>
      </c>
      <c r="F3219" s="242"/>
      <c r="G3219"/>
      <c r="H3219" s="242">
        <v>100000</v>
      </c>
      <c r="I3219" s="242">
        <v>0</v>
      </c>
      <c r="J3219"/>
    </row>
    <row r="3220" spans="1:10" ht="15.75" customHeight="1">
      <c r="A3220" t="s">
        <v>2676</v>
      </c>
      <c r="B3220">
        <v>812200</v>
      </c>
      <c r="C3220">
        <v>1</v>
      </c>
      <c r="D3220" t="str">
        <f t="shared" si="50"/>
        <v>1812200.784</v>
      </c>
      <c r="E3220" t="s">
        <v>3095</v>
      </c>
      <c r="F3220" s="242"/>
      <c r="G3220"/>
      <c r="H3220" s="242">
        <v>561200</v>
      </c>
      <c r="I3220" s="242">
        <v>365400</v>
      </c>
      <c r="J3220"/>
    </row>
    <row r="3221" spans="1:10" ht="15.75" customHeight="1">
      <c r="A3221" t="s">
        <v>2403</v>
      </c>
      <c r="B3221">
        <v>812300</v>
      </c>
      <c r="C3221">
        <v>1</v>
      </c>
      <c r="D3221" t="str">
        <f t="shared" si="50"/>
        <v>1812300.110</v>
      </c>
      <c r="E3221" t="s">
        <v>2573</v>
      </c>
      <c r="F3221" s="242"/>
      <c r="G3221"/>
      <c r="H3221" s="242">
        <v>9071130</v>
      </c>
      <c r="I3221" s="242">
        <v>4946611</v>
      </c>
      <c r="J3221"/>
    </row>
    <row r="3222" spans="1:10" ht="15.75" customHeight="1">
      <c r="A3222" t="s">
        <v>2404</v>
      </c>
      <c r="B3222">
        <v>812300</v>
      </c>
      <c r="C3222">
        <v>1</v>
      </c>
      <c r="D3222" t="str">
        <f t="shared" si="50"/>
        <v>1812300.120</v>
      </c>
      <c r="E3222" t="s">
        <v>2574</v>
      </c>
      <c r="F3222" s="242"/>
      <c r="G3222"/>
      <c r="H3222" s="242">
        <v>183556</v>
      </c>
      <c r="I3222" s="242">
        <v>99039</v>
      </c>
      <c r="J3222"/>
    </row>
    <row r="3223" spans="1:10" s="23" customFormat="1" ht="15.75" customHeight="1">
      <c r="A3223" t="s">
        <v>2575</v>
      </c>
      <c r="B3223">
        <v>812300</v>
      </c>
      <c r="C3223">
        <v>1</v>
      </c>
      <c r="D3223" t="str">
        <f t="shared" si="50"/>
        <v>1812300.130</v>
      </c>
      <c r="E3223" t="s">
        <v>2576</v>
      </c>
      <c r="F3223" s="242"/>
      <c r="G3223"/>
      <c r="H3223" s="242">
        <v>10086</v>
      </c>
      <c r="I3223" s="242">
        <v>3065</v>
      </c>
      <c r="J3223"/>
    </row>
    <row r="3224" spans="1:10" s="23" customFormat="1" ht="15.75" customHeight="1">
      <c r="A3224" t="s">
        <v>2577</v>
      </c>
      <c r="B3224">
        <v>812300</v>
      </c>
      <c r="C3224">
        <v>1</v>
      </c>
      <c r="D3224" t="str">
        <f t="shared" si="50"/>
        <v>1812300.140</v>
      </c>
      <c r="E3224" t="s">
        <v>2578</v>
      </c>
      <c r="F3224" s="242"/>
      <c r="G3224"/>
      <c r="H3224" s="242">
        <v>252805</v>
      </c>
      <c r="I3224" s="242">
        <v>139787</v>
      </c>
      <c r="J3224"/>
    </row>
    <row r="3225" spans="1:10" ht="15.75" customHeight="1">
      <c r="A3225" t="s">
        <v>2579</v>
      </c>
      <c r="B3225">
        <v>812300</v>
      </c>
      <c r="C3225">
        <v>1</v>
      </c>
      <c r="D3225" t="str">
        <f t="shared" si="50"/>
        <v>1812300.181</v>
      </c>
      <c r="E3225" t="s">
        <v>2580</v>
      </c>
      <c r="F3225" s="242"/>
      <c r="G3225"/>
      <c r="H3225" s="242">
        <v>1594633</v>
      </c>
      <c r="I3225" s="242">
        <v>847403</v>
      </c>
      <c r="J3225"/>
    </row>
    <row r="3226" spans="1:10" ht="15.75" customHeight="1">
      <c r="A3226" t="s">
        <v>2581</v>
      </c>
      <c r="B3226">
        <v>812300</v>
      </c>
      <c r="C3226">
        <v>1</v>
      </c>
      <c r="D3226" t="str">
        <f t="shared" si="50"/>
        <v>1812300.182</v>
      </c>
      <c r="E3226" t="s">
        <v>2582</v>
      </c>
      <c r="F3226" s="242"/>
      <c r="G3226"/>
      <c r="H3226" s="242">
        <v>739732</v>
      </c>
      <c r="I3226" s="242">
        <v>394755</v>
      </c>
      <c r="J3226"/>
    </row>
    <row r="3227" spans="1:10" ht="15.75" customHeight="1">
      <c r="A3227" t="s">
        <v>2652</v>
      </c>
      <c r="B3227">
        <v>812300</v>
      </c>
      <c r="C3227">
        <v>1</v>
      </c>
      <c r="D3227" t="str">
        <f t="shared" si="50"/>
        <v>1812300.420</v>
      </c>
      <c r="E3227" t="s">
        <v>2653</v>
      </c>
      <c r="F3227" s="242"/>
      <c r="G3227"/>
      <c r="H3227" s="242">
        <v>47500</v>
      </c>
      <c r="I3227" s="242">
        <v>48573</v>
      </c>
      <c r="J3227"/>
    </row>
    <row r="3228" spans="1:10" ht="15.75" customHeight="1">
      <c r="A3228" t="s">
        <v>1663</v>
      </c>
      <c r="B3228">
        <v>812300</v>
      </c>
      <c r="C3228">
        <v>1</v>
      </c>
      <c r="D3228" t="str">
        <f t="shared" si="50"/>
        <v>1812300.431</v>
      </c>
      <c r="E3228" t="s">
        <v>2654</v>
      </c>
      <c r="F3228" s="242"/>
      <c r="G3228"/>
      <c r="H3228" s="242">
        <v>437700</v>
      </c>
      <c r="I3228" s="242">
        <v>375371</v>
      </c>
      <c r="J3228"/>
    </row>
    <row r="3229" spans="1:10" ht="15.75" customHeight="1">
      <c r="A3229" t="s">
        <v>1668</v>
      </c>
      <c r="B3229">
        <v>812300</v>
      </c>
      <c r="C3229">
        <v>1</v>
      </c>
      <c r="D3229" t="str">
        <f t="shared" si="50"/>
        <v>1812300.432</v>
      </c>
      <c r="E3229" t="s">
        <v>2687</v>
      </c>
      <c r="F3229" s="242"/>
      <c r="G3229"/>
      <c r="H3229" s="242">
        <v>126400</v>
      </c>
      <c r="I3229" s="242">
        <v>135421</v>
      </c>
      <c r="J3229"/>
    </row>
    <row r="3230" spans="1:10" ht="15.75" customHeight="1">
      <c r="A3230" t="s">
        <v>1673</v>
      </c>
      <c r="B3230">
        <v>812300</v>
      </c>
      <c r="C3230">
        <v>1</v>
      </c>
      <c r="D3230" t="str">
        <f t="shared" si="50"/>
        <v>1812300.433</v>
      </c>
      <c r="E3230" t="s">
        <v>2655</v>
      </c>
      <c r="F3230" s="242"/>
      <c r="G3230"/>
      <c r="H3230" s="242">
        <v>20000</v>
      </c>
      <c r="I3230" s="242">
        <v>0</v>
      </c>
      <c r="J3230"/>
    </row>
    <row r="3231" spans="1:10" ht="15.75" customHeight="1">
      <c r="A3231" t="s">
        <v>2606</v>
      </c>
      <c r="B3231">
        <v>812300</v>
      </c>
      <c r="C3231">
        <v>1</v>
      </c>
      <c r="D3231" t="str">
        <f t="shared" si="50"/>
        <v>1812300.440</v>
      </c>
      <c r="E3231" t="s">
        <v>2657</v>
      </c>
      <c r="F3231" s="242"/>
      <c r="G3231"/>
      <c r="H3231" s="242">
        <v>70200</v>
      </c>
      <c r="I3231" s="242">
        <v>67837</v>
      </c>
      <c r="J3231"/>
    </row>
    <row r="3232" spans="1:10" ht="15.75" customHeight="1">
      <c r="A3232" t="s">
        <v>2594</v>
      </c>
      <c r="B3232">
        <v>812300</v>
      </c>
      <c r="C3232">
        <v>1</v>
      </c>
      <c r="D3232" t="str">
        <f t="shared" si="50"/>
        <v>1812300.540</v>
      </c>
      <c r="E3232" t="s">
        <v>2595</v>
      </c>
      <c r="F3232" s="242"/>
      <c r="G3232"/>
      <c r="H3232" s="242">
        <v>80000</v>
      </c>
      <c r="I3232" s="242">
        <v>61674</v>
      </c>
      <c r="J3232"/>
    </row>
    <row r="3233" spans="1:10" ht="15.75" customHeight="1">
      <c r="A3233" t="s">
        <v>2771</v>
      </c>
      <c r="B3233">
        <v>812300</v>
      </c>
      <c r="C3233">
        <v>1</v>
      </c>
      <c r="D3233" t="str">
        <f t="shared" si="50"/>
        <v>1812300.570</v>
      </c>
      <c r="E3233" t="s">
        <v>3102</v>
      </c>
      <c r="F3233" s="242"/>
      <c r="G3233"/>
      <c r="H3233" s="242">
        <v>134100</v>
      </c>
      <c r="I3233" s="242">
        <v>131760</v>
      </c>
      <c r="J3233"/>
    </row>
    <row r="3234" spans="1:10" ht="15.75" customHeight="1">
      <c r="A3234" t="s">
        <v>2702</v>
      </c>
      <c r="B3234">
        <v>812300</v>
      </c>
      <c r="C3234">
        <v>1</v>
      </c>
      <c r="D3234" t="str">
        <f t="shared" si="50"/>
        <v>1812300.582</v>
      </c>
      <c r="E3234" t="s">
        <v>2797</v>
      </c>
      <c r="F3234" s="242"/>
      <c r="G3234"/>
      <c r="H3234" s="242">
        <v>80000</v>
      </c>
      <c r="I3234" s="242">
        <v>24642</v>
      </c>
      <c r="J3234"/>
    </row>
    <row r="3235" spans="1:10" ht="15.75" customHeight="1">
      <c r="A3235" t="s">
        <v>547</v>
      </c>
      <c r="B3235">
        <v>812300</v>
      </c>
      <c r="C3235">
        <v>1</v>
      </c>
      <c r="D3235" t="str">
        <f t="shared" si="50"/>
        <v>1812300.722</v>
      </c>
      <c r="E3235" t="s">
        <v>3020</v>
      </c>
      <c r="F3235" s="242"/>
      <c r="G3235"/>
      <c r="H3235" s="242">
        <v>100</v>
      </c>
      <c r="I3235" s="242">
        <v>0</v>
      </c>
      <c r="J3235"/>
    </row>
    <row r="3236" spans="1:10" ht="15.75" customHeight="1">
      <c r="A3236" t="s">
        <v>673</v>
      </c>
      <c r="B3236">
        <v>812300</v>
      </c>
      <c r="C3236">
        <v>1</v>
      </c>
      <c r="D3236" t="str">
        <f t="shared" si="50"/>
        <v>1812300.743</v>
      </c>
      <c r="E3236" t="s">
        <v>2622</v>
      </c>
      <c r="F3236" s="242"/>
      <c r="G3236"/>
      <c r="H3236" s="242">
        <v>40000</v>
      </c>
      <c r="I3236" s="242">
        <v>36994</v>
      </c>
      <c r="J3236"/>
    </row>
    <row r="3237" spans="1:10" ht="15.75" customHeight="1">
      <c r="A3237" t="s">
        <v>776</v>
      </c>
      <c r="B3237">
        <v>812300</v>
      </c>
      <c r="C3237">
        <v>1</v>
      </c>
      <c r="D3237" t="str">
        <f t="shared" si="50"/>
        <v>1812300.752</v>
      </c>
      <c r="E3237" t="s">
        <v>2835</v>
      </c>
      <c r="F3237" s="242"/>
      <c r="G3237"/>
      <c r="H3237" s="242">
        <v>28000</v>
      </c>
      <c r="I3237" s="242">
        <v>15926</v>
      </c>
      <c r="J3237"/>
    </row>
    <row r="3238" spans="1:10" ht="15.75" customHeight="1">
      <c r="A3238" t="s">
        <v>2759</v>
      </c>
      <c r="B3238">
        <v>812300</v>
      </c>
      <c r="C3238">
        <v>1</v>
      </c>
      <c r="D3238" t="str">
        <f t="shared" si="50"/>
        <v>1812300.760</v>
      </c>
      <c r="E3238" t="s">
        <v>3103</v>
      </c>
      <c r="F3238" s="242"/>
      <c r="G3238"/>
      <c r="H3238" s="242">
        <v>21427000</v>
      </c>
      <c r="I3238" s="242">
        <v>15652982</v>
      </c>
      <c r="J3238"/>
    </row>
    <row r="3239" spans="1:10" ht="15.75" customHeight="1">
      <c r="A3239" t="s">
        <v>835</v>
      </c>
      <c r="B3239">
        <v>812300</v>
      </c>
      <c r="C3239">
        <v>1</v>
      </c>
      <c r="D3239" t="str">
        <f t="shared" si="50"/>
        <v>1812300.769</v>
      </c>
      <c r="E3239" t="s">
        <v>2605</v>
      </c>
      <c r="F3239" s="242"/>
      <c r="G3239"/>
      <c r="H3239" s="242">
        <v>186360</v>
      </c>
      <c r="I3239" s="242">
        <v>0</v>
      </c>
      <c r="J3239"/>
    </row>
    <row r="3240" spans="1:10" ht="15.75" customHeight="1">
      <c r="A3240" t="s">
        <v>2632</v>
      </c>
      <c r="B3240">
        <v>812300</v>
      </c>
      <c r="C3240">
        <v>1</v>
      </c>
      <c r="D3240" t="str">
        <f t="shared" si="50"/>
        <v>1812300.780</v>
      </c>
      <c r="E3240" t="s">
        <v>3093</v>
      </c>
      <c r="F3240" s="242"/>
      <c r="G3240"/>
      <c r="H3240" s="242">
        <v>20000</v>
      </c>
      <c r="I3240" s="242">
        <v>0</v>
      </c>
      <c r="J3240"/>
    </row>
    <row r="3241" spans="1:10" ht="15.75" customHeight="1">
      <c r="A3241" t="s">
        <v>2676</v>
      </c>
      <c r="B3241">
        <v>812300</v>
      </c>
      <c r="C3241">
        <v>1</v>
      </c>
      <c r="D3241" t="str">
        <f t="shared" si="50"/>
        <v>1812300.784</v>
      </c>
      <c r="E3241" t="s">
        <v>3095</v>
      </c>
      <c r="F3241" s="242"/>
      <c r="G3241"/>
      <c r="H3241" s="242">
        <v>617400</v>
      </c>
      <c r="I3241" s="242">
        <v>473400</v>
      </c>
      <c r="J3241"/>
    </row>
    <row r="3242" spans="1:10" ht="15.75" customHeight="1">
      <c r="A3242" t="s">
        <v>2403</v>
      </c>
      <c r="B3242">
        <v>812600</v>
      </c>
      <c r="C3242">
        <v>1</v>
      </c>
      <c r="D3242" t="str">
        <f t="shared" si="50"/>
        <v>1812600.110</v>
      </c>
      <c r="E3242" t="s">
        <v>3115</v>
      </c>
      <c r="F3242" s="242"/>
      <c r="G3242"/>
      <c r="H3242" s="242">
        <v>3432199</v>
      </c>
      <c r="I3242" s="242">
        <v>3284118</v>
      </c>
      <c r="J3242"/>
    </row>
    <row r="3243" spans="1:10" ht="15.75" customHeight="1">
      <c r="A3243" t="s">
        <v>2404</v>
      </c>
      <c r="B3243">
        <v>812600</v>
      </c>
      <c r="C3243">
        <v>1</v>
      </c>
      <c r="D3243" t="str">
        <f t="shared" si="50"/>
        <v>1812600.120</v>
      </c>
      <c r="E3243" t="s">
        <v>2574</v>
      </c>
      <c r="F3243" s="242"/>
      <c r="G3243"/>
      <c r="H3243" s="242">
        <v>1359119</v>
      </c>
      <c r="I3243" s="242">
        <v>1432724</v>
      </c>
      <c r="J3243"/>
    </row>
    <row r="3244" spans="1:10" ht="15.75" customHeight="1">
      <c r="A3244" t="s">
        <v>2575</v>
      </c>
      <c r="B3244">
        <v>812600</v>
      </c>
      <c r="C3244">
        <v>1</v>
      </c>
      <c r="D3244" t="str">
        <f t="shared" si="50"/>
        <v>1812600.130</v>
      </c>
      <c r="E3244" t="s">
        <v>2576</v>
      </c>
      <c r="F3244" s="242"/>
      <c r="G3244"/>
      <c r="H3244" s="242">
        <v>95026</v>
      </c>
      <c r="I3244" s="242">
        <v>81844</v>
      </c>
      <c r="J3244"/>
    </row>
    <row r="3245" spans="1:10" ht="15.75" customHeight="1">
      <c r="A3245" t="s">
        <v>2577</v>
      </c>
      <c r="B3245">
        <v>812600</v>
      </c>
      <c r="C3245">
        <v>1</v>
      </c>
      <c r="D3245" t="str">
        <f t="shared" si="50"/>
        <v>1812600.140</v>
      </c>
      <c r="E3245" t="s">
        <v>2578</v>
      </c>
      <c r="F3245" s="242"/>
      <c r="G3245"/>
      <c r="H3245" s="242">
        <v>128483</v>
      </c>
      <c r="I3245" s="242">
        <v>122256</v>
      </c>
      <c r="J3245"/>
    </row>
    <row r="3246" spans="1:10" ht="15.75" customHeight="1">
      <c r="A3246" t="s">
        <v>2579</v>
      </c>
      <c r="B3246">
        <v>812600</v>
      </c>
      <c r="C3246">
        <v>1</v>
      </c>
      <c r="D3246" t="str">
        <f t="shared" si="50"/>
        <v>1812600.181</v>
      </c>
      <c r="E3246" t="s">
        <v>2580</v>
      </c>
      <c r="F3246" s="242"/>
      <c r="G3246"/>
      <c r="H3246" s="242">
        <v>936588</v>
      </c>
      <c r="I3246" s="242">
        <v>905332</v>
      </c>
      <c r="J3246"/>
    </row>
    <row r="3247" spans="1:10" ht="15.75" customHeight="1">
      <c r="A3247" t="s">
        <v>2581</v>
      </c>
      <c r="B3247">
        <v>812600</v>
      </c>
      <c r="C3247">
        <v>1</v>
      </c>
      <c r="D3247" t="str">
        <f t="shared" si="50"/>
        <v>1812600.182</v>
      </c>
      <c r="E3247" t="s">
        <v>2582</v>
      </c>
      <c r="F3247" s="242"/>
      <c r="G3247"/>
      <c r="H3247" s="242">
        <v>377766</v>
      </c>
      <c r="I3247" s="242">
        <v>370304</v>
      </c>
      <c r="J3247"/>
    </row>
    <row r="3248" spans="1:10" ht="15.75" customHeight="1">
      <c r="A3248" t="s">
        <v>2652</v>
      </c>
      <c r="B3248">
        <v>812600</v>
      </c>
      <c r="C3248">
        <v>1</v>
      </c>
      <c r="D3248" t="str">
        <f t="shared" si="50"/>
        <v>1812600.420</v>
      </c>
      <c r="E3248" t="s">
        <v>2653</v>
      </c>
      <c r="F3248" s="242"/>
      <c r="G3248"/>
      <c r="H3248" s="242">
        <v>38000</v>
      </c>
      <c r="I3248" s="242">
        <v>26793</v>
      </c>
      <c r="J3248"/>
    </row>
    <row r="3249" spans="1:10" ht="15.75" customHeight="1">
      <c r="A3249" t="s">
        <v>1663</v>
      </c>
      <c r="B3249">
        <v>812600</v>
      </c>
      <c r="C3249">
        <v>1</v>
      </c>
      <c r="D3249" t="str">
        <f t="shared" si="50"/>
        <v>1812600.431</v>
      </c>
      <c r="E3249" t="s">
        <v>2654</v>
      </c>
      <c r="F3249" s="242"/>
      <c r="G3249"/>
      <c r="H3249" s="242">
        <v>87200</v>
      </c>
      <c r="I3249" s="242">
        <v>101164</v>
      </c>
      <c r="J3249"/>
    </row>
    <row r="3250" spans="1:10" ht="15.75" customHeight="1">
      <c r="A3250" t="s">
        <v>1673</v>
      </c>
      <c r="B3250">
        <v>812600</v>
      </c>
      <c r="C3250">
        <v>1</v>
      </c>
      <c r="D3250" t="str">
        <f t="shared" si="50"/>
        <v>1812600.433</v>
      </c>
      <c r="E3250" t="s">
        <v>2655</v>
      </c>
      <c r="F3250" s="242"/>
      <c r="G3250"/>
      <c r="H3250" s="242">
        <v>22000</v>
      </c>
      <c r="I3250" s="242">
        <v>11389</v>
      </c>
      <c r="J3250"/>
    </row>
    <row r="3251" spans="1:10" ht="15.75" customHeight="1">
      <c r="A3251" t="s">
        <v>1678</v>
      </c>
      <c r="B3251">
        <v>812600</v>
      </c>
      <c r="C3251">
        <v>1</v>
      </c>
      <c r="D3251" t="str">
        <f t="shared" si="50"/>
        <v>1812600.434</v>
      </c>
      <c r="E3251" t="s">
        <v>2753</v>
      </c>
      <c r="F3251" s="242"/>
      <c r="G3251"/>
      <c r="H3251" s="242">
        <v>13000</v>
      </c>
      <c r="I3251" s="242">
        <v>10441</v>
      </c>
      <c r="J3251"/>
    </row>
    <row r="3252" spans="1:10" ht="15.75" customHeight="1">
      <c r="A3252" t="s">
        <v>2606</v>
      </c>
      <c r="B3252">
        <v>812600</v>
      </c>
      <c r="C3252">
        <v>1</v>
      </c>
      <c r="D3252" t="str">
        <f t="shared" si="50"/>
        <v>1812600.440</v>
      </c>
      <c r="E3252" t="s">
        <v>2657</v>
      </c>
      <c r="F3252" s="242"/>
      <c r="G3252"/>
      <c r="H3252" s="242">
        <v>26300</v>
      </c>
      <c r="I3252" s="242">
        <v>25389</v>
      </c>
      <c r="J3252"/>
    </row>
    <row r="3253" spans="1:10" ht="15.75" customHeight="1">
      <c r="A3253" t="s">
        <v>2594</v>
      </c>
      <c r="B3253">
        <v>812600</v>
      </c>
      <c r="C3253">
        <v>1</v>
      </c>
      <c r="D3253" t="str">
        <f t="shared" si="50"/>
        <v>1812600.540</v>
      </c>
      <c r="E3253" t="s">
        <v>2595</v>
      </c>
      <c r="F3253" s="242"/>
      <c r="G3253"/>
      <c r="H3253" s="242">
        <v>34000</v>
      </c>
      <c r="I3253" s="242">
        <v>18277</v>
      </c>
      <c r="J3253"/>
    </row>
    <row r="3254" spans="1:10" ht="15.75" customHeight="1">
      <c r="A3254" t="s">
        <v>547</v>
      </c>
      <c r="B3254">
        <v>812600</v>
      </c>
      <c r="C3254">
        <v>1</v>
      </c>
      <c r="D3254" t="str">
        <f t="shared" si="50"/>
        <v>1812600.722</v>
      </c>
      <c r="E3254" t="s">
        <v>3020</v>
      </c>
      <c r="F3254" s="242"/>
      <c r="G3254"/>
      <c r="H3254" s="242">
        <v>100</v>
      </c>
      <c r="I3254" s="242">
        <v>37679</v>
      </c>
      <c r="J3254"/>
    </row>
    <row r="3255" spans="1:10" ht="15.75" customHeight="1">
      <c r="A3255" t="s">
        <v>558</v>
      </c>
      <c r="B3255">
        <v>812600</v>
      </c>
      <c r="C3255">
        <v>1</v>
      </c>
      <c r="D3255" t="str">
        <f t="shared" si="50"/>
        <v>1812600.723</v>
      </c>
      <c r="E3255" t="s">
        <v>3116</v>
      </c>
      <c r="F3255" s="242"/>
      <c r="G3255"/>
      <c r="H3255" s="242">
        <v>365000</v>
      </c>
      <c r="I3255" s="242">
        <v>286770</v>
      </c>
      <c r="J3255"/>
    </row>
    <row r="3256" spans="1:10" ht="15.75" customHeight="1">
      <c r="A3256" t="s">
        <v>575</v>
      </c>
      <c r="B3256">
        <v>812600</v>
      </c>
      <c r="C3256">
        <v>1</v>
      </c>
      <c r="D3256" t="str">
        <f t="shared" si="50"/>
        <v>1812600.726</v>
      </c>
      <c r="E3256" t="s">
        <v>3090</v>
      </c>
      <c r="F3256" s="242"/>
      <c r="G3256"/>
      <c r="H3256" s="242">
        <v>0</v>
      </c>
      <c r="I3256" s="242">
        <v>300</v>
      </c>
      <c r="J3256"/>
    </row>
    <row r="3257" spans="1:10" ht="15.75" customHeight="1">
      <c r="A3257" t="s">
        <v>673</v>
      </c>
      <c r="B3257">
        <v>812600</v>
      </c>
      <c r="C3257">
        <v>1</v>
      </c>
      <c r="D3257" t="str">
        <f t="shared" si="50"/>
        <v>1812600.743</v>
      </c>
      <c r="E3257" t="s">
        <v>2622</v>
      </c>
      <c r="F3257" s="242"/>
      <c r="G3257"/>
      <c r="H3257" s="242">
        <v>80000</v>
      </c>
      <c r="I3257" s="242">
        <v>69351</v>
      </c>
      <c r="J3257"/>
    </row>
    <row r="3258" spans="1:10" ht="15.75" customHeight="1">
      <c r="A3258" t="s">
        <v>772</v>
      </c>
      <c r="B3258">
        <v>812600</v>
      </c>
      <c r="C3258">
        <v>1</v>
      </c>
      <c r="D3258" t="str">
        <f t="shared" si="50"/>
        <v>1812600.751</v>
      </c>
      <c r="E3258" t="s">
        <v>2708</v>
      </c>
      <c r="F3258" s="242"/>
      <c r="G3258"/>
      <c r="H3258" s="242">
        <v>115868</v>
      </c>
      <c r="I3258" s="242">
        <v>82077</v>
      </c>
      <c r="J3258"/>
    </row>
    <row r="3259" spans="1:10" ht="15.75" customHeight="1">
      <c r="A3259" t="s">
        <v>776</v>
      </c>
      <c r="B3259">
        <v>812600</v>
      </c>
      <c r="C3259">
        <v>1</v>
      </c>
      <c r="D3259" t="str">
        <f t="shared" si="50"/>
        <v>1812600.752</v>
      </c>
      <c r="E3259" t="s">
        <v>2835</v>
      </c>
      <c r="F3259" s="242"/>
      <c r="G3259"/>
      <c r="H3259" s="242">
        <v>35000</v>
      </c>
      <c r="I3259" s="242">
        <v>24839</v>
      </c>
      <c r="J3259"/>
    </row>
    <row r="3260" spans="1:10" ht="15.75" customHeight="1">
      <c r="A3260" t="s">
        <v>2632</v>
      </c>
      <c r="B3260">
        <v>812600</v>
      </c>
      <c r="C3260">
        <v>1</v>
      </c>
      <c r="D3260" t="str">
        <f t="shared" si="50"/>
        <v>1812600.780</v>
      </c>
      <c r="E3260" t="s">
        <v>3095</v>
      </c>
      <c r="F3260" s="242"/>
      <c r="G3260"/>
      <c r="H3260" s="242">
        <v>140000</v>
      </c>
      <c r="I3260" s="242">
        <v>124200</v>
      </c>
      <c r="J3260"/>
    </row>
    <row r="3261" spans="1:10" ht="15.75" customHeight="1">
      <c r="A3261" t="s">
        <v>872</v>
      </c>
      <c r="B3261">
        <v>812600</v>
      </c>
      <c r="C3261">
        <v>1</v>
      </c>
      <c r="D3261" t="str">
        <f t="shared" si="50"/>
        <v>1812600.781</v>
      </c>
      <c r="E3261" t="s">
        <v>3093</v>
      </c>
      <c r="F3261" s="242"/>
      <c r="G3261"/>
      <c r="H3261" s="242">
        <v>30000</v>
      </c>
      <c r="I3261" s="242">
        <v>700</v>
      </c>
      <c r="J3261"/>
    </row>
    <row r="3262" spans="1:10" ht="15.75" customHeight="1">
      <c r="A3262" t="s">
        <v>2676</v>
      </c>
      <c r="B3262">
        <v>812600</v>
      </c>
      <c r="C3262">
        <v>1</v>
      </c>
      <c r="D3262" t="str">
        <f t="shared" si="50"/>
        <v>1812600.784</v>
      </c>
      <c r="E3262" t="s">
        <v>3117</v>
      </c>
      <c r="F3262" s="242"/>
      <c r="G3262"/>
      <c r="H3262" s="242">
        <v>75000</v>
      </c>
      <c r="I3262" s="242">
        <v>67125</v>
      </c>
      <c r="J3262"/>
    </row>
    <row r="3263" spans="1:10" ht="15.75" customHeight="1">
      <c r="A3263" t="s">
        <v>2750</v>
      </c>
      <c r="B3263">
        <v>812600</v>
      </c>
      <c r="C3263">
        <v>1</v>
      </c>
      <c r="D3263" t="str">
        <f t="shared" si="50"/>
        <v>1812600.785</v>
      </c>
      <c r="E3263" t="s">
        <v>3118</v>
      </c>
      <c r="F3263" s="242"/>
      <c r="G3263"/>
      <c r="H3263" s="242">
        <v>15000</v>
      </c>
      <c r="I3263" s="242">
        <v>6847</v>
      </c>
      <c r="J3263"/>
    </row>
    <row r="3264" spans="1:10" ht="15.75" customHeight="1">
      <c r="A3264" t="s">
        <v>2403</v>
      </c>
      <c r="B3264">
        <v>812610</v>
      </c>
      <c r="C3264">
        <v>1</v>
      </c>
      <c r="D3264" t="str">
        <f t="shared" si="50"/>
        <v>1812610.110</v>
      </c>
      <c r="E3264" t="s">
        <v>2573</v>
      </c>
      <c r="F3264" s="242"/>
      <c r="G3264"/>
      <c r="H3264" s="242">
        <v>203554</v>
      </c>
      <c r="I3264" s="242">
        <v>119819</v>
      </c>
      <c r="J3264"/>
    </row>
    <row r="3265" spans="1:10" ht="15.75" customHeight="1">
      <c r="A3265" t="s">
        <v>2404</v>
      </c>
      <c r="B3265">
        <v>812610</v>
      </c>
      <c r="C3265">
        <v>1</v>
      </c>
      <c r="D3265" t="str">
        <f t="shared" si="50"/>
        <v>1812610.120</v>
      </c>
      <c r="E3265" t="s">
        <v>2574</v>
      </c>
      <c r="F3265" s="242"/>
      <c r="G3265"/>
      <c r="H3265" s="242">
        <v>62073</v>
      </c>
      <c r="I3265" s="242">
        <v>24896</v>
      </c>
      <c r="J3265"/>
    </row>
    <row r="3266" spans="1:10" ht="15.75" customHeight="1">
      <c r="A3266" t="s">
        <v>2575</v>
      </c>
      <c r="B3266">
        <v>812610</v>
      </c>
      <c r="C3266">
        <v>1</v>
      </c>
      <c r="D3266" t="str">
        <f t="shared" si="50"/>
        <v>1812610.130</v>
      </c>
      <c r="E3266" t="s">
        <v>2576</v>
      </c>
      <c r="F3266" s="242"/>
      <c r="G3266"/>
      <c r="H3266" s="242">
        <v>29910</v>
      </c>
      <c r="I3266" s="242">
        <v>12494</v>
      </c>
      <c r="J3266"/>
    </row>
    <row r="3267" spans="1:10" ht="15.75" customHeight="1">
      <c r="A3267" t="s">
        <v>2577</v>
      </c>
      <c r="B3267">
        <v>812610</v>
      </c>
      <c r="C3267">
        <v>1</v>
      </c>
      <c r="D3267" t="str">
        <f t="shared" ref="D3267:D3330" si="51">C3267&amp;B3267&amp;"."&amp;A3267</f>
        <v>1812610.140</v>
      </c>
      <c r="E3267" t="s">
        <v>2578</v>
      </c>
      <c r="F3267" s="242"/>
      <c r="G3267"/>
      <c r="H3267" s="242">
        <v>48131</v>
      </c>
      <c r="I3267" s="242">
        <v>30855</v>
      </c>
      <c r="J3267"/>
    </row>
    <row r="3268" spans="1:10" ht="15.75" customHeight="1">
      <c r="A3268" t="s">
        <v>2579</v>
      </c>
      <c r="B3268">
        <v>812610</v>
      </c>
      <c r="C3268">
        <v>1</v>
      </c>
      <c r="D3268" t="str">
        <f t="shared" si="51"/>
        <v>1812610.181</v>
      </c>
      <c r="E3268" t="s">
        <v>2580</v>
      </c>
      <c r="F3268" s="242"/>
      <c r="G3268"/>
      <c r="H3268" s="242">
        <v>50805</v>
      </c>
      <c r="I3268" s="242">
        <v>29392</v>
      </c>
      <c r="J3268"/>
    </row>
    <row r="3269" spans="1:10" ht="15.75" customHeight="1">
      <c r="A3269" t="s">
        <v>2581</v>
      </c>
      <c r="B3269">
        <v>812610</v>
      </c>
      <c r="C3269">
        <v>1</v>
      </c>
      <c r="D3269" t="str">
        <f t="shared" si="51"/>
        <v>1812610.182</v>
      </c>
      <c r="E3269" t="s">
        <v>2582</v>
      </c>
      <c r="F3269" s="242"/>
      <c r="G3269"/>
      <c r="H3269" s="242">
        <v>25941</v>
      </c>
      <c r="I3269" s="242">
        <v>14219</v>
      </c>
      <c r="J3269"/>
    </row>
    <row r="3270" spans="1:10" ht="15.75" customHeight="1">
      <c r="A3270" t="s">
        <v>2594</v>
      </c>
      <c r="B3270">
        <v>812610</v>
      </c>
      <c r="C3270">
        <v>1</v>
      </c>
      <c r="D3270" t="str">
        <f t="shared" si="51"/>
        <v>1812610.540</v>
      </c>
      <c r="E3270" t="s">
        <v>2595</v>
      </c>
      <c r="F3270" s="242"/>
      <c r="G3270"/>
      <c r="H3270" s="242">
        <v>7000</v>
      </c>
      <c r="I3270" s="242">
        <v>4390</v>
      </c>
      <c r="J3270"/>
    </row>
    <row r="3271" spans="1:10" ht="15.75" customHeight="1">
      <c r="A3271" t="s">
        <v>2598</v>
      </c>
      <c r="B3271">
        <v>812610</v>
      </c>
      <c r="C3271">
        <v>1</v>
      </c>
      <c r="D3271" t="str">
        <f t="shared" si="51"/>
        <v>1812610.561</v>
      </c>
      <c r="E3271" t="s">
        <v>2599</v>
      </c>
      <c r="F3271" s="242"/>
      <c r="G3271"/>
      <c r="H3271" s="242">
        <v>0</v>
      </c>
      <c r="I3271" s="242">
        <v>0</v>
      </c>
      <c r="J3271"/>
    </row>
    <row r="3272" spans="1:10" ht="15.75" customHeight="1">
      <c r="A3272" t="s">
        <v>877</v>
      </c>
      <c r="B3272">
        <v>812610</v>
      </c>
      <c r="C3272">
        <v>1</v>
      </c>
      <c r="D3272" t="str">
        <f t="shared" si="51"/>
        <v>1812610.782</v>
      </c>
      <c r="E3272" t="s">
        <v>3104</v>
      </c>
      <c r="F3272" s="242"/>
      <c r="G3272"/>
      <c r="H3272" s="242">
        <v>38000</v>
      </c>
      <c r="I3272" s="242">
        <v>27562</v>
      </c>
      <c r="J3272"/>
    </row>
    <row r="3273" spans="1:10" ht="15.75" customHeight="1">
      <c r="A3273" t="s">
        <v>2674</v>
      </c>
      <c r="B3273">
        <v>812610</v>
      </c>
      <c r="C3273">
        <v>1</v>
      </c>
      <c r="D3273" t="str">
        <f t="shared" si="51"/>
        <v>1812610.783</v>
      </c>
      <c r="E3273" t="s">
        <v>3027</v>
      </c>
      <c r="F3273" s="242"/>
      <c r="G3273"/>
      <c r="H3273" s="242">
        <v>26000</v>
      </c>
      <c r="I3273" s="242">
        <v>21000</v>
      </c>
      <c r="J3273"/>
    </row>
    <row r="3274" spans="1:10" ht="15.75" customHeight="1">
      <c r="A3274" t="s">
        <v>2620</v>
      </c>
      <c r="B3274">
        <v>813100</v>
      </c>
      <c r="C3274">
        <v>1</v>
      </c>
      <c r="D3274" t="str">
        <f t="shared" si="51"/>
        <v>1813100.575</v>
      </c>
      <c r="E3274" t="s">
        <v>3050</v>
      </c>
      <c r="F3274" s="242"/>
      <c r="G3274"/>
      <c r="H3274" s="242">
        <v>140000</v>
      </c>
      <c r="I3274" s="242">
        <v>143097</v>
      </c>
      <c r="J3274"/>
    </row>
    <row r="3275" spans="1:10" ht="15.75" customHeight="1">
      <c r="A3275" t="s">
        <v>2735</v>
      </c>
      <c r="B3275">
        <v>813100</v>
      </c>
      <c r="C3275">
        <v>1</v>
      </c>
      <c r="D3275" t="str">
        <f t="shared" si="51"/>
        <v>1813100.576</v>
      </c>
      <c r="E3275" t="s">
        <v>3051</v>
      </c>
      <c r="F3275" s="242"/>
      <c r="G3275"/>
      <c r="H3275" s="242">
        <v>70000</v>
      </c>
      <c r="I3275" s="242">
        <v>63235</v>
      </c>
      <c r="J3275"/>
    </row>
    <row r="3276" spans="1:10" ht="15.75" customHeight="1">
      <c r="A3276" t="s">
        <v>2661</v>
      </c>
      <c r="B3276">
        <v>813100</v>
      </c>
      <c r="C3276">
        <v>1</v>
      </c>
      <c r="D3276" t="str">
        <f t="shared" si="51"/>
        <v>1813100.578</v>
      </c>
      <c r="E3276" t="s">
        <v>3042</v>
      </c>
      <c r="F3276" s="242"/>
      <c r="G3276"/>
      <c r="H3276" s="242">
        <v>2368944</v>
      </c>
      <c r="I3276" s="242">
        <v>1551703</v>
      </c>
      <c r="J3276"/>
    </row>
    <row r="3277" spans="1:10" ht="15.75" customHeight="1">
      <c r="A3277" t="s">
        <v>3030</v>
      </c>
      <c r="B3277">
        <v>813100</v>
      </c>
      <c r="C3277">
        <v>1</v>
      </c>
      <c r="D3277" t="str">
        <f t="shared" si="51"/>
        <v>1813100.787</v>
      </c>
      <c r="E3277" t="s">
        <v>3041</v>
      </c>
      <c r="F3277" s="242"/>
      <c r="G3277"/>
      <c r="H3277" s="242">
        <v>90000</v>
      </c>
      <c r="I3277" s="242">
        <v>90000</v>
      </c>
      <c r="J3277"/>
    </row>
    <row r="3278" spans="1:10" ht="15.75" customHeight="1">
      <c r="A3278" t="s">
        <v>1682</v>
      </c>
      <c r="B3278">
        <v>813100</v>
      </c>
      <c r="C3278">
        <v>1</v>
      </c>
      <c r="D3278" t="str">
        <f t="shared" si="51"/>
        <v>1813100.935</v>
      </c>
      <c r="E3278" t="s">
        <v>3048</v>
      </c>
      <c r="F3278" s="242"/>
      <c r="G3278"/>
      <c r="H3278" s="242">
        <v>16000</v>
      </c>
      <c r="I3278" s="242">
        <v>14292</v>
      </c>
      <c r="J3278"/>
    </row>
    <row r="3279" spans="1:10" ht="15.75" customHeight="1">
      <c r="A3279" t="s">
        <v>2403</v>
      </c>
      <c r="B3279">
        <v>813100</v>
      </c>
      <c r="C3279">
        <v>1</v>
      </c>
      <c r="D3279" t="str">
        <f t="shared" si="51"/>
        <v>1813100.110</v>
      </c>
      <c r="E3279" t="s">
        <v>2573</v>
      </c>
      <c r="F3279" s="242"/>
      <c r="G3279"/>
      <c r="H3279" s="242">
        <v>391992</v>
      </c>
      <c r="I3279" s="242">
        <v>315179</v>
      </c>
      <c r="J3279"/>
    </row>
    <row r="3280" spans="1:10" ht="15.75" customHeight="1">
      <c r="A3280" t="s">
        <v>2404</v>
      </c>
      <c r="B3280">
        <v>813100</v>
      </c>
      <c r="C3280">
        <v>1</v>
      </c>
      <c r="D3280" t="str">
        <f t="shared" si="51"/>
        <v>1813100.120</v>
      </c>
      <c r="E3280" t="s">
        <v>2574</v>
      </c>
      <c r="F3280" s="242"/>
      <c r="G3280"/>
      <c r="H3280" s="242">
        <v>8840</v>
      </c>
      <c r="I3280" s="242">
        <v>6847</v>
      </c>
      <c r="J3280"/>
    </row>
    <row r="3281" spans="1:10" ht="15.75" customHeight="1">
      <c r="A3281" t="s">
        <v>2575</v>
      </c>
      <c r="B3281">
        <v>813100</v>
      </c>
      <c r="C3281">
        <v>1</v>
      </c>
      <c r="D3281" t="str">
        <f t="shared" si="51"/>
        <v>1813100.130</v>
      </c>
      <c r="E3281" t="s">
        <v>2576</v>
      </c>
      <c r="F3281" s="242"/>
      <c r="G3281"/>
      <c r="H3281" s="242">
        <v>334</v>
      </c>
      <c r="I3281" s="242">
        <v>159</v>
      </c>
      <c r="J3281"/>
    </row>
    <row r="3282" spans="1:10" ht="15.75" customHeight="1">
      <c r="A3282" t="s">
        <v>2577</v>
      </c>
      <c r="B3282">
        <v>813100</v>
      </c>
      <c r="C3282">
        <v>1</v>
      </c>
      <c r="D3282" t="str">
        <f t="shared" si="51"/>
        <v>1813100.140</v>
      </c>
      <c r="E3282" t="s">
        <v>2578</v>
      </c>
      <c r="F3282" s="242"/>
      <c r="G3282"/>
      <c r="H3282" s="242">
        <v>26296</v>
      </c>
      <c r="I3282" s="242">
        <v>19059</v>
      </c>
      <c r="J3282"/>
    </row>
    <row r="3283" spans="1:10" ht="15.75" customHeight="1">
      <c r="A3283" t="s">
        <v>2579</v>
      </c>
      <c r="B3283">
        <v>813100</v>
      </c>
      <c r="C3283">
        <v>1</v>
      </c>
      <c r="D3283" t="str">
        <f t="shared" si="51"/>
        <v>1813100.181</v>
      </c>
      <c r="E3283" t="s">
        <v>2580</v>
      </c>
      <c r="F3283" s="242"/>
      <c r="G3283"/>
      <c r="H3283" s="242">
        <v>69506</v>
      </c>
      <c r="I3283" s="242">
        <v>54694</v>
      </c>
      <c r="J3283"/>
    </row>
    <row r="3284" spans="1:10" ht="15.75" customHeight="1">
      <c r="A3284" t="s">
        <v>2581</v>
      </c>
      <c r="B3284">
        <v>813100</v>
      </c>
      <c r="C3284">
        <v>1</v>
      </c>
      <c r="D3284" t="str">
        <f t="shared" si="51"/>
        <v>1813100.182</v>
      </c>
      <c r="E3284" t="s">
        <v>2582</v>
      </c>
      <c r="F3284" s="242"/>
      <c r="G3284"/>
      <c r="H3284" s="242">
        <v>35805</v>
      </c>
      <c r="I3284" s="242">
        <v>28924</v>
      </c>
      <c r="J3284"/>
    </row>
    <row r="3285" spans="1:10" ht="15.75" customHeight="1">
      <c r="A3285" t="s">
        <v>2586</v>
      </c>
      <c r="B3285">
        <v>813100</v>
      </c>
      <c r="C3285">
        <v>1</v>
      </c>
      <c r="D3285" t="str">
        <f t="shared" si="51"/>
        <v>1813100.514</v>
      </c>
      <c r="E3285" t="s">
        <v>3124</v>
      </c>
      <c r="F3285" s="242"/>
      <c r="G3285"/>
      <c r="H3285" s="242">
        <v>53000</v>
      </c>
      <c r="I3285" s="242">
        <v>40939</v>
      </c>
      <c r="J3285"/>
    </row>
    <row r="3286" spans="1:10" ht="15.75" customHeight="1">
      <c r="A3286" t="s">
        <v>2594</v>
      </c>
      <c r="B3286">
        <v>813100</v>
      </c>
      <c r="C3286">
        <v>1</v>
      </c>
      <c r="D3286" t="str">
        <f t="shared" si="51"/>
        <v>1813100.540</v>
      </c>
      <c r="E3286" t="s">
        <v>2595</v>
      </c>
      <c r="F3286" s="242"/>
      <c r="G3286"/>
      <c r="H3286" s="242">
        <v>13000</v>
      </c>
      <c r="I3286" s="242">
        <v>5137</v>
      </c>
      <c r="J3286"/>
    </row>
    <row r="3287" spans="1:10" ht="15.75" customHeight="1">
      <c r="A3287" t="s">
        <v>2771</v>
      </c>
      <c r="B3287">
        <v>813100</v>
      </c>
      <c r="C3287">
        <v>1</v>
      </c>
      <c r="D3287" t="str">
        <f t="shared" si="51"/>
        <v>1813100.570</v>
      </c>
      <c r="E3287" t="s">
        <v>3125</v>
      </c>
      <c r="F3287" s="242"/>
      <c r="G3287"/>
      <c r="H3287" s="242">
        <v>28000</v>
      </c>
      <c r="I3287" s="242">
        <v>27386</v>
      </c>
      <c r="J3287"/>
    </row>
    <row r="3288" spans="1:10" ht="15.75" customHeight="1">
      <c r="A3288" t="s">
        <v>2776</v>
      </c>
      <c r="B3288">
        <v>813100</v>
      </c>
      <c r="C3288">
        <v>1</v>
      </c>
      <c r="D3288" t="str">
        <f t="shared" si="51"/>
        <v>1813100.577</v>
      </c>
      <c r="E3288" t="s">
        <v>3126</v>
      </c>
      <c r="F3288" s="242"/>
      <c r="G3288"/>
      <c r="H3288" s="242">
        <v>50000</v>
      </c>
      <c r="I3288" s="242">
        <v>39902</v>
      </c>
      <c r="J3288"/>
    </row>
    <row r="3289" spans="1:10" ht="15.75" customHeight="1">
      <c r="A3289" t="s">
        <v>2600</v>
      </c>
      <c r="B3289">
        <v>813100</v>
      </c>
      <c r="C3289">
        <v>1</v>
      </c>
      <c r="D3289" t="str">
        <f t="shared" si="51"/>
        <v>1813100.580</v>
      </c>
      <c r="E3289" t="s">
        <v>2601</v>
      </c>
      <c r="F3289" s="242"/>
      <c r="G3289"/>
      <c r="H3289" s="242">
        <v>4000</v>
      </c>
      <c r="I3289" s="242">
        <v>2955</v>
      </c>
      <c r="J3289"/>
    </row>
    <row r="3290" spans="1:10" ht="15.75" customHeight="1">
      <c r="A3290" t="s">
        <v>547</v>
      </c>
      <c r="B3290">
        <v>813100</v>
      </c>
      <c r="C3290">
        <v>1</v>
      </c>
      <c r="D3290" t="str">
        <f t="shared" si="51"/>
        <v>1813100.722</v>
      </c>
      <c r="E3290" t="s">
        <v>3036</v>
      </c>
      <c r="F3290" s="242"/>
      <c r="G3290"/>
      <c r="H3290" s="242">
        <v>100</v>
      </c>
      <c r="I3290" s="242">
        <v>0</v>
      </c>
      <c r="J3290"/>
    </row>
    <row r="3291" spans="1:10" ht="15.75" customHeight="1">
      <c r="A3291" t="s">
        <v>600</v>
      </c>
      <c r="B3291">
        <v>813100</v>
      </c>
      <c r="C3291">
        <v>1</v>
      </c>
      <c r="D3291" t="str">
        <f t="shared" si="51"/>
        <v>1813100.731</v>
      </c>
      <c r="E3291" t="s">
        <v>2593</v>
      </c>
      <c r="F3291" s="242"/>
      <c r="G3291"/>
      <c r="H3291" s="242">
        <v>13366</v>
      </c>
      <c r="I3291" s="242">
        <v>12817</v>
      </c>
      <c r="J3291"/>
    </row>
    <row r="3292" spans="1:10" ht="15.75" customHeight="1">
      <c r="A3292" t="s">
        <v>2418</v>
      </c>
      <c r="B3292">
        <v>813100</v>
      </c>
      <c r="C3292">
        <v>1</v>
      </c>
      <c r="D3292" t="str">
        <f t="shared" si="51"/>
        <v>1813100.735</v>
      </c>
      <c r="E3292" t="s">
        <v>2602</v>
      </c>
      <c r="F3292" s="242"/>
      <c r="G3292"/>
      <c r="H3292" s="242">
        <v>43680</v>
      </c>
      <c r="I3292" s="242">
        <v>37096</v>
      </c>
      <c r="J3292"/>
    </row>
    <row r="3293" spans="1:10" ht="15.75" customHeight="1">
      <c r="A3293" t="s">
        <v>2759</v>
      </c>
      <c r="B3293">
        <v>813100</v>
      </c>
      <c r="C3293">
        <v>1</v>
      </c>
      <c r="D3293" t="str">
        <f t="shared" si="51"/>
        <v>1813100.760</v>
      </c>
      <c r="E3293" t="s">
        <v>3127</v>
      </c>
      <c r="F3293" s="242"/>
      <c r="G3293"/>
      <c r="H3293" s="242">
        <v>1904536</v>
      </c>
      <c r="I3293" s="242">
        <v>1794417</v>
      </c>
      <c r="J3293"/>
    </row>
    <row r="3294" spans="1:10" ht="15.75" customHeight="1">
      <c r="A3294" t="s">
        <v>801</v>
      </c>
      <c r="B3294">
        <v>813100</v>
      </c>
      <c r="C3294">
        <v>1</v>
      </c>
      <c r="D3294" t="str">
        <f t="shared" si="51"/>
        <v>1813100.761</v>
      </c>
      <c r="E3294" t="s">
        <v>4666</v>
      </c>
      <c r="F3294" s="242"/>
      <c r="G3294"/>
      <c r="H3294" s="242">
        <v>1109089</v>
      </c>
      <c r="I3294" s="242">
        <v>2094655</v>
      </c>
      <c r="J3294"/>
    </row>
    <row r="3295" spans="1:10" ht="15.75" customHeight="1">
      <c r="A3295" t="s">
        <v>806</v>
      </c>
      <c r="B3295">
        <v>813100</v>
      </c>
      <c r="C3295">
        <v>1</v>
      </c>
      <c r="D3295" t="str">
        <f t="shared" si="51"/>
        <v>1813100.762</v>
      </c>
      <c r="E3295" t="s">
        <v>3072</v>
      </c>
      <c r="F3295" s="242"/>
      <c r="G3295"/>
      <c r="H3295" s="242">
        <v>2719414</v>
      </c>
      <c r="I3295" s="242">
        <v>2620127</v>
      </c>
      <c r="J3295"/>
    </row>
    <row r="3296" spans="1:10" ht="15.75" customHeight="1">
      <c r="A3296" t="s">
        <v>872</v>
      </c>
      <c r="B3296">
        <v>813100</v>
      </c>
      <c r="C3296">
        <v>1</v>
      </c>
      <c r="D3296" t="str">
        <f t="shared" si="51"/>
        <v>1813100.781</v>
      </c>
      <c r="E3296" t="s">
        <v>3128</v>
      </c>
      <c r="F3296" s="242"/>
      <c r="G3296"/>
      <c r="H3296" s="242">
        <v>30000</v>
      </c>
      <c r="I3296" s="242">
        <v>26689</v>
      </c>
      <c r="J3296"/>
    </row>
    <row r="3297" spans="1:10" ht="15.75" customHeight="1">
      <c r="A3297" t="s">
        <v>877</v>
      </c>
      <c r="B3297">
        <v>813100</v>
      </c>
      <c r="C3297">
        <v>1</v>
      </c>
      <c r="D3297" t="str">
        <f t="shared" si="51"/>
        <v>1813100.782</v>
      </c>
      <c r="E3297" t="s">
        <v>3129</v>
      </c>
      <c r="F3297" s="242"/>
      <c r="G3297"/>
      <c r="H3297" s="242">
        <v>38000</v>
      </c>
      <c r="I3297" s="242">
        <v>26612</v>
      </c>
      <c r="J3297"/>
    </row>
    <row r="3298" spans="1:10" ht="15.75" customHeight="1">
      <c r="A3298" t="s">
        <v>2674</v>
      </c>
      <c r="B3298">
        <v>813100</v>
      </c>
      <c r="C3298">
        <v>1</v>
      </c>
      <c r="D3298" t="str">
        <f t="shared" si="51"/>
        <v>1813100.783</v>
      </c>
      <c r="E3298" t="s">
        <v>3130</v>
      </c>
      <c r="F3298" s="242"/>
      <c r="G3298"/>
      <c r="H3298" s="242">
        <v>50000</v>
      </c>
      <c r="I3298" s="242">
        <v>38000</v>
      </c>
      <c r="J3298"/>
    </row>
    <row r="3299" spans="1:10" ht="15.75" customHeight="1">
      <c r="A3299" t="s">
        <v>2676</v>
      </c>
      <c r="B3299">
        <v>813100</v>
      </c>
      <c r="C3299">
        <v>1</v>
      </c>
      <c r="D3299" t="str">
        <f t="shared" si="51"/>
        <v>1813100.784</v>
      </c>
      <c r="E3299" t="s">
        <v>3131</v>
      </c>
      <c r="F3299" s="242"/>
      <c r="G3299"/>
      <c r="H3299" s="242">
        <v>50000</v>
      </c>
      <c r="I3299" s="242">
        <v>49877</v>
      </c>
      <c r="J3299"/>
    </row>
    <row r="3300" spans="1:10" ht="15.75" customHeight="1">
      <c r="A3300" t="s">
        <v>2750</v>
      </c>
      <c r="B3300">
        <v>813100</v>
      </c>
      <c r="C3300">
        <v>1</v>
      </c>
      <c r="D3300" t="str">
        <f t="shared" si="51"/>
        <v>1813100.785</v>
      </c>
      <c r="E3300" t="s">
        <v>3132</v>
      </c>
      <c r="F3300" s="242"/>
      <c r="G3300"/>
      <c r="H3300" s="242">
        <v>55000</v>
      </c>
      <c r="I3300" s="242">
        <v>35000</v>
      </c>
      <c r="J3300"/>
    </row>
    <row r="3301" spans="1:10" ht="15.75" customHeight="1">
      <c r="A3301" t="s">
        <v>2850</v>
      </c>
      <c r="B3301">
        <v>813100</v>
      </c>
      <c r="C3301">
        <v>1</v>
      </c>
      <c r="D3301" t="str">
        <f t="shared" si="51"/>
        <v>1813100.786</v>
      </c>
      <c r="E3301" t="s">
        <v>3075</v>
      </c>
      <c r="F3301" s="242"/>
      <c r="G3301"/>
      <c r="H3301" s="242">
        <v>55000</v>
      </c>
      <c r="I3301" s="242">
        <v>56500</v>
      </c>
      <c r="J3301"/>
    </row>
    <row r="3302" spans="1:10" ht="15.75" customHeight="1">
      <c r="A3302" t="s">
        <v>2841</v>
      </c>
      <c r="B3302">
        <v>813100</v>
      </c>
      <c r="C3302">
        <v>1</v>
      </c>
      <c r="D3302" t="str">
        <f t="shared" si="51"/>
        <v>1813100.788</v>
      </c>
      <c r="E3302" t="s">
        <v>3133</v>
      </c>
      <c r="F3302" s="242"/>
      <c r="G3302"/>
      <c r="H3302" s="242">
        <v>85500</v>
      </c>
      <c r="I3302" s="242">
        <v>85500</v>
      </c>
      <c r="J3302"/>
    </row>
    <row r="3303" spans="1:10" ht="15.75" customHeight="1">
      <c r="A3303" t="s">
        <v>2652</v>
      </c>
      <c r="B3303">
        <v>813110</v>
      </c>
      <c r="C3303">
        <v>1</v>
      </c>
      <c r="D3303" t="str">
        <f t="shared" si="51"/>
        <v>1813110.420</v>
      </c>
      <c r="E3303" t="s">
        <v>3052</v>
      </c>
      <c r="F3303" s="242"/>
      <c r="G3303"/>
      <c r="H3303" s="242">
        <v>38000</v>
      </c>
      <c r="I3303" s="242">
        <v>39995</v>
      </c>
      <c r="J3303"/>
    </row>
    <row r="3304" spans="1:10" ht="15.75" customHeight="1">
      <c r="A3304" t="s">
        <v>2632</v>
      </c>
      <c r="B3304">
        <v>813110</v>
      </c>
      <c r="C3304">
        <v>1</v>
      </c>
      <c r="D3304" t="str">
        <f t="shared" si="51"/>
        <v>1813110.780</v>
      </c>
      <c r="E3304" t="s">
        <v>3134</v>
      </c>
      <c r="F3304" s="242"/>
      <c r="G3304"/>
      <c r="H3304" s="242">
        <v>85500</v>
      </c>
      <c r="I3304" s="242">
        <v>85500</v>
      </c>
      <c r="J3304"/>
    </row>
    <row r="3305" spans="1:10" ht="15.75" customHeight="1">
      <c r="A3305" t="s">
        <v>872</v>
      </c>
      <c r="B3305">
        <v>813110</v>
      </c>
      <c r="C3305">
        <v>1</v>
      </c>
      <c r="D3305" t="str">
        <f t="shared" si="51"/>
        <v>1813110.781</v>
      </c>
      <c r="E3305" t="s">
        <v>3135</v>
      </c>
      <c r="F3305" s="242"/>
      <c r="G3305"/>
      <c r="H3305" s="242">
        <v>170000</v>
      </c>
      <c r="I3305" s="242">
        <v>170000</v>
      </c>
      <c r="J3305"/>
    </row>
    <row r="3306" spans="1:10" ht="15.75" customHeight="1">
      <c r="A3306" t="s">
        <v>877</v>
      </c>
      <c r="B3306">
        <v>813110</v>
      </c>
      <c r="C3306">
        <v>1</v>
      </c>
      <c r="D3306" t="str">
        <f t="shared" si="51"/>
        <v>1813110.782</v>
      </c>
      <c r="E3306" t="s">
        <v>3136</v>
      </c>
      <c r="F3306" s="242"/>
      <c r="G3306"/>
      <c r="H3306" s="242">
        <v>60000</v>
      </c>
      <c r="I3306" s="242">
        <v>60000</v>
      </c>
      <c r="J3306"/>
    </row>
    <row r="3307" spans="1:10" ht="15.75" customHeight="1">
      <c r="A3307" t="s">
        <v>2674</v>
      </c>
      <c r="B3307">
        <v>813110</v>
      </c>
      <c r="C3307">
        <v>1</v>
      </c>
      <c r="D3307" t="str">
        <f t="shared" si="51"/>
        <v>1813110.783</v>
      </c>
      <c r="E3307" t="s">
        <v>3027</v>
      </c>
      <c r="F3307" s="242"/>
      <c r="G3307"/>
      <c r="H3307" s="242">
        <v>24000</v>
      </c>
      <c r="I3307" s="242">
        <v>17678</v>
      </c>
      <c r="J3307"/>
    </row>
    <row r="3308" spans="1:10" ht="15.75" customHeight="1">
      <c r="A3308" t="s">
        <v>2676</v>
      </c>
      <c r="B3308">
        <v>813110</v>
      </c>
      <c r="C3308">
        <v>1</v>
      </c>
      <c r="D3308" t="str">
        <f t="shared" si="51"/>
        <v>1813110.784</v>
      </c>
      <c r="E3308" t="s">
        <v>3137</v>
      </c>
      <c r="F3308" s="242"/>
      <c r="G3308"/>
      <c r="H3308" s="242">
        <v>120000</v>
      </c>
      <c r="I3308" s="242">
        <v>71062</v>
      </c>
      <c r="J3308"/>
    </row>
    <row r="3309" spans="1:10" ht="15.75" customHeight="1">
      <c r="A3309" t="s">
        <v>2750</v>
      </c>
      <c r="B3309">
        <v>813110</v>
      </c>
      <c r="C3309">
        <v>1</v>
      </c>
      <c r="D3309" t="str">
        <f t="shared" si="51"/>
        <v>1813110.785</v>
      </c>
      <c r="E3309" t="s">
        <v>3138</v>
      </c>
      <c r="F3309" s="242"/>
      <c r="G3309"/>
      <c r="H3309" s="242">
        <v>130000</v>
      </c>
      <c r="I3309" s="242">
        <v>120000</v>
      </c>
      <c r="J3309"/>
    </row>
    <row r="3310" spans="1:10" ht="15.75" customHeight="1">
      <c r="A3310" t="s">
        <v>2850</v>
      </c>
      <c r="B3310">
        <v>813110</v>
      </c>
      <c r="C3310">
        <v>1</v>
      </c>
      <c r="D3310" t="str">
        <f t="shared" si="51"/>
        <v>1813110.786</v>
      </c>
      <c r="E3310" t="s">
        <v>3121</v>
      </c>
      <c r="F3310" s="242"/>
      <c r="G3310"/>
      <c r="H3310" s="242">
        <v>70000</v>
      </c>
      <c r="I3310" s="242">
        <v>172350</v>
      </c>
      <c r="J3310"/>
    </row>
    <row r="3311" spans="1:10" ht="15.75" customHeight="1">
      <c r="A3311" t="s">
        <v>3030</v>
      </c>
      <c r="B3311">
        <v>813110</v>
      </c>
      <c r="C3311">
        <v>1</v>
      </c>
      <c r="D3311" t="str">
        <f t="shared" si="51"/>
        <v>1813110.787</v>
      </c>
      <c r="E3311" t="s">
        <v>3122</v>
      </c>
      <c r="F3311" s="242"/>
      <c r="G3311"/>
      <c r="H3311" s="242">
        <v>4000</v>
      </c>
      <c r="I3311" s="242">
        <v>0</v>
      </c>
      <c r="J3311"/>
    </row>
    <row r="3312" spans="1:10" ht="15.75" customHeight="1">
      <c r="A3312" t="s">
        <v>2841</v>
      </c>
      <c r="B3312">
        <v>813110</v>
      </c>
      <c r="C3312">
        <v>1</v>
      </c>
      <c r="D3312" t="str">
        <f t="shared" si="51"/>
        <v>1813110.788</v>
      </c>
      <c r="E3312" t="s">
        <v>3139</v>
      </c>
      <c r="F3312" s="242"/>
      <c r="G3312"/>
      <c r="H3312" s="242">
        <v>300000</v>
      </c>
      <c r="I3312" s="242">
        <v>0</v>
      </c>
      <c r="J3312"/>
    </row>
    <row r="3313" spans="1:10" ht="15.75" customHeight="1">
      <c r="A3313" t="s">
        <v>3056</v>
      </c>
      <c r="B3313">
        <v>813110</v>
      </c>
      <c r="C3313">
        <v>1</v>
      </c>
      <c r="D3313" t="str">
        <f t="shared" si="51"/>
        <v>1813110.789</v>
      </c>
      <c r="E3313" t="s">
        <v>3140</v>
      </c>
      <c r="F3313" s="242"/>
      <c r="G3313"/>
      <c r="H3313" s="242">
        <v>1814433</v>
      </c>
      <c r="I3313" s="242">
        <v>656426</v>
      </c>
      <c r="J3313"/>
    </row>
    <row r="3314" spans="1:10" ht="15.75" customHeight="1">
      <c r="A3314" t="s">
        <v>2632</v>
      </c>
      <c r="B3314">
        <v>813111</v>
      </c>
      <c r="C3314">
        <v>1</v>
      </c>
      <c r="D3314" t="str">
        <f t="shared" si="51"/>
        <v>1813111.780</v>
      </c>
      <c r="E3314" t="s">
        <v>3141</v>
      </c>
      <c r="F3314" s="242"/>
      <c r="G3314"/>
      <c r="H3314" s="242">
        <v>0</v>
      </c>
      <c r="I3314" s="242">
        <v>0</v>
      </c>
      <c r="J3314"/>
    </row>
    <row r="3315" spans="1:10" ht="15.75" customHeight="1">
      <c r="A3315" t="s">
        <v>2403</v>
      </c>
      <c r="B3315">
        <v>813200</v>
      </c>
      <c r="C3315">
        <v>1</v>
      </c>
      <c r="D3315" t="str">
        <f t="shared" si="51"/>
        <v>1813200.110</v>
      </c>
      <c r="E3315" t="s">
        <v>3142</v>
      </c>
      <c r="F3315" s="242"/>
      <c r="G3315"/>
      <c r="H3315" s="242">
        <v>278192</v>
      </c>
      <c r="I3315" s="242">
        <v>406535</v>
      </c>
      <c r="J3315"/>
    </row>
    <row r="3316" spans="1:10" ht="15.75" customHeight="1">
      <c r="A3316" t="s">
        <v>2404</v>
      </c>
      <c r="B3316">
        <v>813200</v>
      </c>
      <c r="C3316">
        <v>1</v>
      </c>
      <c r="D3316" t="str">
        <f t="shared" si="51"/>
        <v>1813200.120</v>
      </c>
      <c r="E3316" t="s">
        <v>2574</v>
      </c>
      <c r="F3316" s="242"/>
      <c r="G3316"/>
      <c r="H3316" s="242">
        <v>13512</v>
      </c>
      <c r="I3316" s="242">
        <v>18483</v>
      </c>
      <c r="J3316"/>
    </row>
    <row r="3317" spans="1:10" ht="15.75" customHeight="1">
      <c r="A3317" t="s">
        <v>2575</v>
      </c>
      <c r="B3317">
        <v>813200</v>
      </c>
      <c r="C3317">
        <v>1</v>
      </c>
      <c r="D3317" t="str">
        <f t="shared" si="51"/>
        <v>1813200.130</v>
      </c>
      <c r="E3317" t="s">
        <v>2576</v>
      </c>
      <c r="F3317" s="242"/>
      <c r="G3317"/>
      <c r="H3317" s="242">
        <v>0</v>
      </c>
      <c r="I3317" s="242">
        <v>2661</v>
      </c>
      <c r="J3317"/>
    </row>
    <row r="3318" spans="1:10" ht="15.75" customHeight="1">
      <c r="A3318" t="s">
        <v>2577</v>
      </c>
      <c r="B3318">
        <v>813200</v>
      </c>
      <c r="C3318">
        <v>1</v>
      </c>
      <c r="D3318" t="str">
        <f t="shared" si="51"/>
        <v>1813200.140</v>
      </c>
      <c r="E3318" t="s">
        <v>2578</v>
      </c>
      <c r="F3318" s="242"/>
      <c r="G3318"/>
      <c r="H3318" s="242">
        <v>12065</v>
      </c>
      <c r="I3318" s="242">
        <v>18100</v>
      </c>
      <c r="J3318"/>
    </row>
    <row r="3319" spans="1:10" ht="15.75" customHeight="1">
      <c r="A3319" t="s">
        <v>2579</v>
      </c>
      <c r="B3319">
        <v>813200</v>
      </c>
      <c r="C3319">
        <v>1</v>
      </c>
      <c r="D3319" t="str">
        <f t="shared" si="51"/>
        <v>1813200.181</v>
      </c>
      <c r="E3319" t="s">
        <v>2580</v>
      </c>
      <c r="F3319" s="242"/>
      <c r="G3319"/>
      <c r="H3319" s="242">
        <v>50319</v>
      </c>
      <c r="I3319" s="242">
        <v>72537</v>
      </c>
      <c r="J3319"/>
    </row>
    <row r="3320" spans="1:10" ht="15.75" customHeight="1">
      <c r="A3320" t="s">
        <v>2581</v>
      </c>
      <c r="B3320">
        <v>813200</v>
      </c>
      <c r="C3320">
        <v>1</v>
      </c>
      <c r="D3320" t="str">
        <f t="shared" si="51"/>
        <v>1813200.182</v>
      </c>
      <c r="E3320" t="s">
        <v>2582</v>
      </c>
      <c r="F3320" s="242"/>
      <c r="G3320"/>
      <c r="H3320" s="242">
        <v>22995</v>
      </c>
      <c r="I3320" s="242">
        <v>33831</v>
      </c>
      <c r="J3320"/>
    </row>
    <row r="3321" spans="1:10" ht="15.75" customHeight="1">
      <c r="A3321" t="s">
        <v>2403</v>
      </c>
      <c r="B3321">
        <v>813210</v>
      </c>
      <c r="C3321">
        <v>1</v>
      </c>
      <c r="D3321" t="str">
        <f t="shared" si="51"/>
        <v>1813210.110</v>
      </c>
      <c r="E3321" t="s">
        <v>3143</v>
      </c>
      <c r="F3321" s="242"/>
      <c r="G3321"/>
      <c r="H3321" s="242">
        <v>541520</v>
      </c>
      <c r="I3321" s="242">
        <v>525824</v>
      </c>
      <c r="J3321"/>
    </row>
    <row r="3322" spans="1:10" ht="15.75" customHeight="1">
      <c r="A3322" t="s">
        <v>2404</v>
      </c>
      <c r="B3322">
        <v>813210</v>
      </c>
      <c r="C3322">
        <v>1</v>
      </c>
      <c r="D3322" t="str">
        <f t="shared" si="51"/>
        <v>1813210.120</v>
      </c>
      <c r="E3322" t="s">
        <v>2574</v>
      </c>
      <c r="F3322" s="242"/>
      <c r="G3322"/>
      <c r="H3322" s="242">
        <v>10217</v>
      </c>
      <c r="I3322" s="242">
        <v>9491</v>
      </c>
      <c r="J3322"/>
    </row>
    <row r="3323" spans="1:10" ht="15.75" customHeight="1">
      <c r="A3323" t="s">
        <v>2575</v>
      </c>
      <c r="B3323">
        <v>813210</v>
      </c>
      <c r="C3323">
        <v>1</v>
      </c>
      <c r="D3323" t="str">
        <f t="shared" si="51"/>
        <v>1813210.130</v>
      </c>
      <c r="E3323" t="s">
        <v>2576</v>
      </c>
      <c r="F3323" s="242"/>
      <c r="G3323"/>
      <c r="H3323" s="242">
        <v>4418</v>
      </c>
      <c r="I3323" s="242">
        <v>5591</v>
      </c>
      <c r="J3323"/>
    </row>
    <row r="3324" spans="1:10" ht="15.75" customHeight="1">
      <c r="A3324" t="s">
        <v>2577</v>
      </c>
      <c r="B3324">
        <v>813210</v>
      </c>
      <c r="C3324">
        <v>1</v>
      </c>
      <c r="D3324" t="str">
        <f t="shared" si="51"/>
        <v>1813210.140</v>
      </c>
      <c r="E3324" t="s">
        <v>2578</v>
      </c>
      <c r="F3324" s="242"/>
      <c r="G3324"/>
      <c r="H3324" s="242">
        <v>23673</v>
      </c>
      <c r="I3324" s="242">
        <v>21384</v>
      </c>
      <c r="J3324"/>
    </row>
    <row r="3325" spans="1:10" ht="15.75" customHeight="1">
      <c r="A3325" t="s">
        <v>2579</v>
      </c>
      <c r="B3325">
        <v>813210</v>
      </c>
      <c r="C3325">
        <v>1</v>
      </c>
      <c r="D3325" t="str">
        <f t="shared" si="51"/>
        <v>1813210.181</v>
      </c>
      <c r="E3325" t="s">
        <v>2580</v>
      </c>
      <c r="F3325" s="242"/>
      <c r="G3325"/>
      <c r="H3325" s="242">
        <v>100038</v>
      </c>
      <c r="I3325" s="242">
        <v>98280</v>
      </c>
      <c r="J3325"/>
    </row>
    <row r="3326" spans="1:10" ht="15.75" customHeight="1">
      <c r="A3326" t="s">
        <v>2581</v>
      </c>
      <c r="B3326">
        <v>813210</v>
      </c>
      <c r="C3326">
        <v>1</v>
      </c>
      <c r="D3326" t="str">
        <f t="shared" si="51"/>
        <v>1813210.182</v>
      </c>
      <c r="E3326" t="s">
        <v>2582</v>
      </c>
      <c r="F3326" s="242"/>
      <c r="G3326"/>
      <c r="H3326" s="242">
        <v>43865</v>
      </c>
      <c r="I3326" s="242">
        <v>42713</v>
      </c>
      <c r="J3326"/>
    </row>
    <row r="3327" spans="1:10" ht="15.75" customHeight="1">
      <c r="A3327" t="s">
        <v>1678</v>
      </c>
      <c r="B3327">
        <v>813210</v>
      </c>
      <c r="C3327">
        <v>1</v>
      </c>
      <c r="D3327" t="str">
        <f t="shared" si="51"/>
        <v>1813210.434</v>
      </c>
      <c r="E3327" t="s">
        <v>2753</v>
      </c>
      <c r="F3327" s="242"/>
      <c r="G3327"/>
      <c r="H3327" s="242">
        <v>0</v>
      </c>
      <c r="I3327" s="242">
        <v>383</v>
      </c>
      <c r="J3327"/>
    </row>
    <row r="3328" spans="1:10" ht="15.75" customHeight="1">
      <c r="A3328" t="s">
        <v>3144</v>
      </c>
      <c r="B3328">
        <v>813210</v>
      </c>
      <c r="C3328">
        <v>1</v>
      </c>
      <c r="D3328" t="str">
        <f t="shared" si="51"/>
        <v>1813210.878</v>
      </c>
      <c r="E3328" t="s">
        <v>3145</v>
      </c>
      <c r="F3328" s="242"/>
      <c r="G3328"/>
      <c r="H3328" s="242">
        <v>200000</v>
      </c>
      <c r="I3328" s="242">
        <v>0</v>
      </c>
      <c r="J3328"/>
    </row>
    <row r="3329" spans="1:10" ht="15.75" customHeight="1">
      <c r="A3329" t="s">
        <v>2403</v>
      </c>
      <c r="B3329">
        <v>813211</v>
      </c>
      <c r="C3329">
        <v>1</v>
      </c>
      <c r="D3329" t="str">
        <f t="shared" si="51"/>
        <v>1813211.110</v>
      </c>
      <c r="E3329" t="s">
        <v>3146</v>
      </c>
      <c r="F3329" s="242"/>
      <c r="G3329"/>
      <c r="H3329" s="242">
        <v>1513734</v>
      </c>
      <c r="I3329" s="242">
        <v>3824566</v>
      </c>
      <c r="J3329"/>
    </row>
    <row r="3330" spans="1:10" ht="15.75" customHeight="1">
      <c r="A3330" t="s">
        <v>2404</v>
      </c>
      <c r="B3330">
        <v>813211</v>
      </c>
      <c r="C3330">
        <v>1</v>
      </c>
      <c r="D3330" t="str">
        <f t="shared" si="51"/>
        <v>1813211.120</v>
      </c>
      <c r="E3330" t="s">
        <v>2574</v>
      </c>
      <c r="F3330" s="242"/>
      <c r="G3330"/>
      <c r="H3330" s="242">
        <v>222101</v>
      </c>
      <c r="I3330" s="242">
        <v>549471</v>
      </c>
      <c r="J3330"/>
    </row>
    <row r="3331" spans="1:10" ht="15.75" customHeight="1">
      <c r="A3331" t="s">
        <v>2575</v>
      </c>
      <c r="B3331">
        <v>813211</v>
      </c>
      <c r="C3331">
        <v>1</v>
      </c>
      <c r="D3331" t="str">
        <f t="shared" ref="D3331:D3394" si="52">C3331&amp;B3331&amp;"."&amp;A3331</f>
        <v>1813211.130</v>
      </c>
      <c r="E3331" t="s">
        <v>2576</v>
      </c>
      <c r="F3331" s="242"/>
      <c r="G3331"/>
      <c r="H3331" s="242">
        <v>25311</v>
      </c>
      <c r="I3331" s="242">
        <v>51267</v>
      </c>
      <c r="J3331"/>
    </row>
    <row r="3332" spans="1:10" ht="15.75" customHeight="1">
      <c r="A3332" t="s">
        <v>2577</v>
      </c>
      <c r="B3332">
        <v>813211</v>
      </c>
      <c r="C3332">
        <v>1</v>
      </c>
      <c r="D3332" t="str">
        <f t="shared" si="52"/>
        <v>1813211.140</v>
      </c>
      <c r="E3332" t="s">
        <v>2578</v>
      </c>
      <c r="F3332" s="242"/>
      <c r="G3332"/>
      <c r="H3332" s="242">
        <v>85315</v>
      </c>
      <c r="I3332" s="242">
        <v>204839</v>
      </c>
      <c r="J3332"/>
    </row>
    <row r="3333" spans="1:10" ht="15.75" customHeight="1">
      <c r="A3333" t="s">
        <v>2579</v>
      </c>
      <c r="B3333">
        <v>813211</v>
      </c>
      <c r="C3333">
        <v>1</v>
      </c>
      <c r="D3333" t="str">
        <f t="shared" si="52"/>
        <v>1813211.181</v>
      </c>
      <c r="E3333" t="s">
        <v>2580</v>
      </c>
      <c r="F3333" s="242"/>
      <c r="G3333"/>
      <c r="H3333" s="242">
        <v>336629</v>
      </c>
      <c r="I3333" s="242">
        <v>838943</v>
      </c>
      <c r="J3333"/>
    </row>
    <row r="3334" spans="1:10" ht="15.75" customHeight="1">
      <c r="A3334" t="s">
        <v>2581</v>
      </c>
      <c r="B3334">
        <v>813211</v>
      </c>
      <c r="C3334">
        <v>1</v>
      </c>
      <c r="D3334" t="str">
        <f t="shared" si="52"/>
        <v>1813211.182</v>
      </c>
      <c r="E3334" t="s">
        <v>2582</v>
      </c>
      <c r="F3334" s="242"/>
      <c r="G3334"/>
      <c r="H3334" s="242">
        <v>140738</v>
      </c>
      <c r="I3334" s="242">
        <v>353610</v>
      </c>
      <c r="J3334"/>
    </row>
    <row r="3335" spans="1:10" ht="15.75" customHeight="1">
      <c r="A3335" t="s">
        <v>2403</v>
      </c>
      <c r="B3335">
        <v>813221</v>
      </c>
      <c r="C3335">
        <v>1</v>
      </c>
      <c r="D3335" t="str">
        <f t="shared" si="52"/>
        <v>1813221.110</v>
      </c>
      <c r="E3335" t="s">
        <v>2573</v>
      </c>
      <c r="F3335" s="242"/>
      <c r="G3335"/>
      <c r="H3335" s="242">
        <v>380319</v>
      </c>
      <c r="I3335" s="242">
        <v>353727</v>
      </c>
      <c r="J3335"/>
    </row>
    <row r="3336" spans="1:10" ht="15.75" customHeight="1">
      <c r="A3336" t="s">
        <v>2404</v>
      </c>
      <c r="B3336">
        <v>813221</v>
      </c>
      <c r="C3336">
        <v>1</v>
      </c>
      <c r="D3336" t="str">
        <f t="shared" si="52"/>
        <v>1813221.120</v>
      </c>
      <c r="E3336" t="s">
        <v>2574</v>
      </c>
      <c r="F3336" s="242"/>
      <c r="G3336"/>
      <c r="H3336" s="242">
        <v>107925</v>
      </c>
      <c r="I3336" s="242">
        <v>90750</v>
      </c>
      <c r="J3336"/>
    </row>
    <row r="3337" spans="1:10" ht="15.75" customHeight="1">
      <c r="A3337" t="s">
        <v>2575</v>
      </c>
      <c r="B3337">
        <v>813221</v>
      </c>
      <c r="C3337">
        <v>1</v>
      </c>
      <c r="D3337" t="str">
        <f t="shared" si="52"/>
        <v>1813221.130</v>
      </c>
      <c r="E3337" t="s">
        <v>2576</v>
      </c>
      <c r="F3337" s="242"/>
      <c r="G3337"/>
      <c r="H3337" s="242">
        <v>14452</v>
      </c>
      <c r="I3337" s="242">
        <v>8937</v>
      </c>
      <c r="J3337"/>
    </row>
    <row r="3338" spans="1:10" ht="15.75" customHeight="1">
      <c r="A3338" t="s">
        <v>2577</v>
      </c>
      <c r="B3338">
        <v>813221</v>
      </c>
      <c r="C3338">
        <v>1</v>
      </c>
      <c r="D3338" t="str">
        <f t="shared" si="52"/>
        <v>1813221.140</v>
      </c>
      <c r="E3338" t="s">
        <v>2578</v>
      </c>
      <c r="F3338" s="242"/>
      <c r="G3338"/>
      <c r="H3338" s="242">
        <v>10817</v>
      </c>
      <c r="I3338" s="242">
        <v>9912</v>
      </c>
      <c r="J3338"/>
    </row>
    <row r="3339" spans="1:10" ht="15.75" customHeight="1">
      <c r="A3339" t="s">
        <v>2579</v>
      </c>
      <c r="B3339">
        <v>813221</v>
      </c>
      <c r="C3339">
        <v>1</v>
      </c>
      <c r="D3339" t="str">
        <f t="shared" si="52"/>
        <v>1813221.181</v>
      </c>
      <c r="E3339" t="s">
        <v>2580</v>
      </c>
      <c r="F3339" s="242"/>
      <c r="G3339"/>
      <c r="H3339" s="242">
        <v>81394</v>
      </c>
      <c r="I3339" s="242">
        <v>74871</v>
      </c>
      <c r="J3339"/>
    </row>
    <row r="3340" spans="1:10" ht="15.75" customHeight="1">
      <c r="A3340" t="s">
        <v>2581</v>
      </c>
      <c r="B3340">
        <v>813221</v>
      </c>
      <c r="C3340">
        <v>1</v>
      </c>
      <c r="D3340" t="str">
        <f t="shared" si="52"/>
        <v>1813221.182</v>
      </c>
      <c r="E3340" t="s">
        <v>2582</v>
      </c>
      <c r="F3340" s="242"/>
      <c r="G3340"/>
      <c r="H3340" s="242">
        <v>38976</v>
      </c>
      <c r="I3340" s="242">
        <v>35149</v>
      </c>
      <c r="J3340"/>
    </row>
    <row r="3341" spans="1:10" ht="15.75" customHeight="1">
      <c r="A3341" t="s">
        <v>2606</v>
      </c>
      <c r="B3341">
        <v>813221</v>
      </c>
      <c r="C3341">
        <v>1</v>
      </c>
      <c r="D3341" t="str">
        <f t="shared" si="52"/>
        <v>1813221.440</v>
      </c>
      <c r="E3341" t="s">
        <v>2657</v>
      </c>
      <c r="F3341" s="242"/>
      <c r="G3341"/>
      <c r="H3341" s="242">
        <v>10600</v>
      </c>
      <c r="I3341" s="242">
        <v>10236</v>
      </c>
      <c r="J3341"/>
    </row>
    <row r="3342" spans="1:10" ht="15.75" customHeight="1">
      <c r="A3342" t="s">
        <v>2704</v>
      </c>
      <c r="B3342">
        <v>813221</v>
      </c>
      <c r="C3342">
        <v>1</v>
      </c>
      <c r="D3342" t="str">
        <f t="shared" si="52"/>
        <v>1813221.720</v>
      </c>
      <c r="E3342" t="s">
        <v>3149</v>
      </c>
      <c r="F3342" s="242"/>
      <c r="G3342"/>
      <c r="H3342" s="242">
        <v>100</v>
      </c>
      <c r="I3342" s="242">
        <v>0</v>
      </c>
      <c r="J3342"/>
    </row>
    <row r="3343" spans="1:10" ht="15.75" customHeight="1">
      <c r="A3343" t="s">
        <v>547</v>
      </c>
      <c r="B3343">
        <v>813221</v>
      </c>
      <c r="C3343">
        <v>1</v>
      </c>
      <c r="D3343" t="str">
        <f t="shared" si="52"/>
        <v>1813221.722</v>
      </c>
      <c r="E3343" t="s">
        <v>3020</v>
      </c>
      <c r="F3343" s="242"/>
      <c r="G3343"/>
      <c r="H3343" s="242">
        <v>100</v>
      </c>
      <c r="I3343" s="242">
        <v>0</v>
      </c>
      <c r="J3343"/>
    </row>
    <row r="3344" spans="1:10" ht="15.75" customHeight="1">
      <c r="A3344" t="s">
        <v>569</v>
      </c>
      <c r="B3344">
        <v>813221</v>
      </c>
      <c r="C3344">
        <v>1</v>
      </c>
      <c r="D3344" t="str">
        <f t="shared" si="52"/>
        <v>1813221.725</v>
      </c>
      <c r="E3344" t="s">
        <v>3153</v>
      </c>
      <c r="F3344" s="242"/>
      <c r="G3344"/>
      <c r="H3344" s="242">
        <v>3471</v>
      </c>
      <c r="I3344" s="242">
        <v>3107</v>
      </c>
      <c r="J3344"/>
    </row>
    <row r="3345" spans="1:10" ht="15.75" customHeight="1">
      <c r="A3345" t="s">
        <v>575</v>
      </c>
      <c r="B3345">
        <v>813221</v>
      </c>
      <c r="C3345">
        <v>1</v>
      </c>
      <c r="D3345" t="str">
        <f t="shared" si="52"/>
        <v>1813221.726</v>
      </c>
      <c r="E3345" t="s">
        <v>3154</v>
      </c>
      <c r="F3345" s="242"/>
      <c r="G3345"/>
      <c r="H3345" s="242">
        <v>10971</v>
      </c>
      <c r="I3345" s="242">
        <v>9576</v>
      </c>
      <c r="J3345"/>
    </row>
    <row r="3346" spans="1:10" ht="15.75" customHeight="1">
      <c r="A3346" t="s">
        <v>586</v>
      </c>
      <c r="B3346">
        <v>813221</v>
      </c>
      <c r="C3346">
        <v>1</v>
      </c>
      <c r="D3346" t="str">
        <f t="shared" si="52"/>
        <v>1813221.727</v>
      </c>
      <c r="E3346" t="s">
        <v>3155</v>
      </c>
      <c r="F3346" s="242"/>
      <c r="G3346"/>
      <c r="H3346" s="242">
        <v>5663</v>
      </c>
      <c r="I3346" s="242">
        <v>4998</v>
      </c>
      <c r="J3346"/>
    </row>
    <row r="3347" spans="1:10" ht="15.75" customHeight="1">
      <c r="A3347" t="s">
        <v>772</v>
      </c>
      <c r="B3347">
        <v>813221</v>
      </c>
      <c r="C3347">
        <v>1</v>
      </c>
      <c r="D3347" t="str">
        <f t="shared" si="52"/>
        <v>1813221.751</v>
      </c>
      <c r="E3347" t="s">
        <v>3156</v>
      </c>
      <c r="F3347" s="242"/>
      <c r="G3347"/>
      <c r="H3347" s="242">
        <v>5000</v>
      </c>
      <c r="I3347" s="242">
        <v>4797</v>
      </c>
      <c r="J3347"/>
    </row>
    <row r="3348" spans="1:10" ht="15.75" customHeight="1">
      <c r="A3348" t="s">
        <v>3157</v>
      </c>
      <c r="B3348">
        <v>813221</v>
      </c>
      <c r="C3348">
        <v>1</v>
      </c>
      <c r="D3348" t="str">
        <f t="shared" si="52"/>
        <v>1813221.877</v>
      </c>
      <c r="E3348" t="s">
        <v>3158</v>
      </c>
      <c r="F3348" s="242"/>
      <c r="G3348"/>
      <c r="H3348" s="242">
        <v>0</v>
      </c>
      <c r="I3348" s="242">
        <v>0</v>
      </c>
      <c r="J3348"/>
    </row>
    <row r="3349" spans="1:10" ht="15.75" customHeight="1">
      <c r="A3349" t="s">
        <v>3144</v>
      </c>
      <c r="B3349">
        <v>813221</v>
      </c>
      <c r="C3349">
        <v>1</v>
      </c>
      <c r="D3349" t="str">
        <f t="shared" si="52"/>
        <v>1813221.878</v>
      </c>
      <c r="E3349" t="s">
        <v>3159</v>
      </c>
      <c r="F3349" s="242"/>
      <c r="G3349"/>
      <c r="H3349" s="242">
        <v>238920</v>
      </c>
      <c r="I3349" s="242">
        <v>255813</v>
      </c>
      <c r="J3349"/>
    </row>
    <row r="3350" spans="1:10" ht="15.75" customHeight="1">
      <c r="A3350" t="s">
        <v>2403</v>
      </c>
      <c r="B3350">
        <v>813222</v>
      </c>
      <c r="C3350">
        <v>1</v>
      </c>
      <c r="D3350" t="str">
        <f t="shared" si="52"/>
        <v>1813222.110</v>
      </c>
      <c r="E3350" t="s">
        <v>2573</v>
      </c>
      <c r="F3350" s="242"/>
      <c r="G3350"/>
      <c r="H3350" s="242">
        <v>484285</v>
      </c>
      <c r="I3350" s="242">
        <v>325755</v>
      </c>
      <c r="J3350"/>
    </row>
    <row r="3351" spans="1:10" ht="15.75" customHeight="1">
      <c r="A3351" t="s">
        <v>2404</v>
      </c>
      <c r="B3351">
        <v>813222</v>
      </c>
      <c r="C3351">
        <v>1</v>
      </c>
      <c r="D3351" t="str">
        <f t="shared" si="52"/>
        <v>1813222.120</v>
      </c>
      <c r="E3351" t="s">
        <v>2574</v>
      </c>
      <c r="F3351" s="242"/>
      <c r="G3351"/>
      <c r="H3351" s="242">
        <v>122614</v>
      </c>
      <c r="I3351" s="242">
        <v>76892</v>
      </c>
      <c r="J3351"/>
    </row>
    <row r="3352" spans="1:10" ht="15.75" customHeight="1">
      <c r="A3352" t="s">
        <v>2575</v>
      </c>
      <c r="B3352">
        <v>813222</v>
      </c>
      <c r="C3352">
        <v>1</v>
      </c>
      <c r="D3352" t="str">
        <f t="shared" si="52"/>
        <v>1813222.130</v>
      </c>
      <c r="E3352" t="s">
        <v>2576</v>
      </c>
      <c r="F3352" s="242"/>
      <c r="G3352"/>
      <c r="H3352" s="242">
        <v>21364</v>
      </c>
      <c r="I3352" s="242">
        <v>11016</v>
      </c>
      <c r="J3352"/>
    </row>
    <row r="3353" spans="1:10" ht="15.75" customHeight="1">
      <c r="A3353" t="s">
        <v>2577</v>
      </c>
      <c r="B3353">
        <v>813222</v>
      </c>
      <c r="C3353">
        <v>1</v>
      </c>
      <c r="D3353" t="str">
        <f t="shared" si="52"/>
        <v>1813222.140</v>
      </c>
      <c r="E3353" t="s">
        <v>2578</v>
      </c>
      <c r="F3353" s="242"/>
      <c r="G3353"/>
      <c r="H3353" s="242">
        <v>13085</v>
      </c>
      <c r="I3353" s="242">
        <v>8791</v>
      </c>
      <c r="J3353"/>
    </row>
    <row r="3354" spans="1:10" ht="15.75" customHeight="1">
      <c r="A3354" t="s">
        <v>2579</v>
      </c>
      <c r="B3354">
        <v>813222</v>
      </c>
      <c r="C3354">
        <v>1</v>
      </c>
      <c r="D3354" t="str">
        <f t="shared" si="52"/>
        <v>1813222.181</v>
      </c>
      <c r="E3354" t="s">
        <v>2580</v>
      </c>
      <c r="F3354" s="242"/>
      <c r="G3354"/>
      <c r="H3354" s="242">
        <v>114995</v>
      </c>
      <c r="I3354" s="242">
        <v>78646</v>
      </c>
      <c r="J3354"/>
    </row>
    <row r="3355" spans="1:10" ht="15.75" customHeight="1">
      <c r="A3355" t="s">
        <v>2581</v>
      </c>
      <c r="B3355">
        <v>813222</v>
      </c>
      <c r="C3355">
        <v>1</v>
      </c>
      <c r="D3355" t="str">
        <f t="shared" si="52"/>
        <v>1813222.182</v>
      </c>
      <c r="E3355" t="s">
        <v>2582</v>
      </c>
      <c r="F3355" s="242"/>
      <c r="G3355"/>
      <c r="H3355" s="242">
        <v>48689</v>
      </c>
      <c r="I3355" s="242">
        <v>32088</v>
      </c>
      <c r="J3355"/>
    </row>
    <row r="3356" spans="1:10" ht="15.75" customHeight="1">
      <c r="A3356" t="s">
        <v>2606</v>
      </c>
      <c r="B3356">
        <v>813222</v>
      </c>
      <c r="C3356">
        <v>1</v>
      </c>
      <c r="D3356" t="str">
        <f t="shared" si="52"/>
        <v>1813222.440</v>
      </c>
      <c r="E3356" t="s">
        <v>2657</v>
      </c>
      <c r="F3356" s="242"/>
      <c r="G3356"/>
      <c r="H3356" s="242">
        <v>10600</v>
      </c>
      <c r="I3356" s="242">
        <v>10236</v>
      </c>
      <c r="J3356"/>
    </row>
    <row r="3357" spans="1:10" ht="15.75" customHeight="1">
      <c r="A3357" t="s">
        <v>2704</v>
      </c>
      <c r="B3357">
        <v>813222</v>
      </c>
      <c r="C3357">
        <v>1</v>
      </c>
      <c r="D3357" t="str">
        <f t="shared" si="52"/>
        <v>1813222.720</v>
      </c>
      <c r="E3357" t="s">
        <v>3149</v>
      </c>
      <c r="F3357" s="242"/>
      <c r="G3357"/>
      <c r="H3357" s="242">
        <v>15000</v>
      </c>
      <c r="I3357" s="242">
        <v>19065</v>
      </c>
      <c r="J3357"/>
    </row>
    <row r="3358" spans="1:10" ht="15.75" customHeight="1">
      <c r="A3358" t="s">
        <v>547</v>
      </c>
      <c r="B3358">
        <v>813222</v>
      </c>
      <c r="C3358">
        <v>1</v>
      </c>
      <c r="D3358" t="str">
        <f t="shared" si="52"/>
        <v>1813222.722</v>
      </c>
      <c r="E3358" t="s">
        <v>3020</v>
      </c>
      <c r="F3358" s="242"/>
      <c r="G3358"/>
      <c r="H3358" s="242">
        <v>100</v>
      </c>
      <c r="I3358" s="242">
        <v>0</v>
      </c>
      <c r="J3358"/>
    </row>
    <row r="3359" spans="1:10" ht="15.75" customHeight="1">
      <c r="A3359" t="s">
        <v>569</v>
      </c>
      <c r="B3359">
        <v>813222</v>
      </c>
      <c r="C3359">
        <v>1</v>
      </c>
      <c r="D3359" t="str">
        <f t="shared" si="52"/>
        <v>1813222.725</v>
      </c>
      <c r="E3359" t="s">
        <v>3153</v>
      </c>
      <c r="F3359" s="242"/>
      <c r="G3359"/>
      <c r="H3359" s="242">
        <v>1105</v>
      </c>
      <c r="I3359" s="242">
        <v>1105</v>
      </c>
      <c r="J3359"/>
    </row>
    <row r="3360" spans="1:10" ht="15.75" customHeight="1">
      <c r="A3360" t="s">
        <v>575</v>
      </c>
      <c r="B3360">
        <v>813222</v>
      </c>
      <c r="C3360">
        <v>1</v>
      </c>
      <c r="D3360" t="str">
        <f t="shared" si="52"/>
        <v>1813222.726</v>
      </c>
      <c r="E3360" t="s">
        <v>3154</v>
      </c>
      <c r="F3360" s="242"/>
      <c r="G3360"/>
      <c r="H3360" s="242">
        <v>12893</v>
      </c>
      <c r="I3360" s="242">
        <v>12328</v>
      </c>
      <c r="J3360"/>
    </row>
    <row r="3361" spans="1:10" ht="15.75" customHeight="1">
      <c r="A3361" t="s">
        <v>586</v>
      </c>
      <c r="B3361">
        <v>813222</v>
      </c>
      <c r="C3361">
        <v>1</v>
      </c>
      <c r="D3361" t="str">
        <f t="shared" si="52"/>
        <v>1813222.727</v>
      </c>
      <c r="E3361" t="s">
        <v>3155</v>
      </c>
      <c r="F3361" s="242"/>
      <c r="G3361"/>
      <c r="H3361" s="242">
        <v>6585</v>
      </c>
      <c r="I3361" s="242">
        <v>6499</v>
      </c>
      <c r="J3361"/>
    </row>
    <row r="3362" spans="1:10" ht="15.75" customHeight="1">
      <c r="A3362" t="s">
        <v>772</v>
      </c>
      <c r="B3362">
        <v>813222</v>
      </c>
      <c r="C3362">
        <v>1</v>
      </c>
      <c r="D3362" t="str">
        <f t="shared" si="52"/>
        <v>1813222.751</v>
      </c>
      <c r="E3362" t="s">
        <v>3156</v>
      </c>
      <c r="F3362" s="242"/>
      <c r="G3362"/>
      <c r="H3362" s="242">
        <v>5000</v>
      </c>
      <c r="I3362" s="242">
        <v>4776</v>
      </c>
      <c r="J3362"/>
    </row>
    <row r="3363" spans="1:10" ht="15.75" customHeight="1">
      <c r="A3363" t="s">
        <v>3157</v>
      </c>
      <c r="B3363">
        <v>813222</v>
      </c>
      <c r="C3363">
        <v>1</v>
      </c>
      <c r="D3363" t="str">
        <f t="shared" si="52"/>
        <v>1813222.877</v>
      </c>
      <c r="E3363" t="s">
        <v>3158</v>
      </c>
      <c r="F3363" s="242"/>
      <c r="G3363"/>
      <c r="H3363" s="242">
        <v>0</v>
      </c>
      <c r="I3363" s="242">
        <v>0</v>
      </c>
      <c r="J3363"/>
    </row>
    <row r="3364" spans="1:10" ht="15.75" customHeight="1">
      <c r="A3364" t="s">
        <v>3144</v>
      </c>
      <c r="B3364">
        <v>813222</v>
      </c>
      <c r="C3364">
        <v>1</v>
      </c>
      <c r="D3364" t="str">
        <f t="shared" si="52"/>
        <v>1813222.878</v>
      </c>
      <c r="E3364" t="s">
        <v>3159</v>
      </c>
      <c r="F3364" s="242"/>
      <c r="G3364"/>
      <c r="H3364" s="242">
        <v>276385</v>
      </c>
      <c r="I3364" s="242">
        <v>279168</v>
      </c>
      <c r="J3364"/>
    </row>
    <row r="3365" spans="1:10" ht="15.75" customHeight="1">
      <c r="A3365" t="s">
        <v>2403</v>
      </c>
      <c r="B3365">
        <v>813223</v>
      </c>
      <c r="C3365">
        <v>1</v>
      </c>
      <c r="D3365" t="str">
        <f t="shared" si="52"/>
        <v>1813223.110</v>
      </c>
      <c r="E3365" t="s">
        <v>2573</v>
      </c>
      <c r="F3365" s="242"/>
      <c r="G3365"/>
      <c r="H3365" s="242">
        <v>296522</v>
      </c>
      <c r="I3365" s="242">
        <v>234269</v>
      </c>
      <c r="J3365"/>
    </row>
    <row r="3366" spans="1:10" ht="15.75" customHeight="1">
      <c r="A3366" t="s">
        <v>2404</v>
      </c>
      <c r="B3366">
        <v>813223</v>
      </c>
      <c r="C3366">
        <v>1</v>
      </c>
      <c r="D3366" t="str">
        <f t="shared" si="52"/>
        <v>1813223.120</v>
      </c>
      <c r="E3366" t="s">
        <v>2574</v>
      </c>
      <c r="F3366" s="242"/>
      <c r="G3366"/>
      <c r="H3366" s="242">
        <v>72223</v>
      </c>
      <c r="I3366" s="242">
        <v>59094</v>
      </c>
      <c r="J3366"/>
    </row>
    <row r="3367" spans="1:10" ht="15.75" customHeight="1">
      <c r="A3367" t="s">
        <v>2575</v>
      </c>
      <c r="B3367">
        <v>813223</v>
      </c>
      <c r="C3367">
        <v>1</v>
      </c>
      <c r="D3367" t="str">
        <f t="shared" si="52"/>
        <v>1813223.130</v>
      </c>
      <c r="E3367" t="s">
        <v>2576</v>
      </c>
      <c r="F3367" s="242"/>
      <c r="G3367"/>
      <c r="H3367" s="242">
        <v>14864</v>
      </c>
      <c r="I3367" s="242">
        <v>7169</v>
      </c>
      <c r="J3367"/>
    </row>
    <row r="3368" spans="1:10" ht="15.75" customHeight="1">
      <c r="A3368" t="s">
        <v>2577</v>
      </c>
      <c r="B3368">
        <v>813223</v>
      </c>
      <c r="C3368">
        <v>1</v>
      </c>
      <c r="D3368" t="str">
        <f t="shared" si="52"/>
        <v>1813223.140</v>
      </c>
      <c r="E3368" t="s">
        <v>2578</v>
      </c>
      <c r="F3368" s="242"/>
      <c r="G3368"/>
      <c r="H3368" s="242">
        <v>8824</v>
      </c>
      <c r="I3368" s="242">
        <v>6688</v>
      </c>
      <c r="J3368"/>
    </row>
    <row r="3369" spans="1:10" ht="15.75" customHeight="1">
      <c r="A3369" t="s">
        <v>2579</v>
      </c>
      <c r="B3369">
        <v>813223</v>
      </c>
      <c r="C3369">
        <v>1</v>
      </c>
      <c r="D3369" t="str">
        <f t="shared" si="52"/>
        <v>1813223.181</v>
      </c>
      <c r="E3369" t="s">
        <v>2580</v>
      </c>
      <c r="F3369" s="242"/>
      <c r="G3369"/>
      <c r="H3369" s="242">
        <v>59071</v>
      </c>
      <c r="I3369" s="242">
        <v>45797</v>
      </c>
      <c r="J3369"/>
    </row>
    <row r="3370" spans="1:10" ht="15.75" customHeight="1">
      <c r="A3370" t="s">
        <v>2581</v>
      </c>
      <c r="B3370">
        <v>813223</v>
      </c>
      <c r="C3370">
        <v>1</v>
      </c>
      <c r="D3370" t="str">
        <f t="shared" si="52"/>
        <v>1813223.182</v>
      </c>
      <c r="E3370" t="s">
        <v>2582</v>
      </c>
      <c r="F3370" s="242"/>
      <c r="G3370"/>
      <c r="H3370" s="242">
        <v>29843</v>
      </c>
      <c r="I3370" s="242">
        <v>23347</v>
      </c>
      <c r="J3370"/>
    </row>
    <row r="3371" spans="1:10" ht="15.75" customHeight="1">
      <c r="A3371" t="s">
        <v>2606</v>
      </c>
      <c r="B3371">
        <v>813223</v>
      </c>
      <c r="C3371">
        <v>1</v>
      </c>
      <c r="D3371" t="str">
        <f t="shared" si="52"/>
        <v>1813223.440</v>
      </c>
      <c r="E3371" t="s">
        <v>2657</v>
      </c>
      <c r="F3371" s="242"/>
      <c r="G3371"/>
      <c r="H3371" s="242">
        <v>10600</v>
      </c>
      <c r="I3371" s="242">
        <v>10236</v>
      </c>
      <c r="J3371"/>
    </row>
    <row r="3372" spans="1:10" ht="15.75" customHeight="1">
      <c r="A3372" t="s">
        <v>2704</v>
      </c>
      <c r="B3372">
        <v>813223</v>
      </c>
      <c r="C3372">
        <v>1</v>
      </c>
      <c r="D3372" t="str">
        <f t="shared" si="52"/>
        <v>1813223.720</v>
      </c>
      <c r="E3372" t="s">
        <v>3149</v>
      </c>
      <c r="F3372" s="242"/>
      <c r="G3372"/>
      <c r="H3372" s="242">
        <v>100</v>
      </c>
      <c r="I3372" s="242">
        <v>498</v>
      </c>
      <c r="J3372"/>
    </row>
    <row r="3373" spans="1:10" ht="15.75" customHeight="1">
      <c r="A3373" t="s">
        <v>575</v>
      </c>
      <c r="B3373">
        <v>813223</v>
      </c>
      <c r="C3373">
        <v>1</v>
      </c>
      <c r="D3373" t="str">
        <f t="shared" si="52"/>
        <v>1813223.726</v>
      </c>
      <c r="E3373" t="s">
        <v>3154</v>
      </c>
      <c r="F3373" s="242"/>
      <c r="G3373"/>
      <c r="H3373" s="242">
        <v>17832</v>
      </c>
      <c r="I3373" s="242">
        <v>16550</v>
      </c>
      <c r="J3373"/>
    </row>
    <row r="3374" spans="1:10" ht="15.75" customHeight="1">
      <c r="A3374" t="s">
        <v>586</v>
      </c>
      <c r="B3374">
        <v>813223</v>
      </c>
      <c r="C3374">
        <v>1</v>
      </c>
      <c r="D3374" t="str">
        <f t="shared" si="52"/>
        <v>1813223.727</v>
      </c>
      <c r="E3374" t="s">
        <v>3155</v>
      </c>
      <c r="F3374" s="242"/>
      <c r="G3374"/>
      <c r="H3374" s="242">
        <v>10146</v>
      </c>
      <c r="I3374" s="242">
        <v>9417</v>
      </c>
      <c r="J3374"/>
    </row>
    <row r="3375" spans="1:10" ht="15.75" customHeight="1">
      <c r="A3375" t="s">
        <v>3164</v>
      </c>
      <c r="B3375">
        <v>813223</v>
      </c>
      <c r="C3375">
        <v>1</v>
      </c>
      <c r="D3375" t="str">
        <f t="shared" si="52"/>
        <v>1813223.728</v>
      </c>
      <c r="E3375" t="s">
        <v>3162</v>
      </c>
      <c r="F3375" s="242"/>
      <c r="G3375"/>
      <c r="H3375" s="242">
        <v>0</v>
      </c>
      <c r="I3375" s="242">
        <v>0</v>
      </c>
      <c r="J3375"/>
    </row>
    <row r="3376" spans="1:10" ht="15.75" customHeight="1">
      <c r="A3376" t="s">
        <v>772</v>
      </c>
      <c r="B3376">
        <v>813223</v>
      </c>
      <c r="C3376">
        <v>1</v>
      </c>
      <c r="D3376" t="str">
        <f t="shared" si="52"/>
        <v>1813223.751</v>
      </c>
      <c r="E3376" t="s">
        <v>3156</v>
      </c>
      <c r="F3376" s="242"/>
      <c r="G3376"/>
      <c r="H3376" s="242">
        <v>5000</v>
      </c>
      <c r="I3376" s="242">
        <v>4797</v>
      </c>
      <c r="J3376"/>
    </row>
    <row r="3377" spans="1:10" ht="15.75" customHeight="1">
      <c r="A3377" t="s">
        <v>3157</v>
      </c>
      <c r="B3377">
        <v>813223</v>
      </c>
      <c r="C3377">
        <v>1</v>
      </c>
      <c r="D3377" t="str">
        <f t="shared" si="52"/>
        <v>1813223.877</v>
      </c>
      <c r="E3377" t="s">
        <v>3158</v>
      </c>
      <c r="F3377" s="242"/>
      <c r="G3377"/>
      <c r="H3377" s="242">
        <v>0</v>
      </c>
      <c r="I3377" s="242">
        <v>0</v>
      </c>
      <c r="J3377"/>
    </row>
    <row r="3378" spans="1:10" ht="15.75" customHeight="1">
      <c r="A3378" t="s">
        <v>3144</v>
      </c>
      <c r="B3378">
        <v>813223</v>
      </c>
      <c r="C3378">
        <v>1</v>
      </c>
      <c r="D3378" t="str">
        <f t="shared" si="52"/>
        <v>1813223.878</v>
      </c>
      <c r="E3378" t="s">
        <v>3159</v>
      </c>
      <c r="F3378" s="242"/>
      <c r="G3378"/>
      <c r="H3378" s="242">
        <v>366030</v>
      </c>
      <c r="I3378" s="242">
        <v>385281</v>
      </c>
      <c r="J3378"/>
    </row>
    <row r="3379" spans="1:10" ht="15.75" customHeight="1">
      <c r="A3379" t="s">
        <v>2403</v>
      </c>
      <c r="B3379">
        <v>813224</v>
      </c>
      <c r="C3379">
        <v>1</v>
      </c>
      <c r="D3379" t="str">
        <f t="shared" si="52"/>
        <v>1813224.110</v>
      </c>
      <c r="E3379" t="s">
        <v>2573</v>
      </c>
      <c r="F3379" s="242"/>
      <c r="G3379"/>
      <c r="H3379" s="242">
        <v>360111</v>
      </c>
      <c r="I3379" s="242">
        <v>339626</v>
      </c>
      <c r="J3379"/>
    </row>
    <row r="3380" spans="1:10" ht="15.75" customHeight="1">
      <c r="A3380" t="s">
        <v>2404</v>
      </c>
      <c r="B3380">
        <v>813224</v>
      </c>
      <c r="C3380">
        <v>1</v>
      </c>
      <c r="D3380" t="str">
        <f t="shared" si="52"/>
        <v>1813224.120</v>
      </c>
      <c r="E3380" t="s">
        <v>2574</v>
      </c>
      <c r="F3380" s="242"/>
      <c r="G3380"/>
      <c r="H3380" s="242">
        <v>62125</v>
      </c>
      <c r="I3380" s="242">
        <v>60219</v>
      </c>
      <c r="J3380"/>
    </row>
    <row r="3381" spans="1:10" ht="15.75" customHeight="1">
      <c r="A3381" t="s">
        <v>2575</v>
      </c>
      <c r="B3381">
        <v>813224</v>
      </c>
      <c r="C3381">
        <v>1</v>
      </c>
      <c r="D3381" t="str">
        <f t="shared" si="52"/>
        <v>1813224.130</v>
      </c>
      <c r="E3381" t="s">
        <v>2576</v>
      </c>
      <c r="F3381" s="242"/>
      <c r="G3381"/>
      <c r="H3381" s="242">
        <v>38677</v>
      </c>
      <c r="I3381" s="242">
        <v>31013</v>
      </c>
      <c r="J3381"/>
    </row>
    <row r="3382" spans="1:10" ht="15.75" customHeight="1">
      <c r="A3382" t="s">
        <v>2577</v>
      </c>
      <c r="B3382">
        <v>813224</v>
      </c>
      <c r="C3382">
        <v>1</v>
      </c>
      <c r="D3382" t="str">
        <f t="shared" si="52"/>
        <v>1813224.140</v>
      </c>
      <c r="E3382" t="s">
        <v>2578</v>
      </c>
      <c r="F3382" s="242"/>
      <c r="G3382"/>
      <c r="H3382" s="242">
        <v>20668</v>
      </c>
      <c r="I3382" s="242">
        <v>21713</v>
      </c>
      <c r="J3382"/>
    </row>
    <row r="3383" spans="1:10" ht="15.75" customHeight="1">
      <c r="A3383" t="s">
        <v>2579</v>
      </c>
      <c r="B3383">
        <v>813224</v>
      </c>
      <c r="C3383">
        <v>1</v>
      </c>
      <c r="D3383" t="str">
        <f t="shared" si="52"/>
        <v>1813224.181</v>
      </c>
      <c r="E3383" t="s">
        <v>2580</v>
      </c>
      <c r="F3383" s="242"/>
      <c r="G3383"/>
      <c r="H3383" s="242">
        <v>78535</v>
      </c>
      <c r="I3383" s="242">
        <v>72994</v>
      </c>
      <c r="J3383"/>
    </row>
    <row r="3384" spans="1:10" ht="15.75" customHeight="1">
      <c r="A3384" t="s">
        <v>2581</v>
      </c>
      <c r="B3384">
        <v>813224</v>
      </c>
      <c r="C3384">
        <v>1</v>
      </c>
      <c r="D3384" t="str">
        <f t="shared" si="52"/>
        <v>1813224.182</v>
      </c>
      <c r="E3384" t="s">
        <v>2582</v>
      </c>
      <c r="F3384" s="242"/>
      <c r="G3384"/>
      <c r="H3384" s="242">
        <v>36565</v>
      </c>
      <c r="I3384" s="242">
        <v>34362</v>
      </c>
      <c r="J3384"/>
    </row>
    <row r="3385" spans="1:10" ht="15.75" customHeight="1">
      <c r="A3385" t="s">
        <v>2606</v>
      </c>
      <c r="B3385">
        <v>813224</v>
      </c>
      <c r="C3385">
        <v>1</v>
      </c>
      <c r="D3385" t="str">
        <f t="shared" si="52"/>
        <v>1813224.440</v>
      </c>
      <c r="E3385" t="s">
        <v>2657</v>
      </c>
      <c r="F3385" s="242"/>
      <c r="G3385"/>
      <c r="H3385" s="242">
        <v>10600</v>
      </c>
      <c r="I3385" s="242">
        <v>10236</v>
      </c>
      <c r="J3385"/>
    </row>
    <row r="3386" spans="1:10" ht="15.75" customHeight="1">
      <c r="A3386" t="s">
        <v>2704</v>
      </c>
      <c r="B3386">
        <v>813224</v>
      </c>
      <c r="C3386">
        <v>1</v>
      </c>
      <c r="D3386" t="str">
        <f t="shared" si="52"/>
        <v>1813224.720</v>
      </c>
      <c r="E3386" t="s">
        <v>3149</v>
      </c>
      <c r="F3386" s="242"/>
      <c r="G3386"/>
      <c r="H3386" s="242">
        <v>600</v>
      </c>
      <c r="I3386" s="242">
        <v>0</v>
      </c>
      <c r="J3386"/>
    </row>
    <row r="3387" spans="1:10" ht="15.75" customHeight="1">
      <c r="A3387" t="s">
        <v>575</v>
      </c>
      <c r="B3387">
        <v>813224</v>
      </c>
      <c r="C3387">
        <v>1</v>
      </c>
      <c r="D3387" t="str">
        <f t="shared" si="52"/>
        <v>1813224.726</v>
      </c>
      <c r="E3387" t="s">
        <v>3154</v>
      </c>
      <c r="F3387" s="242"/>
      <c r="G3387"/>
      <c r="H3387" s="242">
        <v>22959</v>
      </c>
      <c r="I3387" s="242">
        <v>22582</v>
      </c>
      <c r="J3387"/>
    </row>
    <row r="3388" spans="1:10" ht="15.75" customHeight="1">
      <c r="A3388" t="s">
        <v>586</v>
      </c>
      <c r="B3388">
        <v>813224</v>
      </c>
      <c r="C3388">
        <v>1</v>
      </c>
      <c r="D3388" t="str">
        <f t="shared" si="52"/>
        <v>1813224.727</v>
      </c>
      <c r="E3388" t="s">
        <v>3155</v>
      </c>
      <c r="F3388" s="242"/>
      <c r="G3388"/>
      <c r="H3388" s="242">
        <v>13063</v>
      </c>
      <c r="I3388" s="242">
        <v>12849</v>
      </c>
      <c r="J3388"/>
    </row>
    <row r="3389" spans="1:10" ht="15.75" customHeight="1">
      <c r="A3389" t="s">
        <v>772</v>
      </c>
      <c r="B3389">
        <v>813224</v>
      </c>
      <c r="C3389">
        <v>1</v>
      </c>
      <c r="D3389" t="str">
        <f t="shared" si="52"/>
        <v>1813224.751</v>
      </c>
      <c r="E3389" t="s">
        <v>3156</v>
      </c>
      <c r="F3389" s="242"/>
      <c r="G3389"/>
      <c r="H3389" s="242">
        <v>5000</v>
      </c>
      <c r="I3389" s="242">
        <v>4776</v>
      </c>
      <c r="J3389"/>
    </row>
    <row r="3390" spans="1:10" ht="15.75" customHeight="1">
      <c r="A3390" t="s">
        <v>3157</v>
      </c>
      <c r="B3390">
        <v>813224</v>
      </c>
      <c r="C3390">
        <v>1</v>
      </c>
      <c r="D3390" t="str">
        <f t="shared" si="52"/>
        <v>1813224.877</v>
      </c>
      <c r="E3390" t="s">
        <v>3158</v>
      </c>
      <c r="F3390" s="242"/>
      <c r="G3390"/>
      <c r="H3390" s="242">
        <v>0</v>
      </c>
      <c r="I3390" s="242">
        <v>0</v>
      </c>
      <c r="J3390"/>
    </row>
    <row r="3391" spans="1:10" ht="15.75" customHeight="1">
      <c r="A3391" t="s">
        <v>3144</v>
      </c>
      <c r="B3391">
        <v>813224</v>
      </c>
      <c r="C3391">
        <v>1</v>
      </c>
      <c r="D3391" t="str">
        <f t="shared" si="52"/>
        <v>1813224.878</v>
      </c>
      <c r="E3391" t="s">
        <v>3165</v>
      </c>
      <c r="F3391" s="242"/>
      <c r="G3391"/>
      <c r="H3391" s="242">
        <v>568824</v>
      </c>
      <c r="I3391" s="242">
        <v>576661</v>
      </c>
      <c r="J3391"/>
    </row>
    <row r="3392" spans="1:10" ht="15.75" customHeight="1">
      <c r="A3392" t="s">
        <v>2403</v>
      </c>
      <c r="B3392">
        <v>813225</v>
      </c>
      <c r="C3392">
        <v>1</v>
      </c>
      <c r="D3392" t="str">
        <f t="shared" si="52"/>
        <v>1813225.110</v>
      </c>
      <c r="E3392" t="s">
        <v>2573</v>
      </c>
      <c r="F3392" s="242"/>
      <c r="G3392"/>
      <c r="H3392" s="242">
        <v>276125</v>
      </c>
      <c r="I3392" s="242">
        <v>212892</v>
      </c>
      <c r="J3392"/>
    </row>
    <row r="3393" spans="1:10" ht="15.75" customHeight="1">
      <c r="A3393" t="s">
        <v>2404</v>
      </c>
      <c r="B3393">
        <v>813225</v>
      </c>
      <c r="C3393">
        <v>1</v>
      </c>
      <c r="D3393" t="str">
        <f t="shared" si="52"/>
        <v>1813225.120</v>
      </c>
      <c r="E3393" t="s">
        <v>2574</v>
      </c>
      <c r="F3393" s="242"/>
      <c r="G3393"/>
      <c r="H3393" s="242">
        <v>54146</v>
      </c>
      <c r="I3393" s="242">
        <v>32805</v>
      </c>
      <c r="J3393"/>
    </row>
    <row r="3394" spans="1:10" ht="15.75" customHeight="1">
      <c r="A3394" t="s">
        <v>2575</v>
      </c>
      <c r="B3394">
        <v>813225</v>
      </c>
      <c r="C3394">
        <v>1</v>
      </c>
      <c r="D3394" t="str">
        <f t="shared" si="52"/>
        <v>1813225.130</v>
      </c>
      <c r="E3394" t="s">
        <v>2576</v>
      </c>
      <c r="F3394" s="242"/>
      <c r="G3394"/>
      <c r="H3394" s="242">
        <v>14685</v>
      </c>
      <c r="I3394" s="242">
        <v>8836</v>
      </c>
      <c r="J3394"/>
    </row>
    <row r="3395" spans="1:10" ht="15.75" customHeight="1">
      <c r="A3395" t="s">
        <v>2577</v>
      </c>
      <c r="B3395">
        <v>813225</v>
      </c>
      <c r="C3395">
        <v>1</v>
      </c>
      <c r="D3395" t="str">
        <f t="shared" ref="D3395:D3458" si="53">C3395&amp;B3395&amp;"."&amp;A3395</f>
        <v>1813225.140</v>
      </c>
      <c r="E3395" t="s">
        <v>2578</v>
      </c>
      <c r="F3395" s="242"/>
      <c r="G3395"/>
      <c r="H3395" s="242">
        <v>7626</v>
      </c>
      <c r="I3395" s="242">
        <v>5852</v>
      </c>
      <c r="J3395"/>
    </row>
    <row r="3396" spans="1:10" ht="15.75" customHeight="1">
      <c r="A3396" t="s">
        <v>2579</v>
      </c>
      <c r="B3396">
        <v>813225</v>
      </c>
      <c r="C3396">
        <v>1</v>
      </c>
      <c r="D3396" t="str">
        <f t="shared" si="53"/>
        <v>1813225.181</v>
      </c>
      <c r="E3396" t="s">
        <v>2580</v>
      </c>
      <c r="F3396" s="242"/>
      <c r="G3396"/>
      <c r="H3396" s="242">
        <v>66097</v>
      </c>
      <c r="I3396" s="242">
        <v>47092</v>
      </c>
      <c r="J3396"/>
    </row>
    <row r="3397" spans="1:10" ht="15.75" customHeight="1">
      <c r="A3397" t="s">
        <v>2581</v>
      </c>
      <c r="B3397">
        <v>813225</v>
      </c>
      <c r="C3397">
        <v>1</v>
      </c>
      <c r="D3397" t="str">
        <f t="shared" si="53"/>
        <v>1813225.182</v>
      </c>
      <c r="E3397" t="s">
        <v>2582</v>
      </c>
      <c r="F3397" s="242"/>
      <c r="G3397"/>
      <c r="H3397" s="242">
        <v>26798</v>
      </c>
      <c r="I3397" s="242">
        <v>19811</v>
      </c>
      <c r="J3397"/>
    </row>
    <row r="3398" spans="1:10" ht="15.75" customHeight="1">
      <c r="A3398" t="s">
        <v>2606</v>
      </c>
      <c r="B3398">
        <v>813225</v>
      </c>
      <c r="C3398">
        <v>1</v>
      </c>
      <c r="D3398" t="str">
        <f t="shared" si="53"/>
        <v>1813225.440</v>
      </c>
      <c r="E3398" t="s">
        <v>2657</v>
      </c>
      <c r="F3398" s="242"/>
      <c r="G3398"/>
      <c r="H3398" s="242">
        <v>10600</v>
      </c>
      <c r="I3398" s="242">
        <v>10236</v>
      </c>
      <c r="J3398"/>
    </row>
    <row r="3399" spans="1:10" ht="15.75" customHeight="1">
      <c r="A3399" t="s">
        <v>2704</v>
      </c>
      <c r="B3399">
        <v>813225</v>
      </c>
      <c r="C3399">
        <v>1</v>
      </c>
      <c r="D3399" t="str">
        <f t="shared" si="53"/>
        <v>1813225.720</v>
      </c>
      <c r="E3399" t="s">
        <v>3149</v>
      </c>
      <c r="F3399" s="242"/>
      <c r="G3399"/>
      <c r="H3399" s="242">
        <v>100</v>
      </c>
      <c r="I3399" s="242">
        <v>2376</v>
      </c>
      <c r="J3399"/>
    </row>
    <row r="3400" spans="1:10" ht="15.75" customHeight="1">
      <c r="A3400" t="s">
        <v>547</v>
      </c>
      <c r="B3400">
        <v>813225</v>
      </c>
      <c r="C3400">
        <v>1</v>
      </c>
      <c r="D3400" t="str">
        <f t="shared" si="53"/>
        <v>1813225.722</v>
      </c>
      <c r="E3400" t="s">
        <v>3020</v>
      </c>
      <c r="F3400" s="242"/>
      <c r="G3400"/>
      <c r="H3400" s="242">
        <v>100</v>
      </c>
      <c r="I3400" s="242">
        <v>0</v>
      </c>
      <c r="J3400"/>
    </row>
    <row r="3401" spans="1:10" ht="15.75" customHeight="1">
      <c r="A3401" t="s">
        <v>569</v>
      </c>
      <c r="B3401">
        <v>813225</v>
      </c>
      <c r="C3401">
        <v>1</v>
      </c>
      <c r="D3401" t="str">
        <f t="shared" si="53"/>
        <v>1813225.725</v>
      </c>
      <c r="E3401" t="s">
        <v>3153</v>
      </c>
      <c r="F3401" s="242"/>
      <c r="G3401"/>
      <c r="H3401" s="242">
        <v>3653</v>
      </c>
      <c r="I3401" s="242">
        <v>3653</v>
      </c>
      <c r="J3401"/>
    </row>
    <row r="3402" spans="1:10" ht="15.75" customHeight="1">
      <c r="A3402" t="s">
        <v>575</v>
      </c>
      <c r="B3402">
        <v>813225</v>
      </c>
      <c r="C3402">
        <v>1</v>
      </c>
      <c r="D3402" t="str">
        <f t="shared" si="53"/>
        <v>1813225.726</v>
      </c>
      <c r="E3402" t="s">
        <v>3154</v>
      </c>
      <c r="F3402" s="242"/>
      <c r="G3402"/>
      <c r="H3402" s="242">
        <v>12969</v>
      </c>
      <c r="I3402" s="242">
        <v>13044</v>
      </c>
      <c r="J3402"/>
    </row>
    <row r="3403" spans="1:10" ht="15.75" customHeight="1">
      <c r="A3403" t="s">
        <v>586</v>
      </c>
      <c r="B3403">
        <v>813225</v>
      </c>
      <c r="C3403">
        <v>1</v>
      </c>
      <c r="D3403" t="str">
        <f t="shared" si="53"/>
        <v>1813225.727</v>
      </c>
      <c r="E3403" t="s">
        <v>3155</v>
      </c>
      <c r="F3403" s="242"/>
      <c r="G3403"/>
      <c r="H3403" s="242">
        <v>6642</v>
      </c>
      <c r="I3403" s="242">
        <v>7057</v>
      </c>
      <c r="J3403"/>
    </row>
    <row r="3404" spans="1:10" ht="15.75" customHeight="1">
      <c r="A3404" t="s">
        <v>772</v>
      </c>
      <c r="B3404">
        <v>813225</v>
      </c>
      <c r="C3404">
        <v>1</v>
      </c>
      <c r="D3404" t="str">
        <f t="shared" si="53"/>
        <v>1813225.751</v>
      </c>
      <c r="E3404" t="s">
        <v>3156</v>
      </c>
      <c r="F3404" s="242"/>
      <c r="G3404"/>
      <c r="H3404" s="242">
        <v>5000</v>
      </c>
      <c r="I3404" s="242">
        <v>4776</v>
      </c>
      <c r="J3404"/>
    </row>
    <row r="3405" spans="1:10" ht="15.75" customHeight="1">
      <c r="A3405" t="s">
        <v>3157</v>
      </c>
      <c r="B3405">
        <v>813225</v>
      </c>
      <c r="C3405">
        <v>1</v>
      </c>
      <c r="D3405" t="str">
        <f t="shared" si="53"/>
        <v>1813225.877</v>
      </c>
      <c r="E3405" t="s">
        <v>3158</v>
      </c>
      <c r="F3405" s="242"/>
      <c r="G3405"/>
      <c r="H3405" s="242">
        <v>0</v>
      </c>
      <c r="I3405" s="242">
        <v>0</v>
      </c>
      <c r="J3405"/>
    </row>
    <row r="3406" spans="1:10" ht="15.75" customHeight="1">
      <c r="A3406" t="s">
        <v>3144</v>
      </c>
      <c r="B3406">
        <v>813225</v>
      </c>
      <c r="C3406">
        <v>1</v>
      </c>
      <c r="D3406" t="str">
        <f t="shared" si="53"/>
        <v>1813225.878</v>
      </c>
      <c r="E3406" t="s">
        <v>3165</v>
      </c>
      <c r="F3406" s="242"/>
      <c r="G3406"/>
      <c r="H3406" s="242">
        <v>307095</v>
      </c>
      <c r="I3406" s="242">
        <v>307684</v>
      </c>
      <c r="J3406"/>
    </row>
    <row r="3407" spans="1:10" ht="15.75" customHeight="1">
      <c r="A3407" t="s">
        <v>2403</v>
      </c>
      <c r="B3407">
        <v>813226</v>
      </c>
      <c r="C3407">
        <v>1</v>
      </c>
      <c r="D3407" t="str">
        <f t="shared" si="53"/>
        <v>1813226.110</v>
      </c>
      <c r="E3407" t="s">
        <v>2573</v>
      </c>
      <c r="F3407" s="242"/>
      <c r="G3407"/>
      <c r="H3407" s="242">
        <v>268550</v>
      </c>
      <c r="I3407" s="242">
        <v>197217</v>
      </c>
      <c r="J3407"/>
    </row>
    <row r="3408" spans="1:10" ht="15.75" customHeight="1">
      <c r="A3408" t="s">
        <v>2404</v>
      </c>
      <c r="B3408">
        <v>813226</v>
      </c>
      <c r="C3408">
        <v>1</v>
      </c>
      <c r="D3408" t="str">
        <f t="shared" si="53"/>
        <v>1813226.120</v>
      </c>
      <c r="E3408" t="s">
        <v>2574</v>
      </c>
      <c r="F3408" s="242"/>
      <c r="G3408"/>
      <c r="H3408" s="242">
        <v>47575</v>
      </c>
      <c r="I3408" s="242">
        <v>27642</v>
      </c>
      <c r="J3408"/>
    </row>
    <row r="3409" spans="1:10" ht="15.75" customHeight="1">
      <c r="A3409" t="s">
        <v>2575</v>
      </c>
      <c r="B3409">
        <v>813226</v>
      </c>
      <c r="C3409">
        <v>1</v>
      </c>
      <c r="D3409" t="str">
        <f t="shared" si="53"/>
        <v>1813226.130</v>
      </c>
      <c r="E3409" t="s">
        <v>2576</v>
      </c>
      <c r="F3409" s="242"/>
      <c r="G3409"/>
      <c r="H3409" s="242">
        <v>9736</v>
      </c>
      <c r="I3409" s="242">
        <v>4511</v>
      </c>
      <c r="J3409"/>
    </row>
    <row r="3410" spans="1:10" ht="15.75" customHeight="1">
      <c r="A3410" t="s">
        <v>2577</v>
      </c>
      <c r="B3410">
        <v>813226</v>
      </c>
      <c r="C3410">
        <v>1</v>
      </c>
      <c r="D3410" t="str">
        <f t="shared" si="53"/>
        <v>1813226.140</v>
      </c>
      <c r="E3410" t="s">
        <v>2578</v>
      </c>
      <c r="F3410" s="242"/>
      <c r="G3410"/>
      <c r="H3410" s="242">
        <v>7494</v>
      </c>
      <c r="I3410" s="242">
        <v>5286</v>
      </c>
      <c r="J3410"/>
    </row>
    <row r="3411" spans="1:10" ht="15.75" customHeight="1">
      <c r="A3411" t="s">
        <v>2579</v>
      </c>
      <c r="B3411">
        <v>813226</v>
      </c>
      <c r="C3411">
        <v>1</v>
      </c>
      <c r="D3411" t="str">
        <f t="shared" si="53"/>
        <v>1813226.181</v>
      </c>
      <c r="E3411" t="s">
        <v>2580</v>
      </c>
      <c r="F3411" s="242"/>
      <c r="G3411"/>
      <c r="H3411" s="242">
        <v>52448</v>
      </c>
      <c r="I3411" s="242">
        <v>37345</v>
      </c>
      <c r="J3411"/>
    </row>
    <row r="3412" spans="1:10" ht="15.75" customHeight="1">
      <c r="A3412" t="s">
        <v>2581</v>
      </c>
      <c r="B3412">
        <v>813226</v>
      </c>
      <c r="C3412">
        <v>1</v>
      </c>
      <c r="D3412" t="str">
        <f t="shared" si="53"/>
        <v>1813226.182</v>
      </c>
      <c r="E3412" t="s">
        <v>2582</v>
      </c>
      <c r="F3412" s="242"/>
      <c r="G3412"/>
      <c r="H3412" s="242">
        <v>25313</v>
      </c>
      <c r="I3412" s="242">
        <v>17825</v>
      </c>
      <c r="J3412"/>
    </row>
    <row r="3413" spans="1:10" ht="15.75" customHeight="1">
      <c r="A3413" t="s">
        <v>2606</v>
      </c>
      <c r="B3413">
        <v>813226</v>
      </c>
      <c r="C3413">
        <v>1</v>
      </c>
      <c r="D3413" t="str">
        <f t="shared" si="53"/>
        <v>1813226.440</v>
      </c>
      <c r="E3413" t="s">
        <v>2657</v>
      </c>
      <c r="F3413" s="242"/>
      <c r="G3413"/>
      <c r="H3413" s="242">
        <v>10600</v>
      </c>
      <c r="I3413" s="242">
        <v>10236</v>
      </c>
      <c r="J3413"/>
    </row>
    <row r="3414" spans="1:10" ht="15.75" customHeight="1">
      <c r="A3414" t="s">
        <v>2704</v>
      </c>
      <c r="B3414">
        <v>813226</v>
      </c>
      <c r="C3414">
        <v>1</v>
      </c>
      <c r="D3414" t="str">
        <f t="shared" si="53"/>
        <v>1813226.720</v>
      </c>
      <c r="E3414" t="s">
        <v>3149</v>
      </c>
      <c r="F3414" s="242"/>
      <c r="G3414"/>
      <c r="H3414" s="242">
        <v>100</v>
      </c>
      <c r="I3414" s="242">
        <v>0</v>
      </c>
      <c r="J3414"/>
    </row>
    <row r="3415" spans="1:10" ht="15.75" customHeight="1">
      <c r="A3415" t="s">
        <v>569</v>
      </c>
      <c r="B3415">
        <v>813226</v>
      </c>
      <c r="C3415">
        <v>1</v>
      </c>
      <c r="D3415" t="str">
        <f t="shared" si="53"/>
        <v>1813226.725</v>
      </c>
      <c r="E3415" t="s">
        <v>3153</v>
      </c>
      <c r="F3415" s="242"/>
      <c r="G3415"/>
      <c r="H3415" s="242">
        <v>728</v>
      </c>
      <c r="I3415" s="242">
        <v>910</v>
      </c>
      <c r="J3415"/>
    </row>
    <row r="3416" spans="1:10" ht="15.75" customHeight="1">
      <c r="A3416" t="s">
        <v>575</v>
      </c>
      <c r="B3416">
        <v>813226</v>
      </c>
      <c r="C3416">
        <v>1</v>
      </c>
      <c r="D3416" t="str">
        <f t="shared" si="53"/>
        <v>1813226.726</v>
      </c>
      <c r="E3416" t="s">
        <v>3154</v>
      </c>
      <c r="F3416" s="242"/>
      <c r="G3416"/>
      <c r="H3416" s="242">
        <v>3996</v>
      </c>
      <c r="I3416" s="242">
        <v>4336</v>
      </c>
      <c r="J3416"/>
    </row>
    <row r="3417" spans="1:10" ht="15.75" customHeight="1">
      <c r="A3417" t="s">
        <v>586</v>
      </c>
      <c r="B3417">
        <v>813226</v>
      </c>
      <c r="C3417">
        <v>1</v>
      </c>
      <c r="D3417" t="str">
        <f t="shared" si="53"/>
        <v>1813226.727</v>
      </c>
      <c r="E3417" t="s">
        <v>3155</v>
      </c>
      <c r="F3417" s="242"/>
      <c r="G3417"/>
      <c r="H3417" s="242">
        <v>2274</v>
      </c>
      <c r="I3417" s="242">
        <v>2467</v>
      </c>
      <c r="J3417"/>
    </row>
    <row r="3418" spans="1:10" ht="15.75" customHeight="1">
      <c r="A3418" t="s">
        <v>772</v>
      </c>
      <c r="B3418">
        <v>813226</v>
      </c>
      <c r="C3418">
        <v>1</v>
      </c>
      <c r="D3418" t="str">
        <f t="shared" si="53"/>
        <v>1813226.751</v>
      </c>
      <c r="E3418" t="s">
        <v>3156</v>
      </c>
      <c r="F3418" s="242"/>
      <c r="G3418"/>
      <c r="H3418" s="242">
        <v>5000</v>
      </c>
      <c r="I3418" s="242">
        <v>4776</v>
      </c>
      <c r="J3418"/>
    </row>
    <row r="3419" spans="1:10" ht="15.75" customHeight="1">
      <c r="A3419" t="s">
        <v>3157</v>
      </c>
      <c r="B3419">
        <v>813226</v>
      </c>
      <c r="C3419">
        <v>1</v>
      </c>
      <c r="D3419" t="str">
        <f t="shared" si="53"/>
        <v>1813226.877</v>
      </c>
      <c r="E3419" t="s">
        <v>3158</v>
      </c>
      <c r="F3419" s="242"/>
      <c r="G3419"/>
      <c r="H3419" s="242">
        <v>0</v>
      </c>
      <c r="I3419" s="242">
        <v>0</v>
      </c>
      <c r="J3419"/>
    </row>
    <row r="3420" spans="1:10" ht="15.75" customHeight="1">
      <c r="A3420" t="s">
        <v>3144</v>
      </c>
      <c r="B3420">
        <v>813226</v>
      </c>
      <c r="C3420">
        <v>1</v>
      </c>
      <c r="D3420" t="str">
        <f t="shared" si="53"/>
        <v>1813226.878</v>
      </c>
      <c r="E3420" t="s">
        <v>3165</v>
      </c>
      <c r="F3420" s="242"/>
      <c r="G3420"/>
      <c r="H3420" s="242">
        <v>167100</v>
      </c>
      <c r="I3420" s="242">
        <v>165483</v>
      </c>
      <c r="J3420"/>
    </row>
    <row r="3421" spans="1:10" ht="15.75" customHeight="1">
      <c r="A3421" t="s">
        <v>2403</v>
      </c>
      <c r="B3421">
        <v>813227</v>
      </c>
      <c r="C3421">
        <v>1</v>
      </c>
      <c r="D3421" t="str">
        <f t="shared" si="53"/>
        <v>1813227.110</v>
      </c>
      <c r="E3421" t="s">
        <v>2573</v>
      </c>
      <c r="F3421" s="242"/>
      <c r="G3421"/>
      <c r="H3421" s="242">
        <v>258162</v>
      </c>
      <c r="I3421" s="242">
        <v>184671</v>
      </c>
      <c r="J3421"/>
    </row>
    <row r="3422" spans="1:10" ht="15.75" customHeight="1">
      <c r="A3422" t="s">
        <v>2404</v>
      </c>
      <c r="B3422">
        <v>813227</v>
      </c>
      <c r="C3422">
        <v>1</v>
      </c>
      <c r="D3422" t="str">
        <f t="shared" si="53"/>
        <v>1813227.120</v>
      </c>
      <c r="E3422" t="s">
        <v>2574</v>
      </c>
      <c r="F3422" s="242"/>
      <c r="G3422"/>
      <c r="H3422" s="242">
        <v>59760</v>
      </c>
      <c r="I3422" s="242">
        <v>32965</v>
      </c>
      <c r="J3422"/>
    </row>
    <row r="3423" spans="1:10" ht="15.75" customHeight="1">
      <c r="A3423" t="s">
        <v>2575</v>
      </c>
      <c r="B3423">
        <v>813227</v>
      </c>
      <c r="C3423">
        <v>1</v>
      </c>
      <c r="D3423" t="str">
        <f t="shared" si="53"/>
        <v>1813227.130</v>
      </c>
      <c r="E3423" t="s">
        <v>2576</v>
      </c>
      <c r="F3423" s="242"/>
      <c r="G3423"/>
      <c r="H3423" s="242">
        <v>7082</v>
      </c>
      <c r="I3423" s="242">
        <v>3075</v>
      </c>
      <c r="J3423"/>
    </row>
    <row r="3424" spans="1:10" ht="15.75" customHeight="1">
      <c r="A3424" t="s">
        <v>2577</v>
      </c>
      <c r="B3424">
        <v>813227</v>
      </c>
      <c r="C3424">
        <v>1</v>
      </c>
      <c r="D3424" t="str">
        <f t="shared" si="53"/>
        <v>1813227.140</v>
      </c>
      <c r="E3424" t="s">
        <v>2578</v>
      </c>
      <c r="F3424" s="242"/>
      <c r="G3424"/>
      <c r="H3424" s="242">
        <v>5963</v>
      </c>
      <c r="I3424" s="242">
        <v>8425</v>
      </c>
      <c r="J3424"/>
    </row>
    <row r="3425" spans="1:10" ht="15.75" customHeight="1">
      <c r="A3425" t="s">
        <v>2579</v>
      </c>
      <c r="B3425">
        <v>813227</v>
      </c>
      <c r="C3425">
        <v>1</v>
      </c>
      <c r="D3425" t="str">
        <f t="shared" si="53"/>
        <v>1813227.181</v>
      </c>
      <c r="E3425" t="s">
        <v>2580</v>
      </c>
      <c r="F3425" s="242"/>
      <c r="G3425"/>
      <c r="H3425" s="242">
        <v>50749</v>
      </c>
      <c r="I3425" s="242">
        <v>34099</v>
      </c>
      <c r="J3425"/>
    </row>
    <row r="3426" spans="1:10" ht="15.75" customHeight="1">
      <c r="A3426" t="s">
        <v>2581</v>
      </c>
      <c r="B3426">
        <v>813227</v>
      </c>
      <c r="C3426">
        <v>1</v>
      </c>
      <c r="D3426" t="str">
        <f t="shared" si="53"/>
        <v>1813227.182</v>
      </c>
      <c r="E3426" t="s">
        <v>2582</v>
      </c>
      <c r="F3426" s="242"/>
      <c r="G3426"/>
      <c r="H3426" s="242">
        <v>25160</v>
      </c>
      <c r="I3426" s="242">
        <v>17402</v>
      </c>
      <c r="J3426"/>
    </row>
    <row r="3427" spans="1:10" ht="15.75" customHeight="1">
      <c r="A3427" t="s">
        <v>2606</v>
      </c>
      <c r="B3427">
        <v>813227</v>
      </c>
      <c r="C3427">
        <v>1</v>
      </c>
      <c r="D3427" t="str">
        <f t="shared" si="53"/>
        <v>1813227.440</v>
      </c>
      <c r="E3427" t="s">
        <v>2657</v>
      </c>
      <c r="F3427" s="242"/>
      <c r="G3427"/>
      <c r="H3427" s="242">
        <v>10600</v>
      </c>
      <c r="I3427" s="242">
        <v>10236</v>
      </c>
      <c r="J3427"/>
    </row>
    <row r="3428" spans="1:10" ht="15.75" customHeight="1">
      <c r="A3428" t="s">
        <v>547</v>
      </c>
      <c r="B3428">
        <v>813227</v>
      </c>
      <c r="C3428">
        <v>1</v>
      </c>
      <c r="D3428" t="str">
        <f t="shared" si="53"/>
        <v>1813227.722</v>
      </c>
      <c r="E3428" t="s">
        <v>3020</v>
      </c>
      <c r="F3428" s="242"/>
      <c r="G3428"/>
      <c r="H3428" s="242">
        <v>0</v>
      </c>
      <c r="I3428" s="242">
        <v>0</v>
      </c>
      <c r="J3428"/>
    </row>
    <row r="3429" spans="1:10" ht="15.75" customHeight="1">
      <c r="A3429" t="s">
        <v>575</v>
      </c>
      <c r="B3429">
        <v>813227</v>
      </c>
      <c r="C3429">
        <v>1</v>
      </c>
      <c r="D3429" t="str">
        <f t="shared" si="53"/>
        <v>1813227.726</v>
      </c>
      <c r="E3429" t="s">
        <v>3154</v>
      </c>
      <c r="F3429" s="242"/>
      <c r="G3429"/>
      <c r="H3429" s="242">
        <v>8407</v>
      </c>
      <c r="I3429" s="242">
        <v>8369</v>
      </c>
      <c r="J3429"/>
    </row>
    <row r="3430" spans="1:10" ht="15.75" customHeight="1">
      <c r="A3430" t="s">
        <v>586</v>
      </c>
      <c r="B3430">
        <v>813227</v>
      </c>
      <c r="C3430">
        <v>1</v>
      </c>
      <c r="D3430" t="str">
        <f t="shared" si="53"/>
        <v>1813227.727</v>
      </c>
      <c r="E3430" t="s">
        <v>3155</v>
      </c>
      <c r="F3430" s="242"/>
      <c r="G3430"/>
      <c r="H3430" s="242">
        <v>4805</v>
      </c>
      <c r="I3430" s="242">
        <v>4762</v>
      </c>
      <c r="J3430"/>
    </row>
    <row r="3431" spans="1:10" ht="15.75" customHeight="1">
      <c r="A3431" t="s">
        <v>772</v>
      </c>
      <c r="B3431">
        <v>813227</v>
      </c>
      <c r="C3431">
        <v>1</v>
      </c>
      <c r="D3431" t="str">
        <f t="shared" si="53"/>
        <v>1813227.751</v>
      </c>
      <c r="E3431" t="s">
        <v>3156</v>
      </c>
      <c r="F3431" s="242"/>
      <c r="G3431"/>
      <c r="H3431" s="242">
        <v>5000</v>
      </c>
      <c r="I3431" s="242">
        <v>4776</v>
      </c>
      <c r="J3431"/>
    </row>
    <row r="3432" spans="1:10" ht="15.75" customHeight="1">
      <c r="A3432" t="s">
        <v>3157</v>
      </c>
      <c r="B3432">
        <v>813227</v>
      </c>
      <c r="C3432">
        <v>1</v>
      </c>
      <c r="D3432" t="str">
        <f t="shared" si="53"/>
        <v>1813227.877</v>
      </c>
      <c r="E3432" t="s">
        <v>3158</v>
      </c>
      <c r="F3432" s="242"/>
      <c r="G3432"/>
      <c r="H3432" s="242">
        <v>0</v>
      </c>
      <c r="I3432" s="242">
        <v>0</v>
      </c>
      <c r="J3432"/>
    </row>
    <row r="3433" spans="1:10" ht="15.75" customHeight="1">
      <c r="A3433" t="s">
        <v>3144</v>
      </c>
      <c r="B3433">
        <v>813227</v>
      </c>
      <c r="C3433">
        <v>1</v>
      </c>
      <c r="D3433" t="str">
        <f t="shared" si="53"/>
        <v>1813227.878</v>
      </c>
      <c r="E3433" t="s">
        <v>3165</v>
      </c>
      <c r="F3433" s="242"/>
      <c r="G3433"/>
      <c r="H3433" s="242">
        <v>226575</v>
      </c>
      <c r="I3433" s="242">
        <v>225434</v>
      </c>
      <c r="J3433"/>
    </row>
    <row r="3434" spans="1:10" ht="15.75" customHeight="1">
      <c r="A3434" t="s">
        <v>2403</v>
      </c>
      <c r="B3434">
        <v>813228</v>
      </c>
      <c r="C3434">
        <v>1</v>
      </c>
      <c r="D3434" t="str">
        <f t="shared" si="53"/>
        <v>1813228.110</v>
      </c>
      <c r="E3434" t="s">
        <v>2573</v>
      </c>
      <c r="F3434" s="242"/>
      <c r="G3434"/>
      <c r="H3434" s="242">
        <v>286153</v>
      </c>
      <c r="I3434" s="242">
        <v>282384</v>
      </c>
      <c r="J3434"/>
    </row>
    <row r="3435" spans="1:10" ht="15.75" customHeight="1">
      <c r="A3435" t="s">
        <v>2404</v>
      </c>
      <c r="B3435">
        <v>813228</v>
      </c>
      <c r="C3435">
        <v>1</v>
      </c>
      <c r="D3435" t="str">
        <f t="shared" si="53"/>
        <v>1813228.120</v>
      </c>
      <c r="E3435" t="s">
        <v>2574</v>
      </c>
      <c r="F3435" s="242"/>
      <c r="G3435"/>
      <c r="H3435" s="242">
        <v>24357</v>
      </c>
      <c r="I3435" s="242">
        <v>18187</v>
      </c>
      <c r="J3435"/>
    </row>
    <row r="3436" spans="1:10" ht="15.75" customHeight="1">
      <c r="A3436" t="s">
        <v>2575</v>
      </c>
      <c r="B3436">
        <v>813228</v>
      </c>
      <c r="C3436">
        <v>1</v>
      </c>
      <c r="D3436" t="str">
        <f t="shared" si="53"/>
        <v>1813228.130</v>
      </c>
      <c r="E3436" t="s">
        <v>2576</v>
      </c>
      <c r="F3436" s="242"/>
      <c r="G3436"/>
      <c r="H3436" s="242">
        <v>22802</v>
      </c>
      <c r="I3436" s="242">
        <v>14502</v>
      </c>
      <c r="J3436"/>
    </row>
    <row r="3437" spans="1:10" ht="15.75" customHeight="1">
      <c r="A3437" t="s">
        <v>2577</v>
      </c>
      <c r="B3437">
        <v>813228</v>
      </c>
      <c r="C3437">
        <v>1</v>
      </c>
      <c r="D3437" t="str">
        <f t="shared" si="53"/>
        <v>1813228.140</v>
      </c>
      <c r="E3437" t="s">
        <v>2578</v>
      </c>
      <c r="F3437" s="242"/>
      <c r="G3437"/>
      <c r="H3437" s="242">
        <v>8111</v>
      </c>
      <c r="I3437" s="242">
        <v>8056</v>
      </c>
      <c r="J3437"/>
    </row>
    <row r="3438" spans="1:10" ht="15.75" customHeight="1">
      <c r="A3438" t="s">
        <v>2579</v>
      </c>
      <c r="B3438">
        <v>813228</v>
      </c>
      <c r="C3438">
        <v>1</v>
      </c>
      <c r="D3438" t="str">
        <f t="shared" si="53"/>
        <v>1813228.181</v>
      </c>
      <c r="E3438" t="s">
        <v>2580</v>
      </c>
      <c r="F3438" s="242"/>
      <c r="G3438"/>
      <c r="H3438" s="242">
        <v>58521</v>
      </c>
      <c r="I3438" s="242">
        <v>55248</v>
      </c>
      <c r="J3438"/>
    </row>
    <row r="3439" spans="1:10" ht="15.75" customHeight="1">
      <c r="A3439" t="s">
        <v>2581</v>
      </c>
      <c r="B3439">
        <v>813228</v>
      </c>
      <c r="C3439">
        <v>1</v>
      </c>
      <c r="D3439" t="str">
        <f t="shared" si="53"/>
        <v>1813228.182</v>
      </c>
      <c r="E3439" t="s">
        <v>2582</v>
      </c>
      <c r="F3439" s="242"/>
      <c r="G3439"/>
      <c r="H3439" s="242">
        <v>25889</v>
      </c>
      <c r="I3439" s="242">
        <v>24562</v>
      </c>
      <c r="J3439"/>
    </row>
    <row r="3440" spans="1:10" ht="15.75" customHeight="1">
      <c r="A3440" t="s">
        <v>2606</v>
      </c>
      <c r="B3440">
        <v>813228</v>
      </c>
      <c r="C3440">
        <v>1</v>
      </c>
      <c r="D3440" t="str">
        <f t="shared" si="53"/>
        <v>1813228.440</v>
      </c>
      <c r="E3440" t="s">
        <v>2657</v>
      </c>
      <c r="F3440" s="242"/>
      <c r="G3440"/>
      <c r="H3440" s="242">
        <v>10600</v>
      </c>
      <c r="I3440" s="242">
        <v>10236</v>
      </c>
      <c r="J3440"/>
    </row>
    <row r="3441" spans="1:10" ht="15.75" customHeight="1">
      <c r="A3441" t="s">
        <v>569</v>
      </c>
      <c r="B3441">
        <v>813228</v>
      </c>
      <c r="C3441">
        <v>1</v>
      </c>
      <c r="D3441" t="str">
        <f t="shared" si="53"/>
        <v>1813228.725</v>
      </c>
      <c r="E3441" t="s">
        <v>3153</v>
      </c>
      <c r="F3441" s="242"/>
      <c r="G3441"/>
      <c r="H3441" s="242">
        <v>3276</v>
      </c>
      <c r="I3441" s="242">
        <v>3276</v>
      </c>
      <c r="J3441"/>
    </row>
    <row r="3442" spans="1:10" ht="15.75" customHeight="1">
      <c r="A3442" t="s">
        <v>575</v>
      </c>
      <c r="B3442">
        <v>813228</v>
      </c>
      <c r="C3442">
        <v>1</v>
      </c>
      <c r="D3442" t="str">
        <f t="shared" si="53"/>
        <v>1813228.726</v>
      </c>
      <c r="E3442" t="s">
        <v>3154</v>
      </c>
      <c r="F3442" s="242"/>
      <c r="G3442"/>
      <c r="H3442" s="242">
        <v>22168</v>
      </c>
      <c r="I3442" s="242">
        <v>21941</v>
      </c>
      <c r="J3442"/>
    </row>
    <row r="3443" spans="1:10" ht="15.75" customHeight="1">
      <c r="A3443" t="s">
        <v>586</v>
      </c>
      <c r="B3443">
        <v>813228</v>
      </c>
      <c r="C3443">
        <v>1</v>
      </c>
      <c r="D3443" t="str">
        <f t="shared" si="53"/>
        <v>1813228.727</v>
      </c>
      <c r="E3443" t="s">
        <v>3155</v>
      </c>
      <c r="F3443" s="242"/>
      <c r="G3443"/>
      <c r="H3443" s="242">
        <v>12613</v>
      </c>
      <c r="I3443" s="242">
        <v>12484</v>
      </c>
      <c r="J3443"/>
    </row>
    <row r="3444" spans="1:10" ht="15.75" customHeight="1">
      <c r="A3444" t="s">
        <v>772</v>
      </c>
      <c r="B3444">
        <v>813228</v>
      </c>
      <c r="C3444">
        <v>1</v>
      </c>
      <c r="D3444" t="str">
        <f t="shared" si="53"/>
        <v>1813228.751</v>
      </c>
      <c r="E3444" t="s">
        <v>3156</v>
      </c>
      <c r="F3444" s="242"/>
      <c r="G3444"/>
      <c r="H3444" s="242">
        <v>5000</v>
      </c>
      <c r="I3444" s="242">
        <v>0</v>
      </c>
      <c r="J3444"/>
    </row>
    <row r="3445" spans="1:10" ht="15.75" customHeight="1">
      <c r="A3445" t="s">
        <v>3157</v>
      </c>
      <c r="B3445">
        <v>813228</v>
      </c>
      <c r="C3445">
        <v>1</v>
      </c>
      <c r="D3445" t="str">
        <f t="shared" si="53"/>
        <v>1813228.877</v>
      </c>
      <c r="E3445" t="s">
        <v>3158</v>
      </c>
      <c r="F3445" s="242"/>
      <c r="G3445"/>
      <c r="H3445" s="242">
        <v>0</v>
      </c>
      <c r="I3445" s="242">
        <v>0</v>
      </c>
      <c r="J3445"/>
    </row>
    <row r="3446" spans="1:10" ht="15.75" customHeight="1">
      <c r="A3446" t="s">
        <v>3144</v>
      </c>
      <c r="B3446">
        <v>813228</v>
      </c>
      <c r="C3446">
        <v>1</v>
      </c>
      <c r="D3446" t="str">
        <f t="shared" si="53"/>
        <v>1813228.878</v>
      </c>
      <c r="E3446" t="s">
        <v>3165</v>
      </c>
      <c r="F3446" s="242"/>
      <c r="G3446"/>
      <c r="H3446" s="242">
        <v>514799</v>
      </c>
      <c r="I3446" s="242">
        <v>518303</v>
      </c>
      <c r="J3446"/>
    </row>
    <row r="3447" spans="1:10" ht="15.75" customHeight="1">
      <c r="A3447" t="s">
        <v>2403</v>
      </c>
      <c r="B3447">
        <v>813229</v>
      </c>
      <c r="C3447">
        <v>1</v>
      </c>
      <c r="D3447" t="str">
        <f t="shared" si="53"/>
        <v>1813229.110</v>
      </c>
      <c r="E3447" t="s">
        <v>2573</v>
      </c>
      <c r="F3447" s="242"/>
      <c r="G3447"/>
      <c r="H3447" s="242">
        <v>943689</v>
      </c>
      <c r="I3447" s="242">
        <v>608253</v>
      </c>
      <c r="J3447"/>
    </row>
    <row r="3448" spans="1:10" ht="15.75" customHeight="1">
      <c r="A3448" t="s">
        <v>2404</v>
      </c>
      <c r="B3448">
        <v>813229</v>
      </c>
      <c r="C3448">
        <v>1</v>
      </c>
      <c r="D3448" t="str">
        <f t="shared" si="53"/>
        <v>1813229.120</v>
      </c>
      <c r="E3448" t="s">
        <v>2574</v>
      </c>
      <c r="F3448" s="242"/>
      <c r="G3448"/>
      <c r="H3448" s="242">
        <v>191199</v>
      </c>
      <c r="I3448" s="242">
        <v>118931</v>
      </c>
      <c r="J3448"/>
    </row>
    <row r="3449" spans="1:10" ht="15.75" customHeight="1">
      <c r="A3449" t="s">
        <v>2575</v>
      </c>
      <c r="B3449">
        <v>813229</v>
      </c>
      <c r="C3449">
        <v>1</v>
      </c>
      <c r="D3449" t="str">
        <f t="shared" si="53"/>
        <v>1813229.130</v>
      </c>
      <c r="E3449" t="s">
        <v>2576</v>
      </c>
      <c r="F3449" s="242"/>
      <c r="G3449"/>
      <c r="H3449" s="242">
        <v>33748</v>
      </c>
      <c r="I3449" s="242">
        <v>17117</v>
      </c>
      <c r="J3449"/>
    </row>
    <row r="3450" spans="1:10" ht="15.75" customHeight="1">
      <c r="A3450" t="s">
        <v>2577</v>
      </c>
      <c r="B3450">
        <v>813229</v>
      </c>
      <c r="C3450">
        <v>1</v>
      </c>
      <c r="D3450" t="str">
        <f t="shared" si="53"/>
        <v>1813229.140</v>
      </c>
      <c r="E3450" t="s">
        <v>2578</v>
      </c>
      <c r="F3450" s="242"/>
      <c r="G3450"/>
      <c r="H3450" s="242">
        <v>33228</v>
      </c>
      <c r="I3450" s="242">
        <v>24151</v>
      </c>
      <c r="J3450"/>
    </row>
    <row r="3451" spans="1:10" ht="15.75" customHeight="1">
      <c r="A3451" t="s">
        <v>2579</v>
      </c>
      <c r="B3451">
        <v>813229</v>
      </c>
      <c r="C3451">
        <v>1</v>
      </c>
      <c r="D3451" t="str">
        <f t="shared" si="53"/>
        <v>1813229.181</v>
      </c>
      <c r="E3451" t="s">
        <v>2580</v>
      </c>
      <c r="F3451" s="242"/>
      <c r="G3451"/>
      <c r="H3451" s="242">
        <v>204556</v>
      </c>
      <c r="I3451" s="242">
        <v>130365</v>
      </c>
      <c r="J3451"/>
    </row>
    <row r="3452" spans="1:10" ht="15.75" customHeight="1">
      <c r="A3452" t="s">
        <v>2581</v>
      </c>
      <c r="B3452">
        <v>813229</v>
      </c>
      <c r="C3452">
        <v>1</v>
      </c>
      <c r="D3452" t="str">
        <f t="shared" si="53"/>
        <v>1813229.182</v>
      </c>
      <c r="E3452" t="s">
        <v>2582</v>
      </c>
      <c r="F3452" s="242"/>
      <c r="G3452"/>
      <c r="H3452" s="242">
        <v>91428</v>
      </c>
      <c r="I3452" s="242">
        <v>58547</v>
      </c>
      <c r="J3452"/>
    </row>
    <row r="3453" spans="1:10" ht="15.75" customHeight="1">
      <c r="A3453" t="s">
        <v>2606</v>
      </c>
      <c r="B3453">
        <v>813229</v>
      </c>
      <c r="C3453">
        <v>1</v>
      </c>
      <c r="D3453" t="str">
        <f t="shared" si="53"/>
        <v>1813229.440</v>
      </c>
      <c r="E3453" t="s">
        <v>2657</v>
      </c>
      <c r="F3453" s="242"/>
      <c r="G3453"/>
      <c r="H3453" s="242">
        <v>10600</v>
      </c>
      <c r="I3453" s="242">
        <v>10236</v>
      </c>
      <c r="J3453"/>
    </row>
    <row r="3454" spans="1:10" ht="15.75" customHeight="1">
      <c r="A3454" t="s">
        <v>547</v>
      </c>
      <c r="B3454">
        <v>813229</v>
      </c>
      <c r="C3454">
        <v>1</v>
      </c>
      <c r="D3454" t="str">
        <f t="shared" si="53"/>
        <v>1813229.722</v>
      </c>
      <c r="E3454" t="s">
        <v>3020</v>
      </c>
      <c r="F3454" s="242"/>
      <c r="G3454"/>
      <c r="H3454" s="242">
        <v>0</v>
      </c>
      <c r="I3454" s="242">
        <v>0</v>
      </c>
      <c r="J3454"/>
    </row>
    <row r="3455" spans="1:10" ht="15.75" customHeight="1">
      <c r="A3455" t="s">
        <v>569</v>
      </c>
      <c r="B3455">
        <v>813229</v>
      </c>
      <c r="C3455">
        <v>1</v>
      </c>
      <c r="D3455" t="str">
        <f t="shared" si="53"/>
        <v>1813229.725</v>
      </c>
      <c r="E3455" t="s">
        <v>3153</v>
      </c>
      <c r="F3455" s="242"/>
      <c r="G3455"/>
      <c r="H3455" s="242">
        <v>1658</v>
      </c>
      <c r="I3455" s="242">
        <v>1658</v>
      </c>
      <c r="J3455"/>
    </row>
    <row r="3456" spans="1:10" ht="15.75" customHeight="1">
      <c r="A3456" t="s">
        <v>575</v>
      </c>
      <c r="B3456">
        <v>813229</v>
      </c>
      <c r="C3456">
        <v>1</v>
      </c>
      <c r="D3456" t="str">
        <f t="shared" si="53"/>
        <v>1813229.726</v>
      </c>
      <c r="E3456" t="s">
        <v>3154</v>
      </c>
      <c r="F3456" s="242"/>
      <c r="G3456"/>
      <c r="H3456" s="242">
        <v>25900</v>
      </c>
      <c r="I3456" s="242">
        <v>25372</v>
      </c>
      <c r="J3456"/>
    </row>
    <row r="3457" spans="1:10" ht="15.75" customHeight="1">
      <c r="A3457" t="s">
        <v>586</v>
      </c>
      <c r="B3457">
        <v>813229</v>
      </c>
      <c r="C3457">
        <v>1</v>
      </c>
      <c r="D3457" t="str">
        <f t="shared" si="53"/>
        <v>1813229.727</v>
      </c>
      <c r="E3457" t="s">
        <v>3155</v>
      </c>
      <c r="F3457" s="242"/>
      <c r="G3457"/>
      <c r="H3457" s="242">
        <v>13943</v>
      </c>
      <c r="I3457" s="242">
        <v>13599</v>
      </c>
      <c r="J3457"/>
    </row>
    <row r="3458" spans="1:10" ht="15.75" customHeight="1">
      <c r="A3458" t="s">
        <v>772</v>
      </c>
      <c r="B3458">
        <v>813229</v>
      </c>
      <c r="C3458">
        <v>1</v>
      </c>
      <c r="D3458" t="str">
        <f t="shared" si="53"/>
        <v>1813229.751</v>
      </c>
      <c r="E3458" t="s">
        <v>3156</v>
      </c>
      <c r="F3458" s="242"/>
      <c r="G3458"/>
      <c r="H3458" s="242">
        <v>5000</v>
      </c>
      <c r="I3458" s="242">
        <v>4776</v>
      </c>
      <c r="J3458"/>
    </row>
    <row r="3459" spans="1:10" ht="15.75" customHeight="1">
      <c r="A3459" t="s">
        <v>3157</v>
      </c>
      <c r="B3459">
        <v>813229</v>
      </c>
      <c r="C3459">
        <v>1</v>
      </c>
      <c r="D3459" t="str">
        <f t="shared" ref="D3459:D3522" si="54">C3459&amp;B3459&amp;"."&amp;A3459</f>
        <v>1813229.877</v>
      </c>
      <c r="E3459" t="s">
        <v>3158</v>
      </c>
      <c r="F3459" s="242"/>
      <c r="G3459"/>
      <c r="H3459" s="242">
        <v>0</v>
      </c>
      <c r="I3459" s="242">
        <v>0</v>
      </c>
      <c r="J3459"/>
    </row>
    <row r="3460" spans="1:10" ht="15.75" customHeight="1">
      <c r="A3460" t="s">
        <v>3144</v>
      </c>
      <c r="B3460">
        <v>813229</v>
      </c>
      <c r="C3460">
        <v>1</v>
      </c>
      <c r="D3460" t="str">
        <f t="shared" si="54"/>
        <v>1813229.878</v>
      </c>
      <c r="E3460" t="s">
        <v>3159</v>
      </c>
      <c r="F3460" s="242"/>
      <c r="G3460"/>
      <c r="H3460" s="242">
        <v>636608</v>
      </c>
      <c r="I3460" s="242">
        <v>640936</v>
      </c>
      <c r="J3460"/>
    </row>
    <row r="3461" spans="1:10" ht="15.75" customHeight="1">
      <c r="A3461" t="s">
        <v>2403</v>
      </c>
      <c r="B3461">
        <v>813231</v>
      </c>
      <c r="C3461">
        <v>1</v>
      </c>
      <c r="D3461" t="str">
        <f t="shared" si="54"/>
        <v>1813231.110</v>
      </c>
      <c r="E3461" t="s">
        <v>2573</v>
      </c>
      <c r="F3461" s="242"/>
      <c r="G3461"/>
      <c r="H3461" s="242">
        <v>234171</v>
      </c>
      <c r="I3461" s="242">
        <v>194045</v>
      </c>
      <c r="J3461"/>
    </row>
    <row r="3462" spans="1:10" ht="15.75" customHeight="1">
      <c r="A3462" t="s">
        <v>2404</v>
      </c>
      <c r="B3462">
        <v>813231</v>
      </c>
      <c r="C3462">
        <v>1</v>
      </c>
      <c r="D3462" t="str">
        <f t="shared" si="54"/>
        <v>1813231.120</v>
      </c>
      <c r="E3462" t="s">
        <v>2574</v>
      </c>
      <c r="F3462" s="242"/>
      <c r="G3462"/>
      <c r="H3462" s="242">
        <v>22251</v>
      </c>
      <c r="I3462" s="242">
        <v>20514</v>
      </c>
      <c r="J3462"/>
    </row>
    <row r="3463" spans="1:10" ht="15.75" customHeight="1">
      <c r="A3463" t="s">
        <v>2575</v>
      </c>
      <c r="B3463">
        <v>813231</v>
      </c>
      <c r="C3463">
        <v>1</v>
      </c>
      <c r="D3463" t="str">
        <f t="shared" si="54"/>
        <v>1813231.130</v>
      </c>
      <c r="E3463" t="s">
        <v>2576</v>
      </c>
      <c r="F3463" s="242"/>
      <c r="G3463"/>
      <c r="H3463" s="242">
        <v>17723</v>
      </c>
      <c r="I3463" s="242">
        <v>11240</v>
      </c>
      <c r="J3463"/>
    </row>
    <row r="3464" spans="1:10" ht="15.75" customHeight="1">
      <c r="A3464" t="s">
        <v>2577</v>
      </c>
      <c r="B3464">
        <v>813231</v>
      </c>
      <c r="C3464">
        <v>1</v>
      </c>
      <c r="D3464" t="str">
        <f t="shared" si="54"/>
        <v>1813231.140</v>
      </c>
      <c r="E3464" t="s">
        <v>2578</v>
      </c>
      <c r="F3464" s="242"/>
      <c r="G3464"/>
      <c r="H3464" s="242">
        <v>6640</v>
      </c>
      <c r="I3464" s="242">
        <v>5472</v>
      </c>
      <c r="J3464"/>
    </row>
    <row r="3465" spans="1:10" ht="15.75" customHeight="1">
      <c r="A3465" t="s">
        <v>2579</v>
      </c>
      <c r="B3465">
        <v>813231</v>
      </c>
      <c r="C3465">
        <v>1</v>
      </c>
      <c r="D3465" t="str">
        <f t="shared" si="54"/>
        <v>1813231.181</v>
      </c>
      <c r="E3465" t="s">
        <v>2580</v>
      </c>
      <c r="F3465" s="242"/>
      <c r="G3465"/>
      <c r="H3465" s="242">
        <v>57441</v>
      </c>
      <c r="I3465" s="242">
        <v>46868</v>
      </c>
      <c r="J3465"/>
    </row>
    <row r="3466" spans="1:10" ht="15.75" customHeight="1">
      <c r="A3466" t="s">
        <v>2581</v>
      </c>
      <c r="B3466">
        <v>813231</v>
      </c>
      <c r="C3466">
        <v>1</v>
      </c>
      <c r="D3466" t="str">
        <f t="shared" si="54"/>
        <v>1813231.182</v>
      </c>
      <c r="E3466" t="s">
        <v>2582</v>
      </c>
      <c r="F3466" s="242"/>
      <c r="G3466"/>
      <c r="H3466" s="242">
        <v>21367</v>
      </c>
      <c r="I3466" s="242">
        <v>17605</v>
      </c>
      <c r="J3466"/>
    </row>
    <row r="3467" spans="1:10" ht="15.75" customHeight="1">
      <c r="A3467" t="s">
        <v>2606</v>
      </c>
      <c r="B3467">
        <v>813231</v>
      </c>
      <c r="C3467">
        <v>1</v>
      </c>
      <c r="D3467" t="str">
        <f t="shared" si="54"/>
        <v>1813231.440</v>
      </c>
      <c r="E3467" t="s">
        <v>2657</v>
      </c>
      <c r="F3467" s="242"/>
      <c r="G3467"/>
      <c r="H3467" s="242">
        <v>10600</v>
      </c>
      <c r="I3467" s="242">
        <v>10236</v>
      </c>
      <c r="J3467"/>
    </row>
    <row r="3468" spans="1:10" ht="15.75" customHeight="1">
      <c r="A3468" t="s">
        <v>2704</v>
      </c>
      <c r="B3468">
        <v>813231</v>
      </c>
      <c r="C3468">
        <v>1</v>
      </c>
      <c r="D3468" t="str">
        <f t="shared" si="54"/>
        <v>1813231.720</v>
      </c>
      <c r="E3468" t="s">
        <v>3149</v>
      </c>
      <c r="F3468" s="242"/>
      <c r="G3468"/>
      <c r="H3468" s="242">
        <v>0</v>
      </c>
      <c r="I3468" s="242">
        <v>0</v>
      </c>
      <c r="J3468"/>
    </row>
    <row r="3469" spans="1:10" ht="15.75" customHeight="1">
      <c r="A3469" t="s">
        <v>547</v>
      </c>
      <c r="B3469">
        <v>813231</v>
      </c>
      <c r="C3469">
        <v>1</v>
      </c>
      <c r="D3469" t="str">
        <f t="shared" si="54"/>
        <v>1813231.722</v>
      </c>
      <c r="E3469" t="s">
        <v>3020</v>
      </c>
      <c r="F3469" s="242"/>
      <c r="G3469"/>
      <c r="H3469" s="242">
        <v>0</v>
      </c>
      <c r="I3469" s="242">
        <v>9000</v>
      </c>
      <c r="J3469"/>
    </row>
    <row r="3470" spans="1:10" ht="15.75" customHeight="1">
      <c r="A3470" t="s">
        <v>575</v>
      </c>
      <c r="B3470">
        <v>813231</v>
      </c>
      <c r="C3470">
        <v>1</v>
      </c>
      <c r="D3470" t="str">
        <f t="shared" si="54"/>
        <v>1813231.726</v>
      </c>
      <c r="E3470" t="s">
        <v>3154</v>
      </c>
      <c r="F3470" s="242"/>
      <c r="G3470"/>
      <c r="H3470" s="242">
        <v>12177</v>
      </c>
      <c r="I3470" s="242">
        <v>12462</v>
      </c>
      <c r="J3470"/>
    </row>
    <row r="3471" spans="1:10" ht="15.75" customHeight="1">
      <c r="A3471" t="s">
        <v>586</v>
      </c>
      <c r="B3471">
        <v>813231</v>
      </c>
      <c r="C3471">
        <v>1</v>
      </c>
      <c r="D3471" t="str">
        <f t="shared" si="54"/>
        <v>1813231.727</v>
      </c>
      <c r="E3471" t="s">
        <v>3155</v>
      </c>
      <c r="F3471" s="242"/>
      <c r="G3471"/>
      <c r="H3471" s="242">
        <v>6950</v>
      </c>
      <c r="I3471" s="242">
        <v>7100</v>
      </c>
      <c r="J3471"/>
    </row>
    <row r="3472" spans="1:10" ht="15.75" customHeight="1">
      <c r="A3472" t="s">
        <v>3164</v>
      </c>
      <c r="B3472">
        <v>813231</v>
      </c>
      <c r="C3472">
        <v>1</v>
      </c>
      <c r="D3472" t="str">
        <f t="shared" si="54"/>
        <v>1813231.728</v>
      </c>
      <c r="E3472" t="s">
        <v>3162</v>
      </c>
      <c r="F3472" s="242"/>
      <c r="G3472"/>
      <c r="H3472" s="242">
        <v>1200</v>
      </c>
      <c r="I3472" s="242">
        <v>800</v>
      </c>
      <c r="J3472"/>
    </row>
    <row r="3473" spans="1:10" ht="15.75" customHeight="1">
      <c r="A3473" t="s">
        <v>772</v>
      </c>
      <c r="B3473">
        <v>813231</v>
      </c>
      <c r="C3473">
        <v>1</v>
      </c>
      <c r="D3473" t="str">
        <f t="shared" si="54"/>
        <v>1813231.751</v>
      </c>
      <c r="E3473" t="s">
        <v>3156</v>
      </c>
      <c r="F3473" s="242"/>
      <c r="G3473"/>
      <c r="H3473" s="242">
        <v>5000</v>
      </c>
      <c r="I3473" s="242">
        <v>4797</v>
      </c>
      <c r="J3473"/>
    </row>
    <row r="3474" spans="1:10" ht="15.75" customHeight="1">
      <c r="A3474" t="s">
        <v>2632</v>
      </c>
      <c r="B3474">
        <v>813231</v>
      </c>
      <c r="C3474">
        <v>1</v>
      </c>
      <c r="D3474" t="str">
        <f t="shared" si="54"/>
        <v>1813231.780</v>
      </c>
      <c r="E3474" t="s">
        <v>3167</v>
      </c>
      <c r="F3474" s="242"/>
      <c r="G3474"/>
      <c r="H3474" s="242">
        <v>0</v>
      </c>
      <c r="I3474" s="242">
        <v>6000</v>
      </c>
      <c r="J3474"/>
    </row>
    <row r="3475" spans="1:10" ht="15.75" customHeight="1">
      <c r="A3475" t="s">
        <v>3157</v>
      </c>
      <c r="B3475">
        <v>813231</v>
      </c>
      <c r="C3475">
        <v>1</v>
      </c>
      <c r="D3475" t="str">
        <f t="shared" si="54"/>
        <v>1813231.877</v>
      </c>
      <c r="E3475" t="s">
        <v>3158</v>
      </c>
      <c r="F3475" s="242"/>
      <c r="G3475"/>
      <c r="H3475" s="242">
        <v>0</v>
      </c>
      <c r="I3475" s="242">
        <v>0</v>
      </c>
      <c r="J3475"/>
    </row>
    <row r="3476" spans="1:10" ht="15.75" customHeight="1">
      <c r="A3476" t="s">
        <v>3144</v>
      </c>
      <c r="B3476">
        <v>813231</v>
      </c>
      <c r="C3476">
        <v>1</v>
      </c>
      <c r="D3476" t="str">
        <f t="shared" si="54"/>
        <v>1813231.878</v>
      </c>
      <c r="E3476" t="s">
        <v>3159</v>
      </c>
      <c r="F3476" s="242"/>
      <c r="G3476"/>
      <c r="H3476" s="242">
        <v>329825</v>
      </c>
      <c r="I3476" s="242">
        <v>317577</v>
      </c>
      <c r="J3476"/>
    </row>
    <row r="3477" spans="1:10" ht="15.75" customHeight="1">
      <c r="A3477" t="s">
        <v>2403</v>
      </c>
      <c r="B3477">
        <v>813232</v>
      </c>
      <c r="C3477">
        <v>1</v>
      </c>
      <c r="D3477" t="str">
        <f t="shared" si="54"/>
        <v>1813232.110</v>
      </c>
      <c r="E3477" t="s">
        <v>2573</v>
      </c>
      <c r="F3477" s="242"/>
      <c r="G3477"/>
      <c r="H3477" s="242">
        <v>391197</v>
      </c>
      <c r="I3477" s="242">
        <v>358936</v>
      </c>
      <c r="J3477"/>
    </row>
    <row r="3478" spans="1:10" ht="15.75" customHeight="1">
      <c r="A3478" t="s">
        <v>2404</v>
      </c>
      <c r="B3478">
        <v>813232</v>
      </c>
      <c r="C3478">
        <v>1</v>
      </c>
      <c r="D3478" t="str">
        <f t="shared" si="54"/>
        <v>1813232.120</v>
      </c>
      <c r="E3478" t="s">
        <v>2574</v>
      </c>
      <c r="F3478" s="242"/>
      <c r="G3478"/>
      <c r="H3478" s="242">
        <v>95240</v>
      </c>
      <c r="I3478" s="242">
        <v>75480</v>
      </c>
      <c r="J3478"/>
    </row>
    <row r="3479" spans="1:10" ht="15.75" customHeight="1">
      <c r="A3479" t="s">
        <v>2575</v>
      </c>
      <c r="B3479">
        <v>813232</v>
      </c>
      <c r="C3479">
        <v>1</v>
      </c>
      <c r="D3479" t="str">
        <f t="shared" si="54"/>
        <v>1813232.130</v>
      </c>
      <c r="E3479" t="s">
        <v>2576</v>
      </c>
      <c r="F3479" s="242"/>
      <c r="G3479"/>
      <c r="H3479" s="242">
        <v>10851</v>
      </c>
      <c r="I3479" s="242">
        <v>7217</v>
      </c>
      <c r="J3479"/>
    </row>
    <row r="3480" spans="1:10" ht="15.75" customHeight="1">
      <c r="A3480" t="s">
        <v>2577</v>
      </c>
      <c r="B3480">
        <v>813232</v>
      </c>
      <c r="C3480">
        <v>1</v>
      </c>
      <c r="D3480" t="str">
        <f t="shared" si="54"/>
        <v>1813232.140</v>
      </c>
      <c r="E3480" t="s">
        <v>2578</v>
      </c>
      <c r="F3480" s="242"/>
      <c r="G3480"/>
      <c r="H3480" s="242">
        <v>9982</v>
      </c>
      <c r="I3480" s="242">
        <v>9264</v>
      </c>
      <c r="J3480"/>
    </row>
    <row r="3481" spans="1:10" ht="15.75" customHeight="1">
      <c r="A3481" t="s">
        <v>2579</v>
      </c>
      <c r="B3481">
        <v>813232</v>
      </c>
      <c r="C3481">
        <v>1</v>
      </c>
      <c r="D3481" t="str">
        <f t="shared" si="54"/>
        <v>1813232.181</v>
      </c>
      <c r="E3481" t="s">
        <v>2580</v>
      </c>
      <c r="F3481" s="242"/>
      <c r="G3481"/>
      <c r="H3481" s="242">
        <v>88694</v>
      </c>
      <c r="I3481" s="242">
        <v>78047</v>
      </c>
      <c r="J3481"/>
    </row>
    <row r="3482" spans="1:10" ht="15.75" customHeight="1">
      <c r="A3482" t="s">
        <v>2581</v>
      </c>
      <c r="B3482">
        <v>813232</v>
      </c>
      <c r="C3482">
        <v>1</v>
      </c>
      <c r="D3482" t="str">
        <f t="shared" si="54"/>
        <v>1813232.182</v>
      </c>
      <c r="E3482" t="s">
        <v>2582</v>
      </c>
      <c r="F3482" s="242"/>
      <c r="G3482"/>
      <c r="H3482" s="242">
        <v>38508</v>
      </c>
      <c r="I3482" s="242">
        <v>34226</v>
      </c>
      <c r="J3482"/>
    </row>
    <row r="3483" spans="1:10" ht="15.75" customHeight="1">
      <c r="A3483" t="s">
        <v>2606</v>
      </c>
      <c r="B3483">
        <v>813232</v>
      </c>
      <c r="C3483">
        <v>1</v>
      </c>
      <c r="D3483" t="str">
        <f t="shared" si="54"/>
        <v>1813232.440</v>
      </c>
      <c r="E3483" t="s">
        <v>2657</v>
      </c>
      <c r="F3483" s="242"/>
      <c r="G3483"/>
      <c r="H3483" s="242">
        <v>10600</v>
      </c>
      <c r="I3483" s="242">
        <v>10236</v>
      </c>
      <c r="J3483"/>
    </row>
    <row r="3484" spans="1:10" ht="15.75" customHeight="1">
      <c r="A3484" t="s">
        <v>2704</v>
      </c>
      <c r="B3484">
        <v>813232</v>
      </c>
      <c r="C3484">
        <v>1</v>
      </c>
      <c r="D3484" t="str">
        <f t="shared" si="54"/>
        <v>1813232.720</v>
      </c>
      <c r="E3484" t="s">
        <v>3149</v>
      </c>
      <c r="F3484" s="242"/>
      <c r="G3484"/>
      <c r="H3484" s="242">
        <v>0</v>
      </c>
      <c r="I3484" s="242">
        <v>498</v>
      </c>
      <c r="J3484"/>
    </row>
    <row r="3485" spans="1:10" ht="15.75" customHeight="1">
      <c r="A3485" t="s">
        <v>569</v>
      </c>
      <c r="B3485">
        <v>813232</v>
      </c>
      <c r="C3485">
        <v>1</v>
      </c>
      <c r="D3485" t="str">
        <f t="shared" si="54"/>
        <v>1813232.725</v>
      </c>
      <c r="E3485" t="s">
        <v>3153</v>
      </c>
      <c r="F3485" s="242"/>
      <c r="G3485"/>
      <c r="H3485" s="242">
        <v>0</v>
      </c>
      <c r="I3485" s="242">
        <v>1105</v>
      </c>
      <c r="J3485"/>
    </row>
    <row r="3486" spans="1:10" ht="15.75" customHeight="1">
      <c r="A3486" t="s">
        <v>575</v>
      </c>
      <c r="B3486">
        <v>813232</v>
      </c>
      <c r="C3486">
        <v>1</v>
      </c>
      <c r="D3486" t="str">
        <f t="shared" si="54"/>
        <v>1813232.726</v>
      </c>
      <c r="E3486" t="s">
        <v>3154</v>
      </c>
      <c r="F3486" s="242"/>
      <c r="G3486"/>
      <c r="H3486" s="242">
        <v>10292</v>
      </c>
      <c r="I3486" s="242">
        <v>10368</v>
      </c>
      <c r="J3486"/>
    </row>
    <row r="3487" spans="1:10" ht="15.75" customHeight="1">
      <c r="A3487" t="s">
        <v>586</v>
      </c>
      <c r="B3487">
        <v>813232</v>
      </c>
      <c r="C3487">
        <v>1</v>
      </c>
      <c r="D3487" t="str">
        <f t="shared" si="54"/>
        <v>1813232.727</v>
      </c>
      <c r="E3487" t="s">
        <v>3155</v>
      </c>
      <c r="F3487" s="242"/>
      <c r="G3487"/>
      <c r="H3487" s="242">
        <v>5341</v>
      </c>
      <c r="I3487" s="242">
        <v>5384</v>
      </c>
      <c r="J3487"/>
    </row>
    <row r="3488" spans="1:10" ht="15.75" customHeight="1">
      <c r="A3488" t="s">
        <v>3164</v>
      </c>
      <c r="B3488">
        <v>813232</v>
      </c>
      <c r="C3488">
        <v>1</v>
      </c>
      <c r="D3488" t="str">
        <f t="shared" si="54"/>
        <v>1813232.728</v>
      </c>
      <c r="E3488" t="s">
        <v>3162</v>
      </c>
      <c r="F3488" s="242"/>
      <c r="G3488"/>
      <c r="H3488" s="242">
        <v>2400</v>
      </c>
      <c r="I3488" s="242">
        <v>2400</v>
      </c>
      <c r="J3488"/>
    </row>
    <row r="3489" spans="1:10" ht="15.75" customHeight="1">
      <c r="A3489" t="s">
        <v>772</v>
      </c>
      <c r="B3489">
        <v>813232</v>
      </c>
      <c r="C3489">
        <v>1</v>
      </c>
      <c r="D3489" t="str">
        <f t="shared" si="54"/>
        <v>1813232.751</v>
      </c>
      <c r="E3489" t="s">
        <v>3156</v>
      </c>
      <c r="F3489" s="242"/>
      <c r="G3489"/>
      <c r="H3489" s="242">
        <v>5000</v>
      </c>
      <c r="I3489" s="242">
        <v>4776</v>
      </c>
      <c r="J3489"/>
    </row>
    <row r="3490" spans="1:10" ht="15.75" customHeight="1">
      <c r="A3490" t="s">
        <v>3157</v>
      </c>
      <c r="B3490">
        <v>813232</v>
      </c>
      <c r="C3490">
        <v>1</v>
      </c>
      <c r="D3490" t="str">
        <f t="shared" si="54"/>
        <v>1813232.877</v>
      </c>
      <c r="E3490" t="s">
        <v>3158</v>
      </c>
      <c r="F3490" s="242"/>
      <c r="G3490"/>
      <c r="H3490" s="242">
        <v>0</v>
      </c>
      <c r="I3490" s="242">
        <v>0</v>
      </c>
      <c r="J3490"/>
    </row>
    <row r="3491" spans="1:10" ht="15.75" customHeight="1">
      <c r="A3491" t="s">
        <v>3144</v>
      </c>
      <c r="B3491">
        <v>813232</v>
      </c>
      <c r="C3491">
        <v>1</v>
      </c>
      <c r="D3491" t="str">
        <f t="shared" si="54"/>
        <v>1813232.878</v>
      </c>
      <c r="E3491" t="s">
        <v>3159</v>
      </c>
      <c r="F3491" s="242"/>
      <c r="G3491"/>
      <c r="H3491" s="242">
        <v>231705</v>
      </c>
      <c r="I3491" s="242">
        <v>243708</v>
      </c>
      <c r="J3491"/>
    </row>
    <row r="3492" spans="1:10" ht="15.75" customHeight="1">
      <c r="A3492" t="s">
        <v>2403</v>
      </c>
      <c r="B3492">
        <v>813233</v>
      </c>
      <c r="C3492">
        <v>1</v>
      </c>
      <c r="D3492" t="str">
        <f t="shared" si="54"/>
        <v>1813233.110</v>
      </c>
      <c r="E3492" t="s">
        <v>2573</v>
      </c>
      <c r="F3492" s="242"/>
      <c r="G3492"/>
      <c r="H3492" s="242">
        <v>262318</v>
      </c>
      <c r="I3492" s="242">
        <v>167029</v>
      </c>
      <c r="J3492"/>
    </row>
    <row r="3493" spans="1:10" ht="15.75" customHeight="1">
      <c r="A3493" t="s">
        <v>2404</v>
      </c>
      <c r="B3493">
        <v>813233</v>
      </c>
      <c r="C3493">
        <v>1</v>
      </c>
      <c r="D3493" t="str">
        <f t="shared" si="54"/>
        <v>1813233.120</v>
      </c>
      <c r="E3493" t="s">
        <v>2574</v>
      </c>
      <c r="F3493" s="242"/>
      <c r="G3493"/>
      <c r="H3493" s="242">
        <v>16089</v>
      </c>
      <c r="I3493" s="242">
        <v>13349</v>
      </c>
      <c r="J3493"/>
    </row>
    <row r="3494" spans="1:10" ht="15.75" customHeight="1">
      <c r="A3494" t="s">
        <v>2575</v>
      </c>
      <c r="B3494">
        <v>813233</v>
      </c>
      <c r="C3494">
        <v>1</v>
      </c>
      <c r="D3494" t="str">
        <f t="shared" si="54"/>
        <v>1813233.130</v>
      </c>
      <c r="E3494" t="s">
        <v>2576</v>
      </c>
      <c r="F3494" s="242"/>
      <c r="G3494"/>
      <c r="H3494" s="242">
        <v>28055</v>
      </c>
      <c r="I3494" s="242">
        <v>10191</v>
      </c>
      <c r="J3494"/>
    </row>
    <row r="3495" spans="1:10" ht="15.75" customHeight="1">
      <c r="A3495" t="s">
        <v>2577</v>
      </c>
      <c r="B3495">
        <v>813233</v>
      </c>
      <c r="C3495">
        <v>1</v>
      </c>
      <c r="D3495" t="str">
        <f t="shared" si="54"/>
        <v>1813233.140</v>
      </c>
      <c r="E3495" t="s">
        <v>2578</v>
      </c>
      <c r="F3495" s="242"/>
      <c r="G3495"/>
      <c r="H3495" s="242">
        <v>7550</v>
      </c>
      <c r="I3495" s="242">
        <v>4510</v>
      </c>
      <c r="J3495"/>
    </row>
    <row r="3496" spans="1:10" ht="15.75" customHeight="1">
      <c r="A3496" t="s">
        <v>2579</v>
      </c>
      <c r="B3496">
        <v>813233</v>
      </c>
      <c r="C3496">
        <v>1</v>
      </c>
      <c r="D3496" t="str">
        <f t="shared" si="54"/>
        <v>1813233.181</v>
      </c>
      <c r="E3496" t="s">
        <v>2580</v>
      </c>
      <c r="F3496" s="242"/>
      <c r="G3496"/>
      <c r="H3496" s="242">
        <v>62020</v>
      </c>
      <c r="I3496" s="242">
        <v>43205</v>
      </c>
      <c r="J3496"/>
    </row>
    <row r="3497" spans="1:10" ht="15.75" customHeight="1">
      <c r="A3497" t="s">
        <v>2581</v>
      </c>
      <c r="B3497">
        <v>813233</v>
      </c>
      <c r="C3497">
        <v>1</v>
      </c>
      <c r="D3497" t="str">
        <f t="shared" si="54"/>
        <v>1813233.182</v>
      </c>
      <c r="E3497" t="s">
        <v>2582</v>
      </c>
      <c r="F3497" s="242"/>
      <c r="G3497"/>
      <c r="H3497" s="242">
        <v>23958</v>
      </c>
      <c r="I3497" s="242">
        <v>14936</v>
      </c>
      <c r="J3497"/>
    </row>
    <row r="3498" spans="1:10" ht="15.75" customHeight="1">
      <c r="A3498" t="s">
        <v>2606</v>
      </c>
      <c r="B3498">
        <v>813233</v>
      </c>
      <c r="C3498">
        <v>1</v>
      </c>
      <c r="D3498" t="str">
        <f t="shared" si="54"/>
        <v>1813233.440</v>
      </c>
      <c r="E3498" t="s">
        <v>2657</v>
      </c>
      <c r="F3498" s="242"/>
      <c r="G3498"/>
      <c r="H3498" s="242">
        <v>10600</v>
      </c>
      <c r="I3498" s="242">
        <v>10236</v>
      </c>
      <c r="J3498"/>
    </row>
    <row r="3499" spans="1:10" ht="15.75" customHeight="1">
      <c r="A3499" t="s">
        <v>2704</v>
      </c>
      <c r="B3499">
        <v>813233</v>
      </c>
      <c r="C3499">
        <v>1</v>
      </c>
      <c r="D3499" t="str">
        <f t="shared" si="54"/>
        <v>1813233.720</v>
      </c>
      <c r="E3499" t="s">
        <v>3149</v>
      </c>
      <c r="F3499" s="242"/>
      <c r="G3499"/>
      <c r="H3499" s="242">
        <v>0</v>
      </c>
      <c r="I3499" s="242">
        <v>626</v>
      </c>
      <c r="J3499"/>
    </row>
    <row r="3500" spans="1:10" ht="15.75" customHeight="1">
      <c r="A3500" t="s">
        <v>569</v>
      </c>
      <c r="B3500">
        <v>813233</v>
      </c>
      <c r="C3500">
        <v>1</v>
      </c>
      <c r="D3500" t="str">
        <f t="shared" si="54"/>
        <v>1813233.725</v>
      </c>
      <c r="E3500" t="s">
        <v>3153</v>
      </c>
      <c r="F3500" s="242"/>
      <c r="G3500"/>
      <c r="H3500" s="242">
        <v>2184</v>
      </c>
      <c r="I3500" s="242">
        <v>1820</v>
      </c>
      <c r="J3500"/>
    </row>
    <row r="3501" spans="1:10" ht="15.75" customHeight="1">
      <c r="A3501" t="s">
        <v>575</v>
      </c>
      <c r="B3501">
        <v>813233</v>
      </c>
      <c r="C3501">
        <v>1</v>
      </c>
      <c r="D3501" t="str">
        <f t="shared" si="54"/>
        <v>1813233.726</v>
      </c>
      <c r="E3501" t="s">
        <v>3154</v>
      </c>
      <c r="F3501" s="242"/>
      <c r="G3501"/>
      <c r="H3501" s="242">
        <v>11725</v>
      </c>
      <c r="I3501" s="242">
        <v>10066</v>
      </c>
      <c r="J3501"/>
    </row>
    <row r="3502" spans="1:10" ht="15.75" customHeight="1">
      <c r="A3502" t="s">
        <v>586</v>
      </c>
      <c r="B3502">
        <v>813233</v>
      </c>
      <c r="C3502">
        <v>1</v>
      </c>
      <c r="D3502" t="str">
        <f t="shared" si="54"/>
        <v>1813233.727</v>
      </c>
      <c r="E3502" t="s">
        <v>3155</v>
      </c>
      <c r="F3502" s="242"/>
      <c r="G3502"/>
      <c r="H3502" s="242">
        <v>6671</v>
      </c>
      <c r="I3502" s="242">
        <v>5727</v>
      </c>
      <c r="J3502"/>
    </row>
    <row r="3503" spans="1:10" ht="15.75" customHeight="1">
      <c r="A3503" t="s">
        <v>772</v>
      </c>
      <c r="B3503">
        <v>813233</v>
      </c>
      <c r="C3503">
        <v>1</v>
      </c>
      <c r="D3503" t="str">
        <f t="shared" si="54"/>
        <v>1813233.751</v>
      </c>
      <c r="E3503" t="s">
        <v>3156</v>
      </c>
      <c r="F3503" s="242"/>
      <c r="G3503"/>
      <c r="H3503" s="242">
        <v>5000</v>
      </c>
      <c r="I3503" s="242">
        <v>4797</v>
      </c>
      <c r="J3503"/>
    </row>
    <row r="3504" spans="1:10" ht="15.75" customHeight="1">
      <c r="A3504" t="s">
        <v>3157</v>
      </c>
      <c r="B3504">
        <v>813233</v>
      </c>
      <c r="C3504">
        <v>1</v>
      </c>
      <c r="D3504" t="str">
        <f t="shared" si="54"/>
        <v>1813233.877</v>
      </c>
      <c r="E3504" t="s">
        <v>3158</v>
      </c>
      <c r="F3504" s="242"/>
      <c r="G3504"/>
      <c r="H3504" s="242">
        <v>0</v>
      </c>
      <c r="I3504" s="242">
        <v>0</v>
      </c>
      <c r="J3504"/>
    </row>
    <row r="3505" spans="1:10" ht="15.75" customHeight="1">
      <c r="A3505" t="s">
        <v>3144</v>
      </c>
      <c r="B3505">
        <v>813233</v>
      </c>
      <c r="C3505">
        <v>1</v>
      </c>
      <c r="D3505" t="str">
        <f t="shared" si="54"/>
        <v>1813233.878</v>
      </c>
      <c r="E3505" t="s">
        <v>3159</v>
      </c>
      <c r="F3505" s="242"/>
      <c r="G3505"/>
      <c r="H3505" s="242">
        <v>251590</v>
      </c>
      <c r="I3505" s="242">
        <v>270300</v>
      </c>
      <c r="J3505"/>
    </row>
    <row r="3506" spans="1:10" ht="15.75" customHeight="1">
      <c r="A3506" t="s">
        <v>2403</v>
      </c>
      <c r="B3506">
        <v>813234</v>
      </c>
      <c r="C3506">
        <v>1</v>
      </c>
      <c r="D3506" t="str">
        <f t="shared" si="54"/>
        <v>1813234.110</v>
      </c>
      <c r="E3506" t="s">
        <v>2573</v>
      </c>
      <c r="F3506" s="242"/>
      <c r="G3506"/>
      <c r="H3506" s="242">
        <v>353531</v>
      </c>
      <c r="I3506" s="242">
        <v>334811</v>
      </c>
      <c r="J3506"/>
    </row>
    <row r="3507" spans="1:10" ht="15.75" customHeight="1">
      <c r="A3507" t="s">
        <v>2404</v>
      </c>
      <c r="B3507">
        <v>813234</v>
      </c>
      <c r="C3507">
        <v>1</v>
      </c>
      <c r="D3507" t="str">
        <f t="shared" si="54"/>
        <v>1813234.120</v>
      </c>
      <c r="E3507" t="s">
        <v>2574</v>
      </c>
      <c r="F3507" s="242"/>
      <c r="G3507"/>
      <c r="H3507" s="242">
        <v>74711</v>
      </c>
      <c r="I3507" s="242">
        <v>59058</v>
      </c>
      <c r="J3507"/>
    </row>
    <row r="3508" spans="1:10" ht="15.75" customHeight="1">
      <c r="A3508" t="s">
        <v>2575</v>
      </c>
      <c r="B3508">
        <v>813234</v>
      </c>
      <c r="C3508">
        <v>1</v>
      </c>
      <c r="D3508" t="str">
        <f t="shared" si="54"/>
        <v>1813234.130</v>
      </c>
      <c r="E3508" t="s">
        <v>2576</v>
      </c>
      <c r="F3508" s="242"/>
      <c r="G3508"/>
      <c r="H3508" s="242">
        <v>9284</v>
      </c>
      <c r="I3508" s="242">
        <v>5008</v>
      </c>
      <c r="J3508"/>
    </row>
    <row r="3509" spans="1:10" ht="15.75" customHeight="1">
      <c r="A3509" t="s">
        <v>2577</v>
      </c>
      <c r="B3509">
        <v>813234</v>
      </c>
      <c r="C3509">
        <v>1</v>
      </c>
      <c r="D3509" t="str">
        <f t="shared" si="54"/>
        <v>1813234.140</v>
      </c>
      <c r="E3509" t="s">
        <v>2578</v>
      </c>
      <c r="F3509" s="242"/>
      <c r="G3509"/>
      <c r="H3509" s="242">
        <v>10427</v>
      </c>
      <c r="I3509" s="242">
        <v>8816</v>
      </c>
      <c r="J3509"/>
    </row>
    <row r="3510" spans="1:10" ht="15.75" customHeight="1">
      <c r="A3510" t="s">
        <v>2579</v>
      </c>
      <c r="B3510">
        <v>813234</v>
      </c>
      <c r="C3510">
        <v>1</v>
      </c>
      <c r="D3510" t="str">
        <f t="shared" si="54"/>
        <v>1813234.181</v>
      </c>
      <c r="E3510" t="s">
        <v>2580</v>
      </c>
      <c r="F3510" s="242"/>
      <c r="G3510"/>
      <c r="H3510" s="242">
        <v>82077</v>
      </c>
      <c r="I3510" s="242">
        <v>73360</v>
      </c>
      <c r="J3510"/>
    </row>
    <row r="3511" spans="1:10" ht="15.75" customHeight="1">
      <c r="A3511" t="s">
        <v>2581</v>
      </c>
      <c r="B3511">
        <v>813234</v>
      </c>
      <c r="C3511">
        <v>1</v>
      </c>
      <c r="D3511" t="str">
        <f t="shared" si="54"/>
        <v>1813234.182</v>
      </c>
      <c r="E3511" t="s">
        <v>2582</v>
      </c>
      <c r="F3511" s="242"/>
      <c r="G3511"/>
      <c r="H3511" s="242">
        <v>34061</v>
      </c>
      <c r="I3511" s="242">
        <v>30968</v>
      </c>
      <c r="J3511"/>
    </row>
    <row r="3512" spans="1:10" ht="15.75" customHeight="1">
      <c r="A3512" t="s">
        <v>2606</v>
      </c>
      <c r="B3512">
        <v>813234</v>
      </c>
      <c r="C3512">
        <v>1</v>
      </c>
      <c r="D3512" t="str">
        <f t="shared" si="54"/>
        <v>1813234.440</v>
      </c>
      <c r="E3512" t="s">
        <v>2657</v>
      </c>
      <c r="F3512" s="242"/>
      <c r="G3512"/>
      <c r="H3512" s="242">
        <v>10600</v>
      </c>
      <c r="I3512" s="242">
        <v>10236</v>
      </c>
      <c r="J3512"/>
    </row>
    <row r="3513" spans="1:10" ht="15.75" customHeight="1">
      <c r="A3513" t="s">
        <v>575</v>
      </c>
      <c r="B3513">
        <v>813234</v>
      </c>
      <c r="C3513">
        <v>1</v>
      </c>
      <c r="D3513" t="str">
        <f t="shared" si="54"/>
        <v>1813234.726</v>
      </c>
      <c r="E3513" t="s">
        <v>3154</v>
      </c>
      <c r="F3513" s="242"/>
      <c r="G3513"/>
      <c r="H3513" s="242">
        <v>19340</v>
      </c>
      <c r="I3513" s="242">
        <v>17794</v>
      </c>
      <c r="J3513"/>
    </row>
    <row r="3514" spans="1:10" ht="15.75" customHeight="1">
      <c r="A3514" t="s">
        <v>586</v>
      </c>
      <c r="B3514">
        <v>813234</v>
      </c>
      <c r="C3514">
        <v>1</v>
      </c>
      <c r="D3514" t="str">
        <f t="shared" si="54"/>
        <v>1813234.727</v>
      </c>
      <c r="E3514" t="s">
        <v>3155</v>
      </c>
      <c r="F3514" s="242"/>
      <c r="G3514"/>
      <c r="H3514" s="242">
        <v>11004</v>
      </c>
      <c r="I3514" s="242">
        <v>10124</v>
      </c>
      <c r="J3514"/>
    </row>
    <row r="3515" spans="1:10" ht="15.75" customHeight="1">
      <c r="A3515" t="s">
        <v>772</v>
      </c>
      <c r="B3515">
        <v>813234</v>
      </c>
      <c r="C3515">
        <v>1</v>
      </c>
      <c r="D3515" t="str">
        <f t="shared" si="54"/>
        <v>1813234.751</v>
      </c>
      <c r="E3515" t="s">
        <v>3156</v>
      </c>
      <c r="F3515" s="242"/>
      <c r="G3515"/>
      <c r="H3515" s="242">
        <v>5000</v>
      </c>
      <c r="I3515" s="242">
        <v>4776</v>
      </c>
      <c r="J3515"/>
    </row>
    <row r="3516" spans="1:10" ht="15.75" customHeight="1">
      <c r="A3516" t="s">
        <v>3157</v>
      </c>
      <c r="B3516">
        <v>813234</v>
      </c>
      <c r="C3516">
        <v>1</v>
      </c>
      <c r="D3516" t="str">
        <f t="shared" si="54"/>
        <v>1813234.877</v>
      </c>
      <c r="E3516" t="s">
        <v>3158</v>
      </c>
      <c r="F3516" s="242"/>
      <c r="G3516"/>
      <c r="H3516" s="242">
        <v>0</v>
      </c>
      <c r="I3516" s="242">
        <v>0</v>
      </c>
      <c r="J3516"/>
    </row>
    <row r="3517" spans="1:10" ht="15.75" customHeight="1">
      <c r="A3517" t="s">
        <v>3144</v>
      </c>
      <c r="B3517">
        <v>813234</v>
      </c>
      <c r="C3517">
        <v>1</v>
      </c>
      <c r="D3517" t="str">
        <f t="shared" si="54"/>
        <v>1813234.878</v>
      </c>
      <c r="E3517" t="s">
        <v>3159</v>
      </c>
      <c r="F3517" s="242"/>
      <c r="G3517"/>
      <c r="H3517" s="242">
        <v>394250</v>
      </c>
      <c r="I3517" s="242">
        <v>411493</v>
      </c>
      <c r="J3517"/>
    </row>
    <row r="3518" spans="1:10" ht="15.75" customHeight="1">
      <c r="A3518" t="s">
        <v>2403</v>
      </c>
      <c r="B3518">
        <v>813235</v>
      </c>
      <c r="C3518">
        <v>1</v>
      </c>
      <c r="D3518" t="str">
        <f t="shared" si="54"/>
        <v>1813235.110</v>
      </c>
      <c r="E3518" t="s">
        <v>2573</v>
      </c>
      <c r="F3518" s="242"/>
      <c r="G3518"/>
      <c r="H3518" s="242">
        <v>314018</v>
      </c>
      <c r="I3518" s="242">
        <v>284804</v>
      </c>
      <c r="J3518"/>
    </row>
    <row r="3519" spans="1:10" ht="15.75" customHeight="1">
      <c r="A3519" t="s">
        <v>2404</v>
      </c>
      <c r="B3519">
        <v>813235</v>
      </c>
      <c r="C3519">
        <v>1</v>
      </c>
      <c r="D3519" t="str">
        <f t="shared" si="54"/>
        <v>1813235.120</v>
      </c>
      <c r="E3519" t="s">
        <v>2574</v>
      </c>
      <c r="F3519" s="242"/>
      <c r="G3519"/>
      <c r="H3519" s="242">
        <v>44330</v>
      </c>
      <c r="I3519" s="242">
        <v>48634</v>
      </c>
      <c r="J3519"/>
    </row>
    <row r="3520" spans="1:10" ht="15.75" customHeight="1">
      <c r="A3520" t="s">
        <v>2575</v>
      </c>
      <c r="B3520">
        <v>813235</v>
      </c>
      <c r="C3520">
        <v>1</v>
      </c>
      <c r="D3520" t="str">
        <f t="shared" si="54"/>
        <v>1813235.130</v>
      </c>
      <c r="E3520" t="s">
        <v>2576</v>
      </c>
      <c r="F3520" s="242"/>
      <c r="G3520"/>
      <c r="H3520" s="242">
        <v>7229</v>
      </c>
      <c r="I3520" s="242">
        <v>4338</v>
      </c>
      <c r="J3520"/>
    </row>
    <row r="3521" spans="1:10" ht="15.75" customHeight="1">
      <c r="A3521" t="s">
        <v>2577</v>
      </c>
      <c r="B3521">
        <v>813235</v>
      </c>
      <c r="C3521">
        <v>1</v>
      </c>
      <c r="D3521" t="str">
        <f t="shared" si="54"/>
        <v>1813235.140</v>
      </c>
      <c r="E3521" t="s">
        <v>2578</v>
      </c>
      <c r="F3521" s="242"/>
      <c r="G3521"/>
      <c r="H3521" s="242">
        <v>29804</v>
      </c>
      <c r="I3521" s="242">
        <v>32249</v>
      </c>
      <c r="J3521"/>
    </row>
    <row r="3522" spans="1:10" ht="15.75" customHeight="1">
      <c r="A3522" t="s">
        <v>2579</v>
      </c>
      <c r="B3522">
        <v>813235</v>
      </c>
      <c r="C3522">
        <v>1</v>
      </c>
      <c r="D3522" t="str">
        <f t="shared" si="54"/>
        <v>1813235.181</v>
      </c>
      <c r="E3522" t="s">
        <v>2580</v>
      </c>
      <c r="F3522" s="242"/>
      <c r="G3522"/>
      <c r="H3522" s="242">
        <v>76827</v>
      </c>
      <c r="I3522" s="242">
        <v>67459</v>
      </c>
      <c r="J3522"/>
    </row>
    <row r="3523" spans="1:10" ht="15.75" customHeight="1">
      <c r="A3523" t="s">
        <v>2581</v>
      </c>
      <c r="B3523">
        <v>813235</v>
      </c>
      <c r="C3523">
        <v>1</v>
      </c>
      <c r="D3523" t="str">
        <f t="shared" ref="D3523:D3586" si="55">C3523&amp;B3523&amp;"."&amp;A3523</f>
        <v>1813235.182</v>
      </c>
      <c r="E3523" t="s">
        <v>2582</v>
      </c>
      <c r="F3523" s="242"/>
      <c r="G3523"/>
      <c r="H3523" s="242">
        <v>30030</v>
      </c>
      <c r="I3523" s="242">
        <v>28095</v>
      </c>
      <c r="J3523"/>
    </row>
    <row r="3524" spans="1:10" ht="15.75" customHeight="1">
      <c r="A3524" t="s">
        <v>2606</v>
      </c>
      <c r="B3524">
        <v>813235</v>
      </c>
      <c r="C3524">
        <v>1</v>
      </c>
      <c r="D3524" t="str">
        <f t="shared" si="55"/>
        <v>1813235.440</v>
      </c>
      <c r="E3524" t="s">
        <v>2657</v>
      </c>
      <c r="F3524" s="242"/>
      <c r="G3524"/>
      <c r="H3524" s="242">
        <v>10600</v>
      </c>
      <c r="I3524" s="242">
        <v>10236</v>
      </c>
      <c r="J3524"/>
    </row>
    <row r="3525" spans="1:10" ht="15.75" customHeight="1">
      <c r="A3525" t="s">
        <v>547</v>
      </c>
      <c r="B3525">
        <v>813235</v>
      </c>
      <c r="C3525">
        <v>1</v>
      </c>
      <c r="D3525" t="str">
        <f t="shared" si="55"/>
        <v>1813235.722</v>
      </c>
      <c r="E3525" t="s">
        <v>3020</v>
      </c>
      <c r="F3525" s="242"/>
      <c r="G3525"/>
      <c r="H3525" s="242">
        <v>0</v>
      </c>
      <c r="I3525" s="242">
        <v>10000</v>
      </c>
      <c r="J3525"/>
    </row>
    <row r="3526" spans="1:10" ht="15.75" customHeight="1">
      <c r="A3526" t="s">
        <v>575</v>
      </c>
      <c r="B3526">
        <v>813235</v>
      </c>
      <c r="C3526">
        <v>1</v>
      </c>
      <c r="D3526" t="str">
        <f t="shared" si="55"/>
        <v>1813235.726</v>
      </c>
      <c r="E3526" t="s">
        <v>3154</v>
      </c>
      <c r="F3526" s="242"/>
      <c r="G3526"/>
      <c r="H3526" s="242">
        <v>16965</v>
      </c>
      <c r="I3526" s="242">
        <v>18435</v>
      </c>
      <c r="J3526"/>
    </row>
    <row r="3527" spans="1:10" ht="15.75" customHeight="1">
      <c r="A3527" t="s">
        <v>586</v>
      </c>
      <c r="B3527">
        <v>813235</v>
      </c>
      <c r="C3527">
        <v>1</v>
      </c>
      <c r="D3527" t="str">
        <f t="shared" si="55"/>
        <v>1813235.727</v>
      </c>
      <c r="E3527" t="s">
        <v>3155</v>
      </c>
      <c r="F3527" s="242"/>
      <c r="G3527"/>
      <c r="H3527" s="242">
        <v>9738</v>
      </c>
      <c r="I3527" s="242">
        <v>10425</v>
      </c>
      <c r="J3527"/>
    </row>
    <row r="3528" spans="1:10" ht="15.75" customHeight="1">
      <c r="A3528" t="s">
        <v>772</v>
      </c>
      <c r="B3528">
        <v>813235</v>
      </c>
      <c r="C3528">
        <v>1</v>
      </c>
      <c r="D3528" t="str">
        <f t="shared" si="55"/>
        <v>1813235.751</v>
      </c>
      <c r="E3528" t="s">
        <v>3156</v>
      </c>
      <c r="F3528" s="242"/>
      <c r="G3528"/>
      <c r="H3528" s="242">
        <v>5000</v>
      </c>
      <c r="I3528" s="242">
        <v>4797</v>
      </c>
      <c r="J3528"/>
    </row>
    <row r="3529" spans="1:10" ht="15.75" customHeight="1">
      <c r="A3529" t="s">
        <v>3157</v>
      </c>
      <c r="B3529">
        <v>813235</v>
      </c>
      <c r="C3529">
        <v>1</v>
      </c>
      <c r="D3529" t="str">
        <f t="shared" si="55"/>
        <v>1813235.877</v>
      </c>
      <c r="E3529" t="s">
        <v>3158</v>
      </c>
      <c r="F3529" s="242"/>
      <c r="G3529"/>
      <c r="H3529" s="242">
        <v>0</v>
      </c>
      <c r="I3529" s="242">
        <v>0</v>
      </c>
      <c r="J3529"/>
    </row>
    <row r="3530" spans="1:10" ht="15.75" customHeight="1">
      <c r="A3530" t="s">
        <v>3144</v>
      </c>
      <c r="B3530">
        <v>813235</v>
      </c>
      <c r="C3530">
        <v>1</v>
      </c>
      <c r="D3530" t="str">
        <f t="shared" si="55"/>
        <v>1813235.878</v>
      </c>
      <c r="E3530" t="s">
        <v>3159</v>
      </c>
      <c r="F3530" s="242"/>
      <c r="G3530"/>
      <c r="H3530" s="242">
        <v>480487</v>
      </c>
      <c r="I3530" s="242">
        <v>460085</v>
      </c>
      <c r="J3530"/>
    </row>
    <row r="3531" spans="1:10" ht="15.75" customHeight="1">
      <c r="A3531" t="s">
        <v>2403</v>
      </c>
      <c r="B3531">
        <v>813236</v>
      </c>
      <c r="C3531">
        <v>1</v>
      </c>
      <c r="D3531" t="str">
        <f t="shared" si="55"/>
        <v>1813236.110</v>
      </c>
      <c r="E3531" t="s">
        <v>2573</v>
      </c>
      <c r="F3531" s="242"/>
      <c r="G3531"/>
      <c r="H3531" s="242">
        <v>255654</v>
      </c>
      <c r="I3531" s="242">
        <v>196152</v>
      </c>
      <c r="J3531"/>
    </row>
    <row r="3532" spans="1:10" ht="15.75" customHeight="1">
      <c r="A3532" t="s">
        <v>2404</v>
      </c>
      <c r="B3532">
        <v>813236</v>
      </c>
      <c r="C3532">
        <v>1</v>
      </c>
      <c r="D3532" t="str">
        <f t="shared" si="55"/>
        <v>1813236.120</v>
      </c>
      <c r="E3532" t="s">
        <v>2574</v>
      </c>
      <c r="F3532" s="242"/>
      <c r="G3532"/>
      <c r="H3532" s="242">
        <v>66058</v>
      </c>
      <c r="I3532" s="242">
        <v>47537</v>
      </c>
      <c r="J3532"/>
    </row>
    <row r="3533" spans="1:10" ht="15.75" customHeight="1">
      <c r="A3533" t="s">
        <v>2575</v>
      </c>
      <c r="B3533">
        <v>813236</v>
      </c>
      <c r="C3533">
        <v>1</v>
      </c>
      <c r="D3533" t="str">
        <f t="shared" si="55"/>
        <v>1813236.130</v>
      </c>
      <c r="E3533" t="s">
        <v>2576</v>
      </c>
      <c r="F3533" s="242"/>
      <c r="G3533"/>
      <c r="H3533" s="242">
        <v>7179</v>
      </c>
      <c r="I3533" s="242">
        <v>3286</v>
      </c>
      <c r="J3533"/>
    </row>
    <row r="3534" spans="1:10" ht="15.75" customHeight="1">
      <c r="A3534" t="s">
        <v>2577</v>
      </c>
      <c r="B3534">
        <v>813236</v>
      </c>
      <c r="C3534">
        <v>1</v>
      </c>
      <c r="D3534" t="str">
        <f t="shared" si="55"/>
        <v>1813236.140</v>
      </c>
      <c r="E3534" t="s">
        <v>2578</v>
      </c>
      <c r="F3534" s="242"/>
      <c r="G3534"/>
      <c r="H3534" s="242">
        <v>11225</v>
      </c>
      <c r="I3534" s="242">
        <v>9264</v>
      </c>
      <c r="J3534"/>
    </row>
    <row r="3535" spans="1:10" ht="15.75" customHeight="1">
      <c r="A3535" t="s">
        <v>2579</v>
      </c>
      <c r="B3535">
        <v>813236</v>
      </c>
      <c r="C3535">
        <v>1</v>
      </c>
      <c r="D3535" t="str">
        <f t="shared" si="55"/>
        <v>1813236.181</v>
      </c>
      <c r="E3535" t="s">
        <v>2580</v>
      </c>
      <c r="F3535" s="242"/>
      <c r="G3535"/>
      <c r="H3535" s="242">
        <v>59196</v>
      </c>
      <c r="I3535" s="242">
        <v>44160</v>
      </c>
      <c r="J3535"/>
    </row>
    <row r="3536" spans="1:10" ht="15.75" customHeight="1">
      <c r="A3536" t="s">
        <v>2581</v>
      </c>
      <c r="B3536">
        <v>813236</v>
      </c>
      <c r="C3536">
        <v>1</v>
      </c>
      <c r="D3536" t="str">
        <f t="shared" si="55"/>
        <v>1813236.182</v>
      </c>
      <c r="E3536" t="s">
        <v>2582</v>
      </c>
      <c r="F3536" s="242"/>
      <c r="G3536"/>
      <c r="H3536" s="242">
        <v>25724</v>
      </c>
      <c r="I3536" s="242">
        <v>19418</v>
      </c>
      <c r="J3536"/>
    </row>
    <row r="3537" spans="1:10" ht="15.75" customHeight="1">
      <c r="A3537" t="s">
        <v>2606</v>
      </c>
      <c r="B3537">
        <v>813236</v>
      </c>
      <c r="C3537">
        <v>1</v>
      </c>
      <c r="D3537" t="str">
        <f t="shared" si="55"/>
        <v>1813236.440</v>
      </c>
      <c r="E3537" t="s">
        <v>2657</v>
      </c>
      <c r="F3537" s="242"/>
      <c r="G3537"/>
      <c r="H3537" s="242">
        <v>10600</v>
      </c>
      <c r="I3537" s="242">
        <v>10236</v>
      </c>
      <c r="J3537"/>
    </row>
    <row r="3538" spans="1:10" ht="15.75" customHeight="1">
      <c r="A3538" t="s">
        <v>2704</v>
      </c>
      <c r="B3538">
        <v>813236</v>
      </c>
      <c r="C3538">
        <v>1</v>
      </c>
      <c r="D3538" t="str">
        <f t="shared" si="55"/>
        <v>1813236.720</v>
      </c>
      <c r="E3538" t="s">
        <v>3149</v>
      </c>
      <c r="F3538" s="242"/>
      <c r="G3538"/>
      <c r="H3538" s="242">
        <v>0</v>
      </c>
      <c r="I3538" s="242">
        <v>626</v>
      </c>
      <c r="J3538"/>
    </row>
    <row r="3539" spans="1:10" ht="15.75" customHeight="1">
      <c r="A3539" t="s">
        <v>569</v>
      </c>
      <c r="B3539">
        <v>813236</v>
      </c>
      <c r="C3539">
        <v>1</v>
      </c>
      <c r="D3539" t="str">
        <f t="shared" si="55"/>
        <v>1813236.725</v>
      </c>
      <c r="E3539" t="s">
        <v>3153</v>
      </c>
      <c r="F3539" s="242"/>
      <c r="G3539"/>
      <c r="H3539" s="242">
        <v>0</v>
      </c>
      <c r="I3539" s="242">
        <v>553</v>
      </c>
      <c r="J3539"/>
    </row>
    <row r="3540" spans="1:10" ht="15.75" customHeight="1">
      <c r="A3540" t="s">
        <v>575</v>
      </c>
      <c r="B3540">
        <v>813236</v>
      </c>
      <c r="C3540">
        <v>1</v>
      </c>
      <c r="D3540" t="str">
        <f t="shared" si="55"/>
        <v>1813236.726</v>
      </c>
      <c r="E3540" t="s">
        <v>3154</v>
      </c>
      <c r="F3540" s="242"/>
      <c r="G3540"/>
      <c r="H3540" s="242">
        <v>12592</v>
      </c>
      <c r="I3540" s="242">
        <v>12969</v>
      </c>
      <c r="J3540"/>
    </row>
    <row r="3541" spans="1:10" ht="15.75" customHeight="1">
      <c r="A3541" t="s">
        <v>586</v>
      </c>
      <c r="B3541">
        <v>813236</v>
      </c>
      <c r="C3541">
        <v>1</v>
      </c>
      <c r="D3541" t="str">
        <f t="shared" si="55"/>
        <v>1813236.727</v>
      </c>
      <c r="E3541" t="s">
        <v>3155</v>
      </c>
      <c r="F3541" s="242"/>
      <c r="G3541"/>
      <c r="H3541" s="242">
        <v>6456</v>
      </c>
      <c r="I3541" s="242">
        <v>7100</v>
      </c>
      <c r="J3541"/>
    </row>
    <row r="3542" spans="1:10" ht="15.75" customHeight="1">
      <c r="A3542" t="s">
        <v>772</v>
      </c>
      <c r="B3542">
        <v>813236</v>
      </c>
      <c r="C3542">
        <v>1</v>
      </c>
      <c r="D3542" t="str">
        <f t="shared" si="55"/>
        <v>1813236.751</v>
      </c>
      <c r="E3542" t="s">
        <v>3156</v>
      </c>
      <c r="F3542" s="242"/>
      <c r="G3542"/>
      <c r="H3542" s="242">
        <v>5000</v>
      </c>
      <c r="I3542" s="242">
        <v>4797</v>
      </c>
      <c r="J3542"/>
    </row>
    <row r="3543" spans="1:10" ht="15.75" customHeight="1">
      <c r="A3543" t="s">
        <v>3157</v>
      </c>
      <c r="B3543">
        <v>813236</v>
      </c>
      <c r="C3543">
        <v>1</v>
      </c>
      <c r="D3543" t="str">
        <f t="shared" si="55"/>
        <v>1813236.877</v>
      </c>
      <c r="E3543" t="s">
        <v>3158</v>
      </c>
      <c r="F3543" s="242"/>
      <c r="G3543"/>
      <c r="H3543" s="242">
        <v>0</v>
      </c>
      <c r="I3543" s="242">
        <v>0</v>
      </c>
      <c r="J3543"/>
    </row>
    <row r="3544" spans="1:10" ht="15.75" customHeight="1">
      <c r="A3544" t="s">
        <v>3144</v>
      </c>
      <c r="B3544">
        <v>813236</v>
      </c>
      <c r="C3544">
        <v>1</v>
      </c>
      <c r="D3544" t="str">
        <f t="shared" si="55"/>
        <v>1813236.878</v>
      </c>
      <c r="E3544" t="s">
        <v>3159</v>
      </c>
      <c r="F3544" s="242"/>
      <c r="G3544"/>
      <c r="H3544" s="242">
        <v>336980</v>
      </c>
      <c r="I3544" s="242">
        <v>339191</v>
      </c>
      <c r="J3544"/>
    </row>
    <row r="3545" spans="1:10" ht="15.75" customHeight="1">
      <c r="A3545" t="s">
        <v>2403</v>
      </c>
      <c r="B3545">
        <v>813237</v>
      </c>
      <c r="C3545">
        <v>1</v>
      </c>
      <c r="D3545" t="str">
        <f t="shared" si="55"/>
        <v>1813237.110</v>
      </c>
      <c r="E3545" t="s">
        <v>2573</v>
      </c>
      <c r="F3545" s="242"/>
      <c r="G3545"/>
      <c r="H3545" s="242">
        <v>356452</v>
      </c>
      <c r="I3545" s="242">
        <v>192643</v>
      </c>
      <c r="J3545"/>
    </row>
    <row r="3546" spans="1:10" ht="15.75" customHeight="1">
      <c r="A3546" t="s">
        <v>2404</v>
      </c>
      <c r="B3546">
        <v>813237</v>
      </c>
      <c r="C3546">
        <v>1</v>
      </c>
      <c r="D3546" t="str">
        <f t="shared" si="55"/>
        <v>1813237.120</v>
      </c>
      <c r="E3546" t="s">
        <v>2574</v>
      </c>
      <c r="F3546" s="242"/>
      <c r="G3546"/>
      <c r="H3546" s="242">
        <v>57401</v>
      </c>
      <c r="I3546" s="242">
        <v>30835</v>
      </c>
      <c r="J3546"/>
    </row>
    <row r="3547" spans="1:10" ht="15.75" customHeight="1">
      <c r="A3547" t="s">
        <v>2575</v>
      </c>
      <c r="B3547">
        <v>813237</v>
      </c>
      <c r="C3547">
        <v>1</v>
      </c>
      <c r="D3547" t="str">
        <f t="shared" si="55"/>
        <v>1813237.130</v>
      </c>
      <c r="E3547" t="s">
        <v>2576</v>
      </c>
      <c r="F3547" s="242"/>
      <c r="G3547"/>
      <c r="H3547" s="242">
        <v>11490</v>
      </c>
      <c r="I3547" s="242">
        <v>3648</v>
      </c>
      <c r="J3547"/>
    </row>
    <row r="3548" spans="1:10" ht="15.75" customHeight="1">
      <c r="A3548" t="s">
        <v>2577</v>
      </c>
      <c r="B3548">
        <v>813237</v>
      </c>
      <c r="C3548">
        <v>1</v>
      </c>
      <c r="D3548" t="str">
        <f t="shared" si="55"/>
        <v>1813237.140</v>
      </c>
      <c r="E3548" t="s">
        <v>2578</v>
      </c>
      <c r="F3548" s="242"/>
      <c r="G3548"/>
      <c r="H3548" s="242">
        <v>11509</v>
      </c>
      <c r="I3548" s="242">
        <v>6264</v>
      </c>
      <c r="J3548"/>
    </row>
    <row r="3549" spans="1:10" ht="15.75" customHeight="1">
      <c r="A3549" t="s">
        <v>2579</v>
      </c>
      <c r="B3549">
        <v>813237</v>
      </c>
      <c r="C3549">
        <v>1</v>
      </c>
      <c r="D3549" t="str">
        <f t="shared" si="55"/>
        <v>1813237.181</v>
      </c>
      <c r="E3549" t="s">
        <v>2580</v>
      </c>
      <c r="F3549" s="242"/>
      <c r="G3549"/>
      <c r="H3549" s="242">
        <v>84403</v>
      </c>
      <c r="I3549" s="242">
        <v>44563</v>
      </c>
      <c r="J3549"/>
    </row>
    <row r="3550" spans="1:10" ht="15.75" customHeight="1">
      <c r="A3550" t="s">
        <v>2581</v>
      </c>
      <c r="B3550">
        <v>813237</v>
      </c>
      <c r="C3550">
        <v>1</v>
      </c>
      <c r="D3550" t="str">
        <f t="shared" si="55"/>
        <v>1813237.182</v>
      </c>
      <c r="E3550" t="s">
        <v>2582</v>
      </c>
      <c r="F3550" s="242"/>
      <c r="G3550"/>
      <c r="H3550" s="242">
        <v>33232</v>
      </c>
      <c r="I3550" s="242">
        <v>17760</v>
      </c>
      <c r="J3550"/>
    </row>
    <row r="3551" spans="1:10" ht="15.75" customHeight="1">
      <c r="A3551" t="s">
        <v>2606</v>
      </c>
      <c r="B3551">
        <v>813237</v>
      </c>
      <c r="C3551">
        <v>1</v>
      </c>
      <c r="D3551" t="str">
        <f t="shared" si="55"/>
        <v>1813237.440</v>
      </c>
      <c r="E3551" t="s">
        <v>2657</v>
      </c>
      <c r="F3551" s="242"/>
      <c r="G3551"/>
      <c r="H3551" s="242">
        <v>10600</v>
      </c>
      <c r="I3551" s="242">
        <v>10236</v>
      </c>
      <c r="J3551"/>
    </row>
    <row r="3552" spans="1:10" ht="15.75" customHeight="1">
      <c r="A3552" t="s">
        <v>2704</v>
      </c>
      <c r="B3552">
        <v>813237</v>
      </c>
      <c r="C3552">
        <v>1</v>
      </c>
      <c r="D3552" t="str">
        <f t="shared" si="55"/>
        <v>1813237.720</v>
      </c>
      <c r="E3552" t="s">
        <v>3149</v>
      </c>
      <c r="F3552" s="242"/>
      <c r="G3552"/>
      <c r="H3552" s="242">
        <v>0</v>
      </c>
      <c r="I3552" s="242">
        <v>0</v>
      </c>
      <c r="J3552"/>
    </row>
    <row r="3553" spans="1:10" ht="15.75" customHeight="1">
      <c r="A3553" t="s">
        <v>575</v>
      </c>
      <c r="B3553">
        <v>813237</v>
      </c>
      <c r="C3553">
        <v>1</v>
      </c>
      <c r="D3553" t="str">
        <f t="shared" si="55"/>
        <v>1813237.726</v>
      </c>
      <c r="E3553" t="s">
        <v>3154</v>
      </c>
      <c r="F3553" s="242"/>
      <c r="G3553"/>
      <c r="H3553" s="242">
        <v>17644</v>
      </c>
      <c r="I3553" s="242">
        <v>16532</v>
      </c>
      <c r="J3553"/>
    </row>
    <row r="3554" spans="1:10" ht="15.75" customHeight="1">
      <c r="A3554" t="s">
        <v>586</v>
      </c>
      <c r="B3554">
        <v>813237</v>
      </c>
      <c r="C3554">
        <v>1</v>
      </c>
      <c r="D3554" t="str">
        <f t="shared" si="55"/>
        <v>1813237.727</v>
      </c>
      <c r="E3554" t="s">
        <v>3155</v>
      </c>
      <c r="F3554" s="242"/>
      <c r="G3554"/>
      <c r="H3554" s="242">
        <v>10060</v>
      </c>
      <c r="I3554" s="242">
        <v>8945</v>
      </c>
      <c r="J3554"/>
    </row>
    <row r="3555" spans="1:10" ht="15.75" customHeight="1">
      <c r="A3555" t="s">
        <v>3164</v>
      </c>
      <c r="B3555">
        <v>813237</v>
      </c>
      <c r="C3555">
        <v>1</v>
      </c>
      <c r="D3555" t="str">
        <f t="shared" si="55"/>
        <v>1813237.728</v>
      </c>
      <c r="E3555" t="s">
        <v>3168</v>
      </c>
      <c r="F3555" s="242"/>
      <c r="G3555"/>
      <c r="H3555" s="242">
        <v>800</v>
      </c>
      <c r="I3555" s="242">
        <v>0</v>
      </c>
      <c r="J3555"/>
    </row>
    <row r="3556" spans="1:10" ht="15.75" customHeight="1">
      <c r="A3556" t="s">
        <v>772</v>
      </c>
      <c r="B3556">
        <v>813237</v>
      </c>
      <c r="C3556">
        <v>1</v>
      </c>
      <c r="D3556" t="str">
        <f t="shared" si="55"/>
        <v>1813237.751</v>
      </c>
      <c r="E3556" t="s">
        <v>3156</v>
      </c>
      <c r="F3556" s="242"/>
      <c r="G3556"/>
      <c r="H3556" s="242">
        <v>5000</v>
      </c>
      <c r="I3556" s="242">
        <v>4776</v>
      </c>
      <c r="J3556"/>
    </row>
    <row r="3557" spans="1:10" ht="15.75" customHeight="1">
      <c r="A3557" t="s">
        <v>3157</v>
      </c>
      <c r="B3557">
        <v>813237</v>
      </c>
      <c r="C3557">
        <v>1</v>
      </c>
      <c r="D3557" t="str">
        <f t="shared" si="55"/>
        <v>1813237.877</v>
      </c>
      <c r="E3557" t="s">
        <v>3158</v>
      </c>
      <c r="F3557" s="242"/>
      <c r="G3557"/>
      <c r="H3557" s="242">
        <v>0</v>
      </c>
      <c r="I3557" s="242">
        <v>0</v>
      </c>
      <c r="J3557"/>
    </row>
    <row r="3558" spans="1:10" ht="15.75" customHeight="1">
      <c r="A3558" t="s">
        <v>3144</v>
      </c>
      <c r="B3558">
        <v>813237</v>
      </c>
      <c r="C3558">
        <v>1</v>
      </c>
      <c r="D3558" t="str">
        <f t="shared" si="55"/>
        <v>1813237.878</v>
      </c>
      <c r="E3558" t="s">
        <v>3159</v>
      </c>
      <c r="F3558" s="242"/>
      <c r="G3558"/>
      <c r="H3558" s="242">
        <v>413500</v>
      </c>
      <c r="I3558" s="242">
        <v>431693</v>
      </c>
      <c r="J3558"/>
    </row>
    <row r="3559" spans="1:10" ht="15.75" customHeight="1">
      <c r="A3559" t="s">
        <v>2403</v>
      </c>
      <c r="B3559">
        <v>813239</v>
      </c>
      <c r="C3559">
        <v>1</v>
      </c>
      <c r="D3559" t="str">
        <f t="shared" si="55"/>
        <v>1813239.110</v>
      </c>
      <c r="E3559" t="s">
        <v>2573</v>
      </c>
      <c r="F3559" s="242"/>
      <c r="G3559"/>
      <c r="H3559" s="242">
        <v>309677</v>
      </c>
      <c r="I3559" s="242">
        <v>287703</v>
      </c>
      <c r="J3559"/>
    </row>
    <row r="3560" spans="1:10" ht="15.75" customHeight="1">
      <c r="A3560" t="s">
        <v>2404</v>
      </c>
      <c r="B3560">
        <v>813239</v>
      </c>
      <c r="C3560">
        <v>1</v>
      </c>
      <c r="D3560" t="str">
        <f t="shared" si="55"/>
        <v>1813239.120</v>
      </c>
      <c r="E3560" t="s">
        <v>2574</v>
      </c>
      <c r="F3560" s="242"/>
      <c r="G3560"/>
      <c r="H3560" s="242">
        <v>52474</v>
      </c>
      <c r="I3560" s="242">
        <v>50402</v>
      </c>
      <c r="J3560"/>
    </row>
    <row r="3561" spans="1:10" ht="15.75" customHeight="1">
      <c r="A3561" t="s">
        <v>2575</v>
      </c>
      <c r="B3561">
        <v>813239</v>
      </c>
      <c r="C3561">
        <v>1</v>
      </c>
      <c r="D3561" t="str">
        <f t="shared" si="55"/>
        <v>1813239.130</v>
      </c>
      <c r="E3561" t="s">
        <v>2576</v>
      </c>
      <c r="F3561" s="242"/>
      <c r="G3561"/>
      <c r="H3561" s="242">
        <v>15071</v>
      </c>
      <c r="I3561" s="242">
        <v>8146</v>
      </c>
      <c r="J3561"/>
    </row>
    <row r="3562" spans="1:10" ht="15.75" customHeight="1">
      <c r="A3562" t="s">
        <v>2577</v>
      </c>
      <c r="B3562">
        <v>813239</v>
      </c>
      <c r="C3562">
        <v>1</v>
      </c>
      <c r="D3562" t="str">
        <f t="shared" si="55"/>
        <v>1813239.140</v>
      </c>
      <c r="E3562" t="s">
        <v>2578</v>
      </c>
      <c r="F3562" s="242"/>
      <c r="G3562"/>
      <c r="H3562" s="242">
        <v>5912</v>
      </c>
      <c r="I3562" s="242">
        <v>5476</v>
      </c>
      <c r="J3562"/>
    </row>
    <row r="3563" spans="1:10" ht="15.75" customHeight="1">
      <c r="A3563" t="s">
        <v>2579</v>
      </c>
      <c r="B3563">
        <v>813239</v>
      </c>
      <c r="C3563">
        <v>1</v>
      </c>
      <c r="D3563" t="str">
        <f t="shared" si="55"/>
        <v>1813239.181</v>
      </c>
      <c r="E3563" t="s">
        <v>2580</v>
      </c>
      <c r="F3563" s="242"/>
      <c r="G3563"/>
      <c r="H3563" s="242">
        <v>57874</v>
      </c>
      <c r="I3563" s="242">
        <v>53127</v>
      </c>
      <c r="J3563"/>
    </row>
    <row r="3564" spans="1:10" ht="15.75" customHeight="1">
      <c r="A3564" t="s">
        <v>2581</v>
      </c>
      <c r="B3564">
        <v>813239</v>
      </c>
      <c r="C3564">
        <v>1</v>
      </c>
      <c r="D3564" t="str">
        <f t="shared" si="55"/>
        <v>1813239.182</v>
      </c>
      <c r="E3564" t="s">
        <v>2582</v>
      </c>
      <c r="F3564" s="242"/>
      <c r="G3564"/>
      <c r="H3564" s="242">
        <v>28981</v>
      </c>
      <c r="I3564" s="242">
        <v>26606</v>
      </c>
      <c r="J3564"/>
    </row>
    <row r="3565" spans="1:10" ht="15.75" customHeight="1">
      <c r="A3565" t="s">
        <v>2606</v>
      </c>
      <c r="B3565">
        <v>813239</v>
      </c>
      <c r="C3565">
        <v>1</v>
      </c>
      <c r="D3565" t="str">
        <f t="shared" si="55"/>
        <v>1813239.440</v>
      </c>
      <c r="E3565" t="s">
        <v>2657</v>
      </c>
      <c r="F3565" s="242"/>
      <c r="G3565"/>
      <c r="H3565" s="242">
        <v>10600</v>
      </c>
      <c r="I3565" s="242">
        <v>10236</v>
      </c>
      <c r="J3565"/>
    </row>
    <row r="3566" spans="1:10" ht="15.75" customHeight="1">
      <c r="A3566" t="s">
        <v>575</v>
      </c>
      <c r="B3566">
        <v>813239</v>
      </c>
      <c r="C3566">
        <v>1</v>
      </c>
      <c r="D3566" t="str">
        <f t="shared" si="55"/>
        <v>1813239.726</v>
      </c>
      <c r="E3566" t="s">
        <v>3154</v>
      </c>
      <c r="F3566" s="242"/>
      <c r="G3566"/>
      <c r="H3566" s="242">
        <v>22733</v>
      </c>
      <c r="I3566" s="242">
        <v>23137</v>
      </c>
      <c r="J3566"/>
    </row>
    <row r="3567" spans="1:10" ht="15.75" customHeight="1">
      <c r="A3567" t="s">
        <v>586</v>
      </c>
      <c r="B3567">
        <v>813239</v>
      </c>
      <c r="C3567">
        <v>1</v>
      </c>
      <c r="D3567" t="str">
        <f t="shared" si="55"/>
        <v>1813239.727</v>
      </c>
      <c r="E3567" t="s">
        <v>3155</v>
      </c>
      <c r="F3567" s="242"/>
      <c r="G3567"/>
      <c r="H3567" s="242">
        <v>12934</v>
      </c>
      <c r="I3567" s="242">
        <v>13213</v>
      </c>
      <c r="J3567"/>
    </row>
    <row r="3568" spans="1:10" ht="15.75" customHeight="1">
      <c r="A3568" t="s">
        <v>3164</v>
      </c>
      <c r="B3568">
        <v>813239</v>
      </c>
      <c r="C3568">
        <v>1</v>
      </c>
      <c r="D3568" t="str">
        <f t="shared" si="55"/>
        <v>1813239.728</v>
      </c>
      <c r="E3568" t="s">
        <v>3162</v>
      </c>
      <c r="F3568" s="242"/>
      <c r="G3568"/>
      <c r="H3568" s="242">
        <v>0</v>
      </c>
      <c r="I3568" s="242">
        <v>0</v>
      </c>
      <c r="J3568"/>
    </row>
    <row r="3569" spans="1:10" ht="15.75" customHeight="1">
      <c r="A3569" t="s">
        <v>772</v>
      </c>
      <c r="B3569">
        <v>813239</v>
      </c>
      <c r="C3569">
        <v>1</v>
      </c>
      <c r="D3569" t="str">
        <f t="shared" si="55"/>
        <v>1813239.751</v>
      </c>
      <c r="E3569" t="s">
        <v>3156</v>
      </c>
      <c r="F3569" s="242"/>
      <c r="G3569"/>
      <c r="H3569" s="242">
        <v>5000</v>
      </c>
      <c r="I3569" s="242">
        <v>4797</v>
      </c>
      <c r="J3569"/>
    </row>
    <row r="3570" spans="1:10" ht="15.75" customHeight="1">
      <c r="A3570" t="s">
        <v>3157</v>
      </c>
      <c r="B3570">
        <v>813239</v>
      </c>
      <c r="C3570">
        <v>1</v>
      </c>
      <c r="D3570" t="str">
        <f t="shared" si="55"/>
        <v>1813239.877</v>
      </c>
      <c r="E3570" t="s">
        <v>3158</v>
      </c>
      <c r="F3570" s="242"/>
      <c r="G3570"/>
      <c r="H3570" s="242">
        <v>0</v>
      </c>
      <c r="I3570" s="242">
        <v>0</v>
      </c>
      <c r="J3570"/>
    </row>
    <row r="3571" spans="1:10" ht="15.75" customHeight="1">
      <c r="A3571" t="s">
        <v>3144</v>
      </c>
      <c r="B3571">
        <v>813239</v>
      </c>
      <c r="C3571">
        <v>1</v>
      </c>
      <c r="D3571" t="str">
        <f t="shared" si="55"/>
        <v>1813239.878</v>
      </c>
      <c r="E3571" t="s">
        <v>3159</v>
      </c>
      <c r="F3571" s="242"/>
      <c r="G3571"/>
      <c r="H3571" s="242">
        <v>578959</v>
      </c>
      <c r="I3571" s="242">
        <v>578413</v>
      </c>
      <c r="J3571"/>
    </row>
    <row r="3572" spans="1:10" ht="15.75" customHeight="1">
      <c r="A3572" t="s">
        <v>2403</v>
      </c>
      <c r="B3572">
        <v>813241</v>
      </c>
      <c r="C3572">
        <v>1</v>
      </c>
      <c r="D3572" t="str">
        <f t="shared" si="55"/>
        <v>1813241.110</v>
      </c>
      <c r="E3572" t="s">
        <v>2573</v>
      </c>
      <c r="F3572" s="242"/>
      <c r="G3572"/>
      <c r="H3572" s="242">
        <v>741657</v>
      </c>
      <c r="I3572" s="242">
        <v>667860</v>
      </c>
      <c r="J3572"/>
    </row>
    <row r="3573" spans="1:10" ht="15.75" customHeight="1">
      <c r="A3573" t="s">
        <v>2404</v>
      </c>
      <c r="B3573">
        <v>813241</v>
      </c>
      <c r="C3573">
        <v>1</v>
      </c>
      <c r="D3573" t="str">
        <f t="shared" si="55"/>
        <v>1813241.120</v>
      </c>
      <c r="E3573" t="s">
        <v>2574</v>
      </c>
      <c r="F3573" s="242"/>
      <c r="G3573"/>
      <c r="H3573" s="242">
        <v>217620</v>
      </c>
      <c r="I3573" s="242">
        <v>191913</v>
      </c>
      <c r="J3573"/>
    </row>
    <row r="3574" spans="1:10" ht="15.75" customHeight="1">
      <c r="A3574" t="s">
        <v>2575</v>
      </c>
      <c r="B3574">
        <v>813241</v>
      </c>
      <c r="C3574">
        <v>1</v>
      </c>
      <c r="D3574" t="str">
        <f t="shared" si="55"/>
        <v>1813241.130</v>
      </c>
      <c r="E3574" t="s">
        <v>2576</v>
      </c>
      <c r="F3574" s="242"/>
      <c r="G3574"/>
      <c r="H3574" s="242">
        <v>46767</v>
      </c>
      <c r="I3574" s="242">
        <v>34802</v>
      </c>
      <c r="J3574"/>
    </row>
    <row r="3575" spans="1:10" ht="15.75" customHeight="1">
      <c r="A3575" t="s">
        <v>2577</v>
      </c>
      <c r="B3575">
        <v>813241</v>
      </c>
      <c r="C3575">
        <v>1</v>
      </c>
      <c r="D3575" t="str">
        <f t="shared" si="55"/>
        <v>1813241.140</v>
      </c>
      <c r="E3575" t="s">
        <v>2578</v>
      </c>
      <c r="F3575" s="242"/>
      <c r="G3575"/>
      <c r="H3575" s="242">
        <v>21748</v>
      </c>
      <c r="I3575" s="242">
        <v>19456</v>
      </c>
      <c r="J3575"/>
    </row>
    <row r="3576" spans="1:10" ht="15.75" customHeight="1">
      <c r="A3576" t="s">
        <v>2579</v>
      </c>
      <c r="B3576">
        <v>813241</v>
      </c>
      <c r="C3576">
        <v>1</v>
      </c>
      <c r="D3576" t="str">
        <f t="shared" si="55"/>
        <v>1813241.181</v>
      </c>
      <c r="E3576" t="s">
        <v>2580</v>
      </c>
      <c r="F3576" s="242"/>
      <c r="G3576"/>
      <c r="H3576" s="242">
        <v>173481</v>
      </c>
      <c r="I3576" s="242">
        <v>150467</v>
      </c>
      <c r="J3576"/>
    </row>
    <row r="3577" spans="1:10" ht="15.75" customHeight="1">
      <c r="A3577" t="s">
        <v>2581</v>
      </c>
      <c r="B3577">
        <v>813241</v>
      </c>
      <c r="C3577">
        <v>1</v>
      </c>
      <c r="D3577" t="str">
        <f t="shared" si="55"/>
        <v>1813241.182</v>
      </c>
      <c r="E3577" t="s">
        <v>2582</v>
      </c>
      <c r="F3577" s="242"/>
      <c r="G3577"/>
      <c r="H3577" s="242">
        <v>78073</v>
      </c>
      <c r="I3577" s="242">
        <v>69456</v>
      </c>
      <c r="J3577"/>
    </row>
    <row r="3578" spans="1:10" ht="15.75" customHeight="1">
      <c r="A3578" t="s">
        <v>2606</v>
      </c>
      <c r="B3578">
        <v>813241</v>
      </c>
      <c r="C3578">
        <v>1</v>
      </c>
      <c r="D3578" t="str">
        <f t="shared" si="55"/>
        <v>1813241.440</v>
      </c>
      <c r="E3578" t="s">
        <v>2657</v>
      </c>
      <c r="F3578" s="242"/>
      <c r="G3578"/>
      <c r="H3578" s="242">
        <v>10600</v>
      </c>
      <c r="I3578" s="242">
        <v>10236</v>
      </c>
      <c r="J3578"/>
    </row>
    <row r="3579" spans="1:10" ht="15.75" customHeight="1">
      <c r="A3579" t="s">
        <v>2704</v>
      </c>
      <c r="B3579">
        <v>813241</v>
      </c>
      <c r="C3579">
        <v>1</v>
      </c>
      <c r="D3579" t="str">
        <f t="shared" si="55"/>
        <v>1813241.720</v>
      </c>
      <c r="E3579" t="s">
        <v>3149</v>
      </c>
      <c r="F3579" s="242"/>
      <c r="G3579"/>
      <c r="H3579" s="242">
        <v>0</v>
      </c>
      <c r="I3579" s="242">
        <v>0</v>
      </c>
      <c r="J3579"/>
    </row>
    <row r="3580" spans="1:10" ht="15.75" customHeight="1">
      <c r="A3580" t="s">
        <v>569</v>
      </c>
      <c r="B3580">
        <v>813241</v>
      </c>
      <c r="C3580">
        <v>1</v>
      </c>
      <c r="D3580" t="str">
        <f t="shared" si="55"/>
        <v>1813241.725</v>
      </c>
      <c r="E3580" t="s">
        <v>3153</v>
      </c>
      <c r="F3580" s="242"/>
      <c r="G3580"/>
      <c r="H3580" s="242">
        <v>4024</v>
      </c>
      <c r="I3580" s="242">
        <v>4394</v>
      </c>
      <c r="J3580"/>
    </row>
    <row r="3581" spans="1:10" ht="15.75" customHeight="1">
      <c r="A3581" t="s">
        <v>575</v>
      </c>
      <c r="B3581">
        <v>813241</v>
      </c>
      <c r="C3581">
        <v>1</v>
      </c>
      <c r="D3581" t="str">
        <f t="shared" si="55"/>
        <v>1813241.726</v>
      </c>
      <c r="E3581" t="s">
        <v>3154</v>
      </c>
      <c r="F3581" s="242"/>
      <c r="G3581"/>
      <c r="H3581" s="242">
        <v>10858</v>
      </c>
      <c r="I3581" s="242">
        <v>10443</v>
      </c>
      <c r="J3581"/>
    </row>
    <row r="3582" spans="1:10" ht="15.75" customHeight="1">
      <c r="A3582" t="s">
        <v>586</v>
      </c>
      <c r="B3582">
        <v>813241</v>
      </c>
      <c r="C3582">
        <v>1</v>
      </c>
      <c r="D3582" t="str">
        <f t="shared" si="55"/>
        <v>1813241.727</v>
      </c>
      <c r="E3582" t="s">
        <v>3170</v>
      </c>
      <c r="F3582" s="242"/>
      <c r="G3582"/>
      <c r="H3582" s="242">
        <v>5341</v>
      </c>
      <c r="I3582" s="242">
        <v>5019</v>
      </c>
      <c r="J3582"/>
    </row>
    <row r="3583" spans="1:10" ht="15.75" customHeight="1">
      <c r="A3583" t="s">
        <v>772</v>
      </c>
      <c r="B3583">
        <v>813241</v>
      </c>
      <c r="C3583">
        <v>1</v>
      </c>
      <c r="D3583" t="str">
        <f t="shared" si="55"/>
        <v>1813241.751</v>
      </c>
      <c r="E3583" t="s">
        <v>3156</v>
      </c>
      <c r="F3583" s="242"/>
      <c r="G3583"/>
      <c r="H3583" s="242">
        <v>5616</v>
      </c>
      <c r="I3583" s="242">
        <v>5616</v>
      </c>
      <c r="J3583"/>
    </row>
    <row r="3584" spans="1:10" ht="15.75" customHeight="1">
      <c r="A3584" t="s">
        <v>3157</v>
      </c>
      <c r="B3584">
        <v>813241</v>
      </c>
      <c r="C3584">
        <v>1</v>
      </c>
      <c r="D3584" t="str">
        <f t="shared" si="55"/>
        <v>1813241.877</v>
      </c>
      <c r="E3584" t="s">
        <v>3158</v>
      </c>
      <c r="F3584" s="242"/>
      <c r="G3584"/>
      <c r="H3584" s="242">
        <v>0</v>
      </c>
      <c r="I3584" s="242">
        <v>0</v>
      </c>
      <c r="J3584"/>
    </row>
    <row r="3585" spans="1:10" ht="15.75" customHeight="1">
      <c r="A3585" t="s">
        <v>3144</v>
      </c>
      <c r="B3585">
        <v>813241</v>
      </c>
      <c r="C3585">
        <v>1</v>
      </c>
      <c r="D3585" t="str">
        <f t="shared" si="55"/>
        <v>1813241.878</v>
      </c>
      <c r="E3585" t="s">
        <v>3159</v>
      </c>
      <c r="F3585" s="242"/>
      <c r="G3585"/>
      <c r="H3585" s="242">
        <v>251590</v>
      </c>
      <c r="I3585" s="242">
        <v>256413</v>
      </c>
      <c r="J3585"/>
    </row>
    <row r="3586" spans="1:10" ht="15.75" customHeight="1">
      <c r="A3586" t="s">
        <v>2403</v>
      </c>
      <c r="B3586">
        <v>813242</v>
      </c>
      <c r="C3586">
        <v>1</v>
      </c>
      <c r="D3586" t="str">
        <f t="shared" si="55"/>
        <v>1813242.110</v>
      </c>
      <c r="E3586" t="s">
        <v>2573</v>
      </c>
      <c r="F3586" s="242"/>
      <c r="G3586"/>
      <c r="H3586" s="242">
        <v>367491</v>
      </c>
      <c r="I3586" s="242">
        <v>322042</v>
      </c>
      <c r="J3586"/>
    </row>
    <row r="3587" spans="1:10" ht="15.75" customHeight="1">
      <c r="A3587" t="s">
        <v>2404</v>
      </c>
      <c r="B3587">
        <v>813242</v>
      </c>
      <c r="C3587">
        <v>1</v>
      </c>
      <c r="D3587" t="str">
        <f t="shared" ref="D3587:D3650" si="56">C3587&amp;B3587&amp;"."&amp;A3587</f>
        <v>1813242.120</v>
      </c>
      <c r="E3587" t="s">
        <v>2574</v>
      </c>
      <c r="F3587" s="242"/>
      <c r="G3587"/>
      <c r="H3587" s="242">
        <v>69168</v>
      </c>
      <c r="I3587" s="242">
        <v>56097</v>
      </c>
      <c r="J3587"/>
    </row>
    <row r="3588" spans="1:10" ht="15.75" customHeight="1">
      <c r="A3588" t="s">
        <v>2575</v>
      </c>
      <c r="B3588">
        <v>813242</v>
      </c>
      <c r="C3588">
        <v>1</v>
      </c>
      <c r="D3588" t="str">
        <f t="shared" si="56"/>
        <v>1813242.130</v>
      </c>
      <c r="E3588" t="s">
        <v>2576</v>
      </c>
      <c r="F3588" s="242"/>
      <c r="G3588"/>
      <c r="H3588" s="242">
        <v>25643</v>
      </c>
      <c r="I3588" s="242">
        <v>16383</v>
      </c>
      <c r="J3588"/>
    </row>
    <row r="3589" spans="1:10" ht="15.75" customHeight="1">
      <c r="A3589" t="s">
        <v>2577</v>
      </c>
      <c r="B3589">
        <v>813242</v>
      </c>
      <c r="C3589">
        <v>1</v>
      </c>
      <c r="D3589" t="str">
        <f t="shared" si="56"/>
        <v>1813242.140</v>
      </c>
      <c r="E3589" t="s">
        <v>2578</v>
      </c>
      <c r="F3589" s="242"/>
      <c r="G3589"/>
      <c r="H3589" s="242">
        <v>21656</v>
      </c>
      <c r="I3589" s="242">
        <v>18865</v>
      </c>
      <c r="J3589"/>
    </row>
    <row r="3590" spans="1:10" ht="15.75" customHeight="1">
      <c r="A3590" t="s">
        <v>2579</v>
      </c>
      <c r="B3590">
        <v>813242</v>
      </c>
      <c r="C3590">
        <v>1</v>
      </c>
      <c r="D3590" t="str">
        <f t="shared" si="56"/>
        <v>1813242.181</v>
      </c>
      <c r="E3590" t="s">
        <v>2580</v>
      </c>
      <c r="F3590" s="242"/>
      <c r="G3590"/>
      <c r="H3590" s="242">
        <v>84054</v>
      </c>
      <c r="I3590" s="242">
        <v>73660</v>
      </c>
      <c r="J3590"/>
    </row>
    <row r="3591" spans="1:10" ht="15.75" customHeight="1">
      <c r="A3591" t="s">
        <v>2581</v>
      </c>
      <c r="B3591">
        <v>813242</v>
      </c>
      <c r="C3591">
        <v>1</v>
      </c>
      <c r="D3591" t="str">
        <f t="shared" si="56"/>
        <v>1813242.182</v>
      </c>
      <c r="E3591" t="s">
        <v>2582</v>
      </c>
      <c r="F3591" s="242"/>
      <c r="G3591"/>
      <c r="H3591" s="242">
        <v>35610</v>
      </c>
      <c r="I3591" s="242">
        <v>30840</v>
      </c>
      <c r="J3591"/>
    </row>
    <row r="3592" spans="1:10" ht="15.75" customHeight="1">
      <c r="A3592" t="s">
        <v>2606</v>
      </c>
      <c r="B3592">
        <v>813242</v>
      </c>
      <c r="C3592">
        <v>1</v>
      </c>
      <c r="D3592" t="str">
        <f t="shared" si="56"/>
        <v>1813242.440</v>
      </c>
      <c r="E3592" t="s">
        <v>2657</v>
      </c>
      <c r="F3592" s="242"/>
      <c r="G3592"/>
      <c r="H3592" s="242">
        <v>10600</v>
      </c>
      <c r="I3592" s="242">
        <v>10236</v>
      </c>
      <c r="J3592"/>
    </row>
    <row r="3593" spans="1:10" ht="15.75" customHeight="1">
      <c r="A3593" t="s">
        <v>2704</v>
      </c>
      <c r="B3593">
        <v>813242</v>
      </c>
      <c r="C3593">
        <v>1</v>
      </c>
      <c r="D3593" t="str">
        <f t="shared" si="56"/>
        <v>1813242.720</v>
      </c>
      <c r="E3593" t="s">
        <v>3149</v>
      </c>
      <c r="F3593" s="242"/>
      <c r="G3593"/>
      <c r="H3593" s="242">
        <v>0</v>
      </c>
      <c r="I3593" s="242">
        <v>1124</v>
      </c>
      <c r="J3593"/>
    </row>
    <row r="3594" spans="1:10" ht="15.75" customHeight="1">
      <c r="A3594" t="s">
        <v>569</v>
      </c>
      <c r="B3594">
        <v>813242</v>
      </c>
      <c r="C3594">
        <v>1</v>
      </c>
      <c r="D3594" t="str">
        <f t="shared" si="56"/>
        <v>1813242.725</v>
      </c>
      <c r="E3594" t="s">
        <v>3172</v>
      </c>
      <c r="F3594" s="242"/>
      <c r="G3594"/>
      <c r="H3594" s="242">
        <v>1658</v>
      </c>
      <c r="I3594" s="242">
        <v>1658</v>
      </c>
      <c r="J3594"/>
    </row>
    <row r="3595" spans="1:10" ht="15.75" customHeight="1">
      <c r="A3595" t="s">
        <v>575</v>
      </c>
      <c r="B3595">
        <v>813242</v>
      </c>
      <c r="C3595">
        <v>1</v>
      </c>
      <c r="D3595" t="str">
        <f t="shared" si="56"/>
        <v>1813242.726</v>
      </c>
      <c r="E3595" t="s">
        <v>3154</v>
      </c>
      <c r="F3595" s="242"/>
      <c r="G3595"/>
      <c r="H3595" s="242">
        <v>17205</v>
      </c>
      <c r="I3595" s="242">
        <v>13270</v>
      </c>
      <c r="J3595"/>
    </row>
    <row r="3596" spans="1:10" ht="15.75" customHeight="1">
      <c r="A3596" t="s">
        <v>586</v>
      </c>
      <c r="B3596">
        <v>813242</v>
      </c>
      <c r="C3596">
        <v>1</v>
      </c>
      <c r="D3596" t="str">
        <f t="shared" si="56"/>
        <v>1813242.727</v>
      </c>
      <c r="E3596" t="s">
        <v>3170</v>
      </c>
      <c r="F3596" s="242"/>
      <c r="G3596"/>
      <c r="H3596" s="242">
        <v>2209</v>
      </c>
      <c r="I3596" s="242">
        <v>6671</v>
      </c>
      <c r="J3596"/>
    </row>
    <row r="3597" spans="1:10" ht="15.75" customHeight="1">
      <c r="A3597" t="s">
        <v>772</v>
      </c>
      <c r="B3597">
        <v>813242</v>
      </c>
      <c r="C3597">
        <v>1</v>
      </c>
      <c r="D3597" t="str">
        <f t="shared" si="56"/>
        <v>1813242.751</v>
      </c>
      <c r="E3597" t="s">
        <v>3156</v>
      </c>
      <c r="F3597" s="242"/>
      <c r="G3597"/>
      <c r="H3597" s="242">
        <v>5616</v>
      </c>
      <c r="I3597" s="242">
        <v>5616</v>
      </c>
      <c r="J3597"/>
    </row>
    <row r="3598" spans="1:10" ht="15.75" customHeight="1">
      <c r="A3598" t="s">
        <v>3157</v>
      </c>
      <c r="B3598">
        <v>813242</v>
      </c>
      <c r="C3598">
        <v>1</v>
      </c>
      <c r="D3598" t="str">
        <f t="shared" si="56"/>
        <v>1813242.877</v>
      </c>
      <c r="E3598" t="s">
        <v>3158</v>
      </c>
      <c r="F3598" s="242"/>
      <c r="G3598"/>
      <c r="H3598" s="242">
        <v>0</v>
      </c>
      <c r="I3598" s="242">
        <v>0</v>
      </c>
      <c r="J3598"/>
    </row>
    <row r="3599" spans="1:10" ht="15.75" customHeight="1">
      <c r="A3599" t="s">
        <v>3144</v>
      </c>
      <c r="B3599">
        <v>813242</v>
      </c>
      <c r="C3599">
        <v>1</v>
      </c>
      <c r="D3599" t="str">
        <f t="shared" si="56"/>
        <v>1813242.878</v>
      </c>
      <c r="E3599" t="s">
        <v>3165</v>
      </c>
      <c r="F3599" s="242"/>
      <c r="G3599"/>
      <c r="H3599" s="242">
        <v>295590</v>
      </c>
      <c r="I3599" s="242">
        <v>288916</v>
      </c>
      <c r="J3599"/>
    </row>
    <row r="3600" spans="1:10" ht="15.75" customHeight="1">
      <c r="A3600" t="s">
        <v>2403</v>
      </c>
      <c r="B3600">
        <v>813246</v>
      </c>
      <c r="C3600">
        <v>1</v>
      </c>
      <c r="D3600" t="str">
        <f t="shared" si="56"/>
        <v>1813246.110</v>
      </c>
      <c r="E3600" t="s">
        <v>2573</v>
      </c>
      <c r="F3600" s="242"/>
      <c r="G3600"/>
      <c r="H3600" s="242">
        <v>664969</v>
      </c>
      <c r="I3600" s="242">
        <v>308109</v>
      </c>
      <c r="J3600"/>
    </row>
    <row r="3601" spans="1:10" ht="15.75" customHeight="1">
      <c r="A3601" t="s">
        <v>2404</v>
      </c>
      <c r="B3601">
        <v>813246</v>
      </c>
      <c r="C3601">
        <v>1</v>
      </c>
      <c r="D3601" t="str">
        <f t="shared" si="56"/>
        <v>1813246.120</v>
      </c>
      <c r="E3601" t="s">
        <v>2574</v>
      </c>
      <c r="F3601" s="242"/>
      <c r="G3601"/>
      <c r="H3601" s="242">
        <v>58618</v>
      </c>
      <c r="I3601" s="242">
        <v>29342</v>
      </c>
      <c r="J3601"/>
    </row>
    <row r="3602" spans="1:10" ht="15.75" customHeight="1">
      <c r="A3602" t="s">
        <v>2575</v>
      </c>
      <c r="B3602">
        <v>813246</v>
      </c>
      <c r="C3602">
        <v>1</v>
      </c>
      <c r="D3602" t="str">
        <f t="shared" si="56"/>
        <v>1813246.130</v>
      </c>
      <c r="E3602" t="s">
        <v>2576</v>
      </c>
      <c r="F3602" s="242"/>
      <c r="G3602"/>
      <c r="H3602" s="242">
        <v>22600</v>
      </c>
      <c r="I3602" s="242">
        <v>7743</v>
      </c>
      <c r="J3602"/>
    </row>
    <row r="3603" spans="1:10" ht="15.75" customHeight="1">
      <c r="A3603" t="s">
        <v>2577</v>
      </c>
      <c r="B3603">
        <v>813246</v>
      </c>
      <c r="C3603">
        <v>1</v>
      </c>
      <c r="D3603" t="str">
        <f t="shared" si="56"/>
        <v>1813246.140</v>
      </c>
      <c r="E3603" t="s">
        <v>2578</v>
      </c>
      <c r="F3603" s="242"/>
      <c r="G3603"/>
      <c r="H3603" s="242">
        <v>58215</v>
      </c>
      <c r="I3603" s="242">
        <v>31934</v>
      </c>
      <c r="J3603"/>
    </row>
    <row r="3604" spans="1:10" ht="15.75" customHeight="1">
      <c r="A3604" t="s">
        <v>2579</v>
      </c>
      <c r="B3604">
        <v>813246</v>
      </c>
      <c r="C3604">
        <v>1</v>
      </c>
      <c r="D3604" t="str">
        <f t="shared" si="56"/>
        <v>1813246.181</v>
      </c>
      <c r="E3604" t="s">
        <v>2580</v>
      </c>
      <c r="F3604" s="242"/>
      <c r="G3604"/>
      <c r="H3604" s="242">
        <v>134454</v>
      </c>
      <c r="I3604" s="242">
        <v>65062</v>
      </c>
      <c r="J3604"/>
    </row>
    <row r="3605" spans="1:10" ht="15.75" customHeight="1">
      <c r="A3605" t="s">
        <v>2581</v>
      </c>
      <c r="B3605">
        <v>813246</v>
      </c>
      <c r="C3605">
        <v>1</v>
      </c>
      <c r="D3605" t="str">
        <f t="shared" si="56"/>
        <v>1813246.182</v>
      </c>
      <c r="E3605" t="s">
        <v>2582</v>
      </c>
      <c r="F3605" s="242"/>
      <c r="G3605"/>
      <c r="H3605" s="242">
        <v>61261</v>
      </c>
      <c r="I3605" s="242">
        <v>28707</v>
      </c>
      <c r="J3605"/>
    </row>
    <row r="3606" spans="1:10" ht="15.75" customHeight="1">
      <c r="A3606" t="s">
        <v>2606</v>
      </c>
      <c r="B3606">
        <v>813246</v>
      </c>
      <c r="C3606">
        <v>1</v>
      </c>
      <c r="D3606" t="str">
        <f t="shared" si="56"/>
        <v>1813246.440</v>
      </c>
      <c r="E3606" t="s">
        <v>2657</v>
      </c>
      <c r="F3606" s="242"/>
      <c r="G3606"/>
      <c r="H3606" s="242">
        <v>10600</v>
      </c>
      <c r="I3606" s="242">
        <v>10236</v>
      </c>
      <c r="J3606"/>
    </row>
    <row r="3607" spans="1:10" ht="15.75" customHeight="1">
      <c r="A3607" t="s">
        <v>2704</v>
      </c>
      <c r="B3607">
        <v>813246</v>
      </c>
      <c r="C3607">
        <v>1</v>
      </c>
      <c r="D3607" t="str">
        <f t="shared" si="56"/>
        <v>1813246.720</v>
      </c>
      <c r="E3607" t="s">
        <v>3149</v>
      </c>
      <c r="F3607" s="242"/>
      <c r="G3607"/>
      <c r="H3607" s="242">
        <v>0</v>
      </c>
      <c r="I3607" s="242">
        <v>626</v>
      </c>
      <c r="J3607"/>
    </row>
    <row r="3608" spans="1:10" ht="15.75" customHeight="1">
      <c r="A3608" t="s">
        <v>575</v>
      </c>
      <c r="B3608">
        <v>813246</v>
      </c>
      <c r="C3608">
        <v>1</v>
      </c>
      <c r="D3608" t="str">
        <f t="shared" si="56"/>
        <v>1813246.726</v>
      </c>
      <c r="E3608" t="s">
        <v>3154</v>
      </c>
      <c r="F3608" s="242"/>
      <c r="G3608"/>
      <c r="H3608" s="242">
        <v>21225</v>
      </c>
      <c r="I3608" s="242">
        <v>20471</v>
      </c>
      <c r="J3608"/>
    </row>
    <row r="3609" spans="1:10" ht="15.75" customHeight="1">
      <c r="A3609" t="s">
        <v>586</v>
      </c>
      <c r="B3609">
        <v>813246</v>
      </c>
      <c r="C3609">
        <v>1</v>
      </c>
      <c r="D3609" t="str">
        <f t="shared" si="56"/>
        <v>1813246.727</v>
      </c>
      <c r="E3609" t="s">
        <v>3170</v>
      </c>
      <c r="F3609" s="242"/>
      <c r="G3609"/>
      <c r="H3609" s="242">
        <v>12098</v>
      </c>
      <c r="I3609" s="242">
        <v>11626</v>
      </c>
      <c r="J3609"/>
    </row>
    <row r="3610" spans="1:10" ht="15.75" customHeight="1">
      <c r="A3610" t="s">
        <v>772</v>
      </c>
      <c r="B3610">
        <v>813246</v>
      </c>
      <c r="C3610">
        <v>1</v>
      </c>
      <c r="D3610" t="str">
        <f t="shared" si="56"/>
        <v>1813246.751</v>
      </c>
      <c r="E3610" t="s">
        <v>3156</v>
      </c>
      <c r="F3610" s="242"/>
      <c r="G3610"/>
      <c r="H3610" s="242">
        <v>5616</v>
      </c>
      <c r="I3610" s="242">
        <v>5616</v>
      </c>
      <c r="J3610"/>
    </row>
    <row r="3611" spans="1:10" ht="15.75" customHeight="1">
      <c r="A3611" t="s">
        <v>3157</v>
      </c>
      <c r="B3611">
        <v>813246</v>
      </c>
      <c r="C3611">
        <v>1</v>
      </c>
      <c r="D3611" t="str">
        <f t="shared" si="56"/>
        <v>1813246.877</v>
      </c>
      <c r="E3611" t="s">
        <v>3158</v>
      </c>
      <c r="F3611" s="242"/>
      <c r="G3611"/>
      <c r="H3611" s="242">
        <v>0</v>
      </c>
      <c r="I3611" s="242">
        <v>0</v>
      </c>
      <c r="J3611"/>
    </row>
    <row r="3612" spans="1:10" ht="15.75" customHeight="1">
      <c r="A3612" t="s">
        <v>3144</v>
      </c>
      <c r="B3612">
        <v>813246</v>
      </c>
      <c r="C3612">
        <v>1</v>
      </c>
      <c r="D3612" t="str">
        <f t="shared" si="56"/>
        <v>1813246.878</v>
      </c>
      <c r="E3612" t="s">
        <v>3165</v>
      </c>
      <c r="F3612" s="242"/>
      <c r="G3612"/>
      <c r="H3612" s="242">
        <v>505530</v>
      </c>
      <c r="I3612" s="242">
        <v>529092</v>
      </c>
      <c r="J3612"/>
    </row>
    <row r="3613" spans="1:10" ht="15.75" customHeight="1">
      <c r="A3613" t="s">
        <v>2403</v>
      </c>
      <c r="B3613">
        <v>813247</v>
      </c>
      <c r="C3613">
        <v>1</v>
      </c>
      <c r="D3613" t="str">
        <f t="shared" si="56"/>
        <v>1813247.110</v>
      </c>
      <c r="E3613" t="s">
        <v>3174</v>
      </c>
      <c r="F3613" s="242"/>
      <c r="G3613"/>
      <c r="H3613" s="242">
        <v>503053</v>
      </c>
      <c r="I3613" s="242">
        <v>441682</v>
      </c>
      <c r="J3613"/>
    </row>
    <row r="3614" spans="1:10" ht="15.75" customHeight="1">
      <c r="A3614" t="s">
        <v>2404</v>
      </c>
      <c r="B3614">
        <v>813247</v>
      </c>
      <c r="C3614">
        <v>1</v>
      </c>
      <c r="D3614" t="str">
        <f t="shared" si="56"/>
        <v>1813247.120</v>
      </c>
      <c r="E3614" t="s">
        <v>2574</v>
      </c>
      <c r="F3614" s="242"/>
      <c r="G3614"/>
      <c r="H3614" s="242">
        <v>161576</v>
      </c>
      <c r="I3614" s="242">
        <v>133966</v>
      </c>
      <c r="J3614"/>
    </row>
    <row r="3615" spans="1:10" ht="15.75" customHeight="1">
      <c r="A3615" t="s">
        <v>2575</v>
      </c>
      <c r="B3615">
        <v>813247</v>
      </c>
      <c r="C3615">
        <v>1</v>
      </c>
      <c r="D3615" t="str">
        <f t="shared" si="56"/>
        <v>1813247.130</v>
      </c>
      <c r="E3615" t="s">
        <v>2576</v>
      </c>
      <c r="F3615" s="242"/>
      <c r="G3615"/>
      <c r="H3615" s="242">
        <v>21268</v>
      </c>
      <c r="I3615" s="242">
        <v>13928</v>
      </c>
      <c r="J3615"/>
    </row>
    <row r="3616" spans="1:10" ht="15.75" customHeight="1">
      <c r="A3616" t="s">
        <v>2577</v>
      </c>
      <c r="B3616">
        <v>813247</v>
      </c>
      <c r="C3616">
        <v>1</v>
      </c>
      <c r="D3616" t="str">
        <f t="shared" si="56"/>
        <v>1813247.140</v>
      </c>
      <c r="E3616" t="s">
        <v>2578</v>
      </c>
      <c r="F3616" s="242"/>
      <c r="G3616"/>
      <c r="H3616" s="242">
        <v>15154</v>
      </c>
      <c r="I3616" s="242">
        <v>13096</v>
      </c>
      <c r="J3616"/>
    </row>
    <row r="3617" spans="1:10" ht="15.75" customHeight="1">
      <c r="A3617" t="s">
        <v>2579</v>
      </c>
      <c r="B3617">
        <v>813247</v>
      </c>
      <c r="C3617">
        <v>1</v>
      </c>
      <c r="D3617" t="str">
        <f t="shared" si="56"/>
        <v>1813247.181</v>
      </c>
      <c r="E3617" t="s">
        <v>2580</v>
      </c>
      <c r="F3617" s="242"/>
      <c r="G3617"/>
      <c r="H3617" s="242">
        <v>121144</v>
      </c>
      <c r="I3617" s="242">
        <v>103857</v>
      </c>
      <c r="J3617"/>
    </row>
    <row r="3618" spans="1:10" ht="15.75" customHeight="1">
      <c r="A3618" t="s">
        <v>2581</v>
      </c>
      <c r="B3618">
        <v>813247</v>
      </c>
      <c r="C3618">
        <v>1</v>
      </c>
      <c r="D3618" t="str">
        <f t="shared" si="56"/>
        <v>1813247.182</v>
      </c>
      <c r="E3618" t="s">
        <v>2582</v>
      </c>
      <c r="F3618" s="242"/>
      <c r="G3618"/>
      <c r="H3618" s="242">
        <v>52108</v>
      </c>
      <c r="I3618" s="242">
        <v>45160</v>
      </c>
      <c r="J3618"/>
    </row>
    <row r="3619" spans="1:10" ht="15.75" customHeight="1">
      <c r="A3619" t="s">
        <v>2606</v>
      </c>
      <c r="B3619">
        <v>813247</v>
      </c>
      <c r="C3619">
        <v>1</v>
      </c>
      <c r="D3619" t="str">
        <f t="shared" si="56"/>
        <v>1813247.440</v>
      </c>
      <c r="E3619" t="s">
        <v>2657</v>
      </c>
      <c r="F3619" s="242"/>
      <c r="G3619"/>
      <c r="H3619" s="242">
        <v>10600</v>
      </c>
      <c r="I3619" s="242">
        <v>10236</v>
      </c>
      <c r="J3619"/>
    </row>
    <row r="3620" spans="1:10" ht="15.75" customHeight="1">
      <c r="A3620" t="s">
        <v>2704</v>
      </c>
      <c r="B3620">
        <v>813247</v>
      </c>
      <c r="C3620">
        <v>1</v>
      </c>
      <c r="D3620" t="str">
        <f t="shared" si="56"/>
        <v>1813247.720</v>
      </c>
      <c r="E3620" t="s">
        <v>3149</v>
      </c>
      <c r="F3620" s="242"/>
      <c r="G3620"/>
      <c r="H3620" s="242">
        <v>0</v>
      </c>
      <c r="I3620" s="242">
        <v>626</v>
      </c>
      <c r="J3620"/>
    </row>
    <row r="3621" spans="1:10" ht="15.75" customHeight="1">
      <c r="A3621" t="s">
        <v>569</v>
      </c>
      <c r="B3621">
        <v>813247</v>
      </c>
      <c r="C3621">
        <v>1</v>
      </c>
      <c r="D3621" t="str">
        <f t="shared" si="56"/>
        <v>1813247.725</v>
      </c>
      <c r="E3621" t="s">
        <v>3153</v>
      </c>
      <c r="F3621" s="242"/>
      <c r="G3621"/>
      <c r="H3621" s="242">
        <v>1658</v>
      </c>
      <c r="I3621" s="242">
        <v>1658</v>
      </c>
      <c r="J3621"/>
    </row>
    <row r="3622" spans="1:10" ht="15.75" customHeight="1">
      <c r="A3622" t="s">
        <v>575</v>
      </c>
      <c r="B3622">
        <v>813247</v>
      </c>
      <c r="C3622">
        <v>1</v>
      </c>
      <c r="D3622" t="str">
        <f t="shared" si="56"/>
        <v>1813247.726</v>
      </c>
      <c r="E3622" t="s">
        <v>3154</v>
      </c>
      <c r="F3622" s="242"/>
      <c r="G3622"/>
      <c r="H3622" s="242">
        <v>11122</v>
      </c>
      <c r="I3622" s="242">
        <v>10292</v>
      </c>
      <c r="J3622"/>
    </row>
    <row r="3623" spans="1:10" ht="15.75" customHeight="1">
      <c r="A3623" t="s">
        <v>586</v>
      </c>
      <c r="B3623">
        <v>813247</v>
      </c>
      <c r="C3623">
        <v>1</v>
      </c>
      <c r="D3623" t="str">
        <f t="shared" si="56"/>
        <v>1813247.727</v>
      </c>
      <c r="E3623" t="s">
        <v>3170</v>
      </c>
      <c r="F3623" s="242"/>
      <c r="G3623"/>
      <c r="H3623" s="242">
        <v>4140</v>
      </c>
      <c r="I3623" s="242">
        <v>5062</v>
      </c>
      <c r="J3623"/>
    </row>
    <row r="3624" spans="1:10" ht="15.75" customHeight="1">
      <c r="A3624" t="s">
        <v>3164</v>
      </c>
      <c r="B3624">
        <v>813247</v>
      </c>
      <c r="C3624">
        <v>1</v>
      </c>
      <c r="D3624" t="str">
        <f t="shared" si="56"/>
        <v>1813247.728</v>
      </c>
      <c r="E3624" t="s">
        <v>3168</v>
      </c>
      <c r="F3624" s="242"/>
      <c r="G3624"/>
      <c r="H3624" s="242">
        <v>0</v>
      </c>
      <c r="I3624" s="242">
        <v>0</v>
      </c>
      <c r="J3624"/>
    </row>
    <row r="3625" spans="1:10" ht="15.75" customHeight="1">
      <c r="A3625" t="s">
        <v>772</v>
      </c>
      <c r="B3625">
        <v>813247</v>
      </c>
      <c r="C3625">
        <v>1</v>
      </c>
      <c r="D3625" t="str">
        <f t="shared" si="56"/>
        <v>1813247.751</v>
      </c>
      <c r="E3625" t="s">
        <v>3156</v>
      </c>
      <c r="F3625" s="242"/>
      <c r="G3625"/>
      <c r="H3625" s="242">
        <v>5616</v>
      </c>
      <c r="I3625" s="242">
        <v>5616</v>
      </c>
      <c r="J3625"/>
    </row>
    <row r="3626" spans="1:10" ht="15.75" customHeight="1">
      <c r="A3626" t="s">
        <v>3157</v>
      </c>
      <c r="B3626">
        <v>813247</v>
      </c>
      <c r="C3626">
        <v>1</v>
      </c>
      <c r="D3626" t="str">
        <f t="shared" si="56"/>
        <v>1813247.877</v>
      </c>
      <c r="E3626" t="s">
        <v>3158</v>
      </c>
      <c r="F3626" s="242"/>
      <c r="G3626"/>
      <c r="H3626" s="242">
        <v>0</v>
      </c>
      <c r="I3626" s="242">
        <v>0</v>
      </c>
      <c r="J3626"/>
    </row>
    <row r="3627" spans="1:10" ht="15.75" customHeight="1">
      <c r="A3627" t="s">
        <v>3144</v>
      </c>
      <c r="B3627">
        <v>813247</v>
      </c>
      <c r="C3627">
        <v>1</v>
      </c>
      <c r="D3627" t="str">
        <f t="shared" si="56"/>
        <v>1813247.878</v>
      </c>
      <c r="E3627" t="s">
        <v>3165</v>
      </c>
      <c r="F3627" s="242"/>
      <c r="G3627"/>
      <c r="H3627" s="242">
        <v>235125</v>
      </c>
      <c r="I3627" s="242">
        <v>246522</v>
      </c>
      <c r="J3627"/>
    </row>
    <row r="3628" spans="1:10" ht="15.75" customHeight="1">
      <c r="A3628" t="s">
        <v>2403</v>
      </c>
      <c r="B3628">
        <v>813248</v>
      </c>
      <c r="C3628">
        <v>1</v>
      </c>
      <c r="D3628" t="str">
        <f t="shared" si="56"/>
        <v>1813248.110</v>
      </c>
      <c r="E3628" t="s">
        <v>2573</v>
      </c>
      <c r="F3628" s="242"/>
      <c r="G3628"/>
      <c r="H3628" s="242">
        <v>204519</v>
      </c>
      <c r="I3628" s="242">
        <v>156629</v>
      </c>
      <c r="J3628"/>
    </row>
    <row r="3629" spans="1:10" ht="15.75" customHeight="1">
      <c r="A3629" t="s">
        <v>2404</v>
      </c>
      <c r="B3629">
        <v>813248</v>
      </c>
      <c r="C3629">
        <v>1</v>
      </c>
      <c r="D3629" t="str">
        <f t="shared" si="56"/>
        <v>1813248.120</v>
      </c>
      <c r="E3629" t="s">
        <v>2574</v>
      </c>
      <c r="F3629" s="242"/>
      <c r="G3629"/>
      <c r="H3629" s="242">
        <v>45298</v>
      </c>
      <c r="I3629" s="242">
        <v>33269</v>
      </c>
      <c r="J3629"/>
    </row>
    <row r="3630" spans="1:10" ht="15.75" customHeight="1">
      <c r="A3630" t="s">
        <v>2575</v>
      </c>
      <c r="B3630">
        <v>813248</v>
      </c>
      <c r="C3630">
        <v>1</v>
      </c>
      <c r="D3630" t="str">
        <f t="shared" si="56"/>
        <v>1813248.130</v>
      </c>
      <c r="E3630" t="s">
        <v>2576</v>
      </c>
      <c r="F3630" s="242"/>
      <c r="G3630"/>
      <c r="H3630" s="242">
        <v>8962</v>
      </c>
      <c r="I3630" s="242">
        <v>3751</v>
      </c>
      <c r="J3630"/>
    </row>
    <row r="3631" spans="1:10" ht="15.75" customHeight="1">
      <c r="A3631" t="s">
        <v>2577</v>
      </c>
      <c r="B3631">
        <v>813248</v>
      </c>
      <c r="C3631">
        <v>1</v>
      </c>
      <c r="D3631" t="str">
        <f t="shared" si="56"/>
        <v>1813248.140</v>
      </c>
      <c r="E3631" t="s">
        <v>2578</v>
      </c>
      <c r="F3631" s="242"/>
      <c r="G3631"/>
      <c r="H3631" s="242">
        <v>5085</v>
      </c>
      <c r="I3631" s="242">
        <v>3648</v>
      </c>
      <c r="J3631"/>
    </row>
    <row r="3632" spans="1:10" ht="15.75" customHeight="1">
      <c r="A3632" t="s">
        <v>2579</v>
      </c>
      <c r="B3632">
        <v>813248</v>
      </c>
      <c r="C3632">
        <v>1</v>
      </c>
      <c r="D3632" t="str">
        <f t="shared" si="56"/>
        <v>1813248.181</v>
      </c>
      <c r="E3632" t="s">
        <v>2580</v>
      </c>
      <c r="F3632" s="242"/>
      <c r="G3632"/>
      <c r="H3632" s="242">
        <v>39710</v>
      </c>
      <c r="I3632" s="242">
        <v>30532</v>
      </c>
      <c r="J3632"/>
    </row>
    <row r="3633" spans="1:10" ht="15.75" customHeight="1">
      <c r="A3633" t="s">
        <v>2581</v>
      </c>
      <c r="B3633">
        <v>813248</v>
      </c>
      <c r="C3633">
        <v>1</v>
      </c>
      <c r="D3633" t="str">
        <f t="shared" si="56"/>
        <v>1813248.182</v>
      </c>
      <c r="E3633" t="s">
        <v>2582</v>
      </c>
      <c r="F3633" s="242"/>
      <c r="G3633"/>
      <c r="H3633" s="242">
        <v>20026</v>
      </c>
      <c r="I3633" s="242">
        <v>14989</v>
      </c>
      <c r="J3633"/>
    </row>
    <row r="3634" spans="1:10" ht="15.75" customHeight="1">
      <c r="A3634" t="s">
        <v>2606</v>
      </c>
      <c r="B3634">
        <v>813248</v>
      </c>
      <c r="C3634">
        <v>1</v>
      </c>
      <c r="D3634" t="str">
        <f t="shared" si="56"/>
        <v>1813248.440</v>
      </c>
      <c r="E3634" t="s">
        <v>2657</v>
      </c>
      <c r="F3634" s="242"/>
      <c r="G3634"/>
      <c r="H3634" s="242">
        <v>10600</v>
      </c>
      <c r="I3634" s="242">
        <v>10236</v>
      </c>
      <c r="J3634"/>
    </row>
    <row r="3635" spans="1:10" ht="15.75" customHeight="1">
      <c r="A3635" t="s">
        <v>575</v>
      </c>
      <c r="B3635">
        <v>813248</v>
      </c>
      <c r="C3635">
        <v>1</v>
      </c>
      <c r="D3635" t="str">
        <f t="shared" si="56"/>
        <v>1813248.726</v>
      </c>
      <c r="E3635" t="s">
        <v>3154</v>
      </c>
      <c r="F3635" s="242"/>
      <c r="G3635"/>
      <c r="H3635" s="242">
        <v>6560</v>
      </c>
      <c r="I3635" s="242">
        <v>8140</v>
      </c>
      <c r="J3635"/>
    </row>
    <row r="3636" spans="1:10" ht="15.75" customHeight="1">
      <c r="A3636" t="s">
        <v>586</v>
      </c>
      <c r="B3636">
        <v>813248</v>
      </c>
      <c r="C3636">
        <v>1</v>
      </c>
      <c r="D3636" t="str">
        <f t="shared" si="56"/>
        <v>1813248.727</v>
      </c>
      <c r="E3636" t="s">
        <v>3170</v>
      </c>
      <c r="F3636" s="242"/>
      <c r="G3636"/>
      <c r="H3636" s="242">
        <v>3732</v>
      </c>
      <c r="I3636" s="242">
        <v>4633</v>
      </c>
      <c r="J3636"/>
    </row>
    <row r="3637" spans="1:10" ht="15.75" customHeight="1">
      <c r="A3637" t="s">
        <v>3164</v>
      </c>
      <c r="B3637">
        <v>813248</v>
      </c>
      <c r="C3637">
        <v>1</v>
      </c>
      <c r="D3637" t="str">
        <f t="shared" si="56"/>
        <v>1813248.728</v>
      </c>
      <c r="E3637" t="s">
        <v>3168</v>
      </c>
      <c r="F3637" s="242"/>
      <c r="G3637"/>
      <c r="H3637" s="242">
        <v>800</v>
      </c>
      <c r="I3637" s="242">
        <v>19867</v>
      </c>
      <c r="J3637"/>
    </row>
    <row r="3638" spans="1:10" ht="15.75" customHeight="1">
      <c r="A3638" t="s">
        <v>772</v>
      </c>
      <c r="B3638">
        <v>813248</v>
      </c>
      <c r="C3638">
        <v>1</v>
      </c>
      <c r="D3638" t="str">
        <f t="shared" si="56"/>
        <v>1813248.751</v>
      </c>
      <c r="E3638" t="s">
        <v>3156</v>
      </c>
      <c r="F3638" s="242"/>
      <c r="G3638"/>
      <c r="H3638" s="242">
        <v>5000</v>
      </c>
      <c r="I3638" s="242">
        <v>4797</v>
      </c>
      <c r="J3638"/>
    </row>
    <row r="3639" spans="1:10" ht="15.75" customHeight="1">
      <c r="A3639" t="s">
        <v>3157</v>
      </c>
      <c r="B3639">
        <v>813248</v>
      </c>
      <c r="C3639">
        <v>1</v>
      </c>
      <c r="D3639" t="str">
        <f t="shared" si="56"/>
        <v>1813248.877</v>
      </c>
      <c r="E3639" t="s">
        <v>3158</v>
      </c>
      <c r="F3639" s="242"/>
      <c r="G3639"/>
      <c r="H3639" s="242">
        <v>0</v>
      </c>
      <c r="I3639" s="242">
        <v>0</v>
      </c>
      <c r="J3639"/>
    </row>
    <row r="3640" spans="1:10" ht="15.75" customHeight="1">
      <c r="A3640" t="s">
        <v>3144</v>
      </c>
      <c r="B3640">
        <v>813248</v>
      </c>
      <c r="C3640">
        <v>1</v>
      </c>
      <c r="D3640" t="str">
        <f t="shared" si="56"/>
        <v>1813248.878</v>
      </c>
      <c r="E3640" t="s">
        <v>3165</v>
      </c>
      <c r="F3640" s="242"/>
      <c r="G3640"/>
      <c r="H3640" s="242">
        <v>203490</v>
      </c>
      <c r="I3640" s="242">
        <v>192015</v>
      </c>
      <c r="J3640"/>
    </row>
    <row r="3641" spans="1:10" ht="15.75" customHeight="1">
      <c r="A3641" t="s">
        <v>2403</v>
      </c>
      <c r="B3641">
        <v>813249</v>
      </c>
      <c r="C3641">
        <v>1</v>
      </c>
      <c r="D3641" t="str">
        <f t="shared" si="56"/>
        <v>1813249.110</v>
      </c>
      <c r="E3641" t="s">
        <v>3174</v>
      </c>
      <c r="F3641" s="242"/>
      <c r="G3641"/>
      <c r="H3641" s="242">
        <v>297656</v>
      </c>
      <c r="I3641" s="242">
        <v>170155</v>
      </c>
      <c r="J3641"/>
    </row>
    <row r="3642" spans="1:10" ht="15.75" customHeight="1">
      <c r="A3642" t="s">
        <v>2404</v>
      </c>
      <c r="B3642">
        <v>813249</v>
      </c>
      <c r="C3642">
        <v>1</v>
      </c>
      <c r="D3642" t="str">
        <f t="shared" si="56"/>
        <v>1813249.120</v>
      </c>
      <c r="E3642" t="s">
        <v>2574</v>
      </c>
      <c r="F3642" s="242"/>
      <c r="G3642"/>
      <c r="H3642" s="242">
        <v>49095</v>
      </c>
      <c r="I3642" s="242">
        <v>28393</v>
      </c>
      <c r="J3642"/>
    </row>
    <row r="3643" spans="1:10" ht="15.75" customHeight="1">
      <c r="A3643" t="s">
        <v>2575</v>
      </c>
      <c r="B3643">
        <v>813249</v>
      </c>
      <c r="C3643">
        <v>1</v>
      </c>
      <c r="D3643" t="str">
        <f t="shared" si="56"/>
        <v>1813249.130</v>
      </c>
      <c r="E3643" t="s">
        <v>2576</v>
      </c>
      <c r="F3643" s="242"/>
      <c r="G3643"/>
      <c r="H3643" s="242">
        <v>9537</v>
      </c>
      <c r="I3643" s="242">
        <v>3424</v>
      </c>
      <c r="J3643"/>
    </row>
    <row r="3644" spans="1:10" ht="15.75" customHeight="1">
      <c r="A3644" t="s">
        <v>2577</v>
      </c>
      <c r="B3644">
        <v>813249</v>
      </c>
      <c r="C3644">
        <v>1</v>
      </c>
      <c r="D3644" t="str">
        <f t="shared" si="56"/>
        <v>1813249.140</v>
      </c>
      <c r="E3644" t="s">
        <v>2578</v>
      </c>
      <c r="F3644" s="242"/>
      <c r="G3644"/>
      <c r="H3644" s="242">
        <v>8484</v>
      </c>
      <c r="I3644" s="242">
        <v>4962</v>
      </c>
      <c r="J3644"/>
    </row>
    <row r="3645" spans="1:10" ht="15.75" customHeight="1">
      <c r="A3645" t="s">
        <v>2579</v>
      </c>
      <c r="B3645">
        <v>813249</v>
      </c>
      <c r="C3645">
        <v>1</v>
      </c>
      <c r="D3645" t="str">
        <f t="shared" si="56"/>
        <v>1813249.181</v>
      </c>
      <c r="E3645" t="s">
        <v>2580</v>
      </c>
      <c r="F3645" s="242"/>
      <c r="G3645"/>
      <c r="H3645" s="242">
        <v>67543</v>
      </c>
      <c r="I3645" s="242">
        <v>37570</v>
      </c>
      <c r="J3645"/>
    </row>
    <row r="3646" spans="1:10" ht="15.75" customHeight="1">
      <c r="A3646" t="s">
        <v>2581</v>
      </c>
      <c r="B3646">
        <v>813249</v>
      </c>
      <c r="C3646">
        <v>1</v>
      </c>
      <c r="D3646" t="str">
        <f t="shared" si="56"/>
        <v>1813249.182</v>
      </c>
      <c r="E3646" t="s">
        <v>2582</v>
      </c>
      <c r="F3646" s="242"/>
      <c r="G3646"/>
      <c r="H3646" s="242">
        <v>27634</v>
      </c>
      <c r="I3646" s="242">
        <v>15688</v>
      </c>
      <c r="J3646"/>
    </row>
    <row r="3647" spans="1:10" ht="15.75" customHeight="1">
      <c r="A3647" t="s">
        <v>2606</v>
      </c>
      <c r="B3647">
        <v>813249</v>
      </c>
      <c r="C3647">
        <v>1</v>
      </c>
      <c r="D3647" t="str">
        <f t="shared" si="56"/>
        <v>1813249.440</v>
      </c>
      <c r="E3647" t="s">
        <v>2657</v>
      </c>
      <c r="F3647" s="242"/>
      <c r="G3647"/>
      <c r="H3647" s="242">
        <v>10600</v>
      </c>
      <c r="I3647" s="242">
        <v>10236</v>
      </c>
      <c r="J3647"/>
    </row>
    <row r="3648" spans="1:10" ht="15.75" customHeight="1">
      <c r="A3648" t="s">
        <v>575</v>
      </c>
      <c r="B3648">
        <v>813249</v>
      </c>
      <c r="C3648">
        <v>1</v>
      </c>
      <c r="D3648" t="str">
        <f t="shared" si="56"/>
        <v>1813249.726</v>
      </c>
      <c r="E3648" t="s">
        <v>3154</v>
      </c>
      <c r="F3648" s="242"/>
      <c r="G3648"/>
      <c r="H3648" s="242">
        <v>20132</v>
      </c>
      <c r="I3648" s="242">
        <v>21225</v>
      </c>
      <c r="J3648"/>
    </row>
    <row r="3649" spans="1:10" ht="15.75" customHeight="1">
      <c r="A3649" t="s">
        <v>586</v>
      </c>
      <c r="B3649">
        <v>813249</v>
      </c>
      <c r="C3649">
        <v>1</v>
      </c>
      <c r="D3649" t="str">
        <f t="shared" si="56"/>
        <v>1813249.727</v>
      </c>
      <c r="E3649" t="s">
        <v>3175</v>
      </c>
      <c r="F3649" s="242"/>
      <c r="G3649"/>
      <c r="H3649" s="242">
        <v>11454</v>
      </c>
      <c r="I3649" s="242">
        <v>11840</v>
      </c>
      <c r="J3649"/>
    </row>
    <row r="3650" spans="1:10" ht="15.75" customHeight="1">
      <c r="A3650" t="s">
        <v>3164</v>
      </c>
      <c r="B3650">
        <v>813249</v>
      </c>
      <c r="C3650">
        <v>1</v>
      </c>
      <c r="D3650" t="str">
        <f t="shared" si="56"/>
        <v>1813249.728</v>
      </c>
      <c r="E3650" t="s">
        <v>3168</v>
      </c>
      <c r="F3650" s="242"/>
      <c r="G3650"/>
      <c r="H3650" s="242">
        <v>8400</v>
      </c>
      <c r="I3650" s="242">
        <v>30400</v>
      </c>
      <c r="J3650"/>
    </row>
    <row r="3651" spans="1:10" ht="15.75" customHeight="1">
      <c r="A3651" t="s">
        <v>772</v>
      </c>
      <c r="B3651">
        <v>813249</v>
      </c>
      <c r="C3651">
        <v>1</v>
      </c>
      <c r="D3651" t="str">
        <f t="shared" ref="D3651:D3714" si="57">C3651&amp;B3651&amp;"."&amp;A3651</f>
        <v>1813249.751</v>
      </c>
      <c r="E3651" t="s">
        <v>3156</v>
      </c>
      <c r="F3651" s="242"/>
      <c r="G3651"/>
      <c r="H3651" s="242">
        <v>5000</v>
      </c>
      <c r="I3651" s="242">
        <v>4797</v>
      </c>
      <c r="J3651"/>
    </row>
    <row r="3652" spans="1:10" ht="15.75" customHeight="1">
      <c r="A3652" t="s">
        <v>3157</v>
      </c>
      <c r="B3652">
        <v>813249</v>
      </c>
      <c r="C3652">
        <v>1</v>
      </c>
      <c r="D3652" t="str">
        <f t="shared" si="57"/>
        <v>1813249.877</v>
      </c>
      <c r="E3652" t="s">
        <v>3158</v>
      </c>
      <c r="F3652" s="242"/>
      <c r="G3652"/>
      <c r="H3652" s="242">
        <v>0</v>
      </c>
      <c r="I3652" s="242">
        <v>0</v>
      </c>
      <c r="J3652"/>
    </row>
    <row r="3653" spans="1:10" ht="15.75" customHeight="1">
      <c r="A3653" t="s">
        <v>3144</v>
      </c>
      <c r="B3653">
        <v>813249</v>
      </c>
      <c r="C3653">
        <v>1</v>
      </c>
      <c r="D3653" t="str">
        <f t="shared" si="57"/>
        <v>1813249.878</v>
      </c>
      <c r="E3653" t="s">
        <v>3165</v>
      </c>
      <c r="F3653" s="242"/>
      <c r="G3653"/>
      <c r="H3653" s="242">
        <v>456504</v>
      </c>
      <c r="I3653" s="242">
        <v>446029</v>
      </c>
      <c r="J3653"/>
    </row>
    <row r="3654" spans="1:10" ht="15.75" customHeight="1">
      <c r="A3654" t="s">
        <v>2403</v>
      </c>
      <c r="B3654">
        <v>813251</v>
      </c>
      <c r="C3654">
        <v>1</v>
      </c>
      <c r="D3654" t="str">
        <f t="shared" si="57"/>
        <v>1813251.110</v>
      </c>
      <c r="E3654" t="s">
        <v>2573</v>
      </c>
      <c r="F3654" s="242"/>
      <c r="G3654"/>
      <c r="H3654" s="242">
        <v>327058</v>
      </c>
      <c r="I3654" s="242">
        <v>276882</v>
      </c>
      <c r="J3654"/>
    </row>
    <row r="3655" spans="1:10" ht="15.75" customHeight="1">
      <c r="A3655" t="s">
        <v>2404</v>
      </c>
      <c r="B3655">
        <v>813251</v>
      </c>
      <c r="C3655">
        <v>1</v>
      </c>
      <c r="D3655" t="str">
        <f t="shared" si="57"/>
        <v>1813251.120</v>
      </c>
      <c r="E3655" t="s">
        <v>2574</v>
      </c>
      <c r="F3655" s="242"/>
      <c r="G3655"/>
      <c r="H3655" s="242">
        <v>75087</v>
      </c>
      <c r="I3655" s="242">
        <v>65186</v>
      </c>
      <c r="J3655"/>
    </row>
    <row r="3656" spans="1:10" ht="15.75" customHeight="1">
      <c r="A3656" t="s">
        <v>2575</v>
      </c>
      <c r="B3656">
        <v>813251</v>
      </c>
      <c r="C3656">
        <v>1</v>
      </c>
      <c r="D3656" t="str">
        <f t="shared" si="57"/>
        <v>1813251.130</v>
      </c>
      <c r="E3656" t="s">
        <v>2576</v>
      </c>
      <c r="F3656" s="242"/>
      <c r="G3656"/>
      <c r="H3656" s="242">
        <v>16025</v>
      </c>
      <c r="I3656" s="242">
        <v>10211</v>
      </c>
      <c r="J3656"/>
    </row>
    <row r="3657" spans="1:10" ht="15.75" customHeight="1">
      <c r="A3657" t="s">
        <v>2577</v>
      </c>
      <c r="B3657">
        <v>813251</v>
      </c>
      <c r="C3657">
        <v>1</v>
      </c>
      <c r="D3657" t="str">
        <f t="shared" si="57"/>
        <v>1813251.140</v>
      </c>
      <c r="E3657" t="s">
        <v>2578</v>
      </c>
      <c r="F3657" s="242"/>
      <c r="G3657"/>
      <c r="H3657" s="242">
        <v>9471</v>
      </c>
      <c r="I3657" s="242">
        <v>8147</v>
      </c>
      <c r="J3657"/>
    </row>
    <row r="3658" spans="1:10" ht="15.75" customHeight="1">
      <c r="A3658" t="s">
        <v>2579</v>
      </c>
      <c r="B3658">
        <v>813251</v>
      </c>
      <c r="C3658">
        <v>1</v>
      </c>
      <c r="D3658" t="str">
        <f t="shared" si="57"/>
        <v>1813251.181</v>
      </c>
      <c r="E3658" t="s">
        <v>2580</v>
      </c>
      <c r="F3658" s="242"/>
      <c r="G3658"/>
      <c r="H3658" s="242">
        <v>73291</v>
      </c>
      <c r="I3658" s="242">
        <v>60688</v>
      </c>
      <c r="J3658"/>
    </row>
    <row r="3659" spans="1:10" ht="15.75" customHeight="1">
      <c r="A3659" t="s">
        <v>2581</v>
      </c>
      <c r="B3659">
        <v>813251</v>
      </c>
      <c r="C3659">
        <v>1</v>
      </c>
      <c r="D3659" t="str">
        <f t="shared" si="57"/>
        <v>1813251.182</v>
      </c>
      <c r="E3659" t="s">
        <v>2582</v>
      </c>
      <c r="F3659" s="242"/>
      <c r="G3659"/>
      <c r="H3659" s="242">
        <v>32444</v>
      </c>
      <c r="I3659" s="242">
        <v>27362</v>
      </c>
      <c r="J3659"/>
    </row>
    <row r="3660" spans="1:10" ht="15.75" customHeight="1">
      <c r="A3660" t="s">
        <v>2606</v>
      </c>
      <c r="B3660">
        <v>813251</v>
      </c>
      <c r="C3660">
        <v>1</v>
      </c>
      <c r="D3660" t="str">
        <f t="shared" si="57"/>
        <v>1813251.440</v>
      </c>
      <c r="E3660" t="s">
        <v>2657</v>
      </c>
      <c r="F3660" s="242"/>
      <c r="G3660"/>
      <c r="H3660" s="242">
        <v>10600</v>
      </c>
      <c r="I3660" s="242">
        <v>10236</v>
      </c>
      <c r="J3660"/>
    </row>
    <row r="3661" spans="1:10" ht="15.75" customHeight="1">
      <c r="A3661" t="s">
        <v>547</v>
      </c>
      <c r="B3661">
        <v>813251</v>
      </c>
      <c r="C3661">
        <v>1</v>
      </c>
      <c r="D3661" t="str">
        <f t="shared" si="57"/>
        <v>1813251.722</v>
      </c>
      <c r="E3661" t="s">
        <v>3020</v>
      </c>
      <c r="F3661" s="242"/>
      <c r="G3661"/>
      <c r="H3661" s="242">
        <v>0</v>
      </c>
      <c r="I3661" s="242">
        <v>0</v>
      </c>
      <c r="J3661"/>
    </row>
    <row r="3662" spans="1:10" ht="15.75" customHeight="1">
      <c r="A3662" t="s">
        <v>569</v>
      </c>
      <c r="B3662">
        <v>813251</v>
      </c>
      <c r="C3662">
        <v>1</v>
      </c>
      <c r="D3662" t="str">
        <f t="shared" si="57"/>
        <v>1813251.725</v>
      </c>
      <c r="E3662" t="s">
        <v>3172</v>
      </c>
      <c r="F3662" s="242"/>
      <c r="G3662"/>
      <c r="H3662" s="242">
        <v>3296</v>
      </c>
      <c r="I3662" s="242">
        <v>3296</v>
      </c>
      <c r="J3662"/>
    </row>
    <row r="3663" spans="1:10" ht="15.75" customHeight="1">
      <c r="A3663" t="s">
        <v>575</v>
      </c>
      <c r="B3663">
        <v>813251</v>
      </c>
      <c r="C3663">
        <v>1</v>
      </c>
      <c r="D3663" t="str">
        <f t="shared" si="57"/>
        <v>1813251.726</v>
      </c>
      <c r="E3663" t="s">
        <v>3154</v>
      </c>
      <c r="F3663" s="242"/>
      <c r="G3663"/>
      <c r="H3663" s="242">
        <v>5353</v>
      </c>
      <c r="I3663" s="242">
        <v>4939</v>
      </c>
      <c r="J3663"/>
    </row>
    <row r="3664" spans="1:10" ht="15.75" customHeight="1">
      <c r="A3664" t="s">
        <v>586</v>
      </c>
      <c r="B3664">
        <v>813251</v>
      </c>
      <c r="C3664">
        <v>1</v>
      </c>
      <c r="D3664" t="str">
        <f t="shared" si="57"/>
        <v>1813251.727</v>
      </c>
      <c r="E3664" t="s">
        <v>3170</v>
      </c>
      <c r="F3664" s="242"/>
      <c r="G3664"/>
      <c r="H3664" s="242">
        <v>2381</v>
      </c>
      <c r="I3664" s="242">
        <v>2166</v>
      </c>
      <c r="J3664"/>
    </row>
    <row r="3665" spans="1:10" ht="15.75" customHeight="1">
      <c r="A3665" t="s">
        <v>3164</v>
      </c>
      <c r="B3665">
        <v>813251</v>
      </c>
      <c r="C3665">
        <v>1</v>
      </c>
      <c r="D3665" t="str">
        <f t="shared" si="57"/>
        <v>1813251.728</v>
      </c>
      <c r="E3665" t="s">
        <v>3168</v>
      </c>
      <c r="F3665" s="242"/>
      <c r="G3665"/>
      <c r="H3665" s="242">
        <v>24558</v>
      </c>
      <c r="I3665" s="242">
        <v>23600</v>
      </c>
      <c r="J3665"/>
    </row>
    <row r="3666" spans="1:10" ht="15.75" customHeight="1">
      <c r="A3666" t="s">
        <v>772</v>
      </c>
      <c r="B3666">
        <v>813251</v>
      </c>
      <c r="C3666">
        <v>1</v>
      </c>
      <c r="D3666" t="str">
        <f t="shared" si="57"/>
        <v>1813251.751</v>
      </c>
      <c r="E3666" t="s">
        <v>3156</v>
      </c>
      <c r="F3666" s="242"/>
      <c r="G3666"/>
      <c r="H3666" s="242">
        <v>5000</v>
      </c>
      <c r="I3666" s="242">
        <v>4776</v>
      </c>
      <c r="J3666"/>
    </row>
    <row r="3667" spans="1:10" ht="15.75" customHeight="1">
      <c r="A3667" t="s">
        <v>2632</v>
      </c>
      <c r="B3667">
        <v>813251</v>
      </c>
      <c r="C3667">
        <v>1</v>
      </c>
      <c r="D3667" t="str">
        <f t="shared" si="57"/>
        <v>1813251.780</v>
      </c>
      <c r="E3667" t="s">
        <v>3161</v>
      </c>
      <c r="F3667" s="242"/>
      <c r="G3667"/>
      <c r="H3667" s="242">
        <v>0</v>
      </c>
      <c r="I3667" s="242">
        <v>0</v>
      </c>
      <c r="J3667"/>
    </row>
    <row r="3668" spans="1:10" ht="15.75" customHeight="1">
      <c r="A3668" t="s">
        <v>3157</v>
      </c>
      <c r="B3668">
        <v>813251</v>
      </c>
      <c r="C3668">
        <v>1</v>
      </c>
      <c r="D3668" t="str">
        <f t="shared" si="57"/>
        <v>1813251.877</v>
      </c>
      <c r="E3668" t="s">
        <v>3158</v>
      </c>
      <c r="F3668" s="242"/>
      <c r="G3668"/>
      <c r="H3668" s="242">
        <v>0</v>
      </c>
      <c r="I3668" s="242">
        <v>0</v>
      </c>
      <c r="J3668"/>
    </row>
    <row r="3669" spans="1:10" ht="15.75" customHeight="1">
      <c r="A3669" t="s">
        <v>3144</v>
      </c>
      <c r="B3669">
        <v>813251</v>
      </c>
      <c r="C3669">
        <v>1</v>
      </c>
      <c r="D3669" t="str">
        <f t="shared" si="57"/>
        <v>1813251.878</v>
      </c>
      <c r="E3669" t="s">
        <v>3165</v>
      </c>
      <c r="F3669" s="242"/>
      <c r="G3669"/>
      <c r="H3669" s="242">
        <v>167100</v>
      </c>
      <c r="I3669" s="242">
        <v>168453</v>
      </c>
      <c r="J3669"/>
    </row>
    <row r="3670" spans="1:10" ht="15.75" customHeight="1">
      <c r="A3670" t="s">
        <v>2403</v>
      </c>
      <c r="B3670">
        <v>813252</v>
      </c>
      <c r="C3670">
        <v>1</v>
      </c>
      <c r="D3670" t="str">
        <f t="shared" si="57"/>
        <v>1813252.110</v>
      </c>
      <c r="E3670" t="s">
        <v>2573</v>
      </c>
      <c r="F3670" s="242"/>
      <c r="G3670"/>
      <c r="H3670" s="242">
        <v>209025</v>
      </c>
      <c r="I3670" s="242">
        <v>214474</v>
      </c>
      <c r="J3670"/>
    </row>
    <row r="3671" spans="1:10" ht="15.75" customHeight="1">
      <c r="A3671" t="s">
        <v>2404</v>
      </c>
      <c r="B3671">
        <v>813252</v>
      </c>
      <c r="C3671">
        <v>1</v>
      </c>
      <c r="D3671" t="str">
        <f t="shared" si="57"/>
        <v>1813252.120</v>
      </c>
      <c r="E3671" t="s">
        <v>2574</v>
      </c>
      <c r="F3671" s="242"/>
      <c r="G3671"/>
      <c r="H3671" s="242">
        <v>23164</v>
      </c>
      <c r="I3671" s="242">
        <v>25013</v>
      </c>
      <c r="J3671"/>
    </row>
    <row r="3672" spans="1:10" ht="15.75" customHeight="1">
      <c r="A3672" t="s">
        <v>2575</v>
      </c>
      <c r="B3672">
        <v>813252</v>
      </c>
      <c r="C3672">
        <v>1</v>
      </c>
      <c r="D3672" t="str">
        <f t="shared" si="57"/>
        <v>1813252.130</v>
      </c>
      <c r="E3672" t="s">
        <v>2576</v>
      </c>
      <c r="F3672" s="242"/>
      <c r="G3672"/>
      <c r="H3672" s="242">
        <v>9036</v>
      </c>
      <c r="I3672" s="242">
        <v>7252</v>
      </c>
      <c r="J3672"/>
    </row>
    <row r="3673" spans="1:10" ht="15.75" customHeight="1">
      <c r="A3673" t="s">
        <v>2577</v>
      </c>
      <c r="B3673">
        <v>813252</v>
      </c>
      <c r="C3673">
        <v>1</v>
      </c>
      <c r="D3673" t="str">
        <f t="shared" si="57"/>
        <v>1813252.140</v>
      </c>
      <c r="E3673" t="s">
        <v>2578</v>
      </c>
      <c r="F3673" s="242"/>
      <c r="G3673"/>
      <c r="H3673" s="242">
        <v>5384</v>
      </c>
      <c r="I3673" s="242">
        <v>5477</v>
      </c>
      <c r="J3673"/>
    </row>
    <row r="3674" spans="1:10" ht="15.75" customHeight="1">
      <c r="A3674" t="s">
        <v>2579</v>
      </c>
      <c r="B3674">
        <v>813252</v>
      </c>
      <c r="C3674">
        <v>1</v>
      </c>
      <c r="D3674" t="str">
        <f t="shared" si="57"/>
        <v>1813252.181</v>
      </c>
      <c r="E3674" t="s">
        <v>2580</v>
      </c>
      <c r="F3674" s="242"/>
      <c r="G3674"/>
      <c r="H3674" s="242">
        <v>44061</v>
      </c>
      <c r="I3674" s="242">
        <v>44962</v>
      </c>
      <c r="J3674"/>
    </row>
    <row r="3675" spans="1:10" ht="15.75" customHeight="1">
      <c r="A3675" t="s">
        <v>2581</v>
      </c>
      <c r="B3675">
        <v>813252</v>
      </c>
      <c r="C3675">
        <v>1</v>
      </c>
      <c r="D3675" t="str">
        <f t="shared" si="57"/>
        <v>1813252.182</v>
      </c>
      <c r="E3675" t="s">
        <v>2582</v>
      </c>
      <c r="F3675" s="242"/>
      <c r="G3675"/>
      <c r="H3675" s="242">
        <v>18745</v>
      </c>
      <c r="I3675" s="242">
        <v>19172</v>
      </c>
      <c r="J3675"/>
    </row>
    <row r="3676" spans="1:10" ht="15.75" customHeight="1">
      <c r="A3676" t="s">
        <v>2606</v>
      </c>
      <c r="B3676">
        <v>813252</v>
      </c>
      <c r="C3676">
        <v>1</v>
      </c>
      <c r="D3676" t="str">
        <f t="shared" si="57"/>
        <v>1813252.440</v>
      </c>
      <c r="E3676" t="s">
        <v>2657</v>
      </c>
      <c r="F3676" s="242"/>
      <c r="G3676"/>
      <c r="H3676" s="242">
        <v>10600</v>
      </c>
      <c r="I3676" s="242">
        <v>10236</v>
      </c>
      <c r="J3676"/>
    </row>
    <row r="3677" spans="1:10" ht="15.75" customHeight="1">
      <c r="A3677" t="s">
        <v>2704</v>
      </c>
      <c r="B3677">
        <v>813252</v>
      </c>
      <c r="C3677">
        <v>1</v>
      </c>
      <c r="D3677" t="str">
        <f t="shared" si="57"/>
        <v>1813252.720</v>
      </c>
      <c r="E3677" t="s">
        <v>3149</v>
      </c>
      <c r="F3677" s="242"/>
      <c r="G3677"/>
      <c r="H3677" s="242">
        <v>0</v>
      </c>
      <c r="I3677" s="242">
        <v>626</v>
      </c>
      <c r="J3677"/>
    </row>
    <row r="3678" spans="1:10" ht="15.75" customHeight="1">
      <c r="A3678" t="s">
        <v>569</v>
      </c>
      <c r="B3678">
        <v>813252</v>
      </c>
      <c r="C3678">
        <v>1</v>
      </c>
      <c r="D3678" t="str">
        <f t="shared" si="57"/>
        <v>1813252.725</v>
      </c>
      <c r="E3678" t="s">
        <v>3153</v>
      </c>
      <c r="F3678" s="242"/>
      <c r="G3678"/>
      <c r="H3678" s="242">
        <v>0</v>
      </c>
      <c r="I3678" s="242">
        <v>1456</v>
      </c>
      <c r="J3678"/>
    </row>
    <row r="3679" spans="1:10" ht="15.75" customHeight="1">
      <c r="A3679" t="s">
        <v>575</v>
      </c>
      <c r="B3679">
        <v>813252</v>
      </c>
      <c r="C3679">
        <v>1</v>
      </c>
      <c r="D3679" t="str">
        <f t="shared" si="57"/>
        <v>1813252.726</v>
      </c>
      <c r="E3679" t="s">
        <v>3154</v>
      </c>
      <c r="F3679" s="242"/>
      <c r="G3679"/>
      <c r="H3679" s="242">
        <v>7710</v>
      </c>
      <c r="I3679" s="242">
        <v>8566</v>
      </c>
      <c r="J3679"/>
    </row>
    <row r="3680" spans="1:10" ht="15.75" customHeight="1">
      <c r="A3680" t="s">
        <v>586</v>
      </c>
      <c r="B3680">
        <v>813252</v>
      </c>
      <c r="C3680">
        <v>1</v>
      </c>
      <c r="D3680" t="str">
        <f t="shared" si="57"/>
        <v>1813252.727</v>
      </c>
      <c r="E3680" t="s">
        <v>3170</v>
      </c>
      <c r="F3680" s="242"/>
      <c r="G3680"/>
      <c r="H3680" s="242">
        <v>4140</v>
      </c>
      <c r="I3680" s="242">
        <v>4462</v>
      </c>
      <c r="J3680"/>
    </row>
    <row r="3681" spans="1:10" ht="15.75" customHeight="1">
      <c r="A3681" t="s">
        <v>772</v>
      </c>
      <c r="B3681">
        <v>813252</v>
      </c>
      <c r="C3681">
        <v>1</v>
      </c>
      <c r="D3681" t="str">
        <f t="shared" si="57"/>
        <v>1813252.751</v>
      </c>
      <c r="E3681" t="s">
        <v>3156</v>
      </c>
      <c r="F3681" s="242"/>
      <c r="G3681"/>
      <c r="H3681" s="242">
        <v>5000</v>
      </c>
      <c r="I3681" s="242">
        <v>4797</v>
      </c>
      <c r="J3681"/>
    </row>
    <row r="3682" spans="1:10" ht="15.75" customHeight="1">
      <c r="A3682" t="s">
        <v>3157</v>
      </c>
      <c r="B3682">
        <v>813252</v>
      </c>
      <c r="C3682">
        <v>1</v>
      </c>
      <c r="D3682" t="str">
        <f t="shared" si="57"/>
        <v>1813252.877</v>
      </c>
      <c r="E3682" t="s">
        <v>3158</v>
      </c>
      <c r="F3682" s="242"/>
      <c r="G3682"/>
      <c r="H3682" s="242">
        <v>0</v>
      </c>
      <c r="I3682" s="242">
        <v>0</v>
      </c>
      <c r="J3682"/>
    </row>
    <row r="3683" spans="1:10" ht="15.75" customHeight="1">
      <c r="A3683" t="s">
        <v>3144</v>
      </c>
      <c r="B3683">
        <v>813252</v>
      </c>
      <c r="C3683">
        <v>1</v>
      </c>
      <c r="D3683" t="str">
        <f t="shared" si="57"/>
        <v>1813252.878</v>
      </c>
      <c r="E3683" t="s">
        <v>3165</v>
      </c>
      <c r="F3683" s="242"/>
      <c r="G3683"/>
      <c r="H3683" s="242">
        <v>194640</v>
      </c>
      <c r="I3683" s="242">
        <v>190850</v>
      </c>
      <c r="J3683"/>
    </row>
    <row r="3684" spans="1:10" ht="15.75" customHeight="1">
      <c r="A3684" t="s">
        <v>2403</v>
      </c>
      <c r="B3684">
        <v>813253</v>
      </c>
      <c r="C3684">
        <v>1</v>
      </c>
      <c r="D3684" t="str">
        <f t="shared" si="57"/>
        <v>1813253.110</v>
      </c>
      <c r="E3684" t="s">
        <v>2573</v>
      </c>
      <c r="F3684" s="242"/>
      <c r="G3684"/>
      <c r="H3684" s="242">
        <v>351135</v>
      </c>
      <c r="I3684" s="242">
        <v>231410</v>
      </c>
      <c r="J3684"/>
    </row>
    <row r="3685" spans="1:10" ht="15.75" customHeight="1">
      <c r="A3685" t="s">
        <v>2404</v>
      </c>
      <c r="B3685">
        <v>813253</v>
      </c>
      <c r="C3685">
        <v>1</v>
      </c>
      <c r="D3685" t="str">
        <f t="shared" si="57"/>
        <v>1813253.120</v>
      </c>
      <c r="E3685" t="s">
        <v>2574</v>
      </c>
      <c r="F3685" s="242"/>
      <c r="G3685"/>
      <c r="H3685" s="242">
        <v>85438</v>
      </c>
      <c r="I3685" s="242">
        <v>54758</v>
      </c>
      <c r="J3685"/>
    </row>
    <row r="3686" spans="1:10" ht="15.75" customHeight="1">
      <c r="A3686" t="s">
        <v>2575</v>
      </c>
      <c r="B3686">
        <v>813253</v>
      </c>
      <c r="C3686">
        <v>1</v>
      </c>
      <c r="D3686" t="str">
        <f t="shared" si="57"/>
        <v>1813253.130</v>
      </c>
      <c r="E3686" t="s">
        <v>2576</v>
      </c>
      <c r="F3686" s="242"/>
      <c r="G3686"/>
      <c r="H3686" s="242">
        <v>27976</v>
      </c>
      <c r="I3686" s="242">
        <v>13161</v>
      </c>
      <c r="J3686"/>
    </row>
    <row r="3687" spans="1:10" ht="15.75" customHeight="1">
      <c r="A3687" t="s">
        <v>2577</v>
      </c>
      <c r="B3687">
        <v>813253</v>
      </c>
      <c r="C3687">
        <v>1</v>
      </c>
      <c r="D3687" t="str">
        <f t="shared" si="57"/>
        <v>1813253.140</v>
      </c>
      <c r="E3687" t="s">
        <v>2578</v>
      </c>
      <c r="F3687" s="242"/>
      <c r="G3687"/>
      <c r="H3687" s="242">
        <v>10635</v>
      </c>
      <c r="I3687" s="242">
        <v>7296</v>
      </c>
      <c r="J3687"/>
    </row>
    <row r="3688" spans="1:10" ht="15.75" customHeight="1">
      <c r="A3688" t="s">
        <v>2579</v>
      </c>
      <c r="B3688">
        <v>813253</v>
      </c>
      <c r="C3688">
        <v>1</v>
      </c>
      <c r="D3688" t="str">
        <f t="shared" si="57"/>
        <v>1813253.181</v>
      </c>
      <c r="E3688" t="s">
        <v>2580</v>
      </c>
      <c r="F3688" s="242"/>
      <c r="G3688"/>
      <c r="H3688" s="242">
        <v>99960</v>
      </c>
      <c r="I3688" s="242">
        <v>63865</v>
      </c>
      <c r="J3688"/>
    </row>
    <row r="3689" spans="1:10" ht="15.75" customHeight="1">
      <c r="A3689" t="s">
        <v>2581</v>
      </c>
      <c r="B3689">
        <v>813253</v>
      </c>
      <c r="C3689">
        <v>1</v>
      </c>
      <c r="D3689" t="str">
        <f t="shared" si="57"/>
        <v>1813253.182</v>
      </c>
      <c r="E3689" t="s">
        <v>2582</v>
      </c>
      <c r="F3689" s="242"/>
      <c r="G3689"/>
      <c r="H3689" s="242">
        <v>36227</v>
      </c>
      <c r="I3689" s="242">
        <v>23388</v>
      </c>
      <c r="J3689"/>
    </row>
    <row r="3690" spans="1:10" ht="15.75" customHeight="1">
      <c r="A3690" t="s">
        <v>2606</v>
      </c>
      <c r="B3690">
        <v>813253</v>
      </c>
      <c r="C3690">
        <v>1</v>
      </c>
      <c r="D3690" t="str">
        <f t="shared" si="57"/>
        <v>1813253.440</v>
      </c>
      <c r="E3690" t="s">
        <v>2657</v>
      </c>
      <c r="F3690" s="242"/>
      <c r="G3690"/>
      <c r="H3690" s="242">
        <v>10600</v>
      </c>
      <c r="I3690" s="242">
        <v>10236</v>
      </c>
      <c r="J3690"/>
    </row>
    <row r="3691" spans="1:10" ht="15.75" customHeight="1">
      <c r="A3691" t="s">
        <v>2704</v>
      </c>
      <c r="B3691">
        <v>813253</v>
      </c>
      <c r="C3691">
        <v>1</v>
      </c>
      <c r="D3691" t="str">
        <f t="shared" si="57"/>
        <v>1813253.720</v>
      </c>
      <c r="E3691" t="s">
        <v>3149</v>
      </c>
      <c r="F3691" s="242"/>
      <c r="G3691"/>
      <c r="H3691" s="242">
        <v>0</v>
      </c>
      <c r="I3691" s="242">
        <v>498</v>
      </c>
      <c r="J3691"/>
    </row>
    <row r="3692" spans="1:10" ht="15.75" customHeight="1">
      <c r="A3692" t="s">
        <v>569</v>
      </c>
      <c r="B3692">
        <v>813253</v>
      </c>
      <c r="C3692">
        <v>1</v>
      </c>
      <c r="D3692" t="str">
        <f t="shared" si="57"/>
        <v>1813253.725</v>
      </c>
      <c r="E3692" t="s">
        <v>3172</v>
      </c>
      <c r="F3692" s="242"/>
      <c r="G3692"/>
      <c r="H3692" s="242">
        <v>2184</v>
      </c>
      <c r="I3692" s="242">
        <v>2002</v>
      </c>
      <c r="J3692"/>
    </row>
    <row r="3693" spans="1:10" ht="15.75" customHeight="1">
      <c r="A3693" t="s">
        <v>575</v>
      </c>
      <c r="B3693">
        <v>813253</v>
      </c>
      <c r="C3693">
        <v>1</v>
      </c>
      <c r="D3693" t="str">
        <f t="shared" si="57"/>
        <v>1813253.726</v>
      </c>
      <c r="E3693" t="s">
        <v>3154</v>
      </c>
      <c r="F3693" s="242"/>
      <c r="G3693"/>
      <c r="H3693" s="242">
        <v>10782</v>
      </c>
      <c r="I3693" s="242">
        <v>10933</v>
      </c>
      <c r="J3693"/>
    </row>
    <row r="3694" spans="1:10" ht="15.75" customHeight="1">
      <c r="A3694" t="s">
        <v>586</v>
      </c>
      <c r="B3694">
        <v>813253</v>
      </c>
      <c r="C3694">
        <v>1</v>
      </c>
      <c r="D3694" t="str">
        <f t="shared" si="57"/>
        <v>1813253.727</v>
      </c>
      <c r="E3694" t="s">
        <v>3170</v>
      </c>
      <c r="F3694" s="242"/>
      <c r="G3694"/>
      <c r="H3694" s="242">
        <v>6135</v>
      </c>
      <c r="I3694" s="242">
        <v>6221</v>
      </c>
      <c r="J3694"/>
    </row>
    <row r="3695" spans="1:10" ht="15.75" customHeight="1">
      <c r="A3695" t="s">
        <v>3164</v>
      </c>
      <c r="B3695">
        <v>813253</v>
      </c>
      <c r="C3695">
        <v>1</v>
      </c>
      <c r="D3695" t="str">
        <f t="shared" si="57"/>
        <v>1813253.728</v>
      </c>
      <c r="E3695" t="s">
        <v>3168</v>
      </c>
      <c r="F3695" s="242"/>
      <c r="G3695"/>
      <c r="H3695" s="242">
        <v>23375</v>
      </c>
      <c r="I3695" s="242">
        <v>37600</v>
      </c>
      <c r="J3695"/>
    </row>
    <row r="3696" spans="1:10" ht="15.75" customHeight="1">
      <c r="A3696" t="s">
        <v>772</v>
      </c>
      <c r="B3696">
        <v>813253</v>
      </c>
      <c r="C3696">
        <v>1</v>
      </c>
      <c r="D3696" t="str">
        <f t="shared" si="57"/>
        <v>1813253.751</v>
      </c>
      <c r="E3696" t="s">
        <v>3156</v>
      </c>
      <c r="F3696" s="242"/>
      <c r="G3696"/>
      <c r="H3696" s="242">
        <v>5000</v>
      </c>
      <c r="I3696" s="242">
        <v>4776</v>
      </c>
      <c r="J3696"/>
    </row>
    <row r="3697" spans="1:10" ht="15.75" customHeight="1">
      <c r="A3697" t="s">
        <v>3157</v>
      </c>
      <c r="B3697">
        <v>813253</v>
      </c>
      <c r="C3697">
        <v>1</v>
      </c>
      <c r="D3697" t="str">
        <f t="shared" si="57"/>
        <v>1813253.877</v>
      </c>
      <c r="E3697" t="s">
        <v>3158</v>
      </c>
      <c r="F3697" s="242"/>
      <c r="G3697"/>
      <c r="H3697" s="242">
        <v>0</v>
      </c>
      <c r="I3697" s="242">
        <v>0</v>
      </c>
      <c r="J3697"/>
    </row>
    <row r="3698" spans="1:10" ht="15.75" customHeight="1">
      <c r="A3698" t="s">
        <v>3144</v>
      </c>
      <c r="B3698">
        <v>813253</v>
      </c>
      <c r="C3698">
        <v>1</v>
      </c>
      <c r="D3698" t="str">
        <f t="shared" si="57"/>
        <v>1813253.878</v>
      </c>
      <c r="E3698" t="s">
        <v>3165</v>
      </c>
      <c r="F3698" s="242"/>
      <c r="G3698"/>
      <c r="H3698" s="242">
        <v>269040</v>
      </c>
      <c r="I3698" s="242">
        <v>264647</v>
      </c>
      <c r="J3698"/>
    </row>
    <row r="3699" spans="1:10" ht="15.75" customHeight="1">
      <c r="A3699" t="s">
        <v>2403</v>
      </c>
      <c r="B3699">
        <v>813254</v>
      </c>
      <c r="C3699">
        <v>1</v>
      </c>
      <c r="D3699" t="str">
        <f t="shared" si="57"/>
        <v>1813254.110</v>
      </c>
      <c r="E3699" t="s">
        <v>3174</v>
      </c>
      <c r="F3699" s="242"/>
      <c r="G3699"/>
      <c r="H3699" s="242">
        <v>169194</v>
      </c>
      <c r="I3699" s="242">
        <v>161331</v>
      </c>
      <c r="J3699"/>
    </row>
    <row r="3700" spans="1:10" ht="15.75" customHeight="1">
      <c r="A3700" t="s">
        <v>2404</v>
      </c>
      <c r="B3700">
        <v>813254</v>
      </c>
      <c r="C3700">
        <v>1</v>
      </c>
      <c r="D3700" t="str">
        <f t="shared" si="57"/>
        <v>1813254.120</v>
      </c>
      <c r="E3700" t="s">
        <v>2574</v>
      </c>
      <c r="F3700" s="242"/>
      <c r="G3700"/>
      <c r="H3700" s="242">
        <v>40800</v>
      </c>
      <c r="I3700" s="242">
        <v>37816</v>
      </c>
      <c r="J3700"/>
    </row>
    <row r="3701" spans="1:10" ht="15.75" customHeight="1">
      <c r="A3701" t="s">
        <v>2575</v>
      </c>
      <c r="B3701">
        <v>813254</v>
      </c>
      <c r="C3701">
        <v>1</v>
      </c>
      <c r="D3701" t="str">
        <f t="shared" si="57"/>
        <v>1813254.130</v>
      </c>
      <c r="E3701" t="s">
        <v>2576</v>
      </c>
      <c r="F3701" s="242"/>
      <c r="G3701"/>
      <c r="H3701" s="242">
        <v>5519</v>
      </c>
      <c r="I3701" s="242">
        <v>2986</v>
      </c>
      <c r="J3701"/>
    </row>
    <row r="3702" spans="1:10" ht="15.75" customHeight="1">
      <c r="A3702" t="s">
        <v>2577</v>
      </c>
      <c r="B3702">
        <v>813254</v>
      </c>
      <c r="C3702">
        <v>1</v>
      </c>
      <c r="D3702" t="str">
        <f t="shared" si="57"/>
        <v>1813254.140</v>
      </c>
      <c r="E3702" t="s">
        <v>2578</v>
      </c>
      <c r="F3702" s="242"/>
      <c r="G3702"/>
      <c r="H3702" s="242">
        <v>4787</v>
      </c>
      <c r="I3702" s="242">
        <v>4440</v>
      </c>
      <c r="J3702"/>
    </row>
    <row r="3703" spans="1:10" ht="15.75" customHeight="1">
      <c r="A3703" t="s">
        <v>2579</v>
      </c>
      <c r="B3703">
        <v>813254</v>
      </c>
      <c r="C3703">
        <v>1</v>
      </c>
      <c r="D3703" t="str">
        <f t="shared" si="57"/>
        <v>1813254.181</v>
      </c>
      <c r="E3703" t="s">
        <v>2580</v>
      </c>
      <c r="F3703" s="242"/>
      <c r="G3703"/>
      <c r="H3703" s="242">
        <v>33399</v>
      </c>
      <c r="I3703" s="242">
        <v>30588</v>
      </c>
      <c r="J3703"/>
    </row>
    <row r="3704" spans="1:10" ht="15.75" customHeight="1">
      <c r="A3704" t="s">
        <v>2581</v>
      </c>
      <c r="B3704">
        <v>813254</v>
      </c>
      <c r="C3704">
        <v>1</v>
      </c>
      <c r="D3704" t="str">
        <f t="shared" si="57"/>
        <v>1813254.182</v>
      </c>
      <c r="E3704" t="s">
        <v>2582</v>
      </c>
      <c r="F3704" s="242"/>
      <c r="G3704"/>
      <c r="H3704" s="242">
        <v>16704</v>
      </c>
      <c r="I3704" s="242">
        <v>15661</v>
      </c>
      <c r="J3704"/>
    </row>
    <row r="3705" spans="1:10" ht="15.75" customHeight="1">
      <c r="A3705" t="s">
        <v>2606</v>
      </c>
      <c r="B3705">
        <v>813254</v>
      </c>
      <c r="C3705">
        <v>1</v>
      </c>
      <c r="D3705" t="str">
        <f t="shared" si="57"/>
        <v>1813254.440</v>
      </c>
      <c r="E3705" t="s">
        <v>2657</v>
      </c>
      <c r="F3705" s="242"/>
      <c r="G3705"/>
      <c r="H3705" s="242">
        <v>10600</v>
      </c>
      <c r="I3705" s="242">
        <v>10236</v>
      </c>
      <c r="J3705"/>
    </row>
    <row r="3706" spans="1:10" ht="15.75" customHeight="1">
      <c r="A3706" t="s">
        <v>2704</v>
      </c>
      <c r="B3706">
        <v>813254</v>
      </c>
      <c r="C3706">
        <v>1</v>
      </c>
      <c r="D3706" t="str">
        <f t="shared" si="57"/>
        <v>1813254.720</v>
      </c>
      <c r="E3706" t="s">
        <v>3149</v>
      </c>
      <c r="F3706" s="242"/>
      <c r="G3706"/>
      <c r="H3706" s="242">
        <v>0</v>
      </c>
      <c r="I3706" s="242">
        <v>1148</v>
      </c>
      <c r="J3706"/>
    </row>
    <row r="3707" spans="1:10" ht="15.75" customHeight="1">
      <c r="A3707" t="s">
        <v>569</v>
      </c>
      <c r="B3707">
        <v>813254</v>
      </c>
      <c r="C3707">
        <v>1</v>
      </c>
      <c r="D3707" t="str">
        <f t="shared" si="57"/>
        <v>1813254.725</v>
      </c>
      <c r="E3707" t="s">
        <v>3153</v>
      </c>
      <c r="F3707" s="242"/>
      <c r="G3707"/>
      <c r="H3707" s="242">
        <v>0</v>
      </c>
      <c r="I3707" s="242">
        <v>0</v>
      </c>
      <c r="J3707"/>
    </row>
    <row r="3708" spans="1:10" ht="15.75" customHeight="1">
      <c r="A3708" t="s">
        <v>575</v>
      </c>
      <c r="B3708">
        <v>813254</v>
      </c>
      <c r="C3708">
        <v>1</v>
      </c>
      <c r="D3708" t="str">
        <f t="shared" si="57"/>
        <v>1813254.726</v>
      </c>
      <c r="E3708" t="s">
        <v>3154</v>
      </c>
      <c r="F3708" s="242"/>
      <c r="G3708"/>
      <c r="H3708" s="242">
        <v>5090</v>
      </c>
      <c r="I3708" s="242">
        <v>5580</v>
      </c>
      <c r="J3708"/>
    </row>
    <row r="3709" spans="1:10" ht="15.75" customHeight="1">
      <c r="A3709" t="s">
        <v>586</v>
      </c>
      <c r="B3709">
        <v>813254</v>
      </c>
      <c r="C3709">
        <v>1</v>
      </c>
      <c r="D3709" t="str">
        <f t="shared" si="57"/>
        <v>1813254.727</v>
      </c>
      <c r="E3709" t="s">
        <v>3170</v>
      </c>
      <c r="F3709" s="242"/>
      <c r="G3709"/>
      <c r="H3709" s="242">
        <v>2874</v>
      </c>
      <c r="I3709" s="242">
        <v>3196</v>
      </c>
      <c r="J3709"/>
    </row>
    <row r="3710" spans="1:10" ht="15.75" customHeight="1">
      <c r="A3710" t="s">
        <v>3164</v>
      </c>
      <c r="B3710">
        <v>813254</v>
      </c>
      <c r="C3710">
        <v>1</v>
      </c>
      <c r="D3710" t="str">
        <f t="shared" si="57"/>
        <v>1813254.728</v>
      </c>
      <c r="E3710" t="s">
        <v>3168</v>
      </c>
      <c r="F3710" s="242"/>
      <c r="G3710"/>
      <c r="H3710" s="242">
        <v>400</v>
      </c>
      <c r="I3710" s="242">
        <v>26800</v>
      </c>
      <c r="J3710"/>
    </row>
    <row r="3711" spans="1:10" ht="15.75" customHeight="1">
      <c r="A3711" t="s">
        <v>772</v>
      </c>
      <c r="B3711">
        <v>813254</v>
      </c>
      <c r="C3711">
        <v>1</v>
      </c>
      <c r="D3711" t="str">
        <f t="shared" si="57"/>
        <v>1813254.751</v>
      </c>
      <c r="E3711" t="s">
        <v>3156</v>
      </c>
      <c r="F3711" s="242"/>
      <c r="G3711"/>
      <c r="H3711" s="242">
        <v>5000</v>
      </c>
      <c r="I3711" s="242">
        <v>4797</v>
      </c>
      <c r="J3711"/>
    </row>
    <row r="3712" spans="1:10" ht="15.75" customHeight="1">
      <c r="A3712" t="s">
        <v>3157</v>
      </c>
      <c r="B3712">
        <v>813254</v>
      </c>
      <c r="C3712">
        <v>1</v>
      </c>
      <c r="D3712" t="str">
        <f t="shared" si="57"/>
        <v>1813254.877</v>
      </c>
      <c r="E3712" t="s">
        <v>3158</v>
      </c>
      <c r="F3712" s="242"/>
      <c r="G3712"/>
      <c r="H3712" s="242">
        <v>0</v>
      </c>
      <c r="I3712" s="242">
        <v>0</v>
      </c>
      <c r="J3712"/>
    </row>
    <row r="3713" spans="1:10" ht="15.75" customHeight="1">
      <c r="A3713" t="s">
        <v>3144</v>
      </c>
      <c r="B3713">
        <v>813254</v>
      </c>
      <c r="C3713">
        <v>1</v>
      </c>
      <c r="D3713" t="str">
        <f t="shared" si="57"/>
        <v>1813254.878</v>
      </c>
      <c r="E3713" t="s">
        <v>3165</v>
      </c>
      <c r="F3713" s="242"/>
      <c r="G3713"/>
      <c r="H3713" s="242">
        <v>154428</v>
      </c>
      <c r="I3713" s="242">
        <v>152003</v>
      </c>
      <c r="J3713"/>
    </row>
    <row r="3714" spans="1:10" ht="15.75" customHeight="1">
      <c r="A3714" t="s">
        <v>2403</v>
      </c>
      <c r="B3714">
        <v>813255</v>
      </c>
      <c r="C3714">
        <v>1</v>
      </c>
      <c r="D3714" t="str">
        <f t="shared" si="57"/>
        <v>1813255.110</v>
      </c>
      <c r="E3714" t="s">
        <v>2573</v>
      </c>
      <c r="F3714" s="242"/>
      <c r="G3714"/>
      <c r="H3714" s="242">
        <v>347902</v>
      </c>
      <c r="I3714" s="242">
        <v>325242</v>
      </c>
      <c r="J3714"/>
    </row>
    <row r="3715" spans="1:10" ht="15.75" customHeight="1">
      <c r="A3715" t="s">
        <v>2404</v>
      </c>
      <c r="B3715">
        <v>813255</v>
      </c>
      <c r="C3715">
        <v>1</v>
      </c>
      <c r="D3715" t="str">
        <f t="shared" ref="D3715:D3778" si="58">C3715&amp;B3715&amp;"."&amp;A3715</f>
        <v>1813255.120</v>
      </c>
      <c r="E3715" t="s">
        <v>2574</v>
      </c>
      <c r="F3715" s="242"/>
      <c r="G3715"/>
      <c r="H3715" s="242">
        <v>83838</v>
      </c>
      <c r="I3715" s="242">
        <v>79786</v>
      </c>
      <c r="J3715"/>
    </row>
    <row r="3716" spans="1:10" ht="15.75" customHeight="1">
      <c r="A3716" t="s">
        <v>2575</v>
      </c>
      <c r="B3716">
        <v>813255</v>
      </c>
      <c r="C3716">
        <v>1</v>
      </c>
      <c r="D3716" t="str">
        <f t="shared" si="58"/>
        <v>1813255.130</v>
      </c>
      <c r="E3716" t="s">
        <v>2576</v>
      </c>
      <c r="F3716" s="242"/>
      <c r="G3716"/>
      <c r="H3716" s="242">
        <v>16929</v>
      </c>
      <c r="I3716" s="242">
        <v>10730</v>
      </c>
      <c r="J3716"/>
    </row>
    <row r="3717" spans="1:10" ht="15.75" customHeight="1">
      <c r="A3717" t="s">
        <v>2577</v>
      </c>
      <c r="B3717">
        <v>813255</v>
      </c>
      <c r="C3717">
        <v>1</v>
      </c>
      <c r="D3717" t="str">
        <f t="shared" si="58"/>
        <v>1813255.140</v>
      </c>
      <c r="E3717" t="s">
        <v>2578</v>
      </c>
      <c r="F3717" s="242"/>
      <c r="G3717"/>
      <c r="H3717" s="242">
        <v>10708</v>
      </c>
      <c r="I3717" s="242">
        <v>9912</v>
      </c>
      <c r="J3717"/>
    </row>
    <row r="3718" spans="1:10" ht="15.75" customHeight="1">
      <c r="A3718" t="s">
        <v>2579</v>
      </c>
      <c r="B3718">
        <v>813255</v>
      </c>
      <c r="C3718">
        <v>1</v>
      </c>
      <c r="D3718" t="str">
        <f t="shared" si="58"/>
        <v>1813255.181</v>
      </c>
      <c r="E3718" t="s">
        <v>2580</v>
      </c>
      <c r="F3718" s="242"/>
      <c r="G3718"/>
      <c r="H3718" s="242">
        <v>66112</v>
      </c>
      <c r="I3718" s="242">
        <v>61450</v>
      </c>
      <c r="J3718"/>
    </row>
    <row r="3719" spans="1:10" ht="15.75" customHeight="1">
      <c r="A3719" t="s">
        <v>2581</v>
      </c>
      <c r="B3719">
        <v>813255</v>
      </c>
      <c r="C3719">
        <v>1</v>
      </c>
      <c r="D3719" t="str">
        <f t="shared" si="58"/>
        <v>1813255.182</v>
      </c>
      <c r="E3719" t="s">
        <v>2582</v>
      </c>
      <c r="F3719" s="242"/>
      <c r="G3719"/>
      <c r="H3719" s="242">
        <v>34911</v>
      </c>
      <c r="I3719" s="242">
        <v>32345</v>
      </c>
      <c r="J3719"/>
    </row>
    <row r="3720" spans="1:10" ht="15.75" customHeight="1">
      <c r="A3720" t="s">
        <v>2606</v>
      </c>
      <c r="B3720">
        <v>813255</v>
      </c>
      <c r="C3720">
        <v>1</v>
      </c>
      <c r="D3720" t="str">
        <f t="shared" si="58"/>
        <v>1813255.440</v>
      </c>
      <c r="E3720" t="s">
        <v>2657</v>
      </c>
      <c r="F3720" s="242"/>
      <c r="G3720"/>
      <c r="H3720" s="242">
        <v>10600</v>
      </c>
      <c r="I3720" s="242">
        <v>10236</v>
      </c>
      <c r="J3720"/>
    </row>
    <row r="3721" spans="1:10" ht="15.75" customHeight="1">
      <c r="A3721" t="s">
        <v>2704</v>
      </c>
      <c r="B3721">
        <v>813255</v>
      </c>
      <c r="C3721">
        <v>1</v>
      </c>
      <c r="D3721" t="str">
        <f t="shared" si="58"/>
        <v>1813255.720</v>
      </c>
      <c r="E3721" t="s">
        <v>3149</v>
      </c>
      <c r="F3721" s="242"/>
      <c r="G3721"/>
      <c r="H3721" s="242">
        <v>0</v>
      </c>
      <c r="I3721" s="242">
        <v>4287</v>
      </c>
      <c r="J3721"/>
    </row>
    <row r="3722" spans="1:10" ht="15.75" customHeight="1">
      <c r="A3722" t="s">
        <v>569</v>
      </c>
      <c r="B3722">
        <v>813255</v>
      </c>
      <c r="C3722">
        <v>1</v>
      </c>
      <c r="D3722" t="str">
        <f t="shared" si="58"/>
        <v>1813255.725</v>
      </c>
      <c r="E3722" t="s">
        <v>3153</v>
      </c>
      <c r="F3722" s="242"/>
      <c r="G3722"/>
      <c r="H3722" s="242">
        <v>1658</v>
      </c>
      <c r="I3722" s="242">
        <v>1658</v>
      </c>
      <c r="J3722"/>
    </row>
    <row r="3723" spans="1:10" ht="15.75" customHeight="1">
      <c r="A3723" t="s">
        <v>575</v>
      </c>
      <c r="B3723">
        <v>813255</v>
      </c>
      <c r="C3723">
        <v>1</v>
      </c>
      <c r="D3723" t="str">
        <f t="shared" si="58"/>
        <v>1813255.726</v>
      </c>
      <c r="E3723" t="s">
        <v>3154</v>
      </c>
      <c r="F3723" s="242"/>
      <c r="G3723"/>
      <c r="H3723" s="242">
        <v>9991</v>
      </c>
      <c r="I3723" s="242">
        <v>9802</v>
      </c>
      <c r="J3723"/>
    </row>
    <row r="3724" spans="1:10" ht="15.75" customHeight="1">
      <c r="A3724" t="s">
        <v>586</v>
      </c>
      <c r="B3724">
        <v>813255</v>
      </c>
      <c r="C3724">
        <v>1</v>
      </c>
      <c r="D3724" t="str">
        <f t="shared" si="58"/>
        <v>1813255.727</v>
      </c>
      <c r="E3724" t="s">
        <v>3170</v>
      </c>
      <c r="F3724" s="242"/>
      <c r="G3724"/>
      <c r="H3724" s="242">
        <v>5155</v>
      </c>
      <c r="I3724" s="242">
        <v>4912</v>
      </c>
      <c r="J3724"/>
    </row>
    <row r="3725" spans="1:10" ht="15.75" customHeight="1">
      <c r="A3725" t="s">
        <v>3164</v>
      </c>
      <c r="B3725">
        <v>813255</v>
      </c>
      <c r="C3725">
        <v>1</v>
      </c>
      <c r="D3725" t="str">
        <f t="shared" si="58"/>
        <v>1813255.728</v>
      </c>
      <c r="E3725" t="s">
        <v>3168</v>
      </c>
      <c r="F3725" s="242"/>
      <c r="G3725"/>
      <c r="H3725" s="242">
        <v>7600</v>
      </c>
      <c r="I3725" s="242">
        <v>11200</v>
      </c>
      <c r="J3725"/>
    </row>
    <row r="3726" spans="1:10" ht="15.75" customHeight="1">
      <c r="A3726" t="s">
        <v>772</v>
      </c>
      <c r="B3726">
        <v>813255</v>
      </c>
      <c r="C3726">
        <v>1</v>
      </c>
      <c r="D3726" t="str">
        <f t="shared" si="58"/>
        <v>1813255.751</v>
      </c>
      <c r="E3726" t="s">
        <v>3156</v>
      </c>
      <c r="F3726" s="242"/>
      <c r="G3726"/>
      <c r="H3726" s="242">
        <v>5616</v>
      </c>
      <c r="I3726" s="242">
        <v>5616</v>
      </c>
      <c r="J3726"/>
    </row>
    <row r="3727" spans="1:10" ht="15.75" customHeight="1">
      <c r="A3727" t="s">
        <v>3157</v>
      </c>
      <c r="B3727">
        <v>813255</v>
      </c>
      <c r="C3727">
        <v>1</v>
      </c>
      <c r="D3727" t="str">
        <f t="shared" si="58"/>
        <v>1813255.877</v>
      </c>
      <c r="E3727" t="s">
        <v>3158</v>
      </c>
      <c r="F3727" s="242"/>
      <c r="G3727"/>
      <c r="H3727" s="242">
        <v>0</v>
      </c>
      <c r="I3727" s="242">
        <v>0</v>
      </c>
      <c r="J3727"/>
    </row>
    <row r="3728" spans="1:10" ht="15.75" customHeight="1">
      <c r="A3728" t="s">
        <v>3144</v>
      </c>
      <c r="B3728">
        <v>813255</v>
      </c>
      <c r="C3728">
        <v>1</v>
      </c>
      <c r="D3728" t="str">
        <f t="shared" si="58"/>
        <v>1813255.878</v>
      </c>
      <c r="E3728" t="s">
        <v>3165</v>
      </c>
      <c r="F3728" s="242"/>
      <c r="G3728"/>
      <c r="H3728" s="242">
        <v>224010</v>
      </c>
      <c r="I3728" s="242">
        <v>225148</v>
      </c>
      <c r="J3728"/>
    </row>
    <row r="3729" spans="1:10" ht="15.75" customHeight="1">
      <c r="A3729" t="s">
        <v>2403</v>
      </c>
      <c r="B3729">
        <v>813256</v>
      </c>
      <c r="C3729">
        <v>1</v>
      </c>
      <c r="D3729" t="str">
        <f t="shared" si="58"/>
        <v>1813256.110</v>
      </c>
      <c r="E3729" t="s">
        <v>2573</v>
      </c>
      <c r="F3729" s="242"/>
      <c r="G3729"/>
      <c r="H3729" s="242">
        <v>483094</v>
      </c>
      <c r="I3729" s="242">
        <v>441194</v>
      </c>
      <c r="J3729"/>
    </row>
    <row r="3730" spans="1:10" ht="15.75" customHeight="1">
      <c r="A3730" t="s">
        <v>2404</v>
      </c>
      <c r="B3730">
        <v>813256</v>
      </c>
      <c r="C3730">
        <v>1</v>
      </c>
      <c r="D3730" t="str">
        <f t="shared" si="58"/>
        <v>1813256.120</v>
      </c>
      <c r="E3730" t="s">
        <v>2574</v>
      </c>
      <c r="F3730" s="242"/>
      <c r="G3730"/>
      <c r="H3730" s="242">
        <v>161992</v>
      </c>
      <c r="I3730" s="242">
        <v>139470</v>
      </c>
      <c r="J3730"/>
    </row>
    <row r="3731" spans="1:10" ht="15.75" customHeight="1">
      <c r="A3731" t="s">
        <v>2575</v>
      </c>
      <c r="B3731">
        <v>813256</v>
      </c>
      <c r="C3731">
        <v>1</v>
      </c>
      <c r="D3731" t="str">
        <f t="shared" si="58"/>
        <v>1813256.130</v>
      </c>
      <c r="E3731" t="s">
        <v>2576</v>
      </c>
      <c r="F3731" s="242"/>
      <c r="G3731"/>
      <c r="H3731" s="242">
        <v>24353</v>
      </c>
      <c r="I3731" s="242">
        <v>15162</v>
      </c>
      <c r="J3731"/>
    </row>
    <row r="3732" spans="1:10" ht="15.75" customHeight="1">
      <c r="A3732" t="s">
        <v>2577</v>
      </c>
      <c r="B3732">
        <v>813256</v>
      </c>
      <c r="C3732">
        <v>1</v>
      </c>
      <c r="D3732" t="str">
        <f t="shared" si="58"/>
        <v>1813256.140</v>
      </c>
      <c r="E3732" t="s">
        <v>2578</v>
      </c>
      <c r="F3732" s="242"/>
      <c r="G3732"/>
      <c r="H3732" s="242">
        <v>17302</v>
      </c>
      <c r="I3732" s="242">
        <v>15706</v>
      </c>
      <c r="J3732"/>
    </row>
    <row r="3733" spans="1:10" ht="15.75" customHeight="1">
      <c r="A3733" t="s">
        <v>2579</v>
      </c>
      <c r="B3733">
        <v>813256</v>
      </c>
      <c r="C3733">
        <v>1</v>
      </c>
      <c r="D3733" t="str">
        <f t="shared" si="58"/>
        <v>1813256.181</v>
      </c>
      <c r="E3733" t="s">
        <v>2580</v>
      </c>
      <c r="F3733" s="242"/>
      <c r="G3733"/>
      <c r="H3733" s="242">
        <v>117087</v>
      </c>
      <c r="I3733" s="242">
        <v>107167</v>
      </c>
      <c r="J3733"/>
    </row>
    <row r="3734" spans="1:10" ht="15.75" customHeight="1">
      <c r="A3734" t="s">
        <v>2581</v>
      </c>
      <c r="B3734">
        <v>813256</v>
      </c>
      <c r="C3734">
        <v>1</v>
      </c>
      <c r="D3734" t="str">
        <f t="shared" si="58"/>
        <v>1813256.182</v>
      </c>
      <c r="E3734" t="s">
        <v>2582</v>
      </c>
      <c r="F3734" s="242"/>
      <c r="G3734"/>
      <c r="H3734" s="242">
        <v>52163</v>
      </c>
      <c r="I3734" s="242">
        <v>46479</v>
      </c>
      <c r="J3734"/>
    </row>
    <row r="3735" spans="1:10" ht="15.75" customHeight="1">
      <c r="A3735" t="s">
        <v>2606</v>
      </c>
      <c r="B3735">
        <v>813256</v>
      </c>
      <c r="C3735">
        <v>1</v>
      </c>
      <c r="D3735" t="str">
        <f t="shared" si="58"/>
        <v>1813256.440</v>
      </c>
      <c r="E3735" t="s">
        <v>3176</v>
      </c>
      <c r="F3735" s="242"/>
      <c r="G3735"/>
      <c r="H3735" s="242">
        <v>10600</v>
      </c>
      <c r="I3735" s="242">
        <v>10236</v>
      </c>
      <c r="J3735"/>
    </row>
    <row r="3736" spans="1:10" ht="15.75" customHeight="1">
      <c r="A3736" t="s">
        <v>2704</v>
      </c>
      <c r="B3736">
        <v>813256</v>
      </c>
      <c r="C3736">
        <v>1</v>
      </c>
      <c r="D3736" t="str">
        <f t="shared" si="58"/>
        <v>1813256.720</v>
      </c>
      <c r="E3736" t="s">
        <v>3149</v>
      </c>
      <c r="F3736" s="242"/>
      <c r="G3736"/>
      <c r="H3736" s="242">
        <v>0</v>
      </c>
      <c r="I3736" s="242">
        <v>4311</v>
      </c>
      <c r="J3736"/>
    </row>
    <row r="3737" spans="1:10" ht="15.75" customHeight="1">
      <c r="A3737" t="s">
        <v>547</v>
      </c>
      <c r="B3737">
        <v>813256</v>
      </c>
      <c r="C3737">
        <v>1</v>
      </c>
      <c r="D3737" t="str">
        <f t="shared" si="58"/>
        <v>1813256.722</v>
      </c>
      <c r="E3737" t="s">
        <v>3020</v>
      </c>
      <c r="F3737" s="242"/>
      <c r="G3737"/>
      <c r="H3737" s="242">
        <v>0</v>
      </c>
      <c r="I3737" s="242">
        <v>19507</v>
      </c>
      <c r="J3737"/>
    </row>
    <row r="3738" spans="1:10" ht="15.75" customHeight="1">
      <c r="A3738" t="s">
        <v>569</v>
      </c>
      <c r="B3738">
        <v>813256</v>
      </c>
      <c r="C3738">
        <v>1</v>
      </c>
      <c r="D3738" t="str">
        <f t="shared" si="58"/>
        <v>1813256.725</v>
      </c>
      <c r="E3738" t="s">
        <v>3153</v>
      </c>
      <c r="F3738" s="242"/>
      <c r="G3738"/>
      <c r="H3738" s="242">
        <v>1658</v>
      </c>
      <c r="I3738" s="242">
        <v>1658</v>
      </c>
      <c r="J3738"/>
    </row>
    <row r="3739" spans="1:10" ht="15.75" customHeight="1">
      <c r="A3739" t="s">
        <v>575</v>
      </c>
      <c r="B3739">
        <v>813256</v>
      </c>
      <c r="C3739">
        <v>1</v>
      </c>
      <c r="D3739" t="str">
        <f t="shared" si="58"/>
        <v>1813256.726</v>
      </c>
      <c r="E3739" t="s">
        <v>3154</v>
      </c>
      <c r="F3739" s="242"/>
      <c r="G3739"/>
      <c r="H3739" s="242">
        <v>15646</v>
      </c>
      <c r="I3739" s="242">
        <v>15947</v>
      </c>
      <c r="J3739"/>
    </row>
    <row r="3740" spans="1:10" ht="15.75" customHeight="1">
      <c r="A3740" t="s">
        <v>586</v>
      </c>
      <c r="B3740">
        <v>813256</v>
      </c>
      <c r="C3740">
        <v>1</v>
      </c>
      <c r="D3740" t="str">
        <f t="shared" si="58"/>
        <v>1813256.727</v>
      </c>
      <c r="E3740" t="s">
        <v>3170</v>
      </c>
      <c r="F3740" s="242"/>
      <c r="G3740"/>
      <c r="H3740" s="242">
        <v>80001</v>
      </c>
      <c r="I3740" s="242">
        <v>8172</v>
      </c>
      <c r="J3740"/>
    </row>
    <row r="3741" spans="1:10" ht="15.75" customHeight="1">
      <c r="A3741" t="s">
        <v>3164</v>
      </c>
      <c r="B3741">
        <v>813256</v>
      </c>
      <c r="C3741">
        <v>1</v>
      </c>
      <c r="D3741" t="str">
        <f t="shared" si="58"/>
        <v>1813256.728</v>
      </c>
      <c r="E3741" t="s">
        <v>3168</v>
      </c>
      <c r="F3741" s="242"/>
      <c r="G3741"/>
      <c r="H3741" s="242">
        <v>3600</v>
      </c>
      <c r="I3741" s="242">
        <v>5600</v>
      </c>
      <c r="J3741"/>
    </row>
    <row r="3742" spans="1:10" ht="15.75" customHeight="1">
      <c r="A3742" t="s">
        <v>772</v>
      </c>
      <c r="B3742">
        <v>813256</v>
      </c>
      <c r="C3742">
        <v>1</v>
      </c>
      <c r="D3742" t="str">
        <f t="shared" si="58"/>
        <v>1813256.751</v>
      </c>
      <c r="E3742" t="s">
        <v>3156</v>
      </c>
      <c r="F3742" s="242"/>
      <c r="G3742"/>
      <c r="H3742" s="242">
        <v>5000</v>
      </c>
      <c r="I3742" s="242">
        <v>4797</v>
      </c>
      <c r="J3742"/>
    </row>
    <row r="3743" spans="1:10" ht="15.75" customHeight="1">
      <c r="A3743" t="s">
        <v>3157</v>
      </c>
      <c r="B3743">
        <v>813256</v>
      </c>
      <c r="C3743">
        <v>1</v>
      </c>
      <c r="D3743" t="str">
        <f t="shared" si="58"/>
        <v>1813256.877</v>
      </c>
      <c r="E3743" t="s">
        <v>3158</v>
      </c>
      <c r="F3743" s="242"/>
      <c r="G3743"/>
      <c r="H3743" s="242">
        <v>0</v>
      </c>
      <c r="I3743" s="242">
        <v>0</v>
      </c>
      <c r="J3743"/>
    </row>
    <row r="3744" spans="1:10" ht="15.75" customHeight="1">
      <c r="A3744" t="s">
        <v>3144</v>
      </c>
      <c r="B3744">
        <v>813256</v>
      </c>
      <c r="C3744">
        <v>1</v>
      </c>
      <c r="D3744" t="str">
        <f t="shared" si="58"/>
        <v>1813256.878</v>
      </c>
      <c r="E3744" t="s">
        <v>3165</v>
      </c>
      <c r="F3744" s="242"/>
      <c r="G3744"/>
      <c r="H3744" s="242">
        <v>343620</v>
      </c>
      <c r="I3744" s="242">
        <v>344727</v>
      </c>
      <c r="J3744"/>
    </row>
    <row r="3745" spans="1:10" ht="15.75" customHeight="1">
      <c r="A3745" t="s">
        <v>2403</v>
      </c>
      <c r="B3745">
        <v>813257</v>
      </c>
      <c r="C3745">
        <v>1</v>
      </c>
      <c r="D3745" t="str">
        <f t="shared" si="58"/>
        <v>1813257.110</v>
      </c>
      <c r="E3745" t="s">
        <v>2573</v>
      </c>
      <c r="F3745" s="242"/>
      <c r="G3745"/>
      <c r="H3745" s="242">
        <v>238908</v>
      </c>
      <c r="I3745" s="242">
        <v>182442</v>
      </c>
      <c r="J3745"/>
    </row>
    <row r="3746" spans="1:10" ht="15.75" customHeight="1">
      <c r="A3746" t="s">
        <v>2404</v>
      </c>
      <c r="B3746">
        <v>813257</v>
      </c>
      <c r="C3746">
        <v>1</v>
      </c>
      <c r="D3746" t="str">
        <f t="shared" si="58"/>
        <v>1813257.120</v>
      </c>
      <c r="E3746" t="s">
        <v>2574</v>
      </c>
      <c r="F3746" s="242"/>
      <c r="G3746"/>
      <c r="H3746" s="242">
        <v>44281</v>
      </c>
      <c r="I3746" s="242">
        <v>33831</v>
      </c>
      <c r="J3746"/>
    </row>
    <row r="3747" spans="1:10" ht="15.75" customHeight="1">
      <c r="A3747" t="s">
        <v>2575</v>
      </c>
      <c r="B3747">
        <v>813257</v>
      </c>
      <c r="C3747">
        <v>1</v>
      </c>
      <c r="D3747" t="str">
        <f t="shared" si="58"/>
        <v>1813257.130</v>
      </c>
      <c r="E3747" t="s">
        <v>2576</v>
      </c>
      <c r="F3747" s="242"/>
      <c r="G3747"/>
      <c r="H3747" s="242">
        <v>10143</v>
      </c>
      <c r="I3747" s="242">
        <v>4297</v>
      </c>
      <c r="J3747"/>
    </row>
    <row r="3748" spans="1:10" ht="15.75" customHeight="1">
      <c r="A3748" t="s">
        <v>2577</v>
      </c>
      <c r="B3748">
        <v>813257</v>
      </c>
      <c r="C3748">
        <v>1</v>
      </c>
      <c r="D3748" t="str">
        <f t="shared" si="58"/>
        <v>1813257.140</v>
      </c>
      <c r="E3748" t="s">
        <v>2578</v>
      </c>
      <c r="F3748" s="242"/>
      <c r="G3748"/>
      <c r="H3748" s="242">
        <v>5024</v>
      </c>
      <c r="I3748" s="242">
        <v>3952</v>
      </c>
      <c r="J3748"/>
    </row>
    <row r="3749" spans="1:10" ht="15.75" customHeight="1">
      <c r="A3749" t="s">
        <v>2579</v>
      </c>
      <c r="B3749">
        <v>813257</v>
      </c>
      <c r="C3749">
        <v>1</v>
      </c>
      <c r="D3749" t="str">
        <f t="shared" si="58"/>
        <v>1813257.181</v>
      </c>
      <c r="E3749" t="s">
        <v>2580</v>
      </c>
      <c r="F3749" s="242"/>
      <c r="G3749"/>
      <c r="H3749" s="242">
        <v>44376</v>
      </c>
      <c r="I3749" s="242">
        <v>35994</v>
      </c>
      <c r="J3749"/>
    </row>
    <row r="3750" spans="1:10" ht="15.75" customHeight="1">
      <c r="A3750" t="s">
        <v>2581</v>
      </c>
      <c r="B3750">
        <v>813257</v>
      </c>
      <c r="C3750">
        <v>1</v>
      </c>
      <c r="D3750" t="str">
        <f t="shared" si="58"/>
        <v>1813257.182</v>
      </c>
      <c r="E3750" t="s">
        <v>2582</v>
      </c>
      <c r="F3750" s="242"/>
      <c r="G3750"/>
      <c r="H3750" s="242">
        <v>22609</v>
      </c>
      <c r="I3750" s="242">
        <v>17072</v>
      </c>
      <c r="J3750"/>
    </row>
    <row r="3751" spans="1:10" ht="15.75" customHeight="1">
      <c r="A3751" t="s">
        <v>2606</v>
      </c>
      <c r="B3751">
        <v>813257</v>
      </c>
      <c r="C3751">
        <v>1</v>
      </c>
      <c r="D3751" t="str">
        <f t="shared" si="58"/>
        <v>1813257.440</v>
      </c>
      <c r="E3751" t="s">
        <v>2657</v>
      </c>
      <c r="F3751" s="242"/>
      <c r="G3751"/>
      <c r="H3751" s="242">
        <v>10600</v>
      </c>
      <c r="I3751" s="242">
        <v>10236</v>
      </c>
      <c r="J3751"/>
    </row>
    <row r="3752" spans="1:10" ht="15.75" customHeight="1">
      <c r="A3752" t="s">
        <v>2704</v>
      </c>
      <c r="B3752">
        <v>813257</v>
      </c>
      <c r="C3752">
        <v>1</v>
      </c>
      <c r="D3752" t="str">
        <f t="shared" si="58"/>
        <v>1813257.720</v>
      </c>
      <c r="E3752" t="s">
        <v>3149</v>
      </c>
      <c r="F3752" s="242"/>
      <c r="G3752"/>
      <c r="H3752" s="242">
        <v>0</v>
      </c>
      <c r="I3752" s="242">
        <v>3742</v>
      </c>
      <c r="J3752"/>
    </row>
    <row r="3753" spans="1:10" ht="15.75" customHeight="1">
      <c r="A3753" t="s">
        <v>569</v>
      </c>
      <c r="B3753">
        <v>813257</v>
      </c>
      <c r="C3753">
        <v>1</v>
      </c>
      <c r="D3753" t="str">
        <f t="shared" si="58"/>
        <v>1813257.725</v>
      </c>
      <c r="E3753" t="s">
        <v>3153</v>
      </c>
      <c r="F3753" s="242"/>
      <c r="G3753"/>
      <c r="H3753" s="242">
        <v>2912</v>
      </c>
      <c r="I3753" s="242">
        <v>2730</v>
      </c>
      <c r="J3753"/>
    </row>
    <row r="3754" spans="1:10" ht="15.75" customHeight="1">
      <c r="A3754" t="s">
        <v>575</v>
      </c>
      <c r="B3754">
        <v>813257</v>
      </c>
      <c r="C3754">
        <v>1</v>
      </c>
      <c r="D3754" t="str">
        <f t="shared" si="58"/>
        <v>1813257.726</v>
      </c>
      <c r="E3754" t="s">
        <v>3154</v>
      </c>
      <c r="F3754" s="242"/>
      <c r="G3754"/>
      <c r="H3754" s="242">
        <v>17493</v>
      </c>
      <c r="I3754" s="242">
        <v>17078</v>
      </c>
      <c r="J3754"/>
    </row>
    <row r="3755" spans="1:10" ht="15.75" customHeight="1">
      <c r="A3755" t="s">
        <v>586</v>
      </c>
      <c r="B3755">
        <v>813257</v>
      </c>
      <c r="C3755">
        <v>1</v>
      </c>
      <c r="D3755" t="str">
        <f t="shared" si="58"/>
        <v>1813257.727</v>
      </c>
      <c r="E3755" t="s">
        <v>3170</v>
      </c>
      <c r="F3755" s="242"/>
      <c r="G3755"/>
      <c r="H3755" s="242">
        <v>9953</v>
      </c>
      <c r="I3755" s="242">
        <v>9717</v>
      </c>
      <c r="J3755"/>
    </row>
    <row r="3756" spans="1:10" ht="15.75" customHeight="1">
      <c r="A3756" t="s">
        <v>3164</v>
      </c>
      <c r="B3756">
        <v>813257</v>
      </c>
      <c r="C3756">
        <v>1</v>
      </c>
      <c r="D3756" t="str">
        <f t="shared" si="58"/>
        <v>1813257.728</v>
      </c>
      <c r="E3756" t="s">
        <v>3168</v>
      </c>
      <c r="F3756" s="242"/>
      <c r="G3756"/>
      <c r="H3756" s="242">
        <v>400</v>
      </c>
      <c r="I3756" s="242">
        <v>400</v>
      </c>
      <c r="J3756"/>
    </row>
    <row r="3757" spans="1:10" ht="15.75" customHeight="1">
      <c r="A3757" t="s">
        <v>772</v>
      </c>
      <c r="B3757">
        <v>813257</v>
      </c>
      <c r="C3757">
        <v>1</v>
      </c>
      <c r="D3757" t="str">
        <f t="shared" si="58"/>
        <v>1813257.751</v>
      </c>
      <c r="E3757" t="s">
        <v>3156</v>
      </c>
      <c r="F3757" s="242"/>
      <c r="G3757"/>
      <c r="H3757" s="242">
        <v>5616</v>
      </c>
      <c r="I3757" s="242">
        <v>5616</v>
      </c>
      <c r="J3757"/>
    </row>
    <row r="3758" spans="1:10" ht="15.75" customHeight="1">
      <c r="A3758" t="s">
        <v>3157</v>
      </c>
      <c r="B3758">
        <v>813257</v>
      </c>
      <c r="C3758">
        <v>1</v>
      </c>
      <c r="D3758" t="str">
        <f t="shared" si="58"/>
        <v>1813257.877</v>
      </c>
      <c r="E3758" t="s">
        <v>3158</v>
      </c>
      <c r="F3758" s="242"/>
      <c r="G3758"/>
      <c r="H3758" s="242">
        <v>0</v>
      </c>
      <c r="I3758" s="242">
        <v>0</v>
      </c>
      <c r="J3758"/>
    </row>
    <row r="3759" spans="1:10" ht="15.75" customHeight="1">
      <c r="A3759" t="s">
        <v>3144</v>
      </c>
      <c r="B3759">
        <v>813257</v>
      </c>
      <c r="C3759">
        <v>1</v>
      </c>
      <c r="D3759" t="str">
        <f t="shared" si="58"/>
        <v>1813257.878</v>
      </c>
      <c r="E3759" t="s">
        <v>3165</v>
      </c>
      <c r="F3759" s="242"/>
      <c r="G3759"/>
      <c r="H3759" s="242">
        <v>398640</v>
      </c>
      <c r="I3759" s="242">
        <v>405093</v>
      </c>
      <c r="J3759"/>
    </row>
    <row r="3760" spans="1:10" ht="15.75" customHeight="1">
      <c r="A3760" t="s">
        <v>2403</v>
      </c>
      <c r="B3760">
        <v>813258</v>
      </c>
      <c r="C3760">
        <v>1</v>
      </c>
      <c r="D3760" t="str">
        <f t="shared" si="58"/>
        <v>1813258.110</v>
      </c>
      <c r="E3760" t="s">
        <v>2573</v>
      </c>
      <c r="F3760" s="242"/>
      <c r="G3760"/>
      <c r="H3760" s="242">
        <v>165312</v>
      </c>
      <c r="I3760" s="242">
        <v>160740</v>
      </c>
      <c r="J3760"/>
    </row>
    <row r="3761" spans="1:10" ht="15.75" customHeight="1">
      <c r="A3761" t="s">
        <v>2404</v>
      </c>
      <c r="B3761">
        <v>813258</v>
      </c>
      <c r="C3761">
        <v>1</v>
      </c>
      <c r="D3761" t="str">
        <f t="shared" si="58"/>
        <v>1813258.120</v>
      </c>
      <c r="E3761" t="s">
        <v>2574</v>
      </c>
      <c r="F3761" s="242"/>
      <c r="G3761"/>
      <c r="H3761" s="242">
        <v>13586</v>
      </c>
      <c r="I3761" s="242">
        <v>12708</v>
      </c>
      <c r="J3761"/>
    </row>
    <row r="3762" spans="1:10" ht="15.75" customHeight="1">
      <c r="A3762" t="s">
        <v>2575</v>
      </c>
      <c r="B3762">
        <v>813258</v>
      </c>
      <c r="C3762">
        <v>1</v>
      </c>
      <c r="D3762" t="str">
        <f t="shared" si="58"/>
        <v>1813258.130</v>
      </c>
      <c r="E3762" t="s">
        <v>2576</v>
      </c>
      <c r="F3762" s="242"/>
      <c r="G3762"/>
      <c r="H3762" s="242">
        <v>8260</v>
      </c>
      <c r="I3762" s="242">
        <v>6653</v>
      </c>
      <c r="J3762"/>
    </row>
    <row r="3763" spans="1:10" ht="15.75" customHeight="1">
      <c r="A3763" t="s">
        <v>2577</v>
      </c>
      <c r="B3763">
        <v>813258</v>
      </c>
      <c r="C3763">
        <v>1</v>
      </c>
      <c r="D3763" t="str">
        <f t="shared" si="58"/>
        <v>1813258.140</v>
      </c>
      <c r="E3763" t="s">
        <v>2578</v>
      </c>
      <c r="F3763" s="242"/>
      <c r="G3763"/>
      <c r="H3763" s="242">
        <v>3818</v>
      </c>
      <c r="I3763" s="242">
        <v>3648</v>
      </c>
      <c r="J3763"/>
    </row>
    <row r="3764" spans="1:10" ht="15.75" customHeight="1">
      <c r="A3764" t="s">
        <v>2579</v>
      </c>
      <c r="B3764">
        <v>813258</v>
      </c>
      <c r="C3764">
        <v>1</v>
      </c>
      <c r="D3764" t="str">
        <f t="shared" si="58"/>
        <v>1813258.181</v>
      </c>
      <c r="E3764" t="s">
        <v>2580</v>
      </c>
      <c r="F3764" s="242"/>
      <c r="G3764"/>
      <c r="H3764" s="242">
        <v>27782</v>
      </c>
      <c r="I3764" s="242">
        <v>27033</v>
      </c>
      <c r="J3764"/>
    </row>
    <row r="3765" spans="1:10" ht="15.75" customHeight="1">
      <c r="A3765" t="s">
        <v>2581</v>
      </c>
      <c r="B3765">
        <v>813258</v>
      </c>
      <c r="C3765">
        <v>1</v>
      </c>
      <c r="D3765" t="str">
        <f t="shared" si="58"/>
        <v>1813258.182</v>
      </c>
      <c r="E3765" t="s">
        <v>2582</v>
      </c>
      <c r="F3765" s="242"/>
      <c r="G3765"/>
      <c r="H3765" s="242">
        <v>14500</v>
      </c>
      <c r="I3765" s="242">
        <v>13949</v>
      </c>
      <c r="J3765"/>
    </row>
    <row r="3766" spans="1:10" ht="15.75" customHeight="1">
      <c r="A3766" t="s">
        <v>2606</v>
      </c>
      <c r="B3766">
        <v>813258</v>
      </c>
      <c r="C3766">
        <v>1</v>
      </c>
      <c r="D3766" t="str">
        <f t="shared" si="58"/>
        <v>1813258.440</v>
      </c>
      <c r="E3766" t="s">
        <v>2657</v>
      </c>
      <c r="F3766" s="242"/>
      <c r="G3766"/>
      <c r="H3766" s="242">
        <v>10600</v>
      </c>
      <c r="I3766" s="242">
        <v>10236</v>
      </c>
      <c r="J3766"/>
    </row>
    <row r="3767" spans="1:10" ht="15.75" customHeight="1">
      <c r="A3767" t="s">
        <v>2704</v>
      </c>
      <c r="B3767">
        <v>813258</v>
      </c>
      <c r="C3767">
        <v>1</v>
      </c>
      <c r="D3767" t="str">
        <f t="shared" si="58"/>
        <v>1813258.720</v>
      </c>
      <c r="E3767" t="s">
        <v>3149</v>
      </c>
      <c r="F3767" s="242"/>
      <c r="G3767"/>
      <c r="H3767" s="242">
        <v>0</v>
      </c>
      <c r="I3767" s="242">
        <v>498</v>
      </c>
      <c r="J3767"/>
    </row>
    <row r="3768" spans="1:10" ht="15.75" customHeight="1">
      <c r="A3768" t="s">
        <v>575</v>
      </c>
      <c r="B3768">
        <v>813258</v>
      </c>
      <c r="C3768">
        <v>1</v>
      </c>
      <c r="D3768" t="str">
        <f t="shared" si="58"/>
        <v>1813258.726</v>
      </c>
      <c r="E3768" t="s">
        <v>3154</v>
      </c>
      <c r="F3768" s="242"/>
      <c r="G3768"/>
      <c r="H3768" s="242">
        <v>12403</v>
      </c>
      <c r="I3768" s="242">
        <v>11951</v>
      </c>
      <c r="J3768"/>
    </row>
    <row r="3769" spans="1:10" ht="15.75" customHeight="1">
      <c r="A3769" t="s">
        <v>586</v>
      </c>
      <c r="B3769">
        <v>813258</v>
      </c>
      <c r="C3769">
        <v>1</v>
      </c>
      <c r="D3769" t="str">
        <f t="shared" si="58"/>
        <v>1813258.727</v>
      </c>
      <c r="E3769" t="s">
        <v>3155</v>
      </c>
      <c r="F3769" s="242"/>
      <c r="G3769"/>
      <c r="H3769" s="242">
        <v>7057</v>
      </c>
      <c r="I3769" s="242">
        <v>6821</v>
      </c>
      <c r="J3769"/>
    </row>
    <row r="3770" spans="1:10" ht="15.75" customHeight="1">
      <c r="A3770" t="s">
        <v>3164</v>
      </c>
      <c r="B3770">
        <v>813258</v>
      </c>
      <c r="C3770">
        <v>1</v>
      </c>
      <c r="D3770" t="str">
        <f t="shared" si="58"/>
        <v>1813258.728</v>
      </c>
      <c r="E3770" t="s">
        <v>3168</v>
      </c>
      <c r="F3770" s="242"/>
      <c r="G3770"/>
      <c r="H3770" s="242">
        <v>10400</v>
      </c>
      <c r="I3770" s="242">
        <v>14400</v>
      </c>
      <c r="J3770"/>
    </row>
    <row r="3771" spans="1:10" ht="15.75" customHeight="1">
      <c r="A3771" t="s">
        <v>772</v>
      </c>
      <c r="B3771">
        <v>813258</v>
      </c>
      <c r="C3771">
        <v>1</v>
      </c>
      <c r="D3771" t="str">
        <f t="shared" si="58"/>
        <v>1813258.751</v>
      </c>
      <c r="E3771" t="s">
        <v>3156</v>
      </c>
      <c r="F3771" s="242"/>
      <c r="G3771"/>
      <c r="H3771" s="242">
        <v>5000</v>
      </c>
      <c r="I3771" s="242">
        <v>4797</v>
      </c>
      <c r="J3771"/>
    </row>
    <row r="3772" spans="1:10" ht="15.75" customHeight="1">
      <c r="A3772" t="s">
        <v>3157</v>
      </c>
      <c r="B3772">
        <v>813258</v>
      </c>
      <c r="C3772">
        <v>1</v>
      </c>
      <c r="D3772" t="str">
        <f t="shared" si="58"/>
        <v>1813258.877</v>
      </c>
      <c r="E3772" t="s">
        <v>3158</v>
      </c>
      <c r="F3772" s="242"/>
      <c r="G3772"/>
      <c r="H3772" s="242">
        <v>0</v>
      </c>
      <c r="I3772" s="242">
        <v>0</v>
      </c>
      <c r="J3772"/>
    </row>
    <row r="3773" spans="1:10" ht="15.75" customHeight="1">
      <c r="A3773" t="s">
        <v>3144</v>
      </c>
      <c r="B3773">
        <v>813258</v>
      </c>
      <c r="C3773">
        <v>1</v>
      </c>
      <c r="D3773" t="str">
        <f t="shared" si="58"/>
        <v>1813258.878</v>
      </c>
      <c r="E3773" t="s">
        <v>3178</v>
      </c>
      <c r="F3773" s="242"/>
      <c r="G3773"/>
      <c r="H3773" s="242">
        <v>288075</v>
      </c>
      <c r="I3773" s="242">
        <v>297537</v>
      </c>
      <c r="J3773"/>
    </row>
    <row r="3774" spans="1:10" ht="15.75" customHeight="1">
      <c r="A3774" t="s">
        <v>2403</v>
      </c>
      <c r="B3774">
        <v>813259</v>
      </c>
      <c r="C3774">
        <v>1</v>
      </c>
      <c r="D3774" t="str">
        <f t="shared" si="58"/>
        <v>1813259.110</v>
      </c>
      <c r="E3774" t="s">
        <v>2573</v>
      </c>
      <c r="F3774" s="242"/>
      <c r="G3774"/>
      <c r="H3774" s="242">
        <v>894926</v>
      </c>
      <c r="I3774" s="242">
        <v>738370</v>
      </c>
      <c r="J3774"/>
    </row>
    <row r="3775" spans="1:10" ht="15.75" customHeight="1">
      <c r="A3775" t="s">
        <v>2404</v>
      </c>
      <c r="B3775">
        <v>813259</v>
      </c>
      <c r="C3775">
        <v>1</v>
      </c>
      <c r="D3775" t="str">
        <f t="shared" si="58"/>
        <v>1813259.120</v>
      </c>
      <c r="E3775" t="s">
        <v>2574</v>
      </c>
      <c r="F3775" s="242"/>
      <c r="G3775"/>
      <c r="H3775" s="242">
        <v>148267</v>
      </c>
      <c r="I3775" s="242">
        <v>129885</v>
      </c>
      <c r="J3775"/>
    </row>
    <row r="3776" spans="1:10" ht="15.75" customHeight="1">
      <c r="A3776" t="s">
        <v>2575</v>
      </c>
      <c r="B3776">
        <v>813259</v>
      </c>
      <c r="C3776">
        <v>1</v>
      </c>
      <c r="D3776" t="str">
        <f t="shared" si="58"/>
        <v>1813259.130</v>
      </c>
      <c r="E3776" t="s">
        <v>2576</v>
      </c>
      <c r="F3776" s="242"/>
      <c r="G3776"/>
      <c r="H3776" s="242">
        <v>40101</v>
      </c>
      <c r="I3776" s="242">
        <v>21596</v>
      </c>
      <c r="J3776"/>
    </row>
    <row r="3777" spans="1:10" ht="15.75" customHeight="1">
      <c r="A3777" t="s">
        <v>2577</v>
      </c>
      <c r="B3777">
        <v>813259</v>
      </c>
      <c r="C3777">
        <v>1</v>
      </c>
      <c r="D3777" t="str">
        <f t="shared" si="58"/>
        <v>1813259.140</v>
      </c>
      <c r="E3777" t="s">
        <v>2578</v>
      </c>
      <c r="F3777" s="242"/>
      <c r="G3777"/>
      <c r="H3777" s="242">
        <v>74043</v>
      </c>
      <c r="I3777" s="242">
        <v>53552</v>
      </c>
      <c r="J3777"/>
    </row>
    <row r="3778" spans="1:10" ht="15.75" customHeight="1">
      <c r="A3778" t="s">
        <v>2579</v>
      </c>
      <c r="B3778">
        <v>813259</v>
      </c>
      <c r="C3778">
        <v>1</v>
      </c>
      <c r="D3778" t="str">
        <f t="shared" si="58"/>
        <v>1813259.181</v>
      </c>
      <c r="E3778" t="s">
        <v>2580</v>
      </c>
      <c r="F3778" s="242"/>
      <c r="G3778"/>
      <c r="H3778" s="242">
        <v>183719</v>
      </c>
      <c r="I3778" s="242">
        <v>149131</v>
      </c>
      <c r="J3778"/>
    </row>
    <row r="3779" spans="1:10" ht="15.75" customHeight="1">
      <c r="A3779" t="s">
        <v>2581</v>
      </c>
      <c r="B3779">
        <v>813259</v>
      </c>
      <c r="C3779">
        <v>1</v>
      </c>
      <c r="D3779" t="str">
        <f t="shared" ref="D3779:D3842" si="59">C3779&amp;B3779&amp;"."&amp;A3779</f>
        <v>1813259.182</v>
      </c>
      <c r="E3779" t="s">
        <v>2582</v>
      </c>
      <c r="F3779" s="242"/>
      <c r="G3779"/>
      <c r="H3779" s="242">
        <v>88040</v>
      </c>
      <c r="I3779" s="242">
        <v>71762</v>
      </c>
      <c r="J3779"/>
    </row>
    <row r="3780" spans="1:10" ht="15.75" customHeight="1">
      <c r="A3780" t="s">
        <v>2606</v>
      </c>
      <c r="B3780">
        <v>813259</v>
      </c>
      <c r="C3780">
        <v>1</v>
      </c>
      <c r="D3780" t="str">
        <f t="shared" si="59"/>
        <v>1813259.440</v>
      </c>
      <c r="E3780" t="s">
        <v>2657</v>
      </c>
      <c r="F3780" s="242"/>
      <c r="G3780"/>
      <c r="H3780" s="242">
        <v>10600</v>
      </c>
      <c r="I3780" s="242">
        <v>10236</v>
      </c>
      <c r="J3780"/>
    </row>
    <row r="3781" spans="1:10" ht="15.75" customHeight="1">
      <c r="A3781" t="s">
        <v>547</v>
      </c>
      <c r="B3781">
        <v>813259</v>
      </c>
      <c r="C3781">
        <v>1</v>
      </c>
      <c r="D3781" t="str">
        <f t="shared" si="59"/>
        <v>1813259.722</v>
      </c>
      <c r="E3781" t="s">
        <v>3020</v>
      </c>
      <c r="F3781" s="242"/>
      <c r="G3781"/>
      <c r="H3781" s="242">
        <v>0</v>
      </c>
      <c r="I3781" s="242">
        <v>49106</v>
      </c>
      <c r="J3781"/>
    </row>
    <row r="3782" spans="1:10" ht="15.75" customHeight="1">
      <c r="A3782" t="s">
        <v>569</v>
      </c>
      <c r="B3782">
        <v>813259</v>
      </c>
      <c r="C3782">
        <v>1</v>
      </c>
      <c r="D3782" t="str">
        <f t="shared" si="59"/>
        <v>1813259.725</v>
      </c>
      <c r="E3782" t="s">
        <v>3153</v>
      </c>
      <c r="F3782" s="242"/>
      <c r="G3782"/>
      <c r="H3782" s="242">
        <v>2210</v>
      </c>
      <c r="I3782" s="242">
        <v>1658</v>
      </c>
      <c r="J3782"/>
    </row>
    <row r="3783" spans="1:10" ht="15.75" customHeight="1">
      <c r="A3783" t="s">
        <v>575</v>
      </c>
      <c r="B3783">
        <v>813259</v>
      </c>
      <c r="C3783">
        <v>1</v>
      </c>
      <c r="D3783" t="str">
        <f t="shared" si="59"/>
        <v>1813259.726</v>
      </c>
      <c r="E3783" t="s">
        <v>3154</v>
      </c>
      <c r="F3783" s="242"/>
      <c r="G3783"/>
      <c r="H3783" s="242">
        <v>21489</v>
      </c>
      <c r="I3783" s="242">
        <v>21074</v>
      </c>
      <c r="J3783"/>
    </row>
    <row r="3784" spans="1:10" ht="15.75" customHeight="1">
      <c r="A3784" t="s">
        <v>586</v>
      </c>
      <c r="B3784">
        <v>813259</v>
      </c>
      <c r="C3784">
        <v>1</v>
      </c>
      <c r="D3784" t="str">
        <f t="shared" si="59"/>
        <v>1813259.727</v>
      </c>
      <c r="E3784" t="s">
        <v>3170</v>
      </c>
      <c r="F3784" s="242"/>
      <c r="G3784"/>
      <c r="H3784" s="242">
        <v>11819</v>
      </c>
      <c r="I3784" s="242">
        <v>11690</v>
      </c>
      <c r="J3784"/>
    </row>
    <row r="3785" spans="1:10" ht="15.75" customHeight="1">
      <c r="A3785" t="s">
        <v>3164</v>
      </c>
      <c r="B3785">
        <v>813259</v>
      </c>
      <c r="C3785">
        <v>1</v>
      </c>
      <c r="D3785" t="str">
        <f t="shared" si="59"/>
        <v>1813259.728</v>
      </c>
      <c r="E3785" t="s">
        <v>3180</v>
      </c>
      <c r="F3785" s="242"/>
      <c r="G3785"/>
      <c r="H3785" s="242">
        <v>0</v>
      </c>
      <c r="I3785" s="242">
        <v>400</v>
      </c>
      <c r="J3785"/>
    </row>
    <row r="3786" spans="1:10" ht="15.75" customHeight="1">
      <c r="A3786" t="s">
        <v>591</v>
      </c>
      <c r="B3786">
        <v>813259</v>
      </c>
      <c r="C3786">
        <v>1</v>
      </c>
      <c r="D3786" t="str">
        <f t="shared" si="59"/>
        <v>1813259.729</v>
      </c>
      <c r="E3786" t="s">
        <v>3181</v>
      </c>
      <c r="F3786" s="242"/>
      <c r="G3786"/>
      <c r="H3786" s="242">
        <v>20832</v>
      </c>
      <c r="I3786" s="242">
        <v>1368</v>
      </c>
      <c r="J3786"/>
    </row>
    <row r="3787" spans="1:10" ht="15.75" customHeight="1">
      <c r="A3787" t="s">
        <v>772</v>
      </c>
      <c r="B3787">
        <v>813259</v>
      </c>
      <c r="C3787">
        <v>1</v>
      </c>
      <c r="D3787" t="str">
        <f t="shared" si="59"/>
        <v>1813259.751</v>
      </c>
      <c r="E3787" t="s">
        <v>3156</v>
      </c>
      <c r="F3787" s="242"/>
      <c r="G3787"/>
      <c r="H3787" s="242">
        <v>5000</v>
      </c>
      <c r="I3787" s="242">
        <v>4776</v>
      </c>
      <c r="J3787"/>
    </row>
    <row r="3788" spans="1:10" ht="15.75" customHeight="1">
      <c r="A3788" t="s">
        <v>3157</v>
      </c>
      <c r="B3788">
        <v>813259</v>
      </c>
      <c r="C3788">
        <v>1</v>
      </c>
      <c r="D3788" t="str">
        <f t="shared" si="59"/>
        <v>1813259.877</v>
      </c>
      <c r="E3788" t="s">
        <v>3158</v>
      </c>
      <c r="F3788" s="242"/>
      <c r="G3788"/>
      <c r="H3788" s="242">
        <v>0</v>
      </c>
      <c r="I3788" s="242">
        <v>0</v>
      </c>
      <c r="J3788"/>
    </row>
    <row r="3789" spans="1:10" ht="15.75" customHeight="1">
      <c r="A3789" t="s">
        <v>3144</v>
      </c>
      <c r="B3789">
        <v>813259</v>
      </c>
      <c r="C3789">
        <v>1</v>
      </c>
      <c r="D3789" t="str">
        <f t="shared" si="59"/>
        <v>1813259.878</v>
      </c>
      <c r="E3789" t="s">
        <v>3165</v>
      </c>
      <c r="F3789" s="242"/>
      <c r="G3789"/>
      <c r="H3789" s="242">
        <v>467255</v>
      </c>
      <c r="I3789" s="242">
        <v>471111</v>
      </c>
      <c r="J3789"/>
    </row>
    <row r="3790" spans="1:10" ht="15.75" customHeight="1">
      <c r="A3790" t="s">
        <v>2403</v>
      </c>
      <c r="B3790">
        <v>813261</v>
      </c>
      <c r="C3790">
        <v>1</v>
      </c>
      <c r="D3790" t="str">
        <f t="shared" si="59"/>
        <v>1813261.110</v>
      </c>
      <c r="E3790" t="s">
        <v>2573</v>
      </c>
      <c r="F3790" s="242"/>
      <c r="G3790"/>
      <c r="H3790" s="242">
        <v>438596</v>
      </c>
      <c r="I3790" s="242">
        <v>218959</v>
      </c>
      <c r="J3790"/>
    </row>
    <row r="3791" spans="1:10" ht="15.75" customHeight="1">
      <c r="A3791" t="s">
        <v>2404</v>
      </c>
      <c r="B3791">
        <v>813261</v>
      </c>
      <c r="C3791">
        <v>1</v>
      </c>
      <c r="D3791" t="str">
        <f t="shared" si="59"/>
        <v>1813261.120</v>
      </c>
      <c r="E3791" t="s">
        <v>2574</v>
      </c>
      <c r="F3791" s="242"/>
      <c r="G3791"/>
      <c r="H3791" s="242">
        <v>35420</v>
      </c>
      <c r="I3791" s="242">
        <v>19885</v>
      </c>
      <c r="J3791"/>
    </row>
    <row r="3792" spans="1:10" ht="15.75" customHeight="1">
      <c r="A3792" t="s">
        <v>2575</v>
      </c>
      <c r="B3792">
        <v>813261</v>
      </c>
      <c r="C3792">
        <v>1</v>
      </c>
      <c r="D3792" t="str">
        <f t="shared" si="59"/>
        <v>1813261.130</v>
      </c>
      <c r="E3792" t="s">
        <v>2576</v>
      </c>
      <c r="F3792" s="242"/>
      <c r="G3792"/>
      <c r="H3792" s="242">
        <v>3502</v>
      </c>
      <c r="I3792" s="242">
        <v>1061</v>
      </c>
      <c r="J3792"/>
    </row>
    <row r="3793" spans="1:10" ht="15.75" customHeight="1">
      <c r="A3793" t="s">
        <v>2577</v>
      </c>
      <c r="B3793">
        <v>813261</v>
      </c>
      <c r="C3793">
        <v>1</v>
      </c>
      <c r="D3793" t="str">
        <f t="shared" si="59"/>
        <v>1813261.140</v>
      </c>
      <c r="E3793" t="s">
        <v>2578</v>
      </c>
      <c r="F3793" s="242"/>
      <c r="G3793"/>
      <c r="H3793" s="242">
        <v>21970</v>
      </c>
      <c r="I3793" s="242">
        <v>10865</v>
      </c>
      <c r="J3793"/>
    </row>
    <row r="3794" spans="1:10" ht="15.75" customHeight="1">
      <c r="A3794" t="s">
        <v>2579</v>
      </c>
      <c r="B3794">
        <v>813261</v>
      </c>
      <c r="C3794">
        <v>1</v>
      </c>
      <c r="D3794" t="str">
        <f t="shared" si="59"/>
        <v>1813261.181</v>
      </c>
      <c r="E3794" t="s">
        <v>2580</v>
      </c>
      <c r="F3794" s="242"/>
      <c r="G3794"/>
      <c r="H3794" s="242">
        <v>87789</v>
      </c>
      <c r="I3794" s="242">
        <v>43737</v>
      </c>
      <c r="J3794"/>
    </row>
    <row r="3795" spans="1:10" ht="15.75" customHeight="1">
      <c r="A3795" t="s">
        <v>2581</v>
      </c>
      <c r="B3795">
        <v>813261</v>
      </c>
      <c r="C3795">
        <v>1</v>
      </c>
      <c r="D3795" t="str">
        <f t="shared" si="59"/>
        <v>1813261.182</v>
      </c>
      <c r="E3795" t="s">
        <v>2582</v>
      </c>
      <c r="F3795" s="242"/>
      <c r="G3795"/>
      <c r="H3795" s="242">
        <v>37978</v>
      </c>
      <c r="I3795" s="242">
        <v>19108</v>
      </c>
      <c r="J3795"/>
    </row>
    <row r="3796" spans="1:10" ht="15.75" customHeight="1">
      <c r="A3796" t="s">
        <v>2606</v>
      </c>
      <c r="B3796">
        <v>813261</v>
      </c>
      <c r="C3796">
        <v>1</v>
      </c>
      <c r="D3796" t="str">
        <f t="shared" si="59"/>
        <v>1813261.440</v>
      </c>
      <c r="E3796" t="s">
        <v>2657</v>
      </c>
      <c r="F3796" s="242"/>
      <c r="G3796"/>
      <c r="H3796" s="242">
        <v>10600</v>
      </c>
      <c r="I3796" s="242">
        <v>10236</v>
      </c>
      <c r="J3796"/>
    </row>
    <row r="3797" spans="1:10" ht="15.75" customHeight="1">
      <c r="A3797" t="s">
        <v>2704</v>
      </c>
      <c r="B3797">
        <v>813261</v>
      </c>
      <c r="C3797">
        <v>1</v>
      </c>
      <c r="D3797" t="str">
        <f t="shared" si="59"/>
        <v>1813261.720</v>
      </c>
      <c r="E3797" t="s">
        <v>3149</v>
      </c>
      <c r="F3797" s="242"/>
      <c r="G3797"/>
      <c r="H3797" s="242">
        <v>0</v>
      </c>
      <c r="I3797" s="242">
        <v>626</v>
      </c>
      <c r="J3797"/>
    </row>
    <row r="3798" spans="1:10" ht="15.75" customHeight="1">
      <c r="A3798" t="s">
        <v>569</v>
      </c>
      <c r="B3798">
        <v>813261</v>
      </c>
      <c r="C3798">
        <v>1</v>
      </c>
      <c r="D3798" t="str">
        <f t="shared" si="59"/>
        <v>1813261.725</v>
      </c>
      <c r="E3798" t="s">
        <v>3153</v>
      </c>
      <c r="F3798" s="242"/>
      <c r="G3798"/>
      <c r="H3798" s="242">
        <v>1105</v>
      </c>
      <c r="I3798" s="242">
        <v>1105</v>
      </c>
      <c r="J3798"/>
    </row>
    <row r="3799" spans="1:10" ht="15.75" customHeight="1">
      <c r="A3799" t="s">
        <v>575</v>
      </c>
      <c r="B3799">
        <v>813261</v>
      </c>
      <c r="C3799">
        <v>1</v>
      </c>
      <c r="D3799" t="str">
        <f t="shared" si="59"/>
        <v>1813261.726</v>
      </c>
      <c r="E3799" t="s">
        <v>3154</v>
      </c>
      <c r="F3799" s="242"/>
      <c r="G3799"/>
      <c r="H3799" s="242">
        <v>17154</v>
      </c>
      <c r="I3799" s="242">
        <v>16324</v>
      </c>
      <c r="J3799"/>
    </row>
    <row r="3800" spans="1:10" ht="15.75" customHeight="1">
      <c r="A3800" t="s">
        <v>586</v>
      </c>
      <c r="B3800">
        <v>813261</v>
      </c>
      <c r="C3800">
        <v>1</v>
      </c>
      <c r="D3800" t="str">
        <f t="shared" si="59"/>
        <v>1813261.727</v>
      </c>
      <c r="E3800" t="s">
        <v>3155</v>
      </c>
      <c r="F3800" s="242"/>
      <c r="G3800"/>
      <c r="H3800" s="242">
        <v>9266</v>
      </c>
      <c r="I3800" s="242">
        <v>8816</v>
      </c>
      <c r="J3800"/>
    </row>
    <row r="3801" spans="1:10" ht="15.75" customHeight="1">
      <c r="A3801" t="s">
        <v>772</v>
      </c>
      <c r="B3801">
        <v>813261</v>
      </c>
      <c r="C3801">
        <v>1</v>
      </c>
      <c r="D3801" t="str">
        <f t="shared" si="59"/>
        <v>1813261.751</v>
      </c>
      <c r="E3801" t="s">
        <v>3156</v>
      </c>
      <c r="F3801" s="242"/>
      <c r="G3801"/>
      <c r="H3801" s="242">
        <v>5000</v>
      </c>
      <c r="I3801" s="242">
        <v>4776</v>
      </c>
      <c r="J3801"/>
    </row>
    <row r="3802" spans="1:10" ht="15.75" customHeight="1">
      <c r="A3802" t="s">
        <v>3157</v>
      </c>
      <c r="B3802">
        <v>813261</v>
      </c>
      <c r="C3802">
        <v>1</v>
      </c>
      <c r="D3802" t="str">
        <f t="shared" si="59"/>
        <v>1813261.877</v>
      </c>
      <c r="E3802" t="s">
        <v>3158</v>
      </c>
      <c r="F3802" s="242"/>
      <c r="G3802"/>
      <c r="H3802" s="242">
        <v>0</v>
      </c>
      <c r="I3802" s="242">
        <v>0</v>
      </c>
      <c r="J3802"/>
    </row>
    <row r="3803" spans="1:10" ht="15.75" customHeight="1">
      <c r="A3803" t="s">
        <v>3144</v>
      </c>
      <c r="B3803">
        <v>813261</v>
      </c>
      <c r="C3803">
        <v>1</v>
      </c>
      <c r="D3803" t="str">
        <f t="shared" si="59"/>
        <v>1813261.878</v>
      </c>
      <c r="E3803" t="s">
        <v>3159</v>
      </c>
      <c r="F3803" s="242"/>
      <c r="G3803"/>
      <c r="H3803" s="242">
        <v>359390</v>
      </c>
      <c r="I3803" s="242">
        <v>372116</v>
      </c>
      <c r="J3803"/>
    </row>
    <row r="3804" spans="1:10" ht="15.75" customHeight="1">
      <c r="A3804" t="s">
        <v>2403</v>
      </c>
      <c r="B3804">
        <v>813262</v>
      </c>
      <c r="C3804">
        <v>1</v>
      </c>
      <c r="D3804" t="str">
        <f t="shared" si="59"/>
        <v>1813262.110</v>
      </c>
      <c r="E3804" t="s">
        <v>2573</v>
      </c>
      <c r="F3804" s="242"/>
      <c r="G3804"/>
      <c r="H3804" s="242">
        <v>178595</v>
      </c>
      <c r="I3804" s="242">
        <v>167583</v>
      </c>
      <c r="J3804"/>
    </row>
    <row r="3805" spans="1:10" ht="15.75" customHeight="1">
      <c r="A3805" t="s">
        <v>2404</v>
      </c>
      <c r="B3805">
        <v>813262</v>
      </c>
      <c r="C3805">
        <v>1</v>
      </c>
      <c r="D3805" t="str">
        <f t="shared" si="59"/>
        <v>1813262.120</v>
      </c>
      <c r="E3805" t="s">
        <v>2574</v>
      </c>
      <c r="F3805" s="242"/>
      <c r="G3805"/>
      <c r="H3805" s="242">
        <v>36868</v>
      </c>
      <c r="I3805" s="242">
        <v>35206</v>
      </c>
      <c r="J3805"/>
    </row>
    <row r="3806" spans="1:10" ht="15.75" customHeight="1">
      <c r="A3806" t="s">
        <v>2575</v>
      </c>
      <c r="B3806">
        <v>813262</v>
      </c>
      <c r="C3806">
        <v>1</v>
      </c>
      <c r="D3806" t="str">
        <f t="shared" si="59"/>
        <v>1813262.130</v>
      </c>
      <c r="E3806" t="s">
        <v>2576</v>
      </c>
      <c r="F3806" s="242"/>
      <c r="G3806"/>
      <c r="H3806" s="242">
        <v>8442</v>
      </c>
      <c r="I3806" s="242">
        <v>4571</v>
      </c>
      <c r="J3806"/>
    </row>
    <row r="3807" spans="1:10" ht="15.75" customHeight="1">
      <c r="A3807" t="s">
        <v>2577</v>
      </c>
      <c r="B3807">
        <v>813262</v>
      </c>
      <c r="C3807">
        <v>1</v>
      </c>
      <c r="D3807" t="str">
        <f t="shared" si="59"/>
        <v>1813262.140</v>
      </c>
      <c r="E3807" t="s">
        <v>2578</v>
      </c>
      <c r="F3807" s="242"/>
      <c r="G3807"/>
      <c r="H3807" s="242">
        <v>3930</v>
      </c>
      <c r="I3807" s="242">
        <v>3648</v>
      </c>
      <c r="J3807"/>
    </row>
    <row r="3808" spans="1:10" ht="15.75" customHeight="1">
      <c r="A3808" t="s">
        <v>2579</v>
      </c>
      <c r="B3808">
        <v>813262</v>
      </c>
      <c r="C3808">
        <v>1</v>
      </c>
      <c r="D3808" t="str">
        <f t="shared" si="59"/>
        <v>1813262.181</v>
      </c>
      <c r="E3808" t="s">
        <v>2580</v>
      </c>
      <c r="F3808" s="242"/>
      <c r="G3808"/>
      <c r="H3808" s="242">
        <v>34518</v>
      </c>
      <c r="I3808" s="242">
        <v>32124</v>
      </c>
      <c r="J3808"/>
    </row>
    <row r="3809" spans="1:10" ht="15.75" customHeight="1">
      <c r="A3809" t="s">
        <v>2581</v>
      </c>
      <c r="B3809">
        <v>813262</v>
      </c>
      <c r="C3809">
        <v>1</v>
      </c>
      <c r="D3809" t="str">
        <f t="shared" si="59"/>
        <v>1813262.182</v>
      </c>
      <c r="E3809" t="s">
        <v>2582</v>
      </c>
      <c r="F3809" s="242"/>
      <c r="G3809"/>
      <c r="H3809" s="242">
        <v>17270</v>
      </c>
      <c r="I3809" s="242">
        <v>15993</v>
      </c>
      <c r="J3809"/>
    </row>
    <row r="3810" spans="1:10" ht="15.75" customHeight="1">
      <c r="A3810" t="s">
        <v>2606</v>
      </c>
      <c r="B3810">
        <v>813262</v>
      </c>
      <c r="C3810">
        <v>1</v>
      </c>
      <c r="D3810" t="str">
        <f t="shared" si="59"/>
        <v>1813262.440</v>
      </c>
      <c r="E3810" t="s">
        <v>2657</v>
      </c>
      <c r="F3810" s="242"/>
      <c r="G3810"/>
      <c r="H3810" s="242">
        <v>10600</v>
      </c>
      <c r="I3810" s="242">
        <v>10236</v>
      </c>
      <c r="J3810"/>
    </row>
    <row r="3811" spans="1:10" ht="15.75" customHeight="1">
      <c r="A3811" t="s">
        <v>2704</v>
      </c>
      <c r="B3811">
        <v>813262</v>
      </c>
      <c r="C3811">
        <v>1</v>
      </c>
      <c r="D3811" t="str">
        <f t="shared" si="59"/>
        <v>1813262.720</v>
      </c>
      <c r="E3811" t="s">
        <v>3149</v>
      </c>
      <c r="F3811" s="242"/>
      <c r="G3811"/>
      <c r="H3811" s="242">
        <v>0</v>
      </c>
      <c r="I3811" s="242">
        <v>5041</v>
      </c>
      <c r="J3811"/>
    </row>
    <row r="3812" spans="1:10" ht="15.75" customHeight="1">
      <c r="A3812" t="s">
        <v>575</v>
      </c>
      <c r="B3812">
        <v>813262</v>
      </c>
      <c r="C3812">
        <v>1</v>
      </c>
      <c r="D3812" t="str">
        <f t="shared" si="59"/>
        <v>1813262.726</v>
      </c>
      <c r="E3812" t="s">
        <v>3154</v>
      </c>
      <c r="F3812" s="242"/>
      <c r="G3812"/>
      <c r="H3812" s="242">
        <v>20735</v>
      </c>
      <c r="I3812" s="242">
        <v>21877</v>
      </c>
      <c r="J3812"/>
    </row>
    <row r="3813" spans="1:10" ht="15.75" customHeight="1">
      <c r="A3813" t="s">
        <v>586</v>
      </c>
      <c r="B3813">
        <v>813262</v>
      </c>
      <c r="C3813">
        <v>1</v>
      </c>
      <c r="D3813" t="str">
        <f t="shared" si="59"/>
        <v>1813262.727</v>
      </c>
      <c r="E3813" t="s">
        <v>3155</v>
      </c>
      <c r="F3813" s="242"/>
      <c r="G3813"/>
      <c r="H3813" s="242">
        <v>11798</v>
      </c>
      <c r="I3813" s="242">
        <v>11476</v>
      </c>
      <c r="J3813"/>
    </row>
    <row r="3814" spans="1:10" ht="15.75" customHeight="1">
      <c r="A3814" t="s">
        <v>3164</v>
      </c>
      <c r="B3814">
        <v>813262</v>
      </c>
      <c r="C3814">
        <v>1</v>
      </c>
      <c r="D3814" t="str">
        <f t="shared" si="59"/>
        <v>1813262.728</v>
      </c>
      <c r="E3814" t="s">
        <v>3162</v>
      </c>
      <c r="F3814" s="242"/>
      <c r="G3814"/>
      <c r="H3814" s="242">
        <v>800</v>
      </c>
      <c r="I3814" s="242">
        <v>400</v>
      </c>
      <c r="J3814"/>
    </row>
    <row r="3815" spans="1:10" ht="15.75" customHeight="1">
      <c r="A3815" t="s">
        <v>772</v>
      </c>
      <c r="B3815">
        <v>813262</v>
      </c>
      <c r="C3815">
        <v>1</v>
      </c>
      <c r="D3815" t="str">
        <f t="shared" si="59"/>
        <v>1813262.751</v>
      </c>
      <c r="E3815" t="s">
        <v>3156</v>
      </c>
      <c r="F3815" s="242"/>
      <c r="G3815"/>
      <c r="H3815" s="242">
        <v>5616</v>
      </c>
      <c r="I3815" s="242">
        <v>5616</v>
      </c>
      <c r="J3815"/>
    </row>
    <row r="3816" spans="1:10" ht="15.75" customHeight="1">
      <c r="A3816" t="s">
        <v>3157</v>
      </c>
      <c r="B3816">
        <v>813262</v>
      </c>
      <c r="C3816">
        <v>1</v>
      </c>
      <c r="D3816" t="str">
        <f t="shared" si="59"/>
        <v>1813262.877</v>
      </c>
      <c r="E3816" t="s">
        <v>3158</v>
      </c>
      <c r="F3816" s="242"/>
      <c r="G3816"/>
      <c r="H3816" s="242">
        <v>0</v>
      </c>
      <c r="I3816" s="242">
        <v>0</v>
      </c>
      <c r="J3816"/>
    </row>
    <row r="3817" spans="1:10" ht="15.75" customHeight="1">
      <c r="A3817" t="s">
        <v>3144</v>
      </c>
      <c r="B3817">
        <v>813262</v>
      </c>
      <c r="C3817">
        <v>1</v>
      </c>
      <c r="D3817" t="str">
        <f t="shared" si="59"/>
        <v>1813262.878</v>
      </c>
      <c r="E3817" t="s">
        <v>3159</v>
      </c>
      <c r="F3817" s="242"/>
      <c r="G3817"/>
      <c r="H3817" s="242">
        <v>442445</v>
      </c>
      <c r="I3817" s="242">
        <v>451265</v>
      </c>
      <c r="J3817"/>
    </row>
    <row r="3818" spans="1:10" ht="15.75" customHeight="1">
      <c r="A3818" t="s">
        <v>2403</v>
      </c>
      <c r="B3818">
        <v>813264</v>
      </c>
      <c r="C3818">
        <v>1</v>
      </c>
      <c r="D3818" t="str">
        <f t="shared" si="59"/>
        <v>1813264.110</v>
      </c>
      <c r="E3818" t="s">
        <v>2573</v>
      </c>
      <c r="F3818" s="242"/>
      <c r="G3818"/>
      <c r="H3818" s="242">
        <v>74689</v>
      </c>
      <c r="I3818" s="242">
        <v>74899</v>
      </c>
      <c r="J3818"/>
    </row>
    <row r="3819" spans="1:10" ht="15.75" customHeight="1">
      <c r="A3819" t="s">
        <v>2404</v>
      </c>
      <c r="B3819">
        <v>813264</v>
      </c>
      <c r="C3819">
        <v>1</v>
      </c>
      <c r="D3819" t="str">
        <f t="shared" si="59"/>
        <v>1813264.120</v>
      </c>
      <c r="E3819" t="s">
        <v>2574</v>
      </c>
      <c r="F3819" s="242"/>
      <c r="G3819"/>
      <c r="H3819" s="242">
        <v>15188</v>
      </c>
      <c r="I3819" s="242">
        <v>15191</v>
      </c>
      <c r="J3819"/>
    </row>
    <row r="3820" spans="1:10" ht="15.75" customHeight="1">
      <c r="A3820" t="s">
        <v>2575</v>
      </c>
      <c r="B3820">
        <v>813264</v>
      </c>
      <c r="C3820">
        <v>1</v>
      </c>
      <c r="D3820" t="str">
        <f t="shared" si="59"/>
        <v>1813264.130</v>
      </c>
      <c r="E3820" t="s">
        <v>2576</v>
      </c>
      <c r="F3820" s="242"/>
      <c r="G3820"/>
      <c r="H3820" s="242">
        <v>944</v>
      </c>
      <c r="I3820" s="242">
        <v>1434</v>
      </c>
      <c r="J3820"/>
    </row>
    <row r="3821" spans="1:10" ht="15.75" customHeight="1">
      <c r="A3821" t="s">
        <v>2577</v>
      </c>
      <c r="B3821">
        <v>813264</v>
      </c>
      <c r="C3821">
        <v>1</v>
      </c>
      <c r="D3821" t="str">
        <f t="shared" si="59"/>
        <v>1813264.140</v>
      </c>
      <c r="E3821" t="s">
        <v>2578</v>
      </c>
      <c r="F3821" s="242"/>
      <c r="G3821"/>
      <c r="H3821" s="242">
        <v>15580</v>
      </c>
      <c r="I3821" s="242">
        <v>22340</v>
      </c>
      <c r="J3821"/>
    </row>
    <row r="3822" spans="1:10" ht="15.75" customHeight="1">
      <c r="A3822" t="s">
        <v>2579</v>
      </c>
      <c r="B3822">
        <v>813264</v>
      </c>
      <c r="C3822">
        <v>1</v>
      </c>
      <c r="D3822" t="str">
        <f t="shared" si="59"/>
        <v>1813264.181</v>
      </c>
      <c r="E3822" t="s">
        <v>2580</v>
      </c>
      <c r="F3822" s="242"/>
      <c r="G3822"/>
      <c r="H3822" s="242">
        <v>15153</v>
      </c>
      <c r="I3822" s="242">
        <v>15619</v>
      </c>
      <c r="J3822"/>
    </row>
    <row r="3823" spans="1:10" ht="15.75" customHeight="1">
      <c r="A3823" t="s">
        <v>2581</v>
      </c>
      <c r="B3823">
        <v>813264</v>
      </c>
      <c r="C3823">
        <v>1</v>
      </c>
      <c r="D3823" t="str">
        <f t="shared" si="59"/>
        <v>1813264.182</v>
      </c>
      <c r="E3823" t="s">
        <v>2582</v>
      </c>
      <c r="F3823" s="242"/>
      <c r="G3823"/>
      <c r="H3823" s="242">
        <v>8069</v>
      </c>
      <c r="I3823" s="242">
        <v>8624</v>
      </c>
      <c r="J3823"/>
    </row>
    <row r="3824" spans="1:10" ht="15.75" customHeight="1">
      <c r="A3824" t="s">
        <v>2809</v>
      </c>
      <c r="B3824">
        <v>813264</v>
      </c>
      <c r="C3824">
        <v>1</v>
      </c>
      <c r="D3824" t="str">
        <f t="shared" si="59"/>
        <v>1813264.424</v>
      </c>
      <c r="E3824" t="s">
        <v>2810</v>
      </c>
      <c r="F3824" s="242"/>
      <c r="G3824"/>
      <c r="H3824" s="242">
        <v>0</v>
      </c>
      <c r="I3824" s="242">
        <v>0</v>
      </c>
      <c r="J3824"/>
    </row>
    <row r="3825" spans="1:10" ht="15.75" customHeight="1">
      <c r="A3825" t="s">
        <v>1668</v>
      </c>
      <c r="B3825">
        <v>813264</v>
      </c>
      <c r="C3825">
        <v>1</v>
      </c>
      <c r="D3825" t="str">
        <f t="shared" si="59"/>
        <v>1813264.432</v>
      </c>
      <c r="E3825" t="s">
        <v>2687</v>
      </c>
      <c r="F3825" s="242"/>
      <c r="G3825"/>
      <c r="H3825" s="242">
        <v>0</v>
      </c>
      <c r="I3825" s="242">
        <v>0</v>
      </c>
      <c r="J3825"/>
    </row>
    <row r="3826" spans="1:10" ht="15.75" customHeight="1">
      <c r="A3826" t="s">
        <v>1678</v>
      </c>
      <c r="B3826">
        <v>813264</v>
      </c>
      <c r="C3826">
        <v>1</v>
      </c>
      <c r="D3826" t="str">
        <f t="shared" si="59"/>
        <v>1813264.434</v>
      </c>
      <c r="E3826" t="s">
        <v>2656</v>
      </c>
      <c r="F3826" s="242"/>
      <c r="G3826"/>
      <c r="H3826" s="242">
        <v>70000</v>
      </c>
      <c r="I3826" s="242">
        <v>34908</v>
      </c>
      <c r="J3826"/>
    </row>
    <row r="3827" spans="1:10" ht="15.75" customHeight="1">
      <c r="A3827" t="s">
        <v>2606</v>
      </c>
      <c r="B3827">
        <v>813264</v>
      </c>
      <c r="C3827">
        <v>1</v>
      </c>
      <c r="D3827" t="str">
        <f t="shared" si="59"/>
        <v>1813264.440</v>
      </c>
      <c r="E3827" t="s">
        <v>2657</v>
      </c>
      <c r="F3827" s="242"/>
      <c r="G3827"/>
      <c r="H3827" s="242">
        <v>10600</v>
      </c>
      <c r="I3827" s="242">
        <v>10236</v>
      </c>
      <c r="J3827"/>
    </row>
    <row r="3828" spans="1:10" ht="15.75" customHeight="1">
      <c r="A3828" t="s">
        <v>772</v>
      </c>
      <c r="B3828">
        <v>813264</v>
      </c>
      <c r="C3828">
        <v>1</v>
      </c>
      <c r="D3828" t="str">
        <f t="shared" si="59"/>
        <v>1813264.751</v>
      </c>
      <c r="E3828" t="s">
        <v>3156</v>
      </c>
      <c r="F3828" s="242"/>
      <c r="G3828"/>
      <c r="H3828" s="242">
        <v>5000</v>
      </c>
      <c r="I3828" s="242">
        <v>0</v>
      </c>
      <c r="J3828"/>
    </row>
    <row r="3829" spans="1:10" ht="15.75" customHeight="1">
      <c r="A3829" t="s">
        <v>3144</v>
      </c>
      <c r="B3829">
        <v>813264</v>
      </c>
      <c r="C3829">
        <v>1</v>
      </c>
      <c r="D3829" t="str">
        <f t="shared" si="59"/>
        <v>1813264.878</v>
      </c>
      <c r="E3829" t="s">
        <v>3165</v>
      </c>
      <c r="F3829" s="242"/>
      <c r="G3829"/>
      <c r="H3829" s="242">
        <v>95000</v>
      </c>
      <c r="I3829" s="242">
        <v>95000</v>
      </c>
      <c r="J3829"/>
    </row>
    <row r="3830" spans="1:10" ht="15.75" customHeight="1">
      <c r="A3830" t="s">
        <v>2403</v>
      </c>
      <c r="B3830">
        <v>813266</v>
      </c>
      <c r="C3830">
        <v>1</v>
      </c>
      <c r="D3830" t="str">
        <f t="shared" si="59"/>
        <v>1813266.110</v>
      </c>
      <c r="E3830" t="s">
        <v>2573</v>
      </c>
      <c r="F3830" s="242"/>
      <c r="G3830"/>
      <c r="H3830" s="242">
        <v>300239</v>
      </c>
      <c r="I3830" s="242">
        <v>221599</v>
      </c>
      <c r="J3830"/>
    </row>
    <row r="3831" spans="1:10" ht="15.75" customHeight="1">
      <c r="A3831" t="s">
        <v>2404</v>
      </c>
      <c r="B3831">
        <v>813266</v>
      </c>
      <c r="C3831">
        <v>1</v>
      </c>
      <c r="D3831" t="str">
        <f t="shared" si="59"/>
        <v>1813266.120</v>
      </c>
      <c r="E3831" t="s">
        <v>2574</v>
      </c>
      <c r="F3831" s="242"/>
      <c r="G3831"/>
      <c r="H3831" s="242">
        <v>55975</v>
      </c>
      <c r="I3831" s="242">
        <v>37643</v>
      </c>
      <c r="J3831"/>
    </row>
    <row r="3832" spans="1:10" ht="15.75" customHeight="1">
      <c r="A3832" t="s">
        <v>2575</v>
      </c>
      <c r="B3832">
        <v>813266</v>
      </c>
      <c r="C3832">
        <v>1</v>
      </c>
      <c r="D3832" t="str">
        <f t="shared" si="59"/>
        <v>1813266.130</v>
      </c>
      <c r="E3832" t="s">
        <v>2576</v>
      </c>
      <c r="F3832" s="242"/>
      <c r="G3832"/>
      <c r="H3832" s="242">
        <v>9540</v>
      </c>
      <c r="I3832" s="242">
        <v>4070</v>
      </c>
      <c r="J3832"/>
    </row>
    <row r="3833" spans="1:10" ht="15.75" customHeight="1">
      <c r="A3833" t="s">
        <v>2577</v>
      </c>
      <c r="B3833">
        <v>813266</v>
      </c>
      <c r="C3833">
        <v>1</v>
      </c>
      <c r="D3833" t="str">
        <f t="shared" si="59"/>
        <v>1813266.140</v>
      </c>
      <c r="E3833" t="s">
        <v>2578</v>
      </c>
      <c r="F3833" s="242"/>
      <c r="G3833"/>
      <c r="H3833" s="242">
        <v>28275</v>
      </c>
      <c r="I3833" s="242">
        <v>24385</v>
      </c>
      <c r="J3833"/>
    </row>
    <row r="3834" spans="1:10" ht="15.75" customHeight="1">
      <c r="A3834" t="s">
        <v>2579</v>
      </c>
      <c r="B3834">
        <v>813266</v>
      </c>
      <c r="C3834">
        <v>1</v>
      </c>
      <c r="D3834" t="str">
        <f t="shared" si="59"/>
        <v>1813266.181</v>
      </c>
      <c r="E3834" t="s">
        <v>2580</v>
      </c>
      <c r="F3834" s="242"/>
      <c r="G3834"/>
      <c r="H3834" s="242">
        <v>73802</v>
      </c>
      <c r="I3834" s="242">
        <v>52524</v>
      </c>
      <c r="J3834"/>
    </row>
    <row r="3835" spans="1:10" ht="15.75" customHeight="1">
      <c r="A3835" t="s">
        <v>2581</v>
      </c>
      <c r="B3835">
        <v>813266</v>
      </c>
      <c r="C3835">
        <v>1</v>
      </c>
      <c r="D3835" t="str">
        <f t="shared" si="59"/>
        <v>1813266.182</v>
      </c>
      <c r="E3835" t="s">
        <v>2582</v>
      </c>
      <c r="F3835" s="242"/>
      <c r="G3835"/>
      <c r="H3835" s="242">
        <v>29907</v>
      </c>
      <c r="I3835" s="242">
        <v>21862</v>
      </c>
      <c r="J3835"/>
    </row>
    <row r="3836" spans="1:10" ht="15.75" customHeight="1">
      <c r="A3836" t="s">
        <v>2606</v>
      </c>
      <c r="B3836">
        <v>813266</v>
      </c>
      <c r="C3836">
        <v>1</v>
      </c>
      <c r="D3836" t="str">
        <f t="shared" si="59"/>
        <v>1813266.440</v>
      </c>
      <c r="E3836" t="s">
        <v>2657</v>
      </c>
      <c r="F3836" s="242"/>
      <c r="G3836"/>
      <c r="H3836" s="242">
        <v>10600</v>
      </c>
      <c r="I3836" s="242">
        <v>10236</v>
      </c>
      <c r="J3836"/>
    </row>
    <row r="3837" spans="1:10" ht="15.75" customHeight="1">
      <c r="A3837" t="s">
        <v>2704</v>
      </c>
      <c r="B3837">
        <v>813266</v>
      </c>
      <c r="C3837">
        <v>1</v>
      </c>
      <c r="D3837" t="str">
        <f t="shared" si="59"/>
        <v>1813266.720</v>
      </c>
      <c r="E3837" t="s">
        <v>3149</v>
      </c>
      <c r="F3837" s="242"/>
      <c r="G3837"/>
      <c r="H3837" s="242">
        <v>0</v>
      </c>
      <c r="I3837" s="242">
        <v>626</v>
      </c>
      <c r="J3837"/>
    </row>
    <row r="3838" spans="1:10" ht="15.75" customHeight="1">
      <c r="A3838" t="s">
        <v>569</v>
      </c>
      <c r="B3838">
        <v>813266</v>
      </c>
      <c r="C3838">
        <v>1</v>
      </c>
      <c r="D3838" t="str">
        <f t="shared" si="59"/>
        <v>1813266.725</v>
      </c>
      <c r="E3838" t="s">
        <v>3153</v>
      </c>
      <c r="F3838" s="242"/>
      <c r="G3838"/>
      <c r="H3838" s="242">
        <v>10498</v>
      </c>
      <c r="I3838" s="242">
        <v>11603</v>
      </c>
      <c r="J3838"/>
    </row>
    <row r="3839" spans="1:10" ht="15.75" customHeight="1">
      <c r="A3839" t="s">
        <v>575</v>
      </c>
      <c r="B3839">
        <v>813266</v>
      </c>
      <c r="C3839">
        <v>1</v>
      </c>
      <c r="D3839" t="str">
        <f t="shared" si="59"/>
        <v>1813266.726</v>
      </c>
      <c r="E3839" t="s">
        <v>3154</v>
      </c>
      <c r="F3839" s="242"/>
      <c r="G3839"/>
      <c r="H3839" s="242">
        <v>3900</v>
      </c>
      <c r="I3839" s="242">
        <v>-75</v>
      </c>
      <c r="J3839"/>
    </row>
    <row r="3840" spans="1:10" ht="15.75" customHeight="1">
      <c r="A3840" t="s">
        <v>586</v>
      </c>
      <c r="B3840">
        <v>813266</v>
      </c>
      <c r="C3840">
        <v>1</v>
      </c>
      <c r="D3840" t="str">
        <f t="shared" si="59"/>
        <v>1813266.727</v>
      </c>
      <c r="E3840" t="s">
        <v>3155</v>
      </c>
      <c r="F3840" s="242"/>
      <c r="G3840"/>
      <c r="H3840" s="242">
        <v>0</v>
      </c>
      <c r="I3840" s="242">
        <v>0</v>
      </c>
      <c r="J3840"/>
    </row>
    <row r="3841" spans="1:10" ht="15.75" customHeight="1">
      <c r="A3841" t="s">
        <v>772</v>
      </c>
      <c r="B3841">
        <v>813266</v>
      </c>
      <c r="C3841">
        <v>1</v>
      </c>
      <c r="D3841" t="str">
        <f t="shared" si="59"/>
        <v>1813266.751</v>
      </c>
      <c r="E3841" t="s">
        <v>3156</v>
      </c>
      <c r="F3841" s="242"/>
      <c r="G3841"/>
      <c r="H3841" s="242">
        <v>5616</v>
      </c>
      <c r="I3841" s="242">
        <v>5616</v>
      </c>
      <c r="J3841"/>
    </row>
    <row r="3842" spans="1:10" ht="15.75" customHeight="1">
      <c r="A3842" t="s">
        <v>3157</v>
      </c>
      <c r="B3842">
        <v>813266</v>
      </c>
      <c r="C3842">
        <v>1</v>
      </c>
      <c r="D3842" t="str">
        <f t="shared" si="59"/>
        <v>1813266.877</v>
      </c>
      <c r="E3842" t="s">
        <v>3158</v>
      </c>
      <c r="F3842" s="242"/>
      <c r="G3842"/>
      <c r="H3842" s="242">
        <v>0</v>
      </c>
      <c r="I3842" s="242">
        <v>0</v>
      </c>
      <c r="J3842"/>
    </row>
    <row r="3843" spans="1:10" ht="15.75" customHeight="1">
      <c r="A3843" t="s">
        <v>3144</v>
      </c>
      <c r="B3843">
        <v>813266</v>
      </c>
      <c r="C3843">
        <v>1</v>
      </c>
      <c r="D3843" t="str">
        <f t="shared" ref="D3843:D3906" si="60">C3843&amp;B3843&amp;"."&amp;A3843</f>
        <v>1813266.878</v>
      </c>
      <c r="E3843" t="s">
        <v>3159</v>
      </c>
      <c r="F3843" s="242"/>
      <c r="G3843"/>
      <c r="H3843" s="242">
        <v>535944</v>
      </c>
      <c r="I3843" s="242">
        <v>520052</v>
      </c>
      <c r="J3843"/>
    </row>
    <row r="3844" spans="1:10" ht="15.75" customHeight="1">
      <c r="A3844" t="s">
        <v>2403</v>
      </c>
      <c r="B3844">
        <v>813267</v>
      </c>
      <c r="C3844">
        <v>1</v>
      </c>
      <c r="D3844" t="str">
        <f t="shared" si="60"/>
        <v>1813267.110</v>
      </c>
      <c r="E3844" t="s">
        <v>2573</v>
      </c>
      <c r="F3844" s="242"/>
      <c r="G3844"/>
      <c r="H3844" s="242">
        <v>277250</v>
      </c>
      <c r="I3844" s="242">
        <v>117597</v>
      </c>
      <c r="J3844"/>
    </row>
    <row r="3845" spans="1:10" ht="15.75" customHeight="1">
      <c r="A3845" t="s">
        <v>2404</v>
      </c>
      <c r="B3845">
        <v>813267</v>
      </c>
      <c r="C3845">
        <v>1</v>
      </c>
      <c r="D3845" t="str">
        <f t="shared" si="60"/>
        <v>1813267.120</v>
      </c>
      <c r="E3845" t="s">
        <v>2574</v>
      </c>
      <c r="F3845" s="242"/>
      <c r="G3845"/>
      <c r="H3845" s="242">
        <v>59659</v>
      </c>
      <c r="I3845" s="242">
        <v>20571</v>
      </c>
      <c r="J3845"/>
    </row>
    <row r="3846" spans="1:10" ht="15.75" customHeight="1">
      <c r="A3846" t="s">
        <v>2575</v>
      </c>
      <c r="B3846">
        <v>813267</v>
      </c>
      <c r="C3846">
        <v>1</v>
      </c>
      <c r="D3846" t="str">
        <f t="shared" si="60"/>
        <v>1813267.130</v>
      </c>
      <c r="E3846" t="s">
        <v>2576</v>
      </c>
      <c r="F3846" s="242"/>
      <c r="G3846"/>
      <c r="H3846" s="242">
        <v>0</v>
      </c>
      <c r="I3846" s="242">
        <v>156</v>
      </c>
      <c r="J3846"/>
    </row>
    <row r="3847" spans="1:10" ht="15.75" customHeight="1">
      <c r="A3847" t="s">
        <v>2577</v>
      </c>
      <c r="B3847">
        <v>813267</v>
      </c>
      <c r="C3847">
        <v>1</v>
      </c>
      <c r="D3847" t="str">
        <f t="shared" si="60"/>
        <v>1813267.140</v>
      </c>
      <c r="E3847" t="s">
        <v>2578</v>
      </c>
      <c r="F3847" s="242"/>
      <c r="G3847"/>
      <c r="H3847" s="242">
        <v>4543</v>
      </c>
      <c r="I3847" s="242">
        <v>1976</v>
      </c>
      <c r="J3847"/>
    </row>
    <row r="3848" spans="1:10" ht="15.75" customHeight="1">
      <c r="A3848" t="s">
        <v>2579</v>
      </c>
      <c r="B3848">
        <v>813267</v>
      </c>
      <c r="C3848">
        <v>1</v>
      </c>
      <c r="D3848" t="str">
        <f t="shared" si="60"/>
        <v>1813267.181</v>
      </c>
      <c r="E3848" t="s">
        <v>2580</v>
      </c>
      <c r="F3848" s="242"/>
      <c r="G3848"/>
      <c r="H3848" s="242">
        <v>52516</v>
      </c>
      <c r="I3848" s="242">
        <v>21851</v>
      </c>
      <c r="J3848"/>
    </row>
    <row r="3849" spans="1:10" ht="15.75" customHeight="1">
      <c r="A3849" t="s">
        <v>2581</v>
      </c>
      <c r="B3849">
        <v>813267</v>
      </c>
      <c r="C3849">
        <v>1</v>
      </c>
      <c r="D3849" t="str">
        <f t="shared" si="60"/>
        <v>1813267.182</v>
      </c>
      <c r="E3849" t="s">
        <v>2582</v>
      </c>
      <c r="F3849" s="242"/>
      <c r="G3849"/>
      <c r="H3849" s="242">
        <v>25818</v>
      </c>
      <c r="I3849" s="242">
        <v>10610</v>
      </c>
      <c r="J3849"/>
    </row>
    <row r="3850" spans="1:10" ht="15.75" customHeight="1">
      <c r="A3850" t="s">
        <v>2606</v>
      </c>
      <c r="B3850">
        <v>813267</v>
      </c>
      <c r="C3850">
        <v>1</v>
      </c>
      <c r="D3850" t="str">
        <f t="shared" si="60"/>
        <v>1813267.440</v>
      </c>
      <c r="E3850" t="s">
        <v>2657</v>
      </c>
      <c r="F3850" s="242"/>
      <c r="G3850"/>
      <c r="H3850" s="242">
        <v>10600</v>
      </c>
      <c r="I3850" s="242">
        <v>10236</v>
      </c>
      <c r="J3850"/>
    </row>
    <row r="3851" spans="1:10" ht="15.75" customHeight="1">
      <c r="A3851" t="s">
        <v>2704</v>
      </c>
      <c r="B3851">
        <v>813267</v>
      </c>
      <c r="C3851">
        <v>1</v>
      </c>
      <c r="D3851" t="str">
        <f t="shared" si="60"/>
        <v>1813267.720</v>
      </c>
      <c r="E3851" t="s">
        <v>3149</v>
      </c>
      <c r="F3851" s="242"/>
      <c r="G3851"/>
      <c r="H3851" s="242">
        <v>0</v>
      </c>
      <c r="I3851" s="242">
        <v>498</v>
      </c>
      <c r="J3851"/>
    </row>
    <row r="3852" spans="1:10" ht="15.75" customHeight="1">
      <c r="A3852" t="s">
        <v>569</v>
      </c>
      <c r="B3852">
        <v>813267</v>
      </c>
      <c r="C3852">
        <v>1</v>
      </c>
      <c r="D3852" t="str">
        <f t="shared" si="60"/>
        <v>1813267.725</v>
      </c>
      <c r="E3852" t="s">
        <v>3153</v>
      </c>
      <c r="F3852" s="242"/>
      <c r="G3852"/>
      <c r="H3852" s="242">
        <v>9393</v>
      </c>
      <c r="I3852" s="242">
        <v>9945</v>
      </c>
      <c r="J3852"/>
    </row>
    <row r="3853" spans="1:10" ht="15.75" customHeight="1">
      <c r="A3853" t="s">
        <v>575</v>
      </c>
      <c r="B3853">
        <v>813267</v>
      </c>
      <c r="C3853">
        <v>1</v>
      </c>
      <c r="D3853" t="str">
        <f t="shared" si="60"/>
        <v>1813267.726</v>
      </c>
      <c r="E3853" t="s">
        <v>3154</v>
      </c>
      <c r="F3853" s="242"/>
      <c r="G3853"/>
      <c r="H3853" s="242">
        <v>4000</v>
      </c>
      <c r="I3853" s="242">
        <v>0</v>
      </c>
      <c r="J3853"/>
    </row>
    <row r="3854" spans="1:10" ht="15.75" customHeight="1">
      <c r="A3854" t="s">
        <v>586</v>
      </c>
      <c r="B3854">
        <v>813267</v>
      </c>
      <c r="C3854">
        <v>1</v>
      </c>
      <c r="D3854" t="str">
        <f t="shared" si="60"/>
        <v>1813267.727</v>
      </c>
      <c r="E3854" t="s">
        <v>3155</v>
      </c>
      <c r="F3854" s="242"/>
      <c r="G3854"/>
      <c r="H3854" s="242">
        <v>0</v>
      </c>
      <c r="I3854" s="242">
        <v>0</v>
      </c>
      <c r="J3854"/>
    </row>
    <row r="3855" spans="1:10" ht="15.75" customHeight="1">
      <c r="A3855" t="s">
        <v>3164</v>
      </c>
      <c r="B3855">
        <v>813267</v>
      </c>
      <c r="C3855">
        <v>1</v>
      </c>
      <c r="D3855" t="str">
        <f t="shared" si="60"/>
        <v>1813267.728</v>
      </c>
      <c r="E3855" t="s">
        <v>3162</v>
      </c>
      <c r="F3855" s="242"/>
      <c r="G3855"/>
      <c r="H3855" s="242">
        <v>0</v>
      </c>
      <c r="I3855" s="242">
        <v>21200</v>
      </c>
      <c r="J3855"/>
    </row>
    <row r="3856" spans="1:10" ht="15.75" customHeight="1">
      <c r="A3856" t="s">
        <v>772</v>
      </c>
      <c r="B3856">
        <v>813267</v>
      </c>
      <c r="C3856">
        <v>1</v>
      </c>
      <c r="D3856" t="str">
        <f t="shared" si="60"/>
        <v>1813267.751</v>
      </c>
      <c r="E3856" t="s">
        <v>3156</v>
      </c>
      <c r="F3856" s="242"/>
      <c r="G3856"/>
      <c r="H3856" s="242">
        <v>5616</v>
      </c>
      <c r="I3856" s="242">
        <v>5616</v>
      </c>
      <c r="J3856"/>
    </row>
    <row r="3857" spans="1:10" ht="15.75" customHeight="1">
      <c r="A3857" t="s">
        <v>3157</v>
      </c>
      <c r="B3857">
        <v>813267</v>
      </c>
      <c r="C3857">
        <v>1</v>
      </c>
      <c r="D3857" t="str">
        <f t="shared" si="60"/>
        <v>1813267.877</v>
      </c>
      <c r="E3857" t="s">
        <v>3158</v>
      </c>
      <c r="F3857" s="242"/>
      <c r="G3857"/>
      <c r="H3857" s="242">
        <v>0</v>
      </c>
      <c r="I3857" s="242">
        <v>0</v>
      </c>
      <c r="J3857"/>
    </row>
    <row r="3858" spans="1:10" ht="15.75" customHeight="1">
      <c r="A3858" t="s">
        <v>3144</v>
      </c>
      <c r="B3858">
        <v>813267</v>
      </c>
      <c r="C3858">
        <v>1</v>
      </c>
      <c r="D3858" t="str">
        <f t="shared" si="60"/>
        <v>1813267.878</v>
      </c>
      <c r="E3858" t="s">
        <v>3159</v>
      </c>
      <c r="F3858" s="242"/>
      <c r="G3858"/>
      <c r="H3858" s="242">
        <v>421770</v>
      </c>
      <c r="I3858" s="242">
        <v>413381</v>
      </c>
      <c r="J3858"/>
    </row>
    <row r="3859" spans="1:10" ht="15.75" customHeight="1">
      <c r="A3859" t="s">
        <v>2403</v>
      </c>
      <c r="B3859">
        <v>813268</v>
      </c>
      <c r="C3859">
        <v>1</v>
      </c>
      <c r="D3859" t="str">
        <f t="shared" si="60"/>
        <v>1813268.110</v>
      </c>
      <c r="E3859" t="s">
        <v>2573</v>
      </c>
      <c r="F3859" s="242"/>
      <c r="G3859"/>
      <c r="H3859" s="242">
        <v>251371</v>
      </c>
      <c r="I3859" s="242">
        <v>58549</v>
      </c>
      <c r="J3859"/>
    </row>
    <row r="3860" spans="1:10" ht="15.75" customHeight="1">
      <c r="A3860" t="s">
        <v>2404</v>
      </c>
      <c r="B3860">
        <v>813268</v>
      </c>
      <c r="C3860">
        <v>1</v>
      </c>
      <c r="D3860" t="str">
        <f t="shared" si="60"/>
        <v>1813268.120</v>
      </c>
      <c r="E3860" t="s">
        <v>2574</v>
      </c>
      <c r="F3860" s="242"/>
      <c r="G3860"/>
      <c r="H3860" s="242">
        <v>46865</v>
      </c>
      <c r="I3860" s="242">
        <v>5095</v>
      </c>
      <c r="J3860"/>
    </row>
    <row r="3861" spans="1:10" ht="15.75" customHeight="1">
      <c r="A3861" t="s">
        <v>2575</v>
      </c>
      <c r="B3861">
        <v>813268</v>
      </c>
      <c r="C3861">
        <v>1</v>
      </c>
      <c r="D3861" t="str">
        <f t="shared" si="60"/>
        <v>1813268.130</v>
      </c>
      <c r="E3861" t="s">
        <v>2576</v>
      </c>
      <c r="F3861" s="242"/>
      <c r="G3861"/>
      <c r="H3861" s="242">
        <v>7987</v>
      </c>
      <c r="I3861" s="242">
        <v>0</v>
      </c>
      <c r="J3861"/>
    </row>
    <row r="3862" spans="1:10" ht="15.75" customHeight="1">
      <c r="A3862" t="s">
        <v>2577</v>
      </c>
      <c r="B3862">
        <v>813268</v>
      </c>
      <c r="C3862">
        <v>1</v>
      </c>
      <c r="D3862" t="str">
        <f t="shared" si="60"/>
        <v>1813268.140</v>
      </c>
      <c r="E3862" t="s">
        <v>2578</v>
      </c>
      <c r="F3862" s="242"/>
      <c r="G3862"/>
      <c r="H3862" s="242">
        <v>23673</v>
      </c>
      <c r="I3862" s="242">
        <v>1368</v>
      </c>
      <c r="J3862"/>
    </row>
    <row r="3863" spans="1:10" ht="15.75" customHeight="1">
      <c r="A3863" t="s">
        <v>2579</v>
      </c>
      <c r="B3863">
        <v>813268</v>
      </c>
      <c r="C3863">
        <v>1</v>
      </c>
      <c r="D3863" t="str">
        <f t="shared" si="60"/>
        <v>1813268.181</v>
      </c>
      <c r="E3863" t="s">
        <v>2580</v>
      </c>
      <c r="F3863" s="242"/>
      <c r="G3863"/>
      <c r="H3863" s="242">
        <v>61790</v>
      </c>
      <c r="I3863" s="242">
        <v>11328</v>
      </c>
      <c r="J3863"/>
    </row>
    <row r="3864" spans="1:10" ht="15.75" customHeight="1">
      <c r="A3864" t="s">
        <v>2581</v>
      </c>
      <c r="B3864">
        <v>813268</v>
      </c>
      <c r="C3864">
        <v>1</v>
      </c>
      <c r="D3864" t="str">
        <f t="shared" si="60"/>
        <v>1813268.182</v>
      </c>
      <c r="E3864" t="s">
        <v>2582</v>
      </c>
      <c r="F3864" s="242"/>
      <c r="G3864"/>
      <c r="H3864" s="242">
        <v>25039</v>
      </c>
      <c r="I3864" s="242">
        <v>4969</v>
      </c>
      <c r="J3864"/>
    </row>
    <row r="3865" spans="1:10" ht="15.75" customHeight="1">
      <c r="A3865" t="s">
        <v>2606</v>
      </c>
      <c r="B3865">
        <v>813268</v>
      </c>
      <c r="C3865">
        <v>1</v>
      </c>
      <c r="D3865" t="str">
        <f t="shared" si="60"/>
        <v>1813268.440</v>
      </c>
      <c r="E3865" t="s">
        <v>2657</v>
      </c>
      <c r="F3865" s="242"/>
      <c r="G3865"/>
      <c r="H3865" s="242">
        <v>10600</v>
      </c>
      <c r="I3865" s="242">
        <v>0</v>
      </c>
      <c r="J3865"/>
    </row>
    <row r="3866" spans="1:10" ht="15.75" customHeight="1">
      <c r="A3866" t="s">
        <v>547</v>
      </c>
      <c r="B3866">
        <v>813268</v>
      </c>
      <c r="C3866">
        <v>1</v>
      </c>
      <c r="D3866" t="str">
        <f t="shared" si="60"/>
        <v>1813268.722</v>
      </c>
      <c r="E3866" t="s">
        <v>3020</v>
      </c>
      <c r="F3866" s="242"/>
      <c r="G3866"/>
      <c r="H3866" s="242">
        <v>100</v>
      </c>
      <c r="I3866" s="242">
        <v>0</v>
      </c>
      <c r="J3866"/>
    </row>
    <row r="3867" spans="1:10" ht="15.75" customHeight="1">
      <c r="A3867" t="s">
        <v>569</v>
      </c>
      <c r="B3867">
        <v>813268</v>
      </c>
      <c r="C3867">
        <v>1</v>
      </c>
      <c r="D3867" t="str">
        <f t="shared" si="60"/>
        <v>1813268.725</v>
      </c>
      <c r="E3867" t="s">
        <v>3153</v>
      </c>
      <c r="F3867" s="242"/>
      <c r="G3867"/>
      <c r="H3867" s="242">
        <v>100</v>
      </c>
      <c r="I3867" s="242">
        <v>2210</v>
      </c>
      <c r="J3867"/>
    </row>
    <row r="3868" spans="1:10" ht="15.75" customHeight="1">
      <c r="A3868" t="s">
        <v>575</v>
      </c>
      <c r="B3868">
        <v>813268</v>
      </c>
      <c r="C3868">
        <v>1</v>
      </c>
      <c r="D3868" t="str">
        <f t="shared" si="60"/>
        <v>1813268.726</v>
      </c>
      <c r="E3868" t="s">
        <v>3182</v>
      </c>
      <c r="F3868" s="242"/>
      <c r="G3868"/>
      <c r="H3868" s="242">
        <v>100</v>
      </c>
      <c r="I3868" s="242">
        <v>4524</v>
      </c>
      <c r="J3868"/>
    </row>
    <row r="3869" spans="1:10" ht="15.75" customHeight="1">
      <c r="A3869" t="s">
        <v>586</v>
      </c>
      <c r="B3869">
        <v>813268</v>
      </c>
      <c r="C3869">
        <v>1</v>
      </c>
      <c r="D3869" t="str">
        <f t="shared" si="60"/>
        <v>1813268.727</v>
      </c>
      <c r="E3869" t="s">
        <v>3155</v>
      </c>
      <c r="F3869" s="242"/>
      <c r="G3869"/>
      <c r="H3869" s="242">
        <v>100</v>
      </c>
      <c r="I3869" s="242">
        <v>0</v>
      </c>
      <c r="J3869"/>
    </row>
    <row r="3870" spans="1:10" ht="15.75" customHeight="1">
      <c r="A3870" t="s">
        <v>772</v>
      </c>
      <c r="B3870">
        <v>813268</v>
      </c>
      <c r="C3870">
        <v>1</v>
      </c>
      <c r="D3870" t="str">
        <f t="shared" si="60"/>
        <v>1813268.751</v>
      </c>
      <c r="E3870" t="s">
        <v>3156</v>
      </c>
      <c r="F3870" s="242"/>
      <c r="G3870"/>
      <c r="H3870" s="242">
        <v>5800</v>
      </c>
      <c r="I3870" s="242">
        <v>0</v>
      </c>
      <c r="J3870"/>
    </row>
    <row r="3871" spans="1:10" ht="15.75" customHeight="1">
      <c r="A3871" t="s">
        <v>3157</v>
      </c>
      <c r="B3871">
        <v>813268</v>
      </c>
      <c r="C3871">
        <v>1</v>
      </c>
      <c r="D3871" t="str">
        <f t="shared" si="60"/>
        <v>1813268.877</v>
      </c>
      <c r="E3871" t="s">
        <v>3158</v>
      </c>
      <c r="F3871" s="242"/>
      <c r="G3871"/>
      <c r="H3871" s="242">
        <v>0</v>
      </c>
      <c r="I3871" s="242">
        <v>0</v>
      </c>
      <c r="J3871"/>
    </row>
    <row r="3872" spans="1:10" ht="15.75" customHeight="1">
      <c r="A3872" t="s">
        <v>3144</v>
      </c>
      <c r="B3872">
        <v>813268</v>
      </c>
      <c r="C3872">
        <v>1</v>
      </c>
      <c r="D3872" t="str">
        <f t="shared" si="60"/>
        <v>1813268.878</v>
      </c>
      <c r="E3872" t="s">
        <v>3159</v>
      </c>
      <c r="F3872" s="242"/>
      <c r="G3872"/>
      <c r="H3872" s="242">
        <v>183540</v>
      </c>
      <c r="I3872" s="242">
        <v>61180</v>
      </c>
      <c r="J3872"/>
    </row>
    <row r="3873" spans="1:10" ht="15.75" customHeight="1">
      <c r="A3873" t="s">
        <v>2740</v>
      </c>
      <c r="B3873">
        <v>813268</v>
      </c>
      <c r="C3873">
        <v>1</v>
      </c>
      <c r="D3873" t="str">
        <f t="shared" si="60"/>
        <v>1813268.930</v>
      </c>
      <c r="E3873" t="s">
        <v>2834</v>
      </c>
      <c r="F3873" s="242"/>
      <c r="G3873"/>
      <c r="H3873" s="242">
        <v>0</v>
      </c>
      <c r="I3873" s="242">
        <v>50000</v>
      </c>
      <c r="J3873"/>
    </row>
    <row r="3874" spans="1:10" ht="15.75" customHeight="1">
      <c r="A3874" t="s">
        <v>2403</v>
      </c>
      <c r="B3874">
        <v>813269</v>
      </c>
      <c r="C3874">
        <v>1</v>
      </c>
      <c r="D3874" t="str">
        <f t="shared" si="60"/>
        <v>1813269.110</v>
      </c>
      <c r="E3874" t="s">
        <v>2573</v>
      </c>
      <c r="F3874" s="242"/>
      <c r="G3874"/>
      <c r="H3874" s="242">
        <v>0</v>
      </c>
      <c r="I3874" s="242">
        <v>0</v>
      </c>
      <c r="J3874"/>
    </row>
    <row r="3875" spans="1:10" ht="15.75" customHeight="1">
      <c r="A3875" t="s">
        <v>2404</v>
      </c>
      <c r="B3875">
        <v>813269</v>
      </c>
      <c r="C3875">
        <v>1</v>
      </c>
      <c r="D3875" t="str">
        <f t="shared" si="60"/>
        <v>1813269.120</v>
      </c>
      <c r="E3875" t="s">
        <v>2574</v>
      </c>
      <c r="F3875" s="242"/>
      <c r="G3875"/>
      <c r="H3875" s="242">
        <v>0</v>
      </c>
      <c r="I3875" s="242">
        <v>0</v>
      </c>
      <c r="J3875"/>
    </row>
    <row r="3876" spans="1:10" ht="15.75" customHeight="1">
      <c r="A3876" t="s">
        <v>2575</v>
      </c>
      <c r="B3876">
        <v>813269</v>
      </c>
      <c r="C3876">
        <v>1</v>
      </c>
      <c r="D3876" t="str">
        <f t="shared" si="60"/>
        <v>1813269.130</v>
      </c>
      <c r="E3876" t="s">
        <v>2576</v>
      </c>
      <c r="F3876" s="242"/>
      <c r="G3876"/>
      <c r="H3876" s="242">
        <v>0</v>
      </c>
      <c r="I3876" s="242">
        <v>0</v>
      </c>
      <c r="J3876"/>
    </row>
    <row r="3877" spans="1:10" ht="15.75" customHeight="1">
      <c r="A3877" t="s">
        <v>2577</v>
      </c>
      <c r="B3877">
        <v>813269</v>
      </c>
      <c r="C3877">
        <v>1</v>
      </c>
      <c r="D3877" t="str">
        <f t="shared" si="60"/>
        <v>1813269.140</v>
      </c>
      <c r="E3877" t="s">
        <v>2578</v>
      </c>
      <c r="F3877" s="242"/>
      <c r="G3877"/>
      <c r="H3877" s="242">
        <v>0</v>
      </c>
      <c r="I3877" s="242">
        <v>0</v>
      </c>
      <c r="J3877"/>
    </row>
    <row r="3878" spans="1:10" ht="15.75" customHeight="1">
      <c r="A3878" t="s">
        <v>2579</v>
      </c>
      <c r="B3878">
        <v>813269</v>
      </c>
      <c r="C3878">
        <v>1</v>
      </c>
      <c r="D3878" t="str">
        <f t="shared" si="60"/>
        <v>1813269.181</v>
      </c>
      <c r="E3878" t="s">
        <v>2580</v>
      </c>
      <c r="F3878" s="242"/>
      <c r="G3878"/>
      <c r="H3878" s="242">
        <v>0</v>
      </c>
      <c r="I3878" s="242">
        <v>0</v>
      </c>
      <c r="J3878"/>
    </row>
    <row r="3879" spans="1:10" ht="15.75" customHeight="1">
      <c r="A3879" t="s">
        <v>2581</v>
      </c>
      <c r="B3879">
        <v>813269</v>
      </c>
      <c r="C3879">
        <v>1</v>
      </c>
      <c r="D3879" t="str">
        <f t="shared" si="60"/>
        <v>1813269.182</v>
      </c>
      <c r="E3879" t="s">
        <v>2582</v>
      </c>
      <c r="F3879" s="242"/>
      <c r="G3879"/>
      <c r="H3879" s="242">
        <v>0</v>
      </c>
      <c r="I3879" s="242">
        <v>0</v>
      </c>
      <c r="J3879"/>
    </row>
    <row r="3880" spans="1:10" ht="15.75" customHeight="1">
      <c r="A3880" t="s">
        <v>2606</v>
      </c>
      <c r="B3880">
        <v>813269</v>
      </c>
      <c r="C3880">
        <v>1</v>
      </c>
      <c r="D3880" t="str">
        <f t="shared" si="60"/>
        <v>1813269.440</v>
      </c>
      <c r="E3880" t="s">
        <v>2657</v>
      </c>
      <c r="F3880" s="242"/>
      <c r="G3880"/>
      <c r="H3880" s="242">
        <v>0</v>
      </c>
      <c r="I3880" s="242">
        <v>0</v>
      </c>
      <c r="J3880"/>
    </row>
    <row r="3881" spans="1:10" ht="15.75" customHeight="1">
      <c r="A3881" t="s">
        <v>2704</v>
      </c>
      <c r="B3881">
        <v>813269</v>
      </c>
      <c r="C3881">
        <v>1</v>
      </c>
      <c r="D3881" t="str">
        <f t="shared" si="60"/>
        <v>1813269.720</v>
      </c>
      <c r="E3881" t="s">
        <v>3149</v>
      </c>
      <c r="F3881" s="242"/>
      <c r="G3881"/>
      <c r="H3881" s="242">
        <v>0</v>
      </c>
      <c r="I3881" s="242">
        <v>0</v>
      </c>
      <c r="J3881"/>
    </row>
    <row r="3882" spans="1:10" ht="15.75" customHeight="1">
      <c r="A3882" t="s">
        <v>547</v>
      </c>
      <c r="B3882">
        <v>813269</v>
      </c>
      <c r="C3882">
        <v>1</v>
      </c>
      <c r="D3882" t="str">
        <f t="shared" si="60"/>
        <v>1813269.722</v>
      </c>
      <c r="E3882" t="s">
        <v>3020</v>
      </c>
      <c r="F3882" s="242"/>
      <c r="G3882"/>
      <c r="H3882" s="242">
        <v>0</v>
      </c>
      <c r="I3882" s="242">
        <v>0</v>
      </c>
      <c r="J3882"/>
    </row>
    <row r="3883" spans="1:10" ht="15.75" customHeight="1">
      <c r="A3883" t="s">
        <v>569</v>
      </c>
      <c r="B3883">
        <v>813269</v>
      </c>
      <c r="C3883">
        <v>1</v>
      </c>
      <c r="D3883" t="str">
        <f t="shared" si="60"/>
        <v>1813269.725</v>
      </c>
      <c r="E3883" t="s">
        <v>3153</v>
      </c>
      <c r="F3883" s="242"/>
      <c r="G3883"/>
      <c r="H3883" s="242">
        <v>0</v>
      </c>
      <c r="I3883" s="242">
        <v>0</v>
      </c>
      <c r="J3883"/>
    </row>
    <row r="3884" spans="1:10" ht="15.75" customHeight="1">
      <c r="A3884" t="s">
        <v>575</v>
      </c>
      <c r="B3884">
        <v>813269</v>
      </c>
      <c r="C3884">
        <v>1</v>
      </c>
      <c r="D3884" t="str">
        <f t="shared" si="60"/>
        <v>1813269.726</v>
      </c>
      <c r="E3884" t="s">
        <v>3185</v>
      </c>
      <c r="F3884" s="242"/>
      <c r="G3884"/>
      <c r="H3884" s="242">
        <v>0</v>
      </c>
      <c r="I3884" s="242">
        <v>0</v>
      </c>
      <c r="J3884"/>
    </row>
    <row r="3885" spans="1:10" ht="15.75" customHeight="1">
      <c r="A3885" t="s">
        <v>586</v>
      </c>
      <c r="B3885">
        <v>813269</v>
      </c>
      <c r="C3885">
        <v>1</v>
      </c>
      <c r="D3885" t="str">
        <f t="shared" si="60"/>
        <v>1813269.727</v>
      </c>
      <c r="E3885" t="s">
        <v>3155</v>
      </c>
      <c r="F3885" s="242"/>
      <c r="G3885"/>
      <c r="H3885" s="242">
        <v>0</v>
      </c>
      <c r="I3885" s="242">
        <v>0</v>
      </c>
      <c r="J3885"/>
    </row>
    <row r="3886" spans="1:10" ht="15.75" customHeight="1">
      <c r="A3886" t="s">
        <v>3164</v>
      </c>
      <c r="B3886">
        <v>813269</v>
      </c>
      <c r="C3886">
        <v>1</v>
      </c>
      <c r="D3886" t="str">
        <f t="shared" si="60"/>
        <v>1813269.728</v>
      </c>
      <c r="E3886" t="s">
        <v>3162</v>
      </c>
      <c r="F3886" s="242"/>
      <c r="G3886"/>
      <c r="H3886" s="242">
        <v>0</v>
      </c>
      <c r="I3886" s="242">
        <v>0</v>
      </c>
      <c r="J3886"/>
    </row>
    <row r="3887" spans="1:10" ht="15.75" customHeight="1">
      <c r="A3887" t="s">
        <v>772</v>
      </c>
      <c r="B3887">
        <v>813269</v>
      </c>
      <c r="C3887">
        <v>1</v>
      </c>
      <c r="D3887" t="str">
        <f t="shared" si="60"/>
        <v>1813269.751</v>
      </c>
      <c r="E3887" t="s">
        <v>3156</v>
      </c>
      <c r="F3887" s="242"/>
      <c r="G3887"/>
      <c r="H3887" s="242">
        <v>0</v>
      </c>
      <c r="I3887" s="242">
        <v>0</v>
      </c>
      <c r="J3887"/>
    </row>
    <row r="3888" spans="1:10" ht="15.75" customHeight="1">
      <c r="A3888" t="s">
        <v>3144</v>
      </c>
      <c r="B3888">
        <v>813269</v>
      </c>
      <c r="C3888">
        <v>1</v>
      </c>
      <c r="D3888" t="str">
        <f t="shared" si="60"/>
        <v>1813269.878</v>
      </c>
      <c r="E3888" t="s">
        <v>3159</v>
      </c>
      <c r="F3888" s="242"/>
      <c r="G3888"/>
      <c r="H3888" s="242">
        <v>0</v>
      </c>
      <c r="I3888" s="242">
        <v>0</v>
      </c>
      <c r="J3888"/>
    </row>
    <row r="3889" spans="1:10" ht="15.75" customHeight="1">
      <c r="A3889" t="s">
        <v>547</v>
      </c>
      <c r="B3889">
        <v>813300</v>
      </c>
      <c r="C3889">
        <v>1</v>
      </c>
      <c r="D3889" t="str">
        <f t="shared" si="60"/>
        <v>1813300.722</v>
      </c>
      <c r="E3889" t="s">
        <v>3020</v>
      </c>
      <c r="F3889" s="242"/>
      <c r="G3889"/>
      <c r="H3889" s="242">
        <v>100</v>
      </c>
      <c r="I3889" s="242">
        <v>0</v>
      </c>
      <c r="J3889"/>
    </row>
    <row r="3890" spans="1:10" ht="15.75" customHeight="1">
      <c r="A3890" t="s">
        <v>569</v>
      </c>
      <c r="B3890">
        <v>813300</v>
      </c>
      <c r="C3890">
        <v>1</v>
      </c>
      <c r="D3890" t="str">
        <f t="shared" si="60"/>
        <v>1813300.725</v>
      </c>
      <c r="E3890" t="s">
        <v>3153</v>
      </c>
      <c r="F3890" s="242"/>
      <c r="G3890"/>
      <c r="H3890" s="242">
        <v>4973</v>
      </c>
      <c r="I3890" s="242">
        <v>6078</v>
      </c>
      <c r="J3890"/>
    </row>
    <row r="3891" spans="1:10" ht="15.75" customHeight="1">
      <c r="A3891" t="s">
        <v>575</v>
      </c>
      <c r="B3891">
        <v>813300</v>
      </c>
      <c r="C3891">
        <v>1</v>
      </c>
      <c r="D3891" t="str">
        <f t="shared" si="60"/>
        <v>1813300.726</v>
      </c>
      <c r="E3891" t="s">
        <v>3090</v>
      </c>
      <c r="F3891" s="242"/>
      <c r="G3891"/>
      <c r="H3891" s="242">
        <v>2431</v>
      </c>
      <c r="I3891" s="242">
        <v>0</v>
      </c>
      <c r="J3891"/>
    </row>
    <row r="3892" spans="1:10" ht="15.75" customHeight="1">
      <c r="A3892" t="s">
        <v>586</v>
      </c>
      <c r="B3892">
        <v>813300</v>
      </c>
      <c r="C3892">
        <v>1</v>
      </c>
      <c r="D3892" t="str">
        <f t="shared" si="60"/>
        <v>1813300.727</v>
      </c>
      <c r="E3892" t="s">
        <v>3234</v>
      </c>
      <c r="F3892" s="242"/>
      <c r="G3892"/>
      <c r="H3892" s="242">
        <v>25389</v>
      </c>
      <c r="I3892" s="242">
        <v>2907</v>
      </c>
      <c r="J3892"/>
    </row>
    <row r="3893" spans="1:10" ht="15.75" customHeight="1">
      <c r="A3893" t="s">
        <v>3164</v>
      </c>
      <c r="B3893">
        <v>813300</v>
      </c>
      <c r="C3893">
        <v>1</v>
      </c>
      <c r="D3893" t="str">
        <f t="shared" si="60"/>
        <v>1813300.728</v>
      </c>
      <c r="E3893" t="s">
        <v>3235</v>
      </c>
      <c r="F3893" s="242"/>
      <c r="G3893"/>
      <c r="H3893" s="242">
        <v>43992</v>
      </c>
      <c r="I3893" s="242">
        <v>46737</v>
      </c>
      <c r="J3893"/>
    </row>
    <row r="3894" spans="1:10" ht="15.75" customHeight="1">
      <c r="A3894" t="s">
        <v>872</v>
      </c>
      <c r="B3894">
        <v>813300</v>
      </c>
      <c r="C3894">
        <v>1</v>
      </c>
      <c r="D3894" t="str">
        <f t="shared" si="60"/>
        <v>1813300.781</v>
      </c>
      <c r="E3894" t="s">
        <v>3236</v>
      </c>
      <c r="F3894" s="242"/>
      <c r="G3894"/>
      <c r="H3894" s="242">
        <v>54901</v>
      </c>
      <c r="I3894" s="242">
        <v>59815</v>
      </c>
      <c r="J3894"/>
    </row>
    <row r="3895" spans="1:10" ht="15.75" customHeight="1">
      <c r="A3895" t="s">
        <v>2674</v>
      </c>
      <c r="B3895">
        <v>813300</v>
      </c>
      <c r="C3895">
        <v>1</v>
      </c>
      <c r="D3895" t="str">
        <f t="shared" si="60"/>
        <v>1813300.783</v>
      </c>
      <c r="E3895" t="s">
        <v>3237</v>
      </c>
      <c r="F3895" s="242"/>
      <c r="G3895"/>
      <c r="H3895" s="242">
        <v>156574</v>
      </c>
      <c r="I3895" s="242">
        <v>173453</v>
      </c>
      <c r="J3895"/>
    </row>
    <row r="3896" spans="1:10" ht="15.75" customHeight="1">
      <c r="A3896" t="s">
        <v>2676</v>
      </c>
      <c r="B3896">
        <v>813300</v>
      </c>
      <c r="C3896">
        <v>1</v>
      </c>
      <c r="D3896" t="str">
        <f t="shared" si="60"/>
        <v>1813300.784</v>
      </c>
      <c r="E3896" t="s">
        <v>3238</v>
      </c>
      <c r="F3896" s="242"/>
      <c r="G3896"/>
      <c r="H3896" s="242">
        <v>0</v>
      </c>
      <c r="I3896" s="242">
        <v>0</v>
      </c>
      <c r="J3896"/>
    </row>
    <row r="3897" spans="1:10" ht="15.75" customHeight="1">
      <c r="A3897" t="s">
        <v>2403</v>
      </c>
      <c r="B3897">
        <v>813310</v>
      </c>
      <c r="C3897">
        <v>1</v>
      </c>
      <c r="D3897" t="str">
        <f t="shared" si="60"/>
        <v>1813310.110</v>
      </c>
      <c r="E3897" t="s">
        <v>3142</v>
      </c>
      <c r="F3897" s="242"/>
      <c r="G3897"/>
      <c r="H3897" s="242">
        <v>862323</v>
      </c>
      <c r="I3897" s="242">
        <v>910002</v>
      </c>
      <c r="J3897"/>
    </row>
    <row r="3898" spans="1:10" ht="15.75" customHeight="1">
      <c r="A3898" t="s">
        <v>2404</v>
      </c>
      <c r="B3898">
        <v>813310</v>
      </c>
      <c r="C3898">
        <v>1</v>
      </c>
      <c r="D3898" t="str">
        <f t="shared" si="60"/>
        <v>1813310.120</v>
      </c>
      <c r="E3898" t="s">
        <v>2574</v>
      </c>
      <c r="F3898" s="242"/>
      <c r="G3898"/>
      <c r="H3898" s="242">
        <v>116358</v>
      </c>
      <c r="I3898" s="242">
        <v>123937</v>
      </c>
      <c r="J3898"/>
    </row>
    <row r="3899" spans="1:10" ht="15.75" customHeight="1">
      <c r="A3899" t="s">
        <v>2575</v>
      </c>
      <c r="B3899">
        <v>813310</v>
      </c>
      <c r="C3899">
        <v>1</v>
      </c>
      <c r="D3899" t="str">
        <f t="shared" si="60"/>
        <v>1813310.130</v>
      </c>
      <c r="E3899" t="s">
        <v>2576</v>
      </c>
      <c r="F3899" s="242"/>
      <c r="G3899"/>
      <c r="H3899" s="242">
        <v>10533</v>
      </c>
      <c r="I3899" s="242">
        <v>13331</v>
      </c>
      <c r="J3899"/>
    </row>
    <row r="3900" spans="1:10" ht="15.75" customHeight="1">
      <c r="A3900" t="s">
        <v>2577</v>
      </c>
      <c r="B3900">
        <v>813310</v>
      </c>
      <c r="C3900">
        <v>1</v>
      </c>
      <c r="D3900" t="str">
        <f t="shared" si="60"/>
        <v>1813310.140</v>
      </c>
      <c r="E3900" t="s">
        <v>2578</v>
      </c>
      <c r="F3900" s="242"/>
      <c r="G3900"/>
      <c r="H3900" s="242">
        <v>46116</v>
      </c>
      <c r="I3900" s="242">
        <v>42331</v>
      </c>
      <c r="J3900"/>
    </row>
    <row r="3901" spans="1:10" ht="15.75" customHeight="1">
      <c r="A3901" t="s">
        <v>2579</v>
      </c>
      <c r="B3901">
        <v>813310</v>
      </c>
      <c r="C3901">
        <v>1</v>
      </c>
      <c r="D3901" t="str">
        <f t="shared" si="60"/>
        <v>1813310.181</v>
      </c>
      <c r="E3901" t="s">
        <v>2580</v>
      </c>
      <c r="F3901" s="242"/>
      <c r="G3901"/>
      <c r="H3901" s="242">
        <v>180797</v>
      </c>
      <c r="I3901" s="242">
        <v>190100</v>
      </c>
      <c r="J3901"/>
    </row>
    <row r="3902" spans="1:10" ht="15.75" customHeight="1">
      <c r="A3902" t="s">
        <v>2581</v>
      </c>
      <c r="B3902">
        <v>813310</v>
      </c>
      <c r="C3902">
        <v>1</v>
      </c>
      <c r="D3902" t="str">
        <f t="shared" si="60"/>
        <v>1813310.182</v>
      </c>
      <c r="E3902" t="s">
        <v>2582</v>
      </c>
      <c r="F3902" s="242"/>
      <c r="G3902"/>
      <c r="H3902" s="242">
        <v>78677</v>
      </c>
      <c r="I3902" s="242">
        <v>82786</v>
      </c>
      <c r="J3902"/>
    </row>
    <row r="3903" spans="1:10" ht="15.75" customHeight="1">
      <c r="A3903" t="s">
        <v>2403</v>
      </c>
      <c r="B3903">
        <v>813320</v>
      </c>
      <c r="C3903">
        <v>1</v>
      </c>
      <c r="D3903" t="str">
        <f t="shared" si="60"/>
        <v>1813320.110</v>
      </c>
      <c r="E3903" t="s">
        <v>3211</v>
      </c>
      <c r="F3903" s="242"/>
      <c r="G3903"/>
      <c r="H3903" s="242">
        <v>762822</v>
      </c>
      <c r="I3903" s="242">
        <v>704177</v>
      </c>
      <c r="J3903"/>
    </row>
    <row r="3904" spans="1:10" ht="15.75" customHeight="1">
      <c r="A3904" t="s">
        <v>2404</v>
      </c>
      <c r="B3904">
        <v>813320</v>
      </c>
      <c r="C3904">
        <v>1</v>
      </c>
      <c r="D3904" t="str">
        <f t="shared" si="60"/>
        <v>1813320.120</v>
      </c>
      <c r="E3904" t="s">
        <v>2574</v>
      </c>
      <c r="F3904" s="242"/>
      <c r="G3904"/>
      <c r="H3904" s="242">
        <v>177085</v>
      </c>
      <c r="I3904" s="242">
        <v>153971</v>
      </c>
      <c r="J3904"/>
    </row>
    <row r="3905" spans="1:10" ht="15.75" customHeight="1">
      <c r="A3905" t="s">
        <v>2575</v>
      </c>
      <c r="B3905">
        <v>813320</v>
      </c>
      <c r="C3905">
        <v>1</v>
      </c>
      <c r="D3905" t="str">
        <f t="shared" si="60"/>
        <v>1813320.130</v>
      </c>
      <c r="E3905" t="s">
        <v>2576</v>
      </c>
      <c r="F3905" s="242"/>
      <c r="G3905"/>
      <c r="H3905" s="242">
        <v>59722</v>
      </c>
      <c r="I3905" s="242">
        <v>66913</v>
      </c>
      <c r="J3905"/>
    </row>
    <row r="3906" spans="1:10" ht="15.75" customHeight="1">
      <c r="A3906" t="s">
        <v>2577</v>
      </c>
      <c r="B3906">
        <v>813320</v>
      </c>
      <c r="C3906">
        <v>1</v>
      </c>
      <c r="D3906" t="str">
        <f t="shared" si="60"/>
        <v>1813320.140</v>
      </c>
      <c r="E3906" t="s">
        <v>2578</v>
      </c>
      <c r="F3906" s="242"/>
      <c r="G3906"/>
      <c r="H3906" s="242">
        <v>20644</v>
      </c>
      <c r="I3906" s="242">
        <v>19032</v>
      </c>
      <c r="J3906"/>
    </row>
    <row r="3907" spans="1:10" ht="15.75" customHeight="1">
      <c r="A3907" t="s">
        <v>2579</v>
      </c>
      <c r="B3907">
        <v>813320</v>
      </c>
      <c r="C3907">
        <v>1</v>
      </c>
      <c r="D3907" t="str">
        <f t="shared" ref="D3907:D3970" si="61">C3907&amp;B3907&amp;"."&amp;A3907</f>
        <v>1813320.181</v>
      </c>
      <c r="E3907" t="s">
        <v>2580</v>
      </c>
      <c r="F3907" s="242"/>
      <c r="G3907"/>
      <c r="H3907" s="242">
        <v>188452</v>
      </c>
      <c r="I3907" s="242">
        <v>172456</v>
      </c>
      <c r="J3907"/>
    </row>
    <row r="3908" spans="1:10" ht="15.75" customHeight="1">
      <c r="A3908" t="s">
        <v>2581</v>
      </c>
      <c r="B3908">
        <v>813320</v>
      </c>
      <c r="C3908">
        <v>1</v>
      </c>
      <c r="D3908" t="str">
        <f t="shared" si="61"/>
        <v>1813320.182</v>
      </c>
      <c r="E3908" t="s">
        <v>2582</v>
      </c>
      <c r="F3908" s="242"/>
      <c r="G3908"/>
      <c r="H3908" s="242">
        <v>77439</v>
      </c>
      <c r="I3908" s="242">
        <v>71646</v>
      </c>
      <c r="J3908"/>
    </row>
    <row r="3909" spans="1:10" ht="15.75" customHeight="1">
      <c r="A3909" t="s">
        <v>2571</v>
      </c>
      <c r="B3909">
        <v>813330</v>
      </c>
      <c r="C3909">
        <v>1</v>
      </c>
      <c r="D3909" t="str">
        <f t="shared" si="61"/>
        <v>1813330.105</v>
      </c>
      <c r="E3909" t="s">
        <v>2572</v>
      </c>
      <c r="F3909" s="242"/>
      <c r="G3909"/>
      <c r="H3909" s="242">
        <v>0</v>
      </c>
      <c r="I3909" s="242">
        <v>59130</v>
      </c>
      <c r="J3909"/>
    </row>
    <row r="3910" spans="1:10" ht="15.75" customHeight="1">
      <c r="A3910" t="s">
        <v>2403</v>
      </c>
      <c r="B3910">
        <v>813330</v>
      </c>
      <c r="C3910">
        <v>1</v>
      </c>
      <c r="D3910" t="str">
        <f t="shared" si="61"/>
        <v>1813330.110</v>
      </c>
      <c r="E3910" t="s">
        <v>3212</v>
      </c>
      <c r="F3910" s="242"/>
      <c r="G3910"/>
      <c r="H3910" s="242">
        <v>10508854</v>
      </c>
      <c r="I3910" s="242">
        <v>9856831</v>
      </c>
      <c r="J3910"/>
    </row>
    <row r="3911" spans="1:10" ht="15.75" customHeight="1">
      <c r="A3911" t="s">
        <v>2404</v>
      </c>
      <c r="B3911">
        <v>813330</v>
      </c>
      <c r="C3911">
        <v>1</v>
      </c>
      <c r="D3911" t="str">
        <f t="shared" si="61"/>
        <v>1813330.120</v>
      </c>
      <c r="E3911" t="s">
        <v>2574</v>
      </c>
      <c r="F3911" s="242"/>
      <c r="G3911"/>
      <c r="H3911" s="242">
        <v>3596406</v>
      </c>
      <c r="I3911" s="242">
        <v>3435987</v>
      </c>
      <c r="J3911"/>
    </row>
    <row r="3912" spans="1:10" ht="15.75" customHeight="1">
      <c r="A3912" t="s">
        <v>2575</v>
      </c>
      <c r="B3912">
        <v>813330</v>
      </c>
      <c r="C3912">
        <v>1</v>
      </c>
      <c r="D3912" t="str">
        <f t="shared" si="61"/>
        <v>1813330.130</v>
      </c>
      <c r="E3912" t="s">
        <v>2576</v>
      </c>
      <c r="F3912" s="242"/>
      <c r="G3912"/>
      <c r="H3912" s="242">
        <v>592900</v>
      </c>
      <c r="I3912" s="242">
        <v>432140</v>
      </c>
      <c r="J3912"/>
    </row>
    <row r="3913" spans="1:10" ht="15.75" customHeight="1">
      <c r="A3913" t="s">
        <v>2577</v>
      </c>
      <c r="B3913">
        <v>813330</v>
      </c>
      <c r="C3913">
        <v>1</v>
      </c>
      <c r="D3913" t="str">
        <f t="shared" si="61"/>
        <v>1813330.140</v>
      </c>
      <c r="E3913" t="s">
        <v>2578</v>
      </c>
      <c r="F3913" s="242"/>
      <c r="G3913"/>
      <c r="H3913" s="242">
        <v>424313</v>
      </c>
      <c r="I3913" s="242">
        <v>385462</v>
      </c>
      <c r="J3913"/>
    </row>
    <row r="3914" spans="1:10" ht="15.75" customHeight="1">
      <c r="A3914" t="s">
        <v>2579</v>
      </c>
      <c r="B3914">
        <v>813330</v>
      </c>
      <c r="C3914">
        <v>1</v>
      </c>
      <c r="D3914" t="str">
        <f t="shared" si="61"/>
        <v>1813330.181</v>
      </c>
      <c r="E3914" t="s">
        <v>2580</v>
      </c>
      <c r="F3914" s="242"/>
      <c r="G3914"/>
      <c r="H3914" s="242">
        <v>2698630</v>
      </c>
      <c r="I3914" s="242">
        <v>2506075</v>
      </c>
      <c r="J3914"/>
    </row>
    <row r="3915" spans="1:10" ht="15.75" customHeight="1">
      <c r="A3915" t="s">
        <v>2581</v>
      </c>
      <c r="B3915">
        <v>813330</v>
      </c>
      <c r="C3915">
        <v>1</v>
      </c>
      <c r="D3915" t="str">
        <f t="shared" si="61"/>
        <v>1813330.182</v>
      </c>
      <c r="E3915" t="s">
        <v>2582</v>
      </c>
      <c r="F3915" s="242"/>
      <c r="G3915"/>
      <c r="H3915" s="242">
        <v>1148890</v>
      </c>
      <c r="I3915" s="242">
        <v>1071539</v>
      </c>
      <c r="J3915"/>
    </row>
    <row r="3916" spans="1:10" ht="15.75" customHeight="1">
      <c r="A3916" t="s">
        <v>2652</v>
      </c>
      <c r="B3916">
        <v>813330</v>
      </c>
      <c r="C3916">
        <v>1</v>
      </c>
      <c r="D3916" t="str">
        <f t="shared" si="61"/>
        <v>1813330.420</v>
      </c>
      <c r="E3916" t="s">
        <v>2653</v>
      </c>
      <c r="F3916" s="242"/>
      <c r="G3916"/>
      <c r="H3916" s="242">
        <v>42500</v>
      </c>
      <c r="I3916" s="242">
        <v>44414</v>
      </c>
      <c r="J3916"/>
    </row>
    <row r="3917" spans="1:10" ht="15.75" customHeight="1">
      <c r="A3917" t="s">
        <v>2809</v>
      </c>
      <c r="B3917">
        <v>813330</v>
      </c>
      <c r="C3917">
        <v>1</v>
      </c>
      <c r="D3917" t="str">
        <f t="shared" si="61"/>
        <v>1813330.424</v>
      </c>
      <c r="E3917" t="s">
        <v>2810</v>
      </c>
      <c r="F3917" s="242"/>
      <c r="G3917"/>
      <c r="H3917" s="242">
        <v>46000</v>
      </c>
      <c r="I3917" s="242">
        <v>4989</v>
      </c>
      <c r="J3917"/>
    </row>
    <row r="3918" spans="1:10" ht="15.75" customHeight="1">
      <c r="A3918" t="s">
        <v>1663</v>
      </c>
      <c r="B3918">
        <v>813330</v>
      </c>
      <c r="C3918">
        <v>1</v>
      </c>
      <c r="D3918" t="str">
        <f t="shared" si="61"/>
        <v>1813330.431</v>
      </c>
      <c r="E3918" t="s">
        <v>2654</v>
      </c>
      <c r="F3918" s="242"/>
      <c r="G3918"/>
      <c r="H3918" s="242">
        <v>526000</v>
      </c>
      <c r="I3918" s="242">
        <v>590777</v>
      </c>
      <c r="J3918"/>
    </row>
    <row r="3919" spans="1:10" ht="15.75" customHeight="1">
      <c r="A3919" t="s">
        <v>1668</v>
      </c>
      <c r="B3919">
        <v>813330</v>
      </c>
      <c r="C3919">
        <v>1</v>
      </c>
      <c r="D3919" t="str">
        <f t="shared" si="61"/>
        <v>1813330.432</v>
      </c>
      <c r="E3919" t="s">
        <v>2687</v>
      </c>
      <c r="F3919" s="242"/>
      <c r="G3919"/>
      <c r="H3919" s="242">
        <v>315000</v>
      </c>
      <c r="I3919" s="242">
        <v>386200</v>
      </c>
      <c r="J3919"/>
    </row>
    <row r="3920" spans="1:10" ht="15.75" customHeight="1">
      <c r="A3920" t="s">
        <v>1678</v>
      </c>
      <c r="B3920">
        <v>813330</v>
      </c>
      <c r="C3920">
        <v>1</v>
      </c>
      <c r="D3920" t="str">
        <f t="shared" si="61"/>
        <v>1813330.434</v>
      </c>
      <c r="E3920" t="s">
        <v>2753</v>
      </c>
      <c r="F3920" s="242"/>
      <c r="G3920"/>
      <c r="H3920" s="242">
        <v>1250000</v>
      </c>
      <c r="I3920" s="242">
        <v>992256</v>
      </c>
      <c r="J3920"/>
    </row>
    <row r="3921" spans="1:10" ht="15.75" customHeight="1">
      <c r="A3921" t="s">
        <v>2606</v>
      </c>
      <c r="B3921">
        <v>813330</v>
      </c>
      <c r="C3921">
        <v>1</v>
      </c>
      <c r="D3921" t="str">
        <f t="shared" si="61"/>
        <v>1813330.440</v>
      </c>
      <c r="E3921" t="s">
        <v>2657</v>
      </c>
      <c r="F3921" s="242"/>
      <c r="G3921"/>
      <c r="H3921" s="242">
        <v>87800</v>
      </c>
      <c r="I3921" s="242">
        <v>84796</v>
      </c>
      <c r="J3921"/>
    </row>
    <row r="3922" spans="1:10" ht="15.75" customHeight="1">
      <c r="A3922" t="s">
        <v>2286</v>
      </c>
      <c r="B3922">
        <v>813330</v>
      </c>
      <c r="C3922">
        <v>1</v>
      </c>
      <c r="D3922" t="str">
        <f t="shared" si="61"/>
        <v>1813330.511</v>
      </c>
      <c r="E3922" t="s">
        <v>2584</v>
      </c>
      <c r="F3922" s="242"/>
      <c r="G3922"/>
      <c r="H3922" s="242">
        <v>60000</v>
      </c>
      <c r="I3922" s="242">
        <v>45540</v>
      </c>
      <c r="J3922"/>
    </row>
    <row r="3923" spans="1:10" ht="15.75" customHeight="1">
      <c r="A3923" t="s">
        <v>2594</v>
      </c>
      <c r="B3923">
        <v>813330</v>
      </c>
      <c r="C3923">
        <v>1</v>
      </c>
      <c r="D3923" t="str">
        <f t="shared" si="61"/>
        <v>1813330.540</v>
      </c>
      <c r="E3923" t="s">
        <v>2595</v>
      </c>
      <c r="F3923" s="242"/>
      <c r="G3923"/>
      <c r="H3923" s="242">
        <v>65000</v>
      </c>
      <c r="I3923" s="242">
        <v>50674</v>
      </c>
      <c r="J3923"/>
    </row>
    <row r="3924" spans="1:10" ht="15.75" customHeight="1">
      <c r="A3924" t="s">
        <v>2771</v>
      </c>
      <c r="B3924">
        <v>813330</v>
      </c>
      <c r="C3924">
        <v>1</v>
      </c>
      <c r="D3924" t="str">
        <f t="shared" si="61"/>
        <v>1813330.570</v>
      </c>
      <c r="E3924" t="s">
        <v>3213</v>
      </c>
      <c r="F3924" s="242"/>
      <c r="G3924"/>
      <c r="H3924" s="242">
        <v>3400</v>
      </c>
      <c r="I3924" s="242">
        <v>3239</v>
      </c>
      <c r="J3924"/>
    </row>
    <row r="3925" spans="1:10" ht="15.75" customHeight="1">
      <c r="A3925" t="s">
        <v>547</v>
      </c>
      <c r="B3925">
        <v>813330</v>
      </c>
      <c r="C3925">
        <v>1</v>
      </c>
      <c r="D3925" t="str">
        <f t="shared" si="61"/>
        <v>1813330.722</v>
      </c>
      <c r="E3925" t="s">
        <v>3214</v>
      </c>
      <c r="F3925" s="242"/>
      <c r="G3925"/>
      <c r="H3925" s="242">
        <v>100</v>
      </c>
      <c r="I3925" s="242">
        <v>188008</v>
      </c>
      <c r="J3925"/>
    </row>
    <row r="3926" spans="1:10" ht="15.75" customHeight="1">
      <c r="A3926" t="s">
        <v>558</v>
      </c>
      <c r="B3926">
        <v>813330</v>
      </c>
      <c r="C3926">
        <v>1</v>
      </c>
      <c r="D3926" t="str">
        <f t="shared" si="61"/>
        <v>1813330.723</v>
      </c>
      <c r="E3926" t="s">
        <v>3215</v>
      </c>
      <c r="F3926" s="242"/>
      <c r="G3926"/>
      <c r="H3926" s="242">
        <v>1267287</v>
      </c>
      <c r="I3926" s="242">
        <v>1015581</v>
      </c>
      <c r="J3926"/>
    </row>
    <row r="3927" spans="1:10" ht="15.75" customHeight="1">
      <c r="A3927" t="s">
        <v>3164</v>
      </c>
      <c r="B3927">
        <v>813330</v>
      </c>
      <c r="C3927">
        <v>1</v>
      </c>
      <c r="D3927" t="str">
        <f t="shared" si="61"/>
        <v>1813330.728</v>
      </c>
      <c r="E3927" t="s">
        <v>3216</v>
      </c>
      <c r="F3927" s="242"/>
      <c r="G3927"/>
      <c r="H3927" s="242">
        <v>265000</v>
      </c>
      <c r="I3927" s="242">
        <v>228429</v>
      </c>
      <c r="J3927"/>
    </row>
    <row r="3928" spans="1:10" ht="15.75" customHeight="1">
      <c r="A3928" t="s">
        <v>2611</v>
      </c>
      <c r="B3928">
        <v>813330</v>
      </c>
      <c r="C3928">
        <v>1</v>
      </c>
      <c r="D3928" t="str">
        <f t="shared" si="61"/>
        <v>1813330.750</v>
      </c>
      <c r="E3928" t="s">
        <v>3217</v>
      </c>
      <c r="F3928" s="242"/>
      <c r="G3928"/>
      <c r="H3928" s="242">
        <v>120000</v>
      </c>
      <c r="I3928" s="242">
        <v>0</v>
      </c>
      <c r="J3928"/>
    </row>
    <row r="3929" spans="1:10" ht="15.75" customHeight="1">
      <c r="A3929" t="s">
        <v>772</v>
      </c>
      <c r="B3929">
        <v>813330</v>
      </c>
      <c r="C3929">
        <v>1</v>
      </c>
      <c r="D3929" t="str">
        <f t="shared" si="61"/>
        <v>1813330.751</v>
      </c>
      <c r="E3929" t="s">
        <v>2708</v>
      </c>
      <c r="F3929" s="242"/>
      <c r="G3929"/>
      <c r="H3929" s="242">
        <v>270000</v>
      </c>
      <c r="I3929" s="242">
        <v>204326</v>
      </c>
      <c r="J3929"/>
    </row>
    <row r="3930" spans="1:10" ht="15.75" customHeight="1">
      <c r="A3930" t="s">
        <v>781</v>
      </c>
      <c r="B3930">
        <v>813330</v>
      </c>
      <c r="C3930">
        <v>1</v>
      </c>
      <c r="D3930" t="str">
        <f t="shared" si="61"/>
        <v>1813330.753</v>
      </c>
      <c r="E3930" t="s">
        <v>2835</v>
      </c>
      <c r="F3930" s="242"/>
      <c r="G3930"/>
      <c r="H3930" s="242">
        <v>35000</v>
      </c>
      <c r="I3930" s="242">
        <v>23912</v>
      </c>
      <c r="J3930"/>
    </row>
    <row r="3931" spans="1:10" ht="15.75" customHeight="1">
      <c r="A3931" t="s">
        <v>2632</v>
      </c>
      <c r="B3931">
        <v>813330</v>
      </c>
      <c r="C3931">
        <v>1</v>
      </c>
      <c r="D3931" t="str">
        <f t="shared" si="61"/>
        <v>1813330.780</v>
      </c>
      <c r="E3931" t="s">
        <v>3190</v>
      </c>
      <c r="F3931" s="242"/>
      <c r="G3931"/>
      <c r="H3931" s="242">
        <v>180000</v>
      </c>
      <c r="I3931" s="242">
        <v>126089</v>
      </c>
      <c r="J3931"/>
    </row>
    <row r="3932" spans="1:10" ht="15.75" customHeight="1">
      <c r="A3932" t="s">
        <v>872</v>
      </c>
      <c r="B3932">
        <v>813330</v>
      </c>
      <c r="C3932">
        <v>1</v>
      </c>
      <c r="D3932" t="str">
        <f t="shared" si="61"/>
        <v>1813330.781</v>
      </c>
      <c r="E3932" t="s">
        <v>3218</v>
      </c>
      <c r="F3932" s="242"/>
      <c r="G3932"/>
      <c r="H3932" s="242">
        <v>20000</v>
      </c>
      <c r="I3932" s="242">
        <v>13827</v>
      </c>
      <c r="J3932"/>
    </row>
    <row r="3933" spans="1:10" ht="15.75" customHeight="1">
      <c r="A3933" t="s">
        <v>877</v>
      </c>
      <c r="B3933">
        <v>813330</v>
      </c>
      <c r="C3933">
        <v>1</v>
      </c>
      <c r="D3933" t="str">
        <f t="shared" si="61"/>
        <v>1813330.782</v>
      </c>
      <c r="E3933" t="s">
        <v>3219</v>
      </c>
      <c r="F3933" s="242"/>
      <c r="G3933"/>
      <c r="H3933" s="242">
        <v>100000</v>
      </c>
      <c r="I3933" s="242">
        <v>54497</v>
      </c>
      <c r="J3933"/>
    </row>
    <row r="3934" spans="1:10" ht="15.75" customHeight="1">
      <c r="A3934" t="s">
        <v>2674</v>
      </c>
      <c r="B3934">
        <v>813330</v>
      </c>
      <c r="C3934">
        <v>1</v>
      </c>
      <c r="D3934" t="str">
        <f t="shared" si="61"/>
        <v>1813330.783</v>
      </c>
      <c r="E3934" t="s">
        <v>3220</v>
      </c>
      <c r="F3934" s="242"/>
      <c r="G3934"/>
      <c r="H3934" s="242">
        <v>15000</v>
      </c>
      <c r="I3934" s="242">
        <v>8500</v>
      </c>
      <c r="J3934"/>
    </row>
    <row r="3935" spans="1:10" ht="15.75" customHeight="1">
      <c r="A3935" t="s">
        <v>2676</v>
      </c>
      <c r="B3935">
        <v>813330</v>
      </c>
      <c r="C3935">
        <v>1</v>
      </c>
      <c r="D3935" t="str">
        <f t="shared" si="61"/>
        <v>1813330.784</v>
      </c>
      <c r="E3935" t="s">
        <v>3095</v>
      </c>
      <c r="F3935" s="242"/>
      <c r="G3935"/>
      <c r="H3935" s="242">
        <v>265000</v>
      </c>
      <c r="I3935" s="242">
        <v>241610</v>
      </c>
      <c r="J3935"/>
    </row>
    <row r="3936" spans="1:10" ht="15.75" customHeight="1">
      <c r="A3936" t="s">
        <v>2750</v>
      </c>
      <c r="B3936">
        <v>813330</v>
      </c>
      <c r="C3936">
        <v>1</v>
      </c>
      <c r="D3936" t="str">
        <f t="shared" si="61"/>
        <v>1813330.785</v>
      </c>
      <c r="E3936" t="s">
        <v>3221</v>
      </c>
      <c r="F3936" s="242"/>
      <c r="G3936"/>
      <c r="H3936" s="242">
        <v>900000</v>
      </c>
      <c r="I3936" s="242">
        <v>798337</v>
      </c>
      <c r="J3936"/>
    </row>
    <row r="3937" spans="1:10" ht="15.75" customHeight="1">
      <c r="A3937" t="s">
        <v>2850</v>
      </c>
      <c r="B3937">
        <v>813330</v>
      </c>
      <c r="C3937">
        <v>1</v>
      </c>
      <c r="D3937" t="str">
        <f t="shared" si="61"/>
        <v>1813330.786</v>
      </c>
      <c r="E3937" t="s">
        <v>3222</v>
      </c>
      <c r="F3937" s="242"/>
      <c r="G3937"/>
      <c r="H3937" s="242">
        <v>80000</v>
      </c>
      <c r="I3937" s="242">
        <v>46674</v>
      </c>
      <c r="J3937"/>
    </row>
    <row r="3938" spans="1:10" ht="15.75" customHeight="1">
      <c r="A3938" t="s">
        <v>3030</v>
      </c>
      <c r="B3938">
        <v>813330</v>
      </c>
      <c r="C3938">
        <v>1</v>
      </c>
      <c r="D3938" t="str">
        <f t="shared" si="61"/>
        <v>1813330.787</v>
      </c>
      <c r="E3938" t="s">
        <v>3223</v>
      </c>
      <c r="F3938" s="242"/>
      <c r="G3938"/>
      <c r="H3938" s="242">
        <v>110000</v>
      </c>
      <c r="I3938" s="242">
        <v>102421</v>
      </c>
      <c r="J3938"/>
    </row>
    <row r="3939" spans="1:10" ht="15.75" customHeight="1">
      <c r="A3939" t="s">
        <v>2841</v>
      </c>
      <c r="B3939">
        <v>813330</v>
      </c>
      <c r="C3939">
        <v>1</v>
      </c>
      <c r="D3939" t="str">
        <f t="shared" si="61"/>
        <v>1813330.788</v>
      </c>
      <c r="E3939" t="s">
        <v>3224</v>
      </c>
      <c r="F3939" s="242"/>
      <c r="G3939"/>
      <c r="H3939" s="242">
        <v>50000</v>
      </c>
      <c r="I3939" s="242">
        <v>35750</v>
      </c>
      <c r="J3939"/>
    </row>
    <row r="3940" spans="1:10" ht="15.75" customHeight="1">
      <c r="A3940" t="s">
        <v>3056</v>
      </c>
      <c r="B3940">
        <v>813330</v>
      </c>
      <c r="C3940">
        <v>1</v>
      </c>
      <c r="D3940" t="str">
        <f t="shared" si="61"/>
        <v>1813330.789</v>
      </c>
      <c r="E3940" t="s">
        <v>3140</v>
      </c>
      <c r="F3940" s="242"/>
      <c r="G3940"/>
      <c r="H3940" s="242">
        <v>165020</v>
      </c>
      <c r="I3940" s="242">
        <v>84413</v>
      </c>
      <c r="J3940"/>
    </row>
    <row r="3941" spans="1:10" ht="15.75" customHeight="1">
      <c r="A3941" t="s">
        <v>2740</v>
      </c>
      <c r="B3941">
        <v>813330</v>
      </c>
      <c r="C3941">
        <v>1</v>
      </c>
      <c r="D3941" t="str">
        <f t="shared" si="61"/>
        <v>1813330.930</v>
      </c>
      <c r="E3941" t="s">
        <v>2834</v>
      </c>
      <c r="F3941" s="242"/>
      <c r="G3941"/>
      <c r="H3941" s="242">
        <v>50000</v>
      </c>
      <c r="I3941" s="242">
        <v>43827</v>
      </c>
      <c r="J3941"/>
    </row>
    <row r="3942" spans="1:10" ht="15.75" customHeight="1">
      <c r="A3942" t="s">
        <v>547</v>
      </c>
      <c r="B3942">
        <v>813332</v>
      </c>
      <c r="C3942">
        <v>1</v>
      </c>
      <c r="D3942" t="str">
        <f t="shared" si="61"/>
        <v>1813332.722</v>
      </c>
      <c r="E3942" t="s">
        <v>3198</v>
      </c>
      <c r="F3942" s="242"/>
      <c r="G3942"/>
      <c r="H3942" s="242">
        <v>100</v>
      </c>
      <c r="I3942" s="242">
        <v>0</v>
      </c>
      <c r="J3942"/>
    </row>
    <row r="3943" spans="1:10" ht="15.75" customHeight="1">
      <c r="A3943" t="s">
        <v>872</v>
      </c>
      <c r="B3943">
        <v>813332</v>
      </c>
      <c r="C3943">
        <v>1</v>
      </c>
      <c r="D3943" t="str">
        <f t="shared" si="61"/>
        <v>1813332.781</v>
      </c>
      <c r="E3943" t="s">
        <v>3200</v>
      </c>
      <c r="F3943" s="242"/>
      <c r="G3943"/>
      <c r="H3943" s="242">
        <v>72000</v>
      </c>
      <c r="I3943" s="242">
        <v>25298</v>
      </c>
      <c r="J3943"/>
    </row>
    <row r="3944" spans="1:10" ht="15.75" customHeight="1">
      <c r="A3944" t="s">
        <v>2750</v>
      </c>
      <c r="B3944">
        <v>813332</v>
      </c>
      <c r="C3944">
        <v>1</v>
      </c>
      <c r="D3944" t="str">
        <f t="shared" si="61"/>
        <v>1813332.785</v>
      </c>
      <c r="E3944" t="s">
        <v>3225</v>
      </c>
      <c r="F3944" s="242"/>
      <c r="G3944"/>
      <c r="H3944" s="242">
        <v>0</v>
      </c>
      <c r="I3944" s="242">
        <v>0</v>
      </c>
      <c r="J3944"/>
    </row>
    <row r="3945" spans="1:10" ht="15.75" customHeight="1">
      <c r="A3945" t="s">
        <v>3056</v>
      </c>
      <c r="B3945">
        <v>813332</v>
      </c>
      <c r="C3945">
        <v>1</v>
      </c>
      <c r="D3945" t="str">
        <f t="shared" si="61"/>
        <v>1813332.789</v>
      </c>
      <c r="E3945" t="s">
        <v>3226</v>
      </c>
      <c r="F3945" s="242"/>
      <c r="G3945"/>
      <c r="H3945" s="242">
        <v>50000</v>
      </c>
      <c r="I3945" s="242">
        <v>51383</v>
      </c>
      <c r="J3945"/>
    </row>
    <row r="3946" spans="1:10" ht="15.75" customHeight="1">
      <c r="A3946" t="s">
        <v>569</v>
      </c>
      <c r="B3946">
        <v>813335</v>
      </c>
      <c r="C3946">
        <v>1</v>
      </c>
      <c r="D3946" t="str">
        <f t="shared" si="61"/>
        <v>1813335.725</v>
      </c>
      <c r="E3946" t="s">
        <v>3162</v>
      </c>
      <c r="F3946" s="242"/>
      <c r="G3946"/>
      <c r="H3946" s="242">
        <v>1500</v>
      </c>
      <c r="I3946" s="242">
        <v>1200</v>
      </c>
      <c r="J3946"/>
    </row>
    <row r="3947" spans="1:10" ht="15.75" customHeight="1">
      <c r="A3947" t="s">
        <v>575</v>
      </c>
      <c r="B3947">
        <v>813335</v>
      </c>
      <c r="C3947">
        <v>1</v>
      </c>
      <c r="D3947" t="str">
        <f t="shared" si="61"/>
        <v>1813335.726</v>
      </c>
      <c r="E3947" t="s">
        <v>3090</v>
      </c>
      <c r="F3947" s="242"/>
      <c r="G3947"/>
      <c r="H3947" s="242">
        <v>300000</v>
      </c>
      <c r="I3947" s="242">
        <v>206497</v>
      </c>
      <c r="J3947"/>
    </row>
    <row r="3948" spans="1:10" ht="15.75" customHeight="1">
      <c r="A3948" t="s">
        <v>586</v>
      </c>
      <c r="B3948">
        <v>813335</v>
      </c>
      <c r="C3948">
        <v>1</v>
      </c>
      <c r="D3948" t="str">
        <f t="shared" si="61"/>
        <v>1813335.727</v>
      </c>
      <c r="E3948" t="s">
        <v>3227</v>
      </c>
      <c r="F3948" s="242"/>
      <c r="G3948"/>
      <c r="H3948" s="242">
        <v>34000</v>
      </c>
      <c r="I3948" s="242">
        <v>34942</v>
      </c>
      <c r="J3948"/>
    </row>
    <row r="3949" spans="1:10" ht="15.75" customHeight="1">
      <c r="A3949" t="s">
        <v>872</v>
      </c>
      <c r="B3949">
        <v>813336</v>
      </c>
      <c r="C3949">
        <v>1</v>
      </c>
      <c r="D3949" t="str">
        <f t="shared" si="61"/>
        <v>1813336.781</v>
      </c>
      <c r="E3949" t="s">
        <v>3228</v>
      </c>
      <c r="F3949" s="242"/>
      <c r="G3949"/>
      <c r="H3949" s="242">
        <v>0</v>
      </c>
      <c r="I3949" s="242">
        <v>0</v>
      </c>
      <c r="J3949"/>
    </row>
    <row r="3950" spans="1:10" ht="15.75" customHeight="1">
      <c r="A3950" t="s">
        <v>2674</v>
      </c>
      <c r="B3950">
        <v>813336</v>
      </c>
      <c r="C3950">
        <v>1</v>
      </c>
      <c r="D3950" t="str">
        <f t="shared" si="61"/>
        <v>1813336.783</v>
      </c>
      <c r="E3950" t="s">
        <v>3229</v>
      </c>
      <c r="F3950" s="242"/>
      <c r="G3950"/>
      <c r="H3950" s="242">
        <v>0</v>
      </c>
      <c r="I3950" s="242">
        <v>0</v>
      </c>
      <c r="J3950"/>
    </row>
    <row r="3951" spans="1:10" ht="15.75" customHeight="1">
      <c r="A3951" t="s">
        <v>542</v>
      </c>
      <c r="B3951">
        <v>813337</v>
      </c>
      <c r="C3951">
        <v>1</v>
      </c>
      <c r="D3951" t="str">
        <f t="shared" si="61"/>
        <v>1813337.721</v>
      </c>
      <c r="E3951" t="s">
        <v>3230</v>
      </c>
      <c r="F3951" s="242"/>
      <c r="G3951"/>
      <c r="H3951" s="242">
        <v>5000</v>
      </c>
      <c r="I3951" s="242">
        <v>562</v>
      </c>
      <c r="J3951"/>
    </row>
    <row r="3952" spans="1:10" ht="15.75" customHeight="1">
      <c r="A3952" t="s">
        <v>2403</v>
      </c>
      <c r="B3952">
        <v>813700</v>
      </c>
      <c r="C3952">
        <v>1</v>
      </c>
      <c r="D3952" t="str">
        <f t="shared" si="61"/>
        <v>1813700.110</v>
      </c>
      <c r="E3952" t="s">
        <v>2573</v>
      </c>
      <c r="F3952" s="242"/>
      <c r="G3952"/>
      <c r="H3952" s="242">
        <v>363099</v>
      </c>
      <c r="I3952" s="242">
        <v>369286</v>
      </c>
      <c r="J3952"/>
    </row>
    <row r="3953" spans="1:10" ht="15.75" customHeight="1">
      <c r="A3953" t="s">
        <v>2404</v>
      </c>
      <c r="B3953">
        <v>813700</v>
      </c>
      <c r="C3953">
        <v>1</v>
      </c>
      <c r="D3953" t="str">
        <f t="shared" si="61"/>
        <v>1813700.120</v>
      </c>
      <c r="E3953" t="s">
        <v>2574</v>
      </c>
      <c r="F3953" s="242"/>
      <c r="G3953"/>
      <c r="H3953" s="242">
        <v>74541</v>
      </c>
      <c r="I3953" s="242">
        <v>74133</v>
      </c>
      <c r="J3953"/>
    </row>
    <row r="3954" spans="1:10" ht="15.75" customHeight="1">
      <c r="A3954" t="s">
        <v>2575</v>
      </c>
      <c r="B3954">
        <v>813700</v>
      </c>
      <c r="C3954">
        <v>1</v>
      </c>
      <c r="D3954" t="str">
        <f t="shared" si="61"/>
        <v>1813700.130</v>
      </c>
      <c r="E3954" t="s">
        <v>2576</v>
      </c>
      <c r="F3954" s="242"/>
      <c r="G3954"/>
      <c r="H3954" s="242">
        <v>9866</v>
      </c>
      <c r="I3954" s="242">
        <v>5719</v>
      </c>
      <c r="J3954"/>
    </row>
    <row r="3955" spans="1:10" ht="15.75" customHeight="1">
      <c r="A3955" t="s">
        <v>2577</v>
      </c>
      <c r="B3955">
        <v>813700</v>
      </c>
      <c r="C3955">
        <v>1</v>
      </c>
      <c r="D3955" t="str">
        <f t="shared" si="61"/>
        <v>1813700.140</v>
      </c>
      <c r="E3955" t="s">
        <v>2578</v>
      </c>
      <c r="F3955" s="242"/>
      <c r="G3955"/>
      <c r="H3955" s="242">
        <v>39208</v>
      </c>
      <c r="I3955" s="242">
        <v>34610</v>
      </c>
      <c r="J3955"/>
    </row>
    <row r="3956" spans="1:10" ht="15.75" customHeight="1">
      <c r="A3956" t="s">
        <v>2579</v>
      </c>
      <c r="B3956">
        <v>813700</v>
      </c>
      <c r="C3956">
        <v>1</v>
      </c>
      <c r="D3956" t="str">
        <f t="shared" si="61"/>
        <v>1813700.181</v>
      </c>
      <c r="E3956" t="s">
        <v>2580</v>
      </c>
      <c r="F3956" s="242"/>
      <c r="G3956"/>
      <c r="H3956" s="242">
        <v>76219</v>
      </c>
      <c r="I3956" s="242">
        <v>74281</v>
      </c>
      <c r="J3956"/>
    </row>
    <row r="3957" spans="1:10" ht="15.75" customHeight="1">
      <c r="A3957" t="s">
        <v>2581</v>
      </c>
      <c r="B3957">
        <v>813700</v>
      </c>
      <c r="C3957">
        <v>1</v>
      </c>
      <c r="D3957" t="str">
        <f t="shared" si="61"/>
        <v>1813700.182</v>
      </c>
      <c r="E3957" t="s">
        <v>2582</v>
      </c>
      <c r="F3957" s="242"/>
      <c r="G3957"/>
      <c r="H3957" s="242">
        <v>36905</v>
      </c>
      <c r="I3957" s="242">
        <v>36676</v>
      </c>
      <c r="J3957"/>
    </row>
    <row r="3958" spans="1:10" ht="15.75" customHeight="1">
      <c r="A3958" t="s">
        <v>2652</v>
      </c>
      <c r="B3958">
        <v>813700</v>
      </c>
      <c r="C3958">
        <v>1</v>
      </c>
      <c r="D3958" t="str">
        <f t="shared" si="61"/>
        <v>1813700.420</v>
      </c>
      <c r="E3958" t="s">
        <v>2653</v>
      </c>
      <c r="F3958" s="242"/>
      <c r="G3958"/>
      <c r="H3958" s="242">
        <v>28000</v>
      </c>
      <c r="I3958" s="242">
        <v>30000</v>
      </c>
      <c r="J3958"/>
    </row>
    <row r="3959" spans="1:10" ht="15.75" customHeight="1">
      <c r="A3959" t="s">
        <v>1678</v>
      </c>
      <c r="B3959">
        <v>813700</v>
      </c>
      <c r="C3959">
        <v>1</v>
      </c>
      <c r="D3959" t="str">
        <f t="shared" si="61"/>
        <v>1813700.434</v>
      </c>
      <c r="E3959" t="s">
        <v>2656</v>
      </c>
      <c r="F3959" s="242"/>
      <c r="G3959"/>
      <c r="H3959" s="242">
        <v>55000</v>
      </c>
      <c r="I3959" s="242">
        <v>43012</v>
      </c>
      <c r="J3959"/>
    </row>
    <row r="3960" spans="1:10" ht="15.75" customHeight="1">
      <c r="A3960" t="s">
        <v>2606</v>
      </c>
      <c r="B3960">
        <v>813700</v>
      </c>
      <c r="C3960">
        <v>1</v>
      </c>
      <c r="D3960" t="str">
        <f t="shared" si="61"/>
        <v>1813700.440</v>
      </c>
      <c r="E3960" t="s">
        <v>2657</v>
      </c>
      <c r="F3960" s="242"/>
      <c r="G3960"/>
      <c r="H3960" s="242">
        <v>5200</v>
      </c>
      <c r="I3960" s="242">
        <v>5018</v>
      </c>
      <c r="J3960"/>
    </row>
    <row r="3961" spans="1:10" ht="15.75" customHeight="1">
      <c r="A3961" t="s">
        <v>2658</v>
      </c>
      <c r="B3961">
        <v>813700</v>
      </c>
      <c r="C3961">
        <v>1</v>
      </c>
      <c r="D3961" t="str">
        <f t="shared" si="61"/>
        <v>1813700.441</v>
      </c>
      <c r="E3961" t="s">
        <v>2720</v>
      </c>
      <c r="F3961" s="242"/>
      <c r="G3961"/>
      <c r="H3961" s="242">
        <v>9000</v>
      </c>
      <c r="I3961" s="242">
        <v>8016</v>
      </c>
      <c r="J3961"/>
    </row>
    <row r="3962" spans="1:10" ht="15.75" customHeight="1">
      <c r="A3962" t="s">
        <v>2594</v>
      </c>
      <c r="B3962">
        <v>813700</v>
      </c>
      <c r="C3962">
        <v>1</v>
      </c>
      <c r="D3962" t="str">
        <f t="shared" si="61"/>
        <v>1813700.540</v>
      </c>
      <c r="E3962" t="s">
        <v>2595</v>
      </c>
      <c r="F3962" s="242"/>
      <c r="G3962"/>
      <c r="H3962" s="242">
        <v>5000</v>
      </c>
      <c r="I3962" s="242">
        <v>4025</v>
      </c>
      <c r="J3962"/>
    </row>
    <row r="3963" spans="1:10" ht="15.75" customHeight="1">
      <c r="A3963" t="s">
        <v>2598</v>
      </c>
      <c r="B3963">
        <v>813700</v>
      </c>
      <c r="C3963">
        <v>1</v>
      </c>
      <c r="D3963" t="str">
        <f t="shared" si="61"/>
        <v>1813700.561</v>
      </c>
      <c r="E3963" t="s">
        <v>2599</v>
      </c>
      <c r="F3963" s="242"/>
      <c r="G3963"/>
      <c r="H3963" s="242">
        <v>2500</v>
      </c>
      <c r="I3963" s="242">
        <v>1566</v>
      </c>
      <c r="J3963"/>
    </row>
    <row r="3964" spans="1:10" ht="15.75" customHeight="1">
      <c r="A3964" t="s">
        <v>547</v>
      </c>
      <c r="B3964">
        <v>813700</v>
      </c>
      <c r="C3964">
        <v>1</v>
      </c>
      <c r="D3964" t="str">
        <f t="shared" si="61"/>
        <v>1813700.722</v>
      </c>
      <c r="E3964" t="s">
        <v>3036</v>
      </c>
      <c r="F3964" s="242"/>
      <c r="G3964"/>
      <c r="H3964" s="242">
        <v>100</v>
      </c>
      <c r="I3964" s="242">
        <v>39251</v>
      </c>
      <c r="J3964"/>
    </row>
    <row r="3965" spans="1:10" ht="15.75" customHeight="1">
      <c r="A3965" t="s">
        <v>600</v>
      </c>
      <c r="B3965">
        <v>813700</v>
      </c>
      <c r="C3965">
        <v>1</v>
      </c>
      <c r="D3965" t="str">
        <f t="shared" si="61"/>
        <v>1813700.731</v>
      </c>
      <c r="E3965" t="s">
        <v>2593</v>
      </c>
      <c r="F3965" s="242"/>
      <c r="G3965"/>
      <c r="H3965" s="242">
        <v>7468</v>
      </c>
      <c r="I3965" s="242">
        <v>6843</v>
      </c>
      <c r="J3965"/>
    </row>
    <row r="3966" spans="1:10" ht="15.75" customHeight="1">
      <c r="A3966" t="s">
        <v>605</v>
      </c>
      <c r="B3966">
        <v>813700</v>
      </c>
      <c r="C3966">
        <v>1</v>
      </c>
      <c r="D3966" t="str">
        <f t="shared" si="61"/>
        <v>1813700.732</v>
      </c>
      <c r="E3966" t="s">
        <v>2902</v>
      </c>
      <c r="F3966" s="242"/>
      <c r="G3966"/>
      <c r="H3966" s="242">
        <v>10000</v>
      </c>
      <c r="I3966" s="242">
        <v>13095</v>
      </c>
      <c r="J3966"/>
    </row>
    <row r="3967" spans="1:10" ht="15.75" customHeight="1">
      <c r="A3967" t="s">
        <v>624</v>
      </c>
      <c r="B3967">
        <v>813700</v>
      </c>
      <c r="C3967">
        <v>1</v>
      </c>
      <c r="D3967" t="str">
        <f t="shared" si="61"/>
        <v>1813700.733</v>
      </c>
      <c r="E3967" t="s">
        <v>2723</v>
      </c>
      <c r="F3967" s="242"/>
      <c r="G3967"/>
      <c r="H3967" s="242">
        <v>500</v>
      </c>
      <c r="I3967" s="242">
        <v>271</v>
      </c>
      <c r="J3967"/>
    </row>
    <row r="3968" spans="1:10" ht="15.75" customHeight="1">
      <c r="A3968" t="s">
        <v>737</v>
      </c>
      <c r="B3968">
        <v>813700</v>
      </c>
      <c r="C3968">
        <v>1</v>
      </c>
      <c r="D3968" t="str">
        <f t="shared" si="61"/>
        <v>1813700.747</v>
      </c>
      <c r="E3968" t="s">
        <v>2765</v>
      </c>
      <c r="F3968" s="242"/>
      <c r="G3968"/>
      <c r="H3968" s="242">
        <v>5000</v>
      </c>
      <c r="I3968" s="242">
        <v>5000</v>
      </c>
      <c r="J3968"/>
    </row>
    <row r="3969" spans="1:10" ht="15.75" customHeight="1">
      <c r="A3969" t="s">
        <v>776</v>
      </c>
      <c r="B3969">
        <v>813700</v>
      </c>
      <c r="C3969">
        <v>1</v>
      </c>
      <c r="D3969" t="str">
        <f t="shared" si="61"/>
        <v>1813700.752</v>
      </c>
      <c r="E3969" t="s">
        <v>3156</v>
      </c>
      <c r="F3969" s="242"/>
      <c r="G3969"/>
      <c r="H3969" s="242">
        <v>5000</v>
      </c>
      <c r="I3969" s="242">
        <v>5616</v>
      </c>
      <c r="J3969"/>
    </row>
    <row r="3970" spans="1:10" ht="15.75" customHeight="1">
      <c r="A3970" t="s">
        <v>2603</v>
      </c>
      <c r="B3970">
        <v>813700</v>
      </c>
      <c r="C3970">
        <v>1</v>
      </c>
      <c r="D3970" t="str">
        <f t="shared" si="61"/>
        <v>1813700.759</v>
      </c>
      <c r="E3970" t="s">
        <v>2642</v>
      </c>
      <c r="F3970" s="242"/>
      <c r="G3970"/>
      <c r="H3970" s="242">
        <v>90000</v>
      </c>
      <c r="I3970" s="242">
        <v>65000</v>
      </c>
      <c r="J3970"/>
    </row>
    <row r="3971" spans="1:10" ht="15.75" customHeight="1">
      <c r="A3971" t="s">
        <v>844</v>
      </c>
      <c r="B3971">
        <v>813700</v>
      </c>
      <c r="C3971">
        <v>1</v>
      </c>
      <c r="D3971" t="str">
        <f t="shared" ref="D3971:D4034" si="62">C3971&amp;B3971&amp;"."&amp;A3971</f>
        <v>1813700.771</v>
      </c>
      <c r="E3971" t="s">
        <v>3188</v>
      </c>
      <c r="F3971" s="242"/>
      <c r="G3971"/>
      <c r="H3971" s="242">
        <v>31300</v>
      </c>
      <c r="I3971" s="242">
        <v>34173</v>
      </c>
      <c r="J3971"/>
    </row>
    <row r="3972" spans="1:10" ht="15.75" customHeight="1">
      <c r="A3972" t="s">
        <v>849</v>
      </c>
      <c r="B3972">
        <v>813700</v>
      </c>
      <c r="C3972">
        <v>1</v>
      </c>
      <c r="D3972" t="str">
        <f t="shared" si="62"/>
        <v>1813700.772</v>
      </c>
      <c r="E3972" t="s">
        <v>3189</v>
      </c>
      <c r="F3972" s="242"/>
      <c r="G3972"/>
      <c r="H3972" s="242">
        <v>250000</v>
      </c>
      <c r="I3972" s="242">
        <v>301017</v>
      </c>
      <c r="J3972"/>
    </row>
    <row r="3973" spans="1:10" ht="15.75" customHeight="1">
      <c r="A3973" t="s">
        <v>2632</v>
      </c>
      <c r="B3973">
        <v>813700</v>
      </c>
      <c r="C3973">
        <v>1</v>
      </c>
      <c r="D3973" t="str">
        <f t="shared" si="62"/>
        <v>1813700.780</v>
      </c>
      <c r="E3973" t="s">
        <v>3095</v>
      </c>
      <c r="F3973" s="242"/>
      <c r="G3973"/>
      <c r="H3973" s="242">
        <v>160000</v>
      </c>
      <c r="I3973" s="242">
        <v>160000</v>
      </c>
      <c r="J3973"/>
    </row>
    <row r="3974" spans="1:10" ht="15.75" customHeight="1">
      <c r="A3974" t="s">
        <v>2740</v>
      </c>
      <c r="B3974">
        <v>813700</v>
      </c>
      <c r="C3974">
        <v>1</v>
      </c>
      <c r="D3974" t="str">
        <f t="shared" si="62"/>
        <v>1813700.930</v>
      </c>
      <c r="E3974" t="s">
        <v>2834</v>
      </c>
      <c r="F3974" s="242"/>
      <c r="G3974"/>
      <c r="H3974" s="242">
        <v>10000</v>
      </c>
      <c r="I3974" s="242">
        <v>7839</v>
      </c>
      <c r="J3974"/>
    </row>
    <row r="3975" spans="1:10" ht="15.75" customHeight="1">
      <c r="A3975" t="s">
        <v>2859</v>
      </c>
      <c r="B3975">
        <v>814000</v>
      </c>
      <c r="C3975">
        <v>1</v>
      </c>
      <c r="D3975" t="str">
        <f t="shared" si="62"/>
        <v>1814000.870</v>
      </c>
      <c r="E3975" t="s">
        <v>3525</v>
      </c>
      <c r="F3975" s="242"/>
      <c r="G3975"/>
      <c r="H3975" s="242">
        <v>348610</v>
      </c>
      <c r="I3975" s="242">
        <v>348610</v>
      </c>
      <c r="J3975"/>
    </row>
    <row r="3976" spans="1:10" ht="15.75" customHeight="1">
      <c r="A3976" t="s">
        <v>806</v>
      </c>
      <c r="B3976">
        <v>814100</v>
      </c>
      <c r="C3976">
        <v>1</v>
      </c>
      <c r="D3976" t="str">
        <f t="shared" si="62"/>
        <v>1814100.762</v>
      </c>
      <c r="E3976" t="s">
        <v>3297</v>
      </c>
      <c r="F3976" s="242"/>
      <c r="G3976"/>
      <c r="H3976" s="242">
        <v>100</v>
      </c>
      <c r="I3976" s="242">
        <v>0</v>
      </c>
      <c r="J3976"/>
    </row>
    <row r="3977" spans="1:10" ht="15.75" customHeight="1">
      <c r="A3977" t="s">
        <v>2403</v>
      </c>
      <c r="B3977">
        <v>814100</v>
      </c>
      <c r="C3977">
        <v>1</v>
      </c>
      <c r="D3977" t="str">
        <f t="shared" si="62"/>
        <v>1814100.110</v>
      </c>
      <c r="E3977" t="s">
        <v>3345</v>
      </c>
      <c r="F3977" s="242"/>
      <c r="G3977"/>
      <c r="H3977" s="242">
        <v>93712</v>
      </c>
      <c r="I3977" s="242">
        <v>91337</v>
      </c>
      <c r="J3977"/>
    </row>
    <row r="3978" spans="1:10" ht="15.75" customHeight="1">
      <c r="A3978" t="s">
        <v>2404</v>
      </c>
      <c r="B3978">
        <v>814100</v>
      </c>
      <c r="C3978">
        <v>1</v>
      </c>
      <c r="D3978" t="str">
        <f t="shared" si="62"/>
        <v>1814100.120</v>
      </c>
      <c r="E3978" t="s">
        <v>2574</v>
      </c>
      <c r="F3978" s="242"/>
      <c r="G3978"/>
      <c r="H3978" s="242">
        <v>762</v>
      </c>
      <c r="I3978" s="242">
        <v>3937</v>
      </c>
      <c r="J3978"/>
    </row>
    <row r="3979" spans="1:10" ht="15.75" customHeight="1">
      <c r="A3979" t="s">
        <v>2575</v>
      </c>
      <c r="B3979">
        <v>814100</v>
      </c>
      <c r="C3979">
        <v>1</v>
      </c>
      <c r="D3979" t="str">
        <f t="shared" si="62"/>
        <v>1814100.130</v>
      </c>
      <c r="E3979" t="s">
        <v>2576</v>
      </c>
      <c r="F3979" s="242"/>
      <c r="G3979"/>
      <c r="H3979" s="242">
        <v>191</v>
      </c>
      <c r="I3979" s="242">
        <v>109</v>
      </c>
      <c r="J3979"/>
    </row>
    <row r="3980" spans="1:10" ht="15.75" customHeight="1">
      <c r="A3980" t="s">
        <v>2577</v>
      </c>
      <c r="B3980">
        <v>814100</v>
      </c>
      <c r="C3980">
        <v>1</v>
      </c>
      <c r="D3980" t="str">
        <f t="shared" si="62"/>
        <v>1814100.140</v>
      </c>
      <c r="E3980" t="s">
        <v>2578</v>
      </c>
      <c r="F3980" s="242"/>
      <c r="G3980"/>
      <c r="H3980" s="242">
        <v>1864</v>
      </c>
      <c r="I3980" s="242">
        <v>1824</v>
      </c>
      <c r="J3980"/>
    </row>
    <row r="3981" spans="1:10" ht="15.75" customHeight="1">
      <c r="A3981" t="s">
        <v>2579</v>
      </c>
      <c r="B3981">
        <v>814100</v>
      </c>
      <c r="C3981">
        <v>1</v>
      </c>
      <c r="D3981" t="str">
        <f t="shared" si="62"/>
        <v>1814100.181</v>
      </c>
      <c r="E3981" t="s">
        <v>2580</v>
      </c>
      <c r="F3981" s="242"/>
      <c r="G3981"/>
      <c r="H3981" s="242">
        <v>18939</v>
      </c>
      <c r="I3981" s="242">
        <v>19079</v>
      </c>
      <c r="J3981"/>
    </row>
    <row r="3982" spans="1:10" ht="15.75" customHeight="1">
      <c r="A3982" t="s">
        <v>2581</v>
      </c>
      <c r="B3982">
        <v>814100</v>
      </c>
      <c r="C3982">
        <v>1</v>
      </c>
      <c r="D3982" t="str">
        <f t="shared" si="62"/>
        <v>1814100.182</v>
      </c>
      <c r="E3982" t="s">
        <v>2582</v>
      </c>
      <c r="F3982" s="242"/>
      <c r="G3982"/>
      <c r="H3982" s="242">
        <v>7326</v>
      </c>
      <c r="I3982" s="242">
        <v>7374</v>
      </c>
      <c r="J3982"/>
    </row>
    <row r="3983" spans="1:10" ht="15.75" customHeight="1">
      <c r="A3983" t="s">
        <v>2403</v>
      </c>
      <c r="B3983">
        <v>814110</v>
      </c>
      <c r="C3983">
        <v>1</v>
      </c>
      <c r="D3983" t="str">
        <f t="shared" si="62"/>
        <v>1814110.110</v>
      </c>
      <c r="E3983" t="s">
        <v>3346</v>
      </c>
      <c r="F3983" s="242"/>
      <c r="G3983"/>
      <c r="H3983" s="242">
        <v>1415005</v>
      </c>
      <c r="I3983" s="242">
        <v>1371403</v>
      </c>
      <c r="J3983"/>
    </row>
    <row r="3984" spans="1:10" ht="15.75" customHeight="1">
      <c r="A3984" t="s">
        <v>2404</v>
      </c>
      <c r="B3984">
        <v>814110</v>
      </c>
      <c r="C3984">
        <v>1</v>
      </c>
      <c r="D3984" t="str">
        <f t="shared" si="62"/>
        <v>1814110.120</v>
      </c>
      <c r="E3984" t="s">
        <v>2574</v>
      </c>
      <c r="F3984" s="242"/>
      <c r="G3984"/>
      <c r="H3984" s="242">
        <v>5107</v>
      </c>
      <c r="I3984" s="242">
        <v>5583</v>
      </c>
      <c r="J3984"/>
    </row>
    <row r="3985" spans="1:10" ht="15.75" customHeight="1">
      <c r="A3985" t="s">
        <v>2579</v>
      </c>
      <c r="B3985">
        <v>814110</v>
      </c>
      <c r="C3985">
        <v>1</v>
      </c>
      <c r="D3985" t="str">
        <f t="shared" si="62"/>
        <v>1814110.181</v>
      </c>
      <c r="E3985" t="s">
        <v>2580</v>
      </c>
      <c r="F3985" s="242"/>
      <c r="G3985"/>
      <c r="H3985" s="242">
        <v>382211</v>
      </c>
      <c r="I3985" s="242">
        <v>372212</v>
      </c>
      <c r="J3985"/>
    </row>
    <row r="3986" spans="1:10" ht="15.75" customHeight="1">
      <c r="A3986" t="s">
        <v>2581</v>
      </c>
      <c r="B3986">
        <v>814110</v>
      </c>
      <c r="C3986">
        <v>1</v>
      </c>
      <c r="D3986" t="str">
        <f t="shared" si="62"/>
        <v>1814110.182</v>
      </c>
      <c r="E3986" t="s">
        <v>2582</v>
      </c>
      <c r="F3986" s="242"/>
      <c r="G3986"/>
      <c r="H3986" s="242">
        <v>106491</v>
      </c>
      <c r="I3986" s="242">
        <v>103264</v>
      </c>
      <c r="J3986"/>
    </row>
    <row r="3987" spans="1:10" ht="15.75" customHeight="1">
      <c r="A3987" t="s">
        <v>575</v>
      </c>
      <c r="B3987">
        <v>814110</v>
      </c>
      <c r="C3987">
        <v>1</v>
      </c>
      <c r="D3987" t="str">
        <f t="shared" si="62"/>
        <v>1814110.726</v>
      </c>
      <c r="E3987" t="s">
        <v>3313</v>
      </c>
      <c r="F3987" s="242"/>
      <c r="G3987"/>
      <c r="H3987" s="242">
        <v>2100</v>
      </c>
      <c r="I3987" s="242">
        <v>1624</v>
      </c>
      <c r="J3987"/>
    </row>
    <row r="3988" spans="1:10" ht="15.75" customHeight="1">
      <c r="A3988" t="s">
        <v>2632</v>
      </c>
      <c r="B3988">
        <v>814110</v>
      </c>
      <c r="C3988">
        <v>1</v>
      </c>
      <c r="D3988" t="str">
        <f t="shared" si="62"/>
        <v>1814110.780</v>
      </c>
      <c r="E3988" t="s">
        <v>3347</v>
      </c>
      <c r="F3988" s="242"/>
      <c r="G3988"/>
      <c r="H3988" s="242">
        <v>9500</v>
      </c>
      <c r="I3988" s="242">
        <v>9500</v>
      </c>
      <c r="J3988"/>
    </row>
    <row r="3989" spans="1:10" ht="15.75" customHeight="1">
      <c r="A3989" t="s">
        <v>542</v>
      </c>
      <c r="B3989">
        <v>814121</v>
      </c>
      <c r="C3989">
        <v>1</v>
      </c>
      <c r="D3989" t="str">
        <f t="shared" si="62"/>
        <v>1814121.721</v>
      </c>
      <c r="E3989" t="s">
        <v>3368</v>
      </c>
      <c r="F3989" s="242"/>
      <c r="G3989"/>
      <c r="H3989" s="242">
        <v>0</v>
      </c>
      <c r="I3989" s="242">
        <v>1176</v>
      </c>
      <c r="J3989"/>
    </row>
    <row r="3990" spans="1:10" ht="15.75" customHeight="1">
      <c r="A3990" t="s">
        <v>2403</v>
      </c>
      <c r="B3990">
        <v>814130</v>
      </c>
      <c r="C3990">
        <v>1</v>
      </c>
      <c r="D3990" t="str">
        <f t="shared" si="62"/>
        <v>1814130.110</v>
      </c>
      <c r="E3990" t="s">
        <v>3454</v>
      </c>
      <c r="F3990" s="242"/>
      <c r="G3990"/>
      <c r="H3990" s="242">
        <v>472238</v>
      </c>
      <c r="I3990" s="242">
        <v>380579</v>
      </c>
      <c r="J3990"/>
    </row>
    <row r="3991" spans="1:10" ht="15.75" customHeight="1">
      <c r="A3991" t="s">
        <v>2404</v>
      </c>
      <c r="B3991">
        <v>814130</v>
      </c>
      <c r="C3991">
        <v>1</v>
      </c>
      <c r="D3991" t="str">
        <f t="shared" si="62"/>
        <v>1814130.120</v>
      </c>
      <c r="E3991" t="s">
        <v>2574</v>
      </c>
      <c r="F3991" s="242"/>
      <c r="G3991"/>
      <c r="H3991" s="242">
        <v>8226</v>
      </c>
      <c r="I3991" s="242">
        <v>6414</v>
      </c>
      <c r="J3991"/>
    </row>
    <row r="3992" spans="1:10" ht="15.75" customHeight="1">
      <c r="A3992" t="s">
        <v>2579</v>
      </c>
      <c r="B3992">
        <v>814130</v>
      </c>
      <c r="C3992">
        <v>1</v>
      </c>
      <c r="D3992" t="str">
        <f t="shared" si="62"/>
        <v>1814130.181</v>
      </c>
      <c r="E3992" t="s">
        <v>2580</v>
      </c>
      <c r="F3992" s="242"/>
      <c r="G3992"/>
      <c r="H3992" s="242">
        <v>130768</v>
      </c>
      <c r="I3992" s="242">
        <v>105510</v>
      </c>
      <c r="J3992"/>
    </row>
    <row r="3993" spans="1:10" ht="15.75" customHeight="1">
      <c r="A3993" t="s">
        <v>2581</v>
      </c>
      <c r="B3993">
        <v>814130</v>
      </c>
      <c r="C3993">
        <v>1</v>
      </c>
      <c r="D3993" t="str">
        <f t="shared" si="62"/>
        <v>1814130.182</v>
      </c>
      <c r="E3993" t="s">
        <v>2582</v>
      </c>
      <c r="F3993" s="242"/>
      <c r="G3993"/>
      <c r="H3993" s="242">
        <v>36026</v>
      </c>
      <c r="I3993" s="242">
        <v>29018</v>
      </c>
      <c r="J3993"/>
    </row>
    <row r="3994" spans="1:10" ht="15.75" customHeight="1">
      <c r="A3994" t="s">
        <v>2632</v>
      </c>
      <c r="B3994">
        <v>814130</v>
      </c>
      <c r="C3994">
        <v>1</v>
      </c>
      <c r="D3994" t="str">
        <f t="shared" si="62"/>
        <v>1814130.780</v>
      </c>
      <c r="E3994" t="s">
        <v>3398</v>
      </c>
      <c r="F3994" s="242"/>
      <c r="G3994"/>
      <c r="H3994" s="242">
        <v>9500</v>
      </c>
      <c r="I3994" s="242">
        <v>9500</v>
      </c>
      <c r="J3994"/>
    </row>
    <row r="3995" spans="1:10" ht="15.75" customHeight="1">
      <c r="A3995" t="s">
        <v>2403</v>
      </c>
      <c r="B3995">
        <v>814200</v>
      </c>
      <c r="C3995">
        <v>1</v>
      </c>
      <c r="D3995" t="str">
        <f t="shared" si="62"/>
        <v>1814200.110</v>
      </c>
      <c r="E3995" t="s">
        <v>3434</v>
      </c>
      <c r="F3995" s="242"/>
      <c r="G3995"/>
      <c r="H3995" s="242">
        <v>36510</v>
      </c>
      <c r="I3995" s="242">
        <v>23463</v>
      </c>
      <c r="J3995"/>
    </row>
    <row r="3996" spans="1:10" ht="15.75" customHeight="1">
      <c r="A3996" t="s">
        <v>2404</v>
      </c>
      <c r="B3996">
        <v>814200</v>
      </c>
      <c r="C3996">
        <v>1</v>
      </c>
      <c r="D3996" t="str">
        <f t="shared" si="62"/>
        <v>1814200.120</v>
      </c>
      <c r="E3996" t="s">
        <v>2574</v>
      </c>
      <c r="F3996" s="242"/>
      <c r="G3996"/>
      <c r="H3996" s="242">
        <v>133</v>
      </c>
      <c r="I3996" s="242">
        <v>87</v>
      </c>
      <c r="J3996"/>
    </row>
    <row r="3997" spans="1:10" ht="15.75" customHeight="1">
      <c r="A3997" t="s">
        <v>2579</v>
      </c>
      <c r="B3997">
        <v>814200</v>
      </c>
      <c r="C3997">
        <v>1</v>
      </c>
      <c r="D3997" t="str">
        <f t="shared" si="62"/>
        <v>1814200.181</v>
      </c>
      <c r="E3997" t="s">
        <v>2580</v>
      </c>
      <c r="F3997" s="242"/>
      <c r="G3997"/>
      <c r="H3997" s="242">
        <v>9845</v>
      </c>
      <c r="I3997" s="242">
        <v>6327</v>
      </c>
      <c r="J3997"/>
    </row>
    <row r="3998" spans="1:10" ht="15.75" customHeight="1">
      <c r="A3998" t="s">
        <v>2581</v>
      </c>
      <c r="B3998">
        <v>814200</v>
      </c>
      <c r="C3998">
        <v>1</v>
      </c>
      <c r="D3998" t="str">
        <f t="shared" si="62"/>
        <v>1814200.182</v>
      </c>
      <c r="E3998" t="s">
        <v>2582</v>
      </c>
      <c r="F3998" s="242"/>
      <c r="G3998"/>
      <c r="H3998" s="242">
        <v>2749</v>
      </c>
      <c r="I3998" s="242">
        <v>1767</v>
      </c>
      <c r="J3998"/>
    </row>
    <row r="3999" spans="1:10" ht="15.75" customHeight="1">
      <c r="A3999" t="s">
        <v>872</v>
      </c>
      <c r="B3999">
        <v>814200</v>
      </c>
      <c r="C3999">
        <v>1</v>
      </c>
      <c r="D3999" t="str">
        <f t="shared" si="62"/>
        <v>1814200.781</v>
      </c>
      <c r="E3999" t="s">
        <v>3425</v>
      </c>
      <c r="F3999" s="242"/>
      <c r="G3999"/>
      <c r="H3999" s="242">
        <v>525000</v>
      </c>
      <c r="I3999" s="242">
        <v>533206</v>
      </c>
      <c r="J3999"/>
    </row>
    <row r="4000" spans="1:10" ht="15.75" customHeight="1">
      <c r="A4000" t="s">
        <v>2403</v>
      </c>
      <c r="B4000">
        <v>814210</v>
      </c>
      <c r="C4000">
        <v>1</v>
      </c>
      <c r="D4000" t="str">
        <f t="shared" si="62"/>
        <v>1814210.110</v>
      </c>
      <c r="E4000" t="s">
        <v>3363</v>
      </c>
      <c r="F4000" s="242"/>
      <c r="G4000"/>
      <c r="H4000" s="242">
        <v>260544</v>
      </c>
      <c r="I4000" s="242">
        <v>170350</v>
      </c>
      <c r="J4000"/>
    </row>
    <row r="4001" spans="1:10" ht="15.75" customHeight="1">
      <c r="A4001" t="s">
        <v>2404</v>
      </c>
      <c r="B4001">
        <v>814210</v>
      </c>
      <c r="C4001">
        <v>1</v>
      </c>
      <c r="D4001" t="str">
        <f t="shared" si="62"/>
        <v>1814210.120</v>
      </c>
      <c r="E4001" t="s">
        <v>2574</v>
      </c>
      <c r="F4001" s="242"/>
      <c r="G4001"/>
      <c r="H4001" s="242">
        <v>985</v>
      </c>
      <c r="I4001" s="242">
        <v>647</v>
      </c>
      <c r="J4001"/>
    </row>
    <row r="4002" spans="1:10" ht="15.75" customHeight="1">
      <c r="A4002" t="s">
        <v>2579</v>
      </c>
      <c r="B4002">
        <v>814210</v>
      </c>
      <c r="C4002">
        <v>1</v>
      </c>
      <c r="D4002" t="str">
        <f t="shared" si="62"/>
        <v>1814210.181</v>
      </c>
      <c r="E4002" t="s">
        <v>2580</v>
      </c>
      <c r="F4002" s="242"/>
      <c r="G4002"/>
      <c r="H4002" s="242">
        <v>71571</v>
      </c>
      <c r="I4002" s="242">
        <v>46952</v>
      </c>
      <c r="J4002"/>
    </row>
    <row r="4003" spans="1:10" ht="15.75" customHeight="1">
      <c r="A4003" t="s">
        <v>2581</v>
      </c>
      <c r="B4003">
        <v>814210</v>
      </c>
      <c r="C4003">
        <v>1</v>
      </c>
      <c r="D4003" t="str">
        <f t="shared" si="62"/>
        <v>1814210.182</v>
      </c>
      <c r="E4003" t="s">
        <v>2582</v>
      </c>
      <c r="F4003" s="242"/>
      <c r="G4003"/>
      <c r="H4003" s="242">
        <v>19613</v>
      </c>
      <c r="I4003" s="242">
        <v>12823</v>
      </c>
      <c r="J4003"/>
    </row>
    <row r="4004" spans="1:10" ht="15.75" customHeight="1">
      <c r="A4004" t="s">
        <v>2403</v>
      </c>
      <c r="B4004">
        <v>814300</v>
      </c>
      <c r="C4004">
        <v>1</v>
      </c>
      <c r="D4004" t="str">
        <f t="shared" si="62"/>
        <v>1814300.110</v>
      </c>
      <c r="E4004" t="s">
        <v>3384</v>
      </c>
      <c r="F4004" s="242"/>
      <c r="G4004"/>
      <c r="H4004" s="242">
        <v>59913</v>
      </c>
      <c r="I4004" s="242">
        <v>68515</v>
      </c>
      <c r="J4004"/>
    </row>
    <row r="4005" spans="1:10" ht="15.75" customHeight="1">
      <c r="A4005" t="s">
        <v>2404</v>
      </c>
      <c r="B4005">
        <v>814300</v>
      </c>
      <c r="C4005">
        <v>1</v>
      </c>
      <c r="D4005" t="str">
        <f t="shared" si="62"/>
        <v>1814300.120</v>
      </c>
      <c r="E4005" t="s">
        <v>2574</v>
      </c>
      <c r="F4005" s="242"/>
      <c r="G4005"/>
      <c r="H4005" s="242">
        <v>21053</v>
      </c>
      <c r="I4005" s="242">
        <v>15199</v>
      </c>
      <c r="J4005"/>
    </row>
    <row r="4006" spans="1:10" ht="15.75" customHeight="1">
      <c r="A4006" t="s">
        <v>2577</v>
      </c>
      <c r="B4006">
        <v>814300</v>
      </c>
      <c r="C4006">
        <v>1</v>
      </c>
      <c r="D4006" t="str">
        <f t="shared" si="62"/>
        <v>1814300.140</v>
      </c>
      <c r="E4006" t="s">
        <v>2578</v>
      </c>
      <c r="F4006" s="242"/>
      <c r="G4006"/>
      <c r="H4006" s="242">
        <v>1877</v>
      </c>
      <c r="I4006" s="242">
        <v>2128</v>
      </c>
      <c r="J4006"/>
    </row>
    <row r="4007" spans="1:10" ht="15.75" customHeight="1">
      <c r="A4007" t="s">
        <v>2579</v>
      </c>
      <c r="B4007">
        <v>814300</v>
      </c>
      <c r="C4007">
        <v>1</v>
      </c>
      <c r="D4007" t="str">
        <f t="shared" si="62"/>
        <v>1814300.181</v>
      </c>
      <c r="E4007" t="s">
        <v>2580</v>
      </c>
      <c r="F4007" s="242"/>
      <c r="G4007"/>
      <c r="H4007" s="242">
        <v>18500</v>
      </c>
      <c r="I4007" s="242">
        <v>19269</v>
      </c>
      <c r="J4007"/>
    </row>
    <row r="4008" spans="1:10" ht="15.75" customHeight="1">
      <c r="A4008" t="s">
        <v>2581</v>
      </c>
      <c r="B4008">
        <v>814300</v>
      </c>
      <c r="C4008">
        <v>1</v>
      </c>
      <c r="D4008" t="str">
        <f t="shared" si="62"/>
        <v>1814300.182</v>
      </c>
      <c r="E4008" t="s">
        <v>2582</v>
      </c>
      <c r="F4008" s="242"/>
      <c r="G4008"/>
      <c r="H4008" s="242">
        <v>6335</v>
      </c>
      <c r="I4008" s="242">
        <v>6546</v>
      </c>
      <c r="J4008"/>
    </row>
    <row r="4009" spans="1:10" ht="15.75" customHeight="1">
      <c r="A4009" t="s">
        <v>2403</v>
      </c>
      <c r="B4009">
        <v>814310</v>
      </c>
      <c r="C4009">
        <v>1</v>
      </c>
      <c r="D4009" t="str">
        <f t="shared" si="62"/>
        <v>1814310.110</v>
      </c>
      <c r="E4009" t="s">
        <v>3346</v>
      </c>
      <c r="F4009" s="242"/>
      <c r="G4009"/>
      <c r="H4009" s="242">
        <v>1461360</v>
      </c>
      <c r="I4009" s="242">
        <v>1507352</v>
      </c>
      <c r="J4009"/>
    </row>
    <row r="4010" spans="1:10" ht="15.75" customHeight="1">
      <c r="A4010" t="s">
        <v>2404</v>
      </c>
      <c r="B4010">
        <v>814310</v>
      </c>
      <c r="C4010">
        <v>1</v>
      </c>
      <c r="D4010" t="str">
        <f t="shared" si="62"/>
        <v>1814310.120</v>
      </c>
      <c r="E4010" t="s">
        <v>2574</v>
      </c>
      <c r="F4010" s="242"/>
      <c r="G4010"/>
      <c r="H4010" s="242">
        <v>9506</v>
      </c>
      <c r="I4010" s="242">
        <v>10318</v>
      </c>
      <c r="J4010"/>
    </row>
    <row r="4011" spans="1:10" ht="15.75" customHeight="1">
      <c r="A4011" t="s">
        <v>2579</v>
      </c>
      <c r="B4011">
        <v>814310</v>
      </c>
      <c r="C4011">
        <v>1</v>
      </c>
      <c r="D4011" t="str">
        <f t="shared" si="62"/>
        <v>1814310.181</v>
      </c>
      <c r="E4011" t="s">
        <v>2580</v>
      </c>
      <c r="F4011" s="242"/>
      <c r="G4011"/>
      <c r="H4011" s="242">
        <v>401006</v>
      </c>
      <c r="I4011" s="242">
        <v>415394</v>
      </c>
      <c r="J4011"/>
    </row>
    <row r="4012" spans="1:10" ht="15.75" customHeight="1">
      <c r="A4012" t="s">
        <v>2581</v>
      </c>
      <c r="B4012">
        <v>814310</v>
      </c>
      <c r="C4012">
        <v>1</v>
      </c>
      <c r="D4012" t="str">
        <f t="shared" si="62"/>
        <v>1814310.182</v>
      </c>
      <c r="E4012" t="s">
        <v>2582</v>
      </c>
      <c r="F4012" s="242"/>
      <c r="G4012"/>
      <c r="H4012" s="242">
        <v>110305</v>
      </c>
      <c r="I4012" s="242">
        <v>113821</v>
      </c>
      <c r="J4012"/>
    </row>
    <row r="4013" spans="1:10" ht="15.75" customHeight="1">
      <c r="A4013" t="s">
        <v>2632</v>
      </c>
      <c r="B4013">
        <v>814310</v>
      </c>
      <c r="C4013">
        <v>1</v>
      </c>
      <c r="D4013" t="str">
        <f t="shared" si="62"/>
        <v>1814310.780</v>
      </c>
      <c r="E4013" t="s">
        <v>3385</v>
      </c>
      <c r="F4013" s="242"/>
      <c r="G4013"/>
      <c r="H4013" s="242">
        <v>9500</v>
      </c>
      <c r="I4013" s="242">
        <v>9500</v>
      </c>
      <c r="J4013"/>
    </row>
    <row r="4014" spans="1:10" ht="15.75" customHeight="1">
      <c r="A4014" t="s">
        <v>542</v>
      </c>
      <c r="B4014">
        <v>814311</v>
      </c>
      <c r="C4014">
        <v>1</v>
      </c>
      <c r="D4014" t="str">
        <f t="shared" si="62"/>
        <v>1814311.721</v>
      </c>
      <c r="E4014" t="s">
        <v>3368</v>
      </c>
      <c r="F4014" s="242"/>
      <c r="G4014"/>
      <c r="H4014" s="242">
        <v>27153</v>
      </c>
      <c r="I4014" s="242">
        <v>23525</v>
      </c>
      <c r="J4014"/>
    </row>
    <row r="4015" spans="1:10">
      <c r="A4015" t="s">
        <v>2403</v>
      </c>
      <c r="B4015">
        <v>814510</v>
      </c>
      <c r="C4015">
        <v>1</v>
      </c>
      <c r="D4015" t="str">
        <f t="shared" si="62"/>
        <v>1814510.110</v>
      </c>
      <c r="E4015" t="s">
        <v>2573</v>
      </c>
      <c r="F4015" s="242"/>
      <c r="G4015"/>
      <c r="H4015" s="242">
        <v>129728</v>
      </c>
      <c r="I4015" s="242">
        <v>112008</v>
      </c>
      <c r="J4015"/>
    </row>
    <row r="4016" spans="1:10">
      <c r="A4016" t="s">
        <v>2404</v>
      </c>
      <c r="B4016">
        <v>814510</v>
      </c>
      <c r="C4016">
        <v>1</v>
      </c>
      <c r="D4016" t="str">
        <f t="shared" si="62"/>
        <v>1814510.120</v>
      </c>
      <c r="E4016" t="s">
        <v>2574</v>
      </c>
      <c r="F4016" s="242"/>
      <c r="G4016"/>
      <c r="H4016" s="242">
        <v>594</v>
      </c>
      <c r="I4016" s="242">
        <v>526</v>
      </c>
      <c r="J4016"/>
    </row>
    <row r="4017" spans="1:10">
      <c r="A4017" t="s">
        <v>2579</v>
      </c>
      <c r="B4017">
        <v>814510</v>
      </c>
      <c r="C4017">
        <v>1</v>
      </c>
      <c r="D4017" t="str">
        <f t="shared" si="62"/>
        <v>1814510.181</v>
      </c>
      <c r="E4017" t="s">
        <v>2580</v>
      </c>
      <c r="F4017" s="242"/>
      <c r="G4017"/>
      <c r="H4017" s="242">
        <v>34480</v>
      </c>
      <c r="I4017" s="242">
        <v>30347</v>
      </c>
      <c r="J4017"/>
    </row>
    <row r="4018" spans="1:10">
      <c r="A4018" t="s">
        <v>2581</v>
      </c>
      <c r="B4018">
        <v>814510</v>
      </c>
      <c r="C4018">
        <v>1</v>
      </c>
      <c r="D4018" t="str">
        <f t="shared" si="62"/>
        <v>1814510.182</v>
      </c>
      <c r="E4018" t="s">
        <v>2582</v>
      </c>
      <c r="F4018" s="242"/>
      <c r="G4018"/>
      <c r="H4018" s="242">
        <v>9775</v>
      </c>
      <c r="I4018" s="242">
        <v>8442</v>
      </c>
      <c r="J4018"/>
    </row>
    <row r="4019" spans="1:10">
      <c r="A4019" t="s">
        <v>2403</v>
      </c>
      <c r="B4019">
        <v>814600</v>
      </c>
      <c r="C4019">
        <v>1</v>
      </c>
      <c r="D4019" t="str">
        <f t="shared" si="62"/>
        <v>1814600.110</v>
      </c>
      <c r="E4019" t="s">
        <v>3345</v>
      </c>
      <c r="F4019" s="242"/>
      <c r="G4019"/>
      <c r="H4019" s="242">
        <v>147255</v>
      </c>
      <c r="I4019" s="242">
        <v>147590</v>
      </c>
      <c r="J4019"/>
    </row>
    <row r="4020" spans="1:10">
      <c r="A4020" t="s">
        <v>2404</v>
      </c>
      <c r="B4020">
        <v>814600</v>
      </c>
      <c r="C4020">
        <v>1</v>
      </c>
      <c r="D4020" t="str">
        <f t="shared" si="62"/>
        <v>1814600.120</v>
      </c>
      <c r="E4020" t="s">
        <v>2574</v>
      </c>
      <c r="F4020" s="242"/>
      <c r="G4020"/>
      <c r="H4020" s="242">
        <v>19438</v>
      </c>
      <c r="I4020" s="242">
        <v>18960</v>
      </c>
      <c r="J4020"/>
    </row>
    <row r="4021" spans="1:10">
      <c r="A4021" t="s">
        <v>2575</v>
      </c>
      <c r="B4021">
        <v>814600</v>
      </c>
      <c r="C4021">
        <v>1</v>
      </c>
      <c r="D4021" t="str">
        <f t="shared" si="62"/>
        <v>1814600.130</v>
      </c>
      <c r="E4021" t="s">
        <v>2576</v>
      </c>
      <c r="F4021" s="242"/>
      <c r="G4021"/>
      <c r="H4021" s="242">
        <v>4652</v>
      </c>
      <c r="I4021" s="242">
        <v>2729</v>
      </c>
      <c r="J4021"/>
    </row>
    <row r="4022" spans="1:10">
      <c r="A4022" t="s">
        <v>2577</v>
      </c>
      <c r="B4022">
        <v>814600</v>
      </c>
      <c r="C4022">
        <v>1</v>
      </c>
      <c r="D4022" t="str">
        <f t="shared" si="62"/>
        <v>1814600.140</v>
      </c>
      <c r="E4022" t="s">
        <v>2578</v>
      </c>
      <c r="F4022" s="242"/>
      <c r="G4022"/>
      <c r="H4022" s="242">
        <v>3628</v>
      </c>
      <c r="I4022" s="242">
        <v>3648</v>
      </c>
      <c r="J4022"/>
    </row>
    <row r="4023" spans="1:10">
      <c r="A4023" t="s">
        <v>2579</v>
      </c>
      <c r="B4023">
        <v>814600</v>
      </c>
      <c r="C4023">
        <v>1</v>
      </c>
      <c r="D4023" t="str">
        <f t="shared" si="62"/>
        <v>1814600.181</v>
      </c>
      <c r="E4023" t="s">
        <v>2580</v>
      </c>
      <c r="F4023" s="242"/>
      <c r="G4023"/>
      <c r="H4023" s="242">
        <v>26408</v>
      </c>
      <c r="I4023" s="242">
        <v>25910</v>
      </c>
      <c r="J4023"/>
    </row>
    <row r="4024" spans="1:10">
      <c r="A4024" t="s">
        <v>2581</v>
      </c>
      <c r="B4024">
        <v>814600</v>
      </c>
      <c r="C4024">
        <v>1</v>
      </c>
      <c r="D4024" t="str">
        <f t="shared" si="62"/>
        <v>1814600.182</v>
      </c>
      <c r="E4024" t="s">
        <v>2582</v>
      </c>
      <c r="F4024" s="242"/>
      <c r="G4024"/>
      <c r="H4024" s="242">
        <v>13291</v>
      </c>
      <c r="I4024" s="242">
        <v>13137</v>
      </c>
      <c r="J4024"/>
    </row>
    <row r="4025" spans="1:10">
      <c r="A4025" t="s">
        <v>2403</v>
      </c>
      <c r="B4025">
        <v>814610</v>
      </c>
      <c r="C4025">
        <v>1</v>
      </c>
      <c r="D4025" t="str">
        <f t="shared" si="62"/>
        <v>1814610.110</v>
      </c>
      <c r="E4025" t="s">
        <v>3346</v>
      </c>
      <c r="F4025" s="242"/>
      <c r="G4025"/>
      <c r="H4025" s="242">
        <v>1022976</v>
      </c>
      <c r="I4025" s="242">
        <v>995692</v>
      </c>
      <c r="J4025"/>
    </row>
    <row r="4026" spans="1:10">
      <c r="A4026" t="s">
        <v>2404</v>
      </c>
      <c r="B4026">
        <v>814610</v>
      </c>
      <c r="C4026">
        <v>1</v>
      </c>
      <c r="D4026" t="str">
        <f t="shared" si="62"/>
        <v>1814610.120</v>
      </c>
      <c r="E4026" t="s">
        <v>2574</v>
      </c>
      <c r="F4026" s="242"/>
      <c r="G4026"/>
      <c r="H4026" s="242">
        <v>10060</v>
      </c>
      <c r="I4026" s="242">
        <v>13904</v>
      </c>
      <c r="J4026"/>
    </row>
    <row r="4027" spans="1:10">
      <c r="A4027" t="s">
        <v>2579</v>
      </c>
      <c r="B4027">
        <v>814610</v>
      </c>
      <c r="C4027">
        <v>1</v>
      </c>
      <c r="D4027" t="str">
        <f t="shared" si="62"/>
        <v>1814610.181</v>
      </c>
      <c r="E4027" t="s">
        <v>2580</v>
      </c>
      <c r="F4027" s="242"/>
      <c r="G4027"/>
      <c r="H4027" s="242">
        <v>277963</v>
      </c>
      <c r="I4027" s="242">
        <v>272939</v>
      </c>
      <c r="J4027"/>
    </row>
    <row r="4028" spans="1:10">
      <c r="A4028" t="s">
        <v>2581</v>
      </c>
      <c r="B4028">
        <v>814610</v>
      </c>
      <c r="C4028">
        <v>1</v>
      </c>
      <c r="D4028" t="str">
        <f t="shared" si="62"/>
        <v>1814610.182</v>
      </c>
      <c r="E4028" t="s">
        <v>3397</v>
      </c>
      <c r="F4028" s="242"/>
      <c r="G4028"/>
      <c r="H4028" s="242">
        <v>77475</v>
      </c>
      <c r="I4028" s="242">
        <v>75714</v>
      </c>
      <c r="J4028"/>
    </row>
    <row r="4029" spans="1:10">
      <c r="A4029" t="s">
        <v>2632</v>
      </c>
      <c r="B4029">
        <v>814610</v>
      </c>
      <c r="C4029">
        <v>1</v>
      </c>
      <c r="D4029" t="str">
        <f t="shared" si="62"/>
        <v>1814610.780</v>
      </c>
      <c r="E4029" t="s">
        <v>3398</v>
      </c>
      <c r="F4029" s="242"/>
      <c r="G4029"/>
      <c r="H4029" s="242">
        <v>9500</v>
      </c>
      <c r="I4029" s="242">
        <v>9500</v>
      </c>
      <c r="J4029"/>
    </row>
    <row r="4030" spans="1:10">
      <c r="A4030" t="s">
        <v>542</v>
      </c>
      <c r="B4030">
        <v>814611</v>
      </c>
      <c r="C4030">
        <v>1</v>
      </c>
      <c r="D4030" t="str">
        <f t="shared" si="62"/>
        <v>1814611.721</v>
      </c>
      <c r="E4030" t="s">
        <v>3368</v>
      </c>
      <c r="F4030" s="242"/>
      <c r="G4030"/>
      <c r="H4030" s="242">
        <v>448</v>
      </c>
      <c r="I4030" s="242">
        <v>0</v>
      </c>
      <c r="J4030"/>
    </row>
    <row r="4031" spans="1:10">
      <c r="A4031" t="s">
        <v>2403</v>
      </c>
      <c r="B4031">
        <v>814700</v>
      </c>
      <c r="C4031">
        <v>1</v>
      </c>
      <c r="D4031" t="str">
        <f t="shared" si="62"/>
        <v>1814700.110</v>
      </c>
      <c r="E4031" t="s">
        <v>3441</v>
      </c>
      <c r="F4031" s="242"/>
      <c r="G4031"/>
      <c r="H4031" s="242">
        <v>74687</v>
      </c>
      <c r="I4031" s="242">
        <v>50120</v>
      </c>
      <c r="J4031"/>
    </row>
    <row r="4032" spans="1:10">
      <c r="A4032" t="s">
        <v>2404</v>
      </c>
      <c r="B4032">
        <v>814700</v>
      </c>
      <c r="C4032">
        <v>1</v>
      </c>
      <c r="D4032" t="str">
        <f t="shared" si="62"/>
        <v>1814700.120</v>
      </c>
      <c r="E4032" t="s">
        <v>2574</v>
      </c>
      <c r="F4032" s="242"/>
      <c r="G4032"/>
      <c r="H4032" s="242">
        <v>14451</v>
      </c>
      <c r="I4032" s="242">
        <v>9713</v>
      </c>
      <c r="J4032"/>
    </row>
    <row r="4033" spans="1:10">
      <c r="A4033" t="s">
        <v>2575</v>
      </c>
      <c r="B4033">
        <v>814700</v>
      </c>
      <c r="C4033">
        <v>1</v>
      </c>
      <c r="D4033" t="str">
        <f t="shared" si="62"/>
        <v>1814700.130</v>
      </c>
      <c r="E4033" t="s">
        <v>2576</v>
      </c>
      <c r="F4033" s="242"/>
      <c r="G4033"/>
      <c r="H4033" s="242">
        <v>1436</v>
      </c>
      <c r="I4033" s="242">
        <v>422</v>
      </c>
      <c r="J4033"/>
    </row>
    <row r="4034" spans="1:10">
      <c r="A4034" t="s">
        <v>2577</v>
      </c>
      <c r="B4034">
        <v>814700</v>
      </c>
      <c r="C4034">
        <v>1</v>
      </c>
      <c r="D4034" t="str">
        <f t="shared" si="62"/>
        <v>1814700.140</v>
      </c>
      <c r="E4034" t="s">
        <v>2578</v>
      </c>
      <c r="F4034" s="242"/>
      <c r="G4034"/>
      <c r="H4034" s="242">
        <v>1984</v>
      </c>
      <c r="I4034" s="242">
        <v>1343</v>
      </c>
      <c r="J4034"/>
    </row>
    <row r="4035" spans="1:10">
      <c r="A4035" t="s">
        <v>2579</v>
      </c>
      <c r="B4035">
        <v>814700</v>
      </c>
      <c r="C4035">
        <v>1</v>
      </c>
      <c r="D4035" t="str">
        <f t="shared" ref="D4035:D4098" si="63">C4035&amp;B4035&amp;"."&amp;A4035</f>
        <v>1814700.181</v>
      </c>
      <c r="E4035" t="s">
        <v>2580</v>
      </c>
      <c r="F4035" s="242"/>
      <c r="G4035"/>
      <c r="H4035" s="242">
        <v>18313</v>
      </c>
      <c r="I4035" s="242">
        <v>10769</v>
      </c>
      <c r="J4035"/>
    </row>
    <row r="4036" spans="1:10">
      <c r="A4036" t="s">
        <v>2581</v>
      </c>
      <c r="B4036">
        <v>814700</v>
      </c>
      <c r="C4036">
        <v>1</v>
      </c>
      <c r="D4036" t="str">
        <f t="shared" si="63"/>
        <v>1814700.182</v>
      </c>
      <c r="E4036" t="s">
        <v>2582</v>
      </c>
      <c r="F4036" s="242"/>
      <c r="G4036"/>
      <c r="H4036" s="242">
        <v>7040</v>
      </c>
      <c r="I4036" s="242">
        <v>4690</v>
      </c>
      <c r="J4036"/>
    </row>
    <row r="4037" spans="1:10">
      <c r="A4037" t="s">
        <v>2403</v>
      </c>
      <c r="B4037">
        <v>814710</v>
      </c>
      <c r="C4037">
        <v>1</v>
      </c>
      <c r="D4037" t="str">
        <f t="shared" si="63"/>
        <v>1814710.110</v>
      </c>
      <c r="E4037" t="s">
        <v>3346</v>
      </c>
      <c r="F4037" s="242"/>
      <c r="G4037"/>
      <c r="H4037" s="242">
        <v>457759</v>
      </c>
      <c r="I4037" s="242">
        <v>437683</v>
      </c>
      <c r="J4037"/>
    </row>
    <row r="4038" spans="1:10">
      <c r="A4038" t="s">
        <v>2404</v>
      </c>
      <c r="B4038">
        <v>814710</v>
      </c>
      <c r="C4038">
        <v>1</v>
      </c>
      <c r="D4038" t="str">
        <f t="shared" si="63"/>
        <v>1814710.120</v>
      </c>
      <c r="E4038" t="s">
        <v>2574</v>
      </c>
      <c r="F4038" s="242"/>
      <c r="G4038"/>
      <c r="H4038" s="242">
        <v>5962</v>
      </c>
      <c r="I4038" s="242">
        <v>4802</v>
      </c>
      <c r="J4038"/>
    </row>
    <row r="4039" spans="1:10">
      <c r="A4039" t="s">
        <v>2579</v>
      </c>
      <c r="B4039">
        <v>814710</v>
      </c>
      <c r="C4039">
        <v>1</v>
      </c>
      <c r="D4039" t="str">
        <f t="shared" si="63"/>
        <v>1814710.181</v>
      </c>
      <c r="E4039" t="s">
        <v>2580</v>
      </c>
      <c r="F4039" s="242"/>
      <c r="G4039"/>
      <c r="H4039" s="242">
        <v>125389</v>
      </c>
      <c r="I4039" s="242">
        <v>119904</v>
      </c>
      <c r="J4039"/>
    </row>
    <row r="4040" spans="1:10">
      <c r="A4040" t="s">
        <v>2581</v>
      </c>
      <c r="B4040">
        <v>814710</v>
      </c>
      <c r="C4040">
        <v>1</v>
      </c>
      <c r="D4040" t="str">
        <f t="shared" si="63"/>
        <v>1814710.182</v>
      </c>
      <c r="E4040" t="s">
        <v>2582</v>
      </c>
      <c r="F4040" s="242"/>
      <c r="G4040"/>
      <c r="H4040" s="242">
        <v>34772</v>
      </c>
      <c r="I4040" s="242">
        <v>33181</v>
      </c>
      <c r="J4040"/>
    </row>
    <row r="4041" spans="1:10">
      <c r="A4041" t="s">
        <v>2632</v>
      </c>
      <c r="B4041">
        <v>814710</v>
      </c>
      <c r="C4041">
        <v>1</v>
      </c>
      <c r="D4041" t="str">
        <f t="shared" si="63"/>
        <v>1814710.780</v>
      </c>
      <c r="E4041" t="s">
        <v>3347</v>
      </c>
      <c r="F4041" s="242"/>
      <c r="G4041"/>
      <c r="H4041" s="242">
        <v>9500</v>
      </c>
      <c r="I4041" s="242">
        <v>9500</v>
      </c>
      <c r="J4041"/>
    </row>
    <row r="4042" spans="1:10">
      <c r="A4042" t="s">
        <v>542</v>
      </c>
      <c r="B4042">
        <v>814711</v>
      </c>
      <c r="C4042">
        <v>1</v>
      </c>
      <c r="D4042" t="str">
        <f t="shared" si="63"/>
        <v>1814711.721</v>
      </c>
      <c r="E4042" t="s">
        <v>3368</v>
      </c>
      <c r="F4042" s="242"/>
      <c r="G4042"/>
      <c r="H4042" s="242">
        <v>1635</v>
      </c>
      <c r="I4042" s="242">
        <v>1814</v>
      </c>
      <c r="J4042"/>
    </row>
    <row r="4043" spans="1:10">
      <c r="A4043" t="s">
        <v>2859</v>
      </c>
      <c r="B4043">
        <v>814771</v>
      </c>
      <c r="C4043">
        <v>1</v>
      </c>
      <c r="D4043" t="str">
        <f t="shared" si="63"/>
        <v>1814771.870</v>
      </c>
      <c r="E4043" t="s">
        <v>3404</v>
      </c>
      <c r="F4043" s="242"/>
      <c r="G4043"/>
      <c r="H4043" s="242">
        <v>80000</v>
      </c>
      <c r="I4043" s="242">
        <v>80000</v>
      </c>
      <c r="J4043"/>
    </row>
    <row r="4044" spans="1:10">
      <c r="A4044" t="s">
        <v>2403</v>
      </c>
      <c r="B4044">
        <v>814800</v>
      </c>
      <c r="C4044">
        <v>1</v>
      </c>
      <c r="D4044" t="str">
        <f t="shared" si="63"/>
        <v>1814800.110</v>
      </c>
      <c r="E4044" t="s">
        <v>3345</v>
      </c>
      <c r="F4044" s="242"/>
      <c r="G4044"/>
      <c r="H4044" s="242">
        <v>1834296</v>
      </c>
      <c r="I4044" s="242">
        <v>1758489</v>
      </c>
      <c r="J4044"/>
    </row>
    <row r="4045" spans="1:10">
      <c r="A4045" t="s">
        <v>2404</v>
      </c>
      <c r="B4045">
        <v>814800</v>
      </c>
      <c r="C4045">
        <v>1</v>
      </c>
      <c r="D4045" t="str">
        <f t="shared" si="63"/>
        <v>1814800.120</v>
      </c>
      <c r="E4045" t="s">
        <v>2574</v>
      </c>
      <c r="F4045" s="242"/>
      <c r="G4045"/>
      <c r="H4045" s="242">
        <v>221366</v>
      </c>
      <c r="I4045" s="242">
        <v>208905</v>
      </c>
      <c r="J4045"/>
    </row>
    <row r="4046" spans="1:10">
      <c r="A4046" t="s">
        <v>2575</v>
      </c>
      <c r="B4046">
        <v>814800</v>
      </c>
      <c r="C4046">
        <v>1</v>
      </c>
      <c r="D4046" t="str">
        <f t="shared" si="63"/>
        <v>1814800.130</v>
      </c>
      <c r="E4046" t="s">
        <v>2576</v>
      </c>
      <c r="F4046" s="242"/>
      <c r="G4046"/>
      <c r="H4046" s="242">
        <v>15475</v>
      </c>
      <c r="I4046" s="242">
        <v>10387</v>
      </c>
      <c r="J4046"/>
    </row>
    <row r="4047" spans="1:10">
      <c r="A4047" t="s">
        <v>2577</v>
      </c>
      <c r="B4047">
        <v>814800</v>
      </c>
      <c r="C4047">
        <v>1</v>
      </c>
      <c r="D4047" t="str">
        <f t="shared" si="63"/>
        <v>1814800.140</v>
      </c>
      <c r="E4047" t="s">
        <v>2578</v>
      </c>
      <c r="F4047" s="242"/>
      <c r="G4047"/>
      <c r="H4047" s="242">
        <v>142198</v>
      </c>
      <c r="I4047" s="242">
        <v>123370</v>
      </c>
      <c r="J4047"/>
    </row>
    <row r="4048" spans="1:10">
      <c r="A4048" t="s">
        <v>2579</v>
      </c>
      <c r="B4048">
        <v>814800</v>
      </c>
      <c r="C4048">
        <v>1</v>
      </c>
      <c r="D4048" t="str">
        <f t="shared" si="63"/>
        <v>1814800.181</v>
      </c>
      <c r="E4048" t="s">
        <v>2580</v>
      </c>
      <c r="F4048" s="242"/>
      <c r="G4048"/>
      <c r="H4048" s="242">
        <v>402508</v>
      </c>
      <c r="I4048" s="242">
        <v>375947</v>
      </c>
      <c r="J4048"/>
    </row>
    <row r="4049" spans="1:10">
      <c r="A4049" t="s">
        <v>2581</v>
      </c>
      <c r="B4049">
        <v>814800</v>
      </c>
      <c r="C4049">
        <v>1</v>
      </c>
      <c r="D4049" t="str">
        <f t="shared" si="63"/>
        <v>1814800.182</v>
      </c>
      <c r="E4049" t="s">
        <v>2582</v>
      </c>
      <c r="F4049" s="242"/>
      <c r="G4049"/>
      <c r="H4049" s="242">
        <v>168665</v>
      </c>
      <c r="I4049" s="242">
        <v>159816</v>
      </c>
      <c r="J4049"/>
    </row>
    <row r="4050" spans="1:10">
      <c r="A4050" t="s">
        <v>2632</v>
      </c>
      <c r="B4050">
        <v>814800</v>
      </c>
      <c r="C4050">
        <v>1</v>
      </c>
      <c r="D4050" t="str">
        <f t="shared" si="63"/>
        <v>1814800.780</v>
      </c>
      <c r="E4050" t="s">
        <v>3398</v>
      </c>
      <c r="F4050" s="242"/>
      <c r="G4050"/>
      <c r="H4050" s="242">
        <v>9500</v>
      </c>
      <c r="I4050" s="242">
        <v>9500</v>
      </c>
      <c r="J4050"/>
    </row>
    <row r="4051" spans="1:10">
      <c r="A4051" t="s">
        <v>575</v>
      </c>
      <c r="B4051">
        <v>814810</v>
      </c>
      <c r="C4051">
        <v>1</v>
      </c>
      <c r="D4051" t="str">
        <f t="shared" si="63"/>
        <v>1814810.726</v>
      </c>
      <c r="E4051" t="s">
        <v>3313</v>
      </c>
      <c r="F4051" s="242"/>
      <c r="G4051"/>
      <c r="H4051" s="242">
        <v>0</v>
      </c>
      <c r="I4051" s="242">
        <v>0</v>
      </c>
      <c r="J4051"/>
    </row>
    <row r="4052" spans="1:10">
      <c r="A4052" t="s">
        <v>2403</v>
      </c>
      <c r="B4052">
        <v>814811</v>
      </c>
      <c r="C4052">
        <v>1</v>
      </c>
      <c r="D4052" t="str">
        <f t="shared" si="63"/>
        <v>1814811.110</v>
      </c>
      <c r="E4052" t="s">
        <v>3449</v>
      </c>
      <c r="F4052" s="242"/>
      <c r="G4052"/>
      <c r="H4052" s="242">
        <v>498144</v>
      </c>
      <c r="I4052" s="242">
        <v>454038</v>
      </c>
      <c r="J4052"/>
    </row>
    <row r="4053" spans="1:10">
      <c r="A4053" t="s">
        <v>2404</v>
      </c>
      <c r="B4053">
        <v>814811</v>
      </c>
      <c r="C4053">
        <v>1</v>
      </c>
      <c r="D4053" t="str">
        <f t="shared" si="63"/>
        <v>1814811.120</v>
      </c>
      <c r="E4053" t="s">
        <v>2574</v>
      </c>
      <c r="F4053" s="242"/>
      <c r="G4053"/>
      <c r="H4053" s="242">
        <v>3107</v>
      </c>
      <c r="I4053" s="242">
        <v>3832</v>
      </c>
      <c r="J4053"/>
    </row>
    <row r="4054" spans="1:10">
      <c r="A4054" t="s">
        <v>2579</v>
      </c>
      <c r="B4054">
        <v>814811</v>
      </c>
      <c r="C4054">
        <v>1</v>
      </c>
      <c r="D4054" t="str">
        <f t="shared" si="63"/>
        <v>1814811.181</v>
      </c>
      <c r="E4054" t="s">
        <v>2580</v>
      </c>
      <c r="F4054" s="242"/>
      <c r="G4054"/>
      <c r="H4054" s="242">
        <v>130718</v>
      </c>
      <c r="I4054" s="242">
        <v>121189</v>
      </c>
      <c r="J4054"/>
    </row>
    <row r="4055" spans="1:10">
      <c r="A4055" t="s">
        <v>2581</v>
      </c>
      <c r="B4055">
        <v>814811</v>
      </c>
      <c r="C4055">
        <v>1</v>
      </c>
      <c r="D4055" t="str">
        <f t="shared" si="63"/>
        <v>1814811.182</v>
      </c>
      <c r="E4055" t="s">
        <v>3397</v>
      </c>
      <c r="F4055" s="242"/>
      <c r="G4055"/>
      <c r="H4055" s="242">
        <v>37583</v>
      </c>
      <c r="I4055" s="242">
        <v>34331</v>
      </c>
      <c r="J4055"/>
    </row>
    <row r="4056" spans="1:10">
      <c r="A4056" t="s">
        <v>2403</v>
      </c>
      <c r="B4056">
        <v>814910</v>
      </c>
      <c r="C4056">
        <v>1</v>
      </c>
      <c r="D4056" t="str">
        <f t="shared" si="63"/>
        <v>1814910.110</v>
      </c>
      <c r="E4056" t="s">
        <v>3346</v>
      </c>
      <c r="F4056" s="242"/>
      <c r="G4056"/>
      <c r="H4056" s="242">
        <v>0</v>
      </c>
      <c r="I4056" s="242">
        <v>29306</v>
      </c>
      <c r="J4056"/>
    </row>
    <row r="4057" spans="1:10">
      <c r="A4057" t="s">
        <v>2404</v>
      </c>
      <c r="B4057">
        <v>814910</v>
      </c>
      <c r="C4057">
        <v>1</v>
      </c>
      <c r="D4057" t="str">
        <f t="shared" si="63"/>
        <v>1814910.120</v>
      </c>
      <c r="E4057" t="s">
        <v>2574</v>
      </c>
      <c r="F4057" s="242"/>
      <c r="G4057"/>
      <c r="H4057" s="242">
        <v>0</v>
      </c>
      <c r="I4057" s="242">
        <v>162</v>
      </c>
      <c r="J4057"/>
    </row>
    <row r="4058" spans="1:10">
      <c r="A4058" t="s">
        <v>2579</v>
      </c>
      <c r="B4058">
        <v>814910</v>
      </c>
      <c r="C4058">
        <v>1</v>
      </c>
      <c r="D4058" t="str">
        <f t="shared" si="63"/>
        <v>1814910.181</v>
      </c>
      <c r="E4058" t="s">
        <v>2580</v>
      </c>
      <c r="F4058" s="242"/>
      <c r="G4058"/>
      <c r="H4058" s="242">
        <v>0</v>
      </c>
      <c r="I4058" s="242">
        <v>8153</v>
      </c>
      <c r="J4058"/>
    </row>
    <row r="4059" spans="1:10">
      <c r="A4059" t="s">
        <v>2581</v>
      </c>
      <c r="B4059">
        <v>814910</v>
      </c>
      <c r="C4059">
        <v>1</v>
      </c>
      <c r="D4059" t="str">
        <f t="shared" si="63"/>
        <v>1814910.182</v>
      </c>
      <c r="E4059" t="s">
        <v>2582</v>
      </c>
      <c r="F4059" s="242"/>
      <c r="G4059"/>
      <c r="H4059" s="242">
        <v>0</v>
      </c>
      <c r="I4059" s="242">
        <v>2210</v>
      </c>
      <c r="J4059"/>
    </row>
    <row r="4060" spans="1:10">
      <c r="A4060" t="s">
        <v>872</v>
      </c>
      <c r="B4060">
        <v>814910</v>
      </c>
      <c r="C4060">
        <v>1</v>
      </c>
      <c r="D4060" t="str">
        <f t="shared" si="63"/>
        <v>1814910.781</v>
      </c>
      <c r="E4060" t="s">
        <v>3425</v>
      </c>
      <c r="F4060" s="242"/>
      <c r="G4060"/>
      <c r="H4060" s="242">
        <v>450000</v>
      </c>
      <c r="I4060" s="242">
        <v>471134</v>
      </c>
      <c r="J4060"/>
    </row>
    <row r="4061" spans="1:10">
      <c r="A4061" t="s">
        <v>542</v>
      </c>
      <c r="B4061">
        <v>814911</v>
      </c>
      <c r="C4061">
        <v>1</v>
      </c>
      <c r="D4061" t="str">
        <f t="shared" si="63"/>
        <v>1814911.721</v>
      </c>
      <c r="E4061" t="s">
        <v>3368</v>
      </c>
      <c r="F4061" s="242"/>
      <c r="G4061"/>
      <c r="H4061" s="242">
        <v>2418</v>
      </c>
      <c r="I4061" s="242">
        <v>1635</v>
      </c>
      <c r="J4061"/>
    </row>
    <row r="4062" spans="1:10">
      <c r="A4062" t="s">
        <v>2652</v>
      </c>
      <c r="B4062">
        <v>815100</v>
      </c>
      <c r="C4062">
        <v>1</v>
      </c>
      <c r="D4062" t="str">
        <f t="shared" si="63"/>
        <v>1815100.420</v>
      </c>
      <c r="E4062" t="s">
        <v>3053</v>
      </c>
      <c r="F4062" s="242"/>
      <c r="G4062"/>
      <c r="H4062" s="242">
        <v>16000</v>
      </c>
      <c r="I4062" s="242">
        <v>0</v>
      </c>
      <c r="J4062"/>
    </row>
    <row r="4063" spans="1:10">
      <c r="A4063" t="s">
        <v>2620</v>
      </c>
      <c r="B4063">
        <v>815100</v>
      </c>
      <c r="C4063">
        <v>1</v>
      </c>
      <c r="D4063" t="str">
        <f t="shared" si="63"/>
        <v>1815100.575</v>
      </c>
      <c r="E4063" t="s">
        <v>3054</v>
      </c>
      <c r="F4063" s="242"/>
      <c r="G4063"/>
      <c r="H4063" s="242">
        <v>0</v>
      </c>
      <c r="I4063" s="242">
        <v>0</v>
      </c>
      <c r="J4063"/>
    </row>
    <row r="4064" spans="1:10">
      <c r="A4064" t="s">
        <v>673</v>
      </c>
      <c r="B4064">
        <v>815100</v>
      </c>
      <c r="C4064">
        <v>1</v>
      </c>
      <c r="D4064" t="str">
        <f t="shared" si="63"/>
        <v>1815100.743</v>
      </c>
      <c r="E4064" t="s">
        <v>3055</v>
      </c>
      <c r="F4064" s="242"/>
      <c r="G4064"/>
      <c r="H4064" s="242">
        <v>0</v>
      </c>
      <c r="I4064" s="242">
        <v>73873</v>
      </c>
      <c r="J4064"/>
    </row>
    <row r="4065" spans="1:10">
      <c r="A4065" t="s">
        <v>3056</v>
      </c>
      <c r="B4065">
        <v>815100</v>
      </c>
      <c r="C4065">
        <v>1</v>
      </c>
      <c r="D4065" t="str">
        <f t="shared" si="63"/>
        <v>1815100.789</v>
      </c>
      <c r="E4065" t="s">
        <v>3057</v>
      </c>
      <c r="F4065" s="242"/>
      <c r="G4065"/>
      <c r="H4065" s="242">
        <v>50000</v>
      </c>
      <c r="I4065" s="242">
        <v>39087</v>
      </c>
      <c r="J4065"/>
    </row>
    <row r="4066" spans="1:10">
      <c r="A4066" t="s">
        <v>2403</v>
      </c>
      <c r="B4066">
        <v>815100</v>
      </c>
      <c r="C4066">
        <v>1</v>
      </c>
      <c r="D4066" t="str">
        <f t="shared" si="63"/>
        <v>1815100.110</v>
      </c>
      <c r="E4066" t="s">
        <v>2573</v>
      </c>
      <c r="F4066" s="242"/>
      <c r="G4066"/>
      <c r="H4066" s="242">
        <v>360284</v>
      </c>
      <c r="I4066" s="242">
        <v>414882</v>
      </c>
      <c r="J4066"/>
    </row>
    <row r="4067" spans="1:10">
      <c r="A4067" t="s">
        <v>2404</v>
      </c>
      <c r="B4067">
        <v>815100</v>
      </c>
      <c r="C4067">
        <v>1</v>
      </c>
      <c r="D4067" t="str">
        <f t="shared" si="63"/>
        <v>1815100.120</v>
      </c>
      <c r="E4067" t="s">
        <v>2574</v>
      </c>
      <c r="F4067" s="242"/>
      <c r="G4067"/>
      <c r="H4067" s="242">
        <v>28979</v>
      </c>
      <c r="I4067" s="242">
        <v>28328</v>
      </c>
      <c r="J4067"/>
    </row>
    <row r="4068" spans="1:10">
      <c r="A4068" t="s">
        <v>2577</v>
      </c>
      <c r="B4068">
        <v>815100</v>
      </c>
      <c r="C4068">
        <v>1</v>
      </c>
      <c r="D4068" t="str">
        <f t="shared" si="63"/>
        <v>1815100.140</v>
      </c>
      <c r="E4068" t="s">
        <v>2578</v>
      </c>
      <c r="F4068" s="242"/>
      <c r="G4068"/>
      <c r="H4068" s="242">
        <v>20825</v>
      </c>
      <c r="I4068" s="242">
        <v>26211</v>
      </c>
      <c r="J4068"/>
    </row>
    <row r="4069" spans="1:10">
      <c r="A4069" t="s">
        <v>2579</v>
      </c>
      <c r="B4069">
        <v>815100</v>
      </c>
      <c r="C4069">
        <v>1</v>
      </c>
      <c r="D4069" t="str">
        <f t="shared" si="63"/>
        <v>1815100.181</v>
      </c>
      <c r="E4069" t="s">
        <v>2580</v>
      </c>
      <c r="F4069" s="242"/>
      <c r="G4069"/>
      <c r="H4069" s="242">
        <v>88913</v>
      </c>
      <c r="I4069" s="242">
        <v>100911</v>
      </c>
      <c r="J4069"/>
    </row>
    <row r="4070" spans="1:10">
      <c r="A4070" t="s">
        <v>2581</v>
      </c>
      <c r="B4070">
        <v>815100</v>
      </c>
      <c r="C4070">
        <v>1</v>
      </c>
      <c r="D4070" t="str">
        <f t="shared" si="63"/>
        <v>1815100.182</v>
      </c>
      <c r="E4070" t="s">
        <v>2582</v>
      </c>
      <c r="F4070" s="242"/>
      <c r="G4070"/>
      <c r="H4070" s="242">
        <v>36885</v>
      </c>
      <c r="I4070" s="242">
        <v>38977</v>
      </c>
      <c r="J4070"/>
    </row>
    <row r="4071" spans="1:10">
      <c r="A4071" t="s">
        <v>2586</v>
      </c>
      <c r="B4071">
        <v>815100</v>
      </c>
      <c r="C4071">
        <v>1</v>
      </c>
      <c r="D4071" t="str">
        <f t="shared" si="63"/>
        <v>1815100.514</v>
      </c>
      <c r="E4071" t="s">
        <v>3298</v>
      </c>
      <c r="F4071" s="242"/>
      <c r="G4071"/>
      <c r="H4071" s="242">
        <v>95000</v>
      </c>
      <c r="I4071" s="242">
        <v>94910</v>
      </c>
      <c r="J4071"/>
    </row>
    <row r="4072" spans="1:10">
      <c r="A4072" t="s">
        <v>2590</v>
      </c>
      <c r="B4072">
        <v>815100</v>
      </c>
      <c r="C4072">
        <v>1</v>
      </c>
      <c r="D4072" t="str">
        <f t="shared" si="63"/>
        <v>1815100.523</v>
      </c>
      <c r="E4072" t="s">
        <v>3299</v>
      </c>
      <c r="F4072" s="242"/>
      <c r="G4072"/>
      <c r="H4072" s="242">
        <v>1000</v>
      </c>
      <c r="I4072" s="242">
        <v>910</v>
      </c>
      <c r="J4072"/>
    </row>
    <row r="4073" spans="1:10">
      <c r="A4073" t="s">
        <v>2594</v>
      </c>
      <c r="B4073">
        <v>815100</v>
      </c>
      <c r="C4073">
        <v>1</v>
      </c>
      <c r="D4073" t="str">
        <f t="shared" si="63"/>
        <v>1815100.540</v>
      </c>
      <c r="E4073" t="s">
        <v>2595</v>
      </c>
      <c r="F4073" s="242"/>
      <c r="G4073"/>
      <c r="H4073" s="242">
        <v>11000</v>
      </c>
      <c r="I4073" s="242">
        <v>8548</v>
      </c>
      <c r="J4073"/>
    </row>
    <row r="4074" spans="1:10">
      <c r="A4074" t="s">
        <v>2598</v>
      </c>
      <c r="B4074">
        <v>815100</v>
      </c>
      <c r="C4074">
        <v>1</v>
      </c>
      <c r="D4074" t="str">
        <f t="shared" si="63"/>
        <v>1815100.561</v>
      </c>
      <c r="E4074" t="s">
        <v>2599</v>
      </c>
      <c r="F4074" s="242"/>
      <c r="G4074"/>
      <c r="H4074" s="242">
        <v>2000</v>
      </c>
      <c r="I4074" s="242">
        <v>1825</v>
      </c>
      <c r="J4074"/>
    </row>
    <row r="4075" spans="1:10">
      <c r="A4075" t="s">
        <v>2600</v>
      </c>
      <c r="B4075">
        <v>815100</v>
      </c>
      <c r="C4075">
        <v>1</v>
      </c>
      <c r="D4075" t="str">
        <f t="shared" si="63"/>
        <v>1815100.580</v>
      </c>
      <c r="E4075" t="s">
        <v>2601</v>
      </c>
      <c r="F4075" s="242"/>
      <c r="G4075"/>
      <c r="H4075" s="242">
        <v>5000</v>
      </c>
      <c r="I4075" s="242">
        <v>3630</v>
      </c>
      <c r="J4075"/>
    </row>
    <row r="4076" spans="1:10">
      <c r="A4076" t="s">
        <v>2609</v>
      </c>
      <c r="B4076">
        <v>815100</v>
      </c>
      <c r="C4076">
        <v>1</v>
      </c>
      <c r="D4076" t="str">
        <f t="shared" si="63"/>
        <v>1815100.710</v>
      </c>
      <c r="E4076" t="s">
        <v>3293</v>
      </c>
      <c r="F4076" s="242"/>
      <c r="G4076"/>
      <c r="H4076" s="242">
        <v>28000</v>
      </c>
      <c r="I4076" s="242">
        <v>25138</v>
      </c>
      <c r="J4076"/>
    </row>
    <row r="4077" spans="1:10">
      <c r="A4077" t="s">
        <v>547</v>
      </c>
      <c r="B4077">
        <v>815100</v>
      </c>
      <c r="C4077">
        <v>1</v>
      </c>
      <c r="D4077" t="str">
        <f t="shared" si="63"/>
        <v>1815100.722</v>
      </c>
      <c r="E4077" t="s">
        <v>3036</v>
      </c>
      <c r="F4077" s="242"/>
      <c r="G4077"/>
      <c r="H4077" s="242">
        <v>100</v>
      </c>
      <c r="I4077" s="242">
        <v>159587</v>
      </c>
      <c r="J4077"/>
    </row>
    <row r="4078" spans="1:10">
      <c r="A4078" t="s">
        <v>600</v>
      </c>
      <c r="B4078">
        <v>815100</v>
      </c>
      <c r="C4078">
        <v>1</v>
      </c>
      <c r="D4078" t="str">
        <f t="shared" si="63"/>
        <v>1815100.731</v>
      </c>
      <c r="E4078" t="s">
        <v>2593</v>
      </c>
      <c r="F4078" s="242"/>
      <c r="G4078"/>
      <c r="H4078" s="242">
        <v>13366</v>
      </c>
      <c r="I4078" s="242">
        <v>14800</v>
      </c>
      <c r="J4078"/>
    </row>
    <row r="4079" spans="1:10">
      <c r="A4079" t="s">
        <v>2418</v>
      </c>
      <c r="B4079">
        <v>815100</v>
      </c>
      <c r="C4079">
        <v>1</v>
      </c>
      <c r="D4079" t="str">
        <f t="shared" si="63"/>
        <v>1815100.735</v>
      </c>
      <c r="E4079" t="s">
        <v>2602</v>
      </c>
      <c r="F4079" s="242"/>
      <c r="G4079"/>
      <c r="H4079" s="242">
        <v>39135</v>
      </c>
      <c r="I4079" s="242">
        <v>41486</v>
      </c>
      <c r="J4079"/>
    </row>
    <row r="4080" spans="1:10">
      <c r="A4080" t="s">
        <v>2632</v>
      </c>
      <c r="B4080">
        <v>815100</v>
      </c>
      <c r="C4080">
        <v>1</v>
      </c>
      <c r="D4080" t="str">
        <f t="shared" si="63"/>
        <v>1815100.780</v>
      </c>
      <c r="E4080" t="s">
        <v>3300</v>
      </c>
      <c r="F4080" s="242"/>
      <c r="G4080"/>
      <c r="H4080" s="242">
        <v>71250</v>
      </c>
      <c r="I4080" s="242">
        <v>71250</v>
      </c>
      <c r="J4080"/>
    </row>
    <row r="4081" spans="1:10">
      <c r="A4081" t="s">
        <v>872</v>
      </c>
      <c r="B4081">
        <v>815100</v>
      </c>
      <c r="C4081">
        <v>1</v>
      </c>
      <c r="D4081" t="str">
        <f t="shared" si="63"/>
        <v>1815100.781</v>
      </c>
      <c r="E4081" t="s">
        <v>3301</v>
      </c>
      <c r="F4081" s="242"/>
      <c r="G4081"/>
      <c r="H4081" s="242">
        <v>57000</v>
      </c>
      <c r="I4081" s="242">
        <v>57000</v>
      </c>
      <c r="J4081"/>
    </row>
    <row r="4082" spans="1:10">
      <c r="A4082" t="s">
        <v>877</v>
      </c>
      <c r="B4082">
        <v>815100</v>
      </c>
      <c r="C4082">
        <v>1</v>
      </c>
      <c r="D4082" t="str">
        <f t="shared" si="63"/>
        <v>1815100.782</v>
      </c>
      <c r="E4082" t="s">
        <v>3302</v>
      </c>
      <c r="F4082" s="242"/>
      <c r="G4082"/>
      <c r="H4082" s="242">
        <v>18000</v>
      </c>
      <c r="I4082" s="242">
        <v>16120</v>
      </c>
      <c r="J4082"/>
    </row>
    <row r="4083" spans="1:10">
      <c r="A4083" t="s">
        <v>2674</v>
      </c>
      <c r="B4083">
        <v>815100</v>
      </c>
      <c r="C4083">
        <v>1</v>
      </c>
      <c r="D4083" t="str">
        <f t="shared" si="63"/>
        <v>1815100.783</v>
      </c>
      <c r="E4083" t="s">
        <v>3303</v>
      </c>
      <c r="F4083" s="242"/>
      <c r="G4083"/>
      <c r="H4083" s="242">
        <v>2132138</v>
      </c>
      <c r="I4083" s="242">
        <v>2633508</v>
      </c>
      <c r="J4083"/>
    </row>
    <row r="4084" spans="1:10">
      <c r="A4084" t="s">
        <v>2676</v>
      </c>
      <c r="B4084">
        <v>815100</v>
      </c>
      <c r="C4084">
        <v>1</v>
      </c>
      <c r="D4084" t="str">
        <f t="shared" si="63"/>
        <v>1815100.784</v>
      </c>
      <c r="E4084" t="s">
        <v>3304</v>
      </c>
      <c r="F4084" s="242"/>
      <c r="G4084"/>
      <c r="H4084" s="242">
        <v>109000</v>
      </c>
      <c r="I4084" s="242">
        <v>98844</v>
      </c>
      <c r="J4084"/>
    </row>
    <row r="4085" spans="1:10">
      <c r="A4085" t="s">
        <v>2750</v>
      </c>
      <c r="B4085">
        <v>815100</v>
      </c>
      <c r="C4085">
        <v>1</v>
      </c>
      <c r="D4085" t="str">
        <f t="shared" si="63"/>
        <v>1815100.785</v>
      </c>
      <c r="E4085" t="s">
        <v>3305</v>
      </c>
      <c r="F4085" s="242"/>
      <c r="G4085"/>
      <c r="H4085" s="242">
        <v>1057000</v>
      </c>
      <c r="I4085" s="242">
        <v>705666</v>
      </c>
      <c r="J4085"/>
    </row>
    <row r="4086" spans="1:10">
      <c r="A4086" t="s">
        <v>2850</v>
      </c>
      <c r="B4086">
        <v>815100</v>
      </c>
      <c r="C4086">
        <v>1</v>
      </c>
      <c r="D4086" t="str">
        <f t="shared" si="63"/>
        <v>1815100.786</v>
      </c>
      <c r="E4086" t="s">
        <v>3306</v>
      </c>
      <c r="F4086" s="242"/>
      <c r="G4086"/>
      <c r="H4086" s="242">
        <v>100000</v>
      </c>
      <c r="I4086" s="242">
        <v>80000</v>
      </c>
      <c r="J4086"/>
    </row>
    <row r="4087" spans="1:10">
      <c r="A4087" t="s">
        <v>3030</v>
      </c>
      <c r="B4087">
        <v>815100</v>
      </c>
      <c r="C4087">
        <v>1</v>
      </c>
      <c r="D4087" t="str">
        <f t="shared" si="63"/>
        <v>1815100.787</v>
      </c>
      <c r="E4087" t="s">
        <v>3027</v>
      </c>
      <c r="F4087" s="242"/>
      <c r="G4087"/>
      <c r="H4087" s="242">
        <v>24000</v>
      </c>
      <c r="I4087" s="242">
        <v>21700</v>
      </c>
      <c r="J4087"/>
    </row>
    <row r="4088" spans="1:10">
      <c r="A4088" t="s">
        <v>2841</v>
      </c>
      <c r="B4088">
        <v>815100</v>
      </c>
      <c r="C4088">
        <v>1</v>
      </c>
      <c r="D4088" t="str">
        <f t="shared" si="63"/>
        <v>1815100.788</v>
      </c>
      <c r="E4088" t="s">
        <v>3290</v>
      </c>
      <c r="F4088" s="242"/>
      <c r="G4088"/>
      <c r="H4088" s="242">
        <v>744750</v>
      </c>
      <c r="I4088" s="242">
        <v>791981</v>
      </c>
      <c r="J4088"/>
    </row>
    <row r="4089" spans="1:10">
      <c r="A4089" t="s">
        <v>3307</v>
      </c>
      <c r="B4089">
        <v>815100</v>
      </c>
      <c r="C4089">
        <v>1</v>
      </c>
      <c r="D4089" t="str">
        <f t="shared" si="63"/>
        <v>1815100.810</v>
      </c>
      <c r="E4089" t="s">
        <v>3308</v>
      </c>
      <c r="F4089" s="242"/>
      <c r="G4089"/>
      <c r="H4089" s="242">
        <v>50000</v>
      </c>
      <c r="I4089" s="242">
        <v>50000</v>
      </c>
      <c r="J4089"/>
    </row>
    <row r="4090" spans="1:10">
      <c r="A4090" t="s">
        <v>2403</v>
      </c>
      <c r="B4090">
        <v>815110</v>
      </c>
      <c r="C4090">
        <v>1</v>
      </c>
      <c r="D4090" t="str">
        <f t="shared" si="63"/>
        <v>1815110.110</v>
      </c>
      <c r="E4090" t="s">
        <v>3309</v>
      </c>
      <c r="F4090" s="242"/>
      <c r="G4090"/>
      <c r="H4090" s="242">
        <v>0</v>
      </c>
      <c r="I4090" s="242">
        <v>2978</v>
      </c>
      <c r="J4090"/>
    </row>
    <row r="4091" spans="1:10">
      <c r="A4091" t="s">
        <v>2579</v>
      </c>
      <c r="B4091">
        <v>815110</v>
      </c>
      <c r="C4091">
        <v>1</v>
      </c>
      <c r="D4091" t="str">
        <f t="shared" si="63"/>
        <v>1815110.181</v>
      </c>
      <c r="E4091" t="s">
        <v>2580</v>
      </c>
      <c r="F4091" s="242"/>
      <c r="G4091"/>
      <c r="H4091" s="242">
        <v>0</v>
      </c>
      <c r="I4091" s="242">
        <v>399</v>
      </c>
      <c r="J4091"/>
    </row>
    <row r="4092" spans="1:10">
      <c r="A4092" t="s">
        <v>2581</v>
      </c>
      <c r="B4092">
        <v>815110</v>
      </c>
      <c r="C4092">
        <v>1</v>
      </c>
      <c r="D4092" t="str">
        <f t="shared" si="63"/>
        <v>1815110.182</v>
      </c>
      <c r="E4092" t="s">
        <v>2582</v>
      </c>
      <c r="F4092" s="242"/>
      <c r="G4092"/>
      <c r="H4092" s="242">
        <v>0</v>
      </c>
      <c r="I4092" s="242">
        <v>223</v>
      </c>
      <c r="J4092"/>
    </row>
    <row r="4093" spans="1:10">
      <c r="A4093" t="s">
        <v>2632</v>
      </c>
      <c r="B4093">
        <v>815110</v>
      </c>
      <c r="C4093">
        <v>1</v>
      </c>
      <c r="D4093" t="str">
        <f t="shared" si="63"/>
        <v>1815110.780</v>
      </c>
      <c r="E4093" t="s">
        <v>3310</v>
      </c>
      <c r="F4093" s="242"/>
      <c r="G4093"/>
      <c r="H4093" s="242">
        <v>110000</v>
      </c>
      <c r="I4093" s="242">
        <v>108353</v>
      </c>
      <c r="J4093"/>
    </row>
    <row r="4094" spans="1:10">
      <c r="A4094" t="s">
        <v>2850</v>
      </c>
      <c r="B4094">
        <v>815110</v>
      </c>
      <c r="C4094">
        <v>1</v>
      </c>
      <c r="D4094" t="str">
        <f t="shared" si="63"/>
        <v>1815110.786</v>
      </c>
      <c r="E4094" t="s">
        <v>3075</v>
      </c>
      <c r="F4094" s="242"/>
      <c r="G4094"/>
      <c r="H4094" s="242">
        <v>55000</v>
      </c>
      <c r="I4094" s="242">
        <v>16750</v>
      </c>
      <c r="J4094"/>
    </row>
    <row r="4095" spans="1:10">
      <c r="A4095" t="s">
        <v>3030</v>
      </c>
      <c r="B4095">
        <v>815110</v>
      </c>
      <c r="C4095">
        <v>1</v>
      </c>
      <c r="D4095" t="str">
        <f t="shared" si="63"/>
        <v>1815110.787</v>
      </c>
      <c r="E4095" t="s">
        <v>3122</v>
      </c>
      <c r="F4095" s="242"/>
      <c r="G4095"/>
      <c r="H4095" s="242">
        <v>0</v>
      </c>
      <c r="I4095" s="242">
        <v>0</v>
      </c>
      <c r="J4095"/>
    </row>
    <row r="4096" spans="1:10">
      <c r="A4096" t="s">
        <v>2841</v>
      </c>
      <c r="B4096">
        <v>815110</v>
      </c>
      <c r="C4096">
        <v>1</v>
      </c>
      <c r="D4096" t="str">
        <f t="shared" si="63"/>
        <v>1815110.788</v>
      </c>
      <c r="E4096" t="s">
        <v>3296</v>
      </c>
      <c r="F4096" s="242"/>
      <c r="G4096"/>
      <c r="H4096" s="242">
        <v>1337625</v>
      </c>
      <c r="I4096" s="242">
        <v>535051</v>
      </c>
      <c r="J4096"/>
    </row>
    <row r="4097" spans="1:10">
      <c r="A4097" t="s">
        <v>3056</v>
      </c>
      <c r="B4097">
        <v>815110</v>
      </c>
      <c r="C4097">
        <v>1</v>
      </c>
      <c r="D4097" t="str">
        <f t="shared" si="63"/>
        <v>1815110.789</v>
      </c>
      <c r="E4097" t="s">
        <v>3140</v>
      </c>
      <c r="F4097" s="242"/>
      <c r="G4097"/>
      <c r="H4097" s="242">
        <v>2757687</v>
      </c>
      <c r="I4097" s="242">
        <v>1640685</v>
      </c>
      <c r="J4097"/>
    </row>
    <row r="4098" spans="1:10">
      <c r="A4098" t="s">
        <v>542</v>
      </c>
      <c r="B4098">
        <v>815400</v>
      </c>
      <c r="C4098">
        <v>1</v>
      </c>
      <c r="D4098" t="str">
        <f t="shared" si="63"/>
        <v>1815400.721</v>
      </c>
      <c r="E4098" t="s">
        <v>3149</v>
      </c>
      <c r="F4098" s="242"/>
      <c r="G4098"/>
      <c r="H4098" s="242">
        <v>1125</v>
      </c>
      <c r="I4098" s="242">
        <v>0</v>
      </c>
      <c r="J4098"/>
    </row>
    <row r="4099" spans="1:10">
      <c r="A4099" t="s">
        <v>558</v>
      </c>
      <c r="B4099">
        <v>815400</v>
      </c>
      <c r="C4099">
        <v>1</v>
      </c>
      <c r="D4099" t="str">
        <f t="shared" ref="D4099:D4162" si="64">C4099&amp;B4099&amp;"."&amp;A4099</f>
        <v>1815400.723</v>
      </c>
      <c r="E4099" t="s">
        <v>3323</v>
      </c>
      <c r="F4099" s="242"/>
      <c r="G4099"/>
      <c r="H4099" s="242">
        <v>2460</v>
      </c>
      <c r="I4099" s="242">
        <v>2575</v>
      </c>
      <c r="J4099"/>
    </row>
    <row r="4100" spans="1:10">
      <c r="A4100" t="s">
        <v>575</v>
      </c>
      <c r="B4100">
        <v>815400</v>
      </c>
      <c r="C4100">
        <v>1</v>
      </c>
      <c r="D4100" t="str">
        <f t="shared" si="64"/>
        <v>1815400.726</v>
      </c>
      <c r="E4100" t="s">
        <v>3090</v>
      </c>
      <c r="F4100" s="242"/>
      <c r="G4100"/>
      <c r="H4100" s="242">
        <v>20431</v>
      </c>
      <c r="I4100" s="242">
        <v>21863</v>
      </c>
      <c r="J4100"/>
    </row>
    <row r="4101" spans="1:10">
      <c r="A4101" t="s">
        <v>586</v>
      </c>
      <c r="B4101">
        <v>815400</v>
      </c>
      <c r="C4101">
        <v>1</v>
      </c>
      <c r="D4101" t="str">
        <f t="shared" si="64"/>
        <v>1815400.727</v>
      </c>
      <c r="E4101" t="s">
        <v>3162</v>
      </c>
      <c r="F4101" s="242"/>
      <c r="G4101"/>
      <c r="H4101" s="242">
        <v>800</v>
      </c>
      <c r="I4101" s="242">
        <v>400</v>
      </c>
      <c r="J4101"/>
    </row>
    <row r="4102" spans="1:10">
      <c r="A4102" t="s">
        <v>2603</v>
      </c>
      <c r="B4102">
        <v>815400</v>
      </c>
      <c r="C4102">
        <v>1</v>
      </c>
      <c r="D4102" t="str">
        <f t="shared" si="64"/>
        <v>1815400.759</v>
      </c>
      <c r="E4102" t="s">
        <v>3155</v>
      </c>
      <c r="F4102" s="242"/>
      <c r="G4102"/>
      <c r="H4102" s="242">
        <v>5469</v>
      </c>
      <c r="I4102" s="242">
        <v>5792</v>
      </c>
      <c r="J4102"/>
    </row>
    <row r="4103" spans="1:10">
      <c r="A4103" t="s">
        <v>2759</v>
      </c>
      <c r="B4103">
        <v>815400</v>
      </c>
      <c r="C4103">
        <v>1</v>
      </c>
      <c r="D4103" t="str">
        <f t="shared" si="64"/>
        <v>1815400.760</v>
      </c>
      <c r="E4103" t="s">
        <v>3435</v>
      </c>
      <c r="F4103" s="242"/>
      <c r="G4103"/>
      <c r="H4103" s="242">
        <v>971664</v>
      </c>
      <c r="I4103" s="242">
        <v>1073790</v>
      </c>
      <c r="J4103"/>
    </row>
    <row r="4104" spans="1:10">
      <c r="A4104" t="s">
        <v>877</v>
      </c>
      <c r="B4104">
        <v>815400</v>
      </c>
      <c r="C4104">
        <v>1</v>
      </c>
      <c r="D4104" t="str">
        <f t="shared" si="64"/>
        <v>1815400.782</v>
      </c>
      <c r="E4104" t="s">
        <v>3361</v>
      </c>
      <c r="F4104" s="242"/>
      <c r="G4104"/>
      <c r="H4104" s="242">
        <v>19000</v>
      </c>
      <c r="I4104" s="242">
        <v>19000</v>
      </c>
      <c r="J4104"/>
    </row>
    <row r="4105" spans="1:10">
      <c r="A4105" t="s">
        <v>2850</v>
      </c>
      <c r="B4105">
        <v>815400</v>
      </c>
      <c r="C4105">
        <v>1</v>
      </c>
      <c r="D4105" t="str">
        <f t="shared" si="64"/>
        <v>1815400.786</v>
      </c>
      <c r="E4105" t="s">
        <v>3337</v>
      </c>
      <c r="F4105" s="242"/>
      <c r="G4105"/>
      <c r="H4105" s="242">
        <v>3968</v>
      </c>
      <c r="I4105" s="242">
        <v>4333</v>
      </c>
      <c r="J4105"/>
    </row>
    <row r="4106" spans="1:10">
      <c r="A4106" t="s">
        <v>547</v>
      </c>
      <c r="B4106">
        <v>815401</v>
      </c>
      <c r="C4106">
        <v>1</v>
      </c>
      <c r="D4106" t="str">
        <f t="shared" si="64"/>
        <v>1815401.722</v>
      </c>
      <c r="E4106" t="s">
        <v>3020</v>
      </c>
      <c r="F4106" s="242"/>
      <c r="G4106"/>
      <c r="H4106" s="242">
        <v>0</v>
      </c>
      <c r="I4106" s="242">
        <v>1500</v>
      </c>
      <c r="J4106"/>
    </row>
    <row r="4107" spans="1:10">
      <c r="A4107" t="s">
        <v>564</v>
      </c>
      <c r="B4107">
        <v>815401</v>
      </c>
      <c r="C4107">
        <v>1</v>
      </c>
      <c r="D4107" t="str">
        <f t="shared" si="64"/>
        <v>1815401.724</v>
      </c>
      <c r="E4107" t="s">
        <v>3411</v>
      </c>
      <c r="F4107" s="242"/>
      <c r="G4107"/>
      <c r="H4107" s="242">
        <v>475000</v>
      </c>
      <c r="I4107" s="242">
        <v>431225</v>
      </c>
      <c r="J4107"/>
    </row>
    <row r="4108" spans="1:10">
      <c r="A4108" t="s">
        <v>547</v>
      </c>
      <c r="B4108">
        <v>815402</v>
      </c>
      <c r="C4108">
        <v>1</v>
      </c>
      <c r="D4108" t="str">
        <f t="shared" si="64"/>
        <v>1815402.722</v>
      </c>
      <c r="E4108" t="s">
        <v>3020</v>
      </c>
      <c r="F4108" s="242"/>
      <c r="G4108"/>
      <c r="H4108" s="242">
        <v>0</v>
      </c>
      <c r="I4108" s="242">
        <v>1500</v>
      </c>
      <c r="J4108"/>
    </row>
    <row r="4109" spans="1:10">
      <c r="A4109" t="s">
        <v>2403</v>
      </c>
      <c r="B4109">
        <v>815411</v>
      </c>
      <c r="C4109">
        <v>1</v>
      </c>
      <c r="D4109" t="str">
        <f t="shared" si="64"/>
        <v>1815411.110</v>
      </c>
      <c r="E4109" t="s">
        <v>3364</v>
      </c>
      <c r="F4109" s="242"/>
      <c r="G4109"/>
      <c r="H4109" s="242">
        <v>932159</v>
      </c>
      <c r="I4109" s="242">
        <v>1033302</v>
      </c>
      <c r="J4109"/>
    </row>
    <row r="4110" spans="1:10">
      <c r="A4110" t="s">
        <v>2404</v>
      </c>
      <c r="B4110">
        <v>815411</v>
      </c>
      <c r="C4110">
        <v>1</v>
      </c>
      <c r="D4110" t="str">
        <f t="shared" si="64"/>
        <v>1815411.120</v>
      </c>
      <c r="E4110" t="s">
        <v>2574</v>
      </c>
      <c r="F4110" s="242"/>
      <c r="G4110"/>
      <c r="H4110" s="242">
        <v>24331</v>
      </c>
      <c r="I4110" s="242">
        <v>25596</v>
      </c>
      <c r="J4110"/>
    </row>
    <row r="4111" spans="1:10">
      <c r="A4111" t="s">
        <v>2577</v>
      </c>
      <c r="B4111">
        <v>815411</v>
      </c>
      <c r="C4111">
        <v>1</v>
      </c>
      <c r="D4111" t="str">
        <f t="shared" si="64"/>
        <v>1815411.140</v>
      </c>
      <c r="E4111" t="s">
        <v>2578</v>
      </c>
      <c r="F4111" s="242"/>
      <c r="G4111"/>
      <c r="H4111" s="242">
        <v>11660</v>
      </c>
      <c r="I4111" s="242">
        <v>12335</v>
      </c>
      <c r="J4111"/>
    </row>
    <row r="4112" spans="1:10">
      <c r="A4112" t="s">
        <v>2579</v>
      </c>
      <c r="B4112">
        <v>815411</v>
      </c>
      <c r="C4112">
        <v>1</v>
      </c>
      <c r="D4112" t="str">
        <f t="shared" si="64"/>
        <v>1815411.181</v>
      </c>
      <c r="E4112" t="s">
        <v>2580</v>
      </c>
      <c r="F4112" s="242"/>
      <c r="G4112"/>
      <c r="H4112" s="242">
        <v>265452</v>
      </c>
      <c r="I4112" s="242">
        <v>290196</v>
      </c>
      <c r="J4112"/>
    </row>
    <row r="4113" spans="1:10">
      <c r="A4113" t="s">
        <v>2581</v>
      </c>
      <c r="B4113">
        <v>815411</v>
      </c>
      <c r="C4113">
        <v>1</v>
      </c>
      <c r="D4113" t="str">
        <f t="shared" si="64"/>
        <v>1815411.182</v>
      </c>
      <c r="E4113" t="s">
        <v>2582</v>
      </c>
      <c r="F4113" s="242"/>
      <c r="G4113"/>
      <c r="H4113" s="242">
        <v>73352</v>
      </c>
      <c r="I4113" s="242">
        <v>81104</v>
      </c>
      <c r="J4113"/>
    </row>
    <row r="4114" spans="1:10">
      <c r="A4114" t="s">
        <v>3350</v>
      </c>
      <c r="B4114">
        <v>815411</v>
      </c>
      <c r="C4114">
        <v>1</v>
      </c>
      <c r="D4114" t="str">
        <f t="shared" si="64"/>
        <v>1815411.289</v>
      </c>
      <c r="E4114" t="s">
        <v>2651</v>
      </c>
      <c r="F4114" s="242"/>
      <c r="G4114"/>
      <c r="H4114" s="242">
        <v>4400</v>
      </c>
      <c r="I4114" s="242">
        <v>3850</v>
      </c>
      <c r="J4114"/>
    </row>
    <row r="4115" spans="1:10">
      <c r="A4115" t="s">
        <v>1668</v>
      </c>
      <c r="B4115">
        <v>815411</v>
      </c>
      <c r="C4115">
        <v>1</v>
      </c>
      <c r="D4115" t="str">
        <f t="shared" si="64"/>
        <v>1815411.432</v>
      </c>
      <c r="E4115" t="s">
        <v>2687</v>
      </c>
      <c r="F4115" s="242"/>
      <c r="G4115"/>
      <c r="H4115" s="242">
        <v>10800</v>
      </c>
      <c r="I4115" s="242">
        <v>30747</v>
      </c>
      <c r="J4115"/>
    </row>
    <row r="4116" spans="1:10">
      <c r="A4116" t="s">
        <v>2606</v>
      </c>
      <c r="B4116">
        <v>815411</v>
      </c>
      <c r="C4116">
        <v>1</v>
      </c>
      <c r="D4116" t="str">
        <f t="shared" si="64"/>
        <v>1815411.440</v>
      </c>
      <c r="E4116" t="s">
        <v>2657</v>
      </c>
      <c r="F4116" s="242"/>
      <c r="G4116"/>
      <c r="H4116" s="242">
        <v>8600</v>
      </c>
      <c r="I4116" s="242">
        <v>8329</v>
      </c>
      <c r="J4116"/>
    </row>
    <row r="4117" spans="1:10">
      <c r="A4117" t="s">
        <v>877</v>
      </c>
      <c r="B4117">
        <v>815411</v>
      </c>
      <c r="C4117">
        <v>1</v>
      </c>
      <c r="D4117" t="str">
        <f t="shared" si="64"/>
        <v>1815411.782</v>
      </c>
      <c r="E4117" t="s">
        <v>3361</v>
      </c>
      <c r="F4117" s="242"/>
      <c r="G4117"/>
      <c r="H4117" s="242">
        <v>19000</v>
      </c>
      <c r="I4117" s="242">
        <v>19000</v>
      </c>
      <c r="J4117"/>
    </row>
    <row r="4118" spans="1:10">
      <c r="A4118" t="s">
        <v>2676</v>
      </c>
      <c r="B4118">
        <v>815411</v>
      </c>
      <c r="C4118">
        <v>1</v>
      </c>
      <c r="D4118" t="str">
        <f t="shared" si="64"/>
        <v>1815411.784</v>
      </c>
      <c r="E4118" t="s">
        <v>3365</v>
      </c>
      <c r="F4118" s="242"/>
      <c r="G4118"/>
      <c r="H4118" s="242">
        <v>150000</v>
      </c>
      <c r="I4118" s="242">
        <v>0</v>
      </c>
      <c r="J4118"/>
    </row>
    <row r="4119" spans="1:10">
      <c r="A4119" t="s">
        <v>3307</v>
      </c>
      <c r="B4119">
        <v>815411</v>
      </c>
      <c r="C4119">
        <v>1</v>
      </c>
      <c r="D4119" t="str">
        <f t="shared" si="64"/>
        <v>1815411.810</v>
      </c>
      <c r="E4119" t="s">
        <v>3366</v>
      </c>
      <c r="F4119" s="242"/>
      <c r="G4119"/>
      <c r="H4119" s="242">
        <v>150000</v>
      </c>
      <c r="I4119" s="242">
        <v>150000</v>
      </c>
      <c r="J4119"/>
    </row>
    <row r="4120" spans="1:10">
      <c r="A4120" t="s">
        <v>2403</v>
      </c>
      <c r="B4120">
        <v>815420</v>
      </c>
      <c r="C4120">
        <v>1</v>
      </c>
      <c r="D4120" t="str">
        <f t="shared" si="64"/>
        <v>1815420.110</v>
      </c>
      <c r="E4120" t="s">
        <v>3348</v>
      </c>
      <c r="F4120" s="242"/>
      <c r="G4120"/>
      <c r="H4120" s="242">
        <v>81704</v>
      </c>
      <c r="I4120" s="242">
        <v>83250</v>
      </c>
      <c r="J4120"/>
    </row>
    <row r="4121" spans="1:10">
      <c r="A4121" t="s">
        <v>2404</v>
      </c>
      <c r="B4121">
        <v>815420</v>
      </c>
      <c r="C4121">
        <v>1</v>
      </c>
      <c r="D4121" t="str">
        <f t="shared" si="64"/>
        <v>1815420.120</v>
      </c>
      <c r="E4121" t="s">
        <v>2574</v>
      </c>
      <c r="F4121" s="242"/>
      <c r="G4121"/>
      <c r="H4121" s="242">
        <v>11489</v>
      </c>
      <c r="I4121" s="242">
        <v>10735</v>
      </c>
      <c r="J4121"/>
    </row>
    <row r="4122" spans="1:10">
      <c r="A4122" t="s">
        <v>2575</v>
      </c>
      <c r="B4122">
        <v>815420</v>
      </c>
      <c r="C4122">
        <v>1</v>
      </c>
      <c r="D4122" t="str">
        <f t="shared" si="64"/>
        <v>1815420.130</v>
      </c>
      <c r="E4122" t="s">
        <v>2576</v>
      </c>
      <c r="F4122" s="242"/>
      <c r="G4122"/>
      <c r="H4122" s="242">
        <v>906</v>
      </c>
      <c r="I4122" s="242">
        <v>522</v>
      </c>
      <c r="J4122"/>
    </row>
    <row r="4123" spans="1:10">
      <c r="A4123" t="s">
        <v>2577</v>
      </c>
      <c r="B4123">
        <v>815420</v>
      </c>
      <c r="C4123">
        <v>1</v>
      </c>
      <c r="D4123" t="str">
        <f t="shared" si="64"/>
        <v>1815420.140</v>
      </c>
      <c r="E4123" t="s">
        <v>2578</v>
      </c>
      <c r="F4123" s="242"/>
      <c r="G4123"/>
      <c r="H4123" s="242">
        <v>1846</v>
      </c>
      <c r="I4123" s="242">
        <v>1824</v>
      </c>
      <c r="J4123"/>
    </row>
    <row r="4124" spans="1:10">
      <c r="A4124" t="s">
        <v>2579</v>
      </c>
      <c r="B4124">
        <v>815420</v>
      </c>
      <c r="C4124">
        <v>1</v>
      </c>
      <c r="D4124" t="str">
        <f t="shared" si="64"/>
        <v>1815420.181</v>
      </c>
      <c r="E4124" t="s">
        <v>2580</v>
      </c>
      <c r="F4124" s="242"/>
      <c r="G4124"/>
      <c r="H4124" s="242">
        <v>14329</v>
      </c>
      <c r="I4124" s="242">
        <v>14039</v>
      </c>
      <c r="J4124"/>
    </row>
    <row r="4125" spans="1:10">
      <c r="A4125" t="s">
        <v>2581</v>
      </c>
      <c r="B4125">
        <v>815420</v>
      </c>
      <c r="C4125">
        <v>1</v>
      </c>
      <c r="D4125" t="str">
        <f t="shared" si="64"/>
        <v>1815420.182</v>
      </c>
      <c r="E4125" t="s">
        <v>2582</v>
      </c>
      <c r="F4125" s="242"/>
      <c r="G4125"/>
      <c r="H4125" s="242">
        <v>7281</v>
      </c>
      <c r="I4125" s="242">
        <v>7309</v>
      </c>
      <c r="J4125"/>
    </row>
    <row r="4126" spans="1:10">
      <c r="A4126" t="s">
        <v>872</v>
      </c>
      <c r="B4126">
        <v>815420</v>
      </c>
      <c r="C4126">
        <v>1</v>
      </c>
      <c r="D4126" t="str">
        <f t="shared" si="64"/>
        <v>1815420.781</v>
      </c>
      <c r="E4126" t="s">
        <v>3426</v>
      </c>
      <c r="F4126" s="242"/>
      <c r="G4126"/>
      <c r="H4126" s="242">
        <v>500000</v>
      </c>
      <c r="I4126" s="242">
        <v>393928</v>
      </c>
      <c r="J4126"/>
    </row>
    <row r="4127" spans="1:10">
      <c r="A4127" t="s">
        <v>2403</v>
      </c>
      <c r="B4127">
        <v>815421</v>
      </c>
      <c r="C4127">
        <v>1</v>
      </c>
      <c r="D4127" t="str">
        <f t="shared" si="64"/>
        <v>1815421.110</v>
      </c>
      <c r="E4127" t="s">
        <v>3349</v>
      </c>
      <c r="F4127" s="242"/>
      <c r="G4127"/>
      <c r="H4127" s="242">
        <v>2571671</v>
      </c>
      <c r="I4127" s="242">
        <v>2674885</v>
      </c>
      <c r="J4127"/>
    </row>
    <row r="4128" spans="1:10">
      <c r="A4128" t="s">
        <v>2404</v>
      </c>
      <c r="B4128">
        <v>815421</v>
      </c>
      <c r="C4128">
        <v>1</v>
      </c>
      <c r="D4128" t="str">
        <f t="shared" si="64"/>
        <v>1815421.120</v>
      </c>
      <c r="E4128" t="s">
        <v>2574</v>
      </c>
      <c r="F4128" s="242"/>
      <c r="G4128"/>
      <c r="H4128" s="242">
        <v>101166</v>
      </c>
      <c r="I4128" s="242">
        <v>91719</v>
      </c>
      <c r="J4128"/>
    </row>
    <row r="4129" spans="1:10">
      <c r="A4129" t="s">
        <v>2575</v>
      </c>
      <c r="B4129">
        <v>815421</v>
      </c>
      <c r="C4129">
        <v>1</v>
      </c>
      <c r="D4129" t="str">
        <f t="shared" si="64"/>
        <v>1815421.130</v>
      </c>
      <c r="E4129" t="s">
        <v>2576</v>
      </c>
      <c r="F4129" s="242"/>
      <c r="G4129"/>
      <c r="H4129" s="242">
        <v>1330</v>
      </c>
      <c r="I4129" s="242">
        <v>856</v>
      </c>
      <c r="J4129"/>
    </row>
    <row r="4130" spans="1:10">
      <c r="A4130" t="s">
        <v>2577</v>
      </c>
      <c r="B4130">
        <v>815421</v>
      </c>
      <c r="C4130">
        <v>1</v>
      </c>
      <c r="D4130" t="str">
        <f t="shared" si="64"/>
        <v>1815421.140</v>
      </c>
      <c r="E4130" t="s">
        <v>2578</v>
      </c>
      <c r="F4130" s="242"/>
      <c r="G4130"/>
      <c r="H4130" s="242">
        <v>68359</v>
      </c>
      <c r="I4130" s="242">
        <v>64464</v>
      </c>
      <c r="J4130"/>
    </row>
    <row r="4131" spans="1:10">
      <c r="A4131" t="s">
        <v>2579</v>
      </c>
      <c r="B4131">
        <v>815421</v>
      </c>
      <c r="C4131">
        <v>1</v>
      </c>
      <c r="D4131" t="str">
        <f t="shared" si="64"/>
        <v>1815421.181</v>
      </c>
      <c r="E4131" t="s">
        <v>2580</v>
      </c>
      <c r="F4131" s="242"/>
      <c r="G4131"/>
      <c r="H4131" s="242">
        <v>715754</v>
      </c>
      <c r="I4131" s="242">
        <v>722034</v>
      </c>
      <c r="J4131"/>
    </row>
    <row r="4132" spans="1:10">
      <c r="A4132" t="s">
        <v>2581</v>
      </c>
      <c r="B4132">
        <v>815421</v>
      </c>
      <c r="C4132">
        <v>1</v>
      </c>
      <c r="D4132" t="str">
        <f t="shared" si="64"/>
        <v>1815421.182</v>
      </c>
      <c r="E4132" t="s">
        <v>2582</v>
      </c>
      <c r="F4132" s="242"/>
      <c r="G4132"/>
      <c r="H4132" s="242">
        <v>207315</v>
      </c>
      <c r="I4132" s="242">
        <v>214171</v>
      </c>
      <c r="J4132"/>
    </row>
    <row r="4133" spans="1:10">
      <c r="A4133" t="s">
        <v>3350</v>
      </c>
      <c r="B4133">
        <v>815421</v>
      </c>
      <c r="C4133">
        <v>1</v>
      </c>
      <c r="D4133" t="str">
        <f t="shared" si="64"/>
        <v>1815421.289</v>
      </c>
      <c r="E4133" t="s">
        <v>2651</v>
      </c>
      <c r="F4133" s="242"/>
      <c r="G4133"/>
      <c r="H4133" s="242">
        <v>16400</v>
      </c>
      <c r="I4133" s="242">
        <v>14300</v>
      </c>
      <c r="J4133"/>
    </row>
    <row r="4134" spans="1:10">
      <c r="A4134" t="s">
        <v>1668</v>
      </c>
      <c r="B4134">
        <v>815421</v>
      </c>
      <c r="C4134">
        <v>1</v>
      </c>
      <c r="D4134" t="str">
        <f t="shared" si="64"/>
        <v>1815421.432</v>
      </c>
      <c r="E4134" t="s">
        <v>2687</v>
      </c>
      <c r="F4134" s="242"/>
      <c r="G4134"/>
      <c r="H4134" s="242">
        <v>24900</v>
      </c>
      <c r="I4134" s="242">
        <v>31295</v>
      </c>
      <c r="J4134"/>
    </row>
    <row r="4135" spans="1:10">
      <c r="A4135" t="s">
        <v>2606</v>
      </c>
      <c r="B4135">
        <v>815421</v>
      </c>
      <c r="C4135">
        <v>1</v>
      </c>
      <c r="D4135" t="str">
        <f t="shared" si="64"/>
        <v>1815421.440</v>
      </c>
      <c r="E4135" t="s">
        <v>2657</v>
      </c>
      <c r="F4135" s="242"/>
      <c r="G4135"/>
      <c r="H4135" s="242">
        <v>17700</v>
      </c>
      <c r="I4135" s="242">
        <v>17060</v>
      </c>
      <c r="J4135"/>
    </row>
    <row r="4136" spans="1:10">
      <c r="A4136" t="s">
        <v>575</v>
      </c>
      <c r="B4136">
        <v>815421</v>
      </c>
      <c r="C4136">
        <v>1</v>
      </c>
      <c r="D4136" t="str">
        <f t="shared" si="64"/>
        <v>1815421.726</v>
      </c>
      <c r="E4136" t="s">
        <v>3090</v>
      </c>
      <c r="F4136" s="242"/>
      <c r="G4136"/>
      <c r="H4136" s="242">
        <v>17865</v>
      </c>
      <c r="I4136" s="242">
        <v>19161</v>
      </c>
      <c r="J4136"/>
    </row>
    <row r="4137" spans="1:10">
      <c r="A4137" t="s">
        <v>2603</v>
      </c>
      <c r="B4137">
        <v>815421</v>
      </c>
      <c r="C4137">
        <v>1</v>
      </c>
      <c r="D4137" t="str">
        <f t="shared" si="64"/>
        <v>1815421.759</v>
      </c>
      <c r="E4137" t="s">
        <v>3155</v>
      </c>
      <c r="F4137" s="242"/>
      <c r="G4137"/>
      <c r="H4137" s="242">
        <v>4654</v>
      </c>
      <c r="I4137" s="242">
        <v>5341</v>
      </c>
      <c r="J4137"/>
    </row>
    <row r="4138" spans="1:10">
      <c r="A4138" t="s">
        <v>2759</v>
      </c>
      <c r="B4138">
        <v>815421</v>
      </c>
      <c r="C4138">
        <v>1</v>
      </c>
      <c r="D4138" t="str">
        <f t="shared" si="64"/>
        <v>1815421.760</v>
      </c>
      <c r="E4138" t="s">
        <v>3427</v>
      </c>
      <c r="F4138" s="242"/>
      <c r="G4138"/>
      <c r="H4138" s="242">
        <v>672252</v>
      </c>
      <c r="I4138" s="242">
        <v>639339</v>
      </c>
      <c r="J4138"/>
    </row>
    <row r="4139" spans="1:10">
      <c r="A4139" t="s">
        <v>2632</v>
      </c>
      <c r="B4139">
        <v>815421</v>
      </c>
      <c r="C4139">
        <v>1</v>
      </c>
      <c r="D4139" t="str">
        <f t="shared" si="64"/>
        <v>1815421.780</v>
      </c>
      <c r="E4139" t="s">
        <v>3428</v>
      </c>
      <c r="F4139" s="242"/>
      <c r="G4139"/>
      <c r="H4139" s="242">
        <v>167000</v>
      </c>
      <c r="I4139" s="242">
        <v>166992</v>
      </c>
      <c r="J4139"/>
    </row>
    <row r="4140" spans="1:10">
      <c r="A4140" t="s">
        <v>2850</v>
      </c>
      <c r="B4140">
        <v>815421</v>
      </c>
      <c r="C4140">
        <v>1</v>
      </c>
      <c r="D4140" t="str">
        <f t="shared" si="64"/>
        <v>1815421.786</v>
      </c>
      <c r="E4140" t="s">
        <v>3337</v>
      </c>
      <c r="F4140" s="242"/>
      <c r="G4140"/>
      <c r="H4140" s="242">
        <v>3710</v>
      </c>
      <c r="I4140" s="242">
        <v>3432</v>
      </c>
      <c r="J4140"/>
    </row>
    <row r="4141" spans="1:10">
      <c r="A4141" t="s">
        <v>542</v>
      </c>
      <c r="B4141">
        <v>815423</v>
      </c>
      <c r="C4141">
        <v>1</v>
      </c>
      <c r="D4141" t="str">
        <f t="shared" si="64"/>
        <v>1815423.721</v>
      </c>
      <c r="E4141" t="s">
        <v>3149</v>
      </c>
      <c r="F4141" s="242"/>
      <c r="G4141"/>
      <c r="H4141" s="242">
        <v>6501</v>
      </c>
      <c r="I4141" s="242">
        <v>3522</v>
      </c>
      <c r="J4141"/>
    </row>
    <row r="4142" spans="1:10">
      <c r="A4142" t="s">
        <v>558</v>
      </c>
      <c r="B4142">
        <v>815423</v>
      </c>
      <c r="C4142">
        <v>1</v>
      </c>
      <c r="D4142" t="str">
        <f t="shared" si="64"/>
        <v>1815423.723</v>
      </c>
      <c r="E4142" t="s">
        <v>3323</v>
      </c>
      <c r="F4142" s="242"/>
      <c r="G4142"/>
      <c r="H4142" s="242">
        <v>2296</v>
      </c>
      <c r="I4142" s="242">
        <v>2066</v>
      </c>
      <c r="J4142"/>
    </row>
    <row r="4143" spans="1:10">
      <c r="A4143" t="s">
        <v>564</v>
      </c>
      <c r="B4143">
        <v>815423</v>
      </c>
      <c r="C4143">
        <v>1</v>
      </c>
      <c r="D4143" t="str">
        <f t="shared" si="64"/>
        <v>1815423.724</v>
      </c>
      <c r="E4143" t="s">
        <v>3411</v>
      </c>
      <c r="F4143" s="242"/>
      <c r="G4143"/>
      <c r="H4143" s="242">
        <v>510691</v>
      </c>
      <c r="I4143" s="242">
        <v>126365</v>
      </c>
      <c r="J4143"/>
    </row>
    <row r="4144" spans="1:10">
      <c r="A4144" t="s">
        <v>586</v>
      </c>
      <c r="B4144">
        <v>815425</v>
      </c>
      <c r="C4144">
        <v>1</v>
      </c>
      <c r="D4144" t="str">
        <f t="shared" si="64"/>
        <v>1815425.727</v>
      </c>
      <c r="E4144" t="s">
        <v>3162</v>
      </c>
      <c r="F4144" s="242"/>
      <c r="G4144"/>
      <c r="H4144" s="242">
        <v>17200</v>
      </c>
      <c r="I4144" s="242">
        <v>21867</v>
      </c>
      <c r="J4144"/>
    </row>
    <row r="4145" spans="1:10">
      <c r="A4145" t="s">
        <v>2403</v>
      </c>
      <c r="B4145">
        <v>815430</v>
      </c>
      <c r="C4145">
        <v>1</v>
      </c>
      <c r="D4145" t="str">
        <f t="shared" si="64"/>
        <v>1815430.110</v>
      </c>
      <c r="E4145" t="s">
        <v>3434</v>
      </c>
      <c r="F4145" s="242"/>
      <c r="G4145"/>
      <c r="H4145" s="242">
        <v>1275187</v>
      </c>
      <c r="I4145" s="242">
        <v>1271487</v>
      </c>
      <c r="J4145"/>
    </row>
    <row r="4146" spans="1:10">
      <c r="A4146" t="s">
        <v>2404</v>
      </c>
      <c r="B4146">
        <v>815430</v>
      </c>
      <c r="C4146">
        <v>1</v>
      </c>
      <c r="D4146" t="str">
        <f t="shared" si="64"/>
        <v>1815430.120</v>
      </c>
      <c r="E4146" t="s">
        <v>2574</v>
      </c>
      <c r="F4146" s="242"/>
      <c r="G4146"/>
      <c r="H4146" s="242">
        <v>66551</v>
      </c>
      <c r="I4146" s="242">
        <v>54447</v>
      </c>
      <c r="J4146"/>
    </row>
    <row r="4147" spans="1:10">
      <c r="A4147" t="s">
        <v>2575</v>
      </c>
      <c r="B4147">
        <v>815430</v>
      </c>
      <c r="C4147">
        <v>1</v>
      </c>
      <c r="D4147" t="str">
        <f t="shared" si="64"/>
        <v>1815430.130</v>
      </c>
      <c r="E4147" t="s">
        <v>2576</v>
      </c>
      <c r="F4147" s="242"/>
      <c r="G4147"/>
      <c r="H4147" s="242">
        <v>369</v>
      </c>
      <c r="I4147" s="242">
        <v>217</v>
      </c>
      <c r="J4147"/>
    </row>
    <row r="4148" spans="1:10">
      <c r="A4148" t="s">
        <v>2577</v>
      </c>
      <c r="B4148">
        <v>815430</v>
      </c>
      <c r="C4148">
        <v>1</v>
      </c>
      <c r="D4148" t="str">
        <f t="shared" si="64"/>
        <v>1815430.140</v>
      </c>
      <c r="E4148" t="s">
        <v>2578</v>
      </c>
      <c r="F4148" s="242"/>
      <c r="G4148"/>
      <c r="H4148" s="242">
        <v>49749</v>
      </c>
      <c r="I4148" s="242">
        <v>57622</v>
      </c>
      <c r="J4148"/>
    </row>
    <row r="4149" spans="1:10">
      <c r="A4149" t="s">
        <v>2579</v>
      </c>
      <c r="B4149">
        <v>815430</v>
      </c>
      <c r="C4149">
        <v>1</v>
      </c>
      <c r="D4149" t="str">
        <f t="shared" si="64"/>
        <v>1815430.181</v>
      </c>
      <c r="E4149" t="s">
        <v>2580</v>
      </c>
      <c r="F4149" s="242"/>
      <c r="G4149"/>
      <c r="H4149" s="242">
        <v>344498</v>
      </c>
      <c r="I4149" s="242">
        <v>336078</v>
      </c>
      <c r="J4149"/>
    </row>
    <row r="4150" spans="1:10">
      <c r="A4150" t="s">
        <v>2581</v>
      </c>
      <c r="B4150">
        <v>815430</v>
      </c>
      <c r="C4150">
        <v>1</v>
      </c>
      <c r="D4150" t="str">
        <f t="shared" si="64"/>
        <v>1815430.182</v>
      </c>
      <c r="E4150" t="s">
        <v>2582</v>
      </c>
      <c r="F4150" s="242"/>
      <c r="G4150"/>
      <c r="H4150" s="242">
        <v>104018</v>
      </c>
      <c r="I4150" s="242">
        <v>103943</v>
      </c>
      <c r="J4150"/>
    </row>
    <row r="4151" spans="1:10">
      <c r="A4151" t="s">
        <v>3350</v>
      </c>
      <c r="B4151">
        <v>815430</v>
      </c>
      <c r="C4151">
        <v>1</v>
      </c>
      <c r="D4151" t="str">
        <f t="shared" si="64"/>
        <v>1815430.289</v>
      </c>
      <c r="E4151" t="s">
        <v>2651</v>
      </c>
      <c r="F4151" s="242"/>
      <c r="G4151"/>
      <c r="H4151" s="242">
        <v>8900</v>
      </c>
      <c r="I4151" s="242">
        <v>7700</v>
      </c>
      <c r="J4151"/>
    </row>
    <row r="4152" spans="1:10">
      <c r="A4152" t="s">
        <v>872</v>
      </c>
      <c r="B4152">
        <v>815430</v>
      </c>
      <c r="C4152">
        <v>1</v>
      </c>
      <c r="D4152" t="str">
        <f t="shared" si="64"/>
        <v>1815430.781</v>
      </c>
      <c r="E4152" t="s">
        <v>3426</v>
      </c>
      <c r="F4152" s="242"/>
      <c r="G4152"/>
      <c r="H4152" s="242">
        <v>514000</v>
      </c>
      <c r="I4152" s="242">
        <v>491896</v>
      </c>
      <c r="J4152"/>
    </row>
    <row r="4153" spans="1:10">
      <c r="A4153" t="s">
        <v>2403</v>
      </c>
      <c r="B4153">
        <v>815710</v>
      </c>
      <c r="C4153">
        <v>1</v>
      </c>
      <c r="D4153" t="str">
        <f t="shared" si="64"/>
        <v>1815710.110</v>
      </c>
      <c r="E4153" t="s">
        <v>3348</v>
      </c>
      <c r="F4153" s="242"/>
      <c r="G4153"/>
      <c r="H4153" s="242">
        <v>2332630</v>
      </c>
      <c r="I4153" s="242">
        <v>2193512</v>
      </c>
      <c r="J4153"/>
    </row>
    <row r="4154" spans="1:10">
      <c r="A4154" t="s">
        <v>2404</v>
      </c>
      <c r="B4154">
        <v>815710</v>
      </c>
      <c r="C4154">
        <v>1</v>
      </c>
      <c r="D4154" t="str">
        <f t="shared" si="64"/>
        <v>1815710.120</v>
      </c>
      <c r="E4154" t="s">
        <v>2574</v>
      </c>
      <c r="F4154" s="242"/>
      <c r="G4154"/>
      <c r="H4154" s="242">
        <v>347817</v>
      </c>
      <c r="I4154" s="242">
        <v>331845</v>
      </c>
      <c r="J4154"/>
    </row>
    <row r="4155" spans="1:10">
      <c r="A4155" t="s">
        <v>2575</v>
      </c>
      <c r="B4155">
        <v>815710</v>
      </c>
      <c r="C4155">
        <v>1</v>
      </c>
      <c r="D4155" t="str">
        <f t="shared" si="64"/>
        <v>1815710.130</v>
      </c>
      <c r="E4155" t="s">
        <v>2576</v>
      </c>
      <c r="F4155" s="242"/>
      <c r="G4155"/>
      <c r="H4155" s="242">
        <v>30947</v>
      </c>
      <c r="I4155" s="242">
        <v>17382</v>
      </c>
      <c r="J4155"/>
    </row>
    <row r="4156" spans="1:10">
      <c r="A4156" t="s">
        <v>2577</v>
      </c>
      <c r="B4156">
        <v>815710</v>
      </c>
      <c r="C4156">
        <v>1</v>
      </c>
      <c r="D4156" t="str">
        <f t="shared" si="64"/>
        <v>1815710.140</v>
      </c>
      <c r="E4156" t="s">
        <v>2578</v>
      </c>
      <c r="F4156" s="242"/>
      <c r="G4156"/>
      <c r="H4156" s="242">
        <v>151593</v>
      </c>
      <c r="I4156" s="242">
        <v>131469</v>
      </c>
      <c r="J4156"/>
    </row>
    <row r="4157" spans="1:10">
      <c r="A4157" t="s">
        <v>2579</v>
      </c>
      <c r="B4157">
        <v>815710</v>
      </c>
      <c r="C4157">
        <v>1</v>
      </c>
      <c r="D4157" t="str">
        <f t="shared" si="64"/>
        <v>1815710.181</v>
      </c>
      <c r="E4157" t="s">
        <v>2580</v>
      </c>
      <c r="F4157" s="242"/>
      <c r="G4157"/>
      <c r="H4157" s="242">
        <v>506279</v>
      </c>
      <c r="I4157" s="242">
        <v>461722</v>
      </c>
      <c r="J4157"/>
    </row>
    <row r="4158" spans="1:10">
      <c r="A4158" t="s">
        <v>2581</v>
      </c>
      <c r="B4158">
        <v>815710</v>
      </c>
      <c r="C4158">
        <v>1</v>
      </c>
      <c r="D4158" t="str">
        <f t="shared" si="64"/>
        <v>1815710.182</v>
      </c>
      <c r="E4158" t="s">
        <v>2582</v>
      </c>
      <c r="F4158" s="242"/>
      <c r="G4158"/>
      <c r="H4158" s="242">
        <v>217573</v>
      </c>
      <c r="I4158" s="242">
        <v>202956</v>
      </c>
      <c r="J4158"/>
    </row>
    <row r="4159" spans="1:10">
      <c r="A4159" t="s">
        <v>558</v>
      </c>
      <c r="B4159">
        <v>815710</v>
      </c>
      <c r="C4159">
        <v>1</v>
      </c>
      <c r="D4159" t="str">
        <f t="shared" si="64"/>
        <v>1815710.723</v>
      </c>
      <c r="E4159" t="s">
        <v>3323</v>
      </c>
      <c r="F4159" s="242"/>
      <c r="G4159"/>
      <c r="H4159" s="242">
        <v>7970</v>
      </c>
      <c r="I4159" s="242">
        <v>9856</v>
      </c>
      <c r="J4159"/>
    </row>
    <row r="4160" spans="1:10">
      <c r="A4160" t="s">
        <v>2403</v>
      </c>
      <c r="B4160">
        <v>815711</v>
      </c>
      <c r="C4160">
        <v>1</v>
      </c>
      <c r="D4160" t="str">
        <f t="shared" si="64"/>
        <v>1815711.110</v>
      </c>
      <c r="E4160" t="s">
        <v>3349</v>
      </c>
      <c r="F4160" s="242"/>
      <c r="G4160"/>
      <c r="H4160" s="242">
        <v>6156088</v>
      </c>
      <c r="I4160" s="242">
        <v>6144692</v>
      </c>
      <c r="J4160"/>
    </row>
    <row r="4161" spans="1:10">
      <c r="A4161" t="s">
        <v>2404</v>
      </c>
      <c r="B4161">
        <v>815711</v>
      </c>
      <c r="C4161">
        <v>1</v>
      </c>
      <c r="D4161" t="str">
        <f t="shared" si="64"/>
        <v>1815711.120</v>
      </c>
      <c r="E4161" t="s">
        <v>2574</v>
      </c>
      <c r="F4161" s="242"/>
      <c r="G4161"/>
      <c r="H4161" s="242">
        <v>348433</v>
      </c>
      <c r="I4161" s="242">
        <v>317158</v>
      </c>
      <c r="J4161"/>
    </row>
    <row r="4162" spans="1:10">
      <c r="A4162" t="s">
        <v>2575</v>
      </c>
      <c r="B4162">
        <v>815711</v>
      </c>
      <c r="C4162">
        <v>1</v>
      </c>
      <c r="D4162" t="str">
        <f t="shared" si="64"/>
        <v>1815711.130</v>
      </c>
      <c r="E4162" t="s">
        <v>2576</v>
      </c>
      <c r="F4162" s="242"/>
      <c r="G4162"/>
      <c r="H4162" s="242">
        <v>1714</v>
      </c>
      <c r="I4162" s="242">
        <v>996</v>
      </c>
      <c r="J4162"/>
    </row>
    <row r="4163" spans="1:10">
      <c r="A4163" t="s">
        <v>2577</v>
      </c>
      <c r="B4163">
        <v>815711</v>
      </c>
      <c r="C4163">
        <v>1</v>
      </c>
      <c r="D4163" t="str">
        <f t="shared" ref="D4163:D4226" si="65">C4163&amp;B4163&amp;"."&amp;A4163</f>
        <v>1815711.140</v>
      </c>
      <c r="E4163" t="s">
        <v>2578</v>
      </c>
      <c r="F4163" s="242"/>
      <c r="G4163"/>
      <c r="H4163" s="242">
        <v>211573</v>
      </c>
      <c r="I4163" s="242">
        <v>188026</v>
      </c>
      <c r="J4163"/>
    </row>
    <row r="4164" spans="1:10">
      <c r="A4164" t="s">
        <v>2579</v>
      </c>
      <c r="B4164">
        <v>815711</v>
      </c>
      <c r="C4164">
        <v>1</v>
      </c>
      <c r="D4164" t="str">
        <f t="shared" si="65"/>
        <v>1815711.181</v>
      </c>
      <c r="E4164" t="s">
        <v>2580</v>
      </c>
      <c r="F4164" s="242"/>
      <c r="G4164"/>
      <c r="H4164" s="242">
        <v>1707915</v>
      </c>
      <c r="I4164" s="242">
        <v>1663550</v>
      </c>
      <c r="J4164"/>
    </row>
    <row r="4165" spans="1:10">
      <c r="A4165" t="s">
        <v>2581</v>
      </c>
      <c r="B4165">
        <v>815711</v>
      </c>
      <c r="C4165">
        <v>1</v>
      </c>
      <c r="D4165" t="str">
        <f t="shared" si="65"/>
        <v>1815711.182</v>
      </c>
      <c r="E4165" t="s">
        <v>2582</v>
      </c>
      <c r="F4165" s="242"/>
      <c r="G4165"/>
      <c r="H4165" s="242">
        <v>501407</v>
      </c>
      <c r="I4165" s="242">
        <v>500729</v>
      </c>
      <c r="J4165"/>
    </row>
    <row r="4166" spans="1:10">
      <c r="A4166" t="s">
        <v>3350</v>
      </c>
      <c r="B4166">
        <v>815711</v>
      </c>
      <c r="C4166">
        <v>1</v>
      </c>
      <c r="D4166" t="str">
        <f t="shared" si="65"/>
        <v>1815711.289</v>
      </c>
      <c r="E4166" t="s">
        <v>2651</v>
      </c>
      <c r="F4166" s="242"/>
      <c r="G4166"/>
      <c r="H4166" s="242">
        <v>42400</v>
      </c>
      <c r="I4166" s="242">
        <v>36850</v>
      </c>
      <c r="J4166"/>
    </row>
    <row r="4167" spans="1:10">
      <c r="A4167" t="s">
        <v>2652</v>
      </c>
      <c r="B4167">
        <v>815711</v>
      </c>
      <c r="C4167">
        <v>1</v>
      </c>
      <c r="D4167" t="str">
        <f t="shared" si="65"/>
        <v>1815711.420</v>
      </c>
      <c r="E4167" t="s">
        <v>2653</v>
      </c>
      <c r="F4167" s="242"/>
      <c r="G4167"/>
      <c r="H4167" s="242">
        <v>28000</v>
      </c>
      <c r="I4167" s="242">
        <v>28000</v>
      </c>
      <c r="J4167"/>
    </row>
    <row r="4168" spans="1:10">
      <c r="A4168" t="s">
        <v>2809</v>
      </c>
      <c r="B4168">
        <v>815711</v>
      </c>
      <c r="C4168">
        <v>1</v>
      </c>
      <c r="D4168" t="str">
        <f t="shared" si="65"/>
        <v>1815711.424</v>
      </c>
      <c r="E4168" t="s">
        <v>2810</v>
      </c>
      <c r="F4168" s="242"/>
      <c r="G4168"/>
      <c r="H4168" s="242">
        <v>24000</v>
      </c>
      <c r="I4168" s="242">
        <v>0</v>
      </c>
      <c r="J4168"/>
    </row>
    <row r="4169" spans="1:10">
      <c r="A4169" t="s">
        <v>1663</v>
      </c>
      <c r="B4169">
        <v>815711</v>
      </c>
      <c r="C4169">
        <v>1</v>
      </c>
      <c r="D4169" t="str">
        <f t="shared" si="65"/>
        <v>1815711.431</v>
      </c>
      <c r="E4169" t="s">
        <v>2654</v>
      </c>
      <c r="F4169" s="242"/>
      <c r="G4169"/>
      <c r="H4169" s="242">
        <v>335000</v>
      </c>
      <c r="I4169" s="242">
        <v>377599</v>
      </c>
      <c r="J4169"/>
    </row>
    <row r="4170" spans="1:10">
      <c r="A4170" t="s">
        <v>1668</v>
      </c>
      <c r="B4170">
        <v>815711</v>
      </c>
      <c r="C4170">
        <v>1</v>
      </c>
      <c r="D4170" t="str">
        <f t="shared" si="65"/>
        <v>1815711.432</v>
      </c>
      <c r="E4170" t="s">
        <v>2687</v>
      </c>
      <c r="F4170" s="242"/>
      <c r="G4170"/>
      <c r="H4170" s="242">
        <v>74900</v>
      </c>
      <c r="I4170" s="242">
        <v>78366</v>
      </c>
      <c r="J4170"/>
    </row>
    <row r="4171" spans="1:10">
      <c r="A4171" t="s">
        <v>1678</v>
      </c>
      <c r="B4171">
        <v>815711</v>
      </c>
      <c r="C4171">
        <v>1</v>
      </c>
      <c r="D4171" t="str">
        <f t="shared" si="65"/>
        <v>1815711.434</v>
      </c>
      <c r="E4171" t="s">
        <v>2753</v>
      </c>
      <c r="F4171" s="242"/>
      <c r="G4171"/>
      <c r="H4171" s="242">
        <v>672000</v>
      </c>
      <c r="I4171" s="242">
        <v>573029</v>
      </c>
      <c r="J4171"/>
    </row>
    <row r="4172" spans="1:10">
      <c r="A4172" t="s">
        <v>2606</v>
      </c>
      <c r="B4172">
        <v>815711</v>
      </c>
      <c r="C4172">
        <v>1</v>
      </c>
      <c r="D4172" t="str">
        <f t="shared" si="65"/>
        <v>1815711.440</v>
      </c>
      <c r="E4172" t="s">
        <v>2657</v>
      </c>
      <c r="F4172" s="242"/>
      <c r="G4172"/>
      <c r="H4172" s="242">
        <v>17700</v>
      </c>
      <c r="I4172" s="242">
        <v>17060</v>
      </c>
      <c r="J4172"/>
    </row>
    <row r="4173" spans="1:10">
      <c r="A4173" t="s">
        <v>547</v>
      </c>
      <c r="B4173">
        <v>815711</v>
      </c>
      <c r="C4173">
        <v>1</v>
      </c>
      <c r="D4173" t="str">
        <f t="shared" si="65"/>
        <v>1815711.722</v>
      </c>
      <c r="E4173" t="s">
        <v>3351</v>
      </c>
      <c r="F4173" s="242"/>
      <c r="G4173"/>
      <c r="H4173" s="242">
        <v>100</v>
      </c>
      <c r="I4173" s="242">
        <v>2500</v>
      </c>
      <c r="J4173"/>
    </row>
    <row r="4174" spans="1:10">
      <c r="A4174" t="s">
        <v>575</v>
      </c>
      <c r="B4174">
        <v>815711</v>
      </c>
      <c r="C4174">
        <v>1</v>
      </c>
      <c r="D4174" t="str">
        <f t="shared" si="65"/>
        <v>1815711.726</v>
      </c>
      <c r="E4174" t="s">
        <v>3352</v>
      </c>
      <c r="F4174" s="242"/>
      <c r="G4174"/>
      <c r="H4174" s="242">
        <v>64136</v>
      </c>
      <c r="I4174" s="242">
        <v>143670</v>
      </c>
      <c r="J4174"/>
    </row>
    <row r="4175" spans="1:10">
      <c r="A4175" t="s">
        <v>591</v>
      </c>
      <c r="B4175">
        <v>815711</v>
      </c>
      <c r="C4175">
        <v>1</v>
      </c>
      <c r="D4175" t="str">
        <f t="shared" si="65"/>
        <v>1815711.729</v>
      </c>
      <c r="E4175" t="s">
        <v>3336</v>
      </c>
      <c r="F4175" s="242"/>
      <c r="G4175"/>
      <c r="H4175" s="242">
        <v>0</v>
      </c>
      <c r="I4175" s="242">
        <v>0</v>
      </c>
      <c r="J4175"/>
    </row>
    <row r="4176" spans="1:10">
      <c r="A4176" t="s">
        <v>673</v>
      </c>
      <c r="B4176">
        <v>815711</v>
      </c>
      <c r="C4176">
        <v>1</v>
      </c>
      <c r="D4176" t="str">
        <f t="shared" si="65"/>
        <v>1815711.743</v>
      </c>
      <c r="E4176" t="s">
        <v>2622</v>
      </c>
      <c r="F4176" s="242"/>
      <c r="G4176"/>
      <c r="H4176" s="242">
        <v>4000</v>
      </c>
      <c r="I4176" s="242">
        <v>4000</v>
      </c>
      <c r="J4176"/>
    </row>
    <row r="4177" spans="1:10">
      <c r="A4177" t="s">
        <v>772</v>
      </c>
      <c r="B4177">
        <v>815711</v>
      </c>
      <c r="C4177">
        <v>1</v>
      </c>
      <c r="D4177" t="str">
        <f t="shared" si="65"/>
        <v>1815711.751</v>
      </c>
      <c r="E4177" t="s">
        <v>3091</v>
      </c>
      <c r="F4177" s="242"/>
      <c r="G4177"/>
      <c r="H4177" s="242">
        <v>12000</v>
      </c>
      <c r="I4177" s="242">
        <v>12000</v>
      </c>
      <c r="J4177"/>
    </row>
    <row r="4178" spans="1:10">
      <c r="A4178" t="s">
        <v>776</v>
      </c>
      <c r="B4178">
        <v>815711</v>
      </c>
      <c r="C4178">
        <v>1</v>
      </c>
      <c r="D4178" t="str">
        <f t="shared" si="65"/>
        <v>1815711.752</v>
      </c>
      <c r="E4178" t="s">
        <v>3353</v>
      </c>
      <c r="F4178" s="242"/>
      <c r="G4178"/>
      <c r="H4178" s="242">
        <v>14040</v>
      </c>
      <c r="I4178" s="242">
        <v>14040</v>
      </c>
      <c r="J4178"/>
    </row>
    <row r="4179" spans="1:10">
      <c r="A4179" t="s">
        <v>2603</v>
      </c>
      <c r="B4179">
        <v>815711</v>
      </c>
      <c r="C4179">
        <v>1</v>
      </c>
      <c r="D4179" t="str">
        <f t="shared" si="65"/>
        <v>1815711.759</v>
      </c>
      <c r="E4179" t="s">
        <v>3155</v>
      </c>
      <c r="F4179" s="242"/>
      <c r="G4179"/>
      <c r="H4179" s="242">
        <v>2000</v>
      </c>
      <c r="I4179" s="242">
        <v>19326</v>
      </c>
      <c r="J4179"/>
    </row>
    <row r="4180" spans="1:10">
      <c r="A4180" t="s">
        <v>2759</v>
      </c>
      <c r="B4180">
        <v>815711</v>
      </c>
      <c r="C4180">
        <v>1</v>
      </c>
      <c r="D4180" t="str">
        <f t="shared" si="65"/>
        <v>1815711.760</v>
      </c>
      <c r="E4180" t="s">
        <v>3354</v>
      </c>
      <c r="F4180" s="242"/>
      <c r="G4180"/>
      <c r="H4180" s="242">
        <v>2399422</v>
      </c>
      <c r="I4180" s="242">
        <v>4066124</v>
      </c>
      <c r="J4180"/>
    </row>
    <row r="4181" spans="1:10">
      <c r="A4181" t="s">
        <v>872</v>
      </c>
      <c r="B4181">
        <v>815711</v>
      </c>
      <c r="C4181">
        <v>1</v>
      </c>
      <c r="D4181" t="str">
        <f t="shared" si="65"/>
        <v>1815711.781</v>
      </c>
      <c r="E4181" t="s">
        <v>3355</v>
      </c>
      <c r="F4181" s="242"/>
      <c r="G4181"/>
      <c r="H4181" s="242">
        <v>47500</v>
      </c>
      <c r="I4181" s="242">
        <v>47500</v>
      </c>
      <c r="J4181"/>
    </row>
    <row r="4182" spans="1:10">
      <c r="A4182" t="s">
        <v>2676</v>
      </c>
      <c r="B4182">
        <v>815711</v>
      </c>
      <c r="C4182">
        <v>1</v>
      </c>
      <c r="D4182" t="str">
        <f t="shared" si="65"/>
        <v>1815711.784</v>
      </c>
      <c r="E4182" t="s">
        <v>3095</v>
      </c>
      <c r="F4182" s="242"/>
      <c r="G4182"/>
      <c r="H4182" s="242">
        <v>153500</v>
      </c>
      <c r="I4182" s="242">
        <v>148460</v>
      </c>
      <c r="J4182"/>
    </row>
    <row r="4183" spans="1:10">
      <c r="A4183" t="s">
        <v>2850</v>
      </c>
      <c r="B4183">
        <v>815711</v>
      </c>
      <c r="C4183">
        <v>1</v>
      </c>
      <c r="D4183" t="str">
        <f t="shared" si="65"/>
        <v>1815711.786</v>
      </c>
      <c r="E4183" t="s">
        <v>3337</v>
      </c>
      <c r="F4183" s="242"/>
      <c r="G4183"/>
      <c r="H4183" s="242">
        <v>2000</v>
      </c>
      <c r="I4183" s="242">
        <v>28228</v>
      </c>
      <c r="J4183"/>
    </row>
    <row r="4184" spans="1:10">
      <c r="A4184" t="s">
        <v>3030</v>
      </c>
      <c r="B4184">
        <v>815711</v>
      </c>
      <c r="C4184">
        <v>1</v>
      </c>
      <c r="D4184" t="str">
        <f t="shared" si="65"/>
        <v>1815711.787</v>
      </c>
      <c r="E4184" t="s">
        <v>3356</v>
      </c>
      <c r="F4184" s="242"/>
      <c r="G4184"/>
      <c r="H4184" s="242">
        <v>47500</v>
      </c>
      <c r="I4184" s="242">
        <v>47500</v>
      </c>
      <c r="J4184"/>
    </row>
    <row r="4185" spans="1:10">
      <c r="A4185" t="s">
        <v>1677</v>
      </c>
      <c r="B4185">
        <v>815711</v>
      </c>
      <c r="C4185">
        <v>1</v>
      </c>
      <c r="D4185" t="str">
        <f t="shared" si="65"/>
        <v>1815711.934</v>
      </c>
      <c r="E4185" t="s">
        <v>3357</v>
      </c>
      <c r="F4185" s="242"/>
      <c r="G4185"/>
      <c r="H4185" s="242">
        <v>5000</v>
      </c>
      <c r="I4185" s="242">
        <v>5000</v>
      </c>
      <c r="J4185"/>
    </row>
    <row r="4186" spans="1:10">
      <c r="A4186" t="s">
        <v>586</v>
      </c>
      <c r="B4186">
        <v>815712</v>
      </c>
      <c r="C4186">
        <v>1</v>
      </c>
      <c r="D4186" t="str">
        <f t="shared" si="65"/>
        <v>1815712.727</v>
      </c>
      <c r="E4186" t="s">
        <v>3162</v>
      </c>
      <c r="F4186" s="242"/>
      <c r="G4186"/>
      <c r="H4186" s="242">
        <v>1000</v>
      </c>
      <c r="I4186" s="242">
        <v>200</v>
      </c>
      <c r="J4186"/>
    </row>
    <row r="4187" spans="1:10">
      <c r="A4187" t="s">
        <v>877</v>
      </c>
      <c r="B4187">
        <v>815712</v>
      </c>
      <c r="C4187">
        <v>1</v>
      </c>
      <c r="D4187" t="str">
        <f t="shared" si="65"/>
        <v>1815712.782</v>
      </c>
      <c r="E4187" t="s">
        <v>4671</v>
      </c>
      <c r="F4187" s="242"/>
      <c r="G4187"/>
      <c r="H4187" s="242">
        <v>19000</v>
      </c>
      <c r="I4187" s="242">
        <v>19000</v>
      </c>
      <c r="J4187"/>
    </row>
    <row r="4188" spans="1:10">
      <c r="A4188" t="s">
        <v>2403</v>
      </c>
      <c r="B4188">
        <v>815712</v>
      </c>
      <c r="C4188">
        <v>1</v>
      </c>
      <c r="D4188" t="str">
        <f t="shared" si="65"/>
        <v>1815712.110</v>
      </c>
      <c r="E4188" t="s">
        <v>3348</v>
      </c>
      <c r="F4188" s="242"/>
      <c r="G4188"/>
      <c r="H4188" s="242">
        <v>1530477</v>
      </c>
      <c r="I4188" s="242">
        <v>1385983</v>
      </c>
      <c r="J4188"/>
    </row>
    <row r="4189" spans="1:10">
      <c r="A4189" t="s">
        <v>2404</v>
      </c>
      <c r="B4189">
        <v>815712</v>
      </c>
      <c r="C4189">
        <v>1</v>
      </c>
      <c r="D4189" t="str">
        <f t="shared" si="65"/>
        <v>1815712.120</v>
      </c>
      <c r="E4189" t="s">
        <v>2574</v>
      </c>
      <c r="F4189" s="242"/>
      <c r="G4189"/>
      <c r="H4189" s="242">
        <v>213865</v>
      </c>
      <c r="I4189" s="242">
        <v>195949</v>
      </c>
      <c r="J4189"/>
    </row>
    <row r="4190" spans="1:10">
      <c r="A4190" t="s">
        <v>2575</v>
      </c>
      <c r="B4190">
        <v>815712</v>
      </c>
      <c r="C4190">
        <v>1</v>
      </c>
      <c r="D4190" t="str">
        <f t="shared" si="65"/>
        <v>1815712.130</v>
      </c>
      <c r="E4190" t="s">
        <v>2576</v>
      </c>
      <c r="F4190" s="242"/>
      <c r="G4190"/>
      <c r="H4190" s="242">
        <v>8210</v>
      </c>
      <c r="I4190" s="242">
        <v>4832</v>
      </c>
      <c r="J4190"/>
    </row>
    <row r="4191" spans="1:10">
      <c r="A4191" t="s">
        <v>2577</v>
      </c>
      <c r="B4191">
        <v>815712</v>
      </c>
      <c r="C4191">
        <v>1</v>
      </c>
      <c r="D4191" t="str">
        <f t="shared" si="65"/>
        <v>1815712.140</v>
      </c>
      <c r="E4191" t="s">
        <v>2578</v>
      </c>
      <c r="F4191" s="242"/>
      <c r="G4191"/>
      <c r="H4191" s="242">
        <v>124576</v>
      </c>
      <c r="I4191" s="242">
        <v>108872</v>
      </c>
      <c r="J4191"/>
    </row>
    <row r="4192" spans="1:10">
      <c r="A4192" t="s">
        <v>2579</v>
      </c>
      <c r="B4192">
        <v>815712</v>
      </c>
      <c r="C4192">
        <v>1</v>
      </c>
      <c r="D4192" t="str">
        <f t="shared" si="65"/>
        <v>1815712.181</v>
      </c>
      <c r="E4192" t="s">
        <v>2580</v>
      </c>
      <c r="F4192" s="242"/>
      <c r="G4192"/>
      <c r="H4192" s="242">
        <v>324062</v>
      </c>
      <c r="I4192" s="242">
        <v>286422</v>
      </c>
      <c r="J4192"/>
    </row>
    <row r="4193" spans="1:10">
      <c r="A4193" t="s">
        <v>2581</v>
      </c>
      <c r="B4193">
        <v>815712</v>
      </c>
      <c r="C4193">
        <v>1</v>
      </c>
      <c r="D4193" t="str">
        <f t="shared" si="65"/>
        <v>1815712.182</v>
      </c>
      <c r="E4193" t="s">
        <v>2582</v>
      </c>
      <c r="F4193" s="242"/>
      <c r="G4193"/>
      <c r="H4193" s="242">
        <v>142557</v>
      </c>
      <c r="I4193" s="242">
        <v>128757</v>
      </c>
      <c r="J4193"/>
    </row>
    <row r="4194" spans="1:10">
      <c r="A4194" t="s">
        <v>2403</v>
      </c>
      <c r="B4194">
        <v>815713</v>
      </c>
      <c r="C4194">
        <v>1</v>
      </c>
      <c r="D4194" t="str">
        <f t="shared" si="65"/>
        <v>1815713.110</v>
      </c>
      <c r="E4194" t="s">
        <v>3349</v>
      </c>
      <c r="F4194" s="242"/>
      <c r="G4194"/>
      <c r="H4194" s="242">
        <v>3253374</v>
      </c>
      <c r="I4194" s="242">
        <v>3472188</v>
      </c>
      <c r="J4194"/>
    </row>
    <row r="4195" spans="1:10">
      <c r="A4195" t="s">
        <v>2404</v>
      </c>
      <c r="B4195">
        <v>815713</v>
      </c>
      <c r="C4195">
        <v>1</v>
      </c>
      <c r="D4195" t="str">
        <f t="shared" si="65"/>
        <v>1815713.120</v>
      </c>
      <c r="E4195" t="s">
        <v>2574</v>
      </c>
      <c r="F4195" s="242"/>
      <c r="G4195"/>
      <c r="H4195" s="242">
        <v>253623</v>
      </c>
      <c r="I4195" s="242">
        <v>169756</v>
      </c>
      <c r="J4195"/>
    </row>
    <row r="4196" spans="1:10">
      <c r="A4196" t="s">
        <v>2575</v>
      </c>
      <c r="B4196">
        <v>815713</v>
      </c>
      <c r="C4196">
        <v>1</v>
      </c>
      <c r="D4196" t="str">
        <f t="shared" si="65"/>
        <v>1815713.130</v>
      </c>
      <c r="E4196" t="s">
        <v>2576</v>
      </c>
      <c r="F4196" s="242"/>
      <c r="G4196"/>
      <c r="H4196" s="242">
        <v>28</v>
      </c>
      <c r="I4196" s="242">
        <v>17</v>
      </c>
      <c r="J4196"/>
    </row>
    <row r="4197" spans="1:10">
      <c r="A4197" t="s">
        <v>2577</v>
      </c>
      <c r="B4197">
        <v>815713</v>
      </c>
      <c r="C4197">
        <v>1</v>
      </c>
      <c r="D4197" t="str">
        <f t="shared" si="65"/>
        <v>1815713.140</v>
      </c>
      <c r="E4197" t="s">
        <v>2578</v>
      </c>
      <c r="F4197" s="242"/>
      <c r="G4197"/>
      <c r="H4197" s="242">
        <v>144023</v>
      </c>
      <c r="I4197" s="242">
        <v>124768</v>
      </c>
      <c r="J4197"/>
    </row>
    <row r="4198" spans="1:10">
      <c r="A4198" t="s">
        <v>2579</v>
      </c>
      <c r="B4198">
        <v>815713</v>
      </c>
      <c r="C4198">
        <v>1</v>
      </c>
      <c r="D4198" t="str">
        <f t="shared" si="65"/>
        <v>1815713.181</v>
      </c>
      <c r="E4198" t="s">
        <v>2580</v>
      </c>
      <c r="F4198" s="242"/>
      <c r="G4198"/>
      <c r="H4198" s="242">
        <v>879749</v>
      </c>
      <c r="I4198" s="242">
        <v>924392</v>
      </c>
      <c r="J4198"/>
    </row>
    <row r="4199" spans="1:10">
      <c r="A4199" t="s">
        <v>2581</v>
      </c>
      <c r="B4199">
        <v>815713</v>
      </c>
      <c r="C4199">
        <v>1</v>
      </c>
      <c r="D4199" t="str">
        <f t="shared" si="65"/>
        <v>1815713.182</v>
      </c>
      <c r="E4199" t="s">
        <v>2582</v>
      </c>
      <c r="F4199" s="242"/>
      <c r="G4199"/>
      <c r="H4199" s="242">
        <v>271422</v>
      </c>
      <c r="I4199" s="242">
        <v>285636</v>
      </c>
      <c r="J4199"/>
    </row>
    <row r="4200" spans="1:10">
      <c r="A4200" t="s">
        <v>3350</v>
      </c>
      <c r="B4200">
        <v>815713</v>
      </c>
      <c r="C4200">
        <v>1</v>
      </c>
      <c r="D4200" t="str">
        <f t="shared" si="65"/>
        <v>1815713.289</v>
      </c>
      <c r="E4200" t="s">
        <v>2651</v>
      </c>
      <c r="F4200" s="242"/>
      <c r="G4200"/>
      <c r="H4200" s="242">
        <v>20900</v>
      </c>
      <c r="I4200" s="242">
        <v>18700</v>
      </c>
      <c r="J4200"/>
    </row>
    <row r="4201" spans="1:10">
      <c r="A4201" t="s">
        <v>2652</v>
      </c>
      <c r="B4201">
        <v>815713</v>
      </c>
      <c r="C4201">
        <v>1</v>
      </c>
      <c r="D4201" t="str">
        <f t="shared" si="65"/>
        <v>1815713.420</v>
      </c>
      <c r="E4201" t="s">
        <v>2653</v>
      </c>
      <c r="F4201" s="242"/>
      <c r="G4201"/>
      <c r="H4201" s="242">
        <v>28000</v>
      </c>
      <c r="I4201" s="242">
        <v>28000</v>
      </c>
      <c r="J4201"/>
    </row>
    <row r="4202" spans="1:10">
      <c r="A4202" t="s">
        <v>1663</v>
      </c>
      <c r="B4202">
        <v>815713</v>
      </c>
      <c r="C4202">
        <v>1</v>
      </c>
      <c r="D4202" t="str">
        <f t="shared" si="65"/>
        <v>1815713.431</v>
      </c>
      <c r="E4202" t="s">
        <v>2654</v>
      </c>
      <c r="F4202" s="242"/>
      <c r="G4202"/>
      <c r="H4202" s="242">
        <v>222600</v>
      </c>
      <c r="I4202" s="242">
        <v>298838</v>
      </c>
      <c r="J4202"/>
    </row>
    <row r="4203" spans="1:10">
      <c r="A4203" t="s">
        <v>1668</v>
      </c>
      <c r="B4203">
        <v>815713</v>
      </c>
      <c r="C4203">
        <v>1</v>
      </c>
      <c r="D4203" t="str">
        <f t="shared" si="65"/>
        <v>1815713.432</v>
      </c>
      <c r="E4203" t="s">
        <v>2687</v>
      </c>
      <c r="F4203" s="242"/>
      <c r="G4203"/>
      <c r="H4203" s="242">
        <v>52000</v>
      </c>
      <c r="I4203" s="242">
        <v>73624</v>
      </c>
      <c r="J4203"/>
    </row>
    <row r="4204" spans="1:10">
      <c r="A4204" t="s">
        <v>1678</v>
      </c>
      <c r="B4204">
        <v>815713</v>
      </c>
      <c r="C4204">
        <v>1</v>
      </c>
      <c r="D4204" t="str">
        <f t="shared" si="65"/>
        <v>1815713.434</v>
      </c>
      <c r="E4204" t="s">
        <v>2753</v>
      </c>
      <c r="F4204" s="242"/>
      <c r="G4204"/>
      <c r="H4204" s="242">
        <v>460000</v>
      </c>
      <c r="I4204" s="242">
        <v>386143</v>
      </c>
      <c r="J4204"/>
    </row>
    <row r="4205" spans="1:10">
      <c r="A4205" t="s">
        <v>2606</v>
      </c>
      <c r="B4205">
        <v>815713</v>
      </c>
      <c r="C4205">
        <v>1</v>
      </c>
      <c r="D4205" t="str">
        <f t="shared" si="65"/>
        <v>1815713.440</v>
      </c>
      <c r="E4205" t="s">
        <v>2657</v>
      </c>
      <c r="F4205" s="242"/>
      <c r="G4205"/>
      <c r="H4205" s="242">
        <v>17700</v>
      </c>
      <c r="I4205" s="242">
        <v>17060</v>
      </c>
      <c r="J4205"/>
    </row>
    <row r="4206" spans="1:10">
      <c r="A4206" t="s">
        <v>547</v>
      </c>
      <c r="B4206">
        <v>815713</v>
      </c>
      <c r="C4206">
        <v>1</v>
      </c>
      <c r="D4206" t="str">
        <f t="shared" si="65"/>
        <v>1815713.722</v>
      </c>
      <c r="E4206" t="s">
        <v>3020</v>
      </c>
      <c r="F4206" s="242"/>
      <c r="G4206"/>
      <c r="H4206" s="242">
        <v>0</v>
      </c>
      <c r="I4206" s="242">
        <v>2500</v>
      </c>
      <c r="J4206"/>
    </row>
    <row r="4207" spans="1:10">
      <c r="A4207" t="s">
        <v>575</v>
      </c>
      <c r="B4207">
        <v>815713</v>
      </c>
      <c r="C4207">
        <v>1</v>
      </c>
      <c r="D4207" t="str">
        <f t="shared" si="65"/>
        <v>1815713.726</v>
      </c>
      <c r="E4207" t="s">
        <v>3352</v>
      </c>
      <c r="F4207" s="242"/>
      <c r="G4207"/>
      <c r="H4207" s="242">
        <v>28606</v>
      </c>
      <c r="I4207" s="242">
        <v>51187</v>
      </c>
      <c r="J4207"/>
    </row>
    <row r="4208" spans="1:10">
      <c r="A4208" t="s">
        <v>586</v>
      </c>
      <c r="B4208">
        <v>815713</v>
      </c>
      <c r="C4208">
        <v>1</v>
      </c>
      <c r="D4208" t="str">
        <f t="shared" si="65"/>
        <v>1815713.727</v>
      </c>
      <c r="E4208" t="s">
        <v>3155</v>
      </c>
      <c r="F4208" s="242"/>
      <c r="G4208"/>
      <c r="H4208" s="242">
        <v>6327</v>
      </c>
      <c r="I4208" s="242">
        <v>6113</v>
      </c>
      <c r="J4208"/>
    </row>
    <row r="4209" spans="1:10">
      <c r="A4209" t="s">
        <v>3164</v>
      </c>
      <c r="B4209">
        <v>815713</v>
      </c>
      <c r="C4209">
        <v>1</v>
      </c>
      <c r="D4209" t="str">
        <f t="shared" si="65"/>
        <v>1815713.728</v>
      </c>
      <c r="E4209" t="s">
        <v>3337</v>
      </c>
      <c r="F4209" s="242"/>
      <c r="G4209"/>
      <c r="H4209" s="242">
        <v>6413</v>
      </c>
      <c r="I4209" s="242">
        <v>11819</v>
      </c>
      <c r="J4209"/>
    </row>
    <row r="4210" spans="1:10">
      <c r="A4210" t="s">
        <v>673</v>
      </c>
      <c r="B4210">
        <v>815713</v>
      </c>
      <c r="C4210">
        <v>1</v>
      </c>
      <c r="D4210" t="str">
        <f t="shared" si="65"/>
        <v>1815713.743</v>
      </c>
      <c r="E4210" t="s">
        <v>2622</v>
      </c>
      <c r="F4210" s="242"/>
      <c r="G4210"/>
      <c r="H4210" s="242">
        <v>4000</v>
      </c>
      <c r="I4210" s="242">
        <v>4000</v>
      </c>
      <c r="J4210"/>
    </row>
    <row r="4211" spans="1:10">
      <c r="A4211" t="s">
        <v>772</v>
      </c>
      <c r="B4211">
        <v>815713</v>
      </c>
      <c r="C4211">
        <v>1</v>
      </c>
      <c r="D4211" t="str">
        <f t="shared" si="65"/>
        <v>1815713.751</v>
      </c>
      <c r="E4211" t="s">
        <v>3091</v>
      </c>
      <c r="F4211" s="242"/>
      <c r="G4211"/>
      <c r="H4211" s="242">
        <v>12000</v>
      </c>
      <c r="I4211" s="242">
        <v>12000</v>
      </c>
      <c r="J4211"/>
    </row>
    <row r="4212" spans="1:10">
      <c r="A4212" t="s">
        <v>781</v>
      </c>
      <c r="B4212">
        <v>815713</v>
      </c>
      <c r="C4212">
        <v>1</v>
      </c>
      <c r="D4212" t="str">
        <f t="shared" si="65"/>
        <v>1815713.753</v>
      </c>
      <c r="E4212" t="s">
        <v>3455</v>
      </c>
      <c r="F4212" s="242"/>
      <c r="G4212"/>
      <c r="H4212" s="242">
        <v>14040</v>
      </c>
      <c r="I4212" s="242">
        <v>28080</v>
      </c>
      <c r="J4212"/>
    </row>
    <row r="4213" spans="1:10">
      <c r="A4213" t="s">
        <v>2759</v>
      </c>
      <c r="B4213">
        <v>815713</v>
      </c>
      <c r="C4213">
        <v>1</v>
      </c>
      <c r="D4213" t="str">
        <f t="shared" si="65"/>
        <v>1815713.760</v>
      </c>
      <c r="E4213" t="s">
        <v>3456</v>
      </c>
      <c r="F4213" s="242"/>
      <c r="G4213"/>
      <c r="H4213" s="242">
        <v>1500000</v>
      </c>
      <c r="I4213" s="242">
        <v>2000752</v>
      </c>
      <c r="J4213"/>
    </row>
    <row r="4214" spans="1:10">
      <c r="A4214" t="s">
        <v>2674</v>
      </c>
      <c r="B4214">
        <v>815713</v>
      </c>
      <c r="C4214">
        <v>1</v>
      </c>
      <c r="D4214" t="str">
        <f t="shared" si="65"/>
        <v>1815713.783</v>
      </c>
      <c r="E4214" t="s">
        <v>3457</v>
      </c>
      <c r="F4214" s="242"/>
      <c r="G4214"/>
      <c r="H4214" s="242">
        <v>10000</v>
      </c>
      <c r="I4214" s="242">
        <v>0</v>
      </c>
      <c r="J4214"/>
    </row>
    <row r="4215" spans="1:10">
      <c r="A4215" t="s">
        <v>2676</v>
      </c>
      <c r="B4215">
        <v>815713</v>
      </c>
      <c r="C4215">
        <v>1</v>
      </c>
      <c r="D4215" t="str">
        <f t="shared" si="65"/>
        <v>1815713.784</v>
      </c>
      <c r="E4215" t="s">
        <v>3095</v>
      </c>
      <c r="F4215" s="242"/>
      <c r="G4215"/>
      <c r="H4215" s="242">
        <v>153500</v>
      </c>
      <c r="I4215" s="242">
        <v>148460</v>
      </c>
      <c r="J4215"/>
    </row>
    <row r="4216" spans="1:10">
      <c r="A4216" t="s">
        <v>575</v>
      </c>
      <c r="B4216">
        <v>815714</v>
      </c>
      <c r="C4216">
        <v>1</v>
      </c>
      <c r="D4216" t="str">
        <f t="shared" si="65"/>
        <v>1815714.726</v>
      </c>
      <c r="E4216" t="s">
        <v>3323</v>
      </c>
      <c r="F4216" s="242"/>
      <c r="G4216"/>
      <c r="H4216" s="242">
        <v>4018</v>
      </c>
      <c r="I4216" s="242">
        <v>5494</v>
      </c>
      <c r="J4216"/>
    </row>
    <row r="4217" spans="1:10">
      <c r="A4217" t="s">
        <v>586</v>
      </c>
      <c r="B4217">
        <v>815714</v>
      </c>
      <c r="C4217">
        <v>1</v>
      </c>
      <c r="D4217" t="str">
        <f t="shared" si="65"/>
        <v>1815714.727</v>
      </c>
      <c r="E4217" t="s">
        <v>3162</v>
      </c>
      <c r="F4217" s="242"/>
      <c r="G4217"/>
      <c r="H4217" s="242">
        <v>800</v>
      </c>
      <c r="I4217" s="242">
        <v>0</v>
      </c>
      <c r="J4217"/>
    </row>
    <row r="4218" spans="1:10">
      <c r="A4218" t="s">
        <v>877</v>
      </c>
      <c r="B4218">
        <v>815714</v>
      </c>
      <c r="C4218">
        <v>1</v>
      </c>
      <c r="D4218" t="str">
        <f t="shared" si="65"/>
        <v>1815714.782</v>
      </c>
      <c r="E4218" t="s">
        <v>3361</v>
      </c>
      <c r="F4218" s="242"/>
      <c r="G4218"/>
      <c r="H4218" s="242">
        <v>19000</v>
      </c>
      <c r="I4218" s="242">
        <v>19000</v>
      </c>
      <c r="J4218"/>
    </row>
    <row r="4219" spans="1:10">
      <c r="A4219" t="s">
        <v>2403</v>
      </c>
      <c r="B4219">
        <v>815715</v>
      </c>
      <c r="C4219">
        <v>1</v>
      </c>
      <c r="D4219" t="str">
        <f t="shared" si="65"/>
        <v>1815715.110</v>
      </c>
      <c r="E4219" t="s">
        <v>3349</v>
      </c>
      <c r="F4219" s="242"/>
      <c r="G4219"/>
      <c r="H4219" s="242">
        <v>4361112</v>
      </c>
      <c r="I4219" s="242">
        <v>4383637</v>
      </c>
      <c r="J4219"/>
    </row>
    <row r="4220" spans="1:10">
      <c r="A4220" t="s">
        <v>2404</v>
      </c>
      <c r="B4220">
        <v>815715</v>
      </c>
      <c r="C4220">
        <v>1</v>
      </c>
      <c r="D4220" t="str">
        <f t="shared" si="65"/>
        <v>1815715.120</v>
      </c>
      <c r="E4220" t="s">
        <v>2574</v>
      </c>
      <c r="F4220" s="242"/>
      <c r="G4220"/>
      <c r="H4220" s="242">
        <v>149592</v>
      </c>
      <c r="I4220" s="242">
        <v>127958</v>
      </c>
      <c r="J4220"/>
    </row>
    <row r="4221" spans="1:10">
      <c r="A4221" t="s">
        <v>2575</v>
      </c>
      <c r="B4221">
        <v>815715</v>
      </c>
      <c r="C4221">
        <v>1</v>
      </c>
      <c r="D4221" t="str">
        <f t="shared" si="65"/>
        <v>1815715.130</v>
      </c>
      <c r="E4221" t="s">
        <v>2576</v>
      </c>
      <c r="F4221" s="242"/>
      <c r="G4221"/>
      <c r="H4221" s="242">
        <v>275</v>
      </c>
      <c r="I4221" s="242">
        <v>154</v>
      </c>
      <c r="J4221"/>
    </row>
    <row r="4222" spans="1:10">
      <c r="A4222" t="s">
        <v>2577</v>
      </c>
      <c r="B4222">
        <v>815715</v>
      </c>
      <c r="C4222">
        <v>1</v>
      </c>
      <c r="D4222" t="str">
        <f t="shared" si="65"/>
        <v>1815715.140</v>
      </c>
      <c r="E4222" t="s">
        <v>2578</v>
      </c>
      <c r="F4222" s="242"/>
      <c r="G4222"/>
      <c r="H4222" s="242">
        <v>111254</v>
      </c>
      <c r="I4222" s="242">
        <v>103009</v>
      </c>
      <c r="J4222"/>
    </row>
    <row r="4223" spans="1:10">
      <c r="A4223" t="s">
        <v>2579</v>
      </c>
      <c r="B4223">
        <v>815715</v>
      </c>
      <c r="C4223">
        <v>1</v>
      </c>
      <c r="D4223" t="str">
        <f t="shared" si="65"/>
        <v>1815715.181</v>
      </c>
      <c r="E4223" t="s">
        <v>2580</v>
      </c>
      <c r="F4223" s="242"/>
      <c r="G4223"/>
      <c r="H4223" s="242">
        <v>1190457</v>
      </c>
      <c r="I4223" s="242">
        <v>1195694</v>
      </c>
      <c r="J4223"/>
    </row>
    <row r="4224" spans="1:10">
      <c r="A4224" t="s">
        <v>2581</v>
      </c>
      <c r="B4224">
        <v>815715</v>
      </c>
      <c r="C4224">
        <v>1</v>
      </c>
      <c r="D4224" t="str">
        <f t="shared" si="65"/>
        <v>1815715.182</v>
      </c>
      <c r="E4224" t="s">
        <v>2582</v>
      </c>
      <c r="F4224" s="242"/>
      <c r="G4224"/>
      <c r="H4224" s="242">
        <v>346960</v>
      </c>
      <c r="I4224" s="242">
        <v>348604</v>
      </c>
      <c r="J4224"/>
    </row>
    <row r="4225" spans="1:10">
      <c r="A4225" t="s">
        <v>3350</v>
      </c>
      <c r="B4225">
        <v>815715</v>
      </c>
      <c r="C4225">
        <v>1</v>
      </c>
      <c r="D4225" t="str">
        <f t="shared" si="65"/>
        <v>1815715.289</v>
      </c>
      <c r="E4225" t="s">
        <v>2651</v>
      </c>
      <c r="F4225" s="242"/>
      <c r="G4225"/>
      <c r="H4225" s="242">
        <v>20900</v>
      </c>
      <c r="I4225" s="242">
        <v>19800</v>
      </c>
      <c r="J4225"/>
    </row>
    <row r="4226" spans="1:10">
      <c r="A4226" t="s">
        <v>2652</v>
      </c>
      <c r="B4226">
        <v>815715</v>
      </c>
      <c r="C4226">
        <v>1</v>
      </c>
      <c r="D4226" t="str">
        <f t="shared" si="65"/>
        <v>1815715.420</v>
      </c>
      <c r="E4226" t="s">
        <v>2653</v>
      </c>
      <c r="F4226" s="242"/>
      <c r="G4226"/>
      <c r="H4226" s="242">
        <v>28000</v>
      </c>
      <c r="I4226" s="242">
        <v>28000</v>
      </c>
      <c r="J4226"/>
    </row>
    <row r="4227" spans="1:10">
      <c r="A4227" t="s">
        <v>2809</v>
      </c>
      <c r="B4227">
        <v>815715</v>
      </c>
      <c r="C4227">
        <v>1</v>
      </c>
      <c r="D4227" t="str">
        <f t="shared" ref="D4227:D4290" si="66">C4227&amp;B4227&amp;"."&amp;A4227</f>
        <v>1815715.424</v>
      </c>
      <c r="E4227" t="s">
        <v>2810</v>
      </c>
      <c r="F4227" s="242"/>
      <c r="G4227"/>
      <c r="H4227" s="242">
        <v>24000</v>
      </c>
      <c r="I4227" s="242">
        <v>0</v>
      </c>
      <c r="J4227"/>
    </row>
    <row r="4228" spans="1:10">
      <c r="A4228" t="s">
        <v>1663</v>
      </c>
      <c r="B4228">
        <v>815715</v>
      </c>
      <c r="C4228">
        <v>1</v>
      </c>
      <c r="D4228" t="str">
        <f t="shared" si="66"/>
        <v>1815715.431</v>
      </c>
      <c r="E4228" t="s">
        <v>2654</v>
      </c>
      <c r="F4228" s="242"/>
      <c r="G4228"/>
      <c r="H4228" s="242">
        <v>278000</v>
      </c>
      <c r="I4228" s="242">
        <v>298866</v>
      </c>
      <c r="J4228"/>
    </row>
    <row r="4229" spans="1:10">
      <c r="A4229" t="s">
        <v>1668</v>
      </c>
      <c r="B4229">
        <v>815715</v>
      </c>
      <c r="C4229">
        <v>1</v>
      </c>
      <c r="D4229" t="str">
        <f t="shared" si="66"/>
        <v>1815715.432</v>
      </c>
      <c r="E4229" t="s">
        <v>2687</v>
      </c>
      <c r="F4229" s="242"/>
      <c r="G4229"/>
      <c r="H4229" s="242">
        <v>98200</v>
      </c>
      <c r="I4229" s="242">
        <v>138608</v>
      </c>
      <c r="J4229"/>
    </row>
    <row r="4230" spans="1:10">
      <c r="A4230" t="s">
        <v>1678</v>
      </c>
      <c r="B4230">
        <v>815715</v>
      </c>
      <c r="C4230">
        <v>1</v>
      </c>
      <c r="D4230" t="str">
        <f t="shared" si="66"/>
        <v>1815715.434</v>
      </c>
      <c r="E4230" t="s">
        <v>2656</v>
      </c>
      <c r="F4230" s="242"/>
      <c r="G4230"/>
      <c r="H4230" s="242">
        <v>460000</v>
      </c>
      <c r="I4230" s="242">
        <v>383836</v>
      </c>
      <c r="J4230"/>
    </row>
    <row r="4231" spans="1:10">
      <c r="A4231" t="s">
        <v>2606</v>
      </c>
      <c r="B4231">
        <v>815715</v>
      </c>
      <c r="C4231">
        <v>1</v>
      </c>
      <c r="D4231" t="str">
        <f t="shared" si="66"/>
        <v>1815715.440</v>
      </c>
      <c r="E4231" t="s">
        <v>2657</v>
      </c>
      <c r="F4231" s="242"/>
      <c r="G4231"/>
      <c r="H4231" s="242">
        <v>17700</v>
      </c>
      <c r="I4231" s="242">
        <v>17060</v>
      </c>
      <c r="J4231"/>
    </row>
    <row r="4232" spans="1:10">
      <c r="A4232" t="s">
        <v>547</v>
      </c>
      <c r="B4232">
        <v>815715</v>
      </c>
      <c r="C4232">
        <v>1</v>
      </c>
      <c r="D4232" t="str">
        <f t="shared" si="66"/>
        <v>1815715.722</v>
      </c>
      <c r="E4232" t="s">
        <v>3020</v>
      </c>
      <c r="F4232" s="242"/>
      <c r="G4232"/>
      <c r="H4232" s="242">
        <v>100</v>
      </c>
      <c r="I4232" s="242">
        <v>6000</v>
      </c>
      <c r="J4232"/>
    </row>
    <row r="4233" spans="1:10">
      <c r="A4233" t="s">
        <v>575</v>
      </c>
      <c r="B4233">
        <v>815715</v>
      </c>
      <c r="C4233">
        <v>1</v>
      </c>
      <c r="D4233" t="str">
        <f t="shared" si="66"/>
        <v>1815715.726</v>
      </c>
      <c r="E4233" t="s">
        <v>3090</v>
      </c>
      <c r="F4233" s="242"/>
      <c r="G4233"/>
      <c r="H4233" s="242">
        <v>61473</v>
      </c>
      <c r="I4233" s="242">
        <v>63355</v>
      </c>
      <c r="J4233"/>
    </row>
    <row r="4234" spans="1:10">
      <c r="A4234" t="s">
        <v>673</v>
      </c>
      <c r="B4234">
        <v>815715</v>
      </c>
      <c r="C4234">
        <v>1</v>
      </c>
      <c r="D4234" t="str">
        <f t="shared" si="66"/>
        <v>1815715.743</v>
      </c>
      <c r="E4234" t="s">
        <v>2622</v>
      </c>
      <c r="F4234" s="242"/>
      <c r="G4234"/>
      <c r="H4234" s="242">
        <v>4000</v>
      </c>
      <c r="I4234" s="242">
        <v>4000</v>
      </c>
      <c r="J4234"/>
    </row>
    <row r="4235" spans="1:10">
      <c r="A4235" t="s">
        <v>772</v>
      </c>
      <c r="B4235">
        <v>815715</v>
      </c>
      <c r="C4235">
        <v>1</v>
      </c>
      <c r="D4235" t="str">
        <f t="shared" si="66"/>
        <v>1815715.751</v>
      </c>
      <c r="E4235" t="s">
        <v>3091</v>
      </c>
      <c r="F4235" s="242"/>
      <c r="G4235"/>
      <c r="H4235" s="242">
        <v>12000</v>
      </c>
      <c r="I4235" s="242">
        <v>9928</v>
      </c>
      <c r="J4235"/>
    </row>
    <row r="4236" spans="1:10">
      <c r="A4236" t="s">
        <v>781</v>
      </c>
      <c r="B4236">
        <v>815715</v>
      </c>
      <c r="C4236">
        <v>1</v>
      </c>
      <c r="D4236" t="str">
        <f t="shared" si="66"/>
        <v>1815715.753</v>
      </c>
      <c r="E4236" t="s">
        <v>3353</v>
      </c>
      <c r="F4236" s="242"/>
      <c r="G4236"/>
      <c r="H4236" s="242">
        <v>14040</v>
      </c>
      <c r="I4236" s="242">
        <v>13075</v>
      </c>
      <c r="J4236"/>
    </row>
    <row r="4237" spans="1:10">
      <c r="A4237" t="s">
        <v>2603</v>
      </c>
      <c r="B4237">
        <v>815715</v>
      </c>
      <c r="C4237">
        <v>1</v>
      </c>
      <c r="D4237" t="str">
        <f t="shared" si="66"/>
        <v>1815715.759</v>
      </c>
      <c r="E4237" t="s">
        <v>3155</v>
      </c>
      <c r="F4237" s="242"/>
      <c r="G4237"/>
      <c r="H4237" s="242">
        <v>16087</v>
      </c>
      <c r="I4237" s="242">
        <v>16123</v>
      </c>
      <c r="J4237"/>
    </row>
    <row r="4238" spans="1:10">
      <c r="A4238" t="s">
        <v>2759</v>
      </c>
      <c r="B4238">
        <v>815715</v>
      </c>
      <c r="C4238">
        <v>1</v>
      </c>
      <c r="D4238" t="str">
        <f t="shared" si="66"/>
        <v>1815715.760</v>
      </c>
      <c r="E4238" t="s">
        <v>3450</v>
      </c>
      <c r="F4238" s="242"/>
      <c r="G4238"/>
      <c r="H4238" s="242">
        <v>3600000</v>
      </c>
      <c r="I4238" s="242">
        <v>3993195</v>
      </c>
      <c r="J4238"/>
    </row>
    <row r="4239" spans="1:10">
      <c r="A4239" t="s">
        <v>877</v>
      </c>
      <c r="B4239">
        <v>815715</v>
      </c>
      <c r="C4239">
        <v>1</v>
      </c>
      <c r="D4239" t="str">
        <f t="shared" si="66"/>
        <v>1815715.782</v>
      </c>
      <c r="E4239" t="s">
        <v>3361</v>
      </c>
      <c r="F4239" s="242"/>
      <c r="G4239"/>
      <c r="H4239" s="242">
        <v>19000</v>
      </c>
      <c r="I4239" s="242">
        <v>0</v>
      </c>
      <c r="J4239"/>
    </row>
    <row r="4240" spans="1:10">
      <c r="A4240" t="s">
        <v>2674</v>
      </c>
      <c r="B4240">
        <v>815715</v>
      </c>
      <c r="C4240">
        <v>1</v>
      </c>
      <c r="D4240" t="str">
        <f t="shared" si="66"/>
        <v>1815715.783</v>
      </c>
      <c r="E4240" t="s">
        <v>3451</v>
      </c>
      <c r="F4240" s="242"/>
      <c r="G4240"/>
      <c r="H4240" s="242">
        <v>76000</v>
      </c>
      <c r="I4240" s="242">
        <v>76000</v>
      </c>
      <c r="J4240"/>
    </row>
    <row r="4241" spans="1:10">
      <c r="A4241" t="s">
        <v>2676</v>
      </c>
      <c r="B4241">
        <v>815715</v>
      </c>
      <c r="C4241">
        <v>1</v>
      </c>
      <c r="D4241" t="str">
        <f t="shared" si="66"/>
        <v>1815715.784</v>
      </c>
      <c r="E4241" t="s">
        <v>3095</v>
      </c>
      <c r="F4241" s="242"/>
      <c r="G4241"/>
      <c r="H4241" s="242">
        <v>153500</v>
      </c>
      <c r="I4241" s="242">
        <v>143420</v>
      </c>
      <c r="J4241"/>
    </row>
    <row r="4242" spans="1:10">
      <c r="A4242" t="s">
        <v>2850</v>
      </c>
      <c r="B4242">
        <v>815715</v>
      </c>
      <c r="C4242">
        <v>1</v>
      </c>
      <c r="D4242" t="str">
        <f t="shared" si="66"/>
        <v>1815715.786</v>
      </c>
      <c r="E4242" t="s">
        <v>3337</v>
      </c>
      <c r="F4242" s="242"/>
      <c r="G4242"/>
      <c r="H4242" s="242">
        <v>12419</v>
      </c>
      <c r="I4242" s="242">
        <v>13385</v>
      </c>
      <c r="J4242"/>
    </row>
    <row r="4243" spans="1:10">
      <c r="A4243" t="s">
        <v>586</v>
      </c>
      <c r="B4243">
        <v>815716</v>
      </c>
      <c r="C4243">
        <v>1</v>
      </c>
      <c r="D4243" t="str">
        <f t="shared" si="66"/>
        <v>1815716.727</v>
      </c>
      <c r="E4243" t="s">
        <v>3162</v>
      </c>
      <c r="F4243" s="242"/>
      <c r="G4243"/>
      <c r="H4243" s="242">
        <v>100</v>
      </c>
      <c r="I4243" s="242">
        <v>800</v>
      </c>
      <c r="J4243"/>
    </row>
    <row r="4244" spans="1:10">
      <c r="A4244" t="s">
        <v>591</v>
      </c>
      <c r="B4244">
        <v>815717</v>
      </c>
      <c r="C4244">
        <v>1</v>
      </c>
      <c r="D4244" t="str">
        <f t="shared" si="66"/>
        <v>1815717.729</v>
      </c>
      <c r="E4244" t="s">
        <v>3403</v>
      </c>
      <c r="F4244" s="242"/>
      <c r="G4244"/>
      <c r="H4244" s="242">
        <v>0</v>
      </c>
      <c r="I4244" s="242">
        <v>0</v>
      </c>
      <c r="J4244"/>
    </row>
    <row r="4245" spans="1:10">
      <c r="A4245" t="s">
        <v>558</v>
      </c>
      <c r="B4245">
        <v>815718</v>
      </c>
      <c r="C4245">
        <v>1</v>
      </c>
      <c r="D4245" t="str">
        <f t="shared" si="66"/>
        <v>1815718.723</v>
      </c>
      <c r="E4245" t="s">
        <v>3323</v>
      </c>
      <c r="F4245" s="242"/>
      <c r="G4245"/>
      <c r="H4245" s="242">
        <v>5822</v>
      </c>
      <c r="I4245" s="242">
        <v>5576</v>
      </c>
      <c r="J4245"/>
    </row>
    <row r="4246" spans="1:10">
      <c r="A4246" t="s">
        <v>2403</v>
      </c>
      <c r="B4246">
        <v>815730</v>
      </c>
      <c r="C4246">
        <v>1</v>
      </c>
      <c r="D4246" t="str">
        <f t="shared" si="66"/>
        <v>1815730.110</v>
      </c>
      <c r="E4246" t="s">
        <v>2573</v>
      </c>
      <c r="F4246" s="242"/>
      <c r="G4246"/>
      <c r="H4246" s="242">
        <v>1693156</v>
      </c>
      <c r="I4246" s="242">
        <v>1437688</v>
      </c>
      <c r="J4246"/>
    </row>
    <row r="4247" spans="1:10">
      <c r="A4247" t="s">
        <v>2404</v>
      </c>
      <c r="B4247">
        <v>815730</v>
      </c>
      <c r="C4247">
        <v>1</v>
      </c>
      <c r="D4247" t="str">
        <f t="shared" si="66"/>
        <v>1815730.120</v>
      </c>
      <c r="E4247" t="s">
        <v>2574</v>
      </c>
      <c r="F4247" s="242"/>
      <c r="G4247"/>
      <c r="H4247" s="242">
        <v>197574</v>
      </c>
      <c r="I4247" s="242">
        <v>161521</v>
      </c>
      <c r="J4247"/>
    </row>
    <row r="4248" spans="1:10">
      <c r="A4248" t="s">
        <v>2575</v>
      </c>
      <c r="B4248">
        <v>815730</v>
      </c>
      <c r="C4248">
        <v>1</v>
      </c>
      <c r="D4248" t="str">
        <f t="shared" si="66"/>
        <v>1815730.130</v>
      </c>
      <c r="E4248" t="s">
        <v>2576</v>
      </c>
      <c r="F4248" s="242"/>
      <c r="G4248"/>
      <c r="H4248" s="242">
        <v>32732</v>
      </c>
      <c r="I4248" s="242">
        <v>20053</v>
      </c>
      <c r="J4248"/>
    </row>
    <row r="4249" spans="1:10">
      <c r="A4249" t="s">
        <v>2577</v>
      </c>
      <c r="B4249">
        <v>815730</v>
      </c>
      <c r="C4249">
        <v>1</v>
      </c>
      <c r="D4249" t="str">
        <f t="shared" si="66"/>
        <v>1815730.140</v>
      </c>
      <c r="E4249" t="s">
        <v>2578</v>
      </c>
      <c r="F4249" s="242"/>
      <c r="G4249"/>
      <c r="H4249" s="242">
        <v>122774</v>
      </c>
      <c r="I4249" s="242">
        <v>103554</v>
      </c>
      <c r="J4249"/>
    </row>
    <row r="4250" spans="1:10">
      <c r="A4250" t="s">
        <v>2579</v>
      </c>
      <c r="B4250">
        <v>815730</v>
      </c>
      <c r="C4250">
        <v>1</v>
      </c>
      <c r="D4250" t="str">
        <f t="shared" si="66"/>
        <v>1815730.181</v>
      </c>
      <c r="E4250" t="s">
        <v>2580</v>
      </c>
      <c r="F4250" s="242"/>
      <c r="G4250"/>
      <c r="H4250" s="242">
        <v>343778</v>
      </c>
      <c r="I4250" s="242">
        <v>288479</v>
      </c>
      <c r="J4250"/>
    </row>
    <row r="4251" spans="1:10">
      <c r="A4251" t="s">
        <v>2581</v>
      </c>
      <c r="B4251">
        <v>815730</v>
      </c>
      <c r="C4251">
        <v>1</v>
      </c>
      <c r="D4251" t="str">
        <f t="shared" si="66"/>
        <v>1815730.182</v>
      </c>
      <c r="E4251" t="s">
        <v>2582</v>
      </c>
      <c r="F4251" s="242"/>
      <c r="G4251"/>
      <c r="H4251" s="242">
        <v>155332</v>
      </c>
      <c r="I4251" s="242">
        <v>130586</v>
      </c>
      <c r="J4251"/>
    </row>
    <row r="4252" spans="1:10">
      <c r="A4252" t="s">
        <v>2403</v>
      </c>
      <c r="B4252">
        <v>815731</v>
      </c>
      <c r="C4252">
        <v>1</v>
      </c>
      <c r="D4252" t="str">
        <f t="shared" si="66"/>
        <v>1815731.110</v>
      </c>
      <c r="E4252" t="s">
        <v>3349</v>
      </c>
      <c r="F4252" s="242"/>
      <c r="G4252"/>
      <c r="H4252" s="242">
        <v>6338752</v>
      </c>
      <c r="I4252" s="242">
        <v>6684369</v>
      </c>
      <c r="J4252"/>
    </row>
    <row r="4253" spans="1:10">
      <c r="A4253" t="s">
        <v>2404</v>
      </c>
      <c r="B4253">
        <v>815731</v>
      </c>
      <c r="C4253">
        <v>1</v>
      </c>
      <c r="D4253" t="str">
        <f t="shared" si="66"/>
        <v>1815731.120</v>
      </c>
      <c r="E4253" t="s">
        <v>2574</v>
      </c>
      <c r="F4253" s="242"/>
      <c r="G4253"/>
      <c r="H4253" s="242">
        <v>334497</v>
      </c>
      <c r="I4253" s="242">
        <v>267408</v>
      </c>
      <c r="J4253"/>
    </row>
    <row r="4254" spans="1:10">
      <c r="A4254" t="s">
        <v>2575</v>
      </c>
      <c r="B4254">
        <v>815731</v>
      </c>
      <c r="C4254">
        <v>1</v>
      </c>
      <c r="D4254" t="str">
        <f t="shared" si="66"/>
        <v>1815731.130</v>
      </c>
      <c r="E4254" t="s">
        <v>2576</v>
      </c>
      <c r="F4254" s="242"/>
      <c r="G4254"/>
      <c r="H4254" s="242">
        <v>0</v>
      </c>
      <c r="I4254" s="242">
        <v>-25</v>
      </c>
      <c r="J4254"/>
    </row>
    <row r="4255" spans="1:10">
      <c r="A4255" t="s">
        <v>2577</v>
      </c>
      <c r="B4255">
        <v>815731</v>
      </c>
      <c r="C4255">
        <v>1</v>
      </c>
      <c r="D4255" t="str">
        <f t="shared" si="66"/>
        <v>1815731.140</v>
      </c>
      <c r="E4255" t="s">
        <v>2578</v>
      </c>
      <c r="F4255" s="242"/>
      <c r="G4255"/>
      <c r="H4255" s="242">
        <v>169391</v>
      </c>
      <c r="I4255" s="242">
        <v>180449</v>
      </c>
      <c r="J4255"/>
    </row>
    <row r="4256" spans="1:10">
      <c r="A4256" t="s">
        <v>2579</v>
      </c>
      <c r="B4256">
        <v>815731</v>
      </c>
      <c r="C4256">
        <v>1</v>
      </c>
      <c r="D4256" t="str">
        <f t="shared" si="66"/>
        <v>1815731.181</v>
      </c>
      <c r="E4256" t="s">
        <v>2580</v>
      </c>
      <c r="F4256" s="242"/>
      <c r="G4256"/>
      <c r="H4256" s="242">
        <v>1765902</v>
      </c>
      <c r="I4256" s="242">
        <v>1832307</v>
      </c>
      <c r="J4256"/>
    </row>
    <row r="4257" spans="1:10">
      <c r="A4257" t="s">
        <v>2581</v>
      </c>
      <c r="B4257">
        <v>815731</v>
      </c>
      <c r="C4257">
        <v>1</v>
      </c>
      <c r="D4257" t="str">
        <f t="shared" si="66"/>
        <v>1815731.182</v>
      </c>
      <c r="E4257" t="s">
        <v>2582</v>
      </c>
      <c r="F4257" s="242"/>
      <c r="G4257"/>
      <c r="H4257" s="242">
        <v>513106</v>
      </c>
      <c r="I4257" s="242">
        <v>538262</v>
      </c>
      <c r="J4257"/>
    </row>
    <row r="4258" spans="1:10">
      <c r="A4258" t="s">
        <v>3350</v>
      </c>
      <c r="B4258">
        <v>815731</v>
      </c>
      <c r="C4258">
        <v>1</v>
      </c>
      <c r="D4258" t="str">
        <f t="shared" si="66"/>
        <v>1815731.289</v>
      </c>
      <c r="E4258" t="s">
        <v>2651</v>
      </c>
      <c r="F4258" s="242"/>
      <c r="G4258"/>
      <c r="H4258" s="242">
        <v>38000</v>
      </c>
      <c r="I4258" s="242">
        <v>33275</v>
      </c>
      <c r="J4258"/>
    </row>
    <row r="4259" spans="1:10">
      <c r="A4259" t="s">
        <v>2652</v>
      </c>
      <c r="B4259">
        <v>815731</v>
      </c>
      <c r="C4259">
        <v>1</v>
      </c>
      <c r="D4259" t="str">
        <f t="shared" si="66"/>
        <v>1815731.420</v>
      </c>
      <c r="E4259" t="s">
        <v>2653</v>
      </c>
      <c r="F4259" s="242"/>
      <c r="G4259"/>
      <c r="H4259" s="242">
        <v>28000</v>
      </c>
      <c r="I4259" s="242">
        <v>28000</v>
      </c>
      <c r="J4259"/>
    </row>
    <row r="4260" spans="1:10">
      <c r="A4260" t="s">
        <v>1663</v>
      </c>
      <c r="B4260">
        <v>815731</v>
      </c>
      <c r="C4260">
        <v>1</v>
      </c>
      <c r="D4260" t="str">
        <f t="shared" si="66"/>
        <v>1815731.431</v>
      </c>
      <c r="E4260" t="s">
        <v>2654</v>
      </c>
      <c r="F4260" s="242"/>
      <c r="G4260"/>
      <c r="H4260" s="242">
        <v>268800</v>
      </c>
      <c r="I4260" s="242">
        <v>295388</v>
      </c>
      <c r="J4260"/>
    </row>
    <row r="4261" spans="1:10">
      <c r="A4261" t="s">
        <v>1668</v>
      </c>
      <c r="B4261">
        <v>815731</v>
      </c>
      <c r="C4261">
        <v>1</v>
      </c>
      <c r="D4261" t="str">
        <f t="shared" si="66"/>
        <v>1815731.432</v>
      </c>
      <c r="E4261" t="s">
        <v>2687</v>
      </c>
      <c r="F4261" s="242"/>
      <c r="G4261"/>
      <c r="H4261" s="242">
        <v>61300</v>
      </c>
      <c r="I4261" s="242">
        <v>71383</v>
      </c>
      <c r="J4261"/>
    </row>
    <row r="4262" spans="1:10">
      <c r="A4262" t="s">
        <v>1678</v>
      </c>
      <c r="B4262">
        <v>815731</v>
      </c>
      <c r="C4262">
        <v>1</v>
      </c>
      <c r="D4262" t="str">
        <f t="shared" si="66"/>
        <v>1815731.434</v>
      </c>
      <c r="E4262" t="s">
        <v>2753</v>
      </c>
      <c r="F4262" s="242"/>
      <c r="G4262"/>
      <c r="H4262" s="242">
        <v>540000</v>
      </c>
      <c r="I4262" s="242">
        <v>454948</v>
      </c>
      <c r="J4262"/>
    </row>
    <row r="4263" spans="1:10">
      <c r="A4263" t="s">
        <v>2606</v>
      </c>
      <c r="B4263">
        <v>815731</v>
      </c>
      <c r="C4263">
        <v>1</v>
      </c>
      <c r="D4263" t="str">
        <f t="shared" si="66"/>
        <v>1815731.440</v>
      </c>
      <c r="E4263" t="s">
        <v>2657</v>
      </c>
      <c r="F4263" s="242"/>
      <c r="G4263"/>
      <c r="H4263" s="242">
        <v>17700</v>
      </c>
      <c r="I4263" s="242">
        <v>17060</v>
      </c>
      <c r="J4263"/>
    </row>
    <row r="4264" spans="1:10">
      <c r="A4264" t="s">
        <v>547</v>
      </c>
      <c r="B4264">
        <v>815731</v>
      </c>
      <c r="C4264">
        <v>1</v>
      </c>
      <c r="D4264" t="str">
        <f t="shared" si="66"/>
        <v>1815731.722</v>
      </c>
      <c r="E4264" t="s">
        <v>3020</v>
      </c>
      <c r="F4264" s="242"/>
      <c r="G4264"/>
      <c r="H4264" s="242">
        <v>100</v>
      </c>
      <c r="I4264" s="242">
        <v>10000</v>
      </c>
      <c r="J4264"/>
    </row>
    <row r="4265" spans="1:10">
      <c r="A4265" t="s">
        <v>575</v>
      </c>
      <c r="B4265">
        <v>815731</v>
      </c>
      <c r="C4265">
        <v>1</v>
      </c>
      <c r="D4265" t="str">
        <f t="shared" si="66"/>
        <v>1815731.726</v>
      </c>
      <c r="E4265" t="s">
        <v>3090</v>
      </c>
      <c r="F4265" s="242"/>
      <c r="G4265"/>
      <c r="H4265" s="242">
        <v>49267</v>
      </c>
      <c r="I4265" s="242">
        <v>49033</v>
      </c>
      <c r="J4265"/>
    </row>
    <row r="4266" spans="1:10">
      <c r="A4266" t="s">
        <v>673</v>
      </c>
      <c r="B4266">
        <v>815731</v>
      </c>
      <c r="C4266">
        <v>1</v>
      </c>
      <c r="D4266" t="str">
        <f t="shared" si="66"/>
        <v>1815731.743</v>
      </c>
      <c r="E4266" t="s">
        <v>2622</v>
      </c>
      <c r="F4266" s="242"/>
      <c r="G4266"/>
      <c r="H4266" s="242">
        <v>4000</v>
      </c>
      <c r="I4266" s="242">
        <v>4000</v>
      </c>
      <c r="J4266"/>
    </row>
    <row r="4267" spans="1:10">
      <c r="A4267" t="s">
        <v>762</v>
      </c>
      <c r="B4267">
        <v>815731</v>
      </c>
      <c r="C4267">
        <v>1</v>
      </c>
      <c r="D4267" t="str">
        <f t="shared" si="66"/>
        <v>1815731.749</v>
      </c>
      <c r="E4267" t="s">
        <v>3386</v>
      </c>
      <c r="F4267" s="242"/>
      <c r="G4267"/>
      <c r="H4267" s="242">
        <v>4500</v>
      </c>
      <c r="I4267" s="242">
        <v>4500</v>
      </c>
      <c r="J4267"/>
    </row>
    <row r="4268" spans="1:10">
      <c r="A4268" t="s">
        <v>772</v>
      </c>
      <c r="B4268">
        <v>815731</v>
      </c>
      <c r="C4268">
        <v>1</v>
      </c>
      <c r="D4268" t="str">
        <f t="shared" si="66"/>
        <v>1815731.751</v>
      </c>
      <c r="E4268" t="s">
        <v>3091</v>
      </c>
      <c r="F4268" s="242"/>
      <c r="G4268"/>
      <c r="H4268" s="242">
        <v>12000</v>
      </c>
      <c r="I4268" s="242">
        <v>12000</v>
      </c>
      <c r="J4268"/>
    </row>
    <row r="4269" spans="1:10">
      <c r="A4269" t="s">
        <v>781</v>
      </c>
      <c r="B4269">
        <v>815731</v>
      </c>
      <c r="C4269">
        <v>1</v>
      </c>
      <c r="D4269" t="str">
        <f t="shared" si="66"/>
        <v>1815731.753</v>
      </c>
      <c r="E4269" t="s">
        <v>3353</v>
      </c>
      <c r="F4269" s="242"/>
      <c r="G4269"/>
      <c r="H4269" s="242">
        <v>14040</v>
      </c>
      <c r="I4269" s="242">
        <v>14040</v>
      </c>
      <c r="J4269"/>
    </row>
    <row r="4270" spans="1:10">
      <c r="A4270" t="s">
        <v>2603</v>
      </c>
      <c r="B4270">
        <v>815731</v>
      </c>
      <c r="C4270">
        <v>1</v>
      </c>
      <c r="D4270" t="str">
        <f t="shared" si="66"/>
        <v>1815731.759</v>
      </c>
      <c r="E4270" t="s">
        <v>3155</v>
      </c>
      <c r="F4270" s="242"/>
      <c r="G4270"/>
      <c r="H4270" s="242">
        <v>13299</v>
      </c>
      <c r="I4270" s="242">
        <v>12670</v>
      </c>
      <c r="J4270"/>
    </row>
    <row r="4271" spans="1:10">
      <c r="A4271" t="s">
        <v>2759</v>
      </c>
      <c r="B4271">
        <v>815731</v>
      </c>
      <c r="C4271">
        <v>1</v>
      </c>
      <c r="D4271" t="str">
        <f t="shared" si="66"/>
        <v>1815731.760</v>
      </c>
      <c r="E4271" t="s">
        <v>3387</v>
      </c>
      <c r="F4271" s="242"/>
      <c r="G4271"/>
      <c r="H4271" s="242">
        <v>1300000</v>
      </c>
      <c r="I4271" s="242">
        <v>1372957</v>
      </c>
      <c r="J4271"/>
    </row>
    <row r="4272" spans="1:10">
      <c r="A4272" t="s">
        <v>801</v>
      </c>
      <c r="B4272">
        <v>815731</v>
      </c>
      <c r="C4272">
        <v>1</v>
      </c>
      <c r="D4272" t="str">
        <f t="shared" si="66"/>
        <v>1815731.761</v>
      </c>
      <c r="E4272" t="s">
        <v>3388</v>
      </c>
      <c r="F4272" s="242"/>
      <c r="G4272"/>
      <c r="H4272" s="242">
        <v>188431</v>
      </c>
      <c r="I4272" s="242">
        <v>0</v>
      </c>
      <c r="J4272"/>
    </row>
    <row r="4273" spans="1:10">
      <c r="A4273" t="s">
        <v>877</v>
      </c>
      <c r="B4273">
        <v>815731</v>
      </c>
      <c r="C4273">
        <v>1</v>
      </c>
      <c r="D4273" t="str">
        <f t="shared" si="66"/>
        <v>1815731.782</v>
      </c>
      <c r="E4273" t="s">
        <v>3389</v>
      </c>
      <c r="F4273" s="242"/>
      <c r="G4273"/>
      <c r="H4273" s="242">
        <v>76000</v>
      </c>
      <c r="I4273" s="242">
        <v>39396</v>
      </c>
      <c r="J4273"/>
    </row>
    <row r="4274" spans="1:10">
      <c r="A4274" t="s">
        <v>2674</v>
      </c>
      <c r="B4274">
        <v>815731</v>
      </c>
      <c r="C4274">
        <v>1</v>
      </c>
      <c r="D4274" t="str">
        <f t="shared" si="66"/>
        <v>1815731.783</v>
      </c>
      <c r="E4274" t="s">
        <v>3390</v>
      </c>
      <c r="F4274" s="242"/>
      <c r="G4274"/>
      <c r="H4274" s="242">
        <v>100</v>
      </c>
      <c r="I4274" s="242">
        <v>0</v>
      </c>
      <c r="J4274"/>
    </row>
    <row r="4275" spans="1:10">
      <c r="A4275" t="s">
        <v>2676</v>
      </c>
      <c r="B4275">
        <v>815731</v>
      </c>
      <c r="C4275">
        <v>1</v>
      </c>
      <c r="D4275" t="str">
        <f t="shared" si="66"/>
        <v>1815731.784</v>
      </c>
      <c r="E4275" t="s">
        <v>3095</v>
      </c>
      <c r="F4275" s="242"/>
      <c r="G4275"/>
      <c r="H4275" s="242">
        <v>153500</v>
      </c>
      <c r="I4275" s="242">
        <v>148460</v>
      </c>
      <c r="J4275"/>
    </row>
    <row r="4276" spans="1:10">
      <c r="A4276" t="s">
        <v>2850</v>
      </c>
      <c r="B4276">
        <v>815731</v>
      </c>
      <c r="C4276">
        <v>1</v>
      </c>
      <c r="D4276" t="str">
        <f t="shared" si="66"/>
        <v>1815731.786</v>
      </c>
      <c r="E4276" t="s">
        <v>3337</v>
      </c>
      <c r="F4276" s="242"/>
      <c r="G4276"/>
      <c r="H4276" s="242">
        <v>10296</v>
      </c>
      <c r="I4276" s="242">
        <v>11604</v>
      </c>
      <c r="J4276"/>
    </row>
    <row r="4277" spans="1:10">
      <c r="A4277" t="s">
        <v>586</v>
      </c>
      <c r="B4277">
        <v>815732</v>
      </c>
      <c r="C4277">
        <v>1</v>
      </c>
      <c r="D4277" t="str">
        <f t="shared" si="66"/>
        <v>1815732.727</v>
      </c>
      <c r="E4277" t="s">
        <v>3162</v>
      </c>
      <c r="F4277" s="242"/>
      <c r="G4277"/>
      <c r="H4277" s="242">
        <v>2000</v>
      </c>
      <c r="I4277" s="242">
        <v>400</v>
      </c>
      <c r="J4277"/>
    </row>
    <row r="4278" spans="1:10">
      <c r="A4278" t="s">
        <v>558</v>
      </c>
      <c r="B4278">
        <v>815733</v>
      </c>
      <c r="C4278">
        <v>1</v>
      </c>
      <c r="D4278" t="str">
        <f t="shared" si="66"/>
        <v>1815733.723</v>
      </c>
      <c r="E4278" t="s">
        <v>3323</v>
      </c>
      <c r="F4278" s="242"/>
      <c r="G4278"/>
      <c r="H4278" s="242">
        <v>5707</v>
      </c>
      <c r="I4278" s="242">
        <v>5592</v>
      </c>
      <c r="J4278"/>
    </row>
    <row r="4279" spans="1:10">
      <c r="A4279" t="s">
        <v>542</v>
      </c>
      <c r="B4279">
        <v>815734</v>
      </c>
      <c r="C4279">
        <v>1</v>
      </c>
      <c r="D4279" t="str">
        <f t="shared" si="66"/>
        <v>1815734.721</v>
      </c>
      <c r="E4279" t="s">
        <v>3149</v>
      </c>
      <c r="F4279" s="242"/>
      <c r="G4279"/>
      <c r="H4279" s="242">
        <v>13542</v>
      </c>
      <c r="I4279" s="242">
        <v>15808</v>
      </c>
      <c r="J4279"/>
    </row>
    <row r="4280" spans="1:10">
      <c r="A4280" t="s">
        <v>2579</v>
      </c>
      <c r="B4280">
        <v>815741</v>
      </c>
      <c r="C4280">
        <v>1</v>
      </c>
      <c r="D4280" t="str">
        <f t="shared" si="66"/>
        <v>1815741.181</v>
      </c>
      <c r="E4280" t="s">
        <v>2580</v>
      </c>
      <c r="F4280" s="242"/>
      <c r="G4280"/>
      <c r="H4280" s="242">
        <v>0</v>
      </c>
      <c r="I4280" s="242">
        <v>0</v>
      </c>
      <c r="J4280"/>
    </row>
    <row r="4281" spans="1:10">
      <c r="A4281" t="s">
        <v>2581</v>
      </c>
      <c r="B4281">
        <v>815741</v>
      </c>
      <c r="C4281">
        <v>1</v>
      </c>
      <c r="D4281" t="str">
        <f t="shared" si="66"/>
        <v>1815741.182</v>
      </c>
      <c r="E4281" t="s">
        <v>2582</v>
      </c>
      <c r="F4281" s="242"/>
      <c r="G4281"/>
      <c r="H4281" s="242">
        <v>0</v>
      </c>
      <c r="I4281" s="242">
        <v>0</v>
      </c>
      <c r="J4281"/>
    </row>
    <row r="4282" spans="1:10">
      <c r="A4282" t="s">
        <v>2577</v>
      </c>
      <c r="B4282">
        <v>815750</v>
      </c>
      <c r="C4282">
        <v>1</v>
      </c>
      <c r="D4282" t="str">
        <f t="shared" si="66"/>
        <v>1815750.140</v>
      </c>
      <c r="E4282" t="s">
        <v>2578</v>
      </c>
      <c r="F4282" s="242"/>
      <c r="G4282"/>
      <c r="H4282" s="242">
        <v>0</v>
      </c>
      <c r="I4282" s="242">
        <v>4</v>
      </c>
      <c r="J4282"/>
    </row>
    <row r="4283" spans="1:10">
      <c r="A4283" t="s">
        <v>2403</v>
      </c>
      <c r="B4283">
        <v>815751</v>
      </c>
      <c r="C4283">
        <v>1</v>
      </c>
      <c r="D4283" t="str">
        <f t="shared" si="66"/>
        <v>1815751.110</v>
      </c>
      <c r="E4283" t="s">
        <v>3359</v>
      </c>
      <c r="F4283" s="242"/>
      <c r="G4283"/>
      <c r="H4283" s="242">
        <v>547666</v>
      </c>
      <c r="I4283" s="242">
        <v>569218</v>
      </c>
      <c r="J4283"/>
    </row>
    <row r="4284" spans="1:10">
      <c r="A4284" t="s">
        <v>2404</v>
      </c>
      <c r="B4284">
        <v>815751</v>
      </c>
      <c r="C4284">
        <v>1</v>
      </c>
      <c r="D4284" t="str">
        <f t="shared" si="66"/>
        <v>1815751.120</v>
      </c>
      <c r="E4284" t="s">
        <v>2574</v>
      </c>
      <c r="F4284" s="242"/>
      <c r="G4284"/>
      <c r="H4284" s="242">
        <v>17296</v>
      </c>
      <c r="I4284" s="242">
        <v>18740</v>
      </c>
      <c r="J4284"/>
    </row>
    <row r="4285" spans="1:10">
      <c r="A4285" t="s">
        <v>2577</v>
      </c>
      <c r="B4285">
        <v>815751</v>
      </c>
      <c r="C4285">
        <v>1</v>
      </c>
      <c r="D4285" t="str">
        <f t="shared" si="66"/>
        <v>1815751.140</v>
      </c>
      <c r="E4285" t="s">
        <v>2578</v>
      </c>
      <c r="F4285" s="242"/>
      <c r="G4285"/>
      <c r="H4285" s="242">
        <v>18231</v>
      </c>
      <c r="I4285" s="242">
        <v>17580</v>
      </c>
      <c r="J4285"/>
    </row>
    <row r="4286" spans="1:10">
      <c r="A4286" t="s">
        <v>2579</v>
      </c>
      <c r="B4286">
        <v>815751</v>
      </c>
      <c r="C4286">
        <v>1</v>
      </c>
      <c r="D4286" t="str">
        <f t="shared" si="66"/>
        <v>1815751.181</v>
      </c>
      <c r="E4286" t="s">
        <v>2580</v>
      </c>
      <c r="F4286" s="242"/>
      <c r="G4286"/>
      <c r="H4286" s="242">
        <v>156078</v>
      </c>
      <c r="I4286" s="242">
        <v>158894</v>
      </c>
      <c r="J4286"/>
    </row>
    <row r="4287" spans="1:10">
      <c r="A4287" t="s">
        <v>2581</v>
      </c>
      <c r="B4287">
        <v>815751</v>
      </c>
      <c r="C4287">
        <v>1</v>
      </c>
      <c r="D4287" t="str">
        <f t="shared" si="66"/>
        <v>1815751.182</v>
      </c>
      <c r="E4287" t="s">
        <v>2582</v>
      </c>
      <c r="F4287" s="242"/>
      <c r="G4287"/>
      <c r="H4287" s="242">
        <v>44139</v>
      </c>
      <c r="I4287" s="242">
        <v>45815</v>
      </c>
      <c r="J4287"/>
    </row>
    <row r="4288" spans="1:10">
      <c r="A4288" t="s">
        <v>3350</v>
      </c>
      <c r="B4288">
        <v>815751</v>
      </c>
      <c r="C4288">
        <v>1</v>
      </c>
      <c r="D4288" t="str">
        <f t="shared" si="66"/>
        <v>1815751.289</v>
      </c>
      <c r="E4288" t="s">
        <v>2651</v>
      </c>
      <c r="F4288" s="242"/>
      <c r="G4288"/>
      <c r="H4288" s="242">
        <v>3200</v>
      </c>
      <c r="I4288" s="242">
        <v>2750</v>
      </c>
      <c r="J4288"/>
    </row>
    <row r="4289" spans="1:10">
      <c r="A4289" t="s">
        <v>1668</v>
      </c>
      <c r="B4289">
        <v>815751</v>
      </c>
      <c r="C4289">
        <v>1</v>
      </c>
      <c r="D4289" t="str">
        <f t="shared" si="66"/>
        <v>1815751.432</v>
      </c>
      <c r="E4289" t="s">
        <v>2687</v>
      </c>
      <c r="F4289" s="242"/>
      <c r="G4289"/>
      <c r="H4289" s="242">
        <v>114300</v>
      </c>
      <c r="I4289" s="242">
        <v>120925</v>
      </c>
      <c r="J4289"/>
    </row>
    <row r="4290" spans="1:10">
      <c r="A4290" t="s">
        <v>2606</v>
      </c>
      <c r="B4290">
        <v>815751</v>
      </c>
      <c r="C4290">
        <v>1</v>
      </c>
      <c r="D4290" t="str">
        <f t="shared" si="66"/>
        <v>1815751.440</v>
      </c>
      <c r="E4290" t="s">
        <v>2657</v>
      </c>
      <c r="F4290" s="242"/>
      <c r="G4290"/>
      <c r="H4290" s="242">
        <v>8600</v>
      </c>
      <c r="I4290" s="242">
        <v>8329</v>
      </c>
      <c r="J4290"/>
    </row>
    <row r="4291" spans="1:10">
      <c r="A4291" t="s">
        <v>547</v>
      </c>
      <c r="B4291">
        <v>815751</v>
      </c>
      <c r="C4291">
        <v>1</v>
      </c>
      <c r="D4291" t="str">
        <f t="shared" ref="D4291:D4354" si="67">C4291&amp;B4291&amp;"."&amp;A4291</f>
        <v>1815751.722</v>
      </c>
      <c r="E4291" t="s">
        <v>3020</v>
      </c>
      <c r="F4291" s="242"/>
      <c r="G4291"/>
      <c r="H4291" s="242">
        <v>100</v>
      </c>
      <c r="I4291" s="242">
        <v>0</v>
      </c>
      <c r="J4291"/>
    </row>
    <row r="4292" spans="1:10">
      <c r="A4292" t="s">
        <v>2632</v>
      </c>
      <c r="B4292">
        <v>815751</v>
      </c>
      <c r="C4292">
        <v>1</v>
      </c>
      <c r="D4292" t="str">
        <f t="shared" si="67"/>
        <v>1815751.780</v>
      </c>
      <c r="E4292" t="s">
        <v>3360</v>
      </c>
      <c r="F4292" s="242"/>
      <c r="G4292"/>
      <c r="H4292" s="242">
        <v>600000</v>
      </c>
      <c r="I4292" s="242">
        <v>600000</v>
      </c>
      <c r="J4292"/>
    </row>
    <row r="4293" spans="1:10">
      <c r="A4293" t="s">
        <v>877</v>
      </c>
      <c r="B4293">
        <v>815751</v>
      </c>
      <c r="C4293">
        <v>1</v>
      </c>
      <c r="D4293" t="str">
        <f t="shared" si="67"/>
        <v>1815751.782</v>
      </c>
      <c r="E4293" t="s">
        <v>3361</v>
      </c>
      <c r="F4293" s="242"/>
      <c r="G4293"/>
      <c r="H4293" s="242">
        <v>19000</v>
      </c>
      <c r="I4293" s="242">
        <v>0</v>
      </c>
      <c r="J4293"/>
    </row>
    <row r="4294" spans="1:10">
      <c r="A4294" t="s">
        <v>872</v>
      </c>
      <c r="B4294">
        <v>815751</v>
      </c>
      <c r="C4294">
        <v>1</v>
      </c>
      <c r="D4294" t="str">
        <f t="shared" si="67"/>
        <v>1815751.781</v>
      </c>
      <c r="E4294" t="s">
        <v>3365</v>
      </c>
      <c r="F4294" s="242"/>
      <c r="G4294"/>
      <c r="H4294" s="242">
        <v>0</v>
      </c>
      <c r="I4294" s="242">
        <v>150000</v>
      </c>
      <c r="J4294"/>
    </row>
    <row r="4295" spans="1:10">
      <c r="A4295" t="s">
        <v>2403</v>
      </c>
      <c r="B4295">
        <v>815760</v>
      </c>
      <c r="C4295">
        <v>1</v>
      </c>
      <c r="D4295" t="str">
        <f t="shared" si="67"/>
        <v>1815760.110</v>
      </c>
      <c r="E4295" t="s">
        <v>3399</v>
      </c>
      <c r="F4295" s="242"/>
      <c r="G4295"/>
      <c r="H4295" s="242">
        <v>2205512</v>
      </c>
      <c r="I4295" s="242">
        <v>1986375</v>
      </c>
      <c r="J4295"/>
    </row>
    <row r="4296" spans="1:10">
      <c r="A4296" t="s">
        <v>2404</v>
      </c>
      <c r="B4296">
        <v>815760</v>
      </c>
      <c r="C4296">
        <v>1</v>
      </c>
      <c r="D4296" t="str">
        <f t="shared" si="67"/>
        <v>1815760.120</v>
      </c>
      <c r="E4296" t="s">
        <v>2574</v>
      </c>
      <c r="F4296" s="242"/>
      <c r="G4296"/>
      <c r="H4296" s="242">
        <v>347165</v>
      </c>
      <c r="I4296" s="242">
        <v>315206</v>
      </c>
      <c r="J4296"/>
    </row>
    <row r="4297" spans="1:10">
      <c r="A4297" t="s">
        <v>2575</v>
      </c>
      <c r="B4297">
        <v>815760</v>
      </c>
      <c r="C4297">
        <v>1</v>
      </c>
      <c r="D4297" t="str">
        <f t="shared" si="67"/>
        <v>1815760.130</v>
      </c>
      <c r="E4297" t="s">
        <v>2576</v>
      </c>
      <c r="F4297" s="242"/>
      <c r="G4297"/>
      <c r="H4297" s="242">
        <v>31683</v>
      </c>
      <c r="I4297" s="242">
        <v>16454</v>
      </c>
      <c r="J4297"/>
    </row>
    <row r="4298" spans="1:10">
      <c r="A4298" t="s">
        <v>2577</v>
      </c>
      <c r="B4298">
        <v>815760</v>
      </c>
      <c r="C4298">
        <v>1</v>
      </c>
      <c r="D4298" t="str">
        <f t="shared" si="67"/>
        <v>1815760.140</v>
      </c>
      <c r="E4298" t="s">
        <v>2578</v>
      </c>
      <c r="F4298" s="242"/>
      <c r="G4298"/>
      <c r="H4298" s="242">
        <v>111554</v>
      </c>
      <c r="I4298" s="242">
        <v>97306</v>
      </c>
      <c r="J4298"/>
    </row>
    <row r="4299" spans="1:10">
      <c r="A4299" t="s">
        <v>2579</v>
      </c>
      <c r="B4299">
        <v>815760</v>
      </c>
      <c r="C4299">
        <v>1</v>
      </c>
      <c r="D4299" t="str">
        <f t="shared" si="67"/>
        <v>1815760.181</v>
      </c>
      <c r="E4299" t="s">
        <v>2580</v>
      </c>
      <c r="F4299" s="242"/>
      <c r="G4299"/>
      <c r="H4299" s="242">
        <v>421696</v>
      </c>
      <c r="I4299" s="242">
        <v>377227</v>
      </c>
      <c r="J4299"/>
    </row>
    <row r="4300" spans="1:10">
      <c r="A4300" t="s">
        <v>2581</v>
      </c>
      <c r="B4300">
        <v>815760</v>
      </c>
      <c r="C4300">
        <v>1</v>
      </c>
      <c r="D4300" t="str">
        <f t="shared" si="67"/>
        <v>1815760.182</v>
      </c>
      <c r="E4300" t="s">
        <v>2582</v>
      </c>
      <c r="F4300" s="242"/>
      <c r="G4300"/>
      <c r="H4300" s="242">
        <v>201893</v>
      </c>
      <c r="I4300" s="242">
        <v>181058</v>
      </c>
      <c r="J4300"/>
    </row>
    <row r="4301" spans="1:10">
      <c r="A4301" t="s">
        <v>2403</v>
      </c>
      <c r="B4301">
        <v>815761</v>
      </c>
      <c r="C4301">
        <v>1</v>
      </c>
      <c r="D4301" t="str">
        <f t="shared" si="67"/>
        <v>1815761.110</v>
      </c>
      <c r="E4301" t="s">
        <v>3349</v>
      </c>
      <c r="F4301" s="242"/>
      <c r="G4301"/>
      <c r="H4301" s="242">
        <v>7262229</v>
      </c>
      <c r="I4301" s="242">
        <v>7121808</v>
      </c>
      <c r="J4301"/>
    </row>
    <row r="4302" spans="1:10">
      <c r="A4302" t="s">
        <v>2404</v>
      </c>
      <c r="B4302">
        <v>815761</v>
      </c>
      <c r="C4302">
        <v>1</v>
      </c>
      <c r="D4302" t="str">
        <f t="shared" si="67"/>
        <v>1815761.120</v>
      </c>
      <c r="E4302" t="s">
        <v>2574</v>
      </c>
      <c r="F4302" s="242"/>
      <c r="G4302"/>
      <c r="H4302" s="242">
        <v>494070</v>
      </c>
      <c r="I4302" s="242">
        <v>339983</v>
      </c>
      <c r="J4302"/>
    </row>
    <row r="4303" spans="1:10">
      <c r="A4303" t="s">
        <v>2575</v>
      </c>
      <c r="B4303">
        <v>815761</v>
      </c>
      <c r="C4303">
        <v>1</v>
      </c>
      <c r="D4303" t="str">
        <f t="shared" si="67"/>
        <v>1815761.130</v>
      </c>
      <c r="E4303" t="s">
        <v>2576</v>
      </c>
      <c r="F4303" s="242"/>
      <c r="G4303"/>
      <c r="H4303" s="242">
        <v>3021</v>
      </c>
      <c r="I4303" s="242">
        <v>1681</v>
      </c>
      <c r="J4303"/>
    </row>
    <row r="4304" spans="1:10">
      <c r="A4304" t="s">
        <v>2577</v>
      </c>
      <c r="B4304">
        <v>815761</v>
      </c>
      <c r="C4304">
        <v>1</v>
      </c>
      <c r="D4304" t="str">
        <f t="shared" si="67"/>
        <v>1815761.140</v>
      </c>
      <c r="E4304" t="s">
        <v>2578</v>
      </c>
      <c r="F4304" s="242"/>
      <c r="G4304"/>
      <c r="H4304" s="242">
        <v>294756</v>
      </c>
      <c r="I4304" s="242">
        <v>270982</v>
      </c>
      <c r="J4304"/>
    </row>
    <row r="4305" spans="1:10">
      <c r="A4305" t="s">
        <v>2579</v>
      </c>
      <c r="B4305">
        <v>815761</v>
      </c>
      <c r="C4305">
        <v>1</v>
      </c>
      <c r="D4305" t="str">
        <f t="shared" si="67"/>
        <v>1815761.181</v>
      </c>
      <c r="E4305" t="s">
        <v>2580</v>
      </c>
      <c r="F4305" s="242"/>
      <c r="G4305"/>
      <c r="H4305" s="242">
        <v>2009904</v>
      </c>
      <c r="I4305" s="242">
        <v>1937828</v>
      </c>
      <c r="J4305"/>
    </row>
    <row r="4306" spans="1:10">
      <c r="A4306" t="s">
        <v>2581</v>
      </c>
      <c r="B4306">
        <v>815761</v>
      </c>
      <c r="C4306">
        <v>1</v>
      </c>
      <c r="D4306" t="str">
        <f t="shared" si="67"/>
        <v>1815761.182</v>
      </c>
      <c r="E4306" t="s">
        <v>2582</v>
      </c>
      <c r="F4306" s="242"/>
      <c r="G4306"/>
      <c r="H4306" s="242">
        <v>602038</v>
      </c>
      <c r="I4306" s="242">
        <v>584903</v>
      </c>
      <c r="J4306"/>
    </row>
    <row r="4307" spans="1:10">
      <c r="A4307" t="s">
        <v>3350</v>
      </c>
      <c r="B4307">
        <v>815761</v>
      </c>
      <c r="C4307">
        <v>1</v>
      </c>
      <c r="D4307" t="str">
        <f t="shared" si="67"/>
        <v>1815761.289</v>
      </c>
      <c r="E4307" t="s">
        <v>2651</v>
      </c>
      <c r="F4307" s="242"/>
      <c r="G4307"/>
      <c r="H4307" s="242">
        <v>50000</v>
      </c>
      <c r="I4307" s="242">
        <v>42900</v>
      </c>
      <c r="J4307"/>
    </row>
    <row r="4308" spans="1:10">
      <c r="A4308" t="s">
        <v>2652</v>
      </c>
      <c r="B4308">
        <v>815761</v>
      </c>
      <c r="C4308">
        <v>1</v>
      </c>
      <c r="D4308" t="str">
        <f t="shared" si="67"/>
        <v>1815761.420</v>
      </c>
      <c r="E4308" t="s">
        <v>2653</v>
      </c>
      <c r="F4308" s="242"/>
      <c r="G4308"/>
      <c r="H4308" s="242">
        <v>28000</v>
      </c>
      <c r="I4308" s="242">
        <v>28000</v>
      </c>
      <c r="J4308"/>
    </row>
    <row r="4309" spans="1:10">
      <c r="A4309" t="s">
        <v>1663</v>
      </c>
      <c r="B4309">
        <v>815761</v>
      </c>
      <c r="C4309">
        <v>1</v>
      </c>
      <c r="D4309" t="str">
        <f t="shared" si="67"/>
        <v>1815761.431</v>
      </c>
      <c r="E4309" t="s">
        <v>2654</v>
      </c>
      <c r="F4309" s="242"/>
      <c r="G4309"/>
      <c r="H4309" s="242">
        <v>351400</v>
      </c>
      <c r="I4309" s="242">
        <v>364105</v>
      </c>
      <c r="J4309"/>
    </row>
    <row r="4310" spans="1:10">
      <c r="A4310" t="s">
        <v>1668</v>
      </c>
      <c r="B4310">
        <v>815761</v>
      </c>
      <c r="C4310">
        <v>1</v>
      </c>
      <c r="D4310" t="str">
        <f t="shared" si="67"/>
        <v>1815761.432</v>
      </c>
      <c r="E4310" t="s">
        <v>2687</v>
      </c>
      <c r="F4310" s="242"/>
      <c r="G4310"/>
      <c r="H4310" s="242">
        <v>151200</v>
      </c>
      <c r="I4310" s="242">
        <v>212476</v>
      </c>
      <c r="J4310"/>
    </row>
    <row r="4311" spans="1:10">
      <c r="A4311" t="s">
        <v>1678</v>
      </c>
      <c r="B4311">
        <v>815761</v>
      </c>
      <c r="C4311">
        <v>1</v>
      </c>
      <c r="D4311" t="str">
        <f t="shared" si="67"/>
        <v>1815761.434</v>
      </c>
      <c r="E4311" t="s">
        <v>2753</v>
      </c>
      <c r="F4311" s="242"/>
      <c r="G4311"/>
      <c r="H4311" s="242">
        <v>460000</v>
      </c>
      <c r="I4311" s="242">
        <v>387297</v>
      </c>
      <c r="J4311"/>
    </row>
    <row r="4312" spans="1:10">
      <c r="A4312" t="s">
        <v>2606</v>
      </c>
      <c r="B4312">
        <v>815761</v>
      </c>
      <c r="C4312">
        <v>1</v>
      </c>
      <c r="D4312" t="str">
        <f t="shared" si="67"/>
        <v>1815761.440</v>
      </c>
      <c r="E4312" t="s">
        <v>2657</v>
      </c>
      <c r="F4312" s="242"/>
      <c r="G4312"/>
      <c r="H4312" s="242">
        <v>17700</v>
      </c>
      <c r="I4312" s="242">
        <v>17060</v>
      </c>
      <c r="J4312"/>
    </row>
    <row r="4313" spans="1:10">
      <c r="A4313" t="s">
        <v>547</v>
      </c>
      <c r="B4313">
        <v>815761</v>
      </c>
      <c r="C4313">
        <v>1</v>
      </c>
      <c r="D4313" t="str">
        <f t="shared" si="67"/>
        <v>1815761.722</v>
      </c>
      <c r="E4313" t="s">
        <v>3400</v>
      </c>
      <c r="F4313" s="242"/>
      <c r="G4313"/>
      <c r="H4313" s="242">
        <v>100</v>
      </c>
      <c r="I4313" s="242">
        <v>4500</v>
      </c>
      <c r="J4313"/>
    </row>
    <row r="4314" spans="1:10">
      <c r="A4314" t="s">
        <v>591</v>
      </c>
      <c r="B4314">
        <v>815761</v>
      </c>
      <c r="C4314">
        <v>1</v>
      </c>
      <c r="D4314" t="str">
        <f t="shared" si="67"/>
        <v>1815761.729</v>
      </c>
      <c r="E4314" t="s">
        <v>3336</v>
      </c>
      <c r="F4314" s="242"/>
      <c r="G4314"/>
      <c r="H4314" s="242">
        <v>73620</v>
      </c>
      <c r="I4314" s="242">
        <v>77771</v>
      </c>
      <c r="J4314"/>
    </row>
    <row r="4315" spans="1:10">
      <c r="A4315" t="s">
        <v>673</v>
      </c>
      <c r="B4315">
        <v>815761</v>
      </c>
      <c r="C4315">
        <v>1</v>
      </c>
      <c r="D4315" t="str">
        <f t="shared" si="67"/>
        <v>1815761.743</v>
      </c>
      <c r="E4315" t="s">
        <v>2622</v>
      </c>
      <c r="F4315" s="242"/>
      <c r="G4315"/>
      <c r="H4315" s="242">
        <v>4000</v>
      </c>
      <c r="I4315" s="242">
        <v>4000</v>
      </c>
      <c r="J4315"/>
    </row>
    <row r="4316" spans="1:10">
      <c r="A4316" t="s">
        <v>772</v>
      </c>
      <c r="B4316">
        <v>815761</v>
      </c>
      <c r="C4316">
        <v>1</v>
      </c>
      <c r="D4316" t="str">
        <f t="shared" si="67"/>
        <v>1815761.751</v>
      </c>
      <c r="E4316" t="s">
        <v>3091</v>
      </c>
      <c r="F4316" s="242"/>
      <c r="G4316"/>
      <c r="H4316" s="242">
        <v>12000</v>
      </c>
      <c r="I4316" s="242">
        <v>12000</v>
      </c>
      <c r="J4316"/>
    </row>
    <row r="4317" spans="1:10">
      <c r="A4317" t="s">
        <v>781</v>
      </c>
      <c r="B4317">
        <v>815761</v>
      </c>
      <c r="C4317">
        <v>1</v>
      </c>
      <c r="D4317" t="str">
        <f t="shared" si="67"/>
        <v>1815761.753</v>
      </c>
      <c r="E4317" t="s">
        <v>3353</v>
      </c>
      <c r="F4317" s="242"/>
      <c r="G4317"/>
      <c r="H4317" s="242">
        <v>14040</v>
      </c>
      <c r="I4317" s="242">
        <v>14040</v>
      </c>
      <c r="J4317"/>
    </row>
    <row r="4318" spans="1:10">
      <c r="A4318" t="s">
        <v>2759</v>
      </c>
      <c r="B4318">
        <v>815761</v>
      </c>
      <c r="C4318">
        <v>1</v>
      </c>
      <c r="D4318" t="str">
        <f t="shared" si="67"/>
        <v>1815761.760</v>
      </c>
      <c r="E4318" t="s">
        <v>3401</v>
      </c>
      <c r="F4318" s="242"/>
      <c r="G4318"/>
      <c r="H4318" s="242">
        <v>2305000</v>
      </c>
      <c r="I4318" s="242">
        <v>2461685</v>
      </c>
      <c r="J4318"/>
    </row>
    <row r="4319" spans="1:10">
      <c r="A4319" t="s">
        <v>877</v>
      </c>
      <c r="B4319">
        <v>815761</v>
      </c>
      <c r="C4319">
        <v>1</v>
      </c>
      <c r="D4319" t="str">
        <f t="shared" si="67"/>
        <v>1815761.782</v>
      </c>
      <c r="E4319" t="s">
        <v>3361</v>
      </c>
      <c r="F4319" s="242"/>
      <c r="G4319"/>
      <c r="H4319" s="242">
        <v>19000</v>
      </c>
      <c r="I4319" s="242">
        <v>19000</v>
      </c>
      <c r="J4319"/>
    </row>
    <row r="4320" spans="1:10">
      <c r="A4320" t="s">
        <v>2676</v>
      </c>
      <c r="B4320">
        <v>815761</v>
      </c>
      <c r="C4320">
        <v>1</v>
      </c>
      <c r="D4320" t="str">
        <f t="shared" si="67"/>
        <v>1815761.784</v>
      </c>
      <c r="E4320" t="s">
        <v>3095</v>
      </c>
      <c r="F4320" s="242"/>
      <c r="G4320"/>
      <c r="H4320" s="242">
        <v>153500</v>
      </c>
      <c r="I4320" s="242">
        <v>148460</v>
      </c>
      <c r="J4320"/>
    </row>
    <row r="4321" spans="1:10">
      <c r="A4321" t="s">
        <v>2850</v>
      </c>
      <c r="B4321">
        <v>815761</v>
      </c>
      <c r="C4321">
        <v>1</v>
      </c>
      <c r="D4321" t="str">
        <f t="shared" si="67"/>
        <v>1815761.786</v>
      </c>
      <c r="E4321" t="s">
        <v>3337</v>
      </c>
      <c r="F4321" s="242"/>
      <c r="G4321"/>
      <c r="H4321" s="242">
        <v>15379</v>
      </c>
      <c r="I4321" s="242">
        <v>16388</v>
      </c>
      <c r="J4321"/>
    </row>
    <row r="4322" spans="1:10">
      <c r="A4322" t="s">
        <v>586</v>
      </c>
      <c r="B4322">
        <v>815762</v>
      </c>
      <c r="C4322">
        <v>1</v>
      </c>
      <c r="D4322" t="str">
        <f t="shared" si="67"/>
        <v>1815762.727</v>
      </c>
      <c r="E4322" t="s">
        <v>3155</v>
      </c>
      <c r="F4322" s="242"/>
      <c r="G4322"/>
      <c r="H4322" s="242">
        <v>19026</v>
      </c>
      <c r="I4322" s="242">
        <v>20249</v>
      </c>
      <c r="J4322"/>
    </row>
    <row r="4323" spans="1:10">
      <c r="A4323" t="s">
        <v>2632</v>
      </c>
      <c r="B4323">
        <v>815762</v>
      </c>
      <c r="C4323">
        <v>1</v>
      </c>
      <c r="D4323" t="str">
        <f t="shared" si="67"/>
        <v>1815762.780</v>
      </c>
      <c r="E4323" t="s">
        <v>3402</v>
      </c>
      <c r="F4323" s="242"/>
      <c r="G4323"/>
      <c r="H4323" s="242">
        <v>66500</v>
      </c>
      <c r="I4323" s="242">
        <v>66500</v>
      </c>
      <c r="J4323"/>
    </row>
    <row r="4324" spans="1:10">
      <c r="A4324" t="s">
        <v>542</v>
      </c>
      <c r="B4324">
        <v>815763</v>
      </c>
      <c r="C4324">
        <v>1</v>
      </c>
      <c r="D4324" t="str">
        <f t="shared" si="67"/>
        <v>1815763.721</v>
      </c>
      <c r="E4324" t="s">
        <v>3149</v>
      </c>
      <c r="F4324" s="242"/>
      <c r="G4324"/>
      <c r="H4324" s="242">
        <v>562</v>
      </c>
      <c r="I4324" s="242">
        <v>0</v>
      </c>
      <c r="J4324"/>
    </row>
    <row r="4325" spans="1:10">
      <c r="A4325" t="s">
        <v>558</v>
      </c>
      <c r="B4325">
        <v>815763</v>
      </c>
      <c r="C4325">
        <v>1</v>
      </c>
      <c r="D4325" t="str">
        <f t="shared" si="67"/>
        <v>1815763.723</v>
      </c>
      <c r="E4325" t="s">
        <v>3323</v>
      </c>
      <c r="F4325" s="242"/>
      <c r="G4325"/>
      <c r="H4325" s="242">
        <v>8800</v>
      </c>
      <c r="I4325" s="242">
        <v>7954</v>
      </c>
      <c r="J4325"/>
    </row>
    <row r="4326" spans="1:10">
      <c r="A4326" t="s">
        <v>564</v>
      </c>
      <c r="B4326">
        <v>815763</v>
      </c>
      <c r="C4326">
        <v>1</v>
      </c>
      <c r="D4326" t="str">
        <f t="shared" si="67"/>
        <v>1815763.724</v>
      </c>
      <c r="E4326" t="s">
        <v>3394</v>
      </c>
      <c r="F4326" s="242"/>
      <c r="G4326"/>
      <c r="H4326" s="242">
        <v>10734</v>
      </c>
      <c r="I4326" s="242">
        <v>12135</v>
      </c>
      <c r="J4326"/>
    </row>
    <row r="4327" spans="1:10">
      <c r="A4327" t="s">
        <v>3056</v>
      </c>
      <c r="B4327">
        <v>815763</v>
      </c>
      <c r="C4327">
        <v>1</v>
      </c>
      <c r="D4327" t="str">
        <f t="shared" si="67"/>
        <v>1815763.789</v>
      </c>
      <c r="E4327" t="s">
        <v>3395</v>
      </c>
      <c r="F4327" s="242"/>
      <c r="G4327"/>
      <c r="H4327" s="242">
        <v>8000</v>
      </c>
      <c r="I4327" s="242">
        <v>760</v>
      </c>
      <c r="J4327"/>
    </row>
    <row r="4328" spans="1:10">
      <c r="A4328" t="s">
        <v>591</v>
      </c>
      <c r="B4328">
        <v>815764</v>
      </c>
      <c r="C4328">
        <v>1</v>
      </c>
      <c r="D4328" t="str">
        <f t="shared" si="67"/>
        <v>1815764.729</v>
      </c>
      <c r="E4328" t="s">
        <v>3403</v>
      </c>
      <c r="F4328" s="242"/>
      <c r="G4328"/>
      <c r="H4328" s="242">
        <v>0</v>
      </c>
      <c r="I4328" s="242">
        <v>0</v>
      </c>
      <c r="J4328"/>
    </row>
    <row r="4329" spans="1:10">
      <c r="A4329" t="s">
        <v>586</v>
      </c>
      <c r="B4329">
        <v>815766</v>
      </c>
      <c r="C4329">
        <v>1</v>
      </c>
      <c r="D4329" t="str">
        <f t="shared" si="67"/>
        <v>1815766.727</v>
      </c>
      <c r="E4329" t="s">
        <v>3162</v>
      </c>
      <c r="F4329" s="242"/>
      <c r="G4329"/>
      <c r="H4329" s="242">
        <v>1600</v>
      </c>
      <c r="I4329" s="242">
        <v>0</v>
      </c>
      <c r="J4329"/>
    </row>
    <row r="4330" spans="1:10">
      <c r="A4330" t="s">
        <v>1668</v>
      </c>
      <c r="B4330">
        <v>815771</v>
      </c>
      <c r="C4330">
        <v>1</v>
      </c>
      <c r="D4330" t="str">
        <f t="shared" si="67"/>
        <v>1815771.432</v>
      </c>
      <c r="E4330" t="s">
        <v>3405</v>
      </c>
      <c r="F4330" s="242"/>
      <c r="G4330"/>
      <c r="H4330" s="242">
        <v>68000</v>
      </c>
      <c r="I4330" s="242">
        <v>80618</v>
      </c>
      <c r="J4330"/>
    </row>
    <row r="4331" spans="1:10">
      <c r="A4331" t="s">
        <v>2606</v>
      </c>
      <c r="B4331">
        <v>815771</v>
      </c>
      <c r="C4331">
        <v>1</v>
      </c>
      <c r="D4331" t="str">
        <f t="shared" si="67"/>
        <v>1815771.440</v>
      </c>
      <c r="E4331" t="s">
        <v>2657</v>
      </c>
      <c r="F4331" s="242"/>
      <c r="G4331"/>
      <c r="H4331" s="242">
        <v>17700</v>
      </c>
      <c r="I4331" s="242">
        <v>17060</v>
      </c>
      <c r="J4331"/>
    </row>
    <row r="4332" spans="1:10">
      <c r="A4332" t="s">
        <v>547</v>
      </c>
      <c r="B4332">
        <v>815771</v>
      </c>
      <c r="C4332">
        <v>1</v>
      </c>
      <c r="D4332" t="str">
        <f t="shared" si="67"/>
        <v>1815771.722</v>
      </c>
      <c r="E4332" t="s">
        <v>3020</v>
      </c>
      <c r="F4332" s="242"/>
      <c r="G4332"/>
      <c r="H4332" s="242">
        <v>0</v>
      </c>
      <c r="I4332" s="242">
        <v>0</v>
      </c>
      <c r="J4332"/>
    </row>
    <row r="4333" spans="1:10">
      <c r="A4333" t="s">
        <v>2859</v>
      </c>
      <c r="B4333">
        <v>815771</v>
      </c>
      <c r="C4333">
        <v>1</v>
      </c>
      <c r="D4333" t="str">
        <f t="shared" si="67"/>
        <v>1815771.870</v>
      </c>
      <c r="E4333" t="s">
        <v>3406</v>
      </c>
      <c r="F4333" s="242"/>
      <c r="G4333"/>
      <c r="H4333" s="242">
        <v>225000</v>
      </c>
      <c r="I4333" s="242">
        <v>225000</v>
      </c>
      <c r="J4333"/>
    </row>
    <row r="4334" spans="1:10">
      <c r="A4334" t="s">
        <v>2403</v>
      </c>
      <c r="B4334">
        <v>815781</v>
      </c>
      <c r="C4334">
        <v>1</v>
      </c>
      <c r="D4334" t="str">
        <f t="shared" si="67"/>
        <v>1815781.110</v>
      </c>
      <c r="E4334" t="s">
        <v>3417</v>
      </c>
      <c r="F4334" s="242"/>
      <c r="G4334"/>
      <c r="H4334" s="242">
        <v>3986025</v>
      </c>
      <c r="I4334" s="242">
        <v>5025911</v>
      </c>
      <c r="J4334"/>
    </row>
    <row r="4335" spans="1:10">
      <c r="A4335" t="s">
        <v>2404</v>
      </c>
      <c r="B4335">
        <v>815781</v>
      </c>
      <c r="C4335">
        <v>1</v>
      </c>
      <c r="D4335" t="str">
        <f t="shared" si="67"/>
        <v>1815781.120</v>
      </c>
      <c r="E4335" t="s">
        <v>2574</v>
      </c>
      <c r="F4335" s="242"/>
      <c r="G4335"/>
      <c r="H4335" s="242">
        <v>214242</v>
      </c>
      <c r="I4335" s="242">
        <v>193701</v>
      </c>
      <c r="J4335"/>
    </row>
    <row r="4336" spans="1:10">
      <c r="A4336" t="s">
        <v>2575</v>
      </c>
      <c r="B4336">
        <v>815781</v>
      </c>
      <c r="C4336">
        <v>1</v>
      </c>
      <c r="D4336" t="str">
        <f t="shared" si="67"/>
        <v>1815781.130</v>
      </c>
      <c r="E4336" t="s">
        <v>2576</v>
      </c>
      <c r="F4336" s="242"/>
      <c r="G4336"/>
      <c r="H4336" s="242">
        <v>2661</v>
      </c>
      <c r="I4336" s="242">
        <v>2120</v>
      </c>
      <c r="J4336"/>
    </row>
    <row r="4337" spans="1:10">
      <c r="A4337" t="s">
        <v>2577</v>
      </c>
      <c r="B4337">
        <v>815781</v>
      </c>
      <c r="C4337">
        <v>1</v>
      </c>
      <c r="D4337" t="str">
        <f t="shared" si="67"/>
        <v>1815781.140</v>
      </c>
      <c r="E4337" t="s">
        <v>2578</v>
      </c>
      <c r="F4337" s="242"/>
      <c r="G4337"/>
      <c r="H4337" s="242">
        <v>136094</v>
      </c>
      <c r="I4337" s="242">
        <v>156467</v>
      </c>
      <c r="J4337"/>
    </row>
    <row r="4338" spans="1:10">
      <c r="A4338" t="s">
        <v>2579</v>
      </c>
      <c r="B4338">
        <v>815781</v>
      </c>
      <c r="C4338">
        <v>1</v>
      </c>
      <c r="D4338" t="str">
        <f t="shared" si="67"/>
        <v>1815781.181</v>
      </c>
      <c r="E4338" t="s">
        <v>2580</v>
      </c>
      <c r="F4338" s="242"/>
      <c r="G4338"/>
      <c r="H4338" s="242">
        <v>1077872</v>
      </c>
      <c r="I4338" s="242">
        <v>1326138</v>
      </c>
      <c r="J4338"/>
    </row>
    <row r="4339" spans="1:10">
      <c r="A4339" t="s">
        <v>2581</v>
      </c>
      <c r="B4339">
        <v>815781</v>
      </c>
      <c r="C4339">
        <v>1</v>
      </c>
      <c r="D4339" t="str">
        <f t="shared" si="67"/>
        <v>1815781.182</v>
      </c>
      <c r="E4339" t="s">
        <v>2582</v>
      </c>
      <c r="F4339" s="242"/>
      <c r="G4339"/>
      <c r="H4339" s="242">
        <v>324800</v>
      </c>
      <c r="I4339" s="242">
        <v>406697</v>
      </c>
      <c r="J4339"/>
    </row>
    <row r="4340" spans="1:10">
      <c r="A4340" t="s">
        <v>3350</v>
      </c>
      <c r="B4340">
        <v>815781</v>
      </c>
      <c r="C4340">
        <v>1</v>
      </c>
      <c r="D4340" t="str">
        <f t="shared" si="67"/>
        <v>1815781.289</v>
      </c>
      <c r="E4340" t="s">
        <v>2651</v>
      </c>
      <c r="F4340" s="242"/>
      <c r="G4340"/>
      <c r="H4340" s="242">
        <v>15200</v>
      </c>
      <c r="I4340" s="242">
        <v>19525</v>
      </c>
      <c r="J4340"/>
    </row>
    <row r="4341" spans="1:10">
      <c r="A4341" t="s">
        <v>2652</v>
      </c>
      <c r="B4341">
        <v>815781</v>
      </c>
      <c r="C4341">
        <v>1</v>
      </c>
      <c r="D4341" t="str">
        <f t="shared" si="67"/>
        <v>1815781.420</v>
      </c>
      <c r="E4341" t="s">
        <v>2653</v>
      </c>
      <c r="F4341" s="242"/>
      <c r="G4341"/>
      <c r="H4341" s="242">
        <v>21000</v>
      </c>
      <c r="I4341" s="242">
        <v>21000</v>
      </c>
      <c r="J4341"/>
    </row>
    <row r="4342" spans="1:10">
      <c r="A4342" t="s">
        <v>1663</v>
      </c>
      <c r="B4342">
        <v>815781</v>
      </c>
      <c r="C4342">
        <v>1</v>
      </c>
      <c r="D4342" t="str">
        <f t="shared" si="67"/>
        <v>1815781.431</v>
      </c>
      <c r="E4342" t="s">
        <v>2654</v>
      </c>
      <c r="F4342" s="242"/>
      <c r="G4342"/>
      <c r="H4342" s="242">
        <v>180700</v>
      </c>
      <c r="I4342" s="242">
        <v>164246</v>
      </c>
      <c r="J4342"/>
    </row>
    <row r="4343" spans="1:10">
      <c r="A4343" t="s">
        <v>1668</v>
      </c>
      <c r="B4343">
        <v>815781</v>
      </c>
      <c r="C4343">
        <v>1</v>
      </c>
      <c r="D4343" t="str">
        <f t="shared" si="67"/>
        <v>1815781.432</v>
      </c>
      <c r="E4343" t="s">
        <v>2687</v>
      </c>
      <c r="F4343" s="242"/>
      <c r="G4343"/>
      <c r="H4343" s="242">
        <v>65300</v>
      </c>
      <c r="I4343" s="242">
        <v>48821</v>
      </c>
      <c r="J4343"/>
    </row>
    <row r="4344" spans="1:10">
      <c r="A4344" t="s">
        <v>1678</v>
      </c>
      <c r="B4344">
        <v>815781</v>
      </c>
      <c r="C4344">
        <v>1</v>
      </c>
      <c r="D4344" t="str">
        <f t="shared" si="67"/>
        <v>1815781.434</v>
      </c>
      <c r="E4344" t="s">
        <v>2656</v>
      </c>
      <c r="F4344" s="242"/>
      <c r="G4344"/>
      <c r="H4344" s="242">
        <v>260000</v>
      </c>
      <c r="I4344" s="242">
        <v>233330</v>
      </c>
      <c r="J4344"/>
    </row>
    <row r="4345" spans="1:10">
      <c r="A4345" t="s">
        <v>2606</v>
      </c>
      <c r="B4345">
        <v>815781</v>
      </c>
      <c r="C4345">
        <v>1</v>
      </c>
      <c r="D4345" t="str">
        <f t="shared" si="67"/>
        <v>1815781.440</v>
      </c>
      <c r="E4345" t="s">
        <v>2657</v>
      </c>
      <c r="F4345" s="242"/>
      <c r="G4345"/>
      <c r="H4345" s="242">
        <v>8600</v>
      </c>
      <c r="I4345" s="242">
        <v>8329</v>
      </c>
      <c r="J4345"/>
    </row>
    <row r="4346" spans="1:10">
      <c r="A4346" t="s">
        <v>2704</v>
      </c>
      <c r="B4346">
        <v>815781</v>
      </c>
      <c r="C4346">
        <v>1</v>
      </c>
      <c r="D4346" t="str">
        <f t="shared" si="67"/>
        <v>1815781.720</v>
      </c>
      <c r="E4346" t="s">
        <v>3149</v>
      </c>
      <c r="F4346" s="242"/>
      <c r="G4346"/>
      <c r="H4346" s="242">
        <v>0</v>
      </c>
      <c r="I4346" s="242">
        <v>0</v>
      </c>
      <c r="J4346"/>
    </row>
    <row r="4347" spans="1:10">
      <c r="A4347" t="s">
        <v>558</v>
      </c>
      <c r="B4347">
        <v>815781</v>
      </c>
      <c r="C4347">
        <v>1</v>
      </c>
      <c r="D4347" t="str">
        <f t="shared" si="67"/>
        <v>1815781.723</v>
      </c>
      <c r="E4347" t="s">
        <v>3323</v>
      </c>
      <c r="F4347" s="242"/>
      <c r="G4347"/>
      <c r="H4347" s="242">
        <v>3362</v>
      </c>
      <c r="I4347" s="242">
        <v>2673</v>
      </c>
      <c r="J4347"/>
    </row>
    <row r="4348" spans="1:10">
      <c r="A4348" t="s">
        <v>586</v>
      </c>
      <c r="B4348">
        <v>815781</v>
      </c>
      <c r="C4348">
        <v>1</v>
      </c>
      <c r="D4348" t="str">
        <f t="shared" si="67"/>
        <v>1815781.727</v>
      </c>
      <c r="E4348" t="s">
        <v>3155</v>
      </c>
      <c r="F4348" s="242"/>
      <c r="G4348"/>
      <c r="H4348" s="242">
        <v>0</v>
      </c>
      <c r="I4348" s="242">
        <v>0</v>
      </c>
      <c r="J4348"/>
    </row>
    <row r="4349" spans="1:10">
      <c r="A4349" t="s">
        <v>673</v>
      </c>
      <c r="B4349">
        <v>815781</v>
      </c>
      <c r="C4349">
        <v>1</v>
      </c>
      <c r="D4349" t="str">
        <f t="shared" si="67"/>
        <v>1815781.743</v>
      </c>
      <c r="E4349" t="s">
        <v>2622</v>
      </c>
      <c r="F4349" s="242"/>
      <c r="G4349"/>
      <c r="H4349" s="242">
        <v>3000</v>
      </c>
      <c r="I4349" s="242">
        <v>2883</v>
      </c>
      <c r="J4349"/>
    </row>
    <row r="4350" spans="1:10">
      <c r="A4350" t="s">
        <v>772</v>
      </c>
      <c r="B4350">
        <v>815781</v>
      </c>
      <c r="C4350">
        <v>1</v>
      </c>
      <c r="D4350" t="str">
        <f t="shared" si="67"/>
        <v>1815781.751</v>
      </c>
      <c r="E4350" t="s">
        <v>3091</v>
      </c>
      <c r="F4350" s="242"/>
      <c r="G4350"/>
      <c r="H4350" s="242">
        <v>9000</v>
      </c>
      <c r="I4350" s="242">
        <v>9000</v>
      </c>
      <c r="J4350"/>
    </row>
    <row r="4351" spans="1:10">
      <c r="A4351" t="s">
        <v>776</v>
      </c>
      <c r="B4351">
        <v>815781</v>
      </c>
      <c r="C4351">
        <v>1</v>
      </c>
      <c r="D4351" t="str">
        <f t="shared" si="67"/>
        <v>1815781.752</v>
      </c>
      <c r="E4351" t="s">
        <v>3353</v>
      </c>
      <c r="F4351" s="242"/>
      <c r="G4351"/>
      <c r="H4351" s="242">
        <v>14040</v>
      </c>
      <c r="I4351" s="242">
        <v>14040</v>
      </c>
      <c r="J4351"/>
    </row>
    <row r="4352" spans="1:10">
      <c r="A4352" t="s">
        <v>2759</v>
      </c>
      <c r="B4352">
        <v>815781</v>
      </c>
      <c r="C4352">
        <v>1</v>
      </c>
      <c r="D4352" t="str">
        <f t="shared" si="67"/>
        <v>1815781.760</v>
      </c>
      <c r="E4352" t="s">
        <v>3418</v>
      </c>
      <c r="F4352" s="242"/>
      <c r="G4352"/>
      <c r="H4352" s="242">
        <v>0</v>
      </c>
      <c r="I4352" s="242">
        <v>-6569</v>
      </c>
      <c r="J4352"/>
    </row>
    <row r="4353" spans="1:10">
      <c r="A4353" t="s">
        <v>2632</v>
      </c>
      <c r="B4353">
        <v>815781</v>
      </c>
      <c r="C4353">
        <v>1</v>
      </c>
      <c r="D4353" t="str">
        <f t="shared" si="67"/>
        <v>1815781.780</v>
      </c>
      <c r="E4353" t="s">
        <v>3419</v>
      </c>
      <c r="F4353" s="242"/>
      <c r="G4353"/>
      <c r="H4353" s="242">
        <v>1010000</v>
      </c>
      <c r="I4353" s="242">
        <v>1118928</v>
      </c>
      <c r="J4353"/>
    </row>
    <row r="4354" spans="1:10">
      <c r="A4354" t="s">
        <v>872</v>
      </c>
      <c r="B4354">
        <v>815781</v>
      </c>
      <c r="C4354">
        <v>1</v>
      </c>
      <c r="D4354" t="str">
        <f t="shared" si="67"/>
        <v>1815781.781</v>
      </c>
      <c r="E4354" t="s">
        <v>3420</v>
      </c>
      <c r="F4354" s="242"/>
      <c r="G4354"/>
      <c r="H4354" s="242">
        <v>22500</v>
      </c>
      <c r="I4354" s="242">
        <v>9317</v>
      </c>
      <c r="J4354"/>
    </row>
    <row r="4355" spans="1:10">
      <c r="A4355" t="s">
        <v>877</v>
      </c>
      <c r="B4355">
        <v>815781</v>
      </c>
      <c r="C4355">
        <v>1</v>
      </c>
      <c r="D4355" t="str">
        <f t="shared" ref="D4355:D4418" si="68">C4355&amp;B4355&amp;"."&amp;A4355</f>
        <v>1815781.782</v>
      </c>
      <c r="E4355" t="s">
        <v>3361</v>
      </c>
      <c r="F4355" s="242"/>
      <c r="G4355"/>
      <c r="H4355" s="242">
        <v>19000</v>
      </c>
      <c r="I4355" s="242">
        <v>19000</v>
      </c>
      <c r="J4355"/>
    </row>
    <row r="4356" spans="1:10">
      <c r="A4356" t="s">
        <v>2676</v>
      </c>
      <c r="B4356">
        <v>815781</v>
      </c>
      <c r="C4356">
        <v>1</v>
      </c>
      <c r="D4356" t="str">
        <f t="shared" si="68"/>
        <v>1815781.784</v>
      </c>
      <c r="E4356" t="s">
        <v>3095</v>
      </c>
      <c r="F4356" s="242"/>
      <c r="G4356"/>
      <c r="H4356" s="242">
        <v>123500</v>
      </c>
      <c r="I4356" s="242">
        <v>116210</v>
      </c>
      <c r="J4356"/>
    </row>
    <row r="4357" spans="1:10">
      <c r="A4357" t="s">
        <v>575</v>
      </c>
      <c r="B4357">
        <v>815782</v>
      </c>
      <c r="C4357">
        <v>1</v>
      </c>
      <c r="D4357" t="str">
        <f t="shared" si="68"/>
        <v>1815782.726</v>
      </c>
      <c r="E4357" t="s">
        <v>3090</v>
      </c>
      <c r="F4357" s="242"/>
      <c r="G4357"/>
      <c r="H4357" s="242">
        <v>15224</v>
      </c>
      <c r="I4357" s="242">
        <v>8667</v>
      </c>
      <c r="J4357"/>
    </row>
    <row r="4358" spans="1:10">
      <c r="A4358" t="s">
        <v>586</v>
      </c>
      <c r="B4358">
        <v>815782</v>
      </c>
      <c r="C4358">
        <v>1</v>
      </c>
      <c r="D4358" t="str">
        <f t="shared" si="68"/>
        <v>1815782.727</v>
      </c>
      <c r="E4358" t="s">
        <v>3411</v>
      </c>
      <c r="F4358" s="242"/>
      <c r="G4358"/>
      <c r="H4358" s="242">
        <v>0</v>
      </c>
      <c r="I4358" s="242">
        <v>0</v>
      </c>
      <c r="J4358"/>
    </row>
    <row r="4359" spans="1:10">
      <c r="A4359" t="s">
        <v>673</v>
      </c>
      <c r="B4359">
        <v>815782</v>
      </c>
      <c r="C4359">
        <v>1</v>
      </c>
      <c r="D4359" t="str">
        <f t="shared" si="68"/>
        <v>1815782.743</v>
      </c>
      <c r="E4359" t="s">
        <v>3421</v>
      </c>
      <c r="F4359" s="242"/>
      <c r="G4359"/>
      <c r="H4359" s="242">
        <v>3750</v>
      </c>
      <c r="I4359" s="242">
        <v>3077</v>
      </c>
      <c r="J4359"/>
    </row>
    <row r="4360" spans="1:10">
      <c r="A4360" t="s">
        <v>3164</v>
      </c>
      <c r="B4360">
        <v>815783</v>
      </c>
      <c r="C4360">
        <v>1</v>
      </c>
      <c r="D4360" t="str">
        <f t="shared" si="68"/>
        <v>1815783.728</v>
      </c>
      <c r="E4360" t="s">
        <v>3337</v>
      </c>
      <c r="F4360" s="242"/>
      <c r="G4360"/>
      <c r="H4360" s="242">
        <v>8344</v>
      </c>
      <c r="I4360" s="242">
        <v>13127</v>
      </c>
      <c r="J4360"/>
    </row>
    <row r="4361" spans="1:10">
      <c r="A4361" t="s">
        <v>558</v>
      </c>
      <c r="B4361">
        <v>815785</v>
      </c>
      <c r="C4361">
        <v>1</v>
      </c>
      <c r="D4361" t="str">
        <f t="shared" si="68"/>
        <v>1815785.723</v>
      </c>
      <c r="E4361" t="s">
        <v>3403</v>
      </c>
      <c r="F4361" s="242"/>
      <c r="G4361"/>
      <c r="H4361" s="242">
        <v>0</v>
      </c>
      <c r="I4361" s="242">
        <v>0</v>
      </c>
      <c r="J4361"/>
    </row>
    <row r="4362" spans="1:10">
      <c r="A4362" t="s">
        <v>586</v>
      </c>
      <c r="B4362">
        <v>815785</v>
      </c>
      <c r="C4362">
        <v>1</v>
      </c>
      <c r="D4362" t="str">
        <f t="shared" si="68"/>
        <v>1815785.727</v>
      </c>
      <c r="E4362" t="s">
        <v>3162</v>
      </c>
      <c r="F4362" s="242"/>
      <c r="G4362"/>
      <c r="H4362" s="242">
        <v>0</v>
      </c>
      <c r="I4362" s="242">
        <v>400</v>
      </c>
      <c r="J4362"/>
    </row>
    <row r="4363" spans="1:10">
      <c r="A4363" t="s">
        <v>2403</v>
      </c>
      <c r="B4363">
        <v>815790</v>
      </c>
      <c r="C4363">
        <v>1</v>
      </c>
      <c r="D4363" t="str">
        <f t="shared" si="68"/>
        <v>1815790.110</v>
      </c>
      <c r="E4363" t="s">
        <v>3348</v>
      </c>
      <c r="F4363" s="242"/>
      <c r="G4363"/>
      <c r="H4363" s="242">
        <v>1839691</v>
      </c>
      <c r="I4363" s="242">
        <v>1783111</v>
      </c>
      <c r="J4363"/>
    </row>
    <row r="4364" spans="1:10">
      <c r="A4364" t="s">
        <v>2404</v>
      </c>
      <c r="B4364">
        <v>815790</v>
      </c>
      <c r="C4364">
        <v>1</v>
      </c>
      <c r="D4364" t="str">
        <f t="shared" si="68"/>
        <v>1815790.120</v>
      </c>
      <c r="E4364" t="s">
        <v>2574</v>
      </c>
      <c r="F4364" s="242"/>
      <c r="G4364"/>
      <c r="H4364" s="242">
        <v>222350</v>
      </c>
      <c r="I4364" s="242">
        <v>220266</v>
      </c>
      <c r="J4364"/>
    </row>
    <row r="4365" spans="1:10">
      <c r="A4365" t="s">
        <v>2575</v>
      </c>
      <c r="B4365">
        <v>815790</v>
      </c>
      <c r="C4365">
        <v>1</v>
      </c>
      <c r="D4365" t="str">
        <f t="shared" si="68"/>
        <v>1815790.130</v>
      </c>
      <c r="E4365" t="s">
        <v>2576</v>
      </c>
      <c r="F4365" s="242"/>
      <c r="G4365"/>
      <c r="H4365" s="242">
        <v>21061</v>
      </c>
      <c r="I4365" s="242">
        <v>11858</v>
      </c>
      <c r="J4365"/>
    </row>
    <row r="4366" spans="1:10">
      <c r="A4366" t="s">
        <v>2577</v>
      </c>
      <c r="B4366">
        <v>815790</v>
      </c>
      <c r="C4366">
        <v>1</v>
      </c>
      <c r="D4366" t="str">
        <f t="shared" si="68"/>
        <v>1815790.140</v>
      </c>
      <c r="E4366" t="s">
        <v>2578</v>
      </c>
      <c r="F4366" s="242"/>
      <c r="G4366"/>
      <c r="H4366" s="242">
        <v>101721</v>
      </c>
      <c r="I4366" s="242">
        <v>91900</v>
      </c>
      <c r="J4366"/>
    </row>
    <row r="4367" spans="1:10">
      <c r="A4367" t="s">
        <v>2579</v>
      </c>
      <c r="B4367">
        <v>815790</v>
      </c>
      <c r="C4367">
        <v>1</v>
      </c>
      <c r="D4367" t="str">
        <f t="shared" si="68"/>
        <v>1815790.181</v>
      </c>
      <c r="E4367" t="s">
        <v>2580</v>
      </c>
      <c r="F4367" s="242"/>
      <c r="G4367"/>
      <c r="H4367" s="242">
        <v>350776</v>
      </c>
      <c r="I4367" s="242">
        <v>334674</v>
      </c>
      <c r="J4367"/>
    </row>
    <row r="4368" spans="1:10">
      <c r="A4368" t="s">
        <v>2581</v>
      </c>
      <c r="B4368">
        <v>815790</v>
      </c>
      <c r="C4368">
        <v>1</v>
      </c>
      <c r="D4368" t="str">
        <f t="shared" si="68"/>
        <v>1815790.182</v>
      </c>
      <c r="E4368" t="s">
        <v>2582</v>
      </c>
      <c r="F4368" s="242"/>
      <c r="G4368"/>
      <c r="H4368" s="242">
        <v>166191</v>
      </c>
      <c r="I4368" s="242">
        <v>160261</v>
      </c>
      <c r="J4368"/>
    </row>
    <row r="4369" spans="1:10">
      <c r="A4369" t="s">
        <v>2403</v>
      </c>
      <c r="B4369">
        <v>815791</v>
      </c>
      <c r="C4369">
        <v>1</v>
      </c>
      <c r="D4369" t="str">
        <f t="shared" si="68"/>
        <v>1815791.110</v>
      </c>
      <c r="E4369" t="s">
        <v>3349</v>
      </c>
      <c r="F4369" s="242"/>
      <c r="G4369"/>
      <c r="H4369" s="242">
        <v>4012604</v>
      </c>
      <c r="I4369" s="242">
        <v>3991820</v>
      </c>
      <c r="J4369"/>
    </row>
    <row r="4370" spans="1:10">
      <c r="A4370" t="s">
        <v>2404</v>
      </c>
      <c r="B4370">
        <v>815791</v>
      </c>
      <c r="C4370">
        <v>1</v>
      </c>
      <c r="D4370" t="str">
        <f t="shared" si="68"/>
        <v>1815791.120</v>
      </c>
      <c r="E4370" t="s">
        <v>2574</v>
      </c>
      <c r="F4370" s="242"/>
      <c r="G4370"/>
      <c r="H4370" s="242">
        <v>259301</v>
      </c>
      <c r="I4370" s="242">
        <v>174131</v>
      </c>
      <c r="J4370"/>
    </row>
    <row r="4371" spans="1:10">
      <c r="A4371" t="s">
        <v>2575</v>
      </c>
      <c r="B4371">
        <v>815791</v>
      </c>
      <c r="C4371">
        <v>1</v>
      </c>
      <c r="D4371" t="str">
        <f t="shared" si="68"/>
        <v>1815791.130</v>
      </c>
      <c r="E4371" t="s">
        <v>2576</v>
      </c>
      <c r="F4371" s="242"/>
      <c r="G4371"/>
      <c r="H4371" s="242">
        <v>210</v>
      </c>
      <c r="I4371" s="242">
        <v>127</v>
      </c>
      <c r="J4371"/>
    </row>
    <row r="4372" spans="1:10">
      <c r="A4372" t="s">
        <v>2577</v>
      </c>
      <c r="B4372">
        <v>815791</v>
      </c>
      <c r="C4372">
        <v>1</v>
      </c>
      <c r="D4372" t="str">
        <f t="shared" si="68"/>
        <v>1815791.140</v>
      </c>
      <c r="E4372" t="s">
        <v>2578</v>
      </c>
      <c r="F4372" s="242"/>
      <c r="G4372"/>
      <c r="H4372" s="242">
        <v>94836</v>
      </c>
      <c r="I4372" s="242">
        <v>92402</v>
      </c>
      <c r="J4372"/>
    </row>
    <row r="4373" spans="1:10">
      <c r="A4373" t="s">
        <v>2579</v>
      </c>
      <c r="B4373">
        <v>815791</v>
      </c>
      <c r="C4373">
        <v>1</v>
      </c>
      <c r="D4373" t="str">
        <f t="shared" si="68"/>
        <v>1815791.181</v>
      </c>
      <c r="E4373" t="s">
        <v>2580</v>
      </c>
      <c r="F4373" s="242"/>
      <c r="G4373"/>
      <c r="H4373" s="242">
        <v>1028983</v>
      </c>
      <c r="I4373" s="242">
        <v>1032358</v>
      </c>
      <c r="J4373"/>
    </row>
    <row r="4374" spans="1:10">
      <c r="A4374" t="s">
        <v>2581</v>
      </c>
      <c r="B4374">
        <v>815791</v>
      </c>
      <c r="C4374">
        <v>1</v>
      </c>
      <c r="D4374" t="str">
        <f t="shared" si="68"/>
        <v>1815791.182</v>
      </c>
      <c r="E4374" t="s">
        <v>2582</v>
      </c>
      <c r="F4374" s="242"/>
      <c r="G4374"/>
      <c r="H4374" s="242">
        <v>323922</v>
      </c>
      <c r="I4374" s="242">
        <v>322012</v>
      </c>
      <c r="J4374"/>
    </row>
    <row r="4375" spans="1:10">
      <c r="A4375" t="s">
        <v>3350</v>
      </c>
      <c r="B4375">
        <v>815791</v>
      </c>
      <c r="C4375">
        <v>1</v>
      </c>
      <c r="D4375" t="str">
        <f t="shared" si="68"/>
        <v>1815791.289</v>
      </c>
      <c r="E4375" t="s">
        <v>2651</v>
      </c>
      <c r="F4375" s="242"/>
      <c r="G4375"/>
      <c r="H4375" s="242">
        <v>25900</v>
      </c>
      <c r="I4375" s="242">
        <v>23100</v>
      </c>
      <c r="J4375"/>
    </row>
    <row r="4376" spans="1:10">
      <c r="A4376" t="s">
        <v>2652</v>
      </c>
      <c r="B4376">
        <v>815791</v>
      </c>
      <c r="C4376">
        <v>1</v>
      </c>
      <c r="D4376" t="str">
        <f t="shared" si="68"/>
        <v>1815791.420</v>
      </c>
      <c r="E4376" t="s">
        <v>2653</v>
      </c>
      <c r="F4376" s="242"/>
      <c r="G4376"/>
      <c r="H4376" s="242">
        <v>38000</v>
      </c>
      <c r="I4376" s="242">
        <v>40000</v>
      </c>
      <c r="J4376"/>
    </row>
    <row r="4377" spans="1:10">
      <c r="A4377" t="s">
        <v>1663</v>
      </c>
      <c r="B4377">
        <v>815791</v>
      </c>
      <c r="C4377">
        <v>1</v>
      </c>
      <c r="D4377" t="str">
        <f t="shared" si="68"/>
        <v>1815791.431</v>
      </c>
      <c r="E4377" t="s">
        <v>2654</v>
      </c>
      <c r="F4377" s="242"/>
      <c r="G4377"/>
      <c r="H4377" s="242">
        <v>238000</v>
      </c>
      <c r="I4377" s="242">
        <v>252107</v>
      </c>
      <c r="J4377"/>
    </row>
    <row r="4378" spans="1:10">
      <c r="A4378" t="s">
        <v>1668</v>
      </c>
      <c r="B4378">
        <v>815791</v>
      </c>
      <c r="C4378">
        <v>1</v>
      </c>
      <c r="D4378" t="str">
        <f t="shared" si="68"/>
        <v>1815791.432</v>
      </c>
      <c r="E4378" t="s">
        <v>2687</v>
      </c>
      <c r="F4378" s="242"/>
      <c r="G4378"/>
      <c r="H4378" s="242">
        <v>162400</v>
      </c>
      <c r="I4378" s="242">
        <v>184257</v>
      </c>
      <c r="J4378"/>
    </row>
    <row r="4379" spans="1:10">
      <c r="A4379" t="s">
        <v>1678</v>
      </c>
      <c r="B4379">
        <v>815791</v>
      </c>
      <c r="C4379">
        <v>1</v>
      </c>
      <c r="D4379" t="str">
        <f t="shared" si="68"/>
        <v>1815791.434</v>
      </c>
      <c r="E4379" t="s">
        <v>2753</v>
      </c>
      <c r="F4379" s="242"/>
      <c r="G4379"/>
      <c r="H4379" s="242">
        <v>435000</v>
      </c>
      <c r="I4379" s="242">
        <v>362410</v>
      </c>
      <c r="J4379"/>
    </row>
    <row r="4380" spans="1:10">
      <c r="A4380" t="s">
        <v>2606</v>
      </c>
      <c r="B4380">
        <v>815791</v>
      </c>
      <c r="C4380">
        <v>1</v>
      </c>
      <c r="D4380" t="str">
        <f t="shared" si="68"/>
        <v>1815791.440</v>
      </c>
      <c r="E4380" t="s">
        <v>2657</v>
      </c>
      <c r="F4380" s="242"/>
      <c r="G4380"/>
      <c r="H4380" s="242">
        <v>17700</v>
      </c>
      <c r="I4380" s="242">
        <v>17060</v>
      </c>
      <c r="J4380"/>
    </row>
    <row r="4381" spans="1:10">
      <c r="A4381" t="s">
        <v>547</v>
      </c>
      <c r="B4381">
        <v>815791</v>
      </c>
      <c r="C4381">
        <v>1</v>
      </c>
      <c r="D4381" t="str">
        <f t="shared" si="68"/>
        <v>1815791.722</v>
      </c>
      <c r="E4381" t="s">
        <v>3020</v>
      </c>
      <c r="F4381" s="242"/>
      <c r="G4381"/>
      <c r="H4381" s="242">
        <v>100</v>
      </c>
      <c r="I4381" s="242">
        <v>2500</v>
      </c>
      <c r="J4381"/>
    </row>
    <row r="4382" spans="1:10">
      <c r="A4382" t="s">
        <v>575</v>
      </c>
      <c r="B4382">
        <v>815791</v>
      </c>
      <c r="C4382">
        <v>1</v>
      </c>
      <c r="D4382" t="str">
        <f t="shared" si="68"/>
        <v>1815791.726</v>
      </c>
      <c r="E4382" t="s">
        <v>3090</v>
      </c>
      <c r="F4382" s="242"/>
      <c r="G4382"/>
      <c r="H4382" s="242">
        <v>60630</v>
      </c>
      <c r="I4382" s="242">
        <v>60626</v>
      </c>
      <c r="J4382"/>
    </row>
    <row r="4383" spans="1:10">
      <c r="A4383" t="s">
        <v>673</v>
      </c>
      <c r="B4383">
        <v>815791</v>
      </c>
      <c r="C4383">
        <v>1</v>
      </c>
      <c r="D4383" t="str">
        <f t="shared" si="68"/>
        <v>1815791.743</v>
      </c>
      <c r="E4383" t="s">
        <v>2622</v>
      </c>
      <c r="F4383" s="242"/>
      <c r="G4383"/>
      <c r="H4383" s="242">
        <v>4000</v>
      </c>
      <c r="I4383" s="242">
        <v>4000</v>
      </c>
      <c r="J4383"/>
    </row>
    <row r="4384" spans="1:10">
      <c r="A4384" t="s">
        <v>762</v>
      </c>
      <c r="B4384">
        <v>815791</v>
      </c>
      <c r="C4384">
        <v>1</v>
      </c>
      <c r="D4384" t="str">
        <f t="shared" si="68"/>
        <v>1815791.749</v>
      </c>
      <c r="E4384" t="s">
        <v>3386</v>
      </c>
      <c r="F4384" s="242"/>
      <c r="G4384"/>
      <c r="H4384" s="242">
        <v>4500</v>
      </c>
      <c r="I4384" s="242">
        <v>4500</v>
      </c>
      <c r="J4384"/>
    </row>
    <row r="4385" spans="1:10">
      <c r="A4385" t="s">
        <v>772</v>
      </c>
      <c r="B4385">
        <v>815791</v>
      </c>
      <c r="C4385">
        <v>1</v>
      </c>
      <c r="D4385" t="str">
        <f t="shared" si="68"/>
        <v>1815791.751</v>
      </c>
      <c r="E4385" t="s">
        <v>3091</v>
      </c>
      <c r="F4385" s="242"/>
      <c r="G4385"/>
      <c r="H4385" s="242">
        <v>12000</v>
      </c>
      <c r="I4385" s="242">
        <v>12000</v>
      </c>
      <c r="J4385"/>
    </row>
    <row r="4386" spans="1:10">
      <c r="A4386" t="s">
        <v>776</v>
      </c>
      <c r="B4386">
        <v>815791</v>
      </c>
      <c r="C4386">
        <v>1</v>
      </c>
      <c r="D4386" t="str">
        <f t="shared" si="68"/>
        <v>1815791.752</v>
      </c>
      <c r="E4386" t="s">
        <v>3353</v>
      </c>
      <c r="F4386" s="242"/>
      <c r="G4386"/>
      <c r="H4386" s="242">
        <v>14040</v>
      </c>
      <c r="I4386" s="242">
        <v>14040</v>
      </c>
      <c r="J4386"/>
    </row>
    <row r="4387" spans="1:10">
      <c r="A4387" t="s">
        <v>2603</v>
      </c>
      <c r="B4387">
        <v>815791</v>
      </c>
      <c r="C4387">
        <v>1</v>
      </c>
      <c r="D4387" t="str">
        <f t="shared" si="68"/>
        <v>1815791.759</v>
      </c>
      <c r="E4387" t="s">
        <v>3155</v>
      </c>
      <c r="F4387" s="242"/>
      <c r="G4387"/>
      <c r="H4387" s="242">
        <v>15486</v>
      </c>
      <c r="I4387" s="242">
        <v>15044</v>
      </c>
      <c r="J4387"/>
    </row>
    <row r="4388" spans="1:10">
      <c r="A4388" t="s">
        <v>2759</v>
      </c>
      <c r="B4388">
        <v>815791</v>
      </c>
      <c r="C4388">
        <v>1</v>
      </c>
      <c r="D4388" t="str">
        <f t="shared" si="68"/>
        <v>1815791.760</v>
      </c>
      <c r="E4388" t="s">
        <v>3442</v>
      </c>
      <c r="F4388" s="242"/>
      <c r="G4388"/>
      <c r="H4388" s="242">
        <v>3650000</v>
      </c>
      <c r="I4388" s="242">
        <v>4216102</v>
      </c>
      <c r="J4388"/>
    </row>
    <row r="4389" spans="1:10">
      <c r="A4389" t="s">
        <v>877</v>
      </c>
      <c r="B4389">
        <v>815791</v>
      </c>
      <c r="C4389">
        <v>1</v>
      </c>
      <c r="D4389" t="str">
        <f t="shared" si="68"/>
        <v>1815791.782</v>
      </c>
      <c r="E4389" t="s">
        <v>3443</v>
      </c>
      <c r="F4389" s="242"/>
      <c r="G4389"/>
      <c r="H4389" s="242">
        <v>72500</v>
      </c>
      <c r="I4389" s="242">
        <v>72500</v>
      </c>
      <c r="J4389"/>
    </row>
    <row r="4390" spans="1:10">
      <c r="A4390" t="s">
        <v>2676</v>
      </c>
      <c r="B4390">
        <v>815791</v>
      </c>
      <c r="C4390">
        <v>1</v>
      </c>
      <c r="D4390" t="str">
        <f t="shared" si="68"/>
        <v>1815791.784</v>
      </c>
      <c r="E4390" t="s">
        <v>3095</v>
      </c>
      <c r="F4390" s="242"/>
      <c r="G4390"/>
      <c r="H4390" s="242">
        <v>153500</v>
      </c>
      <c r="I4390" s="242">
        <v>148460</v>
      </c>
      <c r="J4390"/>
    </row>
    <row r="4391" spans="1:10">
      <c r="A4391" t="s">
        <v>2850</v>
      </c>
      <c r="B4391">
        <v>815791</v>
      </c>
      <c r="C4391">
        <v>1</v>
      </c>
      <c r="D4391" t="str">
        <f t="shared" si="68"/>
        <v>1815791.786</v>
      </c>
      <c r="E4391" t="s">
        <v>3337</v>
      </c>
      <c r="F4391" s="242"/>
      <c r="G4391"/>
      <c r="H4391" s="242">
        <v>12891</v>
      </c>
      <c r="I4391" s="242">
        <v>13471</v>
      </c>
      <c r="J4391"/>
    </row>
    <row r="4392" spans="1:10">
      <c r="A4392" t="s">
        <v>877</v>
      </c>
      <c r="B4392">
        <v>815792</v>
      </c>
      <c r="C4392">
        <v>1</v>
      </c>
      <c r="D4392" t="str">
        <f t="shared" si="68"/>
        <v>1815792.782</v>
      </c>
      <c r="E4392" t="s">
        <v>3361</v>
      </c>
      <c r="F4392" s="242"/>
      <c r="G4392"/>
      <c r="H4392" s="242">
        <v>19000</v>
      </c>
      <c r="I4392" s="242">
        <v>0</v>
      </c>
      <c r="J4392"/>
    </row>
    <row r="4393" spans="1:10">
      <c r="A4393" t="s">
        <v>542</v>
      </c>
      <c r="B4393">
        <v>815793</v>
      </c>
      <c r="C4393">
        <v>1</v>
      </c>
      <c r="D4393" t="str">
        <f t="shared" si="68"/>
        <v>1815793.721</v>
      </c>
      <c r="E4393" t="s">
        <v>3149</v>
      </c>
      <c r="F4393" s="242"/>
      <c r="G4393"/>
      <c r="H4393" s="242">
        <v>896</v>
      </c>
      <c r="I4393" s="242">
        <v>562</v>
      </c>
      <c r="J4393"/>
    </row>
    <row r="4394" spans="1:10">
      <c r="A4394" t="s">
        <v>558</v>
      </c>
      <c r="B4394">
        <v>815793</v>
      </c>
      <c r="C4394">
        <v>1</v>
      </c>
      <c r="D4394" t="str">
        <f t="shared" si="68"/>
        <v>1815793.723</v>
      </c>
      <c r="E4394" t="s">
        <v>3323</v>
      </c>
      <c r="F4394" s="242"/>
      <c r="G4394"/>
      <c r="H4394" s="242">
        <v>6314</v>
      </c>
      <c r="I4394" s="242">
        <v>6478</v>
      </c>
      <c r="J4394"/>
    </row>
    <row r="4395" spans="1:10">
      <c r="A4395" t="s">
        <v>586</v>
      </c>
      <c r="B4395">
        <v>815795</v>
      </c>
      <c r="C4395">
        <v>1</v>
      </c>
      <c r="D4395" t="str">
        <f t="shared" si="68"/>
        <v>1815795.727</v>
      </c>
      <c r="E4395" t="s">
        <v>3162</v>
      </c>
      <c r="F4395" s="242"/>
      <c r="G4395"/>
      <c r="H4395" s="242">
        <v>2800</v>
      </c>
      <c r="I4395" s="242">
        <v>3200</v>
      </c>
      <c r="J4395"/>
    </row>
    <row r="4396" spans="1:10">
      <c r="A4396" t="s">
        <v>4307</v>
      </c>
      <c r="B4396">
        <v>815799</v>
      </c>
      <c r="C4396">
        <v>1</v>
      </c>
      <c r="D4396" t="str">
        <f t="shared" si="68"/>
        <v>1815799.989</v>
      </c>
      <c r="E4396" t="s">
        <v>4575</v>
      </c>
      <c r="F4396" s="242"/>
      <c r="G4396"/>
      <c r="H4396" s="242">
        <v>0</v>
      </c>
      <c r="I4396" s="242">
        <v>306183</v>
      </c>
      <c r="J4396"/>
    </row>
    <row r="4397" spans="1:10">
      <c r="A4397" t="s">
        <v>3662</v>
      </c>
      <c r="B4397">
        <v>816400</v>
      </c>
      <c r="C4397">
        <v>1</v>
      </c>
      <c r="D4397" t="str">
        <f t="shared" si="68"/>
        <v>1816400.820</v>
      </c>
      <c r="E4397" t="s">
        <v>4435</v>
      </c>
      <c r="F4397" s="242"/>
      <c r="G4397"/>
      <c r="H4397" s="242">
        <v>3500000</v>
      </c>
      <c r="I4397" s="242">
        <v>0</v>
      </c>
      <c r="J4397"/>
    </row>
    <row r="4398" spans="1:10">
      <c r="A4398" t="s">
        <v>1176</v>
      </c>
      <c r="B4398">
        <v>816400</v>
      </c>
      <c r="C4398">
        <v>1</v>
      </c>
      <c r="D4398" t="str">
        <f t="shared" si="68"/>
        <v>1816400.821</v>
      </c>
      <c r="E4398" t="s">
        <v>4436</v>
      </c>
      <c r="F4398" s="242"/>
      <c r="G4398"/>
      <c r="H4398" s="242">
        <v>0</v>
      </c>
      <c r="I4398" s="242">
        <v>79355</v>
      </c>
      <c r="J4398"/>
    </row>
    <row r="4399" spans="1:10">
      <c r="A4399" t="s">
        <v>1181</v>
      </c>
      <c r="B4399">
        <v>816400</v>
      </c>
      <c r="C4399">
        <v>1</v>
      </c>
      <c r="D4399" t="str">
        <f t="shared" si="68"/>
        <v>1816400.822</v>
      </c>
      <c r="E4399" t="s">
        <v>4437</v>
      </c>
      <c r="F4399" s="242"/>
      <c r="G4399"/>
      <c r="H4399" s="242">
        <v>0</v>
      </c>
      <c r="I4399" s="242">
        <v>110612</v>
      </c>
      <c r="J4399"/>
    </row>
    <row r="4400" spans="1:10">
      <c r="A4400" t="s">
        <v>1186</v>
      </c>
      <c r="B4400">
        <v>816400</v>
      </c>
      <c r="C4400">
        <v>1</v>
      </c>
      <c r="D4400" t="str">
        <f t="shared" si="68"/>
        <v>1816400.823</v>
      </c>
      <c r="E4400" t="s">
        <v>4438</v>
      </c>
      <c r="F4400" s="242"/>
      <c r="G4400"/>
      <c r="H4400" s="242">
        <v>0</v>
      </c>
      <c r="I4400" s="242">
        <v>273316</v>
      </c>
      <c r="J4400"/>
    </row>
    <row r="4401" spans="1:10">
      <c r="A4401" t="s">
        <v>1191</v>
      </c>
      <c r="B4401">
        <v>816400</v>
      </c>
      <c r="C4401">
        <v>1</v>
      </c>
      <c r="D4401" t="str">
        <f t="shared" si="68"/>
        <v>1816400.824</v>
      </c>
      <c r="E4401" t="s">
        <v>4439</v>
      </c>
      <c r="F4401" s="242"/>
      <c r="G4401"/>
      <c r="H4401" s="242">
        <v>0</v>
      </c>
      <c r="I4401" s="242">
        <v>398647</v>
      </c>
      <c r="J4401"/>
    </row>
    <row r="4402" spans="1:10">
      <c r="A4402" t="s">
        <v>1196</v>
      </c>
      <c r="B4402">
        <v>816400</v>
      </c>
      <c r="C4402">
        <v>1</v>
      </c>
      <c r="D4402" t="str">
        <f t="shared" si="68"/>
        <v>1816400.825</v>
      </c>
      <c r="E4402" t="s">
        <v>4440</v>
      </c>
      <c r="F4402" s="242"/>
      <c r="G4402"/>
      <c r="H4402" s="242">
        <v>0</v>
      </c>
      <c r="I4402" s="242">
        <v>70972</v>
      </c>
      <c r="J4402"/>
    </row>
    <row r="4403" spans="1:10">
      <c r="A4403" t="s">
        <v>1216</v>
      </c>
      <c r="B4403">
        <v>816400</v>
      </c>
      <c r="C4403">
        <v>1</v>
      </c>
      <c r="D4403" t="str">
        <f t="shared" si="68"/>
        <v>1816400.826</v>
      </c>
      <c r="E4403" t="s">
        <v>4441</v>
      </c>
      <c r="F4403" s="242"/>
      <c r="G4403"/>
      <c r="H4403" s="242">
        <v>0</v>
      </c>
      <c r="I4403" s="242">
        <v>85663</v>
      </c>
      <c r="J4403"/>
    </row>
    <row r="4404" spans="1:10">
      <c r="A4404" t="s">
        <v>2419</v>
      </c>
      <c r="B4404">
        <v>816400</v>
      </c>
      <c r="C4404">
        <v>1</v>
      </c>
      <c r="D4404" t="str">
        <f t="shared" si="68"/>
        <v>1816400.829</v>
      </c>
      <c r="E4404" t="s">
        <v>4442</v>
      </c>
      <c r="F4404" s="242"/>
      <c r="G4404"/>
      <c r="H4404" s="242">
        <v>0</v>
      </c>
      <c r="I4404" s="242">
        <v>212260</v>
      </c>
      <c r="J4404"/>
    </row>
    <row r="4405" spans="1:10">
      <c r="A4405" t="s">
        <v>1176</v>
      </c>
      <c r="B4405">
        <v>816410</v>
      </c>
      <c r="C4405">
        <v>1</v>
      </c>
      <c r="D4405" t="str">
        <f t="shared" si="68"/>
        <v>1816410.821</v>
      </c>
      <c r="E4405" t="s">
        <v>4443</v>
      </c>
      <c r="F4405" s="242"/>
      <c r="G4405"/>
      <c r="H4405" s="242">
        <v>0</v>
      </c>
      <c r="I4405" s="242">
        <v>411403</v>
      </c>
      <c r="J4405"/>
    </row>
    <row r="4406" spans="1:10">
      <c r="A4406" t="s">
        <v>1181</v>
      </c>
      <c r="B4406">
        <v>816410</v>
      </c>
      <c r="C4406">
        <v>1</v>
      </c>
      <c r="D4406" t="str">
        <f t="shared" si="68"/>
        <v>1816410.822</v>
      </c>
      <c r="E4406" t="s">
        <v>4444</v>
      </c>
      <c r="F4406" s="242"/>
      <c r="G4406"/>
      <c r="H4406" s="242">
        <v>0</v>
      </c>
      <c r="I4406" s="242">
        <v>399521</v>
      </c>
      <c r="J4406"/>
    </row>
    <row r="4407" spans="1:10">
      <c r="A4407" t="s">
        <v>1186</v>
      </c>
      <c r="B4407">
        <v>816410</v>
      </c>
      <c r="C4407">
        <v>1</v>
      </c>
      <c r="D4407" t="str">
        <f t="shared" si="68"/>
        <v>1816410.823</v>
      </c>
      <c r="E4407" t="s">
        <v>4445</v>
      </c>
      <c r="F4407" s="242"/>
      <c r="G4407"/>
      <c r="H4407" s="242">
        <v>0</v>
      </c>
      <c r="I4407" s="242">
        <v>95797</v>
      </c>
      <c r="J4407"/>
    </row>
    <row r="4408" spans="1:10">
      <c r="A4408" t="s">
        <v>1191</v>
      </c>
      <c r="B4408">
        <v>816410</v>
      </c>
      <c r="C4408">
        <v>1</v>
      </c>
      <c r="D4408" t="str">
        <f t="shared" si="68"/>
        <v>1816410.824</v>
      </c>
      <c r="E4408" t="s">
        <v>4446</v>
      </c>
      <c r="F4408" s="242"/>
      <c r="G4408"/>
      <c r="H4408" s="242">
        <v>0</v>
      </c>
      <c r="I4408" s="242">
        <v>51186</v>
      </c>
      <c r="J4408"/>
    </row>
    <row r="4409" spans="1:10">
      <c r="A4409" t="s">
        <v>1216</v>
      </c>
      <c r="B4409">
        <v>816410</v>
      </c>
      <c r="C4409">
        <v>1</v>
      </c>
      <c r="D4409" t="str">
        <f t="shared" si="68"/>
        <v>1816410.826</v>
      </c>
      <c r="E4409" t="s">
        <v>4447</v>
      </c>
      <c r="F4409" s="242"/>
      <c r="G4409"/>
      <c r="H4409" s="242">
        <v>0</v>
      </c>
      <c r="I4409" s="242">
        <v>64007</v>
      </c>
      <c r="J4409"/>
    </row>
    <row r="4410" spans="1:10">
      <c r="A4410" t="s">
        <v>1241</v>
      </c>
      <c r="B4410">
        <v>816410</v>
      </c>
      <c r="C4410">
        <v>1</v>
      </c>
      <c r="D4410" t="str">
        <f t="shared" si="68"/>
        <v>1816410.827</v>
      </c>
      <c r="E4410" t="s">
        <v>4448</v>
      </c>
      <c r="F4410" s="242"/>
      <c r="G4410"/>
      <c r="H4410" s="242">
        <v>0</v>
      </c>
      <c r="I4410" s="242">
        <v>153804</v>
      </c>
      <c r="J4410"/>
    </row>
    <row r="4411" spans="1:10">
      <c r="A4411" t="s">
        <v>1245</v>
      </c>
      <c r="B4411">
        <v>816410</v>
      </c>
      <c r="C4411">
        <v>1</v>
      </c>
      <c r="D4411" t="str">
        <f t="shared" si="68"/>
        <v>1816410.828</v>
      </c>
      <c r="E4411" t="s">
        <v>4449</v>
      </c>
      <c r="F4411" s="242"/>
      <c r="G4411"/>
      <c r="H4411" s="242">
        <v>0</v>
      </c>
      <c r="I4411" s="242">
        <v>104095</v>
      </c>
      <c r="J4411"/>
    </row>
    <row r="4412" spans="1:10">
      <c r="A4412" t="s">
        <v>2419</v>
      </c>
      <c r="B4412">
        <v>816410</v>
      </c>
      <c r="C4412">
        <v>1</v>
      </c>
      <c r="D4412" t="str">
        <f t="shared" si="68"/>
        <v>1816410.829</v>
      </c>
      <c r="E4412" t="s">
        <v>4450</v>
      </c>
      <c r="F4412" s="242"/>
      <c r="G4412"/>
      <c r="H4412" s="242">
        <v>0</v>
      </c>
      <c r="I4412" s="242">
        <v>94271</v>
      </c>
      <c r="J4412"/>
    </row>
    <row r="4413" spans="1:10">
      <c r="A4413" t="s">
        <v>1176</v>
      </c>
      <c r="B4413">
        <v>816420</v>
      </c>
      <c r="C4413">
        <v>1</v>
      </c>
      <c r="D4413" t="str">
        <f t="shared" si="68"/>
        <v>1816420.821</v>
      </c>
      <c r="E4413" t="s">
        <v>4451</v>
      </c>
      <c r="F4413" s="242"/>
      <c r="G4413"/>
      <c r="H4413" s="242">
        <v>0</v>
      </c>
      <c r="I4413" s="242">
        <v>193910</v>
      </c>
      <c r="J4413"/>
    </row>
    <row r="4414" spans="1:10">
      <c r="A4414" t="s">
        <v>1191</v>
      </c>
      <c r="B4414">
        <v>816420</v>
      </c>
      <c r="C4414">
        <v>1</v>
      </c>
      <c r="D4414" t="str">
        <f t="shared" si="68"/>
        <v>1816420.824</v>
      </c>
      <c r="E4414" t="s">
        <v>4452</v>
      </c>
      <c r="F4414" s="242"/>
      <c r="G4414"/>
      <c r="H4414" s="242">
        <v>0</v>
      </c>
      <c r="I4414" s="242">
        <v>99870</v>
      </c>
      <c r="J4414"/>
    </row>
    <row r="4415" spans="1:10">
      <c r="A4415" t="s">
        <v>1196</v>
      </c>
      <c r="B4415">
        <v>816420</v>
      </c>
      <c r="C4415">
        <v>1</v>
      </c>
      <c r="D4415" t="str">
        <f t="shared" si="68"/>
        <v>1816420.825</v>
      </c>
      <c r="E4415" t="s">
        <v>4453</v>
      </c>
      <c r="F4415" s="242"/>
      <c r="G4415"/>
      <c r="H4415" s="242">
        <v>0</v>
      </c>
      <c r="I4415" s="242">
        <v>44394</v>
      </c>
      <c r="J4415"/>
    </row>
    <row r="4416" spans="1:10">
      <c r="A4416" t="s">
        <v>1245</v>
      </c>
      <c r="B4416">
        <v>816420</v>
      </c>
      <c r="C4416">
        <v>1</v>
      </c>
      <c r="D4416" t="str">
        <f t="shared" si="68"/>
        <v>1816420.828</v>
      </c>
      <c r="E4416" t="s">
        <v>4454</v>
      </c>
      <c r="F4416" s="242"/>
      <c r="G4416"/>
      <c r="H4416" s="242">
        <v>0</v>
      </c>
      <c r="I4416" s="242">
        <v>9272</v>
      </c>
      <c r="J4416"/>
    </row>
    <row r="4417" spans="1:10">
      <c r="A4417" t="s">
        <v>2419</v>
      </c>
      <c r="B4417">
        <v>816420</v>
      </c>
      <c r="C4417">
        <v>1</v>
      </c>
      <c r="D4417" t="str">
        <f t="shared" si="68"/>
        <v>1816420.829</v>
      </c>
      <c r="E4417" t="s">
        <v>4455</v>
      </c>
      <c r="F4417" s="242"/>
      <c r="G4417"/>
      <c r="H4417" s="242">
        <v>0</v>
      </c>
      <c r="I4417" s="242">
        <v>82659</v>
      </c>
      <c r="J4417"/>
    </row>
    <row r="4418" spans="1:10">
      <c r="A4418" t="s">
        <v>1176</v>
      </c>
      <c r="B4418">
        <v>816430</v>
      </c>
      <c r="C4418">
        <v>1</v>
      </c>
      <c r="D4418" t="str">
        <f t="shared" si="68"/>
        <v>1816430.821</v>
      </c>
      <c r="E4418" t="s">
        <v>4456</v>
      </c>
      <c r="F4418" s="242"/>
      <c r="G4418"/>
      <c r="H4418" s="242">
        <v>0</v>
      </c>
      <c r="I4418" s="242">
        <v>153699</v>
      </c>
      <c r="J4418"/>
    </row>
    <row r="4419" spans="1:10">
      <c r="A4419" t="s">
        <v>1181</v>
      </c>
      <c r="B4419">
        <v>816430</v>
      </c>
      <c r="C4419">
        <v>1</v>
      </c>
      <c r="D4419" t="str">
        <f t="shared" ref="D4419:D4482" si="69">C4419&amp;B4419&amp;"."&amp;A4419</f>
        <v>1816430.822</v>
      </c>
      <c r="E4419" t="s">
        <v>4457</v>
      </c>
      <c r="F4419" s="242"/>
      <c r="G4419"/>
      <c r="H4419" s="242">
        <v>0</v>
      </c>
      <c r="I4419" s="242">
        <v>31048</v>
      </c>
      <c r="J4419"/>
    </row>
    <row r="4420" spans="1:10">
      <c r="A4420" t="s">
        <v>1186</v>
      </c>
      <c r="B4420">
        <v>816430</v>
      </c>
      <c r="C4420">
        <v>1</v>
      </c>
      <c r="D4420" t="str">
        <f t="shared" si="69"/>
        <v>1816430.823</v>
      </c>
      <c r="E4420" t="s">
        <v>4458</v>
      </c>
      <c r="F4420" s="242"/>
      <c r="G4420"/>
      <c r="H4420" s="242">
        <v>0</v>
      </c>
      <c r="I4420" s="242">
        <v>30168</v>
      </c>
      <c r="J4420"/>
    </row>
    <row r="4421" spans="1:10">
      <c r="A4421" t="s">
        <v>2403</v>
      </c>
      <c r="B4421">
        <v>817100</v>
      </c>
      <c r="C4421">
        <v>1</v>
      </c>
      <c r="D4421" t="str">
        <f t="shared" si="69"/>
        <v>1817100.110</v>
      </c>
      <c r="E4421" t="s">
        <v>2573</v>
      </c>
      <c r="F4421" s="242"/>
      <c r="G4421"/>
      <c r="H4421" s="242">
        <v>430241</v>
      </c>
      <c r="I4421" s="242">
        <v>356914</v>
      </c>
      <c r="J4421"/>
    </row>
    <row r="4422" spans="1:10">
      <c r="A4422" t="s">
        <v>2404</v>
      </c>
      <c r="B4422">
        <v>817100</v>
      </c>
      <c r="C4422">
        <v>1</v>
      </c>
      <c r="D4422" t="str">
        <f t="shared" si="69"/>
        <v>1817100.120</v>
      </c>
      <c r="E4422" t="s">
        <v>2574</v>
      </c>
      <c r="F4422" s="242"/>
      <c r="G4422"/>
      <c r="H4422" s="242">
        <v>154220</v>
      </c>
      <c r="I4422" s="242">
        <v>128933</v>
      </c>
      <c r="J4422"/>
    </row>
    <row r="4423" spans="1:10">
      <c r="A4423" t="s">
        <v>2575</v>
      </c>
      <c r="B4423">
        <v>817100</v>
      </c>
      <c r="C4423">
        <v>1</v>
      </c>
      <c r="D4423" t="str">
        <f t="shared" si="69"/>
        <v>1817100.130</v>
      </c>
      <c r="E4423" t="s">
        <v>2576</v>
      </c>
      <c r="F4423" s="242"/>
      <c r="G4423"/>
      <c r="H4423" s="242">
        <v>44380</v>
      </c>
      <c r="I4423" s="242">
        <v>30505</v>
      </c>
      <c r="J4423"/>
    </row>
    <row r="4424" spans="1:10">
      <c r="A4424" t="s">
        <v>2577</v>
      </c>
      <c r="B4424">
        <v>817100</v>
      </c>
      <c r="C4424">
        <v>1</v>
      </c>
      <c r="D4424" t="str">
        <f t="shared" si="69"/>
        <v>1817100.140</v>
      </c>
      <c r="E4424" t="s">
        <v>2578</v>
      </c>
      <c r="F4424" s="242"/>
      <c r="G4424"/>
      <c r="H4424" s="242">
        <v>179495</v>
      </c>
      <c r="I4424" s="242">
        <v>151662</v>
      </c>
      <c r="J4424"/>
    </row>
    <row r="4425" spans="1:10">
      <c r="A4425" t="s">
        <v>2579</v>
      </c>
      <c r="B4425">
        <v>817100</v>
      </c>
      <c r="C4425">
        <v>1</v>
      </c>
      <c r="D4425" t="str">
        <f t="shared" si="69"/>
        <v>1817100.181</v>
      </c>
      <c r="E4425" t="s">
        <v>2580</v>
      </c>
      <c r="F4425" s="242"/>
      <c r="G4425"/>
      <c r="H4425" s="242">
        <v>124329</v>
      </c>
      <c r="I4425" s="242">
        <v>102482</v>
      </c>
      <c r="J4425"/>
    </row>
    <row r="4426" spans="1:10">
      <c r="A4426" t="s">
        <v>2581</v>
      </c>
      <c r="B4426">
        <v>817100</v>
      </c>
      <c r="C4426">
        <v>1</v>
      </c>
      <c r="D4426" t="str">
        <f t="shared" si="69"/>
        <v>1817100.182</v>
      </c>
      <c r="E4426" t="s">
        <v>2582</v>
      </c>
      <c r="F4426" s="242"/>
      <c r="G4426"/>
      <c r="H4426" s="242">
        <v>61417</v>
      </c>
      <c r="I4426" s="242">
        <v>50713</v>
      </c>
      <c r="J4426"/>
    </row>
    <row r="4427" spans="1:10">
      <c r="A4427" t="s">
        <v>2590</v>
      </c>
      <c r="B4427">
        <v>817100</v>
      </c>
      <c r="C4427">
        <v>1</v>
      </c>
      <c r="D4427" t="str">
        <f t="shared" si="69"/>
        <v>1817100.523</v>
      </c>
      <c r="E4427" t="s">
        <v>3244</v>
      </c>
      <c r="F4427" s="242"/>
      <c r="G4427"/>
      <c r="H4427" s="242">
        <v>1000</v>
      </c>
      <c r="I4427" s="242">
        <v>710</v>
      </c>
      <c r="J4427"/>
    </row>
    <row r="4428" spans="1:10">
      <c r="A4428" t="s">
        <v>2603</v>
      </c>
      <c r="B4428">
        <v>817100</v>
      </c>
      <c r="C4428">
        <v>1</v>
      </c>
      <c r="D4428" t="str">
        <f t="shared" si="69"/>
        <v>1817100.759</v>
      </c>
      <c r="E4428" t="s">
        <v>3245</v>
      </c>
      <c r="F4428" s="242"/>
      <c r="G4428"/>
      <c r="H4428" s="242">
        <v>6553000</v>
      </c>
      <c r="I4428" s="242">
        <v>5826387</v>
      </c>
      <c r="J4428"/>
    </row>
    <row r="4429" spans="1:10">
      <c r="A4429" t="s">
        <v>547</v>
      </c>
      <c r="B4429">
        <v>817110</v>
      </c>
      <c r="C4429">
        <v>1</v>
      </c>
      <c r="D4429" t="str">
        <f t="shared" si="69"/>
        <v>1817110.722</v>
      </c>
      <c r="E4429" t="s">
        <v>3243</v>
      </c>
      <c r="F4429" s="242"/>
      <c r="G4429"/>
      <c r="H4429" s="242">
        <v>283000</v>
      </c>
      <c r="I4429" s="242">
        <v>199352</v>
      </c>
      <c r="J4429"/>
    </row>
    <row r="4430" spans="1:10">
      <c r="A4430" t="s">
        <v>2403</v>
      </c>
      <c r="B4430">
        <v>817200</v>
      </c>
      <c r="C4430">
        <v>1</v>
      </c>
      <c r="D4430" t="str">
        <f t="shared" si="69"/>
        <v>1817200.110</v>
      </c>
      <c r="E4430" t="s">
        <v>2573</v>
      </c>
      <c r="F4430" s="242"/>
      <c r="G4430"/>
      <c r="H4430" s="242">
        <v>757826</v>
      </c>
      <c r="I4430" s="242">
        <v>700788</v>
      </c>
      <c r="J4430"/>
    </row>
    <row r="4431" spans="1:10">
      <c r="A4431" t="s">
        <v>2404</v>
      </c>
      <c r="B4431">
        <v>817200</v>
      </c>
      <c r="C4431">
        <v>1</v>
      </c>
      <c r="D4431" t="str">
        <f t="shared" si="69"/>
        <v>1817200.120</v>
      </c>
      <c r="E4431" t="s">
        <v>2574</v>
      </c>
      <c r="F4431" s="242"/>
      <c r="G4431"/>
      <c r="H4431" s="242">
        <v>53337</v>
      </c>
      <c r="I4431" s="242">
        <v>51499</v>
      </c>
      <c r="J4431"/>
    </row>
    <row r="4432" spans="1:10">
      <c r="A4432" t="s">
        <v>2575</v>
      </c>
      <c r="B4432">
        <v>817200</v>
      </c>
      <c r="C4432">
        <v>1</v>
      </c>
      <c r="D4432" t="str">
        <f t="shared" si="69"/>
        <v>1817200.130</v>
      </c>
      <c r="E4432" t="s">
        <v>2576</v>
      </c>
      <c r="F4432" s="242"/>
      <c r="G4432"/>
      <c r="H4432" s="242">
        <v>12160</v>
      </c>
      <c r="I4432" s="242">
        <v>24685</v>
      </c>
      <c r="J4432"/>
    </row>
    <row r="4433" spans="1:10">
      <c r="A4433" t="s">
        <v>2577</v>
      </c>
      <c r="B4433">
        <v>817200</v>
      </c>
      <c r="C4433">
        <v>1</v>
      </c>
      <c r="D4433" t="str">
        <f t="shared" si="69"/>
        <v>1817200.140</v>
      </c>
      <c r="E4433" t="s">
        <v>2578</v>
      </c>
      <c r="F4433" s="242"/>
      <c r="G4433"/>
      <c r="H4433" s="242">
        <v>135769</v>
      </c>
      <c r="I4433" s="242">
        <v>121952</v>
      </c>
      <c r="J4433"/>
    </row>
    <row r="4434" spans="1:10">
      <c r="A4434" t="s">
        <v>2579</v>
      </c>
      <c r="B4434">
        <v>817200</v>
      </c>
      <c r="C4434">
        <v>1</v>
      </c>
      <c r="D4434" t="str">
        <f t="shared" si="69"/>
        <v>1817200.181</v>
      </c>
      <c r="E4434" t="s">
        <v>2580</v>
      </c>
      <c r="F4434" s="242"/>
      <c r="G4434"/>
      <c r="H4434" s="242">
        <v>192962</v>
      </c>
      <c r="I4434" s="242">
        <v>176749</v>
      </c>
      <c r="J4434"/>
    </row>
    <row r="4435" spans="1:10">
      <c r="A4435" t="s">
        <v>2581</v>
      </c>
      <c r="B4435">
        <v>817200</v>
      </c>
      <c r="C4435">
        <v>1</v>
      </c>
      <c r="D4435" t="str">
        <f t="shared" si="69"/>
        <v>1817200.182</v>
      </c>
      <c r="E4435" t="s">
        <v>2582</v>
      </c>
      <c r="F4435" s="242"/>
      <c r="G4435"/>
      <c r="H4435" s="242">
        <v>72573</v>
      </c>
      <c r="I4435" s="242">
        <v>68007</v>
      </c>
      <c r="J4435"/>
    </row>
    <row r="4436" spans="1:10">
      <c r="A4436" t="s">
        <v>2606</v>
      </c>
      <c r="B4436">
        <v>817200</v>
      </c>
      <c r="C4436">
        <v>1</v>
      </c>
      <c r="D4436" t="str">
        <f t="shared" si="69"/>
        <v>1817200.440</v>
      </c>
      <c r="E4436" t="s">
        <v>2657</v>
      </c>
      <c r="F4436" s="242"/>
      <c r="G4436"/>
      <c r="H4436" s="242">
        <v>8600</v>
      </c>
      <c r="I4436" s="242">
        <v>8329</v>
      </c>
      <c r="J4436"/>
    </row>
    <row r="4437" spans="1:10">
      <c r="A4437" t="s">
        <v>776</v>
      </c>
      <c r="B4437">
        <v>817200</v>
      </c>
      <c r="C4437">
        <v>1</v>
      </c>
      <c r="D4437" t="str">
        <f t="shared" si="69"/>
        <v>1817200.752</v>
      </c>
      <c r="E4437" t="s">
        <v>3156</v>
      </c>
      <c r="F4437" s="242"/>
      <c r="G4437"/>
      <c r="H4437" s="242">
        <v>5000</v>
      </c>
      <c r="I4437" s="242">
        <v>0</v>
      </c>
      <c r="J4437"/>
    </row>
    <row r="4438" spans="1:10">
      <c r="A4438" t="s">
        <v>2632</v>
      </c>
      <c r="B4438">
        <v>817200</v>
      </c>
      <c r="C4438">
        <v>1</v>
      </c>
      <c r="D4438" t="str">
        <f t="shared" si="69"/>
        <v>1817200.780</v>
      </c>
      <c r="E4438" t="s">
        <v>3508</v>
      </c>
      <c r="F4438" s="242"/>
      <c r="G4438"/>
      <c r="H4438" s="242">
        <v>40000</v>
      </c>
      <c r="I4438" s="242">
        <v>0</v>
      </c>
      <c r="J4438"/>
    </row>
    <row r="4439" spans="1:10">
      <c r="A4439" t="s">
        <v>2859</v>
      </c>
      <c r="B4439">
        <v>817200</v>
      </c>
      <c r="C4439">
        <v>1</v>
      </c>
      <c r="D4439" t="str">
        <f t="shared" si="69"/>
        <v>1817200.870</v>
      </c>
      <c r="E4439" t="s">
        <v>3509</v>
      </c>
      <c r="F4439" s="242"/>
      <c r="G4439"/>
      <c r="H4439" s="242">
        <v>180000</v>
      </c>
      <c r="I4439" s="242">
        <v>180000</v>
      </c>
      <c r="J4439"/>
    </row>
    <row r="4440" spans="1:10">
      <c r="A4440" t="s">
        <v>2881</v>
      </c>
      <c r="B4440">
        <v>817200</v>
      </c>
      <c r="C4440">
        <v>1</v>
      </c>
      <c r="D4440" t="str">
        <f t="shared" si="69"/>
        <v>1817200.871</v>
      </c>
      <c r="E4440" t="s">
        <v>3510</v>
      </c>
      <c r="F4440" s="242"/>
      <c r="G4440"/>
      <c r="H4440" s="242">
        <v>190000</v>
      </c>
      <c r="I4440" s="242">
        <v>116780</v>
      </c>
      <c r="J4440"/>
    </row>
    <row r="4441" spans="1:10">
      <c r="A4441" t="s">
        <v>2403</v>
      </c>
      <c r="B4441">
        <v>817310</v>
      </c>
      <c r="C4441">
        <v>1</v>
      </c>
      <c r="D4441" t="str">
        <f t="shared" si="69"/>
        <v>1817310.110</v>
      </c>
      <c r="E4441" t="s">
        <v>3399</v>
      </c>
      <c r="F4441" s="242"/>
      <c r="G4441"/>
      <c r="H4441" s="242">
        <v>289054</v>
      </c>
      <c r="I4441" s="242">
        <v>273331</v>
      </c>
      <c r="J4441"/>
    </row>
    <row r="4442" spans="1:10">
      <c r="A4442" t="s">
        <v>2404</v>
      </c>
      <c r="B4442">
        <v>817310</v>
      </c>
      <c r="C4442">
        <v>1</v>
      </c>
      <c r="D4442" t="str">
        <f t="shared" si="69"/>
        <v>1817310.120</v>
      </c>
      <c r="E4442" t="s">
        <v>2574</v>
      </c>
      <c r="F4442" s="242"/>
      <c r="G4442"/>
      <c r="H4442" s="242">
        <v>36203</v>
      </c>
      <c r="I4442" s="242">
        <v>34731</v>
      </c>
      <c r="J4442"/>
    </row>
    <row r="4443" spans="1:10">
      <c r="A4443" t="s">
        <v>2575</v>
      </c>
      <c r="B4443">
        <v>817310</v>
      </c>
      <c r="C4443">
        <v>1</v>
      </c>
      <c r="D4443" t="str">
        <f t="shared" si="69"/>
        <v>1817310.130</v>
      </c>
      <c r="E4443" t="s">
        <v>2576</v>
      </c>
      <c r="F4443" s="242"/>
      <c r="G4443"/>
      <c r="H4443" s="242">
        <v>1852</v>
      </c>
      <c r="I4443" s="242">
        <v>1010</v>
      </c>
      <c r="J4443"/>
    </row>
    <row r="4444" spans="1:10">
      <c r="A4444" t="s">
        <v>2577</v>
      </c>
      <c r="B4444">
        <v>817310</v>
      </c>
      <c r="C4444">
        <v>1</v>
      </c>
      <c r="D4444" t="str">
        <f t="shared" si="69"/>
        <v>1817310.140</v>
      </c>
      <c r="E4444" t="s">
        <v>2578</v>
      </c>
      <c r="F4444" s="242"/>
      <c r="G4444"/>
      <c r="H4444" s="242">
        <v>31881</v>
      </c>
      <c r="I4444" s="242">
        <v>28795</v>
      </c>
      <c r="J4444"/>
    </row>
    <row r="4445" spans="1:10">
      <c r="A4445" t="s">
        <v>2579</v>
      </c>
      <c r="B4445">
        <v>817310</v>
      </c>
      <c r="C4445">
        <v>1</v>
      </c>
      <c r="D4445" t="str">
        <f t="shared" si="69"/>
        <v>1817310.181</v>
      </c>
      <c r="E4445" t="s">
        <v>2580</v>
      </c>
      <c r="F4445" s="242"/>
      <c r="G4445"/>
      <c r="H4445" s="242">
        <v>63311</v>
      </c>
      <c r="I4445" s="242">
        <v>59849</v>
      </c>
      <c r="J4445"/>
    </row>
    <row r="4446" spans="1:10">
      <c r="A4446" t="s">
        <v>2581</v>
      </c>
      <c r="B4446">
        <v>817310</v>
      </c>
      <c r="C4446">
        <v>1</v>
      </c>
      <c r="D4446" t="str">
        <f t="shared" si="69"/>
        <v>1817310.182</v>
      </c>
      <c r="E4446" t="s">
        <v>2582</v>
      </c>
      <c r="F4446" s="242"/>
      <c r="G4446"/>
      <c r="H4446" s="242">
        <v>26218</v>
      </c>
      <c r="I4446" s="242">
        <v>25519</v>
      </c>
      <c r="J4446"/>
    </row>
    <row r="4447" spans="1:10">
      <c r="A4447" t="s">
        <v>2652</v>
      </c>
      <c r="B4447">
        <v>817310</v>
      </c>
      <c r="C4447">
        <v>1</v>
      </c>
      <c r="D4447" t="str">
        <f t="shared" si="69"/>
        <v>1817310.420</v>
      </c>
      <c r="E4447" t="s">
        <v>2653</v>
      </c>
      <c r="F4447" s="242"/>
      <c r="G4447"/>
      <c r="H4447" s="242">
        <v>22000</v>
      </c>
      <c r="I4447" s="242">
        <v>2988</v>
      </c>
      <c r="J4447"/>
    </row>
    <row r="4448" spans="1:10">
      <c r="A4448" t="s">
        <v>1663</v>
      </c>
      <c r="B4448">
        <v>817310</v>
      </c>
      <c r="C4448">
        <v>1</v>
      </c>
      <c r="D4448" t="str">
        <f t="shared" si="69"/>
        <v>1817310.431</v>
      </c>
      <c r="E4448" t="s">
        <v>2654</v>
      </c>
      <c r="F4448" s="242"/>
      <c r="G4448"/>
      <c r="H4448" s="242">
        <v>48700</v>
      </c>
      <c r="I4448" s="242">
        <v>49649</v>
      </c>
      <c r="J4448"/>
    </row>
    <row r="4449" spans="1:10">
      <c r="A4449" t="s">
        <v>1668</v>
      </c>
      <c r="B4449">
        <v>817310</v>
      </c>
      <c r="C4449">
        <v>1</v>
      </c>
      <c r="D4449" t="str">
        <f t="shared" si="69"/>
        <v>1817310.432</v>
      </c>
      <c r="E4449" t="s">
        <v>2687</v>
      </c>
      <c r="F4449" s="242"/>
      <c r="G4449"/>
      <c r="H4449" s="242">
        <v>0</v>
      </c>
      <c r="I4449" s="242">
        <v>169</v>
      </c>
      <c r="J4449"/>
    </row>
    <row r="4450" spans="1:10">
      <c r="A4450" t="s">
        <v>1678</v>
      </c>
      <c r="B4450">
        <v>817310</v>
      </c>
      <c r="C4450">
        <v>1</v>
      </c>
      <c r="D4450" t="str">
        <f t="shared" si="69"/>
        <v>1817310.434</v>
      </c>
      <c r="E4450" t="s">
        <v>2753</v>
      </c>
      <c r="F4450" s="242"/>
      <c r="G4450"/>
      <c r="H4450" s="242">
        <v>83000</v>
      </c>
      <c r="I4450" s="242">
        <v>73434</v>
      </c>
      <c r="J4450"/>
    </row>
    <row r="4451" spans="1:10">
      <c r="A4451" t="s">
        <v>2606</v>
      </c>
      <c r="B4451">
        <v>817310</v>
      </c>
      <c r="C4451">
        <v>1</v>
      </c>
      <c r="D4451" t="str">
        <f t="shared" si="69"/>
        <v>1817310.440</v>
      </c>
      <c r="E4451" t="s">
        <v>2657</v>
      </c>
      <c r="F4451" s="242"/>
      <c r="G4451"/>
      <c r="H4451" s="242">
        <v>3400</v>
      </c>
      <c r="I4451" s="242">
        <v>3312</v>
      </c>
      <c r="J4451"/>
    </row>
    <row r="4452" spans="1:10">
      <c r="A4452" t="s">
        <v>2411</v>
      </c>
      <c r="B4452">
        <v>817310</v>
      </c>
      <c r="C4452">
        <v>1</v>
      </c>
      <c r="D4452" t="str">
        <f t="shared" si="69"/>
        <v>1817310.470</v>
      </c>
      <c r="E4452" t="s">
        <v>2660</v>
      </c>
      <c r="F4452" s="242"/>
      <c r="G4452"/>
      <c r="H4452" s="242">
        <v>4500</v>
      </c>
      <c r="I4452" s="242">
        <v>3223</v>
      </c>
      <c r="J4452"/>
    </row>
    <row r="4453" spans="1:10">
      <c r="A4453" t="s">
        <v>2286</v>
      </c>
      <c r="B4453">
        <v>817310</v>
      </c>
      <c r="C4453">
        <v>1</v>
      </c>
      <c r="D4453" t="str">
        <f t="shared" si="69"/>
        <v>1817310.511</v>
      </c>
      <c r="E4453" t="s">
        <v>2584</v>
      </c>
      <c r="F4453" s="242"/>
      <c r="G4453"/>
      <c r="H4453" s="242">
        <v>2500</v>
      </c>
      <c r="I4453" s="242">
        <v>1446</v>
      </c>
      <c r="J4453"/>
    </row>
    <row r="4454" spans="1:10">
      <c r="A4454" t="s">
        <v>2644</v>
      </c>
      <c r="B4454">
        <v>817310</v>
      </c>
      <c r="C4454">
        <v>1</v>
      </c>
      <c r="D4454" t="str">
        <f t="shared" si="69"/>
        <v>1817310.521</v>
      </c>
      <c r="E4454" t="s">
        <v>3516</v>
      </c>
      <c r="F4454" s="242"/>
      <c r="G4454"/>
      <c r="H4454" s="242">
        <v>48000</v>
      </c>
      <c r="I4454" s="242">
        <v>0</v>
      </c>
      <c r="J4454"/>
    </row>
    <row r="4455" spans="1:10">
      <c r="A4455" t="s">
        <v>2588</v>
      </c>
      <c r="B4455">
        <v>817310</v>
      </c>
      <c r="C4455">
        <v>1</v>
      </c>
      <c r="D4455" t="str">
        <f t="shared" si="69"/>
        <v>1817310.522</v>
      </c>
      <c r="E4455" t="s">
        <v>3517</v>
      </c>
      <c r="F4455" s="242"/>
      <c r="G4455"/>
      <c r="H4455" s="242">
        <v>3500</v>
      </c>
      <c r="I4455" s="242">
        <v>491</v>
      </c>
      <c r="J4455"/>
    </row>
    <row r="4456" spans="1:10">
      <c r="A4456" t="s">
        <v>2594</v>
      </c>
      <c r="B4456">
        <v>817310</v>
      </c>
      <c r="C4456">
        <v>1</v>
      </c>
      <c r="D4456" t="str">
        <f t="shared" si="69"/>
        <v>1817310.540</v>
      </c>
      <c r="E4456" t="s">
        <v>2595</v>
      </c>
      <c r="F4456" s="242"/>
      <c r="G4456"/>
      <c r="H4456" s="242">
        <v>19000</v>
      </c>
      <c r="I4456" s="242">
        <v>14808</v>
      </c>
      <c r="J4456"/>
    </row>
    <row r="4457" spans="1:10">
      <c r="A4457" t="s">
        <v>2596</v>
      </c>
      <c r="B4457">
        <v>817310</v>
      </c>
      <c r="C4457">
        <v>1</v>
      </c>
      <c r="D4457" t="str">
        <f t="shared" si="69"/>
        <v>1817310.550</v>
      </c>
      <c r="E4457" t="s">
        <v>2597</v>
      </c>
      <c r="F4457" s="242"/>
      <c r="G4457"/>
      <c r="H4457" s="242">
        <v>2000</v>
      </c>
      <c r="I4457" s="242">
        <v>0</v>
      </c>
      <c r="J4457"/>
    </row>
    <row r="4458" spans="1:10">
      <c r="A4458" t="s">
        <v>2598</v>
      </c>
      <c r="B4458">
        <v>817310</v>
      </c>
      <c r="C4458">
        <v>1</v>
      </c>
      <c r="D4458" t="str">
        <f t="shared" si="69"/>
        <v>1817310.561</v>
      </c>
      <c r="E4458" t="s">
        <v>2599</v>
      </c>
      <c r="F4458" s="242"/>
      <c r="G4458"/>
      <c r="H4458" s="242">
        <v>7500</v>
      </c>
      <c r="I4458" s="242">
        <v>8116</v>
      </c>
      <c r="J4458"/>
    </row>
    <row r="4459" spans="1:10">
      <c r="A4459" t="s">
        <v>2771</v>
      </c>
      <c r="B4459">
        <v>817310</v>
      </c>
      <c r="C4459">
        <v>1</v>
      </c>
      <c r="D4459" t="str">
        <f t="shared" si="69"/>
        <v>1817310.570</v>
      </c>
      <c r="E4459" t="s">
        <v>3518</v>
      </c>
      <c r="F4459" s="242"/>
      <c r="G4459"/>
      <c r="H4459" s="242">
        <v>3700</v>
      </c>
      <c r="I4459" s="242">
        <v>3673</v>
      </c>
      <c r="J4459"/>
    </row>
    <row r="4460" spans="1:10">
      <c r="A4460" t="s">
        <v>2600</v>
      </c>
      <c r="B4460">
        <v>817310</v>
      </c>
      <c r="C4460">
        <v>1</v>
      </c>
      <c r="D4460" t="str">
        <f t="shared" si="69"/>
        <v>1817310.580</v>
      </c>
      <c r="E4460" t="s">
        <v>2601</v>
      </c>
      <c r="F4460" s="242"/>
      <c r="G4460"/>
      <c r="H4460" s="242">
        <v>1000</v>
      </c>
      <c r="I4460" s="242">
        <v>1026</v>
      </c>
      <c r="J4460"/>
    </row>
    <row r="4461" spans="1:10">
      <c r="A4461" t="s">
        <v>2704</v>
      </c>
      <c r="B4461">
        <v>817310</v>
      </c>
      <c r="C4461">
        <v>1</v>
      </c>
      <c r="D4461" t="str">
        <f t="shared" si="69"/>
        <v>1817310.720</v>
      </c>
      <c r="E4461" t="s">
        <v>2705</v>
      </c>
      <c r="F4461" s="242"/>
      <c r="G4461"/>
      <c r="H4461" s="242">
        <v>3000</v>
      </c>
      <c r="I4461" s="242">
        <v>1941</v>
      </c>
      <c r="J4461"/>
    </row>
    <row r="4462" spans="1:10">
      <c r="A4462" t="s">
        <v>673</v>
      </c>
      <c r="B4462">
        <v>817310</v>
      </c>
      <c r="C4462">
        <v>1</v>
      </c>
      <c r="D4462" t="str">
        <f t="shared" si="69"/>
        <v>1817310.743</v>
      </c>
      <c r="E4462" t="s">
        <v>2622</v>
      </c>
      <c r="F4462" s="242"/>
      <c r="G4462"/>
      <c r="H4462" s="242">
        <v>21000</v>
      </c>
      <c r="I4462" s="242">
        <v>8073</v>
      </c>
      <c r="J4462"/>
    </row>
    <row r="4463" spans="1:10">
      <c r="A4463" t="s">
        <v>707</v>
      </c>
      <c r="B4463">
        <v>817310</v>
      </c>
      <c r="C4463">
        <v>1</v>
      </c>
      <c r="D4463" t="str">
        <f t="shared" si="69"/>
        <v>1817310.745</v>
      </c>
      <c r="E4463" t="s">
        <v>3519</v>
      </c>
      <c r="F4463" s="242"/>
      <c r="G4463"/>
      <c r="H4463" s="242">
        <v>4500</v>
      </c>
      <c r="I4463" s="242">
        <v>3436</v>
      </c>
      <c r="J4463"/>
    </row>
    <row r="4464" spans="1:10">
      <c r="A4464" t="s">
        <v>772</v>
      </c>
      <c r="B4464">
        <v>817310</v>
      </c>
      <c r="C4464">
        <v>1</v>
      </c>
      <c r="D4464" t="str">
        <f t="shared" si="69"/>
        <v>1817310.751</v>
      </c>
      <c r="E4464" t="s">
        <v>2708</v>
      </c>
      <c r="F4464" s="242"/>
      <c r="G4464"/>
      <c r="H4464" s="242">
        <v>5200</v>
      </c>
      <c r="I4464" s="242">
        <v>5127</v>
      </c>
      <c r="J4464"/>
    </row>
    <row r="4465" spans="1:10">
      <c r="A4465" t="s">
        <v>2632</v>
      </c>
      <c r="B4465">
        <v>817310</v>
      </c>
      <c r="C4465">
        <v>1</v>
      </c>
      <c r="D4465" t="str">
        <f t="shared" si="69"/>
        <v>1817310.780</v>
      </c>
      <c r="E4465" t="s">
        <v>3520</v>
      </c>
      <c r="F4465" s="242"/>
      <c r="G4465"/>
      <c r="H4465" s="242">
        <v>4000</v>
      </c>
      <c r="I4465" s="242">
        <v>0</v>
      </c>
      <c r="J4465"/>
    </row>
    <row r="4466" spans="1:10">
      <c r="A4466" t="s">
        <v>2403</v>
      </c>
      <c r="B4466">
        <v>817311</v>
      </c>
      <c r="C4466">
        <v>1</v>
      </c>
      <c r="D4466" t="str">
        <f t="shared" si="69"/>
        <v>1817311.110</v>
      </c>
      <c r="E4466" t="s">
        <v>3521</v>
      </c>
      <c r="F4466" s="242"/>
      <c r="G4466"/>
      <c r="H4466" s="242">
        <v>4196417</v>
      </c>
      <c r="I4466" s="242">
        <v>3908435</v>
      </c>
      <c r="J4466"/>
    </row>
    <row r="4467" spans="1:10">
      <c r="A4467" t="s">
        <v>2404</v>
      </c>
      <c r="B4467">
        <v>817311</v>
      </c>
      <c r="C4467">
        <v>1</v>
      </c>
      <c r="D4467" t="str">
        <f t="shared" si="69"/>
        <v>1817311.120</v>
      </c>
      <c r="E4467" t="s">
        <v>2574</v>
      </c>
      <c r="F4467" s="242"/>
      <c r="G4467"/>
      <c r="H4467" s="242">
        <v>651509</v>
      </c>
      <c r="I4467" s="242">
        <v>570144</v>
      </c>
      <c r="J4467"/>
    </row>
    <row r="4468" spans="1:10">
      <c r="A4468" t="s">
        <v>2575</v>
      </c>
      <c r="B4468">
        <v>817311</v>
      </c>
      <c r="C4468">
        <v>1</v>
      </c>
      <c r="D4468" t="str">
        <f t="shared" si="69"/>
        <v>1817311.130</v>
      </c>
      <c r="E4468" t="s">
        <v>2576</v>
      </c>
      <c r="F4468" s="242"/>
      <c r="G4468"/>
      <c r="H4468" s="242">
        <v>0</v>
      </c>
      <c r="I4468" s="242">
        <v>0</v>
      </c>
      <c r="J4468"/>
    </row>
    <row r="4469" spans="1:10">
      <c r="A4469" t="s">
        <v>2577</v>
      </c>
      <c r="B4469">
        <v>817311</v>
      </c>
      <c r="C4469">
        <v>1</v>
      </c>
      <c r="D4469" t="str">
        <f t="shared" si="69"/>
        <v>1817311.140</v>
      </c>
      <c r="E4469" t="s">
        <v>2578</v>
      </c>
      <c r="F4469" s="242"/>
      <c r="G4469"/>
      <c r="H4469" s="242">
        <v>1028913</v>
      </c>
      <c r="I4469" s="242">
        <v>967170</v>
      </c>
      <c r="J4469"/>
    </row>
    <row r="4470" spans="1:10">
      <c r="A4470" t="s">
        <v>2579</v>
      </c>
      <c r="B4470">
        <v>817311</v>
      </c>
      <c r="C4470">
        <v>1</v>
      </c>
      <c r="D4470" t="str">
        <f t="shared" si="69"/>
        <v>1817311.181</v>
      </c>
      <c r="E4470" t="s">
        <v>2580</v>
      </c>
      <c r="F4470" s="242"/>
      <c r="G4470"/>
      <c r="H4470" s="242">
        <v>1021097</v>
      </c>
      <c r="I4470" s="242">
        <v>931711</v>
      </c>
      <c r="J4470"/>
    </row>
    <row r="4471" spans="1:10">
      <c r="A4471" t="s">
        <v>2581</v>
      </c>
      <c r="B4471">
        <v>817311</v>
      </c>
      <c r="C4471">
        <v>1</v>
      </c>
      <c r="D4471" t="str">
        <f t="shared" si="69"/>
        <v>1817311.182</v>
      </c>
      <c r="E4471" t="s">
        <v>2582</v>
      </c>
      <c r="F4471" s="242"/>
      <c r="G4471"/>
      <c r="H4471" s="242">
        <v>441623</v>
      </c>
      <c r="I4471" s="242">
        <v>409423</v>
      </c>
      <c r="J4471"/>
    </row>
    <row r="4472" spans="1:10">
      <c r="A4472" t="s">
        <v>2606</v>
      </c>
      <c r="B4472">
        <v>817311</v>
      </c>
      <c r="C4472">
        <v>1</v>
      </c>
      <c r="D4472" t="str">
        <f t="shared" si="69"/>
        <v>1817311.440</v>
      </c>
      <c r="E4472" t="s">
        <v>2794</v>
      </c>
      <c r="F4472" s="242"/>
      <c r="G4472"/>
      <c r="H4472" s="242">
        <v>8600</v>
      </c>
      <c r="I4472" s="242">
        <v>8263</v>
      </c>
      <c r="J4472"/>
    </row>
    <row r="4473" spans="1:10">
      <c r="A4473" t="s">
        <v>816</v>
      </c>
      <c r="B4473">
        <v>817400</v>
      </c>
      <c r="C4473">
        <v>1</v>
      </c>
      <c r="D4473" t="str">
        <f t="shared" si="69"/>
        <v>1817400.765</v>
      </c>
      <c r="E4473" t="s">
        <v>3254</v>
      </c>
      <c r="F4473" s="242"/>
      <c r="G4473"/>
      <c r="H4473" s="242">
        <v>100</v>
      </c>
      <c r="I4473" s="242">
        <v>0</v>
      </c>
      <c r="J4473"/>
    </row>
    <row r="4474" spans="1:10">
      <c r="A4474" t="s">
        <v>1747</v>
      </c>
      <c r="B4474">
        <v>817500</v>
      </c>
      <c r="C4474">
        <v>1</v>
      </c>
      <c r="D4474" t="str">
        <f t="shared" si="69"/>
        <v>1817500.444</v>
      </c>
      <c r="E4474" t="s">
        <v>2607</v>
      </c>
      <c r="F4474" s="242"/>
      <c r="G4474"/>
      <c r="H4474" s="242">
        <v>1100000</v>
      </c>
      <c r="I4474" s="242">
        <v>1028517</v>
      </c>
      <c r="J4474"/>
    </row>
    <row r="4475" spans="1:10">
      <c r="A4475" t="s">
        <v>2403</v>
      </c>
      <c r="B4475">
        <v>817600</v>
      </c>
      <c r="C4475">
        <v>1</v>
      </c>
      <c r="D4475" t="str">
        <f t="shared" si="69"/>
        <v>1817600.110</v>
      </c>
      <c r="E4475" t="s">
        <v>2573</v>
      </c>
      <c r="F4475" s="242"/>
      <c r="G4475"/>
      <c r="H4475" s="242">
        <v>126318</v>
      </c>
      <c r="I4475" s="242">
        <v>132262</v>
      </c>
      <c r="J4475"/>
    </row>
    <row r="4476" spans="1:10">
      <c r="A4476" t="s">
        <v>2404</v>
      </c>
      <c r="B4476">
        <v>817600</v>
      </c>
      <c r="C4476">
        <v>1</v>
      </c>
      <c r="D4476" t="str">
        <f t="shared" si="69"/>
        <v>1817600.120</v>
      </c>
      <c r="E4476" t="s">
        <v>2574</v>
      </c>
      <c r="F4476" s="242"/>
      <c r="G4476"/>
      <c r="H4476" s="242">
        <v>14850</v>
      </c>
      <c r="I4476" s="242">
        <v>19048</v>
      </c>
      <c r="J4476"/>
    </row>
    <row r="4477" spans="1:10">
      <c r="A4477" t="s">
        <v>2575</v>
      </c>
      <c r="B4477">
        <v>817600</v>
      </c>
      <c r="C4477">
        <v>1</v>
      </c>
      <c r="D4477" t="str">
        <f t="shared" si="69"/>
        <v>1817600.130</v>
      </c>
      <c r="E4477" t="s">
        <v>2576</v>
      </c>
      <c r="F4477" s="242"/>
      <c r="G4477"/>
      <c r="H4477" s="242">
        <v>44585</v>
      </c>
      <c r="I4477" s="242">
        <v>37704</v>
      </c>
      <c r="J4477"/>
    </row>
    <row r="4478" spans="1:10">
      <c r="A4478" t="s">
        <v>2577</v>
      </c>
      <c r="B4478">
        <v>817600</v>
      </c>
      <c r="C4478">
        <v>1</v>
      </c>
      <c r="D4478" t="str">
        <f t="shared" si="69"/>
        <v>1817600.140</v>
      </c>
      <c r="E4478" t="s">
        <v>2578</v>
      </c>
      <c r="F4478" s="242"/>
      <c r="G4478"/>
      <c r="H4478" s="242">
        <v>1501</v>
      </c>
      <c r="I4478" s="242">
        <v>1824</v>
      </c>
      <c r="J4478"/>
    </row>
    <row r="4479" spans="1:10">
      <c r="A4479" t="s">
        <v>2579</v>
      </c>
      <c r="B4479">
        <v>817600</v>
      </c>
      <c r="C4479">
        <v>1</v>
      </c>
      <c r="D4479" t="str">
        <f t="shared" si="69"/>
        <v>1817600.181</v>
      </c>
      <c r="E4479" t="s">
        <v>2580</v>
      </c>
      <c r="F4479" s="242"/>
      <c r="G4479"/>
      <c r="H4479" s="242">
        <v>29320</v>
      </c>
      <c r="I4479" s="242">
        <v>29279</v>
      </c>
      <c r="J4479"/>
    </row>
    <row r="4480" spans="1:10">
      <c r="A4480" t="s">
        <v>2581</v>
      </c>
      <c r="B4480">
        <v>817600</v>
      </c>
      <c r="C4480">
        <v>1</v>
      </c>
      <c r="D4480" t="str">
        <f t="shared" si="69"/>
        <v>1817600.182</v>
      </c>
      <c r="E4480" t="s">
        <v>2582</v>
      </c>
      <c r="F4480" s="242"/>
      <c r="G4480"/>
      <c r="H4480" s="242">
        <v>13325</v>
      </c>
      <c r="I4480" s="242">
        <v>13671</v>
      </c>
      <c r="J4480"/>
    </row>
    <row r="4481" spans="1:10">
      <c r="A4481" t="s">
        <v>2632</v>
      </c>
      <c r="B4481">
        <v>817600</v>
      </c>
      <c r="C4481">
        <v>1</v>
      </c>
      <c r="D4481" t="str">
        <f t="shared" si="69"/>
        <v>1817600.780</v>
      </c>
      <c r="E4481" t="s">
        <v>3527</v>
      </c>
      <c r="F4481" s="242"/>
      <c r="G4481"/>
      <c r="H4481" s="242">
        <v>300000</v>
      </c>
      <c r="I4481" s="242">
        <v>255184</v>
      </c>
      <c r="J4481"/>
    </row>
    <row r="4482" spans="1:10">
      <c r="A4482" t="s">
        <v>2676</v>
      </c>
      <c r="B4482">
        <v>817600</v>
      </c>
      <c r="C4482">
        <v>1</v>
      </c>
      <c r="D4482" t="str">
        <f t="shared" si="69"/>
        <v>1817600.784</v>
      </c>
      <c r="E4482" t="s">
        <v>3526</v>
      </c>
      <c r="F4482" s="242"/>
      <c r="G4482"/>
      <c r="H4482" s="242">
        <v>2600000</v>
      </c>
      <c r="I4482" s="242">
        <v>2538937</v>
      </c>
      <c r="J4482"/>
    </row>
    <row r="4483" spans="1:10">
      <c r="A4483" t="s">
        <v>2403</v>
      </c>
      <c r="B4483">
        <v>817710</v>
      </c>
      <c r="C4483">
        <v>1</v>
      </c>
      <c r="D4483" t="str">
        <f t="shared" ref="D4483:D4546" si="70">C4483&amp;B4483&amp;"."&amp;A4483</f>
        <v>1817710.110</v>
      </c>
      <c r="E4483" t="s">
        <v>2573</v>
      </c>
      <c r="F4483" s="242"/>
      <c r="G4483"/>
      <c r="H4483" s="242">
        <v>1253421</v>
      </c>
      <c r="I4483" s="242">
        <v>1197177</v>
      </c>
      <c r="J4483"/>
    </row>
    <row r="4484" spans="1:10">
      <c r="A4484" t="s">
        <v>2404</v>
      </c>
      <c r="B4484">
        <v>817710</v>
      </c>
      <c r="C4484">
        <v>1</v>
      </c>
      <c r="D4484" t="str">
        <f t="shared" si="70"/>
        <v>1817710.120</v>
      </c>
      <c r="E4484" t="s">
        <v>2574</v>
      </c>
      <c r="F4484" s="242"/>
      <c r="G4484"/>
      <c r="H4484" s="242">
        <v>41588</v>
      </c>
      <c r="I4484" s="242">
        <v>39288</v>
      </c>
      <c r="J4484"/>
    </row>
    <row r="4485" spans="1:10">
      <c r="A4485" t="s">
        <v>2575</v>
      </c>
      <c r="B4485">
        <v>817710</v>
      </c>
      <c r="C4485">
        <v>1</v>
      </c>
      <c r="D4485" t="str">
        <f t="shared" si="70"/>
        <v>1817710.130</v>
      </c>
      <c r="E4485" t="s">
        <v>2576</v>
      </c>
      <c r="F4485" s="242"/>
      <c r="G4485"/>
      <c r="H4485" s="242">
        <v>1370</v>
      </c>
      <c r="I4485" s="242">
        <v>775</v>
      </c>
      <c r="J4485"/>
    </row>
    <row r="4486" spans="1:10">
      <c r="A4486" t="s">
        <v>2577</v>
      </c>
      <c r="B4486">
        <v>817710</v>
      </c>
      <c r="C4486">
        <v>1</v>
      </c>
      <c r="D4486" t="str">
        <f t="shared" si="70"/>
        <v>1817710.140</v>
      </c>
      <c r="E4486" t="s">
        <v>2578</v>
      </c>
      <c r="F4486" s="242"/>
      <c r="G4486"/>
      <c r="H4486" s="242">
        <v>242331</v>
      </c>
      <c r="I4486" s="242">
        <v>221100</v>
      </c>
      <c r="J4486"/>
    </row>
    <row r="4487" spans="1:10">
      <c r="A4487" t="s">
        <v>2579</v>
      </c>
      <c r="B4487">
        <v>817710</v>
      </c>
      <c r="C4487">
        <v>1</v>
      </c>
      <c r="D4487" t="str">
        <f t="shared" si="70"/>
        <v>1817710.181</v>
      </c>
      <c r="E4487" t="s">
        <v>2580</v>
      </c>
      <c r="F4487" s="242"/>
      <c r="G4487"/>
      <c r="H4487" s="242">
        <v>281162</v>
      </c>
      <c r="I4487" s="242">
        <v>271431</v>
      </c>
      <c r="J4487"/>
    </row>
    <row r="4488" spans="1:10">
      <c r="A4488" t="s">
        <v>2581</v>
      </c>
      <c r="B4488">
        <v>817710</v>
      </c>
      <c r="C4488">
        <v>1</v>
      </c>
      <c r="D4488" t="str">
        <f t="shared" si="70"/>
        <v>1817710.182</v>
      </c>
      <c r="E4488" t="s">
        <v>2582</v>
      </c>
      <c r="F4488" s="242"/>
      <c r="G4488"/>
      <c r="H4488" s="242">
        <v>116718</v>
      </c>
      <c r="I4488" s="242">
        <v>110589</v>
      </c>
      <c r="J4488"/>
    </row>
    <row r="4489" spans="1:10">
      <c r="A4489" t="s">
        <v>2652</v>
      </c>
      <c r="B4489">
        <v>817710</v>
      </c>
      <c r="C4489">
        <v>1</v>
      </c>
      <c r="D4489" t="str">
        <f t="shared" si="70"/>
        <v>1817710.420</v>
      </c>
      <c r="E4489" t="s">
        <v>2653</v>
      </c>
      <c r="F4489" s="242"/>
      <c r="G4489"/>
      <c r="H4489" s="242">
        <v>15000</v>
      </c>
      <c r="I4489" s="242">
        <v>12249</v>
      </c>
      <c r="J4489"/>
    </row>
    <row r="4490" spans="1:10">
      <c r="A4490" t="s">
        <v>1663</v>
      </c>
      <c r="B4490">
        <v>817710</v>
      </c>
      <c r="C4490">
        <v>1</v>
      </c>
      <c r="D4490" t="str">
        <f t="shared" si="70"/>
        <v>1817710.431</v>
      </c>
      <c r="E4490" t="s">
        <v>2654</v>
      </c>
      <c r="F4490" s="242"/>
      <c r="G4490"/>
      <c r="H4490" s="242">
        <v>13200</v>
      </c>
      <c r="I4490" s="242">
        <v>16527</v>
      </c>
      <c r="J4490"/>
    </row>
    <row r="4491" spans="1:10">
      <c r="A4491" t="s">
        <v>1678</v>
      </c>
      <c r="B4491">
        <v>817710</v>
      </c>
      <c r="C4491">
        <v>1</v>
      </c>
      <c r="D4491" t="str">
        <f t="shared" si="70"/>
        <v>1817710.434</v>
      </c>
      <c r="E4491" t="s">
        <v>2753</v>
      </c>
      <c r="F4491" s="242"/>
      <c r="G4491"/>
      <c r="H4491" s="242">
        <v>51000</v>
      </c>
      <c r="I4491" s="242">
        <v>43953</v>
      </c>
      <c r="J4491"/>
    </row>
    <row r="4492" spans="1:10">
      <c r="A4492" t="s">
        <v>2606</v>
      </c>
      <c r="B4492">
        <v>817710</v>
      </c>
      <c r="C4492">
        <v>1</v>
      </c>
      <c r="D4492" t="str">
        <f t="shared" si="70"/>
        <v>1817710.440</v>
      </c>
      <c r="E4492" t="s">
        <v>2657</v>
      </c>
      <c r="F4492" s="242"/>
      <c r="G4492"/>
      <c r="H4492" s="242">
        <v>3400</v>
      </c>
      <c r="I4492" s="242">
        <v>3312</v>
      </c>
      <c r="J4492"/>
    </row>
    <row r="4493" spans="1:10">
      <c r="A4493" t="s">
        <v>2411</v>
      </c>
      <c r="B4493">
        <v>817710</v>
      </c>
      <c r="C4493">
        <v>1</v>
      </c>
      <c r="D4493" t="str">
        <f t="shared" si="70"/>
        <v>1817710.470</v>
      </c>
      <c r="E4493" t="s">
        <v>2660</v>
      </c>
      <c r="F4493" s="242"/>
      <c r="G4493"/>
      <c r="H4493" s="242">
        <v>2500</v>
      </c>
      <c r="I4493" s="242">
        <v>2724</v>
      </c>
      <c r="J4493"/>
    </row>
    <row r="4494" spans="1:10">
      <c r="A4494" t="s">
        <v>2286</v>
      </c>
      <c r="B4494">
        <v>817710</v>
      </c>
      <c r="C4494">
        <v>1</v>
      </c>
      <c r="D4494" t="str">
        <f t="shared" si="70"/>
        <v>1817710.511</v>
      </c>
      <c r="E4494" t="s">
        <v>2805</v>
      </c>
      <c r="F4494" s="242"/>
      <c r="G4494"/>
      <c r="H4494" s="242">
        <v>3800</v>
      </c>
      <c r="I4494" s="242">
        <v>2373</v>
      </c>
      <c r="J4494"/>
    </row>
    <row r="4495" spans="1:10">
      <c r="A4495" t="s">
        <v>2594</v>
      </c>
      <c r="B4495">
        <v>817710</v>
      </c>
      <c r="C4495">
        <v>1</v>
      </c>
      <c r="D4495" t="str">
        <f t="shared" si="70"/>
        <v>1817710.540</v>
      </c>
      <c r="E4495" t="s">
        <v>2595</v>
      </c>
      <c r="F4495" s="242"/>
      <c r="G4495"/>
      <c r="H4495" s="242">
        <v>27000</v>
      </c>
      <c r="I4495" s="242">
        <v>28960</v>
      </c>
      <c r="J4495"/>
    </row>
    <row r="4496" spans="1:10">
      <c r="A4496" t="s">
        <v>2598</v>
      </c>
      <c r="B4496">
        <v>817710</v>
      </c>
      <c r="C4496">
        <v>1</v>
      </c>
      <c r="D4496" t="str">
        <f t="shared" si="70"/>
        <v>1817710.561</v>
      </c>
      <c r="E4496" t="s">
        <v>2599</v>
      </c>
      <c r="F4496" s="242"/>
      <c r="G4496"/>
      <c r="H4496" s="242">
        <v>5000</v>
      </c>
      <c r="I4496" s="242">
        <v>4799</v>
      </c>
      <c r="J4496"/>
    </row>
    <row r="4497" spans="1:10">
      <c r="A4497" t="s">
        <v>673</v>
      </c>
      <c r="B4497">
        <v>817710</v>
      </c>
      <c r="C4497">
        <v>1</v>
      </c>
      <c r="D4497" t="str">
        <f t="shared" si="70"/>
        <v>1817710.743</v>
      </c>
      <c r="E4497" t="s">
        <v>2622</v>
      </c>
      <c r="F4497" s="242"/>
      <c r="G4497"/>
      <c r="H4497" s="242">
        <v>10000</v>
      </c>
      <c r="I4497" s="242">
        <v>8452</v>
      </c>
      <c r="J4497"/>
    </row>
    <row r="4498" spans="1:10">
      <c r="A4498" t="s">
        <v>877</v>
      </c>
      <c r="B4498">
        <v>817710</v>
      </c>
      <c r="C4498">
        <v>1</v>
      </c>
      <c r="D4498" t="str">
        <f t="shared" si="70"/>
        <v>1817710.782</v>
      </c>
      <c r="E4498" t="s">
        <v>3524</v>
      </c>
      <c r="F4498" s="242"/>
      <c r="G4498"/>
      <c r="H4498" s="242">
        <v>0</v>
      </c>
      <c r="I4498" s="242">
        <v>0</v>
      </c>
      <c r="J4498"/>
    </row>
    <row r="4499" spans="1:10">
      <c r="A4499" t="s">
        <v>2735</v>
      </c>
      <c r="B4499">
        <v>817800</v>
      </c>
      <c r="C4499">
        <v>1</v>
      </c>
      <c r="D4499" t="str">
        <f t="shared" si="70"/>
        <v>1817800.576</v>
      </c>
      <c r="E4499" t="s">
        <v>3058</v>
      </c>
      <c r="F4499" s="242"/>
      <c r="G4499"/>
      <c r="H4499" s="242">
        <v>10000</v>
      </c>
      <c r="I4499" s="242">
        <v>0</v>
      </c>
      <c r="J4499"/>
    </row>
    <row r="4500" spans="1:10">
      <c r="A4500" t="s">
        <v>2403</v>
      </c>
      <c r="B4500">
        <v>817800</v>
      </c>
      <c r="C4500">
        <v>1</v>
      </c>
      <c r="D4500" t="str">
        <f t="shared" si="70"/>
        <v>1817800.110</v>
      </c>
      <c r="E4500" t="s">
        <v>2573</v>
      </c>
      <c r="F4500" s="242"/>
      <c r="G4500"/>
      <c r="H4500" s="242">
        <v>334124</v>
      </c>
      <c r="I4500" s="242">
        <v>221860</v>
      </c>
      <c r="J4500"/>
    </row>
    <row r="4501" spans="1:10">
      <c r="A4501" t="s">
        <v>2404</v>
      </c>
      <c r="B4501">
        <v>817800</v>
      </c>
      <c r="C4501">
        <v>1</v>
      </c>
      <c r="D4501" t="str">
        <f t="shared" si="70"/>
        <v>1817800.120</v>
      </c>
      <c r="E4501" t="s">
        <v>2574</v>
      </c>
      <c r="F4501" s="242"/>
      <c r="G4501"/>
      <c r="H4501" s="242">
        <v>25198</v>
      </c>
      <c r="I4501" s="242">
        <v>18811</v>
      </c>
      <c r="J4501"/>
    </row>
    <row r="4502" spans="1:10">
      <c r="A4502" t="s">
        <v>2575</v>
      </c>
      <c r="B4502">
        <v>817800</v>
      </c>
      <c r="C4502">
        <v>1</v>
      </c>
      <c r="D4502" t="str">
        <f t="shared" si="70"/>
        <v>1817800.130</v>
      </c>
      <c r="E4502" t="s">
        <v>2576</v>
      </c>
      <c r="F4502" s="242"/>
      <c r="G4502"/>
      <c r="H4502" s="242">
        <v>2951</v>
      </c>
      <c r="I4502" s="242">
        <v>2411</v>
      </c>
      <c r="J4502"/>
    </row>
    <row r="4503" spans="1:10">
      <c r="A4503" t="s">
        <v>2577</v>
      </c>
      <c r="B4503">
        <v>817800</v>
      </c>
      <c r="C4503">
        <v>1</v>
      </c>
      <c r="D4503" t="str">
        <f t="shared" si="70"/>
        <v>1817800.140</v>
      </c>
      <c r="E4503" t="s">
        <v>2578</v>
      </c>
      <c r="F4503" s="242"/>
      <c r="G4503"/>
      <c r="H4503" s="242">
        <v>75707</v>
      </c>
      <c r="I4503" s="242">
        <v>42472</v>
      </c>
      <c r="J4503"/>
    </row>
    <row r="4504" spans="1:10">
      <c r="A4504" t="s">
        <v>2579</v>
      </c>
      <c r="B4504">
        <v>817800</v>
      </c>
      <c r="C4504">
        <v>1</v>
      </c>
      <c r="D4504" t="str">
        <f t="shared" si="70"/>
        <v>1817800.181</v>
      </c>
      <c r="E4504" t="s">
        <v>2580</v>
      </c>
      <c r="F4504" s="242"/>
      <c r="G4504"/>
      <c r="H4504" s="242">
        <v>82646</v>
      </c>
      <c r="I4504" s="242">
        <v>47576</v>
      </c>
      <c r="J4504"/>
    </row>
    <row r="4505" spans="1:10">
      <c r="A4505" t="s">
        <v>2581</v>
      </c>
      <c r="B4505">
        <v>817800</v>
      </c>
      <c r="C4505">
        <v>1</v>
      </c>
      <c r="D4505" t="str">
        <f t="shared" si="70"/>
        <v>1817800.182</v>
      </c>
      <c r="E4505" t="s">
        <v>2582</v>
      </c>
      <c r="F4505" s="242"/>
      <c r="G4505"/>
      <c r="H4505" s="242">
        <v>36250</v>
      </c>
      <c r="I4505" s="242">
        <v>21641</v>
      </c>
      <c r="J4505"/>
    </row>
    <row r="4506" spans="1:10">
      <c r="A4506" t="s">
        <v>2594</v>
      </c>
      <c r="B4506">
        <v>817800</v>
      </c>
      <c r="C4506">
        <v>1</v>
      </c>
      <c r="D4506" t="str">
        <f t="shared" si="70"/>
        <v>1817800.540</v>
      </c>
      <c r="E4506" t="s">
        <v>2595</v>
      </c>
      <c r="F4506" s="242"/>
      <c r="G4506"/>
      <c r="H4506" s="242">
        <v>6000</v>
      </c>
      <c r="I4506" s="242">
        <v>3460</v>
      </c>
      <c r="J4506"/>
    </row>
    <row r="4507" spans="1:10">
      <c r="A4507" t="s">
        <v>2598</v>
      </c>
      <c r="B4507">
        <v>817800</v>
      </c>
      <c r="C4507">
        <v>1</v>
      </c>
      <c r="D4507" t="str">
        <f t="shared" si="70"/>
        <v>1817800.561</v>
      </c>
      <c r="E4507" t="s">
        <v>2599</v>
      </c>
      <c r="F4507" s="242"/>
      <c r="G4507"/>
      <c r="H4507" s="242">
        <v>0</v>
      </c>
      <c r="I4507" s="242">
        <v>0</v>
      </c>
      <c r="J4507"/>
    </row>
    <row r="4508" spans="1:10">
      <c r="A4508" t="s">
        <v>2609</v>
      </c>
      <c r="B4508">
        <v>817800</v>
      </c>
      <c r="C4508">
        <v>1</v>
      </c>
      <c r="D4508" t="str">
        <f t="shared" si="70"/>
        <v>1817800.710</v>
      </c>
      <c r="E4508" t="s">
        <v>3249</v>
      </c>
      <c r="F4508" s="242"/>
      <c r="G4508"/>
      <c r="H4508" s="242">
        <v>3240000</v>
      </c>
      <c r="I4508" s="242">
        <v>3579980</v>
      </c>
      <c r="J4508"/>
    </row>
    <row r="4509" spans="1:10">
      <c r="A4509" t="s">
        <v>424</v>
      </c>
      <c r="B4509">
        <v>817800</v>
      </c>
      <c r="C4509">
        <v>1</v>
      </c>
      <c r="D4509" t="str">
        <f t="shared" si="70"/>
        <v>1817800.711</v>
      </c>
      <c r="E4509" t="s">
        <v>3250</v>
      </c>
      <c r="F4509" s="242"/>
      <c r="G4509"/>
      <c r="H4509" s="242">
        <v>1000000</v>
      </c>
      <c r="I4509" s="242">
        <v>925580</v>
      </c>
      <c r="J4509"/>
    </row>
    <row r="4510" spans="1:10">
      <c r="A4510" t="s">
        <v>2609</v>
      </c>
      <c r="B4510">
        <v>817810</v>
      </c>
      <c r="C4510">
        <v>1</v>
      </c>
      <c r="D4510" t="str">
        <f t="shared" si="70"/>
        <v>1817810.710</v>
      </c>
      <c r="E4510" t="s">
        <v>3251</v>
      </c>
      <c r="F4510" s="242"/>
      <c r="G4510"/>
      <c r="H4510" s="242">
        <v>16200000</v>
      </c>
      <c r="I4510" s="242">
        <v>16187484</v>
      </c>
      <c r="J4510"/>
    </row>
    <row r="4511" spans="1:10">
      <c r="A4511" t="s">
        <v>1176</v>
      </c>
      <c r="B4511">
        <v>817900</v>
      </c>
      <c r="C4511">
        <v>1</v>
      </c>
      <c r="D4511" t="str">
        <f t="shared" si="70"/>
        <v>1817900.821</v>
      </c>
      <c r="E4511" t="s">
        <v>4354</v>
      </c>
      <c r="F4511" s="242"/>
      <c r="G4511"/>
      <c r="H4511" s="242">
        <v>0</v>
      </c>
      <c r="I4511" s="242">
        <v>17097</v>
      </c>
      <c r="J4511"/>
    </row>
    <row r="4512" spans="1:10">
      <c r="A4512" t="s">
        <v>1181</v>
      </c>
      <c r="B4512">
        <v>817900</v>
      </c>
      <c r="C4512">
        <v>1</v>
      </c>
      <c r="D4512" t="str">
        <f t="shared" si="70"/>
        <v>1817900.822</v>
      </c>
      <c r="E4512" t="s">
        <v>4355</v>
      </c>
      <c r="F4512" s="242"/>
      <c r="G4512"/>
      <c r="H4512" s="242">
        <v>0</v>
      </c>
      <c r="I4512" s="242">
        <v>5523</v>
      </c>
      <c r="J4512"/>
    </row>
    <row r="4513" spans="1:10">
      <c r="A4513" t="s">
        <v>1186</v>
      </c>
      <c r="B4513">
        <v>817900</v>
      </c>
      <c r="C4513">
        <v>1</v>
      </c>
      <c r="D4513" t="str">
        <f t="shared" si="70"/>
        <v>1817900.823</v>
      </c>
      <c r="E4513" t="s">
        <v>4356</v>
      </c>
      <c r="F4513" s="242"/>
      <c r="G4513"/>
      <c r="H4513" s="242">
        <v>0</v>
      </c>
      <c r="I4513" s="242">
        <v>7616</v>
      </c>
      <c r="J4513"/>
    </row>
    <row r="4514" spans="1:10">
      <c r="A4514" t="s">
        <v>2403</v>
      </c>
      <c r="B4514">
        <v>817901</v>
      </c>
      <c r="C4514">
        <v>1</v>
      </c>
      <c r="D4514" t="str">
        <f t="shared" si="70"/>
        <v>1817901.110</v>
      </c>
      <c r="E4514" t="s">
        <v>3283</v>
      </c>
      <c r="F4514" s="242"/>
      <c r="G4514"/>
      <c r="H4514" s="242">
        <v>0</v>
      </c>
      <c r="I4514" s="242">
        <v>0</v>
      </c>
      <c r="J4514"/>
    </row>
    <row r="4515" spans="1:10">
      <c r="A4515" t="s">
        <v>2404</v>
      </c>
      <c r="B4515">
        <v>817901</v>
      </c>
      <c r="C4515">
        <v>1</v>
      </c>
      <c r="D4515" t="str">
        <f t="shared" si="70"/>
        <v>1817901.120</v>
      </c>
      <c r="E4515" t="s">
        <v>2574</v>
      </c>
      <c r="F4515" s="242"/>
      <c r="G4515"/>
      <c r="H4515" s="242">
        <v>0</v>
      </c>
      <c r="I4515" s="242">
        <v>0</v>
      </c>
      <c r="J4515"/>
    </row>
    <row r="4516" spans="1:10">
      <c r="A4516" t="s">
        <v>2575</v>
      </c>
      <c r="B4516">
        <v>817901</v>
      </c>
      <c r="C4516">
        <v>1</v>
      </c>
      <c r="D4516" t="str">
        <f t="shared" si="70"/>
        <v>1817901.130</v>
      </c>
      <c r="E4516" t="s">
        <v>2576</v>
      </c>
      <c r="F4516" s="242"/>
      <c r="G4516"/>
      <c r="H4516" s="242">
        <v>0</v>
      </c>
      <c r="I4516" s="242">
        <v>0</v>
      </c>
      <c r="J4516"/>
    </row>
    <row r="4517" spans="1:10">
      <c r="A4517" t="s">
        <v>2577</v>
      </c>
      <c r="B4517">
        <v>817901</v>
      </c>
      <c r="C4517">
        <v>1</v>
      </c>
      <c r="D4517" t="str">
        <f t="shared" si="70"/>
        <v>1817901.140</v>
      </c>
      <c r="E4517" t="s">
        <v>2578</v>
      </c>
      <c r="F4517" s="242"/>
      <c r="G4517"/>
      <c r="H4517" s="242">
        <v>0</v>
      </c>
      <c r="I4517" s="242">
        <v>0</v>
      </c>
      <c r="J4517"/>
    </row>
    <row r="4518" spans="1:10">
      <c r="A4518" t="s">
        <v>2579</v>
      </c>
      <c r="B4518">
        <v>817901</v>
      </c>
      <c r="C4518">
        <v>1</v>
      </c>
      <c r="D4518" t="str">
        <f t="shared" si="70"/>
        <v>1817901.181</v>
      </c>
      <c r="E4518" t="s">
        <v>2580</v>
      </c>
      <c r="F4518" s="242"/>
      <c r="G4518"/>
      <c r="H4518" s="242">
        <v>0</v>
      </c>
      <c r="I4518" s="242">
        <v>0</v>
      </c>
      <c r="J4518"/>
    </row>
    <row r="4519" spans="1:10">
      <c r="A4519" t="s">
        <v>2581</v>
      </c>
      <c r="B4519">
        <v>817901</v>
      </c>
      <c r="C4519">
        <v>1</v>
      </c>
      <c r="D4519" t="str">
        <f t="shared" si="70"/>
        <v>1817901.182</v>
      </c>
      <c r="E4519" t="s">
        <v>2582</v>
      </c>
      <c r="F4519" s="242"/>
      <c r="G4519"/>
      <c r="H4519" s="242">
        <v>0</v>
      </c>
      <c r="I4519" s="242">
        <v>0</v>
      </c>
      <c r="J4519"/>
    </row>
    <row r="4520" spans="1:10">
      <c r="A4520" t="s">
        <v>872</v>
      </c>
      <c r="B4520">
        <v>817901</v>
      </c>
      <c r="C4520">
        <v>1</v>
      </c>
      <c r="D4520" t="str">
        <f t="shared" si="70"/>
        <v>1817901.781</v>
      </c>
      <c r="E4520" t="s">
        <v>3263</v>
      </c>
      <c r="F4520" s="242"/>
      <c r="G4520"/>
      <c r="H4520" s="242">
        <v>344343</v>
      </c>
      <c r="I4520" s="242">
        <v>281987</v>
      </c>
      <c r="J4520"/>
    </row>
    <row r="4521" spans="1:10">
      <c r="A4521" t="s">
        <v>877</v>
      </c>
      <c r="B4521">
        <v>817901</v>
      </c>
      <c r="C4521">
        <v>1</v>
      </c>
      <c r="D4521" t="str">
        <f t="shared" si="70"/>
        <v>1817901.782</v>
      </c>
      <c r="E4521" t="s">
        <v>3264</v>
      </c>
      <c r="F4521" s="242"/>
      <c r="G4521"/>
      <c r="H4521" s="242">
        <v>120000</v>
      </c>
      <c r="I4521" s="242">
        <v>0</v>
      </c>
      <c r="J4521"/>
    </row>
    <row r="4522" spans="1:10">
      <c r="A4522" t="s">
        <v>2674</v>
      </c>
      <c r="B4522">
        <v>817901</v>
      </c>
      <c r="C4522">
        <v>1</v>
      </c>
      <c r="D4522" t="str">
        <f t="shared" si="70"/>
        <v>1817901.783</v>
      </c>
      <c r="E4522" t="s">
        <v>3265</v>
      </c>
      <c r="F4522" s="242"/>
      <c r="G4522"/>
      <c r="H4522" s="242">
        <v>80000</v>
      </c>
      <c r="I4522" s="242">
        <v>80000</v>
      </c>
      <c r="J4522"/>
    </row>
    <row r="4523" spans="1:10">
      <c r="A4523" t="s">
        <v>872</v>
      </c>
      <c r="B4523">
        <v>817902</v>
      </c>
      <c r="C4523">
        <v>1</v>
      </c>
      <c r="D4523" t="str">
        <f t="shared" si="70"/>
        <v>1817902.781</v>
      </c>
      <c r="E4523" t="s">
        <v>4667</v>
      </c>
      <c r="F4523" s="242"/>
      <c r="G4523"/>
      <c r="H4523" s="242">
        <v>300000</v>
      </c>
      <c r="I4523" s="242">
        <v>343375</v>
      </c>
      <c r="J4523"/>
    </row>
    <row r="4524" spans="1:10">
      <c r="A4524" t="s">
        <v>877</v>
      </c>
      <c r="B4524">
        <v>817902</v>
      </c>
      <c r="C4524">
        <v>1</v>
      </c>
      <c r="D4524" t="str">
        <f t="shared" si="70"/>
        <v>1817902.782</v>
      </c>
      <c r="E4524" t="s">
        <v>3267</v>
      </c>
      <c r="F4524" s="242"/>
      <c r="G4524"/>
      <c r="H4524" s="242">
        <v>0</v>
      </c>
      <c r="I4524" s="242">
        <v>0</v>
      </c>
      <c r="J4524"/>
    </row>
    <row r="4525" spans="1:10">
      <c r="A4525" t="s">
        <v>2674</v>
      </c>
      <c r="B4525">
        <v>817902</v>
      </c>
      <c r="C4525">
        <v>1</v>
      </c>
      <c r="D4525" t="str">
        <f t="shared" si="70"/>
        <v>1817902.783</v>
      </c>
      <c r="E4525" t="s">
        <v>3268</v>
      </c>
      <c r="F4525" s="242"/>
      <c r="G4525"/>
      <c r="H4525" s="242">
        <v>72000</v>
      </c>
      <c r="I4525" s="242">
        <v>72000</v>
      </c>
      <c r="J4525"/>
    </row>
    <row r="4526" spans="1:10">
      <c r="A4526" t="s">
        <v>2676</v>
      </c>
      <c r="B4526">
        <v>817902</v>
      </c>
      <c r="C4526">
        <v>1</v>
      </c>
      <c r="D4526" t="str">
        <f t="shared" si="70"/>
        <v>1817902.784</v>
      </c>
      <c r="E4526" t="s">
        <v>3269</v>
      </c>
      <c r="F4526" s="242"/>
      <c r="G4526"/>
      <c r="H4526" s="242">
        <v>100000</v>
      </c>
      <c r="I4526" s="242">
        <v>40544</v>
      </c>
      <c r="J4526"/>
    </row>
    <row r="4527" spans="1:10">
      <c r="A4527" t="s">
        <v>2404</v>
      </c>
      <c r="B4527">
        <v>817903</v>
      </c>
      <c r="C4527">
        <v>1</v>
      </c>
      <c r="D4527" t="str">
        <f t="shared" si="70"/>
        <v>1817903.120</v>
      </c>
      <c r="E4527" t="s">
        <v>3284</v>
      </c>
      <c r="F4527" s="242"/>
      <c r="G4527"/>
      <c r="H4527" s="242">
        <v>283059</v>
      </c>
      <c r="I4527" s="242">
        <v>277121</v>
      </c>
      <c r="J4527"/>
    </row>
    <row r="4528" spans="1:10">
      <c r="A4528" t="s">
        <v>2579</v>
      </c>
      <c r="B4528">
        <v>817903</v>
      </c>
      <c r="C4528">
        <v>1</v>
      </c>
      <c r="D4528" t="str">
        <f t="shared" si="70"/>
        <v>1817903.181</v>
      </c>
      <c r="E4528" t="s">
        <v>2580</v>
      </c>
      <c r="F4528" s="242"/>
      <c r="G4528"/>
      <c r="H4528" s="242">
        <v>44328</v>
      </c>
      <c r="I4528" s="242">
        <v>47280</v>
      </c>
      <c r="J4528"/>
    </row>
    <row r="4529" spans="1:10">
      <c r="A4529" t="s">
        <v>2581</v>
      </c>
      <c r="B4529">
        <v>817903</v>
      </c>
      <c r="C4529">
        <v>1</v>
      </c>
      <c r="D4529" t="str">
        <f t="shared" si="70"/>
        <v>1817903.182</v>
      </c>
      <c r="E4529" t="s">
        <v>2582</v>
      </c>
      <c r="F4529" s="242"/>
      <c r="G4529"/>
      <c r="H4529" s="242">
        <v>17899</v>
      </c>
      <c r="I4529" s="242">
        <v>20502</v>
      </c>
      <c r="J4529"/>
    </row>
    <row r="4530" spans="1:10">
      <c r="A4530" t="s">
        <v>2674</v>
      </c>
      <c r="B4530">
        <v>817903</v>
      </c>
      <c r="C4530">
        <v>1</v>
      </c>
      <c r="D4530" t="str">
        <f t="shared" si="70"/>
        <v>1817903.783</v>
      </c>
      <c r="E4530" t="s">
        <v>3270</v>
      </c>
      <c r="F4530" s="242"/>
      <c r="G4530"/>
      <c r="H4530" s="242">
        <v>120000</v>
      </c>
      <c r="I4530" s="242">
        <v>77756</v>
      </c>
      <c r="J4530"/>
    </row>
    <row r="4531" spans="1:10">
      <c r="A4531" t="s">
        <v>2676</v>
      </c>
      <c r="B4531">
        <v>817903</v>
      </c>
      <c r="C4531">
        <v>1</v>
      </c>
      <c r="D4531" t="str">
        <f t="shared" si="70"/>
        <v>1817903.784</v>
      </c>
      <c r="E4531" t="s">
        <v>4668</v>
      </c>
      <c r="F4531" s="242"/>
      <c r="G4531"/>
      <c r="H4531" s="242">
        <v>50000</v>
      </c>
      <c r="I4531" s="242">
        <v>48796</v>
      </c>
      <c r="J4531"/>
    </row>
    <row r="4532" spans="1:10">
      <c r="A4532" t="s">
        <v>2750</v>
      </c>
      <c r="B4532">
        <v>817903</v>
      </c>
      <c r="C4532">
        <v>1</v>
      </c>
      <c r="D4532" t="str">
        <f t="shared" si="70"/>
        <v>1817903.785</v>
      </c>
      <c r="E4532" t="s">
        <v>3271</v>
      </c>
      <c r="F4532" s="242"/>
      <c r="G4532"/>
      <c r="H4532" s="242">
        <v>100000</v>
      </c>
      <c r="I4532" s="242">
        <v>89963</v>
      </c>
      <c r="J4532"/>
    </row>
    <row r="4533" spans="1:10">
      <c r="A4533" t="s">
        <v>2850</v>
      </c>
      <c r="B4533">
        <v>817903</v>
      </c>
      <c r="C4533">
        <v>1</v>
      </c>
      <c r="D4533" t="str">
        <f t="shared" si="70"/>
        <v>1817903.786</v>
      </c>
      <c r="E4533" t="s">
        <v>3272</v>
      </c>
      <c r="F4533" s="242"/>
      <c r="G4533"/>
      <c r="H4533" s="242">
        <v>136688</v>
      </c>
      <c r="I4533" s="242">
        <v>125358</v>
      </c>
      <c r="J4533"/>
    </row>
    <row r="4534" spans="1:10">
      <c r="A4534" t="s">
        <v>2841</v>
      </c>
      <c r="B4534">
        <v>817903</v>
      </c>
      <c r="C4534">
        <v>1</v>
      </c>
      <c r="D4534" t="str">
        <f t="shared" si="70"/>
        <v>1817903.788</v>
      </c>
      <c r="E4534" t="s">
        <v>3285</v>
      </c>
      <c r="F4534" s="242"/>
      <c r="G4534"/>
      <c r="H4534" s="242">
        <v>179000</v>
      </c>
      <c r="I4534" s="242">
        <v>42622</v>
      </c>
      <c r="J4534"/>
    </row>
    <row r="4535" spans="1:10">
      <c r="A4535" t="s">
        <v>3056</v>
      </c>
      <c r="B4535">
        <v>817903</v>
      </c>
      <c r="C4535">
        <v>1</v>
      </c>
      <c r="D4535" t="str">
        <f t="shared" si="70"/>
        <v>1817903.789</v>
      </c>
      <c r="E4535" t="s">
        <v>3275</v>
      </c>
      <c r="F4535" s="242"/>
      <c r="G4535"/>
      <c r="H4535" s="242">
        <v>150000</v>
      </c>
      <c r="I4535" s="242">
        <v>143748</v>
      </c>
      <c r="J4535"/>
    </row>
    <row r="4536" spans="1:10">
      <c r="A4536" t="s">
        <v>877</v>
      </c>
      <c r="B4536">
        <v>817904</v>
      </c>
      <c r="C4536">
        <v>1</v>
      </c>
      <c r="D4536" t="str">
        <f t="shared" si="70"/>
        <v>1817904.782</v>
      </c>
      <c r="E4536" t="s">
        <v>3277</v>
      </c>
      <c r="F4536" s="242"/>
      <c r="G4536"/>
      <c r="H4536" s="242">
        <v>60000</v>
      </c>
      <c r="I4536" s="242">
        <v>49871</v>
      </c>
      <c r="J4536"/>
    </row>
    <row r="4537" spans="1:10">
      <c r="A4537" t="s">
        <v>2674</v>
      </c>
      <c r="B4537">
        <v>817904</v>
      </c>
      <c r="C4537">
        <v>1</v>
      </c>
      <c r="D4537" t="str">
        <f t="shared" si="70"/>
        <v>1817904.783</v>
      </c>
      <c r="E4537" t="s">
        <v>3279</v>
      </c>
      <c r="F4537" s="242"/>
      <c r="G4537"/>
      <c r="H4537" s="242">
        <v>0</v>
      </c>
      <c r="I4537" s="242">
        <v>0</v>
      </c>
      <c r="J4537"/>
    </row>
    <row r="4538" spans="1:10">
      <c r="A4538" t="s">
        <v>2674</v>
      </c>
      <c r="B4538">
        <v>817913</v>
      </c>
      <c r="C4538">
        <v>1</v>
      </c>
      <c r="D4538" t="str">
        <f t="shared" si="70"/>
        <v>1817913.783</v>
      </c>
      <c r="E4538" t="s">
        <v>4669</v>
      </c>
      <c r="F4538" s="242"/>
      <c r="G4538"/>
      <c r="H4538" s="242">
        <v>30000</v>
      </c>
      <c r="I4538" s="242">
        <v>30000</v>
      </c>
      <c r="J4538"/>
    </row>
    <row r="4539" spans="1:10">
      <c r="A4539" t="s">
        <v>2676</v>
      </c>
      <c r="B4539">
        <v>817913</v>
      </c>
      <c r="C4539">
        <v>1</v>
      </c>
      <c r="D4539" t="str">
        <f t="shared" si="70"/>
        <v>1817913.784</v>
      </c>
      <c r="E4539" t="s">
        <v>4670</v>
      </c>
      <c r="F4539" s="242"/>
      <c r="G4539"/>
      <c r="H4539" s="242">
        <v>44000</v>
      </c>
      <c r="I4539" s="242">
        <v>41800</v>
      </c>
      <c r="J4539"/>
    </row>
    <row r="4540" spans="1:10">
      <c r="A4540" t="s">
        <v>2750</v>
      </c>
      <c r="B4540">
        <v>817913</v>
      </c>
      <c r="C4540">
        <v>1</v>
      </c>
      <c r="D4540" t="str">
        <f t="shared" si="70"/>
        <v>1817913.785</v>
      </c>
      <c r="E4540" t="s">
        <v>3280</v>
      </c>
      <c r="F4540" s="242"/>
      <c r="G4540"/>
      <c r="H4540" s="242">
        <v>201000</v>
      </c>
      <c r="I4540" s="242">
        <v>0</v>
      </c>
      <c r="J4540"/>
    </row>
    <row r="4541" spans="1:10">
      <c r="A4541" t="s">
        <v>2850</v>
      </c>
      <c r="B4541">
        <v>817913</v>
      </c>
      <c r="C4541">
        <v>1</v>
      </c>
      <c r="D4541" t="str">
        <f t="shared" si="70"/>
        <v>1817913.786</v>
      </c>
      <c r="E4541" t="s">
        <v>3281</v>
      </c>
      <c r="F4541" s="242"/>
      <c r="G4541"/>
      <c r="H4541" s="242">
        <v>150000</v>
      </c>
      <c r="I4541" s="242">
        <v>176545</v>
      </c>
      <c r="J4541"/>
    </row>
    <row r="4542" spans="1:10">
      <c r="A4542" t="s">
        <v>3030</v>
      </c>
      <c r="B4542">
        <v>817913</v>
      </c>
      <c r="C4542">
        <v>1</v>
      </c>
      <c r="D4542" t="str">
        <f t="shared" si="70"/>
        <v>1817913.787</v>
      </c>
      <c r="E4542" t="s">
        <v>3282</v>
      </c>
      <c r="F4542" s="242"/>
      <c r="G4542"/>
      <c r="H4542" s="242">
        <v>21758</v>
      </c>
      <c r="I4542" s="242">
        <v>0</v>
      </c>
      <c r="J4542"/>
    </row>
    <row r="4543" spans="1:10">
      <c r="A4543" t="s">
        <v>2403</v>
      </c>
      <c r="B4543">
        <v>817920</v>
      </c>
      <c r="C4543">
        <v>1</v>
      </c>
      <c r="D4543" t="str">
        <f t="shared" si="70"/>
        <v>1817920.110</v>
      </c>
      <c r="E4543" t="s">
        <v>2573</v>
      </c>
      <c r="F4543" s="242"/>
      <c r="G4543"/>
      <c r="H4543" s="242">
        <v>0</v>
      </c>
      <c r="I4543" s="242">
        <v>0</v>
      </c>
      <c r="J4543"/>
    </row>
    <row r="4544" spans="1:10">
      <c r="A4544" t="s">
        <v>2404</v>
      </c>
      <c r="B4544">
        <v>817920</v>
      </c>
      <c r="C4544">
        <v>1</v>
      </c>
      <c r="D4544" t="str">
        <f t="shared" si="70"/>
        <v>1817920.120</v>
      </c>
      <c r="E4544" t="s">
        <v>2574</v>
      </c>
      <c r="F4544" s="242"/>
      <c r="G4544"/>
      <c r="H4544" s="242">
        <v>0</v>
      </c>
      <c r="I4544" s="242">
        <v>0</v>
      </c>
      <c r="J4544"/>
    </row>
    <row r="4545" spans="1:10">
      <c r="A4545" t="s">
        <v>2575</v>
      </c>
      <c r="B4545">
        <v>817920</v>
      </c>
      <c r="C4545">
        <v>1</v>
      </c>
      <c r="D4545" t="str">
        <f t="shared" si="70"/>
        <v>1817920.130</v>
      </c>
      <c r="E4545" t="s">
        <v>2576</v>
      </c>
      <c r="F4545" s="242"/>
      <c r="G4545"/>
      <c r="H4545" s="242">
        <v>0</v>
      </c>
      <c r="I4545" s="242">
        <v>0</v>
      </c>
      <c r="J4545"/>
    </row>
    <row r="4546" spans="1:10">
      <c r="A4546" t="s">
        <v>2577</v>
      </c>
      <c r="B4546">
        <v>817920</v>
      </c>
      <c r="C4546">
        <v>1</v>
      </c>
      <c r="D4546" t="str">
        <f t="shared" si="70"/>
        <v>1817920.140</v>
      </c>
      <c r="E4546" t="s">
        <v>2578</v>
      </c>
      <c r="F4546" s="242"/>
      <c r="G4546"/>
      <c r="H4546" s="242">
        <v>0</v>
      </c>
      <c r="I4546" s="242">
        <v>0</v>
      </c>
      <c r="J4546"/>
    </row>
    <row r="4547" spans="1:10">
      <c r="A4547" t="s">
        <v>2579</v>
      </c>
      <c r="B4547">
        <v>817920</v>
      </c>
      <c r="C4547">
        <v>1</v>
      </c>
      <c r="D4547" t="str">
        <f t="shared" ref="D4547:D4610" si="71">C4547&amp;B4547&amp;"."&amp;A4547</f>
        <v>1817920.181</v>
      </c>
      <c r="E4547" t="s">
        <v>2580</v>
      </c>
      <c r="F4547" s="242"/>
      <c r="G4547"/>
      <c r="H4547" s="242">
        <v>0</v>
      </c>
      <c r="I4547" s="242">
        <v>0</v>
      </c>
      <c r="J4547"/>
    </row>
    <row r="4548" spans="1:10">
      <c r="A4548" t="s">
        <v>2581</v>
      </c>
      <c r="B4548">
        <v>817920</v>
      </c>
      <c r="C4548">
        <v>1</v>
      </c>
      <c r="D4548" t="str">
        <f t="shared" si="71"/>
        <v>1817920.182</v>
      </c>
      <c r="E4548" t="s">
        <v>2582</v>
      </c>
      <c r="F4548" s="242"/>
      <c r="G4548"/>
      <c r="H4548" s="242">
        <v>0</v>
      </c>
      <c r="I4548" s="242">
        <v>0</v>
      </c>
      <c r="J4548"/>
    </row>
    <row r="4549" spans="1:10">
      <c r="A4549" t="s">
        <v>1663</v>
      </c>
      <c r="B4549">
        <v>817920</v>
      </c>
      <c r="C4549">
        <v>1</v>
      </c>
      <c r="D4549" t="str">
        <f t="shared" si="71"/>
        <v>1817920.431</v>
      </c>
      <c r="E4549" t="s">
        <v>3552</v>
      </c>
      <c r="F4549" s="242"/>
      <c r="G4549"/>
      <c r="H4549" s="242">
        <v>5900</v>
      </c>
      <c r="I4549" s="242">
        <v>0</v>
      </c>
      <c r="J4549"/>
    </row>
    <row r="4550" spans="1:10">
      <c r="A4550" t="s">
        <v>2403</v>
      </c>
      <c r="B4550">
        <v>817930</v>
      </c>
      <c r="C4550">
        <v>1</v>
      </c>
      <c r="D4550" t="str">
        <f t="shared" si="71"/>
        <v>1817930.110</v>
      </c>
      <c r="E4550" t="s">
        <v>2573</v>
      </c>
      <c r="F4550" s="242"/>
      <c r="G4550"/>
      <c r="H4550" s="242">
        <v>72348</v>
      </c>
      <c r="I4550" s="242">
        <v>68104</v>
      </c>
      <c r="J4550"/>
    </row>
    <row r="4551" spans="1:10">
      <c r="A4551" t="s">
        <v>2404</v>
      </c>
      <c r="B4551">
        <v>817930</v>
      </c>
      <c r="C4551">
        <v>1</v>
      </c>
      <c r="D4551" t="str">
        <f t="shared" si="71"/>
        <v>1817930.120</v>
      </c>
      <c r="E4551" t="s">
        <v>2574</v>
      </c>
      <c r="F4551" s="242"/>
      <c r="G4551"/>
      <c r="H4551" s="242">
        <v>27051</v>
      </c>
      <c r="I4551" s="242">
        <v>27426</v>
      </c>
      <c r="J4551"/>
    </row>
    <row r="4552" spans="1:10">
      <c r="A4552" t="s">
        <v>2575</v>
      </c>
      <c r="B4552">
        <v>817930</v>
      </c>
      <c r="C4552">
        <v>1</v>
      </c>
      <c r="D4552" t="str">
        <f t="shared" si="71"/>
        <v>1817930.130</v>
      </c>
      <c r="E4552" t="s">
        <v>2576</v>
      </c>
      <c r="F4552" s="242"/>
      <c r="G4552"/>
      <c r="H4552" s="242">
        <v>1193</v>
      </c>
      <c r="I4552" s="242">
        <v>682</v>
      </c>
      <c r="J4552"/>
    </row>
    <row r="4553" spans="1:10">
      <c r="A4553" t="s">
        <v>2577</v>
      </c>
      <c r="B4553">
        <v>817930</v>
      </c>
      <c r="C4553">
        <v>1</v>
      </c>
      <c r="D4553" t="str">
        <f t="shared" si="71"/>
        <v>1817930.140</v>
      </c>
      <c r="E4553" t="s">
        <v>2578</v>
      </c>
      <c r="F4553" s="242"/>
      <c r="G4553"/>
      <c r="H4553" s="242">
        <v>21690</v>
      </c>
      <c r="I4553" s="242">
        <v>19952</v>
      </c>
      <c r="J4553"/>
    </row>
    <row r="4554" spans="1:10">
      <c r="A4554" t="s">
        <v>2579</v>
      </c>
      <c r="B4554">
        <v>817930</v>
      </c>
      <c r="C4554">
        <v>1</v>
      </c>
      <c r="D4554" t="str">
        <f t="shared" si="71"/>
        <v>1817930.181</v>
      </c>
      <c r="E4554" t="s">
        <v>2580</v>
      </c>
      <c r="F4554" s="242"/>
      <c r="G4554"/>
      <c r="H4554" s="242">
        <v>24682</v>
      </c>
      <c r="I4554" s="242">
        <v>22916</v>
      </c>
      <c r="J4554"/>
    </row>
    <row r="4555" spans="1:10">
      <c r="A4555" t="s">
        <v>2581</v>
      </c>
      <c r="B4555">
        <v>817930</v>
      </c>
      <c r="C4555">
        <v>1</v>
      </c>
      <c r="D4555" t="str">
        <f t="shared" si="71"/>
        <v>1817930.182</v>
      </c>
      <c r="E4555" t="s">
        <v>2582</v>
      </c>
      <c r="F4555" s="242"/>
      <c r="G4555"/>
      <c r="H4555" s="242">
        <v>9258</v>
      </c>
      <c r="I4555" s="242">
        <v>8796</v>
      </c>
      <c r="J4555"/>
    </row>
    <row r="4556" spans="1:10">
      <c r="A4556" t="s">
        <v>1663</v>
      </c>
      <c r="B4556">
        <v>817930</v>
      </c>
      <c r="C4556">
        <v>1</v>
      </c>
      <c r="D4556" t="str">
        <f t="shared" si="71"/>
        <v>1817930.431</v>
      </c>
      <c r="E4556" t="s">
        <v>2654</v>
      </c>
      <c r="F4556" s="242"/>
      <c r="G4556"/>
      <c r="H4556" s="242">
        <v>39000</v>
      </c>
      <c r="I4556" s="242">
        <v>39425</v>
      </c>
      <c r="J4556"/>
    </row>
    <row r="4557" spans="1:10">
      <c r="A4557" t="s">
        <v>1678</v>
      </c>
      <c r="B4557">
        <v>817930</v>
      </c>
      <c r="C4557">
        <v>1</v>
      </c>
      <c r="D4557" t="str">
        <f t="shared" si="71"/>
        <v>1817930.434</v>
      </c>
      <c r="E4557" t="s">
        <v>2753</v>
      </c>
      <c r="F4557" s="242"/>
      <c r="G4557"/>
      <c r="H4557" s="242">
        <v>42000</v>
      </c>
      <c r="I4557" s="242">
        <v>41000</v>
      </c>
      <c r="J4557"/>
    </row>
    <row r="4558" spans="1:10">
      <c r="A4558" t="s">
        <v>2606</v>
      </c>
      <c r="B4558">
        <v>817930</v>
      </c>
      <c r="C4558">
        <v>1</v>
      </c>
      <c r="D4558" t="str">
        <f t="shared" si="71"/>
        <v>1817930.440</v>
      </c>
      <c r="E4558" t="s">
        <v>2657</v>
      </c>
      <c r="F4558" s="242"/>
      <c r="G4558"/>
      <c r="H4558" s="242">
        <v>3400</v>
      </c>
      <c r="I4558" s="242">
        <v>3312</v>
      </c>
      <c r="J4558"/>
    </row>
    <row r="4559" spans="1:10">
      <c r="A4559" t="s">
        <v>2594</v>
      </c>
      <c r="B4559">
        <v>817930</v>
      </c>
      <c r="C4559">
        <v>1</v>
      </c>
      <c r="D4559" t="str">
        <f t="shared" si="71"/>
        <v>1817930.540</v>
      </c>
      <c r="E4559" t="s">
        <v>2595</v>
      </c>
      <c r="F4559" s="242"/>
      <c r="G4559"/>
      <c r="H4559" s="242">
        <v>12000</v>
      </c>
      <c r="I4559" s="242">
        <v>10485</v>
      </c>
      <c r="J4559"/>
    </row>
    <row r="4560" spans="1:10">
      <c r="A4560" t="s">
        <v>2403</v>
      </c>
      <c r="B4560">
        <v>817931</v>
      </c>
      <c r="C4560">
        <v>1</v>
      </c>
      <c r="D4560" t="str">
        <f t="shared" si="71"/>
        <v>1817931.110</v>
      </c>
      <c r="E4560" t="s">
        <v>2573</v>
      </c>
      <c r="F4560" s="242"/>
      <c r="G4560"/>
      <c r="H4560" s="242">
        <v>107907</v>
      </c>
      <c r="I4560" s="242">
        <v>99922</v>
      </c>
      <c r="J4560"/>
    </row>
    <row r="4561" spans="1:10">
      <c r="A4561" t="s">
        <v>2404</v>
      </c>
      <c r="B4561">
        <v>817931</v>
      </c>
      <c r="C4561">
        <v>1</v>
      </c>
      <c r="D4561" t="str">
        <f t="shared" si="71"/>
        <v>1817931.120</v>
      </c>
      <c r="E4561" t="s">
        <v>2574</v>
      </c>
      <c r="F4561" s="242"/>
      <c r="G4561"/>
      <c r="H4561" s="242">
        <v>4717</v>
      </c>
      <c r="I4561" s="242">
        <v>3788</v>
      </c>
      <c r="J4561"/>
    </row>
    <row r="4562" spans="1:10">
      <c r="A4562" t="s">
        <v>2575</v>
      </c>
      <c r="B4562">
        <v>817931</v>
      </c>
      <c r="C4562">
        <v>1</v>
      </c>
      <c r="D4562" t="str">
        <f t="shared" si="71"/>
        <v>1817931.130</v>
      </c>
      <c r="E4562" t="s">
        <v>2576</v>
      </c>
      <c r="F4562" s="242"/>
      <c r="G4562"/>
      <c r="H4562" s="242">
        <v>0</v>
      </c>
      <c r="I4562" s="242">
        <v>0</v>
      </c>
      <c r="J4562"/>
    </row>
    <row r="4563" spans="1:10">
      <c r="A4563" t="s">
        <v>2577</v>
      </c>
      <c r="B4563">
        <v>817931</v>
      </c>
      <c r="C4563">
        <v>1</v>
      </c>
      <c r="D4563" t="str">
        <f t="shared" si="71"/>
        <v>1817931.140</v>
      </c>
      <c r="E4563" t="s">
        <v>2578</v>
      </c>
      <c r="F4563" s="242"/>
      <c r="G4563"/>
      <c r="H4563" s="242">
        <v>9060</v>
      </c>
      <c r="I4563" s="242">
        <v>7419</v>
      </c>
      <c r="J4563"/>
    </row>
    <row r="4564" spans="1:10">
      <c r="A4564" t="s">
        <v>2579</v>
      </c>
      <c r="B4564">
        <v>817931</v>
      </c>
      <c r="C4564">
        <v>1</v>
      </c>
      <c r="D4564" t="str">
        <f t="shared" si="71"/>
        <v>1817931.181</v>
      </c>
      <c r="E4564" t="s">
        <v>2580</v>
      </c>
      <c r="F4564" s="242"/>
      <c r="G4564"/>
      <c r="H4564" s="242">
        <v>26871</v>
      </c>
      <c r="I4564" s="242">
        <v>24060</v>
      </c>
      <c r="J4564"/>
    </row>
    <row r="4565" spans="1:10">
      <c r="A4565" t="s">
        <v>2581</v>
      </c>
      <c r="B4565">
        <v>817931</v>
      </c>
      <c r="C4565">
        <v>1</v>
      </c>
      <c r="D4565" t="str">
        <f t="shared" si="71"/>
        <v>1817931.182</v>
      </c>
      <c r="E4565" t="s">
        <v>2582</v>
      </c>
      <c r="F4565" s="242"/>
      <c r="G4565"/>
      <c r="H4565" s="242">
        <v>9300</v>
      </c>
      <c r="I4565" s="242">
        <v>8487</v>
      </c>
      <c r="J4565"/>
    </row>
    <row r="4566" spans="1:10">
      <c r="A4566" t="s">
        <v>2652</v>
      </c>
      <c r="B4566">
        <v>817931</v>
      </c>
      <c r="C4566">
        <v>1</v>
      </c>
      <c r="D4566" t="str">
        <f t="shared" si="71"/>
        <v>1817931.420</v>
      </c>
      <c r="E4566" t="s">
        <v>2653</v>
      </c>
      <c r="F4566" s="242"/>
      <c r="G4566"/>
      <c r="H4566" s="242">
        <v>18000</v>
      </c>
      <c r="I4566" s="242">
        <v>237</v>
      </c>
      <c r="J4566"/>
    </row>
    <row r="4567" spans="1:10">
      <c r="A4567" t="s">
        <v>1663</v>
      </c>
      <c r="B4567">
        <v>817931</v>
      </c>
      <c r="C4567">
        <v>1</v>
      </c>
      <c r="D4567" t="str">
        <f t="shared" si="71"/>
        <v>1817931.431</v>
      </c>
      <c r="E4567" t="s">
        <v>2654</v>
      </c>
      <c r="F4567" s="242"/>
      <c r="G4567"/>
      <c r="H4567" s="242">
        <v>29400</v>
      </c>
      <c r="I4567" s="242">
        <v>30112</v>
      </c>
      <c r="J4567"/>
    </row>
    <row r="4568" spans="1:10">
      <c r="A4568" t="s">
        <v>1668</v>
      </c>
      <c r="B4568">
        <v>817931</v>
      </c>
      <c r="C4568">
        <v>1</v>
      </c>
      <c r="D4568" t="str">
        <f t="shared" si="71"/>
        <v>1817931.432</v>
      </c>
      <c r="E4568" t="s">
        <v>2687</v>
      </c>
      <c r="F4568" s="242"/>
      <c r="G4568"/>
      <c r="H4568" s="242">
        <v>44300</v>
      </c>
      <c r="I4568" s="242">
        <v>62884</v>
      </c>
      <c r="J4568"/>
    </row>
    <row r="4569" spans="1:10">
      <c r="A4569" t="s">
        <v>1678</v>
      </c>
      <c r="B4569">
        <v>817931</v>
      </c>
      <c r="C4569">
        <v>1</v>
      </c>
      <c r="D4569" t="str">
        <f t="shared" si="71"/>
        <v>1817931.434</v>
      </c>
      <c r="E4569" t="s">
        <v>2753</v>
      </c>
      <c r="F4569" s="242"/>
      <c r="G4569"/>
      <c r="H4569" s="242">
        <v>47000</v>
      </c>
      <c r="I4569" s="242">
        <v>39548</v>
      </c>
      <c r="J4569"/>
    </row>
    <row r="4570" spans="1:10">
      <c r="A4570" t="s">
        <v>2606</v>
      </c>
      <c r="B4570">
        <v>817931</v>
      </c>
      <c r="C4570">
        <v>1</v>
      </c>
      <c r="D4570" t="str">
        <f t="shared" si="71"/>
        <v>1817931.440</v>
      </c>
      <c r="E4570" t="s">
        <v>2657</v>
      </c>
      <c r="F4570" s="242"/>
      <c r="G4570"/>
      <c r="H4570" s="242">
        <v>3400</v>
      </c>
      <c r="I4570" s="242">
        <v>3312</v>
      </c>
      <c r="J4570"/>
    </row>
    <row r="4571" spans="1:10">
      <c r="A4571" t="s">
        <v>2411</v>
      </c>
      <c r="B4571">
        <v>817931</v>
      </c>
      <c r="C4571">
        <v>1</v>
      </c>
      <c r="D4571" t="str">
        <f t="shared" si="71"/>
        <v>1817931.470</v>
      </c>
      <c r="E4571" t="s">
        <v>2660</v>
      </c>
      <c r="F4571" s="242"/>
      <c r="G4571"/>
      <c r="H4571" s="242">
        <v>6500</v>
      </c>
      <c r="I4571" s="242">
        <v>2017</v>
      </c>
      <c r="J4571"/>
    </row>
    <row r="4572" spans="1:10">
      <c r="A4572" t="s">
        <v>2594</v>
      </c>
      <c r="B4572">
        <v>817931</v>
      </c>
      <c r="C4572">
        <v>1</v>
      </c>
      <c r="D4572" t="str">
        <f t="shared" si="71"/>
        <v>1817931.540</v>
      </c>
      <c r="E4572" t="s">
        <v>2595</v>
      </c>
      <c r="F4572" s="242"/>
      <c r="G4572"/>
      <c r="H4572" s="242">
        <v>10000</v>
      </c>
      <c r="I4572" s="242">
        <v>7385</v>
      </c>
      <c r="J4572"/>
    </row>
    <row r="4573" spans="1:10">
      <c r="A4573" t="s">
        <v>2598</v>
      </c>
      <c r="B4573">
        <v>817931</v>
      </c>
      <c r="C4573">
        <v>1</v>
      </c>
      <c r="D4573" t="str">
        <f t="shared" si="71"/>
        <v>1817931.561</v>
      </c>
      <c r="E4573" t="s">
        <v>2599</v>
      </c>
      <c r="F4573" s="242"/>
      <c r="G4573"/>
      <c r="H4573" s="242">
        <v>3500</v>
      </c>
      <c r="I4573" s="242">
        <v>3183</v>
      </c>
      <c r="J4573"/>
    </row>
    <row r="4574" spans="1:10">
      <c r="A4574" t="s">
        <v>2600</v>
      </c>
      <c r="B4574">
        <v>817931</v>
      </c>
      <c r="C4574">
        <v>1</v>
      </c>
      <c r="D4574" t="str">
        <f t="shared" si="71"/>
        <v>1817931.580</v>
      </c>
      <c r="E4574" t="s">
        <v>2601</v>
      </c>
      <c r="F4574" s="242"/>
      <c r="G4574"/>
      <c r="H4574" s="242">
        <v>2000</v>
      </c>
      <c r="I4574" s="242">
        <v>0</v>
      </c>
      <c r="J4574"/>
    </row>
    <row r="4575" spans="1:10">
      <c r="A4575" t="s">
        <v>2704</v>
      </c>
      <c r="B4575">
        <v>817931</v>
      </c>
      <c r="C4575">
        <v>1</v>
      </c>
      <c r="D4575" t="str">
        <f t="shared" si="71"/>
        <v>1817931.720</v>
      </c>
      <c r="E4575" t="s">
        <v>2705</v>
      </c>
      <c r="F4575" s="242"/>
      <c r="G4575"/>
      <c r="H4575" s="242">
        <v>2000</v>
      </c>
      <c r="I4575" s="242">
        <v>0</v>
      </c>
      <c r="J4575"/>
    </row>
    <row r="4576" spans="1:10">
      <c r="A4576" t="s">
        <v>673</v>
      </c>
      <c r="B4576">
        <v>817931</v>
      </c>
      <c r="C4576">
        <v>1</v>
      </c>
      <c r="D4576" t="str">
        <f t="shared" si="71"/>
        <v>1817931.743</v>
      </c>
      <c r="E4576" t="s">
        <v>2622</v>
      </c>
      <c r="F4576" s="242"/>
      <c r="G4576"/>
      <c r="H4576" s="242">
        <v>14000</v>
      </c>
      <c r="I4576" s="242">
        <v>4624</v>
      </c>
      <c r="J4576"/>
    </row>
    <row r="4577" spans="1:10">
      <c r="A4577" t="s">
        <v>781</v>
      </c>
      <c r="B4577">
        <v>817931</v>
      </c>
      <c r="C4577">
        <v>1</v>
      </c>
      <c r="D4577" t="str">
        <f t="shared" si="71"/>
        <v>1817931.753</v>
      </c>
      <c r="E4577" t="s">
        <v>2707</v>
      </c>
      <c r="F4577" s="242"/>
      <c r="G4577"/>
      <c r="H4577" s="242">
        <v>10000</v>
      </c>
      <c r="I4577" s="242">
        <v>0</v>
      </c>
      <c r="J4577"/>
    </row>
    <row r="4578" spans="1:10">
      <c r="A4578" t="s">
        <v>2403</v>
      </c>
      <c r="B4578">
        <v>817940</v>
      </c>
      <c r="C4578">
        <v>1</v>
      </c>
      <c r="D4578" t="str">
        <f t="shared" si="71"/>
        <v>1817940.110</v>
      </c>
      <c r="E4578" t="s">
        <v>2573</v>
      </c>
      <c r="F4578" s="242"/>
      <c r="G4578"/>
      <c r="H4578" s="242">
        <v>133740</v>
      </c>
      <c r="I4578" s="242">
        <v>60943</v>
      </c>
      <c r="J4578"/>
    </row>
    <row r="4579" spans="1:10">
      <c r="A4579" t="s">
        <v>2404</v>
      </c>
      <c r="B4579">
        <v>817940</v>
      </c>
      <c r="C4579">
        <v>1</v>
      </c>
      <c r="D4579" t="str">
        <f t="shared" si="71"/>
        <v>1817940.120</v>
      </c>
      <c r="E4579" t="s">
        <v>2574</v>
      </c>
      <c r="F4579" s="242"/>
      <c r="G4579"/>
      <c r="H4579" s="242">
        <v>72393</v>
      </c>
      <c r="I4579" s="242">
        <v>32227</v>
      </c>
      <c r="J4579"/>
    </row>
    <row r="4580" spans="1:10">
      <c r="A4580" t="s">
        <v>2575</v>
      </c>
      <c r="B4580">
        <v>817940</v>
      </c>
      <c r="C4580">
        <v>1</v>
      </c>
      <c r="D4580" t="str">
        <f t="shared" si="71"/>
        <v>1817940.130</v>
      </c>
      <c r="E4580" t="s">
        <v>2576</v>
      </c>
      <c r="F4580" s="242"/>
      <c r="G4580"/>
      <c r="H4580" s="242">
        <v>1602</v>
      </c>
      <c r="I4580" s="242">
        <v>510</v>
      </c>
      <c r="J4580"/>
    </row>
    <row r="4581" spans="1:10">
      <c r="A4581" t="s">
        <v>2577</v>
      </c>
      <c r="B4581">
        <v>817940</v>
      </c>
      <c r="C4581">
        <v>1</v>
      </c>
      <c r="D4581" t="str">
        <f t="shared" si="71"/>
        <v>1817940.140</v>
      </c>
      <c r="E4581" t="s">
        <v>2578</v>
      </c>
      <c r="F4581" s="242"/>
      <c r="G4581"/>
      <c r="H4581" s="242">
        <v>36621</v>
      </c>
      <c r="I4581" s="242">
        <v>14792</v>
      </c>
      <c r="J4581"/>
    </row>
    <row r="4582" spans="1:10">
      <c r="A4582" t="s">
        <v>2579</v>
      </c>
      <c r="B4582">
        <v>817940</v>
      </c>
      <c r="C4582">
        <v>1</v>
      </c>
      <c r="D4582" t="str">
        <f t="shared" si="71"/>
        <v>1817940.181</v>
      </c>
      <c r="E4582" t="s">
        <v>2580</v>
      </c>
      <c r="F4582" s="242"/>
      <c r="G4582"/>
      <c r="H4582" s="242">
        <v>36400</v>
      </c>
      <c r="I4582" s="242">
        <v>16240</v>
      </c>
      <c r="J4582"/>
    </row>
    <row r="4583" spans="1:10">
      <c r="A4583" t="s">
        <v>2581</v>
      </c>
      <c r="B4583">
        <v>817940</v>
      </c>
      <c r="C4583">
        <v>1</v>
      </c>
      <c r="D4583" t="str">
        <f t="shared" si="71"/>
        <v>1817940.182</v>
      </c>
      <c r="E4583" t="s">
        <v>2582</v>
      </c>
      <c r="F4583" s="242"/>
      <c r="G4583"/>
      <c r="H4583" s="242">
        <v>18483</v>
      </c>
      <c r="I4583" s="242">
        <v>8215</v>
      </c>
      <c r="J4583"/>
    </row>
    <row r="4584" spans="1:10">
      <c r="A4584" t="s">
        <v>2596</v>
      </c>
      <c r="B4584">
        <v>817940</v>
      </c>
      <c r="C4584">
        <v>1</v>
      </c>
      <c r="D4584" t="str">
        <f t="shared" si="71"/>
        <v>1817940.550</v>
      </c>
      <c r="E4584" t="s">
        <v>2597</v>
      </c>
      <c r="F4584" s="242"/>
      <c r="G4584"/>
      <c r="H4584" s="242">
        <v>8000</v>
      </c>
      <c r="I4584" s="242">
        <v>0</v>
      </c>
      <c r="J4584"/>
    </row>
    <row r="4585" spans="1:10">
      <c r="A4585" t="s">
        <v>673</v>
      </c>
      <c r="B4585">
        <v>817940</v>
      </c>
      <c r="C4585">
        <v>1</v>
      </c>
      <c r="D4585" t="str">
        <f t="shared" si="71"/>
        <v>1817940.743</v>
      </c>
      <c r="E4585" t="s">
        <v>2622</v>
      </c>
      <c r="F4585" s="242"/>
      <c r="G4585"/>
      <c r="H4585" s="242">
        <v>9000</v>
      </c>
      <c r="I4585" s="242">
        <v>0</v>
      </c>
      <c r="J4585"/>
    </row>
    <row r="4586" spans="1:10">
      <c r="A4586" t="s">
        <v>835</v>
      </c>
      <c r="B4586">
        <v>817940</v>
      </c>
      <c r="C4586">
        <v>1</v>
      </c>
      <c r="D4586" t="str">
        <f t="shared" si="71"/>
        <v>1817940.769</v>
      </c>
      <c r="E4586" t="s">
        <v>2605</v>
      </c>
      <c r="F4586" s="242"/>
      <c r="G4586"/>
      <c r="H4586" s="242">
        <v>19000</v>
      </c>
      <c r="I4586" s="242">
        <v>0</v>
      </c>
      <c r="J4586"/>
    </row>
    <row r="4587" spans="1:10">
      <c r="A4587" t="s">
        <v>2632</v>
      </c>
      <c r="B4587">
        <v>817940</v>
      </c>
      <c r="C4587">
        <v>1</v>
      </c>
      <c r="D4587" t="str">
        <f t="shared" si="71"/>
        <v>1817940.780</v>
      </c>
      <c r="E4587" t="s">
        <v>2633</v>
      </c>
      <c r="F4587" s="242"/>
      <c r="G4587"/>
      <c r="H4587" s="242">
        <v>25000</v>
      </c>
      <c r="I4587" s="242">
        <v>0</v>
      </c>
      <c r="J4587"/>
    </row>
    <row r="4588" spans="1:10">
      <c r="A4588" t="s">
        <v>872</v>
      </c>
      <c r="B4588">
        <v>817940</v>
      </c>
      <c r="C4588">
        <v>1</v>
      </c>
      <c r="D4588" t="str">
        <f t="shared" si="71"/>
        <v>1817940.781</v>
      </c>
      <c r="E4588" t="s">
        <v>3287</v>
      </c>
      <c r="F4588" s="242"/>
      <c r="G4588"/>
      <c r="H4588" s="242">
        <v>100000</v>
      </c>
      <c r="I4588" s="242">
        <v>100000</v>
      </c>
      <c r="J4588"/>
    </row>
    <row r="4589" spans="1:10">
      <c r="A4589" t="s">
        <v>877</v>
      </c>
      <c r="B4589">
        <v>817940</v>
      </c>
      <c r="C4589">
        <v>1</v>
      </c>
      <c r="D4589" t="str">
        <f t="shared" si="71"/>
        <v>1817940.782</v>
      </c>
      <c r="E4589" t="s">
        <v>3286</v>
      </c>
      <c r="F4589" s="242"/>
      <c r="G4589"/>
      <c r="H4589" s="242">
        <v>112500</v>
      </c>
      <c r="I4589" s="242">
        <v>0</v>
      </c>
      <c r="J4589"/>
    </row>
    <row r="4590" spans="1:10">
      <c r="A4590" t="s">
        <v>2403</v>
      </c>
      <c r="B4590">
        <v>817950</v>
      </c>
      <c r="C4590">
        <v>1</v>
      </c>
      <c r="D4590" t="str">
        <f t="shared" si="71"/>
        <v>1817950.110</v>
      </c>
      <c r="E4590" t="s">
        <v>3348</v>
      </c>
      <c r="F4590" s="242"/>
      <c r="G4590"/>
      <c r="H4590" s="242">
        <v>347493</v>
      </c>
      <c r="I4590" s="242">
        <v>311607</v>
      </c>
      <c r="J4590"/>
    </row>
    <row r="4591" spans="1:10">
      <c r="A4591" t="s">
        <v>2404</v>
      </c>
      <c r="B4591">
        <v>817950</v>
      </c>
      <c r="C4591">
        <v>1</v>
      </c>
      <c r="D4591" t="str">
        <f t="shared" si="71"/>
        <v>1817950.120</v>
      </c>
      <c r="E4591" t="s">
        <v>2574</v>
      </c>
      <c r="F4591" s="242"/>
      <c r="G4591"/>
      <c r="H4591" s="242">
        <v>27534</v>
      </c>
      <c r="I4591" s="242">
        <v>27606</v>
      </c>
      <c r="J4591"/>
    </row>
    <row r="4592" spans="1:10">
      <c r="A4592" t="s">
        <v>2575</v>
      </c>
      <c r="B4592">
        <v>817950</v>
      </c>
      <c r="C4592">
        <v>1</v>
      </c>
      <c r="D4592" t="str">
        <f t="shared" si="71"/>
        <v>1817950.130</v>
      </c>
      <c r="E4592" t="s">
        <v>2576</v>
      </c>
      <c r="F4592" s="242"/>
      <c r="G4592"/>
      <c r="H4592" s="242">
        <v>6114</v>
      </c>
      <c r="I4592" s="242">
        <v>3204</v>
      </c>
      <c r="J4592"/>
    </row>
    <row r="4593" spans="1:10">
      <c r="A4593" t="s">
        <v>2577</v>
      </c>
      <c r="B4593">
        <v>817950</v>
      </c>
      <c r="C4593">
        <v>1</v>
      </c>
      <c r="D4593" t="str">
        <f t="shared" si="71"/>
        <v>1817950.140</v>
      </c>
      <c r="E4593" t="s">
        <v>2578</v>
      </c>
      <c r="F4593" s="242"/>
      <c r="G4593"/>
      <c r="H4593" s="242">
        <v>16333</v>
      </c>
      <c r="I4593" s="242">
        <v>14950</v>
      </c>
      <c r="J4593"/>
    </row>
    <row r="4594" spans="1:10">
      <c r="A4594" t="s">
        <v>2579</v>
      </c>
      <c r="B4594">
        <v>817950</v>
      </c>
      <c r="C4594">
        <v>1</v>
      </c>
      <c r="D4594" t="str">
        <f t="shared" si="71"/>
        <v>1817950.181</v>
      </c>
      <c r="E4594" t="s">
        <v>2580</v>
      </c>
      <c r="F4594" s="242"/>
      <c r="G4594"/>
      <c r="H4594" s="242">
        <v>75395</v>
      </c>
      <c r="I4594" s="242">
        <v>66735</v>
      </c>
      <c r="J4594"/>
    </row>
    <row r="4595" spans="1:10">
      <c r="A4595" t="s">
        <v>2581</v>
      </c>
      <c r="B4595">
        <v>817950</v>
      </c>
      <c r="C4595">
        <v>1</v>
      </c>
      <c r="D4595" t="str">
        <f t="shared" si="71"/>
        <v>1817950.182</v>
      </c>
      <c r="E4595" t="s">
        <v>2582</v>
      </c>
      <c r="F4595" s="242"/>
      <c r="G4595"/>
      <c r="H4595" s="242">
        <v>30343</v>
      </c>
      <c r="I4595" s="242">
        <v>27311</v>
      </c>
      <c r="J4595"/>
    </row>
    <row r="4596" spans="1:10">
      <c r="A4596" t="s">
        <v>2652</v>
      </c>
      <c r="B4596">
        <v>817951</v>
      </c>
      <c r="C4596">
        <v>1</v>
      </c>
      <c r="D4596" t="str">
        <f t="shared" si="71"/>
        <v>1817951.420</v>
      </c>
      <c r="E4596" t="s">
        <v>2653</v>
      </c>
      <c r="F4596" s="242"/>
      <c r="G4596"/>
      <c r="H4596" s="242">
        <v>28500</v>
      </c>
      <c r="I4596" s="242">
        <v>22789</v>
      </c>
      <c r="J4596"/>
    </row>
    <row r="4597" spans="1:10">
      <c r="A4597" t="s">
        <v>1663</v>
      </c>
      <c r="B4597">
        <v>817951</v>
      </c>
      <c r="C4597">
        <v>1</v>
      </c>
      <c r="D4597" t="str">
        <f t="shared" si="71"/>
        <v>1817951.431</v>
      </c>
      <c r="E4597" t="s">
        <v>2654</v>
      </c>
      <c r="F4597" s="242"/>
      <c r="G4597"/>
      <c r="H4597" s="242">
        <v>147000</v>
      </c>
      <c r="I4597" s="242">
        <v>208698</v>
      </c>
      <c r="J4597"/>
    </row>
    <row r="4598" spans="1:10">
      <c r="A4598" t="s">
        <v>1678</v>
      </c>
      <c r="B4598">
        <v>817951</v>
      </c>
      <c r="C4598">
        <v>1</v>
      </c>
      <c r="D4598" t="str">
        <f t="shared" si="71"/>
        <v>1817951.434</v>
      </c>
      <c r="E4598" t="s">
        <v>2753</v>
      </c>
      <c r="F4598" s="242"/>
      <c r="G4598"/>
      <c r="H4598" s="242">
        <v>120000</v>
      </c>
      <c r="I4598" s="242">
        <v>83098</v>
      </c>
      <c r="J4598"/>
    </row>
    <row r="4599" spans="1:10">
      <c r="A4599" t="s">
        <v>2606</v>
      </c>
      <c r="B4599">
        <v>817951</v>
      </c>
      <c r="C4599">
        <v>1</v>
      </c>
      <c r="D4599" t="str">
        <f t="shared" si="71"/>
        <v>1817951.440</v>
      </c>
      <c r="E4599" t="s">
        <v>2657</v>
      </c>
      <c r="F4599" s="242"/>
      <c r="G4599"/>
      <c r="H4599" s="242">
        <v>8600</v>
      </c>
      <c r="I4599" s="242">
        <v>8329</v>
      </c>
      <c r="J4599"/>
    </row>
    <row r="4600" spans="1:10">
      <c r="A4600" t="s">
        <v>2594</v>
      </c>
      <c r="B4600">
        <v>817951</v>
      </c>
      <c r="C4600">
        <v>1</v>
      </c>
      <c r="D4600" t="str">
        <f t="shared" si="71"/>
        <v>1817951.540</v>
      </c>
      <c r="E4600" t="s">
        <v>2595</v>
      </c>
      <c r="F4600" s="242"/>
      <c r="G4600"/>
      <c r="H4600" s="242">
        <v>6000</v>
      </c>
      <c r="I4600" s="242">
        <v>5295</v>
      </c>
      <c r="J4600"/>
    </row>
    <row r="4601" spans="1:10">
      <c r="A4601" t="s">
        <v>547</v>
      </c>
      <c r="B4601">
        <v>817951</v>
      </c>
      <c r="C4601">
        <v>1</v>
      </c>
      <c r="D4601" t="str">
        <f t="shared" si="71"/>
        <v>1817951.722</v>
      </c>
      <c r="E4601" t="s">
        <v>3020</v>
      </c>
      <c r="F4601" s="242"/>
      <c r="G4601"/>
      <c r="H4601" s="242">
        <v>0</v>
      </c>
      <c r="I4601" s="242">
        <v>0</v>
      </c>
      <c r="J4601"/>
    </row>
    <row r="4602" spans="1:10">
      <c r="A4602" t="s">
        <v>2740</v>
      </c>
      <c r="B4602">
        <v>817951</v>
      </c>
      <c r="C4602">
        <v>1</v>
      </c>
      <c r="D4602" t="str">
        <f t="shared" si="71"/>
        <v>1817951.930</v>
      </c>
      <c r="E4602" t="s">
        <v>2834</v>
      </c>
      <c r="F4602" s="242"/>
      <c r="G4602"/>
      <c r="H4602" s="242">
        <v>25000</v>
      </c>
      <c r="I4602" s="242">
        <v>26866</v>
      </c>
      <c r="J4602"/>
    </row>
    <row r="4603" spans="1:10">
      <c r="A4603" t="s">
        <v>678</v>
      </c>
      <c r="B4603">
        <v>817960</v>
      </c>
      <c r="C4603">
        <v>1</v>
      </c>
      <c r="D4603" t="str">
        <f t="shared" si="71"/>
        <v>1817960.744</v>
      </c>
      <c r="E4603" t="s">
        <v>3059</v>
      </c>
      <c r="F4603" s="242"/>
      <c r="G4603"/>
      <c r="H4603" s="242">
        <v>95000</v>
      </c>
      <c r="I4603" s="242">
        <v>86172</v>
      </c>
      <c r="J4603"/>
    </row>
    <row r="4604" spans="1:10">
      <c r="A4604" t="s">
        <v>1649</v>
      </c>
      <c r="B4604">
        <v>817960</v>
      </c>
      <c r="C4604">
        <v>1</v>
      </c>
      <c r="D4604" t="str">
        <f t="shared" si="71"/>
        <v>1817960.422</v>
      </c>
      <c r="E4604" t="s">
        <v>3255</v>
      </c>
      <c r="F4604" s="242"/>
      <c r="G4604"/>
      <c r="H4604" s="242">
        <v>300000</v>
      </c>
      <c r="I4604" s="242">
        <v>307593</v>
      </c>
      <c r="J4604"/>
    </row>
    <row r="4605" spans="1:10">
      <c r="A4605" t="s">
        <v>424</v>
      </c>
      <c r="B4605">
        <v>817960</v>
      </c>
      <c r="C4605">
        <v>1</v>
      </c>
      <c r="D4605" t="str">
        <f t="shared" si="71"/>
        <v>1817960.711</v>
      </c>
      <c r="E4605" t="s">
        <v>3256</v>
      </c>
      <c r="F4605" s="242"/>
      <c r="G4605"/>
      <c r="H4605" s="242">
        <v>275000</v>
      </c>
      <c r="I4605" s="242">
        <v>244584</v>
      </c>
      <c r="J4605"/>
    </row>
    <row r="4606" spans="1:10">
      <c r="A4606" t="s">
        <v>2611</v>
      </c>
      <c r="B4606">
        <v>817960</v>
      </c>
      <c r="C4606">
        <v>1</v>
      </c>
      <c r="D4606" t="str">
        <f t="shared" si="71"/>
        <v>1817960.750</v>
      </c>
      <c r="E4606" t="s">
        <v>3257</v>
      </c>
      <c r="F4606" s="242"/>
      <c r="G4606"/>
      <c r="H4606" s="242">
        <v>370000</v>
      </c>
      <c r="I4606" s="242">
        <v>184288</v>
      </c>
      <c r="J4606"/>
    </row>
    <row r="4607" spans="1:10">
      <c r="A4607" t="s">
        <v>786</v>
      </c>
      <c r="B4607">
        <v>817960</v>
      </c>
      <c r="C4607">
        <v>1</v>
      </c>
      <c r="D4607" t="str">
        <f t="shared" si="71"/>
        <v>1817960.754</v>
      </c>
      <c r="E4607" t="s">
        <v>3258</v>
      </c>
      <c r="F4607" s="242"/>
      <c r="G4607"/>
      <c r="H4607" s="242">
        <v>60000</v>
      </c>
      <c r="I4607" s="242">
        <v>0</v>
      </c>
      <c r="J4607"/>
    </row>
    <row r="4608" spans="1:10">
      <c r="A4608" t="s">
        <v>2670</v>
      </c>
      <c r="B4608">
        <v>817960</v>
      </c>
      <c r="C4608">
        <v>1</v>
      </c>
      <c r="D4608" t="str">
        <f t="shared" si="71"/>
        <v>1817960.755</v>
      </c>
      <c r="E4608" t="s">
        <v>2671</v>
      </c>
      <c r="F4608" s="242"/>
      <c r="G4608"/>
      <c r="H4608" s="242">
        <v>112000</v>
      </c>
      <c r="I4608" s="242">
        <v>107584</v>
      </c>
      <c r="J4608"/>
    </row>
    <row r="4609" spans="1:10">
      <c r="A4609" t="s">
        <v>3033</v>
      </c>
      <c r="B4609">
        <v>817960</v>
      </c>
      <c r="C4609">
        <v>1</v>
      </c>
      <c r="D4609" t="str">
        <f t="shared" si="71"/>
        <v>1817960.850</v>
      </c>
      <c r="E4609" t="s">
        <v>3259</v>
      </c>
      <c r="F4609" s="242"/>
      <c r="G4609"/>
      <c r="H4609" s="242">
        <v>150000</v>
      </c>
      <c r="I4609" s="242">
        <v>134960</v>
      </c>
      <c r="J4609"/>
    </row>
    <row r="4610" spans="1:10">
      <c r="A4610" t="s">
        <v>1555</v>
      </c>
      <c r="B4610">
        <v>817960</v>
      </c>
      <c r="C4610">
        <v>1</v>
      </c>
      <c r="D4610" t="str">
        <f t="shared" si="71"/>
        <v>1817960.851</v>
      </c>
      <c r="E4610" t="s">
        <v>3260</v>
      </c>
      <c r="F4610" s="242"/>
      <c r="G4610"/>
      <c r="H4610" s="242">
        <v>12000</v>
      </c>
      <c r="I4610" s="242">
        <v>0</v>
      </c>
      <c r="J4610"/>
    </row>
    <row r="4611" spans="1:10">
      <c r="A4611" t="s">
        <v>2571</v>
      </c>
      <c r="B4611">
        <v>817960</v>
      </c>
      <c r="C4611">
        <v>1</v>
      </c>
      <c r="D4611" t="str">
        <f t="shared" ref="D4611:D4674" si="72">C4611&amp;B4611&amp;"."&amp;A4611</f>
        <v>1817960.105</v>
      </c>
      <c r="E4611" t="s">
        <v>2572</v>
      </c>
      <c r="F4611" s="242"/>
      <c r="G4611"/>
      <c r="H4611" s="242">
        <v>150000</v>
      </c>
      <c r="I4611" s="242">
        <v>109481</v>
      </c>
      <c r="J4611"/>
    </row>
    <row r="4612" spans="1:10">
      <c r="A4612" t="s">
        <v>2652</v>
      </c>
      <c r="B4612">
        <v>817960</v>
      </c>
      <c r="C4612">
        <v>1</v>
      </c>
      <c r="D4612" t="str">
        <f t="shared" si="72"/>
        <v>1817960.420</v>
      </c>
      <c r="E4612" t="s">
        <v>3262</v>
      </c>
      <c r="F4612" s="242"/>
      <c r="G4612"/>
      <c r="H4612" s="242">
        <v>1695000</v>
      </c>
      <c r="I4612" s="242">
        <v>1471153</v>
      </c>
      <c r="J4612"/>
    </row>
    <row r="4613" spans="1:10">
      <c r="A4613" t="s">
        <v>2632</v>
      </c>
      <c r="B4613">
        <v>818000</v>
      </c>
      <c r="C4613">
        <v>1</v>
      </c>
      <c r="D4613" t="str">
        <f t="shared" si="72"/>
        <v>1818000.780</v>
      </c>
      <c r="E4613" t="s">
        <v>3528</v>
      </c>
      <c r="F4613" s="242"/>
      <c r="G4613"/>
      <c r="H4613" s="242">
        <v>38000</v>
      </c>
      <c r="I4613" s="242">
        <v>0</v>
      </c>
      <c r="J4613"/>
    </row>
    <row r="4614" spans="1:10">
      <c r="A4614" t="s">
        <v>872</v>
      </c>
      <c r="B4614">
        <v>818000</v>
      </c>
      <c r="C4614">
        <v>1</v>
      </c>
      <c r="D4614" t="str">
        <f t="shared" si="72"/>
        <v>1818000.781</v>
      </c>
      <c r="E4614" t="s">
        <v>3529</v>
      </c>
      <c r="F4614" s="242"/>
      <c r="G4614"/>
      <c r="H4614" s="242">
        <v>90000</v>
      </c>
      <c r="I4614" s="242">
        <v>0</v>
      </c>
      <c r="J4614"/>
    </row>
    <row r="4615" spans="1:10">
      <c r="A4615" t="s">
        <v>877</v>
      </c>
      <c r="B4615">
        <v>818000</v>
      </c>
      <c r="C4615">
        <v>1</v>
      </c>
      <c r="D4615" t="str">
        <f t="shared" si="72"/>
        <v>1818000.782</v>
      </c>
      <c r="E4615" t="s">
        <v>3530</v>
      </c>
      <c r="F4615" s="242"/>
      <c r="G4615"/>
      <c r="H4615" s="242">
        <v>40000</v>
      </c>
      <c r="I4615" s="242">
        <v>0</v>
      </c>
      <c r="J4615"/>
    </row>
    <row r="4616" spans="1:10">
      <c r="A4616" t="s">
        <v>2674</v>
      </c>
      <c r="B4616">
        <v>818000</v>
      </c>
      <c r="C4616">
        <v>1</v>
      </c>
      <c r="D4616" t="str">
        <f t="shared" si="72"/>
        <v>1818000.783</v>
      </c>
      <c r="E4616" t="s">
        <v>3531</v>
      </c>
      <c r="F4616" s="242"/>
      <c r="G4616"/>
      <c r="H4616" s="242">
        <v>30000</v>
      </c>
      <c r="I4616" s="242">
        <v>23758</v>
      </c>
      <c r="J4616"/>
    </row>
    <row r="4617" spans="1:10">
      <c r="A4617" t="s">
        <v>2652</v>
      </c>
      <c r="B4617">
        <v>819100</v>
      </c>
      <c r="C4617">
        <v>1</v>
      </c>
      <c r="D4617" t="str">
        <f t="shared" si="72"/>
        <v>1819100.420</v>
      </c>
      <c r="E4617" t="s">
        <v>3459</v>
      </c>
      <c r="F4617" s="242"/>
      <c r="G4617"/>
      <c r="H4617" s="242">
        <v>330000</v>
      </c>
      <c r="I4617" s="242">
        <v>276500</v>
      </c>
      <c r="J4617"/>
    </row>
    <row r="4618" spans="1:10">
      <c r="A4618" t="s">
        <v>2606</v>
      </c>
      <c r="B4618">
        <v>819100</v>
      </c>
      <c r="C4618">
        <v>1</v>
      </c>
      <c r="D4618" t="str">
        <f t="shared" si="72"/>
        <v>1819100.440</v>
      </c>
      <c r="E4618" t="s">
        <v>2657</v>
      </c>
      <c r="F4618" s="242"/>
      <c r="G4618"/>
      <c r="H4618" s="242">
        <v>58800</v>
      </c>
      <c r="I4618" s="242">
        <v>56798</v>
      </c>
      <c r="J4618"/>
    </row>
    <row r="4619" spans="1:10">
      <c r="A4619" t="s">
        <v>2588</v>
      </c>
      <c r="B4619">
        <v>819100</v>
      </c>
      <c r="C4619">
        <v>1</v>
      </c>
      <c r="D4619" t="str">
        <f t="shared" si="72"/>
        <v>1819100.522</v>
      </c>
      <c r="E4619" t="s">
        <v>2608</v>
      </c>
      <c r="F4619" s="242"/>
      <c r="G4619"/>
      <c r="H4619" s="242">
        <v>0</v>
      </c>
      <c r="I4619" s="242">
        <v>0</v>
      </c>
      <c r="J4619"/>
    </row>
    <row r="4620" spans="1:10">
      <c r="A4620" t="s">
        <v>2611</v>
      </c>
      <c r="B4620">
        <v>819100</v>
      </c>
      <c r="C4620">
        <v>1</v>
      </c>
      <c r="D4620" t="str">
        <f t="shared" si="72"/>
        <v>1819100.750</v>
      </c>
      <c r="E4620" t="s">
        <v>3460</v>
      </c>
      <c r="F4620" s="242"/>
      <c r="G4620"/>
      <c r="H4620" s="242">
        <v>60000</v>
      </c>
      <c r="I4620" s="242">
        <v>2399</v>
      </c>
      <c r="J4620"/>
    </row>
    <row r="4621" spans="1:10">
      <c r="A4621" t="s">
        <v>2670</v>
      </c>
      <c r="B4621">
        <v>819100</v>
      </c>
      <c r="C4621">
        <v>1</v>
      </c>
      <c r="D4621" t="str">
        <f t="shared" si="72"/>
        <v>1819100.755</v>
      </c>
      <c r="E4621" t="s">
        <v>2671</v>
      </c>
      <c r="F4621" s="242"/>
      <c r="G4621"/>
      <c r="H4621" s="242">
        <v>28500</v>
      </c>
      <c r="I4621" s="242">
        <v>22479</v>
      </c>
      <c r="J4621"/>
    </row>
    <row r="4622" spans="1:10">
      <c r="A4622" t="s">
        <v>2632</v>
      </c>
      <c r="B4622">
        <v>819100</v>
      </c>
      <c r="C4622">
        <v>1</v>
      </c>
      <c r="D4622" t="str">
        <f t="shared" si="72"/>
        <v>1819100.780</v>
      </c>
      <c r="E4622" t="s">
        <v>2675</v>
      </c>
      <c r="F4622" s="242"/>
      <c r="G4622"/>
      <c r="H4622" s="242">
        <v>46000</v>
      </c>
      <c r="I4622" s="242">
        <v>46000</v>
      </c>
      <c r="J4622"/>
    </row>
    <row r="4623" spans="1:10">
      <c r="A4623" t="s">
        <v>872</v>
      </c>
      <c r="B4623">
        <v>819100</v>
      </c>
      <c r="C4623">
        <v>1</v>
      </c>
      <c r="D4623" t="str">
        <f t="shared" si="72"/>
        <v>1819100.781</v>
      </c>
      <c r="E4623" t="s">
        <v>3461</v>
      </c>
      <c r="F4623" s="242"/>
      <c r="G4623"/>
      <c r="H4623" s="242">
        <v>20000</v>
      </c>
      <c r="I4623" s="242">
        <v>19676</v>
      </c>
      <c r="J4623"/>
    </row>
    <row r="4624" spans="1:10">
      <c r="A4624" t="s">
        <v>2603</v>
      </c>
      <c r="B4624">
        <v>819170</v>
      </c>
      <c r="C4624">
        <v>1</v>
      </c>
      <c r="D4624" t="str">
        <f t="shared" si="72"/>
        <v>1819170.759</v>
      </c>
      <c r="E4624" t="s">
        <v>3462</v>
      </c>
      <c r="F4624" s="242"/>
      <c r="G4624"/>
      <c r="H4624" s="242">
        <v>90000</v>
      </c>
      <c r="I4624" s="242">
        <v>56830</v>
      </c>
      <c r="J4624"/>
    </row>
    <row r="4625" spans="1:10">
      <c r="A4625" t="s">
        <v>2603</v>
      </c>
      <c r="B4625">
        <v>819171</v>
      </c>
      <c r="C4625">
        <v>1</v>
      </c>
      <c r="D4625" t="str">
        <f t="shared" si="72"/>
        <v>1819171.759</v>
      </c>
      <c r="E4625" t="s">
        <v>3463</v>
      </c>
      <c r="F4625" s="242"/>
      <c r="G4625"/>
      <c r="H4625" s="242">
        <v>960000</v>
      </c>
      <c r="I4625" s="242">
        <v>829030</v>
      </c>
      <c r="J4625"/>
    </row>
    <row r="4626" spans="1:10">
      <c r="A4626" t="s">
        <v>429</v>
      </c>
      <c r="B4626">
        <v>819178</v>
      </c>
      <c r="C4626">
        <v>1</v>
      </c>
      <c r="D4626" t="str">
        <f t="shared" si="72"/>
        <v>1819178.712</v>
      </c>
      <c r="E4626" t="s">
        <v>3464</v>
      </c>
      <c r="F4626" s="242"/>
      <c r="G4626"/>
      <c r="H4626" s="242">
        <v>900000</v>
      </c>
      <c r="I4626" s="242">
        <v>784910</v>
      </c>
      <c r="J4626"/>
    </row>
    <row r="4627" spans="1:10">
      <c r="A4627" t="s">
        <v>464</v>
      </c>
      <c r="B4627">
        <v>819178</v>
      </c>
      <c r="C4627">
        <v>1</v>
      </c>
      <c r="D4627" t="str">
        <f t="shared" si="72"/>
        <v>1819178.713</v>
      </c>
      <c r="E4627" t="s">
        <v>3465</v>
      </c>
      <c r="F4627" s="242"/>
      <c r="G4627"/>
      <c r="H4627" s="242">
        <v>850000</v>
      </c>
      <c r="I4627" s="242">
        <v>725902</v>
      </c>
      <c r="J4627"/>
    </row>
    <row r="4628" spans="1:10">
      <c r="A4628" t="s">
        <v>877</v>
      </c>
      <c r="B4628">
        <v>819179</v>
      </c>
      <c r="C4628">
        <v>1</v>
      </c>
      <c r="D4628" t="str">
        <f t="shared" si="72"/>
        <v>1819179.782</v>
      </c>
      <c r="E4628" t="s">
        <v>3466</v>
      </c>
      <c r="F4628" s="242"/>
      <c r="G4628"/>
      <c r="H4628" s="242">
        <v>180000</v>
      </c>
      <c r="I4628" s="242">
        <v>154500</v>
      </c>
      <c r="J4628"/>
    </row>
    <row r="4629" spans="1:10">
      <c r="A4629" t="s">
        <v>1668</v>
      </c>
      <c r="B4629">
        <v>819200</v>
      </c>
      <c r="C4629">
        <v>1</v>
      </c>
      <c r="D4629" t="str">
        <f t="shared" si="72"/>
        <v>1819200.432</v>
      </c>
      <c r="E4629" t="s">
        <v>3467</v>
      </c>
      <c r="F4629" s="242"/>
      <c r="G4629"/>
      <c r="H4629" s="242">
        <v>0</v>
      </c>
      <c r="I4629" s="242">
        <v>18813</v>
      </c>
      <c r="J4629"/>
    </row>
    <row r="4630" spans="1:10">
      <c r="A4630" t="s">
        <v>1610</v>
      </c>
      <c r="B4630">
        <v>819210</v>
      </c>
      <c r="C4630">
        <v>1</v>
      </c>
      <c r="D4630" t="str">
        <f t="shared" si="72"/>
        <v>1819210.879</v>
      </c>
      <c r="E4630" t="s">
        <v>3468</v>
      </c>
      <c r="F4630" s="242"/>
      <c r="G4630"/>
      <c r="H4630" s="242">
        <v>42000</v>
      </c>
      <c r="I4630" s="242">
        <v>42000</v>
      </c>
      <c r="J4630"/>
    </row>
    <row r="4631" spans="1:10">
      <c r="A4631" t="s">
        <v>1610</v>
      </c>
      <c r="B4631">
        <v>819220</v>
      </c>
      <c r="C4631">
        <v>1</v>
      </c>
      <c r="D4631" t="str">
        <f t="shared" si="72"/>
        <v>1819220.879</v>
      </c>
      <c r="E4631" t="s">
        <v>3469</v>
      </c>
      <c r="F4631" s="242"/>
      <c r="G4631"/>
      <c r="H4631" s="242">
        <v>233000</v>
      </c>
      <c r="I4631" s="242">
        <v>233000</v>
      </c>
      <c r="J4631"/>
    </row>
    <row r="4632" spans="1:10">
      <c r="A4632" t="s">
        <v>1610</v>
      </c>
      <c r="B4632">
        <v>819230</v>
      </c>
      <c r="C4632">
        <v>1</v>
      </c>
      <c r="D4632" t="str">
        <f t="shared" si="72"/>
        <v>1819230.879</v>
      </c>
      <c r="E4632" t="s">
        <v>3470</v>
      </c>
      <c r="F4632" s="242"/>
      <c r="G4632"/>
      <c r="H4632" s="242">
        <v>112000</v>
      </c>
      <c r="I4632" s="242">
        <v>112000</v>
      </c>
      <c r="J4632"/>
    </row>
    <row r="4633" spans="1:10">
      <c r="A4633" t="s">
        <v>1610</v>
      </c>
      <c r="B4633">
        <v>819240</v>
      </c>
      <c r="C4633">
        <v>1</v>
      </c>
      <c r="D4633" t="str">
        <f t="shared" si="72"/>
        <v>1819240.879</v>
      </c>
      <c r="E4633" t="s">
        <v>3471</v>
      </c>
      <c r="F4633" s="242"/>
      <c r="G4633"/>
      <c r="H4633" s="242">
        <v>70000</v>
      </c>
      <c r="I4633" s="242">
        <v>70000</v>
      </c>
      <c r="J4633"/>
    </row>
    <row r="4634" spans="1:10">
      <c r="A4634" t="s">
        <v>1610</v>
      </c>
      <c r="B4634">
        <v>819250</v>
      </c>
      <c r="C4634">
        <v>1</v>
      </c>
      <c r="D4634" t="str">
        <f t="shared" si="72"/>
        <v>1819250.879</v>
      </c>
      <c r="E4634" t="s">
        <v>3472</v>
      </c>
      <c r="F4634" s="242"/>
      <c r="G4634"/>
      <c r="H4634" s="242">
        <v>18000</v>
      </c>
      <c r="I4634" s="242">
        <v>18000</v>
      </c>
      <c r="J4634"/>
    </row>
    <row r="4635" spans="1:10">
      <c r="A4635" t="s">
        <v>1610</v>
      </c>
      <c r="B4635">
        <v>819260</v>
      </c>
      <c r="C4635">
        <v>1</v>
      </c>
      <c r="D4635" t="str">
        <f t="shared" si="72"/>
        <v>1819260.879</v>
      </c>
      <c r="E4635" t="s">
        <v>3473</v>
      </c>
      <c r="F4635" s="242"/>
      <c r="G4635"/>
      <c r="H4635" s="242">
        <v>284700</v>
      </c>
      <c r="I4635" s="242">
        <v>284700</v>
      </c>
      <c r="J4635"/>
    </row>
    <row r="4636" spans="1:10">
      <c r="A4636" t="s">
        <v>1610</v>
      </c>
      <c r="B4636">
        <v>819280</v>
      </c>
      <c r="C4636">
        <v>1</v>
      </c>
      <c r="D4636" t="str">
        <f t="shared" si="72"/>
        <v>1819280.879</v>
      </c>
      <c r="E4636" t="s">
        <v>3474</v>
      </c>
      <c r="F4636" s="242"/>
      <c r="G4636"/>
      <c r="H4636" s="242">
        <v>174600</v>
      </c>
      <c r="I4636" s="242">
        <v>174600</v>
      </c>
      <c r="J4636"/>
    </row>
    <row r="4637" spans="1:10">
      <c r="A4637" t="s">
        <v>1610</v>
      </c>
      <c r="B4637">
        <v>819290</v>
      </c>
      <c r="C4637">
        <v>1</v>
      </c>
      <c r="D4637" t="str">
        <f t="shared" si="72"/>
        <v>1819290.879</v>
      </c>
      <c r="E4637" t="s">
        <v>3475</v>
      </c>
      <c r="F4637" s="242"/>
      <c r="G4637"/>
      <c r="H4637" s="242">
        <v>107000</v>
      </c>
      <c r="I4637" s="242">
        <v>107000</v>
      </c>
      <c r="J4637"/>
    </row>
    <row r="4638" spans="1:10">
      <c r="A4638" t="s">
        <v>1610</v>
      </c>
      <c r="B4638">
        <v>819292</v>
      </c>
      <c r="C4638">
        <v>1</v>
      </c>
      <c r="D4638" t="str">
        <f t="shared" si="72"/>
        <v>1819292.879</v>
      </c>
      <c r="E4638" t="s">
        <v>3476</v>
      </c>
      <c r="F4638" s="242"/>
      <c r="G4638"/>
      <c r="H4638" s="242">
        <v>79500</v>
      </c>
      <c r="I4638" s="242">
        <v>79500</v>
      </c>
      <c r="J4638"/>
    </row>
    <row r="4639" spans="1:10">
      <c r="A4639" t="s">
        <v>1663</v>
      </c>
      <c r="B4639">
        <v>819300</v>
      </c>
      <c r="C4639">
        <v>1</v>
      </c>
      <c r="D4639" t="str">
        <f t="shared" si="72"/>
        <v>1819300.431</v>
      </c>
      <c r="E4639" t="s">
        <v>3486</v>
      </c>
      <c r="F4639" s="242"/>
      <c r="G4639"/>
      <c r="H4639" s="242">
        <v>0</v>
      </c>
      <c r="I4639" s="242">
        <v>51251</v>
      </c>
      <c r="J4639"/>
    </row>
    <row r="4640" spans="1:10">
      <c r="A4640" t="s">
        <v>1668</v>
      </c>
      <c r="B4640">
        <v>819300</v>
      </c>
      <c r="C4640">
        <v>1</v>
      </c>
      <c r="D4640" t="str">
        <f t="shared" si="72"/>
        <v>1819300.432</v>
      </c>
      <c r="E4640" t="s">
        <v>3487</v>
      </c>
      <c r="F4640" s="242"/>
      <c r="G4640"/>
      <c r="H4640" s="242">
        <v>0</v>
      </c>
      <c r="I4640" s="242">
        <v>68885</v>
      </c>
      <c r="J4640"/>
    </row>
    <row r="4641" spans="1:10">
      <c r="A4641" t="s">
        <v>2759</v>
      </c>
      <c r="B4641">
        <v>819310</v>
      </c>
      <c r="C4641">
        <v>1</v>
      </c>
      <c r="D4641" t="str">
        <f t="shared" si="72"/>
        <v>1819310.760</v>
      </c>
      <c r="E4641" t="s">
        <v>3488</v>
      </c>
      <c r="F4641" s="242"/>
      <c r="G4641"/>
      <c r="H4641" s="242">
        <v>95000</v>
      </c>
      <c r="I4641" s="242">
        <v>84839</v>
      </c>
      <c r="J4641"/>
    </row>
    <row r="4642" spans="1:10">
      <c r="A4642" t="s">
        <v>1610</v>
      </c>
      <c r="B4642">
        <v>819310</v>
      </c>
      <c r="C4642">
        <v>1</v>
      </c>
      <c r="D4642" t="str">
        <f t="shared" si="72"/>
        <v>1819310.879</v>
      </c>
      <c r="E4642" t="s">
        <v>3468</v>
      </c>
      <c r="F4642" s="242"/>
      <c r="G4642"/>
      <c r="H4642" s="242">
        <v>179244</v>
      </c>
      <c r="I4642" s="242">
        <v>186140</v>
      </c>
      <c r="J4642"/>
    </row>
    <row r="4643" spans="1:10">
      <c r="A4643" t="s">
        <v>2759</v>
      </c>
      <c r="B4643">
        <v>819320</v>
      </c>
      <c r="C4643">
        <v>1</v>
      </c>
      <c r="D4643" t="str">
        <f t="shared" si="72"/>
        <v>1819320.760</v>
      </c>
      <c r="E4643" t="s">
        <v>3489</v>
      </c>
      <c r="F4643" s="242"/>
      <c r="G4643"/>
      <c r="H4643" s="242">
        <v>300000</v>
      </c>
      <c r="I4643" s="242">
        <v>292480</v>
      </c>
      <c r="J4643"/>
    </row>
    <row r="4644" spans="1:10">
      <c r="A4644" t="s">
        <v>2632</v>
      </c>
      <c r="B4644">
        <v>819320</v>
      </c>
      <c r="C4644">
        <v>1</v>
      </c>
      <c r="D4644" t="str">
        <f t="shared" si="72"/>
        <v>1819320.780</v>
      </c>
      <c r="E4644" t="s">
        <v>3477</v>
      </c>
      <c r="F4644" s="242"/>
      <c r="G4644"/>
      <c r="H4644" s="242">
        <v>493000</v>
      </c>
      <c r="I4644" s="242">
        <v>339245</v>
      </c>
      <c r="J4644"/>
    </row>
    <row r="4645" spans="1:10">
      <c r="A4645" t="s">
        <v>1610</v>
      </c>
      <c r="B4645">
        <v>819320</v>
      </c>
      <c r="C4645">
        <v>1</v>
      </c>
      <c r="D4645" t="str">
        <f t="shared" si="72"/>
        <v>1819320.879</v>
      </c>
      <c r="E4645" t="s">
        <v>3469</v>
      </c>
      <c r="F4645" s="242"/>
      <c r="G4645"/>
      <c r="H4645" s="242">
        <v>393470</v>
      </c>
      <c r="I4645" s="242">
        <v>363370</v>
      </c>
      <c r="J4645"/>
    </row>
    <row r="4646" spans="1:10">
      <c r="A4646" t="s">
        <v>2759</v>
      </c>
      <c r="B4646">
        <v>819330</v>
      </c>
      <c r="C4646">
        <v>1</v>
      </c>
      <c r="D4646" t="str">
        <f t="shared" si="72"/>
        <v>1819330.760</v>
      </c>
      <c r="E4646" t="s">
        <v>3490</v>
      </c>
      <c r="F4646" s="242"/>
      <c r="G4646"/>
      <c r="H4646" s="242">
        <v>0</v>
      </c>
      <c r="I4646" s="242">
        <v>13343</v>
      </c>
      <c r="J4646"/>
    </row>
    <row r="4647" spans="1:10">
      <c r="A4647" t="s">
        <v>2632</v>
      </c>
      <c r="B4647">
        <v>819330</v>
      </c>
      <c r="C4647">
        <v>1</v>
      </c>
      <c r="D4647" t="str">
        <f t="shared" si="72"/>
        <v>1819330.780</v>
      </c>
      <c r="E4647" t="s">
        <v>3477</v>
      </c>
      <c r="F4647" s="242"/>
      <c r="G4647"/>
      <c r="H4647" s="242">
        <v>330000</v>
      </c>
      <c r="I4647" s="242">
        <v>227073</v>
      </c>
      <c r="J4647"/>
    </row>
    <row r="4648" spans="1:10">
      <c r="A4648" t="s">
        <v>1610</v>
      </c>
      <c r="B4648">
        <v>819330</v>
      </c>
      <c r="C4648">
        <v>1</v>
      </c>
      <c r="D4648" t="str">
        <f t="shared" si="72"/>
        <v>1819330.879</v>
      </c>
      <c r="E4648" t="s">
        <v>3470</v>
      </c>
      <c r="F4648" s="242"/>
      <c r="G4648"/>
      <c r="H4648" s="242">
        <v>247968</v>
      </c>
      <c r="I4648" s="242">
        <v>238950</v>
      </c>
      <c r="J4648"/>
    </row>
    <row r="4649" spans="1:10">
      <c r="A4649" t="s">
        <v>2759</v>
      </c>
      <c r="B4649">
        <v>819340</v>
      </c>
      <c r="C4649">
        <v>1</v>
      </c>
      <c r="D4649" t="str">
        <f t="shared" si="72"/>
        <v>1819340.760</v>
      </c>
      <c r="E4649" t="s">
        <v>3491</v>
      </c>
      <c r="F4649" s="242"/>
      <c r="G4649"/>
      <c r="H4649" s="242">
        <v>80000</v>
      </c>
      <c r="I4649" s="242">
        <v>79678</v>
      </c>
      <c r="J4649"/>
    </row>
    <row r="4650" spans="1:10">
      <c r="A4650" t="s">
        <v>1610</v>
      </c>
      <c r="B4650">
        <v>819340</v>
      </c>
      <c r="C4650">
        <v>1</v>
      </c>
      <c r="D4650" t="str">
        <f t="shared" si="72"/>
        <v>1819340.879</v>
      </c>
      <c r="E4650" t="s">
        <v>3471</v>
      </c>
      <c r="F4650" s="242"/>
      <c r="G4650"/>
      <c r="H4650" s="242">
        <v>159000</v>
      </c>
      <c r="I4650" s="242">
        <v>154145</v>
      </c>
      <c r="J4650"/>
    </row>
    <row r="4651" spans="1:10">
      <c r="A4651" t="s">
        <v>2403</v>
      </c>
      <c r="B4651">
        <v>819350</v>
      </c>
      <c r="C4651">
        <v>1</v>
      </c>
      <c r="D4651" t="str">
        <f t="shared" si="72"/>
        <v>1819350.110</v>
      </c>
      <c r="E4651" t="s">
        <v>2573</v>
      </c>
      <c r="F4651" s="242"/>
      <c r="G4651"/>
      <c r="H4651" s="242">
        <v>270735</v>
      </c>
      <c r="I4651" s="242">
        <v>260854</v>
      </c>
      <c r="J4651"/>
    </row>
    <row r="4652" spans="1:10">
      <c r="A4652" t="s">
        <v>2404</v>
      </c>
      <c r="B4652">
        <v>819350</v>
      </c>
      <c r="C4652">
        <v>1</v>
      </c>
      <c r="D4652" t="str">
        <f t="shared" si="72"/>
        <v>1819350.120</v>
      </c>
      <c r="E4652" t="s">
        <v>2574</v>
      </c>
      <c r="F4652" s="242"/>
      <c r="G4652"/>
      <c r="H4652" s="242">
        <v>26146</v>
      </c>
      <c r="I4652" s="242">
        <v>28691</v>
      </c>
      <c r="J4652"/>
    </row>
    <row r="4653" spans="1:10">
      <c r="A4653" t="s">
        <v>2575</v>
      </c>
      <c r="B4653">
        <v>819350</v>
      </c>
      <c r="C4653">
        <v>1</v>
      </c>
      <c r="D4653" t="str">
        <f t="shared" si="72"/>
        <v>1819350.130</v>
      </c>
      <c r="E4653" t="s">
        <v>2576</v>
      </c>
      <c r="F4653" s="242"/>
      <c r="G4653"/>
      <c r="H4653" s="242">
        <v>14130</v>
      </c>
      <c r="I4653" s="242">
        <v>10357</v>
      </c>
      <c r="J4653"/>
    </row>
    <row r="4654" spans="1:10">
      <c r="A4654" t="s">
        <v>2577</v>
      </c>
      <c r="B4654">
        <v>819350</v>
      </c>
      <c r="C4654">
        <v>1</v>
      </c>
      <c r="D4654" t="str">
        <f t="shared" si="72"/>
        <v>1819350.140</v>
      </c>
      <c r="E4654" t="s">
        <v>2578</v>
      </c>
      <c r="F4654" s="242"/>
      <c r="G4654"/>
      <c r="H4654" s="242">
        <v>8916</v>
      </c>
      <c r="I4654" s="242">
        <v>8361</v>
      </c>
      <c r="J4654"/>
    </row>
    <row r="4655" spans="1:10">
      <c r="A4655" t="s">
        <v>2579</v>
      </c>
      <c r="B4655">
        <v>819350</v>
      </c>
      <c r="C4655">
        <v>1</v>
      </c>
      <c r="D4655" t="str">
        <f t="shared" si="72"/>
        <v>1819350.181</v>
      </c>
      <c r="E4655" t="s">
        <v>2580</v>
      </c>
      <c r="F4655" s="242"/>
      <c r="G4655"/>
      <c r="H4655" s="242">
        <v>52648</v>
      </c>
      <c r="I4655" s="242">
        <v>50737</v>
      </c>
      <c r="J4655"/>
    </row>
    <row r="4656" spans="1:10">
      <c r="A4656" t="s">
        <v>2581</v>
      </c>
      <c r="B4656">
        <v>819350</v>
      </c>
      <c r="C4656">
        <v>1</v>
      </c>
      <c r="D4656" t="str">
        <f t="shared" si="72"/>
        <v>1819350.182</v>
      </c>
      <c r="E4656" t="s">
        <v>2582</v>
      </c>
      <c r="F4656" s="242"/>
      <c r="G4656"/>
      <c r="H4656" s="242">
        <v>24328</v>
      </c>
      <c r="I4656" s="242">
        <v>23447</v>
      </c>
      <c r="J4656"/>
    </row>
    <row r="4657" spans="1:10">
      <c r="A4657" t="s">
        <v>2676</v>
      </c>
      <c r="B4657">
        <v>819350</v>
      </c>
      <c r="C4657">
        <v>1</v>
      </c>
      <c r="D4657" t="str">
        <f t="shared" si="72"/>
        <v>1819350.784</v>
      </c>
      <c r="E4657" t="s">
        <v>3492</v>
      </c>
      <c r="F4657" s="242"/>
      <c r="G4657"/>
      <c r="H4657" s="242">
        <v>55285</v>
      </c>
      <c r="I4657" s="242">
        <v>3526</v>
      </c>
      <c r="J4657"/>
    </row>
    <row r="4658" spans="1:10">
      <c r="A4658" t="s">
        <v>1610</v>
      </c>
      <c r="B4658">
        <v>819350</v>
      </c>
      <c r="C4658">
        <v>1</v>
      </c>
      <c r="D4658" t="str">
        <f t="shared" si="72"/>
        <v>1819350.879</v>
      </c>
      <c r="E4658" t="s">
        <v>3493</v>
      </c>
      <c r="F4658" s="242"/>
      <c r="G4658"/>
      <c r="H4658" s="242">
        <v>245376</v>
      </c>
      <c r="I4658" s="242">
        <v>260620</v>
      </c>
      <c r="J4658"/>
    </row>
    <row r="4659" spans="1:10">
      <c r="A4659" t="s">
        <v>2759</v>
      </c>
      <c r="B4659">
        <v>819360</v>
      </c>
      <c r="C4659">
        <v>1</v>
      </c>
      <c r="D4659" t="str">
        <f t="shared" si="72"/>
        <v>1819360.760</v>
      </c>
      <c r="E4659" t="s">
        <v>3494</v>
      </c>
      <c r="F4659" s="242"/>
      <c r="G4659"/>
      <c r="H4659" s="242">
        <v>193000</v>
      </c>
      <c r="I4659" s="242">
        <v>163075</v>
      </c>
      <c r="J4659"/>
    </row>
    <row r="4660" spans="1:10">
      <c r="A4660" t="s">
        <v>1610</v>
      </c>
      <c r="B4660">
        <v>819360</v>
      </c>
      <c r="C4660">
        <v>1</v>
      </c>
      <c r="D4660" t="str">
        <f t="shared" si="72"/>
        <v>1819360.879</v>
      </c>
      <c r="E4660" t="s">
        <v>3495</v>
      </c>
      <c r="F4660" s="242"/>
      <c r="G4660"/>
      <c r="H4660" s="242">
        <v>252168</v>
      </c>
      <c r="I4660" s="242">
        <v>243375</v>
      </c>
      <c r="J4660"/>
    </row>
    <row r="4661" spans="1:10">
      <c r="A4661" t="s">
        <v>2759</v>
      </c>
      <c r="B4661">
        <v>819370</v>
      </c>
      <c r="C4661">
        <v>1</v>
      </c>
      <c r="D4661" t="str">
        <f t="shared" si="72"/>
        <v>1819370.760</v>
      </c>
      <c r="E4661" t="s">
        <v>3496</v>
      </c>
      <c r="F4661" s="242"/>
      <c r="G4661"/>
      <c r="H4661" s="242">
        <v>132000</v>
      </c>
      <c r="I4661" s="242">
        <v>117686</v>
      </c>
      <c r="J4661"/>
    </row>
    <row r="4662" spans="1:10">
      <c r="A4662" t="s">
        <v>872</v>
      </c>
      <c r="B4662">
        <v>819370</v>
      </c>
      <c r="C4662">
        <v>1</v>
      </c>
      <c r="D4662" t="str">
        <f t="shared" si="72"/>
        <v>1819370.781</v>
      </c>
      <c r="E4662" t="s">
        <v>3482</v>
      </c>
      <c r="F4662" s="242"/>
      <c r="G4662"/>
      <c r="H4662" s="242">
        <v>78000</v>
      </c>
      <c r="I4662" s="242">
        <v>70248</v>
      </c>
      <c r="J4662"/>
    </row>
    <row r="4663" spans="1:10">
      <c r="A4663" t="s">
        <v>2674</v>
      </c>
      <c r="B4663">
        <v>819370</v>
      </c>
      <c r="C4663">
        <v>1</v>
      </c>
      <c r="D4663" t="str">
        <f t="shared" si="72"/>
        <v>1819370.783</v>
      </c>
      <c r="E4663" t="s">
        <v>3483</v>
      </c>
      <c r="F4663" s="242"/>
      <c r="G4663"/>
      <c r="H4663" s="242">
        <v>250000</v>
      </c>
      <c r="I4663" s="242">
        <v>282538</v>
      </c>
      <c r="J4663"/>
    </row>
    <row r="4664" spans="1:10">
      <c r="A4664" t="s">
        <v>2676</v>
      </c>
      <c r="B4664">
        <v>819370</v>
      </c>
      <c r="C4664">
        <v>1</v>
      </c>
      <c r="D4664" t="str">
        <f t="shared" si="72"/>
        <v>1819370.784</v>
      </c>
      <c r="E4664" t="s">
        <v>3484</v>
      </c>
      <c r="F4664" s="242"/>
      <c r="G4664"/>
      <c r="H4664" s="242">
        <v>136000</v>
      </c>
      <c r="I4664" s="242">
        <v>141934</v>
      </c>
      <c r="J4664"/>
    </row>
    <row r="4665" spans="1:10">
      <c r="A4665" t="s">
        <v>1610</v>
      </c>
      <c r="B4665">
        <v>819370</v>
      </c>
      <c r="C4665">
        <v>1</v>
      </c>
      <c r="D4665" t="str">
        <f t="shared" si="72"/>
        <v>1819370.879</v>
      </c>
      <c r="E4665" t="s">
        <v>3497</v>
      </c>
      <c r="F4665" s="242"/>
      <c r="G4665"/>
      <c r="H4665" s="242">
        <v>188568</v>
      </c>
      <c r="I4665" s="242">
        <v>188975</v>
      </c>
      <c r="J4665"/>
    </row>
    <row r="4666" spans="1:10">
      <c r="A4666" t="s">
        <v>1610</v>
      </c>
      <c r="B4666">
        <v>819380</v>
      </c>
      <c r="C4666">
        <v>1</v>
      </c>
      <c r="D4666" t="str">
        <f t="shared" si="72"/>
        <v>1819380.879</v>
      </c>
      <c r="E4666" t="s">
        <v>3498</v>
      </c>
      <c r="F4666" s="242"/>
      <c r="G4666"/>
      <c r="H4666" s="242">
        <v>160344</v>
      </c>
      <c r="I4666" s="242">
        <v>152155</v>
      </c>
      <c r="J4666"/>
    </row>
    <row r="4667" spans="1:10">
      <c r="A4667" t="s">
        <v>1610</v>
      </c>
      <c r="B4667">
        <v>819390</v>
      </c>
      <c r="C4667">
        <v>1</v>
      </c>
      <c r="D4667" t="str">
        <f t="shared" si="72"/>
        <v>1819390.879</v>
      </c>
      <c r="E4667" t="s">
        <v>3476</v>
      </c>
      <c r="F4667" s="242"/>
      <c r="G4667"/>
      <c r="H4667" s="242">
        <v>175356</v>
      </c>
      <c r="I4667" s="242">
        <v>166260</v>
      </c>
      <c r="J4667"/>
    </row>
    <row r="4668" spans="1:10">
      <c r="A4668" t="s">
        <v>1610</v>
      </c>
      <c r="B4668">
        <v>819391</v>
      </c>
      <c r="C4668">
        <v>1</v>
      </c>
      <c r="D4668" t="str">
        <f t="shared" si="72"/>
        <v>1819391.879</v>
      </c>
      <c r="E4668" t="s">
        <v>3499</v>
      </c>
      <c r="F4668" s="242"/>
      <c r="G4668"/>
      <c r="H4668" s="242">
        <v>0</v>
      </c>
      <c r="I4668" s="242">
        <v>0</v>
      </c>
      <c r="J4668"/>
    </row>
    <row r="4669" spans="1:10">
      <c r="A4669" t="s">
        <v>1610</v>
      </c>
      <c r="B4669">
        <v>819510</v>
      </c>
      <c r="C4669">
        <v>1</v>
      </c>
      <c r="D4669" t="str">
        <f t="shared" si="72"/>
        <v>1819510.879</v>
      </c>
      <c r="E4669" t="s">
        <v>3500</v>
      </c>
      <c r="F4669" s="242"/>
      <c r="G4669"/>
      <c r="H4669" s="242">
        <v>122000</v>
      </c>
      <c r="I4669" s="242">
        <v>122000</v>
      </c>
      <c r="J4669"/>
    </row>
    <row r="4670" spans="1:10">
      <c r="A4670" t="s">
        <v>1610</v>
      </c>
      <c r="B4670">
        <v>819520</v>
      </c>
      <c r="C4670">
        <v>1</v>
      </c>
      <c r="D4670" t="str">
        <f t="shared" si="72"/>
        <v>1819520.879</v>
      </c>
      <c r="E4670" t="s">
        <v>3501</v>
      </c>
      <c r="F4670" s="242"/>
      <c r="G4670"/>
      <c r="H4670" s="242">
        <v>94000</v>
      </c>
      <c r="I4670" s="242">
        <v>94000</v>
      </c>
      <c r="J4670"/>
    </row>
    <row r="4671" spans="1:10">
      <c r="A4671" t="s">
        <v>1610</v>
      </c>
      <c r="B4671">
        <v>819530</v>
      </c>
      <c r="C4671">
        <v>1</v>
      </c>
      <c r="D4671" t="str">
        <f t="shared" si="72"/>
        <v>1819530.879</v>
      </c>
      <c r="E4671" t="s">
        <v>3502</v>
      </c>
      <c r="F4671" s="242"/>
      <c r="G4671"/>
      <c r="H4671" s="242">
        <v>143000</v>
      </c>
      <c r="I4671" s="242">
        <v>143000</v>
      </c>
      <c r="J4671"/>
    </row>
    <row r="4672" spans="1:10">
      <c r="A4672" t="s">
        <v>1610</v>
      </c>
      <c r="B4672">
        <v>819540</v>
      </c>
      <c r="C4672">
        <v>1</v>
      </c>
      <c r="D4672" t="str">
        <f t="shared" si="72"/>
        <v>1819540.879</v>
      </c>
      <c r="E4672" t="s">
        <v>3503</v>
      </c>
      <c r="F4672" s="242"/>
      <c r="G4672"/>
      <c r="H4672" s="242">
        <v>88000</v>
      </c>
      <c r="I4672" s="242">
        <v>88000</v>
      </c>
      <c r="J4672"/>
    </row>
    <row r="4673" spans="1:10">
      <c r="A4673" t="s">
        <v>4573</v>
      </c>
      <c r="B4673">
        <v>820000</v>
      </c>
      <c r="C4673">
        <v>1</v>
      </c>
      <c r="D4673" t="str">
        <f t="shared" si="72"/>
        <v>1820000.320</v>
      </c>
      <c r="E4673" t="s">
        <v>4574</v>
      </c>
      <c r="F4673" s="242"/>
      <c r="G4673"/>
      <c r="H4673" s="242">
        <v>40000</v>
      </c>
      <c r="I4673" s="242">
        <v>39307</v>
      </c>
      <c r="J4673"/>
    </row>
    <row r="4674" spans="1:10">
      <c r="A4674" t="s">
        <v>2403</v>
      </c>
      <c r="B4674">
        <v>821000</v>
      </c>
      <c r="C4674">
        <v>1</v>
      </c>
      <c r="D4674" t="str">
        <f t="shared" si="72"/>
        <v>1821000.110</v>
      </c>
      <c r="E4674" t="s">
        <v>2573</v>
      </c>
      <c r="F4674" s="242"/>
      <c r="G4674"/>
      <c r="H4674" s="242">
        <v>266620</v>
      </c>
      <c r="I4674" s="242">
        <v>303451</v>
      </c>
      <c r="J4674"/>
    </row>
    <row r="4675" spans="1:10">
      <c r="A4675" t="s">
        <v>2404</v>
      </c>
      <c r="B4675">
        <v>821000</v>
      </c>
      <c r="C4675">
        <v>1</v>
      </c>
      <c r="D4675" t="str">
        <f t="shared" ref="D4675:D4738" si="73">C4675&amp;B4675&amp;"."&amp;A4675</f>
        <v>1821000.120</v>
      </c>
      <c r="E4675" t="s">
        <v>2574</v>
      </c>
      <c r="F4675" s="242"/>
      <c r="G4675"/>
      <c r="H4675" s="242">
        <v>26483</v>
      </c>
      <c r="I4675" s="242">
        <v>30106</v>
      </c>
      <c r="J4675"/>
    </row>
    <row r="4676" spans="1:10">
      <c r="A4676" t="s">
        <v>2575</v>
      </c>
      <c r="B4676">
        <v>821000</v>
      </c>
      <c r="C4676">
        <v>1</v>
      </c>
      <c r="D4676" t="str">
        <f t="shared" si="73"/>
        <v>1821000.130</v>
      </c>
      <c r="E4676" t="s">
        <v>2576</v>
      </c>
      <c r="F4676" s="242"/>
      <c r="G4676"/>
      <c r="H4676" s="242">
        <v>0</v>
      </c>
      <c r="I4676" s="242">
        <v>0</v>
      </c>
      <c r="J4676"/>
    </row>
    <row r="4677" spans="1:10">
      <c r="A4677" t="s">
        <v>2577</v>
      </c>
      <c r="B4677">
        <v>821000</v>
      </c>
      <c r="C4677">
        <v>1</v>
      </c>
      <c r="D4677" t="str">
        <f t="shared" si="73"/>
        <v>1821000.140</v>
      </c>
      <c r="E4677" t="s">
        <v>2578</v>
      </c>
      <c r="F4677" s="242"/>
      <c r="G4677"/>
      <c r="H4677" s="242">
        <v>35326</v>
      </c>
      <c r="I4677" s="242">
        <v>44571</v>
      </c>
      <c r="J4677"/>
    </row>
    <row r="4678" spans="1:10">
      <c r="A4678" t="s">
        <v>2579</v>
      </c>
      <c r="B4678">
        <v>821000</v>
      </c>
      <c r="C4678">
        <v>1</v>
      </c>
      <c r="D4678" t="str">
        <f t="shared" si="73"/>
        <v>1821000.181</v>
      </c>
      <c r="E4678" t="s">
        <v>2580</v>
      </c>
      <c r="F4678" s="242"/>
      <c r="G4678"/>
      <c r="H4678" s="242">
        <v>51570</v>
      </c>
      <c r="I4678" s="242">
        <v>58305</v>
      </c>
      <c r="J4678"/>
    </row>
    <row r="4679" spans="1:10">
      <c r="A4679" t="s">
        <v>2581</v>
      </c>
      <c r="B4679">
        <v>821000</v>
      </c>
      <c r="C4679">
        <v>1</v>
      </c>
      <c r="D4679" t="str">
        <f t="shared" si="73"/>
        <v>1821000.182</v>
      </c>
      <c r="E4679" t="s">
        <v>2582</v>
      </c>
      <c r="F4679" s="242"/>
      <c r="G4679"/>
      <c r="H4679" s="242">
        <v>24971</v>
      </c>
      <c r="I4679" s="242">
        <v>28729</v>
      </c>
      <c r="J4679"/>
    </row>
    <row r="4680" spans="1:10">
      <c r="A4680" t="s">
        <v>2650</v>
      </c>
      <c r="B4680">
        <v>821000</v>
      </c>
      <c r="C4680">
        <v>1</v>
      </c>
      <c r="D4680" t="str">
        <f t="shared" si="73"/>
        <v>1821000.288</v>
      </c>
      <c r="E4680" t="s">
        <v>2651</v>
      </c>
      <c r="F4680" s="242"/>
      <c r="G4680"/>
      <c r="H4680" s="242">
        <v>71500</v>
      </c>
      <c r="I4680" s="242">
        <v>67608</v>
      </c>
      <c r="J4680"/>
    </row>
    <row r="4681" spans="1:10">
      <c r="A4681" t="s">
        <v>2594</v>
      </c>
      <c r="B4681">
        <v>821000</v>
      </c>
      <c r="C4681">
        <v>1</v>
      </c>
      <c r="D4681" t="str">
        <f t="shared" si="73"/>
        <v>1821000.540</v>
      </c>
      <c r="E4681" t="s">
        <v>2595</v>
      </c>
      <c r="F4681" s="242"/>
      <c r="G4681"/>
      <c r="H4681" s="242">
        <v>7000</v>
      </c>
      <c r="I4681" s="242">
        <v>5049</v>
      </c>
      <c r="J4681"/>
    </row>
    <row r="4682" spans="1:10">
      <c r="A4682" t="s">
        <v>2596</v>
      </c>
      <c r="B4682">
        <v>821000</v>
      </c>
      <c r="C4682">
        <v>1</v>
      </c>
      <c r="D4682" t="str">
        <f t="shared" si="73"/>
        <v>1821000.550</v>
      </c>
      <c r="E4682" t="s">
        <v>2597</v>
      </c>
      <c r="F4682" s="242"/>
      <c r="G4682"/>
      <c r="H4682" s="242">
        <v>2000</v>
      </c>
      <c r="I4682" s="242">
        <v>890</v>
      </c>
      <c r="J4682"/>
    </row>
    <row r="4683" spans="1:10">
      <c r="A4683" t="s">
        <v>2598</v>
      </c>
      <c r="B4683">
        <v>821000</v>
      </c>
      <c r="C4683">
        <v>1</v>
      </c>
      <c r="D4683" t="str">
        <f t="shared" si="73"/>
        <v>1821000.561</v>
      </c>
      <c r="E4683" t="s">
        <v>2599</v>
      </c>
      <c r="F4683" s="242"/>
      <c r="G4683"/>
      <c r="H4683" s="242">
        <v>2500</v>
      </c>
      <c r="I4683" s="242">
        <v>1671</v>
      </c>
      <c r="J4683"/>
    </row>
    <row r="4684" spans="1:10">
      <c r="A4684" t="s">
        <v>2600</v>
      </c>
      <c r="B4684">
        <v>821000</v>
      </c>
      <c r="C4684">
        <v>1</v>
      </c>
      <c r="D4684" t="str">
        <f t="shared" si="73"/>
        <v>1821000.580</v>
      </c>
      <c r="E4684" t="s">
        <v>2601</v>
      </c>
      <c r="F4684" s="242"/>
      <c r="G4684"/>
      <c r="H4684" s="242">
        <v>5000</v>
      </c>
      <c r="I4684" s="242">
        <v>6204</v>
      </c>
      <c r="J4684"/>
    </row>
    <row r="4685" spans="1:10">
      <c r="A4685" t="s">
        <v>2632</v>
      </c>
      <c r="B4685">
        <v>821000</v>
      </c>
      <c r="C4685">
        <v>1</v>
      </c>
      <c r="D4685" t="str">
        <f t="shared" si="73"/>
        <v>1821000.780</v>
      </c>
      <c r="E4685" t="s">
        <v>3533</v>
      </c>
      <c r="F4685" s="242"/>
      <c r="G4685"/>
      <c r="H4685" s="242">
        <v>50000</v>
      </c>
      <c r="I4685" s="242">
        <v>47864</v>
      </c>
      <c r="J4685"/>
    </row>
    <row r="4686" spans="1:10">
      <c r="A4686" t="s">
        <v>872</v>
      </c>
      <c r="B4686">
        <v>821000</v>
      </c>
      <c r="C4686">
        <v>1</v>
      </c>
      <c r="D4686" t="str">
        <f t="shared" si="73"/>
        <v>1821000.781</v>
      </c>
      <c r="E4686" t="s">
        <v>3532</v>
      </c>
      <c r="F4686" s="242"/>
      <c r="G4686"/>
      <c r="H4686" s="242">
        <v>0</v>
      </c>
      <c r="I4686" s="242">
        <v>0</v>
      </c>
      <c r="J4686"/>
    </row>
    <row r="4687" spans="1:10">
      <c r="A4687" t="s">
        <v>3662</v>
      </c>
      <c r="B4687">
        <v>821000</v>
      </c>
      <c r="C4687">
        <v>1</v>
      </c>
      <c r="D4687" t="str">
        <f t="shared" si="73"/>
        <v>1821000.820</v>
      </c>
      <c r="E4687" t="s">
        <v>4357</v>
      </c>
      <c r="F4687" s="242"/>
      <c r="G4687"/>
      <c r="H4687" s="242">
        <v>90000</v>
      </c>
      <c r="I4687" s="242">
        <v>0</v>
      </c>
      <c r="J4687"/>
    </row>
    <row r="4688" spans="1:10">
      <c r="A4688" t="s">
        <v>3662</v>
      </c>
      <c r="B4688">
        <v>822000</v>
      </c>
      <c r="C4688">
        <v>1</v>
      </c>
      <c r="D4688" t="str">
        <f t="shared" si="73"/>
        <v>1822000.820</v>
      </c>
      <c r="E4688" t="s">
        <v>4358</v>
      </c>
      <c r="F4688" s="242"/>
      <c r="G4688"/>
      <c r="H4688" s="242">
        <v>0</v>
      </c>
      <c r="I4688" s="242">
        <v>7234</v>
      </c>
      <c r="J4688"/>
    </row>
    <row r="4689" spans="1:10">
      <c r="A4689" t="s">
        <v>2632</v>
      </c>
      <c r="B4689">
        <v>822240</v>
      </c>
      <c r="C4689">
        <v>1</v>
      </c>
      <c r="D4689" t="str">
        <f t="shared" si="73"/>
        <v>1822240.780</v>
      </c>
      <c r="E4689" t="s">
        <v>3627</v>
      </c>
      <c r="F4689" s="242"/>
      <c r="G4689"/>
      <c r="H4689" s="242">
        <v>50000</v>
      </c>
      <c r="I4689" s="242">
        <v>40328</v>
      </c>
      <c r="J4689"/>
    </row>
    <row r="4690" spans="1:10">
      <c r="A4690" t="s">
        <v>2674</v>
      </c>
      <c r="B4690">
        <v>822240</v>
      </c>
      <c r="C4690">
        <v>1</v>
      </c>
      <c r="D4690" t="str">
        <f t="shared" si="73"/>
        <v>1822240.783</v>
      </c>
      <c r="E4690" t="s">
        <v>3628</v>
      </c>
      <c r="F4690" s="242"/>
      <c r="G4690"/>
      <c r="H4690" s="242">
        <v>50000</v>
      </c>
      <c r="I4690" s="242">
        <v>49500</v>
      </c>
      <c r="J4690"/>
    </row>
    <row r="4691" spans="1:10">
      <c r="A4691" t="s">
        <v>2676</v>
      </c>
      <c r="B4691">
        <v>822240</v>
      </c>
      <c r="C4691">
        <v>1</v>
      </c>
      <c r="D4691" t="str">
        <f t="shared" si="73"/>
        <v>1822240.784</v>
      </c>
      <c r="E4691" t="s">
        <v>3626</v>
      </c>
      <c r="F4691" s="242"/>
      <c r="G4691"/>
      <c r="H4691" s="242">
        <v>0</v>
      </c>
      <c r="I4691" s="242">
        <v>0</v>
      </c>
      <c r="J4691"/>
    </row>
    <row r="4692" spans="1:10">
      <c r="A4692" t="s">
        <v>2403</v>
      </c>
      <c r="B4692">
        <v>823000</v>
      </c>
      <c r="C4692">
        <v>1</v>
      </c>
      <c r="D4692" t="str">
        <f t="shared" si="73"/>
        <v>1823000.110</v>
      </c>
      <c r="E4692" t="s">
        <v>2573</v>
      </c>
      <c r="F4692" s="242"/>
      <c r="G4692"/>
      <c r="H4692" s="242">
        <v>838800</v>
      </c>
      <c r="I4692" s="242">
        <v>761483</v>
      </c>
      <c r="J4692"/>
    </row>
    <row r="4693" spans="1:10">
      <c r="A4693" t="s">
        <v>2404</v>
      </c>
      <c r="B4693">
        <v>823000</v>
      </c>
      <c r="C4693">
        <v>1</v>
      </c>
      <c r="D4693" t="str">
        <f t="shared" si="73"/>
        <v>1823000.120</v>
      </c>
      <c r="E4693" t="s">
        <v>2574</v>
      </c>
      <c r="F4693" s="242"/>
      <c r="G4693"/>
      <c r="H4693" s="242">
        <v>127410</v>
      </c>
      <c r="I4693" s="242">
        <v>105314</v>
      </c>
      <c r="J4693"/>
    </row>
    <row r="4694" spans="1:10">
      <c r="A4694" t="s">
        <v>2575</v>
      </c>
      <c r="B4694">
        <v>823000</v>
      </c>
      <c r="C4694">
        <v>1</v>
      </c>
      <c r="D4694" t="str">
        <f t="shared" si="73"/>
        <v>1823000.130</v>
      </c>
      <c r="E4694" t="s">
        <v>2576</v>
      </c>
      <c r="F4694" s="242"/>
      <c r="G4694"/>
      <c r="H4694" s="242">
        <v>59011</v>
      </c>
      <c r="I4694" s="242">
        <v>47879</v>
      </c>
      <c r="J4694"/>
    </row>
    <row r="4695" spans="1:10">
      <c r="A4695" t="s">
        <v>2577</v>
      </c>
      <c r="B4695">
        <v>823000</v>
      </c>
      <c r="C4695">
        <v>1</v>
      </c>
      <c r="D4695" t="str">
        <f t="shared" si="73"/>
        <v>1823000.140</v>
      </c>
      <c r="E4695" t="s">
        <v>2578</v>
      </c>
      <c r="F4695" s="242"/>
      <c r="G4695"/>
      <c r="H4695" s="242">
        <v>83414</v>
      </c>
      <c r="I4695" s="242">
        <v>68454</v>
      </c>
      <c r="J4695"/>
    </row>
    <row r="4696" spans="1:10">
      <c r="A4696" t="s">
        <v>2579</v>
      </c>
      <c r="B4696">
        <v>823000</v>
      </c>
      <c r="C4696">
        <v>1</v>
      </c>
      <c r="D4696" t="str">
        <f t="shared" si="73"/>
        <v>1823000.181</v>
      </c>
      <c r="E4696" t="s">
        <v>2580</v>
      </c>
      <c r="F4696" s="242"/>
      <c r="G4696"/>
      <c r="H4696" s="242">
        <v>203568</v>
      </c>
      <c r="I4696" s="242">
        <v>178963</v>
      </c>
      <c r="J4696"/>
    </row>
    <row r="4697" spans="1:10">
      <c r="A4697" t="s">
        <v>2581</v>
      </c>
      <c r="B4697">
        <v>823000</v>
      </c>
      <c r="C4697">
        <v>1</v>
      </c>
      <c r="D4697" t="str">
        <f t="shared" si="73"/>
        <v>1823000.182</v>
      </c>
      <c r="E4697" t="s">
        <v>2582</v>
      </c>
      <c r="F4697" s="242"/>
      <c r="G4697"/>
      <c r="H4697" s="242">
        <v>84233</v>
      </c>
      <c r="I4697" s="242">
        <v>74764</v>
      </c>
      <c r="J4697"/>
    </row>
    <row r="4698" spans="1:10">
      <c r="A4698" t="s">
        <v>2652</v>
      </c>
      <c r="B4698">
        <v>823000</v>
      </c>
      <c r="C4698">
        <v>1</v>
      </c>
      <c r="D4698" t="str">
        <f t="shared" si="73"/>
        <v>1823000.420</v>
      </c>
      <c r="E4698" t="s">
        <v>2653</v>
      </c>
      <c r="F4698" s="242"/>
      <c r="G4698"/>
      <c r="H4698" s="242">
        <v>50000</v>
      </c>
      <c r="I4698" s="242">
        <v>73849</v>
      </c>
      <c r="J4698"/>
    </row>
    <row r="4699" spans="1:10">
      <c r="A4699" t="s">
        <v>1663</v>
      </c>
      <c r="B4699">
        <v>823000</v>
      </c>
      <c r="C4699">
        <v>1</v>
      </c>
      <c r="D4699" t="str">
        <f t="shared" si="73"/>
        <v>1823000.431</v>
      </c>
      <c r="E4699" t="s">
        <v>2654</v>
      </c>
      <c r="F4699" s="242"/>
      <c r="G4699"/>
      <c r="H4699" s="242">
        <v>187500</v>
      </c>
      <c r="I4699" s="242">
        <v>193179</v>
      </c>
      <c r="J4699"/>
    </row>
    <row r="4700" spans="1:10">
      <c r="A4700" t="s">
        <v>1668</v>
      </c>
      <c r="B4700">
        <v>823000</v>
      </c>
      <c r="C4700">
        <v>1</v>
      </c>
      <c r="D4700" t="str">
        <f t="shared" si="73"/>
        <v>1823000.432</v>
      </c>
      <c r="E4700" t="s">
        <v>2687</v>
      </c>
      <c r="F4700" s="242"/>
      <c r="G4700"/>
      <c r="H4700" s="242">
        <v>12400</v>
      </c>
      <c r="I4700" s="242">
        <v>21059</v>
      </c>
      <c r="J4700"/>
    </row>
    <row r="4701" spans="1:10">
      <c r="A4701" t="s">
        <v>1678</v>
      </c>
      <c r="B4701">
        <v>823000</v>
      </c>
      <c r="C4701">
        <v>1</v>
      </c>
      <c r="D4701" t="str">
        <f t="shared" si="73"/>
        <v>1823000.434</v>
      </c>
      <c r="E4701" t="s">
        <v>2753</v>
      </c>
      <c r="F4701" s="242"/>
      <c r="G4701"/>
      <c r="H4701" s="242">
        <v>192000</v>
      </c>
      <c r="I4701" s="242">
        <v>151380</v>
      </c>
      <c r="J4701"/>
    </row>
    <row r="4702" spans="1:10">
      <c r="A4702" t="s">
        <v>2606</v>
      </c>
      <c r="B4702">
        <v>823000</v>
      </c>
      <c r="C4702">
        <v>1</v>
      </c>
      <c r="D4702" t="str">
        <f t="shared" si="73"/>
        <v>1823000.440</v>
      </c>
      <c r="E4702" t="s">
        <v>2657</v>
      </c>
      <c r="F4702" s="242"/>
      <c r="G4702"/>
      <c r="H4702" s="242">
        <v>17700</v>
      </c>
      <c r="I4702" s="242">
        <v>17060</v>
      </c>
      <c r="J4702"/>
    </row>
    <row r="4703" spans="1:10">
      <c r="A4703" t="s">
        <v>2411</v>
      </c>
      <c r="B4703">
        <v>823000</v>
      </c>
      <c r="C4703">
        <v>1</v>
      </c>
      <c r="D4703" t="str">
        <f t="shared" si="73"/>
        <v>1823000.470</v>
      </c>
      <c r="E4703" t="s">
        <v>2919</v>
      </c>
      <c r="F4703" s="242"/>
      <c r="G4703"/>
      <c r="H4703" s="242">
        <v>3000</v>
      </c>
      <c r="I4703" s="242">
        <v>2115</v>
      </c>
      <c r="J4703"/>
    </row>
    <row r="4704" spans="1:10">
      <c r="A4704" t="s">
        <v>2590</v>
      </c>
      <c r="B4704">
        <v>823000</v>
      </c>
      <c r="C4704">
        <v>1</v>
      </c>
      <c r="D4704" t="str">
        <f t="shared" si="73"/>
        <v>1823000.523</v>
      </c>
      <c r="E4704" t="s">
        <v>3629</v>
      </c>
      <c r="F4704" s="242"/>
      <c r="G4704"/>
      <c r="H4704" s="242">
        <v>600</v>
      </c>
      <c r="I4704" s="242">
        <v>200</v>
      </c>
      <c r="J4704"/>
    </row>
    <row r="4705" spans="1:10">
      <c r="A4705" t="s">
        <v>3630</v>
      </c>
      <c r="B4705">
        <v>823000</v>
      </c>
      <c r="C4705">
        <v>1</v>
      </c>
      <c r="D4705" t="str">
        <f t="shared" si="73"/>
        <v>1823000.524</v>
      </c>
      <c r="E4705" t="s">
        <v>3631</v>
      </c>
      <c r="F4705" s="242"/>
      <c r="G4705"/>
      <c r="H4705" s="242">
        <v>3000</v>
      </c>
      <c r="I4705" s="242">
        <v>2808</v>
      </c>
      <c r="J4705"/>
    </row>
    <row r="4706" spans="1:10">
      <c r="A4706" t="s">
        <v>2596</v>
      </c>
      <c r="B4706">
        <v>823000</v>
      </c>
      <c r="C4706">
        <v>1</v>
      </c>
      <c r="D4706" t="str">
        <f t="shared" si="73"/>
        <v>1823000.550</v>
      </c>
      <c r="E4706" t="s">
        <v>2597</v>
      </c>
      <c r="F4706" s="242"/>
      <c r="G4706"/>
      <c r="H4706" s="242">
        <v>5000</v>
      </c>
      <c r="I4706" s="242">
        <v>4964</v>
      </c>
      <c r="J4706"/>
    </row>
    <row r="4707" spans="1:10">
      <c r="A4707" t="s">
        <v>2598</v>
      </c>
      <c r="B4707">
        <v>823000</v>
      </c>
      <c r="C4707">
        <v>1</v>
      </c>
      <c r="D4707" t="str">
        <f t="shared" si="73"/>
        <v>1823000.561</v>
      </c>
      <c r="E4707" t="s">
        <v>2599</v>
      </c>
      <c r="F4707" s="242"/>
      <c r="G4707"/>
      <c r="H4707" s="242">
        <v>4700</v>
      </c>
      <c r="I4707" s="242">
        <v>1566</v>
      </c>
      <c r="J4707"/>
    </row>
    <row r="4708" spans="1:10">
      <c r="A4708" t="s">
        <v>2620</v>
      </c>
      <c r="B4708">
        <v>823000</v>
      </c>
      <c r="C4708">
        <v>1</v>
      </c>
      <c r="D4708" t="str">
        <f t="shared" si="73"/>
        <v>1823000.575</v>
      </c>
      <c r="E4708" t="s">
        <v>3632</v>
      </c>
      <c r="F4708" s="242"/>
      <c r="G4708"/>
      <c r="H4708" s="242">
        <v>12000</v>
      </c>
      <c r="I4708" s="242">
        <v>0</v>
      </c>
      <c r="J4708"/>
    </row>
    <row r="4709" spans="1:10">
      <c r="A4709" t="s">
        <v>2600</v>
      </c>
      <c r="B4709">
        <v>823000</v>
      </c>
      <c r="C4709">
        <v>1</v>
      </c>
      <c r="D4709" t="str">
        <f t="shared" si="73"/>
        <v>1823000.580</v>
      </c>
      <c r="E4709" t="s">
        <v>2601</v>
      </c>
      <c r="F4709" s="242"/>
      <c r="G4709"/>
      <c r="H4709" s="242">
        <v>5000</v>
      </c>
      <c r="I4709" s="242">
        <v>2686</v>
      </c>
      <c r="J4709"/>
    </row>
    <row r="4710" spans="1:10">
      <c r="A4710" t="s">
        <v>673</v>
      </c>
      <c r="B4710">
        <v>823000</v>
      </c>
      <c r="C4710">
        <v>1</v>
      </c>
      <c r="D4710" t="str">
        <f t="shared" si="73"/>
        <v>1823000.743</v>
      </c>
      <c r="E4710" t="s">
        <v>2622</v>
      </c>
      <c r="F4710" s="242"/>
      <c r="G4710"/>
      <c r="H4710" s="242">
        <v>15000</v>
      </c>
      <c r="I4710" s="242">
        <v>6653</v>
      </c>
      <c r="J4710"/>
    </row>
    <row r="4711" spans="1:10">
      <c r="A4711" t="s">
        <v>776</v>
      </c>
      <c r="B4711">
        <v>823000</v>
      </c>
      <c r="C4711">
        <v>1</v>
      </c>
      <c r="D4711" t="str">
        <f t="shared" si="73"/>
        <v>1823000.752</v>
      </c>
      <c r="E4711" t="s">
        <v>3156</v>
      </c>
      <c r="F4711" s="242"/>
      <c r="G4711"/>
      <c r="H4711" s="242">
        <v>5000</v>
      </c>
      <c r="I4711" s="242">
        <v>0</v>
      </c>
      <c r="J4711"/>
    </row>
    <row r="4712" spans="1:10">
      <c r="A4712" t="s">
        <v>2603</v>
      </c>
      <c r="B4712">
        <v>823000</v>
      </c>
      <c r="C4712">
        <v>1</v>
      </c>
      <c r="D4712" t="str">
        <f t="shared" si="73"/>
        <v>1823000.759</v>
      </c>
      <c r="E4712" t="s">
        <v>3633</v>
      </c>
      <c r="F4712" s="242"/>
      <c r="G4712"/>
      <c r="H4712" s="242">
        <v>85000</v>
      </c>
      <c r="I4712" s="242">
        <v>76968</v>
      </c>
      <c r="J4712"/>
    </row>
    <row r="4713" spans="1:10">
      <c r="A4713" t="s">
        <v>2632</v>
      </c>
      <c r="B4713">
        <v>823000</v>
      </c>
      <c r="C4713">
        <v>1</v>
      </c>
      <c r="D4713" t="str">
        <f t="shared" si="73"/>
        <v>1823000.780</v>
      </c>
      <c r="E4713" t="s">
        <v>3634</v>
      </c>
      <c r="F4713" s="242"/>
      <c r="G4713"/>
      <c r="H4713" s="242">
        <v>30000</v>
      </c>
      <c r="I4713" s="242">
        <v>30057</v>
      </c>
      <c r="J4713"/>
    </row>
    <row r="4714" spans="1:10">
      <c r="A4714" t="s">
        <v>877</v>
      </c>
      <c r="B4714">
        <v>823000</v>
      </c>
      <c r="C4714">
        <v>1</v>
      </c>
      <c r="D4714" t="str">
        <f t="shared" si="73"/>
        <v>1823000.782</v>
      </c>
      <c r="E4714" t="s">
        <v>3635</v>
      </c>
      <c r="F4714" s="242"/>
      <c r="G4714"/>
      <c r="H4714" s="242">
        <v>2000</v>
      </c>
      <c r="I4714" s="242">
        <v>0</v>
      </c>
      <c r="J4714"/>
    </row>
    <row r="4715" spans="1:10">
      <c r="A4715" t="s">
        <v>2674</v>
      </c>
      <c r="B4715">
        <v>823000</v>
      </c>
      <c r="C4715">
        <v>1</v>
      </c>
      <c r="D4715" t="str">
        <f t="shared" si="73"/>
        <v>1823000.783</v>
      </c>
      <c r="E4715" t="s">
        <v>3636</v>
      </c>
      <c r="F4715" s="242"/>
      <c r="G4715"/>
      <c r="H4715" s="242">
        <v>0</v>
      </c>
      <c r="I4715" s="242">
        <v>0</v>
      </c>
      <c r="J4715"/>
    </row>
    <row r="4716" spans="1:10">
      <c r="A4716" t="s">
        <v>2606</v>
      </c>
      <c r="B4716">
        <v>824100</v>
      </c>
      <c r="C4716">
        <v>1</v>
      </c>
      <c r="D4716" t="str">
        <f t="shared" si="73"/>
        <v>1824100.440</v>
      </c>
      <c r="E4716" t="s">
        <v>3644</v>
      </c>
      <c r="F4716" s="242"/>
      <c r="G4716"/>
      <c r="H4716" s="242">
        <v>5200</v>
      </c>
      <c r="I4716" s="242">
        <v>5018</v>
      </c>
      <c r="J4716"/>
    </row>
    <row r="4717" spans="1:10">
      <c r="A4717" t="s">
        <v>2859</v>
      </c>
      <c r="B4717">
        <v>824100</v>
      </c>
      <c r="C4717">
        <v>1</v>
      </c>
      <c r="D4717" t="str">
        <f t="shared" si="73"/>
        <v>1824100.870</v>
      </c>
      <c r="E4717" t="s">
        <v>3645</v>
      </c>
      <c r="F4717" s="242"/>
      <c r="G4717"/>
      <c r="H4717" s="242">
        <v>310000</v>
      </c>
      <c r="I4717" s="242">
        <v>310000</v>
      </c>
      <c r="J4717"/>
    </row>
    <row r="4718" spans="1:10">
      <c r="A4718" t="s">
        <v>2403</v>
      </c>
      <c r="B4718">
        <v>824200</v>
      </c>
      <c r="C4718">
        <v>1</v>
      </c>
      <c r="D4718" t="str">
        <f t="shared" si="73"/>
        <v>1824200.110</v>
      </c>
      <c r="E4718" t="s">
        <v>2573</v>
      </c>
      <c r="F4718" s="242"/>
      <c r="G4718"/>
      <c r="H4718" s="242">
        <v>136006</v>
      </c>
      <c r="I4718" s="242">
        <v>131266</v>
      </c>
      <c r="J4718"/>
    </row>
    <row r="4719" spans="1:10">
      <c r="A4719" t="s">
        <v>2404</v>
      </c>
      <c r="B4719">
        <v>824200</v>
      </c>
      <c r="C4719">
        <v>1</v>
      </c>
      <c r="D4719" t="str">
        <f t="shared" si="73"/>
        <v>1824200.120</v>
      </c>
      <c r="E4719" t="s">
        <v>2574</v>
      </c>
      <c r="F4719" s="242"/>
      <c r="G4719"/>
      <c r="H4719" s="242">
        <v>13509</v>
      </c>
      <c r="I4719" s="242">
        <v>12634</v>
      </c>
      <c r="J4719"/>
    </row>
    <row r="4720" spans="1:10">
      <c r="A4720" t="s">
        <v>2575</v>
      </c>
      <c r="B4720">
        <v>824200</v>
      </c>
      <c r="C4720">
        <v>1</v>
      </c>
      <c r="D4720" t="str">
        <f t="shared" si="73"/>
        <v>1824200.130</v>
      </c>
      <c r="E4720" t="s">
        <v>2576</v>
      </c>
      <c r="F4720" s="242"/>
      <c r="G4720"/>
      <c r="H4720" s="242">
        <v>42341</v>
      </c>
      <c r="I4720" s="242">
        <v>39600</v>
      </c>
      <c r="J4720"/>
    </row>
    <row r="4721" spans="1:10">
      <c r="A4721" t="s">
        <v>2577</v>
      </c>
      <c r="B4721">
        <v>824200</v>
      </c>
      <c r="C4721">
        <v>1</v>
      </c>
      <c r="D4721" t="str">
        <f t="shared" si="73"/>
        <v>1824200.140</v>
      </c>
      <c r="E4721" t="s">
        <v>2578</v>
      </c>
      <c r="F4721" s="242"/>
      <c r="G4721"/>
      <c r="H4721" s="242">
        <v>37429</v>
      </c>
      <c r="I4721" s="242">
        <v>41061</v>
      </c>
      <c r="J4721"/>
    </row>
    <row r="4722" spans="1:10">
      <c r="A4722" t="s">
        <v>2579</v>
      </c>
      <c r="B4722">
        <v>824200</v>
      </c>
      <c r="C4722">
        <v>1</v>
      </c>
      <c r="D4722" t="str">
        <f t="shared" si="73"/>
        <v>1824200.181</v>
      </c>
      <c r="E4722" t="s">
        <v>2580</v>
      </c>
      <c r="F4722" s="242"/>
      <c r="G4722"/>
      <c r="H4722" s="242">
        <v>34313</v>
      </c>
      <c r="I4722" s="242">
        <v>32658</v>
      </c>
      <c r="J4722"/>
    </row>
    <row r="4723" spans="1:10">
      <c r="A4723" t="s">
        <v>2581</v>
      </c>
      <c r="B4723">
        <v>824200</v>
      </c>
      <c r="C4723">
        <v>1</v>
      </c>
      <c r="D4723" t="str">
        <f t="shared" si="73"/>
        <v>1824200.182</v>
      </c>
      <c r="E4723" t="s">
        <v>2582</v>
      </c>
      <c r="F4723" s="242"/>
      <c r="G4723"/>
      <c r="H4723" s="242">
        <v>17369</v>
      </c>
      <c r="I4723" s="242">
        <v>16986</v>
      </c>
      <c r="J4723"/>
    </row>
    <row r="4724" spans="1:10">
      <c r="A4724" t="s">
        <v>2606</v>
      </c>
      <c r="B4724">
        <v>824200</v>
      </c>
      <c r="C4724">
        <v>1</v>
      </c>
      <c r="D4724" t="str">
        <f t="shared" si="73"/>
        <v>1824200.440</v>
      </c>
      <c r="E4724" t="s">
        <v>2893</v>
      </c>
      <c r="F4724" s="242"/>
      <c r="G4724"/>
      <c r="H4724" s="242">
        <v>63200</v>
      </c>
      <c r="I4724" s="242">
        <v>61013</v>
      </c>
      <c r="J4724"/>
    </row>
    <row r="4725" spans="1:10">
      <c r="A4725" t="s">
        <v>2859</v>
      </c>
      <c r="B4725">
        <v>824200</v>
      </c>
      <c r="C4725">
        <v>1</v>
      </c>
      <c r="D4725" t="str">
        <f t="shared" si="73"/>
        <v>1824200.870</v>
      </c>
      <c r="E4725" t="s">
        <v>3646</v>
      </c>
      <c r="F4725" s="242"/>
      <c r="G4725"/>
      <c r="H4725" s="242">
        <v>4640250</v>
      </c>
      <c r="I4725" s="242">
        <v>5000000</v>
      </c>
      <c r="J4725"/>
    </row>
    <row r="4726" spans="1:10">
      <c r="A4726" t="s">
        <v>2881</v>
      </c>
      <c r="B4726">
        <v>824200</v>
      </c>
      <c r="C4726">
        <v>1</v>
      </c>
      <c r="D4726" t="str">
        <f t="shared" si="73"/>
        <v>1824200.871</v>
      </c>
      <c r="E4726" t="s">
        <v>3647</v>
      </c>
      <c r="F4726" s="242"/>
      <c r="G4726"/>
      <c r="H4726" s="242">
        <v>2849600</v>
      </c>
      <c r="I4726" s="242">
        <v>2849600</v>
      </c>
      <c r="J4726"/>
    </row>
    <row r="4727" spans="1:10">
      <c r="A4727" t="s">
        <v>3648</v>
      </c>
      <c r="B4727">
        <v>824200</v>
      </c>
      <c r="C4727">
        <v>1</v>
      </c>
      <c r="D4727" t="str">
        <f t="shared" si="73"/>
        <v>1824200.872</v>
      </c>
      <c r="E4727" t="s">
        <v>3649</v>
      </c>
      <c r="F4727" s="242"/>
      <c r="G4727"/>
      <c r="H4727" s="242">
        <v>4749100</v>
      </c>
      <c r="I4727" s="242">
        <v>4749000</v>
      </c>
      <c r="J4727"/>
    </row>
    <row r="4728" spans="1:10">
      <c r="A4728" t="s">
        <v>3650</v>
      </c>
      <c r="B4728">
        <v>824200</v>
      </c>
      <c r="C4728">
        <v>1</v>
      </c>
      <c r="D4728" t="str">
        <f t="shared" si="73"/>
        <v>1824200.873</v>
      </c>
      <c r="E4728" t="s">
        <v>3651</v>
      </c>
      <c r="F4728" s="242"/>
      <c r="G4728"/>
      <c r="H4728" s="242">
        <v>45000</v>
      </c>
      <c r="I4728" s="242">
        <v>41000</v>
      </c>
      <c r="J4728"/>
    </row>
    <row r="4729" spans="1:10">
      <c r="A4729" t="s">
        <v>3652</v>
      </c>
      <c r="B4729">
        <v>824200</v>
      </c>
      <c r="C4729">
        <v>1</v>
      </c>
      <c r="D4729" t="str">
        <f t="shared" si="73"/>
        <v>1824200.874</v>
      </c>
      <c r="E4729" t="s">
        <v>3653</v>
      </c>
      <c r="F4729" s="242"/>
      <c r="G4729"/>
      <c r="H4729" s="242">
        <v>0</v>
      </c>
      <c r="I4729" s="242">
        <v>0</v>
      </c>
      <c r="J4729"/>
    </row>
    <row r="4730" spans="1:10">
      <c r="A4730" t="s">
        <v>3654</v>
      </c>
      <c r="B4730">
        <v>824200</v>
      </c>
      <c r="C4730">
        <v>1</v>
      </c>
      <c r="D4730" t="str">
        <f t="shared" si="73"/>
        <v>1824200.876</v>
      </c>
      <c r="E4730" t="s">
        <v>3655</v>
      </c>
      <c r="F4730" s="242"/>
      <c r="G4730"/>
      <c r="H4730" s="242">
        <v>165000</v>
      </c>
      <c r="I4730" s="242">
        <v>0</v>
      </c>
      <c r="J4730"/>
    </row>
    <row r="4731" spans="1:10">
      <c r="A4731" t="s">
        <v>2859</v>
      </c>
      <c r="B4731">
        <v>824201</v>
      </c>
      <c r="C4731">
        <v>1</v>
      </c>
      <c r="D4731" t="str">
        <f t="shared" si="73"/>
        <v>1824201.870</v>
      </c>
      <c r="E4731" t="s">
        <v>3656</v>
      </c>
      <c r="F4731" s="242"/>
      <c r="G4731"/>
      <c r="H4731" s="242">
        <v>890000</v>
      </c>
      <c r="I4731" s="242">
        <v>890000</v>
      </c>
      <c r="J4731"/>
    </row>
    <row r="4732" spans="1:10">
      <c r="A4732" t="s">
        <v>2881</v>
      </c>
      <c r="B4732">
        <v>824201</v>
      </c>
      <c r="C4732">
        <v>1</v>
      </c>
      <c r="D4732" t="str">
        <f t="shared" si="73"/>
        <v>1824201.871</v>
      </c>
      <c r="E4732" t="s">
        <v>4672</v>
      </c>
      <c r="F4732" s="242"/>
      <c r="G4732"/>
      <c r="H4732" s="242">
        <v>700000</v>
      </c>
      <c r="I4732" s="242">
        <v>700000</v>
      </c>
      <c r="J4732"/>
    </row>
    <row r="4733" spans="1:10">
      <c r="A4733" t="s">
        <v>3648</v>
      </c>
      <c r="B4733">
        <v>824201</v>
      </c>
      <c r="C4733">
        <v>1</v>
      </c>
      <c r="D4733" t="str">
        <f t="shared" si="73"/>
        <v>1824201.872</v>
      </c>
      <c r="E4733" t="s">
        <v>3657</v>
      </c>
      <c r="F4733" s="242"/>
      <c r="G4733"/>
      <c r="H4733" s="242">
        <v>150000</v>
      </c>
      <c r="I4733" s="242">
        <v>150000</v>
      </c>
      <c r="J4733"/>
    </row>
    <row r="4734" spans="1:10">
      <c r="A4734" t="s">
        <v>2691</v>
      </c>
      <c r="B4734">
        <v>824205</v>
      </c>
      <c r="C4734">
        <v>1</v>
      </c>
      <c r="D4734" t="str">
        <f t="shared" si="73"/>
        <v>1824205.986</v>
      </c>
      <c r="E4734" t="s">
        <v>3658</v>
      </c>
      <c r="F4734" s="242"/>
      <c r="G4734"/>
      <c r="H4734" s="242">
        <v>0</v>
      </c>
      <c r="I4734" s="242">
        <v>0</v>
      </c>
      <c r="J4734"/>
    </row>
    <row r="4735" spans="1:10">
      <c r="A4735" t="s">
        <v>2759</v>
      </c>
      <c r="B4735">
        <v>824400</v>
      </c>
      <c r="C4735">
        <v>1</v>
      </c>
      <c r="D4735" t="str">
        <f t="shared" si="73"/>
        <v>1824400.760</v>
      </c>
      <c r="E4735" t="s">
        <v>3659</v>
      </c>
      <c r="F4735" s="242"/>
      <c r="G4735"/>
      <c r="H4735" s="242">
        <v>285000</v>
      </c>
      <c r="I4735" s="242">
        <v>285000</v>
      </c>
      <c r="J4735"/>
    </row>
    <row r="4736" spans="1:10">
      <c r="A4736" t="s">
        <v>2859</v>
      </c>
      <c r="B4736">
        <v>824500</v>
      </c>
      <c r="C4736">
        <v>1</v>
      </c>
      <c r="D4736" t="str">
        <f t="shared" si="73"/>
        <v>1824500.870</v>
      </c>
      <c r="E4736" t="s">
        <v>2897</v>
      </c>
      <c r="F4736" s="242"/>
      <c r="G4736"/>
      <c r="H4736" s="242">
        <v>190000</v>
      </c>
      <c r="I4736" s="242">
        <v>190000</v>
      </c>
      <c r="J4736"/>
    </row>
    <row r="4737" spans="1:10">
      <c r="A4737" t="s">
        <v>2859</v>
      </c>
      <c r="B4737">
        <v>824600</v>
      </c>
      <c r="C4737">
        <v>1</v>
      </c>
      <c r="D4737" t="str">
        <f t="shared" si="73"/>
        <v>1824600.870</v>
      </c>
      <c r="E4737" t="s">
        <v>3660</v>
      </c>
      <c r="F4737" s="242"/>
      <c r="G4737"/>
      <c r="H4737" s="242">
        <v>1200000</v>
      </c>
      <c r="I4737" s="242">
        <v>0</v>
      </c>
      <c r="J4737"/>
    </row>
    <row r="4738" spans="1:10">
      <c r="A4738" t="s">
        <v>2859</v>
      </c>
      <c r="B4738">
        <v>824700</v>
      </c>
      <c r="C4738">
        <v>1</v>
      </c>
      <c r="D4738" t="str">
        <f t="shared" si="73"/>
        <v>1824700.870</v>
      </c>
      <c r="E4738" t="s">
        <v>3661</v>
      </c>
      <c r="F4738" s="242"/>
      <c r="G4738"/>
      <c r="H4738" s="242">
        <v>0</v>
      </c>
      <c r="I4738" s="242">
        <v>0</v>
      </c>
      <c r="J4738"/>
    </row>
    <row r="4739" spans="1:10">
      <c r="A4739" t="s">
        <v>2403</v>
      </c>
      <c r="B4739">
        <v>825100</v>
      </c>
      <c r="C4739">
        <v>1</v>
      </c>
      <c r="D4739" t="str">
        <f t="shared" ref="D4739:D4802" si="74">C4739&amp;B4739&amp;"."&amp;A4739</f>
        <v>1825100.110</v>
      </c>
      <c r="E4739" t="s">
        <v>3348</v>
      </c>
      <c r="F4739" s="242"/>
      <c r="G4739"/>
      <c r="H4739" s="242">
        <v>453091</v>
      </c>
      <c r="I4739" s="242">
        <v>371536</v>
      </c>
      <c r="J4739"/>
    </row>
    <row r="4740" spans="1:10">
      <c r="A4740" t="s">
        <v>2404</v>
      </c>
      <c r="B4740">
        <v>825100</v>
      </c>
      <c r="C4740">
        <v>1</v>
      </c>
      <c r="D4740" t="str">
        <f t="shared" si="74"/>
        <v>1825100.120</v>
      </c>
      <c r="E4740" t="s">
        <v>2574</v>
      </c>
      <c r="F4740" s="242"/>
      <c r="G4740"/>
      <c r="H4740" s="242">
        <v>99789</v>
      </c>
      <c r="I4740" s="242">
        <v>76238</v>
      </c>
      <c r="J4740"/>
    </row>
    <row r="4741" spans="1:10">
      <c r="A4741" t="s">
        <v>2575</v>
      </c>
      <c r="B4741">
        <v>825100</v>
      </c>
      <c r="C4741">
        <v>1</v>
      </c>
      <c r="D4741" t="str">
        <f t="shared" si="74"/>
        <v>1825100.130</v>
      </c>
      <c r="E4741" t="s">
        <v>2576</v>
      </c>
      <c r="F4741" s="242"/>
      <c r="G4741"/>
      <c r="H4741" s="242">
        <v>49606</v>
      </c>
      <c r="I4741" s="242">
        <v>32846</v>
      </c>
      <c r="J4741"/>
    </row>
    <row r="4742" spans="1:10">
      <c r="A4742" t="s">
        <v>2577</v>
      </c>
      <c r="B4742">
        <v>825100</v>
      </c>
      <c r="C4742">
        <v>1</v>
      </c>
      <c r="D4742" t="str">
        <f t="shared" si="74"/>
        <v>1825100.140</v>
      </c>
      <c r="E4742" t="s">
        <v>2578</v>
      </c>
      <c r="F4742" s="242"/>
      <c r="G4742"/>
      <c r="H4742" s="242">
        <v>6960</v>
      </c>
      <c r="I4742" s="242">
        <v>8131</v>
      </c>
      <c r="J4742"/>
    </row>
    <row r="4743" spans="1:10">
      <c r="A4743" t="s">
        <v>2579</v>
      </c>
      <c r="B4743">
        <v>825100</v>
      </c>
      <c r="C4743">
        <v>1</v>
      </c>
      <c r="D4743" t="str">
        <f t="shared" si="74"/>
        <v>1825100.181</v>
      </c>
      <c r="E4743" t="s">
        <v>2580</v>
      </c>
      <c r="F4743" s="242"/>
      <c r="G4743"/>
      <c r="H4743" s="242">
        <v>107153</v>
      </c>
      <c r="I4743" s="242">
        <v>83092</v>
      </c>
      <c r="J4743"/>
    </row>
    <row r="4744" spans="1:10">
      <c r="A4744" t="s">
        <v>2581</v>
      </c>
      <c r="B4744">
        <v>825100</v>
      </c>
      <c r="C4744">
        <v>1</v>
      </c>
      <c r="D4744" t="str">
        <f t="shared" si="74"/>
        <v>1825100.182</v>
      </c>
      <c r="E4744" t="s">
        <v>2582</v>
      </c>
      <c r="F4744" s="242"/>
      <c r="G4744"/>
      <c r="H4744" s="242">
        <v>47743</v>
      </c>
      <c r="I4744" s="242">
        <v>37823</v>
      </c>
      <c r="J4744"/>
    </row>
    <row r="4745" spans="1:10">
      <c r="A4745" t="s">
        <v>2403</v>
      </c>
      <c r="B4745">
        <v>825110</v>
      </c>
      <c r="C4745">
        <v>1</v>
      </c>
      <c r="D4745" t="str">
        <f t="shared" si="74"/>
        <v>1825110.110</v>
      </c>
      <c r="E4745" t="s">
        <v>3349</v>
      </c>
      <c r="F4745" s="242"/>
      <c r="G4745"/>
      <c r="H4745" s="242">
        <v>3906308</v>
      </c>
      <c r="I4745" s="242">
        <v>3523683</v>
      </c>
      <c r="J4745"/>
    </row>
    <row r="4746" spans="1:10">
      <c r="A4746" t="s">
        <v>2404</v>
      </c>
      <c r="B4746">
        <v>825110</v>
      </c>
      <c r="C4746">
        <v>1</v>
      </c>
      <c r="D4746" t="str">
        <f t="shared" si="74"/>
        <v>1825110.120</v>
      </c>
      <c r="E4746" t="s">
        <v>2574</v>
      </c>
      <c r="F4746" s="242"/>
      <c r="G4746"/>
      <c r="H4746" s="242">
        <v>7912</v>
      </c>
      <c r="I4746" s="242">
        <v>18578</v>
      </c>
      <c r="J4746"/>
    </row>
    <row r="4747" spans="1:10">
      <c r="A4747" t="s">
        <v>2575</v>
      </c>
      <c r="B4747">
        <v>825110</v>
      </c>
      <c r="C4747">
        <v>1</v>
      </c>
      <c r="D4747" t="str">
        <f t="shared" si="74"/>
        <v>1825110.130</v>
      </c>
      <c r="E4747" t="s">
        <v>2576</v>
      </c>
      <c r="F4747" s="242"/>
      <c r="G4747"/>
      <c r="H4747" s="242">
        <v>17</v>
      </c>
      <c r="I4747" s="242">
        <v>10</v>
      </c>
      <c r="J4747"/>
    </row>
    <row r="4748" spans="1:10">
      <c r="A4748" t="s">
        <v>2577</v>
      </c>
      <c r="B4748">
        <v>825110</v>
      </c>
      <c r="C4748">
        <v>1</v>
      </c>
      <c r="D4748" t="str">
        <f t="shared" si="74"/>
        <v>1825110.140</v>
      </c>
      <c r="E4748" t="s">
        <v>2578</v>
      </c>
      <c r="F4748" s="242"/>
      <c r="G4748"/>
      <c r="H4748" s="242">
        <v>114135</v>
      </c>
      <c r="I4748" s="242">
        <v>96622</v>
      </c>
      <c r="J4748"/>
    </row>
    <row r="4749" spans="1:10">
      <c r="A4749" t="s">
        <v>2579</v>
      </c>
      <c r="B4749">
        <v>825110</v>
      </c>
      <c r="C4749">
        <v>1</v>
      </c>
      <c r="D4749" t="str">
        <f t="shared" si="74"/>
        <v>1825110.181</v>
      </c>
      <c r="E4749" t="s">
        <v>2580</v>
      </c>
      <c r="F4749" s="242"/>
      <c r="G4749"/>
      <c r="H4749" s="242">
        <v>654169</v>
      </c>
      <c r="I4749" s="242">
        <v>598712</v>
      </c>
      <c r="J4749"/>
    </row>
    <row r="4750" spans="1:10">
      <c r="A4750" t="s">
        <v>2581</v>
      </c>
      <c r="B4750">
        <v>825110</v>
      </c>
      <c r="C4750">
        <v>1</v>
      </c>
      <c r="D4750" t="str">
        <f t="shared" si="74"/>
        <v>1825110.182</v>
      </c>
      <c r="E4750" t="s">
        <v>2582</v>
      </c>
      <c r="F4750" s="242"/>
      <c r="G4750"/>
      <c r="H4750" s="242">
        <v>294460</v>
      </c>
      <c r="I4750" s="242">
        <v>267042</v>
      </c>
      <c r="J4750"/>
    </row>
    <row r="4751" spans="1:10">
      <c r="A4751" t="s">
        <v>3350</v>
      </c>
      <c r="B4751">
        <v>825110</v>
      </c>
      <c r="C4751">
        <v>1</v>
      </c>
      <c r="D4751" t="str">
        <f t="shared" si="74"/>
        <v>1825110.289</v>
      </c>
      <c r="E4751" t="s">
        <v>2651</v>
      </c>
      <c r="F4751" s="242"/>
      <c r="G4751"/>
      <c r="H4751" s="242">
        <v>23400</v>
      </c>
      <c r="I4751" s="242">
        <v>20075</v>
      </c>
      <c r="J4751"/>
    </row>
    <row r="4752" spans="1:10">
      <c r="A4752" t="s">
        <v>2652</v>
      </c>
      <c r="B4752">
        <v>825110</v>
      </c>
      <c r="C4752">
        <v>1</v>
      </c>
      <c r="D4752" t="str">
        <f t="shared" si="74"/>
        <v>1825110.420</v>
      </c>
      <c r="E4752" t="s">
        <v>2653</v>
      </c>
      <c r="F4752" s="242"/>
      <c r="G4752"/>
      <c r="H4752" s="242">
        <v>15000</v>
      </c>
      <c r="I4752" s="242">
        <v>3068</v>
      </c>
      <c r="J4752"/>
    </row>
    <row r="4753" spans="1:10">
      <c r="A4753" t="s">
        <v>1663</v>
      </c>
      <c r="B4753">
        <v>825110</v>
      </c>
      <c r="C4753">
        <v>1</v>
      </c>
      <c r="D4753" t="str">
        <f t="shared" si="74"/>
        <v>1825110.431</v>
      </c>
      <c r="E4753" t="s">
        <v>2654</v>
      </c>
      <c r="F4753" s="242"/>
      <c r="G4753"/>
      <c r="H4753" s="242">
        <v>82700</v>
      </c>
      <c r="I4753" s="242">
        <v>92626</v>
      </c>
      <c r="J4753"/>
    </row>
    <row r="4754" spans="1:10">
      <c r="A4754" t="s">
        <v>1668</v>
      </c>
      <c r="B4754">
        <v>825110</v>
      </c>
      <c r="C4754">
        <v>1</v>
      </c>
      <c r="D4754" t="str">
        <f t="shared" si="74"/>
        <v>1825110.432</v>
      </c>
      <c r="E4754" t="s">
        <v>2687</v>
      </c>
      <c r="F4754" s="242"/>
      <c r="G4754"/>
      <c r="H4754" s="242">
        <v>3000</v>
      </c>
      <c r="I4754" s="242">
        <v>2552</v>
      </c>
      <c r="J4754"/>
    </row>
    <row r="4755" spans="1:10">
      <c r="A4755" t="s">
        <v>1678</v>
      </c>
      <c r="B4755">
        <v>825110</v>
      </c>
      <c r="C4755">
        <v>1</v>
      </c>
      <c r="D4755" t="str">
        <f t="shared" si="74"/>
        <v>1825110.434</v>
      </c>
      <c r="E4755" t="s">
        <v>2753</v>
      </c>
      <c r="F4755" s="242"/>
      <c r="G4755"/>
      <c r="H4755" s="242">
        <v>160000</v>
      </c>
      <c r="I4755" s="242">
        <v>118534</v>
      </c>
      <c r="J4755"/>
    </row>
    <row r="4756" spans="1:10">
      <c r="A4756" t="s">
        <v>2606</v>
      </c>
      <c r="B4756">
        <v>825110</v>
      </c>
      <c r="C4756">
        <v>1</v>
      </c>
      <c r="D4756" t="str">
        <f t="shared" si="74"/>
        <v>1825110.440</v>
      </c>
      <c r="E4756" t="s">
        <v>2657</v>
      </c>
      <c r="F4756" s="242"/>
      <c r="G4756"/>
      <c r="H4756" s="242">
        <v>5200</v>
      </c>
      <c r="I4756" s="242">
        <v>5018</v>
      </c>
      <c r="J4756"/>
    </row>
    <row r="4757" spans="1:10">
      <c r="A4757" t="s">
        <v>2594</v>
      </c>
      <c r="B4757">
        <v>825110</v>
      </c>
      <c r="C4757">
        <v>1</v>
      </c>
      <c r="D4757" t="str">
        <f t="shared" si="74"/>
        <v>1825110.540</v>
      </c>
      <c r="E4757" t="s">
        <v>2595</v>
      </c>
      <c r="F4757" s="242"/>
      <c r="G4757"/>
      <c r="H4757" s="242">
        <v>0</v>
      </c>
      <c r="I4757" s="242">
        <v>0</v>
      </c>
      <c r="J4757"/>
    </row>
    <row r="4758" spans="1:10">
      <c r="A4758" t="s">
        <v>2598</v>
      </c>
      <c r="B4758">
        <v>825110</v>
      </c>
      <c r="C4758">
        <v>1</v>
      </c>
      <c r="D4758" t="str">
        <f t="shared" si="74"/>
        <v>1825110.561</v>
      </c>
      <c r="E4758" t="s">
        <v>2599</v>
      </c>
      <c r="F4758" s="242"/>
      <c r="G4758"/>
      <c r="H4758" s="242">
        <v>4000</v>
      </c>
      <c r="I4758" s="242">
        <v>0</v>
      </c>
      <c r="J4758"/>
    </row>
    <row r="4759" spans="1:10">
      <c r="A4759" t="s">
        <v>2771</v>
      </c>
      <c r="B4759">
        <v>825110</v>
      </c>
      <c r="C4759">
        <v>1</v>
      </c>
      <c r="D4759" t="str">
        <f t="shared" si="74"/>
        <v>1825110.570</v>
      </c>
      <c r="E4759" t="s">
        <v>3608</v>
      </c>
      <c r="F4759" s="242"/>
      <c r="G4759"/>
      <c r="H4759" s="242">
        <v>18000</v>
      </c>
      <c r="I4759" s="242">
        <v>17674</v>
      </c>
      <c r="J4759"/>
    </row>
    <row r="4760" spans="1:10">
      <c r="A4760" t="s">
        <v>2603</v>
      </c>
      <c r="B4760">
        <v>825110</v>
      </c>
      <c r="C4760">
        <v>1</v>
      </c>
      <c r="D4760" t="str">
        <f t="shared" si="74"/>
        <v>1825110.759</v>
      </c>
      <c r="E4760" t="s">
        <v>2642</v>
      </c>
      <c r="F4760" s="242"/>
      <c r="G4760"/>
      <c r="H4760" s="242">
        <v>0</v>
      </c>
      <c r="I4760" s="242">
        <v>0</v>
      </c>
      <c r="J4760"/>
    </row>
    <row r="4761" spans="1:10">
      <c r="A4761" t="s">
        <v>872</v>
      </c>
      <c r="B4761">
        <v>825110</v>
      </c>
      <c r="C4761">
        <v>1</v>
      </c>
      <c r="D4761" t="str">
        <f t="shared" si="74"/>
        <v>1825110.781</v>
      </c>
      <c r="E4761" t="s">
        <v>3609</v>
      </c>
      <c r="F4761" s="242"/>
      <c r="G4761"/>
      <c r="H4761" s="242">
        <v>16000</v>
      </c>
      <c r="I4761" s="242">
        <v>16330</v>
      </c>
      <c r="J4761"/>
    </row>
    <row r="4762" spans="1:10">
      <c r="A4762" t="s">
        <v>3033</v>
      </c>
      <c r="B4762">
        <v>825110</v>
      </c>
      <c r="C4762">
        <v>1</v>
      </c>
      <c r="D4762" t="str">
        <f t="shared" si="74"/>
        <v>1825110.850</v>
      </c>
      <c r="E4762" t="s">
        <v>3607</v>
      </c>
      <c r="F4762" s="242"/>
      <c r="G4762"/>
      <c r="H4762" s="242">
        <v>42000</v>
      </c>
      <c r="I4762" s="242">
        <v>29081</v>
      </c>
      <c r="J4762"/>
    </row>
    <row r="4763" spans="1:10">
      <c r="A4763" t="s">
        <v>3662</v>
      </c>
      <c r="B4763">
        <v>825200</v>
      </c>
      <c r="C4763">
        <v>1</v>
      </c>
      <c r="D4763" t="str">
        <f t="shared" si="74"/>
        <v>1825200.820</v>
      </c>
      <c r="E4763" t="s">
        <v>3663</v>
      </c>
      <c r="F4763" s="242"/>
      <c r="G4763"/>
      <c r="H4763" s="242">
        <v>2230000</v>
      </c>
      <c r="I4763" s="242">
        <v>2224000</v>
      </c>
      <c r="J4763"/>
    </row>
    <row r="4764" spans="1:10">
      <c r="A4764" t="s">
        <v>2691</v>
      </c>
      <c r="B4764">
        <v>825200</v>
      </c>
      <c r="C4764">
        <v>1</v>
      </c>
      <c r="D4764" t="str">
        <f t="shared" si="74"/>
        <v>1825200.986</v>
      </c>
      <c r="E4764" t="s">
        <v>3664</v>
      </c>
      <c r="F4764" s="242"/>
      <c r="G4764"/>
      <c r="H4764" s="242">
        <v>0</v>
      </c>
      <c r="I4764" s="242">
        <v>0</v>
      </c>
      <c r="J4764"/>
    </row>
    <row r="4765" spans="1:10">
      <c r="A4765" t="s">
        <v>1678</v>
      </c>
      <c r="B4765">
        <v>825300</v>
      </c>
      <c r="C4765">
        <v>1</v>
      </c>
      <c r="D4765" t="str">
        <f t="shared" si="74"/>
        <v>1825300.434</v>
      </c>
      <c r="E4765" t="s">
        <v>3614</v>
      </c>
      <c r="F4765" s="242"/>
      <c r="G4765"/>
      <c r="H4765" s="242">
        <v>21000</v>
      </c>
      <c r="I4765" s="242">
        <v>16268</v>
      </c>
      <c r="J4765"/>
    </row>
    <row r="4766" spans="1:10">
      <c r="A4766" t="s">
        <v>2606</v>
      </c>
      <c r="B4766">
        <v>825300</v>
      </c>
      <c r="C4766">
        <v>1</v>
      </c>
      <c r="D4766" t="str">
        <f t="shared" si="74"/>
        <v>1825300.440</v>
      </c>
      <c r="E4766" t="s">
        <v>3024</v>
      </c>
      <c r="F4766" s="242"/>
      <c r="G4766"/>
      <c r="H4766" s="242">
        <v>1800</v>
      </c>
      <c r="I4766" s="242">
        <v>1706</v>
      </c>
      <c r="J4766"/>
    </row>
    <row r="4767" spans="1:10">
      <c r="A4767" t="s">
        <v>2594</v>
      </c>
      <c r="B4767">
        <v>825300</v>
      </c>
      <c r="C4767">
        <v>1</v>
      </c>
      <c r="D4767" t="str">
        <f t="shared" si="74"/>
        <v>1825300.540</v>
      </c>
      <c r="E4767" t="s">
        <v>2595</v>
      </c>
      <c r="F4767" s="242"/>
      <c r="G4767"/>
      <c r="H4767" s="242">
        <v>1000</v>
      </c>
      <c r="I4767" s="242">
        <v>360</v>
      </c>
      <c r="J4767"/>
    </row>
    <row r="4768" spans="1:10">
      <c r="A4768" t="s">
        <v>673</v>
      </c>
      <c r="B4768">
        <v>825300</v>
      </c>
      <c r="C4768">
        <v>1</v>
      </c>
      <c r="D4768" t="str">
        <f t="shared" si="74"/>
        <v>1825300.743</v>
      </c>
      <c r="E4768" t="s">
        <v>3615</v>
      </c>
      <c r="F4768" s="242"/>
      <c r="G4768"/>
      <c r="H4768" s="242">
        <v>17000</v>
      </c>
      <c r="I4768" s="242">
        <v>15986</v>
      </c>
      <c r="J4768"/>
    </row>
    <row r="4769" spans="1:10">
      <c r="A4769" t="s">
        <v>2632</v>
      </c>
      <c r="B4769">
        <v>825300</v>
      </c>
      <c r="C4769">
        <v>1</v>
      </c>
      <c r="D4769" t="str">
        <f t="shared" si="74"/>
        <v>1825300.780</v>
      </c>
      <c r="E4769" t="s">
        <v>3611</v>
      </c>
      <c r="F4769" s="242"/>
      <c r="G4769"/>
      <c r="H4769" s="242">
        <v>120000</v>
      </c>
      <c r="I4769" s="242">
        <v>99825</v>
      </c>
      <c r="J4769"/>
    </row>
    <row r="4770" spans="1:10">
      <c r="A4770" t="s">
        <v>872</v>
      </c>
      <c r="B4770">
        <v>825300</v>
      </c>
      <c r="C4770">
        <v>1</v>
      </c>
      <c r="D4770" t="str">
        <f t="shared" si="74"/>
        <v>1825300.781</v>
      </c>
      <c r="E4770" t="s">
        <v>3616</v>
      </c>
      <c r="F4770" s="242"/>
      <c r="G4770"/>
      <c r="H4770" s="242">
        <v>170000</v>
      </c>
      <c r="I4770" s="242">
        <v>164200</v>
      </c>
      <c r="J4770"/>
    </row>
    <row r="4771" spans="1:10">
      <c r="A4771" t="s">
        <v>877</v>
      </c>
      <c r="B4771">
        <v>825300</v>
      </c>
      <c r="C4771">
        <v>1</v>
      </c>
      <c r="D4771" t="str">
        <f t="shared" si="74"/>
        <v>1825300.782</v>
      </c>
      <c r="E4771" t="s">
        <v>3617</v>
      </c>
      <c r="F4771" s="242"/>
      <c r="G4771"/>
      <c r="H4771" s="242">
        <v>32000</v>
      </c>
      <c r="I4771" s="242">
        <v>30866</v>
      </c>
      <c r="J4771"/>
    </row>
    <row r="4772" spans="1:10">
      <c r="A4772" t="s">
        <v>2674</v>
      </c>
      <c r="B4772">
        <v>825300</v>
      </c>
      <c r="C4772">
        <v>1</v>
      </c>
      <c r="D4772" t="str">
        <f t="shared" si="74"/>
        <v>1825300.783</v>
      </c>
      <c r="E4772" t="s">
        <v>3618</v>
      </c>
      <c r="F4772" s="242"/>
      <c r="G4772"/>
      <c r="H4772" s="242">
        <v>34000</v>
      </c>
      <c r="I4772" s="242">
        <v>33239</v>
      </c>
      <c r="J4772"/>
    </row>
    <row r="4773" spans="1:10">
      <c r="A4773" t="s">
        <v>2676</v>
      </c>
      <c r="B4773">
        <v>825300</v>
      </c>
      <c r="C4773">
        <v>1</v>
      </c>
      <c r="D4773" t="str">
        <f t="shared" si="74"/>
        <v>1825300.784</v>
      </c>
      <c r="E4773" t="s">
        <v>3619</v>
      </c>
      <c r="F4773" s="242"/>
      <c r="G4773"/>
      <c r="H4773" s="242">
        <v>10000</v>
      </c>
      <c r="I4773" s="242">
        <v>1899</v>
      </c>
      <c r="J4773"/>
    </row>
    <row r="4774" spans="1:10">
      <c r="A4774" t="s">
        <v>2750</v>
      </c>
      <c r="B4774">
        <v>825300</v>
      </c>
      <c r="C4774">
        <v>1</v>
      </c>
      <c r="D4774" t="str">
        <f t="shared" si="74"/>
        <v>1825300.785</v>
      </c>
      <c r="E4774" t="s">
        <v>3620</v>
      </c>
      <c r="F4774" s="242"/>
      <c r="G4774"/>
      <c r="H4774" s="242">
        <v>8000</v>
      </c>
      <c r="I4774" s="242">
        <v>3798</v>
      </c>
      <c r="J4774"/>
    </row>
    <row r="4775" spans="1:10">
      <c r="A4775" t="s">
        <v>2850</v>
      </c>
      <c r="B4775">
        <v>825300</v>
      </c>
      <c r="C4775">
        <v>1</v>
      </c>
      <c r="D4775" t="str">
        <f t="shared" si="74"/>
        <v>1825300.786</v>
      </c>
      <c r="E4775" t="s">
        <v>3621</v>
      </c>
      <c r="F4775" s="242"/>
      <c r="G4775"/>
      <c r="H4775" s="242">
        <v>81000</v>
      </c>
      <c r="I4775" s="242">
        <v>81000</v>
      </c>
      <c r="J4775"/>
    </row>
    <row r="4776" spans="1:10">
      <c r="A4776" t="s">
        <v>2841</v>
      </c>
      <c r="B4776">
        <v>825300</v>
      </c>
      <c r="C4776">
        <v>1</v>
      </c>
      <c r="D4776" t="str">
        <f t="shared" si="74"/>
        <v>1825300.788</v>
      </c>
      <c r="E4776" t="s">
        <v>3622</v>
      </c>
      <c r="F4776" s="242"/>
      <c r="G4776"/>
      <c r="H4776" s="242">
        <v>31000</v>
      </c>
      <c r="I4776" s="242">
        <v>26927</v>
      </c>
      <c r="J4776"/>
    </row>
    <row r="4777" spans="1:10">
      <c r="A4777" t="s">
        <v>3662</v>
      </c>
      <c r="B4777">
        <v>825300</v>
      </c>
      <c r="C4777">
        <v>1</v>
      </c>
      <c r="D4777" t="str">
        <f t="shared" si="74"/>
        <v>1825300.820</v>
      </c>
      <c r="E4777" t="s">
        <v>4359</v>
      </c>
      <c r="F4777" s="242"/>
      <c r="G4777"/>
      <c r="H4777" s="242">
        <v>0</v>
      </c>
      <c r="I4777" s="242">
        <v>8176</v>
      </c>
      <c r="J4777"/>
    </row>
    <row r="4778" spans="1:10">
      <c r="A4778" t="s">
        <v>1176</v>
      </c>
      <c r="B4778">
        <v>825310</v>
      </c>
      <c r="C4778">
        <v>1</v>
      </c>
      <c r="D4778" t="str">
        <f t="shared" si="74"/>
        <v>1825310.821</v>
      </c>
      <c r="E4778" t="s">
        <v>3623</v>
      </c>
      <c r="F4778" s="242"/>
      <c r="G4778"/>
      <c r="H4778" s="242">
        <v>280000</v>
      </c>
      <c r="I4778" s="242">
        <v>280000</v>
      </c>
      <c r="J4778"/>
    </row>
    <row r="4779" spans="1:10">
      <c r="A4779" t="s">
        <v>2606</v>
      </c>
      <c r="B4779">
        <v>825310</v>
      </c>
      <c r="C4779">
        <v>1</v>
      </c>
      <c r="D4779" t="str">
        <f t="shared" si="74"/>
        <v>1825310.440</v>
      </c>
      <c r="E4779" t="s">
        <v>3665</v>
      </c>
      <c r="F4779" s="242"/>
      <c r="G4779"/>
      <c r="H4779" s="242">
        <v>8600</v>
      </c>
      <c r="I4779" s="242">
        <v>8329</v>
      </c>
      <c r="J4779"/>
    </row>
    <row r="4780" spans="1:10">
      <c r="A4780" t="s">
        <v>3662</v>
      </c>
      <c r="B4780">
        <v>825310</v>
      </c>
      <c r="C4780">
        <v>1</v>
      </c>
      <c r="D4780" t="str">
        <f t="shared" si="74"/>
        <v>1825310.820</v>
      </c>
      <c r="E4780" t="s">
        <v>3666</v>
      </c>
      <c r="F4780" s="242"/>
      <c r="G4780"/>
      <c r="H4780" s="242">
        <v>590000</v>
      </c>
      <c r="I4780" s="242">
        <v>590000</v>
      </c>
      <c r="J4780"/>
    </row>
    <row r="4781" spans="1:10">
      <c r="A4781" t="s">
        <v>2691</v>
      </c>
      <c r="B4781">
        <v>825310</v>
      </c>
      <c r="C4781">
        <v>1</v>
      </c>
      <c r="D4781" t="str">
        <f t="shared" si="74"/>
        <v>1825310.986</v>
      </c>
      <c r="E4781" t="s">
        <v>3667</v>
      </c>
      <c r="F4781" s="242"/>
      <c r="G4781"/>
      <c r="H4781" s="242">
        <v>0</v>
      </c>
      <c r="I4781" s="242">
        <v>0</v>
      </c>
      <c r="J4781"/>
    </row>
    <row r="4782" spans="1:10">
      <c r="A4782" t="s">
        <v>2691</v>
      </c>
      <c r="B4782">
        <v>825311</v>
      </c>
      <c r="C4782">
        <v>1</v>
      </c>
      <c r="D4782" t="str">
        <f t="shared" si="74"/>
        <v>1825311.986</v>
      </c>
      <c r="E4782" t="s">
        <v>3624</v>
      </c>
      <c r="F4782" s="242"/>
      <c r="G4782"/>
      <c r="H4782" s="242">
        <v>0</v>
      </c>
      <c r="I4782" s="242">
        <v>0</v>
      </c>
      <c r="J4782"/>
    </row>
    <row r="4783" spans="1:10">
      <c r="A4783" t="s">
        <v>1176</v>
      </c>
      <c r="B4783">
        <v>825400</v>
      </c>
      <c r="C4783">
        <v>1</v>
      </c>
      <c r="D4783" t="str">
        <f t="shared" si="74"/>
        <v>1825400.821</v>
      </c>
      <c r="E4783" t="s">
        <v>4360</v>
      </c>
      <c r="F4783" s="242"/>
      <c r="G4783"/>
      <c r="H4783" s="242">
        <v>0</v>
      </c>
      <c r="I4783" s="242">
        <v>7517</v>
      </c>
      <c r="J4783"/>
    </row>
    <row r="4784" spans="1:10">
      <c r="A4784" t="s">
        <v>3662</v>
      </c>
      <c r="B4784">
        <v>826100</v>
      </c>
      <c r="C4784">
        <v>1</v>
      </c>
      <c r="D4784" t="str">
        <f t="shared" si="74"/>
        <v>1826100.820</v>
      </c>
      <c r="E4784" t="s">
        <v>3668</v>
      </c>
      <c r="F4784" s="242"/>
      <c r="G4784"/>
      <c r="H4784" s="242">
        <v>5246000</v>
      </c>
      <c r="I4784" s="242">
        <v>5236000</v>
      </c>
      <c r="J4784"/>
    </row>
    <row r="4785" spans="1:10">
      <c r="A4785" t="s">
        <v>2691</v>
      </c>
      <c r="B4785">
        <v>826100</v>
      </c>
      <c r="C4785">
        <v>1</v>
      </c>
      <c r="D4785" t="str">
        <f t="shared" si="74"/>
        <v>1826100.986</v>
      </c>
      <c r="E4785" t="s">
        <v>3669</v>
      </c>
      <c r="F4785" s="242"/>
      <c r="G4785"/>
      <c r="H4785" s="242">
        <v>0</v>
      </c>
      <c r="I4785" s="242">
        <v>0</v>
      </c>
      <c r="J4785"/>
    </row>
    <row r="4786" spans="1:10">
      <c r="A4786" t="s">
        <v>1663</v>
      </c>
      <c r="B4786">
        <v>826200</v>
      </c>
      <c r="C4786">
        <v>1</v>
      </c>
      <c r="D4786" t="str">
        <f t="shared" si="74"/>
        <v>1826200.431</v>
      </c>
      <c r="E4786" t="s">
        <v>2654</v>
      </c>
      <c r="F4786" s="242"/>
      <c r="G4786"/>
      <c r="H4786" s="242">
        <v>0</v>
      </c>
      <c r="I4786" s="242">
        <v>0</v>
      </c>
      <c r="J4786"/>
    </row>
    <row r="4787" spans="1:10">
      <c r="A4787" t="s">
        <v>1668</v>
      </c>
      <c r="B4787">
        <v>826200</v>
      </c>
      <c r="C4787">
        <v>1</v>
      </c>
      <c r="D4787" t="str">
        <f t="shared" si="74"/>
        <v>1826200.432</v>
      </c>
      <c r="E4787" t="s">
        <v>2687</v>
      </c>
      <c r="F4787" s="242"/>
      <c r="G4787"/>
      <c r="H4787" s="242">
        <v>0</v>
      </c>
      <c r="I4787" s="242">
        <v>0</v>
      </c>
      <c r="J4787"/>
    </row>
    <row r="4788" spans="1:10">
      <c r="A4788" t="s">
        <v>2606</v>
      </c>
      <c r="B4788">
        <v>826200</v>
      </c>
      <c r="C4788">
        <v>1</v>
      </c>
      <c r="D4788" t="str">
        <f t="shared" si="74"/>
        <v>1826200.440</v>
      </c>
      <c r="E4788" t="s">
        <v>2657</v>
      </c>
      <c r="F4788" s="242"/>
      <c r="G4788"/>
      <c r="H4788" s="242">
        <v>14100</v>
      </c>
      <c r="I4788" s="242">
        <v>13648</v>
      </c>
      <c r="J4788"/>
    </row>
    <row r="4789" spans="1:10">
      <c r="A4789" t="s">
        <v>2674</v>
      </c>
      <c r="B4789">
        <v>826200</v>
      </c>
      <c r="C4789">
        <v>1</v>
      </c>
      <c r="D4789" t="str">
        <f t="shared" si="74"/>
        <v>1826200.783</v>
      </c>
      <c r="E4789" t="s">
        <v>3611</v>
      </c>
      <c r="F4789" s="242"/>
      <c r="G4789"/>
      <c r="H4789" s="242">
        <v>30000</v>
      </c>
      <c r="I4789" s="242">
        <v>145784</v>
      </c>
      <c r="J4789"/>
    </row>
    <row r="4790" spans="1:10">
      <c r="A4790" t="s">
        <v>2859</v>
      </c>
      <c r="B4790">
        <v>826200</v>
      </c>
      <c r="C4790">
        <v>1</v>
      </c>
      <c r="D4790" t="str">
        <f t="shared" si="74"/>
        <v>1826200.870</v>
      </c>
      <c r="E4790" t="s">
        <v>3612</v>
      </c>
      <c r="F4790" s="242"/>
      <c r="G4790"/>
      <c r="H4790" s="242">
        <v>1395127</v>
      </c>
      <c r="I4790" s="242">
        <v>1395000</v>
      </c>
      <c r="J4790"/>
    </row>
    <row r="4791" spans="1:10">
      <c r="A4791" t="s">
        <v>1176</v>
      </c>
      <c r="B4791">
        <v>826200</v>
      </c>
      <c r="C4791">
        <v>1</v>
      </c>
      <c r="D4791" t="str">
        <f t="shared" si="74"/>
        <v>1826200.821</v>
      </c>
      <c r="E4791" t="s">
        <v>4361</v>
      </c>
      <c r="F4791" s="242"/>
      <c r="G4791"/>
      <c r="H4791" s="242">
        <v>0</v>
      </c>
      <c r="I4791" s="242">
        <v>0</v>
      </c>
      <c r="J4791"/>
    </row>
    <row r="4792" spans="1:10">
      <c r="A4792" t="s">
        <v>2759</v>
      </c>
      <c r="B4792">
        <v>826210</v>
      </c>
      <c r="C4792">
        <v>1</v>
      </c>
      <c r="D4792" t="str">
        <f t="shared" si="74"/>
        <v>1826210.760</v>
      </c>
      <c r="E4792" t="s">
        <v>3670</v>
      </c>
      <c r="F4792" s="242"/>
      <c r="G4792"/>
      <c r="H4792" s="242">
        <v>32000</v>
      </c>
      <c r="I4792" s="242">
        <v>31785</v>
      </c>
      <c r="J4792"/>
    </row>
    <row r="4793" spans="1:10">
      <c r="A4793" t="s">
        <v>2652</v>
      </c>
      <c r="B4793">
        <v>826220</v>
      </c>
      <c r="C4793">
        <v>1</v>
      </c>
      <c r="D4793" t="str">
        <f t="shared" si="74"/>
        <v>1826220.420</v>
      </c>
      <c r="E4793" t="s">
        <v>2653</v>
      </c>
      <c r="F4793" s="242"/>
      <c r="G4793"/>
      <c r="H4793" s="242">
        <v>0</v>
      </c>
      <c r="I4793" s="242">
        <v>8842</v>
      </c>
      <c r="J4793"/>
    </row>
    <row r="4794" spans="1:10">
      <c r="A4794" t="s">
        <v>1649</v>
      </c>
      <c r="B4794">
        <v>826220</v>
      </c>
      <c r="C4794">
        <v>1</v>
      </c>
      <c r="D4794" t="str">
        <f t="shared" si="74"/>
        <v>1826220.422</v>
      </c>
      <c r="E4794" t="s">
        <v>2808</v>
      </c>
      <c r="F4794" s="242"/>
      <c r="G4794"/>
      <c r="H4794" s="242">
        <v>0</v>
      </c>
      <c r="I4794" s="242">
        <v>0</v>
      </c>
      <c r="J4794"/>
    </row>
    <row r="4795" spans="1:10">
      <c r="A4795" t="s">
        <v>2792</v>
      </c>
      <c r="B4795">
        <v>826220</v>
      </c>
      <c r="C4795">
        <v>1</v>
      </c>
      <c r="D4795" t="str">
        <f t="shared" si="74"/>
        <v>1826220.425</v>
      </c>
      <c r="E4795" t="s">
        <v>2793</v>
      </c>
      <c r="F4795" s="242"/>
      <c r="G4795"/>
      <c r="H4795" s="242">
        <v>0</v>
      </c>
      <c r="I4795" s="242">
        <v>0</v>
      </c>
      <c r="J4795"/>
    </row>
    <row r="4796" spans="1:10">
      <c r="A4796" t="s">
        <v>1663</v>
      </c>
      <c r="B4796">
        <v>826220</v>
      </c>
      <c r="C4796">
        <v>1</v>
      </c>
      <c r="D4796" t="str">
        <f t="shared" si="74"/>
        <v>1826220.431</v>
      </c>
      <c r="E4796" t="s">
        <v>2654</v>
      </c>
      <c r="F4796" s="242"/>
      <c r="G4796"/>
      <c r="H4796" s="242">
        <v>0</v>
      </c>
      <c r="I4796" s="242">
        <v>0</v>
      </c>
      <c r="J4796"/>
    </row>
    <row r="4797" spans="1:10">
      <c r="A4797" t="s">
        <v>1668</v>
      </c>
      <c r="B4797">
        <v>826220</v>
      </c>
      <c r="C4797">
        <v>1</v>
      </c>
      <c r="D4797" t="str">
        <f t="shared" si="74"/>
        <v>1826220.432</v>
      </c>
      <c r="E4797" t="s">
        <v>2687</v>
      </c>
      <c r="F4797" s="242"/>
      <c r="G4797"/>
      <c r="H4797" s="242">
        <v>0</v>
      </c>
      <c r="I4797" s="242">
        <v>12598</v>
      </c>
      <c r="J4797"/>
    </row>
    <row r="4798" spans="1:10">
      <c r="A4798" t="s">
        <v>1673</v>
      </c>
      <c r="B4798">
        <v>826220</v>
      </c>
      <c r="C4798">
        <v>1</v>
      </c>
      <c r="D4798" t="str">
        <f t="shared" si="74"/>
        <v>1826220.433</v>
      </c>
      <c r="E4798" t="s">
        <v>2655</v>
      </c>
      <c r="F4798" s="242"/>
      <c r="G4798"/>
      <c r="H4798" s="242">
        <v>0</v>
      </c>
      <c r="I4798" s="242">
        <v>0</v>
      </c>
      <c r="J4798"/>
    </row>
    <row r="4799" spans="1:10">
      <c r="A4799" t="s">
        <v>1678</v>
      </c>
      <c r="B4799">
        <v>826220</v>
      </c>
      <c r="C4799">
        <v>1</v>
      </c>
      <c r="D4799" t="str">
        <f t="shared" si="74"/>
        <v>1826220.434</v>
      </c>
      <c r="E4799" t="s">
        <v>2656</v>
      </c>
      <c r="F4799" s="242"/>
      <c r="G4799"/>
      <c r="H4799" s="242">
        <v>0</v>
      </c>
      <c r="I4799" s="242">
        <v>32966</v>
      </c>
      <c r="J4799"/>
    </row>
    <row r="4800" spans="1:10">
      <c r="A4800" t="s">
        <v>2606</v>
      </c>
      <c r="B4800">
        <v>826220</v>
      </c>
      <c r="C4800">
        <v>1</v>
      </c>
      <c r="D4800" t="str">
        <f t="shared" si="74"/>
        <v>1826220.440</v>
      </c>
      <c r="E4800" t="s">
        <v>2657</v>
      </c>
      <c r="F4800" s="242"/>
      <c r="G4800"/>
      <c r="H4800" s="242">
        <v>0</v>
      </c>
      <c r="I4800" s="242">
        <v>0</v>
      </c>
      <c r="J4800"/>
    </row>
    <row r="4801" spans="1:10">
      <c r="A4801" t="s">
        <v>781</v>
      </c>
      <c r="B4801">
        <v>826220</v>
      </c>
      <c r="C4801">
        <v>1</v>
      </c>
      <c r="D4801" t="str">
        <f t="shared" si="74"/>
        <v>1826220.753</v>
      </c>
      <c r="E4801" t="s">
        <v>2707</v>
      </c>
      <c r="F4801" s="242"/>
      <c r="G4801"/>
      <c r="H4801" s="242">
        <v>0</v>
      </c>
      <c r="I4801" s="242">
        <v>32763</v>
      </c>
      <c r="J4801"/>
    </row>
    <row r="4802" spans="1:10">
      <c r="A4802" t="s">
        <v>2603</v>
      </c>
      <c r="B4802">
        <v>826220</v>
      </c>
      <c r="C4802">
        <v>1</v>
      </c>
      <c r="D4802" t="str">
        <f t="shared" si="74"/>
        <v>1826220.759</v>
      </c>
      <c r="E4802" t="s">
        <v>2642</v>
      </c>
      <c r="F4802" s="242"/>
      <c r="G4802"/>
      <c r="H4802" s="242">
        <v>0</v>
      </c>
      <c r="I4802" s="242">
        <v>76735</v>
      </c>
      <c r="J4802"/>
    </row>
    <row r="4803" spans="1:10">
      <c r="A4803" t="s">
        <v>2632</v>
      </c>
      <c r="B4803">
        <v>826220</v>
      </c>
      <c r="C4803">
        <v>1</v>
      </c>
      <c r="D4803" t="str">
        <f t="shared" ref="D4803:D4866" si="75">C4803&amp;B4803&amp;"."&amp;A4803</f>
        <v>1826220.780</v>
      </c>
      <c r="E4803" t="s">
        <v>2633</v>
      </c>
      <c r="F4803" s="242"/>
      <c r="G4803"/>
      <c r="H4803" s="242">
        <v>0</v>
      </c>
      <c r="I4803" s="242">
        <v>41061</v>
      </c>
      <c r="J4803"/>
    </row>
    <row r="4804" spans="1:10">
      <c r="A4804" t="s">
        <v>872</v>
      </c>
      <c r="B4804">
        <v>826220</v>
      </c>
      <c r="C4804">
        <v>1</v>
      </c>
      <c r="D4804" t="str">
        <f t="shared" si="75"/>
        <v>1826220.781</v>
      </c>
      <c r="E4804" t="s">
        <v>2888</v>
      </c>
      <c r="F4804" s="242"/>
      <c r="G4804"/>
      <c r="H4804" s="242">
        <v>0</v>
      </c>
      <c r="I4804" s="242">
        <v>38805</v>
      </c>
      <c r="J4804"/>
    </row>
    <row r="4805" spans="1:10">
      <c r="A4805" t="s">
        <v>2859</v>
      </c>
      <c r="B4805">
        <v>826220</v>
      </c>
      <c r="C4805">
        <v>1</v>
      </c>
      <c r="D4805" t="str">
        <f t="shared" si="75"/>
        <v>1826220.870</v>
      </c>
      <c r="E4805" t="s">
        <v>2889</v>
      </c>
      <c r="F4805" s="242"/>
      <c r="G4805"/>
      <c r="H4805" s="242">
        <v>980000</v>
      </c>
      <c r="I4805" s="242">
        <v>0</v>
      </c>
      <c r="J4805"/>
    </row>
    <row r="4806" spans="1:10">
      <c r="A4806" t="s">
        <v>2740</v>
      </c>
      <c r="B4806">
        <v>826220</v>
      </c>
      <c r="C4806">
        <v>1</v>
      </c>
      <c r="D4806" t="str">
        <f t="shared" si="75"/>
        <v>1826220.930</v>
      </c>
      <c r="E4806" t="s">
        <v>2834</v>
      </c>
      <c r="F4806" s="242"/>
      <c r="G4806"/>
      <c r="H4806" s="242">
        <v>0</v>
      </c>
      <c r="I4806" s="242">
        <v>10711</v>
      </c>
      <c r="J4806"/>
    </row>
    <row r="4807" spans="1:10">
      <c r="A4807" t="s">
        <v>2606</v>
      </c>
      <c r="B4807">
        <v>826300</v>
      </c>
      <c r="C4807">
        <v>1</v>
      </c>
      <c r="D4807" t="str">
        <f t="shared" si="75"/>
        <v>1826300.440</v>
      </c>
      <c r="E4807" t="s">
        <v>2892</v>
      </c>
      <c r="F4807" s="242"/>
      <c r="G4807"/>
      <c r="H4807" s="242">
        <v>12400</v>
      </c>
      <c r="I4807" s="242">
        <v>11942</v>
      </c>
      <c r="J4807"/>
    </row>
    <row r="4808" spans="1:10">
      <c r="A4808" t="s">
        <v>2859</v>
      </c>
      <c r="B4808">
        <v>826300</v>
      </c>
      <c r="C4808">
        <v>1</v>
      </c>
      <c r="D4808" t="str">
        <f t="shared" si="75"/>
        <v>1826300.870</v>
      </c>
      <c r="E4808" t="s">
        <v>3534</v>
      </c>
      <c r="F4808" s="242"/>
      <c r="G4808"/>
      <c r="H4808" s="242">
        <v>1280000</v>
      </c>
      <c r="I4808" s="242">
        <v>1080000</v>
      </c>
      <c r="J4808"/>
    </row>
    <row r="4809" spans="1:10">
      <c r="A4809" t="s">
        <v>2859</v>
      </c>
      <c r="B4809">
        <v>826330</v>
      </c>
      <c r="C4809">
        <v>1</v>
      </c>
      <c r="D4809" t="str">
        <f t="shared" si="75"/>
        <v>1826330.870</v>
      </c>
      <c r="E4809" t="s">
        <v>4267</v>
      </c>
      <c r="F4809" s="242"/>
      <c r="G4809"/>
      <c r="H4809" s="242">
        <v>0</v>
      </c>
      <c r="I4809" s="242">
        <v>200000</v>
      </c>
      <c r="J4809"/>
    </row>
    <row r="4810" spans="1:10">
      <c r="A4810" t="s">
        <v>2606</v>
      </c>
      <c r="B4810">
        <v>826400</v>
      </c>
      <c r="C4810">
        <v>1</v>
      </c>
      <c r="D4810" t="str">
        <f t="shared" si="75"/>
        <v>1826400.440</v>
      </c>
      <c r="E4810" t="s">
        <v>2893</v>
      </c>
      <c r="F4810" s="242"/>
      <c r="G4810"/>
      <c r="H4810" s="242">
        <v>12400</v>
      </c>
      <c r="I4810" s="242">
        <v>11942</v>
      </c>
      <c r="J4810"/>
    </row>
    <row r="4811" spans="1:10">
      <c r="A4811" t="s">
        <v>2859</v>
      </c>
      <c r="B4811">
        <v>826400</v>
      </c>
      <c r="C4811">
        <v>1</v>
      </c>
      <c r="D4811" t="str">
        <f t="shared" si="75"/>
        <v>1826400.870</v>
      </c>
      <c r="E4811" t="s">
        <v>2894</v>
      </c>
      <c r="F4811" s="242"/>
      <c r="G4811"/>
      <c r="H4811" s="242">
        <v>320000</v>
      </c>
      <c r="I4811" s="242">
        <v>320000</v>
      </c>
      <c r="J4811"/>
    </row>
    <row r="4812" spans="1:10">
      <c r="A4812" t="s">
        <v>1176</v>
      </c>
      <c r="B4812">
        <v>826400</v>
      </c>
      <c r="C4812">
        <v>1</v>
      </c>
      <c r="D4812" t="str">
        <f t="shared" si="75"/>
        <v>1826400.821</v>
      </c>
      <c r="E4812" t="s">
        <v>4362</v>
      </c>
      <c r="F4812" s="242"/>
      <c r="G4812"/>
      <c r="H4812" s="242">
        <v>0</v>
      </c>
      <c r="I4812" s="242">
        <v>0</v>
      </c>
      <c r="J4812"/>
    </row>
    <row r="4813" spans="1:10">
      <c r="A4813" t="s">
        <v>1181</v>
      </c>
      <c r="B4813">
        <v>826400</v>
      </c>
      <c r="C4813">
        <v>1</v>
      </c>
      <c r="D4813" t="str">
        <f t="shared" si="75"/>
        <v>1826400.822</v>
      </c>
      <c r="E4813" t="s">
        <v>4363</v>
      </c>
      <c r="F4813" s="242"/>
      <c r="G4813"/>
      <c r="H4813" s="242">
        <v>0</v>
      </c>
      <c r="I4813" s="242">
        <v>10509</v>
      </c>
      <c r="J4813"/>
    </row>
    <row r="4814" spans="1:10">
      <c r="A4814" t="s">
        <v>1186</v>
      </c>
      <c r="B4814">
        <v>826400</v>
      </c>
      <c r="C4814">
        <v>1</v>
      </c>
      <c r="D4814" t="str">
        <f t="shared" si="75"/>
        <v>1826400.823</v>
      </c>
      <c r="E4814" t="s">
        <v>4364</v>
      </c>
      <c r="F4814" s="242"/>
      <c r="G4814"/>
      <c r="H4814" s="242">
        <v>0</v>
      </c>
      <c r="I4814" s="242">
        <v>0</v>
      </c>
      <c r="J4814"/>
    </row>
    <row r="4815" spans="1:10">
      <c r="A4815" t="s">
        <v>2403</v>
      </c>
      <c r="B4815">
        <v>826410</v>
      </c>
      <c r="C4815">
        <v>1</v>
      </c>
      <c r="D4815" t="str">
        <f t="shared" si="75"/>
        <v>1826410.110</v>
      </c>
      <c r="E4815" t="s">
        <v>2573</v>
      </c>
      <c r="F4815" s="242"/>
      <c r="G4815"/>
      <c r="H4815" s="242">
        <v>365425</v>
      </c>
      <c r="I4815" s="242">
        <v>313223</v>
      </c>
      <c r="J4815"/>
    </row>
    <row r="4816" spans="1:10">
      <c r="A4816" t="s">
        <v>2404</v>
      </c>
      <c r="B4816">
        <v>826410</v>
      </c>
      <c r="C4816">
        <v>1</v>
      </c>
      <c r="D4816" t="str">
        <f t="shared" si="75"/>
        <v>1826410.120</v>
      </c>
      <c r="E4816" t="s">
        <v>2574</v>
      </c>
      <c r="F4816" s="242"/>
      <c r="G4816"/>
      <c r="H4816" s="242">
        <v>34832</v>
      </c>
      <c r="I4816" s="242">
        <v>42291</v>
      </c>
      <c r="J4816"/>
    </row>
    <row r="4817" spans="1:10">
      <c r="A4817" t="s">
        <v>2575</v>
      </c>
      <c r="B4817">
        <v>826410</v>
      </c>
      <c r="C4817">
        <v>1</v>
      </c>
      <c r="D4817" t="str">
        <f t="shared" si="75"/>
        <v>1826410.130</v>
      </c>
      <c r="E4817" t="s">
        <v>2576</v>
      </c>
      <c r="F4817" s="242"/>
      <c r="G4817"/>
      <c r="H4817" s="242">
        <v>48833</v>
      </c>
      <c r="I4817" s="242">
        <v>43814</v>
      </c>
      <c r="J4817"/>
    </row>
    <row r="4818" spans="1:10">
      <c r="A4818" t="s">
        <v>2577</v>
      </c>
      <c r="B4818">
        <v>826410</v>
      </c>
      <c r="C4818">
        <v>1</v>
      </c>
      <c r="D4818" t="str">
        <f t="shared" si="75"/>
        <v>1826410.140</v>
      </c>
      <c r="E4818" t="s">
        <v>2578</v>
      </c>
      <c r="F4818" s="242"/>
      <c r="G4818"/>
      <c r="H4818" s="242">
        <v>67830</v>
      </c>
      <c r="I4818" s="242">
        <v>60303</v>
      </c>
      <c r="J4818"/>
    </row>
    <row r="4819" spans="1:10">
      <c r="A4819" t="s">
        <v>2579</v>
      </c>
      <c r="B4819">
        <v>826410</v>
      </c>
      <c r="C4819">
        <v>1</v>
      </c>
      <c r="D4819" t="str">
        <f t="shared" si="75"/>
        <v>1826410.181</v>
      </c>
      <c r="E4819" t="s">
        <v>2959</v>
      </c>
      <c r="F4819" s="242"/>
      <c r="G4819"/>
      <c r="H4819" s="242">
        <v>78666</v>
      </c>
      <c r="I4819" s="242">
        <v>68178</v>
      </c>
      <c r="J4819"/>
    </row>
    <row r="4820" spans="1:10">
      <c r="A4820" t="s">
        <v>2581</v>
      </c>
      <c r="B4820">
        <v>826410</v>
      </c>
      <c r="C4820">
        <v>1</v>
      </c>
      <c r="D4820" t="str">
        <f t="shared" si="75"/>
        <v>1826410.182</v>
      </c>
      <c r="E4820" t="s">
        <v>2582</v>
      </c>
      <c r="F4820" s="242"/>
      <c r="G4820"/>
      <c r="H4820" s="242">
        <v>39299</v>
      </c>
      <c r="I4820" s="242">
        <v>34904</v>
      </c>
      <c r="J4820"/>
    </row>
    <row r="4821" spans="1:10">
      <c r="A4821" t="s">
        <v>2652</v>
      </c>
      <c r="B4821">
        <v>826410</v>
      </c>
      <c r="C4821">
        <v>1</v>
      </c>
      <c r="D4821" t="str">
        <f t="shared" si="75"/>
        <v>1826410.420</v>
      </c>
      <c r="E4821" t="s">
        <v>2653</v>
      </c>
      <c r="F4821" s="242"/>
      <c r="G4821"/>
      <c r="H4821" s="242">
        <v>47500</v>
      </c>
      <c r="I4821" s="242">
        <v>24995</v>
      </c>
      <c r="J4821"/>
    </row>
    <row r="4822" spans="1:10">
      <c r="A4822" t="s">
        <v>2684</v>
      </c>
      <c r="B4822">
        <v>826410</v>
      </c>
      <c r="C4822">
        <v>1</v>
      </c>
      <c r="D4822" t="str">
        <f t="shared" si="75"/>
        <v>1826410.421</v>
      </c>
      <c r="E4822" t="s">
        <v>2810</v>
      </c>
      <c r="F4822" s="242"/>
      <c r="G4822"/>
      <c r="H4822" s="242">
        <v>30000</v>
      </c>
      <c r="I4822" s="242">
        <v>17640</v>
      </c>
      <c r="J4822"/>
    </row>
    <row r="4823" spans="1:10">
      <c r="A4823" t="s">
        <v>2792</v>
      </c>
      <c r="B4823">
        <v>826410</v>
      </c>
      <c r="C4823">
        <v>1</v>
      </c>
      <c r="D4823" t="str">
        <f t="shared" si="75"/>
        <v>1826410.425</v>
      </c>
      <c r="E4823" t="s">
        <v>2793</v>
      </c>
      <c r="F4823" s="242"/>
      <c r="G4823"/>
      <c r="H4823" s="242">
        <v>10000</v>
      </c>
      <c r="I4823" s="242">
        <v>0</v>
      </c>
      <c r="J4823"/>
    </row>
    <row r="4824" spans="1:10">
      <c r="A4824" t="s">
        <v>1663</v>
      </c>
      <c r="B4824">
        <v>826410</v>
      </c>
      <c r="C4824">
        <v>1</v>
      </c>
      <c r="D4824" t="str">
        <f t="shared" si="75"/>
        <v>1826410.431</v>
      </c>
      <c r="E4824" t="s">
        <v>2654</v>
      </c>
      <c r="F4824" s="242"/>
      <c r="G4824"/>
      <c r="H4824" s="242">
        <v>80000</v>
      </c>
      <c r="I4824" s="242">
        <v>73333</v>
      </c>
      <c r="J4824"/>
    </row>
    <row r="4825" spans="1:10">
      <c r="A4825" t="s">
        <v>1668</v>
      </c>
      <c r="B4825">
        <v>826410</v>
      </c>
      <c r="C4825">
        <v>1</v>
      </c>
      <c r="D4825" t="str">
        <f t="shared" si="75"/>
        <v>1826410.432</v>
      </c>
      <c r="E4825" t="s">
        <v>2687</v>
      </c>
      <c r="F4825" s="242"/>
      <c r="G4825"/>
      <c r="H4825" s="242">
        <v>5600</v>
      </c>
      <c r="I4825" s="242">
        <v>4798</v>
      </c>
      <c r="J4825"/>
    </row>
    <row r="4826" spans="1:10">
      <c r="A4826" t="s">
        <v>1673</v>
      </c>
      <c r="B4826">
        <v>826410</v>
      </c>
      <c r="C4826">
        <v>1</v>
      </c>
      <c r="D4826" t="str">
        <f t="shared" si="75"/>
        <v>1826410.433</v>
      </c>
      <c r="E4826" t="s">
        <v>2655</v>
      </c>
      <c r="F4826" s="242"/>
      <c r="G4826"/>
      <c r="H4826" s="242">
        <v>8000</v>
      </c>
      <c r="I4826" s="242">
        <v>8576</v>
      </c>
      <c r="J4826"/>
    </row>
    <row r="4827" spans="1:10">
      <c r="A4827" t="s">
        <v>1678</v>
      </c>
      <c r="B4827">
        <v>826410</v>
      </c>
      <c r="C4827">
        <v>1</v>
      </c>
      <c r="D4827" t="str">
        <f t="shared" si="75"/>
        <v>1826410.434</v>
      </c>
      <c r="E4827" t="s">
        <v>2753</v>
      </c>
      <c r="F4827" s="242"/>
      <c r="G4827"/>
      <c r="H4827" s="242">
        <v>92000</v>
      </c>
      <c r="I4827" s="242">
        <v>82712</v>
      </c>
      <c r="J4827"/>
    </row>
    <row r="4828" spans="1:10">
      <c r="A4828" t="s">
        <v>2606</v>
      </c>
      <c r="B4828">
        <v>826410</v>
      </c>
      <c r="C4828">
        <v>1</v>
      </c>
      <c r="D4828" t="str">
        <f t="shared" si="75"/>
        <v>1826410.440</v>
      </c>
      <c r="E4828" t="s">
        <v>2657</v>
      </c>
      <c r="F4828" s="242"/>
      <c r="G4828"/>
      <c r="H4828" s="242">
        <v>12400</v>
      </c>
      <c r="I4828" s="242">
        <v>11942</v>
      </c>
      <c r="J4828"/>
    </row>
    <row r="4829" spans="1:10">
      <c r="A4829" t="s">
        <v>2411</v>
      </c>
      <c r="B4829">
        <v>826410</v>
      </c>
      <c r="C4829">
        <v>1</v>
      </c>
      <c r="D4829" t="str">
        <f t="shared" si="75"/>
        <v>1826410.470</v>
      </c>
      <c r="E4829" t="s">
        <v>2660</v>
      </c>
      <c r="F4829" s="242"/>
      <c r="G4829"/>
      <c r="H4829" s="242">
        <v>4000</v>
      </c>
      <c r="I4829" s="242">
        <v>605</v>
      </c>
      <c r="J4829"/>
    </row>
    <row r="4830" spans="1:10">
      <c r="A4830" t="s">
        <v>2286</v>
      </c>
      <c r="B4830">
        <v>826410</v>
      </c>
      <c r="C4830">
        <v>1</v>
      </c>
      <c r="D4830" t="str">
        <f t="shared" si="75"/>
        <v>1826410.511</v>
      </c>
      <c r="E4830" t="s">
        <v>2584</v>
      </c>
      <c r="F4830" s="242"/>
      <c r="G4830"/>
      <c r="H4830" s="242">
        <v>4500</v>
      </c>
      <c r="I4830" s="242">
        <v>1953</v>
      </c>
      <c r="J4830"/>
    </row>
    <row r="4831" spans="1:10">
      <c r="A4831" t="s">
        <v>2594</v>
      </c>
      <c r="B4831">
        <v>826410</v>
      </c>
      <c r="C4831">
        <v>1</v>
      </c>
      <c r="D4831" t="str">
        <f t="shared" si="75"/>
        <v>1826410.540</v>
      </c>
      <c r="E4831" t="s">
        <v>2595</v>
      </c>
      <c r="F4831" s="242"/>
      <c r="G4831"/>
      <c r="H4831" s="242">
        <v>14000</v>
      </c>
      <c r="I4831" s="242">
        <v>7572</v>
      </c>
      <c r="J4831"/>
    </row>
    <row r="4832" spans="1:10">
      <c r="A4832" t="s">
        <v>2596</v>
      </c>
      <c r="B4832">
        <v>826410</v>
      </c>
      <c r="C4832">
        <v>1</v>
      </c>
      <c r="D4832" t="str">
        <f t="shared" si="75"/>
        <v>1826410.550</v>
      </c>
      <c r="E4832" t="s">
        <v>2597</v>
      </c>
      <c r="F4832" s="242"/>
      <c r="G4832"/>
      <c r="H4832" s="242">
        <v>3000</v>
      </c>
      <c r="I4832" s="242">
        <v>0</v>
      </c>
      <c r="J4832"/>
    </row>
    <row r="4833" spans="1:10">
      <c r="A4833" t="s">
        <v>2598</v>
      </c>
      <c r="B4833">
        <v>826410</v>
      </c>
      <c r="C4833">
        <v>1</v>
      </c>
      <c r="D4833" t="str">
        <f t="shared" si="75"/>
        <v>1826410.561</v>
      </c>
      <c r="E4833" t="s">
        <v>2599</v>
      </c>
      <c r="F4833" s="242"/>
      <c r="G4833"/>
      <c r="H4833" s="242">
        <v>3500</v>
      </c>
      <c r="I4833" s="242">
        <v>2122</v>
      </c>
      <c r="J4833"/>
    </row>
    <row r="4834" spans="1:10">
      <c r="A4834" t="s">
        <v>2600</v>
      </c>
      <c r="B4834">
        <v>826410</v>
      </c>
      <c r="C4834">
        <v>1</v>
      </c>
      <c r="D4834" t="str">
        <f t="shared" si="75"/>
        <v>1826410.580</v>
      </c>
      <c r="E4834" t="s">
        <v>2601</v>
      </c>
      <c r="F4834" s="242"/>
      <c r="G4834"/>
      <c r="H4834" s="242">
        <v>2500</v>
      </c>
      <c r="I4834" s="242">
        <v>431</v>
      </c>
      <c r="J4834"/>
    </row>
    <row r="4835" spans="1:10">
      <c r="A4835" t="s">
        <v>673</v>
      </c>
      <c r="B4835">
        <v>826410</v>
      </c>
      <c r="C4835">
        <v>1</v>
      </c>
      <c r="D4835" t="str">
        <f t="shared" si="75"/>
        <v>1826410.743</v>
      </c>
      <c r="E4835" t="s">
        <v>2622</v>
      </c>
      <c r="F4835" s="242"/>
      <c r="G4835"/>
      <c r="H4835" s="242">
        <v>9500</v>
      </c>
      <c r="I4835" s="242">
        <v>1011</v>
      </c>
      <c r="J4835"/>
    </row>
    <row r="4836" spans="1:10">
      <c r="A4836" t="s">
        <v>772</v>
      </c>
      <c r="B4836">
        <v>826410</v>
      </c>
      <c r="C4836">
        <v>1</v>
      </c>
      <c r="D4836" t="str">
        <f t="shared" si="75"/>
        <v>1826410.751</v>
      </c>
      <c r="E4836" t="s">
        <v>3676</v>
      </c>
      <c r="F4836" s="242"/>
      <c r="G4836"/>
      <c r="H4836" s="242">
        <v>90000</v>
      </c>
      <c r="I4836" s="242">
        <v>0</v>
      </c>
      <c r="J4836"/>
    </row>
    <row r="4837" spans="1:10">
      <c r="A4837" t="s">
        <v>2670</v>
      </c>
      <c r="B4837">
        <v>826410</v>
      </c>
      <c r="C4837">
        <v>1</v>
      </c>
      <c r="D4837" t="str">
        <f t="shared" si="75"/>
        <v>1826410.755</v>
      </c>
      <c r="E4837" t="s">
        <v>2671</v>
      </c>
      <c r="F4837" s="242"/>
      <c r="G4837"/>
      <c r="H4837" s="242">
        <v>5000</v>
      </c>
      <c r="I4837" s="242">
        <v>728</v>
      </c>
      <c r="J4837"/>
    </row>
    <row r="4838" spans="1:10">
      <c r="A4838" t="s">
        <v>835</v>
      </c>
      <c r="B4838">
        <v>826410</v>
      </c>
      <c r="C4838">
        <v>1</v>
      </c>
      <c r="D4838" t="str">
        <f t="shared" si="75"/>
        <v>1826410.769</v>
      </c>
      <c r="E4838" t="s">
        <v>2605</v>
      </c>
      <c r="F4838" s="242"/>
      <c r="G4838"/>
      <c r="H4838" s="242">
        <v>38400</v>
      </c>
      <c r="I4838" s="242">
        <v>14231</v>
      </c>
      <c r="J4838"/>
    </row>
    <row r="4839" spans="1:10">
      <c r="A4839" t="s">
        <v>2632</v>
      </c>
      <c r="B4839">
        <v>826410</v>
      </c>
      <c r="C4839">
        <v>1</v>
      </c>
      <c r="D4839" t="str">
        <f t="shared" si="75"/>
        <v>1826410.780</v>
      </c>
      <c r="E4839" t="s">
        <v>2633</v>
      </c>
      <c r="F4839" s="242"/>
      <c r="G4839"/>
      <c r="H4839" s="242">
        <v>22500</v>
      </c>
      <c r="I4839" s="242">
        <v>11963</v>
      </c>
      <c r="J4839"/>
    </row>
    <row r="4840" spans="1:10">
      <c r="A4840" t="s">
        <v>2750</v>
      </c>
      <c r="B4840">
        <v>826410</v>
      </c>
      <c r="C4840">
        <v>1</v>
      </c>
      <c r="D4840" t="str">
        <f t="shared" si="75"/>
        <v>1826410.785</v>
      </c>
      <c r="E4840" t="s">
        <v>3677</v>
      </c>
      <c r="F4840" s="242"/>
      <c r="G4840"/>
      <c r="H4840" s="242">
        <v>0</v>
      </c>
      <c r="I4840" s="242">
        <v>0</v>
      </c>
      <c r="J4840"/>
    </row>
    <row r="4841" spans="1:10">
      <c r="A4841" t="s">
        <v>3056</v>
      </c>
      <c r="B4841">
        <v>826410</v>
      </c>
      <c r="C4841">
        <v>1</v>
      </c>
      <c r="D4841" t="str">
        <f t="shared" si="75"/>
        <v>1826410.789</v>
      </c>
      <c r="E4841" t="s">
        <v>3678</v>
      </c>
      <c r="F4841" s="242"/>
      <c r="G4841"/>
      <c r="H4841" s="242">
        <v>100</v>
      </c>
      <c r="I4841" s="242">
        <v>0</v>
      </c>
      <c r="J4841"/>
    </row>
    <row r="4842" spans="1:10">
      <c r="A4842" t="s">
        <v>2740</v>
      </c>
      <c r="B4842">
        <v>826410</v>
      </c>
      <c r="C4842">
        <v>1</v>
      </c>
      <c r="D4842" t="str">
        <f t="shared" si="75"/>
        <v>1826410.930</v>
      </c>
      <c r="E4842" t="s">
        <v>2834</v>
      </c>
      <c r="F4842" s="242"/>
      <c r="G4842"/>
      <c r="H4842" s="242">
        <v>9500</v>
      </c>
      <c r="I4842" s="242">
        <v>7489</v>
      </c>
      <c r="J4842"/>
    </row>
    <row r="4843" spans="1:10">
      <c r="A4843" t="s">
        <v>2606</v>
      </c>
      <c r="B4843">
        <v>826420</v>
      </c>
      <c r="C4843">
        <v>1</v>
      </c>
      <c r="D4843" t="str">
        <f t="shared" si="75"/>
        <v>1826420.440</v>
      </c>
      <c r="E4843" t="s">
        <v>3671</v>
      </c>
      <c r="F4843" s="242"/>
      <c r="G4843"/>
      <c r="H4843" s="242">
        <v>1800</v>
      </c>
      <c r="I4843" s="242">
        <v>1706</v>
      </c>
      <c r="J4843"/>
    </row>
    <row r="4844" spans="1:10">
      <c r="A4844" t="s">
        <v>3662</v>
      </c>
      <c r="B4844">
        <v>826420</v>
      </c>
      <c r="C4844">
        <v>1</v>
      </c>
      <c r="D4844" t="str">
        <f t="shared" si="75"/>
        <v>1826420.820</v>
      </c>
      <c r="E4844" t="s">
        <v>3672</v>
      </c>
      <c r="F4844" s="242"/>
      <c r="G4844"/>
      <c r="H4844" s="242">
        <v>2475000</v>
      </c>
      <c r="I4844" s="242">
        <v>2394476</v>
      </c>
      <c r="J4844"/>
    </row>
    <row r="4845" spans="1:10">
      <c r="A4845" t="s">
        <v>2606</v>
      </c>
      <c r="B4845">
        <v>826500</v>
      </c>
      <c r="C4845">
        <v>1</v>
      </c>
      <c r="D4845" t="str">
        <f t="shared" si="75"/>
        <v>1826500.440</v>
      </c>
      <c r="E4845" t="s">
        <v>2657</v>
      </c>
      <c r="F4845" s="242"/>
      <c r="G4845"/>
      <c r="H4845" s="242">
        <v>221400</v>
      </c>
      <c r="I4845" s="242">
        <v>213819</v>
      </c>
      <c r="J4845"/>
    </row>
    <row r="4846" spans="1:10">
      <c r="A4846" t="s">
        <v>2594</v>
      </c>
      <c r="B4846">
        <v>826500</v>
      </c>
      <c r="C4846">
        <v>1</v>
      </c>
      <c r="D4846" t="str">
        <f t="shared" si="75"/>
        <v>1826500.540</v>
      </c>
      <c r="E4846" t="s">
        <v>2595</v>
      </c>
      <c r="F4846" s="242"/>
      <c r="G4846"/>
      <c r="H4846" s="242">
        <v>25000</v>
      </c>
      <c r="I4846" s="242">
        <v>11820</v>
      </c>
      <c r="J4846"/>
    </row>
    <row r="4847" spans="1:10">
      <c r="A4847" t="s">
        <v>2735</v>
      </c>
      <c r="B4847">
        <v>826500</v>
      </c>
      <c r="C4847">
        <v>1</v>
      </c>
      <c r="D4847" t="str">
        <f t="shared" si="75"/>
        <v>1826500.576</v>
      </c>
      <c r="E4847" t="s">
        <v>3641</v>
      </c>
      <c r="F4847" s="242"/>
      <c r="G4847"/>
      <c r="H4847" s="242">
        <v>0</v>
      </c>
      <c r="I4847" s="242">
        <v>71920</v>
      </c>
      <c r="J4847"/>
    </row>
    <row r="4848" spans="1:10">
      <c r="A4848" t="s">
        <v>2859</v>
      </c>
      <c r="B4848">
        <v>826500</v>
      </c>
      <c r="C4848">
        <v>1</v>
      </c>
      <c r="D4848" t="str">
        <f t="shared" si="75"/>
        <v>1826500.870</v>
      </c>
      <c r="E4848" t="s">
        <v>3642</v>
      </c>
      <c r="F4848" s="242"/>
      <c r="G4848"/>
      <c r="H4848" s="242">
        <v>6618638</v>
      </c>
      <c r="I4848" s="242">
        <v>6488638</v>
      </c>
      <c r="J4848"/>
    </row>
    <row r="4849" spans="1:10">
      <c r="A4849" t="s">
        <v>2606</v>
      </c>
      <c r="B4849">
        <v>826501</v>
      </c>
      <c r="C4849">
        <v>1</v>
      </c>
      <c r="D4849" t="str">
        <f t="shared" si="75"/>
        <v>1826501.440</v>
      </c>
      <c r="E4849" t="s">
        <v>3643</v>
      </c>
      <c r="F4849" s="242"/>
      <c r="G4849"/>
      <c r="H4849" s="242">
        <v>76700</v>
      </c>
      <c r="I4849" s="242">
        <v>74046</v>
      </c>
      <c r="J4849"/>
    </row>
    <row r="4850" spans="1:10">
      <c r="A4850" t="s">
        <v>2403</v>
      </c>
      <c r="B4850">
        <v>827000</v>
      </c>
      <c r="C4850">
        <v>1</v>
      </c>
      <c r="D4850" t="str">
        <f t="shared" si="75"/>
        <v>1827000.110</v>
      </c>
      <c r="E4850" t="s">
        <v>2573</v>
      </c>
      <c r="F4850" s="242"/>
      <c r="G4850"/>
      <c r="H4850" s="242">
        <v>104948</v>
      </c>
      <c r="I4850" s="242">
        <v>106563</v>
      </c>
      <c r="J4850"/>
    </row>
    <row r="4851" spans="1:10">
      <c r="A4851" t="s">
        <v>2404</v>
      </c>
      <c r="B4851">
        <v>827000</v>
      </c>
      <c r="C4851">
        <v>1</v>
      </c>
      <c r="D4851" t="str">
        <f t="shared" si="75"/>
        <v>1827000.120</v>
      </c>
      <c r="E4851" t="s">
        <v>2574</v>
      </c>
      <c r="F4851" s="242"/>
      <c r="G4851"/>
      <c r="H4851" s="242">
        <v>30754</v>
      </c>
      <c r="I4851" s="242">
        <v>29987</v>
      </c>
      <c r="J4851"/>
    </row>
    <row r="4852" spans="1:10">
      <c r="A4852" t="s">
        <v>2577</v>
      </c>
      <c r="B4852">
        <v>827000</v>
      </c>
      <c r="C4852">
        <v>1</v>
      </c>
      <c r="D4852" t="str">
        <f t="shared" si="75"/>
        <v>1827000.140</v>
      </c>
      <c r="E4852" t="s">
        <v>2578</v>
      </c>
      <c r="F4852" s="242"/>
      <c r="G4852"/>
      <c r="H4852" s="242">
        <v>31725</v>
      </c>
      <c r="I4852" s="242">
        <v>29236</v>
      </c>
      <c r="J4852"/>
    </row>
    <row r="4853" spans="1:10">
      <c r="A4853" t="s">
        <v>2579</v>
      </c>
      <c r="B4853">
        <v>827000</v>
      </c>
      <c r="C4853">
        <v>1</v>
      </c>
      <c r="D4853" t="str">
        <f t="shared" si="75"/>
        <v>1827000.181</v>
      </c>
      <c r="E4853" t="s">
        <v>2580</v>
      </c>
      <c r="F4853" s="242"/>
      <c r="G4853"/>
      <c r="H4853" s="242">
        <v>24398</v>
      </c>
      <c r="I4853" s="242">
        <v>23814</v>
      </c>
      <c r="J4853"/>
    </row>
    <row r="4854" spans="1:10">
      <c r="A4854" t="s">
        <v>2581</v>
      </c>
      <c r="B4854">
        <v>827000</v>
      </c>
      <c r="C4854">
        <v>1</v>
      </c>
      <c r="D4854" t="str">
        <f t="shared" si="75"/>
        <v>1827000.182</v>
      </c>
      <c r="E4854" t="s">
        <v>2582</v>
      </c>
      <c r="F4854" s="242"/>
      <c r="G4854"/>
      <c r="H4854" s="242">
        <v>12642</v>
      </c>
      <c r="I4854" s="242">
        <v>12518</v>
      </c>
      <c r="J4854"/>
    </row>
    <row r="4855" spans="1:10">
      <c r="A4855" t="s">
        <v>2594</v>
      </c>
      <c r="B4855">
        <v>827000</v>
      </c>
      <c r="C4855">
        <v>1</v>
      </c>
      <c r="D4855" t="str">
        <f t="shared" si="75"/>
        <v>1827000.540</v>
      </c>
      <c r="E4855" t="s">
        <v>2595</v>
      </c>
      <c r="F4855" s="242"/>
      <c r="G4855"/>
      <c r="H4855" s="242">
        <v>8000</v>
      </c>
      <c r="I4855" s="242">
        <v>3183</v>
      </c>
      <c r="J4855"/>
    </row>
    <row r="4856" spans="1:10">
      <c r="A4856" t="s">
        <v>2598</v>
      </c>
      <c r="B4856">
        <v>827000</v>
      </c>
      <c r="C4856">
        <v>1</v>
      </c>
      <c r="D4856" t="str">
        <f t="shared" si="75"/>
        <v>1827000.561</v>
      </c>
      <c r="E4856" t="s">
        <v>2599</v>
      </c>
      <c r="F4856" s="242"/>
      <c r="G4856"/>
      <c r="H4856" s="242">
        <v>2000</v>
      </c>
      <c r="I4856" s="242">
        <v>389</v>
      </c>
      <c r="J4856"/>
    </row>
    <row r="4857" spans="1:10">
      <c r="A4857" t="s">
        <v>547</v>
      </c>
      <c r="B4857">
        <v>827000</v>
      </c>
      <c r="C4857">
        <v>1</v>
      </c>
      <c r="D4857" t="str">
        <f t="shared" si="75"/>
        <v>1827000.722</v>
      </c>
      <c r="E4857" t="s">
        <v>3638</v>
      </c>
      <c r="F4857" s="242"/>
      <c r="G4857"/>
      <c r="H4857" s="242">
        <v>200000</v>
      </c>
      <c r="I4857" s="242">
        <v>531379</v>
      </c>
      <c r="J4857"/>
    </row>
    <row r="4858" spans="1:10">
      <c r="A4858" t="s">
        <v>2632</v>
      </c>
      <c r="B4858">
        <v>827000</v>
      </c>
      <c r="C4858">
        <v>1</v>
      </c>
      <c r="D4858" t="str">
        <f t="shared" si="75"/>
        <v>1827000.780</v>
      </c>
      <c r="E4858" t="s">
        <v>3639</v>
      </c>
      <c r="F4858" s="242"/>
      <c r="G4858"/>
      <c r="H4858" s="242">
        <v>515000</v>
      </c>
      <c r="I4858" s="242">
        <v>502689</v>
      </c>
      <c r="J4858"/>
    </row>
    <row r="4859" spans="1:10">
      <c r="A4859" t="s">
        <v>2859</v>
      </c>
      <c r="B4859">
        <v>827200</v>
      </c>
      <c r="C4859">
        <v>1</v>
      </c>
      <c r="D4859" t="str">
        <f t="shared" si="75"/>
        <v>1827200.870</v>
      </c>
      <c r="E4859" t="s">
        <v>2896</v>
      </c>
      <c r="F4859" s="242"/>
      <c r="G4859"/>
      <c r="H4859" s="242">
        <v>1100000</v>
      </c>
      <c r="I4859" s="242">
        <v>1092830</v>
      </c>
      <c r="J4859"/>
    </row>
    <row r="4860" spans="1:10">
      <c r="A4860" t="s">
        <v>2403</v>
      </c>
      <c r="B4860">
        <v>828200</v>
      </c>
      <c r="C4860">
        <v>1</v>
      </c>
      <c r="D4860" t="str">
        <f t="shared" si="75"/>
        <v>1828200.110</v>
      </c>
      <c r="E4860" t="s">
        <v>2573</v>
      </c>
      <c r="F4860" s="242"/>
      <c r="G4860"/>
      <c r="H4860" s="242">
        <v>309992</v>
      </c>
      <c r="I4860" s="242">
        <v>33963</v>
      </c>
      <c r="J4860"/>
    </row>
    <row r="4861" spans="1:10">
      <c r="A4861" t="s">
        <v>2404</v>
      </c>
      <c r="B4861">
        <v>828200</v>
      </c>
      <c r="C4861">
        <v>1</v>
      </c>
      <c r="D4861" t="str">
        <f t="shared" si="75"/>
        <v>1828200.120</v>
      </c>
      <c r="E4861" t="s">
        <v>2574</v>
      </c>
      <c r="F4861" s="242"/>
      <c r="G4861"/>
      <c r="H4861" s="242">
        <v>0</v>
      </c>
      <c r="I4861" s="242">
        <v>0</v>
      </c>
      <c r="J4861"/>
    </row>
    <row r="4862" spans="1:10">
      <c r="A4862" t="s">
        <v>2577</v>
      </c>
      <c r="B4862">
        <v>828200</v>
      </c>
      <c r="C4862">
        <v>1</v>
      </c>
      <c r="D4862" t="str">
        <f t="shared" si="75"/>
        <v>1828200.140</v>
      </c>
      <c r="E4862" t="s">
        <v>2578</v>
      </c>
      <c r="F4862" s="242"/>
      <c r="G4862"/>
      <c r="H4862" s="242">
        <v>14328</v>
      </c>
      <c r="I4862" s="242">
        <v>1824</v>
      </c>
      <c r="J4862"/>
    </row>
    <row r="4863" spans="1:10">
      <c r="A4863" t="s">
        <v>2579</v>
      </c>
      <c r="B4863">
        <v>828200</v>
      </c>
      <c r="C4863">
        <v>1</v>
      </c>
      <c r="D4863" t="str">
        <f t="shared" si="75"/>
        <v>1828200.181</v>
      </c>
      <c r="E4863" t="s">
        <v>2580</v>
      </c>
      <c r="F4863" s="242"/>
      <c r="G4863"/>
      <c r="H4863" s="242">
        <v>71912</v>
      </c>
      <c r="I4863" s="242">
        <v>7986</v>
      </c>
      <c r="J4863"/>
    </row>
    <row r="4864" spans="1:10">
      <c r="A4864" t="s">
        <v>2581</v>
      </c>
      <c r="B4864">
        <v>828200</v>
      </c>
      <c r="C4864">
        <v>1</v>
      </c>
      <c r="D4864" t="str">
        <f t="shared" si="75"/>
        <v>1828200.182</v>
      </c>
      <c r="E4864" t="s">
        <v>2582</v>
      </c>
      <c r="F4864" s="242"/>
      <c r="G4864"/>
      <c r="H4864" s="242">
        <v>25021</v>
      </c>
      <c r="I4864" s="242">
        <v>2770</v>
      </c>
      <c r="J4864"/>
    </row>
    <row r="4865" spans="1:10">
      <c r="A4865" t="s">
        <v>2409</v>
      </c>
      <c r="B4865">
        <v>828200</v>
      </c>
      <c r="C4865">
        <v>1</v>
      </c>
      <c r="D4865" t="str">
        <f t="shared" si="75"/>
        <v>1828200.410</v>
      </c>
      <c r="E4865" t="s">
        <v>3553</v>
      </c>
      <c r="F4865" s="242"/>
      <c r="G4865"/>
      <c r="H4865" s="242">
        <v>25000</v>
      </c>
      <c r="I4865" s="242">
        <v>25000</v>
      </c>
      <c r="J4865"/>
    </row>
    <row r="4866" spans="1:10">
      <c r="A4866" t="s">
        <v>1622</v>
      </c>
      <c r="B4866">
        <v>828200</v>
      </c>
      <c r="C4866">
        <v>1</v>
      </c>
      <c r="D4866" t="str">
        <f t="shared" si="75"/>
        <v>1828200.411</v>
      </c>
      <c r="E4866" t="s">
        <v>3554</v>
      </c>
      <c r="F4866" s="242"/>
      <c r="G4866"/>
      <c r="H4866" s="242">
        <v>5000</v>
      </c>
      <c r="I4866" s="242">
        <v>5000</v>
      </c>
      <c r="J4866"/>
    </row>
    <row r="4867" spans="1:10">
      <c r="A4867" t="s">
        <v>872</v>
      </c>
      <c r="B4867">
        <v>828200</v>
      </c>
      <c r="C4867">
        <v>1</v>
      </c>
      <c r="D4867" t="str">
        <f t="shared" ref="D4867:D4930" si="76">C4867&amp;B4867&amp;"."&amp;A4867</f>
        <v>1828200.781</v>
      </c>
      <c r="E4867" t="s">
        <v>3550</v>
      </c>
      <c r="F4867" s="242"/>
      <c r="G4867"/>
      <c r="H4867" s="242">
        <v>0</v>
      </c>
      <c r="I4867" s="242">
        <v>54390</v>
      </c>
      <c r="J4867"/>
    </row>
    <row r="4868" spans="1:10">
      <c r="A4868" t="s">
        <v>877</v>
      </c>
      <c r="B4868">
        <v>828200</v>
      </c>
      <c r="C4868">
        <v>1</v>
      </c>
      <c r="D4868" t="str">
        <f t="shared" si="76"/>
        <v>1828200.782</v>
      </c>
      <c r="E4868" t="s">
        <v>3555</v>
      </c>
      <c r="F4868" s="242"/>
      <c r="G4868"/>
      <c r="H4868" s="242">
        <v>0</v>
      </c>
      <c r="I4868" s="242">
        <v>0</v>
      </c>
      <c r="J4868"/>
    </row>
    <row r="4869" spans="1:10">
      <c r="A4869" t="s">
        <v>1176</v>
      </c>
      <c r="B4869">
        <v>828200</v>
      </c>
      <c r="C4869">
        <v>1</v>
      </c>
      <c r="D4869" t="str">
        <f t="shared" si="76"/>
        <v>1828200.821</v>
      </c>
      <c r="E4869" t="s">
        <v>4365</v>
      </c>
      <c r="F4869" s="242"/>
      <c r="G4869"/>
      <c r="H4869" s="242">
        <v>0</v>
      </c>
      <c r="I4869" s="242">
        <v>3839</v>
      </c>
      <c r="J4869"/>
    </row>
    <row r="4870" spans="1:10">
      <c r="A4870" t="s">
        <v>1191</v>
      </c>
      <c r="B4870">
        <v>828200</v>
      </c>
      <c r="C4870">
        <v>1</v>
      </c>
      <c r="D4870" t="str">
        <f t="shared" si="76"/>
        <v>1828200.824</v>
      </c>
      <c r="E4870" t="s">
        <v>4366</v>
      </c>
      <c r="F4870" s="242"/>
      <c r="G4870"/>
      <c r="H4870" s="242">
        <v>0</v>
      </c>
      <c r="I4870" s="242">
        <v>0</v>
      </c>
      <c r="J4870"/>
    </row>
    <row r="4871" spans="1:10">
      <c r="A4871" t="s">
        <v>1196</v>
      </c>
      <c r="B4871">
        <v>828200</v>
      </c>
      <c r="C4871">
        <v>1</v>
      </c>
      <c r="D4871" t="str">
        <f t="shared" si="76"/>
        <v>1828200.825</v>
      </c>
      <c r="E4871" t="s">
        <v>4367</v>
      </c>
      <c r="F4871" s="242"/>
      <c r="G4871"/>
      <c r="H4871" s="242">
        <v>0</v>
      </c>
      <c r="I4871" s="242">
        <v>4744</v>
      </c>
      <c r="J4871"/>
    </row>
    <row r="4872" spans="1:10">
      <c r="A4872" t="s">
        <v>2403</v>
      </c>
      <c r="B4872">
        <v>828210</v>
      </c>
      <c r="C4872">
        <v>1</v>
      </c>
      <c r="D4872" t="str">
        <f t="shared" si="76"/>
        <v>1828210.110</v>
      </c>
      <c r="E4872" t="s">
        <v>2573</v>
      </c>
      <c r="F4872" s="242"/>
      <c r="G4872"/>
      <c r="H4872" s="242">
        <v>100784</v>
      </c>
      <c r="I4872" s="242">
        <v>97039</v>
      </c>
      <c r="J4872"/>
    </row>
    <row r="4873" spans="1:10">
      <c r="A4873" t="s">
        <v>2404</v>
      </c>
      <c r="B4873">
        <v>828210</v>
      </c>
      <c r="C4873">
        <v>1</v>
      </c>
      <c r="D4873" t="str">
        <f t="shared" si="76"/>
        <v>1828210.120</v>
      </c>
      <c r="E4873" t="s">
        <v>2574</v>
      </c>
      <c r="F4873" s="242"/>
      <c r="G4873"/>
      <c r="H4873" s="242">
        <v>46620</v>
      </c>
      <c r="I4873" s="242">
        <v>43800</v>
      </c>
      <c r="J4873"/>
    </row>
    <row r="4874" spans="1:10">
      <c r="A4874" t="s">
        <v>2575</v>
      </c>
      <c r="B4874">
        <v>828210</v>
      </c>
      <c r="C4874">
        <v>1</v>
      </c>
      <c r="D4874" t="str">
        <f t="shared" si="76"/>
        <v>1828210.130</v>
      </c>
      <c r="E4874" t="s">
        <v>2576</v>
      </c>
      <c r="F4874" s="242"/>
      <c r="G4874"/>
      <c r="H4874" s="242">
        <v>0</v>
      </c>
      <c r="I4874" s="242">
        <v>0</v>
      </c>
      <c r="J4874"/>
    </row>
    <row r="4875" spans="1:10">
      <c r="A4875" t="s">
        <v>2577</v>
      </c>
      <c r="B4875">
        <v>828210</v>
      </c>
      <c r="C4875">
        <v>1</v>
      </c>
      <c r="D4875" t="str">
        <f t="shared" si="76"/>
        <v>1828210.140</v>
      </c>
      <c r="E4875" t="s">
        <v>2578</v>
      </c>
      <c r="F4875" s="242"/>
      <c r="G4875"/>
      <c r="H4875" s="242">
        <v>23265</v>
      </c>
      <c r="I4875" s="242">
        <v>28344</v>
      </c>
      <c r="J4875"/>
    </row>
    <row r="4876" spans="1:10">
      <c r="A4876" t="s">
        <v>2579</v>
      </c>
      <c r="B4876">
        <v>828210</v>
      </c>
      <c r="C4876">
        <v>1</v>
      </c>
      <c r="D4876" t="str">
        <f t="shared" si="76"/>
        <v>1828210.181</v>
      </c>
      <c r="E4876" t="s">
        <v>2580</v>
      </c>
      <c r="F4876" s="242"/>
      <c r="G4876"/>
      <c r="H4876" s="242">
        <v>26218</v>
      </c>
      <c r="I4876" s="242">
        <v>25025</v>
      </c>
      <c r="J4876"/>
    </row>
    <row r="4877" spans="1:10">
      <c r="A4877" t="s">
        <v>2581</v>
      </c>
      <c r="B4877">
        <v>828210</v>
      </c>
      <c r="C4877">
        <v>1</v>
      </c>
      <c r="D4877" t="str">
        <f t="shared" si="76"/>
        <v>1828210.182</v>
      </c>
      <c r="E4877" t="s">
        <v>2582</v>
      </c>
      <c r="F4877" s="242"/>
      <c r="G4877"/>
      <c r="H4877" s="242">
        <v>12998</v>
      </c>
      <c r="I4877" s="242">
        <v>12849</v>
      </c>
      <c r="J4877"/>
    </row>
    <row r="4878" spans="1:10">
      <c r="A4878" t="s">
        <v>2409</v>
      </c>
      <c r="B4878">
        <v>828210</v>
      </c>
      <c r="C4878">
        <v>1</v>
      </c>
      <c r="D4878" t="str">
        <f t="shared" si="76"/>
        <v>1828210.410</v>
      </c>
      <c r="E4878" t="s">
        <v>2752</v>
      </c>
      <c r="F4878" s="242"/>
      <c r="G4878"/>
      <c r="H4878" s="242">
        <v>108000</v>
      </c>
      <c r="I4878" s="242">
        <v>98741</v>
      </c>
      <c r="J4878"/>
    </row>
    <row r="4879" spans="1:10">
      <c r="A4879" t="s">
        <v>2652</v>
      </c>
      <c r="B4879">
        <v>828210</v>
      </c>
      <c r="C4879">
        <v>1</v>
      </c>
      <c r="D4879" t="str">
        <f t="shared" si="76"/>
        <v>1828210.420</v>
      </c>
      <c r="E4879" t="s">
        <v>2653</v>
      </c>
      <c r="F4879" s="242"/>
      <c r="G4879"/>
      <c r="H4879" s="242">
        <v>9500</v>
      </c>
      <c r="I4879" s="242">
        <v>2600</v>
      </c>
      <c r="J4879"/>
    </row>
    <row r="4880" spans="1:10">
      <c r="A4880" t="s">
        <v>1663</v>
      </c>
      <c r="B4880">
        <v>828210</v>
      </c>
      <c r="C4880">
        <v>1</v>
      </c>
      <c r="D4880" t="str">
        <f t="shared" si="76"/>
        <v>1828210.431</v>
      </c>
      <c r="E4880" t="s">
        <v>2654</v>
      </c>
      <c r="F4880" s="242"/>
      <c r="G4880"/>
      <c r="H4880" s="242">
        <v>33200</v>
      </c>
      <c r="I4880" s="242">
        <v>51973</v>
      </c>
      <c r="J4880"/>
    </row>
    <row r="4881" spans="1:10">
      <c r="A4881" t="s">
        <v>1668</v>
      </c>
      <c r="B4881">
        <v>828210</v>
      </c>
      <c r="C4881">
        <v>1</v>
      </c>
      <c r="D4881" t="str">
        <f t="shared" si="76"/>
        <v>1828210.432</v>
      </c>
      <c r="E4881" t="s">
        <v>2687</v>
      </c>
      <c r="F4881" s="242"/>
      <c r="G4881"/>
      <c r="H4881" s="242">
        <v>10200</v>
      </c>
      <c r="I4881" s="242">
        <v>28113</v>
      </c>
      <c r="J4881"/>
    </row>
    <row r="4882" spans="1:10">
      <c r="A4882" t="s">
        <v>1673</v>
      </c>
      <c r="B4882">
        <v>828210</v>
      </c>
      <c r="C4882">
        <v>1</v>
      </c>
      <c r="D4882" t="str">
        <f t="shared" si="76"/>
        <v>1828210.433</v>
      </c>
      <c r="E4882" t="s">
        <v>2655</v>
      </c>
      <c r="F4882" s="242"/>
      <c r="G4882"/>
      <c r="H4882" s="242">
        <v>1800</v>
      </c>
      <c r="I4882" s="242">
        <v>0</v>
      </c>
      <c r="J4882"/>
    </row>
    <row r="4883" spans="1:10">
      <c r="A4883" t="s">
        <v>2606</v>
      </c>
      <c r="B4883">
        <v>828210</v>
      </c>
      <c r="C4883">
        <v>1</v>
      </c>
      <c r="D4883" t="str">
        <f t="shared" si="76"/>
        <v>1828210.440</v>
      </c>
      <c r="E4883" t="s">
        <v>2657</v>
      </c>
      <c r="F4883" s="242"/>
      <c r="G4883"/>
      <c r="H4883" s="242">
        <v>10600</v>
      </c>
      <c r="I4883" s="242">
        <v>10236</v>
      </c>
      <c r="J4883"/>
    </row>
    <row r="4884" spans="1:10">
      <c r="A4884" t="s">
        <v>2594</v>
      </c>
      <c r="B4884">
        <v>828210</v>
      </c>
      <c r="C4884">
        <v>1</v>
      </c>
      <c r="D4884" t="str">
        <f t="shared" si="76"/>
        <v>1828210.540</v>
      </c>
      <c r="E4884" t="s">
        <v>2595</v>
      </c>
      <c r="F4884" s="242"/>
      <c r="G4884"/>
      <c r="H4884" s="242">
        <v>11000</v>
      </c>
      <c r="I4884" s="242">
        <v>8230</v>
      </c>
      <c r="J4884"/>
    </row>
    <row r="4885" spans="1:10">
      <c r="A4885" t="s">
        <v>2598</v>
      </c>
      <c r="B4885">
        <v>828210</v>
      </c>
      <c r="C4885">
        <v>1</v>
      </c>
      <c r="D4885" t="str">
        <f t="shared" si="76"/>
        <v>1828210.561</v>
      </c>
      <c r="E4885" t="s">
        <v>2599</v>
      </c>
      <c r="F4885" s="242"/>
      <c r="G4885"/>
      <c r="H4885" s="242">
        <v>0</v>
      </c>
      <c r="I4885" s="242">
        <v>0</v>
      </c>
      <c r="J4885"/>
    </row>
    <row r="4886" spans="1:10">
      <c r="A4886" t="s">
        <v>877</v>
      </c>
      <c r="B4886">
        <v>828210</v>
      </c>
      <c r="C4886">
        <v>1</v>
      </c>
      <c r="D4886" t="str">
        <f t="shared" si="76"/>
        <v>1828210.782</v>
      </c>
      <c r="E4886" t="s">
        <v>3538</v>
      </c>
      <c r="F4886" s="242"/>
      <c r="G4886"/>
      <c r="H4886" s="242">
        <v>885000</v>
      </c>
      <c r="I4886" s="242">
        <v>904438</v>
      </c>
      <c r="J4886"/>
    </row>
    <row r="4887" spans="1:10">
      <c r="A4887" t="s">
        <v>1663</v>
      </c>
      <c r="B4887">
        <v>828211</v>
      </c>
      <c r="C4887">
        <v>1</v>
      </c>
      <c r="D4887" t="str">
        <f t="shared" si="76"/>
        <v>1828211.431</v>
      </c>
      <c r="E4887" t="s">
        <v>3556</v>
      </c>
      <c r="F4887" s="242"/>
      <c r="G4887"/>
      <c r="H4887" s="242">
        <v>23000</v>
      </c>
      <c r="I4887" s="242">
        <v>22894</v>
      </c>
      <c r="J4887"/>
    </row>
    <row r="4888" spans="1:10">
      <c r="A4888" t="s">
        <v>2594</v>
      </c>
      <c r="B4888">
        <v>828211</v>
      </c>
      <c r="C4888">
        <v>1</v>
      </c>
      <c r="D4888" t="str">
        <f t="shared" si="76"/>
        <v>1828211.540</v>
      </c>
      <c r="E4888" t="s">
        <v>2595</v>
      </c>
      <c r="F4888" s="242"/>
      <c r="G4888"/>
      <c r="H4888" s="242">
        <v>7000</v>
      </c>
      <c r="I4888" s="242">
        <v>5810</v>
      </c>
      <c r="J4888"/>
    </row>
    <row r="4889" spans="1:10">
      <c r="A4889" t="s">
        <v>3033</v>
      </c>
      <c r="B4889">
        <v>828221</v>
      </c>
      <c r="C4889">
        <v>1</v>
      </c>
      <c r="D4889" t="str">
        <f t="shared" si="76"/>
        <v>1828221.850</v>
      </c>
      <c r="E4889" t="s">
        <v>3539</v>
      </c>
      <c r="F4889" s="242"/>
      <c r="G4889"/>
      <c r="H4889" s="242">
        <v>16000</v>
      </c>
      <c r="I4889" s="242">
        <v>0</v>
      </c>
      <c r="J4889"/>
    </row>
    <row r="4890" spans="1:10">
      <c r="A4890" t="s">
        <v>2403</v>
      </c>
      <c r="B4890">
        <v>828230</v>
      </c>
      <c r="C4890">
        <v>1</v>
      </c>
      <c r="D4890" t="str">
        <f t="shared" si="76"/>
        <v>1828230.110</v>
      </c>
      <c r="E4890" t="s">
        <v>3399</v>
      </c>
      <c r="F4890" s="242"/>
      <c r="G4890"/>
      <c r="H4890" s="242">
        <v>163543</v>
      </c>
      <c r="I4890" s="242">
        <v>168123</v>
      </c>
      <c r="J4890"/>
    </row>
    <row r="4891" spans="1:10">
      <c r="A4891" t="s">
        <v>2404</v>
      </c>
      <c r="B4891">
        <v>828230</v>
      </c>
      <c r="C4891">
        <v>1</v>
      </c>
      <c r="D4891" t="str">
        <f t="shared" si="76"/>
        <v>1828230.120</v>
      </c>
      <c r="E4891" t="s">
        <v>2574</v>
      </c>
      <c r="F4891" s="242"/>
      <c r="G4891"/>
      <c r="H4891" s="242">
        <v>49823</v>
      </c>
      <c r="I4891" s="242">
        <v>50996</v>
      </c>
      <c r="J4891"/>
    </row>
    <row r="4892" spans="1:10">
      <c r="A4892" t="s">
        <v>2575</v>
      </c>
      <c r="B4892">
        <v>828230</v>
      </c>
      <c r="C4892">
        <v>1</v>
      </c>
      <c r="D4892" t="str">
        <f t="shared" si="76"/>
        <v>1828230.130</v>
      </c>
      <c r="E4892" t="s">
        <v>2576</v>
      </c>
      <c r="F4892" s="242"/>
      <c r="G4892"/>
      <c r="H4892" s="242">
        <v>3681</v>
      </c>
      <c r="I4892" s="242">
        <v>2977</v>
      </c>
      <c r="J4892"/>
    </row>
    <row r="4893" spans="1:10">
      <c r="A4893" t="s">
        <v>2577</v>
      </c>
      <c r="B4893">
        <v>828230</v>
      </c>
      <c r="C4893">
        <v>1</v>
      </c>
      <c r="D4893" t="str">
        <f t="shared" si="76"/>
        <v>1828230.140</v>
      </c>
      <c r="E4893" t="s">
        <v>2578</v>
      </c>
      <c r="F4893" s="242"/>
      <c r="G4893"/>
      <c r="H4893" s="242">
        <v>29429</v>
      </c>
      <c r="I4893" s="242">
        <v>24541</v>
      </c>
      <c r="J4893"/>
    </row>
    <row r="4894" spans="1:10">
      <c r="A4894" t="s">
        <v>2579</v>
      </c>
      <c r="B4894">
        <v>828230</v>
      </c>
      <c r="C4894">
        <v>1</v>
      </c>
      <c r="D4894" t="str">
        <f t="shared" si="76"/>
        <v>1828230.181</v>
      </c>
      <c r="E4894" t="s">
        <v>2580</v>
      </c>
      <c r="F4894" s="242"/>
      <c r="G4894"/>
      <c r="H4894" s="242">
        <v>35809</v>
      </c>
      <c r="I4894" s="242">
        <v>35429</v>
      </c>
      <c r="J4894"/>
    </row>
    <row r="4895" spans="1:10">
      <c r="A4895" t="s">
        <v>2581</v>
      </c>
      <c r="B4895">
        <v>828230</v>
      </c>
      <c r="C4895">
        <v>1</v>
      </c>
      <c r="D4895" t="str">
        <f t="shared" si="76"/>
        <v>1828230.182</v>
      </c>
      <c r="E4895" t="s">
        <v>2582</v>
      </c>
      <c r="F4895" s="242"/>
      <c r="G4895"/>
      <c r="H4895" s="242">
        <v>18654</v>
      </c>
      <c r="I4895" s="242">
        <v>18666</v>
      </c>
      <c r="J4895"/>
    </row>
    <row r="4896" spans="1:10">
      <c r="A4896" t="s">
        <v>2403</v>
      </c>
      <c r="B4896">
        <v>828231</v>
      </c>
      <c r="C4896">
        <v>1</v>
      </c>
      <c r="D4896" t="str">
        <f t="shared" si="76"/>
        <v>1828231.110</v>
      </c>
      <c r="E4896" t="s">
        <v>3562</v>
      </c>
      <c r="F4896" s="242"/>
      <c r="G4896"/>
      <c r="H4896" s="242">
        <v>453835</v>
      </c>
      <c r="I4896" s="242">
        <v>427007</v>
      </c>
      <c r="J4896"/>
    </row>
    <row r="4897" spans="1:10">
      <c r="A4897" t="s">
        <v>2404</v>
      </c>
      <c r="B4897">
        <v>828231</v>
      </c>
      <c r="C4897">
        <v>1</v>
      </c>
      <c r="D4897" t="str">
        <f t="shared" si="76"/>
        <v>1828231.120</v>
      </c>
      <c r="E4897" t="s">
        <v>2574</v>
      </c>
      <c r="F4897" s="242"/>
      <c r="G4897"/>
      <c r="H4897" s="242">
        <v>49860</v>
      </c>
      <c r="I4897" s="242">
        <v>37721</v>
      </c>
      <c r="J4897"/>
    </row>
    <row r="4898" spans="1:10">
      <c r="A4898" t="s">
        <v>2575</v>
      </c>
      <c r="B4898">
        <v>828231</v>
      </c>
      <c r="C4898">
        <v>1</v>
      </c>
      <c r="D4898" t="str">
        <f t="shared" si="76"/>
        <v>1828231.130</v>
      </c>
      <c r="E4898" t="s">
        <v>2576</v>
      </c>
      <c r="F4898" s="242"/>
      <c r="G4898"/>
      <c r="H4898" s="242">
        <v>0</v>
      </c>
      <c r="I4898" s="242">
        <v>0</v>
      </c>
      <c r="J4898"/>
    </row>
    <row r="4899" spans="1:10">
      <c r="A4899" t="s">
        <v>2577</v>
      </c>
      <c r="B4899">
        <v>828231</v>
      </c>
      <c r="C4899">
        <v>1</v>
      </c>
      <c r="D4899" t="str">
        <f t="shared" si="76"/>
        <v>1828231.140</v>
      </c>
      <c r="E4899" t="s">
        <v>2578</v>
      </c>
      <c r="F4899" s="242"/>
      <c r="G4899"/>
      <c r="H4899" s="242">
        <v>51747</v>
      </c>
      <c r="I4899" s="242">
        <v>51538</v>
      </c>
      <c r="J4899"/>
    </row>
    <row r="4900" spans="1:10">
      <c r="A4900" t="s">
        <v>2579</v>
      </c>
      <c r="B4900">
        <v>828231</v>
      </c>
      <c r="C4900">
        <v>1</v>
      </c>
      <c r="D4900" t="str">
        <f t="shared" si="76"/>
        <v>1828231.181</v>
      </c>
      <c r="E4900" t="s">
        <v>2580</v>
      </c>
      <c r="F4900" s="242"/>
      <c r="G4900"/>
      <c r="H4900" s="242">
        <v>80886</v>
      </c>
      <c r="I4900" s="242">
        <v>76513</v>
      </c>
      <c r="J4900"/>
    </row>
    <row r="4901" spans="1:10">
      <c r="A4901" t="s">
        <v>2581</v>
      </c>
      <c r="B4901">
        <v>828231</v>
      </c>
      <c r="C4901">
        <v>1</v>
      </c>
      <c r="D4901" t="str">
        <f t="shared" si="76"/>
        <v>1828231.182</v>
      </c>
      <c r="E4901" t="s">
        <v>2582</v>
      </c>
      <c r="F4901" s="242"/>
      <c r="G4901"/>
      <c r="H4901" s="242">
        <v>41835</v>
      </c>
      <c r="I4901" s="242">
        <v>39002</v>
      </c>
      <c r="J4901"/>
    </row>
    <row r="4902" spans="1:10">
      <c r="A4902" t="s">
        <v>3350</v>
      </c>
      <c r="B4902">
        <v>828231</v>
      </c>
      <c r="C4902">
        <v>1</v>
      </c>
      <c r="D4902" t="str">
        <f t="shared" si="76"/>
        <v>1828231.289</v>
      </c>
      <c r="E4902" t="s">
        <v>2651</v>
      </c>
      <c r="F4902" s="242"/>
      <c r="G4902"/>
      <c r="H4902" s="242">
        <v>0</v>
      </c>
      <c r="I4902" s="242">
        <v>0</v>
      </c>
      <c r="J4902"/>
    </row>
    <row r="4903" spans="1:10">
      <c r="A4903" t="s">
        <v>2409</v>
      </c>
      <c r="B4903">
        <v>828231</v>
      </c>
      <c r="C4903">
        <v>1</v>
      </c>
      <c r="D4903" t="str">
        <f t="shared" si="76"/>
        <v>1828231.410</v>
      </c>
      <c r="E4903" t="s">
        <v>2752</v>
      </c>
      <c r="F4903" s="242"/>
      <c r="G4903"/>
      <c r="H4903" s="242">
        <v>21000</v>
      </c>
      <c r="I4903" s="242">
        <v>29963</v>
      </c>
      <c r="J4903"/>
    </row>
    <row r="4904" spans="1:10">
      <c r="A4904" t="s">
        <v>2652</v>
      </c>
      <c r="B4904">
        <v>828231</v>
      </c>
      <c r="C4904">
        <v>1</v>
      </c>
      <c r="D4904" t="str">
        <f t="shared" si="76"/>
        <v>1828231.420</v>
      </c>
      <c r="E4904" t="s">
        <v>2653</v>
      </c>
      <c r="F4904" s="242"/>
      <c r="G4904"/>
      <c r="H4904" s="242">
        <v>7500</v>
      </c>
      <c r="I4904" s="242">
        <v>3956</v>
      </c>
      <c r="J4904"/>
    </row>
    <row r="4905" spans="1:10">
      <c r="A4905" t="s">
        <v>1663</v>
      </c>
      <c r="B4905">
        <v>828231</v>
      </c>
      <c r="C4905">
        <v>1</v>
      </c>
      <c r="D4905" t="str">
        <f t="shared" si="76"/>
        <v>1828231.431</v>
      </c>
      <c r="E4905" t="s">
        <v>2654</v>
      </c>
      <c r="F4905" s="242"/>
      <c r="G4905"/>
      <c r="H4905" s="242">
        <v>23700</v>
      </c>
      <c r="I4905" s="242">
        <v>23007</v>
      </c>
      <c r="J4905"/>
    </row>
    <row r="4906" spans="1:10">
      <c r="A4906" t="s">
        <v>1668</v>
      </c>
      <c r="B4906">
        <v>828231</v>
      </c>
      <c r="C4906">
        <v>1</v>
      </c>
      <c r="D4906" t="str">
        <f t="shared" si="76"/>
        <v>1828231.432</v>
      </c>
      <c r="E4906" t="s">
        <v>2687</v>
      </c>
      <c r="F4906" s="242"/>
      <c r="G4906"/>
      <c r="H4906" s="242">
        <v>3000</v>
      </c>
      <c r="I4906" s="242">
        <v>3809</v>
      </c>
      <c r="J4906"/>
    </row>
    <row r="4907" spans="1:10">
      <c r="A4907" t="s">
        <v>1678</v>
      </c>
      <c r="B4907">
        <v>828231</v>
      </c>
      <c r="C4907">
        <v>1</v>
      </c>
      <c r="D4907" t="str">
        <f t="shared" si="76"/>
        <v>1828231.434</v>
      </c>
      <c r="E4907" t="s">
        <v>2753</v>
      </c>
      <c r="F4907" s="242"/>
      <c r="G4907"/>
      <c r="H4907" s="242">
        <v>76000</v>
      </c>
      <c r="I4907" s="242">
        <v>52211</v>
      </c>
      <c r="J4907"/>
    </row>
    <row r="4908" spans="1:10">
      <c r="A4908" t="s">
        <v>2606</v>
      </c>
      <c r="B4908">
        <v>828231</v>
      </c>
      <c r="C4908">
        <v>1</v>
      </c>
      <c r="D4908" t="str">
        <f t="shared" si="76"/>
        <v>1828231.440</v>
      </c>
      <c r="E4908" t="s">
        <v>3563</v>
      </c>
      <c r="F4908" s="242"/>
      <c r="G4908"/>
      <c r="H4908" s="242">
        <v>3400</v>
      </c>
      <c r="I4908" s="242">
        <v>3312</v>
      </c>
      <c r="J4908"/>
    </row>
    <row r="4909" spans="1:10">
      <c r="A4909" t="s">
        <v>2771</v>
      </c>
      <c r="B4909">
        <v>828231</v>
      </c>
      <c r="C4909">
        <v>1</v>
      </c>
      <c r="D4909" t="str">
        <f t="shared" si="76"/>
        <v>1828231.570</v>
      </c>
      <c r="E4909" t="s">
        <v>3564</v>
      </c>
      <c r="F4909" s="242"/>
      <c r="G4909"/>
      <c r="H4909" s="242">
        <v>3700</v>
      </c>
      <c r="I4909" s="242">
        <v>3674</v>
      </c>
      <c r="J4909"/>
    </row>
    <row r="4910" spans="1:10">
      <c r="A4910" t="s">
        <v>2704</v>
      </c>
      <c r="B4910">
        <v>828231</v>
      </c>
      <c r="C4910">
        <v>1</v>
      </c>
      <c r="D4910" t="str">
        <f t="shared" si="76"/>
        <v>1828231.720</v>
      </c>
      <c r="E4910" t="s">
        <v>3565</v>
      </c>
      <c r="F4910" s="242"/>
      <c r="G4910"/>
      <c r="H4910" s="242">
        <v>20000</v>
      </c>
      <c r="I4910" s="242">
        <v>20000</v>
      </c>
      <c r="J4910"/>
    </row>
    <row r="4911" spans="1:10">
      <c r="A4911" t="s">
        <v>673</v>
      </c>
      <c r="B4911">
        <v>828231</v>
      </c>
      <c r="C4911">
        <v>1</v>
      </c>
      <c r="D4911" t="str">
        <f t="shared" si="76"/>
        <v>1828231.743</v>
      </c>
      <c r="E4911" t="s">
        <v>2622</v>
      </c>
      <c r="F4911" s="242"/>
      <c r="G4911"/>
      <c r="H4911" s="242">
        <v>8500</v>
      </c>
      <c r="I4911" s="242">
        <v>4665</v>
      </c>
      <c r="J4911"/>
    </row>
    <row r="4912" spans="1:10">
      <c r="A4912" t="s">
        <v>776</v>
      </c>
      <c r="B4912">
        <v>828231</v>
      </c>
      <c r="C4912">
        <v>1</v>
      </c>
      <c r="D4912" t="str">
        <f t="shared" si="76"/>
        <v>1828231.752</v>
      </c>
      <c r="E4912" t="s">
        <v>3156</v>
      </c>
      <c r="F4912" s="242"/>
      <c r="G4912"/>
      <c r="H4912" s="242">
        <v>5000</v>
      </c>
      <c r="I4912" s="242">
        <v>0</v>
      </c>
      <c r="J4912"/>
    </row>
    <row r="4913" spans="1:10">
      <c r="A4913" t="s">
        <v>781</v>
      </c>
      <c r="B4913">
        <v>828231</v>
      </c>
      <c r="C4913">
        <v>1</v>
      </c>
      <c r="D4913" t="str">
        <f t="shared" si="76"/>
        <v>1828231.753</v>
      </c>
      <c r="E4913" t="s">
        <v>2707</v>
      </c>
      <c r="F4913" s="242"/>
      <c r="G4913"/>
      <c r="H4913" s="242">
        <v>10000</v>
      </c>
      <c r="I4913" s="242">
        <v>0</v>
      </c>
      <c r="J4913"/>
    </row>
    <row r="4914" spans="1:10">
      <c r="A4914" t="s">
        <v>2603</v>
      </c>
      <c r="B4914">
        <v>828231</v>
      </c>
      <c r="C4914">
        <v>1</v>
      </c>
      <c r="D4914" t="str">
        <f t="shared" si="76"/>
        <v>1828231.759</v>
      </c>
      <c r="E4914" t="s">
        <v>2642</v>
      </c>
      <c r="F4914" s="242"/>
      <c r="G4914"/>
      <c r="H4914" s="242">
        <v>13000</v>
      </c>
      <c r="I4914" s="242">
        <v>9950</v>
      </c>
      <c r="J4914"/>
    </row>
    <row r="4915" spans="1:10">
      <c r="A4915" t="s">
        <v>877</v>
      </c>
      <c r="B4915">
        <v>828231</v>
      </c>
      <c r="C4915">
        <v>1</v>
      </c>
      <c r="D4915" t="str">
        <f t="shared" si="76"/>
        <v>1828231.782</v>
      </c>
      <c r="E4915" t="s">
        <v>3566</v>
      </c>
      <c r="F4915" s="242"/>
      <c r="G4915"/>
      <c r="H4915" s="242">
        <v>19000</v>
      </c>
      <c r="I4915" s="242">
        <v>18002</v>
      </c>
      <c r="J4915"/>
    </row>
    <row r="4916" spans="1:10">
      <c r="A4916" t="s">
        <v>2674</v>
      </c>
      <c r="B4916">
        <v>828231</v>
      </c>
      <c r="C4916">
        <v>1</v>
      </c>
      <c r="D4916" t="str">
        <f t="shared" si="76"/>
        <v>1828231.783</v>
      </c>
      <c r="E4916" t="s">
        <v>3567</v>
      </c>
      <c r="F4916" s="242"/>
      <c r="G4916"/>
      <c r="H4916" s="242">
        <v>5000</v>
      </c>
      <c r="I4916" s="242">
        <v>0</v>
      </c>
      <c r="J4916"/>
    </row>
    <row r="4917" spans="1:10">
      <c r="A4917" t="s">
        <v>2403</v>
      </c>
      <c r="B4917">
        <v>828240</v>
      </c>
      <c r="C4917">
        <v>1</v>
      </c>
      <c r="D4917" t="str">
        <f t="shared" si="76"/>
        <v>1828240.110</v>
      </c>
      <c r="E4917" t="s">
        <v>2573</v>
      </c>
      <c r="F4917" s="242"/>
      <c r="G4917"/>
      <c r="H4917" s="242">
        <v>673274</v>
      </c>
      <c r="I4917" s="242">
        <v>640485</v>
      </c>
      <c r="J4917"/>
    </row>
    <row r="4918" spans="1:10">
      <c r="A4918" t="s">
        <v>2404</v>
      </c>
      <c r="B4918">
        <v>828240</v>
      </c>
      <c r="C4918">
        <v>1</v>
      </c>
      <c r="D4918" t="str">
        <f t="shared" si="76"/>
        <v>1828240.120</v>
      </c>
      <c r="E4918" t="s">
        <v>2574</v>
      </c>
      <c r="F4918" s="242"/>
      <c r="G4918"/>
      <c r="H4918" s="242">
        <v>77394</v>
      </c>
      <c r="I4918" s="242">
        <v>72499</v>
      </c>
      <c r="J4918"/>
    </row>
    <row r="4919" spans="1:10">
      <c r="A4919" t="s">
        <v>2575</v>
      </c>
      <c r="B4919">
        <v>828240</v>
      </c>
      <c r="C4919">
        <v>1</v>
      </c>
      <c r="D4919" t="str">
        <f t="shared" si="76"/>
        <v>1828240.130</v>
      </c>
      <c r="E4919" t="s">
        <v>2576</v>
      </c>
      <c r="F4919" s="242"/>
      <c r="G4919"/>
      <c r="H4919" s="242">
        <v>3424</v>
      </c>
      <c r="I4919" s="242">
        <v>2891</v>
      </c>
      <c r="J4919"/>
    </row>
    <row r="4920" spans="1:10">
      <c r="A4920" t="s">
        <v>2577</v>
      </c>
      <c r="B4920">
        <v>828240</v>
      </c>
      <c r="C4920">
        <v>1</v>
      </c>
      <c r="D4920" t="str">
        <f t="shared" si="76"/>
        <v>1828240.140</v>
      </c>
      <c r="E4920" t="s">
        <v>2578</v>
      </c>
      <c r="F4920" s="242"/>
      <c r="G4920"/>
      <c r="H4920" s="242">
        <v>174695</v>
      </c>
      <c r="I4920" s="242">
        <v>165598</v>
      </c>
      <c r="J4920"/>
    </row>
    <row r="4921" spans="1:10">
      <c r="A4921" t="s">
        <v>2579</v>
      </c>
      <c r="B4921">
        <v>828240</v>
      </c>
      <c r="C4921">
        <v>1</v>
      </c>
      <c r="D4921" t="str">
        <f t="shared" si="76"/>
        <v>1828240.181</v>
      </c>
      <c r="E4921" t="s">
        <v>2580</v>
      </c>
      <c r="F4921" s="242"/>
      <c r="G4921"/>
      <c r="H4921" s="242">
        <v>157273</v>
      </c>
      <c r="I4921" s="242">
        <v>152641</v>
      </c>
      <c r="J4921"/>
    </row>
    <row r="4922" spans="1:10">
      <c r="A4922" t="s">
        <v>2581</v>
      </c>
      <c r="B4922">
        <v>828240</v>
      </c>
      <c r="C4922">
        <v>1</v>
      </c>
      <c r="D4922" t="str">
        <f t="shared" si="76"/>
        <v>1828240.182</v>
      </c>
      <c r="E4922" t="s">
        <v>2582</v>
      </c>
      <c r="F4922" s="242"/>
      <c r="G4922"/>
      <c r="H4922" s="242">
        <v>70366</v>
      </c>
      <c r="I4922" s="242">
        <v>66742</v>
      </c>
      <c r="J4922"/>
    </row>
    <row r="4923" spans="1:10">
      <c r="A4923" t="s">
        <v>2652</v>
      </c>
      <c r="B4923">
        <v>828240</v>
      </c>
      <c r="C4923">
        <v>1</v>
      </c>
      <c r="D4923" t="str">
        <f t="shared" si="76"/>
        <v>1828240.420</v>
      </c>
      <c r="E4923" t="s">
        <v>2653</v>
      </c>
      <c r="F4923" s="242"/>
      <c r="G4923"/>
      <c r="H4923" s="242">
        <v>14000</v>
      </c>
      <c r="I4923" s="242">
        <v>10415</v>
      </c>
      <c r="J4923"/>
    </row>
    <row r="4924" spans="1:10">
      <c r="A4924" t="s">
        <v>2286</v>
      </c>
      <c r="B4924">
        <v>828240</v>
      </c>
      <c r="C4924">
        <v>1</v>
      </c>
      <c r="D4924" t="str">
        <f t="shared" si="76"/>
        <v>1828240.511</v>
      </c>
      <c r="E4924" t="s">
        <v>2584</v>
      </c>
      <c r="F4924" s="242"/>
      <c r="G4924"/>
      <c r="H4924" s="242">
        <v>2000</v>
      </c>
      <c r="I4924" s="242">
        <v>1957</v>
      </c>
      <c r="J4924"/>
    </row>
    <row r="4925" spans="1:10">
      <c r="A4925" t="s">
        <v>2594</v>
      </c>
      <c r="B4925">
        <v>828240</v>
      </c>
      <c r="C4925">
        <v>1</v>
      </c>
      <c r="D4925" t="str">
        <f t="shared" si="76"/>
        <v>1828240.540</v>
      </c>
      <c r="E4925" t="s">
        <v>2595</v>
      </c>
      <c r="F4925" s="242"/>
      <c r="G4925"/>
      <c r="H4925" s="242">
        <v>18000</v>
      </c>
      <c r="I4925" s="242">
        <v>17105</v>
      </c>
      <c r="J4925"/>
    </row>
    <row r="4926" spans="1:10">
      <c r="A4926" t="s">
        <v>2598</v>
      </c>
      <c r="B4926">
        <v>828240</v>
      </c>
      <c r="C4926">
        <v>1</v>
      </c>
      <c r="D4926" t="str">
        <f t="shared" si="76"/>
        <v>1828240.561</v>
      </c>
      <c r="E4926" t="s">
        <v>2599</v>
      </c>
      <c r="F4926" s="242"/>
      <c r="G4926"/>
      <c r="H4926" s="242">
        <v>2000</v>
      </c>
      <c r="I4926" s="242">
        <v>0</v>
      </c>
      <c r="J4926"/>
    </row>
    <row r="4927" spans="1:10">
      <c r="A4927" t="s">
        <v>2771</v>
      </c>
      <c r="B4927">
        <v>828240</v>
      </c>
      <c r="C4927">
        <v>1</v>
      </c>
      <c r="D4927" t="str">
        <f t="shared" si="76"/>
        <v>1828240.570</v>
      </c>
      <c r="E4927" t="s">
        <v>3543</v>
      </c>
      <c r="F4927" s="242"/>
      <c r="G4927"/>
      <c r="H4927" s="242">
        <v>3700</v>
      </c>
      <c r="I4927" s="242">
        <v>3674</v>
      </c>
      <c r="J4927"/>
    </row>
    <row r="4928" spans="1:10">
      <c r="A4928" t="s">
        <v>673</v>
      </c>
      <c r="B4928">
        <v>828240</v>
      </c>
      <c r="C4928">
        <v>1</v>
      </c>
      <c r="D4928" t="str">
        <f t="shared" si="76"/>
        <v>1828240.743</v>
      </c>
      <c r="E4928" t="s">
        <v>2622</v>
      </c>
      <c r="F4928" s="242"/>
      <c r="G4928"/>
      <c r="H4928" s="242">
        <v>19000</v>
      </c>
      <c r="I4928" s="242">
        <v>6375</v>
      </c>
      <c r="J4928"/>
    </row>
    <row r="4929" spans="1:10">
      <c r="A4929" t="s">
        <v>2632</v>
      </c>
      <c r="B4929">
        <v>828240</v>
      </c>
      <c r="C4929">
        <v>1</v>
      </c>
      <c r="D4929" t="str">
        <f t="shared" si="76"/>
        <v>1828240.780</v>
      </c>
      <c r="E4929" t="s">
        <v>2633</v>
      </c>
      <c r="F4929" s="242"/>
      <c r="G4929"/>
      <c r="H4929" s="242">
        <v>10000</v>
      </c>
      <c r="I4929" s="242">
        <v>8134</v>
      </c>
      <c r="J4929"/>
    </row>
    <row r="4930" spans="1:10">
      <c r="A4930" t="s">
        <v>2850</v>
      </c>
      <c r="B4930">
        <v>828240</v>
      </c>
      <c r="C4930">
        <v>1</v>
      </c>
      <c r="D4930" t="str">
        <f t="shared" si="76"/>
        <v>1828240.786</v>
      </c>
      <c r="E4930" t="s">
        <v>3541</v>
      </c>
      <c r="F4930" s="242"/>
      <c r="G4930"/>
      <c r="H4930" s="242">
        <v>60000</v>
      </c>
      <c r="I4930" s="242">
        <v>0</v>
      </c>
      <c r="J4930"/>
    </row>
    <row r="4931" spans="1:10">
      <c r="A4931" t="s">
        <v>2403</v>
      </c>
      <c r="B4931">
        <v>828250</v>
      </c>
      <c r="C4931">
        <v>1</v>
      </c>
      <c r="D4931" t="str">
        <f t="shared" ref="D4931:D4994" si="77">C4931&amp;B4931&amp;"."&amp;A4931</f>
        <v>1828250.110</v>
      </c>
      <c r="E4931" t="s">
        <v>2573</v>
      </c>
      <c r="F4931" s="242"/>
      <c r="G4931"/>
      <c r="H4931" s="242">
        <v>120306</v>
      </c>
      <c r="I4931" s="242">
        <v>111115</v>
      </c>
      <c r="J4931"/>
    </row>
    <row r="4932" spans="1:10">
      <c r="A4932" t="s">
        <v>2404</v>
      </c>
      <c r="B4932">
        <v>828250</v>
      </c>
      <c r="C4932">
        <v>1</v>
      </c>
      <c r="D4932" t="str">
        <f t="shared" si="77"/>
        <v>1828250.120</v>
      </c>
      <c r="E4932" t="s">
        <v>2574</v>
      </c>
      <c r="F4932" s="242"/>
      <c r="G4932"/>
      <c r="H4932" s="242">
        <v>0</v>
      </c>
      <c r="I4932" s="242">
        <v>0</v>
      </c>
      <c r="J4932"/>
    </row>
    <row r="4933" spans="1:10">
      <c r="A4933" t="s">
        <v>2575</v>
      </c>
      <c r="B4933">
        <v>828250</v>
      </c>
      <c r="C4933">
        <v>1</v>
      </c>
      <c r="D4933" t="str">
        <f t="shared" si="77"/>
        <v>1828250.130</v>
      </c>
      <c r="E4933" t="s">
        <v>2576</v>
      </c>
      <c r="F4933" s="242"/>
      <c r="G4933"/>
      <c r="H4933" s="242">
        <v>0</v>
      </c>
      <c r="I4933" s="242">
        <v>0</v>
      </c>
      <c r="J4933"/>
    </row>
    <row r="4934" spans="1:10">
      <c r="A4934" t="s">
        <v>2577</v>
      </c>
      <c r="B4934">
        <v>828250</v>
      </c>
      <c r="C4934">
        <v>1</v>
      </c>
      <c r="D4934" t="str">
        <f t="shared" si="77"/>
        <v>1828250.140</v>
      </c>
      <c r="E4934" t="s">
        <v>2578</v>
      </c>
      <c r="F4934" s="242"/>
      <c r="G4934"/>
      <c r="H4934" s="242">
        <v>1961</v>
      </c>
      <c r="I4934" s="242">
        <v>5388</v>
      </c>
      <c r="J4934"/>
    </row>
    <row r="4935" spans="1:10">
      <c r="A4935" t="s">
        <v>2579</v>
      </c>
      <c r="B4935">
        <v>828250</v>
      </c>
      <c r="C4935">
        <v>1</v>
      </c>
      <c r="D4935" t="str">
        <f t="shared" si="77"/>
        <v>1828250.181</v>
      </c>
      <c r="E4935" t="s">
        <v>2580</v>
      </c>
      <c r="F4935" s="242"/>
      <c r="G4935"/>
      <c r="H4935" s="242">
        <v>31005</v>
      </c>
      <c r="I4935" s="242">
        <v>28229</v>
      </c>
      <c r="J4935"/>
    </row>
    <row r="4936" spans="1:10">
      <c r="A4936" t="s">
        <v>2581</v>
      </c>
      <c r="B4936">
        <v>828250</v>
      </c>
      <c r="C4936">
        <v>1</v>
      </c>
      <c r="D4936" t="str">
        <f t="shared" si="77"/>
        <v>1828250.182</v>
      </c>
      <c r="E4936" t="s">
        <v>2582</v>
      </c>
      <c r="F4936" s="242"/>
      <c r="G4936"/>
      <c r="H4936" s="242">
        <v>9262</v>
      </c>
      <c r="I4936" s="242">
        <v>8822</v>
      </c>
      <c r="J4936"/>
    </row>
    <row r="4937" spans="1:10">
      <c r="A4937" t="s">
        <v>2632</v>
      </c>
      <c r="B4937">
        <v>828250</v>
      </c>
      <c r="C4937">
        <v>1</v>
      </c>
      <c r="D4937" t="str">
        <f t="shared" si="77"/>
        <v>1828250.780</v>
      </c>
      <c r="E4937" t="s">
        <v>3559</v>
      </c>
      <c r="F4937" s="242"/>
      <c r="G4937"/>
      <c r="H4937" s="242">
        <v>230000</v>
      </c>
      <c r="I4937" s="242">
        <v>154795</v>
      </c>
      <c r="J4937"/>
    </row>
    <row r="4938" spans="1:10">
      <c r="A4938" t="s">
        <v>776</v>
      </c>
      <c r="B4938">
        <v>828400</v>
      </c>
      <c r="C4938">
        <v>1</v>
      </c>
      <c r="D4938" t="str">
        <f t="shared" si="77"/>
        <v>1828400.752</v>
      </c>
      <c r="E4938" t="s">
        <v>3536</v>
      </c>
      <c r="F4938" s="242"/>
      <c r="G4938"/>
      <c r="H4938" s="242">
        <v>400000</v>
      </c>
      <c r="I4938" s="242">
        <v>400000</v>
      </c>
      <c r="J4938"/>
    </row>
    <row r="4939" spans="1:10">
      <c r="A4939" t="s">
        <v>781</v>
      </c>
      <c r="B4939">
        <v>828400</v>
      </c>
      <c r="C4939">
        <v>1</v>
      </c>
      <c r="D4939" t="str">
        <f t="shared" si="77"/>
        <v>1828400.753</v>
      </c>
      <c r="E4939" t="s">
        <v>3537</v>
      </c>
      <c r="F4939" s="242"/>
      <c r="G4939"/>
      <c r="H4939" s="242">
        <v>27000</v>
      </c>
      <c r="I4939" s="242">
        <v>9800</v>
      </c>
      <c r="J4939"/>
    </row>
    <row r="4940" spans="1:10">
      <c r="A4940" t="s">
        <v>2652</v>
      </c>
      <c r="B4940">
        <v>828500</v>
      </c>
      <c r="C4940">
        <v>1</v>
      </c>
      <c r="D4940" t="str">
        <f t="shared" si="77"/>
        <v>1828500.420</v>
      </c>
      <c r="E4940" t="s">
        <v>2653</v>
      </c>
      <c r="F4940" s="242"/>
      <c r="G4940"/>
      <c r="H4940" s="242">
        <v>19000</v>
      </c>
      <c r="I4940" s="242">
        <v>19000</v>
      </c>
      <c r="J4940"/>
    </row>
    <row r="4941" spans="1:10">
      <c r="A4941" t="s">
        <v>1663</v>
      </c>
      <c r="B4941">
        <v>828500</v>
      </c>
      <c r="C4941">
        <v>1</v>
      </c>
      <c r="D4941" t="str">
        <f t="shared" si="77"/>
        <v>1828500.431</v>
      </c>
      <c r="E4941" t="s">
        <v>2654</v>
      </c>
      <c r="F4941" s="242"/>
      <c r="G4941"/>
      <c r="H4941" s="242">
        <v>15000</v>
      </c>
      <c r="I4941" s="242">
        <v>0</v>
      </c>
      <c r="J4941"/>
    </row>
    <row r="4942" spans="1:10">
      <c r="A4942" t="s">
        <v>1678</v>
      </c>
      <c r="B4942">
        <v>828500</v>
      </c>
      <c r="C4942">
        <v>1</v>
      </c>
      <c r="D4942" t="str">
        <f t="shared" si="77"/>
        <v>1828500.434</v>
      </c>
      <c r="E4942" t="s">
        <v>2656</v>
      </c>
      <c r="F4942" s="242"/>
      <c r="G4942"/>
      <c r="H4942" s="242">
        <v>22000</v>
      </c>
      <c r="I4942" s="242">
        <v>17346</v>
      </c>
      <c r="J4942"/>
    </row>
    <row r="4943" spans="1:10">
      <c r="A4943" t="s">
        <v>673</v>
      </c>
      <c r="B4943">
        <v>828500</v>
      </c>
      <c r="C4943">
        <v>1</v>
      </c>
      <c r="D4943" t="str">
        <f t="shared" si="77"/>
        <v>1828500.743</v>
      </c>
      <c r="E4943" t="s">
        <v>2622</v>
      </c>
      <c r="F4943" s="242"/>
      <c r="G4943"/>
      <c r="H4943" s="242">
        <v>9500</v>
      </c>
      <c r="I4943" s="242">
        <v>0</v>
      </c>
      <c r="J4943"/>
    </row>
    <row r="4944" spans="1:10">
      <c r="A4944" t="s">
        <v>2632</v>
      </c>
      <c r="B4944">
        <v>828500</v>
      </c>
      <c r="C4944">
        <v>1</v>
      </c>
      <c r="D4944" t="str">
        <f t="shared" si="77"/>
        <v>1828500.780</v>
      </c>
      <c r="E4944" t="s">
        <v>3428</v>
      </c>
      <c r="F4944" s="242"/>
      <c r="G4944"/>
      <c r="H4944" s="242">
        <v>50000</v>
      </c>
      <c r="I4944" s="242">
        <v>50000</v>
      </c>
      <c r="J4944"/>
    </row>
    <row r="4945" spans="1:10">
      <c r="A4945" t="s">
        <v>2859</v>
      </c>
      <c r="B4945">
        <v>828900</v>
      </c>
      <c r="C4945">
        <v>1</v>
      </c>
      <c r="D4945" t="str">
        <f t="shared" si="77"/>
        <v>1828900.870</v>
      </c>
      <c r="E4945" t="s">
        <v>3557</v>
      </c>
      <c r="F4945" s="242"/>
      <c r="G4945"/>
      <c r="H4945" s="242">
        <v>250000</v>
      </c>
      <c r="I4945" s="242">
        <v>0</v>
      </c>
      <c r="J4945"/>
    </row>
    <row r="4946" spans="1:10">
      <c r="A4946" t="s">
        <v>2403</v>
      </c>
      <c r="B4946">
        <v>829100</v>
      </c>
      <c r="C4946">
        <v>1</v>
      </c>
      <c r="D4946" t="str">
        <f t="shared" si="77"/>
        <v>1829100.110</v>
      </c>
      <c r="E4946" t="s">
        <v>3399</v>
      </c>
      <c r="F4946" s="242"/>
      <c r="G4946"/>
      <c r="H4946" s="242">
        <v>457683</v>
      </c>
      <c r="I4946" s="242">
        <v>447354</v>
      </c>
      <c r="J4946"/>
    </row>
    <row r="4947" spans="1:10">
      <c r="A4947" t="s">
        <v>2404</v>
      </c>
      <c r="B4947">
        <v>829100</v>
      </c>
      <c r="C4947">
        <v>1</v>
      </c>
      <c r="D4947" t="str">
        <f t="shared" si="77"/>
        <v>1829100.120</v>
      </c>
      <c r="E4947" t="s">
        <v>2574</v>
      </c>
      <c r="F4947" s="242"/>
      <c r="G4947"/>
      <c r="H4947" s="242">
        <v>51608</v>
      </c>
      <c r="I4947" s="242">
        <v>51267</v>
      </c>
      <c r="J4947"/>
    </row>
    <row r="4948" spans="1:10">
      <c r="A4948" t="s">
        <v>2575</v>
      </c>
      <c r="B4948">
        <v>829100</v>
      </c>
      <c r="C4948">
        <v>1</v>
      </c>
      <c r="D4948" t="str">
        <f t="shared" si="77"/>
        <v>1829100.130</v>
      </c>
      <c r="E4948" t="s">
        <v>2576</v>
      </c>
      <c r="F4948" s="242"/>
      <c r="G4948"/>
      <c r="H4948" s="242">
        <v>12758</v>
      </c>
      <c r="I4948" s="242">
        <v>12773</v>
      </c>
      <c r="J4948"/>
    </row>
    <row r="4949" spans="1:10">
      <c r="A4949" t="s">
        <v>2577</v>
      </c>
      <c r="B4949">
        <v>829100</v>
      </c>
      <c r="C4949">
        <v>1</v>
      </c>
      <c r="D4949" t="str">
        <f t="shared" si="77"/>
        <v>1829100.140</v>
      </c>
      <c r="E4949" t="s">
        <v>2578</v>
      </c>
      <c r="F4949" s="242"/>
      <c r="G4949"/>
      <c r="H4949" s="242">
        <v>107801</v>
      </c>
      <c r="I4949" s="242">
        <v>114348</v>
      </c>
      <c r="J4949"/>
    </row>
    <row r="4950" spans="1:10">
      <c r="A4950" t="s">
        <v>2579</v>
      </c>
      <c r="B4950">
        <v>829100</v>
      </c>
      <c r="C4950">
        <v>1</v>
      </c>
      <c r="D4950" t="str">
        <f t="shared" si="77"/>
        <v>1829100.181</v>
      </c>
      <c r="E4950" t="s">
        <v>2580</v>
      </c>
      <c r="F4950" s="242"/>
      <c r="G4950"/>
      <c r="H4950" s="242">
        <v>86497</v>
      </c>
      <c r="I4950" s="242">
        <v>86707</v>
      </c>
      <c r="J4950"/>
    </row>
    <row r="4951" spans="1:10">
      <c r="A4951" t="s">
        <v>2581</v>
      </c>
      <c r="B4951">
        <v>829100</v>
      </c>
      <c r="C4951">
        <v>1</v>
      </c>
      <c r="D4951" t="str">
        <f t="shared" si="77"/>
        <v>1829100.182</v>
      </c>
      <c r="E4951" t="s">
        <v>2582</v>
      </c>
      <c r="F4951" s="242"/>
      <c r="G4951"/>
      <c r="H4951" s="242">
        <v>47766</v>
      </c>
      <c r="I4951" s="242">
        <v>47425</v>
      </c>
      <c r="J4951"/>
    </row>
    <row r="4952" spans="1:10">
      <c r="A4952" t="s">
        <v>2594</v>
      </c>
      <c r="B4952">
        <v>829100</v>
      </c>
      <c r="C4952">
        <v>1</v>
      </c>
      <c r="D4952" t="str">
        <f t="shared" si="77"/>
        <v>1829100.540</v>
      </c>
      <c r="E4952" t="s">
        <v>3570</v>
      </c>
      <c r="F4952" s="242"/>
      <c r="G4952"/>
      <c r="H4952" s="242">
        <v>7000</v>
      </c>
      <c r="I4952" s="242">
        <v>5209</v>
      </c>
      <c r="J4952"/>
    </row>
    <row r="4953" spans="1:10">
      <c r="A4953" t="s">
        <v>2598</v>
      </c>
      <c r="B4953">
        <v>829100</v>
      </c>
      <c r="C4953">
        <v>1</v>
      </c>
      <c r="D4953" t="str">
        <f t="shared" si="77"/>
        <v>1829100.561</v>
      </c>
      <c r="E4953" t="s">
        <v>2599</v>
      </c>
      <c r="F4953" s="242"/>
      <c r="G4953"/>
      <c r="H4953" s="242">
        <v>1500</v>
      </c>
      <c r="I4953" s="242">
        <v>1601</v>
      </c>
      <c r="J4953"/>
    </row>
    <row r="4954" spans="1:10">
      <c r="A4954" t="s">
        <v>2632</v>
      </c>
      <c r="B4954">
        <v>829100</v>
      </c>
      <c r="C4954">
        <v>1</v>
      </c>
      <c r="D4954" t="str">
        <f t="shared" si="77"/>
        <v>1829100.780</v>
      </c>
      <c r="E4954" t="s">
        <v>3571</v>
      </c>
      <c r="F4954" s="242"/>
      <c r="G4954"/>
      <c r="H4954" s="242">
        <v>48000</v>
      </c>
      <c r="I4954" s="242">
        <v>0</v>
      </c>
      <c r="J4954"/>
    </row>
    <row r="4955" spans="1:10">
      <c r="A4955" t="s">
        <v>2859</v>
      </c>
      <c r="B4955">
        <v>829200</v>
      </c>
      <c r="C4955">
        <v>1</v>
      </c>
      <c r="D4955" t="str">
        <f t="shared" si="77"/>
        <v>1829200.870</v>
      </c>
      <c r="E4955" t="s">
        <v>3572</v>
      </c>
      <c r="F4955" s="242"/>
      <c r="G4955"/>
      <c r="H4955" s="242">
        <v>0</v>
      </c>
      <c r="I4955" s="242">
        <v>0</v>
      </c>
      <c r="J4955"/>
    </row>
    <row r="4956" spans="1:10">
      <c r="A4956" t="s">
        <v>1663</v>
      </c>
      <c r="B4956">
        <v>829200</v>
      </c>
      <c r="C4956">
        <v>1</v>
      </c>
      <c r="D4956" t="str">
        <f t="shared" si="77"/>
        <v>1829200.431</v>
      </c>
      <c r="E4956" t="s">
        <v>3582</v>
      </c>
      <c r="F4956" s="242"/>
      <c r="G4956"/>
      <c r="H4956" s="242">
        <v>170000</v>
      </c>
      <c r="I4956" s="242">
        <v>160665</v>
      </c>
      <c r="J4956"/>
    </row>
    <row r="4957" spans="1:10">
      <c r="A4957" t="s">
        <v>1668</v>
      </c>
      <c r="B4957">
        <v>829200</v>
      </c>
      <c r="C4957">
        <v>1</v>
      </c>
      <c r="D4957" t="str">
        <f t="shared" si="77"/>
        <v>1829200.432</v>
      </c>
      <c r="E4957" t="s">
        <v>3583</v>
      </c>
      <c r="F4957" s="242"/>
      <c r="G4957"/>
      <c r="H4957" s="242">
        <v>500000</v>
      </c>
      <c r="I4957" s="242">
        <v>512460</v>
      </c>
      <c r="J4957"/>
    </row>
    <row r="4958" spans="1:10">
      <c r="A4958" t="s">
        <v>772</v>
      </c>
      <c r="B4958">
        <v>829200</v>
      </c>
      <c r="C4958">
        <v>1</v>
      </c>
      <c r="D4958" t="str">
        <f t="shared" si="77"/>
        <v>1829200.751</v>
      </c>
      <c r="E4958" t="s">
        <v>3584</v>
      </c>
      <c r="F4958" s="242"/>
      <c r="G4958"/>
      <c r="H4958" s="242">
        <v>170000</v>
      </c>
      <c r="I4958" s="242">
        <v>170000</v>
      </c>
      <c r="J4958"/>
    </row>
    <row r="4959" spans="1:10">
      <c r="A4959" t="s">
        <v>776</v>
      </c>
      <c r="B4959">
        <v>829200</v>
      </c>
      <c r="C4959">
        <v>1</v>
      </c>
      <c r="D4959" t="str">
        <f t="shared" si="77"/>
        <v>1829200.752</v>
      </c>
      <c r="E4959" t="s">
        <v>3585</v>
      </c>
      <c r="F4959" s="242"/>
      <c r="G4959"/>
      <c r="H4959" s="242">
        <v>120000</v>
      </c>
      <c r="I4959" s="242">
        <v>30000</v>
      </c>
      <c r="J4959"/>
    </row>
    <row r="4960" spans="1:10">
      <c r="A4960" t="s">
        <v>781</v>
      </c>
      <c r="B4960">
        <v>829200</v>
      </c>
      <c r="C4960">
        <v>1</v>
      </c>
      <c r="D4960" t="str">
        <f t="shared" si="77"/>
        <v>1829200.753</v>
      </c>
      <c r="E4960" t="s">
        <v>3586</v>
      </c>
      <c r="F4960" s="242"/>
      <c r="G4960"/>
      <c r="H4960" s="242">
        <v>222000</v>
      </c>
      <c r="I4960" s="242">
        <v>222000</v>
      </c>
      <c r="J4960"/>
    </row>
    <row r="4961" spans="1:10">
      <c r="A4961" t="s">
        <v>786</v>
      </c>
      <c r="B4961">
        <v>829200</v>
      </c>
      <c r="C4961">
        <v>1</v>
      </c>
      <c r="D4961" t="str">
        <f t="shared" si="77"/>
        <v>1829200.754</v>
      </c>
      <c r="E4961" t="s">
        <v>3587</v>
      </c>
      <c r="F4961" s="242"/>
      <c r="G4961"/>
      <c r="H4961" s="242">
        <v>150000</v>
      </c>
      <c r="I4961" s="242">
        <v>150000</v>
      </c>
      <c r="J4961"/>
    </row>
    <row r="4962" spans="1:10">
      <c r="A4962" t="s">
        <v>772</v>
      </c>
      <c r="B4962">
        <v>829210</v>
      </c>
      <c r="C4962">
        <v>1</v>
      </c>
      <c r="D4962" t="str">
        <f t="shared" si="77"/>
        <v>1829210.751</v>
      </c>
      <c r="E4962" t="s">
        <v>3588</v>
      </c>
      <c r="F4962" s="242"/>
      <c r="G4962"/>
      <c r="H4962" s="242">
        <v>65000</v>
      </c>
      <c r="I4962" s="242">
        <v>65000</v>
      </c>
      <c r="J4962"/>
    </row>
    <row r="4963" spans="1:10">
      <c r="A4963" t="s">
        <v>1663</v>
      </c>
      <c r="B4963">
        <v>829220</v>
      </c>
      <c r="C4963">
        <v>1</v>
      </c>
      <c r="D4963" t="str">
        <f t="shared" si="77"/>
        <v>1829220.431</v>
      </c>
      <c r="E4963" t="s">
        <v>3589</v>
      </c>
      <c r="F4963" s="242"/>
      <c r="G4963"/>
      <c r="H4963" s="242">
        <v>13500</v>
      </c>
      <c r="I4963" s="242">
        <v>16302</v>
      </c>
      <c r="J4963"/>
    </row>
    <row r="4964" spans="1:10">
      <c r="A4964" t="s">
        <v>1668</v>
      </c>
      <c r="B4964">
        <v>829220</v>
      </c>
      <c r="C4964">
        <v>1</v>
      </c>
      <c r="D4964" t="str">
        <f t="shared" si="77"/>
        <v>1829220.432</v>
      </c>
      <c r="E4964" t="s">
        <v>3590</v>
      </c>
      <c r="F4964" s="242"/>
      <c r="G4964"/>
      <c r="H4964" s="242">
        <v>165500</v>
      </c>
      <c r="I4964" s="242">
        <v>183742</v>
      </c>
      <c r="J4964"/>
    </row>
    <row r="4965" spans="1:10">
      <c r="A4965" t="s">
        <v>2606</v>
      </c>
      <c r="B4965">
        <v>829220</v>
      </c>
      <c r="C4965">
        <v>1</v>
      </c>
      <c r="D4965" t="str">
        <f t="shared" si="77"/>
        <v>1829220.440</v>
      </c>
      <c r="E4965" t="s">
        <v>3591</v>
      </c>
      <c r="F4965" s="242"/>
      <c r="G4965"/>
      <c r="H4965" s="242">
        <v>1800</v>
      </c>
      <c r="I4965" s="242">
        <v>1706</v>
      </c>
      <c r="J4965"/>
    </row>
    <row r="4966" spans="1:10">
      <c r="A4966" t="s">
        <v>772</v>
      </c>
      <c r="B4966">
        <v>829220</v>
      </c>
      <c r="C4966">
        <v>1</v>
      </c>
      <c r="D4966" t="str">
        <f t="shared" si="77"/>
        <v>1829220.751</v>
      </c>
      <c r="E4966" t="s">
        <v>3592</v>
      </c>
      <c r="F4966" s="242"/>
      <c r="G4966"/>
      <c r="H4966" s="242">
        <v>65000</v>
      </c>
      <c r="I4966" s="242">
        <v>65000</v>
      </c>
      <c r="J4966"/>
    </row>
    <row r="4967" spans="1:10">
      <c r="A4967" t="s">
        <v>1663</v>
      </c>
      <c r="B4967">
        <v>829230</v>
      </c>
      <c r="C4967">
        <v>1</v>
      </c>
      <c r="D4967" t="str">
        <f t="shared" si="77"/>
        <v>1829230.431</v>
      </c>
      <c r="E4967" t="s">
        <v>3593</v>
      </c>
      <c r="F4967" s="242"/>
      <c r="G4967"/>
      <c r="H4967" s="242">
        <v>60000</v>
      </c>
      <c r="I4967" s="242">
        <v>56503</v>
      </c>
      <c r="J4967"/>
    </row>
    <row r="4968" spans="1:10">
      <c r="A4968" t="s">
        <v>2606</v>
      </c>
      <c r="B4968">
        <v>829230</v>
      </c>
      <c r="C4968">
        <v>1</v>
      </c>
      <c r="D4968" t="str">
        <f t="shared" si="77"/>
        <v>1829230.440</v>
      </c>
      <c r="E4968" t="s">
        <v>3594</v>
      </c>
      <c r="F4968" s="242"/>
      <c r="G4968"/>
      <c r="H4968" s="242">
        <v>1800</v>
      </c>
      <c r="I4968" s="242">
        <v>1706</v>
      </c>
      <c r="J4968"/>
    </row>
    <row r="4969" spans="1:10">
      <c r="A4969" t="s">
        <v>772</v>
      </c>
      <c r="B4969">
        <v>829230</v>
      </c>
      <c r="C4969">
        <v>1</v>
      </c>
      <c r="D4969" t="str">
        <f t="shared" si="77"/>
        <v>1829230.751</v>
      </c>
      <c r="E4969" t="s">
        <v>3595</v>
      </c>
      <c r="F4969" s="242"/>
      <c r="G4969"/>
      <c r="H4969" s="242">
        <v>65000</v>
      </c>
      <c r="I4969" s="242">
        <v>65000</v>
      </c>
      <c r="J4969"/>
    </row>
    <row r="4970" spans="1:10">
      <c r="A4970" t="s">
        <v>1668</v>
      </c>
      <c r="B4970">
        <v>829231</v>
      </c>
      <c r="C4970">
        <v>1</v>
      </c>
      <c r="D4970" t="str">
        <f t="shared" si="77"/>
        <v>1829231.432</v>
      </c>
      <c r="E4970" t="s">
        <v>3596</v>
      </c>
      <c r="F4970" s="242"/>
      <c r="G4970"/>
      <c r="H4970" s="242">
        <v>0</v>
      </c>
      <c r="I4970" s="242">
        <v>0</v>
      </c>
      <c r="J4970"/>
    </row>
    <row r="4971" spans="1:10">
      <c r="A4971" t="s">
        <v>772</v>
      </c>
      <c r="B4971">
        <v>829240</v>
      </c>
      <c r="C4971">
        <v>1</v>
      </c>
      <c r="D4971" t="str">
        <f t="shared" si="77"/>
        <v>1829240.751</v>
      </c>
      <c r="E4971" t="s">
        <v>3597</v>
      </c>
      <c r="F4971" s="242"/>
      <c r="G4971"/>
      <c r="H4971" s="242">
        <v>125000</v>
      </c>
      <c r="I4971" s="242">
        <v>125000</v>
      </c>
      <c r="J4971"/>
    </row>
    <row r="4972" spans="1:10">
      <c r="A4972" t="s">
        <v>1663</v>
      </c>
      <c r="B4972">
        <v>829250</v>
      </c>
      <c r="C4972">
        <v>1</v>
      </c>
      <c r="D4972" t="str">
        <f t="shared" si="77"/>
        <v>1829250.431</v>
      </c>
      <c r="E4972" t="s">
        <v>3598</v>
      </c>
      <c r="F4972" s="242"/>
      <c r="G4972"/>
      <c r="H4972" s="242">
        <v>25000</v>
      </c>
      <c r="I4972" s="242">
        <v>24872</v>
      </c>
      <c r="J4972"/>
    </row>
    <row r="4973" spans="1:10">
      <c r="A4973" t="s">
        <v>1668</v>
      </c>
      <c r="B4973">
        <v>829250</v>
      </c>
      <c r="C4973">
        <v>1</v>
      </c>
      <c r="D4973" t="str">
        <f t="shared" si="77"/>
        <v>1829250.432</v>
      </c>
      <c r="E4973" t="s">
        <v>3599</v>
      </c>
      <c r="F4973" s="242"/>
      <c r="G4973"/>
      <c r="H4973" s="242">
        <v>169100</v>
      </c>
      <c r="I4973" s="242">
        <v>115378</v>
      </c>
      <c r="J4973"/>
    </row>
    <row r="4974" spans="1:10">
      <c r="A4974" t="s">
        <v>2606</v>
      </c>
      <c r="B4974">
        <v>829250</v>
      </c>
      <c r="C4974">
        <v>1</v>
      </c>
      <c r="D4974" t="str">
        <f t="shared" si="77"/>
        <v>1829250.440</v>
      </c>
      <c r="E4974" t="s">
        <v>3600</v>
      </c>
      <c r="F4974" s="242"/>
      <c r="G4974"/>
      <c r="H4974" s="242">
        <v>1800</v>
      </c>
      <c r="I4974" s="242">
        <v>1706</v>
      </c>
      <c r="J4974"/>
    </row>
    <row r="4975" spans="1:10">
      <c r="A4975" t="s">
        <v>772</v>
      </c>
      <c r="B4975">
        <v>829250</v>
      </c>
      <c r="C4975">
        <v>1</v>
      </c>
      <c r="D4975" t="str">
        <f t="shared" si="77"/>
        <v>1829250.751</v>
      </c>
      <c r="E4975" t="s">
        <v>3601</v>
      </c>
      <c r="F4975" s="242"/>
      <c r="G4975"/>
      <c r="H4975" s="242">
        <v>65000</v>
      </c>
      <c r="I4975" s="242">
        <v>65000</v>
      </c>
      <c r="J4975"/>
    </row>
    <row r="4976" spans="1:10">
      <c r="A4976" t="s">
        <v>772</v>
      </c>
      <c r="B4976">
        <v>829270</v>
      </c>
      <c r="C4976">
        <v>1</v>
      </c>
      <c r="D4976" t="str">
        <f t="shared" si="77"/>
        <v>1829270.751</v>
      </c>
      <c r="E4976" t="s">
        <v>3602</v>
      </c>
      <c r="F4976" s="242"/>
      <c r="G4976"/>
      <c r="H4976" s="242">
        <v>65000</v>
      </c>
      <c r="I4976" s="242">
        <v>65000</v>
      </c>
      <c r="J4976"/>
    </row>
    <row r="4977" spans="1:10">
      <c r="A4977" t="s">
        <v>1663</v>
      </c>
      <c r="B4977">
        <v>829280</v>
      </c>
      <c r="C4977">
        <v>1</v>
      </c>
      <c r="D4977" t="str">
        <f t="shared" si="77"/>
        <v>1829280.431</v>
      </c>
      <c r="E4977" t="s">
        <v>3603</v>
      </c>
      <c r="F4977" s="242"/>
      <c r="G4977"/>
      <c r="H4977" s="242">
        <v>210000</v>
      </c>
      <c r="I4977" s="242">
        <v>206483</v>
      </c>
      <c r="J4977"/>
    </row>
    <row r="4978" spans="1:10">
      <c r="A4978" t="s">
        <v>1668</v>
      </c>
      <c r="B4978">
        <v>829280</v>
      </c>
      <c r="C4978">
        <v>1</v>
      </c>
      <c r="D4978" t="str">
        <f t="shared" si="77"/>
        <v>1829280.432</v>
      </c>
      <c r="E4978" t="s">
        <v>3604</v>
      </c>
      <c r="F4978" s="242"/>
      <c r="G4978"/>
      <c r="H4978" s="242">
        <v>900000</v>
      </c>
      <c r="I4978" s="242">
        <v>930274</v>
      </c>
      <c r="J4978"/>
    </row>
    <row r="4979" spans="1:10">
      <c r="A4979" t="s">
        <v>781</v>
      </c>
      <c r="B4979">
        <v>829280</v>
      </c>
      <c r="C4979">
        <v>1</v>
      </c>
      <c r="D4979" t="str">
        <f t="shared" si="77"/>
        <v>1829280.753</v>
      </c>
      <c r="E4979" t="s">
        <v>3605</v>
      </c>
      <c r="F4979" s="242"/>
      <c r="G4979"/>
      <c r="H4979" s="242">
        <v>406000</v>
      </c>
      <c r="I4979" s="242">
        <v>406000</v>
      </c>
      <c r="J4979"/>
    </row>
    <row r="4980" spans="1:10">
      <c r="A4980" t="s">
        <v>1663</v>
      </c>
      <c r="B4980">
        <v>829300</v>
      </c>
      <c r="C4980">
        <v>1</v>
      </c>
      <c r="D4980" t="str">
        <f t="shared" si="77"/>
        <v>1829300.431</v>
      </c>
      <c r="E4980" t="s">
        <v>2654</v>
      </c>
      <c r="F4980" s="242"/>
      <c r="G4980"/>
      <c r="H4980" s="242">
        <v>90500</v>
      </c>
      <c r="I4980" s="242">
        <v>107244</v>
      </c>
      <c r="J4980"/>
    </row>
    <row r="4981" spans="1:10">
      <c r="A4981" t="s">
        <v>2606</v>
      </c>
      <c r="B4981">
        <v>829300</v>
      </c>
      <c r="C4981">
        <v>1</v>
      </c>
      <c r="D4981" t="str">
        <f t="shared" si="77"/>
        <v>1829300.440</v>
      </c>
      <c r="E4981" t="s">
        <v>3573</v>
      </c>
      <c r="F4981" s="242"/>
      <c r="G4981"/>
      <c r="H4981" s="242">
        <v>49100</v>
      </c>
      <c r="I4981" s="242">
        <v>47411</v>
      </c>
      <c r="J4981"/>
    </row>
    <row r="4982" spans="1:10">
      <c r="A4982" t="s">
        <v>2594</v>
      </c>
      <c r="B4982">
        <v>829300</v>
      </c>
      <c r="C4982">
        <v>1</v>
      </c>
      <c r="D4982" t="str">
        <f t="shared" si="77"/>
        <v>1829300.540</v>
      </c>
      <c r="E4982" t="s">
        <v>2595</v>
      </c>
      <c r="F4982" s="242"/>
      <c r="G4982"/>
      <c r="H4982" s="242">
        <v>4000</v>
      </c>
      <c r="I4982" s="242">
        <v>2873</v>
      </c>
      <c r="J4982"/>
    </row>
    <row r="4983" spans="1:10">
      <c r="A4983" t="s">
        <v>2596</v>
      </c>
      <c r="B4983">
        <v>829300</v>
      </c>
      <c r="C4983">
        <v>1</v>
      </c>
      <c r="D4983" t="str">
        <f t="shared" si="77"/>
        <v>1829300.550</v>
      </c>
      <c r="E4983" t="s">
        <v>2597</v>
      </c>
      <c r="F4983" s="242"/>
      <c r="G4983"/>
      <c r="H4983" s="242">
        <v>0</v>
      </c>
      <c r="I4983" s="242">
        <v>0</v>
      </c>
      <c r="J4983"/>
    </row>
    <row r="4984" spans="1:10">
      <c r="A4984" t="s">
        <v>2600</v>
      </c>
      <c r="B4984">
        <v>829300</v>
      </c>
      <c r="C4984">
        <v>1</v>
      </c>
      <c r="D4984" t="str">
        <f t="shared" si="77"/>
        <v>1829300.580</v>
      </c>
      <c r="E4984" t="s">
        <v>2601</v>
      </c>
      <c r="F4984" s="242"/>
      <c r="G4984"/>
      <c r="H4984" s="242">
        <v>0</v>
      </c>
      <c r="I4984" s="242">
        <v>0</v>
      </c>
      <c r="J4984"/>
    </row>
    <row r="4985" spans="1:10">
      <c r="A4985" t="s">
        <v>762</v>
      </c>
      <c r="B4985">
        <v>829300</v>
      </c>
      <c r="C4985">
        <v>1</v>
      </c>
      <c r="D4985" t="str">
        <f t="shared" si="77"/>
        <v>1829300.749</v>
      </c>
      <c r="E4985" t="s">
        <v>3357</v>
      </c>
      <c r="F4985" s="242"/>
      <c r="G4985"/>
      <c r="H4985" s="242">
        <v>5000</v>
      </c>
      <c r="I4985" s="242">
        <v>0</v>
      </c>
      <c r="J4985"/>
    </row>
    <row r="4986" spans="1:10">
      <c r="A4986" t="s">
        <v>791</v>
      </c>
      <c r="B4986">
        <v>829300</v>
      </c>
      <c r="C4986">
        <v>1</v>
      </c>
      <c r="D4986" t="str">
        <f t="shared" si="77"/>
        <v>1829300.756</v>
      </c>
      <c r="E4986" t="s">
        <v>3574</v>
      </c>
      <c r="F4986" s="242"/>
      <c r="G4986"/>
      <c r="H4986" s="242">
        <v>28500</v>
      </c>
      <c r="I4986" s="242">
        <v>23500</v>
      </c>
      <c r="J4986"/>
    </row>
    <row r="4987" spans="1:10">
      <c r="A4987" t="s">
        <v>2632</v>
      </c>
      <c r="B4987">
        <v>829300</v>
      </c>
      <c r="C4987">
        <v>1</v>
      </c>
      <c r="D4987" t="str">
        <f t="shared" si="77"/>
        <v>1829300.780</v>
      </c>
      <c r="E4987" t="s">
        <v>3575</v>
      </c>
      <c r="F4987" s="242"/>
      <c r="G4987"/>
      <c r="H4987" s="242">
        <v>3000</v>
      </c>
      <c r="I4987" s="242">
        <v>3000</v>
      </c>
      <c r="J4987"/>
    </row>
    <row r="4988" spans="1:10">
      <c r="A4988" t="s">
        <v>877</v>
      </c>
      <c r="B4988">
        <v>829300</v>
      </c>
      <c r="C4988">
        <v>1</v>
      </c>
      <c r="D4988" t="str">
        <f t="shared" si="77"/>
        <v>1829300.782</v>
      </c>
      <c r="E4988" t="s">
        <v>3568</v>
      </c>
      <c r="F4988" s="242"/>
      <c r="G4988"/>
      <c r="H4988" s="242">
        <v>0</v>
      </c>
      <c r="I4988" s="242">
        <v>0</v>
      </c>
      <c r="J4988"/>
    </row>
    <row r="4989" spans="1:10">
      <c r="A4989" t="s">
        <v>2674</v>
      </c>
      <c r="B4989">
        <v>829300</v>
      </c>
      <c r="C4989">
        <v>1</v>
      </c>
      <c r="D4989" t="str">
        <f t="shared" si="77"/>
        <v>1829300.783</v>
      </c>
      <c r="E4989" t="s">
        <v>3576</v>
      </c>
      <c r="F4989" s="242"/>
      <c r="G4989"/>
      <c r="H4989" s="242">
        <v>270000</v>
      </c>
      <c r="I4989" s="242">
        <v>150000</v>
      </c>
      <c r="J4989"/>
    </row>
    <row r="4990" spans="1:10">
      <c r="A4990" t="s">
        <v>2676</v>
      </c>
      <c r="B4990">
        <v>829300</v>
      </c>
      <c r="C4990">
        <v>1</v>
      </c>
      <c r="D4990" t="str">
        <f t="shared" si="77"/>
        <v>1829300.784</v>
      </c>
      <c r="E4990" t="s">
        <v>3577</v>
      </c>
      <c r="F4990" s="242"/>
      <c r="G4990"/>
      <c r="H4990" s="242">
        <v>100000</v>
      </c>
      <c r="I4990" s="242">
        <v>0</v>
      </c>
      <c r="J4990"/>
    </row>
    <row r="4991" spans="1:10">
      <c r="A4991" t="s">
        <v>2750</v>
      </c>
      <c r="B4991">
        <v>829300</v>
      </c>
      <c r="C4991">
        <v>1</v>
      </c>
      <c r="D4991" t="str">
        <f t="shared" si="77"/>
        <v>1829300.785</v>
      </c>
      <c r="E4991" t="s">
        <v>3578</v>
      </c>
      <c r="F4991" s="242"/>
      <c r="G4991"/>
      <c r="H4991" s="242">
        <v>130000</v>
      </c>
      <c r="I4991" s="242">
        <v>0</v>
      </c>
      <c r="J4991"/>
    </row>
    <row r="4992" spans="1:10">
      <c r="A4992" t="s">
        <v>3033</v>
      </c>
      <c r="B4992">
        <v>829300</v>
      </c>
      <c r="C4992">
        <v>1</v>
      </c>
      <c r="D4992" t="str">
        <f t="shared" si="77"/>
        <v>1829300.850</v>
      </c>
      <c r="E4992" t="s">
        <v>3579</v>
      </c>
      <c r="F4992" s="242"/>
      <c r="G4992"/>
      <c r="H4992" s="242">
        <v>100000</v>
      </c>
      <c r="I4992" s="242">
        <v>94000</v>
      </c>
      <c r="J4992"/>
    </row>
    <row r="4993" spans="1:10">
      <c r="A4993" t="s">
        <v>3307</v>
      </c>
      <c r="B4993">
        <v>829900</v>
      </c>
      <c r="C4993">
        <v>1</v>
      </c>
      <c r="D4993" t="str">
        <f t="shared" si="77"/>
        <v>1829900.810</v>
      </c>
      <c r="E4993" t="s">
        <v>3580</v>
      </c>
      <c r="F4993" s="242"/>
      <c r="G4993"/>
      <c r="H4993" s="242">
        <v>1400000</v>
      </c>
      <c r="I4993" s="242">
        <v>1694962</v>
      </c>
      <c r="J4993"/>
    </row>
    <row r="4994" spans="1:10">
      <c r="A4994" t="s">
        <v>1176</v>
      </c>
      <c r="B4994">
        <v>829900</v>
      </c>
      <c r="C4994">
        <v>1</v>
      </c>
      <c r="D4994" t="str">
        <f t="shared" si="77"/>
        <v>1829900.821</v>
      </c>
      <c r="E4994" t="s">
        <v>4459</v>
      </c>
      <c r="F4994" s="242"/>
      <c r="G4994"/>
      <c r="H4994" s="242">
        <v>2942000</v>
      </c>
      <c r="I4994" s="242">
        <v>0</v>
      </c>
      <c r="J4994"/>
    </row>
    <row r="4995" spans="1:10">
      <c r="A4995" t="s">
        <v>1181</v>
      </c>
      <c r="B4995">
        <v>829900</v>
      </c>
      <c r="C4995">
        <v>1</v>
      </c>
      <c r="D4995" t="str">
        <f t="shared" ref="D4995:D5058" si="78">C4995&amp;B4995&amp;"."&amp;A4995</f>
        <v>1829900.822</v>
      </c>
      <c r="E4995" t="s">
        <v>4460</v>
      </c>
      <c r="F4995" s="242"/>
      <c r="G4995"/>
      <c r="H4995" s="242">
        <v>335000</v>
      </c>
      <c r="I4995" s="242">
        <v>0</v>
      </c>
      <c r="J4995"/>
    </row>
    <row r="4996" spans="1:10">
      <c r="A4996" t="s">
        <v>1186</v>
      </c>
      <c r="B4996">
        <v>829900</v>
      </c>
      <c r="C4996">
        <v>1</v>
      </c>
      <c r="D4996" t="str">
        <f t="shared" si="78"/>
        <v>1829900.823</v>
      </c>
      <c r="E4996" t="s">
        <v>4461</v>
      </c>
      <c r="F4996" s="242"/>
      <c r="G4996"/>
      <c r="H4996" s="242">
        <v>260000</v>
      </c>
      <c r="I4996" s="242">
        <v>0</v>
      </c>
      <c r="J4996"/>
    </row>
    <row r="4997" spans="1:10">
      <c r="A4997" t="s">
        <v>1191</v>
      </c>
      <c r="B4997">
        <v>829900</v>
      </c>
      <c r="C4997">
        <v>1</v>
      </c>
      <c r="D4997" t="str">
        <f t="shared" si="78"/>
        <v>1829900.824</v>
      </c>
      <c r="E4997" t="s">
        <v>4462</v>
      </c>
      <c r="F4997" s="242"/>
      <c r="G4997"/>
      <c r="H4997" s="242">
        <v>100000</v>
      </c>
      <c r="I4997" s="242">
        <v>0</v>
      </c>
      <c r="J4997"/>
    </row>
    <row r="4998" spans="1:10">
      <c r="A4998" t="s">
        <v>1196</v>
      </c>
      <c r="B4998">
        <v>829900</v>
      </c>
      <c r="C4998">
        <v>1</v>
      </c>
      <c r="D4998" t="str">
        <f t="shared" si="78"/>
        <v>1829900.825</v>
      </c>
      <c r="E4998" t="s">
        <v>4463</v>
      </c>
      <c r="F4998" s="242"/>
      <c r="G4998"/>
      <c r="H4998" s="242">
        <v>66000</v>
      </c>
      <c r="I4998" s="242">
        <v>0</v>
      </c>
      <c r="J4998"/>
    </row>
    <row r="4999" spans="1:10">
      <c r="A4999" t="s">
        <v>1216</v>
      </c>
      <c r="B4999">
        <v>829900</v>
      </c>
      <c r="C4999">
        <v>1</v>
      </c>
      <c r="D4999" t="str">
        <f t="shared" si="78"/>
        <v>1829900.826</v>
      </c>
      <c r="E4999" t="s">
        <v>4464</v>
      </c>
      <c r="F4999" s="242"/>
      <c r="G4999"/>
      <c r="H4999" s="242">
        <v>47000</v>
      </c>
      <c r="I4999" s="242">
        <v>0</v>
      </c>
      <c r="J4999"/>
    </row>
    <row r="5000" spans="1:10">
      <c r="A5000" t="s">
        <v>1241</v>
      </c>
      <c r="B5000">
        <v>829900</v>
      </c>
      <c r="C5000">
        <v>1</v>
      </c>
      <c r="D5000" t="str">
        <f t="shared" si="78"/>
        <v>1829900.827</v>
      </c>
      <c r="E5000" t="s">
        <v>4465</v>
      </c>
      <c r="F5000" s="242"/>
      <c r="G5000"/>
      <c r="H5000" s="242">
        <v>39000</v>
      </c>
      <c r="I5000" s="242">
        <v>0</v>
      </c>
      <c r="J5000"/>
    </row>
    <row r="5001" spans="1:10">
      <c r="A5001" t="s">
        <v>1245</v>
      </c>
      <c r="B5001">
        <v>829900</v>
      </c>
      <c r="C5001">
        <v>1</v>
      </c>
      <c r="D5001" t="str">
        <f t="shared" si="78"/>
        <v>1829900.828</v>
      </c>
      <c r="E5001" t="s">
        <v>4466</v>
      </c>
      <c r="F5001" s="242"/>
      <c r="G5001"/>
      <c r="H5001" s="242">
        <v>82000</v>
      </c>
      <c r="I5001" s="242">
        <v>0</v>
      </c>
      <c r="J5001"/>
    </row>
    <row r="5002" spans="1:10">
      <c r="A5002" t="s">
        <v>1161</v>
      </c>
      <c r="B5002">
        <v>829910</v>
      </c>
      <c r="C5002">
        <v>1</v>
      </c>
      <c r="D5002" t="str">
        <f t="shared" si="78"/>
        <v>1829910.819</v>
      </c>
      <c r="E5002" t="s">
        <v>3581</v>
      </c>
      <c r="F5002" s="242"/>
      <c r="G5002"/>
      <c r="H5002" s="242">
        <v>190000</v>
      </c>
      <c r="I5002" s="242">
        <v>190000</v>
      </c>
      <c r="J5002"/>
    </row>
    <row r="5003" spans="1:10">
      <c r="A5003" t="s">
        <v>1176</v>
      </c>
      <c r="B5003">
        <v>829910</v>
      </c>
      <c r="C5003">
        <v>1</v>
      </c>
      <c r="D5003" t="str">
        <f t="shared" si="78"/>
        <v>1829910.821</v>
      </c>
      <c r="E5003" t="s">
        <v>4467</v>
      </c>
      <c r="F5003" s="242"/>
      <c r="G5003"/>
      <c r="H5003" s="242">
        <v>0</v>
      </c>
      <c r="I5003" s="242">
        <v>1935117</v>
      </c>
      <c r="J5003"/>
    </row>
    <row r="5004" spans="1:10">
      <c r="A5004" t="s">
        <v>1181</v>
      </c>
      <c r="B5004">
        <v>829910</v>
      </c>
      <c r="C5004">
        <v>1</v>
      </c>
      <c r="D5004" t="str">
        <f t="shared" si="78"/>
        <v>1829910.822</v>
      </c>
      <c r="E5004" t="s">
        <v>4468</v>
      </c>
      <c r="F5004" s="242"/>
      <c r="G5004"/>
      <c r="H5004" s="242">
        <v>0</v>
      </c>
      <c r="I5004" s="242">
        <v>686276</v>
      </c>
      <c r="J5004"/>
    </row>
    <row r="5005" spans="1:10">
      <c r="A5005" t="s">
        <v>1186</v>
      </c>
      <c r="B5005">
        <v>829910</v>
      </c>
      <c r="C5005">
        <v>1</v>
      </c>
      <c r="D5005" t="str">
        <f t="shared" si="78"/>
        <v>1829910.823</v>
      </c>
      <c r="E5005" t="s">
        <v>4469</v>
      </c>
      <c r="F5005" s="242"/>
      <c r="G5005"/>
      <c r="H5005" s="242">
        <v>0</v>
      </c>
      <c r="I5005" s="242">
        <v>10967</v>
      </c>
      <c r="J5005"/>
    </row>
    <row r="5006" spans="1:10">
      <c r="A5006" t="s">
        <v>1196</v>
      </c>
      <c r="B5006">
        <v>829910</v>
      </c>
      <c r="C5006">
        <v>1</v>
      </c>
      <c r="D5006" t="str">
        <f t="shared" si="78"/>
        <v>1829910.825</v>
      </c>
      <c r="E5006" t="s">
        <v>4470</v>
      </c>
      <c r="F5006" s="242"/>
      <c r="G5006"/>
      <c r="H5006" s="242">
        <v>0</v>
      </c>
      <c r="I5006" s="242">
        <v>99203</v>
      </c>
      <c r="J5006"/>
    </row>
    <row r="5007" spans="1:10">
      <c r="A5007" t="s">
        <v>1216</v>
      </c>
      <c r="B5007">
        <v>829910</v>
      </c>
      <c r="C5007">
        <v>1</v>
      </c>
      <c r="D5007" t="str">
        <f t="shared" si="78"/>
        <v>1829910.826</v>
      </c>
      <c r="E5007" t="s">
        <v>4471</v>
      </c>
      <c r="F5007" s="242"/>
      <c r="G5007"/>
      <c r="H5007" s="242">
        <v>0</v>
      </c>
      <c r="I5007" s="242">
        <v>189943</v>
      </c>
      <c r="J5007"/>
    </row>
    <row r="5008" spans="1:10">
      <c r="A5008" t="s">
        <v>1241</v>
      </c>
      <c r="B5008">
        <v>829910</v>
      </c>
      <c r="C5008">
        <v>1</v>
      </c>
      <c r="D5008" t="str">
        <f t="shared" si="78"/>
        <v>1829910.827</v>
      </c>
      <c r="E5008" t="s">
        <v>4472</v>
      </c>
      <c r="F5008" s="242"/>
      <c r="G5008"/>
      <c r="H5008" s="242">
        <v>0</v>
      </c>
      <c r="I5008" s="242">
        <v>137754</v>
      </c>
      <c r="J5008"/>
    </row>
    <row r="5009" spans="1:10">
      <c r="A5009" t="s">
        <v>1245</v>
      </c>
      <c r="B5009">
        <v>829910</v>
      </c>
      <c r="C5009">
        <v>1</v>
      </c>
      <c r="D5009" t="str">
        <f t="shared" si="78"/>
        <v>1829910.828</v>
      </c>
      <c r="E5009" t="s">
        <v>4473</v>
      </c>
      <c r="F5009" s="242"/>
      <c r="G5009"/>
      <c r="H5009" s="242">
        <v>0</v>
      </c>
      <c r="I5009" s="242">
        <v>98562</v>
      </c>
      <c r="J5009"/>
    </row>
    <row r="5010" spans="1:10">
      <c r="A5010" t="s">
        <v>2419</v>
      </c>
      <c r="B5010">
        <v>829910</v>
      </c>
      <c r="C5010">
        <v>1</v>
      </c>
      <c r="D5010" t="str">
        <f t="shared" si="78"/>
        <v>1829910.829</v>
      </c>
      <c r="E5010" t="s">
        <v>4474</v>
      </c>
      <c r="F5010" s="242"/>
      <c r="G5010"/>
      <c r="H5010" s="242">
        <v>0</v>
      </c>
      <c r="I5010" s="242">
        <v>0</v>
      </c>
      <c r="J5010"/>
    </row>
    <row r="5011" spans="1:10">
      <c r="A5011" t="s">
        <v>1176</v>
      </c>
      <c r="B5011">
        <v>829911</v>
      </c>
      <c r="C5011">
        <v>1</v>
      </c>
      <c r="D5011" t="str">
        <f t="shared" si="78"/>
        <v>1829911.821</v>
      </c>
      <c r="E5011" t="s">
        <v>4475</v>
      </c>
      <c r="F5011" s="242"/>
      <c r="G5011"/>
      <c r="H5011" s="242">
        <v>0</v>
      </c>
      <c r="I5011" s="242">
        <v>61391</v>
      </c>
      <c r="J5011"/>
    </row>
    <row r="5012" spans="1:10">
      <c r="A5012" t="s">
        <v>1181</v>
      </c>
      <c r="B5012">
        <v>829911</v>
      </c>
      <c r="C5012">
        <v>1</v>
      </c>
      <c r="D5012" t="str">
        <f t="shared" si="78"/>
        <v>1829911.822</v>
      </c>
      <c r="E5012" t="s">
        <v>4476</v>
      </c>
      <c r="F5012" s="242"/>
      <c r="G5012"/>
      <c r="H5012" s="242">
        <v>0</v>
      </c>
      <c r="I5012" s="242">
        <v>21068</v>
      </c>
      <c r="J5012"/>
    </row>
    <row r="5013" spans="1:10">
      <c r="A5013" t="s">
        <v>1181</v>
      </c>
      <c r="B5013">
        <v>829912</v>
      </c>
      <c r="C5013">
        <v>1</v>
      </c>
      <c r="D5013" t="str">
        <f t="shared" si="78"/>
        <v>1829912.822</v>
      </c>
      <c r="E5013" t="s">
        <v>4477</v>
      </c>
      <c r="F5013" s="242"/>
      <c r="G5013"/>
      <c r="H5013" s="242">
        <v>0</v>
      </c>
      <c r="I5013" s="242">
        <v>112048</v>
      </c>
      <c r="J5013"/>
    </row>
    <row r="5014" spans="1:10">
      <c r="A5014" t="s">
        <v>1186</v>
      </c>
      <c r="B5014">
        <v>829912</v>
      </c>
      <c r="C5014">
        <v>1</v>
      </c>
      <c r="D5014" t="str">
        <f t="shared" si="78"/>
        <v>1829912.823</v>
      </c>
      <c r="E5014" t="s">
        <v>4478</v>
      </c>
      <c r="F5014" s="242"/>
      <c r="G5014"/>
      <c r="H5014" s="242">
        <v>0</v>
      </c>
      <c r="I5014" s="242">
        <v>3356</v>
      </c>
      <c r="J5014"/>
    </row>
    <row r="5015" spans="1:10">
      <c r="A5015" t="s">
        <v>1216</v>
      </c>
      <c r="B5015">
        <v>829912</v>
      </c>
      <c r="C5015">
        <v>1</v>
      </c>
      <c r="D5015" t="str">
        <f t="shared" si="78"/>
        <v>1829912.826</v>
      </c>
      <c r="E5015" t="s">
        <v>4479</v>
      </c>
      <c r="F5015" s="242"/>
      <c r="G5015"/>
      <c r="H5015" s="242">
        <v>0</v>
      </c>
      <c r="I5015" s="242">
        <v>0</v>
      </c>
      <c r="J5015"/>
    </row>
    <row r="5016" spans="1:10">
      <c r="A5016" t="s">
        <v>1245</v>
      </c>
      <c r="B5016">
        <v>829912</v>
      </c>
      <c r="C5016">
        <v>1</v>
      </c>
      <c r="D5016" t="str">
        <f t="shared" si="78"/>
        <v>1829912.828</v>
      </c>
      <c r="E5016" t="s">
        <v>4480</v>
      </c>
      <c r="F5016" s="242"/>
      <c r="G5016"/>
      <c r="H5016" s="242">
        <v>0</v>
      </c>
      <c r="I5016" s="242">
        <v>3471</v>
      </c>
      <c r="J5016"/>
    </row>
    <row r="5017" spans="1:10">
      <c r="A5017" t="s">
        <v>2419</v>
      </c>
      <c r="B5017">
        <v>829912</v>
      </c>
      <c r="C5017">
        <v>1</v>
      </c>
      <c r="D5017" t="str">
        <f t="shared" si="78"/>
        <v>1829912.829</v>
      </c>
      <c r="E5017" t="s">
        <v>4481</v>
      </c>
      <c r="F5017" s="242"/>
      <c r="G5017"/>
      <c r="H5017" s="242">
        <v>0</v>
      </c>
      <c r="I5017" s="242">
        <v>222044</v>
      </c>
      <c r="J5017"/>
    </row>
    <row r="5018" spans="1:10">
      <c r="A5018" t="s">
        <v>3662</v>
      </c>
      <c r="B5018">
        <v>829913</v>
      </c>
      <c r="C5018">
        <v>1</v>
      </c>
      <c r="D5018" t="str">
        <f t="shared" si="78"/>
        <v>1829913.820</v>
      </c>
      <c r="E5018" t="s">
        <v>4482</v>
      </c>
      <c r="F5018" s="242"/>
      <c r="G5018"/>
      <c r="H5018" s="242">
        <v>0</v>
      </c>
      <c r="I5018" s="242">
        <v>41374</v>
      </c>
      <c r="J5018"/>
    </row>
    <row r="5019" spans="1:10">
      <c r="A5019" t="s">
        <v>1176</v>
      </c>
      <c r="B5019">
        <v>829913</v>
      </c>
      <c r="C5019">
        <v>1</v>
      </c>
      <c r="D5019" t="str">
        <f t="shared" si="78"/>
        <v>1829913.821</v>
      </c>
      <c r="E5019" t="s">
        <v>4483</v>
      </c>
      <c r="F5019" s="242"/>
      <c r="G5019"/>
      <c r="H5019" s="242">
        <v>0</v>
      </c>
      <c r="I5019" s="242">
        <v>0</v>
      </c>
      <c r="J5019"/>
    </row>
    <row r="5020" spans="1:10">
      <c r="A5020" t="s">
        <v>1181</v>
      </c>
      <c r="B5020">
        <v>829913</v>
      </c>
      <c r="C5020">
        <v>1</v>
      </c>
      <c r="D5020" t="str">
        <f t="shared" si="78"/>
        <v>1829913.822</v>
      </c>
      <c r="E5020" t="s">
        <v>4484</v>
      </c>
      <c r="F5020" s="242"/>
      <c r="G5020"/>
      <c r="H5020" s="242">
        <v>0</v>
      </c>
      <c r="I5020" s="242">
        <v>26812</v>
      </c>
      <c r="J5020"/>
    </row>
    <row r="5021" spans="1:10">
      <c r="A5021" t="s">
        <v>1191</v>
      </c>
      <c r="B5021">
        <v>829913</v>
      </c>
      <c r="C5021">
        <v>1</v>
      </c>
      <c r="D5021" t="str">
        <f t="shared" si="78"/>
        <v>1829913.824</v>
      </c>
      <c r="E5021" t="s">
        <v>4485</v>
      </c>
      <c r="F5021" s="242"/>
      <c r="G5021"/>
      <c r="H5021" s="242">
        <v>0</v>
      </c>
      <c r="I5021" s="242">
        <v>7244</v>
      </c>
      <c r="J5021"/>
    </row>
    <row r="5022" spans="1:10">
      <c r="A5022" t="s">
        <v>1196</v>
      </c>
      <c r="B5022">
        <v>829913</v>
      </c>
      <c r="C5022">
        <v>1</v>
      </c>
      <c r="D5022" t="str">
        <f t="shared" si="78"/>
        <v>1829913.825</v>
      </c>
      <c r="E5022" t="s">
        <v>4486</v>
      </c>
      <c r="F5022" s="242"/>
      <c r="G5022"/>
      <c r="H5022" s="242">
        <v>0</v>
      </c>
      <c r="I5022" s="242">
        <v>2162</v>
      </c>
      <c r="J5022"/>
    </row>
    <row r="5023" spans="1:10">
      <c r="A5023" t="s">
        <v>2419</v>
      </c>
      <c r="B5023">
        <v>829913</v>
      </c>
      <c r="C5023">
        <v>1</v>
      </c>
      <c r="D5023" t="str">
        <f t="shared" si="78"/>
        <v>1829913.829</v>
      </c>
      <c r="E5023" t="s">
        <v>4487</v>
      </c>
      <c r="F5023" s="242"/>
      <c r="G5023"/>
      <c r="H5023" s="242">
        <v>0</v>
      </c>
      <c r="I5023" s="242">
        <v>118973</v>
      </c>
      <c r="J5023"/>
    </row>
    <row r="5024" spans="1:10">
      <c r="A5024" t="s">
        <v>1176</v>
      </c>
      <c r="B5024">
        <v>829914</v>
      </c>
      <c r="C5024">
        <v>1</v>
      </c>
      <c r="D5024" t="str">
        <f t="shared" si="78"/>
        <v>1829914.821</v>
      </c>
      <c r="E5024" t="s">
        <v>4488</v>
      </c>
      <c r="F5024" s="242"/>
      <c r="G5024"/>
      <c r="H5024" s="242">
        <v>0</v>
      </c>
      <c r="I5024" s="242">
        <v>8370</v>
      </c>
      <c r="J5024"/>
    </row>
    <row r="5025" spans="1:10">
      <c r="A5025" t="s">
        <v>1186</v>
      </c>
      <c r="B5025">
        <v>829914</v>
      </c>
      <c r="C5025">
        <v>1</v>
      </c>
      <c r="D5025" t="str">
        <f t="shared" si="78"/>
        <v>1829914.823</v>
      </c>
      <c r="E5025" t="s">
        <v>4489</v>
      </c>
      <c r="F5025" s="242"/>
      <c r="G5025"/>
      <c r="H5025" s="242">
        <v>0</v>
      </c>
      <c r="I5025" s="242">
        <v>44959</v>
      </c>
      <c r="J5025"/>
    </row>
    <row r="5026" spans="1:10">
      <c r="A5026" t="s">
        <v>1191</v>
      </c>
      <c r="B5026">
        <v>829914</v>
      </c>
      <c r="C5026">
        <v>1</v>
      </c>
      <c r="D5026" t="str">
        <f t="shared" si="78"/>
        <v>1829914.824</v>
      </c>
      <c r="E5026" t="s">
        <v>4490</v>
      </c>
      <c r="F5026" s="242"/>
      <c r="G5026"/>
      <c r="H5026" s="242">
        <v>0</v>
      </c>
      <c r="I5026" s="242">
        <v>47222</v>
      </c>
      <c r="J5026"/>
    </row>
    <row r="5027" spans="1:10">
      <c r="A5027" t="s">
        <v>4573</v>
      </c>
      <c r="B5027">
        <v>830000</v>
      </c>
      <c r="C5027">
        <v>1</v>
      </c>
      <c r="D5027" t="str">
        <f t="shared" si="78"/>
        <v>1830000.320</v>
      </c>
      <c r="E5027" t="s">
        <v>4574</v>
      </c>
      <c r="F5027" s="242"/>
      <c r="G5027"/>
      <c r="H5027" s="242">
        <v>0</v>
      </c>
      <c r="I5027" s="242">
        <v>17097</v>
      </c>
      <c r="J5027"/>
    </row>
    <row r="5028" spans="1:10">
      <c r="A5028" t="s">
        <v>2403</v>
      </c>
      <c r="B5028">
        <v>832400</v>
      </c>
      <c r="C5028">
        <v>1</v>
      </c>
      <c r="D5028" t="str">
        <f t="shared" si="78"/>
        <v>1832400.110</v>
      </c>
      <c r="E5028" t="s">
        <v>2573</v>
      </c>
      <c r="F5028" s="242"/>
      <c r="G5028"/>
      <c r="H5028" s="242">
        <v>215686</v>
      </c>
      <c r="I5028" s="242">
        <v>251648</v>
      </c>
      <c r="J5028"/>
    </row>
    <row r="5029" spans="1:10">
      <c r="A5029" t="s">
        <v>2404</v>
      </c>
      <c r="B5029">
        <v>832400</v>
      </c>
      <c r="C5029">
        <v>1</v>
      </c>
      <c r="D5029" t="str">
        <f t="shared" si="78"/>
        <v>1832400.120</v>
      </c>
      <c r="E5029" t="s">
        <v>2574</v>
      </c>
      <c r="F5029" s="242"/>
      <c r="G5029"/>
      <c r="H5029" s="242">
        <v>28779</v>
      </c>
      <c r="I5029" s="242">
        <v>34856</v>
      </c>
      <c r="J5029"/>
    </row>
    <row r="5030" spans="1:10">
      <c r="A5030" t="s">
        <v>2575</v>
      </c>
      <c r="B5030">
        <v>832400</v>
      </c>
      <c r="C5030">
        <v>1</v>
      </c>
      <c r="D5030" t="str">
        <f t="shared" si="78"/>
        <v>1832400.130</v>
      </c>
      <c r="E5030" t="s">
        <v>2576</v>
      </c>
      <c r="F5030" s="242"/>
      <c r="G5030"/>
      <c r="H5030" s="242">
        <v>12807</v>
      </c>
      <c r="I5030" s="242">
        <v>14631</v>
      </c>
      <c r="J5030"/>
    </row>
    <row r="5031" spans="1:10">
      <c r="A5031" t="s">
        <v>2577</v>
      </c>
      <c r="B5031">
        <v>832400</v>
      </c>
      <c r="C5031">
        <v>1</v>
      </c>
      <c r="D5031" t="str">
        <f t="shared" si="78"/>
        <v>1832400.140</v>
      </c>
      <c r="E5031" t="s">
        <v>2578</v>
      </c>
      <c r="F5031" s="242"/>
      <c r="G5031"/>
      <c r="H5031" s="242">
        <v>5210</v>
      </c>
      <c r="I5031" s="242">
        <v>6240</v>
      </c>
      <c r="J5031"/>
    </row>
    <row r="5032" spans="1:10">
      <c r="A5032" t="s">
        <v>2579</v>
      </c>
      <c r="B5032">
        <v>832400</v>
      </c>
      <c r="C5032">
        <v>1</v>
      </c>
      <c r="D5032" t="str">
        <f t="shared" si="78"/>
        <v>1832400.181</v>
      </c>
      <c r="E5032" t="s">
        <v>2580</v>
      </c>
      <c r="F5032" s="242"/>
      <c r="G5032"/>
      <c r="H5032" s="242">
        <v>41514</v>
      </c>
      <c r="I5032" s="242">
        <v>47157</v>
      </c>
      <c r="J5032"/>
    </row>
    <row r="5033" spans="1:10">
      <c r="A5033" t="s">
        <v>2581</v>
      </c>
      <c r="B5033">
        <v>832400</v>
      </c>
      <c r="C5033">
        <v>1</v>
      </c>
      <c r="D5033" t="str">
        <f t="shared" si="78"/>
        <v>1832400.182</v>
      </c>
      <c r="E5033" t="s">
        <v>2582</v>
      </c>
      <c r="F5033" s="242"/>
      <c r="G5033"/>
      <c r="H5033" s="242">
        <v>19900</v>
      </c>
      <c r="I5033" s="242">
        <v>23315</v>
      </c>
      <c r="J5033"/>
    </row>
    <row r="5034" spans="1:10">
      <c r="A5034" t="s">
        <v>2650</v>
      </c>
      <c r="B5034">
        <v>832400</v>
      </c>
      <c r="C5034">
        <v>1</v>
      </c>
      <c r="D5034" t="str">
        <f t="shared" si="78"/>
        <v>1832400.288</v>
      </c>
      <c r="E5034" t="s">
        <v>2651</v>
      </c>
      <c r="F5034" s="242"/>
      <c r="G5034"/>
      <c r="H5034" s="242">
        <v>6800</v>
      </c>
      <c r="I5034" s="242">
        <v>6407</v>
      </c>
      <c r="J5034"/>
    </row>
    <row r="5035" spans="1:10">
      <c r="A5035" t="s">
        <v>2652</v>
      </c>
      <c r="B5035">
        <v>832400</v>
      </c>
      <c r="C5035">
        <v>1</v>
      </c>
      <c r="D5035" t="str">
        <f t="shared" si="78"/>
        <v>1832400.420</v>
      </c>
      <c r="E5035" t="s">
        <v>2653</v>
      </c>
      <c r="F5035" s="242"/>
      <c r="G5035"/>
      <c r="H5035" s="242">
        <v>9000</v>
      </c>
      <c r="I5035" s="242">
        <v>0</v>
      </c>
      <c r="J5035"/>
    </row>
    <row r="5036" spans="1:10">
      <c r="A5036" t="s">
        <v>1663</v>
      </c>
      <c r="B5036">
        <v>832400</v>
      </c>
      <c r="C5036">
        <v>1</v>
      </c>
      <c r="D5036" t="str">
        <f t="shared" si="78"/>
        <v>1832400.431</v>
      </c>
      <c r="E5036" t="s">
        <v>2654</v>
      </c>
      <c r="F5036" s="242"/>
      <c r="G5036"/>
      <c r="H5036" s="242">
        <v>82700</v>
      </c>
      <c r="I5036" s="242">
        <v>86920</v>
      </c>
      <c r="J5036"/>
    </row>
    <row r="5037" spans="1:10">
      <c r="A5037" t="s">
        <v>1668</v>
      </c>
      <c r="B5037">
        <v>832400</v>
      </c>
      <c r="C5037">
        <v>1</v>
      </c>
      <c r="D5037" t="str">
        <f t="shared" si="78"/>
        <v>1832400.432</v>
      </c>
      <c r="E5037" t="s">
        <v>2687</v>
      </c>
      <c r="F5037" s="242"/>
      <c r="G5037"/>
      <c r="H5037" s="242">
        <v>3200</v>
      </c>
      <c r="I5037" s="242">
        <v>5299</v>
      </c>
      <c r="J5037"/>
    </row>
    <row r="5038" spans="1:10">
      <c r="A5038" t="s">
        <v>1678</v>
      </c>
      <c r="B5038">
        <v>832400</v>
      </c>
      <c r="C5038">
        <v>1</v>
      </c>
      <c r="D5038" t="str">
        <f t="shared" si="78"/>
        <v>1832400.434</v>
      </c>
      <c r="E5038" t="s">
        <v>2753</v>
      </c>
      <c r="F5038" s="242"/>
      <c r="G5038"/>
      <c r="H5038" s="242">
        <v>40000</v>
      </c>
      <c r="I5038" s="242">
        <v>78321</v>
      </c>
      <c r="J5038"/>
    </row>
    <row r="5039" spans="1:10">
      <c r="A5039" t="s">
        <v>2606</v>
      </c>
      <c r="B5039">
        <v>832400</v>
      </c>
      <c r="C5039">
        <v>1</v>
      </c>
      <c r="D5039" t="str">
        <f t="shared" si="78"/>
        <v>1832400.440</v>
      </c>
      <c r="E5039" t="s">
        <v>2892</v>
      </c>
      <c r="F5039" s="242"/>
      <c r="G5039"/>
      <c r="H5039" s="242">
        <v>8600</v>
      </c>
      <c r="I5039" s="242">
        <v>8329</v>
      </c>
      <c r="J5039"/>
    </row>
    <row r="5040" spans="1:10">
      <c r="A5040" t="s">
        <v>2759</v>
      </c>
      <c r="B5040">
        <v>836200</v>
      </c>
      <c r="C5040">
        <v>1</v>
      </c>
      <c r="D5040" t="str">
        <f t="shared" si="78"/>
        <v>1836200.760</v>
      </c>
      <c r="E5040" t="s">
        <v>4419</v>
      </c>
      <c r="F5040" s="242"/>
      <c r="G5040"/>
      <c r="H5040" s="242">
        <v>720000</v>
      </c>
      <c r="I5040" s="242">
        <v>733148</v>
      </c>
      <c r="J5040"/>
    </row>
    <row r="5041" spans="1:10">
      <c r="A5041" t="s">
        <v>4573</v>
      </c>
      <c r="B5041">
        <v>840000</v>
      </c>
      <c r="C5041">
        <v>1</v>
      </c>
      <c r="D5041" t="str">
        <f t="shared" si="78"/>
        <v>1840000.320</v>
      </c>
      <c r="E5041" t="s">
        <v>4574</v>
      </c>
      <c r="F5041" s="242"/>
      <c r="G5041"/>
      <c r="H5041" s="242">
        <v>160000</v>
      </c>
      <c r="I5041" s="242">
        <v>604785</v>
      </c>
      <c r="J5041"/>
    </row>
    <row r="5042" spans="1:10">
      <c r="A5042" t="s">
        <v>2571</v>
      </c>
      <c r="B5042">
        <v>841000</v>
      </c>
      <c r="C5042">
        <v>1</v>
      </c>
      <c r="D5042" t="str">
        <f t="shared" si="78"/>
        <v>1841000.105</v>
      </c>
      <c r="E5042" t="s">
        <v>2572</v>
      </c>
      <c r="F5042" s="242"/>
      <c r="G5042"/>
      <c r="H5042" s="242">
        <v>83000</v>
      </c>
      <c r="I5042" s="242">
        <v>18365</v>
      </c>
      <c r="J5042"/>
    </row>
    <row r="5043" spans="1:10">
      <c r="A5043" t="s">
        <v>2403</v>
      </c>
      <c r="B5043">
        <v>841000</v>
      </c>
      <c r="C5043">
        <v>1</v>
      </c>
      <c r="D5043" t="str">
        <f t="shared" si="78"/>
        <v>1841000.110</v>
      </c>
      <c r="E5043" t="s">
        <v>3814</v>
      </c>
      <c r="F5043" s="242"/>
      <c r="G5043"/>
      <c r="H5043" s="242">
        <v>834980</v>
      </c>
      <c r="I5043" s="242">
        <v>1036112</v>
      </c>
      <c r="J5043"/>
    </row>
    <row r="5044" spans="1:10">
      <c r="A5044" t="s">
        <v>2404</v>
      </c>
      <c r="B5044">
        <v>841000</v>
      </c>
      <c r="C5044">
        <v>1</v>
      </c>
      <c r="D5044" t="str">
        <f t="shared" si="78"/>
        <v>1841000.120</v>
      </c>
      <c r="E5044" t="s">
        <v>2574</v>
      </c>
      <c r="F5044" s="242"/>
      <c r="G5044"/>
      <c r="H5044" s="242">
        <v>115233</v>
      </c>
      <c r="I5044" s="242">
        <v>140086</v>
      </c>
      <c r="J5044"/>
    </row>
    <row r="5045" spans="1:10">
      <c r="A5045" t="s">
        <v>2575</v>
      </c>
      <c r="B5045">
        <v>841000</v>
      </c>
      <c r="C5045">
        <v>1</v>
      </c>
      <c r="D5045" t="str">
        <f t="shared" si="78"/>
        <v>1841000.130</v>
      </c>
      <c r="E5045" t="s">
        <v>2576</v>
      </c>
      <c r="F5045" s="242"/>
      <c r="G5045"/>
      <c r="H5045" s="242">
        <v>17907</v>
      </c>
      <c r="I5045" s="242">
        <v>21042</v>
      </c>
      <c r="J5045"/>
    </row>
    <row r="5046" spans="1:10">
      <c r="A5046" t="s">
        <v>2577</v>
      </c>
      <c r="B5046">
        <v>841000</v>
      </c>
      <c r="C5046">
        <v>1</v>
      </c>
      <c r="D5046" t="str">
        <f t="shared" si="78"/>
        <v>1841000.140</v>
      </c>
      <c r="E5046" t="s">
        <v>2578</v>
      </c>
      <c r="F5046" s="242"/>
      <c r="G5046"/>
      <c r="H5046" s="242">
        <v>606443</v>
      </c>
      <c r="I5046" s="242">
        <v>492658</v>
      </c>
      <c r="J5046"/>
    </row>
    <row r="5047" spans="1:10">
      <c r="A5047" t="s">
        <v>2579</v>
      </c>
      <c r="B5047">
        <v>841000</v>
      </c>
      <c r="C5047">
        <v>1</v>
      </c>
      <c r="D5047" t="str">
        <f t="shared" si="78"/>
        <v>1841000.181</v>
      </c>
      <c r="E5047" t="s">
        <v>3815</v>
      </c>
      <c r="F5047" s="242"/>
      <c r="G5047"/>
      <c r="H5047" s="242">
        <v>222716</v>
      </c>
      <c r="I5047" s="242">
        <v>244489</v>
      </c>
      <c r="J5047"/>
    </row>
    <row r="5048" spans="1:10">
      <c r="A5048" t="s">
        <v>2581</v>
      </c>
      <c r="B5048">
        <v>841000</v>
      </c>
      <c r="C5048">
        <v>1</v>
      </c>
      <c r="D5048" t="str">
        <f t="shared" si="78"/>
        <v>1841000.182</v>
      </c>
      <c r="E5048" t="s">
        <v>2582</v>
      </c>
      <c r="F5048" s="242"/>
      <c r="G5048"/>
      <c r="H5048" s="242">
        <v>123524</v>
      </c>
      <c r="I5048" s="242">
        <v>133891</v>
      </c>
      <c r="J5048"/>
    </row>
    <row r="5049" spans="1:10">
      <c r="A5049" t="s">
        <v>2650</v>
      </c>
      <c r="B5049">
        <v>841000</v>
      </c>
      <c r="C5049">
        <v>1</v>
      </c>
      <c r="D5049" t="str">
        <f t="shared" si="78"/>
        <v>1841000.288</v>
      </c>
      <c r="E5049" t="s">
        <v>2651</v>
      </c>
      <c r="F5049" s="242"/>
      <c r="G5049"/>
      <c r="H5049" s="242">
        <v>243900</v>
      </c>
      <c r="I5049" s="242">
        <v>230615</v>
      </c>
      <c r="J5049"/>
    </row>
    <row r="5050" spans="1:10">
      <c r="A5050" t="s">
        <v>2652</v>
      </c>
      <c r="B5050">
        <v>841000</v>
      </c>
      <c r="C5050">
        <v>1</v>
      </c>
      <c r="D5050" t="str">
        <f t="shared" si="78"/>
        <v>1841000.420</v>
      </c>
      <c r="E5050" t="s">
        <v>3816</v>
      </c>
      <c r="F5050" s="242"/>
      <c r="G5050"/>
      <c r="H5050" s="242">
        <v>20000</v>
      </c>
      <c r="I5050" s="242">
        <v>13661</v>
      </c>
      <c r="J5050"/>
    </row>
    <row r="5051" spans="1:10">
      <c r="A5051" t="s">
        <v>2684</v>
      </c>
      <c r="B5051">
        <v>841000</v>
      </c>
      <c r="C5051">
        <v>1</v>
      </c>
      <c r="D5051" t="str">
        <f t="shared" si="78"/>
        <v>1841000.421</v>
      </c>
      <c r="E5051" t="s">
        <v>2793</v>
      </c>
      <c r="F5051" s="242"/>
      <c r="G5051"/>
      <c r="H5051" s="242">
        <v>26000</v>
      </c>
      <c r="I5051" s="242">
        <v>17990</v>
      </c>
      <c r="J5051"/>
    </row>
    <row r="5052" spans="1:10">
      <c r="A5052" t="s">
        <v>1663</v>
      </c>
      <c r="B5052">
        <v>841000</v>
      </c>
      <c r="C5052">
        <v>1</v>
      </c>
      <c r="D5052" t="str">
        <f t="shared" si="78"/>
        <v>1841000.431</v>
      </c>
      <c r="E5052" t="s">
        <v>2654</v>
      </c>
      <c r="F5052" s="242"/>
      <c r="G5052"/>
      <c r="H5052" s="242">
        <v>133100</v>
      </c>
      <c r="I5052" s="242">
        <v>120675</v>
      </c>
      <c r="J5052"/>
    </row>
    <row r="5053" spans="1:10">
      <c r="A5053" t="s">
        <v>1668</v>
      </c>
      <c r="B5053">
        <v>841000</v>
      </c>
      <c r="C5053">
        <v>1</v>
      </c>
      <c r="D5053" t="str">
        <f t="shared" si="78"/>
        <v>1841000.432</v>
      </c>
      <c r="E5053" t="s">
        <v>2687</v>
      </c>
      <c r="F5053" s="242"/>
      <c r="G5053"/>
      <c r="H5053" s="242">
        <v>133000</v>
      </c>
      <c r="I5053" s="242">
        <v>159817</v>
      </c>
      <c r="J5053"/>
    </row>
    <row r="5054" spans="1:10">
      <c r="A5054" t="s">
        <v>1673</v>
      </c>
      <c r="B5054">
        <v>841000</v>
      </c>
      <c r="C5054">
        <v>1</v>
      </c>
      <c r="D5054" t="str">
        <f t="shared" si="78"/>
        <v>1841000.433</v>
      </c>
      <c r="E5054" t="s">
        <v>2655</v>
      </c>
      <c r="F5054" s="242"/>
      <c r="G5054"/>
      <c r="H5054" s="242">
        <v>28500</v>
      </c>
      <c r="I5054" s="242">
        <v>25132</v>
      </c>
      <c r="J5054"/>
    </row>
    <row r="5055" spans="1:10">
      <c r="A5055" t="s">
        <v>1678</v>
      </c>
      <c r="B5055">
        <v>841000</v>
      </c>
      <c r="C5055">
        <v>1</v>
      </c>
      <c r="D5055" t="str">
        <f t="shared" si="78"/>
        <v>1841000.434</v>
      </c>
      <c r="E5055" t="s">
        <v>3817</v>
      </c>
      <c r="F5055" s="242"/>
      <c r="G5055"/>
      <c r="H5055" s="242">
        <v>62500</v>
      </c>
      <c r="I5055" s="242">
        <v>46142</v>
      </c>
      <c r="J5055"/>
    </row>
    <row r="5056" spans="1:10">
      <c r="A5056" t="s">
        <v>2606</v>
      </c>
      <c r="B5056">
        <v>841000</v>
      </c>
      <c r="C5056">
        <v>1</v>
      </c>
      <c r="D5056" t="str">
        <f t="shared" si="78"/>
        <v>1841000.440</v>
      </c>
      <c r="E5056" t="s">
        <v>3818</v>
      </c>
      <c r="F5056" s="242"/>
      <c r="G5056"/>
      <c r="H5056" s="242">
        <v>17700</v>
      </c>
      <c r="I5056" s="242">
        <v>17060</v>
      </c>
      <c r="J5056"/>
    </row>
    <row r="5057" spans="1:10">
      <c r="A5057" t="s">
        <v>1712</v>
      </c>
      <c r="B5057">
        <v>841000</v>
      </c>
      <c r="C5057">
        <v>1</v>
      </c>
      <c r="D5057" t="str">
        <f t="shared" si="78"/>
        <v>1841000.442</v>
      </c>
      <c r="E5057" t="s">
        <v>2813</v>
      </c>
      <c r="F5057" s="242"/>
      <c r="G5057"/>
      <c r="H5057" s="242">
        <v>0</v>
      </c>
      <c r="I5057" s="242">
        <v>0</v>
      </c>
      <c r="J5057"/>
    </row>
    <row r="5058" spans="1:10">
      <c r="A5058" t="s">
        <v>2411</v>
      </c>
      <c r="B5058">
        <v>841000</v>
      </c>
      <c r="C5058">
        <v>1</v>
      </c>
      <c r="D5058" t="str">
        <f t="shared" si="78"/>
        <v>1841000.470</v>
      </c>
      <c r="E5058" t="s">
        <v>2660</v>
      </c>
      <c r="F5058" s="242"/>
      <c r="G5058"/>
      <c r="H5058" s="242">
        <v>55000</v>
      </c>
      <c r="I5058" s="242">
        <v>51227</v>
      </c>
      <c r="J5058"/>
    </row>
    <row r="5059" spans="1:10">
      <c r="A5059" t="s">
        <v>2286</v>
      </c>
      <c r="B5059">
        <v>841000</v>
      </c>
      <c r="C5059">
        <v>1</v>
      </c>
      <c r="D5059" t="str">
        <f t="shared" ref="D5059:D5122" si="79">C5059&amp;B5059&amp;"."&amp;A5059</f>
        <v>1841000.511</v>
      </c>
      <c r="E5059" t="s">
        <v>2584</v>
      </c>
      <c r="F5059" s="242"/>
      <c r="G5059"/>
      <c r="H5059" s="242">
        <v>30000</v>
      </c>
      <c r="I5059" s="242">
        <v>18879</v>
      </c>
      <c r="J5059"/>
    </row>
    <row r="5060" spans="1:10">
      <c r="A5060" t="s">
        <v>2588</v>
      </c>
      <c r="B5060">
        <v>841000</v>
      </c>
      <c r="C5060">
        <v>1</v>
      </c>
      <c r="D5060" t="str">
        <f t="shared" si="79"/>
        <v>1841000.522</v>
      </c>
      <c r="E5060" t="s">
        <v>2608</v>
      </c>
      <c r="F5060" s="242"/>
      <c r="G5060"/>
      <c r="H5060" s="242">
        <v>1500</v>
      </c>
      <c r="I5060" s="242">
        <v>0</v>
      </c>
      <c r="J5060"/>
    </row>
    <row r="5061" spans="1:10">
      <c r="A5061" t="s">
        <v>2590</v>
      </c>
      <c r="B5061">
        <v>841000</v>
      </c>
      <c r="C5061">
        <v>1</v>
      </c>
      <c r="D5061" t="str">
        <f t="shared" si="79"/>
        <v>1841000.523</v>
      </c>
      <c r="E5061" t="s">
        <v>2615</v>
      </c>
      <c r="F5061" s="242"/>
      <c r="G5061"/>
      <c r="H5061" s="242">
        <v>52000</v>
      </c>
      <c r="I5061" s="242">
        <v>52477</v>
      </c>
      <c r="J5061"/>
    </row>
    <row r="5062" spans="1:10">
      <c r="A5062" t="s">
        <v>2594</v>
      </c>
      <c r="B5062">
        <v>841000</v>
      </c>
      <c r="C5062">
        <v>1</v>
      </c>
      <c r="D5062" t="str">
        <f t="shared" si="79"/>
        <v>1841000.540</v>
      </c>
      <c r="E5062" t="s">
        <v>2595</v>
      </c>
      <c r="F5062" s="242"/>
      <c r="G5062"/>
      <c r="H5062" s="242">
        <v>58000</v>
      </c>
      <c r="I5062" s="242">
        <v>61698</v>
      </c>
      <c r="J5062"/>
    </row>
    <row r="5063" spans="1:10">
      <c r="A5063" t="s">
        <v>2596</v>
      </c>
      <c r="B5063">
        <v>841000</v>
      </c>
      <c r="C5063">
        <v>1</v>
      </c>
      <c r="D5063" t="str">
        <f t="shared" si="79"/>
        <v>1841000.550</v>
      </c>
      <c r="E5063" t="s">
        <v>2597</v>
      </c>
      <c r="F5063" s="242"/>
      <c r="G5063"/>
      <c r="H5063" s="242">
        <v>4400</v>
      </c>
      <c r="I5063" s="242">
        <v>3753</v>
      </c>
      <c r="J5063"/>
    </row>
    <row r="5064" spans="1:10">
      <c r="A5064" t="s">
        <v>2598</v>
      </c>
      <c r="B5064">
        <v>841000</v>
      </c>
      <c r="C5064">
        <v>1</v>
      </c>
      <c r="D5064" t="str">
        <f t="shared" si="79"/>
        <v>1841000.561</v>
      </c>
      <c r="E5064" t="s">
        <v>2599</v>
      </c>
      <c r="F5064" s="242"/>
      <c r="G5064"/>
      <c r="H5064" s="242">
        <v>60000</v>
      </c>
      <c r="I5064" s="242">
        <v>57241</v>
      </c>
      <c r="J5064"/>
    </row>
    <row r="5065" spans="1:10">
      <c r="A5065" t="s">
        <v>2771</v>
      </c>
      <c r="B5065">
        <v>841000</v>
      </c>
      <c r="C5065">
        <v>1</v>
      </c>
      <c r="D5065" t="str">
        <f t="shared" si="79"/>
        <v>1841000.570</v>
      </c>
      <c r="E5065" t="s">
        <v>3819</v>
      </c>
      <c r="F5065" s="242"/>
      <c r="G5065"/>
      <c r="H5065" s="242">
        <v>44800</v>
      </c>
      <c r="I5065" s="242">
        <v>43919</v>
      </c>
      <c r="J5065"/>
    </row>
    <row r="5066" spans="1:10">
      <c r="A5066" t="s">
        <v>3062</v>
      </c>
      <c r="B5066">
        <v>841000</v>
      </c>
      <c r="C5066">
        <v>1</v>
      </c>
      <c r="D5066" t="str">
        <f t="shared" si="79"/>
        <v>1841000.571</v>
      </c>
      <c r="E5066" t="s">
        <v>3063</v>
      </c>
      <c r="F5066" s="242"/>
      <c r="G5066"/>
      <c r="H5066" s="242">
        <v>16300</v>
      </c>
      <c r="I5066" s="242">
        <v>16013</v>
      </c>
      <c r="J5066"/>
    </row>
    <row r="5067" spans="1:10">
      <c r="A5067" t="s">
        <v>2647</v>
      </c>
      <c r="B5067">
        <v>841000</v>
      </c>
      <c r="C5067">
        <v>1</v>
      </c>
      <c r="D5067" t="str">
        <f t="shared" si="79"/>
        <v>1841000.574</v>
      </c>
      <c r="E5067" t="s">
        <v>2648</v>
      </c>
      <c r="F5067" s="242"/>
      <c r="G5067"/>
      <c r="H5067" s="242">
        <v>4700</v>
      </c>
      <c r="I5067" s="242">
        <v>4638</v>
      </c>
      <c r="J5067"/>
    </row>
    <row r="5068" spans="1:10">
      <c r="A5068" t="s">
        <v>2620</v>
      </c>
      <c r="B5068">
        <v>841000</v>
      </c>
      <c r="C5068">
        <v>1</v>
      </c>
      <c r="D5068" t="str">
        <f t="shared" si="79"/>
        <v>1841000.575</v>
      </c>
      <c r="E5068" t="s">
        <v>2908</v>
      </c>
      <c r="F5068" s="242"/>
      <c r="G5068"/>
      <c r="H5068" s="242">
        <v>15000</v>
      </c>
      <c r="I5068" s="242">
        <v>5171</v>
      </c>
      <c r="J5068"/>
    </row>
    <row r="5069" spans="1:10">
      <c r="A5069" t="s">
        <v>2700</v>
      </c>
      <c r="B5069">
        <v>841000</v>
      </c>
      <c r="C5069">
        <v>1</v>
      </c>
      <c r="D5069" t="str">
        <f t="shared" si="79"/>
        <v>1841000.579</v>
      </c>
      <c r="E5069" t="s">
        <v>2737</v>
      </c>
      <c r="F5069" s="242"/>
      <c r="G5069"/>
      <c r="H5069" s="242">
        <v>15000</v>
      </c>
      <c r="I5069" s="242">
        <v>61912</v>
      </c>
      <c r="J5069"/>
    </row>
    <row r="5070" spans="1:10">
      <c r="A5070" t="s">
        <v>2600</v>
      </c>
      <c r="B5070">
        <v>841000</v>
      </c>
      <c r="C5070">
        <v>1</v>
      </c>
      <c r="D5070" t="str">
        <f t="shared" si="79"/>
        <v>1841000.580</v>
      </c>
      <c r="E5070" t="s">
        <v>2601</v>
      </c>
      <c r="F5070" s="242"/>
      <c r="G5070"/>
      <c r="H5070" s="242">
        <v>20000</v>
      </c>
      <c r="I5070" s="242">
        <v>17522</v>
      </c>
      <c r="J5070"/>
    </row>
    <row r="5071" spans="1:10">
      <c r="A5071" t="s">
        <v>2702</v>
      </c>
      <c r="B5071">
        <v>841000</v>
      </c>
      <c r="C5071">
        <v>1</v>
      </c>
      <c r="D5071" t="str">
        <f t="shared" si="79"/>
        <v>1841000.582</v>
      </c>
      <c r="E5071" t="s">
        <v>2730</v>
      </c>
      <c r="F5071" s="242"/>
      <c r="G5071"/>
      <c r="H5071" s="242">
        <v>3000</v>
      </c>
      <c r="I5071" s="242">
        <v>2500</v>
      </c>
      <c r="J5071"/>
    </row>
    <row r="5072" spans="1:10">
      <c r="A5072" t="s">
        <v>2609</v>
      </c>
      <c r="B5072">
        <v>841000</v>
      </c>
      <c r="C5072">
        <v>1</v>
      </c>
      <c r="D5072" t="str">
        <f t="shared" si="79"/>
        <v>1841000.710</v>
      </c>
      <c r="E5072" t="s">
        <v>3820</v>
      </c>
      <c r="F5072" s="242"/>
      <c r="G5072"/>
      <c r="H5072" s="242">
        <v>0</v>
      </c>
      <c r="I5072" s="242">
        <v>30000</v>
      </c>
      <c r="J5072"/>
    </row>
    <row r="5073" spans="1:10">
      <c r="A5073" t="s">
        <v>600</v>
      </c>
      <c r="B5073">
        <v>841000</v>
      </c>
      <c r="C5073">
        <v>1</v>
      </c>
      <c r="D5073" t="str">
        <f t="shared" si="79"/>
        <v>1841000.731</v>
      </c>
      <c r="E5073" t="s">
        <v>2593</v>
      </c>
      <c r="F5073" s="242"/>
      <c r="G5073"/>
      <c r="H5073" s="242">
        <v>60150</v>
      </c>
      <c r="I5073" s="242">
        <v>48759</v>
      </c>
      <c r="J5073"/>
    </row>
    <row r="5074" spans="1:10">
      <c r="A5074" t="s">
        <v>2418</v>
      </c>
      <c r="B5074">
        <v>841000</v>
      </c>
      <c r="C5074">
        <v>1</v>
      </c>
      <c r="D5074" t="str">
        <f t="shared" si="79"/>
        <v>1841000.735</v>
      </c>
      <c r="E5074" t="s">
        <v>2602</v>
      </c>
      <c r="F5074" s="242"/>
      <c r="G5074"/>
      <c r="H5074" s="242">
        <v>137344</v>
      </c>
      <c r="I5074" s="242">
        <v>123341</v>
      </c>
      <c r="J5074"/>
    </row>
    <row r="5075" spans="1:10">
      <c r="A5075" t="s">
        <v>673</v>
      </c>
      <c r="B5075">
        <v>841000</v>
      </c>
      <c r="C5075">
        <v>1</v>
      </c>
      <c r="D5075" t="str">
        <f t="shared" si="79"/>
        <v>1841000.743</v>
      </c>
      <c r="E5075" t="s">
        <v>2622</v>
      </c>
      <c r="F5075" s="242"/>
      <c r="G5075"/>
      <c r="H5075" s="242">
        <v>39000</v>
      </c>
      <c r="I5075" s="242">
        <v>37423</v>
      </c>
      <c r="J5075"/>
    </row>
    <row r="5076" spans="1:10">
      <c r="A5076" t="s">
        <v>2611</v>
      </c>
      <c r="B5076">
        <v>841000</v>
      </c>
      <c r="C5076">
        <v>1</v>
      </c>
      <c r="D5076" t="str">
        <f t="shared" si="79"/>
        <v>1841000.750</v>
      </c>
      <c r="E5076" t="s">
        <v>2739</v>
      </c>
      <c r="F5076" s="242"/>
      <c r="G5076"/>
      <c r="H5076" s="242">
        <v>0</v>
      </c>
      <c r="I5076" s="242">
        <v>77676</v>
      </c>
      <c r="J5076"/>
    </row>
    <row r="5077" spans="1:10">
      <c r="A5077" t="s">
        <v>776</v>
      </c>
      <c r="B5077">
        <v>841000</v>
      </c>
      <c r="C5077">
        <v>1</v>
      </c>
      <c r="D5077" t="str">
        <f t="shared" si="79"/>
        <v>1841000.752</v>
      </c>
      <c r="E5077" t="s">
        <v>3821</v>
      </c>
      <c r="F5077" s="242"/>
      <c r="G5077"/>
      <c r="H5077" s="242">
        <v>395660</v>
      </c>
      <c r="I5077" s="242">
        <v>325660</v>
      </c>
      <c r="J5077"/>
    </row>
    <row r="5078" spans="1:10">
      <c r="A5078" t="s">
        <v>781</v>
      </c>
      <c r="B5078">
        <v>841000</v>
      </c>
      <c r="C5078">
        <v>1</v>
      </c>
      <c r="D5078" t="str">
        <f t="shared" si="79"/>
        <v>1841000.753</v>
      </c>
      <c r="E5078" t="s">
        <v>3822</v>
      </c>
      <c r="F5078" s="242"/>
      <c r="G5078"/>
      <c r="H5078" s="242">
        <v>0</v>
      </c>
      <c r="I5078" s="242">
        <v>25012</v>
      </c>
      <c r="J5078"/>
    </row>
    <row r="5079" spans="1:10">
      <c r="A5079" t="s">
        <v>2670</v>
      </c>
      <c r="B5079">
        <v>841000</v>
      </c>
      <c r="C5079">
        <v>1</v>
      </c>
      <c r="D5079" t="str">
        <f t="shared" si="79"/>
        <v>1841000.755</v>
      </c>
      <c r="E5079" t="s">
        <v>3823</v>
      </c>
      <c r="F5079" s="242"/>
      <c r="G5079"/>
      <c r="H5079" s="242">
        <v>43000</v>
      </c>
      <c r="I5079" s="242">
        <v>19885</v>
      </c>
      <c r="J5079"/>
    </row>
    <row r="5080" spans="1:10">
      <c r="A5080" t="s">
        <v>791</v>
      </c>
      <c r="B5080">
        <v>841000</v>
      </c>
      <c r="C5080">
        <v>1</v>
      </c>
      <c r="D5080" t="str">
        <f t="shared" si="79"/>
        <v>1841000.756</v>
      </c>
      <c r="E5080" t="s">
        <v>3824</v>
      </c>
      <c r="F5080" s="242"/>
      <c r="G5080"/>
      <c r="H5080" s="242">
        <v>24000</v>
      </c>
      <c r="I5080" s="242">
        <v>24000</v>
      </c>
      <c r="J5080"/>
    </row>
    <row r="5081" spans="1:10">
      <c r="A5081" t="s">
        <v>2632</v>
      </c>
      <c r="B5081">
        <v>841000</v>
      </c>
      <c r="C5081">
        <v>1</v>
      </c>
      <c r="D5081" t="str">
        <f t="shared" si="79"/>
        <v>1841000.780</v>
      </c>
      <c r="E5081" t="s">
        <v>2675</v>
      </c>
      <c r="F5081" s="242"/>
      <c r="G5081"/>
      <c r="H5081" s="242">
        <v>75000</v>
      </c>
      <c r="I5081" s="242">
        <v>59076</v>
      </c>
      <c r="J5081"/>
    </row>
    <row r="5082" spans="1:10">
      <c r="A5082" t="s">
        <v>877</v>
      </c>
      <c r="B5082">
        <v>841000</v>
      </c>
      <c r="C5082">
        <v>1</v>
      </c>
      <c r="D5082" t="str">
        <f t="shared" si="79"/>
        <v>1841000.782</v>
      </c>
      <c r="E5082" t="s">
        <v>3825</v>
      </c>
      <c r="F5082" s="242"/>
      <c r="G5082"/>
      <c r="H5082" s="242">
        <v>20000</v>
      </c>
      <c r="I5082" s="242">
        <v>5568</v>
      </c>
      <c r="J5082"/>
    </row>
    <row r="5083" spans="1:10">
      <c r="A5083" t="s">
        <v>2674</v>
      </c>
      <c r="B5083">
        <v>841000</v>
      </c>
      <c r="C5083">
        <v>1</v>
      </c>
      <c r="D5083" t="str">
        <f t="shared" si="79"/>
        <v>1841000.783</v>
      </c>
      <c r="E5083" t="s">
        <v>3826</v>
      </c>
      <c r="F5083" s="242"/>
      <c r="G5083"/>
      <c r="H5083" s="242">
        <v>125825</v>
      </c>
      <c r="I5083" s="242">
        <v>67844</v>
      </c>
      <c r="J5083"/>
    </row>
    <row r="5084" spans="1:10">
      <c r="A5084" t="s">
        <v>2676</v>
      </c>
      <c r="B5084">
        <v>841000</v>
      </c>
      <c r="C5084">
        <v>1</v>
      </c>
      <c r="D5084" t="str">
        <f t="shared" si="79"/>
        <v>1841000.784</v>
      </c>
      <c r="E5084" t="s">
        <v>3827</v>
      </c>
      <c r="F5084" s="242"/>
      <c r="G5084"/>
      <c r="H5084" s="242">
        <v>0</v>
      </c>
      <c r="I5084" s="242">
        <v>15000</v>
      </c>
      <c r="J5084"/>
    </row>
    <row r="5085" spans="1:10">
      <c r="A5085" t="s">
        <v>2750</v>
      </c>
      <c r="B5085">
        <v>841000</v>
      </c>
      <c r="C5085">
        <v>1</v>
      </c>
      <c r="D5085" t="str">
        <f t="shared" si="79"/>
        <v>1841000.785</v>
      </c>
      <c r="E5085" t="s">
        <v>3828</v>
      </c>
      <c r="F5085" s="242"/>
      <c r="G5085"/>
      <c r="H5085" s="242">
        <v>17500</v>
      </c>
      <c r="I5085" s="242">
        <v>18152</v>
      </c>
      <c r="J5085"/>
    </row>
    <row r="5086" spans="1:10">
      <c r="A5086" t="s">
        <v>3829</v>
      </c>
      <c r="B5086">
        <v>841000</v>
      </c>
      <c r="C5086">
        <v>1</v>
      </c>
      <c r="D5086" t="str">
        <f t="shared" si="79"/>
        <v>1841000.840</v>
      </c>
      <c r="E5086" t="s">
        <v>3806</v>
      </c>
      <c r="F5086" s="242"/>
      <c r="G5086"/>
      <c r="H5086" s="242">
        <v>14700</v>
      </c>
      <c r="I5086" s="242">
        <v>13830</v>
      </c>
      <c r="J5086"/>
    </row>
    <row r="5087" spans="1:10">
      <c r="A5087" t="s">
        <v>1367</v>
      </c>
      <c r="B5087">
        <v>841000</v>
      </c>
      <c r="C5087">
        <v>1</v>
      </c>
      <c r="D5087" t="str">
        <f t="shared" si="79"/>
        <v>1841000.842</v>
      </c>
      <c r="E5087" t="s">
        <v>3830</v>
      </c>
      <c r="F5087" s="242"/>
      <c r="G5087"/>
      <c r="H5087" s="242">
        <v>0</v>
      </c>
      <c r="I5087" s="242">
        <v>5927</v>
      </c>
      <c r="J5087"/>
    </row>
    <row r="5088" spans="1:10">
      <c r="A5088" t="s">
        <v>1406</v>
      </c>
      <c r="B5088">
        <v>841000</v>
      </c>
      <c r="C5088">
        <v>1</v>
      </c>
      <c r="D5088" t="str">
        <f t="shared" si="79"/>
        <v>1841000.844</v>
      </c>
      <c r="E5088" t="s">
        <v>3808</v>
      </c>
      <c r="F5088" s="242"/>
      <c r="G5088"/>
      <c r="H5088" s="242">
        <v>40000</v>
      </c>
      <c r="I5088" s="242">
        <v>13970</v>
      </c>
      <c r="J5088"/>
    </row>
    <row r="5089" spans="1:10">
      <c r="A5089" t="s">
        <v>1426</v>
      </c>
      <c r="B5089">
        <v>841000</v>
      </c>
      <c r="C5089">
        <v>1</v>
      </c>
      <c r="D5089" t="str">
        <f t="shared" si="79"/>
        <v>1841000.845</v>
      </c>
      <c r="E5089" t="s">
        <v>3831</v>
      </c>
      <c r="F5089" s="242"/>
      <c r="G5089"/>
      <c r="H5089" s="242">
        <v>0</v>
      </c>
      <c r="I5089" s="242">
        <v>171</v>
      </c>
      <c r="J5089"/>
    </row>
    <row r="5090" spans="1:10">
      <c r="A5090" t="s">
        <v>2740</v>
      </c>
      <c r="B5090">
        <v>841000</v>
      </c>
      <c r="C5090">
        <v>1</v>
      </c>
      <c r="D5090" t="str">
        <f t="shared" si="79"/>
        <v>1841000.930</v>
      </c>
      <c r="E5090" t="s">
        <v>3832</v>
      </c>
      <c r="F5090" s="242"/>
      <c r="G5090"/>
      <c r="H5090" s="242">
        <v>0</v>
      </c>
      <c r="I5090" s="242">
        <v>28658</v>
      </c>
      <c r="J5090"/>
    </row>
    <row r="5091" spans="1:10">
      <c r="A5091" t="s">
        <v>2409</v>
      </c>
      <c r="B5091">
        <v>841000</v>
      </c>
      <c r="C5091">
        <v>1</v>
      </c>
      <c r="D5091" t="str">
        <f t="shared" si="79"/>
        <v>1841000.410</v>
      </c>
      <c r="E5091" t="s">
        <v>3836</v>
      </c>
      <c r="F5091" s="242"/>
      <c r="G5091"/>
      <c r="H5091" s="242">
        <v>0</v>
      </c>
      <c r="I5091" s="242">
        <v>719388</v>
      </c>
      <c r="J5091"/>
    </row>
    <row r="5092" spans="1:10">
      <c r="A5092" t="s">
        <v>3662</v>
      </c>
      <c r="B5092">
        <v>841000</v>
      </c>
      <c r="C5092">
        <v>1</v>
      </c>
      <c r="D5092" t="str">
        <f t="shared" si="79"/>
        <v>1841000.820</v>
      </c>
      <c r="E5092" t="s">
        <v>4368</v>
      </c>
      <c r="F5092" s="242"/>
      <c r="G5092"/>
      <c r="H5092" s="242">
        <v>300000</v>
      </c>
      <c r="I5092" s="242">
        <v>0</v>
      </c>
      <c r="J5092"/>
    </row>
    <row r="5093" spans="1:10">
      <c r="A5093" t="s">
        <v>2652</v>
      </c>
      <c r="B5093">
        <v>841001</v>
      </c>
      <c r="C5093">
        <v>1</v>
      </c>
      <c r="D5093" t="str">
        <f t="shared" si="79"/>
        <v>1841001.420</v>
      </c>
      <c r="E5093" t="s">
        <v>3833</v>
      </c>
      <c r="F5093" s="242"/>
      <c r="G5093"/>
      <c r="H5093" s="242">
        <v>0</v>
      </c>
      <c r="I5093" s="242">
        <v>224264</v>
      </c>
      <c r="J5093"/>
    </row>
    <row r="5094" spans="1:10">
      <c r="A5094" t="s">
        <v>2606</v>
      </c>
      <c r="B5094">
        <v>841001</v>
      </c>
      <c r="C5094">
        <v>1</v>
      </c>
      <c r="D5094" t="str">
        <f t="shared" si="79"/>
        <v>1841001.440</v>
      </c>
      <c r="E5094" t="s">
        <v>2794</v>
      </c>
      <c r="F5094" s="242"/>
      <c r="G5094"/>
      <c r="H5094" s="242">
        <v>8600</v>
      </c>
      <c r="I5094" s="242">
        <v>8263</v>
      </c>
      <c r="J5094"/>
    </row>
    <row r="5095" spans="1:10">
      <c r="A5095" t="s">
        <v>2403</v>
      </c>
      <c r="B5095">
        <v>841002</v>
      </c>
      <c r="C5095">
        <v>1</v>
      </c>
      <c r="D5095" t="str">
        <f t="shared" si="79"/>
        <v>1841002.110</v>
      </c>
      <c r="E5095" t="s">
        <v>3837</v>
      </c>
      <c r="F5095" s="242"/>
      <c r="G5095"/>
      <c r="H5095" s="242">
        <v>5585227</v>
      </c>
      <c r="I5095" s="242">
        <v>4867163</v>
      </c>
      <c r="J5095"/>
    </row>
    <row r="5096" spans="1:10">
      <c r="A5096" t="s">
        <v>2404</v>
      </c>
      <c r="B5096">
        <v>841002</v>
      </c>
      <c r="C5096">
        <v>1</v>
      </c>
      <c r="D5096" t="str">
        <f t="shared" si="79"/>
        <v>1841002.120</v>
      </c>
      <c r="E5096" t="s">
        <v>2574</v>
      </c>
      <c r="F5096" s="242"/>
      <c r="G5096"/>
      <c r="H5096" s="242">
        <v>817808</v>
      </c>
      <c r="I5096" s="242">
        <v>705735</v>
      </c>
      <c r="J5096"/>
    </row>
    <row r="5097" spans="1:10">
      <c r="A5097" t="s">
        <v>2575</v>
      </c>
      <c r="B5097">
        <v>841002</v>
      </c>
      <c r="C5097">
        <v>1</v>
      </c>
      <c r="D5097" t="str">
        <f t="shared" si="79"/>
        <v>1841002.130</v>
      </c>
      <c r="E5097" t="s">
        <v>2576</v>
      </c>
      <c r="F5097" s="242"/>
      <c r="G5097"/>
      <c r="H5097" s="242">
        <v>40519</v>
      </c>
      <c r="I5097" s="242">
        <v>34463</v>
      </c>
      <c r="J5097"/>
    </row>
    <row r="5098" spans="1:10">
      <c r="A5098" t="s">
        <v>2577</v>
      </c>
      <c r="B5098">
        <v>841002</v>
      </c>
      <c r="C5098">
        <v>1</v>
      </c>
      <c r="D5098" t="str">
        <f t="shared" si="79"/>
        <v>1841002.140</v>
      </c>
      <c r="E5098" t="s">
        <v>2578</v>
      </c>
      <c r="F5098" s="242"/>
      <c r="G5098"/>
      <c r="H5098" s="242">
        <v>966517</v>
      </c>
      <c r="I5098" s="242">
        <v>784190</v>
      </c>
      <c r="J5098"/>
    </row>
    <row r="5099" spans="1:10">
      <c r="A5099" t="s">
        <v>2579</v>
      </c>
      <c r="B5099">
        <v>841002</v>
      </c>
      <c r="C5099">
        <v>1</v>
      </c>
      <c r="D5099" t="str">
        <f t="shared" si="79"/>
        <v>1841002.181</v>
      </c>
      <c r="E5099" t="s">
        <v>2580</v>
      </c>
      <c r="F5099" s="242"/>
      <c r="G5099"/>
      <c r="H5099" s="242">
        <v>1364642</v>
      </c>
      <c r="I5099" s="242">
        <v>1178658</v>
      </c>
      <c r="J5099"/>
    </row>
    <row r="5100" spans="1:10">
      <c r="A5100" t="s">
        <v>2581</v>
      </c>
      <c r="B5100">
        <v>841002</v>
      </c>
      <c r="C5100">
        <v>1</v>
      </c>
      <c r="D5100" t="str">
        <f t="shared" si="79"/>
        <v>1841002.182</v>
      </c>
      <c r="E5100" t="s">
        <v>2582</v>
      </c>
      <c r="F5100" s="242"/>
      <c r="G5100"/>
      <c r="H5100" s="242">
        <v>566756</v>
      </c>
      <c r="I5100" s="242">
        <v>490288</v>
      </c>
      <c r="J5100"/>
    </row>
    <row r="5101" spans="1:10">
      <c r="A5101" t="s">
        <v>2409</v>
      </c>
      <c r="B5101">
        <v>841002</v>
      </c>
      <c r="C5101">
        <v>1</v>
      </c>
      <c r="D5101" t="str">
        <f t="shared" si="79"/>
        <v>1841002.410</v>
      </c>
      <c r="E5101" t="s">
        <v>3838</v>
      </c>
      <c r="F5101" s="242"/>
      <c r="G5101"/>
      <c r="H5101" s="242">
        <v>560000</v>
      </c>
      <c r="I5101" s="242">
        <v>0</v>
      </c>
      <c r="J5101"/>
    </row>
    <row r="5102" spans="1:10">
      <c r="A5102" t="s">
        <v>1622</v>
      </c>
      <c r="B5102">
        <v>841002</v>
      </c>
      <c r="C5102">
        <v>1</v>
      </c>
      <c r="D5102" t="str">
        <f t="shared" si="79"/>
        <v>1841002.411</v>
      </c>
      <c r="E5102" t="s">
        <v>3839</v>
      </c>
      <c r="F5102" s="242"/>
      <c r="G5102"/>
      <c r="H5102" s="242">
        <v>140000</v>
      </c>
      <c r="I5102" s="242">
        <v>0</v>
      </c>
      <c r="J5102"/>
    </row>
    <row r="5103" spans="1:10">
      <c r="A5103" t="s">
        <v>2652</v>
      </c>
      <c r="B5103">
        <v>841002</v>
      </c>
      <c r="C5103">
        <v>1</v>
      </c>
      <c r="D5103" t="str">
        <f t="shared" si="79"/>
        <v>1841002.420</v>
      </c>
      <c r="E5103" t="s">
        <v>2653</v>
      </c>
      <c r="F5103" s="242"/>
      <c r="G5103"/>
      <c r="H5103" s="242">
        <v>22000</v>
      </c>
      <c r="I5103" s="242">
        <v>22000</v>
      </c>
      <c r="J5103"/>
    </row>
    <row r="5104" spans="1:10">
      <c r="A5104" t="s">
        <v>1678</v>
      </c>
      <c r="B5104">
        <v>841002</v>
      </c>
      <c r="C5104">
        <v>1</v>
      </c>
      <c r="D5104" t="str">
        <f t="shared" si="79"/>
        <v>1841002.434</v>
      </c>
      <c r="E5104" t="s">
        <v>2656</v>
      </c>
      <c r="F5104" s="242"/>
      <c r="G5104"/>
      <c r="H5104" s="242">
        <v>101025</v>
      </c>
      <c r="I5104" s="242">
        <v>104235</v>
      </c>
      <c r="J5104"/>
    </row>
    <row r="5105" spans="1:10">
      <c r="A5105" t="s">
        <v>2594</v>
      </c>
      <c r="B5105">
        <v>841002</v>
      </c>
      <c r="C5105">
        <v>1</v>
      </c>
      <c r="D5105" t="str">
        <f t="shared" si="79"/>
        <v>1841002.540</v>
      </c>
      <c r="E5105" t="s">
        <v>2595</v>
      </c>
      <c r="F5105" s="242"/>
      <c r="G5105"/>
      <c r="H5105" s="242">
        <v>80000</v>
      </c>
      <c r="I5105" s="242">
        <v>63213</v>
      </c>
      <c r="J5105"/>
    </row>
    <row r="5106" spans="1:10">
      <c r="A5106" t="s">
        <v>2603</v>
      </c>
      <c r="B5106">
        <v>841002</v>
      </c>
      <c r="C5106">
        <v>1</v>
      </c>
      <c r="D5106" t="str">
        <f t="shared" si="79"/>
        <v>1841002.759</v>
      </c>
      <c r="E5106" t="s">
        <v>2905</v>
      </c>
      <c r="F5106" s="242"/>
      <c r="G5106"/>
      <c r="H5106" s="242">
        <v>236000</v>
      </c>
      <c r="I5106" s="242">
        <v>185335</v>
      </c>
      <c r="J5106"/>
    </row>
    <row r="5107" spans="1:10">
      <c r="A5107" t="s">
        <v>2403</v>
      </c>
      <c r="B5107">
        <v>841003</v>
      </c>
      <c r="C5107">
        <v>1</v>
      </c>
      <c r="D5107" t="str">
        <f t="shared" si="79"/>
        <v>1841003.110</v>
      </c>
      <c r="E5107" t="s">
        <v>3837</v>
      </c>
      <c r="F5107" s="242"/>
      <c r="G5107"/>
      <c r="H5107" s="242">
        <v>3678749</v>
      </c>
      <c r="I5107" s="242">
        <v>3178105</v>
      </c>
      <c r="J5107"/>
    </row>
    <row r="5108" spans="1:10">
      <c r="A5108" t="s">
        <v>2404</v>
      </c>
      <c r="B5108">
        <v>841003</v>
      </c>
      <c r="C5108">
        <v>1</v>
      </c>
      <c r="D5108" t="str">
        <f t="shared" si="79"/>
        <v>1841003.120</v>
      </c>
      <c r="E5108" t="s">
        <v>2574</v>
      </c>
      <c r="F5108" s="242"/>
      <c r="G5108"/>
      <c r="H5108" s="242">
        <v>492525</v>
      </c>
      <c r="I5108" s="242">
        <v>425382</v>
      </c>
      <c r="J5108"/>
    </row>
    <row r="5109" spans="1:10">
      <c r="A5109" t="s">
        <v>2575</v>
      </c>
      <c r="B5109">
        <v>841003</v>
      </c>
      <c r="C5109">
        <v>1</v>
      </c>
      <c r="D5109" t="str">
        <f t="shared" si="79"/>
        <v>1841003.130</v>
      </c>
      <c r="E5109" t="s">
        <v>2576</v>
      </c>
      <c r="F5109" s="242"/>
      <c r="G5109"/>
      <c r="H5109" s="242">
        <v>22803</v>
      </c>
      <c r="I5109" s="242">
        <v>20497</v>
      </c>
      <c r="J5109"/>
    </row>
    <row r="5110" spans="1:10">
      <c r="A5110" t="s">
        <v>2577</v>
      </c>
      <c r="B5110">
        <v>841003</v>
      </c>
      <c r="C5110">
        <v>1</v>
      </c>
      <c r="D5110" t="str">
        <f t="shared" si="79"/>
        <v>1841003.140</v>
      </c>
      <c r="E5110" t="s">
        <v>2578</v>
      </c>
      <c r="F5110" s="242"/>
      <c r="G5110"/>
      <c r="H5110" s="242">
        <v>587924</v>
      </c>
      <c r="I5110" s="242">
        <v>477215</v>
      </c>
      <c r="J5110"/>
    </row>
    <row r="5111" spans="1:10">
      <c r="A5111" t="s">
        <v>2579</v>
      </c>
      <c r="B5111">
        <v>841003</v>
      </c>
      <c r="C5111">
        <v>1</v>
      </c>
      <c r="D5111" t="str">
        <f t="shared" si="79"/>
        <v>1841003.181</v>
      </c>
      <c r="E5111" t="s">
        <v>2580</v>
      </c>
      <c r="F5111" s="242"/>
      <c r="G5111"/>
      <c r="H5111" s="242">
        <v>911687</v>
      </c>
      <c r="I5111" s="242">
        <v>787632</v>
      </c>
      <c r="J5111"/>
    </row>
    <row r="5112" spans="1:10">
      <c r="A5112" t="s">
        <v>2581</v>
      </c>
      <c r="B5112">
        <v>841003</v>
      </c>
      <c r="C5112">
        <v>1</v>
      </c>
      <c r="D5112" t="str">
        <f t="shared" si="79"/>
        <v>1841003.182</v>
      </c>
      <c r="E5112" t="s">
        <v>2582</v>
      </c>
      <c r="F5112" s="242"/>
      <c r="G5112"/>
      <c r="H5112" s="242">
        <v>366603</v>
      </c>
      <c r="I5112" s="242">
        <v>314930</v>
      </c>
      <c r="J5112"/>
    </row>
    <row r="5113" spans="1:10">
      <c r="A5113" t="s">
        <v>2652</v>
      </c>
      <c r="B5113">
        <v>841003</v>
      </c>
      <c r="C5113">
        <v>1</v>
      </c>
      <c r="D5113" t="str">
        <f t="shared" si="79"/>
        <v>1841003.420</v>
      </c>
      <c r="E5113" t="s">
        <v>2653</v>
      </c>
      <c r="F5113" s="242"/>
      <c r="G5113"/>
      <c r="H5113" s="242">
        <v>22000</v>
      </c>
      <c r="I5113" s="242">
        <v>21628</v>
      </c>
      <c r="J5113"/>
    </row>
    <row r="5114" spans="1:10">
      <c r="A5114" t="s">
        <v>1678</v>
      </c>
      <c r="B5114">
        <v>841003</v>
      </c>
      <c r="C5114">
        <v>1</v>
      </c>
      <c r="D5114" t="str">
        <f t="shared" si="79"/>
        <v>1841003.434</v>
      </c>
      <c r="E5114" t="s">
        <v>2656</v>
      </c>
      <c r="F5114" s="242"/>
      <c r="G5114"/>
      <c r="H5114" s="242">
        <v>67350</v>
      </c>
      <c r="I5114" s="242">
        <v>79821</v>
      </c>
      <c r="J5114"/>
    </row>
    <row r="5115" spans="1:10">
      <c r="A5115" t="s">
        <v>2594</v>
      </c>
      <c r="B5115">
        <v>841003</v>
      </c>
      <c r="C5115">
        <v>1</v>
      </c>
      <c r="D5115" t="str">
        <f t="shared" si="79"/>
        <v>1841003.540</v>
      </c>
      <c r="E5115" t="s">
        <v>2595</v>
      </c>
      <c r="F5115" s="242"/>
      <c r="G5115"/>
      <c r="H5115" s="242">
        <v>100000</v>
      </c>
      <c r="I5115" s="242">
        <v>63250</v>
      </c>
      <c r="J5115"/>
    </row>
    <row r="5116" spans="1:10">
      <c r="A5116" t="s">
        <v>2603</v>
      </c>
      <c r="B5116">
        <v>841003</v>
      </c>
      <c r="C5116">
        <v>1</v>
      </c>
      <c r="D5116" t="str">
        <f t="shared" si="79"/>
        <v>1841003.759</v>
      </c>
      <c r="E5116" t="s">
        <v>2905</v>
      </c>
      <c r="F5116" s="242"/>
      <c r="G5116"/>
      <c r="H5116" s="242">
        <v>291050</v>
      </c>
      <c r="I5116" s="242">
        <v>237252</v>
      </c>
      <c r="J5116"/>
    </row>
    <row r="5117" spans="1:10">
      <c r="A5117" t="s">
        <v>2403</v>
      </c>
      <c r="B5117">
        <v>841100</v>
      </c>
      <c r="C5117">
        <v>1</v>
      </c>
      <c r="D5117" t="str">
        <f t="shared" si="79"/>
        <v>1841100.110</v>
      </c>
      <c r="E5117" t="s">
        <v>3834</v>
      </c>
      <c r="F5117" s="242"/>
      <c r="G5117"/>
      <c r="H5117" s="242">
        <v>438391</v>
      </c>
      <c r="I5117" s="242">
        <v>372319</v>
      </c>
      <c r="J5117"/>
    </row>
    <row r="5118" spans="1:10">
      <c r="A5118" t="s">
        <v>2404</v>
      </c>
      <c r="B5118">
        <v>841100</v>
      </c>
      <c r="C5118">
        <v>1</v>
      </c>
      <c r="D5118" t="str">
        <f t="shared" si="79"/>
        <v>1841100.120</v>
      </c>
      <c r="E5118" t="s">
        <v>2574</v>
      </c>
      <c r="F5118" s="242"/>
      <c r="G5118"/>
      <c r="H5118" s="242">
        <v>75311</v>
      </c>
      <c r="I5118" s="242">
        <v>66737</v>
      </c>
      <c r="J5118"/>
    </row>
    <row r="5119" spans="1:10">
      <c r="A5119" t="s">
        <v>2575</v>
      </c>
      <c r="B5119">
        <v>841100</v>
      </c>
      <c r="C5119">
        <v>1</v>
      </c>
      <c r="D5119" t="str">
        <f t="shared" si="79"/>
        <v>1841100.130</v>
      </c>
      <c r="E5119" t="s">
        <v>2576</v>
      </c>
      <c r="F5119" s="242"/>
      <c r="G5119"/>
      <c r="H5119" s="242">
        <v>0</v>
      </c>
      <c r="I5119" s="242">
        <v>0</v>
      </c>
      <c r="J5119"/>
    </row>
    <row r="5120" spans="1:10">
      <c r="A5120" t="s">
        <v>2577</v>
      </c>
      <c r="B5120">
        <v>841100</v>
      </c>
      <c r="C5120">
        <v>1</v>
      </c>
      <c r="D5120" t="str">
        <f t="shared" si="79"/>
        <v>1841100.140</v>
      </c>
      <c r="E5120" t="s">
        <v>2578</v>
      </c>
      <c r="F5120" s="242"/>
      <c r="G5120"/>
      <c r="H5120" s="242">
        <v>120448</v>
      </c>
      <c r="I5120" s="242">
        <v>91201</v>
      </c>
      <c r="J5120"/>
    </row>
    <row r="5121" spans="1:10">
      <c r="A5121" t="s">
        <v>2579</v>
      </c>
      <c r="B5121">
        <v>841100</v>
      </c>
      <c r="C5121">
        <v>1</v>
      </c>
      <c r="D5121" t="str">
        <f t="shared" si="79"/>
        <v>1841100.181</v>
      </c>
      <c r="E5121" t="s">
        <v>2580</v>
      </c>
      <c r="F5121" s="242"/>
      <c r="G5121"/>
      <c r="H5121" s="242">
        <v>100653</v>
      </c>
      <c r="I5121" s="242">
        <v>87249</v>
      </c>
      <c r="J5121"/>
    </row>
    <row r="5122" spans="1:10">
      <c r="A5122" t="s">
        <v>2581</v>
      </c>
      <c r="B5122">
        <v>841100</v>
      </c>
      <c r="C5122">
        <v>1</v>
      </c>
      <c r="D5122" t="str">
        <f t="shared" si="79"/>
        <v>1841100.182</v>
      </c>
      <c r="E5122" t="s">
        <v>2582</v>
      </c>
      <c r="F5122" s="242"/>
      <c r="G5122"/>
      <c r="H5122" s="242">
        <v>46112</v>
      </c>
      <c r="I5122" s="242">
        <v>40176</v>
      </c>
      <c r="J5122"/>
    </row>
    <row r="5123" spans="1:10">
      <c r="A5123" t="s">
        <v>1181</v>
      </c>
      <c r="B5123">
        <v>842100</v>
      </c>
      <c r="C5123">
        <v>1</v>
      </c>
      <c r="D5123" t="str">
        <f t="shared" ref="D5123:D5186" si="80">C5123&amp;B5123&amp;"."&amp;A5123</f>
        <v>1842100.822</v>
      </c>
      <c r="E5123" t="s">
        <v>4369</v>
      </c>
      <c r="F5123" s="242"/>
      <c r="G5123"/>
      <c r="H5123" s="242">
        <v>0</v>
      </c>
      <c r="I5123" s="242">
        <v>2629</v>
      </c>
      <c r="J5123"/>
    </row>
    <row r="5124" spans="1:10">
      <c r="A5124" t="s">
        <v>1186</v>
      </c>
      <c r="B5124">
        <v>842100</v>
      </c>
      <c r="C5124">
        <v>1</v>
      </c>
      <c r="D5124" t="str">
        <f t="shared" si="80"/>
        <v>1842100.823</v>
      </c>
      <c r="E5124" t="s">
        <v>4370</v>
      </c>
      <c r="F5124" s="242"/>
      <c r="G5124"/>
      <c r="H5124" s="242">
        <v>0</v>
      </c>
      <c r="I5124" s="242">
        <v>5825</v>
      </c>
      <c r="J5124"/>
    </row>
    <row r="5125" spans="1:10">
      <c r="A5125" t="s">
        <v>1196</v>
      </c>
      <c r="B5125">
        <v>842100</v>
      </c>
      <c r="C5125">
        <v>1</v>
      </c>
      <c r="D5125" t="str">
        <f t="shared" si="80"/>
        <v>1842100.825</v>
      </c>
      <c r="E5125" t="s">
        <v>4371</v>
      </c>
      <c r="F5125" s="242"/>
      <c r="G5125"/>
      <c r="H5125" s="242">
        <v>0</v>
      </c>
      <c r="I5125" s="242">
        <v>5642</v>
      </c>
      <c r="J5125"/>
    </row>
    <row r="5126" spans="1:10">
      <c r="A5126" t="s">
        <v>1216</v>
      </c>
      <c r="B5126">
        <v>842100</v>
      </c>
      <c r="C5126">
        <v>1</v>
      </c>
      <c r="D5126" t="str">
        <f t="shared" si="80"/>
        <v>1842100.826</v>
      </c>
      <c r="E5126" t="s">
        <v>4372</v>
      </c>
      <c r="F5126" s="242"/>
      <c r="G5126"/>
      <c r="H5126" s="242">
        <v>0</v>
      </c>
      <c r="I5126" s="242">
        <v>2000</v>
      </c>
      <c r="J5126"/>
    </row>
    <row r="5127" spans="1:10">
      <c r="A5127" t="s">
        <v>1241</v>
      </c>
      <c r="B5127">
        <v>842100</v>
      </c>
      <c r="C5127">
        <v>1</v>
      </c>
      <c r="D5127" t="str">
        <f t="shared" si="80"/>
        <v>1842100.827</v>
      </c>
      <c r="E5127" t="s">
        <v>4373</v>
      </c>
      <c r="F5127" s="242"/>
      <c r="G5127"/>
      <c r="H5127" s="242">
        <v>0</v>
      </c>
      <c r="I5127" s="242">
        <v>4380</v>
      </c>
      <c r="J5127"/>
    </row>
    <row r="5128" spans="1:10">
      <c r="A5128" t="s">
        <v>1245</v>
      </c>
      <c r="B5128">
        <v>842100</v>
      </c>
      <c r="C5128">
        <v>1</v>
      </c>
      <c r="D5128" t="str">
        <f t="shared" si="80"/>
        <v>1842100.828</v>
      </c>
      <c r="E5128" t="s">
        <v>4374</v>
      </c>
      <c r="F5128" s="242"/>
      <c r="G5128"/>
      <c r="H5128" s="242">
        <v>0</v>
      </c>
      <c r="I5128" s="242">
        <v>0</v>
      </c>
      <c r="J5128"/>
    </row>
    <row r="5129" spans="1:10">
      <c r="A5129" t="s">
        <v>2652</v>
      </c>
      <c r="B5129">
        <v>842200</v>
      </c>
      <c r="C5129">
        <v>1</v>
      </c>
      <c r="D5129" t="str">
        <f t="shared" si="80"/>
        <v>1842200.420</v>
      </c>
      <c r="E5129" t="s">
        <v>2653</v>
      </c>
      <c r="F5129" s="242"/>
      <c r="G5129"/>
      <c r="H5129" s="242">
        <v>13000</v>
      </c>
      <c r="I5129" s="242">
        <v>12939</v>
      </c>
      <c r="J5129"/>
    </row>
    <row r="5130" spans="1:10">
      <c r="A5130" t="s">
        <v>1663</v>
      </c>
      <c r="B5130">
        <v>842200</v>
      </c>
      <c r="C5130">
        <v>1</v>
      </c>
      <c r="D5130" t="str">
        <f t="shared" si="80"/>
        <v>1842200.431</v>
      </c>
      <c r="E5130" t="s">
        <v>2654</v>
      </c>
      <c r="F5130" s="242"/>
      <c r="G5130"/>
      <c r="H5130" s="242">
        <v>23900</v>
      </c>
      <c r="I5130" s="242">
        <v>18407</v>
      </c>
      <c r="J5130"/>
    </row>
    <row r="5131" spans="1:10">
      <c r="A5131" t="s">
        <v>2606</v>
      </c>
      <c r="B5131">
        <v>842200</v>
      </c>
      <c r="C5131">
        <v>1</v>
      </c>
      <c r="D5131" t="str">
        <f t="shared" si="80"/>
        <v>1842200.440</v>
      </c>
      <c r="E5131" t="s">
        <v>3860</v>
      </c>
      <c r="F5131" s="242"/>
      <c r="G5131"/>
      <c r="H5131" s="242">
        <v>3400</v>
      </c>
      <c r="I5131" s="242">
        <v>3312</v>
      </c>
      <c r="J5131"/>
    </row>
    <row r="5132" spans="1:10">
      <c r="A5132" t="s">
        <v>2594</v>
      </c>
      <c r="B5132">
        <v>842200</v>
      </c>
      <c r="C5132">
        <v>1</v>
      </c>
      <c r="D5132" t="str">
        <f t="shared" si="80"/>
        <v>1842200.540</v>
      </c>
      <c r="E5132" t="s">
        <v>2595</v>
      </c>
      <c r="F5132" s="242"/>
      <c r="G5132"/>
      <c r="H5132" s="242">
        <v>9000</v>
      </c>
      <c r="I5132" s="242">
        <v>4522</v>
      </c>
      <c r="J5132"/>
    </row>
    <row r="5133" spans="1:10">
      <c r="A5133" t="s">
        <v>673</v>
      </c>
      <c r="B5133">
        <v>842200</v>
      </c>
      <c r="C5133">
        <v>1</v>
      </c>
      <c r="D5133" t="str">
        <f t="shared" si="80"/>
        <v>1842200.743</v>
      </c>
      <c r="E5133" t="s">
        <v>2622</v>
      </c>
      <c r="F5133" s="242"/>
      <c r="G5133"/>
      <c r="H5133" s="242">
        <v>22800</v>
      </c>
      <c r="I5133" s="242">
        <v>46461</v>
      </c>
      <c r="J5133"/>
    </row>
    <row r="5134" spans="1:10">
      <c r="A5134" t="s">
        <v>678</v>
      </c>
      <c r="B5134">
        <v>842200</v>
      </c>
      <c r="C5134">
        <v>1</v>
      </c>
      <c r="D5134" t="str">
        <f t="shared" si="80"/>
        <v>1842200.744</v>
      </c>
      <c r="E5134" t="s">
        <v>3861</v>
      </c>
      <c r="F5134" s="242"/>
      <c r="G5134"/>
      <c r="H5134" s="242">
        <v>10000</v>
      </c>
      <c r="I5134" s="242">
        <v>4445</v>
      </c>
      <c r="J5134"/>
    </row>
    <row r="5135" spans="1:10">
      <c r="A5135" t="s">
        <v>2632</v>
      </c>
      <c r="B5135">
        <v>842200</v>
      </c>
      <c r="C5135">
        <v>1</v>
      </c>
      <c r="D5135" t="str">
        <f t="shared" si="80"/>
        <v>1842200.780</v>
      </c>
      <c r="E5135" t="s">
        <v>3862</v>
      </c>
      <c r="F5135" s="242"/>
      <c r="G5135"/>
      <c r="H5135" s="242">
        <v>400000</v>
      </c>
      <c r="I5135" s="242">
        <v>400000</v>
      </c>
      <c r="J5135"/>
    </row>
    <row r="5136" spans="1:10">
      <c r="A5136" t="s">
        <v>872</v>
      </c>
      <c r="B5136">
        <v>842200</v>
      </c>
      <c r="C5136">
        <v>1</v>
      </c>
      <c r="D5136" t="str">
        <f t="shared" si="80"/>
        <v>1842200.781</v>
      </c>
      <c r="E5136" t="s">
        <v>3863</v>
      </c>
      <c r="F5136" s="242"/>
      <c r="G5136"/>
      <c r="H5136" s="242">
        <v>94300</v>
      </c>
      <c r="I5136" s="242">
        <v>55408</v>
      </c>
      <c r="J5136"/>
    </row>
    <row r="5137" spans="1:10">
      <c r="A5137" t="s">
        <v>877</v>
      </c>
      <c r="B5137">
        <v>842200</v>
      </c>
      <c r="C5137">
        <v>1</v>
      </c>
      <c r="D5137" t="str">
        <f t="shared" si="80"/>
        <v>1842200.782</v>
      </c>
      <c r="E5137" t="s">
        <v>3864</v>
      </c>
      <c r="F5137" s="242"/>
      <c r="G5137"/>
      <c r="H5137" s="242">
        <v>26000</v>
      </c>
      <c r="I5137" s="242">
        <v>0</v>
      </c>
      <c r="J5137"/>
    </row>
    <row r="5138" spans="1:10">
      <c r="A5138" t="s">
        <v>2674</v>
      </c>
      <c r="B5138">
        <v>842200</v>
      </c>
      <c r="C5138">
        <v>1</v>
      </c>
      <c r="D5138" t="str">
        <f t="shared" si="80"/>
        <v>1842200.783</v>
      </c>
      <c r="E5138" t="s">
        <v>3865</v>
      </c>
      <c r="F5138" s="242"/>
      <c r="G5138"/>
      <c r="H5138" s="242">
        <v>0</v>
      </c>
      <c r="I5138" s="242">
        <v>0</v>
      </c>
      <c r="J5138"/>
    </row>
    <row r="5139" spans="1:10">
      <c r="A5139" t="s">
        <v>2750</v>
      </c>
      <c r="B5139">
        <v>842200</v>
      </c>
      <c r="C5139">
        <v>1</v>
      </c>
      <c r="D5139" t="str">
        <f t="shared" si="80"/>
        <v>1842200.785</v>
      </c>
      <c r="E5139" t="s">
        <v>3677</v>
      </c>
      <c r="F5139" s="242"/>
      <c r="G5139"/>
      <c r="H5139" s="242">
        <v>100000</v>
      </c>
      <c r="I5139" s="242">
        <v>99999</v>
      </c>
      <c r="J5139"/>
    </row>
    <row r="5140" spans="1:10">
      <c r="A5140" t="s">
        <v>3829</v>
      </c>
      <c r="B5140">
        <v>842200</v>
      </c>
      <c r="C5140">
        <v>1</v>
      </c>
      <c r="D5140" t="str">
        <f t="shared" si="80"/>
        <v>1842200.840</v>
      </c>
      <c r="E5140" t="s">
        <v>3842</v>
      </c>
      <c r="F5140" s="242"/>
      <c r="G5140"/>
      <c r="H5140" s="242">
        <v>659300</v>
      </c>
      <c r="I5140" s="242">
        <v>989105</v>
      </c>
      <c r="J5140"/>
    </row>
    <row r="5141" spans="1:10">
      <c r="A5141" t="s">
        <v>1363</v>
      </c>
      <c r="B5141">
        <v>842200</v>
      </c>
      <c r="C5141">
        <v>1</v>
      </c>
      <c r="D5141" t="str">
        <f t="shared" si="80"/>
        <v>1842200.841</v>
      </c>
      <c r="E5141" t="s">
        <v>3843</v>
      </c>
      <c r="F5141" s="242"/>
      <c r="G5141"/>
      <c r="H5141" s="242">
        <v>539067</v>
      </c>
      <c r="I5141" s="242">
        <v>398456</v>
      </c>
      <c r="J5141"/>
    </row>
    <row r="5142" spans="1:10">
      <c r="A5142" t="s">
        <v>1367</v>
      </c>
      <c r="B5142">
        <v>842200</v>
      </c>
      <c r="C5142">
        <v>1</v>
      </c>
      <c r="D5142" t="str">
        <f t="shared" si="80"/>
        <v>1842200.842</v>
      </c>
      <c r="E5142" t="s">
        <v>3866</v>
      </c>
      <c r="F5142" s="242"/>
      <c r="G5142"/>
      <c r="H5142" s="242">
        <v>37100</v>
      </c>
      <c r="I5142" s="242">
        <v>0</v>
      </c>
      <c r="J5142"/>
    </row>
    <row r="5143" spans="1:10">
      <c r="A5143" t="s">
        <v>1386</v>
      </c>
      <c r="B5143">
        <v>842200</v>
      </c>
      <c r="C5143">
        <v>1</v>
      </c>
      <c r="D5143" t="str">
        <f t="shared" si="80"/>
        <v>1842200.843</v>
      </c>
      <c r="E5143" t="s">
        <v>3867</v>
      </c>
      <c r="F5143" s="242"/>
      <c r="G5143"/>
      <c r="H5143" s="242">
        <v>0</v>
      </c>
      <c r="I5143" s="242">
        <v>168176</v>
      </c>
      <c r="J5143"/>
    </row>
    <row r="5144" spans="1:10">
      <c r="A5144" t="s">
        <v>1406</v>
      </c>
      <c r="B5144">
        <v>842200</v>
      </c>
      <c r="C5144">
        <v>1</v>
      </c>
      <c r="D5144" t="str">
        <f t="shared" si="80"/>
        <v>1842200.844</v>
      </c>
      <c r="E5144" t="s">
        <v>3846</v>
      </c>
      <c r="F5144" s="242"/>
      <c r="G5144"/>
      <c r="H5144" s="242">
        <v>33333</v>
      </c>
      <c r="I5144" s="242">
        <v>13016</v>
      </c>
      <c r="J5144"/>
    </row>
    <row r="5145" spans="1:10">
      <c r="A5145" t="s">
        <v>1426</v>
      </c>
      <c r="B5145">
        <v>842200</v>
      </c>
      <c r="C5145">
        <v>1</v>
      </c>
      <c r="D5145" t="str">
        <f t="shared" si="80"/>
        <v>1842200.845</v>
      </c>
      <c r="E5145" t="s">
        <v>3847</v>
      </c>
      <c r="F5145" s="242"/>
      <c r="G5145"/>
      <c r="H5145" s="242">
        <v>741967</v>
      </c>
      <c r="I5145" s="242">
        <v>1016050</v>
      </c>
      <c r="J5145"/>
    </row>
    <row r="5146" spans="1:10">
      <c r="A5146" t="s">
        <v>1521</v>
      </c>
      <c r="B5146">
        <v>842200</v>
      </c>
      <c r="C5146">
        <v>1</v>
      </c>
      <c r="D5146" t="str">
        <f t="shared" si="80"/>
        <v>1842200.848</v>
      </c>
      <c r="E5146" t="s">
        <v>3848</v>
      </c>
      <c r="F5146" s="242"/>
      <c r="G5146"/>
      <c r="H5146" s="242">
        <v>0</v>
      </c>
      <c r="I5146" s="242">
        <v>0</v>
      </c>
      <c r="J5146"/>
    </row>
    <row r="5147" spans="1:10">
      <c r="A5147" t="s">
        <v>1176</v>
      </c>
      <c r="B5147">
        <v>842200</v>
      </c>
      <c r="C5147">
        <v>1</v>
      </c>
      <c r="D5147" t="str">
        <f t="shared" si="80"/>
        <v>1842200.821</v>
      </c>
      <c r="E5147" t="s">
        <v>4375</v>
      </c>
      <c r="F5147" s="242"/>
      <c r="G5147"/>
      <c r="H5147" s="242">
        <v>0</v>
      </c>
      <c r="I5147" s="242">
        <v>3625</v>
      </c>
      <c r="J5147"/>
    </row>
    <row r="5148" spans="1:10">
      <c r="A5148" t="s">
        <v>1186</v>
      </c>
      <c r="B5148">
        <v>842200</v>
      </c>
      <c r="C5148">
        <v>1</v>
      </c>
      <c r="D5148" t="str">
        <f t="shared" si="80"/>
        <v>1842200.823</v>
      </c>
      <c r="E5148" t="s">
        <v>4376</v>
      </c>
      <c r="F5148" s="242"/>
      <c r="G5148"/>
      <c r="H5148" s="242">
        <v>0</v>
      </c>
      <c r="I5148" s="242">
        <v>4283</v>
      </c>
      <c r="J5148"/>
    </row>
    <row r="5149" spans="1:10">
      <c r="A5149" t="s">
        <v>1241</v>
      </c>
      <c r="B5149">
        <v>842200</v>
      </c>
      <c r="C5149">
        <v>1</v>
      </c>
      <c r="D5149" t="str">
        <f t="shared" si="80"/>
        <v>1842200.827</v>
      </c>
      <c r="E5149" t="s">
        <v>4377</v>
      </c>
      <c r="F5149" s="242"/>
      <c r="G5149"/>
      <c r="H5149" s="242">
        <v>0</v>
      </c>
      <c r="I5149" s="242">
        <v>2638</v>
      </c>
      <c r="J5149"/>
    </row>
    <row r="5150" spans="1:10">
      <c r="A5150" t="s">
        <v>1245</v>
      </c>
      <c r="B5150">
        <v>842200</v>
      </c>
      <c r="C5150">
        <v>1</v>
      </c>
      <c r="D5150" t="str">
        <f t="shared" si="80"/>
        <v>1842200.828</v>
      </c>
      <c r="E5150" t="s">
        <v>4378</v>
      </c>
      <c r="F5150" s="242"/>
      <c r="G5150"/>
      <c r="H5150" s="242">
        <v>0</v>
      </c>
      <c r="I5150" s="242">
        <v>7199</v>
      </c>
      <c r="J5150"/>
    </row>
    <row r="5151" spans="1:10">
      <c r="A5151" t="s">
        <v>2419</v>
      </c>
      <c r="B5151">
        <v>842200</v>
      </c>
      <c r="C5151">
        <v>1</v>
      </c>
      <c r="D5151" t="str">
        <f t="shared" si="80"/>
        <v>1842200.829</v>
      </c>
      <c r="E5151" t="s">
        <v>4379</v>
      </c>
      <c r="F5151" s="242"/>
      <c r="G5151"/>
      <c r="H5151" s="242">
        <v>0</v>
      </c>
      <c r="I5151" s="242">
        <v>2725</v>
      </c>
      <c r="J5151"/>
    </row>
    <row r="5152" spans="1:10">
      <c r="A5152" t="s">
        <v>3829</v>
      </c>
      <c r="B5152">
        <v>842201</v>
      </c>
      <c r="C5152">
        <v>1</v>
      </c>
      <c r="D5152" t="str">
        <f t="shared" si="80"/>
        <v>1842201.840</v>
      </c>
      <c r="E5152" t="s">
        <v>3849</v>
      </c>
      <c r="F5152" s="242"/>
      <c r="G5152"/>
      <c r="H5152" s="242">
        <v>36000</v>
      </c>
      <c r="I5152" s="242">
        <v>0</v>
      </c>
      <c r="J5152"/>
    </row>
    <row r="5153" spans="1:10">
      <c r="A5153" t="s">
        <v>2403</v>
      </c>
      <c r="B5153">
        <v>842210</v>
      </c>
      <c r="C5153">
        <v>1</v>
      </c>
      <c r="D5153" t="str">
        <f t="shared" si="80"/>
        <v>1842210.110</v>
      </c>
      <c r="E5153" t="s">
        <v>3938</v>
      </c>
      <c r="F5153" s="242"/>
      <c r="G5153"/>
      <c r="H5153" s="242">
        <v>270230</v>
      </c>
      <c r="I5153" s="242">
        <v>225350</v>
      </c>
      <c r="J5153"/>
    </row>
    <row r="5154" spans="1:10">
      <c r="A5154" t="s">
        <v>2404</v>
      </c>
      <c r="B5154">
        <v>842210</v>
      </c>
      <c r="C5154">
        <v>1</v>
      </c>
      <c r="D5154" t="str">
        <f t="shared" si="80"/>
        <v>1842210.120</v>
      </c>
      <c r="E5154" t="s">
        <v>2574</v>
      </c>
      <c r="F5154" s="242"/>
      <c r="G5154"/>
      <c r="H5154" s="242">
        <v>24471</v>
      </c>
      <c r="I5154" s="242">
        <v>22449</v>
      </c>
      <c r="J5154"/>
    </row>
    <row r="5155" spans="1:10">
      <c r="A5155" t="s">
        <v>2575</v>
      </c>
      <c r="B5155">
        <v>842210</v>
      </c>
      <c r="C5155">
        <v>1</v>
      </c>
      <c r="D5155" t="str">
        <f t="shared" si="80"/>
        <v>1842210.130</v>
      </c>
      <c r="E5155" t="s">
        <v>2576</v>
      </c>
      <c r="F5155" s="242"/>
      <c r="G5155"/>
      <c r="H5155" s="242">
        <v>14944</v>
      </c>
      <c r="I5155" s="242">
        <v>13229</v>
      </c>
      <c r="J5155"/>
    </row>
    <row r="5156" spans="1:10">
      <c r="A5156" t="s">
        <v>2577</v>
      </c>
      <c r="B5156">
        <v>842210</v>
      </c>
      <c r="C5156">
        <v>1</v>
      </c>
      <c r="D5156" t="str">
        <f t="shared" si="80"/>
        <v>1842210.140</v>
      </c>
      <c r="E5156" t="s">
        <v>2578</v>
      </c>
      <c r="F5156" s="242"/>
      <c r="G5156"/>
      <c r="H5156" s="242">
        <v>70516</v>
      </c>
      <c r="I5156" s="242">
        <v>53625</v>
      </c>
      <c r="J5156"/>
    </row>
    <row r="5157" spans="1:10">
      <c r="A5157" t="s">
        <v>2579</v>
      </c>
      <c r="B5157">
        <v>842210</v>
      </c>
      <c r="C5157">
        <v>1</v>
      </c>
      <c r="D5157" t="str">
        <f t="shared" si="80"/>
        <v>1842210.181</v>
      </c>
      <c r="E5157" t="s">
        <v>2959</v>
      </c>
      <c r="F5157" s="242"/>
      <c r="G5157"/>
      <c r="H5157" s="242">
        <v>74836</v>
      </c>
      <c r="I5157" s="242">
        <v>60589</v>
      </c>
      <c r="J5157"/>
    </row>
    <row r="5158" spans="1:10">
      <c r="A5158" t="s">
        <v>2581</v>
      </c>
      <c r="B5158">
        <v>842210</v>
      </c>
      <c r="C5158">
        <v>1</v>
      </c>
      <c r="D5158" t="str">
        <f t="shared" si="80"/>
        <v>1842210.182</v>
      </c>
      <c r="E5158" t="s">
        <v>2582</v>
      </c>
      <c r="F5158" s="242"/>
      <c r="G5158"/>
      <c r="H5158" s="242">
        <v>29172</v>
      </c>
      <c r="I5158" s="242">
        <v>24170</v>
      </c>
      <c r="J5158"/>
    </row>
    <row r="5159" spans="1:10">
      <c r="A5159" t="s">
        <v>2652</v>
      </c>
      <c r="B5159">
        <v>842210</v>
      </c>
      <c r="C5159">
        <v>1</v>
      </c>
      <c r="D5159" t="str">
        <f t="shared" si="80"/>
        <v>1842210.420</v>
      </c>
      <c r="E5159" t="s">
        <v>2653</v>
      </c>
      <c r="F5159" s="242"/>
      <c r="G5159"/>
      <c r="H5159" s="242">
        <v>13000</v>
      </c>
      <c r="I5159" s="242">
        <v>0</v>
      </c>
      <c r="J5159"/>
    </row>
    <row r="5160" spans="1:10">
      <c r="A5160" t="s">
        <v>1663</v>
      </c>
      <c r="B5160">
        <v>842210</v>
      </c>
      <c r="C5160">
        <v>1</v>
      </c>
      <c r="D5160" t="str">
        <f t="shared" si="80"/>
        <v>1842210.431</v>
      </c>
      <c r="E5160" t="s">
        <v>2654</v>
      </c>
      <c r="F5160" s="242"/>
      <c r="G5160"/>
      <c r="H5160" s="242">
        <v>6500</v>
      </c>
      <c r="I5160" s="242">
        <v>13964</v>
      </c>
      <c r="J5160"/>
    </row>
    <row r="5161" spans="1:10">
      <c r="A5161" t="s">
        <v>1668</v>
      </c>
      <c r="B5161">
        <v>842210</v>
      </c>
      <c r="C5161">
        <v>1</v>
      </c>
      <c r="D5161" t="str">
        <f t="shared" si="80"/>
        <v>1842210.432</v>
      </c>
      <c r="E5161" t="s">
        <v>2687</v>
      </c>
      <c r="F5161" s="242"/>
      <c r="G5161"/>
      <c r="H5161" s="242">
        <v>16600</v>
      </c>
      <c r="I5161" s="242">
        <v>32037</v>
      </c>
      <c r="J5161"/>
    </row>
    <row r="5162" spans="1:10">
      <c r="A5162" t="s">
        <v>1678</v>
      </c>
      <c r="B5162">
        <v>842210</v>
      </c>
      <c r="C5162">
        <v>1</v>
      </c>
      <c r="D5162" t="str">
        <f t="shared" si="80"/>
        <v>1842210.434</v>
      </c>
      <c r="E5162" t="s">
        <v>2753</v>
      </c>
      <c r="F5162" s="242"/>
      <c r="G5162"/>
      <c r="H5162" s="242">
        <v>36750</v>
      </c>
      <c r="I5162" s="242">
        <v>27091</v>
      </c>
      <c r="J5162"/>
    </row>
    <row r="5163" spans="1:10">
      <c r="A5163" t="s">
        <v>2606</v>
      </c>
      <c r="B5163">
        <v>842210</v>
      </c>
      <c r="C5163">
        <v>1</v>
      </c>
      <c r="D5163" t="str">
        <f t="shared" si="80"/>
        <v>1842210.440</v>
      </c>
      <c r="E5163" t="s">
        <v>3939</v>
      </c>
      <c r="F5163" s="242"/>
      <c r="G5163"/>
      <c r="H5163" s="242">
        <v>3400</v>
      </c>
      <c r="I5163" s="242">
        <v>3312</v>
      </c>
      <c r="J5163"/>
    </row>
    <row r="5164" spans="1:10">
      <c r="A5164" t="s">
        <v>2594</v>
      </c>
      <c r="B5164">
        <v>842210</v>
      </c>
      <c r="C5164">
        <v>1</v>
      </c>
      <c r="D5164" t="str">
        <f t="shared" si="80"/>
        <v>1842210.540</v>
      </c>
      <c r="E5164" t="s">
        <v>2595</v>
      </c>
      <c r="F5164" s="242"/>
      <c r="G5164"/>
      <c r="H5164" s="242">
        <v>8000</v>
      </c>
      <c r="I5164" s="242">
        <v>7110</v>
      </c>
      <c r="J5164"/>
    </row>
    <row r="5165" spans="1:10">
      <c r="A5165" t="s">
        <v>673</v>
      </c>
      <c r="B5165">
        <v>842210</v>
      </c>
      <c r="C5165">
        <v>1</v>
      </c>
      <c r="D5165" t="str">
        <f t="shared" si="80"/>
        <v>1842210.743</v>
      </c>
      <c r="E5165" t="s">
        <v>2622</v>
      </c>
      <c r="F5165" s="242"/>
      <c r="G5165"/>
      <c r="H5165" s="242">
        <v>4000</v>
      </c>
      <c r="I5165" s="242">
        <v>0</v>
      </c>
      <c r="J5165"/>
    </row>
    <row r="5166" spans="1:10">
      <c r="A5166" t="s">
        <v>3829</v>
      </c>
      <c r="B5166">
        <v>842210</v>
      </c>
      <c r="C5166">
        <v>1</v>
      </c>
      <c r="D5166" t="str">
        <f t="shared" si="80"/>
        <v>1842210.840</v>
      </c>
      <c r="E5166" t="s">
        <v>3940</v>
      </c>
      <c r="F5166" s="242"/>
      <c r="G5166"/>
      <c r="H5166" s="242">
        <v>962881</v>
      </c>
      <c r="I5166" s="242">
        <v>731101</v>
      </c>
      <c r="J5166"/>
    </row>
    <row r="5167" spans="1:10">
      <c r="A5167" t="s">
        <v>1363</v>
      </c>
      <c r="B5167">
        <v>842210</v>
      </c>
      <c r="C5167">
        <v>1</v>
      </c>
      <c r="D5167" t="str">
        <f t="shared" si="80"/>
        <v>1842210.841</v>
      </c>
      <c r="E5167" t="s">
        <v>4082</v>
      </c>
      <c r="F5167" s="242"/>
      <c r="G5167"/>
      <c r="H5167" s="242">
        <v>500000</v>
      </c>
      <c r="I5167" s="242">
        <v>655467</v>
      </c>
      <c r="J5167"/>
    </row>
    <row r="5168" spans="1:10">
      <c r="A5168" t="s">
        <v>1181</v>
      </c>
      <c r="B5168">
        <v>842210</v>
      </c>
      <c r="C5168">
        <v>1</v>
      </c>
      <c r="D5168" t="str">
        <f t="shared" si="80"/>
        <v>1842210.822</v>
      </c>
      <c r="E5168" t="s">
        <v>4380</v>
      </c>
      <c r="F5168" s="242"/>
      <c r="G5168"/>
      <c r="H5168" s="242">
        <v>0</v>
      </c>
      <c r="I5168" s="242">
        <v>5168</v>
      </c>
      <c r="J5168"/>
    </row>
    <row r="5169" spans="1:10">
      <c r="A5169" t="s">
        <v>1186</v>
      </c>
      <c r="B5169">
        <v>842210</v>
      </c>
      <c r="C5169">
        <v>1</v>
      </c>
      <c r="D5169" t="str">
        <f t="shared" si="80"/>
        <v>1842210.823</v>
      </c>
      <c r="E5169" t="s">
        <v>4381</v>
      </c>
      <c r="F5169" s="242"/>
      <c r="G5169"/>
      <c r="H5169" s="242">
        <v>0</v>
      </c>
      <c r="I5169" s="242">
        <v>4379</v>
      </c>
      <c r="J5169"/>
    </row>
    <row r="5170" spans="1:10">
      <c r="A5170" t="s">
        <v>1196</v>
      </c>
      <c r="B5170">
        <v>842210</v>
      </c>
      <c r="C5170">
        <v>1</v>
      </c>
      <c r="D5170" t="str">
        <f t="shared" si="80"/>
        <v>1842210.825</v>
      </c>
      <c r="E5170" t="s">
        <v>4382</v>
      </c>
      <c r="F5170" s="242"/>
      <c r="G5170"/>
      <c r="H5170" s="242">
        <v>0</v>
      </c>
      <c r="I5170" s="242">
        <v>10841</v>
      </c>
      <c r="J5170"/>
    </row>
    <row r="5171" spans="1:10">
      <c r="A5171" t="s">
        <v>1216</v>
      </c>
      <c r="B5171">
        <v>842210</v>
      </c>
      <c r="C5171">
        <v>1</v>
      </c>
      <c r="D5171" t="str">
        <f t="shared" si="80"/>
        <v>1842210.826</v>
      </c>
      <c r="E5171" t="s">
        <v>4383</v>
      </c>
      <c r="F5171" s="242"/>
      <c r="G5171"/>
      <c r="H5171" s="242">
        <v>0</v>
      </c>
      <c r="I5171" s="242">
        <v>4569</v>
      </c>
      <c r="J5171"/>
    </row>
    <row r="5172" spans="1:10">
      <c r="A5172" t="s">
        <v>1241</v>
      </c>
      <c r="B5172">
        <v>842210</v>
      </c>
      <c r="C5172">
        <v>1</v>
      </c>
      <c r="D5172" t="str">
        <f t="shared" si="80"/>
        <v>1842210.827</v>
      </c>
      <c r="E5172" t="s">
        <v>4384</v>
      </c>
      <c r="F5172" s="242"/>
      <c r="G5172"/>
      <c r="H5172" s="242">
        <v>0</v>
      </c>
      <c r="I5172" s="242">
        <v>4246</v>
      </c>
      <c r="J5172"/>
    </row>
    <row r="5173" spans="1:10">
      <c r="A5173" t="s">
        <v>3829</v>
      </c>
      <c r="B5173">
        <v>842220</v>
      </c>
      <c r="C5173">
        <v>1</v>
      </c>
      <c r="D5173" t="str">
        <f t="shared" si="80"/>
        <v>1842220.840</v>
      </c>
      <c r="E5173" t="s">
        <v>3850</v>
      </c>
      <c r="F5173" s="242"/>
      <c r="G5173"/>
      <c r="H5173" s="242">
        <v>30000</v>
      </c>
      <c r="I5173" s="242">
        <v>0</v>
      </c>
      <c r="J5173"/>
    </row>
    <row r="5174" spans="1:10">
      <c r="A5174" t="s">
        <v>1663</v>
      </c>
      <c r="B5174">
        <v>842300</v>
      </c>
      <c r="C5174">
        <v>1</v>
      </c>
      <c r="D5174" t="str">
        <f t="shared" si="80"/>
        <v>1842300.431</v>
      </c>
      <c r="E5174" t="s">
        <v>2654</v>
      </c>
      <c r="F5174" s="242"/>
      <c r="G5174"/>
      <c r="H5174" s="242">
        <v>0</v>
      </c>
      <c r="I5174" s="242">
        <v>1293</v>
      </c>
      <c r="J5174"/>
    </row>
    <row r="5175" spans="1:10">
      <c r="A5175" t="s">
        <v>2403</v>
      </c>
      <c r="B5175">
        <v>842400</v>
      </c>
      <c r="C5175">
        <v>1</v>
      </c>
      <c r="D5175" t="str">
        <f t="shared" si="80"/>
        <v>1842400.110</v>
      </c>
      <c r="E5175" t="s">
        <v>3868</v>
      </c>
      <c r="F5175" s="242"/>
      <c r="G5175"/>
      <c r="H5175" s="242">
        <v>82866</v>
      </c>
      <c r="I5175" s="242">
        <v>84245</v>
      </c>
      <c r="J5175"/>
    </row>
    <row r="5176" spans="1:10">
      <c r="A5176" t="s">
        <v>2404</v>
      </c>
      <c r="B5176">
        <v>842400</v>
      </c>
      <c r="C5176">
        <v>1</v>
      </c>
      <c r="D5176" t="str">
        <f t="shared" si="80"/>
        <v>1842400.120</v>
      </c>
      <c r="E5176" t="s">
        <v>2574</v>
      </c>
      <c r="F5176" s="242"/>
      <c r="G5176"/>
      <c r="H5176" s="242">
        <v>74344</v>
      </c>
      <c r="I5176" s="242">
        <v>71342</v>
      </c>
      <c r="J5176"/>
    </row>
    <row r="5177" spans="1:10">
      <c r="A5177" t="s">
        <v>2577</v>
      </c>
      <c r="B5177">
        <v>842400</v>
      </c>
      <c r="C5177">
        <v>1</v>
      </c>
      <c r="D5177" t="str">
        <f t="shared" si="80"/>
        <v>1842400.140</v>
      </c>
      <c r="E5177" t="s">
        <v>2578</v>
      </c>
      <c r="F5177" s="242"/>
      <c r="G5177"/>
      <c r="H5177" s="242">
        <v>35266</v>
      </c>
      <c r="I5177" s="242">
        <v>42713</v>
      </c>
      <c r="J5177"/>
    </row>
    <row r="5178" spans="1:10">
      <c r="A5178" t="s">
        <v>2579</v>
      </c>
      <c r="B5178">
        <v>842400</v>
      </c>
      <c r="C5178">
        <v>1</v>
      </c>
      <c r="D5178" t="str">
        <f t="shared" si="80"/>
        <v>1842400.181</v>
      </c>
      <c r="E5178" t="s">
        <v>2580</v>
      </c>
      <c r="F5178" s="242"/>
      <c r="G5178"/>
      <c r="H5178" s="242">
        <v>34147</v>
      </c>
      <c r="I5178" s="242">
        <v>33186</v>
      </c>
      <c r="J5178"/>
    </row>
    <row r="5179" spans="1:10">
      <c r="A5179" t="s">
        <v>2581</v>
      </c>
      <c r="B5179">
        <v>842400</v>
      </c>
      <c r="C5179">
        <v>1</v>
      </c>
      <c r="D5179" t="str">
        <f t="shared" si="80"/>
        <v>1842400.182</v>
      </c>
      <c r="E5179" t="s">
        <v>2582</v>
      </c>
      <c r="F5179" s="242"/>
      <c r="G5179"/>
      <c r="H5179" s="242">
        <v>15236</v>
      </c>
      <c r="I5179" s="242">
        <v>15574</v>
      </c>
      <c r="J5179"/>
    </row>
    <row r="5180" spans="1:10">
      <c r="A5180" t="s">
        <v>1663</v>
      </c>
      <c r="B5180">
        <v>842400</v>
      </c>
      <c r="C5180">
        <v>1</v>
      </c>
      <c r="D5180" t="str">
        <f t="shared" si="80"/>
        <v>1842400.431</v>
      </c>
      <c r="E5180" t="s">
        <v>3869</v>
      </c>
      <c r="F5180" s="242"/>
      <c r="G5180"/>
      <c r="H5180" s="242">
        <v>9100</v>
      </c>
      <c r="I5180" s="242">
        <v>9847</v>
      </c>
      <c r="J5180"/>
    </row>
    <row r="5181" spans="1:10">
      <c r="A5181" t="s">
        <v>1678</v>
      </c>
      <c r="B5181">
        <v>842400</v>
      </c>
      <c r="C5181">
        <v>1</v>
      </c>
      <c r="D5181" t="str">
        <f t="shared" si="80"/>
        <v>1842400.434</v>
      </c>
      <c r="E5181" t="s">
        <v>3870</v>
      </c>
      <c r="F5181" s="242"/>
      <c r="G5181"/>
      <c r="H5181" s="242">
        <v>24938</v>
      </c>
      <c r="I5181" s="242">
        <v>17821</v>
      </c>
      <c r="J5181"/>
    </row>
    <row r="5182" spans="1:10">
      <c r="A5182" t="s">
        <v>3829</v>
      </c>
      <c r="B5182">
        <v>842400</v>
      </c>
      <c r="C5182">
        <v>1</v>
      </c>
      <c r="D5182" t="str">
        <f t="shared" si="80"/>
        <v>1842400.840</v>
      </c>
      <c r="E5182" t="s">
        <v>3851</v>
      </c>
      <c r="F5182" s="242"/>
      <c r="G5182"/>
      <c r="H5182" s="242">
        <v>50003</v>
      </c>
      <c r="I5182" s="242">
        <v>23760</v>
      </c>
      <c r="J5182"/>
    </row>
    <row r="5183" spans="1:10">
      <c r="A5183" t="s">
        <v>1363</v>
      </c>
      <c r="B5183">
        <v>842400</v>
      </c>
      <c r="C5183">
        <v>1</v>
      </c>
      <c r="D5183" t="str">
        <f t="shared" si="80"/>
        <v>1842400.841</v>
      </c>
      <c r="E5183" t="s">
        <v>3852</v>
      </c>
      <c r="F5183" s="242"/>
      <c r="G5183"/>
      <c r="H5183" s="242">
        <v>444567</v>
      </c>
      <c r="I5183" s="242">
        <v>420987</v>
      </c>
      <c r="J5183"/>
    </row>
    <row r="5184" spans="1:10">
      <c r="A5184" t="s">
        <v>1367</v>
      </c>
      <c r="B5184">
        <v>842400</v>
      </c>
      <c r="C5184">
        <v>1</v>
      </c>
      <c r="D5184" t="str">
        <f t="shared" si="80"/>
        <v>1842400.842</v>
      </c>
      <c r="E5184" t="s">
        <v>3853</v>
      </c>
      <c r="F5184" s="242"/>
      <c r="G5184"/>
      <c r="H5184" s="242">
        <v>62667</v>
      </c>
      <c r="I5184" s="242">
        <v>78064</v>
      </c>
      <c r="J5184"/>
    </row>
    <row r="5185" spans="1:10">
      <c r="A5185" t="s">
        <v>1386</v>
      </c>
      <c r="B5185">
        <v>842400</v>
      </c>
      <c r="C5185">
        <v>1</v>
      </c>
      <c r="D5185" t="str">
        <f t="shared" si="80"/>
        <v>1842400.843</v>
      </c>
      <c r="E5185" t="s">
        <v>3854</v>
      </c>
      <c r="F5185" s="242"/>
      <c r="G5185"/>
      <c r="H5185" s="242">
        <v>0</v>
      </c>
      <c r="I5185" s="242">
        <v>484820</v>
      </c>
      <c r="J5185"/>
    </row>
    <row r="5186" spans="1:10">
      <c r="A5186" t="s">
        <v>1406</v>
      </c>
      <c r="B5186">
        <v>842400</v>
      </c>
      <c r="C5186">
        <v>1</v>
      </c>
      <c r="D5186" t="str">
        <f t="shared" si="80"/>
        <v>1842400.844</v>
      </c>
      <c r="E5186" t="s">
        <v>3855</v>
      </c>
      <c r="F5186" s="242"/>
      <c r="G5186"/>
      <c r="H5186" s="242">
        <v>16000</v>
      </c>
      <c r="I5186" s="242">
        <v>100000</v>
      </c>
      <c r="J5186"/>
    </row>
    <row r="5187" spans="1:10">
      <c r="A5187" t="s">
        <v>1451</v>
      </c>
      <c r="B5187">
        <v>842400</v>
      </c>
      <c r="C5187">
        <v>1</v>
      </c>
      <c r="D5187" t="str">
        <f t="shared" ref="D5187:D5250" si="81">C5187&amp;B5187&amp;"."&amp;A5187</f>
        <v>1842400.846</v>
      </c>
      <c r="E5187" t="s">
        <v>3856</v>
      </c>
      <c r="F5187" s="242"/>
      <c r="G5187"/>
      <c r="H5187" s="242">
        <v>950000</v>
      </c>
      <c r="I5187" s="242">
        <v>0</v>
      </c>
      <c r="J5187"/>
    </row>
    <row r="5188" spans="1:10">
      <c r="A5188" t="s">
        <v>1426</v>
      </c>
      <c r="B5188">
        <v>842400</v>
      </c>
      <c r="C5188">
        <v>1</v>
      </c>
      <c r="D5188" t="str">
        <f t="shared" si="81"/>
        <v>1842400.845</v>
      </c>
      <c r="E5188" t="s">
        <v>4083</v>
      </c>
      <c r="F5188" s="242"/>
      <c r="G5188"/>
      <c r="H5188" s="242">
        <v>500000</v>
      </c>
      <c r="I5188" s="242">
        <v>302659</v>
      </c>
      <c r="J5188"/>
    </row>
    <row r="5189" spans="1:10">
      <c r="A5189" t="s">
        <v>1181</v>
      </c>
      <c r="B5189">
        <v>842400</v>
      </c>
      <c r="C5189">
        <v>1</v>
      </c>
      <c r="D5189" t="str">
        <f t="shared" si="81"/>
        <v>1842400.822</v>
      </c>
      <c r="E5189" t="s">
        <v>4385</v>
      </c>
      <c r="F5189" s="242"/>
      <c r="G5189"/>
      <c r="H5189" s="242">
        <v>0</v>
      </c>
      <c r="I5189" s="242">
        <v>5640</v>
      </c>
      <c r="J5189"/>
    </row>
    <row r="5190" spans="1:10">
      <c r="A5190" t="s">
        <v>1191</v>
      </c>
      <c r="B5190">
        <v>842400</v>
      </c>
      <c r="C5190">
        <v>1</v>
      </c>
      <c r="D5190" t="str">
        <f t="shared" si="81"/>
        <v>1842400.824</v>
      </c>
      <c r="E5190" t="s">
        <v>4386</v>
      </c>
      <c r="F5190" s="242"/>
      <c r="G5190"/>
      <c r="H5190" s="242">
        <v>0</v>
      </c>
      <c r="I5190" s="242">
        <v>5444</v>
      </c>
      <c r="J5190"/>
    </row>
    <row r="5191" spans="1:10">
      <c r="A5191" t="s">
        <v>1196</v>
      </c>
      <c r="B5191">
        <v>842400</v>
      </c>
      <c r="C5191">
        <v>1</v>
      </c>
      <c r="D5191" t="str">
        <f t="shared" si="81"/>
        <v>1842400.825</v>
      </c>
      <c r="E5191" t="s">
        <v>4387</v>
      </c>
      <c r="F5191" s="242"/>
      <c r="G5191"/>
      <c r="H5191" s="242">
        <v>0</v>
      </c>
      <c r="I5191" s="242">
        <v>4267</v>
      </c>
      <c r="J5191"/>
    </row>
    <row r="5192" spans="1:10">
      <c r="A5192" t="s">
        <v>1216</v>
      </c>
      <c r="B5192">
        <v>842400</v>
      </c>
      <c r="C5192">
        <v>1</v>
      </c>
      <c r="D5192" t="str">
        <f t="shared" si="81"/>
        <v>1842400.826</v>
      </c>
      <c r="E5192" t="s">
        <v>4388</v>
      </c>
      <c r="F5192" s="242"/>
      <c r="G5192"/>
      <c r="H5192" s="242">
        <v>0</v>
      </c>
      <c r="I5192" s="242">
        <v>4215</v>
      </c>
      <c r="J5192"/>
    </row>
    <row r="5193" spans="1:10">
      <c r="A5193" t="s">
        <v>2403</v>
      </c>
      <c r="B5193">
        <v>842401</v>
      </c>
      <c r="C5193">
        <v>1</v>
      </c>
      <c r="D5193" t="str">
        <f t="shared" si="81"/>
        <v>1842401.110</v>
      </c>
      <c r="E5193" t="s">
        <v>3871</v>
      </c>
      <c r="F5193" s="242"/>
      <c r="G5193"/>
      <c r="H5193" s="242">
        <v>46850</v>
      </c>
      <c r="I5193" s="242">
        <v>160454</v>
      </c>
      <c r="J5193"/>
    </row>
    <row r="5194" spans="1:10">
      <c r="A5194" t="s">
        <v>2404</v>
      </c>
      <c r="B5194">
        <v>842401</v>
      </c>
      <c r="C5194">
        <v>1</v>
      </c>
      <c r="D5194" t="str">
        <f t="shared" si="81"/>
        <v>1842401.120</v>
      </c>
      <c r="E5194" t="s">
        <v>2574</v>
      </c>
      <c r="F5194" s="242"/>
      <c r="G5194"/>
      <c r="H5194" s="242">
        <v>8440</v>
      </c>
      <c r="I5194" s="242">
        <v>29722</v>
      </c>
      <c r="J5194"/>
    </row>
    <row r="5195" spans="1:10">
      <c r="A5195" t="s">
        <v>2575</v>
      </c>
      <c r="B5195">
        <v>842401</v>
      </c>
      <c r="C5195">
        <v>1</v>
      </c>
      <c r="D5195" t="str">
        <f t="shared" si="81"/>
        <v>1842401.130</v>
      </c>
      <c r="E5195" t="s">
        <v>2576</v>
      </c>
      <c r="F5195" s="242"/>
      <c r="G5195"/>
      <c r="H5195" s="242">
        <v>1056</v>
      </c>
      <c r="I5195" s="242">
        <v>4014</v>
      </c>
      <c r="J5195"/>
    </row>
    <row r="5196" spans="1:10">
      <c r="A5196" t="s">
        <v>2577</v>
      </c>
      <c r="B5196">
        <v>842401</v>
      </c>
      <c r="C5196">
        <v>1</v>
      </c>
      <c r="D5196" t="str">
        <f t="shared" si="81"/>
        <v>1842401.140</v>
      </c>
      <c r="E5196" t="s">
        <v>2578</v>
      </c>
      <c r="F5196" s="242"/>
      <c r="G5196"/>
      <c r="H5196" s="242">
        <v>15622</v>
      </c>
      <c r="I5196" s="242">
        <v>50279</v>
      </c>
      <c r="J5196"/>
    </row>
    <row r="5197" spans="1:10">
      <c r="A5197" t="s">
        <v>2579</v>
      </c>
      <c r="B5197">
        <v>842401</v>
      </c>
      <c r="C5197">
        <v>1</v>
      </c>
      <c r="D5197" t="str">
        <f t="shared" si="81"/>
        <v>1842401.181</v>
      </c>
      <c r="E5197" t="s">
        <v>2580</v>
      </c>
      <c r="F5197" s="242"/>
      <c r="G5197"/>
      <c r="H5197" s="242">
        <v>12941</v>
      </c>
      <c r="I5197" s="242">
        <v>42705</v>
      </c>
      <c r="J5197"/>
    </row>
    <row r="5198" spans="1:10">
      <c r="A5198" t="s">
        <v>2581</v>
      </c>
      <c r="B5198">
        <v>842401</v>
      </c>
      <c r="C5198">
        <v>1</v>
      </c>
      <c r="D5198" t="str">
        <f t="shared" si="81"/>
        <v>1842401.182</v>
      </c>
      <c r="E5198" t="s">
        <v>2582</v>
      </c>
      <c r="F5198" s="242"/>
      <c r="G5198"/>
      <c r="H5198" s="242">
        <v>5529</v>
      </c>
      <c r="I5198" s="242">
        <v>18757</v>
      </c>
      <c r="J5198"/>
    </row>
    <row r="5199" spans="1:10">
      <c r="A5199" t="s">
        <v>2403</v>
      </c>
      <c r="B5199">
        <v>842402</v>
      </c>
      <c r="C5199">
        <v>1</v>
      </c>
      <c r="D5199" t="str">
        <f t="shared" si="81"/>
        <v>1842402.110</v>
      </c>
      <c r="E5199" t="s">
        <v>3872</v>
      </c>
      <c r="F5199" s="242"/>
      <c r="G5199"/>
      <c r="H5199" s="242">
        <v>587790</v>
      </c>
      <c r="I5199" s="242">
        <v>0</v>
      </c>
      <c r="J5199"/>
    </row>
    <row r="5200" spans="1:10">
      <c r="A5200" t="s">
        <v>2404</v>
      </c>
      <c r="B5200">
        <v>842402</v>
      </c>
      <c r="C5200">
        <v>1</v>
      </c>
      <c r="D5200" t="str">
        <f t="shared" si="81"/>
        <v>1842402.120</v>
      </c>
      <c r="E5200" t="s">
        <v>2574</v>
      </c>
      <c r="F5200" s="242"/>
      <c r="G5200"/>
      <c r="H5200" s="242">
        <v>105895</v>
      </c>
      <c r="I5200" s="242">
        <v>0</v>
      </c>
      <c r="J5200"/>
    </row>
    <row r="5201" spans="1:10">
      <c r="A5201" t="s">
        <v>2575</v>
      </c>
      <c r="B5201">
        <v>842402</v>
      </c>
      <c r="C5201">
        <v>1</v>
      </c>
      <c r="D5201" t="str">
        <f t="shared" si="81"/>
        <v>1842402.130</v>
      </c>
      <c r="E5201" t="s">
        <v>2576</v>
      </c>
      <c r="F5201" s="242"/>
      <c r="G5201"/>
      <c r="H5201" s="242">
        <v>13261</v>
      </c>
      <c r="I5201" s="242">
        <v>0</v>
      </c>
      <c r="J5201"/>
    </row>
    <row r="5202" spans="1:10">
      <c r="A5202" t="s">
        <v>2577</v>
      </c>
      <c r="B5202">
        <v>842402</v>
      </c>
      <c r="C5202">
        <v>1</v>
      </c>
      <c r="D5202" t="str">
        <f t="shared" si="81"/>
        <v>1842402.140</v>
      </c>
      <c r="E5202" t="s">
        <v>2578</v>
      </c>
      <c r="F5202" s="242"/>
      <c r="G5202"/>
      <c r="H5202" s="242">
        <v>196000</v>
      </c>
      <c r="I5202" s="242">
        <v>0</v>
      </c>
      <c r="J5202"/>
    </row>
    <row r="5203" spans="1:10">
      <c r="A5203" t="s">
        <v>2579</v>
      </c>
      <c r="B5203">
        <v>842402</v>
      </c>
      <c r="C5203">
        <v>1</v>
      </c>
      <c r="D5203" t="str">
        <f t="shared" si="81"/>
        <v>1842402.181</v>
      </c>
      <c r="E5203" t="s">
        <v>2580</v>
      </c>
      <c r="F5203" s="242"/>
      <c r="G5203"/>
      <c r="H5203" s="242">
        <v>162373</v>
      </c>
      <c r="I5203" s="242">
        <v>0</v>
      </c>
      <c r="J5203"/>
    </row>
    <row r="5204" spans="1:10">
      <c r="A5204" t="s">
        <v>2581</v>
      </c>
      <c r="B5204">
        <v>842402</v>
      </c>
      <c r="C5204">
        <v>1</v>
      </c>
      <c r="D5204" t="str">
        <f t="shared" si="81"/>
        <v>1842402.182</v>
      </c>
      <c r="E5204" t="s">
        <v>2582</v>
      </c>
      <c r="F5204" s="242"/>
      <c r="G5204"/>
      <c r="H5204" s="242">
        <v>69370</v>
      </c>
      <c r="I5204" s="242">
        <v>0</v>
      </c>
      <c r="J5204"/>
    </row>
    <row r="5205" spans="1:10">
      <c r="A5205" t="s">
        <v>2403</v>
      </c>
      <c r="B5205">
        <v>843500</v>
      </c>
      <c r="C5205">
        <v>1</v>
      </c>
      <c r="D5205" t="str">
        <f t="shared" si="81"/>
        <v>1843500.110</v>
      </c>
      <c r="E5205" t="s">
        <v>4060</v>
      </c>
      <c r="F5205" s="242"/>
      <c r="G5205"/>
      <c r="H5205" s="242">
        <v>359705</v>
      </c>
      <c r="I5205" s="242">
        <v>378053</v>
      </c>
      <c r="J5205"/>
    </row>
    <row r="5206" spans="1:10">
      <c r="A5206" t="s">
        <v>2404</v>
      </c>
      <c r="B5206">
        <v>843500</v>
      </c>
      <c r="C5206">
        <v>1</v>
      </c>
      <c r="D5206" t="str">
        <f t="shared" si="81"/>
        <v>1843500.120</v>
      </c>
      <c r="E5206" t="s">
        <v>2574</v>
      </c>
      <c r="F5206" s="242"/>
      <c r="G5206"/>
      <c r="H5206" s="242">
        <v>43047</v>
      </c>
      <c r="I5206" s="242">
        <v>46346</v>
      </c>
      <c r="J5206"/>
    </row>
    <row r="5207" spans="1:10">
      <c r="A5207" t="s">
        <v>2575</v>
      </c>
      <c r="B5207">
        <v>843500</v>
      </c>
      <c r="C5207">
        <v>1</v>
      </c>
      <c r="D5207" t="str">
        <f t="shared" si="81"/>
        <v>1843500.130</v>
      </c>
      <c r="E5207" t="s">
        <v>2576</v>
      </c>
      <c r="F5207" s="242"/>
      <c r="G5207"/>
      <c r="H5207" s="242">
        <v>3457</v>
      </c>
      <c r="I5207" s="242">
        <v>2857</v>
      </c>
      <c r="J5207"/>
    </row>
    <row r="5208" spans="1:10">
      <c r="A5208" t="s">
        <v>2577</v>
      </c>
      <c r="B5208">
        <v>843500</v>
      </c>
      <c r="C5208">
        <v>1</v>
      </c>
      <c r="D5208" t="str">
        <f t="shared" si="81"/>
        <v>1843500.140</v>
      </c>
      <c r="E5208" t="s">
        <v>2578</v>
      </c>
      <c r="F5208" s="242"/>
      <c r="G5208"/>
      <c r="H5208" s="242">
        <v>118747</v>
      </c>
      <c r="I5208" s="242">
        <v>109388</v>
      </c>
      <c r="J5208"/>
    </row>
    <row r="5209" spans="1:10">
      <c r="A5209" t="s">
        <v>2579</v>
      </c>
      <c r="B5209">
        <v>843500</v>
      </c>
      <c r="C5209">
        <v>1</v>
      </c>
      <c r="D5209" t="str">
        <f t="shared" si="81"/>
        <v>1843500.181</v>
      </c>
      <c r="E5209" t="s">
        <v>2580</v>
      </c>
      <c r="F5209" s="242"/>
      <c r="G5209"/>
      <c r="H5209" s="242">
        <v>80459</v>
      </c>
      <c r="I5209" s="242">
        <v>82319</v>
      </c>
      <c r="J5209"/>
    </row>
    <row r="5210" spans="1:10">
      <c r="A5210" t="s">
        <v>2581</v>
      </c>
      <c r="B5210">
        <v>843500</v>
      </c>
      <c r="C5210">
        <v>1</v>
      </c>
      <c r="D5210" t="str">
        <f t="shared" si="81"/>
        <v>1843500.182</v>
      </c>
      <c r="E5210" t="s">
        <v>3397</v>
      </c>
      <c r="F5210" s="242"/>
      <c r="G5210"/>
      <c r="H5210" s="242">
        <v>40294</v>
      </c>
      <c r="I5210" s="242">
        <v>41178</v>
      </c>
      <c r="J5210"/>
    </row>
    <row r="5211" spans="1:10">
      <c r="A5211" t="s">
        <v>2652</v>
      </c>
      <c r="B5211">
        <v>843500</v>
      </c>
      <c r="C5211">
        <v>1</v>
      </c>
      <c r="D5211" t="str">
        <f t="shared" si="81"/>
        <v>1843500.420</v>
      </c>
      <c r="E5211" t="s">
        <v>2653</v>
      </c>
      <c r="F5211" s="242"/>
      <c r="G5211"/>
      <c r="H5211" s="242">
        <v>18000</v>
      </c>
      <c r="I5211" s="242">
        <v>17999</v>
      </c>
      <c r="J5211"/>
    </row>
    <row r="5212" spans="1:10">
      <c r="A5212" t="s">
        <v>2684</v>
      </c>
      <c r="B5212">
        <v>843500</v>
      </c>
      <c r="C5212">
        <v>1</v>
      </c>
      <c r="D5212" t="str">
        <f t="shared" si="81"/>
        <v>1843500.421</v>
      </c>
      <c r="E5212" t="s">
        <v>4061</v>
      </c>
      <c r="F5212" s="242"/>
      <c r="G5212"/>
      <c r="H5212" s="242">
        <v>0</v>
      </c>
      <c r="I5212" s="242">
        <v>140978</v>
      </c>
      <c r="J5212"/>
    </row>
    <row r="5213" spans="1:10">
      <c r="A5213" t="s">
        <v>1663</v>
      </c>
      <c r="B5213">
        <v>843500</v>
      </c>
      <c r="C5213">
        <v>1</v>
      </c>
      <c r="D5213" t="str">
        <f t="shared" si="81"/>
        <v>1843500.431</v>
      </c>
      <c r="E5213" t="s">
        <v>2654</v>
      </c>
      <c r="F5213" s="242"/>
      <c r="G5213"/>
      <c r="H5213" s="242">
        <v>29500</v>
      </c>
      <c r="I5213" s="242">
        <v>2777</v>
      </c>
      <c r="J5213"/>
    </row>
    <row r="5214" spans="1:10">
      <c r="A5214" t="s">
        <v>2606</v>
      </c>
      <c r="B5214">
        <v>843500</v>
      </c>
      <c r="C5214">
        <v>1</v>
      </c>
      <c r="D5214" t="str">
        <f t="shared" si="81"/>
        <v>1843500.440</v>
      </c>
      <c r="E5214" t="s">
        <v>2657</v>
      </c>
      <c r="F5214" s="242"/>
      <c r="G5214"/>
      <c r="H5214" s="242">
        <v>3400</v>
      </c>
      <c r="I5214" s="242">
        <v>3312</v>
      </c>
      <c r="J5214"/>
    </row>
    <row r="5215" spans="1:10">
      <c r="A5215" t="s">
        <v>2609</v>
      </c>
      <c r="B5215">
        <v>843500</v>
      </c>
      <c r="C5215">
        <v>1</v>
      </c>
      <c r="D5215" t="str">
        <f t="shared" si="81"/>
        <v>1843500.710</v>
      </c>
      <c r="E5215" t="s">
        <v>4062</v>
      </c>
      <c r="F5215" s="242"/>
      <c r="G5215"/>
      <c r="H5215" s="242">
        <v>300000</v>
      </c>
      <c r="I5215" s="242">
        <v>232213</v>
      </c>
      <c r="J5215"/>
    </row>
    <row r="5216" spans="1:10">
      <c r="A5216" t="s">
        <v>673</v>
      </c>
      <c r="B5216">
        <v>843500</v>
      </c>
      <c r="C5216">
        <v>1</v>
      </c>
      <c r="D5216" t="str">
        <f t="shared" si="81"/>
        <v>1843500.743</v>
      </c>
      <c r="E5216" t="s">
        <v>2622</v>
      </c>
      <c r="F5216" s="242"/>
      <c r="G5216"/>
      <c r="H5216" s="242">
        <v>4000</v>
      </c>
      <c r="I5216" s="242">
        <v>4000</v>
      </c>
      <c r="J5216"/>
    </row>
    <row r="5217" spans="1:10">
      <c r="A5217" t="s">
        <v>2611</v>
      </c>
      <c r="B5217">
        <v>843500</v>
      </c>
      <c r="C5217">
        <v>1</v>
      </c>
      <c r="D5217" t="str">
        <f t="shared" si="81"/>
        <v>1843500.750</v>
      </c>
      <c r="E5217" t="s">
        <v>4046</v>
      </c>
      <c r="F5217" s="242"/>
      <c r="G5217"/>
      <c r="H5217" s="242">
        <v>1600000</v>
      </c>
      <c r="I5217" s="242">
        <v>1391688</v>
      </c>
      <c r="J5217"/>
    </row>
    <row r="5218" spans="1:10">
      <c r="A5218" t="s">
        <v>2632</v>
      </c>
      <c r="B5218">
        <v>843500</v>
      </c>
      <c r="C5218">
        <v>1</v>
      </c>
      <c r="D5218" t="str">
        <f t="shared" si="81"/>
        <v>1843500.780</v>
      </c>
      <c r="E5218" t="s">
        <v>4063</v>
      </c>
      <c r="F5218" s="242"/>
      <c r="G5218"/>
      <c r="H5218" s="242">
        <v>70000</v>
      </c>
      <c r="I5218" s="242">
        <v>0</v>
      </c>
      <c r="J5218"/>
    </row>
    <row r="5219" spans="1:10">
      <c r="A5219" t="s">
        <v>872</v>
      </c>
      <c r="B5219">
        <v>843500</v>
      </c>
      <c r="C5219">
        <v>1</v>
      </c>
      <c r="D5219" t="str">
        <f t="shared" si="81"/>
        <v>1843500.781</v>
      </c>
      <c r="E5219" t="s">
        <v>4064</v>
      </c>
      <c r="F5219" s="242"/>
      <c r="G5219"/>
      <c r="H5219" s="242">
        <v>60000</v>
      </c>
      <c r="I5219" s="242">
        <v>46685</v>
      </c>
      <c r="J5219"/>
    </row>
    <row r="5220" spans="1:10">
      <c r="A5220" t="s">
        <v>877</v>
      </c>
      <c r="B5220">
        <v>843500</v>
      </c>
      <c r="C5220">
        <v>1</v>
      </c>
      <c r="D5220" t="str">
        <f t="shared" si="81"/>
        <v>1843500.782</v>
      </c>
      <c r="E5220" t="s">
        <v>4065</v>
      </c>
      <c r="F5220" s="242"/>
      <c r="G5220"/>
      <c r="H5220" s="242">
        <v>0</v>
      </c>
      <c r="I5220" s="242">
        <v>0</v>
      </c>
      <c r="J5220"/>
    </row>
    <row r="5221" spans="1:10">
      <c r="A5221" t="s">
        <v>2676</v>
      </c>
      <c r="B5221">
        <v>843500</v>
      </c>
      <c r="C5221">
        <v>1</v>
      </c>
      <c r="D5221" t="str">
        <f t="shared" si="81"/>
        <v>1843500.784</v>
      </c>
      <c r="E5221" t="s">
        <v>4066</v>
      </c>
      <c r="F5221" s="242"/>
      <c r="G5221"/>
      <c r="H5221" s="242">
        <v>21000</v>
      </c>
      <c r="I5221" s="242">
        <v>0</v>
      </c>
      <c r="J5221"/>
    </row>
    <row r="5222" spans="1:10">
      <c r="A5222" t="s">
        <v>2750</v>
      </c>
      <c r="B5222">
        <v>843500</v>
      </c>
      <c r="C5222">
        <v>1</v>
      </c>
      <c r="D5222" t="str">
        <f t="shared" si="81"/>
        <v>1843500.785</v>
      </c>
      <c r="E5222" t="s">
        <v>4049</v>
      </c>
      <c r="F5222" s="242"/>
      <c r="G5222"/>
      <c r="H5222" s="242">
        <v>285000</v>
      </c>
      <c r="I5222" s="242">
        <v>276746</v>
      </c>
      <c r="J5222"/>
    </row>
    <row r="5223" spans="1:10">
      <c r="A5223" t="s">
        <v>2850</v>
      </c>
      <c r="B5223">
        <v>843500</v>
      </c>
      <c r="C5223">
        <v>1</v>
      </c>
      <c r="D5223" t="str">
        <f t="shared" si="81"/>
        <v>1843500.786</v>
      </c>
      <c r="E5223" t="s">
        <v>4067</v>
      </c>
      <c r="F5223" s="242"/>
      <c r="G5223"/>
      <c r="H5223" s="242">
        <v>0</v>
      </c>
      <c r="I5223" s="242">
        <v>40000</v>
      </c>
      <c r="J5223"/>
    </row>
    <row r="5224" spans="1:10">
      <c r="A5224" t="s">
        <v>3030</v>
      </c>
      <c r="B5224">
        <v>843500</v>
      </c>
      <c r="C5224">
        <v>1</v>
      </c>
      <c r="D5224" t="str">
        <f t="shared" si="81"/>
        <v>1843500.787</v>
      </c>
      <c r="E5224" t="s">
        <v>4068</v>
      </c>
      <c r="F5224" s="242"/>
      <c r="G5224"/>
      <c r="H5224" s="242">
        <v>0</v>
      </c>
      <c r="I5224" s="242">
        <v>141000</v>
      </c>
      <c r="J5224"/>
    </row>
    <row r="5225" spans="1:10">
      <c r="A5225" t="s">
        <v>2841</v>
      </c>
      <c r="B5225">
        <v>843500</v>
      </c>
      <c r="C5225">
        <v>1</v>
      </c>
      <c r="D5225" t="str">
        <f t="shared" si="81"/>
        <v>1843500.788</v>
      </c>
      <c r="E5225" t="s">
        <v>4069</v>
      </c>
      <c r="F5225" s="242"/>
      <c r="G5225"/>
      <c r="H5225" s="242">
        <v>479000</v>
      </c>
      <c r="I5225" s="242">
        <v>475693</v>
      </c>
      <c r="J5225"/>
    </row>
    <row r="5226" spans="1:10">
      <c r="A5226" t="s">
        <v>3056</v>
      </c>
      <c r="B5226">
        <v>843500</v>
      </c>
      <c r="C5226">
        <v>1</v>
      </c>
      <c r="D5226" t="str">
        <f t="shared" si="81"/>
        <v>1843500.789</v>
      </c>
      <c r="E5226" t="s">
        <v>4070</v>
      </c>
      <c r="F5226" s="242"/>
      <c r="G5226"/>
      <c r="H5226" s="242">
        <v>95000</v>
      </c>
      <c r="I5226" s="242">
        <v>95000</v>
      </c>
      <c r="J5226"/>
    </row>
    <row r="5227" spans="1:10">
      <c r="A5227" t="s">
        <v>1363</v>
      </c>
      <c r="B5227">
        <v>843500</v>
      </c>
      <c r="C5227">
        <v>1</v>
      </c>
      <c r="D5227" t="str">
        <f t="shared" si="81"/>
        <v>1843500.841</v>
      </c>
      <c r="E5227" t="s">
        <v>4041</v>
      </c>
      <c r="F5227" s="242"/>
      <c r="G5227"/>
      <c r="H5227" s="242">
        <v>2396333</v>
      </c>
      <c r="I5227" s="242">
        <v>2839904</v>
      </c>
      <c r="J5227"/>
    </row>
    <row r="5228" spans="1:10">
      <c r="A5228" t="s">
        <v>1386</v>
      </c>
      <c r="B5228">
        <v>843500</v>
      </c>
      <c r="C5228">
        <v>1</v>
      </c>
      <c r="D5228" t="str">
        <f t="shared" si="81"/>
        <v>1843500.843</v>
      </c>
      <c r="E5228" t="s">
        <v>4042</v>
      </c>
      <c r="F5228" s="242"/>
      <c r="G5228"/>
      <c r="H5228" s="242">
        <v>400000</v>
      </c>
      <c r="I5228" s="242">
        <v>235089</v>
      </c>
      <c r="J5228"/>
    </row>
    <row r="5229" spans="1:10">
      <c r="A5229" t="s">
        <v>1406</v>
      </c>
      <c r="B5229">
        <v>843500</v>
      </c>
      <c r="C5229">
        <v>1</v>
      </c>
      <c r="D5229" t="str">
        <f t="shared" si="81"/>
        <v>1843500.844</v>
      </c>
      <c r="E5229" t="s">
        <v>4043</v>
      </c>
      <c r="F5229" s="242"/>
      <c r="G5229"/>
      <c r="H5229" s="242">
        <v>72000</v>
      </c>
      <c r="I5229" s="242">
        <v>68563</v>
      </c>
      <c r="J5229"/>
    </row>
    <row r="5230" spans="1:10">
      <c r="A5230" t="s">
        <v>1426</v>
      </c>
      <c r="B5230">
        <v>843500</v>
      </c>
      <c r="C5230">
        <v>1</v>
      </c>
      <c r="D5230" t="str">
        <f t="shared" si="81"/>
        <v>1843500.845</v>
      </c>
      <c r="E5230" t="s">
        <v>4071</v>
      </c>
      <c r="F5230" s="242"/>
      <c r="G5230"/>
      <c r="H5230" s="242">
        <v>1226667</v>
      </c>
      <c r="I5230" s="242">
        <v>1348769</v>
      </c>
      <c r="J5230"/>
    </row>
    <row r="5231" spans="1:10">
      <c r="A5231" t="s">
        <v>1521</v>
      </c>
      <c r="B5231">
        <v>843500</v>
      </c>
      <c r="C5231">
        <v>1</v>
      </c>
      <c r="D5231" t="str">
        <f t="shared" si="81"/>
        <v>1843500.848</v>
      </c>
      <c r="E5231" t="s">
        <v>4045</v>
      </c>
      <c r="F5231" s="242"/>
      <c r="G5231"/>
      <c r="H5231" s="242">
        <v>689500</v>
      </c>
      <c r="I5231" s="242">
        <v>843970</v>
      </c>
      <c r="J5231"/>
    </row>
    <row r="5232" spans="1:10">
      <c r="A5232" t="s">
        <v>3829</v>
      </c>
      <c r="B5232">
        <v>843500</v>
      </c>
      <c r="C5232">
        <v>1</v>
      </c>
      <c r="D5232" t="str">
        <f t="shared" si="81"/>
        <v>1843500.840</v>
      </c>
      <c r="E5232" t="s">
        <v>4084</v>
      </c>
      <c r="F5232" s="242"/>
      <c r="G5232"/>
      <c r="H5232" s="242">
        <v>2089464</v>
      </c>
      <c r="I5232" s="242">
        <v>1505408</v>
      </c>
      <c r="J5232"/>
    </row>
    <row r="5233" spans="1:10">
      <c r="A5233" t="s">
        <v>1176</v>
      </c>
      <c r="B5233">
        <v>843500</v>
      </c>
      <c r="C5233">
        <v>1</v>
      </c>
      <c r="D5233" t="str">
        <f t="shared" si="81"/>
        <v>1843500.821</v>
      </c>
      <c r="E5233" t="s">
        <v>4389</v>
      </c>
      <c r="F5233" s="242"/>
      <c r="G5233"/>
      <c r="H5233" s="242">
        <v>0</v>
      </c>
      <c r="I5233" s="242">
        <v>12074</v>
      </c>
      <c r="J5233"/>
    </row>
    <row r="5234" spans="1:10">
      <c r="A5234" t="s">
        <v>1181</v>
      </c>
      <c r="B5234">
        <v>843500</v>
      </c>
      <c r="C5234">
        <v>1</v>
      </c>
      <c r="D5234" t="str">
        <f t="shared" si="81"/>
        <v>1843500.822</v>
      </c>
      <c r="E5234" t="s">
        <v>4390</v>
      </c>
      <c r="F5234" s="242"/>
      <c r="G5234"/>
      <c r="H5234" s="242">
        <v>0</v>
      </c>
      <c r="I5234" s="242">
        <v>9348</v>
      </c>
      <c r="J5234"/>
    </row>
    <row r="5235" spans="1:10">
      <c r="A5235" t="s">
        <v>1191</v>
      </c>
      <c r="B5235">
        <v>843500</v>
      </c>
      <c r="C5235">
        <v>1</v>
      </c>
      <c r="D5235" t="str">
        <f t="shared" si="81"/>
        <v>1843500.824</v>
      </c>
      <c r="E5235" t="s">
        <v>4391</v>
      </c>
      <c r="F5235" s="242"/>
      <c r="G5235"/>
      <c r="H5235" s="242">
        <v>0</v>
      </c>
      <c r="I5235" s="242">
        <v>7293</v>
      </c>
      <c r="J5235"/>
    </row>
    <row r="5236" spans="1:10">
      <c r="A5236" t="s">
        <v>1196</v>
      </c>
      <c r="B5236">
        <v>843500</v>
      </c>
      <c r="C5236">
        <v>1</v>
      </c>
      <c r="D5236" t="str">
        <f t="shared" si="81"/>
        <v>1843500.825</v>
      </c>
      <c r="E5236" t="s">
        <v>4392</v>
      </c>
      <c r="F5236" s="242"/>
      <c r="G5236"/>
      <c r="H5236" s="242">
        <v>0</v>
      </c>
      <c r="I5236" s="242">
        <v>9901</v>
      </c>
      <c r="J5236"/>
    </row>
    <row r="5237" spans="1:10">
      <c r="A5237" t="s">
        <v>1216</v>
      </c>
      <c r="B5237">
        <v>843500</v>
      </c>
      <c r="C5237">
        <v>1</v>
      </c>
      <c r="D5237" t="str">
        <f t="shared" si="81"/>
        <v>1843500.826</v>
      </c>
      <c r="E5237" t="s">
        <v>4393</v>
      </c>
      <c r="F5237" s="242"/>
      <c r="G5237"/>
      <c r="H5237" s="242">
        <v>0</v>
      </c>
      <c r="I5237" s="242">
        <v>4431</v>
      </c>
      <c r="J5237"/>
    </row>
    <row r="5238" spans="1:10">
      <c r="A5238" t="s">
        <v>2403</v>
      </c>
      <c r="B5238">
        <v>843510</v>
      </c>
      <c r="C5238">
        <v>1</v>
      </c>
      <c r="D5238" t="str">
        <f t="shared" si="81"/>
        <v>1843510.110</v>
      </c>
      <c r="E5238" t="s">
        <v>4072</v>
      </c>
      <c r="F5238" s="242"/>
      <c r="G5238"/>
      <c r="H5238" s="242">
        <v>374514</v>
      </c>
      <c r="I5238" s="242">
        <v>354811</v>
      </c>
      <c r="J5238"/>
    </row>
    <row r="5239" spans="1:10">
      <c r="A5239" t="s">
        <v>2404</v>
      </c>
      <c r="B5239">
        <v>843510</v>
      </c>
      <c r="C5239">
        <v>1</v>
      </c>
      <c r="D5239" t="str">
        <f t="shared" si="81"/>
        <v>1843510.120</v>
      </c>
      <c r="E5239" t="s">
        <v>2574</v>
      </c>
      <c r="F5239" s="242"/>
      <c r="G5239"/>
      <c r="H5239" s="242">
        <v>60080</v>
      </c>
      <c r="I5239" s="242">
        <v>57096</v>
      </c>
      <c r="J5239"/>
    </row>
    <row r="5240" spans="1:10">
      <c r="A5240" t="s">
        <v>2575</v>
      </c>
      <c r="B5240">
        <v>843510</v>
      </c>
      <c r="C5240">
        <v>1</v>
      </c>
      <c r="D5240" t="str">
        <f t="shared" si="81"/>
        <v>1843510.130</v>
      </c>
      <c r="E5240" t="s">
        <v>2576</v>
      </c>
      <c r="F5240" s="242"/>
      <c r="G5240"/>
      <c r="H5240" s="242">
        <v>10197</v>
      </c>
      <c r="I5240" s="242">
        <v>11182</v>
      </c>
      <c r="J5240"/>
    </row>
    <row r="5241" spans="1:10">
      <c r="A5241" t="s">
        <v>2577</v>
      </c>
      <c r="B5241">
        <v>843510</v>
      </c>
      <c r="C5241">
        <v>1</v>
      </c>
      <c r="D5241" t="str">
        <f t="shared" si="81"/>
        <v>1843510.140</v>
      </c>
      <c r="E5241" t="s">
        <v>2578</v>
      </c>
      <c r="F5241" s="242"/>
      <c r="G5241"/>
      <c r="H5241" s="242">
        <v>46665</v>
      </c>
      <c r="I5241" s="242">
        <v>44717</v>
      </c>
      <c r="J5241"/>
    </row>
    <row r="5242" spans="1:10">
      <c r="A5242" t="s">
        <v>2579</v>
      </c>
      <c r="B5242">
        <v>843510</v>
      </c>
      <c r="C5242">
        <v>1</v>
      </c>
      <c r="D5242" t="str">
        <f t="shared" si="81"/>
        <v>1843510.181</v>
      </c>
      <c r="E5242" t="s">
        <v>2580</v>
      </c>
      <c r="F5242" s="242"/>
      <c r="G5242"/>
      <c r="H5242" s="242">
        <v>86089</v>
      </c>
      <c r="I5242" s="242">
        <v>82238</v>
      </c>
      <c r="J5242"/>
    </row>
    <row r="5243" spans="1:10">
      <c r="A5243" t="s">
        <v>2581</v>
      </c>
      <c r="B5243">
        <v>843510</v>
      </c>
      <c r="C5243">
        <v>1</v>
      </c>
      <c r="D5243" t="str">
        <f t="shared" si="81"/>
        <v>1843510.182</v>
      </c>
      <c r="E5243" t="s">
        <v>2582</v>
      </c>
      <c r="F5243" s="242"/>
      <c r="G5243"/>
      <c r="H5243" s="242">
        <v>36695</v>
      </c>
      <c r="I5243" s="242">
        <v>35733</v>
      </c>
      <c r="J5243"/>
    </row>
    <row r="5244" spans="1:10">
      <c r="A5244" t="s">
        <v>2632</v>
      </c>
      <c r="B5244">
        <v>843510</v>
      </c>
      <c r="C5244">
        <v>1</v>
      </c>
      <c r="D5244" t="str">
        <f t="shared" si="81"/>
        <v>1843510.780</v>
      </c>
      <c r="E5244" t="s">
        <v>4073</v>
      </c>
      <c r="F5244" s="242"/>
      <c r="G5244"/>
      <c r="H5244" s="242">
        <v>54615</v>
      </c>
      <c r="I5244" s="242">
        <v>50000</v>
      </c>
      <c r="J5244"/>
    </row>
    <row r="5245" spans="1:10">
      <c r="A5245" t="s">
        <v>872</v>
      </c>
      <c r="B5245">
        <v>843510</v>
      </c>
      <c r="C5245">
        <v>1</v>
      </c>
      <c r="D5245" t="str">
        <f t="shared" si="81"/>
        <v>1843510.781</v>
      </c>
      <c r="E5245" t="s">
        <v>4074</v>
      </c>
      <c r="F5245" s="242"/>
      <c r="G5245"/>
      <c r="H5245" s="242">
        <v>266300</v>
      </c>
      <c r="I5245" s="242">
        <v>320920</v>
      </c>
      <c r="J5245"/>
    </row>
    <row r="5246" spans="1:10">
      <c r="A5246" t="s">
        <v>877</v>
      </c>
      <c r="B5246">
        <v>843510</v>
      </c>
      <c r="C5246">
        <v>1</v>
      </c>
      <c r="D5246" t="str">
        <f t="shared" si="81"/>
        <v>1843510.782</v>
      </c>
      <c r="E5246" t="s">
        <v>4075</v>
      </c>
      <c r="F5246" s="242"/>
      <c r="G5246"/>
      <c r="H5246" s="242">
        <v>40000</v>
      </c>
      <c r="I5246" s="242">
        <v>12439</v>
      </c>
      <c r="J5246"/>
    </row>
    <row r="5247" spans="1:10">
      <c r="A5247" t="s">
        <v>2674</v>
      </c>
      <c r="B5247">
        <v>843510</v>
      </c>
      <c r="C5247">
        <v>1</v>
      </c>
      <c r="D5247" t="str">
        <f t="shared" si="81"/>
        <v>1843510.783</v>
      </c>
      <c r="E5247" t="s">
        <v>4076</v>
      </c>
      <c r="F5247" s="242"/>
      <c r="G5247"/>
      <c r="H5247" s="242">
        <v>20000</v>
      </c>
      <c r="I5247" s="242">
        <v>0</v>
      </c>
      <c r="J5247"/>
    </row>
    <row r="5248" spans="1:10">
      <c r="A5248" t="s">
        <v>2676</v>
      </c>
      <c r="B5248">
        <v>843510</v>
      </c>
      <c r="C5248">
        <v>1</v>
      </c>
      <c r="D5248" t="str">
        <f t="shared" si="81"/>
        <v>1843510.784</v>
      </c>
      <c r="E5248" t="s">
        <v>4077</v>
      </c>
      <c r="F5248" s="242"/>
      <c r="G5248"/>
      <c r="H5248" s="242">
        <v>0</v>
      </c>
      <c r="I5248" s="242">
        <v>0</v>
      </c>
      <c r="J5248"/>
    </row>
    <row r="5249" spans="1:10">
      <c r="A5249" t="s">
        <v>2403</v>
      </c>
      <c r="B5249">
        <v>843520</v>
      </c>
      <c r="C5249">
        <v>1</v>
      </c>
      <c r="D5249" t="str">
        <f t="shared" si="81"/>
        <v>1843520.110</v>
      </c>
      <c r="E5249" t="s">
        <v>4078</v>
      </c>
      <c r="F5249" s="242"/>
      <c r="G5249"/>
      <c r="H5249" s="242">
        <v>479121</v>
      </c>
      <c r="I5249" s="242">
        <v>468558</v>
      </c>
      <c r="J5249"/>
    </row>
    <row r="5250" spans="1:10">
      <c r="A5250" t="s">
        <v>2404</v>
      </c>
      <c r="B5250">
        <v>843520</v>
      </c>
      <c r="C5250">
        <v>1</v>
      </c>
      <c r="D5250" t="str">
        <f t="shared" si="81"/>
        <v>1843520.120</v>
      </c>
      <c r="E5250" t="s">
        <v>2574</v>
      </c>
      <c r="F5250" s="242"/>
      <c r="G5250"/>
      <c r="H5250" s="242">
        <v>80688</v>
      </c>
      <c r="I5250" s="242">
        <v>76944</v>
      </c>
      <c r="J5250"/>
    </row>
    <row r="5251" spans="1:10">
      <c r="A5251" t="s">
        <v>2575</v>
      </c>
      <c r="B5251">
        <v>843520</v>
      </c>
      <c r="C5251">
        <v>1</v>
      </c>
      <c r="D5251" t="str">
        <f t="shared" ref="D5251:D5314" si="82">C5251&amp;B5251&amp;"."&amp;A5251</f>
        <v>1843520.130</v>
      </c>
      <c r="E5251" t="s">
        <v>2576</v>
      </c>
      <c r="F5251" s="242"/>
      <c r="G5251"/>
      <c r="H5251" s="242">
        <v>0</v>
      </c>
      <c r="I5251" s="242">
        <v>2955</v>
      </c>
      <c r="J5251"/>
    </row>
    <row r="5252" spans="1:10">
      <c r="A5252" t="s">
        <v>2577</v>
      </c>
      <c r="B5252">
        <v>843520</v>
      </c>
      <c r="C5252">
        <v>1</v>
      </c>
      <c r="D5252" t="str">
        <f t="shared" si="82"/>
        <v>1843520.140</v>
      </c>
      <c r="E5252" t="s">
        <v>2578</v>
      </c>
      <c r="F5252" s="242"/>
      <c r="G5252"/>
      <c r="H5252" s="242">
        <v>45970</v>
      </c>
      <c r="I5252" s="242">
        <v>53230</v>
      </c>
      <c r="J5252"/>
    </row>
    <row r="5253" spans="1:10">
      <c r="A5253" t="s">
        <v>2579</v>
      </c>
      <c r="B5253">
        <v>843520</v>
      </c>
      <c r="C5253">
        <v>1</v>
      </c>
      <c r="D5253" t="str">
        <f t="shared" si="82"/>
        <v>1843520.181</v>
      </c>
      <c r="E5253" t="s">
        <v>2580</v>
      </c>
      <c r="F5253" s="242"/>
      <c r="G5253"/>
      <c r="H5253" s="242">
        <v>108082</v>
      </c>
      <c r="I5253" s="242">
        <v>102222</v>
      </c>
      <c r="J5253"/>
    </row>
    <row r="5254" spans="1:10">
      <c r="A5254" t="s">
        <v>2581</v>
      </c>
      <c r="B5254">
        <v>843520</v>
      </c>
      <c r="C5254">
        <v>1</v>
      </c>
      <c r="D5254" t="str">
        <f t="shared" si="82"/>
        <v>1843520.182</v>
      </c>
      <c r="E5254" t="s">
        <v>2582</v>
      </c>
      <c r="F5254" s="242"/>
      <c r="G5254"/>
      <c r="H5254" s="242">
        <v>46453</v>
      </c>
      <c r="I5254" s="242">
        <v>45998</v>
      </c>
      <c r="J5254"/>
    </row>
    <row r="5255" spans="1:10">
      <c r="A5255" t="s">
        <v>2403</v>
      </c>
      <c r="B5255">
        <v>843800</v>
      </c>
      <c r="C5255">
        <v>1</v>
      </c>
      <c r="D5255" t="str">
        <f t="shared" si="82"/>
        <v>1843800.110</v>
      </c>
      <c r="E5255" t="s">
        <v>4079</v>
      </c>
      <c r="F5255" s="242"/>
      <c r="G5255"/>
      <c r="H5255" s="242">
        <v>122877</v>
      </c>
      <c r="I5255" s="242">
        <v>84054</v>
      </c>
      <c r="J5255"/>
    </row>
    <row r="5256" spans="1:10">
      <c r="A5256" t="s">
        <v>2404</v>
      </c>
      <c r="B5256">
        <v>843800</v>
      </c>
      <c r="C5256">
        <v>1</v>
      </c>
      <c r="D5256" t="str">
        <f t="shared" si="82"/>
        <v>1843800.120</v>
      </c>
      <c r="E5256" t="s">
        <v>2574</v>
      </c>
      <c r="F5256" s="242"/>
      <c r="G5256"/>
      <c r="H5256" s="242">
        <v>32553</v>
      </c>
      <c r="I5256" s="242">
        <v>25913</v>
      </c>
      <c r="J5256"/>
    </row>
    <row r="5257" spans="1:10">
      <c r="A5257" t="s">
        <v>2577</v>
      </c>
      <c r="B5257">
        <v>843800</v>
      </c>
      <c r="C5257">
        <v>1</v>
      </c>
      <c r="D5257" t="str">
        <f t="shared" si="82"/>
        <v>1843800.140</v>
      </c>
      <c r="E5257" t="s">
        <v>2578</v>
      </c>
      <c r="F5257" s="242"/>
      <c r="G5257"/>
      <c r="H5257" s="242">
        <v>33234</v>
      </c>
      <c r="I5257" s="242">
        <v>21047</v>
      </c>
      <c r="J5257"/>
    </row>
    <row r="5258" spans="1:10">
      <c r="A5258" t="s">
        <v>2579</v>
      </c>
      <c r="B5258">
        <v>843800</v>
      </c>
      <c r="C5258">
        <v>1</v>
      </c>
      <c r="D5258" t="str">
        <f t="shared" si="82"/>
        <v>1843800.181</v>
      </c>
      <c r="E5258" t="s">
        <v>2580</v>
      </c>
      <c r="F5258" s="242"/>
      <c r="G5258"/>
      <c r="H5258" s="242">
        <v>52499</v>
      </c>
      <c r="I5258" s="242">
        <v>34634</v>
      </c>
      <c r="J5258"/>
    </row>
    <row r="5259" spans="1:10">
      <c r="A5259" t="s">
        <v>2581</v>
      </c>
      <c r="B5259">
        <v>843800</v>
      </c>
      <c r="C5259">
        <v>1</v>
      </c>
      <c r="D5259" t="str">
        <f t="shared" si="82"/>
        <v>1843800.182</v>
      </c>
      <c r="E5259" t="s">
        <v>2582</v>
      </c>
      <c r="F5259" s="242"/>
      <c r="G5259"/>
      <c r="H5259" s="242">
        <v>14294</v>
      </c>
      <c r="I5259" s="242">
        <v>10185</v>
      </c>
      <c r="J5259"/>
    </row>
    <row r="5260" spans="1:10">
      <c r="A5260" t="s">
        <v>3829</v>
      </c>
      <c r="B5260">
        <v>843800</v>
      </c>
      <c r="C5260">
        <v>1</v>
      </c>
      <c r="D5260" t="str">
        <f t="shared" si="82"/>
        <v>1843800.840</v>
      </c>
      <c r="E5260" t="s">
        <v>4080</v>
      </c>
      <c r="F5260" s="242"/>
      <c r="G5260"/>
      <c r="H5260" s="242">
        <v>1333333</v>
      </c>
      <c r="I5260" s="242">
        <v>1351443</v>
      </c>
      <c r="J5260"/>
    </row>
    <row r="5261" spans="1:10">
      <c r="A5261" t="s">
        <v>1363</v>
      </c>
      <c r="B5261">
        <v>843800</v>
      </c>
      <c r="C5261">
        <v>1</v>
      </c>
      <c r="D5261" t="str">
        <f t="shared" si="82"/>
        <v>1843800.841</v>
      </c>
      <c r="E5261" t="s">
        <v>4052</v>
      </c>
      <c r="F5261" s="242"/>
      <c r="G5261"/>
      <c r="H5261" s="242">
        <v>22659029</v>
      </c>
      <c r="I5261" s="242">
        <v>19782089</v>
      </c>
      <c r="J5261"/>
    </row>
    <row r="5262" spans="1:10">
      <c r="A5262" t="s">
        <v>1386</v>
      </c>
      <c r="B5262">
        <v>843800</v>
      </c>
      <c r="C5262">
        <v>1</v>
      </c>
      <c r="D5262" t="str">
        <f t="shared" si="82"/>
        <v>1843800.843</v>
      </c>
      <c r="E5262" t="s">
        <v>4053</v>
      </c>
      <c r="F5262" s="242"/>
      <c r="G5262"/>
      <c r="H5262" s="242">
        <v>305340</v>
      </c>
      <c r="I5262" s="242">
        <v>502004</v>
      </c>
      <c r="J5262"/>
    </row>
    <row r="5263" spans="1:10">
      <c r="A5263" t="s">
        <v>1406</v>
      </c>
      <c r="B5263">
        <v>843800</v>
      </c>
      <c r="C5263">
        <v>1</v>
      </c>
      <c r="D5263" t="str">
        <f t="shared" si="82"/>
        <v>1843800.844</v>
      </c>
      <c r="E5263" t="s">
        <v>4054</v>
      </c>
      <c r="F5263" s="242"/>
      <c r="G5263"/>
      <c r="H5263" s="242">
        <v>0</v>
      </c>
      <c r="I5263" s="242">
        <v>0</v>
      </c>
      <c r="J5263"/>
    </row>
    <row r="5264" spans="1:10">
      <c r="A5264" t="s">
        <v>1176</v>
      </c>
      <c r="B5264">
        <v>843800</v>
      </c>
      <c r="C5264">
        <v>1</v>
      </c>
      <c r="D5264" t="str">
        <f t="shared" si="82"/>
        <v>1843800.821</v>
      </c>
      <c r="E5264" t="s">
        <v>4394</v>
      </c>
      <c r="F5264" s="242"/>
      <c r="G5264"/>
      <c r="H5264" s="242">
        <v>0</v>
      </c>
      <c r="I5264" s="242">
        <v>12837</v>
      </c>
      <c r="J5264"/>
    </row>
    <row r="5265" spans="1:10">
      <c r="A5265" t="s">
        <v>547</v>
      </c>
      <c r="B5265">
        <v>843900</v>
      </c>
      <c r="C5265">
        <v>1</v>
      </c>
      <c r="D5265" t="str">
        <f t="shared" si="82"/>
        <v>1843900.722</v>
      </c>
      <c r="E5265" t="s">
        <v>3020</v>
      </c>
      <c r="F5265" s="242"/>
      <c r="G5265"/>
      <c r="H5265" s="242">
        <v>32000</v>
      </c>
      <c r="I5265" s="242">
        <v>8474</v>
      </c>
      <c r="J5265"/>
    </row>
    <row r="5266" spans="1:10">
      <c r="A5266" t="s">
        <v>2632</v>
      </c>
      <c r="B5266">
        <v>843900</v>
      </c>
      <c r="C5266">
        <v>1</v>
      </c>
      <c r="D5266" t="str">
        <f t="shared" si="82"/>
        <v>1843900.780</v>
      </c>
      <c r="E5266" t="s">
        <v>4081</v>
      </c>
      <c r="F5266" s="242"/>
      <c r="G5266"/>
      <c r="H5266" s="242">
        <v>70000</v>
      </c>
      <c r="I5266" s="242">
        <v>19809</v>
      </c>
      <c r="J5266"/>
    </row>
    <row r="5267" spans="1:10">
      <c r="A5267" t="s">
        <v>3829</v>
      </c>
      <c r="B5267">
        <v>843900</v>
      </c>
      <c r="C5267">
        <v>1</v>
      </c>
      <c r="D5267" t="str">
        <f t="shared" si="82"/>
        <v>1843900.840</v>
      </c>
      <c r="E5267" t="s">
        <v>4058</v>
      </c>
      <c r="F5267" s="242"/>
      <c r="G5267"/>
      <c r="H5267" s="242">
        <v>10835430</v>
      </c>
      <c r="I5267" s="242">
        <v>10381195</v>
      </c>
      <c r="J5267"/>
    </row>
    <row r="5268" spans="1:10">
      <c r="A5268" t="s">
        <v>2403</v>
      </c>
      <c r="B5268">
        <v>844300</v>
      </c>
      <c r="C5268">
        <v>1</v>
      </c>
      <c r="D5268" t="str">
        <f t="shared" si="82"/>
        <v>1844300.110</v>
      </c>
      <c r="E5268" t="s">
        <v>3893</v>
      </c>
      <c r="F5268" s="242"/>
      <c r="G5268"/>
      <c r="H5268" s="242">
        <v>65583</v>
      </c>
      <c r="I5268" s="242">
        <v>69238</v>
      </c>
      <c r="J5268"/>
    </row>
    <row r="5269" spans="1:10">
      <c r="A5269" t="s">
        <v>2404</v>
      </c>
      <c r="B5269">
        <v>844300</v>
      </c>
      <c r="C5269">
        <v>1</v>
      </c>
      <c r="D5269" t="str">
        <f t="shared" si="82"/>
        <v>1844300.120</v>
      </c>
      <c r="E5269" t="s">
        <v>2574</v>
      </c>
      <c r="F5269" s="242"/>
      <c r="G5269"/>
      <c r="H5269" s="242">
        <v>21086</v>
      </c>
      <c r="I5269" s="242">
        <v>20905</v>
      </c>
      <c r="J5269"/>
    </row>
    <row r="5270" spans="1:10">
      <c r="A5270" t="s">
        <v>2575</v>
      </c>
      <c r="B5270">
        <v>844300</v>
      </c>
      <c r="C5270">
        <v>1</v>
      </c>
      <c r="D5270" t="str">
        <f t="shared" si="82"/>
        <v>1844300.130</v>
      </c>
      <c r="E5270" t="s">
        <v>2576</v>
      </c>
      <c r="F5270" s="242"/>
      <c r="G5270"/>
      <c r="H5270" s="242">
        <v>0</v>
      </c>
      <c r="I5270" s="242">
        <v>0</v>
      </c>
      <c r="J5270"/>
    </row>
    <row r="5271" spans="1:10">
      <c r="A5271" t="s">
        <v>2577</v>
      </c>
      <c r="B5271">
        <v>844300</v>
      </c>
      <c r="C5271">
        <v>1</v>
      </c>
      <c r="D5271" t="str">
        <f t="shared" si="82"/>
        <v>1844300.140</v>
      </c>
      <c r="E5271" t="s">
        <v>2578</v>
      </c>
      <c r="F5271" s="242"/>
      <c r="G5271"/>
      <c r="H5271" s="242">
        <v>17506</v>
      </c>
      <c r="I5271" s="242">
        <v>19660</v>
      </c>
      <c r="J5271"/>
    </row>
    <row r="5272" spans="1:10">
      <c r="A5272" t="s">
        <v>2579</v>
      </c>
      <c r="B5272">
        <v>844300</v>
      </c>
      <c r="C5272">
        <v>1</v>
      </c>
      <c r="D5272" t="str">
        <f t="shared" si="82"/>
        <v>1844300.181</v>
      </c>
      <c r="E5272" t="s">
        <v>2580</v>
      </c>
      <c r="F5272" s="242"/>
      <c r="G5272"/>
      <c r="H5272" s="242">
        <v>16134</v>
      </c>
      <c r="I5272" s="242">
        <v>17293</v>
      </c>
      <c r="J5272"/>
    </row>
    <row r="5273" spans="1:10">
      <c r="A5273" t="s">
        <v>2581</v>
      </c>
      <c r="B5273">
        <v>844300</v>
      </c>
      <c r="C5273">
        <v>1</v>
      </c>
      <c r="D5273" t="str">
        <f t="shared" si="82"/>
        <v>1844300.182</v>
      </c>
      <c r="E5273" t="s">
        <v>2582</v>
      </c>
      <c r="F5273" s="242"/>
      <c r="G5273"/>
      <c r="H5273" s="242">
        <v>8008</v>
      </c>
      <c r="I5273" s="242">
        <v>8432</v>
      </c>
      <c r="J5273"/>
    </row>
    <row r="5274" spans="1:10">
      <c r="A5274" t="s">
        <v>2409</v>
      </c>
      <c r="B5274">
        <v>844300</v>
      </c>
      <c r="C5274">
        <v>1</v>
      </c>
      <c r="D5274" t="str">
        <f t="shared" si="82"/>
        <v>1844300.410</v>
      </c>
      <c r="E5274" t="s">
        <v>3894</v>
      </c>
      <c r="F5274" s="242"/>
      <c r="G5274"/>
      <c r="H5274" s="242">
        <v>310000</v>
      </c>
      <c r="I5274" s="242">
        <v>293529</v>
      </c>
      <c r="J5274"/>
    </row>
    <row r="5275" spans="1:10">
      <c r="A5275" t="s">
        <v>1622</v>
      </c>
      <c r="B5275">
        <v>844300</v>
      </c>
      <c r="C5275">
        <v>1</v>
      </c>
      <c r="D5275" t="str">
        <f t="shared" si="82"/>
        <v>1844300.411</v>
      </c>
      <c r="E5275" t="s">
        <v>3895</v>
      </c>
      <c r="F5275" s="242"/>
      <c r="G5275"/>
      <c r="H5275" s="242">
        <v>120000</v>
      </c>
      <c r="I5275" s="242">
        <v>122528</v>
      </c>
      <c r="J5275"/>
    </row>
    <row r="5276" spans="1:10">
      <c r="A5276" t="s">
        <v>2652</v>
      </c>
      <c r="B5276">
        <v>844300</v>
      </c>
      <c r="C5276">
        <v>1</v>
      </c>
      <c r="D5276" t="str">
        <f t="shared" si="82"/>
        <v>1844300.420</v>
      </c>
      <c r="E5276" t="s">
        <v>2653</v>
      </c>
      <c r="F5276" s="242"/>
      <c r="G5276"/>
      <c r="H5276" s="242">
        <v>17500</v>
      </c>
      <c r="I5276" s="242">
        <v>12221</v>
      </c>
      <c r="J5276"/>
    </row>
    <row r="5277" spans="1:10">
      <c r="A5277" t="s">
        <v>1678</v>
      </c>
      <c r="B5277">
        <v>844300</v>
      </c>
      <c r="C5277">
        <v>1</v>
      </c>
      <c r="D5277" t="str">
        <f t="shared" si="82"/>
        <v>1844300.434</v>
      </c>
      <c r="E5277" t="s">
        <v>2656</v>
      </c>
      <c r="F5277" s="242"/>
      <c r="G5277"/>
      <c r="H5277" s="242">
        <v>50000</v>
      </c>
      <c r="I5277" s="242">
        <v>36791</v>
      </c>
      <c r="J5277"/>
    </row>
    <row r="5278" spans="1:10">
      <c r="A5278" t="s">
        <v>2606</v>
      </c>
      <c r="B5278">
        <v>844300</v>
      </c>
      <c r="C5278">
        <v>1</v>
      </c>
      <c r="D5278" t="str">
        <f t="shared" si="82"/>
        <v>1844300.440</v>
      </c>
      <c r="E5278" t="s">
        <v>3896</v>
      </c>
      <c r="F5278" s="242"/>
      <c r="G5278"/>
      <c r="H5278" s="242">
        <v>5200</v>
      </c>
      <c r="I5278" s="242">
        <v>5018</v>
      </c>
      <c r="J5278"/>
    </row>
    <row r="5279" spans="1:10">
      <c r="A5279" t="s">
        <v>2594</v>
      </c>
      <c r="B5279">
        <v>844300</v>
      </c>
      <c r="C5279">
        <v>1</v>
      </c>
      <c r="D5279" t="str">
        <f t="shared" si="82"/>
        <v>1844300.540</v>
      </c>
      <c r="E5279" t="s">
        <v>3570</v>
      </c>
      <c r="F5279" s="242"/>
      <c r="G5279"/>
      <c r="H5279" s="242">
        <v>31000</v>
      </c>
      <c r="I5279" s="242">
        <v>19259</v>
      </c>
      <c r="J5279"/>
    </row>
    <row r="5280" spans="1:10">
      <c r="A5280" t="s">
        <v>673</v>
      </c>
      <c r="B5280">
        <v>844300</v>
      </c>
      <c r="C5280">
        <v>1</v>
      </c>
      <c r="D5280" t="str">
        <f t="shared" si="82"/>
        <v>1844300.743</v>
      </c>
      <c r="E5280" t="s">
        <v>2622</v>
      </c>
      <c r="F5280" s="242"/>
      <c r="G5280"/>
      <c r="H5280" s="242">
        <v>8000</v>
      </c>
      <c r="I5280" s="242">
        <v>6180</v>
      </c>
      <c r="J5280"/>
    </row>
    <row r="5281" spans="1:10">
      <c r="A5281" t="s">
        <v>2603</v>
      </c>
      <c r="B5281">
        <v>844300</v>
      </c>
      <c r="C5281">
        <v>1</v>
      </c>
      <c r="D5281" t="str">
        <f t="shared" si="82"/>
        <v>1844300.759</v>
      </c>
      <c r="E5281" t="s">
        <v>2905</v>
      </c>
      <c r="F5281" s="242"/>
      <c r="G5281"/>
      <c r="H5281" s="242">
        <v>80000</v>
      </c>
      <c r="I5281" s="242">
        <v>80000</v>
      </c>
      <c r="J5281"/>
    </row>
    <row r="5282" spans="1:10">
      <c r="A5282" t="s">
        <v>2632</v>
      </c>
      <c r="B5282">
        <v>844300</v>
      </c>
      <c r="C5282">
        <v>1</v>
      </c>
      <c r="D5282" t="str">
        <f t="shared" si="82"/>
        <v>1844300.780</v>
      </c>
      <c r="E5282" t="s">
        <v>3897</v>
      </c>
      <c r="F5282" s="242"/>
      <c r="G5282"/>
      <c r="H5282" s="242">
        <v>180000</v>
      </c>
      <c r="I5282" s="242">
        <v>180000</v>
      </c>
      <c r="J5282"/>
    </row>
    <row r="5283" spans="1:10">
      <c r="A5283" t="s">
        <v>872</v>
      </c>
      <c r="B5283">
        <v>844300</v>
      </c>
      <c r="C5283">
        <v>1</v>
      </c>
      <c r="D5283" t="str">
        <f t="shared" si="82"/>
        <v>1844300.781</v>
      </c>
      <c r="E5283" t="s">
        <v>3882</v>
      </c>
      <c r="F5283" s="242"/>
      <c r="G5283"/>
      <c r="H5283" s="242">
        <v>0</v>
      </c>
      <c r="I5283" s="242">
        <v>9700</v>
      </c>
      <c r="J5283"/>
    </row>
    <row r="5284" spans="1:10">
      <c r="A5284" t="s">
        <v>877</v>
      </c>
      <c r="B5284">
        <v>844300</v>
      </c>
      <c r="C5284">
        <v>1</v>
      </c>
      <c r="D5284" t="str">
        <f t="shared" si="82"/>
        <v>1844300.782</v>
      </c>
      <c r="E5284" t="s">
        <v>3898</v>
      </c>
      <c r="F5284" s="242"/>
      <c r="G5284"/>
      <c r="H5284" s="242">
        <v>58350</v>
      </c>
      <c r="I5284" s="242">
        <v>8650</v>
      </c>
      <c r="J5284"/>
    </row>
    <row r="5285" spans="1:10">
      <c r="A5285" t="s">
        <v>2674</v>
      </c>
      <c r="B5285">
        <v>844300</v>
      </c>
      <c r="C5285">
        <v>1</v>
      </c>
      <c r="D5285" t="str">
        <f t="shared" si="82"/>
        <v>1844300.783</v>
      </c>
      <c r="E5285" t="s">
        <v>3899</v>
      </c>
      <c r="F5285" s="242"/>
      <c r="G5285"/>
      <c r="H5285" s="242">
        <v>0</v>
      </c>
      <c r="I5285" s="242">
        <v>0</v>
      </c>
      <c r="J5285"/>
    </row>
    <row r="5286" spans="1:10">
      <c r="A5286" t="s">
        <v>2750</v>
      </c>
      <c r="B5286">
        <v>844300</v>
      </c>
      <c r="C5286">
        <v>1</v>
      </c>
      <c r="D5286" t="str">
        <f t="shared" si="82"/>
        <v>1844300.785</v>
      </c>
      <c r="E5286" t="s">
        <v>3900</v>
      </c>
      <c r="F5286" s="242"/>
      <c r="G5286"/>
      <c r="H5286" s="242">
        <v>0</v>
      </c>
      <c r="I5286" s="242">
        <v>0</v>
      </c>
      <c r="J5286"/>
    </row>
    <row r="5287" spans="1:10">
      <c r="A5287" t="s">
        <v>3030</v>
      </c>
      <c r="B5287">
        <v>844300</v>
      </c>
      <c r="C5287">
        <v>1</v>
      </c>
      <c r="D5287" t="str">
        <f t="shared" si="82"/>
        <v>1844300.787</v>
      </c>
      <c r="E5287" t="s">
        <v>3901</v>
      </c>
      <c r="F5287" s="242"/>
      <c r="G5287"/>
      <c r="H5287" s="242">
        <v>50000</v>
      </c>
      <c r="I5287" s="242">
        <v>44114</v>
      </c>
      <c r="J5287"/>
    </row>
    <row r="5288" spans="1:10">
      <c r="A5288" t="s">
        <v>2841</v>
      </c>
      <c r="B5288">
        <v>844300</v>
      </c>
      <c r="C5288">
        <v>1</v>
      </c>
      <c r="D5288" t="str">
        <f t="shared" si="82"/>
        <v>1844300.788</v>
      </c>
      <c r="E5288" t="s">
        <v>3902</v>
      </c>
      <c r="F5288" s="242"/>
      <c r="G5288"/>
      <c r="H5288" s="242">
        <v>0</v>
      </c>
      <c r="I5288" s="242">
        <v>0</v>
      </c>
      <c r="J5288"/>
    </row>
    <row r="5289" spans="1:10">
      <c r="A5289" t="s">
        <v>3829</v>
      </c>
      <c r="B5289">
        <v>844300</v>
      </c>
      <c r="C5289">
        <v>1</v>
      </c>
      <c r="D5289" t="str">
        <f t="shared" si="82"/>
        <v>1844300.840</v>
      </c>
      <c r="E5289" t="s">
        <v>3874</v>
      </c>
      <c r="F5289" s="242"/>
      <c r="G5289"/>
      <c r="H5289" s="242">
        <v>12158587</v>
      </c>
      <c r="I5289" s="242">
        <v>11113683</v>
      </c>
      <c r="J5289"/>
    </row>
    <row r="5290" spans="1:10">
      <c r="A5290" t="s">
        <v>1363</v>
      </c>
      <c r="B5290">
        <v>844300</v>
      </c>
      <c r="C5290">
        <v>1</v>
      </c>
      <c r="D5290" t="str">
        <f t="shared" si="82"/>
        <v>1844300.841</v>
      </c>
      <c r="E5290" t="s">
        <v>3875</v>
      </c>
      <c r="F5290" s="242"/>
      <c r="G5290"/>
      <c r="H5290" s="242">
        <v>20000</v>
      </c>
      <c r="I5290" s="242">
        <v>0</v>
      </c>
      <c r="J5290"/>
    </row>
    <row r="5291" spans="1:10">
      <c r="A5291" t="s">
        <v>2403</v>
      </c>
      <c r="B5291">
        <v>844301</v>
      </c>
      <c r="C5291">
        <v>1</v>
      </c>
      <c r="D5291" t="str">
        <f t="shared" si="82"/>
        <v>1844301.110</v>
      </c>
      <c r="E5291" t="s">
        <v>3903</v>
      </c>
      <c r="F5291" s="242"/>
      <c r="G5291"/>
      <c r="H5291" s="242">
        <v>1570707</v>
      </c>
      <c r="I5291" s="242">
        <v>1509889</v>
      </c>
      <c r="J5291"/>
    </row>
    <row r="5292" spans="1:10">
      <c r="A5292" t="s">
        <v>2404</v>
      </c>
      <c r="B5292">
        <v>844301</v>
      </c>
      <c r="C5292">
        <v>1</v>
      </c>
      <c r="D5292" t="str">
        <f t="shared" si="82"/>
        <v>1844301.120</v>
      </c>
      <c r="E5292" t="s">
        <v>2574</v>
      </c>
      <c r="F5292" s="242"/>
      <c r="G5292"/>
      <c r="H5292" s="242">
        <v>299476</v>
      </c>
      <c r="I5292" s="242">
        <v>289623</v>
      </c>
      <c r="J5292"/>
    </row>
    <row r="5293" spans="1:10">
      <c r="A5293" t="s">
        <v>2575</v>
      </c>
      <c r="B5293">
        <v>844301</v>
      </c>
      <c r="C5293">
        <v>1</v>
      </c>
      <c r="D5293" t="str">
        <f t="shared" si="82"/>
        <v>1844301.130</v>
      </c>
      <c r="E5293" t="s">
        <v>2576</v>
      </c>
      <c r="F5293" s="242"/>
      <c r="G5293"/>
      <c r="H5293" s="242">
        <v>15372</v>
      </c>
      <c r="I5293" s="242">
        <v>10904</v>
      </c>
      <c r="J5293"/>
    </row>
    <row r="5294" spans="1:10">
      <c r="A5294" t="s">
        <v>2577</v>
      </c>
      <c r="B5294">
        <v>844301</v>
      </c>
      <c r="C5294">
        <v>1</v>
      </c>
      <c r="D5294" t="str">
        <f t="shared" si="82"/>
        <v>1844301.140</v>
      </c>
      <c r="E5294" t="s">
        <v>2578</v>
      </c>
      <c r="F5294" s="242"/>
      <c r="G5294"/>
      <c r="H5294" s="242">
        <v>249881</v>
      </c>
      <c r="I5294" s="242">
        <v>232168</v>
      </c>
      <c r="J5294"/>
    </row>
    <row r="5295" spans="1:10">
      <c r="A5295" t="s">
        <v>2579</v>
      </c>
      <c r="B5295">
        <v>844301</v>
      </c>
      <c r="C5295">
        <v>1</v>
      </c>
      <c r="D5295" t="str">
        <f t="shared" si="82"/>
        <v>1844301.181</v>
      </c>
      <c r="E5295" t="s">
        <v>2580</v>
      </c>
      <c r="F5295" s="242"/>
      <c r="G5295"/>
      <c r="H5295" s="242">
        <v>374705</v>
      </c>
      <c r="I5295" s="242">
        <v>352260</v>
      </c>
      <c r="J5295"/>
    </row>
    <row r="5296" spans="1:10">
      <c r="A5296" t="s">
        <v>2581</v>
      </c>
      <c r="B5296">
        <v>844301</v>
      </c>
      <c r="C5296">
        <v>1</v>
      </c>
      <c r="D5296" t="str">
        <f t="shared" si="82"/>
        <v>1844301.182</v>
      </c>
      <c r="E5296" t="s">
        <v>2582</v>
      </c>
      <c r="F5296" s="242"/>
      <c r="G5296"/>
      <c r="H5296" s="242">
        <v>166951</v>
      </c>
      <c r="I5296" s="242">
        <v>159603</v>
      </c>
      <c r="J5296"/>
    </row>
    <row r="5297" spans="1:10">
      <c r="A5297" t="s">
        <v>2403</v>
      </c>
      <c r="B5297">
        <v>844400</v>
      </c>
      <c r="C5297">
        <v>1</v>
      </c>
      <c r="D5297" t="str">
        <f t="shared" si="82"/>
        <v>1844400.110</v>
      </c>
      <c r="E5297" t="s">
        <v>3904</v>
      </c>
      <c r="F5297" s="242"/>
      <c r="G5297"/>
      <c r="H5297" s="242">
        <v>55229</v>
      </c>
      <c r="I5297" s="242">
        <v>0</v>
      </c>
      <c r="J5297"/>
    </row>
    <row r="5298" spans="1:10">
      <c r="A5298" t="s">
        <v>2404</v>
      </c>
      <c r="B5298">
        <v>844400</v>
      </c>
      <c r="C5298">
        <v>1</v>
      </c>
      <c r="D5298" t="str">
        <f t="shared" si="82"/>
        <v>1844400.120</v>
      </c>
      <c r="E5298" t="s">
        <v>2574</v>
      </c>
      <c r="F5298" s="242"/>
      <c r="G5298"/>
      <c r="H5298" s="242">
        <v>10530</v>
      </c>
      <c r="I5298" s="242">
        <v>0</v>
      </c>
      <c r="J5298"/>
    </row>
    <row r="5299" spans="1:10">
      <c r="A5299" t="s">
        <v>2575</v>
      </c>
      <c r="B5299">
        <v>844400</v>
      </c>
      <c r="C5299">
        <v>1</v>
      </c>
      <c r="D5299" t="str">
        <f t="shared" si="82"/>
        <v>1844400.130</v>
      </c>
      <c r="E5299" t="s">
        <v>2576</v>
      </c>
      <c r="F5299" s="242"/>
      <c r="G5299"/>
      <c r="H5299" s="242">
        <v>540</v>
      </c>
      <c r="I5299" s="242">
        <v>0</v>
      </c>
      <c r="J5299"/>
    </row>
    <row r="5300" spans="1:10">
      <c r="A5300" t="s">
        <v>2577</v>
      </c>
      <c r="B5300">
        <v>844400</v>
      </c>
      <c r="C5300">
        <v>1</v>
      </c>
      <c r="D5300" t="str">
        <f t="shared" si="82"/>
        <v>1844400.140</v>
      </c>
      <c r="E5300" t="s">
        <v>2578</v>
      </c>
      <c r="F5300" s="242"/>
      <c r="G5300"/>
      <c r="H5300" s="242">
        <v>8786</v>
      </c>
      <c r="I5300" s="242">
        <v>0</v>
      </c>
      <c r="J5300"/>
    </row>
    <row r="5301" spans="1:10">
      <c r="A5301" t="s">
        <v>2579</v>
      </c>
      <c r="B5301">
        <v>844400</v>
      </c>
      <c r="C5301">
        <v>1</v>
      </c>
      <c r="D5301" t="str">
        <f t="shared" si="82"/>
        <v>1844400.181</v>
      </c>
      <c r="E5301" t="s">
        <v>2580</v>
      </c>
      <c r="F5301" s="242"/>
      <c r="G5301"/>
      <c r="H5301" s="242">
        <v>13175</v>
      </c>
      <c r="I5301" s="242">
        <v>0</v>
      </c>
      <c r="J5301"/>
    </row>
    <row r="5302" spans="1:10">
      <c r="A5302" t="s">
        <v>2581</v>
      </c>
      <c r="B5302">
        <v>844400</v>
      </c>
      <c r="C5302">
        <v>1</v>
      </c>
      <c r="D5302" t="str">
        <f t="shared" si="82"/>
        <v>1844400.182</v>
      </c>
      <c r="E5302" t="s">
        <v>2582</v>
      </c>
      <c r="F5302" s="242"/>
      <c r="G5302"/>
      <c r="H5302" s="242">
        <v>5870</v>
      </c>
      <c r="I5302" s="242">
        <v>0</v>
      </c>
      <c r="J5302"/>
    </row>
    <row r="5303" spans="1:10">
      <c r="A5303" t="s">
        <v>2409</v>
      </c>
      <c r="B5303">
        <v>844400</v>
      </c>
      <c r="C5303">
        <v>1</v>
      </c>
      <c r="D5303" t="str">
        <f t="shared" si="82"/>
        <v>1844400.410</v>
      </c>
      <c r="E5303" t="s">
        <v>2752</v>
      </c>
      <c r="F5303" s="242"/>
      <c r="G5303"/>
      <c r="H5303" s="242">
        <v>18000</v>
      </c>
      <c r="I5303" s="242">
        <v>23778</v>
      </c>
      <c r="J5303"/>
    </row>
    <row r="5304" spans="1:10">
      <c r="A5304" t="s">
        <v>1663</v>
      </c>
      <c r="B5304">
        <v>844400</v>
      </c>
      <c r="C5304">
        <v>1</v>
      </c>
      <c r="D5304" t="str">
        <f t="shared" si="82"/>
        <v>1844400.431</v>
      </c>
      <c r="E5304" t="s">
        <v>2654</v>
      </c>
      <c r="F5304" s="242"/>
      <c r="G5304"/>
      <c r="H5304" s="242">
        <v>13300</v>
      </c>
      <c r="I5304" s="242">
        <v>18755</v>
      </c>
      <c r="J5304"/>
    </row>
    <row r="5305" spans="1:10">
      <c r="A5305" t="s">
        <v>1668</v>
      </c>
      <c r="B5305">
        <v>844400</v>
      </c>
      <c r="C5305">
        <v>1</v>
      </c>
      <c r="D5305" t="str">
        <f t="shared" si="82"/>
        <v>1844400.432</v>
      </c>
      <c r="E5305" t="s">
        <v>2687</v>
      </c>
      <c r="F5305" s="242"/>
      <c r="G5305"/>
      <c r="H5305" s="242">
        <v>90800</v>
      </c>
      <c r="I5305" s="242">
        <v>121733</v>
      </c>
      <c r="J5305"/>
    </row>
    <row r="5306" spans="1:10">
      <c r="A5306" t="s">
        <v>2594</v>
      </c>
      <c r="B5306">
        <v>844400</v>
      </c>
      <c r="C5306">
        <v>1</v>
      </c>
      <c r="D5306" t="str">
        <f t="shared" si="82"/>
        <v>1844400.540</v>
      </c>
      <c r="E5306" t="s">
        <v>3905</v>
      </c>
      <c r="F5306" s="242"/>
      <c r="G5306"/>
      <c r="H5306" s="242">
        <v>6000</v>
      </c>
      <c r="I5306" s="242">
        <v>4727</v>
      </c>
      <c r="J5306"/>
    </row>
    <row r="5307" spans="1:10">
      <c r="A5307" t="s">
        <v>2611</v>
      </c>
      <c r="B5307">
        <v>844400</v>
      </c>
      <c r="C5307">
        <v>1</v>
      </c>
      <c r="D5307" t="str">
        <f t="shared" si="82"/>
        <v>1844400.750</v>
      </c>
      <c r="E5307" t="s">
        <v>3906</v>
      </c>
      <c r="F5307" s="242"/>
      <c r="G5307"/>
      <c r="H5307" s="242">
        <v>380000</v>
      </c>
      <c r="I5307" s="242">
        <v>423562</v>
      </c>
      <c r="J5307"/>
    </row>
    <row r="5308" spans="1:10">
      <c r="A5308" t="s">
        <v>872</v>
      </c>
      <c r="B5308">
        <v>844400</v>
      </c>
      <c r="C5308">
        <v>1</v>
      </c>
      <c r="D5308" t="str">
        <f t="shared" si="82"/>
        <v>1844400.781</v>
      </c>
      <c r="E5308" t="s">
        <v>3907</v>
      </c>
      <c r="F5308" s="242"/>
      <c r="G5308"/>
      <c r="H5308" s="242">
        <v>51000</v>
      </c>
      <c r="I5308" s="242">
        <v>36421</v>
      </c>
      <c r="J5308"/>
    </row>
    <row r="5309" spans="1:10">
      <c r="A5309" t="s">
        <v>877</v>
      </c>
      <c r="B5309">
        <v>844400</v>
      </c>
      <c r="C5309">
        <v>1</v>
      </c>
      <c r="D5309" t="str">
        <f t="shared" si="82"/>
        <v>1844400.782</v>
      </c>
      <c r="E5309" t="s">
        <v>3890</v>
      </c>
      <c r="F5309" s="242"/>
      <c r="G5309"/>
      <c r="H5309" s="242">
        <v>515000</v>
      </c>
      <c r="I5309" s="242">
        <v>187824</v>
      </c>
      <c r="J5309"/>
    </row>
    <row r="5310" spans="1:10">
      <c r="A5310" t="s">
        <v>3829</v>
      </c>
      <c r="B5310">
        <v>844400</v>
      </c>
      <c r="C5310">
        <v>1</v>
      </c>
      <c r="D5310" t="str">
        <f t="shared" si="82"/>
        <v>1844400.840</v>
      </c>
      <c r="E5310" t="s">
        <v>3880</v>
      </c>
      <c r="F5310" s="242"/>
      <c r="G5310"/>
      <c r="H5310" s="242">
        <v>40000</v>
      </c>
      <c r="I5310" s="242">
        <v>13873</v>
      </c>
      <c r="J5310"/>
    </row>
    <row r="5311" spans="1:10">
      <c r="A5311" t="s">
        <v>1363</v>
      </c>
      <c r="B5311">
        <v>844400</v>
      </c>
      <c r="C5311">
        <v>1</v>
      </c>
      <c r="D5311" t="str">
        <f t="shared" si="82"/>
        <v>1844400.841</v>
      </c>
      <c r="E5311" t="s">
        <v>3881</v>
      </c>
      <c r="F5311" s="242"/>
      <c r="G5311"/>
      <c r="H5311" s="242">
        <v>240000</v>
      </c>
      <c r="I5311" s="242">
        <v>71852</v>
      </c>
      <c r="J5311"/>
    </row>
    <row r="5312" spans="1:10">
      <c r="A5312" t="s">
        <v>1367</v>
      </c>
      <c r="B5312">
        <v>844400</v>
      </c>
      <c r="C5312">
        <v>1</v>
      </c>
      <c r="D5312" t="str">
        <f t="shared" si="82"/>
        <v>1844400.842</v>
      </c>
      <c r="E5312" t="s">
        <v>3882</v>
      </c>
      <c r="F5312" s="242"/>
      <c r="G5312"/>
      <c r="H5312" s="242">
        <v>672700</v>
      </c>
      <c r="I5312" s="242">
        <v>697101</v>
      </c>
      <c r="J5312"/>
    </row>
    <row r="5313" spans="1:10">
      <c r="A5313" t="s">
        <v>1386</v>
      </c>
      <c r="B5313">
        <v>844400</v>
      </c>
      <c r="C5313">
        <v>1</v>
      </c>
      <c r="D5313" t="str">
        <f t="shared" si="82"/>
        <v>1844400.843</v>
      </c>
      <c r="E5313" t="s">
        <v>3883</v>
      </c>
      <c r="F5313" s="242"/>
      <c r="G5313"/>
      <c r="H5313" s="242">
        <v>400000</v>
      </c>
      <c r="I5313" s="242">
        <v>505869</v>
      </c>
      <c r="J5313"/>
    </row>
    <row r="5314" spans="1:10">
      <c r="A5314" t="s">
        <v>1406</v>
      </c>
      <c r="B5314">
        <v>844400</v>
      </c>
      <c r="C5314">
        <v>1</v>
      </c>
      <c r="D5314" t="str">
        <f t="shared" si="82"/>
        <v>1844400.844</v>
      </c>
      <c r="E5314" t="s">
        <v>3884</v>
      </c>
      <c r="F5314" s="242"/>
      <c r="G5314"/>
      <c r="H5314" s="242">
        <v>30000</v>
      </c>
      <c r="I5314" s="242">
        <v>0</v>
      </c>
      <c r="J5314"/>
    </row>
    <row r="5315" spans="1:10">
      <c r="A5315" t="s">
        <v>1426</v>
      </c>
      <c r="B5315">
        <v>844400</v>
      </c>
      <c r="C5315">
        <v>1</v>
      </c>
      <c r="D5315" t="str">
        <f t="shared" ref="D5315:D5378" si="83">C5315&amp;B5315&amp;"."&amp;A5315</f>
        <v>1844400.845</v>
      </c>
      <c r="E5315" t="s">
        <v>3885</v>
      </c>
      <c r="F5315" s="242"/>
      <c r="G5315"/>
      <c r="H5315" s="242">
        <v>40000</v>
      </c>
      <c r="I5315" s="242">
        <v>208656</v>
      </c>
      <c r="J5315"/>
    </row>
    <row r="5316" spans="1:10">
      <c r="A5316" t="s">
        <v>1451</v>
      </c>
      <c r="B5316">
        <v>844400</v>
      </c>
      <c r="C5316">
        <v>1</v>
      </c>
      <c r="D5316" t="str">
        <f t="shared" si="83"/>
        <v>1844400.846</v>
      </c>
      <c r="E5316" t="s">
        <v>3886</v>
      </c>
      <c r="F5316" s="242"/>
      <c r="G5316"/>
      <c r="H5316" s="242">
        <v>200000</v>
      </c>
      <c r="I5316" s="242">
        <v>50449</v>
      </c>
      <c r="J5316"/>
    </row>
    <row r="5317" spans="1:10">
      <c r="A5317" t="s">
        <v>1496</v>
      </c>
      <c r="B5317">
        <v>844400</v>
      </c>
      <c r="C5317">
        <v>1</v>
      </c>
      <c r="D5317" t="str">
        <f t="shared" si="83"/>
        <v>1844400.847</v>
      </c>
      <c r="E5317" t="s">
        <v>3887</v>
      </c>
      <c r="F5317" s="242"/>
      <c r="G5317"/>
      <c r="H5317" s="242">
        <v>66667</v>
      </c>
      <c r="I5317" s="242">
        <v>37504</v>
      </c>
      <c r="J5317"/>
    </row>
    <row r="5318" spans="1:10">
      <c r="A5318" t="s">
        <v>1521</v>
      </c>
      <c r="B5318">
        <v>844400</v>
      </c>
      <c r="C5318">
        <v>1</v>
      </c>
      <c r="D5318" t="str">
        <f t="shared" si="83"/>
        <v>1844400.848</v>
      </c>
      <c r="E5318" t="s">
        <v>3888</v>
      </c>
      <c r="F5318" s="242"/>
      <c r="G5318"/>
      <c r="H5318" s="242">
        <v>64000</v>
      </c>
      <c r="I5318" s="242">
        <v>20000</v>
      </c>
      <c r="J5318"/>
    </row>
    <row r="5319" spans="1:10">
      <c r="A5319" t="s">
        <v>2403</v>
      </c>
      <c r="B5319">
        <v>844410</v>
      </c>
      <c r="C5319">
        <v>1</v>
      </c>
      <c r="D5319" t="str">
        <f t="shared" si="83"/>
        <v>1844410.110</v>
      </c>
      <c r="E5319" t="s">
        <v>3908</v>
      </c>
      <c r="F5319" s="242"/>
      <c r="G5319"/>
      <c r="H5319" s="242">
        <v>1016822</v>
      </c>
      <c r="I5319" s="242">
        <v>1033977</v>
      </c>
      <c r="J5319"/>
    </row>
    <row r="5320" spans="1:10">
      <c r="A5320" t="s">
        <v>2404</v>
      </c>
      <c r="B5320">
        <v>844410</v>
      </c>
      <c r="C5320">
        <v>1</v>
      </c>
      <c r="D5320" t="str">
        <f t="shared" si="83"/>
        <v>1844410.120</v>
      </c>
      <c r="E5320" t="s">
        <v>2574</v>
      </c>
      <c r="F5320" s="242"/>
      <c r="G5320"/>
      <c r="H5320" s="242">
        <v>94819</v>
      </c>
      <c r="I5320" s="242">
        <v>95811</v>
      </c>
      <c r="J5320"/>
    </row>
    <row r="5321" spans="1:10">
      <c r="A5321" t="s">
        <v>2575</v>
      </c>
      <c r="B5321">
        <v>844410</v>
      </c>
      <c r="C5321">
        <v>1</v>
      </c>
      <c r="D5321" t="str">
        <f t="shared" si="83"/>
        <v>1844410.130</v>
      </c>
      <c r="E5321" t="s">
        <v>2576</v>
      </c>
      <c r="F5321" s="242"/>
      <c r="G5321"/>
      <c r="H5321" s="242">
        <v>3461</v>
      </c>
      <c r="I5321" s="242">
        <v>3518</v>
      </c>
      <c r="J5321"/>
    </row>
    <row r="5322" spans="1:10">
      <c r="A5322" t="s">
        <v>2577</v>
      </c>
      <c r="B5322">
        <v>844410</v>
      </c>
      <c r="C5322">
        <v>1</v>
      </c>
      <c r="D5322" t="str">
        <f t="shared" si="83"/>
        <v>1844410.140</v>
      </c>
      <c r="E5322" t="s">
        <v>2578</v>
      </c>
      <c r="F5322" s="242"/>
      <c r="G5322"/>
      <c r="H5322" s="242">
        <v>203390</v>
      </c>
      <c r="I5322" s="242">
        <v>180067</v>
      </c>
      <c r="J5322"/>
    </row>
    <row r="5323" spans="1:10">
      <c r="A5323" t="s">
        <v>2579</v>
      </c>
      <c r="B5323">
        <v>844410</v>
      </c>
      <c r="C5323">
        <v>1</v>
      </c>
      <c r="D5323" t="str">
        <f t="shared" si="83"/>
        <v>1844410.181</v>
      </c>
      <c r="E5323" t="s">
        <v>2580</v>
      </c>
      <c r="F5323" s="242"/>
      <c r="G5323"/>
      <c r="H5323" s="242">
        <v>281390</v>
      </c>
      <c r="I5323" s="242">
        <v>267168</v>
      </c>
      <c r="J5323"/>
    </row>
    <row r="5324" spans="1:10">
      <c r="A5324" t="s">
        <v>2581</v>
      </c>
      <c r="B5324">
        <v>844410</v>
      </c>
      <c r="C5324">
        <v>1</v>
      </c>
      <c r="D5324" t="str">
        <f t="shared" si="83"/>
        <v>1844410.182</v>
      </c>
      <c r="E5324" t="s">
        <v>2582</v>
      </c>
      <c r="F5324" s="242"/>
      <c r="G5324"/>
      <c r="H5324" s="242">
        <v>102145</v>
      </c>
      <c r="I5324" s="242">
        <v>101451</v>
      </c>
      <c r="J5324"/>
    </row>
    <row r="5325" spans="1:10">
      <c r="A5325" t="s">
        <v>3829</v>
      </c>
      <c r="B5325">
        <v>844410</v>
      </c>
      <c r="C5325">
        <v>1</v>
      </c>
      <c r="D5325" t="str">
        <f t="shared" si="83"/>
        <v>1844410.840</v>
      </c>
      <c r="E5325" t="s">
        <v>3891</v>
      </c>
      <c r="F5325" s="242"/>
      <c r="G5325"/>
      <c r="H5325" s="242">
        <v>69900</v>
      </c>
      <c r="I5325" s="242">
        <v>49988</v>
      </c>
      <c r="J5325"/>
    </row>
    <row r="5326" spans="1:10">
      <c r="A5326" t="s">
        <v>2632</v>
      </c>
      <c r="B5326">
        <v>844500</v>
      </c>
      <c r="C5326">
        <v>1</v>
      </c>
      <c r="D5326" t="str">
        <f t="shared" si="83"/>
        <v>1844500.780</v>
      </c>
      <c r="E5326" t="s">
        <v>3909</v>
      </c>
      <c r="F5326" s="242"/>
      <c r="G5326"/>
      <c r="H5326" s="242">
        <v>4600</v>
      </c>
      <c r="I5326" s="242">
        <v>4600</v>
      </c>
      <c r="J5326"/>
    </row>
    <row r="5327" spans="1:10">
      <c r="A5327" t="s">
        <v>3829</v>
      </c>
      <c r="B5327">
        <v>844500</v>
      </c>
      <c r="C5327">
        <v>1</v>
      </c>
      <c r="D5327" t="str">
        <f t="shared" si="83"/>
        <v>1844500.840</v>
      </c>
      <c r="E5327" t="s">
        <v>3892</v>
      </c>
      <c r="F5327" s="242"/>
      <c r="G5327"/>
      <c r="H5327" s="242">
        <v>1762000</v>
      </c>
      <c r="I5327" s="242">
        <v>1541023</v>
      </c>
      <c r="J5327"/>
    </row>
    <row r="5328" spans="1:10">
      <c r="A5328" t="s">
        <v>2652</v>
      </c>
      <c r="B5328">
        <v>845100</v>
      </c>
      <c r="C5328">
        <v>1</v>
      </c>
      <c r="D5328" t="str">
        <f t="shared" si="83"/>
        <v>1845100.420</v>
      </c>
      <c r="E5328" t="s">
        <v>2653</v>
      </c>
      <c r="F5328" s="242"/>
      <c r="G5328"/>
      <c r="H5328" s="242">
        <v>14000</v>
      </c>
      <c r="I5328" s="242">
        <v>12477</v>
      </c>
      <c r="J5328"/>
    </row>
    <row r="5329" spans="1:10">
      <c r="A5329" t="s">
        <v>2609</v>
      </c>
      <c r="B5329">
        <v>845100</v>
      </c>
      <c r="C5329">
        <v>1</v>
      </c>
      <c r="D5329" t="str">
        <f t="shared" si="83"/>
        <v>1845100.710</v>
      </c>
      <c r="E5329" t="s">
        <v>3931</v>
      </c>
      <c r="F5329" s="242"/>
      <c r="G5329"/>
      <c r="H5329" s="242">
        <v>2160000</v>
      </c>
      <c r="I5329" s="242">
        <v>100000</v>
      </c>
      <c r="J5329"/>
    </row>
    <row r="5330" spans="1:10">
      <c r="A5330" t="s">
        <v>673</v>
      </c>
      <c r="B5330">
        <v>845100</v>
      </c>
      <c r="C5330">
        <v>1</v>
      </c>
      <c r="D5330" t="str">
        <f t="shared" si="83"/>
        <v>1845100.743</v>
      </c>
      <c r="E5330" t="s">
        <v>2622</v>
      </c>
      <c r="F5330" s="242"/>
      <c r="G5330"/>
      <c r="H5330" s="242">
        <v>8000</v>
      </c>
      <c r="I5330" s="242">
        <v>21743</v>
      </c>
      <c r="J5330"/>
    </row>
    <row r="5331" spans="1:10">
      <c r="A5331" t="s">
        <v>2632</v>
      </c>
      <c r="B5331">
        <v>845100</v>
      </c>
      <c r="C5331">
        <v>1</v>
      </c>
      <c r="D5331" t="str">
        <f t="shared" si="83"/>
        <v>1845100.780</v>
      </c>
      <c r="E5331" t="s">
        <v>3932</v>
      </c>
      <c r="F5331" s="242"/>
      <c r="G5331"/>
      <c r="H5331" s="242">
        <v>0</v>
      </c>
      <c r="I5331" s="242">
        <v>100000</v>
      </c>
      <c r="J5331"/>
    </row>
    <row r="5332" spans="1:10">
      <c r="A5332" t="s">
        <v>3829</v>
      </c>
      <c r="B5332">
        <v>845100</v>
      </c>
      <c r="C5332">
        <v>1</v>
      </c>
      <c r="D5332" t="str">
        <f t="shared" si="83"/>
        <v>1845100.840</v>
      </c>
      <c r="E5332" t="s">
        <v>3910</v>
      </c>
      <c r="F5332" s="242"/>
      <c r="G5332"/>
      <c r="H5332" s="242">
        <v>29918376</v>
      </c>
      <c r="I5332" s="242">
        <v>31219919</v>
      </c>
      <c r="J5332"/>
    </row>
    <row r="5333" spans="1:10">
      <c r="A5333" t="s">
        <v>1363</v>
      </c>
      <c r="B5333">
        <v>845100</v>
      </c>
      <c r="C5333">
        <v>1</v>
      </c>
      <c r="D5333" t="str">
        <f t="shared" si="83"/>
        <v>1845100.841</v>
      </c>
      <c r="E5333" t="s">
        <v>3911</v>
      </c>
      <c r="F5333" s="242"/>
      <c r="G5333"/>
      <c r="H5333" s="242">
        <v>8850000</v>
      </c>
      <c r="I5333" s="242">
        <v>9004268</v>
      </c>
      <c r="J5333"/>
    </row>
    <row r="5334" spans="1:10">
      <c r="A5334" t="s">
        <v>1367</v>
      </c>
      <c r="B5334">
        <v>845100</v>
      </c>
      <c r="C5334">
        <v>1</v>
      </c>
      <c r="D5334" t="str">
        <f t="shared" si="83"/>
        <v>1845100.842</v>
      </c>
      <c r="E5334" t="s">
        <v>3912</v>
      </c>
      <c r="F5334" s="242"/>
      <c r="G5334"/>
      <c r="H5334" s="242">
        <v>1798038</v>
      </c>
      <c r="I5334" s="242">
        <v>2393735</v>
      </c>
      <c r="J5334"/>
    </row>
    <row r="5335" spans="1:10">
      <c r="A5335" t="s">
        <v>1386</v>
      </c>
      <c r="B5335">
        <v>845100</v>
      </c>
      <c r="C5335">
        <v>1</v>
      </c>
      <c r="D5335" t="str">
        <f t="shared" si="83"/>
        <v>1845100.843</v>
      </c>
      <c r="E5335" t="s">
        <v>3913</v>
      </c>
      <c r="F5335" s="242"/>
      <c r="G5335"/>
      <c r="H5335" s="242">
        <v>323673</v>
      </c>
      <c r="I5335" s="242">
        <v>375789</v>
      </c>
      <c r="J5335"/>
    </row>
    <row r="5336" spans="1:10">
      <c r="A5336" t="s">
        <v>1406</v>
      </c>
      <c r="B5336">
        <v>845100</v>
      </c>
      <c r="C5336">
        <v>1</v>
      </c>
      <c r="D5336" t="str">
        <f t="shared" si="83"/>
        <v>1845100.844</v>
      </c>
      <c r="E5336" t="s">
        <v>3914</v>
      </c>
      <c r="F5336" s="242"/>
      <c r="G5336"/>
      <c r="H5336" s="242">
        <v>50000</v>
      </c>
      <c r="I5336" s="242">
        <v>48195</v>
      </c>
      <c r="J5336"/>
    </row>
    <row r="5337" spans="1:10">
      <c r="A5337" t="s">
        <v>1426</v>
      </c>
      <c r="B5337">
        <v>845100</v>
      </c>
      <c r="C5337">
        <v>1</v>
      </c>
      <c r="D5337" t="str">
        <f t="shared" si="83"/>
        <v>1845100.845</v>
      </c>
      <c r="E5337" t="s">
        <v>3915</v>
      </c>
      <c r="F5337" s="242"/>
      <c r="G5337"/>
      <c r="H5337" s="242">
        <v>1844528</v>
      </c>
      <c r="I5337" s="242">
        <v>1088693</v>
      </c>
      <c r="J5337"/>
    </row>
    <row r="5338" spans="1:10">
      <c r="A5338" t="s">
        <v>1451</v>
      </c>
      <c r="B5338">
        <v>845100</v>
      </c>
      <c r="C5338">
        <v>1</v>
      </c>
      <c r="D5338" t="str">
        <f t="shared" si="83"/>
        <v>1845100.846</v>
      </c>
      <c r="E5338" t="s">
        <v>3916</v>
      </c>
      <c r="F5338" s="242"/>
      <c r="G5338"/>
      <c r="H5338" s="242">
        <v>44000</v>
      </c>
      <c r="I5338" s="242">
        <v>52562</v>
      </c>
      <c r="J5338"/>
    </row>
    <row r="5339" spans="1:10">
      <c r="A5339" t="s">
        <v>1496</v>
      </c>
      <c r="B5339">
        <v>845100</v>
      </c>
      <c r="C5339">
        <v>1</v>
      </c>
      <c r="D5339" t="str">
        <f t="shared" si="83"/>
        <v>1845100.847</v>
      </c>
      <c r="E5339" t="s">
        <v>3917</v>
      </c>
      <c r="F5339" s="242"/>
      <c r="G5339"/>
      <c r="H5339" s="242">
        <v>76000</v>
      </c>
      <c r="I5339" s="242">
        <v>59612</v>
      </c>
      <c r="J5339"/>
    </row>
    <row r="5340" spans="1:10">
      <c r="A5340" t="s">
        <v>1521</v>
      </c>
      <c r="B5340">
        <v>845100</v>
      </c>
      <c r="C5340">
        <v>1</v>
      </c>
      <c r="D5340" t="str">
        <f t="shared" si="83"/>
        <v>1845100.848</v>
      </c>
      <c r="E5340" t="s">
        <v>3918</v>
      </c>
      <c r="F5340" s="242"/>
      <c r="G5340"/>
      <c r="H5340" s="242">
        <v>187000</v>
      </c>
      <c r="I5340" s="242">
        <v>162057</v>
      </c>
      <c r="J5340"/>
    </row>
    <row r="5341" spans="1:10">
      <c r="A5341" t="s">
        <v>3829</v>
      </c>
      <c r="B5341">
        <v>845110</v>
      </c>
      <c r="C5341">
        <v>1</v>
      </c>
      <c r="D5341" t="str">
        <f t="shared" si="83"/>
        <v>1845110.840</v>
      </c>
      <c r="E5341" t="s">
        <v>3919</v>
      </c>
      <c r="F5341" s="242"/>
      <c r="G5341"/>
      <c r="H5341" s="242">
        <v>360000</v>
      </c>
      <c r="I5341" s="242">
        <v>284002</v>
      </c>
      <c r="J5341"/>
    </row>
    <row r="5342" spans="1:10">
      <c r="A5342" t="s">
        <v>1363</v>
      </c>
      <c r="B5342">
        <v>845110</v>
      </c>
      <c r="C5342">
        <v>1</v>
      </c>
      <c r="D5342" t="str">
        <f t="shared" si="83"/>
        <v>1845110.841</v>
      </c>
      <c r="E5342" t="s">
        <v>3920</v>
      </c>
      <c r="F5342" s="242"/>
      <c r="G5342"/>
      <c r="H5342" s="242">
        <v>84000</v>
      </c>
      <c r="I5342" s="242">
        <v>93453</v>
      </c>
      <c r="J5342"/>
    </row>
    <row r="5343" spans="1:10">
      <c r="A5343" t="s">
        <v>3829</v>
      </c>
      <c r="B5343">
        <v>845200</v>
      </c>
      <c r="C5343">
        <v>1</v>
      </c>
      <c r="D5343" t="str">
        <f t="shared" si="83"/>
        <v>1845200.840</v>
      </c>
      <c r="E5343" t="s">
        <v>3922</v>
      </c>
      <c r="F5343" s="242"/>
      <c r="G5343"/>
      <c r="H5343" s="242">
        <v>0</v>
      </c>
      <c r="I5343" s="242">
        <v>2450</v>
      </c>
      <c r="J5343"/>
    </row>
    <row r="5344" spans="1:10">
      <c r="A5344" t="s">
        <v>1363</v>
      </c>
      <c r="B5344">
        <v>845200</v>
      </c>
      <c r="C5344">
        <v>1</v>
      </c>
      <c r="D5344" t="str">
        <f t="shared" si="83"/>
        <v>1845200.841</v>
      </c>
      <c r="E5344" t="s">
        <v>3923</v>
      </c>
      <c r="F5344" s="242"/>
      <c r="G5344"/>
      <c r="H5344" s="242">
        <v>5548677</v>
      </c>
      <c r="I5344" s="242">
        <v>4802194</v>
      </c>
      <c r="J5344"/>
    </row>
    <row r="5345" spans="1:10">
      <c r="A5345" t="s">
        <v>1367</v>
      </c>
      <c r="B5345">
        <v>845200</v>
      </c>
      <c r="C5345">
        <v>1</v>
      </c>
      <c r="D5345" t="str">
        <f t="shared" si="83"/>
        <v>1845200.842</v>
      </c>
      <c r="E5345" t="s">
        <v>3924</v>
      </c>
      <c r="F5345" s="242"/>
      <c r="G5345"/>
      <c r="H5345" s="242">
        <v>3655280</v>
      </c>
      <c r="I5345" s="242">
        <v>3343783</v>
      </c>
      <c r="J5345"/>
    </row>
    <row r="5346" spans="1:10">
      <c r="A5346" t="s">
        <v>1406</v>
      </c>
      <c r="B5346">
        <v>845200</v>
      </c>
      <c r="C5346">
        <v>1</v>
      </c>
      <c r="D5346" t="str">
        <f t="shared" si="83"/>
        <v>1845200.844</v>
      </c>
      <c r="E5346" t="s">
        <v>3925</v>
      </c>
      <c r="F5346" s="242"/>
      <c r="G5346"/>
      <c r="H5346" s="242">
        <v>582133</v>
      </c>
      <c r="I5346" s="242">
        <v>2498299</v>
      </c>
      <c r="J5346"/>
    </row>
    <row r="5347" spans="1:10">
      <c r="A5347" t="s">
        <v>2632</v>
      </c>
      <c r="B5347">
        <v>845300</v>
      </c>
      <c r="C5347">
        <v>1</v>
      </c>
      <c r="D5347" t="str">
        <f t="shared" si="83"/>
        <v>1845300.780</v>
      </c>
      <c r="E5347" t="s">
        <v>3933</v>
      </c>
      <c r="F5347" s="242"/>
      <c r="G5347"/>
      <c r="H5347" s="242">
        <v>0</v>
      </c>
      <c r="I5347" s="242">
        <v>0</v>
      </c>
      <c r="J5347"/>
    </row>
    <row r="5348" spans="1:10">
      <c r="A5348" t="s">
        <v>3829</v>
      </c>
      <c r="B5348">
        <v>845300</v>
      </c>
      <c r="C5348">
        <v>1</v>
      </c>
      <c r="D5348" t="str">
        <f t="shared" si="83"/>
        <v>1845300.840</v>
      </c>
      <c r="E5348" t="s">
        <v>3926</v>
      </c>
      <c r="F5348" s="242"/>
      <c r="G5348"/>
      <c r="H5348" s="242">
        <v>122000</v>
      </c>
      <c r="I5348" s="242">
        <v>219604</v>
      </c>
      <c r="J5348"/>
    </row>
    <row r="5349" spans="1:10">
      <c r="A5349" t="s">
        <v>1406</v>
      </c>
      <c r="B5349">
        <v>845300</v>
      </c>
      <c r="C5349">
        <v>1</v>
      </c>
      <c r="D5349" t="str">
        <f t="shared" si="83"/>
        <v>1845300.844</v>
      </c>
      <c r="E5349" t="s">
        <v>3927</v>
      </c>
      <c r="F5349" s="242"/>
      <c r="G5349"/>
      <c r="H5349" s="242">
        <v>1678667</v>
      </c>
      <c r="I5349" s="242">
        <v>1638084</v>
      </c>
      <c r="J5349"/>
    </row>
    <row r="5350" spans="1:10">
      <c r="A5350" t="s">
        <v>1426</v>
      </c>
      <c r="B5350">
        <v>845300</v>
      </c>
      <c r="C5350">
        <v>1</v>
      </c>
      <c r="D5350" t="str">
        <f t="shared" si="83"/>
        <v>1845300.845</v>
      </c>
      <c r="E5350" t="s">
        <v>3934</v>
      </c>
      <c r="F5350" s="242"/>
      <c r="G5350"/>
      <c r="H5350" s="242">
        <v>184753</v>
      </c>
      <c r="I5350" s="242">
        <v>162077</v>
      </c>
      <c r="J5350"/>
    </row>
    <row r="5351" spans="1:10">
      <c r="A5351" t="s">
        <v>1451</v>
      </c>
      <c r="B5351">
        <v>845300</v>
      </c>
      <c r="C5351">
        <v>1</v>
      </c>
      <c r="D5351" t="str">
        <f t="shared" si="83"/>
        <v>1845300.846</v>
      </c>
      <c r="E5351" t="s">
        <v>3929</v>
      </c>
      <c r="F5351" s="242"/>
      <c r="G5351"/>
      <c r="H5351" s="242">
        <v>133333</v>
      </c>
      <c r="I5351" s="242">
        <v>129684</v>
      </c>
      <c r="J5351"/>
    </row>
    <row r="5352" spans="1:10">
      <c r="A5352" t="s">
        <v>2606</v>
      </c>
      <c r="B5352">
        <v>845400</v>
      </c>
      <c r="C5352">
        <v>1</v>
      </c>
      <c r="D5352" t="str">
        <f t="shared" si="83"/>
        <v>1845400.440</v>
      </c>
      <c r="E5352" t="s">
        <v>3935</v>
      </c>
      <c r="F5352" s="242"/>
      <c r="G5352"/>
      <c r="H5352" s="242">
        <v>3400</v>
      </c>
      <c r="I5352" s="242">
        <v>3312</v>
      </c>
      <c r="J5352"/>
    </row>
    <row r="5353" spans="1:10">
      <c r="A5353" t="s">
        <v>2652</v>
      </c>
      <c r="B5353">
        <v>846100</v>
      </c>
      <c r="C5353">
        <v>1</v>
      </c>
      <c r="D5353" t="str">
        <f t="shared" si="83"/>
        <v>1846100.420</v>
      </c>
      <c r="E5353" t="s">
        <v>2653</v>
      </c>
      <c r="F5353" s="242"/>
      <c r="G5353"/>
      <c r="H5353" s="242">
        <v>14000</v>
      </c>
      <c r="I5353" s="242">
        <v>11746</v>
      </c>
      <c r="J5353"/>
    </row>
    <row r="5354" spans="1:10">
      <c r="A5354" t="s">
        <v>2606</v>
      </c>
      <c r="B5354">
        <v>846100</v>
      </c>
      <c r="C5354">
        <v>1</v>
      </c>
      <c r="D5354" t="str">
        <f t="shared" si="83"/>
        <v>1846100.440</v>
      </c>
      <c r="E5354" t="s">
        <v>4004</v>
      </c>
      <c r="F5354" s="242"/>
      <c r="G5354"/>
      <c r="H5354" s="242">
        <v>3400</v>
      </c>
      <c r="I5354" s="242">
        <v>3312</v>
      </c>
      <c r="J5354"/>
    </row>
    <row r="5355" spans="1:10">
      <c r="A5355" t="s">
        <v>673</v>
      </c>
      <c r="B5355">
        <v>846100</v>
      </c>
      <c r="C5355">
        <v>1</v>
      </c>
      <c r="D5355" t="str">
        <f t="shared" si="83"/>
        <v>1846100.743</v>
      </c>
      <c r="E5355" t="s">
        <v>2622</v>
      </c>
      <c r="F5355" s="242"/>
      <c r="G5355"/>
      <c r="H5355" s="242">
        <v>5000</v>
      </c>
      <c r="I5355" s="242">
        <v>4440</v>
      </c>
      <c r="J5355"/>
    </row>
    <row r="5356" spans="1:10">
      <c r="A5356" t="s">
        <v>2632</v>
      </c>
      <c r="B5356">
        <v>846100</v>
      </c>
      <c r="C5356">
        <v>1</v>
      </c>
      <c r="D5356" t="str">
        <f t="shared" si="83"/>
        <v>1846100.780</v>
      </c>
      <c r="E5356" t="s">
        <v>4005</v>
      </c>
      <c r="F5356" s="242"/>
      <c r="G5356"/>
      <c r="H5356" s="242">
        <v>108333</v>
      </c>
      <c r="I5356" s="242">
        <v>108333</v>
      </c>
      <c r="J5356"/>
    </row>
    <row r="5357" spans="1:10">
      <c r="A5357" t="s">
        <v>3829</v>
      </c>
      <c r="B5357">
        <v>846100</v>
      </c>
      <c r="C5357">
        <v>1</v>
      </c>
      <c r="D5357" t="str">
        <f t="shared" si="83"/>
        <v>1846100.840</v>
      </c>
      <c r="E5357" t="s">
        <v>3974</v>
      </c>
      <c r="F5357" s="242"/>
      <c r="G5357"/>
      <c r="H5357" s="242">
        <v>49539</v>
      </c>
      <c r="I5357" s="242">
        <v>48827</v>
      </c>
      <c r="J5357"/>
    </row>
    <row r="5358" spans="1:10">
      <c r="A5358" t="s">
        <v>1386</v>
      </c>
      <c r="B5358">
        <v>846300</v>
      </c>
      <c r="C5358">
        <v>1</v>
      </c>
      <c r="D5358" t="str">
        <f t="shared" si="83"/>
        <v>1846300.843</v>
      </c>
      <c r="E5358" t="s">
        <v>3975</v>
      </c>
      <c r="F5358" s="242"/>
      <c r="G5358"/>
      <c r="H5358" s="242">
        <v>360000</v>
      </c>
      <c r="I5358" s="242">
        <v>209556</v>
      </c>
      <c r="J5358"/>
    </row>
    <row r="5359" spans="1:10">
      <c r="A5359" t="s">
        <v>1406</v>
      </c>
      <c r="B5359">
        <v>846300</v>
      </c>
      <c r="C5359">
        <v>1</v>
      </c>
      <c r="D5359" t="str">
        <f t="shared" si="83"/>
        <v>1846300.844</v>
      </c>
      <c r="E5359" t="s">
        <v>3976</v>
      </c>
      <c r="F5359" s="242"/>
      <c r="G5359"/>
      <c r="H5359" s="242">
        <v>54667</v>
      </c>
      <c r="I5359" s="242">
        <v>19539</v>
      </c>
      <c r="J5359"/>
    </row>
    <row r="5360" spans="1:10">
      <c r="A5360" t="s">
        <v>1176</v>
      </c>
      <c r="B5360">
        <v>846300</v>
      </c>
      <c r="C5360">
        <v>1</v>
      </c>
      <c r="D5360" t="str">
        <f t="shared" si="83"/>
        <v>1846300.821</v>
      </c>
      <c r="E5360" t="s">
        <v>4395</v>
      </c>
      <c r="F5360" s="242"/>
      <c r="G5360"/>
      <c r="H5360" s="242">
        <v>0</v>
      </c>
      <c r="I5360" s="242">
        <v>5878</v>
      </c>
      <c r="J5360"/>
    </row>
    <row r="5361" spans="1:10">
      <c r="A5361" t="s">
        <v>3829</v>
      </c>
      <c r="B5361">
        <v>846400</v>
      </c>
      <c r="C5361">
        <v>1</v>
      </c>
      <c r="D5361" t="str">
        <f t="shared" si="83"/>
        <v>1846400.840</v>
      </c>
      <c r="E5361" t="s">
        <v>3977</v>
      </c>
      <c r="F5361" s="242"/>
      <c r="G5361"/>
      <c r="H5361" s="242">
        <v>88000</v>
      </c>
      <c r="I5361" s="242">
        <v>30994</v>
      </c>
      <c r="J5361"/>
    </row>
    <row r="5362" spans="1:10">
      <c r="A5362" t="s">
        <v>2403</v>
      </c>
      <c r="B5362">
        <v>846500</v>
      </c>
      <c r="C5362">
        <v>1</v>
      </c>
      <c r="D5362" t="str">
        <f t="shared" si="83"/>
        <v>1846500.110</v>
      </c>
      <c r="E5362" t="s">
        <v>4006</v>
      </c>
      <c r="F5362" s="242"/>
      <c r="G5362"/>
      <c r="H5362" s="242">
        <v>705702</v>
      </c>
      <c r="I5362" s="242">
        <v>632968</v>
      </c>
      <c r="J5362"/>
    </row>
    <row r="5363" spans="1:10">
      <c r="A5363" t="s">
        <v>2404</v>
      </c>
      <c r="B5363">
        <v>846500</v>
      </c>
      <c r="C5363">
        <v>1</v>
      </c>
      <c r="D5363" t="str">
        <f t="shared" si="83"/>
        <v>1846500.120</v>
      </c>
      <c r="E5363" t="s">
        <v>2574</v>
      </c>
      <c r="F5363" s="242"/>
      <c r="G5363"/>
      <c r="H5363" s="242">
        <v>120404</v>
      </c>
      <c r="I5363" s="242">
        <v>105447</v>
      </c>
      <c r="J5363"/>
    </row>
    <row r="5364" spans="1:10">
      <c r="A5364" t="s">
        <v>2575</v>
      </c>
      <c r="B5364">
        <v>846500</v>
      </c>
      <c r="C5364">
        <v>1</v>
      </c>
      <c r="D5364" t="str">
        <f t="shared" si="83"/>
        <v>1846500.130</v>
      </c>
      <c r="E5364" t="s">
        <v>2576</v>
      </c>
      <c r="F5364" s="242"/>
      <c r="G5364"/>
      <c r="H5364" s="242">
        <v>11931</v>
      </c>
      <c r="I5364" s="242">
        <v>10618</v>
      </c>
      <c r="J5364"/>
    </row>
    <row r="5365" spans="1:10">
      <c r="A5365" t="s">
        <v>2577</v>
      </c>
      <c r="B5365">
        <v>846500</v>
      </c>
      <c r="C5365">
        <v>1</v>
      </c>
      <c r="D5365" t="str">
        <f t="shared" si="83"/>
        <v>1846500.140</v>
      </c>
      <c r="E5365" t="s">
        <v>2578</v>
      </c>
      <c r="F5365" s="242"/>
      <c r="G5365"/>
      <c r="H5365" s="242">
        <v>120192</v>
      </c>
      <c r="I5365" s="242">
        <v>114230</v>
      </c>
      <c r="J5365"/>
    </row>
    <row r="5366" spans="1:10">
      <c r="A5366" t="s">
        <v>2579</v>
      </c>
      <c r="B5366">
        <v>846500</v>
      </c>
      <c r="C5366">
        <v>1</v>
      </c>
      <c r="D5366" t="str">
        <f t="shared" si="83"/>
        <v>1846500.181</v>
      </c>
      <c r="E5366" t="s">
        <v>2580</v>
      </c>
      <c r="F5366" s="242"/>
      <c r="G5366"/>
      <c r="H5366" s="242">
        <v>167592</v>
      </c>
      <c r="I5366" s="242">
        <v>147485</v>
      </c>
      <c r="J5366"/>
    </row>
    <row r="5367" spans="1:10">
      <c r="A5367" t="s">
        <v>2581</v>
      </c>
      <c r="B5367">
        <v>846500</v>
      </c>
      <c r="C5367">
        <v>1</v>
      </c>
      <c r="D5367" t="str">
        <f t="shared" si="83"/>
        <v>1846500.182</v>
      </c>
      <c r="E5367" t="s">
        <v>2582</v>
      </c>
      <c r="F5367" s="242"/>
      <c r="G5367"/>
      <c r="H5367" s="242">
        <v>73294</v>
      </c>
      <c r="I5367" s="242">
        <v>65964</v>
      </c>
      <c r="J5367"/>
    </row>
    <row r="5368" spans="1:10">
      <c r="A5368" t="s">
        <v>2632</v>
      </c>
      <c r="B5368">
        <v>846500</v>
      </c>
      <c r="C5368">
        <v>1</v>
      </c>
      <c r="D5368" t="str">
        <f t="shared" si="83"/>
        <v>1846500.780</v>
      </c>
      <c r="E5368" t="s">
        <v>4007</v>
      </c>
      <c r="F5368" s="242"/>
      <c r="G5368"/>
      <c r="H5368" s="242">
        <v>50000</v>
      </c>
      <c r="I5368" s="242">
        <v>33150</v>
      </c>
      <c r="J5368"/>
    </row>
    <row r="5369" spans="1:10">
      <c r="A5369" t="s">
        <v>877</v>
      </c>
      <c r="B5369">
        <v>846500</v>
      </c>
      <c r="C5369">
        <v>1</v>
      </c>
      <c r="D5369" t="str">
        <f t="shared" si="83"/>
        <v>1846500.782</v>
      </c>
      <c r="E5369" t="s">
        <v>4008</v>
      </c>
      <c r="F5369" s="242"/>
      <c r="G5369"/>
      <c r="H5369" s="242">
        <v>0</v>
      </c>
      <c r="I5369" s="242">
        <v>0</v>
      </c>
      <c r="J5369"/>
    </row>
    <row r="5370" spans="1:10">
      <c r="A5370" t="s">
        <v>2674</v>
      </c>
      <c r="B5370">
        <v>846500</v>
      </c>
      <c r="C5370">
        <v>1</v>
      </c>
      <c r="D5370" t="str">
        <f t="shared" si="83"/>
        <v>1846500.783</v>
      </c>
      <c r="E5370" t="s">
        <v>4009</v>
      </c>
      <c r="F5370" s="242"/>
      <c r="G5370"/>
      <c r="H5370" s="242">
        <v>30000</v>
      </c>
      <c r="I5370" s="242">
        <v>29963</v>
      </c>
      <c r="J5370"/>
    </row>
    <row r="5371" spans="1:10">
      <c r="A5371" t="s">
        <v>2676</v>
      </c>
      <c r="B5371">
        <v>846500</v>
      </c>
      <c r="C5371">
        <v>1</v>
      </c>
      <c r="D5371" t="str">
        <f t="shared" si="83"/>
        <v>1846500.784</v>
      </c>
      <c r="E5371" t="s">
        <v>4010</v>
      </c>
      <c r="F5371" s="242"/>
      <c r="G5371"/>
      <c r="H5371" s="242">
        <v>0</v>
      </c>
      <c r="I5371" s="242">
        <v>0</v>
      </c>
      <c r="J5371"/>
    </row>
    <row r="5372" spans="1:10">
      <c r="A5372" t="s">
        <v>2750</v>
      </c>
      <c r="B5372">
        <v>846500</v>
      </c>
      <c r="C5372">
        <v>1</v>
      </c>
      <c r="D5372" t="str">
        <f t="shared" si="83"/>
        <v>1846500.785</v>
      </c>
      <c r="E5372" t="s">
        <v>4011</v>
      </c>
      <c r="F5372" s="242"/>
      <c r="G5372"/>
      <c r="H5372" s="242">
        <v>0</v>
      </c>
      <c r="I5372" s="242">
        <v>0</v>
      </c>
      <c r="J5372"/>
    </row>
    <row r="5373" spans="1:10">
      <c r="A5373" t="s">
        <v>1363</v>
      </c>
      <c r="B5373">
        <v>846500</v>
      </c>
      <c r="C5373">
        <v>1</v>
      </c>
      <c r="D5373" t="str">
        <f t="shared" si="83"/>
        <v>1846500.841</v>
      </c>
      <c r="E5373" t="s">
        <v>3980</v>
      </c>
      <c r="F5373" s="242"/>
      <c r="G5373"/>
      <c r="H5373" s="242">
        <v>5902618</v>
      </c>
      <c r="I5373" s="242">
        <v>4047840</v>
      </c>
      <c r="J5373"/>
    </row>
    <row r="5374" spans="1:10">
      <c r="A5374" t="s">
        <v>1367</v>
      </c>
      <c r="B5374">
        <v>846500</v>
      </c>
      <c r="C5374">
        <v>1</v>
      </c>
      <c r="D5374" t="str">
        <f t="shared" si="83"/>
        <v>1846500.842</v>
      </c>
      <c r="E5374" t="s">
        <v>3981</v>
      </c>
      <c r="F5374" s="242"/>
      <c r="G5374"/>
      <c r="H5374" s="242">
        <v>537528</v>
      </c>
      <c r="I5374" s="242">
        <v>0</v>
      </c>
      <c r="J5374"/>
    </row>
    <row r="5375" spans="1:10">
      <c r="A5375" t="s">
        <v>1386</v>
      </c>
      <c r="B5375">
        <v>846500</v>
      </c>
      <c r="C5375">
        <v>1</v>
      </c>
      <c r="D5375" t="str">
        <f t="shared" si="83"/>
        <v>1846500.843</v>
      </c>
      <c r="E5375" t="s">
        <v>4012</v>
      </c>
      <c r="F5375" s="242"/>
      <c r="G5375"/>
      <c r="H5375" s="242">
        <v>696000</v>
      </c>
      <c r="I5375" s="242">
        <v>696000</v>
      </c>
      <c r="J5375"/>
    </row>
    <row r="5376" spans="1:10">
      <c r="A5376" t="s">
        <v>1406</v>
      </c>
      <c r="B5376">
        <v>846500</v>
      </c>
      <c r="C5376">
        <v>1</v>
      </c>
      <c r="D5376" t="str">
        <f t="shared" si="83"/>
        <v>1846500.844</v>
      </c>
      <c r="E5376" t="s">
        <v>3983</v>
      </c>
      <c r="F5376" s="242"/>
      <c r="G5376"/>
      <c r="H5376" s="242">
        <v>0</v>
      </c>
      <c r="I5376" s="242">
        <v>2582882</v>
      </c>
      <c r="J5376"/>
    </row>
    <row r="5377" spans="1:10">
      <c r="A5377" t="s">
        <v>1521</v>
      </c>
      <c r="B5377">
        <v>846500</v>
      </c>
      <c r="C5377">
        <v>1</v>
      </c>
      <c r="D5377" t="str">
        <f t="shared" si="83"/>
        <v>1846500.848</v>
      </c>
      <c r="E5377" t="s">
        <v>3984</v>
      </c>
      <c r="F5377" s="242"/>
      <c r="G5377"/>
      <c r="H5377" s="242">
        <v>282667</v>
      </c>
      <c r="I5377" s="242">
        <v>219414</v>
      </c>
      <c r="J5377"/>
    </row>
    <row r="5378" spans="1:10">
      <c r="A5378" t="s">
        <v>3829</v>
      </c>
      <c r="B5378">
        <v>846600</v>
      </c>
      <c r="C5378">
        <v>1</v>
      </c>
      <c r="D5378" t="str">
        <f t="shared" si="83"/>
        <v>1846600.840</v>
      </c>
      <c r="E5378" t="s">
        <v>3986</v>
      </c>
      <c r="F5378" s="242"/>
      <c r="G5378"/>
      <c r="H5378" s="242">
        <v>258352</v>
      </c>
      <c r="I5378" s="242">
        <v>232793</v>
      </c>
      <c r="J5378"/>
    </row>
    <row r="5379" spans="1:10">
      <c r="A5379" t="s">
        <v>2404</v>
      </c>
      <c r="B5379">
        <v>846700</v>
      </c>
      <c r="C5379">
        <v>1</v>
      </c>
      <c r="D5379" t="str">
        <f t="shared" ref="D5379:D5442" si="84">C5379&amp;B5379&amp;"."&amp;A5379</f>
        <v>1846700.120</v>
      </c>
      <c r="E5379" t="s">
        <v>2574</v>
      </c>
      <c r="F5379" s="242"/>
      <c r="G5379"/>
      <c r="H5379" s="242">
        <v>33852</v>
      </c>
      <c r="I5379" s="242">
        <v>10736</v>
      </c>
      <c r="J5379"/>
    </row>
    <row r="5380" spans="1:10">
      <c r="A5380" t="s">
        <v>2579</v>
      </c>
      <c r="B5380">
        <v>846700</v>
      </c>
      <c r="C5380">
        <v>1</v>
      </c>
      <c r="D5380" t="str">
        <f t="shared" si="84"/>
        <v>1846700.181</v>
      </c>
      <c r="E5380" t="s">
        <v>2580</v>
      </c>
      <c r="F5380" s="242"/>
      <c r="G5380"/>
      <c r="H5380" s="242">
        <v>5829</v>
      </c>
      <c r="I5380" s="242">
        <v>1849</v>
      </c>
      <c r="J5380"/>
    </row>
    <row r="5381" spans="1:10">
      <c r="A5381" t="s">
        <v>2581</v>
      </c>
      <c r="B5381">
        <v>846700</v>
      </c>
      <c r="C5381">
        <v>1</v>
      </c>
      <c r="D5381" t="str">
        <f t="shared" si="84"/>
        <v>1846700.182</v>
      </c>
      <c r="E5381" t="s">
        <v>2582</v>
      </c>
      <c r="F5381" s="242"/>
      <c r="G5381"/>
      <c r="H5381" s="242">
        <v>2541</v>
      </c>
      <c r="I5381" s="242">
        <v>806</v>
      </c>
      <c r="J5381"/>
    </row>
    <row r="5382" spans="1:10">
      <c r="A5382" t="s">
        <v>3056</v>
      </c>
      <c r="B5382">
        <v>846700</v>
      </c>
      <c r="C5382">
        <v>1</v>
      </c>
      <c r="D5382" t="str">
        <f t="shared" si="84"/>
        <v>1846700.789</v>
      </c>
      <c r="E5382" t="s">
        <v>4013</v>
      </c>
      <c r="F5382" s="242"/>
      <c r="G5382"/>
      <c r="H5382" s="242">
        <v>0</v>
      </c>
      <c r="I5382" s="242">
        <v>8375</v>
      </c>
      <c r="J5382"/>
    </row>
    <row r="5383" spans="1:10">
      <c r="A5383" t="s">
        <v>3829</v>
      </c>
      <c r="B5383">
        <v>846700</v>
      </c>
      <c r="C5383">
        <v>1</v>
      </c>
      <c r="D5383" t="str">
        <f t="shared" si="84"/>
        <v>1846700.840</v>
      </c>
      <c r="E5383" t="s">
        <v>3987</v>
      </c>
      <c r="F5383" s="242"/>
      <c r="G5383"/>
      <c r="H5383" s="242">
        <v>200000</v>
      </c>
      <c r="I5383" s="242">
        <v>356158</v>
      </c>
      <c r="J5383"/>
    </row>
    <row r="5384" spans="1:10">
      <c r="A5384" t="s">
        <v>1363</v>
      </c>
      <c r="B5384">
        <v>846700</v>
      </c>
      <c r="C5384">
        <v>1</v>
      </c>
      <c r="D5384" t="str">
        <f t="shared" si="84"/>
        <v>1846700.841</v>
      </c>
      <c r="E5384" t="s">
        <v>3988</v>
      </c>
      <c r="F5384" s="242"/>
      <c r="G5384"/>
      <c r="H5384" s="242">
        <v>18667</v>
      </c>
      <c r="I5384" s="242">
        <v>25763</v>
      </c>
      <c r="J5384"/>
    </row>
    <row r="5385" spans="1:10">
      <c r="A5385" t="s">
        <v>1367</v>
      </c>
      <c r="B5385">
        <v>846700</v>
      </c>
      <c r="C5385">
        <v>1</v>
      </c>
      <c r="D5385" t="str">
        <f t="shared" si="84"/>
        <v>1846700.842</v>
      </c>
      <c r="E5385" t="s">
        <v>3989</v>
      </c>
      <c r="F5385" s="242"/>
      <c r="G5385"/>
      <c r="H5385" s="242">
        <v>2081600</v>
      </c>
      <c r="I5385" s="242">
        <v>613590</v>
      </c>
      <c r="J5385"/>
    </row>
    <row r="5386" spans="1:10">
      <c r="A5386" t="s">
        <v>1386</v>
      </c>
      <c r="B5386">
        <v>846700</v>
      </c>
      <c r="C5386">
        <v>1</v>
      </c>
      <c r="D5386" t="str">
        <f t="shared" si="84"/>
        <v>1846700.843</v>
      </c>
      <c r="E5386" t="s">
        <v>3990</v>
      </c>
      <c r="F5386" s="242"/>
      <c r="G5386"/>
      <c r="H5386" s="242">
        <v>93333</v>
      </c>
      <c r="I5386" s="242">
        <v>74440</v>
      </c>
      <c r="J5386"/>
    </row>
    <row r="5387" spans="1:10">
      <c r="A5387" t="s">
        <v>1406</v>
      </c>
      <c r="B5387">
        <v>846700</v>
      </c>
      <c r="C5387">
        <v>1</v>
      </c>
      <c r="D5387" t="str">
        <f t="shared" si="84"/>
        <v>1846700.844</v>
      </c>
      <c r="E5387" t="s">
        <v>4014</v>
      </c>
      <c r="F5387" s="242"/>
      <c r="G5387"/>
      <c r="H5387" s="242">
        <v>773333</v>
      </c>
      <c r="I5387" s="242">
        <v>0</v>
      </c>
      <c r="J5387"/>
    </row>
    <row r="5388" spans="1:10">
      <c r="A5388" t="s">
        <v>1426</v>
      </c>
      <c r="B5388">
        <v>846700</v>
      </c>
      <c r="C5388">
        <v>1</v>
      </c>
      <c r="D5388" t="str">
        <f t="shared" si="84"/>
        <v>1846700.845</v>
      </c>
      <c r="E5388" t="s">
        <v>3992</v>
      </c>
      <c r="F5388" s="242"/>
      <c r="G5388"/>
      <c r="H5388" s="242">
        <v>266667</v>
      </c>
      <c r="I5388" s="242">
        <v>0</v>
      </c>
      <c r="J5388"/>
    </row>
    <row r="5389" spans="1:10">
      <c r="A5389" t="s">
        <v>1451</v>
      </c>
      <c r="B5389">
        <v>846700</v>
      </c>
      <c r="C5389">
        <v>1</v>
      </c>
      <c r="D5389" t="str">
        <f t="shared" si="84"/>
        <v>1846700.846</v>
      </c>
      <c r="E5389" t="s">
        <v>3993</v>
      </c>
      <c r="F5389" s="242"/>
      <c r="G5389"/>
      <c r="H5389" s="242">
        <v>68000</v>
      </c>
      <c r="I5389" s="242">
        <v>29547</v>
      </c>
      <c r="J5389"/>
    </row>
    <row r="5390" spans="1:10">
      <c r="A5390" t="s">
        <v>1496</v>
      </c>
      <c r="B5390">
        <v>846700</v>
      </c>
      <c r="C5390">
        <v>1</v>
      </c>
      <c r="D5390" t="str">
        <f t="shared" si="84"/>
        <v>1846700.847</v>
      </c>
      <c r="E5390" t="s">
        <v>3994</v>
      </c>
      <c r="F5390" s="242"/>
      <c r="G5390"/>
      <c r="H5390" s="242">
        <v>452000</v>
      </c>
      <c r="I5390" s="242">
        <v>512379</v>
      </c>
      <c r="J5390"/>
    </row>
    <row r="5391" spans="1:10">
      <c r="A5391" t="s">
        <v>1521</v>
      </c>
      <c r="B5391">
        <v>846700</v>
      </c>
      <c r="C5391">
        <v>1</v>
      </c>
      <c r="D5391" t="str">
        <f t="shared" si="84"/>
        <v>1846700.848</v>
      </c>
      <c r="E5391" t="s">
        <v>3995</v>
      </c>
      <c r="F5391" s="242"/>
      <c r="G5391"/>
      <c r="H5391" s="242">
        <v>249900</v>
      </c>
      <c r="I5391" s="242">
        <v>248800</v>
      </c>
      <c r="J5391"/>
    </row>
    <row r="5392" spans="1:10">
      <c r="A5392" t="s">
        <v>1176</v>
      </c>
      <c r="B5392">
        <v>846700</v>
      </c>
      <c r="C5392">
        <v>1</v>
      </c>
      <c r="D5392" t="str">
        <f t="shared" si="84"/>
        <v>1846700.821</v>
      </c>
      <c r="E5392" t="s">
        <v>4396</v>
      </c>
      <c r="F5392" s="242"/>
      <c r="G5392"/>
      <c r="H5392" s="242">
        <v>0</v>
      </c>
      <c r="I5392" s="242">
        <v>4133</v>
      </c>
      <c r="J5392"/>
    </row>
    <row r="5393" spans="1:10">
      <c r="A5393" t="s">
        <v>1191</v>
      </c>
      <c r="B5393">
        <v>846700</v>
      </c>
      <c r="C5393">
        <v>1</v>
      </c>
      <c r="D5393" t="str">
        <f t="shared" si="84"/>
        <v>1846700.824</v>
      </c>
      <c r="E5393" t="s">
        <v>4397</v>
      </c>
      <c r="F5393" s="242"/>
      <c r="G5393"/>
      <c r="H5393" s="242">
        <v>0</v>
      </c>
      <c r="I5393" s="242">
        <v>5704</v>
      </c>
      <c r="J5393"/>
    </row>
    <row r="5394" spans="1:10">
      <c r="A5394" t="s">
        <v>3829</v>
      </c>
      <c r="B5394">
        <v>846701</v>
      </c>
      <c r="C5394">
        <v>1</v>
      </c>
      <c r="D5394" t="str">
        <f t="shared" si="84"/>
        <v>1846701.840</v>
      </c>
      <c r="E5394" t="s">
        <v>3996</v>
      </c>
      <c r="F5394" s="242"/>
      <c r="G5394"/>
      <c r="H5394" s="242">
        <v>72000</v>
      </c>
      <c r="I5394" s="242">
        <v>52083</v>
      </c>
      <c r="J5394"/>
    </row>
    <row r="5395" spans="1:10">
      <c r="A5395" t="s">
        <v>1363</v>
      </c>
      <c r="B5395">
        <v>846701</v>
      </c>
      <c r="C5395">
        <v>1</v>
      </c>
      <c r="D5395" t="str">
        <f t="shared" si="84"/>
        <v>1846701.841</v>
      </c>
      <c r="E5395" t="s">
        <v>3997</v>
      </c>
      <c r="F5395" s="242"/>
      <c r="G5395"/>
      <c r="H5395" s="242">
        <v>93333</v>
      </c>
      <c r="I5395" s="242">
        <v>0</v>
      </c>
      <c r="J5395"/>
    </row>
    <row r="5396" spans="1:10">
      <c r="A5396" t="s">
        <v>1367</v>
      </c>
      <c r="B5396">
        <v>846701</v>
      </c>
      <c r="C5396">
        <v>1</v>
      </c>
      <c r="D5396" t="str">
        <f t="shared" si="84"/>
        <v>1846701.842</v>
      </c>
      <c r="E5396" t="s">
        <v>3998</v>
      </c>
      <c r="F5396" s="242"/>
      <c r="G5396"/>
      <c r="H5396" s="242">
        <v>0</v>
      </c>
      <c r="I5396" s="242">
        <v>0</v>
      </c>
      <c r="J5396"/>
    </row>
    <row r="5397" spans="1:10">
      <c r="A5397" t="s">
        <v>2632</v>
      </c>
      <c r="B5397">
        <v>846800</v>
      </c>
      <c r="C5397">
        <v>1</v>
      </c>
      <c r="D5397" t="str">
        <f t="shared" si="84"/>
        <v>1846800.780</v>
      </c>
      <c r="E5397" t="s">
        <v>4015</v>
      </c>
      <c r="F5397" s="242"/>
      <c r="G5397"/>
      <c r="H5397" s="242">
        <v>75300</v>
      </c>
      <c r="I5397" s="242">
        <v>38519</v>
      </c>
      <c r="J5397"/>
    </row>
    <row r="5398" spans="1:10">
      <c r="A5398" t="s">
        <v>3829</v>
      </c>
      <c r="B5398">
        <v>846800</v>
      </c>
      <c r="C5398">
        <v>1</v>
      </c>
      <c r="D5398" t="str">
        <f t="shared" si="84"/>
        <v>1846800.840</v>
      </c>
      <c r="E5398" t="s">
        <v>3999</v>
      </c>
      <c r="F5398" s="242"/>
      <c r="G5398"/>
      <c r="H5398" s="242">
        <v>1173333</v>
      </c>
      <c r="I5398" s="242">
        <v>651902</v>
      </c>
      <c r="J5398"/>
    </row>
    <row r="5399" spans="1:10">
      <c r="A5399" t="s">
        <v>1363</v>
      </c>
      <c r="B5399">
        <v>846800</v>
      </c>
      <c r="C5399">
        <v>1</v>
      </c>
      <c r="D5399" t="str">
        <f t="shared" si="84"/>
        <v>1846800.841</v>
      </c>
      <c r="E5399" t="s">
        <v>4000</v>
      </c>
      <c r="F5399" s="242"/>
      <c r="G5399"/>
      <c r="H5399" s="242">
        <v>225000</v>
      </c>
      <c r="I5399" s="242">
        <v>188188</v>
      </c>
      <c r="J5399"/>
    </row>
    <row r="5400" spans="1:10">
      <c r="A5400" t="s">
        <v>1367</v>
      </c>
      <c r="B5400">
        <v>846800</v>
      </c>
      <c r="C5400">
        <v>1</v>
      </c>
      <c r="D5400" t="str">
        <f t="shared" si="84"/>
        <v>1846800.842</v>
      </c>
      <c r="E5400" t="s">
        <v>4001</v>
      </c>
      <c r="F5400" s="242"/>
      <c r="G5400"/>
      <c r="H5400" s="242">
        <v>342000</v>
      </c>
      <c r="I5400" s="242">
        <v>247062</v>
      </c>
      <c r="J5400"/>
    </row>
    <row r="5401" spans="1:10">
      <c r="A5401" t="s">
        <v>1386</v>
      </c>
      <c r="B5401">
        <v>846800</v>
      </c>
      <c r="C5401">
        <v>1</v>
      </c>
      <c r="D5401" t="str">
        <f t="shared" si="84"/>
        <v>1846800.843</v>
      </c>
      <c r="E5401" t="s">
        <v>4002</v>
      </c>
      <c r="F5401" s="242"/>
      <c r="G5401"/>
      <c r="H5401" s="242">
        <v>116000</v>
      </c>
      <c r="I5401" s="242">
        <v>64402</v>
      </c>
      <c r="J5401"/>
    </row>
    <row r="5402" spans="1:10">
      <c r="A5402" t="s">
        <v>1406</v>
      </c>
      <c r="B5402">
        <v>846800</v>
      </c>
      <c r="C5402">
        <v>1</v>
      </c>
      <c r="D5402" t="str">
        <f t="shared" si="84"/>
        <v>1846800.844</v>
      </c>
      <c r="E5402" t="s">
        <v>4003</v>
      </c>
      <c r="F5402" s="242"/>
      <c r="G5402"/>
      <c r="H5402" s="242">
        <v>2700000</v>
      </c>
      <c r="I5402" s="242">
        <v>2330566</v>
      </c>
      <c r="J5402"/>
    </row>
    <row r="5403" spans="1:10">
      <c r="A5403" t="s">
        <v>3829</v>
      </c>
      <c r="B5403">
        <v>847100</v>
      </c>
      <c r="C5403">
        <v>1</v>
      </c>
      <c r="D5403" t="str">
        <f t="shared" si="84"/>
        <v>1847100.840</v>
      </c>
      <c r="E5403" t="s">
        <v>4085</v>
      </c>
      <c r="F5403" s="242"/>
      <c r="G5403"/>
      <c r="H5403" s="242">
        <v>290000</v>
      </c>
      <c r="I5403" s="242">
        <v>41881</v>
      </c>
      <c r="J5403"/>
    </row>
    <row r="5404" spans="1:10">
      <c r="A5404" t="s">
        <v>2403</v>
      </c>
      <c r="B5404">
        <v>847100</v>
      </c>
      <c r="C5404">
        <v>1</v>
      </c>
      <c r="D5404" t="str">
        <f t="shared" si="84"/>
        <v>1847100.110</v>
      </c>
      <c r="E5404" t="s">
        <v>4095</v>
      </c>
      <c r="F5404" s="242"/>
      <c r="G5404"/>
      <c r="H5404" s="242">
        <v>0</v>
      </c>
      <c r="I5404" s="242">
        <v>0</v>
      </c>
      <c r="J5404"/>
    </row>
    <row r="5405" spans="1:10">
      <c r="A5405" t="s">
        <v>2404</v>
      </c>
      <c r="B5405">
        <v>847100</v>
      </c>
      <c r="C5405">
        <v>1</v>
      </c>
      <c r="D5405" t="str">
        <f t="shared" si="84"/>
        <v>1847100.120</v>
      </c>
      <c r="E5405" t="s">
        <v>2574</v>
      </c>
      <c r="F5405" s="242"/>
      <c r="G5405"/>
      <c r="H5405" s="242">
        <v>0</v>
      </c>
      <c r="I5405" s="242">
        <v>0</v>
      </c>
      <c r="J5405"/>
    </row>
    <row r="5406" spans="1:10">
      <c r="A5406" t="s">
        <v>2577</v>
      </c>
      <c r="B5406">
        <v>847100</v>
      </c>
      <c r="C5406">
        <v>1</v>
      </c>
      <c r="D5406" t="str">
        <f t="shared" si="84"/>
        <v>1847100.140</v>
      </c>
      <c r="E5406" t="s">
        <v>2578</v>
      </c>
      <c r="F5406" s="242"/>
      <c r="G5406"/>
      <c r="H5406" s="242">
        <v>0</v>
      </c>
      <c r="I5406" s="242">
        <v>0</v>
      </c>
      <c r="J5406"/>
    </row>
    <row r="5407" spans="1:10">
      <c r="A5407" t="s">
        <v>2579</v>
      </c>
      <c r="B5407">
        <v>847100</v>
      </c>
      <c r="C5407">
        <v>1</v>
      </c>
      <c r="D5407" t="str">
        <f t="shared" si="84"/>
        <v>1847100.181</v>
      </c>
      <c r="E5407" t="s">
        <v>2580</v>
      </c>
      <c r="F5407" s="242"/>
      <c r="G5407"/>
      <c r="H5407" s="242">
        <v>0</v>
      </c>
      <c r="I5407" s="242">
        <v>0</v>
      </c>
      <c r="J5407"/>
    </row>
    <row r="5408" spans="1:10">
      <c r="A5408" t="s">
        <v>2581</v>
      </c>
      <c r="B5408">
        <v>847100</v>
      </c>
      <c r="C5408">
        <v>1</v>
      </c>
      <c r="D5408" t="str">
        <f t="shared" si="84"/>
        <v>1847100.182</v>
      </c>
      <c r="E5408" t="s">
        <v>2582</v>
      </c>
      <c r="F5408" s="242"/>
      <c r="G5408"/>
      <c r="H5408" s="242">
        <v>0</v>
      </c>
      <c r="I5408" s="242">
        <v>0</v>
      </c>
      <c r="J5408"/>
    </row>
    <row r="5409" spans="1:10">
      <c r="A5409" t="s">
        <v>2652</v>
      </c>
      <c r="B5409">
        <v>847100</v>
      </c>
      <c r="C5409">
        <v>1</v>
      </c>
      <c r="D5409" t="str">
        <f t="shared" si="84"/>
        <v>1847100.420</v>
      </c>
      <c r="E5409" t="s">
        <v>2653</v>
      </c>
      <c r="F5409" s="242"/>
      <c r="G5409"/>
      <c r="H5409" s="242">
        <v>8300</v>
      </c>
      <c r="I5409" s="242">
        <v>8256</v>
      </c>
      <c r="J5409"/>
    </row>
    <row r="5410" spans="1:10">
      <c r="A5410" t="s">
        <v>2632</v>
      </c>
      <c r="B5410">
        <v>847100</v>
      </c>
      <c r="C5410">
        <v>1</v>
      </c>
      <c r="D5410" t="str">
        <f t="shared" si="84"/>
        <v>1847100.780</v>
      </c>
      <c r="E5410" t="s">
        <v>4096</v>
      </c>
      <c r="F5410" s="242"/>
      <c r="G5410"/>
      <c r="H5410" s="242">
        <v>95000</v>
      </c>
      <c r="I5410" s="242">
        <v>95000</v>
      </c>
      <c r="J5410"/>
    </row>
    <row r="5411" spans="1:10">
      <c r="A5411" t="s">
        <v>1386</v>
      </c>
      <c r="B5411">
        <v>847100</v>
      </c>
      <c r="C5411">
        <v>1</v>
      </c>
      <c r="D5411" t="str">
        <f t="shared" si="84"/>
        <v>1847100.843</v>
      </c>
      <c r="E5411" t="s">
        <v>4089</v>
      </c>
      <c r="F5411" s="242"/>
      <c r="G5411"/>
      <c r="H5411" s="242">
        <v>432666</v>
      </c>
      <c r="I5411" s="242">
        <v>531369</v>
      </c>
      <c r="J5411"/>
    </row>
    <row r="5412" spans="1:10">
      <c r="A5412" t="s">
        <v>2403</v>
      </c>
      <c r="B5412">
        <v>847110</v>
      </c>
      <c r="C5412">
        <v>1</v>
      </c>
      <c r="D5412" t="str">
        <f t="shared" si="84"/>
        <v>1847110.110</v>
      </c>
      <c r="E5412" t="s">
        <v>4108</v>
      </c>
      <c r="F5412" s="242"/>
      <c r="G5412"/>
      <c r="H5412" s="242">
        <v>127341</v>
      </c>
      <c r="I5412" s="242">
        <v>18299</v>
      </c>
      <c r="J5412"/>
    </row>
    <row r="5413" spans="1:10">
      <c r="A5413" t="s">
        <v>2404</v>
      </c>
      <c r="B5413">
        <v>847110</v>
      </c>
      <c r="C5413">
        <v>1</v>
      </c>
      <c r="D5413" t="str">
        <f t="shared" si="84"/>
        <v>1847110.120</v>
      </c>
      <c r="E5413" t="s">
        <v>2574</v>
      </c>
      <c r="F5413" s="242"/>
      <c r="G5413"/>
      <c r="H5413" s="242">
        <v>8782</v>
      </c>
      <c r="I5413" s="242">
        <v>1309</v>
      </c>
      <c r="J5413"/>
    </row>
    <row r="5414" spans="1:10">
      <c r="A5414" t="s">
        <v>2575</v>
      </c>
      <c r="B5414">
        <v>847110</v>
      </c>
      <c r="C5414">
        <v>1</v>
      </c>
      <c r="D5414" t="str">
        <f t="shared" si="84"/>
        <v>1847110.130</v>
      </c>
      <c r="E5414" t="s">
        <v>2576</v>
      </c>
      <c r="F5414" s="242"/>
      <c r="G5414"/>
      <c r="H5414" s="242">
        <v>0</v>
      </c>
      <c r="I5414" s="242">
        <v>0</v>
      </c>
      <c r="J5414"/>
    </row>
    <row r="5415" spans="1:10">
      <c r="A5415" t="s">
        <v>2577</v>
      </c>
      <c r="B5415">
        <v>847110</v>
      </c>
      <c r="C5415">
        <v>1</v>
      </c>
      <c r="D5415" t="str">
        <f t="shared" si="84"/>
        <v>1847110.140</v>
      </c>
      <c r="E5415" t="s">
        <v>2578</v>
      </c>
      <c r="F5415" s="242"/>
      <c r="G5415"/>
      <c r="H5415" s="242">
        <v>0</v>
      </c>
      <c r="I5415" s="242">
        <v>0</v>
      </c>
      <c r="J5415"/>
    </row>
    <row r="5416" spans="1:10">
      <c r="A5416" t="s">
        <v>2579</v>
      </c>
      <c r="B5416">
        <v>847110</v>
      </c>
      <c r="C5416">
        <v>1</v>
      </c>
      <c r="D5416" t="str">
        <f t="shared" si="84"/>
        <v>1847110.181</v>
      </c>
      <c r="E5416" t="s">
        <v>2580</v>
      </c>
      <c r="F5416" s="242"/>
      <c r="G5416"/>
      <c r="H5416" s="242">
        <v>37437</v>
      </c>
      <c r="I5416" s="242">
        <v>5376</v>
      </c>
      <c r="J5416"/>
    </row>
    <row r="5417" spans="1:10">
      <c r="A5417" t="s">
        <v>2581</v>
      </c>
      <c r="B5417">
        <v>847110</v>
      </c>
      <c r="C5417">
        <v>1</v>
      </c>
      <c r="D5417" t="str">
        <f t="shared" si="84"/>
        <v>1847110.182</v>
      </c>
      <c r="E5417" t="s">
        <v>2582</v>
      </c>
      <c r="F5417" s="242"/>
      <c r="G5417"/>
      <c r="H5417" s="242">
        <v>10206</v>
      </c>
      <c r="I5417" s="242">
        <v>1470</v>
      </c>
      <c r="J5417"/>
    </row>
    <row r="5418" spans="1:10">
      <c r="A5418" t="s">
        <v>2652</v>
      </c>
      <c r="B5418">
        <v>847110</v>
      </c>
      <c r="C5418">
        <v>1</v>
      </c>
      <c r="D5418" t="str">
        <f t="shared" si="84"/>
        <v>1847110.420</v>
      </c>
      <c r="E5418" t="s">
        <v>2653</v>
      </c>
      <c r="F5418" s="242"/>
      <c r="G5418"/>
      <c r="H5418" s="242">
        <v>6170</v>
      </c>
      <c r="I5418" s="242">
        <v>5613</v>
      </c>
      <c r="J5418"/>
    </row>
    <row r="5419" spans="1:10">
      <c r="A5419" t="s">
        <v>1663</v>
      </c>
      <c r="B5419">
        <v>847110</v>
      </c>
      <c r="C5419">
        <v>1</v>
      </c>
      <c r="D5419" t="str">
        <f t="shared" si="84"/>
        <v>1847110.431</v>
      </c>
      <c r="E5419" t="s">
        <v>2654</v>
      </c>
      <c r="F5419" s="242"/>
      <c r="G5419"/>
      <c r="H5419" s="242">
        <v>3600</v>
      </c>
      <c r="I5419" s="242">
        <v>2989</v>
      </c>
      <c r="J5419"/>
    </row>
    <row r="5420" spans="1:10">
      <c r="A5420" t="s">
        <v>872</v>
      </c>
      <c r="B5420">
        <v>847110</v>
      </c>
      <c r="C5420">
        <v>1</v>
      </c>
      <c r="D5420" t="str">
        <f t="shared" si="84"/>
        <v>1847110.781</v>
      </c>
      <c r="E5420" t="s">
        <v>4109</v>
      </c>
      <c r="F5420" s="242"/>
      <c r="G5420"/>
      <c r="H5420" s="242">
        <v>0</v>
      </c>
      <c r="I5420" s="242">
        <v>95000</v>
      </c>
      <c r="J5420"/>
    </row>
    <row r="5421" spans="1:10">
      <c r="A5421" t="s">
        <v>2674</v>
      </c>
      <c r="B5421">
        <v>847110</v>
      </c>
      <c r="C5421">
        <v>1</v>
      </c>
      <c r="D5421" t="str">
        <f t="shared" si="84"/>
        <v>1847110.783</v>
      </c>
      <c r="E5421" t="s">
        <v>4110</v>
      </c>
      <c r="F5421" s="242"/>
      <c r="G5421"/>
      <c r="H5421" s="242">
        <v>0</v>
      </c>
      <c r="I5421" s="242">
        <v>0</v>
      </c>
      <c r="J5421"/>
    </row>
    <row r="5422" spans="1:10">
      <c r="A5422" t="s">
        <v>2676</v>
      </c>
      <c r="B5422">
        <v>847110</v>
      </c>
      <c r="C5422">
        <v>1</v>
      </c>
      <c r="D5422" t="str">
        <f t="shared" si="84"/>
        <v>1847110.784</v>
      </c>
      <c r="E5422" t="s">
        <v>4111</v>
      </c>
      <c r="F5422" s="242"/>
      <c r="G5422"/>
      <c r="H5422" s="242">
        <v>0</v>
      </c>
      <c r="I5422" s="242">
        <v>0</v>
      </c>
      <c r="J5422"/>
    </row>
    <row r="5423" spans="1:10">
      <c r="A5423" t="s">
        <v>3829</v>
      </c>
      <c r="B5423">
        <v>847110</v>
      </c>
      <c r="C5423">
        <v>1</v>
      </c>
      <c r="D5423" t="str">
        <f t="shared" si="84"/>
        <v>1847110.840</v>
      </c>
      <c r="E5423" t="s">
        <v>4099</v>
      </c>
      <c r="F5423" s="242"/>
      <c r="G5423"/>
      <c r="H5423" s="242">
        <v>168237</v>
      </c>
      <c r="I5423" s="242">
        <v>131803</v>
      </c>
      <c r="J5423"/>
    </row>
    <row r="5424" spans="1:10">
      <c r="A5424" t="s">
        <v>1367</v>
      </c>
      <c r="B5424">
        <v>847110</v>
      </c>
      <c r="C5424">
        <v>1</v>
      </c>
      <c r="D5424" t="str">
        <f t="shared" si="84"/>
        <v>1847110.842</v>
      </c>
      <c r="E5424" t="s">
        <v>4100</v>
      </c>
      <c r="F5424" s="242"/>
      <c r="G5424"/>
      <c r="H5424" s="242">
        <v>1270000</v>
      </c>
      <c r="I5424" s="242">
        <v>1224460</v>
      </c>
      <c r="J5424"/>
    </row>
    <row r="5425" spans="1:10">
      <c r="A5425" t="s">
        <v>1386</v>
      </c>
      <c r="B5425">
        <v>847110</v>
      </c>
      <c r="C5425">
        <v>1</v>
      </c>
      <c r="D5425" t="str">
        <f t="shared" si="84"/>
        <v>1847110.843</v>
      </c>
      <c r="E5425" t="s">
        <v>4112</v>
      </c>
      <c r="F5425" s="242"/>
      <c r="G5425"/>
      <c r="H5425" s="242">
        <v>0</v>
      </c>
      <c r="I5425" s="242">
        <v>0</v>
      </c>
      <c r="J5425"/>
    </row>
    <row r="5426" spans="1:10">
      <c r="A5426" t="s">
        <v>1406</v>
      </c>
      <c r="B5426">
        <v>847110</v>
      </c>
      <c r="C5426">
        <v>1</v>
      </c>
      <c r="D5426" t="str">
        <f t="shared" si="84"/>
        <v>1847110.844</v>
      </c>
      <c r="E5426" t="s">
        <v>4101</v>
      </c>
      <c r="F5426" s="242"/>
      <c r="G5426"/>
      <c r="H5426" s="242">
        <v>400000</v>
      </c>
      <c r="I5426" s="242">
        <v>720781</v>
      </c>
      <c r="J5426"/>
    </row>
    <row r="5427" spans="1:10">
      <c r="A5427" t="s">
        <v>1426</v>
      </c>
      <c r="B5427">
        <v>847110</v>
      </c>
      <c r="C5427">
        <v>1</v>
      </c>
      <c r="D5427" t="str">
        <f t="shared" si="84"/>
        <v>1847110.845</v>
      </c>
      <c r="E5427" t="s">
        <v>4102</v>
      </c>
      <c r="F5427" s="242"/>
      <c r="G5427"/>
      <c r="H5427" s="242">
        <v>734465</v>
      </c>
      <c r="I5427" s="242">
        <v>786065</v>
      </c>
      <c r="J5427"/>
    </row>
    <row r="5428" spans="1:10">
      <c r="A5428" t="s">
        <v>1451</v>
      </c>
      <c r="B5428">
        <v>847110</v>
      </c>
      <c r="C5428">
        <v>1</v>
      </c>
      <c r="D5428" t="str">
        <f t="shared" si="84"/>
        <v>1847110.846</v>
      </c>
      <c r="E5428" t="s">
        <v>4103</v>
      </c>
      <c r="F5428" s="242"/>
      <c r="G5428"/>
      <c r="H5428" s="242">
        <v>346667</v>
      </c>
      <c r="I5428" s="242">
        <v>263817</v>
      </c>
      <c r="J5428"/>
    </row>
    <row r="5429" spans="1:10">
      <c r="A5429" t="s">
        <v>1496</v>
      </c>
      <c r="B5429">
        <v>847110</v>
      </c>
      <c r="C5429">
        <v>1</v>
      </c>
      <c r="D5429" t="str">
        <f t="shared" si="84"/>
        <v>1847110.847</v>
      </c>
      <c r="E5429" t="s">
        <v>4104</v>
      </c>
      <c r="F5429" s="242"/>
      <c r="G5429"/>
      <c r="H5429" s="242">
        <v>400000</v>
      </c>
      <c r="I5429" s="242">
        <v>234947</v>
      </c>
      <c r="J5429"/>
    </row>
    <row r="5430" spans="1:10">
      <c r="A5430" t="s">
        <v>3829</v>
      </c>
      <c r="B5430">
        <v>847111</v>
      </c>
      <c r="C5430">
        <v>1</v>
      </c>
      <c r="D5430" t="str">
        <f t="shared" si="84"/>
        <v>1847111.840</v>
      </c>
      <c r="E5430" t="s">
        <v>4106</v>
      </c>
      <c r="F5430" s="242"/>
      <c r="G5430"/>
      <c r="H5430" s="242">
        <v>626667</v>
      </c>
      <c r="I5430" s="242">
        <v>530171</v>
      </c>
      <c r="J5430"/>
    </row>
    <row r="5431" spans="1:10">
      <c r="A5431" t="s">
        <v>3829</v>
      </c>
      <c r="B5431">
        <v>847200</v>
      </c>
      <c r="C5431">
        <v>1</v>
      </c>
      <c r="D5431" t="str">
        <f t="shared" si="84"/>
        <v>1847200.840</v>
      </c>
      <c r="E5431" t="s">
        <v>4107</v>
      </c>
      <c r="F5431" s="242"/>
      <c r="G5431"/>
      <c r="H5431" s="242">
        <v>0</v>
      </c>
      <c r="I5431" s="242">
        <v>0</v>
      </c>
      <c r="J5431"/>
    </row>
    <row r="5432" spans="1:10">
      <c r="A5432" t="s">
        <v>2403</v>
      </c>
      <c r="B5432">
        <v>847300</v>
      </c>
      <c r="C5432">
        <v>1</v>
      </c>
      <c r="D5432" t="str">
        <f t="shared" si="84"/>
        <v>1847300.110</v>
      </c>
      <c r="E5432" t="s">
        <v>3954</v>
      </c>
      <c r="F5432" s="242"/>
      <c r="G5432"/>
      <c r="H5432" s="242">
        <v>240154</v>
      </c>
      <c r="I5432" s="242">
        <v>251316</v>
      </c>
      <c r="J5432"/>
    </row>
    <row r="5433" spans="1:10">
      <c r="A5433" t="s">
        <v>2404</v>
      </c>
      <c r="B5433">
        <v>847300</v>
      </c>
      <c r="C5433">
        <v>1</v>
      </c>
      <c r="D5433" t="str">
        <f t="shared" si="84"/>
        <v>1847300.120</v>
      </c>
      <c r="E5433" t="s">
        <v>2574</v>
      </c>
      <c r="F5433" s="242"/>
      <c r="G5433"/>
      <c r="H5433" s="242">
        <v>2240</v>
      </c>
      <c r="I5433" s="242">
        <v>2222</v>
      </c>
      <c r="J5433"/>
    </row>
    <row r="5434" spans="1:10">
      <c r="A5434" t="s">
        <v>2577</v>
      </c>
      <c r="B5434">
        <v>847300</v>
      </c>
      <c r="C5434">
        <v>1</v>
      </c>
      <c r="D5434" t="str">
        <f t="shared" si="84"/>
        <v>1847300.140</v>
      </c>
      <c r="E5434" t="s">
        <v>2578</v>
      </c>
      <c r="F5434" s="242"/>
      <c r="G5434"/>
      <c r="H5434" s="242">
        <v>63643</v>
      </c>
      <c r="I5434" s="242">
        <v>64999</v>
      </c>
      <c r="J5434"/>
    </row>
    <row r="5435" spans="1:10">
      <c r="A5435" t="s">
        <v>2579</v>
      </c>
      <c r="B5435">
        <v>847300</v>
      </c>
      <c r="C5435">
        <v>1</v>
      </c>
      <c r="D5435" t="str">
        <f t="shared" si="84"/>
        <v>1847300.181</v>
      </c>
      <c r="E5435" t="s">
        <v>2959</v>
      </c>
      <c r="F5435" s="242"/>
      <c r="G5435"/>
      <c r="H5435" s="242">
        <v>49137</v>
      </c>
      <c r="I5435" s="242">
        <v>49817</v>
      </c>
      <c r="J5435"/>
    </row>
    <row r="5436" spans="1:10">
      <c r="A5436" t="s">
        <v>2581</v>
      </c>
      <c r="B5436">
        <v>847300</v>
      </c>
      <c r="C5436">
        <v>1</v>
      </c>
      <c r="D5436" t="str">
        <f t="shared" si="84"/>
        <v>1847300.182</v>
      </c>
      <c r="E5436" t="s">
        <v>2582</v>
      </c>
      <c r="F5436" s="242"/>
      <c r="G5436"/>
      <c r="H5436" s="242">
        <v>23504</v>
      </c>
      <c r="I5436" s="242">
        <v>24465</v>
      </c>
      <c r="J5436"/>
    </row>
    <row r="5437" spans="1:10">
      <c r="A5437" t="s">
        <v>2652</v>
      </c>
      <c r="B5437">
        <v>847300</v>
      </c>
      <c r="C5437">
        <v>1</v>
      </c>
      <c r="D5437" t="str">
        <f t="shared" si="84"/>
        <v>1847300.420</v>
      </c>
      <c r="E5437" t="s">
        <v>2653</v>
      </c>
      <c r="F5437" s="242"/>
      <c r="G5437"/>
      <c r="H5437" s="242">
        <v>9000</v>
      </c>
      <c r="I5437" s="242">
        <v>8945</v>
      </c>
      <c r="J5437"/>
    </row>
    <row r="5438" spans="1:10">
      <c r="A5438" t="s">
        <v>1663</v>
      </c>
      <c r="B5438">
        <v>847300</v>
      </c>
      <c r="C5438">
        <v>1</v>
      </c>
      <c r="D5438" t="str">
        <f t="shared" si="84"/>
        <v>1847300.431</v>
      </c>
      <c r="E5438" t="s">
        <v>2654</v>
      </c>
      <c r="F5438" s="242"/>
      <c r="G5438"/>
      <c r="H5438" s="242">
        <v>37000</v>
      </c>
      <c r="I5438" s="242">
        <v>36919</v>
      </c>
      <c r="J5438"/>
    </row>
    <row r="5439" spans="1:10">
      <c r="A5439" t="s">
        <v>2606</v>
      </c>
      <c r="B5439">
        <v>847300</v>
      </c>
      <c r="C5439">
        <v>1</v>
      </c>
      <c r="D5439" t="str">
        <f t="shared" si="84"/>
        <v>1847300.440</v>
      </c>
      <c r="E5439" t="s">
        <v>2657</v>
      </c>
      <c r="F5439" s="242"/>
      <c r="G5439"/>
      <c r="H5439" s="242">
        <v>3400</v>
      </c>
      <c r="I5439" s="242">
        <v>3312</v>
      </c>
      <c r="J5439"/>
    </row>
    <row r="5440" spans="1:10">
      <c r="A5440" t="s">
        <v>2594</v>
      </c>
      <c r="B5440">
        <v>847300</v>
      </c>
      <c r="C5440">
        <v>1</v>
      </c>
      <c r="D5440" t="str">
        <f t="shared" si="84"/>
        <v>1847300.540</v>
      </c>
      <c r="E5440" t="s">
        <v>2595</v>
      </c>
      <c r="F5440" s="242"/>
      <c r="G5440"/>
      <c r="H5440" s="242">
        <v>11000</v>
      </c>
      <c r="I5440" s="242">
        <v>8466</v>
      </c>
      <c r="J5440"/>
    </row>
    <row r="5441" spans="1:10">
      <c r="A5441" t="s">
        <v>547</v>
      </c>
      <c r="B5441">
        <v>847300</v>
      </c>
      <c r="C5441">
        <v>1</v>
      </c>
      <c r="D5441" t="str">
        <f t="shared" si="84"/>
        <v>1847300.722</v>
      </c>
      <c r="E5441" t="s">
        <v>3951</v>
      </c>
      <c r="F5441" s="242"/>
      <c r="G5441"/>
      <c r="H5441" s="242">
        <v>30000</v>
      </c>
      <c r="I5441" s="242">
        <v>0</v>
      </c>
      <c r="J5441"/>
    </row>
    <row r="5442" spans="1:10">
      <c r="A5442" t="s">
        <v>673</v>
      </c>
      <c r="B5442">
        <v>847300</v>
      </c>
      <c r="C5442">
        <v>1</v>
      </c>
      <c r="D5442" t="str">
        <f t="shared" si="84"/>
        <v>1847300.743</v>
      </c>
      <c r="E5442" t="s">
        <v>2622</v>
      </c>
      <c r="F5442" s="242"/>
      <c r="G5442"/>
      <c r="H5442" s="242">
        <v>4000</v>
      </c>
      <c r="I5442" s="242">
        <v>0</v>
      </c>
      <c r="J5442"/>
    </row>
    <row r="5443" spans="1:10">
      <c r="A5443" t="s">
        <v>2632</v>
      </c>
      <c r="B5443">
        <v>847300</v>
      </c>
      <c r="C5443">
        <v>1</v>
      </c>
      <c r="D5443" t="str">
        <f t="shared" ref="D5443:D5506" si="85">C5443&amp;B5443&amp;"."&amp;A5443</f>
        <v>1847300.780</v>
      </c>
      <c r="E5443" t="s">
        <v>3955</v>
      </c>
      <c r="F5443" s="242"/>
      <c r="G5443"/>
      <c r="H5443" s="242">
        <v>45000</v>
      </c>
      <c r="I5443" s="242">
        <v>50000</v>
      </c>
      <c r="J5443"/>
    </row>
    <row r="5444" spans="1:10">
      <c r="A5444" t="s">
        <v>2674</v>
      </c>
      <c r="B5444">
        <v>847300</v>
      </c>
      <c r="C5444">
        <v>1</v>
      </c>
      <c r="D5444" t="str">
        <f t="shared" si="85"/>
        <v>1847300.783</v>
      </c>
      <c r="E5444" t="s">
        <v>3956</v>
      </c>
      <c r="F5444" s="242"/>
      <c r="G5444"/>
      <c r="H5444" s="242">
        <v>120000</v>
      </c>
      <c r="I5444" s="242">
        <v>0</v>
      </c>
      <c r="J5444"/>
    </row>
    <row r="5445" spans="1:10">
      <c r="A5445" t="s">
        <v>3829</v>
      </c>
      <c r="B5445">
        <v>847300</v>
      </c>
      <c r="C5445">
        <v>1</v>
      </c>
      <c r="D5445" t="str">
        <f t="shared" si="85"/>
        <v>1847300.840</v>
      </c>
      <c r="E5445" t="s">
        <v>3943</v>
      </c>
      <c r="F5445" s="242"/>
      <c r="G5445"/>
      <c r="H5445" s="242">
        <v>85333</v>
      </c>
      <c r="I5445" s="242">
        <v>35457</v>
      </c>
      <c r="J5445"/>
    </row>
    <row r="5446" spans="1:10">
      <c r="A5446" t="s">
        <v>1363</v>
      </c>
      <c r="B5446">
        <v>847300</v>
      </c>
      <c r="C5446">
        <v>1</v>
      </c>
      <c r="D5446" t="str">
        <f t="shared" si="85"/>
        <v>1847300.841</v>
      </c>
      <c r="E5446" t="s">
        <v>3944</v>
      </c>
      <c r="F5446" s="242"/>
      <c r="G5446"/>
      <c r="H5446" s="242">
        <v>290667</v>
      </c>
      <c r="I5446" s="242">
        <v>60847</v>
      </c>
      <c r="J5446"/>
    </row>
    <row r="5447" spans="1:10">
      <c r="A5447" t="s">
        <v>1426</v>
      </c>
      <c r="B5447">
        <v>847300</v>
      </c>
      <c r="C5447">
        <v>1</v>
      </c>
      <c r="D5447" t="str">
        <f t="shared" si="85"/>
        <v>1847300.845</v>
      </c>
      <c r="E5447" t="s">
        <v>3946</v>
      </c>
      <c r="F5447" s="242"/>
      <c r="G5447"/>
      <c r="H5447" s="242">
        <v>253333</v>
      </c>
      <c r="I5447" s="242">
        <v>0</v>
      </c>
      <c r="J5447"/>
    </row>
    <row r="5448" spans="1:10">
      <c r="A5448" t="s">
        <v>1451</v>
      </c>
      <c r="B5448">
        <v>847300</v>
      </c>
      <c r="C5448">
        <v>1</v>
      </c>
      <c r="D5448" t="str">
        <f t="shared" si="85"/>
        <v>1847300.846</v>
      </c>
      <c r="E5448" t="s">
        <v>3947</v>
      </c>
      <c r="F5448" s="242"/>
      <c r="G5448"/>
      <c r="H5448" s="242">
        <v>153333</v>
      </c>
      <c r="I5448" s="242">
        <v>0</v>
      </c>
      <c r="J5448"/>
    </row>
    <row r="5449" spans="1:10">
      <c r="A5449" t="s">
        <v>1496</v>
      </c>
      <c r="B5449">
        <v>847300</v>
      </c>
      <c r="C5449">
        <v>1</v>
      </c>
      <c r="D5449" t="str">
        <f t="shared" si="85"/>
        <v>1847300.847</v>
      </c>
      <c r="E5449" t="s">
        <v>3948</v>
      </c>
      <c r="F5449" s="242"/>
      <c r="G5449"/>
      <c r="H5449" s="242">
        <v>214939</v>
      </c>
      <c r="I5449" s="242">
        <v>0</v>
      </c>
      <c r="J5449"/>
    </row>
    <row r="5450" spans="1:10">
      <c r="A5450" t="s">
        <v>1521</v>
      </c>
      <c r="B5450">
        <v>847300</v>
      </c>
      <c r="C5450">
        <v>1</v>
      </c>
      <c r="D5450" t="str">
        <f t="shared" si="85"/>
        <v>1847300.848</v>
      </c>
      <c r="E5450" t="s">
        <v>3949</v>
      </c>
      <c r="F5450" s="242"/>
      <c r="G5450"/>
      <c r="H5450" s="242">
        <v>853333</v>
      </c>
      <c r="I5450" s="242">
        <v>878129</v>
      </c>
      <c r="J5450"/>
    </row>
    <row r="5451" spans="1:10">
      <c r="A5451" t="s">
        <v>1386</v>
      </c>
      <c r="B5451">
        <v>847300</v>
      </c>
      <c r="C5451">
        <v>1</v>
      </c>
      <c r="D5451" t="str">
        <f t="shared" si="85"/>
        <v>1847300.843</v>
      </c>
      <c r="E5451" t="s">
        <v>4086</v>
      </c>
      <c r="F5451" s="242"/>
      <c r="G5451"/>
      <c r="H5451" s="242">
        <v>80000</v>
      </c>
      <c r="I5451" s="242">
        <v>80000</v>
      </c>
      <c r="J5451"/>
    </row>
    <row r="5452" spans="1:10">
      <c r="A5452" t="s">
        <v>2403</v>
      </c>
      <c r="B5452">
        <v>847310</v>
      </c>
      <c r="C5452">
        <v>1</v>
      </c>
      <c r="D5452" t="str">
        <f t="shared" si="85"/>
        <v>1847310.110</v>
      </c>
      <c r="E5452" t="s">
        <v>2573</v>
      </c>
      <c r="F5452" s="242"/>
      <c r="G5452"/>
      <c r="H5452" s="242">
        <v>314887</v>
      </c>
      <c r="I5452" s="242">
        <v>280009</v>
      </c>
      <c r="J5452"/>
    </row>
    <row r="5453" spans="1:10">
      <c r="A5453" t="s">
        <v>2404</v>
      </c>
      <c r="B5453">
        <v>847310</v>
      </c>
      <c r="C5453">
        <v>1</v>
      </c>
      <c r="D5453" t="str">
        <f t="shared" si="85"/>
        <v>1847310.120</v>
      </c>
      <c r="E5453" t="s">
        <v>2574</v>
      </c>
      <c r="F5453" s="242"/>
      <c r="G5453"/>
      <c r="H5453" s="242">
        <v>59862</v>
      </c>
      <c r="I5453" s="242">
        <v>54208</v>
      </c>
      <c r="J5453"/>
    </row>
    <row r="5454" spans="1:10">
      <c r="A5454" t="s">
        <v>2575</v>
      </c>
      <c r="B5454">
        <v>847310</v>
      </c>
      <c r="C5454">
        <v>1</v>
      </c>
      <c r="D5454" t="str">
        <f t="shared" si="85"/>
        <v>1847310.130</v>
      </c>
      <c r="E5454" t="s">
        <v>2576</v>
      </c>
      <c r="F5454" s="242"/>
      <c r="G5454"/>
      <c r="H5454" s="242">
        <v>8963</v>
      </c>
      <c r="I5454" s="242">
        <v>8034</v>
      </c>
      <c r="J5454"/>
    </row>
    <row r="5455" spans="1:10">
      <c r="A5455" t="s">
        <v>2577</v>
      </c>
      <c r="B5455">
        <v>847310</v>
      </c>
      <c r="C5455">
        <v>1</v>
      </c>
      <c r="D5455" t="str">
        <f t="shared" si="85"/>
        <v>1847310.140</v>
      </c>
      <c r="E5455" t="s">
        <v>2578</v>
      </c>
      <c r="F5455" s="242"/>
      <c r="G5455"/>
      <c r="H5455" s="242">
        <v>36033</v>
      </c>
      <c r="I5455" s="242">
        <v>48087</v>
      </c>
      <c r="J5455"/>
    </row>
    <row r="5456" spans="1:10">
      <c r="A5456" t="s">
        <v>2579</v>
      </c>
      <c r="B5456">
        <v>847310</v>
      </c>
      <c r="C5456">
        <v>1</v>
      </c>
      <c r="D5456" t="str">
        <f t="shared" si="85"/>
        <v>1847310.181</v>
      </c>
      <c r="E5456" t="s">
        <v>2580</v>
      </c>
      <c r="F5456" s="242"/>
      <c r="G5456"/>
      <c r="H5456" s="242">
        <v>75088</v>
      </c>
      <c r="I5456" s="242">
        <v>68099</v>
      </c>
      <c r="J5456"/>
    </row>
    <row r="5457" spans="1:10">
      <c r="A5457" t="s">
        <v>2581</v>
      </c>
      <c r="B5457">
        <v>847310</v>
      </c>
      <c r="C5457">
        <v>1</v>
      </c>
      <c r="D5457" t="str">
        <f t="shared" si="85"/>
        <v>1847310.182</v>
      </c>
      <c r="E5457" t="s">
        <v>2582</v>
      </c>
      <c r="F5457" s="242"/>
      <c r="G5457"/>
      <c r="H5457" s="242">
        <v>32124</v>
      </c>
      <c r="I5457" s="242">
        <v>29828</v>
      </c>
      <c r="J5457"/>
    </row>
    <row r="5458" spans="1:10">
      <c r="A5458" t="s">
        <v>2409</v>
      </c>
      <c r="B5458">
        <v>847310</v>
      </c>
      <c r="C5458">
        <v>1</v>
      </c>
      <c r="D5458" t="str">
        <f t="shared" si="85"/>
        <v>1847310.410</v>
      </c>
      <c r="E5458" t="s">
        <v>2752</v>
      </c>
      <c r="F5458" s="242"/>
      <c r="G5458"/>
      <c r="H5458" s="242">
        <v>130000</v>
      </c>
      <c r="I5458" s="242">
        <v>116627</v>
      </c>
      <c r="J5458"/>
    </row>
    <row r="5459" spans="1:10">
      <c r="A5459" t="s">
        <v>1663</v>
      </c>
      <c r="B5459">
        <v>847310</v>
      </c>
      <c r="C5459">
        <v>1</v>
      </c>
      <c r="D5459" t="str">
        <f t="shared" si="85"/>
        <v>1847310.431</v>
      </c>
      <c r="E5459" t="s">
        <v>2654</v>
      </c>
      <c r="F5459" s="242"/>
      <c r="G5459"/>
      <c r="H5459" s="242">
        <v>6600</v>
      </c>
      <c r="I5459" s="242">
        <v>8148</v>
      </c>
      <c r="J5459"/>
    </row>
    <row r="5460" spans="1:10">
      <c r="A5460" t="s">
        <v>1678</v>
      </c>
      <c r="B5460">
        <v>847310</v>
      </c>
      <c r="C5460">
        <v>1</v>
      </c>
      <c r="D5460" t="str">
        <f t="shared" si="85"/>
        <v>1847310.434</v>
      </c>
      <c r="E5460" t="s">
        <v>2656</v>
      </c>
      <c r="F5460" s="242"/>
      <c r="G5460"/>
      <c r="H5460" s="242">
        <v>22000</v>
      </c>
      <c r="I5460" s="242">
        <v>17427</v>
      </c>
      <c r="J5460"/>
    </row>
    <row r="5461" spans="1:10">
      <c r="A5461" t="s">
        <v>2658</v>
      </c>
      <c r="B5461">
        <v>847310</v>
      </c>
      <c r="C5461">
        <v>1</v>
      </c>
      <c r="D5461" t="str">
        <f t="shared" si="85"/>
        <v>1847310.441</v>
      </c>
      <c r="E5461" t="s">
        <v>2720</v>
      </c>
      <c r="F5461" s="242"/>
      <c r="G5461"/>
      <c r="H5461" s="242">
        <v>10000</v>
      </c>
      <c r="I5461" s="242">
        <v>9105</v>
      </c>
      <c r="J5461"/>
    </row>
    <row r="5462" spans="1:10">
      <c r="A5462" t="s">
        <v>2594</v>
      </c>
      <c r="B5462">
        <v>847310</v>
      </c>
      <c r="C5462">
        <v>1</v>
      </c>
      <c r="D5462" t="str">
        <f t="shared" si="85"/>
        <v>1847310.540</v>
      </c>
      <c r="E5462" t="s">
        <v>2595</v>
      </c>
      <c r="F5462" s="242"/>
      <c r="G5462"/>
      <c r="H5462" s="242">
        <v>32000</v>
      </c>
      <c r="I5462" s="242">
        <v>17750</v>
      </c>
      <c r="J5462"/>
    </row>
    <row r="5463" spans="1:10">
      <c r="A5463" t="s">
        <v>2596</v>
      </c>
      <c r="B5463">
        <v>847310</v>
      </c>
      <c r="C5463">
        <v>1</v>
      </c>
      <c r="D5463" t="str">
        <f t="shared" si="85"/>
        <v>1847310.550</v>
      </c>
      <c r="E5463" t="s">
        <v>2597</v>
      </c>
      <c r="F5463" s="242"/>
      <c r="G5463"/>
      <c r="H5463" s="242">
        <v>20000</v>
      </c>
      <c r="I5463" s="242">
        <v>0</v>
      </c>
      <c r="J5463"/>
    </row>
    <row r="5464" spans="1:10">
      <c r="A5464" t="s">
        <v>2598</v>
      </c>
      <c r="B5464">
        <v>847310</v>
      </c>
      <c r="C5464">
        <v>1</v>
      </c>
      <c r="D5464" t="str">
        <f t="shared" si="85"/>
        <v>1847310.561</v>
      </c>
      <c r="E5464" t="s">
        <v>2599</v>
      </c>
      <c r="F5464" s="242"/>
      <c r="G5464"/>
      <c r="H5464" s="242">
        <v>5000</v>
      </c>
      <c r="I5464" s="242">
        <v>3501</v>
      </c>
      <c r="J5464"/>
    </row>
    <row r="5465" spans="1:10">
      <c r="A5465" t="s">
        <v>2600</v>
      </c>
      <c r="B5465">
        <v>847310</v>
      </c>
      <c r="C5465">
        <v>1</v>
      </c>
      <c r="D5465" t="str">
        <f t="shared" si="85"/>
        <v>1847310.580</v>
      </c>
      <c r="E5465" t="s">
        <v>2601</v>
      </c>
      <c r="F5465" s="242"/>
      <c r="G5465"/>
      <c r="H5465" s="242">
        <v>22000</v>
      </c>
      <c r="I5465" s="242">
        <v>3734</v>
      </c>
      <c r="J5465"/>
    </row>
    <row r="5466" spans="1:10">
      <c r="A5466" t="s">
        <v>600</v>
      </c>
      <c r="B5466">
        <v>847310</v>
      </c>
      <c r="C5466">
        <v>1</v>
      </c>
      <c r="D5466" t="str">
        <f t="shared" si="85"/>
        <v>1847310.731</v>
      </c>
      <c r="E5466" t="s">
        <v>2593</v>
      </c>
      <c r="F5466" s="242"/>
      <c r="G5466"/>
      <c r="H5466" s="242">
        <v>9660</v>
      </c>
      <c r="I5466" s="242">
        <v>9200</v>
      </c>
      <c r="J5466"/>
    </row>
    <row r="5467" spans="1:10">
      <c r="A5467" t="s">
        <v>605</v>
      </c>
      <c r="B5467">
        <v>847310</v>
      </c>
      <c r="C5467">
        <v>1</v>
      </c>
      <c r="D5467" t="str">
        <f t="shared" si="85"/>
        <v>1847310.732</v>
      </c>
      <c r="E5467" t="s">
        <v>2902</v>
      </c>
      <c r="F5467" s="242"/>
      <c r="G5467"/>
      <c r="H5467" s="242">
        <v>12000</v>
      </c>
      <c r="I5467" s="242">
        <v>12168</v>
      </c>
      <c r="J5467"/>
    </row>
    <row r="5468" spans="1:10">
      <c r="A5468" t="s">
        <v>624</v>
      </c>
      <c r="B5468">
        <v>847310</v>
      </c>
      <c r="C5468">
        <v>1</v>
      </c>
      <c r="D5468" t="str">
        <f t="shared" si="85"/>
        <v>1847310.733</v>
      </c>
      <c r="E5468" t="s">
        <v>3681</v>
      </c>
      <c r="F5468" s="242"/>
      <c r="G5468"/>
      <c r="H5468" s="242">
        <v>2000</v>
      </c>
      <c r="I5468" s="242">
        <v>1966</v>
      </c>
      <c r="J5468"/>
    </row>
    <row r="5469" spans="1:10">
      <c r="A5469" t="s">
        <v>673</v>
      </c>
      <c r="B5469">
        <v>847310</v>
      </c>
      <c r="C5469">
        <v>1</v>
      </c>
      <c r="D5469" t="str">
        <f t="shared" si="85"/>
        <v>1847310.743</v>
      </c>
      <c r="E5469" t="s">
        <v>2622</v>
      </c>
      <c r="F5469" s="242"/>
      <c r="G5469"/>
      <c r="H5469" s="242">
        <v>30000</v>
      </c>
      <c r="I5469" s="242">
        <v>1356</v>
      </c>
      <c r="J5469"/>
    </row>
    <row r="5470" spans="1:10">
      <c r="A5470" t="s">
        <v>2632</v>
      </c>
      <c r="B5470">
        <v>847310</v>
      </c>
      <c r="C5470">
        <v>1</v>
      </c>
      <c r="D5470" t="str">
        <f t="shared" si="85"/>
        <v>1847310.780</v>
      </c>
      <c r="E5470" t="s">
        <v>3682</v>
      </c>
      <c r="F5470" s="242"/>
      <c r="G5470"/>
      <c r="H5470" s="242">
        <v>40000</v>
      </c>
      <c r="I5470" s="242">
        <v>16252</v>
      </c>
      <c r="J5470"/>
    </row>
    <row r="5471" spans="1:10">
      <c r="A5471" t="s">
        <v>877</v>
      </c>
      <c r="B5471">
        <v>847310</v>
      </c>
      <c r="C5471">
        <v>1</v>
      </c>
      <c r="D5471" t="str">
        <f t="shared" si="85"/>
        <v>1847310.782</v>
      </c>
      <c r="E5471" t="s">
        <v>3683</v>
      </c>
      <c r="F5471" s="242"/>
      <c r="G5471"/>
      <c r="H5471" s="242">
        <v>30000</v>
      </c>
      <c r="I5471" s="242">
        <v>30000</v>
      </c>
      <c r="J5471"/>
    </row>
    <row r="5472" spans="1:10">
      <c r="A5472" t="s">
        <v>2674</v>
      </c>
      <c r="B5472">
        <v>847310</v>
      </c>
      <c r="C5472">
        <v>1</v>
      </c>
      <c r="D5472" t="str">
        <f t="shared" si="85"/>
        <v>1847310.783</v>
      </c>
      <c r="E5472" t="s">
        <v>3684</v>
      </c>
      <c r="F5472" s="242"/>
      <c r="G5472"/>
      <c r="H5472" s="242">
        <v>30000</v>
      </c>
      <c r="I5472" s="242">
        <v>0</v>
      </c>
      <c r="J5472"/>
    </row>
    <row r="5473" spans="1:10">
      <c r="A5473" t="s">
        <v>2841</v>
      </c>
      <c r="B5473">
        <v>847310</v>
      </c>
      <c r="C5473">
        <v>1</v>
      </c>
      <c r="D5473" t="str">
        <f t="shared" si="85"/>
        <v>1847310.788</v>
      </c>
      <c r="E5473" t="s">
        <v>3685</v>
      </c>
      <c r="F5473" s="242"/>
      <c r="G5473"/>
      <c r="H5473" s="242">
        <v>1050000</v>
      </c>
      <c r="I5473" s="242">
        <v>1014961</v>
      </c>
      <c r="J5473"/>
    </row>
    <row r="5474" spans="1:10">
      <c r="A5474" t="s">
        <v>3056</v>
      </c>
      <c r="B5474">
        <v>847310</v>
      </c>
      <c r="C5474">
        <v>1</v>
      </c>
      <c r="D5474" t="str">
        <f t="shared" si="85"/>
        <v>1847310.789</v>
      </c>
      <c r="E5474" t="s">
        <v>3686</v>
      </c>
      <c r="F5474" s="242"/>
      <c r="G5474"/>
      <c r="H5474" s="242">
        <v>330000</v>
      </c>
      <c r="I5474" s="242">
        <v>289000</v>
      </c>
      <c r="J5474"/>
    </row>
    <row r="5475" spans="1:10">
      <c r="A5475" t="s">
        <v>872</v>
      </c>
      <c r="B5475">
        <v>847311</v>
      </c>
      <c r="C5475">
        <v>1</v>
      </c>
      <c r="D5475" t="str">
        <f t="shared" si="85"/>
        <v>1847311.781</v>
      </c>
      <c r="E5475" t="s">
        <v>3687</v>
      </c>
      <c r="F5475" s="242"/>
      <c r="G5475"/>
      <c r="H5475" s="242">
        <v>40000</v>
      </c>
      <c r="I5475" s="242">
        <v>24355</v>
      </c>
      <c r="J5475"/>
    </row>
    <row r="5476" spans="1:10">
      <c r="A5476" t="s">
        <v>2674</v>
      </c>
      <c r="B5476">
        <v>847311</v>
      </c>
      <c r="C5476">
        <v>1</v>
      </c>
      <c r="D5476" t="str">
        <f t="shared" si="85"/>
        <v>1847311.783</v>
      </c>
      <c r="E5476" t="s">
        <v>3688</v>
      </c>
      <c r="F5476" s="242"/>
      <c r="G5476"/>
      <c r="H5476" s="242">
        <v>64000</v>
      </c>
      <c r="I5476" s="242">
        <v>64000</v>
      </c>
      <c r="J5476"/>
    </row>
    <row r="5477" spans="1:10">
      <c r="A5477" t="s">
        <v>2676</v>
      </c>
      <c r="B5477">
        <v>847311</v>
      </c>
      <c r="C5477">
        <v>1</v>
      </c>
      <c r="D5477" t="str">
        <f t="shared" si="85"/>
        <v>1847311.784</v>
      </c>
      <c r="E5477" t="s">
        <v>3689</v>
      </c>
      <c r="F5477" s="242"/>
      <c r="G5477"/>
      <c r="H5477" s="242">
        <v>80000</v>
      </c>
      <c r="I5477" s="242">
        <v>62373</v>
      </c>
      <c r="J5477"/>
    </row>
    <row r="5478" spans="1:10">
      <c r="A5478" t="s">
        <v>2403</v>
      </c>
      <c r="B5478">
        <v>847320</v>
      </c>
      <c r="C5478">
        <v>1</v>
      </c>
      <c r="D5478" t="str">
        <f t="shared" si="85"/>
        <v>1847320.110</v>
      </c>
      <c r="E5478" t="s">
        <v>3957</v>
      </c>
      <c r="F5478" s="242"/>
      <c r="G5478"/>
      <c r="H5478" s="242">
        <v>90079</v>
      </c>
      <c r="I5478" s="242">
        <v>76779</v>
      </c>
      <c r="J5478"/>
    </row>
    <row r="5479" spans="1:10">
      <c r="A5479" t="s">
        <v>2404</v>
      </c>
      <c r="B5479">
        <v>847320</v>
      </c>
      <c r="C5479">
        <v>1</v>
      </c>
      <c r="D5479" t="str">
        <f t="shared" si="85"/>
        <v>1847320.120</v>
      </c>
      <c r="E5479" t="s">
        <v>2574</v>
      </c>
      <c r="F5479" s="242"/>
      <c r="G5479"/>
      <c r="H5479" s="242">
        <v>429</v>
      </c>
      <c r="I5479" s="242">
        <v>686</v>
      </c>
      <c r="J5479"/>
    </row>
    <row r="5480" spans="1:10">
      <c r="A5480" t="s">
        <v>2575</v>
      </c>
      <c r="B5480">
        <v>847320</v>
      </c>
      <c r="C5480">
        <v>1</v>
      </c>
      <c r="D5480" t="str">
        <f t="shared" si="85"/>
        <v>1847320.130</v>
      </c>
      <c r="E5480" t="s">
        <v>2576</v>
      </c>
      <c r="F5480" s="242"/>
      <c r="G5480"/>
      <c r="H5480" s="242">
        <v>0</v>
      </c>
      <c r="I5480" s="242">
        <v>0</v>
      </c>
      <c r="J5480"/>
    </row>
    <row r="5481" spans="1:10">
      <c r="A5481" t="s">
        <v>2577</v>
      </c>
      <c r="B5481">
        <v>847320</v>
      </c>
      <c r="C5481">
        <v>1</v>
      </c>
      <c r="D5481" t="str">
        <f t="shared" si="85"/>
        <v>1847320.140</v>
      </c>
      <c r="E5481" t="s">
        <v>2578</v>
      </c>
      <c r="F5481" s="242"/>
      <c r="G5481"/>
      <c r="H5481" s="242">
        <v>3142</v>
      </c>
      <c r="I5481" s="242">
        <v>17769</v>
      </c>
      <c r="J5481"/>
    </row>
    <row r="5482" spans="1:10">
      <c r="A5482" t="s">
        <v>2579</v>
      </c>
      <c r="B5482">
        <v>847320</v>
      </c>
      <c r="C5482">
        <v>1</v>
      </c>
      <c r="D5482" t="str">
        <f t="shared" si="85"/>
        <v>1847320.181</v>
      </c>
      <c r="E5482" t="s">
        <v>2580</v>
      </c>
      <c r="F5482" s="242"/>
      <c r="G5482"/>
      <c r="H5482" s="242">
        <v>24013</v>
      </c>
      <c r="I5482" s="242">
        <v>22023</v>
      </c>
      <c r="J5482"/>
    </row>
    <row r="5483" spans="1:10">
      <c r="A5483" t="s">
        <v>2581</v>
      </c>
      <c r="B5483">
        <v>847320</v>
      </c>
      <c r="C5483">
        <v>1</v>
      </c>
      <c r="D5483" t="str">
        <f t="shared" si="85"/>
        <v>1847320.182</v>
      </c>
      <c r="E5483" t="s">
        <v>2582</v>
      </c>
      <c r="F5483" s="242"/>
      <c r="G5483"/>
      <c r="H5483" s="242">
        <v>7181</v>
      </c>
      <c r="I5483" s="242">
        <v>7303</v>
      </c>
      <c r="J5483"/>
    </row>
    <row r="5484" spans="1:10">
      <c r="A5484" t="s">
        <v>2403</v>
      </c>
      <c r="B5484">
        <v>847330</v>
      </c>
      <c r="C5484">
        <v>1</v>
      </c>
      <c r="D5484" t="str">
        <f t="shared" si="85"/>
        <v>1847330.110</v>
      </c>
      <c r="E5484" t="s">
        <v>3958</v>
      </c>
      <c r="F5484" s="242"/>
      <c r="G5484"/>
      <c r="H5484" s="242">
        <v>106890</v>
      </c>
      <c r="I5484" s="242">
        <v>114432</v>
      </c>
      <c r="J5484"/>
    </row>
    <row r="5485" spans="1:10">
      <c r="A5485" t="s">
        <v>2404</v>
      </c>
      <c r="B5485">
        <v>847330</v>
      </c>
      <c r="C5485">
        <v>1</v>
      </c>
      <c r="D5485" t="str">
        <f t="shared" si="85"/>
        <v>1847330.120</v>
      </c>
      <c r="E5485" t="s">
        <v>2574</v>
      </c>
      <c r="F5485" s="242"/>
      <c r="G5485"/>
      <c r="H5485" s="242">
        <v>4743</v>
      </c>
      <c r="I5485" s="242">
        <v>4925</v>
      </c>
      <c r="J5485"/>
    </row>
    <row r="5486" spans="1:10">
      <c r="A5486" t="s">
        <v>2577</v>
      </c>
      <c r="B5486">
        <v>847330</v>
      </c>
      <c r="C5486">
        <v>1</v>
      </c>
      <c r="D5486" t="str">
        <f t="shared" si="85"/>
        <v>1847330.140</v>
      </c>
      <c r="E5486" t="s">
        <v>2578</v>
      </c>
      <c r="F5486" s="242"/>
      <c r="G5486"/>
      <c r="H5486" s="242">
        <v>23161</v>
      </c>
      <c r="I5486" s="242">
        <v>18724</v>
      </c>
      <c r="J5486"/>
    </row>
    <row r="5487" spans="1:10">
      <c r="A5487" t="s">
        <v>2579</v>
      </c>
      <c r="B5487">
        <v>847330</v>
      </c>
      <c r="C5487">
        <v>1</v>
      </c>
      <c r="D5487" t="str">
        <f t="shared" si="85"/>
        <v>1847330.181</v>
      </c>
      <c r="E5487" t="s">
        <v>2580</v>
      </c>
      <c r="F5487" s="242"/>
      <c r="G5487"/>
      <c r="H5487" s="242">
        <v>22013</v>
      </c>
      <c r="I5487" s="242">
        <v>22355</v>
      </c>
      <c r="J5487"/>
    </row>
    <row r="5488" spans="1:10">
      <c r="A5488" t="s">
        <v>2581</v>
      </c>
      <c r="B5488">
        <v>847330</v>
      </c>
      <c r="C5488">
        <v>1</v>
      </c>
      <c r="D5488" t="str">
        <f t="shared" si="85"/>
        <v>1847330.182</v>
      </c>
      <c r="E5488" t="s">
        <v>2582</v>
      </c>
      <c r="F5488" s="242"/>
      <c r="G5488"/>
      <c r="H5488" s="242">
        <v>10398</v>
      </c>
      <c r="I5488" s="242">
        <v>10651</v>
      </c>
      <c r="J5488"/>
    </row>
    <row r="5489" spans="1:10">
      <c r="A5489" t="s">
        <v>2403</v>
      </c>
      <c r="B5489">
        <v>847340</v>
      </c>
      <c r="C5489">
        <v>1</v>
      </c>
      <c r="D5489" t="str">
        <f t="shared" si="85"/>
        <v>1847340.110</v>
      </c>
      <c r="E5489" t="s">
        <v>3959</v>
      </c>
      <c r="F5489" s="242"/>
      <c r="G5489"/>
      <c r="H5489" s="242">
        <v>779155</v>
      </c>
      <c r="I5489" s="242">
        <v>710787</v>
      </c>
      <c r="J5489"/>
    </row>
    <row r="5490" spans="1:10">
      <c r="A5490" t="s">
        <v>2404</v>
      </c>
      <c r="B5490">
        <v>847340</v>
      </c>
      <c r="C5490">
        <v>1</v>
      </c>
      <c r="D5490" t="str">
        <f t="shared" si="85"/>
        <v>1847340.120</v>
      </c>
      <c r="E5490" t="s">
        <v>2574</v>
      </c>
      <c r="F5490" s="242"/>
      <c r="G5490"/>
      <c r="H5490" s="242">
        <v>61229</v>
      </c>
      <c r="I5490" s="242">
        <v>56859</v>
      </c>
      <c r="J5490"/>
    </row>
    <row r="5491" spans="1:10">
      <c r="A5491" t="s">
        <v>2575</v>
      </c>
      <c r="B5491">
        <v>847340</v>
      </c>
      <c r="C5491">
        <v>1</v>
      </c>
      <c r="D5491" t="str">
        <f t="shared" si="85"/>
        <v>1847340.130</v>
      </c>
      <c r="E5491" t="s">
        <v>2576</v>
      </c>
      <c r="F5491" s="242"/>
      <c r="G5491"/>
      <c r="H5491" s="242">
        <v>11</v>
      </c>
      <c r="I5491" s="242">
        <v>6</v>
      </c>
      <c r="J5491"/>
    </row>
    <row r="5492" spans="1:10">
      <c r="A5492" t="s">
        <v>2577</v>
      </c>
      <c r="B5492">
        <v>847340</v>
      </c>
      <c r="C5492">
        <v>1</v>
      </c>
      <c r="D5492" t="str">
        <f t="shared" si="85"/>
        <v>1847340.140</v>
      </c>
      <c r="E5492" t="s">
        <v>2578</v>
      </c>
      <c r="F5492" s="242"/>
      <c r="G5492"/>
      <c r="H5492" s="242">
        <v>146742</v>
      </c>
      <c r="I5492" s="242">
        <v>133163</v>
      </c>
      <c r="J5492"/>
    </row>
    <row r="5493" spans="1:10">
      <c r="A5493" t="s">
        <v>2579</v>
      </c>
      <c r="B5493">
        <v>847340</v>
      </c>
      <c r="C5493">
        <v>1</v>
      </c>
      <c r="D5493" t="str">
        <f t="shared" si="85"/>
        <v>1847340.181</v>
      </c>
      <c r="E5493" t="s">
        <v>2580</v>
      </c>
      <c r="F5493" s="242"/>
      <c r="G5493"/>
      <c r="H5493" s="242">
        <v>187374</v>
      </c>
      <c r="I5493" s="242">
        <v>165881</v>
      </c>
      <c r="J5493"/>
    </row>
    <row r="5494" spans="1:10">
      <c r="A5494" t="s">
        <v>2581</v>
      </c>
      <c r="B5494">
        <v>847340</v>
      </c>
      <c r="C5494">
        <v>1</v>
      </c>
      <c r="D5494" t="str">
        <f t="shared" si="85"/>
        <v>1847340.182</v>
      </c>
      <c r="E5494" t="s">
        <v>3960</v>
      </c>
      <c r="F5494" s="242"/>
      <c r="G5494"/>
      <c r="H5494" s="242">
        <v>76049</v>
      </c>
      <c r="I5494" s="242">
        <v>69250</v>
      </c>
      <c r="J5494"/>
    </row>
    <row r="5495" spans="1:10">
      <c r="A5495" t="s">
        <v>2403</v>
      </c>
      <c r="B5495">
        <v>847350</v>
      </c>
      <c r="C5495">
        <v>1</v>
      </c>
      <c r="D5495" t="str">
        <f t="shared" si="85"/>
        <v>1847350.110</v>
      </c>
      <c r="E5495" t="s">
        <v>3954</v>
      </c>
      <c r="F5495" s="242"/>
      <c r="G5495"/>
      <c r="H5495" s="242">
        <v>0</v>
      </c>
      <c r="I5495" s="242">
        <v>0</v>
      </c>
      <c r="J5495"/>
    </row>
    <row r="5496" spans="1:10">
      <c r="A5496" t="s">
        <v>2404</v>
      </c>
      <c r="B5496">
        <v>847350</v>
      </c>
      <c r="C5496">
        <v>1</v>
      </c>
      <c r="D5496" t="str">
        <f t="shared" si="85"/>
        <v>1847350.120</v>
      </c>
      <c r="E5496" t="s">
        <v>2574</v>
      </c>
      <c r="F5496" s="242"/>
      <c r="G5496"/>
      <c r="H5496" s="242">
        <v>0</v>
      </c>
      <c r="I5496" s="242">
        <v>0</v>
      </c>
      <c r="J5496"/>
    </row>
    <row r="5497" spans="1:10">
      <c r="A5497" t="s">
        <v>2575</v>
      </c>
      <c r="B5497">
        <v>847350</v>
      </c>
      <c r="C5497">
        <v>1</v>
      </c>
      <c r="D5497" t="str">
        <f t="shared" si="85"/>
        <v>1847350.130</v>
      </c>
      <c r="E5497" t="s">
        <v>2576</v>
      </c>
      <c r="F5497" s="242"/>
      <c r="G5497"/>
      <c r="H5497" s="242">
        <v>0</v>
      </c>
      <c r="I5497" s="242">
        <v>0</v>
      </c>
      <c r="J5497"/>
    </row>
    <row r="5498" spans="1:10">
      <c r="A5498" t="s">
        <v>2577</v>
      </c>
      <c r="B5498">
        <v>847350</v>
      </c>
      <c r="C5498">
        <v>1</v>
      </c>
      <c r="D5498" t="str">
        <f t="shared" si="85"/>
        <v>1847350.140</v>
      </c>
      <c r="E5498" t="s">
        <v>2578</v>
      </c>
      <c r="F5498" s="242"/>
      <c r="G5498"/>
      <c r="H5498" s="242">
        <v>0</v>
      </c>
      <c r="I5498" s="242">
        <v>0</v>
      </c>
      <c r="J5498"/>
    </row>
    <row r="5499" spans="1:10">
      <c r="A5499" t="s">
        <v>2579</v>
      </c>
      <c r="B5499">
        <v>847350</v>
      </c>
      <c r="C5499">
        <v>1</v>
      </c>
      <c r="D5499" t="str">
        <f t="shared" si="85"/>
        <v>1847350.181</v>
      </c>
      <c r="E5499" t="s">
        <v>2580</v>
      </c>
      <c r="F5499" s="242"/>
      <c r="G5499"/>
      <c r="H5499" s="242">
        <v>0</v>
      </c>
      <c r="I5499" s="242">
        <v>0</v>
      </c>
      <c r="J5499"/>
    </row>
    <row r="5500" spans="1:10">
      <c r="A5500" t="s">
        <v>2581</v>
      </c>
      <c r="B5500">
        <v>847350</v>
      </c>
      <c r="C5500">
        <v>1</v>
      </c>
      <c r="D5500" t="str">
        <f t="shared" si="85"/>
        <v>1847350.182</v>
      </c>
      <c r="E5500" t="s">
        <v>2582</v>
      </c>
      <c r="F5500" s="242"/>
      <c r="G5500"/>
      <c r="H5500" s="242">
        <v>0</v>
      </c>
      <c r="I5500" s="242">
        <v>0</v>
      </c>
      <c r="J5500"/>
    </row>
    <row r="5501" spans="1:10">
      <c r="A5501" t="s">
        <v>1663</v>
      </c>
      <c r="B5501">
        <v>847350</v>
      </c>
      <c r="C5501">
        <v>1</v>
      </c>
      <c r="D5501" t="str">
        <f t="shared" si="85"/>
        <v>1847350.431</v>
      </c>
      <c r="E5501" t="s">
        <v>2654</v>
      </c>
      <c r="F5501" s="242"/>
      <c r="G5501"/>
      <c r="H5501" s="242">
        <v>0</v>
      </c>
      <c r="I5501" s="242">
        <v>0</v>
      </c>
      <c r="J5501"/>
    </row>
    <row r="5502" spans="1:10">
      <c r="A5502" t="s">
        <v>1668</v>
      </c>
      <c r="B5502">
        <v>847350</v>
      </c>
      <c r="C5502">
        <v>1</v>
      </c>
      <c r="D5502" t="str">
        <f t="shared" si="85"/>
        <v>1847350.432</v>
      </c>
      <c r="E5502" t="s">
        <v>2687</v>
      </c>
      <c r="F5502" s="242"/>
      <c r="G5502"/>
      <c r="H5502" s="242">
        <v>0</v>
      </c>
      <c r="I5502" s="242">
        <v>0</v>
      </c>
      <c r="J5502"/>
    </row>
    <row r="5503" spans="1:10">
      <c r="A5503" t="s">
        <v>1678</v>
      </c>
      <c r="B5503">
        <v>847350</v>
      </c>
      <c r="C5503">
        <v>1</v>
      </c>
      <c r="D5503" t="str">
        <f t="shared" si="85"/>
        <v>1847350.434</v>
      </c>
      <c r="E5503" t="s">
        <v>2656</v>
      </c>
      <c r="F5503" s="242"/>
      <c r="G5503"/>
      <c r="H5503" s="242">
        <v>0</v>
      </c>
      <c r="I5503" s="242">
        <v>0</v>
      </c>
      <c r="J5503"/>
    </row>
    <row r="5504" spans="1:10">
      <c r="A5504" t="s">
        <v>2606</v>
      </c>
      <c r="B5504">
        <v>847350</v>
      </c>
      <c r="C5504">
        <v>1</v>
      </c>
      <c r="D5504" t="str">
        <f t="shared" si="85"/>
        <v>1847350.440</v>
      </c>
      <c r="E5504" t="s">
        <v>3971</v>
      </c>
      <c r="F5504" s="242"/>
      <c r="G5504"/>
      <c r="H5504" s="242">
        <v>0</v>
      </c>
      <c r="I5504" s="242">
        <v>0</v>
      </c>
      <c r="J5504"/>
    </row>
    <row r="5505" spans="1:10">
      <c r="A5505" t="s">
        <v>2594</v>
      </c>
      <c r="B5505">
        <v>847350</v>
      </c>
      <c r="C5505">
        <v>1</v>
      </c>
      <c r="D5505" t="str">
        <f t="shared" si="85"/>
        <v>1847350.540</v>
      </c>
      <c r="E5505" t="s">
        <v>2595</v>
      </c>
      <c r="F5505" s="242"/>
      <c r="G5505"/>
      <c r="H5505" s="242">
        <v>0</v>
      </c>
      <c r="I5505" s="242">
        <v>0</v>
      </c>
      <c r="J5505"/>
    </row>
    <row r="5506" spans="1:10">
      <c r="A5506" t="s">
        <v>673</v>
      </c>
      <c r="B5506">
        <v>847350</v>
      </c>
      <c r="C5506">
        <v>1</v>
      </c>
      <c r="D5506" t="str">
        <f t="shared" si="85"/>
        <v>1847350.743</v>
      </c>
      <c r="E5506" t="s">
        <v>2622</v>
      </c>
      <c r="F5506" s="242"/>
      <c r="G5506"/>
      <c r="H5506" s="242">
        <v>0</v>
      </c>
      <c r="I5506" s="242">
        <v>0</v>
      </c>
      <c r="J5506"/>
    </row>
    <row r="5507" spans="1:10">
      <c r="A5507" t="s">
        <v>2632</v>
      </c>
      <c r="B5507">
        <v>847350</v>
      </c>
      <c r="C5507">
        <v>1</v>
      </c>
      <c r="D5507" t="str">
        <f t="shared" ref="D5507:D5570" si="86">C5507&amp;B5507&amp;"."&amp;A5507</f>
        <v>1847350.780</v>
      </c>
      <c r="E5507" t="s">
        <v>3972</v>
      </c>
      <c r="F5507" s="242"/>
      <c r="G5507"/>
      <c r="H5507" s="242">
        <v>0</v>
      </c>
      <c r="I5507" s="242">
        <v>0</v>
      </c>
      <c r="J5507"/>
    </row>
    <row r="5508" spans="1:10">
      <c r="A5508" t="s">
        <v>2674</v>
      </c>
      <c r="B5508">
        <v>847350</v>
      </c>
      <c r="C5508">
        <v>1</v>
      </c>
      <c r="D5508" t="str">
        <f t="shared" si="86"/>
        <v>1847350.783</v>
      </c>
      <c r="E5508" t="s">
        <v>3956</v>
      </c>
      <c r="F5508" s="242"/>
      <c r="G5508"/>
      <c r="H5508" s="242">
        <v>0</v>
      </c>
      <c r="I5508" s="242">
        <v>0</v>
      </c>
      <c r="J5508"/>
    </row>
    <row r="5509" spans="1:10">
      <c r="A5509" t="s">
        <v>3829</v>
      </c>
      <c r="B5509">
        <v>847350</v>
      </c>
      <c r="C5509">
        <v>1</v>
      </c>
      <c r="D5509" t="str">
        <f t="shared" si="86"/>
        <v>1847350.840</v>
      </c>
      <c r="E5509" t="s">
        <v>3962</v>
      </c>
      <c r="F5509" s="242"/>
      <c r="G5509"/>
      <c r="H5509" s="242">
        <v>0</v>
      </c>
      <c r="I5509" s="242">
        <v>0</v>
      </c>
      <c r="J5509"/>
    </row>
    <row r="5510" spans="1:10">
      <c r="A5510" t="s">
        <v>1363</v>
      </c>
      <c r="B5510">
        <v>847350</v>
      </c>
      <c r="C5510">
        <v>1</v>
      </c>
      <c r="D5510" t="str">
        <f t="shared" si="86"/>
        <v>1847350.841</v>
      </c>
      <c r="E5510" t="s">
        <v>3963</v>
      </c>
      <c r="F5510" s="242"/>
      <c r="G5510"/>
      <c r="H5510" s="242">
        <v>0</v>
      </c>
      <c r="I5510" s="242">
        <v>0</v>
      </c>
      <c r="J5510"/>
    </row>
    <row r="5511" spans="1:10">
      <c r="A5511" t="s">
        <v>1367</v>
      </c>
      <c r="B5511">
        <v>847350</v>
      </c>
      <c r="C5511">
        <v>1</v>
      </c>
      <c r="D5511" t="str">
        <f t="shared" si="86"/>
        <v>1847350.842</v>
      </c>
      <c r="E5511" t="s">
        <v>3964</v>
      </c>
      <c r="F5511" s="242"/>
      <c r="G5511"/>
      <c r="H5511" s="242">
        <v>0</v>
      </c>
      <c r="I5511" s="242">
        <v>0</v>
      </c>
      <c r="J5511"/>
    </row>
    <row r="5512" spans="1:10">
      <c r="A5512" t="s">
        <v>1386</v>
      </c>
      <c r="B5512">
        <v>847350</v>
      </c>
      <c r="C5512">
        <v>1</v>
      </c>
      <c r="D5512" t="str">
        <f t="shared" si="86"/>
        <v>1847350.843</v>
      </c>
      <c r="E5512" t="s">
        <v>3965</v>
      </c>
      <c r="F5512" s="242"/>
      <c r="G5512"/>
      <c r="H5512" s="242">
        <v>0</v>
      </c>
      <c r="I5512" s="242">
        <v>0</v>
      </c>
      <c r="J5512"/>
    </row>
    <row r="5513" spans="1:10">
      <c r="A5513" t="s">
        <v>1406</v>
      </c>
      <c r="B5513">
        <v>847350</v>
      </c>
      <c r="C5513">
        <v>1</v>
      </c>
      <c r="D5513" t="str">
        <f t="shared" si="86"/>
        <v>1847350.844</v>
      </c>
      <c r="E5513" t="s">
        <v>3966</v>
      </c>
      <c r="F5513" s="242"/>
      <c r="G5513"/>
      <c r="H5513" s="242">
        <v>0</v>
      </c>
      <c r="I5513" s="242">
        <v>0</v>
      </c>
      <c r="J5513"/>
    </row>
    <row r="5514" spans="1:10">
      <c r="A5514" t="s">
        <v>1426</v>
      </c>
      <c r="B5514">
        <v>847350</v>
      </c>
      <c r="C5514">
        <v>1</v>
      </c>
      <c r="D5514" t="str">
        <f t="shared" si="86"/>
        <v>1847350.845</v>
      </c>
      <c r="E5514" t="s">
        <v>3967</v>
      </c>
      <c r="F5514" s="242"/>
      <c r="G5514"/>
      <c r="H5514" s="242">
        <v>0</v>
      </c>
      <c r="I5514" s="242">
        <v>0</v>
      </c>
      <c r="J5514"/>
    </row>
    <row r="5515" spans="1:10">
      <c r="A5515" t="s">
        <v>2403</v>
      </c>
      <c r="B5515">
        <v>847351</v>
      </c>
      <c r="C5515">
        <v>1</v>
      </c>
      <c r="D5515" t="str">
        <f t="shared" si="86"/>
        <v>1847351.110</v>
      </c>
      <c r="E5515" t="s">
        <v>3957</v>
      </c>
      <c r="F5515" s="242"/>
      <c r="G5515"/>
      <c r="H5515" s="242">
        <v>0</v>
      </c>
      <c r="I5515" s="242">
        <v>0</v>
      </c>
      <c r="J5515"/>
    </row>
    <row r="5516" spans="1:10">
      <c r="A5516" t="s">
        <v>2404</v>
      </c>
      <c r="B5516">
        <v>847351</v>
      </c>
      <c r="C5516">
        <v>1</v>
      </c>
      <c r="D5516" t="str">
        <f t="shared" si="86"/>
        <v>1847351.120</v>
      </c>
      <c r="E5516" t="s">
        <v>2574</v>
      </c>
      <c r="F5516" s="242"/>
      <c r="G5516"/>
      <c r="H5516" s="242">
        <v>0</v>
      </c>
      <c r="I5516" s="242">
        <v>0</v>
      </c>
      <c r="J5516"/>
    </row>
    <row r="5517" spans="1:10">
      <c r="A5517" t="s">
        <v>2575</v>
      </c>
      <c r="B5517">
        <v>847351</v>
      </c>
      <c r="C5517">
        <v>1</v>
      </c>
      <c r="D5517" t="str">
        <f t="shared" si="86"/>
        <v>1847351.130</v>
      </c>
      <c r="E5517" t="s">
        <v>2576</v>
      </c>
      <c r="F5517" s="242"/>
      <c r="G5517"/>
      <c r="H5517" s="242">
        <v>0</v>
      </c>
      <c r="I5517" s="242">
        <v>0</v>
      </c>
      <c r="J5517"/>
    </row>
    <row r="5518" spans="1:10">
      <c r="A5518" t="s">
        <v>2577</v>
      </c>
      <c r="B5518">
        <v>847351</v>
      </c>
      <c r="C5518">
        <v>1</v>
      </c>
      <c r="D5518" t="str">
        <f t="shared" si="86"/>
        <v>1847351.140</v>
      </c>
      <c r="E5518" t="s">
        <v>2578</v>
      </c>
      <c r="F5518" s="242"/>
      <c r="G5518"/>
      <c r="H5518" s="242">
        <v>0</v>
      </c>
      <c r="I5518" s="242">
        <v>0</v>
      </c>
      <c r="J5518"/>
    </row>
    <row r="5519" spans="1:10">
      <c r="A5519" t="s">
        <v>2579</v>
      </c>
      <c r="B5519">
        <v>847351</v>
      </c>
      <c r="C5519">
        <v>1</v>
      </c>
      <c r="D5519" t="str">
        <f t="shared" si="86"/>
        <v>1847351.181</v>
      </c>
      <c r="E5519" t="s">
        <v>2580</v>
      </c>
      <c r="F5519" s="242"/>
      <c r="G5519"/>
      <c r="H5519" s="242">
        <v>0</v>
      </c>
      <c r="I5519" s="242">
        <v>0</v>
      </c>
      <c r="J5519"/>
    </row>
    <row r="5520" spans="1:10">
      <c r="A5520" t="s">
        <v>2581</v>
      </c>
      <c r="B5520">
        <v>847351</v>
      </c>
      <c r="C5520">
        <v>1</v>
      </c>
      <c r="D5520" t="str">
        <f t="shared" si="86"/>
        <v>1847351.182</v>
      </c>
      <c r="E5520" t="s">
        <v>2582</v>
      </c>
      <c r="F5520" s="242"/>
      <c r="G5520"/>
      <c r="H5520" s="242">
        <v>0</v>
      </c>
      <c r="I5520" s="242">
        <v>0</v>
      </c>
      <c r="J5520"/>
    </row>
    <row r="5521" spans="1:10">
      <c r="A5521" t="s">
        <v>2403</v>
      </c>
      <c r="B5521">
        <v>847352</v>
      </c>
      <c r="C5521">
        <v>1</v>
      </c>
      <c r="D5521" t="str">
        <f t="shared" si="86"/>
        <v>1847352.110</v>
      </c>
      <c r="E5521" t="s">
        <v>3958</v>
      </c>
      <c r="F5521" s="242"/>
      <c r="G5521"/>
      <c r="H5521" s="242">
        <v>0</v>
      </c>
      <c r="I5521" s="242">
        <v>0</v>
      </c>
      <c r="J5521"/>
    </row>
    <row r="5522" spans="1:10">
      <c r="A5522" t="s">
        <v>2404</v>
      </c>
      <c r="B5522">
        <v>847352</v>
      </c>
      <c r="C5522">
        <v>1</v>
      </c>
      <c r="D5522" t="str">
        <f t="shared" si="86"/>
        <v>1847352.120</v>
      </c>
      <c r="E5522" t="s">
        <v>2574</v>
      </c>
      <c r="F5522" s="242"/>
      <c r="G5522"/>
      <c r="H5522" s="242">
        <v>0</v>
      </c>
      <c r="I5522" s="242">
        <v>0</v>
      </c>
      <c r="J5522"/>
    </row>
    <row r="5523" spans="1:10">
      <c r="A5523" t="s">
        <v>2575</v>
      </c>
      <c r="B5523">
        <v>847352</v>
      </c>
      <c r="C5523">
        <v>1</v>
      </c>
      <c r="D5523" t="str">
        <f t="shared" si="86"/>
        <v>1847352.130</v>
      </c>
      <c r="E5523" t="s">
        <v>2576</v>
      </c>
      <c r="F5523" s="242"/>
      <c r="G5523"/>
      <c r="H5523" s="242">
        <v>0</v>
      </c>
      <c r="I5523" s="242">
        <v>0</v>
      </c>
      <c r="J5523"/>
    </row>
    <row r="5524" spans="1:10">
      <c r="A5524" t="s">
        <v>2577</v>
      </c>
      <c r="B5524">
        <v>847352</v>
      </c>
      <c r="C5524">
        <v>1</v>
      </c>
      <c r="D5524" t="str">
        <f t="shared" si="86"/>
        <v>1847352.140</v>
      </c>
      <c r="E5524" t="s">
        <v>2578</v>
      </c>
      <c r="F5524" s="242"/>
      <c r="G5524"/>
      <c r="H5524" s="242">
        <v>0</v>
      </c>
      <c r="I5524" s="242">
        <v>0</v>
      </c>
      <c r="J5524"/>
    </row>
    <row r="5525" spans="1:10">
      <c r="A5525" t="s">
        <v>2579</v>
      </c>
      <c r="B5525">
        <v>847352</v>
      </c>
      <c r="C5525">
        <v>1</v>
      </c>
      <c r="D5525" t="str">
        <f t="shared" si="86"/>
        <v>1847352.181</v>
      </c>
      <c r="E5525" t="s">
        <v>2580</v>
      </c>
      <c r="F5525" s="242"/>
      <c r="G5525"/>
      <c r="H5525" s="242">
        <v>0</v>
      </c>
      <c r="I5525" s="242">
        <v>0</v>
      </c>
      <c r="J5525"/>
    </row>
    <row r="5526" spans="1:10">
      <c r="A5526" t="s">
        <v>2581</v>
      </c>
      <c r="B5526">
        <v>847352</v>
      </c>
      <c r="C5526">
        <v>1</v>
      </c>
      <c r="D5526" t="str">
        <f t="shared" si="86"/>
        <v>1847352.182</v>
      </c>
      <c r="E5526" t="s">
        <v>2582</v>
      </c>
      <c r="F5526" s="242"/>
      <c r="G5526"/>
      <c r="H5526" s="242">
        <v>0</v>
      </c>
      <c r="I5526" s="242">
        <v>0</v>
      </c>
      <c r="J5526"/>
    </row>
    <row r="5527" spans="1:10">
      <c r="A5527" t="s">
        <v>2403</v>
      </c>
      <c r="B5527">
        <v>847353</v>
      </c>
      <c r="C5527">
        <v>1</v>
      </c>
      <c r="D5527" t="str">
        <f t="shared" si="86"/>
        <v>1847353.110</v>
      </c>
      <c r="E5527" t="s">
        <v>3973</v>
      </c>
      <c r="F5527" s="242"/>
      <c r="G5527"/>
      <c r="H5527" s="242">
        <v>0</v>
      </c>
      <c r="I5527" s="242">
        <v>0</v>
      </c>
      <c r="J5527"/>
    </row>
    <row r="5528" spans="1:10">
      <c r="A5528" t="s">
        <v>2404</v>
      </c>
      <c r="B5528">
        <v>847353</v>
      </c>
      <c r="C5528">
        <v>1</v>
      </c>
      <c r="D5528" t="str">
        <f t="shared" si="86"/>
        <v>1847353.120</v>
      </c>
      <c r="E5528" t="s">
        <v>2574</v>
      </c>
      <c r="F5528" s="242"/>
      <c r="G5528"/>
      <c r="H5528" s="242">
        <v>0</v>
      </c>
      <c r="I5528" s="242">
        <v>0</v>
      </c>
      <c r="J5528"/>
    </row>
    <row r="5529" spans="1:10">
      <c r="A5529" t="s">
        <v>2575</v>
      </c>
      <c r="B5529">
        <v>847353</v>
      </c>
      <c r="C5529">
        <v>1</v>
      </c>
      <c r="D5529" t="str">
        <f t="shared" si="86"/>
        <v>1847353.130</v>
      </c>
      <c r="E5529" t="s">
        <v>2576</v>
      </c>
      <c r="F5529" s="242"/>
      <c r="G5529"/>
      <c r="H5529" s="242">
        <v>0</v>
      </c>
      <c r="I5529" s="242">
        <v>0</v>
      </c>
      <c r="J5529"/>
    </row>
    <row r="5530" spans="1:10">
      <c r="A5530" t="s">
        <v>2577</v>
      </c>
      <c r="B5530">
        <v>847353</v>
      </c>
      <c r="C5530">
        <v>1</v>
      </c>
      <c r="D5530" t="str">
        <f t="shared" si="86"/>
        <v>1847353.140</v>
      </c>
      <c r="E5530" t="s">
        <v>2578</v>
      </c>
      <c r="F5530" s="242"/>
      <c r="G5530"/>
      <c r="H5530" s="242">
        <v>0</v>
      </c>
      <c r="I5530" s="242">
        <v>0</v>
      </c>
      <c r="J5530"/>
    </row>
    <row r="5531" spans="1:10">
      <c r="A5531" t="s">
        <v>2579</v>
      </c>
      <c r="B5531">
        <v>847353</v>
      </c>
      <c r="C5531">
        <v>1</v>
      </c>
      <c r="D5531" t="str">
        <f t="shared" si="86"/>
        <v>1847353.181</v>
      </c>
      <c r="E5531" t="s">
        <v>2580</v>
      </c>
      <c r="F5531" s="242"/>
      <c r="G5531"/>
      <c r="H5531" s="242">
        <v>0</v>
      </c>
      <c r="I5531" s="242">
        <v>0</v>
      </c>
      <c r="J5531"/>
    </row>
    <row r="5532" spans="1:10">
      <c r="A5532" t="s">
        <v>2581</v>
      </c>
      <c r="B5532">
        <v>847353</v>
      </c>
      <c r="C5532">
        <v>1</v>
      </c>
      <c r="D5532" t="str">
        <f t="shared" si="86"/>
        <v>1847353.182</v>
      </c>
      <c r="E5532" t="s">
        <v>2582</v>
      </c>
      <c r="F5532" s="242"/>
      <c r="G5532"/>
      <c r="H5532" s="242">
        <v>0</v>
      </c>
      <c r="I5532" s="242">
        <v>0</v>
      </c>
      <c r="J5532"/>
    </row>
    <row r="5533" spans="1:10">
      <c r="A5533" t="s">
        <v>3829</v>
      </c>
      <c r="B5533">
        <v>847400</v>
      </c>
      <c r="C5533">
        <v>1</v>
      </c>
      <c r="D5533" t="str">
        <f t="shared" si="86"/>
        <v>1847400.840</v>
      </c>
      <c r="E5533" t="s">
        <v>4091</v>
      </c>
      <c r="F5533" s="242"/>
      <c r="G5533"/>
      <c r="H5533" s="242">
        <v>0</v>
      </c>
      <c r="I5533" s="242">
        <v>0</v>
      </c>
      <c r="J5533"/>
    </row>
    <row r="5534" spans="1:10">
      <c r="A5534" t="s">
        <v>1363</v>
      </c>
      <c r="B5534">
        <v>847400</v>
      </c>
      <c r="C5534">
        <v>1</v>
      </c>
      <c r="D5534" t="str">
        <f t="shared" si="86"/>
        <v>1847400.841</v>
      </c>
      <c r="E5534" t="s">
        <v>4097</v>
      </c>
      <c r="F5534" s="242"/>
      <c r="G5534"/>
      <c r="H5534" s="242">
        <v>60676</v>
      </c>
      <c r="I5534" s="242">
        <v>187756</v>
      </c>
      <c r="J5534"/>
    </row>
    <row r="5535" spans="1:10">
      <c r="A5535" t="s">
        <v>1367</v>
      </c>
      <c r="B5535">
        <v>847400</v>
      </c>
      <c r="C5535">
        <v>1</v>
      </c>
      <c r="D5535" t="str">
        <f t="shared" si="86"/>
        <v>1847400.842</v>
      </c>
      <c r="E5535" t="s">
        <v>4093</v>
      </c>
      <c r="F5535" s="242"/>
      <c r="G5535"/>
      <c r="H5535" s="242">
        <v>40000</v>
      </c>
      <c r="I5535" s="242">
        <v>14963</v>
      </c>
      <c r="J5535"/>
    </row>
    <row r="5536" spans="1:10">
      <c r="A5536" t="s">
        <v>1386</v>
      </c>
      <c r="B5536">
        <v>847400</v>
      </c>
      <c r="C5536">
        <v>1</v>
      </c>
      <c r="D5536" t="str">
        <f t="shared" si="86"/>
        <v>1847400.843</v>
      </c>
      <c r="E5536" t="s">
        <v>4094</v>
      </c>
      <c r="F5536" s="242"/>
      <c r="G5536"/>
      <c r="H5536" s="242">
        <v>1019345</v>
      </c>
      <c r="I5536" s="242">
        <v>829391</v>
      </c>
      <c r="J5536"/>
    </row>
    <row r="5537" spans="1:10">
      <c r="A5537" t="s">
        <v>1176</v>
      </c>
      <c r="B5537">
        <v>847500</v>
      </c>
      <c r="C5537">
        <v>1</v>
      </c>
      <c r="D5537" t="str">
        <f t="shared" si="86"/>
        <v>1847500.821</v>
      </c>
      <c r="E5537" t="s">
        <v>4398</v>
      </c>
      <c r="F5537" s="242"/>
      <c r="G5537"/>
      <c r="H5537" s="242">
        <v>0</v>
      </c>
      <c r="I5537" s="242">
        <v>0</v>
      </c>
      <c r="J5537"/>
    </row>
    <row r="5538" spans="1:10">
      <c r="A5538" t="s">
        <v>2684</v>
      </c>
      <c r="B5538">
        <v>848000</v>
      </c>
      <c r="C5538">
        <v>1</v>
      </c>
      <c r="D5538" t="str">
        <f t="shared" si="86"/>
        <v>1848000.421</v>
      </c>
      <c r="E5538" t="s">
        <v>2793</v>
      </c>
      <c r="F5538" s="242"/>
      <c r="G5538"/>
      <c r="H5538" s="242">
        <v>6200</v>
      </c>
      <c r="I5538" s="242">
        <v>0</v>
      </c>
      <c r="J5538"/>
    </row>
    <row r="5539" spans="1:10">
      <c r="A5539" t="s">
        <v>2600</v>
      </c>
      <c r="B5539">
        <v>848000</v>
      </c>
      <c r="C5539">
        <v>1</v>
      </c>
      <c r="D5539" t="str">
        <f t="shared" si="86"/>
        <v>1848000.580</v>
      </c>
      <c r="E5539" t="s">
        <v>2601</v>
      </c>
      <c r="F5539" s="242"/>
      <c r="G5539"/>
      <c r="H5539" s="242">
        <v>4000</v>
      </c>
      <c r="I5539" s="242">
        <v>2320</v>
      </c>
      <c r="J5539"/>
    </row>
    <row r="5540" spans="1:10">
      <c r="A5540" t="s">
        <v>673</v>
      </c>
      <c r="B5540">
        <v>848000</v>
      </c>
      <c r="C5540">
        <v>1</v>
      </c>
      <c r="D5540" t="str">
        <f t="shared" si="86"/>
        <v>1848000.743</v>
      </c>
      <c r="E5540" t="s">
        <v>2622</v>
      </c>
      <c r="F5540" s="242"/>
      <c r="G5540"/>
      <c r="H5540" s="242">
        <v>3000</v>
      </c>
      <c r="I5540" s="242">
        <v>696</v>
      </c>
      <c r="J5540"/>
    </row>
    <row r="5541" spans="1:10">
      <c r="A5541" t="s">
        <v>2632</v>
      </c>
      <c r="B5541">
        <v>848000</v>
      </c>
      <c r="C5541">
        <v>1</v>
      </c>
      <c r="D5541" t="str">
        <f t="shared" si="86"/>
        <v>1848000.780</v>
      </c>
      <c r="E5541" t="s">
        <v>4123</v>
      </c>
      <c r="F5541" s="242"/>
      <c r="G5541"/>
      <c r="H5541" s="242">
        <v>190000</v>
      </c>
      <c r="I5541" s="242">
        <v>135469</v>
      </c>
      <c r="J5541"/>
    </row>
    <row r="5542" spans="1:10">
      <c r="A5542" t="s">
        <v>872</v>
      </c>
      <c r="B5542">
        <v>848000</v>
      </c>
      <c r="C5542">
        <v>1</v>
      </c>
      <c r="D5542" t="str">
        <f t="shared" si="86"/>
        <v>1848000.781</v>
      </c>
      <c r="E5542" t="s">
        <v>4124</v>
      </c>
      <c r="F5542" s="242"/>
      <c r="G5542"/>
      <c r="H5542" s="242">
        <v>50000</v>
      </c>
      <c r="I5542" s="242">
        <v>49938</v>
      </c>
      <c r="J5542"/>
    </row>
    <row r="5543" spans="1:10">
      <c r="A5543" t="s">
        <v>877</v>
      </c>
      <c r="B5543">
        <v>848000</v>
      </c>
      <c r="C5543">
        <v>1</v>
      </c>
      <c r="D5543" t="str">
        <f t="shared" si="86"/>
        <v>1848000.782</v>
      </c>
      <c r="E5543" t="s">
        <v>4125</v>
      </c>
      <c r="F5543" s="242"/>
      <c r="G5543"/>
      <c r="H5543" s="242">
        <v>60000</v>
      </c>
      <c r="I5543" s="242">
        <v>60399</v>
      </c>
      <c r="J5543"/>
    </row>
    <row r="5544" spans="1:10">
      <c r="A5544" t="s">
        <v>2674</v>
      </c>
      <c r="B5544">
        <v>848000</v>
      </c>
      <c r="C5544">
        <v>1</v>
      </c>
      <c r="D5544" t="str">
        <f t="shared" si="86"/>
        <v>1848000.783</v>
      </c>
      <c r="E5544" t="s">
        <v>4126</v>
      </c>
      <c r="F5544" s="242"/>
      <c r="G5544"/>
      <c r="H5544" s="242">
        <v>70000</v>
      </c>
      <c r="I5544" s="242">
        <v>0</v>
      </c>
      <c r="J5544"/>
    </row>
    <row r="5545" spans="1:10">
      <c r="A5545" t="s">
        <v>2676</v>
      </c>
      <c r="B5545">
        <v>848000</v>
      </c>
      <c r="C5545">
        <v>1</v>
      </c>
      <c r="D5545" t="str">
        <f t="shared" si="86"/>
        <v>1848000.784</v>
      </c>
      <c r="E5545" t="s">
        <v>4127</v>
      </c>
      <c r="F5545" s="242"/>
      <c r="G5545"/>
      <c r="H5545" s="242">
        <v>50000</v>
      </c>
      <c r="I5545" s="242">
        <v>40014</v>
      </c>
      <c r="J5545"/>
    </row>
    <row r="5546" spans="1:10">
      <c r="A5546" t="s">
        <v>2750</v>
      </c>
      <c r="B5546">
        <v>848000</v>
      </c>
      <c r="C5546">
        <v>1</v>
      </c>
      <c r="D5546" t="str">
        <f t="shared" si="86"/>
        <v>1848000.785</v>
      </c>
      <c r="E5546" t="s">
        <v>4128</v>
      </c>
      <c r="F5546" s="242"/>
      <c r="G5546"/>
      <c r="H5546" s="242">
        <v>50000</v>
      </c>
      <c r="I5546" s="242">
        <v>9500</v>
      </c>
      <c r="J5546"/>
    </row>
    <row r="5547" spans="1:10">
      <c r="A5547" t="s">
        <v>2850</v>
      </c>
      <c r="B5547">
        <v>848000</v>
      </c>
      <c r="C5547">
        <v>1</v>
      </c>
      <c r="D5547" t="str">
        <f t="shared" si="86"/>
        <v>1848000.786</v>
      </c>
      <c r="E5547" t="s">
        <v>4129</v>
      </c>
      <c r="F5547" s="242"/>
      <c r="G5547"/>
      <c r="H5547" s="242">
        <v>40000</v>
      </c>
      <c r="I5547" s="242">
        <v>38443</v>
      </c>
      <c r="J5547"/>
    </row>
    <row r="5548" spans="1:10">
      <c r="A5548" t="s">
        <v>3030</v>
      </c>
      <c r="B5548">
        <v>848000</v>
      </c>
      <c r="C5548">
        <v>1</v>
      </c>
      <c r="D5548" t="str">
        <f t="shared" si="86"/>
        <v>1848000.787</v>
      </c>
      <c r="E5548" t="s">
        <v>4130</v>
      </c>
      <c r="F5548" s="242"/>
      <c r="G5548"/>
      <c r="H5548" s="242">
        <v>35000</v>
      </c>
      <c r="I5548" s="242">
        <v>0</v>
      </c>
      <c r="J5548"/>
    </row>
    <row r="5549" spans="1:10">
      <c r="A5549" t="s">
        <v>2841</v>
      </c>
      <c r="B5549">
        <v>848000</v>
      </c>
      <c r="C5549">
        <v>1</v>
      </c>
      <c r="D5549" t="str">
        <f t="shared" si="86"/>
        <v>1848000.788</v>
      </c>
      <c r="E5549" t="s">
        <v>4131</v>
      </c>
      <c r="F5549" s="242"/>
      <c r="G5549"/>
      <c r="H5549" s="242">
        <v>0</v>
      </c>
      <c r="I5549" s="242">
        <v>0</v>
      </c>
      <c r="J5549"/>
    </row>
    <row r="5550" spans="1:10">
      <c r="A5550" t="s">
        <v>2632</v>
      </c>
      <c r="B5550">
        <v>848001</v>
      </c>
      <c r="C5550">
        <v>1</v>
      </c>
      <c r="D5550" t="str">
        <f t="shared" si="86"/>
        <v>1848001.780</v>
      </c>
      <c r="E5550" t="s">
        <v>4132</v>
      </c>
      <c r="F5550" s="242"/>
      <c r="G5550"/>
      <c r="H5550" s="242">
        <v>0</v>
      </c>
      <c r="I5550" s="242">
        <v>59000</v>
      </c>
      <c r="J5550"/>
    </row>
    <row r="5551" spans="1:10">
      <c r="A5551" t="s">
        <v>872</v>
      </c>
      <c r="B5551">
        <v>848001</v>
      </c>
      <c r="C5551">
        <v>1</v>
      </c>
      <c r="D5551" t="str">
        <f t="shared" si="86"/>
        <v>1848001.781</v>
      </c>
      <c r="E5551" t="s">
        <v>4133</v>
      </c>
      <c r="F5551" s="242"/>
      <c r="G5551"/>
      <c r="H5551" s="242">
        <v>0</v>
      </c>
      <c r="I5551" s="242">
        <v>97847</v>
      </c>
      <c r="J5551"/>
    </row>
    <row r="5552" spans="1:10">
      <c r="A5552" t="s">
        <v>877</v>
      </c>
      <c r="B5552">
        <v>848001</v>
      </c>
      <c r="C5552">
        <v>1</v>
      </c>
      <c r="D5552" t="str">
        <f t="shared" si="86"/>
        <v>1848001.782</v>
      </c>
      <c r="E5552" t="s">
        <v>4134</v>
      </c>
      <c r="F5552" s="242"/>
      <c r="G5552"/>
      <c r="H5552" s="242">
        <v>68000</v>
      </c>
      <c r="I5552" s="242">
        <v>68000</v>
      </c>
      <c r="J5552"/>
    </row>
    <row r="5553" spans="1:10">
      <c r="A5553" t="s">
        <v>2674</v>
      </c>
      <c r="B5553">
        <v>848001</v>
      </c>
      <c r="C5553">
        <v>1</v>
      </c>
      <c r="D5553" t="str">
        <f t="shared" si="86"/>
        <v>1848001.783</v>
      </c>
      <c r="E5553" t="s">
        <v>4135</v>
      </c>
      <c r="F5553" s="242"/>
      <c r="G5553"/>
      <c r="H5553" s="242">
        <v>28800</v>
      </c>
      <c r="I5553" s="242">
        <v>28800</v>
      </c>
      <c r="J5553"/>
    </row>
    <row r="5554" spans="1:10">
      <c r="A5554" t="s">
        <v>2676</v>
      </c>
      <c r="B5554">
        <v>848001</v>
      </c>
      <c r="C5554">
        <v>1</v>
      </c>
      <c r="D5554" t="str">
        <f t="shared" si="86"/>
        <v>1848001.784</v>
      </c>
      <c r="E5554" t="s">
        <v>4136</v>
      </c>
      <c r="F5554" s="242"/>
      <c r="G5554"/>
      <c r="H5554" s="242">
        <v>80000</v>
      </c>
      <c r="I5554" s="242">
        <v>100000</v>
      </c>
      <c r="J5554"/>
    </row>
    <row r="5555" spans="1:10">
      <c r="A5555" t="s">
        <v>2750</v>
      </c>
      <c r="B5555">
        <v>848001</v>
      </c>
      <c r="C5555">
        <v>1</v>
      </c>
      <c r="D5555" t="str">
        <f t="shared" si="86"/>
        <v>1848001.785</v>
      </c>
      <c r="E5555" t="s">
        <v>4137</v>
      </c>
      <c r="F5555" s="242"/>
      <c r="G5555"/>
      <c r="H5555" s="242">
        <v>60000</v>
      </c>
      <c r="I5555" s="242">
        <v>60000</v>
      </c>
      <c r="J5555"/>
    </row>
    <row r="5556" spans="1:10">
      <c r="A5556" t="s">
        <v>2850</v>
      </c>
      <c r="B5556">
        <v>848001</v>
      </c>
      <c r="C5556">
        <v>1</v>
      </c>
      <c r="D5556" t="str">
        <f t="shared" si="86"/>
        <v>1848001.786</v>
      </c>
      <c r="E5556" t="s">
        <v>4138</v>
      </c>
      <c r="F5556" s="242"/>
      <c r="G5556"/>
      <c r="H5556" s="242">
        <v>70000</v>
      </c>
      <c r="I5556" s="242">
        <v>0</v>
      </c>
      <c r="J5556"/>
    </row>
    <row r="5557" spans="1:10">
      <c r="A5557" t="s">
        <v>3030</v>
      </c>
      <c r="B5557">
        <v>848001</v>
      </c>
      <c r="C5557">
        <v>1</v>
      </c>
      <c r="D5557" t="str">
        <f t="shared" si="86"/>
        <v>1848001.787</v>
      </c>
      <c r="E5557" t="s">
        <v>4139</v>
      </c>
      <c r="F5557" s="242"/>
      <c r="G5557"/>
      <c r="H5557" s="242">
        <v>30000</v>
      </c>
      <c r="I5557" s="242">
        <v>16017</v>
      </c>
      <c r="J5557"/>
    </row>
    <row r="5558" spans="1:10">
      <c r="A5558" t="s">
        <v>2632</v>
      </c>
      <c r="B5558">
        <v>848002</v>
      </c>
      <c r="C5558">
        <v>1</v>
      </c>
      <c r="D5558" t="str">
        <f t="shared" si="86"/>
        <v>1848002.780</v>
      </c>
      <c r="E5558" t="s">
        <v>4114</v>
      </c>
      <c r="F5558" s="242"/>
      <c r="G5558"/>
      <c r="H5558" s="242">
        <v>241483</v>
      </c>
      <c r="I5558" s="242">
        <v>382330</v>
      </c>
      <c r="J5558"/>
    </row>
    <row r="5559" spans="1:10">
      <c r="A5559" t="s">
        <v>872</v>
      </c>
      <c r="B5559">
        <v>848002</v>
      </c>
      <c r="C5559">
        <v>1</v>
      </c>
      <c r="D5559" t="str">
        <f t="shared" si="86"/>
        <v>1848002.781</v>
      </c>
      <c r="E5559" t="s">
        <v>4140</v>
      </c>
      <c r="F5559" s="242"/>
      <c r="G5559"/>
      <c r="H5559" s="242">
        <v>35000</v>
      </c>
      <c r="I5559" s="242">
        <v>40000</v>
      </c>
      <c r="J5559"/>
    </row>
    <row r="5560" spans="1:10">
      <c r="A5560" t="s">
        <v>877</v>
      </c>
      <c r="B5560">
        <v>848002</v>
      </c>
      <c r="C5560">
        <v>1</v>
      </c>
      <c r="D5560" t="str">
        <f t="shared" si="86"/>
        <v>1848002.782</v>
      </c>
      <c r="E5560" t="s">
        <v>4141</v>
      </c>
      <c r="F5560" s="242"/>
      <c r="G5560"/>
      <c r="H5560" s="242">
        <v>550000</v>
      </c>
      <c r="I5560" s="242">
        <v>400000</v>
      </c>
      <c r="J5560"/>
    </row>
    <row r="5561" spans="1:10">
      <c r="A5561" t="s">
        <v>2674</v>
      </c>
      <c r="B5561">
        <v>848002</v>
      </c>
      <c r="C5561">
        <v>1</v>
      </c>
      <c r="D5561" t="str">
        <f t="shared" si="86"/>
        <v>1848002.783</v>
      </c>
      <c r="E5561" t="s">
        <v>4142</v>
      </c>
      <c r="F5561" s="242"/>
      <c r="G5561"/>
      <c r="H5561" s="242">
        <v>25000</v>
      </c>
      <c r="I5561" s="242">
        <v>22728</v>
      </c>
      <c r="J5561"/>
    </row>
    <row r="5562" spans="1:10">
      <c r="A5562" t="s">
        <v>2676</v>
      </c>
      <c r="B5562">
        <v>848002</v>
      </c>
      <c r="C5562">
        <v>1</v>
      </c>
      <c r="D5562" t="str">
        <f t="shared" si="86"/>
        <v>1848002.784</v>
      </c>
      <c r="E5562" t="s">
        <v>4143</v>
      </c>
      <c r="F5562" s="242"/>
      <c r="G5562"/>
      <c r="H5562" s="242">
        <v>28080</v>
      </c>
      <c r="I5562" s="242">
        <v>27840</v>
      </c>
      <c r="J5562"/>
    </row>
    <row r="5563" spans="1:10">
      <c r="A5563" t="s">
        <v>3829</v>
      </c>
      <c r="B5563">
        <v>848002</v>
      </c>
      <c r="C5563">
        <v>1</v>
      </c>
      <c r="D5563" t="str">
        <f t="shared" si="86"/>
        <v>1848002.840</v>
      </c>
      <c r="E5563" t="s">
        <v>4115</v>
      </c>
      <c r="F5563" s="242"/>
      <c r="G5563"/>
      <c r="H5563" s="242">
        <v>502000</v>
      </c>
      <c r="I5563" s="242">
        <v>277316</v>
      </c>
      <c r="J5563"/>
    </row>
    <row r="5564" spans="1:10">
      <c r="A5564" t="s">
        <v>2691</v>
      </c>
      <c r="B5564">
        <v>848002</v>
      </c>
      <c r="C5564">
        <v>1</v>
      </c>
      <c r="D5564" t="str">
        <f t="shared" si="86"/>
        <v>1848002.986</v>
      </c>
      <c r="E5564" t="s">
        <v>4144</v>
      </c>
      <c r="F5564" s="242"/>
      <c r="G5564"/>
      <c r="H5564" s="242">
        <v>0</v>
      </c>
      <c r="I5564" s="242">
        <v>0</v>
      </c>
      <c r="J5564"/>
    </row>
    <row r="5565" spans="1:10">
      <c r="A5565" t="s">
        <v>2750</v>
      </c>
      <c r="B5565">
        <v>848003</v>
      </c>
      <c r="C5565">
        <v>1</v>
      </c>
      <c r="D5565" t="str">
        <f t="shared" si="86"/>
        <v>1848003.785</v>
      </c>
      <c r="E5565" t="s">
        <v>4145</v>
      </c>
      <c r="F5565" s="242"/>
      <c r="G5565"/>
      <c r="H5565" s="242">
        <v>40000</v>
      </c>
      <c r="I5565" s="242">
        <v>40000</v>
      </c>
      <c r="J5565"/>
    </row>
    <row r="5566" spans="1:10">
      <c r="A5566" t="s">
        <v>835</v>
      </c>
      <c r="B5566">
        <v>848100</v>
      </c>
      <c r="C5566">
        <v>1</v>
      </c>
      <c r="D5566" t="str">
        <f t="shared" si="86"/>
        <v>1848100.769</v>
      </c>
      <c r="E5566" t="s">
        <v>2605</v>
      </c>
      <c r="F5566" s="242"/>
      <c r="G5566"/>
      <c r="H5566" s="242">
        <v>190000</v>
      </c>
      <c r="I5566" s="242">
        <v>190043</v>
      </c>
      <c r="J5566"/>
    </row>
    <row r="5567" spans="1:10">
      <c r="A5567" t="s">
        <v>872</v>
      </c>
      <c r="B5567">
        <v>848100</v>
      </c>
      <c r="C5567">
        <v>1</v>
      </c>
      <c r="D5567" t="str">
        <f t="shared" si="86"/>
        <v>1848100.781</v>
      </c>
      <c r="E5567" t="s">
        <v>4157</v>
      </c>
      <c r="F5567" s="242"/>
      <c r="G5567"/>
      <c r="H5567" s="242">
        <v>50000</v>
      </c>
      <c r="I5567" s="242">
        <v>33162</v>
      </c>
      <c r="J5567"/>
    </row>
    <row r="5568" spans="1:10">
      <c r="A5568" t="s">
        <v>2676</v>
      </c>
      <c r="B5568">
        <v>848100</v>
      </c>
      <c r="C5568">
        <v>1</v>
      </c>
      <c r="D5568" t="str">
        <f t="shared" si="86"/>
        <v>1848100.784</v>
      </c>
      <c r="E5568" t="s">
        <v>4158</v>
      </c>
      <c r="F5568" s="242"/>
      <c r="G5568"/>
      <c r="H5568" s="242">
        <v>100000</v>
      </c>
      <c r="I5568" s="242">
        <v>90500</v>
      </c>
      <c r="J5568"/>
    </row>
    <row r="5569" spans="1:10">
      <c r="A5569" t="s">
        <v>2750</v>
      </c>
      <c r="B5569">
        <v>848100</v>
      </c>
      <c r="C5569">
        <v>1</v>
      </c>
      <c r="D5569" t="str">
        <f t="shared" si="86"/>
        <v>1848100.785</v>
      </c>
      <c r="E5569" t="s">
        <v>4159</v>
      </c>
      <c r="F5569" s="242"/>
      <c r="G5569"/>
      <c r="H5569" s="242">
        <v>0</v>
      </c>
      <c r="I5569" s="242">
        <v>89094</v>
      </c>
      <c r="J5569"/>
    </row>
    <row r="5570" spans="1:10">
      <c r="A5570" t="s">
        <v>3829</v>
      </c>
      <c r="B5570">
        <v>848100</v>
      </c>
      <c r="C5570">
        <v>1</v>
      </c>
      <c r="D5570" t="str">
        <f t="shared" si="86"/>
        <v>1848100.840</v>
      </c>
      <c r="E5570" t="s">
        <v>4156</v>
      </c>
      <c r="F5570" s="242"/>
      <c r="G5570"/>
      <c r="H5570" s="242">
        <v>36000</v>
      </c>
      <c r="I5570" s="242">
        <v>31495</v>
      </c>
      <c r="J5570"/>
    </row>
    <row r="5571" spans="1:10">
      <c r="A5571" t="s">
        <v>1176</v>
      </c>
      <c r="B5571">
        <v>848100</v>
      </c>
      <c r="C5571">
        <v>1</v>
      </c>
      <c r="D5571" t="str">
        <f t="shared" ref="D5571:D5634" si="87">C5571&amp;B5571&amp;"."&amp;A5571</f>
        <v>1848100.821</v>
      </c>
      <c r="E5571" t="s">
        <v>4399</v>
      </c>
      <c r="F5571" s="242"/>
      <c r="G5571"/>
      <c r="H5571" s="242">
        <v>0</v>
      </c>
      <c r="I5571" s="242">
        <v>0</v>
      </c>
      <c r="J5571"/>
    </row>
    <row r="5572" spans="1:10">
      <c r="A5572" t="s">
        <v>2403</v>
      </c>
      <c r="B5572">
        <v>848200</v>
      </c>
      <c r="C5572">
        <v>1</v>
      </c>
      <c r="D5572" t="str">
        <f t="shared" si="87"/>
        <v>1848200.110</v>
      </c>
      <c r="E5572" t="s">
        <v>4146</v>
      </c>
      <c r="F5572" s="242"/>
      <c r="G5572"/>
      <c r="H5572" s="242">
        <v>131662</v>
      </c>
      <c r="I5572" s="242">
        <v>115733</v>
      </c>
      <c r="J5572"/>
    </row>
    <row r="5573" spans="1:10">
      <c r="A5573" t="s">
        <v>2404</v>
      </c>
      <c r="B5573">
        <v>848200</v>
      </c>
      <c r="C5573">
        <v>1</v>
      </c>
      <c r="D5573" t="str">
        <f t="shared" si="87"/>
        <v>1848200.120</v>
      </c>
      <c r="E5573" t="s">
        <v>2574</v>
      </c>
      <c r="F5573" s="242"/>
      <c r="G5573"/>
      <c r="H5573" s="242">
        <v>12041</v>
      </c>
      <c r="I5573" s="242">
        <v>14261</v>
      </c>
      <c r="J5573"/>
    </row>
    <row r="5574" spans="1:10">
      <c r="A5574" t="s">
        <v>2575</v>
      </c>
      <c r="B5574">
        <v>848200</v>
      </c>
      <c r="C5574">
        <v>1</v>
      </c>
      <c r="D5574" t="str">
        <f t="shared" si="87"/>
        <v>1848200.130</v>
      </c>
      <c r="E5574" t="s">
        <v>2576</v>
      </c>
      <c r="F5574" s="242"/>
      <c r="G5574"/>
      <c r="H5574" s="242">
        <v>0</v>
      </c>
      <c r="I5574" s="242">
        <v>0</v>
      </c>
      <c r="J5574"/>
    </row>
    <row r="5575" spans="1:10">
      <c r="A5575" t="s">
        <v>2577</v>
      </c>
      <c r="B5575">
        <v>848200</v>
      </c>
      <c r="C5575">
        <v>1</v>
      </c>
      <c r="D5575" t="str">
        <f t="shared" si="87"/>
        <v>1848200.140</v>
      </c>
      <c r="E5575" t="s">
        <v>2578</v>
      </c>
      <c r="F5575" s="242"/>
      <c r="G5575"/>
      <c r="H5575" s="242">
        <v>19523</v>
      </c>
      <c r="I5575" s="242">
        <v>16367</v>
      </c>
      <c r="J5575"/>
    </row>
    <row r="5576" spans="1:10">
      <c r="A5576" t="s">
        <v>2579</v>
      </c>
      <c r="B5576">
        <v>848200</v>
      </c>
      <c r="C5576">
        <v>1</v>
      </c>
      <c r="D5576" t="str">
        <f t="shared" si="87"/>
        <v>1848200.181</v>
      </c>
      <c r="E5576" t="s">
        <v>2580</v>
      </c>
      <c r="F5576" s="242"/>
      <c r="G5576"/>
      <c r="H5576" s="242">
        <v>36814</v>
      </c>
      <c r="I5576" s="242">
        <v>32462</v>
      </c>
      <c r="J5576"/>
    </row>
    <row r="5577" spans="1:10">
      <c r="A5577" t="s">
        <v>2581</v>
      </c>
      <c r="B5577">
        <v>848200</v>
      </c>
      <c r="C5577">
        <v>1</v>
      </c>
      <c r="D5577" t="str">
        <f t="shared" si="87"/>
        <v>1848200.182</v>
      </c>
      <c r="E5577" t="s">
        <v>2582</v>
      </c>
      <c r="F5577" s="242"/>
      <c r="G5577"/>
      <c r="H5577" s="242">
        <v>12479</v>
      </c>
      <c r="I5577" s="242">
        <v>11200</v>
      </c>
      <c r="J5577"/>
    </row>
    <row r="5578" spans="1:10">
      <c r="A5578" t="s">
        <v>2409</v>
      </c>
      <c r="B5578">
        <v>848200</v>
      </c>
      <c r="C5578">
        <v>1</v>
      </c>
      <c r="D5578" t="str">
        <f t="shared" si="87"/>
        <v>1848200.410</v>
      </c>
      <c r="E5578" t="s">
        <v>2752</v>
      </c>
      <c r="F5578" s="242"/>
      <c r="G5578"/>
      <c r="H5578" s="242">
        <v>45000</v>
      </c>
      <c r="I5578" s="242">
        <v>42626</v>
      </c>
      <c r="J5578"/>
    </row>
    <row r="5579" spans="1:10">
      <c r="A5579" t="s">
        <v>2652</v>
      </c>
      <c r="B5579">
        <v>848200</v>
      </c>
      <c r="C5579">
        <v>1</v>
      </c>
      <c r="D5579" t="str">
        <f t="shared" si="87"/>
        <v>1848200.420</v>
      </c>
      <c r="E5579" t="s">
        <v>4147</v>
      </c>
      <c r="F5579" s="242"/>
      <c r="G5579"/>
      <c r="H5579" s="242">
        <v>4500</v>
      </c>
      <c r="I5579" s="242">
        <v>4500</v>
      </c>
      <c r="J5579"/>
    </row>
    <row r="5580" spans="1:10">
      <c r="A5580" t="s">
        <v>1663</v>
      </c>
      <c r="B5580">
        <v>848200</v>
      </c>
      <c r="C5580">
        <v>1</v>
      </c>
      <c r="D5580" t="str">
        <f t="shared" si="87"/>
        <v>1848200.431</v>
      </c>
      <c r="E5580" t="s">
        <v>2654</v>
      </c>
      <c r="F5580" s="242"/>
      <c r="G5580"/>
      <c r="H5580" s="242">
        <v>182500</v>
      </c>
      <c r="I5580" s="242">
        <v>180770</v>
      </c>
      <c r="J5580"/>
    </row>
    <row r="5581" spans="1:10">
      <c r="A5581" t="s">
        <v>1673</v>
      </c>
      <c r="B5581">
        <v>848200</v>
      </c>
      <c r="C5581">
        <v>1</v>
      </c>
      <c r="D5581" t="str">
        <f t="shared" si="87"/>
        <v>1848200.433</v>
      </c>
      <c r="E5581" t="s">
        <v>2655</v>
      </c>
      <c r="F5581" s="242"/>
      <c r="G5581"/>
      <c r="H5581" s="242">
        <v>4600</v>
      </c>
      <c r="I5581" s="242">
        <v>406</v>
      </c>
      <c r="J5581"/>
    </row>
    <row r="5582" spans="1:10">
      <c r="A5582" t="s">
        <v>1678</v>
      </c>
      <c r="B5582">
        <v>848200</v>
      </c>
      <c r="C5582">
        <v>1</v>
      </c>
      <c r="D5582" t="str">
        <f t="shared" si="87"/>
        <v>1848200.434</v>
      </c>
      <c r="E5582" t="s">
        <v>2753</v>
      </c>
      <c r="F5582" s="242"/>
      <c r="G5582"/>
      <c r="H5582" s="242">
        <v>187688</v>
      </c>
      <c r="I5582" s="242">
        <v>194239</v>
      </c>
      <c r="J5582"/>
    </row>
    <row r="5583" spans="1:10">
      <c r="A5583" t="s">
        <v>2606</v>
      </c>
      <c r="B5583">
        <v>848200</v>
      </c>
      <c r="C5583">
        <v>1</v>
      </c>
      <c r="D5583" t="str">
        <f t="shared" si="87"/>
        <v>1848200.440</v>
      </c>
      <c r="E5583" t="s">
        <v>2657</v>
      </c>
      <c r="F5583" s="242"/>
      <c r="G5583"/>
      <c r="H5583" s="242">
        <v>3400</v>
      </c>
      <c r="I5583" s="242">
        <v>3312</v>
      </c>
      <c r="J5583"/>
    </row>
    <row r="5584" spans="1:10">
      <c r="A5584" t="s">
        <v>2286</v>
      </c>
      <c r="B5584">
        <v>848200</v>
      </c>
      <c r="C5584">
        <v>1</v>
      </c>
      <c r="D5584" t="str">
        <f t="shared" si="87"/>
        <v>1848200.511</v>
      </c>
      <c r="E5584" t="s">
        <v>2584</v>
      </c>
      <c r="F5584" s="242"/>
      <c r="G5584"/>
      <c r="H5584" s="242">
        <v>2000</v>
      </c>
      <c r="I5584" s="242">
        <v>772</v>
      </c>
      <c r="J5584"/>
    </row>
    <row r="5585" spans="1:10">
      <c r="A5585" t="s">
        <v>2594</v>
      </c>
      <c r="B5585">
        <v>848200</v>
      </c>
      <c r="C5585">
        <v>1</v>
      </c>
      <c r="D5585" t="str">
        <f t="shared" si="87"/>
        <v>1848200.540</v>
      </c>
      <c r="E5585" t="s">
        <v>2595</v>
      </c>
      <c r="F5585" s="242"/>
      <c r="G5585"/>
      <c r="H5585" s="242">
        <v>96000</v>
      </c>
      <c r="I5585" s="242">
        <v>74751</v>
      </c>
      <c r="J5585"/>
    </row>
    <row r="5586" spans="1:10">
      <c r="A5586" t="s">
        <v>2600</v>
      </c>
      <c r="B5586">
        <v>848200</v>
      </c>
      <c r="C5586">
        <v>1</v>
      </c>
      <c r="D5586" t="str">
        <f t="shared" si="87"/>
        <v>1848200.580</v>
      </c>
      <c r="E5586" t="s">
        <v>2601</v>
      </c>
      <c r="F5586" s="242"/>
      <c r="G5586"/>
      <c r="H5586" s="242">
        <v>6650</v>
      </c>
      <c r="I5586" s="242">
        <v>696</v>
      </c>
      <c r="J5586"/>
    </row>
    <row r="5587" spans="1:10">
      <c r="A5587" t="s">
        <v>673</v>
      </c>
      <c r="B5587">
        <v>848200</v>
      </c>
      <c r="C5587">
        <v>1</v>
      </c>
      <c r="D5587" t="str">
        <f t="shared" si="87"/>
        <v>1848200.743</v>
      </c>
      <c r="E5587" t="s">
        <v>2622</v>
      </c>
      <c r="F5587" s="242"/>
      <c r="G5587"/>
      <c r="H5587" s="242">
        <v>5500</v>
      </c>
      <c r="I5587" s="242">
        <v>8114</v>
      </c>
      <c r="J5587"/>
    </row>
    <row r="5588" spans="1:10">
      <c r="A5588" t="s">
        <v>2632</v>
      </c>
      <c r="B5588">
        <v>848200</v>
      </c>
      <c r="C5588">
        <v>1</v>
      </c>
      <c r="D5588" t="str">
        <f t="shared" si="87"/>
        <v>1848200.780</v>
      </c>
      <c r="E5588" t="s">
        <v>4148</v>
      </c>
      <c r="F5588" s="242"/>
      <c r="G5588"/>
      <c r="H5588" s="242">
        <v>38500</v>
      </c>
      <c r="I5588" s="242">
        <v>33406</v>
      </c>
      <c r="J5588"/>
    </row>
    <row r="5589" spans="1:10">
      <c r="A5589" t="s">
        <v>877</v>
      </c>
      <c r="B5589">
        <v>848200</v>
      </c>
      <c r="C5589">
        <v>1</v>
      </c>
      <c r="D5589" t="str">
        <f t="shared" si="87"/>
        <v>1848200.782</v>
      </c>
      <c r="E5589" t="s">
        <v>4149</v>
      </c>
      <c r="F5589" s="242"/>
      <c r="G5589"/>
      <c r="H5589" s="242">
        <v>298600</v>
      </c>
      <c r="I5589" s="242">
        <v>112016</v>
      </c>
      <c r="J5589"/>
    </row>
    <row r="5590" spans="1:10">
      <c r="A5590" t="s">
        <v>2850</v>
      </c>
      <c r="B5590">
        <v>848200</v>
      </c>
      <c r="C5590">
        <v>1</v>
      </c>
      <c r="D5590" t="str">
        <f t="shared" si="87"/>
        <v>1848200.786</v>
      </c>
      <c r="E5590" t="s">
        <v>4150</v>
      </c>
      <c r="F5590" s="242"/>
      <c r="G5590"/>
      <c r="H5590" s="242">
        <v>30000</v>
      </c>
      <c r="I5590" s="242">
        <v>29999</v>
      </c>
      <c r="J5590"/>
    </row>
    <row r="5591" spans="1:10">
      <c r="A5591" t="s">
        <v>3030</v>
      </c>
      <c r="B5591">
        <v>848200</v>
      </c>
      <c r="C5591">
        <v>1</v>
      </c>
      <c r="D5591" t="str">
        <f t="shared" si="87"/>
        <v>1848200.787</v>
      </c>
      <c r="E5591" t="s">
        <v>4151</v>
      </c>
      <c r="F5591" s="242"/>
      <c r="G5591"/>
      <c r="H5591" s="242">
        <v>40000</v>
      </c>
      <c r="I5591" s="242">
        <v>38310</v>
      </c>
      <c r="J5591"/>
    </row>
    <row r="5592" spans="1:10">
      <c r="A5592" t="s">
        <v>2841</v>
      </c>
      <c r="B5592">
        <v>848200</v>
      </c>
      <c r="C5592">
        <v>1</v>
      </c>
      <c r="D5592" t="str">
        <f t="shared" si="87"/>
        <v>1848200.788</v>
      </c>
      <c r="E5592" t="s">
        <v>4152</v>
      </c>
      <c r="F5592" s="242"/>
      <c r="G5592"/>
      <c r="H5592" s="242">
        <v>233000</v>
      </c>
      <c r="I5592" s="242">
        <v>127000</v>
      </c>
      <c r="J5592"/>
    </row>
    <row r="5593" spans="1:10">
      <c r="A5593" t="s">
        <v>3829</v>
      </c>
      <c r="B5593">
        <v>848200</v>
      </c>
      <c r="C5593">
        <v>1</v>
      </c>
      <c r="D5593" t="str">
        <f t="shared" si="87"/>
        <v>1848200.840</v>
      </c>
      <c r="E5593" t="s">
        <v>4118</v>
      </c>
      <c r="F5593" s="242"/>
      <c r="G5593"/>
      <c r="H5593" s="242">
        <v>67320</v>
      </c>
      <c r="I5593" s="242">
        <v>364924</v>
      </c>
      <c r="J5593"/>
    </row>
    <row r="5594" spans="1:10">
      <c r="A5594" t="s">
        <v>1181</v>
      </c>
      <c r="B5594">
        <v>848200</v>
      </c>
      <c r="C5594">
        <v>1</v>
      </c>
      <c r="D5594" t="str">
        <f t="shared" si="87"/>
        <v>1848200.822</v>
      </c>
      <c r="E5594" t="s">
        <v>4400</v>
      </c>
      <c r="F5594" s="242"/>
      <c r="G5594"/>
      <c r="H5594" s="242">
        <v>0</v>
      </c>
      <c r="I5594" s="242">
        <v>5025</v>
      </c>
      <c r="J5594"/>
    </row>
    <row r="5595" spans="1:10">
      <c r="A5595" t="s">
        <v>1186</v>
      </c>
      <c r="B5595">
        <v>848200</v>
      </c>
      <c r="C5595">
        <v>1</v>
      </c>
      <c r="D5595" t="str">
        <f t="shared" si="87"/>
        <v>1848200.823</v>
      </c>
      <c r="E5595" t="s">
        <v>4401</v>
      </c>
      <c r="F5595" s="242"/>
      <c r="G5595"/>
      <c r="H5595" s="242">
        <v>0</v>
      </c>
      <c r="I5595" s="242">
        <v>4354</v>
      </c>
      <c r="J5595"/>
    </row>
    <row r="5596" spans="1:10">
      <c r="A5596" t="s">
        <v>1191</v>
      </c>
      <c r="B5596">
        <v>848200</v>
      </c>
      <c r="C5596">
        <v>1</v>
      </c>
      <c r="D5596" t="str">
        <f t="shared" si="87"/>
        <v>1848200.824</v>
      </c>
      <c r="E5596" t="s">
        <v>4402</v>
      </c>
      <c r="F5596" s="242"/>
      <c r="G5596"/>
      <c r="H5596" s="242">
        <v>0</v>
      </c>
      <c r="I5596" s="242">
        <v>0</v>
      </c>
      <c r="J5596"/>
    </row>
    <row r="5597" spans="1:10">
      <c r="A5597" t="s">
        <v>1196</v>
      </c>
      <c r="B5597">
        <v>848200</v>
      </c>
      <c r="C5597">
        <v>1</v>
      </c>
      <c r="D5597" t="str">
        <f t="shared" si="87"/>
        <v>1848200.825</v>
      </c>
      <c r="E5597" t="s">
        <v>4403</v>
      </c>
      <c r="F5597" s="242"/>
      <c r="G5597"/>
      <c r="H5597" s="242">
        <v>0</v>
      </c>
      <c r="I5597" s="242">
        <v>5052</v>
      </c>
      <c r="J5597"/>
    </row>
    <row r="5598" spans="1:10">
      <c r="A5598" t="s">
        <v>2419</v>
      </c>
      <c r="B5598">
        <v>848200</v>
      </c>
      <c r="C5598">
        <v>1</v>
      </c>
      <c r="D5598" t="str">
        <f t="shared" si="87"/>
        <v>1848200.829</v>
      </c>
      <c r="E5598" t="s">
        <v>4404</v>
      </c>
      <c r="F5598" s="242"/>
      <c r="G5598"/>
      <c r="H5598" s="242">
        <v>0</v>
      </c>
      <c r="I5598" s="242">
        <v>2867</v>
      </c>
      <c r="J5598"/>
    </row>
    <row r="5599" spans="1:10">
      <c r="A5599" t="s">
        <v>2403</v>
      </c>
      <c r="B5599">
        <v>848210</v>
      </c>
      <c r="C5599">
        <v>1</v>
      </c>
      <c r="D5599" t="str">
        <f t="shared" si="87"/>
        <v>1848210.110</v>
      </c>
      <c r="E5599" t="s">
        <v>4153</v>
      </c>
      <c r="F5599" s="242"/>
      <c r="G5599"/>
      <c r="H5599" s="242">
        <v>1731781</v>
      </c>
      <c r="I5599" s="242">
        <v>1486164</v>
      </c>
      <c r="J5599"/>
    </row>
    <row r="5600" spans="1:10">
      <c r="A5600" t="s">
        <v>2404</v>
      </c>
      <c r="B5600">
        <v>848210</v>
      </c>
      <c r="C5600">
        <v>1</v>
      </c>
      <c r="D5600" t="str">
        <f t="shared" si="87"/>
        <v>1848210.120</v>
      </c>
      <c r="E5600" t="s">
        <v>2574</v>
      </c>
      <c r="F5600" s="242"/>
      <c r="G5600"/>
      <c r="H5600" s="242">
        <v>154955</v>
      </c>
      <c r="I5600" s="242">
        <v>143251</v>
      </c>
      <c r="J5600"/>
    </row>
    <row r="5601" spans="1:10">
      <c r="A5601" t="s">
        <v>2575</v>
      </c>
      <c r="B5601">
        <v>848210</v>
      </c>
      <c r="C5601">
        <v>1</v>
      </c>
      <c r="D5601" t="str">
        <f t="shared" si="87"/>
        <v>1848210.130</v>
      </c>
      <c r="E5601" t="s">
        <v>2576</v>
      </c>
      <c r="F5601" s="242"/>
      <c r="G5601"/>
      <c r="H5601" s="242">
        <v>7541</v>
      </c>
      <c r="I5601" s="242">
        <v>5789</v>
      </c>
      <c r="J5601"/>
    </row>
    <row r="5602" spans="1:10">
      <c r="A5602" t="s">
        <v>2577</v>
      </c>
      <c r="B5602">
        <v>848210</v>
      </c>
      <c r="C5602">
        <v>1</v>
      </c>
      <c r="D5602" t="str">
        <f t="shared" si="87"/>
        <v>1848210.140</v>
      </c>
      <c r="E5602" t="s">
        <v>2578</v>
      </c>
      <c r="F5602" s="242"/>
      <c r="G5602"/>
      <c r="H5602" s="242">
        <v>221821</v>
      </c>
      <c r="I5602" s="242">
        <v>225629</v>
      </c>
      <c r="J5602"/>
    </row>
    <row r="5603" spans="1:10">
      <c r="A5603" t="s">
        <v>2579</v>
      </c>
      <c r="B5603">
        <v>848210</v>
      </c>
      <c r="C5603">
        <v>1</v>
      </c>
      <c r="D5603" t="str">
        <f t="shared" si="87"/>
        <v>1848210.181</v>
      </c>
      <c r="E5603" t="s">
        <v>2580</v>
      </c>
      <c r="F5603" s="242"/>
      <c r="G5603"/>
      <c r="H5603" s="242">
        <v>432054</v>
      </c>
      <c r="I5603" s="242">
        <v>376836</v>
      </c>
      <c r="J5603"/>
    </row>
    <row r="5604" spans="1:10">
      <c r="A5604" t="s">
        <v>2581</v>
      </c>
      <c r="B5604">
        <v>848210</v>
      </c>
      <c r="C5604">
        <v>1</v>
      </c>
      <c r="D5604" t="str">
        <f t="shared" si="87"/>
        <v>1848210.182</v>
      </c>
      <c r="E5604" t="s">
        <v>2582</v>
      </c>
      <c r="F5604" s="242"/>
      <c r="G5604"/>
      <c r="H5604" s="242">
        <v>160948</v>
      </c>
      <c r="I5604" s="242">
        <v>142645</v>
      </c>
      <c r="J5604"/>
    </row>
    <row r="5605" spans="1:10">
      <c r="A5605" t="s">
        <v>1186</v>
      </c>
      <c r="B5605">
        <v>848210</v>
      </c>
      <c r="C5605">
        <v>1</v>
      </c>
      <c r="D5605" t="str">
        <f t="shared" si="87"/>
        <v>1848210.823</v>
      </c>
      <c r="E5605" t="s">
        <v>4405</v>
      </c>
      <c r="F5605" s="242"/>
      <c r="G5605"/>
      <c r="H5605" s="242">
        <v>0</v>
      </c>
      <c r="I5605" s="242">
        <v>4898</v>
      </c>
      <c r="J5605"/>
    </row>
    <row r="5606" spans="1:10">
      <c r="A5606" t="s">
        <v>1191</v>
      </c>
      <c r="B5606">
        <v>848210</v>
      </c>
      <c r="C5606">
        <v>1</v>
      </c>
      <c r="D5606" t="str">
        <f t="shared" si="87"/>
        <v>1848210.824</v>
      </c>
      <c r="E5606" t="s">
        <v>4406</v>
      </c>
      <c r="F5606" s="242"/>
      <c r="G5606"/>
      <c r="H5606" s="242">
        <v>0</v>
      </c>
      <c r="I5606" s="242">
        <v>5398</v>
      </c>
      <c r="J5606"/>
    </row>
    <row r="5607" spans="1:10">
      <c r="A5607" t="s">
        <v>1196</v>
      </c>
      <c r="B5607">
        <v>848210</v>
      </c>
      <c r="C5607">
        <v>1</v>
      </c>
      <c r="D5607" t="str">
        <f t="shared" si="87"/>
        <v>1848210.825</v>
      </c>
      <c r="E5607" t="s">
        <v>4407</v>
      </c>
      <c r="F5607" s="242"/>
      <c r="G5607"/>
      <c r="H5607" s="242">
        <v>0</v>
      </c>
      <c r="I5607" s="242">
        <v>3823</v>
      </c>
      <c r="J5607"/>
    </row>
    <row r="5608" spans="1:10">
      <c r="A5608" t="s">
        <v>1216</v>
      </c>
      <c r="B5608">
        <v>848210</v>
      </c>
      <c r="C5608">
        <v>1</v>
      </c>
      <c r="D5608" t="str">
        <f t="shared" si="87"/>
        <v>1848210.826</v>
      </c>
      <c r="E5608" t="s">
        <v>4408</v>
      </c>
      <c r="F5608" s="242"/>
      <c r="G5608"/>
      <c r="H5608" s="242">
        <v>0</v>
      </c>
      <c r="I5608" s="242">
        <v>23933</v>
      </c>
      <c r="J5608"/>
    </row>
    <row r="5609" spans="1:10">
      <c r="A5609" t="s">
        <v>1241</v>
      </c>
      <c r="B5609">
        <v>848210</v>
      </c>
      <c r="C5609">
        <v>1</v>
      </c>
      <c r="D5609" t="str">
        <f t="shared" si="87"/>
        <v>1848210.827</v>
      </c>
      <c r="E5609" t="s">
        <v>4409</v>
      </c>
      <c r="F5609" s="242"/>
      <c r="G5609"/>
      <c r="H5609" s="242">
        <v>0</v>
      </c>
      <c r="I5609" s="242">
        <v>0</v>
      </c>
      <c r="J5609"/>
    </row>
    <row r="5610" spans="1:10">
      <c r="A5610" t="s">
        <v>2403</v>
      </c>
      <c r="B5610">
        <v>848220</v>
      </c>
      <c r="C5610">
        <v>1</v>
      </c>
      <c r="D5610" t="str">
        <f t="shared" si="87"/>
        <v>1848220.110</v>
      </c>
      <c r="E5610" t="s">
        <v>4154</v>
      </c>
      <c r="F5610" s="242"/>
      <c r="G5610"/>
      <c r="H5610" s="242">
        <v>159844</v>
      </c>
      <c r="I5610" s="242">
        <v>72994</v>
      </c>
      <c r="J5610"/>
    </row>
    <row r="5611" spans="1:10">
      <c r="A5611" t="s">
        <v>2404</v>
      </c>
      <c r="B5611">
        <v>848220</v>
      </c>
      <c r="C5611">
        <v>1</v>
      </c>
      <c r="D5611" t="str">
        <f t="shared" si="87"/>
        <v>1848220.120</v>
      </c>
      <c r="E5611" t="s">
        <v>2574</v>
      </c>
      <c r="F5611" s="242"/>
      <c r="G5611"/>
      <c r="H5611" s="242">
        <v>14435</v>
      </c>
      <c r="I5611" s="242">
        <v>610</v>
      </c>
      <c r="J5611"/>
    </row>
    <row r="5612" spans="1:10">
      <c r="A5612" t="s">
        <v>2575</v>
      </c>
      <c r="B5612">
        <v>848220</v>
      </c>
      <c r="C5612">
        <v>1</v>
      </c>
      <c r="D5612" t="str">
        <f t="shared" si="87"/>
        <v>1848220.130</v>
      </c>
      <c r="E5612" t="s">
        <v>2576</v>
      </c>
      <c r="F5612" s="242"/>
      <c r="G5612"/>
      <c r="H5612" s="242">
        <v>702</v>
      </c>
      <c r="I5612" s="242">
        <v>128</v>
      </c>
      <c r="J5612"/>
    </row>
    <row r="5613" spans="1:10">
      <c r="A5613" t="s">
        <v>2577</v>
      </c>
      <c r="B5613">
        <v>848220</v>
      </c>
      <c r="C5613">
        <v>1</v>
      </c>
      <c r="D5613" t="str">
        <f t="shared" si="87"/>
        <v>1848220.140</v>
      </c>
      <c r="E5613" t="s">
        <v>2578</v>
      </c>
      <c r="F5613" s="242"/>
      <c r="G5613"/>
      <c r="H5613" s="242">
        <v>20664</v>
      </c>
      <c r="I5613" s="242">
        <v>1900</v>
      </c>
      <c r="J5613"/>
    </row>
    <row r="5614" spans="1:10">
      <c r="A5614" t="s">
        <v>2579</v>
      </c>
      <c r="B5614">
        <v>848220</v>
      </c>
      <c r="C5614">
        <v>1</v>
      </c>
      <c r="D5614" t="str">
        <f t="shared" si="87"/>
        <v>1848220.181</v>
      </c>
      <c r="E5614" t="s">
        <v>2580</v>
      </c>
      <c r="F5614" s="242"/>
      <c r="G5614"/>
      <c r="H5614" s="242">
        <v>40250</v>
      </c>
      <c r="I5614" s="242">
        <v>17888</v>
      </c>
      <c r="J5614"/>
    </row>
    <row r="5615" spans="1:10">
      <c r="A5615" t="s">
        <v>2581</v>
      </c>
      <c r="B5615">
        <v>848220</v>
      </c>
      <c r="C5615">
        <v>1</v>
      </c>
      <c r="D5615" t="str">
        <f t="shared" si="87"/>
        <v>1848220.182</v>
      </c>
      <c r="E5615" t="s">
        <v>2582</v>
      </c>
      <c r="F5615" s="242"/>
      <c r="G5615"/>
      <c r="H5615" s="242">
        <v>14994</v>
      </c>
      <c r="I5615" s="242">
        <v>5775</v>
      </c>
      <c r="J5615"/>
    </row>
    <row r="5616" spans="1:10">
      <c r="A5616" t="s">
        <v>1176</v>
      </c>
      <c r="B5616">
        <v>848300</v>
      </c>
      <c r="C5616">
        <v>1</v>
      </c>
      <c r="D5616" t="str">
        <f t="shared" si="87"/>
        <v>1848300.821</v>
      </c>
      <c r="E5616" t="s">
        <v>4410</v>
      </c>
      <c r="F5616" s="242"/>
      <c r="G5616"/>
      <c r="H5616" s="242">
        <v>0</v>
      </c>
      <c r="I5616" s="242">
        <v>3524</v>
      </c>
      <c r="J5616"/>
    </row>
    <row r="5617" spans="1:10">
      <c r="A5617" t="s">
        <v>1181</v>
      </c>
      <c r="B5617">
        <v>848300</v>
      </c>
      <c r="C5617">
        <v>1</v>
      </c>
      <c r="D5617" t="str">
        <f t="shared" si="87"/>
        <v>1848300.822</v>
      </c>
      <c r="E5617" t="s">
        <v>4411</v>
      </c>
      <c r="F5617" s="242"/>
      <c r="G5617"/>
      <c r="H5617" s="242">
        <v>0</v>
      </c>
      <c r="I5617" s="242">
        <v>6669</v>
      </c>
      <c r="J5617"/>
    </row>
    <row r="5618" spans="1:10">
      <c r="A5618" t="s">
        <v>1186</v>
      </c>
      <c r="B5618">
        <v>848300</v>
      </c>
      <c r="C5618">
        <v>1</v>
      </c>
      <c r="D5618" t="str">
        <f t="shared" si="87"/>
        <v>1848300.823</v>
      </c>
      <c r="E5618" t="s">
        <v>4412</v>
      </c>
      <c r="F5618" s="242"/>
      <c r="G5618"/>
      <c r="H5618" s="242">
        <v>0</v>
      </c>
      <c r="I5618" s="242">
        <v>3375</v>
      </c>
      <c r="J5618"/>
    </row>
    <row r="5619" spans="1:10">
      <c r="A5619" t="s">
        <v>1191</v>
      </c>
      <c r="B5619">
        <v>848300</v>
      </c>
      <c r="C5619">
        <v>1</v>
      </c>
      <c r="D5619" t="str">
        <f t="shared" si="87"/>
        <v>1848300.824</v>
      </c>
      <c r="E5619" t="s">
        <v>4413</v>
      </c>
      <c r="F5619" s="242"/>
      <c r="G5619"/>
      <c r="H5619" s="242">
        <v>0</v>
      </c>
      <c r="I5619" s="242">
        <v>0</v>
      </c>
      <c r="J5619"/>
    </row>
    <row r="5620" spans="1:10">
      <c r="A5620" t="s">
        <v>1216</v>
      </c>
      <c r="B5620">
        <v>848300</v>
      </c>
      <c r="C5620">
        <v>1</v>
      </c>
      <c r="D5620" t="str">
        <f t="shared" si="87"/>
        <v>1848300.826</v>
      </c>
      <c r="E5620" t="s">
        <v>4414</v>
      </c>
      <c r="F5620" s="242"/>
      <c r="G5620"/>
      <c r="H5620" s="242">
        <v>0</v>
      </c>
      <c r="I5620" s="242">
        <v>4422</v>
      </c>
      <c r="J5620"/>
    </row>
    <row r="5621" spans="1:10">
      <c r="A5621" t="s">
        <v>1241</v>
      </c>
      <c r="B5621">
        <v>848300</v>
      </c>
      <c r="C5621">
        <v>1</v>
      </c>
      <c r="D5621" t="str">
        <f t="shared" si="87"/>
        <v>1848300.827</v>
      </c>
      <c r="E5621" t="s">
        <v>4415</v>
      </c>
      <c r="F5621" s="242"/>
      <c r="G5621"/>
      <c r="H5621" s="242">
        <v>0</v>
      </c>
      <c r="I5621" s="242">
        <v>5549</v>
      </c>
      <c r="J5621"/>
    </row>
    <row r="5622" spans="1:10">
      <c r="A5622" t="s">
        <v>1181</v>
      </c>
      <c r="B5622">
        <v>848310</v>
      </c>
      <c r="C5622">
        <v>1</v>
      </c>
      <c r="D5622" t="str">
        <f t="shared" si="87"/>
        <v>1848310.822</v>
      </c>
      <c r="E5622" t="s">
        <v>4416</v>
      </c>
      <c r="F5622" s="242"/>
      <c r="G5622"/>
      <c r="H5622" s="242">
        <v>0</v>
      </c>
      <c r="I5622" s="242">
        <v>5164</v>
      </c>
      <c r="J5622"/>
    </row>
    <row r="5623" spans="1:10">
      <c r="A5623" t="s">
        <v>3829</v>
      </c>
      <c r="B5623">
        <v>848400</v>
      </c>
      <c r="C5623">
        <v>1</v>
      </c>
      <c r="D5623" t="str">
        <f t="shared" si="87"/>
        <v>1848400.840</v>
      </c>
      <c r="E5623" t="s">
        <v>4122</v>
      </c>
      <c r="F5623" s="242"/>
      <c r="G5623"/>
      <c r="H5623" s="242">
        <v>8000</v>
      </c>
      <c r="I5623" s="242">
        <v>0</v>
      </c>
      <c r="J5623"/>
    </row>
    <row r="5624" spans="1:10">
      <c r="A5624" t="s">
        <v>2632</v>
      </c>
      <c r="B5624">
        <v>848500</v>
      </c>
      <c r="C5624">
        <v>1</v>
      </c>
      <c r="D5624" t="str">
        <f t="shared" si="87"/>
        <v>1848500.780</v>
      </c>
      <c r="E5624" t="s">
        <v>4164</v>
      </c>
      <c r="F5624" s="242"/>
      <c r="G5624"/>
      <c r="H5624" s="242">
        <v>0</v>
      </c>
      <c r="I5624" s="242">
        <v>2200</v>
      </c>
      <c r="J5624"/>
    </row>
    <row r="5625" spans="1:10">
      <c r="A5625" t="s">
        <v>877</v>
      </c>
      <c r="B5625">
        <v>848500</v>
      </c>
      <c r="C5625">
        <v>1</v>
      </c>
      <c r="D5625" t="str">
        <f t="shared" si="87"/>
        <v>1848500.782</v>
      </c>
      <c r="E5625" t="s">
        <v>4165</v>
      </c>
      <c r="F5625" s="242"/>
      <c r="G5625"/>
      <c r="H5625" s="242">
        <v>794000</v>
      </c>
      <c r="I5625" s="242">
        <v>383497</v>
      </c>
      <c r="J5625"/>
    </row>
    <row r="5626" spans="1:10">
      <c r="A5626" t="s">
        <v>2674</v>
      </c>
      <c r="B5626">
        <v>848500</v>
      </c>
      <c r="C5626">
        <v>1</v>
      </c>
      <c r="D5626" t="str">
        <f t="shared" si="87"/>
        <v>1848500.783</v>
      </c>
      <c r="E5626" t="s">
        <v>4166</v>
      </c>
      <c r="F5626" s="242"/>
      <c r="G5626"/>
      <c r="H5626" s="242">
        <v>44000</v>
      </c>
      <c r="I5626" s="242">
        <v>44000</v>
      </c>
      <c r="J5626"/>
    </row>
    <row r="5627" spans="1:10">
      <c r="A5627" t="s">
        <v>1363</v>
      </c>
      <c r="B5627">
        <v>848500</v>
      </c>
      <c r="C5627">
        <v>1</v>
      </c>
      <c r="D5627" t="str">
        <f t="shared" si="87"/>
        <v>1848500.841</v>
      </c>
      <c r="E5627" t="s">
        <v>4161</v>
      </c>
      <c r="F5627" s="242"/>
      <c r="G5627"/>
      <c r="H5627" s="242">
        <v>80000</v>
      </c>
      <c r="I5627" s="242">
        <v>1</v>
      </c>
      <c r="J5627"/>
    </row>
    <row r="5628" spans="1:10">
      <c r="A5628" t="s">
        <v>872</v>
      </c>
      <c r="B5628">
        <v>849000</v>
      </c>
      <c r="C5628">
        <v>1</v>
      </c>
      <c r="D5628" t="str">
        <f t="shared" si="87"/>
        <v>1849000.781</v>
      </c>
      <c r="E5628" t="s">
        <v>4033</v>
      </c>
      <c r="F5628" s="242"/>
      <c r="G5628"/>
      <c r="H5628" s="242">
        <v>160000</v>
      </c>
      <c r="I5628" s="242">
        <v>108983</v>
      </c>
      <c r="J5628"/>
    </row>
    <row r="5629" spans="1:10">
      <c r="A5629" t="s">
        <v>3829</v>
      </c>
      <c r="B5629">
        <v>849000</v>
      </c>
      <c r="C5629">
        <v>1</v>
      </c>
      <c r="D5629" t="str">
        <f t="shared" si="87"/>
        <v>1849000.840</v>
      </c>
      <c r="E5629" t="s">
        <v>4034</v>
      </c>
      <c r="F5629" s="242"/>
      <c r="G5629"/>
      <c r="H5629" s="242">
        <v>83713</v>
      </c>
      <c r="I5629" s="242">
        <v>190643</v>
      </c>
      <c r="J5629"/>
    </row>
    <row r="5630" spans="1:10">
      <c r="A5630" t="s">
        <v>1496</v>
      </c>
      <c r="B5630">
        <v>849000</v>
      </c>
      <c r="C5630">
        <v>1</v>
      </c>
      <c r="D5630" t="str">
        <f t="shared" si="87"/>
        <v>1849000.847</v>
      </c>
      <c r="E5630" t="s">
        <v>4035</v>
      </c>
      <c r="F5630" s="242"/>
      <c r="G5630"/>
      <c r="H5630" s="242">
        <v>42646</v>
      </c>
      <c r="I5630" s="242">
        <v>43077</v>
      </c>
      <c r="J5630"/>
    </row>
    <row r="5631" spans="1:10">
      <c r="A5631" t="s">
        <v>1521</v>
      </c>
      <c r="B5631">
        <v>849000</v>
      </c>
      <c r="C5631">
        <v>1</v>
      </c>
      <c r="D5631" t="str">
        <f t="shared" si="87"/>
        <v>1849000.848</v>
      </c>
      <c r="E5631" t="s">
        <v>4019</v>
      </c>
      <c r="F5631" s="242"/>
      <c r="G5631"/>
      <c r="H5631" s="242">
        <v>79792</v>
      </c>
      <c r="I5631" s="242">
        <v>27309</v>
      </c>
      <c r="J5631"/>
    </row>
    <row r="5632" spans="1:10">
      <c r="A5632" t="s">
        <v>2632</v>
      </c>
      <c r="B5632">
        <v>849000</v>
      </c>
      <c r="C5632">
        <v>1</v>
      </c>
      <c r="D5632" t="str">
        <f t="shared" si="87"/>
        <v>1849000.780</v>
      </c>
      <c r="E5632" t="s">
        <v>4087</v>
      </c>
      <c r="F5632" s="242"/>
      <c r="G5632"/>
      <c r="H5632" s="242">
        <v>0</v>
      </c>
      <c r="I5632" s="242">
        <v>0</v>
      </c>
      <c r="J5632"/>
    </row>
    <row r="5633" spans="1:10">
      <c r="A5633" t="s">
        <v>3829</v>
      </c>
      <c r="B5633">
        <v>849001</v>
      </c>
      <c r="C5633">
        <v>1</v>
      </c>
      <c r="D5633" t="str">
        <f t="shared" si="87"/>
        <v>1849001.840</v>
      </c>
      <c r="E5633" t="s">
        <v>4020</v>
      </c>
      <c r="F5633" s="242"/>
      <c r="G5633"/>
      <c r="H5633" s="242">
        <v>48627</v>
      </c>
      <c r="I5633" s="242">
        <v>67313</v>
      </c>
      <c r="J5633"/>
    </row>
    <row r="5634" spans="1:10">
      <c r="A5634" t="s">
        <v>1363</v>
      </c>
      <c r="B5634">
        <v>849001</v>
      </c>
      <c r="C5634">
        <v>1</v>
      </c>
      <c r="D5634" t="str">
        <f t="shared" si="87"/>
        <v>1849001.841</v>
      </c>
      <c r="E5634" t="s">
        <v>4021</v>
      </c>
      <c r="F5634" s="242"/>
      <c r="G5634"/>
      <c r="H5634" s="242">
        <v>90667</v>
      </c>
      <c r="I5634" s="242">
        <v>50517</v>
      </c>
      <c r="J5634"/>
    </row>
    <row r="5635" spans="1:10">
      <c r="A5635" t="s">
        <v>3829</v>
      </c>
      <c r="B5635">
        <v>849100</v>
      </c>
      <c r="C5635">
        <v>1</v>
      </c>
      <c r="D5635" t="str">
        <f t="shared" ref="D5635:D5698" si="88">C5635&amp;B5635&amp;"."&amp;A5635</f>
        <v>1849100.840</v>
      </c>
      <c r="E5635" t="s">
        <v>4022</v>
      </c>
      <c r="F5635" s="242"/>
      <c r="G5635"/>
      <c r="H5635" s="242">
        <v>3434189</v>
      </c>
      <c r="I5635" s="242">
        <v>3291939</v>
      </c>
      <c r="J5635"/>
    </row>
    <row r="5636" spans="1:10">
      <c r="A5636" t="s">
        <v>1367</v>
      </c>
      <c r="B5636">
        <v>849100</v>
      </c>
      <c r="C5636">
        <v>1</v>
      </c>
      <c r="D5636" t="str">
        <f t="shared" si="88"/>
        <v>1849100.842</v>
      </c>
      <c r="E5636" t="s">
        <v>4036</v>
      </c>
      <c r="F5636" s="242"/>
      <c r="G5636"/>
      <c r="H5636" s="242">
        <v>453133</v>
      </c>
      <c r="I5636" s="242">
        <v>359530</v>
      </c>
      <c r="J5636"/>
    </row>
    <row r="5637" spans="1:10">
      <c r="A5637" t="s">
        <v>1426</v>
      </c>
      <c r="B5637">
        <v>849100</v>
      </c>
      <c r="C5637">
        <v>1</v>
      </c>
      <c r="D5637" t="str">
        <f t="shared" si="88"/>
        <v>1849100.845</v>
      </c>
      <c r="E5637" t="s">
        <v>4024</v>
      </c>
      <c r="F5637" s="242"/>
      <c r="G5637"/>
      <c r="H5637" s="242">
        <v>20000</v>
      </c>
      <c r="I5637" s="242">
        <v>0</v>
      </c>
      <c r="J5637"/>
    </row>
    <row r="5638" spans="1:10">
      <c r="A5638" t="s">
        <v>1521</v>
      </c>
      <c r="B5638">
        <v>849100</v>
      </c>
      <c r="C5638">
        <v>1</v>
      </c>
      <c r="D5638" t="str">
        <f t="shared" si="88"/>
        <v>1849100.848</v>
      </c>
      <c r="E5638" t="s">
        <v>4026</v>
      </c>
      <c r="F5638" s="242"/>
      <c r="G5638"/>
      <c r="H5638" s="242">
        <v>23157</v>
      </c>
      <c r="I5638" s="242">
        <v>9074</v>
      </c>
      <c r="J5638"/>
    </row>
    <row r="5639" spans="1:10">
      <c r="A5639" t="s">
        <v>1545</v>
      </c>
      <c r="B5639">
        <v>849100</v>
      </c>
      <c r="C5639">
        <v>1</v>
      </c>
      <c r="D5639" t="str">
        <f t="shared" si="88"/>
        <v>1849100.849</v>
      </c>
      <c r="E5639" t="s">
        <v>4027</v>
      </c>
      <c r="F5639" s="242"/>
      <c r="G5639"/>
      <c r="H5639" s="242">
        <v>0</v>
      </c>
      <c r="I5639" s="242">
        <v>8760</v>
      </c>
      <c r="J5639"/>
    </row>
    <row r="5640" spans="1:10">
      <c r="A5640" t="s">
        <v>1176</v>
      </c>
      <c r="B5640">
        <v>849100</v>
      </c>
      <c r="C5640">
        <v>1</v>
      </c>
      <c r="D5640" t="str">
        <f t="shared" si="88"/>
        <v>1849100.821</v>
      </c>
      <c r="E5640" t="s">
        <v>4417</v>
      </c>
      <c r="F5640" s="242"/>
      <c r="G5640"/>
      <c r="H5640" s="242">
        <v>0</v>
      </c>
      <c r="I5640" s="242">
        <v>9043</v>
      </c>
      <c r="J5640"/>
    </row>
    <row r="5641" spans="1:10">
      <c r="A5641" t="s">
        <v>1181</v>
      </c>
      <c r="B5641">
        <v>849100</v>
      </c>
      <c r="C5641">
        <v>1</v>
      </c>
      <c r="D5641" t="str">
        <f t="shared" si="88"/>
        <v>1849100.822</v>
      </c>
      <c r="E5641" t="s">
        <v>4418</v>
      </c>
      <c r="F5641" s="242"/>
      <c r="G5641"/>
      <c r="H5641" s="242">
        <v>0</v>
      </c>
      <c r="I5641" s="242">
        <v>6735</v>
      </c>
      <c r="J5641"/>
    </row>
    <row r="5642" spans="1:10">
      <c r="A5642" t="s">
        <v>2403</v>
      </c>
      <c r="B5642">
        <v>849110</v>
      </c>
      <c r="C5642">
        <v>1</v>
      </c>
      <c r="D5642" t="str">
        <f t="shared" si="88"/>
        <v>1849110.110</v>
      </c>
      <c r="E5642" t="s">
        <v>4037</v>
      </c>
      <c r="F5642" s="242"/>
      <c r="G5642"/>
      <c r="H5642" s="242">
        <v>222311</v>
      </c>
      <c r="I5642" s="242">
        <v>216293</v>
      </c>
      <c r="J5642"/>
    </row>
    <row r="5643" spans="1:10">
      <c r="A5643" t="s">
        <v>2404</v>
      </c>
      <c r="B5643">
        <v>849110</v>
      </c>
      <c r="C5643">
        <v>1</v>
      </c>
      <c r="D5643" t="str">
        <f t="shared" si="88"/>
        <v>1849110.120</v>
      </c>
      <c r="E5643" t="s">
        <v>2574</v>
      </c>
      <c r="F5643" s="242"/>
      <c r="G5643"/>
      <c r="H5643" s="242">
        <v>14305</v>
      </c>
      <c r="I5643" s="242">
        <v>14295</v>
      </c>
      <c r="J5643"/>
    </row>
    <row r="5644" spans="1:10">
      <c r="A5644" t="s">
        <v>2575</v>
      </c>
      <c r="B5644">
        <v>849110</v>
      </c>
      <c r="C5644">
        <v>1</v>
      </c>
      <c r="D5644" t="str">
        <f t="shared" si="88"/>
        <v>1849110.130</v>
      </c>
      <c r="E5644" t="s">
        <v>2576</v>
      </c>
      <c r="F5644" s="242"/>
      <c r="G5644"/>
      <c r="H5644" s="242">
        <v>539</v>
      </c>
      <c r="I5644" s="242">
        <v>474</v>
      </c>
      <c r="J5644"/>
    </row>
    <row r="5645" spans="1:10">
      <c r="A5645" t="s">
        <v>2577</v>
      </c>
      <c r="B5645">
        <v>849110</v>
      </c>
      <c r="C5645">
        <v>1</v>
      </c>
      <c r="D5645" t="str">
        <f t="shared" si="88"/>
        <v>1849110.140</v>
      </c>
      <c r="E5645" t="s">
        <v>2578</v>
      </c>
      <c r="F5645" s="242"/>
      <c r="G5645"/>
      <c r="H5645" s="242">
        <v>11332</v>
      </c>
      <c r="I5645" s="242">
        <v>10944</v>
      </c>
      <c r="J5645"/>
    </row>
    <row r="5646" spans="1:10">
      <c r="A5646" t="s">
        <v>2579</v>
      </c>
      <c r="B5646">
        <v>849110</v>
      </c>
      <c r="C5646">
        <v>1</v>
      </c>
      <c r="D5646" t="str">
        <f t="shared" si="88"/>
        <v>1849110.181</v>
      </c>
      <c r="E5646" t="s">
        <v>2580</v>
      </c>
      <c r="F5646" s="242"/>
      <c r="G5646"/>
      <c r="H5646" s="242">
        <v>43660</v>
      </c>
      <c r="I5646" s="242">
        <v>41959</v>
      </c>
      <c r="J5646"/>
    </row>
    <row r="5647" spans="1:10">
      <c r="A5647" t="s">
        <v>2581</v>
      </c>
      <c r="B5647">
        <v>849110</v>
      </c>
      <c r="C5647">
        <v>1</v>
      </c>
      <c r="D5647" t="str">
        <f t="shared" si="88"/>
        <v>1849110.182</v>
      </c>
      <c r="E5647" t="s">
        <v>2582</v>
      </c>
      <c r="F5647" s="242"/>
      <c r="G5647"/>
      <c r="H5647" s="242">
        <v>19162</v>
      </c>
      <c r="I5647" s="242">
        <v>18654</v>
      </c>
      <c r="J5647"/>
    </row>
    <row r="5648" spans="1:10">
      <c r="A5648" t="s">
        <v>2632</v>
      </c>
      <c r="B5648">
        <v>849200</v>
      </c>
      <c r="C5648">
        <v>1</v>
      </c>
      <c r="D5648" t="str">
        <f t="shared" si="88"/>
        <v>1849200.780</v>
      </c>
      <c r="E5648" t="s">
        <v>4038</v>
      </c>
      <c r="F5648" s="242"/>
      <c r="G5648"/>
      <c r="H5648" s="242">
        <v>0</v>
      </c>
      <c r="I5648" s="242">
        <v>19000</v>
      </c>
      <c r="J5648"/>
    </row>
    <row r="5649" spans="1:10">
      <c r="A5649" t="s">
        <v>3829</v>
      </c>
      <c r="B5649">
        <v>849200</v>
      </c>
      <c r="C5649">
        <v>1</v>
      </c>
      <c r="D5649" t="str">
        <f t="shared" si="88"/>
        <v>1849200.840</v>
      </c>
      <c r="E5649" t="s">
        <v>4028</v>
      </c>
      <c r="F5649" s="242"/>
      <c r="G5649"/>
      <c r="H5649" s="242">
        <v>256267</v>
      </c>
      <c r="I5649" s="242">
        <v>94959</v>
      </c>
      <c r="J5649"/>
    </row>
    <row r="5650" spans="1:10">
      <c r="A5650" t="s">
        <v>1363</v>
      </c>
      <c r="B5650">
        <v>849200</v>
      </c>
      <c r="C5650">
        <v>1</v>
      </c>
      <c r="D5650" t="str">
        <f t="shared" si="88"/>
        <v>1849200.841</v>
      </c>
      <c r="E5650" t="s">
        <v>4029</v>
      </c>
      <c r="F5650" s="242"/>
      <c r="G5650"/>
      <c r="H5650" s="242">
        <v>120887</v>
      </c>
      <c r="I5650" s="242">
        <v>314834</v>
      </c>
      <c r="J5650"/>
    </row>
    <row r="5651" spans="1:10">
      <c r="A5651" t="s">
        <v>1367</v>
      </c>
      <c r="B5651">
        <v>849200</v>
      </c>
      <c r="C5651">
        <v>1</v>
      </c>
      <c r="D5651" t="str">
        <f t="shared" si="88"/>
        <v>1849200.842</v>
      </c>
      <c r="E5651" t="s">
        <v>4030</v>
      </c>
      <c r="F5651" s="242"/>
      <c r="G5651"/>
      <c r="H5651" s="242">
        <v>82667</v>
      </c>
      <c r="I5651" s="242">
        <v>103658</v>
      </c>
      <c r="J5651"/>
    </row>
    <row r="5652" spans="1:10">
      <c r="A5652" t="s">
        <v>1496</v>
      </c>
      <c r="B5652">
        <v>849200</v>
      </c>
      <c r="C5652">
        <v>1</v>
      </c>
      <c r="D5652" t="str">
        <f t="shared" si="88"/>
        <v>1849200.847</v>
      </c>
      <c r="E5652" t="s">
        <v>4031</v>
      </c>
      <c r="F5652" s="242"/>
      <c r="G5652"/>
      <c r="H5652" s="242">
        <v>783193</v>
      </c>
      <c r="I5652" s="242">
        <v>620506</v>
      </c>
      <c r="J5652"/>
    </row>
    <row r="5653" spans="1:10">
      <c r="A5653" t="s">
        <v>3829</v>
      </c>
      <c r="B5653">
        <v>849300</v>
      </c>
      <c r="C5653">
        <v>1</v>
      </c>
      <c r="D5653" t="str">
        <f t="shared" si="88"/>
        <v>1849300.840</v>
      </c>
      <c r="E5653" t="s">
        <v>4032</v>
      </c>
      <c r="F5653" s="242"/>
      <c r="G5653"/>
      <c r="H5653" s="242">
        <v>60000</v>
      </c>
      <c r="I5653" s="242">
        <v>63105</v>
      </c>
      <c r="J5653"/>
    </row>
    <row r="5654" spans="1:10">
      <c r="A5654" t="s">
        <v>3662</v>
      </c>
      <c r="B5654">
        <v>850000</v>
      </c>
      <c r="C5654">
        <v>1</v>
      </c>
      <c r="D5654" t="str">
        <f t="shared" si="88"/>
        <v>1850000.820</v>
      </c>
      <c r="E5654" t="s">
        <v>4420</v>
      </c>
      <c r="F5654" s="242"/>
      <c r="G5654"/>
      <c r="H5654" s="242">
        <v>90000</v>
      </c>
      <c r="I5654" s="242">
        <v>0</v>
      </c>
      <c r="J5654"/>
    </row>
    <row r="5655" spans="1:10">
      <c r="A5655" t="s">
        <v>933</v>
      </c>
      <c r="B5655">
        <v>851000</v>
      </c>
      <c r="C5655">
        <v>1</v>
      </c>
      <c r="D5655" t="str">
        <f t="shared" si="88"/>
        <v>1851000.811</v>
      </c>
      <c r="E5655" t="s">
        <v>4421</v>
      </c>
      <c r="F5655" s="242"/>
      <c r="G5655"/>
      <c r="H5655" s="242">
        <v>5700000</v>
      </c>
      <c r="I5655" s="242">
        <v>4732039</v>
      </c>
      <c r="J5655"/>
    </row>
    <row r="5656" spans="1:10">
      <c r="A5656" t="s">
        <v>938</v>
      </c>
      <c r="B5656">
        <v>851000</v>
      </c>
      <c r="C5656">
        <v>1</v>
      </c>
      <c r="D5656" t="str">
        <f t="shared" si="88"/>
        <v>1851000.812</v>
      </c>
      <c r="E5656" t="s">
        <v>4422</v>
      </c>
      <c r="F5656" s="242"/>
      <c r="G5656"/>
      <c r="H5656" s="242">
        <v>0</v>
      </c>
      <c r="I5656" s="242">
        <v>364633</v>
      </c>
      <c r="J5656"/>
    </row>
    <row r="5657" spans="1:10">
      <c r="A5657" t="s">
        <v>933</v>
      </c>
      <c r="B5657">
        <v>851100</v>
      </c>
      <c r="C5657">
        <v>1</v>
      </c>
      <c r="D5657" t="str">
        <f t="shared" si="88"/>
        <v>1851100.811</v>
      </c>
      <c r="E5657" t="s">
        <v>4423</v>
      </c>
      <c r="F5657" s="242"/>
      <c r="G5657"/>
      <c r="H5657" s="242">
        <v>0</v>
      </c>
      <c r="I5657" s="242">
        <v>539851</v>
      </c>
      <c r="J5657"/>
    </row>
    <row r="5658" spans="1:10">
      <c r="A5658" t="s">
        <v>3307</v>
      </c>
      <c r="B5658">
        <v>852000</v>
      </c>
      <c r="C5658">
        <v>1</v>
      </c>
      <c r="D5658" t="str">
        <f t="shared" si="88"/>
        <v>1852000.810</v>
      </c>
      <c r="E5658" t="s">
        <v>4424</v>
      </c>
      <c r="F5658" s="242"/>
      <c r="G5658"/>
      <c r="H5658" s="242">
        <v>52000</v>
      </c>
      <c r="I5658" s="242">
        <v>52000</v>
      </c>
      <c r="J5658"/>
    </row>
    <row r="5659" spans="1:10">
      <c r="A5659" t="s">
        <v>1026</v>
      </c>
      <c r="B5659">
        <v>856000</v>
      </c>
      <c r="C5659">
        <v>1</v>
      </c>
      <c r="D5659" t="str">
        <f t="shared" si="88"/>
        <v>1856000.815</v>
      </c>
      <c r="E5659" t="s">
        <v>4425</v>
      </c>
      <c r="F5659" s="242"/>
      <c r="G5659"/>
      <c r="H5659" s="242">
        <v>200000</v>
      </c>
      <c r="I5659" s="242">
        <v>200000</v>
      </c>
      <c r="J5659"/>
    </row>
    <row r="5660" spans="1:10">
      <c r="A5660" t="s">
        <v>1191</v>
      </c>
      <c r="B5660">
        <v>856000</v>
      </c>
      <c r="C5660">
        <v>1</v>
      </c>
      <c r="D5660" t="str">
        <f t="shared" si="88"/>
        <v>1856000.824</v>
      </c>
      <c r="E5660" t="s">
        <v>4426</v>
      </c>
      <c r="F5660" s="242"/>
      <c r="G5660"/>
      <c r="H5660" s="242">
        <v>0</v>
      </c>
      <c r="I5660" s="242">
        <v>12952</v>
      </c>
      <c r="J5660"/>
    </row>
    <row r="5661" spans="1:10">
      <c r="A5661" t="s">
        <v>1196</v>
      </c>
      <c r="B5661">
        <v>856000</v>
      </c>
      <c r="C5661">
        <v>1</v>
      </c>
      <c r="D5661" t="str">
        <f t="shared" si="88"/>
        <v>1856000.825</v>
      </c>
      <c r="E5661" t="s">
        <v>4427</v>
      </c>
      <c r="F5661" s="242"/>
      <c r="G5661"/>
      <c r="H5661" s="242">
        <v>0</v>
      </c>
      <c r="I5661" s="242">
        <v>31142</v>
      </c>
      <c r="J5661"/>
    </row>
    <row r="5662" spans="1:10">
      <c r="A5662" t="s">
        <v>1245</v>
      </c>
      <c r="B5662">
        <v>856100</v>
      </c>
      <c r="C5662">
        <v>1</v>
      </c>
      <c r="D5662" t="str">
        <f t="shared" si="88"/>
        <v>1856100.828</v>
      </c>
      <c r="E5662" t="s">
        <v>4428</v>
      </c>
      <c r="F5662" s="242"/>
      <c r="G5662"/>
      <c r="H5662" s="242">
        <v>0</v>
      </c>
      <c r="I5662" s="242">
        <v>7999</v>
      </c>
      <c r="J5662"/>
    </row>
    <row r="5663" spans="1:10">
      <c r="A5663" t="s">
        <v>2419</v>
      </c>
      <c r="B5663">
        <v>856100</v>
      </c>
      <c r="C5663">
        <v>1</v>
      </c>
      <c r="D5663" t="str">
        <f t="shared" si="88"/>
        <v>1856100.829</v>
      </c>
      <c r="E5663" t="s">
        <v>4429</v>
      </c>
      <c r="F5663" s="242"/>
      <c r="G5663"/>
      <c r="H5663" s="242">
        <v>0</v>
      </c>
      <c r="I5663" s="242">
        <v>10253</v>
      </c>
      <c r="J5663"/>
    </row>
    <row r="5664" spans="1:10">
      <c r="A5664" t="s">
        <v>1181</v>
      </c>
      <c r="B5664">
        <v>856110</v>
      </c>
      <c r="C5664">
        <v>1</v>
      </c>
      <c r="D5664" t="str">
        <f t="shared" si="88"/>
        <v>1856110.822</v>
      </c>
      <c r="E5664" t="s">
        <v>4430</v>
      </c>
      <c r="F5664" s="242"/>
      <c r="G5664"/>
      <c r="H5664" s="242">
        <v>0</v>
      </c>
      <c r="I5664" s="242">
        <v>10148</v>
      </c>
      <c r="J5664"/>
    </row>
    <row r="5665" spans="1:10">
      <c r="A5665" t="s">
        <v>1186</v>
      </c>
      <c r="B5665">
        <v>856110</v>
      </c>
      <c r="C5665">
        <v>1</v>
      </c>
      <c r="D5665" t="str">
        <f t="shared" si="88"/>
        <v>1856110.823</v>
      </c>
      <c r="E5665" t="s">
        <v>4431</v>
      </c>
      <c r="F5665" s="242"/>
      <c r="G5665"/>
      <c r="H5665" s="242">
        <v>0</v>
      </c>
      <c r="I5665" s="242">
        <v>6048</v>
      </c>
      <c r="J5665"/>
    </row>
    <row r="5666" spans="1:10">
      <c r="A5666" t="s">
        <v>1191</v>
      </c>
      <c r="B5666">
        <v>856110</v>
      </c>
      <c r="C5666">
        <v>1</v>
      </c>
      <c r="D5666" t="str">
        <f t="shared" si="88"/>
        <v>1856110.824</v>
      </c>
      <c r="E5666" t="s">
        <v>4432</v>
      </c>
      <c r="F5666" s="242"/>
      <c r="G5666"/>
      <c r="H5666" s="242">
        <v>0</v>
      </c>
      <c r="I5666" s="242">
        <v>3662</v>
      </c>
      <c r="J5666"/>
    </row>
    <row r="5667" spans="1:10">
      <c r="A5667" t="s">
        <v>1196</v>
      </c>
      <c r="B5667">
        <v>856110</v>
      </c>
      <c r="C5667">
        <v>1</v>
      </c>
      <c r="D5667" t="str">
        <f t="shared" si="88"/>
        <v>1856110.825</v>
      </c>
      <c r="E5667" t="s">
        <v>4433</v>
      </c>
      <c r="F5667" s="242"/>
      <c r="G5667"/>
      <c r="H5667" s="242">
        <v>0</v>
      </c>
      <c r="I5667" s="242">
        <v>5229</v>
      </c>
      <c r="J5667"/>
    </row>
    <row r="5668" spans="1:10">
      <c r="A5668" t="s">
        <v>1216</v>
      </c>
      <c r="B5668">
        <v>856110</v>
      </c>
      <c r="C5668">
        <v>1</v>
      </c>
      <c r="D5668" t="str">
        <f t="shared" si="88"/>
        <v>1856110.826</v>
      </c>
      <c r="E5668" t="s">
        <v>4434</v>
      </c>
      <c r="F5668" s="242"/>
      <c r="G5668"/>
      <c r="H5668" s="242">
        <v>0</v>
      </c>
      <c r="I5668" s="242">
        <v>6699</v>
      </c>
      <c r="J5668"/>
    </row>
    <row r="5669" spans="1:10">
      <c r="A5669" t="s">
        <v>791</v>
      </c>
      <c r="B5669">
        <v>869000</v>
      </c>
      <c r="C5669">
        <v>1</v>
      </c>
      <c r="D5669" t="str">
        <f t="shared" si="88"/>
        <v>1869000.756</v>
      </c>
      <c r="E5669" t="s">
        <v>3694</v>
      </c>
      <c r="F5669" s="242"/>
      <c r="G5669"/>
      <c r="H5669" s="242">
        <v>140000</v>
      </c>
      <c r="I5669" s="242">
        <v>140000</v>
      </c>
      <c r="J5669"/>
    </row>
    <row r="5670" spans="1:10">
      <c r="A5670" t="s">
        <v>877</v>
      </c>
      <c r="B5670">
        <v>869000</v>
      </c>
      <c r="C5670">
        <v>1</v>
      </c>
      <c r="D5670" t="str">
        <f t="shared" si="88"/>
        <v>1869000.782</v>
      </c>
      <c r="E5670" t="s">
        <v>3690</v>
      </c>
      <c r="F5670" s="242"/>
      <c r="G5670"/>
      <c r="H5670" s="242">
        <v>1800000</v>
      </c>
      <c r="I5670" s="242">
        <v>954954</v>
      </c>
      <c r="J5670"/>
    </row>
    <row r="5671" spans="1:10">
      <c r="A5671" t="s">
        <v>2674</v>
      </c>
      <c r="B5671">
        <v>869000</v>
      </c>
      <c r="C5671">
        <v>1</v>
      </c>
      <c r="D5671" t="str">
        <f t="shared" si="88"/>
        <v>1869000.783</v>
      </c>
      <c r="E5671" t="s">
        <v>4673</v>
      </c>
      <c r="F5671" s="242"/>
      <c r="G5671"/>
      <c r="H5671" s="242">
        <v>0</v>
      </c>
      <c r="I5671" s="242">
        <v>202554</v>
      </c>
      <c r="J5671"/>
    </row>
    <row r="5672" spans="1:10">
      <c r="A5672" t="s">
        <v>2676</v>
      </c>
      <c r="B5672">
        <v>869000</v>
      </c>
      <c r="C5672">
        <v>1</v>
      </c>
      <c r="D5672" t="str">
        <f t="shared" si="88"/>
        <v>1869000.784</v>
      </c>
      <c r="E5672" t="s">
        <v>3693</v>
      </c>
      <c r="F5672" s="242"/>
      <c r="G5672"/>
      <c r="H5672" s="242">
        <v>0</v>
      </c>
      <c r="I5672" s="242">
        <v>455813</v>
      </c>
      <c r="J5672"/>
    </row>
    <row r="5673" spans="1:10">
      <c r="A5673" t="s">
        <v>3030</v>
      </c>
      <c r="B5673">
        <v>869000</v>
      </c>
      <c r="C5673">
        <v>1</v>
      </c>
      <c r="D5673" t="str">
        <f t="shared" si="88"/>
        <v>1869000.787</v>
      </c>
      <c r="E5673" t="s">
        <v>3691</v>
      </c>
      <c r="F5673" s="242"/>
      <c r="G5673"/>
      <c r="H5673" s="242">
        <v>553000</v>
      </c>
      <c r="I5673" s="242">
        <v>634807</v>
      </c>
      <c r="J5673"/>
    </row>
    <row r="5674" spans="1:10">
      <c r="A5674" t="s">
        <v>2859</v>
      </c>
      <c r="B5674">
        <v>869000</v>
      </c>
      <c r="C5674">
        <v>1</v>
      </c>
      <c r="D5674" t="str">
        <f t="shared" si="88"/>
        <v>1869000.870</v>
      </c>
      <c r="E5674" t="s">
        <v>3695</v>
      </c>
      <c r="F5674" s="242"/>
      <c r="G5674"/>
      <c r="H5674" s="242">
        <v>700000</v>
      </c>
      <c r="I5674" s="242">
        <v>700000</v>
      </c>
      <c r="J5674"/>
    </row>
    <row r="5675" spans="1:10">
      <c r="A5675" t="s">
        <v>4573</v>
      </c>
      <c r="B5675">
        <v>870000</v>
      </c>
      <c r="C5675">
        <v>1</v>
      </c>
      <c r="D5675" t="str">
        <f t="shared" si="88"/>
        <v>1870000.320</v>
      </c>
      <c r="E5675" t="s">
        <v>4574</v>
      </c>
      <c r="F5675" s="242"/>
      <c r="G5675"/>
      <c r="H5675" s="242">
        <v>0</v>
      </c>
      <c r="I5675" s="242">
        <v>361462</v>
      </c>
      <c r="J5675"/>
    </row>
    <row r="5676" spans="1:10">
      <c r="A5676" t="s">
        <v>2403</v>
      </c>
      <c r="B5676">
        <v>871000</v>
      </c>
      <c r="C5676">
        <v>1</v>
      </c>
      <c r="D5676" t="str">
        <f t="shared" si="88"/>
        <v>1871000.110</v>
      </c>
      <c r="E5676" t="s">
        <v>2573</v>
      </c>
      <c r="F5676" s="242"/>
      <c r="G5676"/>
      <c r="H5676" s="242">
        <v>319656</v>
      </c>
      <c r="I5676" s="242">
        <v>271324</v>
      </c>
      <c r="J5676"/>
    </row>
    <row r="5677" spans="1:10">
      <c r="A5677" t="s">
        <v>2404</v>
      </c>
      <c r="B5677">
        <v>871000</v>
      </c>
      <c r="C5677">
        <v>1</v>
      </c>
      <c r="D5677" t="str">
        <f t="shared" si="88"/>
        <v>1871000.120</v>
      </c>
      <c r="E5677" t="s">
        <v>2574</v>
      </c>
      <c r="F5677" s="242"/>
      <c r="G5677"/>
      <c r="H5677" s="242">
        <v>70121</v>
      </c>
      <c r="I5677" s="242">
        <v>66254</v>
      </c>
      <c r="J5677"/>
    </row>
    <row r="5678" spans="1:10">
      <c r="A5678" t="s">
        <v>2575</v>
      </c>
      <c r="B5678">
        <v>871000</v>
      </c>
      <c r="C5678">
        <v>1</v>
      </c>
      <c r="D5678" t="str">
        <f t="shared" si="88"/>
        <v>1871000.130</v>
      </c>
      <c r="E5678" t="s">
        <v>2576</v>
      </c>
      <c r="F5678" s="242"/>
      <c r="G5678"/>
      <c r="H5678" s="242">
        <v>5928</v>
      </c>
      <c r="I5678" s="242">
        <v>4828</v>
      </c>
      <c r="J5678"/>
    </row>
    <row r="5679" spans="1:10">
      <c r="A5679" t="s">
        <v>2577</v>
      </c>
      <c r="B5679">
        <v>871000</v>
      </c>
      <c r="C5679">
        <v>1</v>
      </c>
      <c r="D5679" t="str">
        <f t="shared" si="88"/>
        <v>1871000.140</v>
      </c>
      <c r="E5679" t="s">
        <v>2578</v>
      </c>
      <c r="F5679" s="242"/>
      <c r="G5679"/>
      <c r="H5679" s="242">
        <v>121123</v>
      </c>
      <c r="I5679" s="242">
        <v>85787</v>
      </c>
      <c r="J5679"/>
    </row>
    <row r="5680" spans="1:10">
      <c r="A5680" t="s">
        <v>2579</v>
      </c>
      <c r="B5680">
        <v>871000</v>
      </c>
      <c r="C5680">
        <v>1</v>
      </c>
      <c r="D5680" t="str">
        <f t="shared" si="88"/>
        <v>1871000.181</v>
      </c>
      <c r="E5680" t="s">
        <v>2580</v>
      </c>
      <c r="F5680" s="242"/>
      <c r="G5680"/>
      <c r="H5680" s="242">
        <v>82199</v>
      </c>
      <c r="I5680" s="242">
        <v>68140</v>
      </c>
      <c r="J5680"/>
    </row>
    <row r="5681" spans="1:10">
      <c r="A5681" t="s">
        <v>2581</v>
      </c>
      <c r="B5681">
        <v>871000</v>
      </c>
      <c r="C5681">
        <v>1</v>
      </c>
      <c r="D5681" t="str">
        <f t="shared" si="88"/>
        <v>1871000.182</v>
      </c>
      <c r="E5681" t="s">
        <v>2582</v>
      </c>
      <c r="F5681" s="242"/>
      <c r="G5681"/>
      <c r="H5681" s="242">
        <v>39066</v>
      </c>
      <c r="I5681" s="242">
        <v>32355</v>
      </c>
      <c r="J5681"/>
    </row>
    <row r="5682" spans="1:10">
      <c r="A5682" t="s">
        <v>2652</v>
      </c>
      <c r="B5682">
        <v>871000</v>
      </c>
      <c r="C5682">
        <v>1</v>
      </c>
      <c r="D5682" t="str">
        <f t="shared" si="88"/>
        <v>1871000.420</v>
      </c>
      <c r="E5682" t="s">
        <v>2653</v>
      </c>
      <c r="F5682" s="242"/>
      <c r="G5682"/>
      <c r="H5682" s="242">
        <v>9000</v>
      </c>
      <c r="I5682" s="242">
        <v>500</v>
      </c>
      <c r="J5682"/>
    </row>
    <row r="5683" spans="1:10">
      <c r="A5683" t="s">
        <v>1663</v>
      </c>
      <c r="B5683">
        <v>871000</v>
      </c>
      <c r="C5683">
        <v>1</v>
      </c>
      <c r="D5683" t="str">
        <f t="shared" si="88"/>
        <v>1871000.431</v>
      </c>
      <c r="E5683" t="s">
        <v>2654</v>
      </c>
      <c r="F5683" s="242"/>
      <c r="G5683"/>
      <c r="H5683" s="242">
        <v>7700</v>
      </c>
      <c r="I5683" s="242">
        <v>9581</v>
      </c>
      <c r="J5683"/>
    </row>
    <row r="5684" spans="1:10">
      <c r="A5684" t="s">
        <v>1673</v>
      </c>
      <c r="B5684">
        <v>871000</v>
      </c>
      <c r="C5684">
        <v>1</v>
      </c>
      <c r="D5684" t="str">
        <f t="shared" si="88"/>
        <v>1871000.433</v>
      </c>
      <c r="E5684" t="s">
        <v>2655</v>
      </c>
      <c r="F5684" s="242"/>
      <c r="G5684"/>
      <c r="H5684" s="242">
        <v>3000</v>
      </c>
      <c r="I5684" s="242">
        <v>2965</v>
      </c>
      <c r="J5684"/>
    </row>
    <row r="5685" spans="1:10">
      <c r="A5685" t="s">
        <v>1678</v>
      </c>
      <c r="B5685">
        <v>871000</v>
      </c>
      <c r="C5685">
        <v>1</v>
      </c>
      <c r="D5685" t="str">
        <f t="shared" si="88"/>
        <v>1871000.434</v>
      </c>
      <c r="E5685" t="s">
        <v>2753</v>
      </c>
      <c r="F5685" s="242"/>
      <c r="G5685"/>
      <c r="H5685" s="242">
        <v>18000</v>
      </c>
      <c r="I5685" s="242">
        <v>0</v>
      </c>
      <c r="J5685"/>
    </row>
    <row r="5686" spans="1:10">
      <c r="A5686" t="s">
        <v>2606</v>
      </c>
      <c r="B5686">
        <v>871000</v>
      </c>
      <c r="C5686">
        <v>1</v>
      </c>
      <c r="D5686" t="str">
        <f t="shared" si="88"/>
        <v>1871000.440</v>
      </c>
      <c r="E5686" t="s">
        <v>2657</v>
      </c>
      <c r="F5686" s="242"/>
      <c r="G5686"/>
      <c r="H5686" s="242">
        <v>1800</v>
      </c>
      <c r="I5686" s="242">
        <v>1706</v>
      </c>
      <c r="J5686"/>
    </row>
    <row r="5687" spans="1:10">
      <c r="A5687" t="s">
        <v>2411</v>
      </c>
      <c r="B5687">
        <v>871000</v>
      </c>
      <c r="C5687">
        <v>1</v>
      </c>
      <c r="D5687" t="str">
        <f t="shared" si="88"/>
        <v>1871000.470</v>
      </c>
      <c r="E5687" t="s">
        <v>2830</v>
      </c>
      <c r="F5687" s="242"/>
      <c r="G5687"/>
      <c r="H5687" s="242">
        <v>1500</v>
      </c>
      <c r="I5687" s="242">
        <v>753</v>
      </c>
      <c r="J5687"/>
    </row>
    <row r="5688" spans="1:10">
      <c r="A5688" t="s">
        <v>2286</v>
      </c>
      <c r="B5688">
        <v>871000</v>
      </c>
      <c r="C5688">
        <v>1</v>
      </c>
      <c r="D5688" t="str">
        <f t="shared" si="88"/>
        <v>1871000.511</v>
      </c>
      <c r="E5688" t="s">
        <v>2584</v>
      </c>
      <c r="F5688" s="242"/>
      <c r="G5688"/>
      <c r="H5688" s="242">
        <v>1500</v>
      </c>
      <c r="I5688" s="242">
        <v>1235</v>
      </c>
      <c r="J5688"/>
    </row>
    <row r="5689" spans="1:10">
      <c r="A5689" t="s">
        <v>2644</v>
      </c>
      <c r="B5689">
        <v>871000</v>
      </c>
      <c r="C5689">
        <v>1</v>
      </c>
      <c r="D5689" t="str">
        <f t="shared" si="88"/>
        <v>1871000.521</v>
      </c>
      <c r="E5689" t="s">
        <v>2734</v>
      </c>
      <c r="F5689" s="242"/>
      <c r="G5689"/>
      <c r="H5689" s="242">
        <v>5000</v>
      </c>
      <c r="I5689" s="242">
        <v>1500</v>
      </c>
      <c r="J5689"/>
    </row>
    <row r="5690" spans="1:10">
      <c r="A5690" t="s">
        <v>2588</v>
      </c>
      <c r="B5690">
        <v>871000</v>
      </c>
      <c r="C5690">
        <v>1</v>
      </c>
      <c r="D5690" t="str">
        <f t="shared" si="88"/>
        <v>1871000.522</v>
      </c>
      <c r="E5690" t="s">
        <v>2608</v>
      </c>
      <c r="F5690" s="242"/>
      <c r="G5690"/>
      <c r="H5690" s="242">
        <v>2000</v>
      </c>
      <c r="I5690" s="242">
        <v>0</v>
      </c>
      <c r="J5690"/>
    </row>
    <row r="5691" spans="1:10">
      <c r="A5691" t="s">
        <v>2594</v>
      </c>
      <c r="B5691">
        <v>871000</v>
      </c>
      <c r="C5691">
        <v>1</v>
      </c>
      <c r="D5691" t="str">
        <f t="shared" si="88"/>
        <v>1871000.540</v>
      </c>
      <c r="E5691" t="s">
        <v>2595</v>
      </c>
      <c r="F5691" s="242"/>
      <c r="G5691"/>
      <c r="H5691" s="242">
        <v>11000</v>
      </c>
      <c r="I5691" s="242">
        <v>5712</v>
      </c>
      <c r="J5691"/>
    </row>
    <row r="5692" spans="1:10">
      <c r="A5692" t="s">
        <v>2596</v>
      </c>
      <c r="B5692">
        <v>871000</v>
      </c>
      <c r="C5692">
        <v>1</v>
      </c>
      <c r="D5692" t="str">
        <f t="shared" si="88"/>
        <v>1871000.550</v>
      </c>
      <c r="E5692" t="s">
        <v>2597</v>
      </c>
      <c r="F5692" s="242"/>
      <c r="G5692"/>
      <c r="H5692" s="242">
        <v>1000</v>
      </c>
      <c r="I5692" s="242">
        <v>936</v>
      </c>
      <c r="J5692"/>
    </row>
    <row r="5693" spans="1:10">
      <c r="A5693" t="s">
        <v>2598</v>
      </c>
      <c r="B5693">
        <v>871000</v>
      </c>
      <c r="C5693">
        <v>1</v>
      </c>
      <c r="D5693" t="str">
        <f t="shared" si="88"/>
        <v>1871000.561</v>
      </c>
      <c r="E5693" t="s">
        <v>2599</v>
      </c>
      <c r="F5693" s="242"/>
      <c r="G5693"/>
      <c r="H5693" s="242">
        <v>3000</v>
      </c>
      <c r="I5693" s="242">
        <v>1855</v>
      </c>
      <c r="J5693"/>
    </row>
    <row r="5694" spans="1:10">
      <c r="A5694" t="s">
        <v>2600</v>
      </c>
      <c r="B5694">
        <v>871000</v>
      </c>
      <c r="C5694">
        <v>1</v>
      </c>
      <c r="D5694" t="str">
        <f t="shared" si="88"/>
        <v>1871000.580</v>
      </c>
      <c r="E5694" t="s">
        <v>2601</v>
      </c>
      <c r="F5694" s="242"/>
      <c r="G5694"/>
      <c r="H5694" s="242">
        <v>4000</v>
      </c>
      <c r="I5694" s="242">
        <v>1723</v>
      </c>
      <c r="J5694"/>
    </row>
    <row r="5695" spans="1:10">
      <c r="A5695" t="s">
        <v>2704</v>
      </c>
      <c r="B5695">
        <v>871000</v>
      </c>
      <c r="C5695">
        <v>1</v>
      </c>
      <c r="D5695" t="str">
        <f t="shared" si="88"/>
        <v>1871000.720</v>
      </c>
      <c r="E5695" t="s">
        <v>2705</v>
      </c>
      <c r="F5695" s="242"/>
      <c r="G5695"/>
      <c r="H5695" s="242">
        <v>2000</v>
      </c>
      <c r="I5695" s="242">
        <v>0</v>
      </c>
      <c r="J5695"/>
    </row>
    <row r="5696" spans="1:10">
      <c r="A5696" t="s">
        <v>547</v>
      </c>
      <c r="B5696">
        <v>871000</v>
      </c>
      <c r="C5696">
        <v>1</v>
      </c>
      <c r="D5696" t="str">
        <f t="shared" si="88"/>
        <v>1871000.722</v>
      </c>
      <c r="E5696" t="s">
        <v>3020</v>
      </c>
      <c r="F5696" s="242"/>
      <c r="G5696"/>
      <c r="H5696" s="242">
        <v>100</v>
      </c>
      <c r="I5696" s="242">
        <v>0</v>
      </c>
      <c r="J5696"/>
    </row>
    <row r="5697" spans="1:10">
      <c r="A5697" t="s">
        <v>600</v>
      </c>
      <c r="B5697">
        <v>871000</v>
      </c>
      <c r="C5697">
        <v>1</v>
      </c>
      <c r="D5697" t="str">
        <f t="shared" si="88"/>
        <v>1871000.731</v>
      </c>
      <c r="E5697" t="s">
        <v>2593</v>
      </c>
      <c r="F5697" s="242"/>
      <c r="G5697"/>
      <c r="H5697" s="242">
        <v>7797</v>
      </c>
      <c r="I5697" s="242">
        <v>5108</v>
      </c>
      <c r="J5697"/>
    </row>
    <row r="5698" spans="1:10">
      <c r="A5698" t="s">
        <v>2418</v>
      </c>
      <c r="B5698">
        <v>871000</v>
      </c>
      <c r="C5698">
        <v>1</v>
      </c>
      <c r="D5698" t="str">
        <f t="shared" si="88"/>
        <v>1871000.735</v>
      </c>
      <c r="E5698" t="s">
        <v>2667</v>
      </c>
      <c r="F5698" s="242"/>
      <c r="G5698"/>
      <c r="H5698" s="242">
        <v>20497</v>
      </c>
      <c r="I5698" s="242">
        <v>37710</v>
      </c>
      <c r="J5698"/>
    </row>
    <row r="5699" spans="1:10">
      <c r="A5699" t="s">
        <v>673</v>
      </c>
      <c r="B5699">
        <v>871000</v>
      </c>
      <c r="C5699">
        <v>1</v>
      </c>
      <c r="D5699" t="str">
        <f t="shared" ref="D5699:D5762" si="89">C5699&amp;B5699&amp;"."&amp;A5699</f>
        <v>1871000.743</v>
      </c>
      <c r="E5699" t="s">
        <v>2622</v>
      </c>
      <c r="F5699" s="242"/>
      <c r="G5699"/>
      <c r="H5699" s="242">
        <v>14000</v>
      </c>
      <c r="I5699" s="242">
        <v>15559</v>
      </c>
      <c r="J5699"/>
    </row>
    <row r="5700" spans="1:10">
      <c r="A5700" t="s">
        <v>737</v>
      </c>
      <c r="B5700">
        <v>871000</v>
      </c>
      <c r="C5700">
        <v>1</v>
      </c>
      <c r="D5700" t="str">
        <f t="shared" si="89"/>
        <v>1871000.747</v>
      </c>
      <c r="E5700" t="s">
        <v>2765</v>
      </c>
      <c r="F5700" s="242"/>
      <c r="G5700"/>
      <c r="H5700" s="242">
        <v>1000</v>
      </c>
      <c r="I5700" s="242">
        <v>0</v>
      </c>
      <c r="J5700"/>
    </row>
    <row r="5701" spans="1:10">
      <c r="A5701" t="s">
        <v>772</v>
      </c>
      <c r="B5701">
        <v>871000</v>
      </c>
      <c r="C5701">
        <v>1</v>
      </c>
      <c r="D5701" t="str">
        <f t="shared" si="89"/>
        <v>1871000.751</v>
      </c>
      <c r="E5701" t="s">
        <v>3714</v>
      </c>
      <c r="F5701" s="242"/>
      <c r="G5701"/>
      <c r="H5701" s="242">
        <v>0</v>
      </c>
      <c r="I5701" s="242">
        <v>0</v>
      </c>
      <c r="J5701"/>
    </row>
    <row r="5702" spans="1:10">
      <c r="A5702" t="s">
        <v>776</v>
      </c>
      <c r="B5702">
        <v>871000</v>
      </c>
      <c r="C5702">
        <v>1</v>
      </c>
      <c r="D5702" t="str">
        <f t="shared" si="89"/>
        <v>1871000.752</v>
      </c>
      <c r="E5702" t="s">
        <v>3715</v>
      </c>
      <c r="F5702" s="242"/>
      <c r="G5702"/>
      <c r="H5702" s="242">
        <v>0</v>
      </c>
      <c r="I5702" s="242">
        <v>0</v>
      </c>
      <c r="J5702"/>
    </row>
    <row r="5703" spans="1:10">
      <c r="A5703" t="s">
        <v>781</v>
      </c>
      <c r="B5703">
        <v>871000</v>
      </c>
      <c r="C5703">
        <v>1</v>
      </c>
      <c r="D5703" t="str">
        <f t="shared" si="89"/>
        <v>1871000.753</v>
      </c>
      <c r="E5703" t="s">
        <v>3716</v>
      </c>
      <c r="F5703" s="242"/>
      <c r="G5703"/>
      <c r="H5703" s="242">
        <v>0</v>
      </c>
      <c r="I5703" s="242">
        <v>47200</v>
      </c>
      <c r="J5703"/>
    </row>
    <row r="5704" spans="1:10">
      <c r="A5704" t="s">
        <v>786</v>
      </c>
      <c r="B5704">
        <v>871000</v>
      </c>
      <c r="C5704">
        <v>1</v>
      </c>
      <c r="D5704" t="str">
        <f t="shared" si="89"/>
        <v>1871000.754</v>
      </c>
      <c r="E5704" t="s">
        <v>3717</v>
      </c>
      <c r="F5704" s="242"/>
      <c r="G5704"/>
      <c r="H5704" s="242">
        <v>0</v>
      </c>
      <c r="I5704" s="242">
        <v>0</v>
      </c>
      <c r="J5704"/>
    </row>
    <row r="5705" spans="1:10">
      <c r="A5705" t="s">
        <v>791</v>
      </c>
      <c r="B5705">
        <v>871000</v>
      </c>
      <c r="C5705">
        <v>1</v>
      </c>
      <c r="D5705" t="str">
        <f t="shared" si="89"/>
        <v>1871000.756</v>
      </c>
      <c r="E5705" t="s">
        <v>3718</v>
      </c>
      <c r="F5705" s="242"/>
      <c r="G5705"/>
      <c r="H5705" s="242">
        <v>0</v>
      </c>
      <c r="I5705" s="242">
        <v>0</v>
      </c>
      <c r="J5705"/>
    </row>
    <row r="5706" spans="1:10">
      <c r="A5706" t="s">
        <v>2691</v>
      </c>
      <c r="B5706">
        <v>871000</v>
      </c>
      <c r="C5706">
        <v>1</v>
      </c>
      <c r="D5706" t="str">
        <f t="shared" si="89"/>
        <v>1871000.986</v>
      </c>
      <c r="E5706" t="s">
        <v>3719</v>
      </c>
      <c r="F5706" s="242"/>
      <c r="G5706"/>
      <c r="H5706" s="242">
        <v>0</v>
      </c>
      <c r="I5706" s="242">
        <v>0</v>
      </c>
      <c r="J5706"/>
    </row>
    <row r="5707" spans="1:10">
      <c r="A5707" t="s">
        <v>2403</v>
      </c>
      <c r="B5707">
        <v>871100</v>
      </c>
      <c r="C5707">
        <v>1</v>
      </c>
      <c r="D5707" t="str">
        <f t="shared" si="89"/>
        <v>1871100.110</v>
      </c>
      <c r="E5707" t="s">
        <v>2573</v>
      </c>
      <c r="F5707" s="242"/>
      <c r="G5707"/>
      <c r="H5707" s="242">
        <v>0</v>
      </c>
      <c r="I5707" s="242">
        <v>0</v>
      </c>
      <c r="J5707"/>
    </row>
    <row r="5708" spans="1:10">
      <c r="A5708" t="s">
        <v>2404</v>
      </c>
      <c r="B5708">
        <v>871100</v>
      </c>
      <c r="C5708">
        <v>1</v>
      </c>
      <c r="D5708" t="str">
        <f t="shared" si="89"/>
        <v>1871100.120</v>
      </c>
      <c r="E5708" t="s">
        <v>2574</v>
      </c>
      <c r="F5708" s="242"/>
      <c r="G5708"/>
      <c r="H5708" s="242">
        <v>0</v>
      </c>
      <c r="I5708" s="242">
        <v>-796</v>
      </c>
      <c r="J5708"/>
    </row>
    <row r="5709" spans="1:10">
      <c r="A5709" t="s">
        <v>2575</v>
      </c>
      <c r="B5709">
        <v>871100</v>
      </c>
      <c r="C5709">
        <v>1</v>
      </c>
      <c r="D5709" t="str">
        <f t="shared" si="89"/>
        <v>1871100.130</v>
      </c>
      <c r="E5709" t="s">
        <v>2576</v>
      </c>
      <c r="F5709" s="242"/>
      <c r="G5709"/>
      <c r="H5709" s="242">
        <v>0</v>
      </c>
      <c r="I5709" s="242">
        <v>0</v>
      </c>
      <c r="J5709"/>
    </row>
    <row r="5710" spans="1:10">
      <c r="A5710" t="s">
        <v>2577</v>
      </c>
      <c r="B5710">
        <v>871100</v>
      </c>
      <c r="C5710">
        <v>1</v>
      </c>
      <c r="D5710" t="str">
        <f t="shared" si="89"/>
        <v>1871100.140</v>
      </c>
      <c r="E5710" t="s">
        <v>2578</v>
      </c>
      <c r="F5710" s="242"/>
      <c r="G5710"/>
      <c r="H5710" s="242">
        <v>0</v>
      </c>
      <c r="I5710" s="242">
        <v>0</v>
      </c>
      <c r="J5710"/>
    </row>
    <row r="5711" spans="1:10">
      <c r="A5711" t="s">
        <v>2579</v>
      </c>
      <c r="B5711">
        <v>871100</v>
      </c>
      <c r="C5711">
        <v>1</v>
      </c>
      <c r="D5711" t="str">
        <f t="shared" si="89"/>
        <v>1871100.181</v>
      </c>
      <c r="E5711" t="s">
        <v>2580</v>
      </c>
      <c r="F5711" s="242"/>
      <c r="G5711"/>
      <c r="H5711" s="242">
        <v>0</v>
      </c>
      <c r="I5711" s="242">
        <v>-135</v>
      </c>
      <c r="J5711"/>
    </row>
    <row r="5712" spans="1:10">
      <c r="A5712" t="s">
        <v>2581</v>
      </c>
      <c r="B5712">
        <v>871100</v>
      </c>
      <c r="C5712">
        <v>1</v>
      </c>
      <c r="D5712" t="str">
        <f t="shared" si="89"/>
        <v>1871100.182</v>
      </c>
      <c r="E5712" t="s">
        <v>2582</v>
      </c>
      <c r="F5712" s="242"/>
      <c r="G5712"/>
      <c r="H5712" s="242">
        <v>0</v>
      </c>
      <c r="I5712" s="242">
        <v>-60</v>
      </c>
      <c r="J5712"/>
    </row>
    <row r="5713" spans="1:10">
      <c r="A5713" t="s">
        <v>2632</v>
      </c>
      <c r="B5713">
        <v>879000</v>
      </c>
      <c r="C5713">
        <v>1</v>
      </c>
      <c r="D5713" t="str">
        <f t="shared" si="89"/>
        <v>1879000.780</v>
      </c>
      <c r="E5713" t="s">
        <v>3713</v>
      </c>
      <c r="F5713" s="242"/>
      <c r="G5713"/>
      <c r="H5713" s="242">
        <v>100</v>
      </c>
      <c r="I5713" s="242">
        <v>147500</v>
      </c>
      <c r="J5713"/>
    </row>
    <row r="5714" spans="1:10">
      <c r="A5714" t="s">
        <v>4573</v>
      </c>
      <c r="B5714">
        <v>880000</v>
      </c>
      <c r="C5714">
        <v>1</v>
      </c>
      <c r="D5714" t="str">
        <f t="shared" si="89"/>
        <v>1880000.320</v>
      </c>
      <c r="E5714" t="s">
        <v>4574</v>
      </c>
      <c r="F5714" s="242"/>
      <c r="G5714"/>
      <c r="H5714" s="242">
        <v>0</v>
      </c>
      <c r="I5714" s="242">
        <v>10562</v>
      </c>
      <c r="J5714"/>
    </row>
    <row r="5715" spans="1:10">
      <c r="A5715" t="s">
        <v>2571</v>
      </c>
      <c r="B5715">
        <v>881000</v>
      </c>
      <c r="C5715">
        <v>1</v>
      </c>
      <c r="D5715" t="str">
        <f t="shared" si="89"/>
        <v>1881000.105</v>
      </c>
      <c r="E5715" t="s">
        <v>2572</v>
      </c>
      <c r="F5715" s="242"/>
      <c r="G5715"/>
      <c r="H5715" s="242">
        <v>0</v>
      </c>
      <c r="I5715" s="242">
        <v>9498</v>
      </c>
      <c r="J5715"/>
    </row>
    <row r="5716" spans="1:10">
      <c r="A5716" t="s">
        <v>2403</v>
      </c>
      <c r="B5716">
        <v>881000</v>
      </c>
      <c r="C5716">
        <v>1</v>
      </c>
      <c r="D5716" t="str">
        <f t="shared" si="89"/>
        <v>1881000.110</v>
      </c>
      <c r="E5716" t="s">
        <v>2573</v>
      </c>
      <c r="F5716" s="242"/>
      <c r="G5716"/>
      <c r="H5716" s="242">
        <v>635927</v>
      </c>
      <c r="I5716" s="242">
        <v>459247</v>
      </c>
      <c r="J5716"/>
    </row>
    <row r="5717" spans="1:10">
      <c r="A5717" t="s">
        <v>2404</v>
      </c>
      <c r="B5717">
        <v>881000</v>
      </c>
      <c r="C5717">
        <v>1</v>
      </c>
      <c r="D5717" t="str">
        <f t="shared" si="89"/>
        <v>1881000.120</v>
      </c>
      <c r="E5717" t="s">
        <v>2574</v>
      </c>
      <c r="F5717" s="242"/>
      <c r="G5717"/>
      <c r="H5717" s="242">
        <v>13932</v>
      </c>
      <c r="I5717" s="242">
        <v>10587</v>
      </c>
      <c r="J5717"/>
    </row>
    <row r="5718" spans="1:10">
      <c r="A5718" t="s">
        <v>2575</v>
      </c>
      <c r="B5718">
        <v>881000</v>
      </c>
      <c r="C5718">
        <v>1</v>
      </c>
      <c r="D5718" t="str">
        <f t="shared" si="89"/>
        <v>1881000.130</v>
      </c>
      <c r="E5718" t="s">
        <v>2576</v>
      </c>
      <c r="F5718" s="242"/>
      <c r="G5718"/>
      <c r="H5718" s="242">
        <v>2064</v>
      </c>
      <c r="I5718" s="242">
        <v>5939</v>
      </c>
      <c r="J5718"/>
    </row>
    <row r="5719" spans="1:10">
      <c r="A5719" t="s">
        <v>2577</v>
      </c>
      <c r="B5719">
        <v>881000</v>
      </c>
      <c r="C5719">
        <v>1</v>
      </c>
      <c r="D5719" t="str">
        <f t="shared" si="89"/>
        <v>1881000.140</v>
      </c>
      <c r="E5719" t="s">
        <v>2578</v>
      </c>
      <c r="F5719" s="242"/>
      <c r="G5719"/>
      <c r="H5719" s="242">
        <v>197005</v>
      </c>
      <c r="I5719" s="242">
        <v>124438</v>
      </c>
      <c r="J5719"/>
    </row>
    <row r="5720" spans="1:10">
      <c r="A5720" t="s">
        <v>2579</v>
      </c>
      <c r="B5720">
        <v>881000</v>
      </c>
      <c r="C5720">
        <v>1</v>
      </c>
      <c r="D5720" t="str">
        <f t="shared" si="89"/>
        <v>1881000.181</v>
      </c>
      <c r="E5720" t="s">
        <v>2580</v>
      </c>
      <c r="F5720" s="242"/>
      <c r="G5720"/>
      <c r="H5720" s="242">
        <v>169337</v>
      </c>
      <c r="I5720" s="242">
        <v>123007</v>
      </c>
      <c r="J5720"/>
    </row>
    <row r="5721" spans="1:10">
      <c r="A5721" t="s">
        <v>2581</v>
      </c>
      <c r="B5721">
        <v>881000</v>
      </c>
      <c r="C5721">
        <v>1</v>
      </c>
      <c r="D5721" t="str">
        <f t="shared" si="89"/>
        <v>1881000.182</v>
      </c>
      <c r="E5721" t="s">
        <v>2582</v>
      </c>
      <c r="F5721" s="242"/>
      <c r="G5721"/>
      <c r="H5721" s="242">
        <v>64912</v>
      </c>
      <c r="I5721" s="242">
        <v>45899</v>
      </c>
      <c r="J5721"/>
    </row>
    <row r="5722" spans="1:10">
      <c r="A5722" t="s">
        <v>2594</v>
      </c>
      <c r="B5722">
        <v>881000</v>
      </c>
      <c r="C5722">
        <v>1</v>
      </c>
      <c r="D5722" t="str">
        <f t="shared" si="89"/>
        <v>1881000.540</v>
      </c>
      <c r="E5722" t="s">
        <v>2595</v>
      </c>
      <c r="F5722" s="242"/>
      <c r="G5722"/>
      <c r="H5722" s="242">
        <v>17000</v>
      </c>
      <c r="I5722" s="242">
        <v>0</v>
      </c>
      <c r="J5722"/>
    </row>
    <row r="5723" spans="1:10">
      <c r="A5723" t="s">
        <v>835</v>
      </c>
      <c r="B5723">
        <v>881000</v>
      </c>
      <c r="C5723">
        <v>1</v>
      </c>
      <c r="D5723" t="str">
        <f t="shared" si="89"/>
        <v>1881000.769</v>
      </c>
      <c r="E5723" t="s">
        <v>2605</v>
      </c>
      <c r="F5723" s="242"/>
      <c r="G5723"/>
      <c r="H5723" s="242">
        <v>0</v>
      </c>
      <c r="I5723" s="242">
        <v>0</v>
      </c>
      <c r="J5723"/>
    </row>
    <row r="5724" spans="1:10">
      <c r="A5724" t="s">
        <v>2632</v>
      </c>
      <c r="B5724">
        <v>881000</v>
      </c>
      <c r="C5724">
        <v>1</v>
      </c>
      <c r="D5724" t="str">
        <f t="shared" si="89"/>
        <v>1881000.780</v>
      </c>
      <c r="E5724" t="s">
        <v>2745</v>
      </c>
      <c r="F5724" s="242"/>
      <c r="G5724"/>
      <c r="H5724" s="242">
        <v>64000</v>
      </c>
      <c r="I5724" s="242">
        <v>26653</v>
      </c>
      <c r="J5724"/>
    </row>
    <row r="5725" spans="1:10">
      <c r="A5725" t="s">
        <v>872</v>
      </c>
      <c r="B5725">
        <v>881000</v>
      </c>
      <c r="C5725">
        <v>1</v>
      </c>
      <c r="D5725" t="str">
        <f t="shared" si="89"/>
        <v>1881000.781</v>
      </c>
      <c r="E5725" t="s">
        <v>2746</v>
      </c>
      <c r="F5725" s="242"/>
      <c r="G5725"/>
      <c r="H5725" s="242">
        <v>255599</v>
      </c>
      <c r="I5725" s="242">
        <v>165200</v>
      </c>
      <c r="J5725"/>
    </row>
    <row r="5726" spans="1:10">
      <c r="A5726" t="s">
        <v>877</v>
      </c>
      <c r="B5726">
        <v>881000</v>
      </c>
      <c r="C5726">
        <v>1</v>
      </c>
      <c r="D5726" t="str">
        <f t="shared" si="89"/>
        <v>1881000.782</v>
      </c>
      <c r="E5726" t="s">
        <v>2747</v>
      </c>
      <c r="F5726" s="242"/>
      <c r="G5726"/>
      <c r="H5726" s="242">
        <v>281442</v>
      </c>
      <c r="I5726" s="242">
        <v>198360</v>
      </c>
      <c r="J5726"/>
    </row>
    <row r="5727" spans="1:10">
      <c r="A5727" t="s">
        <v>2674</v>
      </c>
      <c r="B5727">
        <v>881000</v>
      </c>
      <c r="C5727">
        <v>1</v>
      </c>
      <c r="D5727" t="str">
        <f t="shared" si="89"/>
        <v>1881000.783</v>
      </c>
      <c r="E5727" t="s">
        <v>2748</v>
      </c>
      <c r="F5727" s="242"/>
      <c r="G5727"/>
      <c r="H5727" s="242">
        <v>392418</v>
      </c>
      <c r="I5727" s="242">
        <v>351048</v>
      </c>
      <c r="J5727"/>
    </row>
    <row r="5728" spans="1:10">
      <c r="A5728" t="s">
        <v>2676</v>
      </c>
      <c r="B5728">
        <v>881000</v>
      </c>
      <c r="C5728">
        <v>1</v>
      </c>
      <c r="D5728" t="str">
        <f t="shared" si="89"/>
        <v>1881000.784</v>
      </c>
      <c r="E5728" t="s">
        <v>2749</v>
      </c>
      <c r="F5728" s="242"/>
      <c r="G5728"/>
      <c r="H5728" s="242">
        <v>107800</v>
      </c>
      <c r="I5728" s="242">
        <v>80956</v>
      </c>
      <c r="J5728"/>
    </row>
    <row r="5729" spans="1:10">
      <c r="A5729" t="s">
        <v>2632</v>
      </c>
      <c r="B5729">
        <v>922000</v>
      </c>
      <c r="C5729">
        <v>1</v>
      </c>
      <c r="D5729" t="str">
        <f t="shared" si="89"/>
        <v>1922000.780</v>
      </c>
      <c r="E5729" t="s">
        <v>2675</v>
      </c>
      <c r="F5729" s="242"/>
      <c r="G5729"/>
      <c r="H5729" s="242">
        <v>1600</v>
      </c>
      <c r="I5729" s="242">
        <v>0</v>
      </c>
      <c r="J5729"/>
    </row>
    <row r="5730" spans="1:10">
      <c r="A5730" t="s">
        <v>4573</v>
      </c>
      <c r="B5730">
        <v>930000</v>
      </c>
      <c r="C5730">
        <v>1</v>
      </c>
      <c r="D5730" t="str">
        <f t="shared" si="89"/>
        <v>1930000.320</v>
      </c>
      <c r="E5730" t="s">
        <v>4574</v>
      </c>
      <c r="F5730" s="242"/>
      <c r="G5730"/>
      <c r="H5730" s="242">
        <v>40000</v>
      </c>
      <c r="I5730" s="242">
        <v>2933</v>
      </c>
      <c r="J5730"/>
    </row>
    <row r="5731" spans="1:10">
      <c r="A5731" t="s">
        <v>2403</v>
      </c>
      <c r="B5731">
        <v>931000</v>
      </c>
      <c r="C5731">
        <v>1</v>
      </c>
      <c r="D5731" t="str">
        <f t="shared" si="89"/>
        <v>1931000.110</v>
      </c>
      <c r="E5731" t="s">
        <v>2573</v>
      </c>
      <c r="F5731" s="242"/>
      <c r="G5731"/>
      <c r="H5731" s="242">
        <v>938872</v>
      </c>
      <c r="I5731" s="242">
        <v>889501</v>
      </c>
      <c r="J5731"/>
    </row>
    <row r="5732" spans="1:10">
      <c r="A5732" t="s">
        <v>2404</v>
      </c>
      <c r="B5732">
        <v>931000</v>
      </c>
      <c r="C5732">
        <v>1</v>
      </c>
      <c r="D5732" t="str">
        <f t="shared" si="89"/>
        <v>1931000.120</v>
      </c>
      <c r="E5732" t="s">
        <v>2574</v>
      </c>
      <c r="F5732" s="242"/>
      <c r="G5732"/>
      <c r="H5732" s="242">
        <v>69147</v>
      </c>
      <c r="I5732" s="242">
        <v>66397</v>
      </c>
      <c r="J5732"/>
    </row>
    <row r="5733" spans="1:10">
      <c r="A5733" t="s">
        <v>2575</v>
      </c>
      <c r="B5733">
        <v>931000</v>
      </c>
      <c r="C5733">
        <v>1</v>
      </c>
      <c r="D5733" t="str">
        <f t="shared" si="89"/>
        <v>1931000.130</v>
      </c>
      <c r="E5733" t="s">
        <v>2576</v>
      </c>
      <c r="F5733" s="242"/>
      <c r="G5733"/>
      <c r="H5733" s="242">
        <v>1224</v>
      </c>
      <c r="I5733" s="242">
        <v>679</v>
      </c>
      <c r="J5733"/>
    </row>
    <row r="5734" spans="1:10">
      <c r="A5734" t="s">
        <v>2577</v>
      </c>
      <c r="B5734">
        <v>931000</v>
      </c>
      <c r="C5734">
        <v>1</v>
      </c>
      <c r="D5734" t="str">
        <f t="shared" si="89"/>
        <v>1931000.140</v>
      </c>
      <c r="E5734" t="s">
        <v>2578</v>
      </c>
      <c r="F5734" s="242"/>
      <c r="G5734"/>
      <c r="H5734" s="242">
        <v>116795</v>
      </c>
      <c r="I5734" s="242">
        <v>99503</v>
      </c>
      <c r="J5734"/>
    </row>
    <row r="5735" spans="1:10">
      <c r="A5735" t="s">
        <v>2579</v>
      </c>
      <c r="B5735">
        <v>931000</v>
      </c>
      <c r="C5735">
        <v>1</v>
      </c>
      <c r="D5735" t="str">
        <f t="shared" si="89"/>
        <v>1931000.181</v>
      </c>
      <c r="E5735" t="s">
        <v>2580</v>
      </c>
      <c r="F5735" s="242"/>
      <c r="G5735"/>
      <c r="H5735" s="242">
        <v>152437</v>
      </c>
      <c r="I5735" s="242">
        <v>145240</v>
      </c>
      <c r="J5735"/>
    </row>
    <row r="5736" spans="1:10">
      <c r="A5736" t="s">
        <v>2581</v>
      </c>
      <c r="B5736">
        <v>931000</v>
      </c>
      <c r="C5736">
        <v>1</v>
      </c>
      <c r="D5736" t="str">
        <f t="shared" si="89"/>
        <v>1931000.182</v>
      </c>
      <c r="E5736" t="s">
        <v>2582</v>
      </c>
      <c r="F5736" s="242"/>
      <c r="G5736"/>
      <c r="H5736" s="242">
        <v>88598</v>
      </c>
      <c r="I5736" s="242">
        <v>83159</v>
      </c>
      <c r="J5736"/>
    </row>
    <row r="5737" spans="1:10">
      <c r="A5737" t="s">
        <v>2650</v>
      </c>
      <c r="B5737">
        <v>931000</v>
      </c>
      <c r="C5737">
        <v>1</v>
      </c>
      <c r="D5737" t="str">
        <f t="shared" si="89"/>
        <v>1931000.288</v>
      </c>
      <c r="E5737" t="s">
        <v>2651</v>
      </c>
      <c r="F5737" s="242"/>
      <c r="G5737"/>
      <c r="H5737" s="242">
        <v>6800</v>
      </c>
      <c r="I5737" s="242">
        <v>6407</v>
      </c>
      <c r="J5737"/>
    </row>
    <row r="5738" spans="1:10">
      <c r="A5738" t="s">
        <v>2286</v>
      </c>
      <c r="B5738">
        <v>931000</v>
      </c>
      <c r="C5738">
        <v>1</v>
      </c>
      <c r="D5738" t="str">
        <f t="shared" si="89"/>
        <v>1931000.511</v>
      </c>
      <c r="E5738" t="s">
        <v>2584</v>
      </c>
      <c r="F5738" s="242"/>
      <c r="G5738"/>
      <c r="H5738" s="242">
        <v>3000</v>
      </c>
      <c r="I5738" s="242">
        <v>1589</v>
      </c>
      <c r="J5738"/>
    </row>
    <row r="5739" spans="1:10">
      <c r="A5739" t="s">
        <v>2414</v>
      </c>
      <c r="B5739">
        <v>931000</v>
      </c>
      <c r="C5739">
        <v>1</v>
      </c>
      <c r="D5739" t="str">
        <f t="shared" si="89"/>
        <v>1931000.512</v>
      </c>
      <c r="E5739" t="s">
        <v>2585</v>
      </c>
      <c r="F5739" s="242"/>
      <c r="G5739"/>
      <c r="H5739" s="242">
        <v>500</v>
      </c>
      <c r="I5739" s="242">
        <v>0</v>
      </c>
      <c r="J5739"/>
    </row>
    <row r="5740" spans="1:10">
      <c r="A5740" t="s">
        <v>2588</v>
      </c>
      <c r="B5740">
        <v>931000</v>
      </c>
      <c r="C5740">
        <v>1</v>
      </c>
      <c r="D5740" t="str">
        <f t="shared" si="89"/>
        <v>1931000.522</v>
      </c>
      <c r="E5740" t="s">
        <v>2608</v>
      </c>
      <c r="F5740" s="242"/>
      <c r="G5740"/>
      <c r="H5740" s="242">
        <v>1100</v>
      </c>
      <c r="I5740" s="242">
        <v>0</v>
      </c>
      <c r="J5740"/>
    </row>
    <row r="5741" spans="1:10">
      <c r="A5741" t="s">
        <v>2594</v>
      </c>
      <c r="B5741">
        <v>931000</v>
      </c>
      <c r="C5741">
        <v>1</v>
      </c>
      <c r="D5741" t="str">
        <f t="shared" si="89"/>
        <v>1931000.540</v>
      </c>
      <c r="E5741" t="s">
        <v>2595</v>
      </c>
      <c r="F5741" s="242"/>
      <c r="G5741"/>
      <c r="H5741" s="242">
        <v>8000</v>
      </c>
      <c r="I5741" s="242">
        <v>2847</v>
      </c>
      <c r="J5741"/>
    </row>
    <row r="5742" spans="1:10">
      <c r="A5742" t="s">
        <v>2596</v>
      </c>
      <c r="B5742">
        <v>931000</v>
      </c>
      <c r="C5742">
        <v>1</v>
      </c>
      <c r="D5742" t="str">
        <f t="shared" si="89"/>
        <v>1931000.550</v>
      </c>
      <c r="E5742" t="s">
        <v>2597</v>
      </c>
      <c r="F5742" s="242"/>
      <c r="G5742"/>
      <c r="H5742" s="242">
        <v>2500</v>
      </c>
      <c r="I5742" s="242">
        <v>2000</v>
      </c>
      <c r="J5742"/>
    </row>
    <row r="5743" spans="1:10">
      <c r="A5743" t="s">
        <v>2598</v>
      </c>
      <c r="B5743">
        <v>931000</v>
      </c>
      <c r="C5743">
        <v>1</v>
      </c>
      <c r="D5743" t="str">
        <f t="shared" si="89"/>
        <v>1931000.561</v>
      </c>
      <c r="E5743" t="s">
        <v>2914</v>
      </c>
      <c r="F5743" s="242"/>
      <c r="G5743"/>
      <c r="H5743" s="242">
        <v>8500</v>
      </c>
      <c r="I5743" s="242">
        <v>8443</v>
      </c>
      <c r="J5743"/>
    </row>
    <row r="5744" spans="1:10">
      <c r="A5744" t="s">
        <v>2600</v>
      </c>
      <c r="B5744">
        <v>931000</v>
      </c>
      <c r="C5744">
        <v>1</v>
      </c>
      <c r="D5744" t="str">
        <f t="shared" si="89"/>
        <v>1931000.580</v>
      </c>
      <c r="E5744" t="s">
        <v>2601</v>
      </c>
      <c r="F5744" s="242"/>
      <c r="G5744"/>
      <c r="H5744" s="242">
        <v>1000</v>
      </c>
      <c r="I5744" s="242">
        <v>129</v>
      </c>
      <c r="J5744"/>
    </row>
    <row r="5745" spans="1:10">
      <c r="A5745" t="s">
        <v>2702</v>
      </c>
      <c r="B5745">
        <v>931000</v>
      </c>
      <c r="C5745">
        <v>1</v>
      </c>
      <c r="D5745" t="str">
        <f t="shared" si="89"/>
        <v>1931000.582</v>
      </c>
      <c r="E5745" t="s">
        <v>2998</v>
      </c>
      <c r="F5745" s="242"/>
      <c r="G5745"/>
      <c r="H5745" s="242">
        <v>5000</v>
      </c>
      <c r="I5745" s="242">
        <v>6359</v>
      </c>
      <c r="J5745"/>
    </row>
    <row r="5746" spans="1:10">
      <c r="A5746" t="s">
        <v>2899</v>
      </c>
      <c r="B5746">
        <v>931000</v>
      </c>
      <c r="C5746">
        <v>1</v>
      </c>
      <c r="D5746" t="str">
        <f t="shared" si="89"/>
        <v>1931000.583</v>
      </c>
      <c r="E5746" t="s">
        <v>2730</v>
      </c>
      <c r="F5746" s="242"/>
      <c r="G5746"/>
      <c r="H5746" s="242">
        <v>210</v>
      </c>
      <c r="I5746" s="242">
        <v>0</v>
      </c>
      <c r="J5746"/>
    </row>
    <row r="5747" spans="1:10">
      <c r="A5747" t="s">
        <v>2704</v>
      </c>
      <c r="B5747">
        <v>931000</v>
      </c>
      <c r="C5747">
        <v>1</v>
      </c>
      <c r="D5747" t="str">
        <f t="shared" si="89"/>
        <v>1931000.720</v>
      </c>
      <c r="E5747" t="s">
        <v>2705</v>
      </c>
      <c r="F5747" s="242"/>
      <c r="G5747"/>
      <c r="H5747" s="242">
        <v>5500</v>
      </c>
      <c r="I5747" s="242">
        <v>0</v>
      </c>
      <c r="J5747"/>
    </row>
    <row r="5748" spans="1:10">
      <c r="A5748" t="s">
        <v>600</v>
      </c>
      <c r="B5748">
        <v>931000</v>
      </c>
      <c r="C5748">
        <v>1</v>
      </c>
      <c r="D5748" t="str">
        <f t="shared" si="89"/>
        <v>1931000.731</v>
      </c>
      <c r="E5748" t="s">
        <v>2593</v>
      </c>
      <c r="F5748" s="242"/>
      <c r="G5748"/>
      <c r="H5748" s="242">
        <v>13366</v>
      </c>
      <c r="I5748" s="242">
        <v>6669</v>
      </c>
      <c r="J5748"/>
    </row>
    <row r="5749" spans="1:10">
      <c r="A5749" t="s">
        <v>2418</v>
      </c>
      <c r="B5749">
        <v>931000</v>
      </c>
      <c r="C5749">
        <v>1</v>
      </c>
      <c r="D5749" t="str">
        <f t="shared" si="89"/>
        <v>1931000.735</v>
      </c>
      <c r="E5749" t="s">
        <v>2602</v>
      </c>
      <c r="F5749" s="242"/>
      <c r="G5749"/>
      <c r="H5749" s="242">
        <v>39312</v>
      </c>
      <c r="I5749" s="242">
        <v>43337</v>
      </c>
      <c r="J5749"/>
    </row>
    <row r="5750" spans="1:10">
      <c r="A5750" t="s">
        <v>673</v>
      </c>
      <c r="B5750">
        <v>931000</v>
      </c>
      <c r="C5750">
        <v>1</v>
      </c>
      <c r="D5750" t="str">
        <f t="shared" si="89"/>
        <v>1931000.743</v>
      </c>
      <c r="E5750" t="s">
        <v>2622</v>
      </c>
      <c r="F5750" s="242"/>
      <c r="G5750"/>
      <c r="H5750" s="242">
        <v>45000</v>
      </c>
      <c r="I5750" s="242">
        <v>45206</v>
      </c>
      <c r="J5750"/>
    </row>
    <row r="5751" spans="1:10">
      <c r="A5751" t="s">
        <v>2600</v>
      </c>
      <c r="B5751">
        <v>932000</v>
      </c>
      <c r="C5751">
        <v>1</v>
      </c>
      <c r="D5751" t="str">
        <f t="shared" si="89"/>
        <v>1932000.580</v>
      </c>
      <c r="E5751" t="s">
        <v>2999</v>
      </c>
      <c r="F5751" s="242"/>
      <c r="G5751"/>
      <c r="H5751" s="242">
        <v>10000</v>
      </c>
      <c r="I5751" s="242">
        <v>0</v>
      </c>
      <c r="J5751"/>
    </row>
    <row r="5752" spans="1:10">
      <c r="A5752" t="s">
        <v>1622</v>
      </c>
      <c r="B5752">
        <v>935000</v>
      </c>
      <c r="C5752">
        <v>1</v>
      </c>
      <c r="D5752" t="str">
        <f t="shared" si="89"/>
        <v>1935000.411</v>
      </c>
      <c r="E5752" t="s">
        <v>3000</v>
      </c>
      <c r="F5752" s="242"/>
      <c r="G5752"/>
      <c r="H5752" s="242">
        <v>200000</v>
      </c>
      <c r="I5752" s="242">
        <v>521059</v>
      </c>
      <c r="J5752"/>
    </row>
    <row r="5753" spans="1:10">
      <c r="A5753" t="s">
        <v>772</v>
      </c>
      <c r="B5753">
        <v>935000</v>
      </c>
      <c r="C5753">
        <v>1</v>
      </c>
      <c r="D5753" t="str">
        <f t="shared" si="89"/>
        <v>1935000.751</v>
      </c>
      <c r="E5753" t="s">
        <v>3001</v>
      </c>
      <c r="F5753" s="242"/>
      <c r="G5753"/>
      <c r="H5753" s="242">
        <v>35000</v>
      </c>
      <c r="I5753" s="242">
        <v>20995</v>
      </c>
      <c r="J5753"/>
    </row>
    <row r="5754" spans="1:10">
      <c r="A5754" t="s">
        <v>2606</v>
      </c>
      <c r="B5754">
        <v>937000</v>
      </c>
      <c r="C5754">
        <v>1</v>
      </c>
      <c r="D5754" t="str">
        <f t="shared" si="89"/>
        <v>1937000.440</v>
      </c>
      <c r="E5754" t="s">
        <v>3009</v>
      </c>
      <c r="F5754" s="242"/>
      <c r="G5754"/>
      <c r="H5754" s="242">
        <v>35200</v>
      </c>
      <c r="I5754" s="242">
        <v>34019</v>
      </c>
      <c r="J5754"/>
    </row>
    <row r="5755" spans="1:10">
      <c r="A5755" t="s">
        <v>2881</v>
      </c>
      <c r="B5755">
        <v>937000</v>
      </c>
      <c r="C5755">
        <v>1</v>
      </c>
      <c r="D5755" t="str">
        <f t="shared" si="89"/>
        <v>1937000.871</v>
      </c>
      <c r="E5755" t="s">
        <v>3010</v>
      </c>
      <c r="F5755" s="242"/>
      <c r="G5755"/>
      <c r="H5755" s="242">
        <v>4000000</v>
      </c>
      <c r="I5755" s="242">
        <v>4734335</v>
      </c>
      <c r="J5755"/>
    </row>
    <row r="5756" spans="1:10">
      <c r="A5756" t="s">
        <v>2684</v>
      </c>
      <c r="B5756">
        <v>938000</v>
      </c>
      <c r="C5756">
        <v>1</v>
      </c>
      <c r="D5756" t="str">
        <f t="shared" si="89"/>
        <v>1938000.421</v>
      </c>
      <c r="E5756" t="s">
        <v>2786</v>
      </c>
      <c r="F5756" s="242"/>
      <c r="G5756"/>
      <c r="H5756" s="242">
        <v>347000</v>
      </c>
      <c r="I5756" s="242">
        <v>348288</v>
      </c>
      <c r="J5756"/>
    </row>
    <row r="5757" spans="1:10">
      <c r="A5757" t="s">
        <v>776</v>
      </c>
      <c r="B5757">
        <v>938000</v>
      </c>
      <c r="C5757">
        <v>1</v>
      </c>
      <c r="D5757" t="str">
        <f t="shared" si="89"/>
        <v>1938000.752</v>
      </c>
      <c r="E5757" t="s">
        <v>2789</v>
      </c>
      <c r="F5757" s="242"/>
      <c r="G5757"/>
      <c r="H5757" s="242">
        <v>50000</v>
      </c>
      <c r="I5757" s="242">
        <v>48622</v>
      </c>
      <c r="J5757"/>
    </row>
    <row r="5758" spans="1:10">
      <c r="A5758" t="s">
        <v>791</v>
      </c>
      <c r="B5758">
        <v>938000</v>
      </c>
      <c r="C5758">
        <v>1</v>
      </c>
      <c r="D5758" t="str">
        <f t="shared" si="89"/>
        <v>1938000.756</v>
      </c>
      <c r="E5758" t="s">
        <v>2788</v>
      </c>
      <c r="F5758" s="242"/>
      <c r="G5758"/>
      <c r="H5758" s="242">
        <v>52000</v>
      </c>
      <c r="I5758" s="242">
        <v>0</v>
      </c>
      <c r="J5758"/>
    </row>
    <row r="5759" spans="1:10">
      <c r="A5759" t="s">
        <v>2403</v>
      </c>
      <c r="B5759">
        <v>938000</v>
      </c>
      <c r="C5759">
        <v>1</v>
      </c>
      <c r="D5759" t="str">
        <f t="shared" si="89"/>
        <v>1938000.110</v>
      </c>
      <c r="E5759" t="s">
        <v>2573</v>
      </c>
      <c r="F5759" s="242"/>
      <c r="G5759"/>
      <c r="H5759" s="242">
        <v>694882</v>
      </c>
      <c r="I5759" s="242">
        <v>684140</v>
      </c>
      <c r="J5759"/>
    </row>
    <row r="5760" spans="1:10">
      <c r="A5760" t="s">
        <v>2404</v>
      </c>
      <c r="B5760">
        <v>938000</v>
      </c>
      <c r="C5760">
        <v>1</v>
      </c>
      <c r="D5760" t="str">
        <f t="shared" si="89"/>
        <v>1938000.120</v>
      </c>
      <c r="E5760" t="s">
        <v>2574</v>
      </c>
      <c r="F5760" s="242"/>
      <c r="G5760"/>
      <c r="H5760" s="242">
        <v>124268</v>
      </c>
      <c r="I5760" s="242">
        <v>114801</v>
      </c>
      <c r="J5760"/>
    </row>
    <row r="5761" spans="1:10">
      <c r="A5761" t="s">
        <v>2575</v>
      </c>
      <c r="B5761">
        <v>938000</v>
      </c>
      <c r="C5761">
        <v>1</v>
      </c>
      <c r="D5761" t="str">
        <f t="shared" si="89"/>
        <v>1938000.130</v>
      </c>
      <c r="E5761" t="s">
        <v>2576</v>
      </c>
      <c r="F5761" s="242"/>
      <c r="G5761"/>
      <c r="H5761" s="242">
        <v>130599</v>
      </c>
      <c r="I5761" s="242">
        <v>126284</v>
      </c>
      <c r="J5761"/>
    </row>
    <row r="5762" spans="1:10">
      <c r="A5762" t="s">
        <v>2577</v>
      </c>
      <c r="B5762">
        <v>938000</v>
      </c>
      <c r="C5762">
        <v>1</v>
      </c>
      <c r="D5762" t="str">
        <f t="shared" si="89"/>
        <v>1938000.140</v>
      </c>
      <c r="E5762" t="s">
        <v>2578</v>
      </c>
      <c r="F5762" s="242"/>
      <c r="G5762"/>
      <c r="H5762" s="242">
        <v>77531</v>
      </c>
      <c r="I5762" s="242">
        <v>83434</v>
      </c>
      <c r="J5762"/>
    </row>
    <row r="5763" spans="1:10">
      <c r="A5763" t="s">
        <v>2579</v>
      </c>
      <c r="B5763">
        <v>938000</v>
      </c>
      <c r="C5763">
        <v>1</v>
      </c>
      <c r="D5763" t="str">
        <f t="shared" ref="D5763:D5826" si="90">C5763&amp;B5763&amp;"."&amp;A5763</f>
        <v>1938000.181</v>
      </c>
      <c r="E5763" t="s">
        <v>2580</v>
      </c>
      <c r="F5763" s="242"/>
      <c r="G5763"/>
      <c r="H5763" s="242">
        <v>192607</v>
      </c>
      <c r="I5763" s="242">
        <v>187568</v>
      </c>
      <c r="J5763"/>
    </row>
    <row r="5764" spans="1:10">
      <c r="A5764" t="s">
        <v>2581</v>
      </c>
      <c r="B5764">
        <v>938000</v>
      </c>
      <c r="C5764">
        <v>1</v>
      </c>
      <c r="D5764" t="str">
        <f t="shared" si="90"/>
        <v>1938000.182</v>
      </c>
      <c r="E5764" t="s">
        <v>2582</v>
      </c>
      <c r="F5764" s="242"/>
      <c r="G5764"/>
      <c r="H5764" s="242">
        <v>77923</v>
      </c>
      <c r="I5764" s="242">
        <v>76484</v>
      </c>
      <c r="J5764"/>
    </row>
    <row r="5765" spans="1:10">
      <c r="A5765" t="s">
        <v>2652</v>
      </c>
      <c r="B5765">
        <v>938000</v>
      </c>
      <c r="C5765">
        <v>1</v>
      </c>
      <c r="D5765" t="str">
        <f t="shared" si="90"/>
        <v>1938000.420</v>
      </c>
      <c r="E5765" t="s">
        <v>2653</v>
      </c>
      <c r="F5765" s="242"/>
      <c r="G5765"/>
      <c r="H5765" s="242">
        <v>188000</v>
      </c>
      <c r="I5765" s="242">
        <v>187108</v>
      </c>
      <c r="J5765"/>
    </row>
    <row r="5766" spans="1:10">
      <c r="A5766" t="s">
        <v>1649</v>
      </c>
      <c r="B5766">
        <v>938000</v>
      </c>
      <c r="C5766">
        <v>1</v>
      </c>
      <c r="D5766" t="str">
        <f t="shared" si="90"/>
        <v>1938000.422</v>
      </c>
      <c r="E5766" t="s">
        <v>2808</v>
      </c>
      <c r="F5766" s="242"/>
      <c r="G5766"/>
      <c r="H5766" s="242">
        <v>35000</v>
      </c>
      <c r="I5766" s="242">
        <v>53782</v>
      </c>
      <c r="J5766"/>
    </row>
    <row r="5767" spans="1:10">
      <c r="A5767" t="s">
        <v>2809</v>
      </c>
      <c r="B5767">
        <v>938000</v>
      </c>
      <c r="C5767">
        <v>1</v>
      </c>
      <c r="D5767" t="str">
        <f t="shared" si="90"/>
        <v>1938000.424</v>
      </c>
      <c r="E5767" t="s">
        <v>2810</v>
      </c>
      <c r="F5767" s="242"/>
      <c r="G5767"/>
      <c r="H5767" s="242">
        <v>58500</v>
      </c>
      <c r="I5767" s="242">
        <v>56860</v>
      </c>
      <c r="J5767"/>
    </row>
    <row r="5768" spans="1:10">
      <c r="A5768" t="s">
        <v>2792</v>
      </c>
      <c r="B5768">
        <v>938000</v>
      </c>
      <c r="C5768">
        <v>1</v>
      </c>
      <c r="D5768" t="str">
        <f t="shared" si="90"/>
        <v>1938000.425</v>
      </c>
      <c r="E5768" t="s">
        <v>2793</v>
      </c>
      <c r="F5768" s="242"/>
      <c r="G5768"/>
      <c r="H5768" s="242">
        <v>75000</v>
      </c>
      <c r="I5768" s="242">
        <v>77702</v>
      </c>
      <c r="J5768"/>
    </row>
    <row r="5769" spans="1:10">
      <c r="A5769" t="s">
        <v>2811</v>
      </c>
      <c r="B5769">
        <v>938000</v>
      </c>
      <c r="C5769">
        <v>1</v>
      </c>
      <c r="D5769" t="str">
        <f t="shared" si="90"/>
        <v>1938000.426</v>
      </c>
      <c r="E5769" t="s">
        <v>2812</v>
      </c>
      <c r="F5769" s="242"/>
      <c r="G5769"/>
      <c r="H5769" s="242">
        <v>36000</v>
      </c>
      <c r="I5769" s="242">
        <v>0</v>
      </c>
      <c r="J5769"/>
    </row>
    <row r="5770" spans="1:10">
      <c r="A5770" t="s">
        <v>1663</v>
      </c>
      <c r="B5770">
        <v>938000</v>
      </c>
      <c r="C5770">
        <v>1</v>
      </c>
      <c r="D5770" t="str">
        <f t="shared" si="90"/>
        <v>1938000.431</v>
      </c>
      <c r="E5770" t="s">
        <v>2654</v>
      </c>
      <c r="F5770" s="242"/>
      <c r="G5770"/>
      <c r="H5770" s="242">
        <v>730000</v>
      </c>
      <c r="I5770" s="242">
        <v>847038</v>
      </c>
      <c r="J5770"/>
    </row>
    <row r="5771" spans="1:10">
      <c r="A5771" t="s">
        <v>1668</v>
      </c>
      <c r="B5771">
        <v>938000</v>
      </c>
      <c r="C5771">
        <v>1</v>
      </c>
      <c r="D5771" t="str">
        <f t="shared" si="90"/>
        <v>1938000.432</v>
      </c>
      <c r="E5771" t="s">
        <v>2687</v>
      </c>
      <c r="F5771" s="242"/>
      <c r="G5771"/>
      <c r="H5771" s="242">
        <v>54000</v>
      </c>
      <c r="I5771" s="242">
        <v>42382</v>
      </c>
      <c r="J5771"/>
    </row>
    <row r="5772" spans="1:10">
      <c r="A5772" t="s">
        <v>1673</v>
      </c>
      <c r="B5772">
        <v>938000</v>
      </c>
      <c r="C5772">
        <v>1</v>
      </c>
      <c r="D5772" t="str">
        <f t="shared" si="90"/>
        <v>1938000.433</v>
      </c>
      <c r="E5772" t="s">
        <v>2655</v>
      </c>
      <c r="F5772" s="242"/>
      <c r="G5772"/>
      <c r="H5772" s="242">
        <v>0</v>
      </c>
      <c r="I5772" s="242">
        <v>2014</v>
      </c>
      <c r="J5772"/>
    </row>
    <row r="5773" spans="1:10">
      <c r="A5773" t="s">
        <v>1678</v>
      </c>
      <c r="B5773">
        <v>938000</v>
      </c>
      <c r="C5773">
        <v>1</v>
      </c>
      <c r="D5773" t="str">
        <f t="shared" si="90"/>
        <v>1938000.434</v>
      </c>
      <c r="E5773" t="s">
        <v>2656</v>
      </c>
      <c r="F5773" s="242"/>
      <c r="G5773"/>
      <c r="H5773" s="242">
        <v>667200</v>
      </c>
      <c r="I5773" s="242">
        <v>637202</v>
      </c>
      <c r="J5773"/>
    </row>
    <row r="5774" spans="1:10">
      <c r="A5774" t="s">
        <v>2606</v>
      </c>
      <c r="B5774">
        <v>938000</v>
      </c>
      <c r="C5774">
        <v>1</v>
      </c>
      <c r="D5774" t="str">
        <f t="shared" si="90"/>
        <v>1938000.440</v>
      </c>
      <c r="E5774" t="s">
        <v>2657</v>
      </c>
      <c r="F5774" s="242"/>
      <c r="G5774"/>
      <c r="H5774" s="242">
        <v>26300</v>
      </c>
      <c r="I5774" s="242">
        <v>25389</v>
      </c>
      <c r="J5774"/>
    </row>
    <row r="5775" spans="1:10">
      <c r="A5775" t="s">
        <v>1712</v>
      </c>
      <c r="B5775">
        <v>938000</v>
      </c>
      <c r="C5775">
        <v>1</v>
      </c>
      <c r="D5775" t="str">
        <f t="shared" si="90"/>
        <v>1938000.442</v>
      </c>
      <c r="E5775" t="s">
        <v>2813</v>
      </c>
      <c r="F5775" s="242"/>
      <c r="G5775"/>
      <c r="H5775" s="242">
        <v>0</v>
      </c>
      <c r="I5775" s="242">
        <v>0</v>
      </c>
      <c r="J5775"/>
    </row>
    <row r="5776" spans="1:10">
      <c r="A5776" t="s">
        <v>2411</v>
      </c>
      <c r="B5776">
        <v>938000</v>
      </c>
      <c r="C5776">
        <v>1</v>
      </c>
      <c r="D5776" t="str">
        <f t="shared" si="90"/>
        <v>1938000.470</v>
      </c>
      <c r="E5776" t="s">
        <v>2660</v>
      </c>
      <c r="F5776" s="242"/>
      <c r="G5776"/>
      <c r="H5776" s="242">
        <v>3000</v>
      </c>
      <c r="I5776" s="242">
        <v>2809</v>
      </c>
      <c r="J5776"/>
    </row>
    <row r="5777" spans="1:10">
      <c r="A5777" t="s">
        <v>2286</v>
      </c>
      <c r="B5777">
        <v>938000</v>
      </c>
      <c r="C5777">
        <v>1</v>
      </c>
      <c r="D5777" t="str">
        <f t="shared" si="90"/>
        <v>1938000.511</v>
      </c>
      <c r="E5777" t="s">
        <v>2584</v>
      </c>
      <c r="F5777" s="242"/>
      <c r="G5777"/>
      <c r="H5777" s="242">
        <v>38000</v>
      </c>
      <c r="I5777" s="242">
        <v>41856</v>
      </c>
      <c r="J5777"/>
    </row>
    <row r="5778" spans="1:10">
      <c r="A5778" t="s">
        <v>2414</v>
      </c>
      <c r="B5778">
        <v>938000</v>
      </c>
      <c r="C5778">
        <v>1</v>
      </c>
      <c r="D5778" t="str">
        <f t="shared" si="90"/>
        <v>1938000.512</v>
      </c>
      <c r="E5778" t="s">
        <v>2814</v>
      </c>
      <c r="F5778" s="242"/>
      <c r="G5778"/>
      <c r="H5778" s="242">
        <v>500</v>
      </c>
      <c r="I5778" s="242">
        <v>450</v>
      </c>
      <c r="J5778"/>
    </row>
    <row r="5779" spans="1:10">
      <c r="A5779" t="s">
        <v>2588</v>
      </c>
      <c r="B5779">
        <v>938000</v>
      </c>
      <c r="C5779">
        <v>1</v>
      </c>
      <c r="D5779" t="str">
        <f t="shared" si="90"/>
        <v>1938000.522</v>
      </c>
      <c r="E5779" t="s">
        <v>2608</v>
      </c>
      <c r="F5779" s="242"/>
      <c r="G5779"/>
      <c r="H5779" s="242">
        <v>1000</v>
      </c>
      <c r="I5779" s="242">
        <v>0</v>
      </c>
      <c r="J5779"/>
    </row>
    <row r="5780" spans="1:10">
      <c r="A5780" t="s">
        <v>2594</v>
      </c>
      <c r="B5780">
        <v>938000</v>
      </c>
      <c r="C5780">
        <v>1</v>
      </c>
      <c r="D5780" t="str">
        <f t="shared" si="90"/>
        <v>1938000.540</v>
      </c>
      <c r="E5780" t="s">
        <v>2595</v>
      </c>
      <c r="F5780" s="242"/>
      <c r="G5780"/>
      <c r="H5780" s="242">
        <v>41600</v>
      </c>
      <c r="I5780" s="242">
        <v>34663</v>
      </c>
      <c r="J5780"/>
    </row>
    <row r="5781" spans="1:10">
      <c r="A5781" t="s">
        <v>2815</v>
      </c>
      <c r="B5781">
        <v>938000</v>
      </c>
      <c r="C5781">
        <v>1</v>
      </c>
      <c r="D5781" t="str">
        <f t="shared" si="90"/>
        <v>1938000.541</v>
      </c>
      <c r="E5781" t="s">
        <v>2816</v>
      </c>
      <c r="F5781" s="242"/>
      <c r="G5781"/>
      <c r="H5781" s="242">
        <v>330900</v>
      </c>
      <c r="I5781" s="242">
        <v>298937</v>
      </c>
      <c r="J5781"/>
    </row>
    <row r="5782" spans="1:10">
      <c r="A5782" t="s">
        <v>2817</v>
      </c>
      <c r="B5782">
        <v>938000</v>
      </c>
      <c r="C5782">
        <v>1</v>
      </c>
      <c r="D5782" t="str">
        <f t="shared" si="90"/>
        <v>1938000.542</v>
      </c>
      <c r="E5782" t="s">
        <v>2818</v>
      </c>
      <c r="F5782" s="242"/>
      <c r="G5782"/>
      <c r="H5782" s="242">
        <v>19000</v>
      </c>
      <c r="I5782" s="242">
        <v>18706</v>
      </c>
      <c r="J5782"/>
    </row>
    <row r="5783" spans="1:10">
      <c r="A5783" t="s">
        <v>2819</v>
      </c>
      <c r="B5783">
        <v>938000</v>
      </c>
      <c r="C5783">
        <v>1</v>
      </c>
      <c r="D5783" t="str">
        <f t="shared" si="90"/>
        <v>1938000.543</v>
      </c>
      <c r="E5783" t="s">
        <v>2820</v>
      </c>
      <c r="F5783" s="242"/>
      <c r="G5783"/>
      <c r="H5783" s="242">
        <v>70000</v>
      </c>
      <c r="I5783" s="242">
        <v>115431</v>
      </c>
      <c r="J5783"/>
    </row>
    <row r="5784" spans="1:10">
      <c r="A5784" t="s">
        <v>2596</v>
      </c>
      <c r="B5784">
        <v>938000</v>
      </c>
      <c r="C5784">
        <v>1</v>
      </c>
      <c r="D5784" t="str">
        <f t="shared" si="90"/>
        <v>1938000.550</v>
      </c>
      <c r="E5784" t="s">
        <v>2597</v>
      </c>
      <c r="F5784" s="242"/>
      <c r="G5784"/>
      <c r="H5784" s="242">
        <v>7500</v>
      </c>
      <c r="I5784" s="242">
        <v>7242</v>
      </c>
      <c r="J5784"/>
    </row>
    <row r="5785" spans="1:10">
      <c r="A5785" t="s">
        <v>2598</v>
      </c>
      <c r="B5785">
        <v>938000</v>
      </c>
      <c r="C5785">
        <v>1</v>
      </c>
      <c r="D5785" t="str">
        <f t="shared" si="90"/>
        <v>1938000.561</v>
      </c>
      <c r="E5785" t="s">
        <v>2599</v>
      </c>
      <c r="F5785" s="242"/>
      <c r="G5785"/>
      <c r="H5785" s="242">
        <v>18000</v>
      </c>
      <c r="I5785" s="242">
        <v>16536</v>
      </c>
      <c r="J5785"/>
    </row>
    <row r="5786" spans="1:10">
      <c r="A5786" t="s">
        <v>2600</v>
      </c>
      <c r="B5786">
        <v>938000</v>
      </c>
      <c r="C5786">
        <v>1</v>
      </c>
      <c r="D5786" t="str">
        <f t="shared" si="90"/>
        <v>1938000.580</v>
      </c>
      <c r="E5786" t="s">
        <v>2629</v>
      </c>
      <c r="F5786" s="242"/>
      <c r="G5786"/>
      <c r="H5786" s="242">
        <v>24000</v>
      </c>
      <c r="I5786" s="242">
        <v>26112</v>
      </c>
      <c r="J5786"/>
    </row>
    <row r="5787" spans="1:10">
      <c r="A5787" t="s">
        <v>2702</v>
      </c>
      <c r="B5787">
        <v>938000</v>
      </c>
      <c r="C5787">
        <v>1</v>
      </c>
      <c r="D5787" t="str">
        <f t="shared" si="90"/>
        <v>1938000.582</v>
      </c>
      <c r="E5787" t="s">
        <v>2821</v>
      </c>
      <c r="F5787" s="242"/>
      <c r="G5787"/>
      <c r="H5787" s="242">
        <v>11000</v>
      </c>
      <c r="I5787" s="242">
        <v>5603</v>
      </c>
      <c r="J5787"/>
    </row>
    <row r="5788" spans="1:10">
      <c r="A5788" t="s">
        <v>600</v>
      </c>
      <c r="B5788">
        <v>938000</v>
      </c>
      <c r="C5788">
        <v>1</v>
      </c>
      <c r="D5788" t="str">
        <f t="shared" si="90"/>
        <v>1938000.731</v>
      </c>
      <c r="E5788" t="s">
        <v>2593</v>
      </c>
      <c r="F5788" s="242"/>
      <c r="G5788"/>
      <c r="H5788" s="242">
        <v>11138</v>
      </c>
      <c r="I5788" s="242">
        <v>11645</v>
      </c>
      <c r="J5788"/>
    </row>
    <row r="5789" spans="1:10">
      <c r="A5789" t="s">
        <v>2418</v>
      </c>
      <c r="B5789">
        <v>938000</v>
      </c>
      <c r="C5789">
        <v>1</v>
      </c>
      <c r="D5789" t="str">
        <f t="shared" si="90"/>
        <v>1938000.735</v>
      </c>
      <c r="E5789" t="s">
        <v>2602</v>
      </c>
      <c r="F5789" s="242"/>
      <c r="G5789"/>
      <c r="H5789" s="242">
        <v>37998</v>
      </c>
      <c r="I5789" s="242">
        <v>55964</v>
      </c>
      <c r="J5789"/>
    </row>
    <row r="5790" spans="1:10">
      <c r="A5790" t="s">
        <v>658</v>
      </c>
      <c r="B5790">
        <v>938000</v>
      </c>
      <c r="C5790">
        <v>1</v>
      </c>
      <c r="D5790" t="str">
        <f t="shared" si="90"/>
        <v>1938000.742</v>
      </c>
      <c r="E5790" t="s">
        <v>2668</v>
      </c>
      <c r="F5790" s="242"/>
      <c r="G5790"/>
      <c r="H5790" s="242">
        <v>36000</v>
      </c>
      <c r="I5790" s="242">
        <v>35697</v>
      </c>
      <c r="J5790"/>
    </row>
    <row r="5791" spans="1:10">
      <c r="A5791" t="s">
        <v>673</v>
      </c>
      <c r="B5791">
        <v>938000</v>
      </c>
      <c r="C5791">
        <v>1</v>
      </c>
      <c r="D5791" t="str">
        <f t="shared" si="90"/>
        <v>1938000.743</v>
      </c>
      <c r="E5791" t="s">
        <v>2622</v>
      </c>
      <c r="F5791" s="242"/>
      <c r="G5791"/>
      <c r="H5791" s="242">
        <v>90000</v>
      </c>
      <c r="I5791" s="242">
        <v>89380</v>
      </c>
      <c r="J5791"/>
    </row>
    <row r="5792" spans="1:10">
      <c r="A5792" t="s">
        <v>678</v>
      </c>
      <c r="B5792">
        <v>938000</v>
      </c>
      <c r="C5792">
        <v>1</v>
      </c>
      <c r="D5792" t="str">
        <f t="shared" si="90"/>
        <v>1938000.744</v>
      </c>
      <c r="E5792" t="s">
        <v>2822</v>
      </c>
      <c r="F5792" s="242"/>
      <c r="G5792"/>
      <c r="H5792" s="242">
        <v>85000</v>
      </c>
      <c r="I5792" s="242">
        <v>62128</v>
      </c>
      <c r="J5792"/>
    </row>
    <row r="5793" spans="1:10">
      <c r="A5793" t="s">
        <v>712</v>
      </c>
      <c r="B5793">
        <v>938000</v>
      </c>
      <c r="C5793">
        <v>1</v>
      </c>
      <c r="D5793" t="str">
        <f t="shared" si="90"/>
        <v>1938000.746</v>
      </c>
      <c r="E5793" t="s">
        <v>2823</v>
      </c>
      <c r="F5793" s="242"/>
      <c r="G5793"/>
      <c r="H5793" s="242">
        <v>30000</v>
      </c>
      <c r="I5793" s="242">
        <v>7500</v>
      </c>
      <c r="J5793"/>
    </row>
    <row r="5794" spans="1:10">
      <c r="A5794" t="s">
        <v>737</v>
      </c>
      <c r="B5794">
        <v>938000</v>
      </c>
      <c r="C5794">
        <v>1</v>
      </c>
      <c r="D5794" t="str">
        <f t="shared" si="90"/>
        <v>1938000.747</v>
      </c>
      <c r="E5794" t="s">
        <v>2765</v>
      </c>
      <c r="F5794" s="242"/>
      <c r="G5794"/>
      <c r="H5794" s="242">
        <v>5000</v>
      </c>
      <c r="I5794" s="242">
        <v>3045</v>
      </c>
      <c r="J5794"/>
    </row>
    <row r="5795" spans="1:10">
      <c r="A5795" t="s">
        <v>772</v>
      </c>
      <c r="B5795">
        <v>938000</v>
      </c>
      <c r="C5795">
        <v>1</v>
      </c>
      <c r="D5795" t="str">
        <f t="shared" si="90"/>
        <v>1938000.751</v>
      </c>
      <c r="E5795" t="s">
        <v>2824</v>
      </c>
      <c r="F5795" s="242"/>
      <c r="G5795"/>
      <c r="H5795" s="242">
        <v>10000</v>
      </c>
      <c r="I5795" s="242">
        <v>8918</v>
      </c>
      <c r="J5795"/>
    </row>
    <row r="5796" spans="1:10">
      <c r="A5796" t="s">
        <v>2670</v>
      </c>
      <c r="B5796">
        <v>938000</v>
      </c>
      <c r="C5796">
        <v>1</v>
      </c>
      <c r="D5796" t="str">
        <f t="shared" si="90"/>
        <v>1938000.755</v>
      </c>
      <c r="E5796" t="s">
        <v>2671</v>
      </c>
      <c r="F5796" s="242"/>
      <c r="G5796"/>
      <c r="H5796" s="242">
        <v>52800</v>
      </c>
      <c r="I5796" s="242">
        <v>23641</v>
      </c>
      <c r="J5796"/>
    </row>
    <row r="5797" spans="1:10">
      <c r="A5797" t="s">
        <v>2603</v>
      </c>
      <c r="B5797">
        <v>938000</v>
      </c>
      <c r="C5797">
        <v>1</v>
      </c>
      <c r="D5797" t="str">
        <f t="shared" si="90"/>
        <v>1938000.759</v>
      </c>
      <c r="E5797" t="s">
        <v>2825</v>
      </c>
      <c r="F5797" s="242"/>
      <c r="G5797"/>
      <c r="H5797" s="242">
        <v>618000</v>
      </c>
      <c r="I5797" s="242">
        <v>548347</v>
      </c>
      <c r="J5797"/>
    </row>
    <row r="5798" spans="1:10">
      <c r="A5798" t="s">
        <v>835</v>
      </c>
      <c r="B5798">
        <v>938000</v>
      </c>
      <c r="C5798">
        <v>1</v>
      </c>
      <c r="D5798" t="str">
        <f t="shared" si="90"/>
        <v>1938000.769</v>
      </c>
      <c r="E5798" t="s">
        <v>2605</v>
      </c>
      <c r="F5798" s="242"/>
      <c r="G5798"/>
      <c r="H5798" s="242">
        <v>19200</v>
      </c>
      <c r="I5798" s="242">
        <v>10728</v>
      </c>
      <c r="J5798"/>
    </row>
    <row r="5799" spans="1:10">
      <c r="A5799" t="s">
        <v>2632</v>
      </c>
      <c r="B5799">
        <v>938000</v>
      </c>
      <c r="C5799">
        <v>1</v>
      </c>
      <c r="D5799" t="str">
        <f t="shared" si="90"/>
        <v>1938000.780</v>
      </c>
      <c r="E5799" t="s">
        <v>2675</v>
      </c>
      <c r="F5799" s="242"/>
      <c r="G5799"/>
      <c r="H5799" s="242">
        <v>15000</v>
      </c>
      <c r="I5799" s="242">
        <v>15000</v>
      </c>
      <c r="J5799"/>
    </row>
    <row r="5800" spans="1:10">
      <c r="A5800" t="s">
        <v>2740</v>
      </c>
      <c r="B5800">
        <v>938000</v>
      </c>
      <c r="C5800">
        <v>1</v>
      </c>
      <c r="D5800" t="str">
        <f t="shared" si="90"/>
        <v>1938000.930</v>
      </c>
      <c r="E5800" t="s">
        <v>2826</v>
      </c>
      <c r="F5800" s="242"/>
      <c r="G5800"/>
      <c r="H5800" s="242">
        <v>15000</v>
      </c>
      <c r="I5800" s="242">
        <v>13642</v>
      </c>
      <c r="J5800"/>
    </row>
    <row r="5801" spans="1:10">
      <c r="A5801" t="s">
        <v>2827</v>
      </c>
      <c r="B5801">
        <v>938000</v>
      </c>
      <c r="C5801">
        <v>1</v>
      </c>
      <c r="D5801" t="str">
        <f t="shared" si="90"/>
        <v>1938000.950</v>
      </c>
      <c r="E5801" t="s">
        <v>2828</v>
      </c>
      <c r="F5801" s="242"/>
      <c r="G5801"/>
      <c r="H5801" s="242">
        <v>24000</v>
      </c>
      <c r="I5801" s="242">
        <v>19680</v>
      </c>
      <c r="J5801"/>
    </row>
    <row r="5802" spans="1:10">
      <c r="A5802" t="s">
        <v>2571</v>
      </c>
      <c r="B5802">
        <v>938001</v>
      </c>
      <c r="C5802">
        <v>1</v>
      </c>
      <c r="D5802" t="str">
        <f t="shared" si="90"/>
        <v>1938001.105</v>
      </c>
      <c r="E5802" t="s">
        <v>2572</v>
      </c>
      <c r="F5802" s="242"/>
      <c r="G5802"/>
      <c r="H5802" s="242">
        <v>0</v>
      </c>
      <c r="I5802" s="242">
        <v>0</v>
      </c>
      <c r="J5802"/>
    </row>
    <row r="5803" spans="1:10">
      <c r="A5803" t="s">
        <v>2652</v>
      </c>
      <c r="B5803">
        <v>938001</v>
      </c>
      <c r="C5803">
        <v>1</v>
      </c>
      <c r="D5803" t="str">
        <f t="shared" si="90"/>
        <v>1938001.420</v>
      </c>
      <c r="E5803" t="s">
        <v>2653</v>
      </c>
      <c r="F5803" s="242"/>
      <c r="G5803"/>
      <c r="H5803" s="242">
        <v>25000</v>
      </c>
      <c r="I5803" s="242">
        <v>0</v>
      </c>
      <c r="J5803"/>
    </row>
    <row r="5804" spans="1:10">
      <c r="A5804" t="s">
        <v>1649</v>
      </c>
      <c r="B5804">
        <v>938001</v>
      </c>
      <c r="C5804">
        <v>1</v>
      </c>
      <c r="D5804" t="str">
        <f t="shared" si="90"/>
        <v>1938001.422</v>
      </c>
      <c r="E5804" t="s">
        <v>2808</v>
      </c>
      <c r="F5804" s="242"/>
      <c r="G5804"/>
      <c r="H5804" s="242">
        <v>10000</v>
      </c>
      <c r="I5804" s="242">
        <v>0</v>
      </c>
      <c r="J5804"/>
    </row>
    <row r="5805" spans="1:10">
      <c r="A5805" t="s">
        <v>2792</v>
      </c>
      <c r="B5805">
        <v>938001</v>
      </c>
      <c r="C5805">
        <v>1</v>
      </c>
      <c r="D5805" t="str">
        <f t="shared" si="90"/>
        <v>1938001.425</v>
      </c>
      <c r="E5805" t="s">
        <v>2793</v>
      </c>
      <c r="F5805" s="242"/>
      <c r="G5805"/>
      <c r="H5805" s="242">
        <v>20000</v>
      </c>
      <c r="I5805" s="242">
        <v>0</v>
      </c>
      <c r="J5805"/>
    </row>
    <row r="5806" spans="1:10">
      <c r="A5806" t="s">
        <v>1663</v>
      </c>
      <c r="B5806">
        <v>938001</v>
      </c>
      <c r="C5806">
        <v>1</v>
      </c>
      <c r="D5806" t="str">
        <f t="shared" si="90"/>
        <v>1938001.431</v>
      </c>
      <c r="E5806" t="s">
        <v>2654</v>
      </c>
      <c r="F5806" s="242"/>
      <c r="G5806"/>
      <c r="H5806" s="242">
        <v>150000</v>
      </c>
      <c r="I5806" s="242">
        <v>0</v>
      </c>
      <c r="J5806"/>
    </row>
    <row r="5807" spans="1:10">
      <c r="A5807" t="s">
        <v>1668</v>
      </c>
      <c r="B5807">
        <v>938001</v>
      </c>
      <c r="C5807">
        <v>1</v>
      </c>
      <c r="D5807" t="str">
        <f t="shared" si="90"/>
        <v>1938001.432</v>
      </c>
      <c r="E5807" t="s">
        <v>2687</v>
      </c>
      <c r="F5807" s="242"/>
      <c r="G5807"/>
      <c r="H5807" s="242">
        <v>22500</v>
      </c>
      <c r="I5807" s="242">
        <v>0</v>
      </c>
      <c r="J5807"/>
    </row>
    <row r="5808" spans="1:10">
      <c r="A5808" t="s">
        <v>1673</v>
      </c>
      <c r="B5808">
        <v>938001</v>
      </c>
      <c r="C5808">
        <v>1</v>
      </c>
      <c r="D5808" t="str">
        <f t="shared" si="90"/>
        <v>1938001.433</v>
      </c>
      <c r="E5808" t="s">
        <v>2655</v>
      </c>
      <c r="F5808" s="242"/>
      <c r="G5808"/>
      <c r="H5808" s="242">
        <v>18000</v>
      </c>
      <c r="I5808" s="242">
        <v>2424</v>
      </c>
      <c r="J5808"/>
    </row>
    <row r="5809" spans="1:10">
      <c r="A5809" t="s">
        <v>1678</v>
      </c>
      <c r="B5809">
        <v>938001</v>
      </c>
      <c r="C5809">
        <v>1</v>
      </c>
      <c r="D5809" t="str">
        <f t="shared" si="90"/>
        <v>1938001.434</v>
      </c>
      <c r="E5809" t="s">
        <v>2656</v>
      </c>
      <c r="F5809" s="242"/>
      <c r="G5809"/>
      <c r="H5809" s="242">
        <v>350000</v>
      </c>
      <c r="I5809" s="242">
        <v>49895</v>
      </c>
      <c r="J5809"/>
    </row>
    <row r="5810" spans="1:10">
      <c r="A5810" t="s">
        <v>2606</v>
      </c>
      <c r="B5810">
        <v>938001</v>
      </c>
      <c r="C5810">
        <v>1</v>
      </c>
      <c r="D5810" t="str">
        <f t="shared" si="90"/>
        <v>1938001.440</v>
      </c>
      <c r="E5810" t="s">
        <v>2657</v>
      </c>
      <c r="F5810" s="242"/>
      <c r="G5810"/>
      <c r="H5810" s="242">
        <v>8600</v>
      </c>
      <c r="I5810" s="242">
        <v>8329</v>
      </c>
      <c r="J5810"/>
    </row>
    <row r="5811" spans="1:10">
      <c r="A5811" t="s">
        <v>2594</v>
      </c>
      <c r="B5811">
        <v>938001</v>
      </c>
      <c r="C5811">
        <v>1</v>
      </c>
      <c r="D5811" t="str">
        <f t="shared" si="90"/>
        <v>1938001.540</v>
      </c>
      <c r="E5811" t="s">
        <v>2595</v>
      </c>
      <c r="F5811" s="242"/>
      <c r="G5811"/>
      <c r="H5811" s="242">
        <v>6000</v>
      </c>
      <c r="I5811" s="242">
        <v>0</v>
      </c>
      <c r="J5811"/>
    </row>
    <row r="5812" spans="1:10">
      <c r="A5812" t="s">
        <v>2600</v>
      </c>
      <c r="B5812">
        <v>938001</v>
      </c>
      <c r="C5812">
        <v>1</v>
      </c>
      <c r="D5812" t="str">
        <f t="shared" si="90"/>
        <v>1938001.580</v>
      </c>
      <c r="E5812" t="s">
        <v>2601</v>
      </c>
      <c r="F5812" s="242"/>
      <c r="G5812"/>
      <c r="H5812" s="242">
        <v>5000</v>
      </c>
      <c r="I5812" s="242">
        <v>0</v>
      </c>
      <c r="J5812"/>
    </row>
    <row r="5813" spans="1:10">
      <c r="A5813" t="s">
        <v>2704</v>
      </c>
      <c r="B5813">
        <v>938001</v>
      </c>
      <c r="C5813">
        <v>1</v>
      </c>
      <c r="D5813" t="str">
        <f t="shared" si="90"/>
        <v>1938001.720</v>
      </c>
      <c r="E5813" t="s">
        <v>2705</v>
      </c>
      <c r="F5813" s="242"/>
      <c r="G5813"/>
      <c r="H5813" s="242">
        <v>0</v>
      </c>
      <c r="I5813" s="242">
        <v>0</v>
      </c>
      <c r="J5813"/>
    </row>
    <row r="5814" spans="1:10">
      <c r="A5814" t="s">
        <v>600</v>
      </c>
      <c r="B5814">
        <v>938001</v>
      </c>
      <c r="C5814">
        <v>1</v>
      </c>
      <c r="D5814" t="str">
        <f t="shared" si="90"/>
        <v>1938001.731</v>
      </c>
      <c r="E5814" t="s">
        <v>2593</v>
      </c>
      <c r="F5814" s="242"/>
      <c r="G5814"/>
      <c r="H5814" s="242">
        <v>11138</v>
      </c>
      <c r="I5814" s="242">
        <v>0</v>
      </c>
      <c r="J5814"/>
    </row>
    <row r="5815" spans="1:10">
      <c r="A5815" t="s">
        <v>2418</v>
      </c>
      <c r="B5815">
        <v>938001</v>
      </c>
      <c r="C5815">
        <v>1</v>
      </c>
      <c r="D5815" t="str">
        <f t="shared" si="90"/>
        <v>1938001.735</v>
      </c>
      <c r="E5815" t="s">
        <v>2602</v>
      </c>
      <c r="F5815" s="242"/>
      <c r="G5815"/>
      <c r="H5815" s="242">
        <v>20611</v>
      </c>
      <c r="I5815" s="242">
        <v>12019</v>
      </c>
      <c r="J5815"/>
    </row>
    <row r="5816" spans="1:10">
      <c r="A5816" t="s">
        <v>658</v>
      </c>
      <c r="B5816">
        <v>938001</v>
      </c>
      <c r="C5816">
        <v>1</v>
      </c>
      <c r="D5816" t="str">
        <f t="shared" si="90"/>
        <v>1938001.742</v>
      </c>
      <c r="E5816" t="s">
        <v>2668</v>
      </c>
      <c r="F5816" s="242"/>
      <c r="G5816"/>
      <c r="H5816" s="242">
        <v>4000</v>
      </c>
      <c r="I5816" s="242">
        <v>3323</v>
      </c>
      <c r="J5816"/>
    </row>
    <row r="5817" spans="1:10">
      <c r="A5817" t="s">
        <v>673</v>
      </c>
      <c r="B5817">
        <v>938001</v>
      </c>
      <c r="C5817">
        <v>1</v>
      </c>
      <c r="D5817" t="str">
        <f t="shared" si="90"/>
        <v>1938001.743</v>
      </c>
      <c r="E5817" t="s">
        <v>2622</v>
      </c>
      <c r="F5817" s="242"/>
      <c r="G5817"/>
      <c r="H5817" s="242">
        <v>20000</v>
      </c>
      <c r="I5817" s="242">
        <v>10600</v>
      </c>
      <c r="J5817"/>
    </row>
    <row r="5818" spans="1:10">
      <c r="A5818" t="s">
        <v>678</v>
      </c>
      <c r="B5818">
        <v>938001</v>
      </c>
      <c r="C5818">
        <v>1</v>
      </c>
      <c r="D5818" t="str">
        <f t="shared" si="90"/>
        <v>1938001.744</v>
      </c>
      <c r="E5818" t="s">
        <v>2822</v>
      </c>
      <c r="F5818" s="242"/>
      <c r="G5818"/>
      <c r="H5818" s="242">
        <v>11400</v>
      </c>
      <c r="I5818" s="242">
        <v>0</v>
      </c>
      <c r="J5818"/>
    </row>
    <row r="5819" spans="1:10">
      <c r="A5819" t="s">
        <v>772</v>
      </c>
      <c r="B5819">
        <v>938001</v>
      </c>
      <c r="C5819">
        <v>1</v>
      </c>
      <c r="D5819" t="str">
        <f t="shared" si="90"/>
        <v>1938001.751</v>
      </c>
      <c r="E5819" t="s">
        <v>2835</v>
      </c>
      <c r="F5819" s="242"/>
      <c r="G5819"/>
      <c r="H5819" s="242">
        <v>3000</v>
      </c>
      <c r="I5819" s="242">
        <v>0</v>
      </c>
      <c r="J5819"/>
    </row>
    <row r="5820" spans="1:10">
      <c r="A5820" t="s">
        <v>2670</v>
      </c>
      <c r="B5820">
        <v>938001</v>
      </c>
      <c r="C5820">
        <v>1</v>
      </c>
      <c r="D5820" t="str">
        <f t="shared" si="90"/>
        <v>1938001.755</v>
      </c>
      <c r="E5820" t="s">
        <v>2671</v>
      </c>
      <c r="F5820" s="242"/>
      <c r="G5820"/>
      <c r="H5820" s="242">
        <v>5000</v>
      </c>
      <c r="I5820" s="242">
        <v>0</v>
      </c>
      <c r="J5820"/>
    </row>
    <row r="5821" spans="1:10">
      <c r="A5821" t="s">
        <v>2603</v>
      </c>
      <c r="B5821">
        <v>938001</v>
      </c>
      <c r="C5821">
        <v>1</v>
      </c>
      <c r="D5821" t="str">
        <f t="shared" si="90"/>
        <v>1938001.759</v>
      </c>
      <c r="E5821" t="s">
        <v>2642</v>
      </c>
      <c r="F5821" s="242"/>
      <c r="G5821"/>
      <c r="H5821" s="242">
        <v>310000</v>
      </c>
      <c r="I5821" s="242">
        <v>15532</v>
      </c>
      <c r="J5821"/>
    </row>
    <row r="5822" spans="1:10">
      <c r="A5822" t="s">
        <v>1673</v>
      </c>
      <c r="B5822">
        <v>938100</v>
      </c>
      <c r="C5822">
        <v>1</v>
      </c>
      <c r="D5822" t="str">
        <f t="shared" si="90"/>
        <v>1938100.433</v>
      </c>
      <c r="E5822" t="s">
        <v>2655</v>
      </c>
      <c r="F5822" s="242"/>
      <c r="G5822"/>
      <c r="H5822" s="242">
        <v>120000</v>
      </c>
      <c r="I5822" s="242">
        <v>142416</v>
      </c>
      <c r="J5822"/>
    </row>
    <row r="5823" spans="1:10">
      <c r="A5823" t="s">
        <v>2606</v>
      </c>
      <c r="B5823">
        <v>938100</v>
      </c>
      <c r="C5823">
        <v>1</v>
      </c>
      <c r="D5823" t="str">
        <f t="shared" si="90"/>
        <v>1938100.440</v>
      </c>
      <c r="E5823" t="s">
        <v>2829</v>
      </c>
      <c r="F5823" s="242"/>
      <c r="G5823"/>
      <c r="H5823" s="242">
        <v>22400</v>
      </c>
      <c r="I5823" s="242">
        <v>21609</v>
      </c>
      <c r="J5823"/>
    </row>
    <row r="5824" spans="1:10">
      <c r="A5824" t="s">
        <v>2411</v>
      </c>
      <c r="B5824">
        <v>938100</v>
      </c>
      <c r="C5824">
        <v>1</v>
      </c>
      <c r="D5824" t="str">
        <f t="shared" si="90"/>
        <v>1938100.470</v>
      </c>
      <c r="E5824" t="s">
        <v>2830</v>
      </c>
      <c r="F5824" s="242"/>
      <c r="G5824"/>
      <c r="H5824" s="242">
        <v>142500</v>
      </c>
      <c r="I5824" s="242">
        <v>159323</v>
      </c>
      <c r="J5824"/>
    </row>
    <row r="5825" spans="1:10">
      <c r="A5825" t="s">
        <v>1771</v>
      </c>
      <c r="B5825">
        <v>938100</v>
      </c>
      <c r="C5825">
        <v>1</v>
      </c>
      <c r="D5825" t="str">
        <f t="shared" si="90"/>
        <v>1938100.471</v>
      </c>
      <c r="E5825" t="s">
        <v>2831</v>
      </c>
      <c r="F5825" s="242"/>
      <c r="G5825"/>
      <c r="H5825" s="242">
        <v>112000</v>
      </c>
      <c r="I5825" s="242">
        <v>92328</v>
      </c>
      <c r="J5825"/>
    </row>
    <row r="5826" spans="1:10">
      <c r="A5826" t="s">
        <v>2594</v>
      </c>
      <c r="B5826">
        <v>938100</v>
      </c>
      <c r="C5826">
        <v>1</v>
      </c>
      <c r="D5826" t="str">
        <f t="shared" si="90"/>
        <v>1938100.540</v>
      </c>
      <c r="E5826" t="s">
        <v>2595</v>
      </c>
      <c r="F5826" s="242"/>
      <c r="G5826"/>
      <c r="H5826" s="242">
        <v>100000</v>
      </c>
      <c r="I5826" s="242">
        <v>886740</v>
      </c>
      <c r="J5826"/>
    </row>
    <row r="5827" spans="1:10">
      <c r="A5827" t="s">
        <v>673</v>
      </c>
      <c r="B5827">
        <v>938100</v>
      </c>
      <c r="C5827">
        <v>1</v>
      </c>
      <c r="D5827" t="str">
        <f t="shared" ref="D5827:D5890" si="91">C5827&amp;B5827&amp;"."&amp;A5827</f>
        <v>1938100.743</v>
      </c>
      <c r="E5827" t="s">
        <v>2622</v>
      </c>
      <c r="F5827" s="242"/>
      <c r="G5827"/>
      <c r="H5827" s="242">
        <v>0</v>
      </c>
      <c r="I5827" s="242">
        <v>0</v>
      </c>
      <c r="J5827"/>
    </row>
    <row r="5828" spans="1:10">
      <c r="A5828" t="s">
        <v>678</v>
      </c>
      <c r="B5828">
        <v>938100</v>
      </c>
      <c r="C5828">
        <v>1</v>
      </c>
      <c r="D5828" t="str">
        <f t="shared" si="91"/>
        <v>1938100.744</v>
      </c>
      <c r="E5828" t="s">
        <v>2832</v>
      </c>
      <c r="F5828" s="242"/>
      <c r="G5828"/>
      <c r="H5828" s="242">
        <v>15000</v>
      </c>
      <c r="I5828" s="242">
        <v>0</v>
      </c>
      <c r="J5828"/>
    </row>
    <row r="5829" spans="1:10">
      <c r="A5829" t="s">
        <v>707</v>
      </c>
      <c r="B5829">
        <v>938100</v>
      </c>
      <c r="C5829">
        <v>1</v>
      </c>
      <c r="D5829" t="str">
        <f t="shared" si="91"/>
        <v>1938100.745</v>
      </c>
      <c r="E5829" t="s">
        <v>2833</v>
      </c>
      <c r="F5829" s="242"/>
      <c r="G5829"/>
      <c r="H5829" s="242">
        <v>105000</v>
      </c>
      <c r="I5829" s="242">
        <v>75511</v>
      </c>
      <c r="J5829"/>
    </row>
    <row r="5830" spans="1:10">
      <c r="A5830" t="s">
        <v>2740</v>
      </c>
      <c r="B5830">
        <v>938100</v>
      </c>
      <c r="C5830">
        <v>1</v>
      </c>
      <c r="D5830" t="str">
        <f t="shared" si="91"/>
        <v>1938100.930</v>
      </c>
      <c r="E5830" t="s">
        <v>2834</v>
      </c>
      <c r="F5830" s="242"/>
      <c r="G5830"/>
      <c r="H5830" s="242">
        <v>140000</v>
      </c>
      <c r="I5830" s="242">
        <v>149326</v>
      </c>
      <c r="J5830"/>
    </row>
    <row r="5831" spans="1:10">
      <c r="A5831" t="s">
        <v>2652</v>
      </c>
      <c r="B5831">
        <v>939000</v>
      </c>
      <c r="C5831">
        <v>1</v>
      </c>
      <c r="D5831" t="str">
        <f t="shared" si="91"/>
        <v>1939000.420</v>
      </c>
      <c r="E5831" t="s">
        <v>2653</v>
      </c>
      <c r="F5831" s="242"/>
      <c r="G5831"/>
      <c r="H5831" s="242">
        <v>250000</v>
      </c>
      <c r="I5831" s="242">
        <v>254863</v>
      </c>
      <c r="J5831"/>
    </row>
    <row r="5832" spans="1:10">
      <c r="A5832" t="s">
        <v>1663</v>
      </c>
      <c r="B5832">
        <v>939000</v>
      </c>
      <c r="C5832">
        <v>1</v>
      </c>
      <c r="D5832" t="str">
        <f t="shared" si="91"/>
        <v>1939000.431</v>
      </c>
      <c r="E5832" t="s">
        <v>2654</v>
      </c>
      <c r="F5832" s="242"/>
      <c r="G5832"/>
      <c r="H5832" s="242">
        <v>558000</v>
      </c>
      <c r="I5832" s="242">
        <v>380644</v>
      </c>
      <c r="J5832"/>
    </row>
    <row r="5833" spans="1:10">
      <c r="A5833" t="s">
        <v>1668</v>
      </c>
      <c r="B5833">
        <v>939000</v>
      </c>
      <c r="C5833">
        <v>1</v>
      </c>
      <c r="D5833" t="str">
        <f t="shared" si="91"/>
        <v>1939000.432</v>
      </c>
      <c r="E5833" t="s">
        <v>2687</v>
      </c>
      <c r="F5833" s="242"/>
      <c r="G5833"/>
      <c r="H5833" s="242">
        <v>572000</v>
      </c>
      <c r="I5833" s="242">
        <v>539507</v>
      </c>
      <c r="J5833"/>
    </row>
    <row r="5834" spans="1:10">
      <c r="A5834" t="s">
        <v>2606</v>
      </c>
      <c r="B5834">
        <v>939000</v>
      </c>
      <c r="C5834">
        <v>1</v>
      </c>
      <c r="D5834" t="str">
        <f t="shared" si="91"/>
        <v>1939000.440</v>
      </c>
      <c r="E5834" t="s">
        <v>3002</v>
      </c>
      <c r="F5834" s="242"/>
      <c r="G5834"/>
      <c r="H5834" s="242">
        <v>205700</v>
      </c>
      <c r="I5834" s="242">
        <v>198628</v>
      </c>
      <c r="J5834"/>
    </row>
    <row r="5835" spans="1:10">
      <c r="A5835" t="s">
        <v>2702</v>
      </c>
      <c r="B5835">
        <v>939000</v>
      </c>
      <c r="C5835">
        <v>1</v>
      </c>
      <c r="D5835" t="str">
        <f t="shared" si="91"/>
        <v>1939000.582</v>
      </c>
      <c r="E5835" t="s">
        <v>4665</v>
      </c>
      <c r="F5835" s="242"/>
      <c r="G5835"/>
      <c r="H5835" s="242">
        <v>100000</v>
      </c>
      <c r="I5835" s="242">
        <v>236</v>
      </c>
      <c r="J5835"/>
    </row>
    <row r="5836" spans="1:10">
      <c r="A5836" t="s">
        <v>2611</v>
      </c>
      <c r="B5836">
        <v>939000</v>
      </c>
      <c r="C5836">
        <v>1</v>
      </c>
      <c r="D5836" t="str">
        <f t="shared" si="91"/>
        <v>1939000.750</v>
      </c>
      <c r="E5836" t="s">
        <v>2707</v>
      </c>
      <c r="F5836" s="242"/>
      <c r="G5836"/>
      <c r="H5836" s="242">
        <v>250000</v>
      </c>
      <c r="I5836" s="242">
        <v>208919</v>
      </c>
      <c r="J5836"/>
    </row>
    <row r="5837" spans="1:10">
      <c r="A5837" t="s">
        <v>772</v>
      </c>
      <c r="B5837">
        <v>939000</v>
      </c>
      <c r="C5837">
        <v>1</v>
      </c>
      <c r="D5837" t="str">
        <f t="shared" si="91"/>
        <v>1939000.751</v>
      </c>
      <c r="E5837" t="s">
        <v>3003</v>
      </c>
      <c r="F5837" s="242"/>
      <c r="G5837"/>
      <c r="H5837" s="242">
        <v>0</v>
      </c>
      <c r="I5837" s="242">
        <v>0</v>
      </c>
      <c r="J5837"/>
    </row>
    <row r="5838" spans="1:10">
      <c r="A5838" t="s">
        <v>791</v>
      </c>
      <c r="B5838">
        <v>939000</v>
      </c>
      <c r="C5838">
        <v>1</v>
      </c>
      <c r="D5838" t="str">
        <f t="shared" si="91"/>
        <v>1939000.756</v>
      </c>
      <c r="E5838" t="s">
        <v>3004</v>
      </c>
      <c r="F5838" s="242"/>
      <c r="G5838"/>
      <c r="H5838" s="242">
        <v>32000</v>
      </c>
      <c r="I5838" s="242">
        <v>0</v>
      </c>
      <c r="J5838"/>
    </row>
    <row r="5839" spans="1:10">
      <c r="A5839" t="s">
        <v>2674</v>
      </c>
      <c r="B5839">
        <v>939000</v>
      </c>
      <c r="C5839">
        <v>1</v>
      </c>
      <c r="D5839" t="str">
        <f t="shared" si="91"/>
        <v>1939000.783</v>
      </c>
      <c r="E5839" t="s">
        <v>3005</v>
      </c>
      <c r="F5839" s="242"/>
      <c r="G5839"/>
      <c r="H5839" s="242">
        <v>50000</v>
      </c>
      <c r="I5839" s="242">
        <v>44931</v>
      </c>
      <c r="J5839"/>
    </row>
    <row r="5840" spans="1:10">
      <c r="A5840" t="s">
        <v>2676</v>
      </c>
      <c r="B5840">
        <v>939000</v>
      </c>
      <c r="C5840">
        <v>1</v>
      </c>
      <c r="D5840" t="str">
        <f t="shared" si="91"/>
        <v>1939000.784</v>
      </c>
      <c r="E5840" t="s">
        <v>3006</v>
      </c>
      <c r="F5840" s="242"/>
      <c r="G5840"/>
      <c r="H5840" s="242">
        <v>470000</v>
      </c>
      <c r="I5840" s="242">
        <v>300583</v>
      </c>
      <c r="J5840"/>
    </row>
    <row r="5841" spans="1:10">
      <c r="A5841" t="s">
        <v>2750</v>
      </c>
      <c r="B5841">
        <v>939000</v>
      </c>
      <c r="C5841">
        <v>1</v>
      </c>
      <c r="D5841" t="str">
        <f t="shared" si="91"/>
        <v>1939000.785</v>
      </c>
      <c r="E5841" t="s">
        <v>2985</v>
      </c>
      <c r="F5841" s="242"/>
      <c r="G5841"/>
      <c r="H5841" s="242">
        <v>0</v>
      </c>
      <c r="I5841" s="242">
        <v>0</v>
      </c>
      <c r="J5841"/>
    </row>
    <row r="5842" spans="1:10">
      <c r="A5842" t="s">
        <v>2674</v>
      </c>
      <c r="B5842">
        <v>939100</v>
      </c>
      <c r="C5842">
        <v>1</v>
      </c>
      <c r="D5842" t="str">
        <f t="shared" si="91"/>
        <v>1939100.783</v>
      </c>
      <c r="E5842" t="s">
        <v>3007</v>
      </c>
      <c r="F5842" s="242"/>
      <c r="G5842"/>
      <c r="H5842" s="242">
        <v>0</v>
      </c>
      <c r="I5842" s="242">
        <v>0</v>
      </c>
      <c r="J5842"/>
    </row>
    <row r="5843" spans="1:10">
      <c r="A5843" t="s">
        <v>4573</v>
      </c>
      <c r="B5843">
        <v>940000</v>
      </c>
      <c r="C5843">
        <v>1</v>
      </c>
      <c r="D5843" t="str">
        <f t="shared" si="91"/>
        <v>1940000.320</v>
      </c>
      <c r="E5843" t="s">
        <v>4574</v>
      </c>
      <c r="F5843" s="242"/>
      <c r="G5843"/>
      <c r="H5843" s="242">
        <v>0</v>
      </c>
      <c r="I5843" s="242">
        <v>235664</v>
      </c>
      <c r="J5843"/>
    </row>
    <row r="5844" spans="1:10">
      <c r="A5844" t="s">
        <v>2403</v>
      </c>
      <c r="B5844">
        <v>941000</v>
      </c>
      <c r="C5844">
        <v>1</v>
      </c>
      <c r="D5844" t="str">
        <f t="shared" si="91"/>
        <v>1941000.110</v>
      </c>
      <c r="E5844" t="s">
        <v>2573</v>
      </c>
      <c r="F5844" s="242"/>
      <c r="G5844"/>
      <c r="H5844" s="242">
        <v>399846</v>
      </c>
      <c r="I5844" s="242">
        <v>406519</v>
      </c>
      <c r="J5844"/>
    </row>
    <row r="5845" spans="1:10">
      <c r="A5845" t="s">
        <v>2404</v>
      </c>
      <c r="B5845">
        <v>941000</v>
      </c>
      <c r="C5845">
        <v>1</v>
      </c>
      <c r="D5845" t="str">
        <f t="shared" si="91"/>
        <v>1941000.120</v>
      </c>
      <c r="E5845" t="s">
        <v>2574</v>
      </c>
      <c r="F5845" s="242"/>
      <c r="G5845"/>
      <c r="H5845" s="242">
        <v>91473</v>
      </c>
      <c r="I5845" s="242">
        <v>106470</v>
      </c>
      <c r="J5845"/>
    </row>
    <row r="5846" spans="1:10">
      <c r="A5846" t="s">
        <v>2575</v>
      </c>
      <c r="B5846">
        <v>941000</v>
      </c>
      <c r="C5846">
        <v>1</v>
      </c>
      <c r="D5846" t="str">
        <f t="shared" si="91"/>
        <v>1941000.130</v>
      </c>
      <c r="E5846" t="s">
        <v>2576</v>
      </c>
      <c r="F5846" s="242"/>
      <c r="G5846"/>
      <c r="H5846" s="242">
        <v>38964</v>
      </c>
      <c r="I5846" s="242">
        <v>51268</v>
      </c>
      <c r="J5846"/>
    </row>
    <row r="5847" spans="1:10">
      <c r="A5847" t="s">
        <v>2577</v>
      </c>
      <c r="B5847">
        <v>941000</v>
      </c>
      <c r="C5847">
        <v>1</v>
      </c>
      <c r="D5847" t="str">
        <f t="shared" si="91"/>
        <v>1941000.140</v>
      </c>
      <c r="E5847" t="s">
        <v>2578</v>
      </c>
      <c r="F5847" s="242"/>
      <c r="G5847"/>
      <c r="H5847" s="242">
        <v>59314</v>
      </c>
      <c r="I5847" s="242">
        <v>75084</v>
      </c>
      <c r="J5847"/>
    </row>
    <row r="5848" spans="1:10">
      <c r="A5848" t="s">
        <v>2579</v>
      </c>
      <c r="B5848">
        <v>941000</v>
      </c>
      <c r="C5848">
        <v>1</v>
      </c>
      <c r="D5848" t="str">
        <f t="shared" si="91"/>
        <v>1941000.181</v>
      </c>
      <c r="E5848" t="s">
        <v>2580</v>
      </c>
      <c r="F5848" s="242"/>
      <c r="G5848"/>
      <c r="H5848" s="242">
        <v>116033</v>
      </c>
      <c r="I5848" s="242">
        <v>118573</v>
      </c>
      <c r="J5848"/>
    </row>
    <row r="5849" spans="1:10">
      <c r="A5849" t="s">
        <v>2581</v>
      </c>
      <c r="B5849">
        <v>941000</v>
      </c>
      <c r="C5849">
        <v>1</v>
      </c>
      <c r="D5849" t="str">
        <f t="shared" si="91"/>
        <v>1941000.182</v>
      </c>
      <c r="E5849" t="s">
        <v>2582</v>
      </c>
      <c r="F5849" s="242"/>
      <c r="G5849"/>
      <c r="H5849" s="242">
        <v>44576</v>
      </c>
      <c r="I5849" s="242">
        <v>48313</v>
      </c>
      <c r="J5849"/>
    </row>
    <row r="5850" spans="1:10">
      <c r="A5850" t="s">
        <v>2652</v>
      </c>
      <c r="B5850">
        <v>941000</v>
      </c>
      <c r="C5850">
        <v>1</v>
      </c>
      <c r="D5850" t="str">
        <f t="shared" si="91"/>
        <v>1941000.420</v>
      </c>
      <c r="E5850" t="s">
        <v>2653</v>
      </c>
      <c r="F5850" s="242"/>
      <c r="G5850"/>
      <c r="H5850" s="242">
        <v>5000</v>
      </c>
      <c r="I5850" s="242">
        <v>0</v>
      </c>
      <c r="J5850"/>
    </row>
    <row r="5851" spans="1:10">
      <c r="A5851" t="s">
        <v>1663</v>
      </c>
      <c r="B5851">
        <v>941000</v>
      </c>
      <c r="C5851">
        <v>1</v>
      </c>
      <c r="D5851" t="str">
        <f t="shared" si="91"/>
        <v>1941000.431</v>
      </c>
      <c r="E5851" t="s">
        <v>2654</v>
      </c>
      <c r="F5851" s="242"/>
      <c r="G5851"/>
      <c r="H5851" s="242">
        <v>0</v>
      </c>
      <c r="I5851" s="242">
        <v>0</v>
      </c>
      <c r="J5851"/>
    </row>
    <row r="5852" spans="1:10">
      <c r="A5852" t="s">
        <v>1673</v>
      </c>
      <c r="B5852">
        <v>941000</v>
      </c>
      <c r="C5852">
        <v>1</v>
      </c>
      <c r="D5852" t="str">
        <f t="shared" si="91"/>
        <v>1941000.433</v>
      </c>
      <c r="E5852" t="s">
        <v>2655</v>
      </c>
      <c r="F5852" s="242"/>
      <c r="G5852"/>
      <c r="H5852" s="242">
        <v>1000</v>
      </c>
      <c r="I5852" s="242">
        <v>902</v>
      </c>
      <c r="J5852"/>
    </row>
    <row r="5853" spans="1:10">
      <c r="A5853" t="s">
        <v>1678</v>
      </c>
      <c r="B5853">
        <v>941000</v>
      </c>
      <c r="C5853">
        <v>1</v>
      </c>
      <c r="D5853" t="str">
        <f t="shared" si="91"/>
        <v>1941000.434</v>
      </c>
      <c r="E5853" t="s">
        <v>2656</v>
      </c>
      <c r="F5853" s="242"/>
      <c r="G5853"/>
      <c r="H5853" s="242">
        <v>17304</v>
      </c>
      <c r="I5853" s="242">
        <v>16345</v>
      </c>
      <c r="J5853"/>
    </row>
    <row r="5854" spans="1:10">
      <c r="A5854" t="s">
        <v>2606</v>
      </c>
      <c r="B5854">
        <v>941000</v>
      </c>
      <c r="C5854">
        <v>1</v>
      </c>
      <c r="D5854" t="str">
        <f t="shared" si="91"/>
        <v>1941000.440</v>
      </c>
      <c r="E5854" t="s">
        <v>2657</v>
      </c>
      <c r="F5854" s="242"/>
      <c r="G5854"/>
      <c r="H5854" s="242">
        <v>3400</v>
      </c>
      <c r="I5854" s="242">
        <v>3312</v>
      </c>
      <c r="J5854"/>
    </row>
    <row r="5855" spans="1:10">
      <c r="A5855" t="s">
        <v>2411</v>
      </c>
      <c r="B5855">
        <v>941000</v>
      </c>
      <c r="C5855">
        <v>1</v>
      </c>
      <c r="D5855" t="str">
        <f t="shared" si="91"/>
        <v>1941000.470</v>
      </c>
      <c r="E5855" t="s">
        <v>2660</v>
      </c>
      <c r="F5855" s="242"/>
      <c r="G5855"/>
      <c r="H5855" s="242">
        <v>1000</v>
      </c>
      <c r="I5855" s="242">
        <v>991</v>
      </c>
      <c r="J5855"/>
    </row>
    <row r="5856" spans="1:10">
      <c r="A5856" t="s">
        <v>2286</v>
      </c>
      <c r="B5856">
        <v>941000</v>
      </c>
      <c r="C5856">
        <v>1</v>
      </c>
      <c r="D5856" t="str">
        <f t="shared" si="91"/>
        <v>1941000.511</v>
      </c>
      <c r="E5856" t="s">
        <v>2584</v>
      </c>
      <c r="F5856" s="242"/>
      <c r="G5856"/>
      <c r="H5856" s="242">
        <v>1000</v>
      </c>
      <c r="I5856" s="242">
        <v>912</v>
      </c>
      <c r="J5856"/>
    </row>
    <row r="5857" spans="1:10">
      <c r="A5857" t="s">
        <v>2644</v>
      </c>
      <c r="B5857">
        <v>941000</v>
      </c>
      <c r="C5857">
        <v>1</v>
      </c>
      <c r="D5857" t="str">
        <f t="shared" si="91"/>
        <v>1941000.521</v>
      </c>
      <c r="E5857" t="s">
        <v>2734</v>
      </c>
      <c r="F5857" s="242"/>
      <c r="G5857"/>
      <c r="H5857" s="242">
        <v>0</v>
      </c>
      <c r="I5857" s="242">
        <v>0</v>
      </c>
      <c r="J5857"/>
    </row>
    <row r="5858" spans="1:10">
      <c r="A5858" t="s">
        <v>2588</v>
      </c>
      <c r="B5858">
        <v>941000</v>
      </c>
      <c r="C5858">
        <v>1</v>
      </c>
      <c r="D5858" t="str">
        <f t="shared" si="91"/>
        <v>1941000.522</v>
      </c>
      <c r="E5858" t="s">
        <v>2608</v>
      </c>
      <c r="F5858" s="242"/>
      <c r="G5858"/>
      <c r="H5858" s="242">
        <v>2000</v>
      </c>
      <c r="I5858" s="242">
        <v>0</v>
      </c>
      <c r="J5858"/>
    </row>
    <row r="5859" spans="1:10">
      <c r="A5859" t="s">
        <v>2590</v>
      </c>
      <c r="B5859">
        <v>941000</v>
      </c>
      <c r="C5859">
        <v>1</v>
      </c>
      <c r="D5859" t="str">
        <f t="shared" si="91"/>
        <v>1941000.523</v>
      </c>
      <c r="E5859" t="s">
        <v>2615</v>
      </c>
      <c r="F5859" s="242"/>
      <c r="G5859"/>
      <c r="H5859" s="242">
        <v>1000</v>
      </c>
      <c r="I5859" s="242">
        <v>0</v>
      </c>
      <c r="J5859"/>
    </row>
    <row r="5860" spans="1:10">
      <c r="A5860" t="s">
        <v>2594</v>
      </c>
      <c r="B5860">
        <v>941000</v>
      </c>
      <c r="C5860">
        <v>1</v>
      </c>
      <c r="D5860" t="str">
        <f t="shared" si="91"/>
        <v>1941000.540</v>
      </c>
      <c r="E5860" t="s">
        <v>2595</v>
      </c>
      <c r="F5860" s="242"/>
      <c r="G5860"/>
      <c r="H5860" s="242">
        <v>11000</v>
      </c>
      <c r="I5860" s="242">
        <v>5787</v>
      </c>
      <c r="J5860"/>
    </row>
    <row r="5861" spans="1:10">
      <c r="A5861" t="s">
        <v>2598</v>
      </c>
      <c r="B5861">
        <v>941000</v>
      </c>
      <c r="C5861">
        <v>1</v>
      </c>
      <c r="D5861" t="str">
        <f t="shared" si="91"/>
        <v>1941000.561</v>
      </c>
      <c r="E5861" t="s">
        <v>2599</v>
      </c>
      <c r="F5861" s="242"/>
      <c r="G5861"/>
      <c r="H5861" s="242">
        <v>3000</v>
      </c>
      <c r="I5861" s="242">
        <v>1727</v>
      </c>
      <c r="J5861"/>
    </row>
    <row r="5862" spans="1:10">
      <c r="A5862" t="s">
        <v>2620</v>
      </c>
      <c r="B5862">
        <v>941000</v>
      </c>
      <c r="C5862">
        <v>1</v>
      </c>
      <c r="D5862" t="str">
        <f t="shared" si="91"/>
        <v>1941000.575</v>
      </c>
      <c r="E5862" t="s">
        <v>2898</v>
      </c>
      <c r="F5862" s="242"/>
      <c r="G5862"/>
      <c r="H5862" s="242">
        <v>2000</v>
      </c>
      <c r="I5862" s="242">
        <v>1777</v>
      </c>
      <c r="J5862"/>
    </row>
    <row r="5863" spans="1:10">
      <c r="A5863" t="s">
        <v>2600</v>
      </c>
      <c r="B5863">
        <v>941000</v>
      </c>
      <c r="C5863">
        <v>1</v>
      </c>
      <c r="D5863" t="str">
        <f t="shared" si="91"/>
        <v>1941000.580</v>
      </c>
      <c r="E5863" t="s">
        <v>2629</v>
      </c>
      <c r="F5863" s="242"/>
      <c r="G5863"/>
      <c r="H5863" s="242">
        <v>2000</v>
      </c>
      <c r="I5863" s="242">
        <v>1797</v>
      </c>
      <c r="J5863"/>
    </row>
    <row r="5864" spans="1:10">
      <c r="A5864" t="s">
        <v>2899</v>
      </c>
      <c r="B5864">
        <v>941000</v>
      </c>
      <c r="C5864">
        <v>1</v>
      </c>
      <c r="D5864" t="str">
        <f t="shared" si="91"/>
        <v>1941000.583</v>
      </c>
      <c r="E5864" t="s">
        <v>2900</v>
      </c>
      <c r="F5864" s="242"/>
      <c r="G5864"/>
      <c r="H5864" s="242">
        <v>26760</v>
      </c>
      <c r="I5864" s="242">
        <v>45027</v>
      </c>
      <c r="J5864"/>
    </row>
    <row r="5865" spans="1:10">
      <c r="A5865" t="s">
        <v>2609</v>
      </c>
      <c r="B5865">
        <v>941000</v>
      </c>
      <c r="C5865">
        <v>1</v>
      </c>
      <c r="D5865" t="str">
        <f t="shared" si="91"/>
        <v>1941000.710</v>
      </c>
      <c r="E5865" t="s">
        <v>2610</v>
      </c>
      <c r="F5865" s="242"/>
      <c r="G5865"/>
      <c r="H5865" s="242">
        <v>21000</v>
      </c>
      <c r="I5865" s="242">
        <v>114</v>
      </c>
      <c r="J5865"/>
    </row>
    <row r="5866" spans="1:10">
      <c r="A5866" t="s">
        <v>600</v>
      </c>
      <c r="B5866">
        <v>941000</v>
      </c>
      <c r="C5866">
        <v>1</v>
      </c>
      <c r="D5866" t="str">
        <f t="shared" si="91"/>
        <v>1941000.731</v>
      </c>
      <c r="E5866" t="s">
        <v>2901</v>
      </c>
      <c r="F5866" s="242"/>
      <c r="G5866"/>
      <c r="H5866" s="242">
        <v>42750</v>
      </c>
      <c r="I5866" s="242">
        <v>45475</v>
      </c>
      <c r="J5866"/>
    </row>
    <row r="5867" spans="1:10">
      <c r="A5867" t="s">
        <v>605</v>
      </c>
      <c r="B5867">
        <v>941000</v>
      </c>
      <c r="C5867">
        <v>1</v>
      </c>
      <c r="D5867" t="str">
        <f t="shared" si="91"/>
        <v>1941000.732</v>
      </c>
      <c r="E5867" t="s">
        <v>2902</v>
      </c>
      <c r="F5867" s="242"/>
      <c r="G5867"/>
      <c r="H5867" s="242">
        <v>15000</v>
      </c>
      <c r="I5867" s="242">
        <v>17714</v>
      </c>
      <c r="J5867"/>
    </row>
    <row r="5868" spans="1:10">
      <c r="A5868" t="s">
        <v>2417</v>
      </c>
      <c r="B5868">
        <v>941000</v>
      </c>
      <c r="C5868">
        <v>1</v>
      </c>
      <c r="D5868" t="str">
        <f t="shared" si="91"/>
        <v>1941000.734</v>
      </c>
      <c r="E5868" t="s">
        <v>2903</v>
      </c>
      <c r="F5868" s="242"/>
      <c r="G5868"/>
      <c r="H5868" s="242">
        <v>200000</v>
      </c>
      <c r="I5868" s="242">
        <v>343435</v>
      </c>
      <c r="J5868"/>
    </row>
    <row r="5869" spans="1:10">
      <c r="A5869" t="s">
        <v>653</v>
      </c>
      <c r="B5869">
        <v>941000</v>
      </c>
      <c r="C5869">
        <v>1</v>
      </c>
      <c r="D5869" t="str">
        <f t="shared" si="91"/>
        <v>1941000.741</v>
      </c>
      <c r="E5869" t="s">
        <v>2904</v>
      </c>
      <c r="F5869" s="242"/>
      <c r="G5869"/>
      <c r="H5869" s="242">
        <v>7500</v>
      </c>
      <c r="I5869" s="242">
        <v>2550</v>
      </c>
      <c r="J5869"/>
    </row>
    <row r="5870" spans="1:10">
      <c r="A5870" t="s">
        <v>673</v>
      </c>
      <c r="B5870">
        <v>941000</v>
      </c>
      <c r="C5870">
        <v>1</v>
      </c>
      <c r="D5870" t="str">
        <f t="shared" si="91"/>
        <v>1941000.743</v>
      </c>
      <c r="E5870" t="s">
        <v>2622</v>
      </c>
      <c r="F5870" s="242"/>
      <c r="G5870"/>
      <c r="H5870" s="242">
        <v>18400</v>
      </c>
      <c r="I5870" s="242">
        <v>630</v>
      </c>
      <c r="J5870"/>
    </row>
    <row r="5871" spans="1:10">
      <c r="A5871" t="s">
        <v>2603</v>
      </c>
      <c r="B5871">
        <v>941000</v>
      </c>
      <c r="C5871">
        <v>1</v>
      </c>
      <c r="D5871" t="str">
        <f t="shared" si="91"/>
        <v>1941000.759</v>
      </c>
      <c r="E5871" t="s">
        <v>2905</v>
      </c>
      <c r="F5871" s="242"/>
      <c r="G5871"/>
      <c r="H5871" s="242">
        <v>0</v>
      </c>
      <c r="I5871" s="242">
        <v>335984</v>
      </c>
      <c r="J5871"/>
    </row>
    <row r="5872" spans="1:10">
      <c r="A5872" t="s">
        <v>2632</v>
      </c>
      <c r="B5872">
        <v>941000</v>
      </c>
      <c r="C5872">
        <v>1</v>
      </c>
      <c r="D5872" t="str">
        <f t="shared" si="91"/>
        <v>1941000.780</v>
      </c>
      <c r="E5872" t="s">
        <v>2906</v>
      </c>
      <c r="F5872" s="242"/>
      <c r="G5872"/>
      <c r="H5872" s="242">
        <v>5000</v>
      </c>
      <c r="I5872" s="242">
        <v>1300</v>
      </c>
      <c r="J5872"/>
    </row>
    <row r="5873" spans="1:10">
      <c r="A5873" t="s">
        <v>600</v>
      </c>
      <c r="B5873">
        <v>941001</v>
      </c>
      <c r="C5873">
        <v>1</v>
      </c>
      <c r="D5873" t="str">
        <f t="shared" si="91"/>
        <v>1941001.731</v>
      </c>
      <c r="E5873" t="s">
        <v>2907</v>
      </c>
      <c r="F5873" s="242"/>
      <c r="G5873"/>
      <c r="H5873" s="242">
        <v>16150</v>
      </c>
      <c r="I5873" s="242">
        <v>13035</v>
      </c>
      <c r="J5873"/>
    </row>
    <row r="5874" spans="1:10">
      <c r="A5874" t="s">
        <v>2403</v>
      </c>
      <c r="B5874">
        <v>943000</v>
      </c>
      <c r="C5874">
        <v>1</v>
      </c>
      <c r="D5874" t="str">
        <f t="shared" si="91"/>
        <v>1943000.110</v>
      </c>
      <c r="E5874" t="s">
        <v>2573</v>
      </c>
      <c r="F5874" s="242"/>
      <c r="G5874"/>
      <c r="H5874" s="242">
        <v>2387258</v>
      </c>
      <c r="I5874" s="242">
        <v>2058118</v>
      </c>
      <c r="J5874"/>
    </row>
    <row r="5875" spans="1:10">
      <c r="A5875" t="s">
        <v>2404</v>
      </c>
      <c r="B5875">
        <v>943000</v>
      </c>
      <c r="C5875">
        <v>1</v>
      </c>
      <c r="D5875" t="str">
        <f t="shared" si="91"/>
        <v>1943000.120</v>
      </c>
      <c r="E5875" t="s">
        <v>2574</v>
      </c>
      <c r="F5875" s="242"/>
      <c r="G5875"/>
      <c r="H5875" s="242">
        <v>245727</v>
      </c>
      <c r="I5875" s="242">
        <v>233509</v>
      </c>
      <c r="J5875"/>
    </row>
    <row r="5876" spans="1:10">
      <c r="A5876" t="s">
        <v>2575</v>
      </c>
      <c r="B5876">
        <v>943000</v>
      </c>
      <c r="C5876">
        <v>1</v>
      </c>
      <c r="D5876" t="str">
        <f t="shared" si="91"/>
        <v>1943000.130</v>
      </c>
      <c r="E5876" t="s">
        <v>2576</v>
      </c>
      <c r="F5876" s="242"/>
      <c r="G5876"/>
      <c r="H5876" s="242">
        <v>76719</v>
      </c>
      <c r="I5876" s="242">
        <v>80448</v>
      </c>
      <c r="J5876"/>
    </row>
    <row r="5877" spans="1:10">
      <c r="A5877" t="s">
        <v>2577</v>
      </c>
      <c r="B5877">
        <v>943000</v>
      </c>
      <c r="C5877">
        <v>1</v>
      </c>
      <c r="D5877" t="str">
        <f t="shared" si="91"/>
        <v>1943000.140</v>
      </c>
      <c r="E5877" t="s">
        <v>2578</v>
      </c>
      <c r="F5877" s="242"/>
      <c r="G5877"/>
      <c r="H5877" s="242">
        <v>133650</v>
      </c>
      <c r="I5877" s="242">
        <v>125367</v>
      </c>
      <c r="J5877"/>
    </row>
    <row r="5878" spans="1:10">
      <c r="A5878" t="s">
        <v>2579</v>
      </c>
      <c r="B5878">
        <v>943000</v>
      </c>
      <c r="C5878">
        <v>1</v>
      </c>
      <c r="D5878" t="str">
        <f t="shared" si="91"/>
        <v>1943000.181</v>
      </c>
      <c r="E5878" t="s">
        <v>2580</v>
      </c>
      <c r="F5878" s="242"/>
      <c r="G5878"/>
      <c r="H5878" s="242">
        <v>521298</v>
      </c>
      <c r="I5878" s="242">
        <v>498930</v>
      </c>
      <c r="J5878"/>
    </row>
    <row r="5879" spans="1:10">
      <c r="A5879" t="s">
        <v>2581</v>
      </c>
      <c r="B5879">
        <v>943000</v>
      </c>
      <c r="C5879">
        <v>1</v>
      </c>
      <c r="D5879" t="str">
        <f t="shared" si="91"/>
        <v>1943000.182</v>
      </c>
      <c r="E5879" t="s">
        <v>2582</v>
      </c>
      <c r="F5879" s="242"/>
      <c r="G5879"/>
      <c r="H5879" s="242">
        <v>197929</v>
      </c>
      <c r="I5879" s="242">
        <v>190535</v>
      </c>
      <c r="J5879"/>
    </row>
    <row r="5880" spans="1:10">
      <c r="A5880" t="s">
        <v>2650</v>
      </c>
      <c r="B5880">
        <v>943000</v>
      </c>
      <c r="C5880">
        <v>1</v>
      </c>
      <c r="D5880" t="str">
        <f t="shared" si="91"/>
        <v>1943000.288</v>
      </c>
      <c r="E5880" t="s">
        <v>2651</v>
      </c>
      <c r="F5880" s="242"/>
      <c r="G5880"/>
      <c r="H5880" s="242">
        <v>43250</v>
      </c>
      <c r="I5880" s="242">
        <v>40899</v>
      </c>
      <c r="J5880"/>
    </row>
    <row r="5881" spans="1:10">
      <c r="A5881" t="s">
        <v>2594</v>
      </c>
      <c r="B5881">
        <v>943000</v>
      </c>
      <c r="C5881">
        <v>1</v>
      </c>
      <c r="D5881" t="str">
        <f t="shared" si="91"/>
        <v>1943000.540</v>
      </c>
      <c r="E5881" t="s">
        <v>2595</v>
      </c>
      <c r="F5881" s="242"/>
      <c r="G5881"/>
      <c r="H5881" s="242">
        <v>25000</v>
      </c>
      <c r="I5881" s="242">
        <v>14368</v>
      </c>
      <c r="J5881"/>
    </row>
    <row r="5882" spans="1:10">
      <c r="A5882" t="s">
        <v>2815</v>
      </c>
      <c r="B5882">
        <v>943000</v>
      </c>
      <c r="C5882">
        <v>1</v>
      </c>
      <c r="D5882" t="str">
        <f t="shared" si="91"/>
        <v>1943000.541</v>
      </c>
      <c r="E5882" t="s">
        <v>4614</v>
      </c>
      <c r="F5882" s="242"/>
      <c r="G5882"/>
      <c r="H5882" s="242">
        <v>170000</v>
      </c>
      <c r="I5882" s="242">
        <v>138354</v>
      </c>
      <c r="J5882"/>
    </row>
    <row r="5883" spans="1:10">
      <c r="A5883" t="s">
        <v>2817</v>
      </c>
      <c r="B5883">
        <v>943000</v>
      </c>
      <c r="C5883">
        <v>1</v>
      </c>
      <c r="D5883" t="str">
        <f t="shared" si="91"/>
        <v>1943000.542</v>
      </c>
      <c r="E5883" t="s">
        <v>4615</v>
      </c>
      <c r="F5883" s="242"/>
      <c r="G5883"/>
      <c r="H5883" s="242">
        <v>375000</v>
      </c>
      <c r="I5883" s="242">
        <v>405836</v>
      </c>
      <c r="J5883"/>
    </row>
    <row r="5884" spans="1:10">
      <c r="A5884" t="s">
        <v>2596</v>
      </c>
      <c r="B5884">
        <v>943000</v>
      </c>
      <c r="C5884">
        <v>1</v>
      </c>
      <c r="D5884" t="str">
        <f t="shared" si="91"/>
        <v>1943000.550</v>
      </c>
      <c r="E5884" t="s">
        <v>2597</v>
      </c>
      <c r="F5884" s="242"/>
      <c r="G5884"/>
      <c r="H5884" s="242">
        <v>200000</v>
      </c>
      <c r="I5884" s="242">
        <v>173470</v>
      </c>
      <c r="J5884"/>
    </row>
    <row r="5885" spans="1:10">
      <c r="A5885" t="s">
        <v>2771</v>
      </c>
      <c r="B5885">
        <v>943000</v>
      </c>
      <c r="C5885">
        <v>1</v>
      </c>
      <c r="D5885" t="str">
        <f t="shared" si="91"/>
        <v>1943000.570</v>
      </c>
      <c r="E5885" t="s">
        <v>4616</v>
      </c>
      <c r="F5885" s="242"/>
      <c r="G5885"/>
      <c r="H5885" s="242">
        <v>523300</v>
      </c>
      <c r="I5885" s="242">
        <v>513916</v>
      </c>
      <c r="J5885"/>
    </row>
    <row r="5886" spans="1:10">
      <c r="A5886" t="s">
        <v>2735</v>
      </c>
      <c r="B5886">
        <v>943000</v>
      </c>
      <c r="C5886">
        <v>1</v>
      </c>
      <c r="D5886" t="str">
        <f t="shared" si="91"/>
        <v>1943000.576</v>
      </c>
      <c r="E5886" t="s">
        <v>4617</v>
      </c>
      <c r="F5886" s="242"/>
      <c r="G5886"/>
      <c r="H5886" s="242">
        <v>9000</v>
      </c>
      <c r="I5886" s="242">
        <v>0</v>
      </c>
      <c r="J5886"/>
    </row>
    <row r="5887" spans="1:10">
      <c r="A5887" t="s">
        <v>2776</v>
      </c>
      <c r="B5887">
        <v>943000</v>
      </c>
      <c r="C5887">
        <v>1</v>
      </c>
      <c r="D5887" t="str">
        <f t="shared" si="91"/>
        <v>1943000.577</v>
      </c>
      <c r="E5887" t="s">
        <v>4618</v>
      </c>
      <c r="F5887" s="242"/>
      <c r="G5887"/>
      <c r="H5887" s="242">
        <v>30000</v>
      </c>
      <c r="I5887" s="242">
        <v>27840</v>
      </c>
      <c r="J5887"/>
    </row>
    <row r="5888" spans="1:10">
      <c r="A5888" t="s">
        <v>600</v>
      </c>
      <c r="B5888">
        <v>943000</v>
      </c>
      <c r="C5888">
        <v>1</v>
      </c>
      <c r="D5888" t="str">
        <f t="shared" si="91"/>
        <v>1943000.731</v>
      </c>
      <c r="E5888" t="s">
        <v>2593</v>
      </c>
      <c r="F5888" s="242"/>
      <c r="G5888"/>
      <c r="H5888" s="242">
        <v>10883</v>
      </c>
      <c r="I5888" s="242">
        <v>0</v>
      </c>
      <c r="J5888"/>
    </row>
    <row r="5889" spans="1:10">
      <c r="A5889" t="s">
        <v>2418</v>
      </c>
      <c r="B5889">
        <v>943000</v>
      </c>
      <c r="C5889">
        <v>1</v>
      </c>
      <c r="D5889" t="str">
        <f t="shared" si="91"/>
        <v>1943000.735</v>
      </c>
      <c r="E5889" t="s">
        <v>2602</v>
      </c>
      <c r="F5889" s="242"/>
      <c r="G5889"/>
      <c r="H5889" s="242">
        <v>40197</v>
      </c>
      <c r="I5889" s="242">
        <v>0</v>
      </c>
      <c r="J5889"/>
    </row>
    <row r="5890" spans="1:10">
      <c r="A5890" t="s">
        <v>653</v>
      </c>
      <c r="B5890">
        <v>943000</v>
      </c>
      <c r="C5890">
        <v>1</v>
      </c>
      <c r="D5890" t="str">
        <f t="shared" si="91"/>
        <v>1943000.741</v>
      </c>
      <c r="E5890" t="s">
        <v>4619</v>
      </c>
      <c r="F5890" s="242"/>
      <c r="G5890"/>
      <c r="H5890" s="242">
        <v>370000</v>
      </c>
      <c r="I5890" s="242">
        <v>272584</v>
      </c>
      <c r="J5890"/>
    </row>
    <row r="5891" spans="1:10">
      <c r="A5891" t="s">
        <v>673</v>
      </c>
      <c r="B5891">
        <v>943000</v>
      </c>
      <c r="C5891">
        <v>1</v>
      </c>
      <c r="D5891" t="str">
        <f t="shared" ref="D5891:D5954" si="92">C5891&amp;B5891&amp;"."&amp;A5891</f>
        <v>1943000.743</v>
      </c>
      <c r="E5891" t="s">
        <v>2622</v>
      </c>
      <c r="F5891" s="242"/>
      <c r="G5891"/>
      <c r="H5891" s="242">
        <v>160000</v>
      </c>
      <c r="I5891" s="242">
        <v>36097</v>
      </c>
      <c r="J5891"/>
    </row>
    <row r="5892" spans="1:10">
      <c r="A5892" t="s">
        <v>737</v>
      </c>
      <c r="B5892">
        <v>943000</v>
      </c>
      <c r="C5892">
        <v>1</v>
      </c>
      <c r="D5892" t="str">
        <f t="shared" si="92"/>
        <v>1943000.747</v>
      </c>
      <c r="E5892" t="s">
        <v>2765</v>
      </c>
      <c r="F5892" s="242"/>
      <c r="G5892"/>
      <c r="H5892" s="242">
        <v>93000</v>
      </c>
      <c r="I5892" s="242">
        <v>91926</v>
      </c>
      <c r="J5892"/>
    </row>
    <row r="5893" spans="1:10">
      <c r="A5893" t="s">
        <v>2611</v>
      </c>
      <c r="B5893">
        <v>943000</v>
      </c>
      <c r="C5893">
        <v>1</v>
      </c>
      <c r="D5893" t="str">
        <f t="shared" si="92"/>
        <v>1943000.750</v>
      </c>
      <c r="E5893" t="s">
        <v>4620</v>
      </c>
      <c r="F5893" s="242"/>
      <c r="G5893"/>
      <c r="H5893" s="242">
        <v>382300</v>
      </c>
      <c r="I5893" s="242">
        <v>316877</v>
      </c>
      <c r="J5893"/>
    </row>
    <row r="5894" spans="1:10">
      <c r="A5894" t="s">
        <v>772</v>
      </c>
      <c r="B5894">
        <v>943000</v>
      </c>
      <c r="C5894">
        <v>1</v>
      </c>
      <c r="D5894" t="str">
        <f t="shared" si="92"/>
        <v>1943000.751</v>
      </c>
      <c r="E5894" t="s">
        <v>4621</v>
      </c>
      <c r="F5894" s="242"/>
      <c r="G5894"/>
      <c r="H5894" s="242">
        <v>1250000</v>
      </c>
      <c r="I5894" s="242">
        <v>470840</v>
      </c>
      <c r="J5894"/>
    </row>
    <row r="5895" spans="1:10">
      <c r="A5895" t="s">
        <v>781</v>
      </c>
      <c r="B5895">
        <v>943000</v>
      </c>
      <c r="C5895">
        <v>1</v>
      </c>
      <c r="D5895" t="str">
        <f t="shared" si="92"/>
        <v>1943000.753</v>
      </c>
      <c r="E5895" t="s">
        <v>4622</v>
      </c>
      <c r="F5895" s="242"/>
      <c r="G5895"/>
      <c r="H5895" s="242">
        <v>1373750</v>
      </c>
      <c r="I5895" s="242">
        <v>1042751</v>
      </c>
      <c r="J5895"/>
    </row>
    <row r="5896" spans="1:10">
      <c r="A5896" t="s">
        <v>786</v>
      </c>
      <c r="B5896">
        <v>943000</v>
      </c>
      <c r="C5896">
        <v>1</v>
      </c>
      <c r="D5896" t="str">
        <f t="shared" si="92"/>
        <v>1943000.754</v>
      </c>
      <c r="E5896" t="s">
        <v>4623</v>
      </c>
      <c r="F5896" s="242"/>
      <c r="G5896"/>
      <c r="H5896" s="242">
        <v>62000</v>
      </c>
      <c r="I5896" s="242">
        <v>14048</v>
      </c>
      <c r="J5896"/>
    </row>
    <row r="5897" spans="1:10">
      <c r="A5897" t="s">
        <v>791</v>
      </c>
      <c r="B5897">
        <v>943000</v>
      </c>
      <c r="C5897">
        <v>1</v>
      </c>
      <c r="D5897" t="str">
        <f t="shared" si="92"/>
        <v>1943000.756</v>
      </c>
      <c r="E5897" t="s">
        <v>2707</v>
      </c>
      <c r="F5897" s="242"/>
      <c r="G5897"/>
      <c r="H5897" s="242">
        <v>30000</v>
      </c>
      <c r="I5897" s="242">
        <v>29980</v>
      </c>
      <c r="J5897"/>
    </row>
    <row r="5898" spans="1:10">
      <c r="A5898" t="s">
        <v>2801</v>
      </c>
      <c r="B5898">
        <v>943000</v>
      </c>
      <c r="C5898">
        <v>1</v>
      </c>
      <c r="D5898" t="str">
        <f t="shared" si="92"/>
        <v>1943000.758</v>
      </c>
      <c r="E5898" t="s">
        <v>4624</v>
      </c>
      <c r="F5898" s="242"/>
      <c r="G5898"/>
      <c r="H5898" s="242">
        <v>200000</v>
      </c>
      <c r="I5898" s="242">
        <v>188961</v>
      </c>
      <c r="J5898"/>
    </row>
    <row r="5899" spans="1:10">
      <c r="A5899" t="s">
        <v>2603</v>
      </c>
      <c r="B5899">
        <v>943000</v>
      </c>
      <c r="C5899">
        <v>1</v>
      </c>
      <c r="D5899" t="str">
        <f t="shared" si="92"/>
        <v>1943000.759</v>
      </c>
      <c r="E5899" t="s">
        <v>4625</v>
      </c>
      <c r="F5899" s="242"/>
      <c r="G5899"/>
      <c r="H5899" s="242">
        <v>172900</v>
      </c>
      <c r="I5899" s="242">
        <v>129477</v>
      </c>
      <c r="J5899"/>
    </row>
    <row r="5900" spans="1:10">
      <c r="A5900" t="s">
        <v>835</v>
      </c>
      <c r="B5900">
        <v>943000</v>
      </c>
      <c r="C5900">
        <v>1</v>
      </c>
      <c r="D5900" t="str">
        <f t="shared" si="92"/>
        <v>1943000.769</v>
      </c>
      <c r="E5900" t="s">
        <v>2605</v>
      </c>
      <c r="F5900" s="242"/>
      <c r="G5900"/>
      <c r="H5900" s="242">
        <v>19200</v>
      </c>
      <c r="I5900" s="242">
        <v>9624</v>
      </c>
      <c r="J5900"/>
    </row>
    <row r="5901" spans="1:10">
      <c r="A5901" t="s">
        <v>2632</v>
      </c>
      <c r="B5901">
        <v>943000</v>
      </c>
      <c r="C5901">
        <v>1</v>
      </c>
      <c r="D5901" t="str">
        <f t="shared" si="92"/>
        <v>1943000.780</v>
      </c>
      <c r="E5901" t="s">
        <v>2709</v>
      </c>
      <c r="F5901" s="242"/>
      <c r="G5901"/>
      <c r="H5901" s="242">
        <v>5000</v>
      </c>
      <c r="I5901" s="242">
        <v>0</v>
      </c>
      <c r="J5901"/>
    </row>
    <row r="5902" spans="1:10">
      <c r="A5902" t="s">
        <v>3730</v>
      </c>
      <c r="B5902">
        <v>970000</v>
      </c>
      <c r="C5902">
        <v>1</v>
      </c>
      <c r="D5902" t="str">
        <f t="shared" si="92"/>
        <v>1970000.691</v>
      </c>
      <c r="E5902" t="s">
        <v>4337</v>
      </c>
      <c r="F5902" s="242"/>
      <c r="G5902"/>
      <c r="H5902" s="242">
        <v>2646000</v>
      </c>
      <c r="I5902" s="242">
        <v>2646147</v>
      </c>
      <c r="J5902"/>
    </row>
    <row r="5903" spans="1:10">
      <c r="A5903" t="s">
        <v>3732</v>
      </c>
      <c r="B5903">
        <v>970000</v>
      </c>
      <c r="C5903">
        <v>1</v>
      </c>
      <c r="D5903" t="str">
        <f t="shared" si="92"/>
        <v>1970000.692</v>
      </c>
      <c r="E5903" t="s">
        <v>4338</v>
      </c>
      <c r="F5903" s="242"/>
      <c r="G5903"/>
      <c r="H5903" s="242">
        <v>1232000</v>
      </c>
      <c r="I5903" s="242">
        <v>1083699</v>
      </c>
      <c r="J5903"/>
    </row>
    <row r="5904" spans="1:10">
      <c r="A5904" t="s">
        <v>3734</v>
      </c>
      <c r="B5904">
        <v>970000</v>
      </c>
      <c r="C5904">
        <v>1</v>
      </c>
      <c r="D5904" t="str">
        <f t="shared" si="92"/>
        <v>1970000.693</v>
      </c>
      <c r="E5904" t="s">
        <v>4339</v>
      </c>
      <c r="F5904" s="242"/>
      <c r="G5904"/>
      <c r="H5904" s="242">
        <v>399000</v>
      </c>
      <c r="I5904" s="242">
        <v>383815</v>
      </c>
      <c r="J5904"/>
    </row>
    <row r="5905" spans="1:10">
      <c r="A5905" t="s">
        <v>2611</v>
      </c>
      <c r="B5905">
        <v>980000</v>
      </c>
      <c r="C5905">
        <v>1</v>
      </c>
      <c r="D5905" t="str">
        <f t="shared" si="92"/>
        <v>1980000.750</v>
      </c>
      <c r="E5905" t="s">
        <v>2976</v>
      </c>
      <c r="F5905" s="242"/>
      <c r="G5905"/>
      <c r="H5905" s="242">
        <v>231500</v>
      </c>
      <c r="I5905" s="242">
        <v>174375</v>
      </c>
      <c r="J5905"/>
    </row>
    <row r="5906" spans="1:10">
      <c r="A5906" t="s">
        <v>772</v>
      </c>
      <c r="B5906">
        <v>980000</v>
      </c>
      <c r="C5906">
        <v>1</v>
      </c>
      <c r="D5906" t="str">
        <f t="shared" si="92"/>
        <v>1980000.751</v>
      </c>
      <c r="E5906" t="s">
        <v>2977</v>
      </c>
      <c r="F5906" s="242"/>
      <c r="G5906"/>
      <c r="H5906" s="242">
        <v>100000</v>
      </c>
      <c r="I5906" s="242">
        <v>0</v>
      </c>
      <c r="J5906"/>
    </row>
    <row r="5907" spans="1:10">
      <c r="A5907" t="s">
        <v>4573</v>
      </c>
      <c r="B5907">
        <v>980000</v>
      </c>
      <c r="C5907">
        <v>1</v>
      </c>
      <c r="D5907" t="str">
        <f t="shared" si="92"/>
        <v>1980000.320</v>
      </c>
      <c r="E5907" t="s">
        <v>4574</v>
      </c>
      <c r="F5907" s="242"/>
      <c r="G5907"/>
      <c r="H5907" s="242">
        <v>40000</v>
      </c>
      <c r="I5907" s="242">
        <v>43467</v>
      </c>
      <c r="J5907"/>
    </row>
    <row r="5908" spans="1:10">
      <c r="A5908" t="s">
        <v>2403</v>
      </c>
      <c r="B5908">
        <v>982000</v>
      </c>
      <c r="C5908">
        <v>1</v>
      </c>
      <c r="D5908" t="str">
        <f t="shared" si="92"/>
        <v>1982000.110</v>
      </c>
      <c r="E5908" t="s">
        <v>2573</v>
      </c>
      <c r="F5908" s="242"/>
      <c r="G5908"/>
      <c r="H5908" s="242">
        <v>1216818</v>
      </c>
      <c r="I5908" s="242">
        <v>1157066</v>
      </c>
      <c r="J5908"/>
    </row>
    <row r="5909" spans="1:10">
      <c r="A5909" t="s">
        <v>2404</v>
      </c>
      <c r="B5909">
        <v>982000</v>
      </c>
      <c r="C5909">
        <v>1</v>
      </c>
      <c r="D5909" t="str">
        <f t="shared" si="92"/>
        <v>1982000.120</v>
      </c>
      <c r="E5909" t="s">
        <v>2574</v>
      </c>
      <c r="F5909" s="242"/>
      <c r="G5909"/>
      <c r="H5909" s="242">
        <v>276757</v>
      </c>
      <c r="I5909" s="242">
        <v>262266</v>
      </c>
      <c r="J5909"/>
    </row>
    <row r="5910" spans="1:10">
      <c r="A5910" t="s">
        <v>2575</v>
      </c>
      <c r="B5910">
        <v>982000</v>
      </c>
      <c r="C5910">
        <v>1</v>
      </c>
      <c r="D5910" t="str">
        <f t="shared" si="92"/>
        <v>1982000.130</v>
      </c>
      <c r="E5910" t="s">
        <v>2576</v>
      </c>
      <c r="F5910" s="242"/>
      <c r="G5910"/>
      <c r="H5910" s="242">
        <v>14427</v>
      </c>
      <c r="I5910" s="242">
        <v>11960</v>
      </c>
      <c r="J5910"/>
    </row>
    <row r="5911" spans="1:10">
      <c r="A5911" t="s">
        <v>2577</v>
      </c>
      <c r="B5911">
        <v>982000</v>
      </c>
      <c r="C5911">
        <v>1</v>
      </c>
      <c r="D5911" t="str">
        <f t="shared" si="92"/>
        <v>1982000.140</v>
      </c>
      <c r="E5911" t="s">
        <v>2578</v>
      </c>
      <c r="F5911" s="242"/>
      <c r="G5911"/>
      <c r="H5911" s="242">
        <v>259415</v>
      </c>
      <c r="I5911" s="242">
        <v>254044</v>
      </c>
      <c r="J5911"/>
    </row>
    <row r="5912" spans="1:10">
      <c r="A5912" t="s">
        <v>2579</v>
      </c>
      <c r="B5912">
        <v>982000</v>
      </c>
      <c r="C5912">
        <v>1</v>
      </c>
      <c r="D5912" t="str">
        <f t="shared" si="92"/>
        <v>1982000.181</v>
      </c>
      <c r="E5912" t="s">
        <v>2959</v>
      </c>
      <c r="F5912" s="242"/>
      <c r="G5912"/>
      <c r="H5912" s="242">
        <v>271123</v>
      </c>
      <c r="I5912" s="242">
        <v>253717</v>
      </c>
      <c r="J5912"/>
    </row>
    <row r="5913" spans="1:10">
      <c r="A5913" t="s">
        <v>2581</v>
      </c>
      <c r="B5913">
        <v>982000</v>
      </c>
      <c r="C5913">
        <v>1</v>
      </c>
      <c r="D5913" t="str">
        <f t="shared" si="92"/>
        <v>1982000.182</v>
      </c>
      <c r="E5913" t="s">
        <v>2582</v>
      </c>
      <c r="F5913" s="242"/>
      <c r="G5913"/>
      <c r="H5913" s="242">
        <v>134040</v>
      </c>
      <c r="I5913" s="242">
        <v>127694</v>
      </c>
      <c r="J5913"/>
    </row>
    <row r="5914" spans="1:10">
      <c r="A5914" t="s">
        <v>2650</v>
      </c>
      <c r="B5914">
        <v>982000</v>
      </c>
      <c r="C5914">
        <v>1</v>
      </c>
      <c r="D5914" t="str">
        <f t="shared" si="92"/>
        <v>1982000.288</v>
      </c>
      <c r="E5914" t="s">
        <v>2651</v>
      </c>
      <c r="F5914" s="242"/>
      <c r="G5914"/>
      <c r="H5914" s="242">
        <v>12500</v>
      </c>
      <c r="I5914" s="242">
        <v>11826</v>
      </c>
      <c r="J5914"/>
    </row>
    <row r="5915" spans="1:10">
      <c r="A5915" t="s">
        <v>2652</v>
      </c>
      <c r="B5915">
        <v>982000</v>
      </c>
      <c r="C5915">
        <v>1</v>
      </c>
      <c r="D5915" t="str">
        <f t="shared" si="92"/>
        <v>1982000.420</v>
      </c>
      <c r="E5915" t="s">
        <v>2653</v>
      </c>
      <c r="F5915" s="242"/>
      <c r="G5915"/>
      <c r="H5915" s="242">
        <v>13000</v>
      </c>
      <c r="I5915" s="242">
        <v>5333</v>
      </c>
      <c r="J5915"/>
    </row>
    <row r="5916" spans="1:10">
      <c r="A5916" t="s">
        <v>1649</v>
      </c>
      <c r="B5916">
        <v>982000</v>
      </c>
      <c r="C5916">
        <v>1</v>
      </c>
      <c r="D5916" t="str">
        <f t="shared" si="92"/>
        <v>1982000.422</v>
      </c>
      <c r="E5916" t="s">
        <v>4249</v>
      </c>
      <c r="F5916" s="242"/>
      <c r="G5916"/>
      <c r="H5916" s="242">
        <v>3000</v>
      </c>
      <c r="I5916" s="242">
        <v>1980</v>
      </c>
      <c r="J5916"/>
    </row>
    <row r="5917" spans="1:10">
      <c r="A5917" t="s">
        <v>1663</v>
      </c>
      <c r="B5917">
        <v>982000</v>
      </c>
      <c r="C5917">
        <v>1</v>
      </c>
      <c r="D5917" t="str">
        <f t="shared" si="92"/>
        <v>1982000.431</v>
      </c>
      <c r="E5917" t="s">
        <v>2654</v>
      </c>
      <c r="F5917" s="242"/>
      <c r="G5917"/>
      <c r="H5917" s="242">
        <v>29900</v>
      </c>
      <c r="I5917" s="242">
        <v>32821</v>
      </c>
      <c r="J5917"/>
    </row>
    <row r="5918" spans="1:10">
      <c r="A5918" t="s">
        <v>1673</v>
      </c>
      <c r="B5918">
        <v>982000</v>
      </c>
      <c r="C5918">
        <v>1</v>
      </c>
      <c r="D5918" t="str">
        <f t="shared" si="92"/>
        <v>1982000.433</v>
      </c>
      <c r="E5918" t="s">
        <v>2655</v>
      </c>
      <c r="F5918" s="242"/>
      <c r="G5918"/>
      <c r="H5918" s="242">
        <v>4000</v>
      </c>
      <c r="I5918" s="242">
        <v>3962</v>
      </c>
      <c r="J5918"/>
    </row>
    <row r="5919" spans="1:10">
      <c r="A5919" t="s">
        <v>1678</v>
      </c>
      <c r="B5919">
        <v>982000</v>
      </c>
      <c r="C5919">
        <v>1</v>
      </c>
      <c r="D5919" t="str">
        <f t="shared" si="92"/>
        <v>1982000.434</v>
      </c>
      <c r="E5919" t="s">
        <v>2656</v>
      </c>
      <c r="F5919" s="242"/>
      <c r="G5919"/>
      <c r="H5919" s="242">
        <v>40000</v>
      </c>
      <c r="I5919" s="242">
        <v>37949</v>
      </c>
      <c r="J5919"/>
    </row>
    <row r="5920" spans="1:10">
      <c r="A5920" t="s">
        <v>2606</v>
      </c>
      <c r="B5920">
        <v>982000</v>
      </c>
      <c r="C5920">
        <v>1</v>
      </c>
      <c r="D5920" t="str">
        <f t="shared" si="92"/>
        <v>1982000.440</v>
      </c>
      <c r="E5920" t="s">
        <v>2657</v>
      </c>
      <c r="F5920" s="242"/>
      <c r="G5920"/>
      <c r="H5920" s="242">
        <v>8600</v>
      </c>
      <c r="I5920" s="242">
        <v>8329</v>
      </c>
      <c r="J5920"/>
    </row>
    <row r="5921" spans="1:10">
      <c r="A5921" t="s">
        <v>2411</v>
      </c>
      <c r="B5921">
        <v>982000</v>
      </c>
      <c r="C5921">
        <v>1</v>
      </c>
      <c r="D5921" t="str">
        <f t="shared" si="92"/>
        <v>1982000.470</v>
      </c>
      <c r="E5921" t="s">
        <v>2660</v>
      </c>
      <c r="F5921" s="242"/>
      <c r="G5921"/>
      <c r="H5921" s="242">
        <v>3000</v>
      </c>
      <c r="I5921" s="242">
        <v>2355</v>
      </c>
      <c r="J5921"/>
    </row>
    <row r="5922" spans="1:10">
      <c r="A5922" t="s">
        <v>1771</v>
      </c>
      <c r="B5922">
        <v>982000</v>
      </c>
      <c r="C5922">
        <v>1</v>
      </c>
      <c r="D5922" t="str">
        <f t="shared" si="92"/>
        <v>1982000.471</v>
      </c>
      <c r="E5922" t="s">
        <v>2831</v>
      </c>
      <c r="F5922" s="242"/>
      <c r="G5922"/>
      <c r="H5922" s="242">
        <v>2000</v>
      </c>
      <c r="I5922" s="242">
        <v>1902</v>
      </c>
      <c r="J5922"/>
    </row>
    <row r="5923" spans="1:10">
      <c r="A5923" t="s">
        <v>2286</v>
      </c>
      <c r="B5923">
        <v>982000</v>
      </c>
      <c r="C5923">
        <v>1</v>
      </c>
      <c r="D5923" t="str">
        <f t="shared" si="92"/>
        <v>1982000.511</v>
      </c>
      <c r="E5923" t="s">
        <v>2584</v>
      </c>
      <c r="F5923" s="242"/>
      <c r="G5923"/>
      <c r="H5923" s="242">
        <v>3500</v>
      </c>
      <c r="I5923" s="242">
        <v>4254</v>
      </c>
      <c r="J5923"/>
    </row>
    <row r="5924" spans="1:10">
      <c r="A5924" t="s">
        <v>2644</v>
      </c>
      <c r="B5924">
        <v>982000</v>
      </c>
      <c r="C5924">
        <v>1</v>
      </c>
      <c r="D5924" t="str">
        <f t="shared" si="92"/>
        <v>1982000.521</v>
      </c>
      <c r="E5924" t="s">
        <v>2734</v>
      </c>
      <c r="F5924" s="242"/>
      <c r="G5924"/>
      <c r="H5924" s="242">
        <v>2000</v>
      </c>
      <c r="I5924" s="242">
        <v>0</v>
      </c>
      <c r="J5924"/>
    </row>
    <row r="5925" spans="1:10">
      <c r="A5925" t="s">
        <v>2588</v>
      </c>
      <c r="B5925">
        <v>982000</v>
      </c>
      <c r="C5925">
        <v>1</v>
      </c>
      <c r="D5925" t="str">
        <f t="shared" si="92"/>
        <v>1982000.522</v>
      </c>
      <c r="E5925" t="s">
        <v>2608</v>
      </c>
      <c r="F5925" s="242"/>
      <c r="G5925"/>
      <c r="H5925" s="242">
        <v>550</v>
      </c>
      <c r="I5925" s="242">
        <v>0</v>
      </c>
      <c r="J5925"/>
    </row>
    <row r="5926" spans="1:10">
      <c r="A5926" t="s">
        <v>2590</v>
      </c>
      <c r="B5926">
        <v>982000</v>
      </c>
      <c r="C5926">
        <v>1</v>
      </c>
      <c r="D5926" t="str">
        <f t="shared" si="92"/>
        <v>1982000.523</v>
      </c>
      <c r="E5926" t="s">
        <v>2615</v>
      </c>
      <c r="F5926" s="242"/>
      <c r="G5926"/>
      <c r="H5926" s="242">
        <v>1000</v>
      </c>
      <c r="I5926" s="242">
        <v>500</v>
      </c>
      <c r="J5926"/>
    </row>
    <row r="5927" spans="1:10">
      <c r="A5927" t="s">
        <v>2594</v>
      </c>
      <c r="B5927">
        <v>982000</v>
      </c>
      <c r="C5927">
        <v>1</v>
      </c>
      <c r="D5927" t="str">
        <f t="shared" si="92"/>
        <v>1982000.540</v>
      </c>
      <c r="E5927" t="s">
        <v>2595</v>
      </c>
      <c r="F5927" s="242"/>
      <c r="G5927"/>
      <c r="H5927" s="242">
        <v>22000</v>
      </c>
      <c r="I5927" s="242">
        <v>18862</v>
      </c>
      <c r="J5927"/>
    </row>
    <row r="5928" spans="1:10">
      <c r="A5928" t="s">
        <v>2598</v>
      </c>
      <c r="B5928">
        <v>982000</v>
      </c>
      <c r="C5928">
        <v>1</v>
      </c>
      <c r="D5928" t="str">
        <f t="shared" si="92"/>
        <v>1982000.561</v>
      </c>
      <c r="E5928" t="s">
        <v>2599</v>
      </c>
      <c r="F5928" s="242"/>
      <c r="G5928"/>
      <c r="H5928" s="242">
        <v>9500</v>
      </c>
      <c r="I5928" s="242">
        <v>8536</v>
      </c>
      <c r="J5928"/>
    </row>
    <row r="5929" spans="1:10">
      <c r="A5929" t="s">
        <v>2771</v>
      </c>
      <c r="B5929">
        <v>982000</v>
      </c>
      <c r="C5929">
        <v>1</v>
      </c>
      <c r="D5929" t="str">
        <f t="shared" si="92"/>
        <v>1982000.570</v>
      </c>
      <c r="E5929" t="s">
        <v>4250</v>
      </c>
      <c r="F5929" s="242"/>
      <c r="G5929"/>
      <c r="H5929" s="242">
        <v>3400</v>
      </c>
      <c r="I5929" s="242">
        <v>3239</v>
      </c>
      <c r="J5929"/>
    </row>
    <row r="5930" spans="1:10">
      <c r="A5930" t="s">
        <v>3062</v>
      </c>
      <c r="B5930">
        <v>982000</v>
      </c>
      <c r="C5930">
        <v>1</v>
      </c>
      <c r="D5930" t="str">
        <f t="shared" si="92"/>
        <v>1982000.571</v>
      </c>
      <c r="E5930" t="s">
        <v>4251</v>
      </c>
      <c r="F5930" s="242"/>
      <c r="G5930"/>
      <c r="H5930" s="242">
        <v>57300</v>
      </c>
      <c r="I5930" s="242">
        <v>56170</v>
      </c>
      <c r="J5930"/>
    </row>
    <row r="5931" spans="1:10">
      <c r="A5931" t="s">
        <v>2647</v>
      </c>
      <c r="B5931">
        <v>982000</v>
      </c>
      <c r="C5931">
        <v>1</v>
      </c>
      <c r="D5931" t="str">
        <f t="shared" si="92"/>
        <v>1982000.574</v>
      </c>
      <c r="E5931" t="s">
        <v>2648</v>
      </c>
      <c r="F5931" s="242"/>
      <c r="G5931"/>
      <c r="H5931" s="242">
        <v>23200</v>
      </c>
      <c r="I5931" s="242">
        <v>22835</v>
      </c>
      <c r="J5931"/>
    </row>
    <row r="5932" spans="1:10">
      <c r="A5932" t="s">
        <v>2600</v>
      </c>
      <c r="B5932">
        <v>982000</v>
      </c>
      <c r="C5932">
        <v>1</v>
      </c>
      <c r="D5932" t="str">
        <f t="shared" si="92"/>
        <v>1982000.580</v>
      </c>
      <c r="E5932" t="s">
        <v>2601</v>
      </c>
      <c r="F5932" s="242"/>
      <c r="G5932"/>
      <c r="H5932" s="242">
        <v>1500</v>
      </c>
      <c r="I5932" s="242">
        <v>366</v>
      </c>
      <c r="J5932"/>
    </row>
    <row r="5933" spans="1:10">
      <c r="A5933" t="s">
        <v>2609</v>
      </c>
      <c r="B5933">
        <v>982000</v>
      </c>
      <c r="C5933">
        <v>1</v>
      </c>
      <c r="D5933" t="str">
        <f t="shared" si="92"/>
        <v>1982000.710</v>
      </c>
      <c r="E5933" t="s">
        <v>4252</v>
      </c>
      <c r="F5933" s="242"/>
      <c r="G5933"/>
      <c r="H5933" s="242">
        <v>2000</v>
      </c>
      <c r="I5933" s="242">
        <v>0</v>
      </c>
      <c r="J5933"/>
    </row>
    <row r="5934" spans="1:10">
      <c r="A5934" t="s">
        <v>2704</v>
      </c>
      <c r="B5934">
        <v>982000</v>
      </c>
      <c r="C5934">
        <v>1</v>
      </c>
      <c r="D5934" t="str">
        <f t="shared" si="92"/>
        <v>1982000.720</v>
      </c>
      <c r="E5934" t="s">
        <v>2705</v>
      </c>
      <c r="F5934" s="242"/>
      <c r="G5934"/>
      <c r="H5934" s="242">
        <v>3000</v>
      </c>
      <c r="I5934" s="242">
        <v>0</v>
      </c>
      <c r="J5934"/>
    </row>
    <row r="5935" spans="1:10">
      <c r="A5935" t="s">
        <v>600</v>
      </c>
      <c r="B5935">
        <v>982000</v>
      </c>
      <c r="C5935">
        <v>1</v>
      </c>
      <c r="D5935" t="str">
        <f t="shared" si="92"/>
        <v>1982000.731</v>
      </c>
      <c r="E5935" t="s">
        <v>2593</v>
      </c>
      <c r="F5935" s="242"/>
      <c r="G5935"/>
      <c r="H5935" s="242">
        <v>23473</v>
      </c>
      <c r="I5935" s="242">
        <v>40859</v>
      </c>
      <c r="J5935"/>
    </row>
    <row r="5936" spans="1:10">
      <c r="A5936" t="s">
        <v>2418</v>
      </c>
      <c r="B5936">
        <v>982000</v>
      </c>
      <c r="C5936">
        <v>1</v>
      </c>
      <c r="D5936" t="str">
        <f t="shared" si="92"/>
        <v>1982000.735</v>
      </c>
      <c r="E5936" t="s">
        <v>2602</v>
      </c>
      <c r="F5936" s="242"/>
      <c r="G5936"/>
      <c r="H5936" s="242">
        <v>55267</v>
      </c>
      <c r="I5936" s="242">
        <v>64643</v>
      </c>
      <c r="J5936"/>
    </row>
    <row r="5937" spans="1:10">
      <c r="A5937" t="s">
        <v>658</v>
      </c>
      <c r="B5937">
        <v>982000</v>
      </c>
      <c r="C5937">
        <v>1</v>
      </c>
      <c r="D5937" t="str">
        <f t="shared" si="92"/>
        <v>1982000.742</v>
      </c>
      <c r="E5937" t="s">
        <v>2668</v>
      </c>
      <c r="F5937" s="242"/>
      <c r="G5937"/>
      <c r="H5937" s="242">
        <v>2000</v>
      </c>
      <c r="I5937" s="242">
        <v>0</v>
      </c>
      <c r="J5937"/>
    </row>
    <row r="5938" spans="1:10">
      <c r="A5938" t="s">
        <v>673</v>
      </c>
      <c r="B5938">
        <v>982000</v>
      </c>
      <c r="C5938">
        <v>1</v>
      </c>
      <c r="D5938" t="str">
        <f t="shared" si="92"/>
        <v>1982000.743</v>
      </c>
      <c r="E5938" t="s">
        <v>2622</v>
      </c>
      <c r="F5938" s="242"/>
      <c r="G5938"/>
      <c r="H5938" s="242">
        <v>7000</v>
      </c>
      <c r="I5938" s="242">
        <v>630</v>
      </c>
      <c r="J5938"/>
    </row>
    <row r="5939" spans="1:10">
      <c r="A5939" t="s">
        <v>707</v>
      </c>
      <c r="B5939">
        <v>982000</v>
      </c>
      <c r="C5939">
        <v>1</v>
      </c>
      <c r="D5939" t="str">
        <f t="shared" si="92"/>
        <v>1982000.745</v>
      </c>
      <c r="E5939" t="s">
        <v>2833</v>
      </c>
      <c r="F5939" s="242"/>
      <c r="G5939"/>
      <c r="H5939" s="242">
        <v>2000</v>
      </c>
      <c r="I5939" s="242">
        <v>2662</v>
      </c>
      <c r="J5939"/>
    </row>
    <row r="5940" spans="1:10">
      <c r="A5940" t="s">
        <v>2611</v>
      </c>
      <c r="B5940">
        <v>982000</v>
      </c>
      <c r="C5940">
        <v>1</v>
      </c>
      <c r="D5940" t="str">
        <f t="shared" si="92"/>
        <v>1982000.750</v>
      </c>
      <c r="E5940" t="s">
        <v>2707</v>
      </c>
      <c r="F5940" s="242"/>
      <c r="G5940"/>
      <c r="H5940" s="242">
        <v>34000</v>
      </c>
      <c r="I5940" s="242">
        <v>6000</v>
      </c>
      <c r="J5940"/>
    </row>
    <row r="5941" spans="1:10">
      <c r="A5941" t="s">
        <v>835</v>
      </c>
      <c r="B5941">
        <v>982000</v>
      </c>
      <c r="C5941">
        <v>1</v>
      </c>
      <c r="D5941" t="str">
        <f t="shared" si="92"/>
        <v>1982000.769</v>
      </c>
      <c r="E5941" t="s">
        <v>2605</v>
      </c>
      <c r="F5941" s="242"/>
      <c r="G5941"/>
      <c r="H5941" s="242">
        <v>19000</v>
      </c>
      <c r="I5941" s="242">
        <v>4451</v>
      </c>
      <c r="J5941"/>
    </row>
    <row r="5942" spans="1:10">
      <c r="A5942" t="s">
        <v>4304</v>
      </c>
      <c r="B5942">
        <v>990000</v>
      </c>
      <c r="C5942">
        <v>1</v>
      </c>
      <c r="D5942" t="str">
        <f t="shared" si="92"/>
        <v>1990000.980</v>
      </c>
      <c r="E5942" t="s">
        <v>4305</v>
      </c>
      <c r="F5942" s="242"/>
      <c r="G5942"/>
      <c r="H5942" s="242">
        <v>200000</v>
      </c>
      <c r="I5942" s="242">
        <v>306159</v>
      </c>
      <c r="J5942"/>
    </row>
    <row r="5943" spans="1:10">
      <c r="A5943" t="s">
        <v>4576</v>
      </c>
      <c r="B5943">
        <v>990000</v>
      </c>
      <c r="C5943">
        <v>1</v>
      </c>
      <c r="D5943" t="str">
        <f t="shared" si="92"/>
        <v>1990000.310</v>
      </c>
      <c r="E5943" t="s">
        <v>4577</v>
      </c>
      <c r="F5943" s="242"/>
      <c r="G5943"/>
      <c r="H5943" s="242">
        <v>86280000</v>
      </c>
      <c r="I5943" s="242">
        <v>81510179</v>
      </c>
      <c r="J5943"/>
    </row>
    <row r="5944" spans="1:10">
      <c r="A5944" t="s">
        <v>939</v>
      </c>
      <c r="B5944">
        <v>990000</v>
      </c>
      <c r="C5944">
        <v>1</v>
      </c>
      <c r="D5944" t="str">
        <f t="shared" si="92"/>
        <v>1990000.312</v>
      </c>
      <c r="E5944" t="s">
        <v>4578</v>
      </c>
      <c r="F5944" s="242"/>
      <c r="G5944"/>
      <c r="H5944" s="242">
        <v>1120000</v>
      </c>
      <c r="I5944" s="242">
        <v>1076769</v>
      </c>
      <c r="J5944"/>
    </row>
    <row r="5945" spans="1:10">
      <c r="A5945" t="s">
        <v>4573</v>
      </c>
      <c r="B5945">
        <v>990000</v>
      </c>
      <c r="C5945">
        <v>1</v>
      </c>
      <c r="D5945" t="str">
        <f t="shared" si="92"/>
        <v>1990000.320</v>
      </c>
      <c r="E5945" t="s">
        <v>4579</v>
      </c>
      <c r="F5945" s="242"/>
      <c r="G5945"/>
      <c r="H5945" s="242">
        <v>0</v>
      </c>
      <c r="I5945" s="242">
        <v>0</v>
      </c>
      <c r="J5945"/>
    </row>
    <row r="5946" spans="1:10">
      <c r="A5946" t="s">
        <v>4304</v>
      </c>
      <c r="B5946">
        <v>991100</v>
      </c>
      <c r="C5946">
        <v>1</v>
      </c>
      <c r="D5946" t="str">
        <f t="shared" si="92"/>
        <v>1991100.980</v>
      </c>
      <c r="E5946" t="s">
        <v>4306</v>
      </c>
      <c r="F5946" s="242"/>
      <c r="G5946"/>
      <c r="H5946" s="242">
        <v>0</v>
      </c>
      <c r="I5946" s="242">
        <v>94417</v>
      </c>
      <c r="J5946"/>
    </row>
    <row r="5947" spans="1:10">
      <c r="A5947" t="s">
        <v>4307</v>
      </c>
      <c r="B5947">
        <v>991900</v>
      </c>
      <c r="C5947">
        <v>1</v>
      </c>
      <c r="D5947" t="str">
        <f t="shared" si="92"/>
        <v>1991900.989</v>
      </c>
      <c r="E5947" t="s">
        <v>4308</v>
      </c>
      <c r="F5947" s="242"/>
      <c r="G5947"/>
      <c r="H5947" s="242">
        <v>0</v>
      </c>
      <c r="I5947" s="242">
        <v>0</v>
      </c>
      <c r="J5947"/>
    </row>
    <row r="5948" spans="1:10">
      <c r="A5948" t="s">
        <v>978</v>
      </c>
      <c r="B5948">
        <v>991900</v>
      </c>
      <c r="C5948">
        <v>1</v>
      </c>
      <c r="D5948" t="str">
        <f t="shared" si="92"/>
        <v>1991900.313</v>
      </c>
      <c r="E5948" t="s">
        <v>4580</v>
      </c>
      <c r="F5948" s="242"/>
      <c r="G5948"/>
      <c r="H5948" s="242">
        <v>2370000</v>
      </c>
      <c r="I5948" s="242">
        <v>2468321</v>
      </c>
      <c r="J5948"/>
    </row>
    <row r="5949" spans="1:10">
      <c r="A5949" t="s">
        <v>4307</v>
      </c>
      <c r="B5949">
        <v>991910</v>
      </c>
      <c r="C5949">
        <v>1</v>
      </c>
      <c r="D5949" t="str">
        <f t="shared" si="92"/>
        <v>1991910.989</v>
      </c>
      <c r="E5949" t="s">
        <v>4309</v>
      </c>
      <c r="F5949" s="242"/>
      <c r="G5949"/>
      <c r="H5949" s="242">
        <v>0</v>
      </c>
      <c r="I5949" s="242">
        <v>0</v>
      </c>
      <c r="J5949"/>
    </row>
    <row r="5950" spans="1:10">
      <c r="A5950" t="s">
        <v>2403</v>
      </c>
      <c r="B5950">
        <v>992000</v>
      </c>
      <c r="C5950">
        <v>1</v>
      </c>
      <c r="D5950" t="str">
        <f t="shared" si="92"/>
        <v>1992000.110</v>
      </c>
      <c r="E5950" t="s">
        <v>4310</v>
      </c>
      <c r="F5950" s="242"/>
      <c r="G5950"/>
      <c r="H5950" s="242">
        <v>0</v>
      </c>
      <c r="I5950" s="242">
        <v>0</v>
      </c>
      <c r="J5950"/>
    </row>
    <row r="5951" spans="1:10">
      <c r="A5951" t="s">
        <v>2403</v>
      </c>
      <c r="B5951">
        <v>994000</v>
      </c>
      <c r="C5951">
        <v>1</v>
      </c>
      <c r="D5951" t="str">
        <f t="shared" si="92"/>
        <v>1994000.110</v>
      </c>
      <c r="E5951" t="s">
        <v>2573</v>
      </c>
      <c r="F5951" s="242"/>
      <c r="G5951"/>
      <c r="H5951" s="242">
        <v>241500</v>
      </c>
      <c r="I5951" s="242">
        <v>185031</v>
      </c>
      <c r="J5951"/>
    </row>
    <row r="5952" spans="1:10">
      <c r="A5952" t="s">
        <v>2579</v>
      </c>
      <c r="B5952">
        <v>994000</v>
      </c>
      <c r="C5952">
        <v>1</v>
      </c>
      <c r="D5952" t="str">
        <f t="shared" si="92"/>
        <v>1994000.181</v>
      </c>
      <c r="E5952" t="s">
        <v>2580</v>
      </c>
      <c r="F5952" s="242"/>
      <c r="G5952"/>
      <c r="H5952" s="242">
        <v>28980</v>
      </c>
      <c r="I5952" s="242">
        <v>16734</v>
      </c>
      <c r="J5952"/>
    </row>
    <row r="5953" spans="1:10">
      <c r="A5953" t="s">
        <v>2581</v>
      </c>
      <c r="B5953">
        <v>994000</v>
      </c>
      <c r="C5953">
        <v>1</v>
      </c>
      <c r="D5953" t="str">
        <f t="shared" si="92"/>
        <v>1994000.182</v>
      </c>
      <c r="E5953" t="s">
        <v>2582</v>
      </c>
      <c r="F5953" s="242"/>
      <c r="G5953"/>
      <c r="H5953" s="242">
        <v>0</v>
      </c>
      <c r="I5953" s="242">
        <v>0</v>
      </c>
      <c r="J5953"/>
    </row>
    <row r="5954" spans="1:10">
      <c r="A5954" t="s">
        <v>4304</v>
      </c>
      <c r="B5954">
        <v>994000</v>
      </c>
      <c r="C5954">
        <v>1</v>
      </c>
      <c r="D5954" t="str">
        <f t="shared" si="92"/>
        <v>1994000.980</v>
      </c>
      <c r="E5954" t="s">
        <v>4311</v>
      </c>
      <c r="F5954" s="242"/>
      <c r="G5954"/>
      <c r="H5954" s="242">
        <v>2000000</v>
      </c>
      <c r="I5954" s="242">
        <v>2409872</v>
      </c>
      <c r="J5954"/>
    </row>
    <row r="5955" spans="1:10">
      <c r="A5955" t="s">
        <v>4312</v>
      </c>
      <c r="B5955">
        <v>994000</v>
      </c>
      <c r="C5955">
        <v>1</v>
      </c>
      <c r="D5955" t="str">
        <f t="shared" ref="D5955:D5960" si="93">C5955&amp;B5955&amp;"."&amp;A5955</f>
        <v>1994000.981</v>
      </c>
      <c r="E5955" t="s">
        <v>4313</v>
      </c>
      <c r="F5955" s="242"/>
      <c r="G5955"/>
      <c r="H5955" s="242">
        <v>1300000</v>
      </c>
      <c r="I5955" s="242">
        <v>2103756</v>
      </c>
      <c r="J5955"/>
    </row>
    <row r="5956" spans="1:10">
      <c r="A5956" t="s">
        <v>4314</v>
      </c>
      <c r="B5956">
        <v>994000</v>
      </c>
      <c r="C5956">
        <v>1</v>
      </c>
      <c r="D5956" t="str">
        <f t="shared" si="93"/>
        <v>1994000.983</v>
      </c>
      <c r="E5956" t="s">
        <v>4675</v>
      </c>
      <c r="F5956" s="242"/>
      <c r="G5956"/>
      <c r="H5956" s="242">
        <v>0</v>
      </c>
      <c r="I5956" s="242">
        <v>0</v>
      </c>
      <c r="J5956"/>
    </row>
    <row r="5957" spans="1:10">
      <c r="A5957" t="s">
        <v>4315</v>
      </c>
      <c r="B5957">
        <v>994000</v>
      </c>
      <c r="C5957">
        <v>1</v>
      </c>
      <c r="D5957" t="str">
        <f t="shared" si="93"/>
        <v>1994000.984</v>
      </c>
      <c r="E5957" t="s">
        <v>4316</v>
      </c>
      <c r="F5957" s="242"/>
      <c r="G5957"/>
      <c r="H5957" s="242">
        <v>500000</v>
      </c>
      <c r="I5957" s="242">
        <v>473882</v>
      </c>
      <c r="J5957"/>
    </row>
    <row r="5958" spans="1:10">
      <c r="A5958" t="s">
        <v>2691</v>
      </c>
      <c r="B5958">
        <v>994000</v>
      </c>
      <c r="C5958">
        <v>1</v>
      </c>
      <c r="D5958" t="str">
        <f t="shared" si="93"/>
        <v>1994000.986</v>
      </c>
      <c r="E5958" t="s">
        <v>4317</v>
      </c>
      <c r="F5958" s="242"/>
      <c r="G5958"/>
      <c r="H5958" s="242">
        <v>0</v>
      </c>
      <c r="I5958" s="242">
        <v>0</v>
      </c>
      <c r="J5958"/>
    </row>
    <row r="5959" spans="1:10">
      <c r="A5959" t="s">
        <v>4307</v>
      </c>
      <c r="B5959">
        <v>994000</v>
      </c>
      <c r="C5959">
        <v>1</v>
      </c>
      <c r="D5959" t="str">
        <f t="shared" si="93"/>
        <v>1994000.989</v>
      </c>
      <c r="E5959" t="s">
        <v>4318</v>
      </c>
      <c r="F5959" s="242"/>
      <c r="G5959"/>
      <c r="H5959" s="242">
        <v>0</v>
      </c>
      <c r="I5959" s="242">
        <v>0</v>
      </c>
      <c r="J5959"/>
    </row>
    <row r="5960" spans="1:10">
      <c r="A5960" t="s">
        <v>4302</v>
      </c>
      <c r="B5960">
        <v>995000</v>
      </c>
      <c r="C5960">
        <v>1</v>
      </c>
      <c r="D5960" t="str">
        <f t="shared" si="93"/>
        <v>1995000.860</v>
      </c>
      <c r="E5960" t="s">
        <v>4319</v>
      </c>
      <c r="F5960" s="242"/>
      <c r="G5960"/>
      <c r="H5960" s="242">
        <v>66700000</v>
      </c>
      <c r="I5960" s="242">
        <v>70993000</v>
      </c>
      <c r="J5960"/>
    </row>
    <row r="5961" spans="1:10">
      <c r="H5961" s="6">
        <f>SUMIF($H$3:$H$5960,"&lt;0",$H$3:$H$5960)</f>
        <v>-1240800753</v>
      </c>
    </row>
  </sheetData>
  <autoFilter ref="A2:J5960">
    <sortState ref="A3:J5961">
      <sortCondition ref="B2:B5960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14"/>
  </sheetPr>
  <dimension ref="A1:Z11864"/>
  <sheetViews>
    <sheetView showGridLines="0" rightToLeft="1" tabSelected="1" zoomScaleNormal="100" zoomScaleSheetLayoutView="100" workbookViewId="0">
      <pane xSplit="1" ySplit="2" topLeftCell="B443" activePane="bottomRight" state="frozen"/>
      <selection pane="topRight" activeCell="B1" sqref="B1"/>
      <selection pane="bottomLeft" activeCell="A3" sqref="A3"/>
      <selection pane="bottomRight" activeCell="A742" sqref="A742:B742"/>
    </sheetView>
  </sheetViews>
  <sheetFormatPr defaultRowHeight="15.75" outlineLevelRow="2"/>
  <cols>
    <col min="1" max="1" width="10.85546875" style="8" customWidth="1"/>
    <col min="2" max="2" width="8.85546875" style="7" bestFit="1" customWidth="1"/>
    <col min="3" max="3" width="8.85546875" style="2" bestFit="1" customWidth="1"/>
    <col min="4" max="4" width="12" style="1" bestFit="1" customWidth="1"/>
    <col min="5" max="5" width="88.85546875" style="16" bestFit="1" customWidth="1"/>
    <col min="6" max="6" width="8.140625" style="2" hidden="1" customWidth="1"/>
    <col min="7" max="7" width="15.28515625" style="6" hidden="1" customWidth="1"/>
    <col min="8" max="8" width="21.85546875" style="6" bestFit="1" customWidth="1"/>
    <col min="9" max="9" width="20" style="6" bestFit="1" customWidth="1"/>
    <col min="10" max="10" width="20.7109375" style="19" bestFit="1" customWidth="1"/>
    <col min="11" max="11" width="20.7109375" style="19" hidden="1" customWidth="1"/>
    <col min="12" max="18" width="20.7109375" style="19" bestFit="1" customWidth="1"/>
    <col min="19" max="20" width="32.7109375" style="19" bestFit="1" customWidth="1"/>
    <col min="21" max="21" width="12.28515625" style="19" bestFit="1" customWidth="1"/>
    <col min="22" max="22" width="45.5703125" style="19" bestFit="1" customWidth="1"/>
    <col min="23" max="23" width="12.28515625" style="19" bestFit="1" customWidth="1"/>
    <col min="24" max="24" width="35.5703125" style="19" bestFit="1" customWidth="1"/>
    <col min="25" max="25" width="12.28515625" style="19" bestFit="1" customWidth="1"/>
    <col min="26" max="26" width="33.28515625" style="19" bestFit="1" customWidth="1"/>
    <col min="27" max="16384" width="9.140625" style="3"/>
  </cols>
  <sheetData>
    <row r="1" spans="1:26" ht="32.25" customHeight="1" thickBot="1">
      <c r="A1" s="21" t="s">
        <v>4677</v>
      </c>
      <c r="B1" s="21"/>
      <c r="C1" s="21"/>
      <c r="D1" s="21"/>
      <c r="E1" s="21"/>
      <c r="F1" s="21"/>
      <c r="G1" s="21"/>
      <c r="H1" s="21"/>
      <c r="I1" s="21"/>
      <c r="J1" s="21"/>
      <c r="K1" s="3"/>
      <c r="L1" s="47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s="5" customFormat="1" ht="39.950000000000003" customHeight="1" thickBot="1">
      <c r="A2" s="9" t="s">
        <v>22</v>
      </c>
      <c r="B2" s="14" t="s">
        <v>23</v>
      </c>
      <c r="C2" s="12" t="s">
        <v>24</v>
      </c>
      <c r="D2" s="10" t="s">
        <v>33</v>
      </c>
      <c r="E2" s="11" t="s">
        <v>25</v>
      </c>
      <c r="F2" s="12" t="s">
        <v>26</v>
      </c>
      <c r="G2" s="13" t="s">
        <v>3</v>
      </c>
      <c r="H2" s="243" t="s">
        <v>4691</v>
      </c>
      <c r="I2" s="243" t="s">
        <v>4690</v>
      </c>
      <c r="J2" s="243" t="s">
        <v>4676</v>
      </c>
      <c r="K2" s="20" t="s">
        <v>29</v>
      </c>
      <c r="L2" s="20" t="s">
        <v>2332</v>
      </c>
      <c r="M2" s="20" t="s">
        <v>2335</v>
      </c>
      <c r="N2" s="20" t="s">
        <v>2333</v>
      </c>
      <c r="O2" s="20" t="s">
        <v>2336</v>
      </c>
      <c r="P2" s="20" t="s">
        <v>2334</v>
      </c>
      <c r="Q2" s="20" t="s">
        <v>2337</v>
      </c>
      <c r="R2" s="20" t="s">
        <v>2338</v>
      </c>
      <c r="S2" s="20" t="s">
        <v>2339</v>
      </c>
      <c r="T2" s="20" t="s">
        <v>2340</v>
      </c>
      <c r="U2" s="20" t="s">
        <v>2341</v>
      </c>
      <c r="V2" s="20" t="s">
        <v>2342</v>
      </c>
      <c r="W2" s="20" t="s">
        <v>2343</v>
      </c>
      <c r="X2" s="20" t="s">
        <v>2344</v>
      </c>
      <c r="Y2" s="20" t="s">
        <v>2345</v>
      </c>
      <c r="Z2" s="20" t="s">
        <v>2346</v>
      </c>
    </row>
    <row r="3" spans="1:26" ht="15.75" hidden="1" customHeight="1">
      <c r="A3" s="482">
        <v>110</v>
      </c>
      <c r="B3" s="485" t="s">
        <v>7645</v>
      </c>
      <c r="C3">
        <v>1</v>
      </c>
      <c r="D3" t="str">
        <f t="shared" ref="D3:D66" si="0">C3&amp;B3&amp;"."&amp;A3</f>
        <v>1110000.110</v>
      </c>
      <c r="E3" s="492" t="s">
        <v>7687</v>
      </c>
      <c r="H3" s="470">
        <v>-1220000000</v>
      </c>
      <c r="I3" s="470">
        <v>-1241302400</v>
      </c>
      <c r="J3" s="470">
        <v>-1117800369</v>
      </c>
      <c r="K3" s="18"/>
      <c r="L3" s="18" t="str">
        <f t="shared" ref="L3:L66" si="1">IF(LEFT($B3,1)*1=0,LEFT($B3,2),LEFT($B3,1))</f>
        <v>1</v>
      </c>
      <c r="M3" s="18" t="str">
        <f>INDEX(Chapter,MATCH(L3,Chapter!$A$1:$A$681,0),8)</f>
        <v>מסים ומענק כללי</v>
      </c>
      <c r="N3" s="18" t="str">
        <f t="shared" ref="N3:N66" si="2">IF(LEFT($B3,1)*1=0,LEFT($B3,3),LEFT($B3,2))</f>
        <v>11</v>
      </c>
      <c r="O3" s="18" t="str">
        <f>INDEX(Chapter,MATCH(N3,Chapter!$A$1:$A$681,0),8)</f>
        <v>ארנונות</v>
      </c>
      <c r="P3" s="18" t="str">
        <f t="shared" ref="P3:P66" si="3">IF(LEFT($B3,1)*1=0,LEFT($B3,4),LEFT($B3,3))</f>
        <v>110</v>
      </c>
      <c r="Q3" s="18" t="e">
        <f>INDEX(Chapter,MATCH(P3,Chapter!$A$1:$A$681,0),8)</f>
        <v>#N/A</v>
      </c>
      <c r="R3" s="18" t="str">
        <f t="shared" ref="R3:R66" si="4">LEFT($B3,4)</f>
        <v>1100</v>
      </c>
      <c r="S3" s="18" t="e">
        <f>INDEX(Chapter,MATCH(R3,Chapter!$A$1:$A$681,0),8)</f>
        <v>#N/A</v>
      </c>
      <c r="T3" s="18"/>
      <c r="U3" s="18" t="str">
        <f t="shared" ref="U3:U66" si="5">LEFT($A3,1)</f>
        <v>1</v>
      </c>
      <c r="V3" s="18" t="str">
        <f>IF($L3&lt;"6",INDEX(Revenue_type,MATCH(U3*1,type!$A$118:$A$168,0),8),INDEX(Expenditure_type,MATCH(U3*1,type!$A$2:$A$117,0),8))</f>
        <v>ארנונות</v>
      </c>
      <c r="W3" s="18" t="str">
        <f t="shared" ref="W3:W66" si="6">LEFT($A3,2)</f>
        <v>11</v>
      </c>
      <c r="X3" s="18" t="e">
        <f>IF($L3&lt;"6",INDEX(Revenue_type,MATCH(W3*1,type!$A$118:$A$168,0),8),INDEX(Expenditure_type,MATCH(W3*1,type!$A$2:$A$117,0),8))</f>
        <v>#N/A</v>
      </c>
      <c r="Y3" s="18" t="str">
        <f t="shared" ref="Y3:Y66" si="7">LEFT($A3,3)</f>
        <v>110</v>
      </c>
      <c r="Z3" s="18" t="e">
        <f>IF($L3&lt;"6",INDEX(Revenue_type,MATCH(Y3*1,type!$A$118:$A$168,0),8),INDEX(Expenditure_type,MATCH(Y3*1,type!$A$2:$A$117,0),8))</f>
        <v>#N/A</v>
      </c>
    </row>
    <row r="4" spans="1:26" ht="15.75" hidden="1" customHeight="1">
      <c r="A4" s="482">
        <v>125</v>
      </c>
      <c r="B4" s="485" t="s">
        <v>7645</v>
      </c>
      <c r="C4">
        <v>1</v>
      </c>
      <c r="D4" t="str">
        <f t="shared" si="0"/>
        <v>1110000.125</v>
      </c>
      <c r="E4" s="492" t="s">
        <v>7688</v>
      </c>
      <c r="H4" s="470">
        <v>-160000000</v>
      </c>
      <c r="I4" s="470">
        <v>-160000000</v>
      </c>
      <c r="J4" s="470">
        <v>-161826833</v>
      </c>
      <c r="K4" s="18"/>
      <c r="L4" s="18" t="str">
        <f t="shared" si="1"/>
        <v>1</v>
      </c>
      <c r="M4" s="18" t="str">
        <f>INDEX(Chapter,MATCH(L4,Chapter!$A$1:$A$681,0),8)</f>
        <v>מסים ומענק כללי</v>
      </c>
      <c r="N4" s="18" t="str">
        <f t="shared" si="2"/>
        <v>11</v>
      </c>
      <c r="O4" s="18" t="str">
        <f>INDEX(Chapter,MATCH(N4,Chapter!$A$1:$A$681,0),8)</f>
        <v>ארנונות</v>
      </c>
      <c r="P4" s="18" t="str">
        <f t="shared" si="3"/>
        <v>110</v>
      </c>
      <c r="Q4" s="18" t="e">
        <f>INDEX(Chapter,MATCH(P4,Chapter!$A$1:$A$681,0),8)</f>
        <v>#N/A</v>
      </c>
      <c r="R4" s="18" t="str">
        <f t="shared" si="4"/>
        <v>1100</v>
      </c>
      <c r="S4" s="18" t="e">
        <f>INDEX(Chapter,MATCH(R4,Chapter!$A$1:$A$681,0),8)</f>
        <v>#N/A</v>
      </c>
      <c r="T4" s="18"/>
      <c r="U4" s="18" t="str">
        <f t="shared" si="5"/>
        <v>1</v>
      </c>
      <c r="V4" s="18" t="str">
        <f>IF($L4&lt;"6",INDEX(Revenue_type,MATCH(U4*1,type!$A$118:$A$168,0),8),INDEX(Expenditure_type,MATCH(U4*1,type!$A$2:$A$117,0),8))</f>
        <v>ארנונות</v>
      </c>
      <c r="W4" s="18" t="str">
        <f t="shared" si="6"/>
        <v>12</v>
      </c>
      <c r="X4" s="18" t="e">
        <f>IF($L4&lt;"6",INDEX(Revenue_type,MATCH(W4*1,type!$A$118:$A$168,0),8),INDEX(Expenditure_type,MATCH(W4*1,type!$A$2:$A$117,0),8))</f>
        <v>#N/A</v>
      </c>
      <c r="Y4" s="18" t="str">
        <f t="shared" si="7"/>
        <v>125</v>
      </c>
      <c r="Z4" s="18" t="e">
        <f>IF($L4&lt;"6",INDEX(Revenue_type,MATCH(Y4*1,type!$A$118:$A$168,0),8),INDEX(Expenditure_type,MATCH(Y4*1,type!$A$2:$A$117,0),8))</f>
        <v>#N/A</v>
      </c>
    </row>
    <row r="5" spans="1:26" ht="15.75" hidden="1" customHeight="1">
      <c r="A5" s="482">
        <v>220</v>
      </c>
      <c r="B5" s="485" t="s">
        <v>7646</v>
      </c>
      <c r="C5">
        <v>1</v>
      </c>
      <c r="D5" t="str">
        <f t="shared" si="0"/>
        <v>1120000.220</v>
      </c>
      <c r="E5" s="492" t="s">
        <v>7689</v>
      </c>
      <c r="H5" s="470">
        <v>-20250000</v>
      </c>
      <c r="I5" s="470">
        <v>-20100000</v>
      </c>
      <c r="J5" s="470">
        <v>-17769356</v>
      </c>
      <c r="K5" s="18"/>
      <c r="L5" s="18" t="str">
        <f t="shared" si="1"/>
        <v>1</v>
      </c>
      <c r="M5" s="18" t="str">
        <f>INDEX(Chapter,MATCH(L5,Chapter!$A$1:$A$681,0),8)</f>
        <v>מסים ומענק כללי</v>
      </c>
      <c r="N5" s="18" t="str">
        <f t="shared" si="2"/>
        <v>12</v>
      </c>
      <c r="O5" s="18" t="str">
        <f>INDEX(Chapter,MATCH(N5,Chapter!$A$1:$A$681,0),8)</f>
        <v>אגרות</v>
      </c>
      <c r="P5" s="18" t="str">
        <f t="shared" si="3"/>
        <v>120</v>
      </c>
      <c r="Q5" s="18" t="e">
        <f>INDEX(Chapter,MATCH(P5,Chapter!$A$1:$A$681,0),8)</f>
        <v>#N/A</v>
      </c>
      <c r="R5" s="18" t="str">
        <f t="shared" si="4"/>
        <v>1200</v>
      </c>
      <c r="S5" s="18" t="e">
        <f>INDEX(Chapter,MATCH(R5,Chapter!$A$1:$A$681,0),8)</f>
        <v>#N/A</v>
      </c>
      <c r="T5" s="18"/>
      <c r="U5" s="18" t="str">
        <f t="shared" si="5"/>
        <v>2</v>
      </c>
      <c r="V5" s="18" t="str">
        <f>IF($L5&lt;"6",INDEX(Revenue_type,MATCH(U5*1,type!$A$118:$A$168,0),8),INDEX(Expenditure_type,MATCH(U5*1,type!$A$2:$A$117,0),8))</f>
        <v>אגרות</v>
      </c>
      <c r="W5" s="18" t="str">
        <f t="shared" si="6"/>
        <v>22</v>
      </c>
      <c r="X5" s="18" t="str">
        <f>IF($L5&lt;"6",INDEX(Revenue_type,MATCH(W5*1,type!$A$118:$A$168,0),8),INDEX(Expenditure_type,MATCH(W5*1,type!$A$2:$A$117,0),8))</f>
        <v>אגרות בגין שירותים וחומרים</v>
      </c>
      <c r="Y5" s="18" t="str">
        <f t="shared" si="7"/>
        <v>220</v>
      </c>
      <c r="Z5" s="18" t="e">
        <f>IF($L5&lt;"6",INDEX(Revenue_type,MATCH(Y5*1,type!$A$118:$A$168,0),8),INDEX(Expenditure_type,MATCH(Y5*1,type!$A$2:$A$117,0),8))</f>
        <v>#N/A</v>
      </c>
    </row>
    <row r="6" spans="1:26" ht="15.75" hidden="1" customHeight="1">
      <c r="A6" s="482">
        <v>230</v>
      </c>
      <c r="B6" s="485" t="s">
        <v>7646</v>
      </c>
      <c r="C6">
        <v>1</v>
      </c>
      <c r="D6" t="str">
        <f t="shared" si="0"/>
        <v>1120000.230</v>
      </c>
      <c r="E6" s="492" t="s">
        <v>7690</v>
      </c>
      <c r="H6" s="470">
        <v>-700000</v>
      </c>
      <c r="I6" s="470">
        <v>-700000</v>
      </c>
      <c r="J6" s="470">
        <v>-682812</v>
      </c>
      <c r="K6" s="18"/>
      <c r="L6" s="18" t="str">
        <f t="shared" si="1"/>
        <v>1</v>
      </c>
      <c r="M6" s="18" t="str">
        <f>INDEX(Chapter,MATCH(L6,Chapter!$A$1:$A$681,0),8)</f>
        <v>מסים ומענק כללי</v>
      </c>
      <c r="N6" s="18" t="str">
        <f t="shared" si="2"/>
        <v>12</v>
      </c>
      <c r="O6" s="18" t="str">
        <f>INDEX(Chapter,MATCH(N6,Chapter!$A$1:$A$681,0),8)</f>
        <v>אגרות</v>
      </c>
      <c r="P6" s="18" t="str">
        <f t="shared" si="3"/>
        <v>120</v>
      </c>
      <c r="Q6" s="18" t="e">
        <f>INDEX(Chapter,MATCH(P6,Chapter!$A$1:$A$681,0),8)</f>
        <v>#N/A</v>
      </c>
      <c r="R6" s="18" t="str">
        <f t="shared" si="4"/>
        <v>1200</v>
      </c>
      <c r="S6" s="18" t="e">
        <f>INDEX(Chapter,MATCH(R6,Chapter!$A$1:$A$681,0),8)</f>
        <v>#N/A</v>
      </c>
      <c r="T6" s="18"/>
      <c r="U6" s="18" t="str">
        <f t="shared" si="5"/>
        <v>2</v>
      </c>
      <c r="V6" s="18" t="str">
        <f>IF($L6&lt;"6",INDEX(Revenue_type,MATCH(U6*1,type!$A$118:$A$168,0),8),INDEX(Expenditure_type,MATCH(U6*1,type!$A$2:$A$117,0),8))</f>
        <v>אגרות</v>
      </c>
      <c r="W6" s="18" t="str">
        <f t="shared" si="6"/>
        <v>23</v>
      </c>
      <c r="X6" s="18" t="e">
        <f>IF($L6&lt;"6",INDEX(Revenue_type,MATCH(W6*1,type!$A$118:$A$168,0),8),INDEX(Expenditure_type,MATCH(W6*1,type!$A$2:$A$117,0),8))</f>
        <v>#N/A</v>
      </c>
      <c r="Y6" s="18" t="str">
        <f t="shared" si="7"/>
        <v>230</v>
      </c>
      <c r="Z6" s="18" t="e">
        <f>IF($L6&lt;"6",INDEX(Revenue_type,MATCH(Y6*1,type!$A$118:$A$168,0),8),INDEX(Expenditure_type,MATCH(Y6*1,type!$A$2:$A$117,0),8))</f>
        <v>#N/A</v>
      </c>
    </row>
    <row r="7" spans="1:26" ht="15.75" hidden="1" customHeight="1">
      <c r="A7" s="482">
        <v>241</v>
      </c>
      <c r="B7" s="485" t="s">
        <v>7646</v>
      </c>
      <c r="C7">
        <v>1</v>
      </c>
      <c r="D7" t="str">
        <f t="shared" si="0"/>
        <v>1120000.241</v>
      </c>
      <c r="E7" s="492" t="s">
        <v>7691</v>
      </c>
      <c r="H7" s="470">
        <v>-500000</v>
      </c>
      <c r="I7" s="470">
        <v>-500000</v>
      </c>
      <c r="J7" s="470">
        <v>-230110</v>
      </c>
      <c r="K7" s="18"/>
      <c r="L7" s="18" t="str">
        <f t="shared" si="1"/>
        <v>1</v>
      </c>
      <c r="M7" s="18" t="str">
        <f>INDEX(Chapter,MATCH(L7,Chapter!$A$1:$A$681,0),8)</f>
        <v>מסים ומענק כללי</v>
      </c>
      <c r="N7" s="18" t="str">
        <f t="shared" si="2"/>
        <v>12</v>
      </c>
      <c r="O7" s="18" t="str">
        <f>INDEX(Chapter,MATCH(N7,Chapter!$A$1:$A$681,0),8)</f>
        <v>אגרות</v>
      </c>
      <c r="P7" s="18" t="str">
        <f t="shared" si="3"/>
        <v>120</v>
      </c>
      <c r="Q7" s="18" t="e">
        <f>INDEX(Chapter,MATCH(P7,Chapter!$A$1:$A$681,0),8)</f>
        <v>#N/A</v>
      </c>
      <c r="R7" s="18" t="str">
        <f t="shared" si="4"/>
        <v>1200</v>
      </c>
      <c r="S7" s="18" t="e">
        <f>INDEX(Chapter,MATCH(R7,Chapter!$A$1:$A$681,0),8)</f>
        <v>#N/A</v>
      </c>
      <c r="T7" s="18"/>
      <c r="U7" s="18" t="str">
        <f t="shared" si="5"/>
        <v>2</v>
      </c>
      <c r="V7" s="18" t="str">
        <f>IF($L7&lt;"6",INDEX(Revenue_type,MATCH(U7*1,type!$A$118:$A$168,0),8),INDEX(Expenditure_type,MATCH(U7*1,type!$A$2:$A$117,0),8))</f>
        <v>אגרות</v>
      </c>
      <c r="W7" s="18" t="str">
        <f t="shared" si="6"/>
        <v>24</v>
      </c>
      <c r="X7" s="18" t="e">
        <f>IF($L7&lt;"6",INDEX(Revenue_type,MATCH(W7*1,type!$A$118:$A$168,0),8),INDEX(Expenditure_type,MATCH(W7*1,type!$A$2:$A$117,0),8))</f>
        <v>#N/A</v>
      </c>
      <c r="Y7" s="18" t="str">
        <f t="shared" si="7"/>
        <v>241</v>
      </c>
      <c r="Z7" s="18" t="e">
        <f>IF($L7&lt;"6",INDEX(Revenue_type,MATCH(Y7*1,type!$A$118:$A$168,0),8),INDEX(Expenditure_type,MATCH(Y7*1,type!$A$2:$A$117,0),8))</f>
        <v>#N/A</v>
      </c>
    </row>
    <row r="8" spans="1:26" ht="15.75" hidden="1" customHeight="1">
      <c r="A8" s="482">
        <v>242</v>
      </c>
      <c r="B8" s="485" t="s">
        <v>7646</v>
      </c>
      <c r="C8">
        <v>1</v>
      </c>
      <c r="D8" t="str">
        <f t="shared" si="0"/>
        <v>1120000.242</v>
      </c>
      <c r="E8" s="492" t="s">
        <v>7692</v>
      </c>
      <c r="H8" s="470">
        <v>-1500000</v>
      </c>
      <c r="I8" s="470">
        <v>-1500000</v>
      </c>
      <c r="J8" s="470">
        <v>-835431</v>
      </c>
      <c r="K8" s="18"/>
      <c r="L8" s="18" t="str">
        <f t="shared" si="1"/>
        <v>1</v>
      </c>
      <c r="M8" s="18" t="str">
        <f>INDEX(Chapter,MATCH(L8,Chapter!$A$1:$A$681,0),8)</f>
        <v>מסים ומענק כללי</v>
      </c>
      <c r="N8" s="18" t="str">
        <f t="shared" si="2"/>
        <v>12</v>
      </c>
      <c r="O8" s="18" t="str">
        <f>INDEX(Chapter,MATCH(N8,Chapter!$A$1:$A$681,0),8)</f>
        <v>אגרות</v>
      </c>
      <c r="P8" s="18" t="str">
        <f t="shared" si="3"/>
        <v>120</v>
      </c>
      <c r="Q8" s="18" t="e">
        <f>INDEX(Chapter,MATCH(P8,Chapter!$A$1:$A$681,0),8)</f>
        <v>#N/A</v>
      </c>
      <c r="R8" s="18" t="str">
        <f t="shared" si="4"/>
        <v>1200</v>
      </c>
      <c r="S8" s="18" t="e">
        <f>INDEX(Chapter,MATCH(R8,Chapter!$A$1:$A$681,0),8)</f>
        <v>#N/A</v>
      </c>
      <c r="T8" s="18"/>
      <c r="U8" s="18" t="str">
        <f t="shared" si="5"/>
        <v>2</v>
      </c>
      <c r="V8" s="18" t="str">
        <f>IF($L8&lt;"6",INDEX(Revenue_type,MATCH(U8*1,type!$A$118:$A$168,0),8),INDEX(Expenditure_type,MATCH(U8*1,type!$A$2:$A$117,0),8))</f>
        <v>אגרות</v>
      </c>
      <c r="W8" s="18" t="str">
        <f t="shared" si="6"/>
        <v>24</v>
      </c>
      <c r="X8" s="18" t="e">
        <f>IF($L8&lt;"6",INDEX(Revenue_type,MATCH(W8*1,type!$A$118:$A$168,0),8),INDEX(Expenditure_type,MATCH(W8*1,type!$A$2:$A$117,0),8))</f>
        <v>#N/A</v>
      </c>
      <c r="Y8" s="18" t="str">
        <f t="shared" si="7"/>
        <v>242</v>
      </c>
      <c r="Z8" s="18" t="e">
        <f>IF($L8&lt;"6",INDEX(Revenue_type,MATCH(Y8*1,type!$A$118:$A$168,0),8),INDEX(Expenditure_type,MATCH(Y8*1,type!$A$2:$A$117,0),8))</f>
        <v>#N/A</v>
      </c>
    </row>
    <row r="9" spans="1:26" ht="15.75" hidden="1" customHeight="1">
      <c r="A9" s="482">
        <v>243</v>
      </c>
      <c r="B9" s="485" t="s">
        <v>7646</v>
      </c>
      <c r="C9">
        <v>1</v>
      </c>
      <c r="D9" t="str">
        <f t="shared" si="0"/>
        <v>1120000.243</v>
      </c>
      <c r="E9" s="492" t="s">
        <v>7693</v>
      </c>
      <c r="H9" s="470">
        <v>-100000</v>
      </c>
      <c r="I9" s="470">
        <v>-100000</v>
      </c>
      <c r="J9" s="470">
        <v>-62679</v>
      </c>
      <c r="K9" s="18"/>
      <c r="L9" s="18" t="str">
        <f t="shared" si="1"/>
        <v>1</v>
      </c>
      <c r="M9" s="18" t="str">
        <f>INDEX(Chapter,MATCH(L9,Chapter!$A$1:$A$681,0),8)</f>
        <v>מסים ומענק כללי</v>
      </c>
      <c r="N9" s="18" t="str">
        <f t="shared" si="2"/>
        <v>12</v>
      </c>
      <c r="O9" s="18" t="str">
        <f>INDEX(Chapter,MATCH(N9,Chapter!$A$1:$A$681,0),8)</f>
        <v>אגרות</v>
      </c>
      <c r="P9" s="18" t="str">
        <f t="shared" si="3"/>
        <v>120</v>
      </c>
      <c r="Q9" s="18" t="e">
        <f>INDEX(Chapter,MATCH(P9,Chapter!$A$1:$A$681,0),8)</f>
        <v>#N/A</v>
      </c>
      <c r="R9" s="18" t="str">
        <f t="shared" si="4"/>
        <v>1200</v>
      </c>
      <c r="S9" s="18" t="e">
        <f>INDEX(Chapter,MATCH(R9,Chapter!$A$1:$A$681,0),8)</f>
        <v>#N/A</v>
      </c>
      <c r="T9" s="18"/>
      <c r="U9" s="18" t="str">
        <f t="shared" si="5"/>
        <v>2</v>
      </c>
      <c r="V9" s="18" t="str">
        <f>IF($L9&lt;"6",INDEX(Revenue_type,MATCH(U9*1,type!$A$118:$A$168,0),8),INDEX(Expenditure_type,MATCH(U9*1,type!$A$2:$A$117,0),8))</f>
        <v>אגרות</v>
      </c>
      <c r="W9" s="18" t="str">
        <f t="shared" si="6"/>
        <v>24</v>
      </c>
      <c r="X9" s="18" t="e">
        <f>IF($L9&lt;"6",INDEX(Revenue_type,MATCH(W9*1,type!$A$118:$A$168,0),8),INDEX(Expenditure_type,MATCH(W9*1,type!$A$2:$A$117,0),8))</f>
        <v>#N/A</v>
      </c>
      <c r="Y9" s="18" t="str">
        <f t="shared" si="7"/>
        <v>243</v>
      </c>
      <c r="Z9" s="18" t="e">
        <f>IF($L9&lt;"6",INDEX(Revenue_type,MATCH(Y9*1,type!$A$118:$A$168,0),8),INDEX(Expenditure_type,MATCH(Y9*1,type!$A$2:$A$117,0),8))</f>
        <v>#N/A</v>
      </c>
    </row>
    <row r="10" spans="1:26" ht="15.75" hidden="1" customHeight="1">
      <c r="A10" s="482">
        <v>910</v>
      </c>
      <c r="B10" s="485" t="s">
        <v>7647</v>
      </c>
      <c r="C10">
        <v>1</v>
      </c>
      <c r="D10" t="str">
        <f t="shared" si="0"/>
        <v>1192000.910</v>
      </c>
      <c r="E10" s="492" t="s">
        <v>7694</v>
      </c>
      <c r="H10" s="470">
        <v>-1600000</v>
      </c>
      <c r="I10" s="470">
        <v>-2052000</v>
      </c>
      <c r="J10" s="470">
        <v>-1681640</v>
      </c>
      <c r="K10" s="18"/>
      <c r="L10" s="18" t="str">
        <f t="shared" si="1"/>
        <v>1</v>
      </c>
      <c r="M10" s="18" t="str">
        <f>INDEX(Chapter,MATCH(L10,Chapter!$A$1:$A$681,0),8)</f>
        <v>מסים ומענק כללי</v>
      </c>
      <c r="N10" s="18" t="str">
        <f t="shared" si="2"/>
        <v>19</v>
      </c>
      <c r="O10" s="18" t="str">
        <f>INDEX(Chapter,MATCH(N10,Chapter!$A$1:$A$681,0),8)</f>
        <v>מענקים כלליים</v>
      </c>
      <c r="P10" s="18" t="str">
        <f t="shared" si="3"/>
        <v>192</v>
      </c>
      <c r="Q10" s="18" t="str">
        <f>INDEX(Chapter,MATCH(P10,Chapter!$A$1:$A$681,0),8)</f>
        <v>מענקים חד פעמיים</v>
      </c>
      <c r="R10" s="18" t="str">
        <f t="shared" si="4"/>
        <v>1920</v>
      </c>
      <c r="S10" s="18" t="e">
        <f>INDEX(Chapter,MATCH(R10,Chapter!$A$1:$A$681,0),8)</f>
        <v>#N/A</v>
      </c>
      <c r="T10" s="18"/>
      <c r="U10" s="18" t="str">
        <f t="shared" si="5"/>
        <v>9</v>
      </c>
      <c r="V10" s="18" t="str">
        <f>IF($L10&lt;"6",INDEX(Revenue_type,MATCH(U10*1,type!$A$118:$A$168,0),8),INDEX(Expenditure_type,MATCH(U10*1,type!$A$2:$A$117,0),8))</f>
        <v>השתתפות משרדי ממשלה</v>
      </c>
      <c r="W10" s="18" t="str">
        <f t="shared" si="6"/>
        <v>91</v>
      </c>
      <c r="X10" s="18" t="str">
        <f>IF($L10&lt;"6",INDEX(Revenue_type,MATCH(W10*1,type!$A$118:$A$168,0),8),INDEX(Expenditure_type,MATCH(W10*1,type!$A$2:$A$117,0),8))</f>
        <v>השתתפות משרד הפנים</v>
      </c>
      <c r="Y10" s="18" t="str">
        <f t="shared" si="7"/>
        <v>910</v>
      </c>
      <c r="Z10" s="18" t="e">
        <f>IF($L10&lt;"6",INDEX(Revenue_type,MATCH(Y10*1,type!$A$118:$A$168,0),8),INDEX(Expenditure_type,MATCH(Y10*1,type!$A$2:$A$117,0),8))</f>
        <v>#N/A</v>
      </c>
    </row>
    <row r="11" spans="1:26" ht="15.75" hidden="1" customHeight="1">
      <c r="A11" s="482">
        <v>910</v>
      </c>
      <c r="B11" s="485" t="s">
        <v>7648</v>
      </c>
      <c r="C11">
        <v>1</v>
      </c>
      <c r="D11" t="str">
        <f t="shared" si="0"/>
        <v>1197000.910</v>
      </c>
      <c r="E11" s="492" t="s">
        <v>7695</v>
      </c>
      <c r="H11" s="470">
        <v>-180000</v>
      </c>
      <c r="I11" s="470">
        <v>-205000</v>
      </c>
      <c r="J11" s="470">
        <v>-184998</v>
      </c>
      <c r="K11" s="18"/>
      <c r="L11" s="18" t="str">
        <f t="shared" si="1"/>
        <v>1</v>
      </c>
      <c r="M11" s="18" t="str">
        <f>INDEX(Chapter,MATCH(L11,Chapter!$A$1:$A$681,0),8)</f>
        <v>מסים ומענק כללי</v>
      </c>
      <c r="N11" s="18" t="str">
        <f t="shared" si="2"/>
        <v>19</v>
      </c>
      <c r="O11" s="18" t="str">
        <f>INDEX(Chapter,MATCH(N11,Chapter!$A$1:$A$681,0),8)</f>
        <v>מענקים כלליים</v>
      </c>
      <c r="P11" s="18" t="str">
        <f t="shared" si="3"/>
        <v>197</v>
      </c>
      <c r="Q11" s="18" t="str">
        <f>INDEX(Chapter,MATCH(P11,Chapter!$A$1:$A$681,0),8)</f>
        <v>מענק - רזרבה להתייקרות</v>
      </c>
      <c r="R11" s="18" t="str">
        <f t="shared" si="4"/>
        <v>1970</v>
      </c>
      <c r="S11" s="18" t="e">
        <f>INDEX(Chapter,MATCH(R11,Chapter!$A$1:$A$681,0),8)</f>
        <v>#N/A</v>
      </c>
      <c r="T11" s="18"/>
      <c r="U11" s="18" t="str">
        <f t="shared" si="5"/>
        <v>9</v>
      </c>
      <c r="V11" s="18" t="str">
        <f>IF($L11&lt;"6",INDEX(Revenue_type,MATCH(U11*1,type!$A$118:$A$168,0),8),INDEX(Expenditure_type,MATCH(U11*1,type!$A$2:$A$117,0),8))</f>
        <v>השתתפות משרדי ממשלה</v>
      </c>
      <c r="W11" s="18" t="str">
        <f t="shared" si="6"/>
        <v>91</v>
      </c>
      <c r="X11" s="18" t="str">
        <f>IF($L11&lt;"6",INDEX(Revenue_type,MATCH(W11*1,type!$A$118:$A$168,0),8),INDEX(Expenditure_type,MATCH(W11*1,type!$A$2:$A$117,0),8))</f>
        <v>השתתפות משרד הפנים</v>
      </c>
      <c r="Y11" s="18" t="str">
        <f t="shared" si="7"/>
        <v>910</v>
      </c>
      <c r="Z11" s="18" t="e">
        <f>IF($L11&lt;"6",INDEX(Revenue_type,MATCH(Y11*1,type!$A$118:$A$168,0),8),INDEX(Expenditure_type,MATCH(Y11*1,type!$A$2:$A$117,0),8))</f>
        <v>#N/A</v>
      </c>
    </row>
    <row r="12" spans="1:26" ht="15.75" hidden="1" customHeight="1">
      <c r="A12" s="482">
        <v>610</v>
      </c>
      <c r="B12" s="485">
        <v>212923</v>
      </c>
      <c r="C12">
        <v>1</v>
      </c>
      <c r="D12" t="str">
        <f t="shared" si="0"/>
        <v>1212923.610</v>
      </c>
      <c r="E12" s="492" t="s">
        <v>7696</v>
      </c>
      <c r="H12" s="470">
        <v>-7945000</v>
      </c>
      <c r="I12" s="470">
        <v>-7945000</v>
      </c>
      <c r="J12" s="470">
        <v>-7943174</v>
      </c>
      <c r="K12" s="18"/>
      <c r="L12" s="18" t="str">
        <f t="shared" si="1"/>
        <v>2</v>
      </c>
      <c r="M12" s="18" t="str">
        <f>INDEX(Chapter,MATCH(L12,Chapter!$A$1:$A$681,0),8)</f>
        <v>שירותים מקומיים</v>
      </c>
      <c r="N12" s="18" t="str">
        <f t="shared" si="2"/>
        <v>21</v>
      </c>
      <c r="O12" s="18" t="str">
        <f>INDEX(Chapter,MATCH(N12,Chapter!$A$1:$A$681,0),8)</f>
        <v>תברואה</v>
      </c>
      <c r="P12" s="18" t="str">
        <f t="shared" si="3"/>
        <v>212</v>
      </c>
      <c r="Q12" s="18" t="str">
        <f>INDEX(Chapter,MATCH(P12,Chapter!$A$1:$A$681,0),8)</f>
        <v>שירותי ניקיון</v>
      </c>
      <c r="R12" s="18" t="str">
        <f t="shared" si="4"/>
        <v>2129</v>
      </c>
      <c r="S12" s="18" t="e">
        <f>INDEX(Chapter,MATCH(R12,Chapter!$A$1:$A$681,0),8)</f>
        <v>#N/A</v>
      </c>
      <c r="T12" s="18"/>
      <c r="U12" s="18" t="str">
        <f t="shared" si="5"/>
        <v>6</v>
      </c>
      <c r="V12" s="18" t="str">
        <f>IF($L12&lt;"6",INDEX(Revenue_type,MATCH(U12*1,type!$A$118:$A$168,0),8),INDEX(Expenditure_type,MATCH(U12*1,type!$A$2:$A$117,0),8))</f>
        <v>הכנסות מרכוש ומפעלים</v>
      </c>
      <c r="W12" s="18" t="str">
        <f t="shared" si="6"/>
        <v>61</v>
      </c>
      <c r="X12" s="18" t="str">
        <f>IF($L12&lt;"6",INDEX(Revenue_type,MATCH(W12*1,type!$A$118:$A$168,0),8),INDEX(Expenditure_type,MATCH(W12*1,type!$A$2:$A$117,0),8))</f>
        <v>מכירת חומרים</v>
      </c>
      <c r="Y12" s="18" t="str">
        <f t="shared" si="7"/>
        <v>610</v>
      </c>
      <c r="Z12" s="18" t="e">
        <f>IF($L12&lt;"6",INDEX(Revenue_type,MATCH(Y12*1,type!$A$118:$A$168,0),8),INDEX(Expenditure_type,MATCH(Y12*1,type!$A$2:$A$117,0),8))</f>
        <v>#N/A</v>
      </c>
    </row>
    <row r="13" spans="1:26" ht="15.75" hidden="1" customHeight="1">
      <c r="A13" s="482">
        <v>412</v>
      </c>
      <c r="B13" s="485">
        <v>212305</v>
      </c>
      <c r="C13">
        <v>1</v>
      </c>
      <c r="D13" t="str">
        <f t="shared" si="0"/>
        <v>1212305.412</v>
      </c>
      <c r="E13" s="492" t="s">
        <v>7697</v>
      </c>
      <c r="H13" s="470">
        <v>-50000</v>
      </c>
      <c r="I13" s="470">
        <v>-50000</v>
      </c>
      <c r="J13" s="470">
        <v>-79792</v>
      </c>
      <c r="K13" s="18"/>
      <c r="L13" s="18" t="str">
        <f t="shared" si="1"/>
        <v>2</v>
      </c>
      <c r="M13" s="18" t="str">
        <f>INDEX(Chapter,MATCH(L13,Chapter!$A$1:$A$681,0),8)</f>
        <v>שירותים מקומיים</v>
      </c>
      <c r="N13" s="18" t="str">
        <f t="shared" si="2"/>
        <v>21</v>
      </c>
      <c r="O13" s="18" t="str">
        <f>INDEX(Chapter,MATCH(N13,Chapter!$A$1:$A$681,0),8)</f>
        <v>תברואה</v>
      </c>
      <c r="P13" s="18" t="str">
        <f t="shared" si="3"/>
        <v>212</v>
      </c>
      <c r="Q13" s="18" t="str">
        <f>INDEX(Chapter,MATCH(P13,Chapter!$A$1:$A$681,0),8)</f>
        <v>שירותי ניקיון</v>
      </c>
      <c r="R13" s="18" t="str">
        <f t="shared" si="4"/>
        <v>2123</v>
      </c>
      <c r="S13" s="18" t="str">
        <f>INDEX(Chapter,MATCH(R13,Chapter!$A$1:$A$681,0),8)</f>
        <v>אסוף ובעור אשפה</v>
      </c>
      <c r="T13" s="18"/>
      <c r="U13" s="18" t="str">
        <f t="shared" si="5"/>
        <v>4</v>
      </c>
      <c r="V13" s="18" t="str">
        <f>IF($L13&lt;"6",INDEX(Revenue_type,MATCH(U13*1,type!$A$118:$A$168,0),8),INDEX(Expenditure_type,MATCH(U13*1,type!$A$2:$A$117,0),8))</f>
        <v>שירותים ושכר לימוד</v>
      </c>
      <c r="W13" s="18" t="str">
        <f t="shared" si="6"/>
        <v>41</v>
      </c>
      <c r="X13" s="18" t="str">
        <f>IF($L13&lt;"6",INDEX(Revenue_type,MATCH(W13*1,type!$A$118:$A$168,0),8),INDEX(Expenditure_type,MATCH(W13*1,type!$A$2:$A$117,0),8))</f>
        <v>שכל"מ מתושבים</v>
      </c>
      <c r="Y13" s="18" t="str">
        <f t="shared" si="7"/>
        <v>412</v>
      </c>
      <c r="Z13" s="18" t="e">
        <f>IF($L13&lt;"6",INDEX(Revenue_type,MATCH(Y13*1,type!$A$118:$A$168,0),8),INDEX(Expenditure_type,MATCH(Y13*1,type!$A$2:$A$117,0),8))</f>
        <v>#N/A</v>
      </c>
    </row>
    <row r="14" spans="1:26" ht="15.75" hidden="1" customHeight="1">
      <c r="A14" s="482">
        <v>410</v>
      </c>
      <c r="B14" s="485">
        <v>212305</v>
      </c>
      <c r="C14">
        <v>1</v>
      </c>
      <c r="D14" t="str">
        <f t="shared" si="0"/>
        <v>1212305.410</v>
      </c>
      <c r="E14" s="492" t="s">
        <v>7698</v>
      </c>
      <c r="H14" s="470">
        <v>0</v>
      </c>
      <c r="I14" s="470">
        <v>0</v>
      </c>
      <c r="J14" s="470">
        <v>-301</v>
      </c>
      <c r="K14" s="18"/>
      <c r="L14" s="18" t="str">
        <f t="shared" si="1"/>
        <v>2</v>
      </c>
      <c r="M14" s="18" t="str">
        <f>INDEX(Chapter,MATCH(L14,Chapter!$A$1:$A$681,0),8)</f>
        <v>שירותים מקומיים</v>
      </c>
      <c r="N14" s="18" t="str">
        <f t="shared" si="2"/>
        <v>21</v>
      </c>
      <c r="O14" s="18" t="str">
        <f>INDEX(Chapter,MATCH(N14,Chapter!$A$1:$A$681,0),8)</f>
        <v>תברואה</v>
      </c>
      <c r="P14" s="18" t="str">
        <f t="shared" si="3"/>
        <v>212</v>
      </c>
      <c r="Q14" s="18" t="str">
        <f>INDEX(Chapter,MATCH(P14,Chapter!$A$1:$A$681,0),8)</f>
        <v>שירותי ניקיון</v>
      </c>
      <c r="R14" s="18" t="str">
        <f t="shared" si="4"/>
        <v>2123</v>
      </c>
      <c r="S14" s="18" t="str">
        <f>INDEX(Chapter,MATCH(R14,Chapter!$A$1:$A$681,0),8)</f>
        <v>אסוף ובעור אשפה</v>
      </c>
      <c r="T14" s="18"/>
      <c r="U14" s="18" t="str">
        <f t="shared" si="5"/>
        <v>4</v>
      </c>
      <c r="V14" s="18" t="str">
        <f>IF($L14&lt;"6",INDEX(Revenue_type,MATCH(U14*1,type!$A$118:$A$168,0),8),INDEX(Expenditure_type,MATCH(U14*1,type!$A$2:$A$117,0),8))</f>
        <v>שירותים ושכר לימוד</v>
      </c>
      <c r="W14" s="18" t="str">
        <f t="shared" si="6"/>
        <v>41</v>
      </c>
      <c r="X14" s="18" t="str">
        <f>IF($L14&lt;"6",INDEX(Revenue_type,MATCH(W14*1,type!$A$118:$A$168,0),8),INDEX(Expenditure_type,MATCH(W14*1,type!$A$2:$A$117,0),8))</f>
        <v>שכל"מ מתושבים</v>
      </c>
      <c r="Y14" s="18" t="str">
        <f t="shared" si="7"/>
        <v>410</v>
      </c>
      <c r="Z14" s="18" t="e">
        <f>IF($L14&lt;"6",INDEX(Revenue_type,MATCH(Y14*1,type!$A$118:$A$168,0),8),INDEX(Expenditure_type,MATCH(Y14*1,type!$A$2:$A$117,0),8))</f>
        <v>#N/A</v>
      </c>
    </row>
    <row r="15" spans="1:26" ht="15.75" hidden="1" customHeight="1">
      <c r="A15" s="482">
        <v>210</v>
      </c>
      <c r="B15" s="485" t="s">
        <v>7649</v>
      </c>
      <c r="C15">
        <v>1</v>
      </c>
      <c r="D15" t="str">
        <f t="shared" si="0"/>
        <v>1213000.210</v>
      </c>
      <c r="E15" s="492" t="s">
        <v>7699</v>
      </c>
      <c r="H15" s="470">
        <v>-579000</v>
      </c>
      <c r="I15" s="470">
        <v>-579000</v>
      </c>
      <c r="J15" s="470">
        <v>-470126</v>
      </c>
      <c r="K15" s="18"/>
      <c r="L15" s="18" t="str">
        <f t="shared" si="1"/>
        <v>2</v>
      </c>
      <c r="M15" s="18" t="str">
        <f>INDEX(Chapter,MATCH(L15,Chapter!$A$1:$A$681,0),8)</f>
        <v>שירותים מקומיים</v>
      </c>
      <c r="N15" s="18" t="str">
        <f t="shared" si="2"/>
        <v>21</v>
      </c>
      <c r="O15" s="18" t="str">
        <f>INDEX(Chapter,MATCH(N15,Chapter!$A$1:$A$681,0),8)</f>
        <v>תברואה</v>
      </c>
      <c r="P15" s="18" t="str">
        <f t="shared" si="3"/>
        <v>213</v>
      </c>
      <c r="Q15" s="18" t="str">
        <f>INDEX(Chapter,MATCH(P15,Chapter!$A$1:$A$681,0),8)</f>
        <v>פיקוח תברואי</v>
      </c>
      <c r="R15" s="18" t="str">
        <f t="shared" si="4"/>
        <v>2130</v>
      </c>
      <c r="S15" s="18" t="e">
        <f>INDEX(Chapter,MATCH(R15,Chapter!$A$1:$A$681,0),8)</f>
        <v>#N/A</v>
      </c>
      <c r="T15" s="18"/>
      <c r="U15" s="18" t="str">
        <f t="shared" si="5"/>
        <v>2</v>
      </c>
      <c r="V15" s="18" t="str">
        <f>IF($L15&lt;"6",INDEX(Revenue_type,MATCH(U15*1,type!$A$118:$A$168,0),8),INDEX(Expenditure_type,MATCH(U15*1,type!$A$2:$A$117,0),8))</f>
        <v>אגרות</v>
      </c>
      <c r="W15" s="18" t="str">
        <f t="shared" si="6"/>
        <v>21</v>
      </c>
      <c r="X15" s="18" t="str">
        <f>IF($L15&lt;"6",INDEX(Revenue_type,MATCH(W15*1,type!$A$118:$A$168,0),8),INDEX(Expenditure_type,MATCH(W15*1,type!$A$2:$A$117,0),8))</f>
        <v>אגרות מים וביוב</v>
      </c>
      <c r="Y15" s="18" t="str">
        <f t="shared" si="7"/>
        <v>210</v>
      </c>
      <c r="Z15" s="18" t="e">
        <f>IF($L15&lt;"6",INDEX(Revenue_type,MATCH(Y15*1,type!$A$118:$A$168,0),8),INDEX(Expenditure_type,MATCH(Y15*1,type!$A$2:$A$117,0),8))</f>
        <v>#N/A</v>
      </c>
    </row>
    <row r="16" spans="1:26" ht="15.75" hidden="1" customHeight="1">
      <c r="A16" s="482">
        <v>270</v>
      </c>
      <c r="B16" s="485" t="s">
        <v>7649</v>
      </c>
      <c r="C16">
        <v>1</v>
      </c>
      <c r="D16" t="str">
        <f t="shared" si="0"/>
        <v>1213000.270</v>
      </c>
      <c r="E16" s="492" t="s">
        <v>7700</v>
      </c>
      <c r="H16" s="470">
        <v>-600000</v>
      </c>
      <c r="I16" s="470">
        <v>-480000</v>
      </c>
      <c r="J16" s="470">
        <v>-567051</v>
      </c>
      <c r="K16" s="18"/>
      <c r="L16" s="18" t="str">
        <f t="shared" si="1"/>
        <v>2</v>
      </c>
      <c r="M16" s="18" t="str">
        <f>INDEX(Chapter,MATCH(L16,Chapter!$A$1:$A$681,0),8)</f>
        <v>שירותים מקומיים</v>
      </c>
      <c r="N16" s="18" t="str">
        <f t="shared" si="2"/>
        <v>21</v>
      </c>
      <c r="O16" s="18" t="str">
        <f>INDEX(Chapter,MATCH(N16,Chapter!$A$1:$A$681,0),8)</f>
        <v>תברואה</v>
      </c>
      <c r="P16" s="18" t="str">
        <f t="shared" si="3"/>
        <v>213</v>
      </c>
      <c r="Q16" s="18" t="str">
        <f>INDEX(Chapter,MATCH(P16,Chapter!$A$1:$A$681,0),8)</f>
        <v>פיקוח תברואי</v>
      </c>
      <c r="R16" s="18" t="str">
        <f t="shared" si="4"/>
        <v>2130</v>
      </c>
      <c r="S16" s="18" t="e">
        <f>INDEX(Chapter,MATCH(R16,Chapter!$A$1:$A$681,0),8)</f>
        <v>#N/A</v>
      </c>
      <c r="T16" s="18"/>
      <c r="U16" s="18" t="str">
        <f t="shared" si="5"/>
        <v>2</v>
      </c>
      <c r="V16" s="18" t="str">
        <f>IF($L16&lt;"6",INDEX(Revenue_type,MATCH(U16*1,type!$A$118:$A$168,0),8),INDEX(Expenditure_type,MATCH(U16*1,type!$A$2:$A$117,0),8))</f>
        <v>אגרות</v>
      </c>
      <c r="W16" s="18" t="str">
        <f t="shared" si="6"/>
        <v>27</v>
      </c>
      <c r="X16" s="18" t="e">
        <f>IF($L16&lt;"6",INDEX(Revenue_type,MATCH(W16*1,type!$A$118:$A$168,0),8),INDEX(Expenditure_type,MATCH(W16*1,type!$A$2:$A$117,0),8))</f>
        <v>#N/A</v>
      </c>
      <c r="Y16" s="18" t="str">
        <f t="shared" si="7"/>
        <v>270</v>
      </c>
      <c r="Z16" s="18" t="e">
        <f>IF($L16&lt;"6",INDEX(Revenue_type,MATCH(Y16*1,type!$A$118:$A$168,0),8),INDEX(Expenditure_type,MATCH(Y16*1,type!$A$2:$A$117,0),8))</f>
        <v>#N/A</v>
      </c>
    </row>
    <row r="17" spans="1:26" ht="15.75" hidden="1" customHeight="1">
      <c r="A17" s="482">
        <v>290</v>
      </c>
      <c r="B17" s="485" t="s">
        <v>7649</v>
      </c>
      <c r="C17">
        <v>1</v>
      </c>
      <c r="D17" t="str">
        <f t="shared" si="0"/>
        <v>1213000.290</v>
      </c>
      <c r="E17" s="492" t="s">
        <v>7701</v>
      </c>
      <c r="H17" s="470">
        <v>-100000</v>
      </c>
      <c r="I17" s="470">
        <v>-36400</v>
      </c>
      <c r="J17" s="470">
        <v>-110300</v>
      </c>
      <c r="K17" s="18"/>
      <c r="L17" s="18" t="str">
        <f t="shared" si="1"/>
        <v>2</v>
      </c>
      <c r="M17" s="18" t="str">
        <f>INDEX(Chapter,MATCH(L17,Chapter!$A$1:$A$681,0),8)</f>
        <v>שירותים מקומיים</v>
      </c>
      <c r="N17" s="18" t="str">
        <f t="shared" si="2"/>
        <v>21</v>
      </c>
      <c r="O17" s="18" t="str">
        <f>INDEX(Chapter,MATCH(N17,Chapter!$A$1:$A$681,0),8)</f>
        <v>תברואה</v>
      </c>
      <c r="P17" s="18" t="str">
        <f t="shared" si="3"/>
        <v>213</v>
      </c>
      <c r="Q17" s="18" t="str">
        <f>INDEX(Chapter,MATCH(P17,Chapter!$A$1:$A$681,0),8)</f>
        <v>פיקוח תברואי</v>
      </c>
      <c r="R17" s="18" t="str">
        <f t="shared" si="4"/>
        <v>2130</v>
      </c>
      <c r="S17" s="18" t="e">
        <f>INDEX(Chapter,MATCH(R17,Chapter!$A$1:$A$681,0),8)</f>
        <v>#N/A</v>
      </c>
      <c r="T17" s="18"/>
      <c r="U17" s="18" t="str">
        <f t="shared" si="5"/>
        <v>2</v>
      </c>
      <c r="V17" s="18" t="str">
        <f>IF($L17&lt;"6",INDEX(Revenue_type,MATCH(U17*1,type!$A$118:$A$168,0),8),INDEX(Expenditure_type,MATCH(U17*1,type!$A$2:$A$117,0),8))</f>
        <v>אגרות</v>
      </c>
      <c r="W17" s="18" t="str">
        <f t="shared" si="6"/>
        <v>29</v>
      </c>
      <c r="X17" s="18" t="str">
        <f>IF($L17&lt;"6",INDEX(Revenue_type,MATCH(W17*1,type!$A$118:$A$168,0),8),INDEX(Expenditure_type,MATCH(W17*1,type!$A$2:$A$117,0),8))</f>
        <v>אגרות אחרות</v>
      </c>
      <c r="Y17" s="18" t="str">
        <f t="shared" si="7"/>
        <v>290</v>
      </c>
      <c r="Z17" s="18" t="e">
        <f>IF($L17&lt;"6",INDEX(Revenue_type,MATCH(Y17*1,type!$A$118:$A$168,0),8),INDEX(Expenditure_type,MATCH(Y17*1,type!$A$2:$A$117,0),8))</f>
        <v>#N/A</v>
      </c>
    </row>
    <row r="18" spans="1:26" ht="15.75" hidden="1" customHeight="1">
      <c r="A18" s="482">
        <v>210</v>
      </c>
      <c r="B18" s="485" t="s">
        <v>7650</v>
      </c>
      <c r="C18">
        <v>1</v>
      </c>
      <c r="D18" t="str">
        <f t="shared" si="0"/>
        <v>1214100.210</v>
      </c>
      <c r="E18" s="492" t="s">
        <v>7702</v>
      </c>
      <c r="H18" s="470">
        <v>-350000</v>
      </c>
      <c r="I18" s="470">
        <v>-350000</v>
      </c>
      <c r="J18" s="470">
        <v>-339454</v>
      </c>
      <c r="K18" s="18"/>
      <c r="L18" s="18" t="str">
        <f t="shared" si="1"/>
        <v>2</v>
      </c>
      <c r="M18" s="18" t="str">
        <f>INDEX(Chapter,MATCH(L18,Chapter!$A$1:$A$681,0),8)</f>
        <v>שירותים מקומיים</v>
      </c>
      <c r="N18" s="18" t="str">
        <f t="shared" si="2"/>
        <v>21</v>
      </c>
      <c r="O18" s="18" t="str">
        <f>INDEX(Chapter,MATCH(N18,Chapter!$A$1:$A$681,0),8)</f>
        <v>תברואה</v>
      </c>
      <c r="P18" s="18" t="str">
        <f t="shared" si="3"/>
        <v>214</v>
      </c>
      <c r="Q18" s="18" t="str">
        <f>INDEX(Chapter,MATCH(P18,Chapter!$A$1:$A$681,0),8)</f>
        <v>שרות וטרינרי</v>
      </c>
      <c r="R18" s="18" t="str">
        <f t="shared" si="4"/>
        <v>2141</v>
      </c>
      <c r="S18" s="18" t="str">
        <f>INDEX(Chapter,MATCH(R18,Chapter!$A$1:$A$681,0),8)</f>
        <v>מינהל שרות וטרינרי</v>
      </c>
      <c r="T18" s="18"/>
      <c r="U18" s="18" t="str">
        <f t="shared" si="5"/>
        <v>2</v>
      </c>
      <c r="V18" s="18" t="str">
        <f>IF($L18&lt;"6",INDEX(Revenue_type,MATCH(U18*1,type!$A$118:$A$168,0),8),INDEX(Expenditure_type,MATCH(U18*1,type!$A$2:$A$117,0),8))</f>
        <v>אגרות</v>
      </c>
      <c r="W18" s="18" t="str">
        <f t="shared" si="6"/>
        <v>21</v>
      </c>
      <c r="X18" s="18" t="str">
        <f>IF($L18&lt;"6",INDEX(Revenue_type,MATCH(W18*1,type!$A$118:$A$168,0),8),INDEX(Expenditure_type,MATCH(W18*1,type!$A$2:$A$117,0),8))</f>
        <v>אגרות מים וביוב</v>
      </c>
      <c r="Y18" s="18" t="str">
        <f t="shared" si="7"/>
        <v>210</v>
      </c>
      <c r="Z18" s="18" t="e">
        <f>IF($L18&lt;"6",INDEX(Revenue_type,MATCH(Y18*1,type!$A$118:$A$168,0),8),INDEX(Expenditure_type,MATCH(Y18*1,type!$A$2:$A$117,0),8))</f>
        <v>#N/A</v>
      </c>
    </row>
    <row r="19" spans="1:26" ht="15.75" hidden="1" customHeight="1">
      <c r="A19" s="482">
        <v>410</v>
      </c>
      <c r="B19" s="485" t="s">
        <v>7650</v>
      </c>
      <c r="C19">
        <v>1</v>
      </c>
      <c r="D19" t="str">
        <f t="shared" si="0"/>
        <v>1214100.410</v>
      </c>
      <c r="E19" s="492" t="s">
        <v>7703</v>
      </c>
      <c r="H19" s="470">
        <v>-363000</v>
      </c>
      <c r="I19" s="470">
        <v>-363000</v>
      </c>
      <c r="J19" s="470">
        <v>-206896</v>
      </c>
      <c r="K19" s="18"/>
      <c r="L19" s="18" t="str">
        <f t="shared" si="1"/>
        <v>2</v>
      </c>
      <c r="M19" s="18" t="str">
        <f>INDEX(Chapter,MATCH(L19,Chapter!$A$1:$A$681,0),8)</f>
        <v>שירותים מקומיים</v>
      </c>
      <c r="N19" s="18" t="str">
        <f t="shared" si="2"/>
        <v>21</v>
      </c>
      <c r="O19" s="18" t="str">
        <f>INDEX(Chapter,MATCH(N19,Chapter!$A$1:$A$681,0),8)</f>
        <v>תברואה</v>
      </c>
      <c r="P19" s="18" t="str">
        <f t="shared" si="3"/>
        <v>214</v>
      </c>
      <c r="Q19" s="18" t="str">
        <f>INDEX(Chapter,MATCH(P19,Chapter!$A$1:$A$681,0),8)</f>
        <v>שרות וטרינרי</v>
      </c>
      <c r="R19" s="18" t="str">
        <f t="shared" si="4"/>
        <v>2141</v>
      </c>
      <c r="S19" s="18" t="str">
        <f>INDEX(Chapter,MATCH(R19,Chapter!$A$1:$A$681,0),8)</f>
        <v>מינהל שרות וטרינרי</v>
      </c>
      <c r="T19" s="18"/>
      <c r="U19" s="18" t="str">
        <f t="shared" si="5"/>
        <v>4</v>
      </c>
      <c r="V19" s="18" t="str">
        <f>IF($L19&lt;"6",INDEX(Revenue_type,MATCH(U19*1,type!$A$118:$A$168,0),8),INDEX(Expenditure_type,MATCH(U19*1,type!$A$2:$A$117,0),8))</f>
        <v>שירותים ושכר לימוד</v>
      </c>
      <c r="W19" s="18" t="str">
        <f t="shared" si="6"/>
        <v>41</v>
      </c>
      <c r="X19" s="18" t="str">
        <f>IF($L19&lt;"6",INDEX(Revenue_type,MATCH(W19*1,type!$A$118:$A$168,0),8),INDEX(Expenditure_type,MATCH(W19*1,type!$A$2:$A$117,0),8))</f>
        <v>שכל"מ מתושבים</v>
      </c>
      <c r="Y19" s="18" t="str">
        <f t="shared" si="7"/>
        <v>410</v>
      </c>
      <c r="Z19" s="18" t="e">
        <f>IF($L19&lt;"6",INDEX(Revenue_type,MATCH(Y19*1,type!$A$118:$A$168,0),8),INDEX(Expenditure_type,MATCH(Y19*1,type!$A$2:$A$117,0),8))</f>
        <v>#N/A</v>
      </c>
    </row>
    <row r="20" spans="1:26" ht="15.75" hidden="1" customHeight="1">
      <c r="A20" s="482">
        <v>440</v>
      </c>
      <c r="B20" s="485" t="s">
        <v>7650</v>
      </c>
      <c r="C20">
        <v>1</v>
      </c>
      <c r="D20" t="str">
        <f t="shared" si="0"/>
        <v>1214100.440</v>
      </c>
      <c r="E20" s="492" t="s">
        <v>7704</v>
      </c>
      <c r="H20" s="470">
        <v>-307000</v>
      </c>
      <c r="I20" s="470">
        <v>-307000</v>
      </c>
      <c r="J20" s="470">
        <v>-227836</v>
      </c>
      <c r="K20" s="18"/>
      <c r="L20" s="18" t="str">
        <f t="shared" si="1"/>
        <v>2</v>
      </c>
      <c r="M20" s="18" t="str">
        <f>INDEX(Chapter,MATCH(L20,Chapter!$A$1:$A$681,0),8)</f>
        <v>שירותים מקומיים</v>
      </c>
      <c r="N20" s="18" t="str">
        <f t="shared" si="2"/>
        <v>21</v>
      </c>
      <c r="O20" s="18" t="str">
        <f>INDEX(Chapter,MATCH(N20,Chapter!$A$1:$A$681,0),8)</f>
        <v>תברואה</v>
      </c>
      <c r="P20" s="18" t="str">
        <f t="shared" si="3"/>
        <v>214</v>
      </c>
      <c r="Q20" s="18" t="str">
        <f>INDEX(Chapter,MATCH(P20,Chapter!$A$1:$A$681,0),8)</f>
        <v>שרות וטרינרי</v>
      </c>
      <c r="R20" s="18" t="str">
        <f t="shared" si="4"/>
        <v>2141</v>
      </c>
      <c r="S20" s="18" t="str">
        <f>INDEX(Chapter,MATCH(R20,Chapter!$A$1:$A$681,0),8)</f>
        <v>מינהל שרות וטרינרי</v>
      </c>
      <c r="T20" s="18"/>
      <c r="U20" s="18" t="str">
        <f t="shared" si="5"/>
        <v>4</v>
      </c>
      <c r="V20" s="18" t="str">
        <f>IF($L20&lt;"6",INDEX(Revenue_type,MATCH(U20*1,type!$A$118:$A$168,0),8),INDEX(Expenditure_type,MATCH(U20*1,type!$A$2:$A$117,0),8))</f>
        <v>שירותים ושכר לימוד</v>
      </c>
      <c r="W20" s="18" t="str">
        <f t="shared" si="6"/>
        <v>44</v>
      </c>
      <c r="X20" s="18" t="str">
        <f>IF($L20&lt;"6",INDEX(Revenue_type,MATCH(W20*1,type!$A$118:$A$168,0),8),INDEX(Expenditure_type,MATCH(W20*1,type!$A$2:$A$117,0),8))</f>
        <v>השתתפויות מוסדות ורשויות בשירותים משלימים</v>
      </c>
      <c r="Y20" s="18" t="str">
        <f t="shared" si="7"/>
        <v>440</v>
      </c>
      <c r="Z20" s="18" t="e">
        <f>IF($L20&lt;"6",INDEX(Revenue_type,MATCH(Y20*1,type!$A$118:$A$168,0),8),INDEX(Expenditure_type,MATCH(Y20*1,type!$A$2:$A$117,0),8))</f>
        <v>#N/A</v>
      </c>
    </row>
    <row r="21" spans="1:26" ht="15.75" hidden="1" customHeight="1">
      <c r="A21" s="482">
        <v>410</v>
      </c>
      <c r="B21" s="485">
        <v>214105</v>
      </c>
      <c r="C21">
        <v>1</v>
      </c>
      <c r="D21" t="str">
        <f t="shared" si="0"/>
        <v>1214105.410</v>
      </c>
      <c r="E21" s="492" t="s">
        <v>7705</v>
      </c>
      <c r="H21" s="470">
        <v>-532500</v>
      </c>
      <c r="I21" s="470">
        <v>-532500</v>
      </c>
      <c r="J21" s="470">
        <v>-716524</v>
      </c>
      <c r="K21" s="18"/>
      <c r="L21" s="18" t="str">
        <f t="shared" si="1"/>
        <v>2</v>
      </c>
      <c r="M21" s="18" t="str">
        <f>INDEX(Chapter,MATCH(L21,Chapter!$A$1:$A$681,0),8)</f>
        <v>שירותים מקומיים</v>
      </c>
      <c r="N21" s="18" t="str">
        <f t="shared" si="2"/>
        <v>21</v>
      </c>
      <c r="O21" s="18" t="str">
        <f>INDEX(Chapter,MATCH(N21,Chapter!$A$1:$A$681,0),8)</f>
        <v>תברואה</v>
      </c>
      <c r="P21" s="18" t="str">
        <f t="shared" si="3"/>
        <v>214</v>
      </c>
      <c r="Q21" s="18" t="str">
        <f>INDEX(Chapter,MATCH(P21,Chapter!$A$1:$A$681,0),8)</f>
        <v>שרות וטרינרי</v>
      </c>
      <c r="R21" s="18" t="str">
        <f t="shared" si="4"/>
        <v>2141</v>
      </c>
      <c r="S21" s="18" t="str">
        <f>INDEX(Chapter,MATCH(R21,Chapter!$A$1:$A$681,0),8)</f>
        <v>מינהל שרות וטרינרי</v>
      </c>
      <c r="T21" s="18"/>
      <c r="U21" s="18" t="str">
        <f t="shared" si="5"/>
        <v>4</v>
      </c>
      <c r="V21" s="18" t="str">
        <f>IF($L21&lt;"6",INDEX(Revenue_type,MATCH(U21*1,type!$A$118:$A$168,0),8),INDEX(Expenditure_type,MATCH(U21*1,type!$A$2:$A$117,0),8))</f>
        <v>שירותים ושכר לימוד</v>
      </c>
      <c r="W21" s="18" t="str">
        <f t="shared" si="6"/>
        <v>41</v>
      </c>
      <c r="X21" s="18" t="str">
        <f>IF($L21&lt;"6",INDEX(Revenue_type,MATCH(W21*1,type!$A$118:$A$168,0),8),INDEX(Expenditure_type,MATCH(W21*1,type!$A$2:$A$117,0),8))</f>
        <v>שכל"מ מתושבים</v>
      </c>
      <c r="Y21" s="18" t="str">
        <f t="shared" si="7"/>
        <v>410</v>
      </c>
      <c r="Z21" s="18" t="e">
        <f>IF($L21&lt;"6",INDEX(Revenue_type,MATCH(Y21*1,type!$A$118:$A$168,0),8),INDEX(Expenditure_type,MATCH(Y21*1,type!$A$2:$A$117,0),8))</f>
        <v>#N/A</v>
      </c>
    </row>
    <row r="22" spans="1:26" ht="15.75" hidden="1" customHeight="1">
      <c r="A22" s="482">
        <v>210</v>
      </c>
      <c r="B22" s="485" t="s">
        <v>7651</v>
      </c>
      <c r="C22">
        <v>1</v>
      </c>
      <c r="D22" t="str">
        <f t="shared" si="0"/>
        <v>1214300.210</v>
      </c>
      <c r="E22" s="492" t="s">
        <v>7706</v>
      </c>
      <c r="H22" s="470">
        <v>-1127500</v>
      </c>
      <c r="I22" s="470">
        <v>-1127500</v>
      </c>
      <c r="J22" s="470">
        <v>-1145924</v>
      </c>
      <c r="K22" s="18"/>
      <c r="L22" s="18" t="str">
        <f t="shared" si="1"/>
        <v>2</v>
      </c>
      <c r="M22" s="18" t="str">
        <f>INDEX(Chapter,MATCH(L22,Chapter!$A$1:$A$681,0),8)</f>
        <v>שירותים מקומיים</v>
      </c>
      <c r="N22" s="18" t="str">
        <f t="shared" si="2"/>
        <v>21</v>
      </c>
      <c r="O22" s="18" t="str">
        <f>INDEX(Chapter,MATCH(N22,Chapter!$A$1:$A$681,0),8)</f>
        <v>תברואה</v>
      </c>
      <c r="P22" s="18" t="str">
        <f t="shared" si="3"/>
        <v>214</v>
      </c>
      <c r="Q22" s="18" t="str">
        <f>INDEX(Chapter,MATCH(P22,Chapter!$A$1:$A$681,0),8)</f>
        <v>שרות וטרינרי</v>
      </c>
      <c r="R22" s="18" t="str">
        <f t="shared" si="4"/>
        <v>2143</v>
      </c>
      <c r="S22" s="18" t="str">
        <f>INDEX(Chapter,MATCH(R22,Chapter!$A$1:$A$681,0),8)</f>
        <v>מלחמה בכלבת</v>
      </c>
      <c r="T22" s="18"/>
      <c r="U22" s="18" t="str">
        <f t="shared" si="5"/>
        <v>2</v>
      </c>
      <c r="V22" s="18" t="str">
        <f>IF($L22&lt;"6",INDEX(Revenue_type,MATCH(U22*1,type!$A$118:$A$168,0),8),INDEX(Expenditure_type,MATCH(U22*1,type!$A$2:$A$117,0),8))</f>
        <v>אגרות</v>
      </c>
      <c r="W22" s="18" t="str">
        <f t="shared" si="6"/>
        <v>21</v>
      </c>
      <c r="X22" s="18" t="str">
        <f>IF($L22&lt;"6",INDEX(Revenue_type,MATCH(W22*1,type!$A$118:$A$168,0),8),INDEX(Expenditure_type,MATCH(W22*1,type!$A$2:$A$117,0),8))</f>
        <v>אגרות מים וביוב</v>
      </c>
      <c r="Y22" s="18" t="str">
        <f t="shared" si="7"/>
        <v>210</v>
      </c>
      <c r="Z22" s="18" t="e">
        <f>IF($L22&lt;"6",INDEX(Revenue_type,MATCH(Y22*1,type!$A$118:$A$168,0),8),INDEX(Expenditure_type,MATCH(Y22*1,type!$A$2:$A$117,0),8))</f>
        <v>#N/A</v>
      </c>
    </row>
    <row r="23" spans="1:26" ht="15.75" hidden="1" customHeight="1">
      <c r="A23" s="482">
        <v>410</v>
      </c>
      <c r="B23" s="485" t="s">
        <v>7650</v>
      </c>
      <c r="C23">
        <v>1</v>
      </c>
      <c r="D23" t="str">
        <f t="shared" si="0"/>
        <v>1214100.410</v>
      </c>
      <c r="E23" s="492" t="s">
        <v>7707</v>
      </c>
      <c r="H23" s="470">
        <v>-166000</v>
      </c>
      <c r="I23" s="470">
        <v>-166000</v>
      </c>
      <c r="J23" s="470">
        <v>-187595</v>
      </c>
      <c r="K23" s="18"/>
      <c r="L23" s="18" t="str">
        <f t="shared" si="1"/>
        <v>2</v>
      </c>
      <c r="M23" s="18" t="str">
        <f>INDEX(Chapter,MATCH(L23,Chapter!$A$1:$A$681,0),8)</f>
        <v>שירותים מקומיים</v>
      </c>
      <c r="N23" s="18" t="str">
        <f t="shared" si="2"/>
        <v>21</v>
      </c>
      <c r="O23" s="18" t="str">
        <f>INDEX(Chapter,MATCH(N23,Chapter!$A$1:$A$681,0),8)</f>
        <v>תברואה</v>
      </c>
      <c r="P23" s="18" t="str">
        <f t="shared" si="3"/>
        <v>214</v>
      </c>
      <c r="Q23" s="18" t="str">
        <f>INDEX(Chapter,MATCH(P23,Chapter!$A$1:$A$681,0),8)</f>
        <v>שרות וטרינרי</v>
      </c>
      <c r="R23" s="18" t="str">
        <f t="shared" si="4"/>
        <v>2141</v>
      </c>
      <c r="S23" s="18" t="str">
        <f>INDEX(Chapter,MATCH(R23,Chapter!$A$1:$A$681,0),8)</f>
        <v>מינהל שרות וטרינרי</v>
      </c>
      <c r="T23" s="18"/>
      <c r="U23" s="18" t="str">
        <f t="shared" si="5"/>
        <v>4</v>
      </c>
      <c r="V23" s="18" t="str">
        <f>IF($L23&lt;"6",INDEX(Revenue_type,MATCH(U23*1,type!$A$118:$A$168,0),8),INDEX(Expenditure_type,MATCH(U23*1,type!$A$2:$A$117,0),8))</f>
        <v>שירותים ושכר לימוד</v>
      </c>
      <c r="W23" s="18" t="str">
        <f t="shared" si="6"/>
        <v>41</v>
      </c>
      <c r="X23" s="18" t="str">
        <f>IF($L23&lt;"6",INDEX(Revenue_type,MATCH(W23*1,type!$A$118:$A$168,0),8),INDEX(Expenditure_type,MATCH(W23*1,type!$A$2:$A$117,0),8))</f>
        <v>שכל"מ מתושבים</v>
      </c>
      <c r="Y23" s="18" t="str">
        <f t="shared" si="7"/>
        <v>410</v>
      </c>
      <c r="Z23" s="18" t="e">
        <f>IF($L23&lt;"6",INDEX(Revenue_type,MATCH(Y23*1,type!$A$118:$A$168,0),8),INDEX(Expenditure_type,MATCH(Y23*1,type!$A$2:$A$117,0),8))</f>
        <v>#N/A</v>
      </c>
    </row>
    <row r="24" spans="1:26" ht="15.75" hidden="1" customHeight="1">
      <c r="A24" s="482">
        <v>910</v>
      </c>
      <c r="B24" s="485" t="s">
        <v>7644</v>
      </c>
      <c r="C24">
        <v>1</v>
      </c>
      <c r="D24" t="str">
        <f t="shared" si="0"/>
        <v>1222100.910</v>
      </c>
      <c r="E24" s="492" t="s">
        <v>7708</v>
      </c>
      <c r="H24" s="470">
        <v>-62000</v>
      </c>
      <c r="I24" s="470">
        <v>-62000</v>
      </c>
      <c r="J24" s="470">
        <v>-24906</v>
      </c>
      <c r="K24" s="18"/>
      <c r="L24" s="18" t="str">
        <f t="shared" si="1"/>
        <v>2</v>
      </c>
      <c r="M24" s="18" t="str">
        <f>INDEX(Chapter,MATCH(L24,Chapter!$A$1:$A$681,0),8)</f>
        <v>שירותים מקומיים</v>
      </c>
      <c r="N24" s="18" t="str">
        <f t="shared" si="2"/>
        <v>22</v>
      </c>
      <c r="O24" s="18" t="str">
        <f>INDEX(Chapter,MATCH(N24,Chapter!$A$1:$A$681,0),8)</f>
        <v>שמירה ובטחון</v>
      </c>
      <c r="P24" s="18" t="str">
        <f t="shared" si="3"/>
        <v>222</v>
      </c>
      <c r="Q24" s="18" t="str">
        <f>INDEX(Chapter,MATCH(P24,Chapter!$A$1:$A$681,0),8)</f>
        <v>שמירה ביטחונית</v>
      </c>
      <c r="R24" s="18" t="str">
        <f t="shared" si="4"/>
        <v>2221</v>
      </c>
      <c r="S24" s="18" t="str">
        <f>INDEX(Chapter,MATCH(R24,Chapter!$A$1:$A$681,0),8)</f>
        <v>משמר אזרחי</v>
      </c>
      <c r="T24" s="18"/>
      <c r="U24" s="18" t="str">
        <f t="shared" si="5"/>
        <v>9</v>
      </c>
      <c r="V24" s="18" t="str">
        <f>IF($L24&lt;"6",INDEX(Revenue_type,MATCH(U24*1,type!$A$118:$A$168,0),8),INDEX(Expenditure_type,MATCH(U24*1,type!$A$2:$A$117,0),8))</f>
        <v>השתתפות משרדי ממשלה</v>
      </c>
      <c r="W24" s="18" t="str">
        <f t="shared" si="6"/>
        <v>91</v>
      </c>
      <c r="X24" s="18" t="str">
        <f>IF($L24&lt;"6",INDEX(Revenue_type,MATCH(W24*1,type!$A$118:$A$168,0),8),INDEX(Expenditure_type,MATCH(W24*1,type!$A$2:$A$117,0),8))</f>
        <v>השתתפות משרד הפנים</v>
      </c>
      <c r="Y24" s="18" t="str">
        <f t="shared" si="7"/>
        <v>910</v>
      </c>
      <c r="Z24" s="18" t="e">
        <f>IF($L24&lt;"6",INDEX(Revenue_type,MATCH(Y24*1,type!$A$118:$A$168,0),8),INDEX(Expenditure_type,MATCH(Y24*1,type!$A$2:$A$117,0),8))</f>
        <v>#N/A</v>
      </c>
    </row>
    <row r="25" spans="1:26" ht="15.75" hidden="1" customHeight="1">
      <c r="A25" s="482">
        <v>920</v>
      </c>
      <c r="B25" s="485" t="s">
        <v>7652</v>
      </c>
      <c r="C25">
        <v>1</v>
      </c>
      <c r="D25" t="str">
        <f t="shared" si="0"/>
        <v>1227000.920</v>
      </c>
      <c r="E25" s="492" t="s">
        <v>7709</v>
      </c>
      <c r="H25" s="470">
        <v>-802000</v>
      </c>
      <c r="I25" s="470">
        <v>-802000</v>
      </c>
      <c r="J25" s="470">
        <v>-838120</v>
      </c>
      <c r="K25" s="18"/>
      <c r="L25" s="18" t="str">
        <f t="shared" si="1"/>
        <v>2</v>
      </c>
      <c r="M25" s="18" t="str">
        <f>INDEX(Chapter,MATCH(L25,Chapter!$A$1:$A$681,0),8)</f>
        <v>שירותים מקומיים</v>
      </c>
      <c r="N25" s="18" t="str">
        <f t="shared" si="2"/>
        <v>22</v>
      </c>
      <c r="O25" s="18" t="str">
        <f>INDEX(Chapter,MATCH(N25,Chapter!$A$1:$A$681,0),8)</f>
        <v>שמירה ובטחון</v>
      </c>
      <c r="P25" s="18" t="str">
        <f t="shared" si="3"/>
        <v>227</v>
      </c>
      <c r="Q25" s="18" t="str">
        <f>INDEX(Chapter,MATCH(P25,Chapter!$A$1:$A$681,0),8)</f>
        <v>הגמ״ר</v>
      </c>
      <c r="R25" s="18" t="str">
        <f t="shared" si="4"/>
        <v>2270</v>
      </c>
      <c r="S25" s="18" t="e">
        <f>INDEX(Chapter,MATCH(R25,Chapter!$A$1:$A$681,0),8)</f>
        <v>#N/A</v>
      </c>
      <c r="T25" s="18"/>
      <c r="U25" s="18" t="str">
        <f t="shared" si="5"/>
        <v>9</v>
      </c>
      <c r="V25" s="18" t="str">
        <f>IF($L25&lt;"6",INDEX(Revenue_type,MATCH(U25*1,type!$A$118:$A$168,0),8),INDEX(Expenditure_type,MATCH(U25*1,type!$A$2:$A$117,0),8))</f>
        <v>השתתפות משרדי ממשלה</v>
      </c>
      <c r="W25" s="18" t="str">
        <f t="shared" si="6"/>
        <v>92</v>
      </c>
      <c r="X25" s="18" t="str">
        <f>IF($L25&lt;"6",INDEX(Revenue_type,MATCH(W25*1,type!$A$118:$A$168,0),8),INDEX(Expenditure_type,MATCH(W25*1,type!$A$2:$A$117,0),8))</f>
        <v>השתתפות משרד החינוך והתרבות</v>
      </c>
      <c r="Y25" s="18" t="str">
        <f t="shared" si="7"/>
        <v>920</v>
      </c>
      <c r="Z25" s="18" t="e">
        <f>IF($L25&lt;"6",INDEX(Revenue_type,MATCH(Y25*1,type!$A$118:$A$168,0),8),INDEX(Expenditure_type,MATCH(Y25*1,type!$A$2:$A$117,0),8))</f>
        <v>#N/A</v>
      </c>
    </row>
    <row r="26" spans="1:26" ht="15.75" hidden="1" customHeight="1">
      <c r="A26" s="482">
        <v>410</v>
      </c>
      <c r="B26" s="485" t="s">
        <v>7653</v>
      </c>
      <c r="C26">
        <v>1</v>
      </c>
      <c r="D26" t="str">
        <f t="shared" si="0"/>
        <v>1226200.410</v>
      </c>
      <c r="E26" s="492" t="s">
        <v>7710</v>
      </c>
      <c r="H26" s="470">
        <v>-6200</v>
      </c>
      <c r="I26" s="470">
        <v>-6200</v>
      </c>
      <c r="J26" s="470">
        <v>0</v>
      </c>
      <c r="K26" s="18"/>
      <c r="L26" s="18" t="str">
        <f t="shared" si="1"/>
        <v>2</v>
      </c>
      <c r="M26" s="18" t="str">
        <f>INDEX(Chapter,MATCH(L26,Chapter!$A$1:$A$681,0),8)</f>
        <v>שירותים מקומיים</v>
      </c>
      <c r="N26" s="18" t="str">
        <f t="shared" si="2"/>
        <v>22</v>
      </c>
      <c r="O26" s="18" t="str">
        <f>INDEX(Chapter,MATCH(N26,Chapter!$A$1:$A$681,0),8)</f>
        <v>שמירה ובטחון</v>
      </c>
      <c r="P26" s="18" t="str">
        <f t="shared" si="3"/>
        <v>226</v>
      </c>
      <c r="Q26" s="18" t="str">
        <f>INDEX(Chapter,MATCH(P26,Chapter!$A$1:$A$681,0),8)</f>
        <v>מל״ח ופס"ח</v>
      </c>
      <c r="R26" s="18" t="str">
        <f t="shared" si="4"/>
        <v>2262</v>
      </c>
      <c r="S26" s="18" t="str">
        <f>INDEX(Chapter,MATCH(R26,Chapter!$A$1:$A$681,0),8)</f>
        <v>פס״ח</v>
      </c>
      <c r="T26" s="18"/>
      <c r="U26" s="18" t="str">
        <f t="shared" si="5"/>
        <v>4</v>
      </c>
      <c r="V26" s="18" t="str">
        <f>IF($L26&lt;"6",INDEX(Revenue_type,MATCH(U26*1,type!$A$118:$A$168,0),8),INDEX(Expenditure_type,MATCH(U26*1,type!$A$2:$A$117,0),8))</f>
        <v>שירותים ושכר לימוד</v>
      </c>
      <c r="W26" s="18" t="str">
        <f t="shared" si="6"/>
        <v>41</v>
      </c>
      <c r="X26" s="18" t="str">
        <f>IF($L26&lt;"6",INDEX(Revenue_type,MATCH(W26*1,type!$A$118:$A$168,0),8),INDEX(Expenditure_type,MATCH(W26*1,type!$A$2:$A$117,0),8))</f>
        <v>שכל"מ מתושבים</v>
      </c>
      <c r="Y26" s="18" t="str">
        <f t="shared" si="7"/>
        <v>410</v>
      </c>
      <c r="Z26" s="18" t="e">
        <f>IF($L26&lt;"6",INDEX(Revenue_type,MATCH(Y26*1,type!$A$118:$A$168,0),8),INDEX(Expenditure_type,MATCH(Y26*1,type!$A$2:$A$117,0),8))</f>
        <v>#N/A</v>
      </c>
    </row>
    <row r="27" spans="1:26" ht="15.75" hidden="1" customHeight="1">
      <c r="A27" s="482">
        <v>910</v>
      </c>
      <c r="B27" s="485" t="s">
        <v>7653</v>
      </c>
      <c r="C27">
        <v>1</v>
      </c>
      <c r="D27" t="str">
        <f t="shared" si="0"/>
        <v>1226200.910</v>
      </c>
      <c r="E27" s="492" t="s">
        <v>7711</v>
      </c>
      <c r="H27" s="470">
        <v>-2000</v>
      </c>
      <c r="I27" s="470">
        <v>-2000</v>
      </c>
      <c r="J27" s="470">
        <v>0</v>
      </c>
      <c r="K27" s="18"/>
      <c r="L27" s="18" t="str">
        <f t="shared" si="1"/>
        <v>2</v>
      </c>
      <c r="M27" s="18" t="str">
        <f>INDEX(Chapter,MATCH(L27,Chapter!$A$1:$A$681,0),8)</f>
        <v>שירותים מקומיים</v>
      </c>
      <c r="N27" s="18" t="str">
        <f t="shared" si="2"/>
        <v>22</v>
      </c>
      <c r="O27" s="18" t="str">
        <f>INDEX(Chapter,MATCH(N27,Chapter!$A$1:$A$681,0),8)</f>
        <v>שמירה ובטחון</v>
      </c>
      <c r="P27" s="18" t="str">
        <f t="shared" si="3"/>
        <v>226</v>
      </c>
      <c r="Q27" s="18" t="str">
        <f>INDEX(Chapter,MATCH(P27,Chapter!$A$1:$A$681,0),8)</f>
        <v>מל״ח ופס"ח</v>
      </c>
      <c r="R27" s="18" t="str">
        <f t="shared" si="4"/>
        <v>2262</v>
      </c>
      <c r="S27" s="18" t="str">
        <f>INDEX(Chapter,MATCH(R27,Chapter!$A$1:$A$681,0),8)</f>
        <v>פס״ח</v>
      </c>
      <c r="T27" s="18"/>
      <c r="U27" s="18" t="str">
        <f t="shared" si="5"/>
        <v>9</v>
      </c>
      <c r="V27" s="18" t="str">
        <f>IF($L27&lt;"6",INDEX(Revenue_type,MATCH(U27*1,type!$A$118:$A$168,0),8),INDEX(Expenditure_type,MATCH(U27*1,type!$A$2:$A$117,0),8))</f>
        <v>השתתפות משרדי ממשלה</v>
      </c>
      <c r="W27" s="18" t="str">
        <f t="shared" si="6"/>
        <v>91</v>
      </c>
      <c r="X27" s="18" t="str">
        <f>IF($L27&lt;"6",INDEX(Revenue_type,MATCH(W27*1,type!$A$118:$A$168,0),8),INDEX(Expenditure_type,MATCH(W27*1,type!$A$2:$A$117,0),8))</f>
        <v>השתתפות משרד הפנים</v>
      </c>
      <c r="Y27" s="18" t="str">
        <f t="shared" si="7"/>
        <v>910</v>
      </c>
      <c r="Z27" s="18" t="e">
        <f>IF($L27&lt;"6",INDEX(Revenue_type,MATCH(Y27*1,type!$A$118:$A$168,0),8),INDEX(Expenditure_type,MATCH(Y27*1,type!$A$2:$A$117,0),8))</f>
        <v>#N/A</v>
      </c>
    </row>
    <row r="28" spans="1:26" ht="15.75" hidden="1" customHeight="1">
      <c r="A28" s="482">
        <v>940</v>
      </c>
      <c r="B28" s="485">
        <v>227000</v>
      </c>
      <c r="C28">
        <v>1</v>
      </c>
      <c r="D28" t="str">
        <f t="shared" si="0"/>
        <v>1227000.940</v>
      </c>
      <c r="E28" s="492" t="s">
        <v>7712</v>
      </c>
      <c r="H28" s="470">
        <v>-123500</v>
      </c>
      <c r="I28" s="470">
        <v>-123500</v>
      </c>
      <c r="J28" s="470">
        <v>0</v>
      </c>
      <c r="K28" s="18"/>
      <c r="L28" s="18" t="str">
        <f t="shared" si="1"/>
        <v>2</v>
      </c>
      <c r="M28" s="18" t="str">
        <f>INDEX(Chapter,MATCH(L28,Chapter!$A$1:$A$681,0),8)</f>
        <v>שירותים מקומיים</v>
      </c>
      <c r="N28" s="18" t="str">
        <f t="shared" si="2"/>
        <v>22</v>
      </c>
      <c r="O28" s="18" t="str">
        <f>INDEX(Chapter,MATCH(N28,Chapter!$A$1:$A$681,0),8)</f>
        <v>שמירה ובטחון</v>
      </c>
      <c r="P28" s="18" t="str">
        <f t="shared" si="3"/>
        <v>227</v>
      </c>
      <c r="Q28" s="18" t="str">
        <f>INDEX(Chapter,MATCH(P28,Chapter!$A$1:$A$681,0),8)</f>
        <v>הגמ״ר</v>
      </c>
      <c r="R28" s="18" t="str">
        <f t="shared" si="4"/>
        <v>2270</v>
      </c>
      <c r="S28" s="18" t="e">
        <f>INDEX(Chapter,MATCH(R28,Chapter!$A$1:$A$681,0),8)</f>
        <v>#N/A</v>
      </c>
      <c r="T28" s="18"/>
      <c r="U28" s="18" t="str">
        <f t="shared" si="5"/>
        <v>9</v>
      </c>
      <c r="V28" s="18" t="str">
        <f>IF($L28&lt;"6",INDEX(Revenue_type,MATCH(U28*1,type!$A$118:$A$168,0),8),INDEX(Expenditure_type,MATCH(U28*1,type!$A$2:$A$117,0),8))</f>
        <v>השתתפות משרדי ממשלה</v>
      </c>
      <c r="W28" s="18" t="str">
        <f t="shared" si="6"/>
        <v>94</v>
      </c>
      <c r="X28" s="18" t="str">
        <f>IF($L28&lt;"6",INDEX(Revenue_type,MATCH(W28*1,type!$A$118:$A$168,0),8),INDEX(Expenditure_type,MATCH(W28*1,type!$A$2:$A$117,0),8))</f>
        <v>השתתפות משרד הבריאות</v>
      </c>
      <c r="Y28" s="18" t="str">
        <f t="shared" si="7"/>
        <v>940</v>
      </c>
      <c r="Z28" s="18" t="e">
        <f>IF($L28&lt;"6",INDEX(Revenue_type,MATCH(Y28*1,type!$A$118:$A$168,0),8),INDEX(Expenditure_type,MATCH(Y28*1,type!$A$2:$A$117,0),8))</f>
        <v>#N/A</v>
      </c>
    </row>
    <row r="29" spans="1:26" ht="15.75" hidden="1" customHeight="1">
      <c r="A29" s="482">
        <v>410</v>
      </c>
      <c r="B29" s="485">
        <v>231115</v>
      </c>
      <c r="C29">
        <v>1</v>
      </c>
      <c r="D29" t="str">
        <f t="shared" si="0"/>
        <v>1231115.410</v>
      </c>
      <c r="E29" s="492" t="s">
        <v>7713</v>
      </c>
      <c r="H29" s="470">
        <v>-307700</v>
      </c>
      <c r="I29" s="470">
        <v>-307700</v>
      </c>
      <c r="J29" s="470">
        <v>-693002</v>
      </c>
      <c r="K29" s="18"/>
      <c r="L29" s="18" t="str">
        <f t="shared" si="1"/>
        <v>2</v>
      </c>
      <c r="M29" s="18" t="str">
        <f>INDEX(Chapter,MATCH(L29,Chapter!$A$1:$A$681,0),8)</f>
        <v>שירותים מקומיים</v>
      </c>
      <c r="N29" s="18" t="str">
        <f t="shared" si="2"/>
        <v>23</v>
      </c>
      <c r="O29" s="18" t="str">
        <f>INDEX(Chapter,MATCH(N29,Chapter!$A$1:$A$681,0),8)</f>
        <v>תכנון ובנין עיר</v>
      </c>
      <c r="P29" s="18" t="str">
        <f t="shared" si="3"/>
        <v>231</v>
      </c>
      <c r="Q29" s="18" t="str">
        <f>INDEX(Chapter,MATCH(P29,Chapter!$A$1:$A$681,0),8)</f>
        <v>משרד מהנדס הרשות</v>
      </c>
      <c r="R29" s="18" t="str">
        <f t="shared" si="4"/>
        <v>2311</v>
      </c>
      <c r="S29" s="18" t="e">
        <f>INDEX(Chapter,MATCH(R29,Chapter!$A$1:$A$681,0),8)</f>
        <v>#N/A</v>
      </c>
      <c r="T29" s="18"/>
      <c r="U29" s="18" t="str">
        <f t="shared" si="5"/>
        <v>4</v>
      </c>
      <c r="V29" s="18" t="str">
        <f>IF($L29&lt;"6",INDEX(Revenue_type,MATCH(U29*1,type!$A$118:$A$168,0),8),INDEX(Expenditure_type,MATCH(U29*1,type!$A$2:$A$117,0),8))</f>
        <v>שירותים ושכר לימוד</v>
      </c>
      <c r="W29" s="18" t="str">
        <f t="shared" si="6"/>
        <v>41</v>
      </c>
      <c r="X29" s="18" t="str">
        <f>IF($L29&lt;"6",INDEX(Revenue_type,MATCH(W29*1,type!$A$118:$A$168,0),8),INDEX(Expenditure_type,MATCH(W29*1,type!$A$2:$A$117,0),8))</f>
        <v>שכל"מ מתושבים</v>
      </c>
      <c r="Y29" s="18" t="str">
        <f t="shared" si="7"/>
        <v>410</v>
      </c>
      <c r="Z29" s="18" t="e">
        <f>IF($L29&lt;"6",INDEX(Revenue_type,MATCH(Y29*1,type!$A$118:$A$168,0),8),INDEX(Expenditure_type,MATCH(Y29*1,type!$A$2:$A$117,0),8))</f>
        <v>#N/A</v>
      </c>
    </row>
    <row r="30" spans="1:26" ht="15.75" hidden="1" customHeight="1">
      <c r="A30" s="482">
        <v>410</v>
      </c>
      <c r="B30" s="485">
        <v>231116</v>
      </c>
      <c r="C30">
        <v>1</v>
      </c>
      <c r="D30" t="str">
        <f t="shared" si="0"/>
        <v>1231116.410</v>
      </c>
      <c r="E30" s="492" t="s">
        <v>7714</v>
      </c>
      <c r="H30" s="470">
        <v>-1450000</v>
      </c>
      <c r="I30" s="470">
        <v>-1450000</v>
      </c>
      <c r="J30" s="470">
        <v>-902800</v>
      </c>
      <c r="K30" s="18"/>
      <c r="L30" s="18" t="str">
        <f t="shared" si="1"/>
        <v>2</v>
      </c>
      <c r="M30" s="18" t="str">
        <f>INDEX(Chapter,MATCH(L30,Chapter!$A$1:$A$681,0),8)</f>
        <v>שירותים מקומיים</v>
      </c>
      <c r="N30" s="18" t="str">
        <f t="shared" si="2"/>
        <v>23</v>
      </c>
      <c r="O30" s="18" t="str">
        <f>INDEX(Chapter,MATCH(N30,Chapter!$A$1:$A$681,0),8)</f>
        <v>תכנון ובנין עיר</v>
      </c>
      <c r="P30" s="18" t="str">
        <f t="shared" si="3"/>
        <v>231</v>
      </c>
      <c r="Q30" s="18" t="str">
        <f>INDEX(Chapter,MATCH(P30,Chapter!$A$1:$A$681,0),8)</f>
        <v>משרד מהנדס הרשות</v>
      </c>
      <c r="R30" s="18" t="str">
        <f t="shared" si="4"/>
        <v>2311</v>
      </c>
      <c r="S30" s="18" t="e">
        <f>INDEX(Chapter,MATCH(R30,Chapter!$A$1:$A$681,0),8)</f>
        <v>#N/A</v>
      </c>
      <c r="T30" s="18"/>
      <c r="U30" s="18" t="str">
        <f t="shared" si="5"/>
        <v>4</v>
      </c>
      <c r="V30" s="18" t="str">
        <f>IF($L30&lt;"6",INDEX(Revenue_type,MATCH(U30*1,type!$A$118:$A$168,0),8),INDEX(Expenditure_type,MATCH(U30*1,type!$A$2:$A$117,0),8))</f>
        <v>שירותים ושכר לימוד</v>
      </c>
      <c r="W30" s="18" t="str">
        <f t="shared" si="6"/>
        <v>41</v>
      </c>
      <c r="X30" s="18" t="str">
        <f>IF($L30&lt;"6",INDEX(Revenue_type,MATCH(W30*1,type!$A$118:$A$168,0),8),INDEX(Expenditure_type,MATCH(W30*1,type!$A$2:$A$117,0),8))</f>
        <v>שכל"מ מתושבים</v>
      </c>
      <c r="Y30" s="18" t="str">
        <f t="shared" si="7"/>
        <v>410</v>
      </c>
      <c r="Z30" s="18" t="e">
        <f>IF($L30&lt;"6",INDEX(Revenue_type,MATCH(Y30*1,type!$A$118:$A$168,0),8),INDEX(Expenditure_type,MATCH(Y30*1,type!$A$2:$A$117,0),8))</f>
        <v>#N/A</v>
      </c>
    </row>
    <row r="31" spans="1:26" ht="15.75" hidden="1" customHeight="1">
      <c r="A31" s="482">
        <v>910</v>
      </c>
      <c r="B31" s="485">
        <v>231112</v>
      </c>
      <c r="C31">
        <v>1</v>
      </c>
      <c r="D31" t="str">
        <f t="shared" si="0"/>
        <v>1231112.910</v>
      </c>
      <c r="E31" s="492" t="s">
        <v>7715</v>
      </c>
      <c r="H31" s="470">
        <v>0</v>
      </c>
      <c r="I31" s="470">
        <v>-8000000</v>
      </c>
      <c r="J31" s="470">
        <v>0</v>
      </c>
      <c r="K31" s="18"/>
      <c r="L31" s="18" t="str">
        <f t="shared" si="1"/>
        <v>2</v>
      </c>
      <c r="M31" s="18" t="str">
        <f>INDEX(Chapter,MATCH(L31,Chapter!$A$1:$A$681,0),8)</f>
        <v>שירותים מקומיים</v>
      </c>
      <c r="N31" s="18" t="str">
        <f t="shared" si="2"/>
        <v>23</v>
      </c>
      <c r="O31" s="18" t="str">
        <f>INDEX(Chapter,MATCH(N31,Chapter!$A$1:$A$681,0),8)</f>
        <v>תכנון ובנין עיר</v>
      </c>
      <c r="P31" s="18" t="str">
        <f t="shared" si="3"/>
        <v>231</v>
      </c>
      <c r="Q31" s="18" t="str">
        <f>INDEX(Chapter,MATCH(P31,Chapter!$A$1:$A$681,0),8)</f>
        <v>משרד מהנדס הרשות</v>
      </c>
      <c r="R31" s="18" t="str">
        <f t="shared" si="4"/>
        <v>2311</v>
      </c>
      <c r="S31" s="18" t="e">
        <f>INDEX(Chapter,MATCH(R31,Chapter!$A$1:$A$681,0),8)</f>
        <v>#N/A</v>
      </c>
      <c r="T31" s="18"/>
      <c r="U31" s="18" t="str">
        <f t="shared" si="5"/>
        <v>9</v>
      </c>
      <c r="V31" s="18" t="str">
        <f>IF($L31&lt;"6",INDEX(Revenue_type,MATCH(U31*1,type!$A$118:$A$168,0),8),INDEX(Expenditure_type,MATCH(U31*1,type!$A$2:$A$117,0),8))</f>
        <v>השתתפות משרדי ממשלה</v>
      </c>
      <c r="W31" s="18" t="str">
        <f t="shared" si="6"/>
        <v>91</v>
      </c>
      <c r="X31" s="18" t="str">
        <f>IF($L31&lt;"6",INDEX(Revenue_type,MATCH(W31*1,type!$A$118:$A$168,0),8),INDEX(Expenditure_type,MATCH(W31*1,type!$A$2:$A$117,0),8))</f>
        <v>השתתפות משרד הפנים</v>
      </c>
      <c r="Y31" s="18" t="str">
        <f t="shared" si="7"/>
        <v>910</v>
      </c>
      <c r="Z31" s="18" t="e">
        <f>IF($L31&lt;"6",INDEX(Revenue_type,MATCH(Y31*1,type!$A$118:$A$168,0),8),INDEX(Expenditure_type,MATCH(Y31*1,type!$A$2:$A$117,0),8))</f>
        <v>#N/A</v>
      </c>
    </row>
    <row r="32" spans="1:26" ht="15.75" hidden="1" customHeight="1">
      <c r="A32" s="482">
        <v>911</v>
      </c>
      <c r="B32" s="485">
        <v>231113</v>
      </c>
      <c r="C32">
        <v>1</v>
      </c>
      <c r="D32" t="str">
        <f t="shared" si="0"/>
        <v>1231113.911</v>
      </c>
      <c r="E32" s="492" t="s">
        <v>7716</v>
      </c>
      <c r="H32" s="470">
        <v>-50000</v>
      </c>
      <c r="I32" s="470">
        <v>-10000</v>
      </c>
      <c r="J32" s="470">
        <v>0</v>
      </c>
      <c r="K32" s="18"/>
      <c r="L32" s="18" t="str">
        <f t="shared" si="1"/>
        <v>2</v>
      </c>
      <c r="M32" s="18" t="str">
        <f>INDEX(Chapter,MATCH(L32,Chapter!$A$1:$A$681,0),8)</f>
        <v>שירותים מקומיים</v>
      </c>
      <c r="N32" s="18" t="str">
        <f t="shared" si="2"/>
        <v>23</v>
      </c>
      <c r="O32" s="18" t="str">
        <f>INDEX(Chapter,MATCH(N32,Chapter!$A$1:$A$681,0),8)</f>
        <v>תכנון ובנין עיר</v>
      </c>
      <c r="P32" s="18" t="str">
        <f t="shared" si="3"/>
        <v>231</v>
      </c>
      <c r="Q32" s="18" t="str">
        <f>INDEX(Chapter,MATCH(P32,Chapter!$A$1:$A$681,0),8)</f>
        <v>משרד מהנדס הרשות</v>
      </c>
      <c r="R32" s="18" t="str">
        <f t="shared" si="4"/>
        <v>2311</v>
      </c>
      <c r="S32" s="18" t="e">
        <f>INDEX(Chapter,MATCH(R32,Chapter!$A$1:$A$681,0),8)</f>
        <v>#N/A</v>
      </c>
      <c r="T32" s="18"/>
      <c r="U32" s="18" t="str">
        <f t="shared" si="5"/>
        <v>9</v>
      </c>
      <c r="V32" s="18" t="str">
        <f>IF($L32&lt;"6",INDEX(Revenue_type,MATCH(U32*1,type!$A$118:$A$168,0),8),INDEX(Expenditure_type,MATCH(U32*1,type!$A$2:$A$117,0),8))</f>
        <v>השתתפות משרדי ממשלה</v>
      </c>
      <c r="W32" s="18" t="str">
        <f t="shared" si="6"/>
        <v>91</v>
      </c>
      <c r="X32" s="18" t="str">
        <f>IF($L32&lt;"6",INDEX(Revenue_type,MATCH(W32*1,type!$A$118:$A$168,0),8),INDEX(Expenditure_type,MATCH(W32*1,type!$A$2:$A$117,0),8))</f>
        <v>השתתפות משרד הפנים</v>
      </c>
      <c r="Y32" s="18" t="str">
        <f t="shared" si="7"/>
        <v>911</v>
      </c>
      <c r="Z32" s="18" t="e">
        <f>IF($L32&lt;"6",INDEX(Revenue_type,MATCH(Y32*1,type!$A$118:$A$168,0),8),INDEX(Expenditure_type,MATCH(Y32*1,type!$A$2:$A$117,0),8))</f>
        <v>#N/A</v>
      </c>
    </row>
    <row r="33" spans="1:26" ht="15.75" hidden="1" customHeight="1">
      <c r="A33" s="482">
        <v>210</v>
      </c>
      <c r="B33" s="485">
        <v>233100</v>
      </c>
      <c r="C33">
        <v>1</v>
      </c>
      <c r="D33" t="str">
        <f t="shared" si="0"/>
        <v>1233100.210</v>
      </c>
      <c r="E33" s="492" t="s">
        <v>7717</v>
      </c>
      <c r="H33" s="470">
        <v>-11500000</v>
      </c>
      <c r="I33" s="470">
        <v>-12500000</v>
      </c>
      <c r="J33" s="470">
        <v>-17382527</v>
      </c>
      <c r="K33" s="18"/>
      <c r="L33" s="18" t="str">
        <f t="shared" si="1"/>
        <v>2</v>
      </c>
      <c r="M33" s="18" t="str">
        <f>INDEX(Chapter,MATCH(L33,Chapter!$A$1:$A$681,0),8)</f>
        <v>שירותים מקומיים</v>
      </c>
      <c r="N33" s="18" t="str">
        <f t="shared" si="2"/>
        <v>23</v>
      </c>
      <c r="O33" s="18" t="str">
        <f>INDEX(Chapter,MATCH(N33,Chapter!$A$1:$A$681,0),8)</f>
        <v>תכנון ובנין עיר</v>
      </c>
      <c r="P33" s="18" t="str">
        <f t="shared" si="3"/>
        <v>233</v>
      </c>
      <c r="Q33" s="18" t="str">
        <f>INDEX(Chapter,MATCH(P33,Chapter!$A$1:$A$681,0),8)</f>
        <v>רישוי ופיקוח על הבניה</v>
      </c>
      <c r="R33" s="18" t="str">
        <f t="shared" si="4"/>
        <v>2331</v>
      </c>
      <c r="S33" s="18" t="str">
        <f>INDEX(Chapter,MATCH(R33,Chapter!$A$1:$A$681,0),8)</f>
        <v>אגרות, רישיונות בניה</v>
      </c>
      <c r="T33" s="18"/>
      <c r="U33" s="18" t="str">
        <f t="shared" si="5"/>
        <v>2</v>
      </c>
      <c r="V33" s="18" t="str">
        <f>IF($L33&lt;"6",INDEX(Revenue_type,MATCH(U33*1,type!$A$118:$A$168,0),8),INDEX(Expenditure_type,MATCH(U33*1,type!$A$2:$A$117,0),8))</f>
        <v>אגרות</v>
      </c>
      <c r="W33" s="18" t="str">
        <f t="shared" si="6"/>
        <v>21</v>
      </c>
      <c r="X33" s="18" t="str">
        <f>IF($L33&lt;"6",INDEX(Revenue_type,MATCH(W33*1,type!$A$118:$A$168,0),8),INDEX(Expenditure_type,MATCH(W33*1,type!$A$2:$A$117,0),8))</f>
        <v>אגרות מים וביוב</v>
      </c>
      <c r="Y33" s="18" t="str">
        <f t="shared" si="7"/>
        <v>210</v>
      </c>
      <c r="Z33" s="18" t="e">
        <f>IF($L33&lt;"6",INDEX(Revenue_type,MATCH(Y33*1,type!$A$118:$A$168,0),8),INDEX(Expenditure_type,MATCH(Y33*1,type!$A$2:$A$117,0),8))</f>
        <v>#N/A</v>
      </c>
    </row>
    <row r="34" spans="1:26" ht="15.75" hidden="1" customHeight="1">
      <c r="A34" s="482">
        <v>410</v>
      </c>
      <c r="B34" s="485" t="s">
        <v>7654</v>
      </c>
      <c r="C34">
        <v>1</v>
      </c>
      <c r="D34" t="str">
        <f t="shared" si="0"/>
        <v>1242000.410</v>
      </c>
      <c r="E34" s="492" t="s">
        <v>7718</v>
      </c>
      <c r="H34" s="470">
        <v>-350000</v>
      </c>
      <c r="I34" s="470">
        <v>-366000</v>
      </c>
      <c r="J34" s="470">
        <v>-300548</v>
      </c>
      <c r="K34" s="18"/>
      <c r="L34" s="18" t="str">
        <f t="shared" si="1"/>
        <v>2</v>
      </c>
      <c r="M34" s="18" t="str">
        <f>INDEX(Chapter,MATCH(L34,Chapter!$A$1:$A$681,0),8)</f>
        <v>שירותים מקומיים</v>
      </c>
      <c r="N34" s="18" t="str">
        <f t="shared" si="2"/>
        <v>24</v>
      </c>
      <c r="O34" s="18" t="str">
        <f>INDEX(Chapter,MATCH(N34,Chapter!$A$1:$A$681,0),8)</f>
        <v>נכסים ציבוריים</v>
      </c>
      <c r="P34" s="18" t="str">
        <f t="shared" si="3"/>
        <v>242</v>
      </c>
      <c r="Q34" s="18" t="str">
        <f>INDEX(Chapter,MATCH(P34,Chapter!$A$1:$A$681,0),8)</f>
        <v>דרכים ומדרכות</v>
      </c>
      <c r="R34" s="18" t="str">
        <f t="shared" si="4"/>
        <v>2420</v>
      </c>
      <c r="S34" s="18" t="e">
        <f>INDEX(Chapter,MATCH(R34,Chapter!$A$1:$A$681,0),8)</f>
        <v>#N/A</v>
      </c>
      <c r="T34" s="18"/>
      <c r="U34" s="18" t="str">
        <f t="shared" si="5"/>
        <v>4</v>
      </c>
      <c r="V34" s="18" t="str">
        <f>IF($L34&lt;"6",INDEX(Revenue_type,MATCH(U34*1,type!$A$118:$A$168,0),8),INDEX(Expenditure_type,MATCH(U34*1,type!$A$2:$A$117,0),8))</f>
        <v>שירותים ושכר לימוד</v>
      </c>
      <c r="W34" s="18" t="str">
        <f t="shared" si="6"/>
        <v>41</v>
      </c>
      <c r="X34" s="18" t="str">
        <f>IF($L34&lt;"6",INDEX(Revenue_type,MATCH(W34*1,type!$A$118:$A$168,0),8),INDEX(Expenditure_type,MATCH(W34*1,type!$A$2:$A$117,0),8))</f>
        <v>שכל"מ מתושבים</v>
      </c>
      <c r="Y34" s="18" t="str">
        <f t="shared" si="7"/>
        <v>410</v>
      </c>
      <c r="Z34" s="18" t="e">
        <f>IF($L34&lt;"6",INDEX(Revenue_type,MATCH(Y34*1,type!$A$118:$A$168,0),8),INDEX(Expenditure_type,MATCH(Y34*1,type!$A$2:$A$117,0),8))</f>
        <v>#N/A</v>
      </c>
    </row>
    <row r="35" spans="1:26" ht="15.75" hidden="1" customHeight="1">
      <c r="A35" s="482">
        <v>210</v>
      </c>
      <c r="B35" s="485" t="s">
        <v>7655</v>
      </c>
      <c r="C35">
        <v>1</v>
      </c>
      <c r="D35" t="str">
        <f t="shared" si="0"/>
        <v>1244500.210</v>
      </c>
      <c r="E35" s="492" t="s">
        <v>7719</v>
      </c>
      <c r="H35" s="470">
        <v>-4300</v>
      </c>
      <c r="I35" s="470">
        <v>-5000</v>
      </c>
      <c r="J35" s="470">
        <v>-3943</v>
      </c>
      <c r="K35" s="18"/>
      <c r="L35" s="18" t="str">
        <f t="shared" si="1"/>
        <v>2</v>
      </c>
      <c r="M35" s="18" t="str">
        <f>INDEX(Chapter,MATCH(L35,Chapter!$A$1:$A$681,0),8)</f>
        <v>שירותים מקומיים</v>
      </c>
      <c r="N35" s="18" t="str">
        <f t="shared" si="2"/>
        <v>24</v>
      </c>
      <c r="O35" s="18" t="str">
        <f>INDEX(Chapter,MATCH(N35,Chapter!$A$1:$A$681,0),8)</f>
        <v>נכסים ציבוריים</v>
      </c>
      <c r="P35" s="18" t="str">
        <f t="shared" si="3"/>
        <v>244</v>
      </c>
      <c r="Q35" s="18" t="str">
        <f>INDEX(Chapter,MATCH(P35,Chapter!$A$1:$A$681,0),8)</f>
        <v>בטיחות בדרכים</v>
      </c>
      <c r="R35" s="18" t="str">
        <f t="shared" si="4"/>
        <v>2445</v>
      </c>
      <c r="S35" s="18" t="str">
        <f>INDEX(Chapter,MATCH(R35,Chapter!$A$1:$A$681,0),8)</f>
        <v>מטה בטיחות עירוני</v>
      </c>
      <c r="T35" s="18"/>
      <c r="U35" s="18" t="str">
        <f t="shared" si="5"/>
        <v>2</v>
      </c>
      <c r="V35" s="18" t="str">
        <f>IF($L35&lt;"6",INDEX(Revenue_type,MATCH(U35*1,type!$A$118:$A$168,0),8),INDEX(Expenditure_type,MATCH(U35*1,type!$A$2:$A$117,0),8))</f>
        <v>אגרות</v>
      </c>
      <c r="W35" s="18" t="str">
        <f t="shared" si="6"/>
        <v>21</v>
      </c>
      <c r="X35" s="18" t="str">
        <f>IF($L35&lt;"6",INDEX(Revenue_type,MATCH(W35*1,type!$A$118:$A$168,0),8),INDEX(Expenditure_type,MATCH(W35*1,type!$A$2:$A$117,0),8))</f>
        <v>אגרות מים וביוב</v>
      </c>
      <c r="Y35" s="18" t="str">
        <f t="shared" si="7"/>
        <v>210</v>
      </c>
      <c r="Z35" s="18" t="e">
        <f>IF($L35&lt;"6",INDEX(Revenue_type,MATCH(Y35*1,type!$A$118:$A$168,0),8),INDEX(Expenditure_type,MATCH(Y35*1,type!$A$2:$A$117,0),8))</f>
        <v>#N/A</v>
      </c>
    </row>
    <row r="36" spans="1:26" ht="15.75" hidden="1" customHeight="1">
      <c r="A36" s="482">
        <v>211</v>
      </c>
      <c r="B36" s="485" t="s">
        <v>7655</v>
      </c>
      <c r="C36">
        <v>1</v>
      </c>
      <c r="D36" t="str">
        <f t="shared" si="0"/>
        <v>1244500.211</v>
      </c>
      <c r="E36" s="492" t="s">
        <v>7720</v>
      </c>
      <c r="H36" s="470">
        <v>-4500000</v>
      </c>
      <c r="I36" s="470">
        <v>-4500000</v>
      </c>
      <c r="J36" s="470">
        <v>-4338059</v>
      </c>
      <c r="K36" s="18"/>
      <c r="L36" s="18" t="str">
        <f t="shared" si="1"/>
        <v>2</v>
      </c>
      <c r="M36" s="18" t="str">
        <f>INDEX(Chapter,MATCH(L36,Chapter!$A$1:$A$681,0),8)</f>
        <v>שירותים מקומיים</v>
      </c>
      <c r="N36" s="18" t="str">
        <f t="shared" si="2"/>
        <v>24</v>
      </c>
      <c r="O36" s="18" t="str">
        <f>INDEX(Chapter,MATCH(N36,Chapter!$A$1:$A$681,0),8)</f>
        <v>נכסים ציבוריים</v>
      </c>
      <c r="P36" s="18" t="str">
        <f t="shared" si="3"/>
        <v>244</v>
      </c>
      <c r="Q36" s="18" t="str">
        <f>INDEX(Chapter,MATCH(P36,Chapter!$A$1:$A$681,0),8)</f>
        <v>בטיחות בדרכים</v>
      </c>
      <c r="R36" s="18" t="str">
        <f t="shared" si="4"/>
        <v>2445</v>
      </c>
      <c r="S36" s="18" t="str">
        <f>INDEX(Chapter,MATCH(R36,Chapter!$A$1:$A$681,0),8)</f>
        <v>מטה בטיחות עירוני</v>
      </c>
      <c r="T36" s="18"/>
      <c r="U36" s="18" t="str">
        <f t="shared" si="5"/>
        <v>2</v>
      </c>
      <c r="V36" s="18" t="str">
        <f>IF($L36&lt;"6",INDEX(Revenue_type,MATCH(U36*1,type!$A$118:$A$168,0),8),INDEX(Expenditure_type,MATCH(U36*1,type!$A$2:$A$117,0),8))</f>
        <v>אגרות</v>
      </c>
      <c r="W36" s="18" t="str">
        <f t="shared" si="6"/>
        <v>21</v>
      </c>
      <c r="X36" s="18" t="str">
        <f>IF($L36&lt;"6",INDEX(Revenue_type,MATCH(W36*1,type!$A$118:$A$168,0),8),INDEX(Expenditure_type,MATCH(W36*1,type!$A$2:$A$117,0),8))</f>
        <v>אגרות מים וביוב</v>
      </c>
      <c r="Y36" s="18" t="str">
        <f t="shared" si="7"/>
        <v>211</v>
      </c>
      <c r="Z36" s="18" t="e">
        <f>IF($L36&lt;"6",INDEX(Revenue_type,MATCH(Y36*1,type!$A$118:$A$168,0),8),INDEX(Expenditure_type,MATCH(Y36*1,type!$A$2:$A$117,0),8))</f>
        <v>#N/A</v>
      </c>
    </row>
    <row r="37" spans="1:26" ht="15.75" hidden="1" customHeight="1">
      <c r="A37" s="482">
        <v>212</v>
      </c>
      <c r="B37" s="485" t="s">
        <v>7655</v>
      </c>
      <c r="C37">
        <v>1</v>
      </c>
      <c r="D37" t="str">
        <f t="shared" si="0"/>
        <v>1244500.212</v>
      </c>
      <c r="E37" s="492" t="s">
        <v>7721</v>
      </c>
      <c r="H37" s="470">
        <v>-3000000</v>
      </c>
      <c r="I37" s="470">
        <v>-3000000</v>
      </c>
      <c r="J37" s="470">
        <v>-2937396</v>
      </c>
      <c r="K37" s="18"/>
      <c r="L37" s="18" t="str">
        <f t="shared" si="1"/>
        <v>2</v>
      </c>
      <c r="M37" s="18" t="str">
        <f>INDEX(Chapter,MATCH(L37,Chapter!$A$1:$A$681,0),8)</f>
        <v>שירותים מקומיים</v>
      </c>
      <c r="N37" s="18" t="str">
        <f t="shared" si="2"/>
        <v>24</v>
      </c>
      <c r="O37" s="18" t="str">
        <f>INDEX(Chapter,MATCH(N37,Chapter!$A$1:$A$681,0),8)</f>
        <v>נכסים ציבוריים</v>
      </c>
      <c r="P37" s="18" t="str">
        <f t="shared" si="3"/>
        <v>244</v>
      </c>
      <c r="Q37" s="18" t="str">
        <f>INDEX(Chapter,MATCH(P37,Chapter!$A$1:$A$681,0),8)</f>
        <v>בטיחות בדרכים</v>
      </c>
      <c r="R37" s="18" t="str">
        <f t="shared" si="4"/>
        <v>2445</v>
      </c>
      <c r="S37" s="18" t="str">
        <f>INDEX(Chapter,MATCH(R37,Chapter!$A$1:$A$681,0),8)</f>
        <v>מטה בטיחות עירוני</v>
      </c>
      <c r="T37" s="18"/>
      <c r="U37" s="18" t="str">
        <f t="shared" si="5"/>
        <v>2</v>
      </c>
      <c r="V37" s="18" t="str">
        <f>IF($L37&lt;"6",INDEX(Revenue_type,MATCH(U37*1,type!$A$118:$A$168,0),8),INDEX(Expenditure_type,MATCH(U37*1,type!$A$2:$A$117,0),8))</f>
        <v>אגרות</v>
      </c>
      <c r="W37" s="18" t="str">
        <f t="shared" si="6"/>
        <v>21</v>
      </c>
      <c r="X37" s="18" t="str">
        <f>IF($L37&lt;"6",INDEX(Revenue_type,MATCH(W37*1,type!$A$118:$A$168,0),8),INDEX(Expenditure_type,MATCH(W37*1,type!$A$2:$A$117,0),8))</f>
        <v>אגרות מים וביוב</v>
      </c>
      <c r="Y37" s="18" t="str">
        <f t="shared" si="7"/>
        <v>212</v>
      </c>
      <c r="Z37" s="18" t="e">
        <f>IF($L37&lt;"6",INDEX(Revenue_type,MATCH(Y37*1,type!$A$118:$A$168,0),8),INDEX(Expenditure_type,MATCH(Y37*1,type!$A$2:$A$117,0),8))</f>
        <v>#N/A</v>
      </c>
    </row>
    <row r="38" spans="1:26" ht="15.75" hidden="1" customHeight="1">
      <c r="A38" s="482">
        <v>411</v>
      </c>
      <c r="B38" s="485" t="s">
        <v>7655</v>
      </c>
      <c r="C38">
        <v>1</v>
      </c>
      <c r="D38" t="str">
        <f t="shared" si="0"/>
        <v>1244500.411</v>
      </c>
      <c r="E38" s="492" t="s">
        <v>7722</v>
      </c>
      <c r="H38" s="470">
        <v>-35000000</v>
      </c>
      <c r="I38" s="470">
        <v>-35070000</v>
      </c>
      <c r="J38" s="470">
        <v>-40465607</v>
      </c>
      <c r="K38" s="18"/>
      <c r="L38" s="18" t="str">
        <f t="shared" si="1"/>
        <v>2</v>
      </c>
      <c r="M38" s="18" t="str">
        <f>INDEX(Chapter,MATCH(L38,Chapter!$A$1:$A$681,0),8)</f>
        <v>שירותים מקומיים</v>
      </c>
      <c r="N38" s="18" t="str">
        <f t="shared" si="2"/>
        <v>24</v>
      </c>
      <c r="O38" s="18" t="str">
        <f>INDEX(Chapter,MATCH(N38,Chapter!$A$1:$A$681,0),8)</f>
        <v>נכסים ציבוריים</v>
      </c>
      <c r="P38" s="18" t="str">
        <f t="shared" si="3"/>
        <v>244</v>
      </c>
      <c r="Q38" s="18" t="str">
        <f>INDEX(Chapter,MATCH(P38,Chapter!$A$1:$A$681,0),8)</f>
        <v>בטיחות בדרכים</v>
      </c>
      <c r="R38" s="18" t="str">
        <f t="shared" si="4"/>
        <v>2445</v>
      </c>
      <c r="S38" s="18" t="str">
        <f>INDEX(Chapter,MATCH(R38,Chapter!$A$1:$A$681,0),8)</f>
        <v>מטה בטיחות עירוני</v>
      </c>
      <c r="T38" s="18"/>
      <c r="U38" s="18" t="str">
        <f t="shared" si="5"/>
        <v>4</v>
      </c>
      <c r="V38" s="18" t="str">
        <f>IF($L38&lt;"6",INDEX(Revenue_type,MATCH(U38*1,type!$A$118:$A$168,0),8),INDEX(Expenditure_type,MATCH(U38*1,type!$A$2:$A$117,0),8))</f>
        <v>שירותים ושכר לימוד</v>
      </c>
      <c r="W38" s="18" t="str">
        <f t="shared" si="6"/>
        <v>41</v>
      </c>
      <c r="X38" s="18" t="str">
        <f>IF($L38&lt;"6",INDEX(Revenue_type,MATCH(W38*1,type!$A$118:$A$168,0),8),INDEX(Expenditure_type,MATCH(W38*1,type!$A$2:$A$117,0),8))</f>
        <v>שכל"מ מתושבים</v>
      </c>
      <c r="Y38" s="18" t="str">
        <f t="shared" si="7"/>
        <v>411</v>
      </c>
      <c r="Z38" s="18" t="e">
        <f>IF($L38&lt;"6",INDEX(Revenue_type,MATCH(Y38*1,type!$A$118:$A$168,0),8),INDEX(Expenditure_type,MATCH(Y38*1,type!$A$2:$A$117,0),8))</f>
        <v>#N/A</v>
      </c>
    </row>
    <row r="39" spans="1:26" ht="15.75" hidden="1" customHeight="1">
      <c r="A39" s="482">
        <v>413</v>
      </c>
      <c r="B39" s="485" t="s">
        <v>7655</v>
      </c>
      <c r="C39">
        <v>1</v>
      </c>
      <c r="D39" t="str">
        <f t="shared" si="0"/>
        <v>1244500.413</v>
      </c>
      <c r="E39" s="492" t="s">
        <v>7723</v>
      </c>
      <c r="H39" s="470">
        <v>-13608000</v>
      </c>
      <c r="I39" s="470">
        <v>-13130000</v>
      </c>
      <c r="J39" s="470">
        <v>-13802308</v>
      </c>
      <c r="K39" s="18"/>
      <c r="L39" s="18" t="str">
        <f t="shared" si="1"/>
        <v>2</v>
      </c>
      <c r="M39" s="18" t="str">
        <f>INDEX(Chapter,MATCH(L39,Chapter!$A$1:$A$681,0),8)</f>
        <v>שירותים מקומיים</v>
      </c>
      <c r="N39" s="18" t="str">
        <f t="shared" si="2"/>
        <v>24</v>
      </c>
      <c r="O39" s="18" t="str">
        <f>INDEX(Chapter,MATCH(N39,Chapter!$A$1:$A$681,0),8)</f>
        <v>נכסים ציבוריים</v>
      </c>
      <c r="P39" s="18" t="str">
        <f t="shared" si="3"/>
        <v>244</v>
      </c>
      <c r="Q39" s="18" t="str">
        <f>INDEX(Chapter,MATCH(P39,Chapter!$A$1:$A$681,0),8)</f>
        <v>בטיחות בדרכים</v>
      </c>
      <c r="R39" s="18" t="str">
        <f t="shared" si="4"/>
        <v>2445</v>
      </c>
      <c r="S39" s="18" t="str">
        <f>INDEX(Chapter,MATCH(R39,Chapter!$A$1:$A$681,0),8)</f>
        <v>מטה בטיחות עירוני</v>
      </c>
      <c r="T39" s="18"/>
      <c r="U39" s="18" t="str">
        <f t="shared" si="5"/>
        <v>4</v>
      </c>
      <c r="V39" s="18" t="str">
        <f>IF($L39&lt;"6",INDEX(Revenue_type,MATCH(U39*1,type!$A$118:$A$168,0),8),INDEX(Expenditure_type,MATCH(U39*1,type!$A$2:$A$117,0),8))</f>
        <v>שירותים ושכר לימוד</v>
      </c>
      <c r="W39" s="18" t="str">
        <f t="shared" si="6"/>
        <v>41</v>
      </c>
      <c r="X39" s="18" t="str">
        <f>IF($L39&lt;"6",INDEX(Revenue_type,MATCH(W39*1,type!$A$118:$A$168,0),8),INDEX(Expenditure_type,MATCH(W39*1,type!$A$2:$A$117,0),8))</f>
        <v>שכל"מ מתושבים</v>
      </c>
      <c r="Y39" s="18" t="str">
        <f t="shared" si="7"/>
        <v>413</v>
      </c>
      <c r="Z39" s="18" t="e">
        <f>IF($L39&lt;"6",INDEX(Revenue_type,MATCH(Y39*1,type!$A$118:$A$168,0),8),INDEX(Expenditure_type,MATCH(Y39*1,type!$A$2:$A$117,0),8))</f>
        <v>#N/A</v>
      </c>
    </row>
    <row r="40" spans="1:26" ht="15.75" hidden="1" customHeight="1">
      <c r="A40" s="482">
        <v>414</v>
      </c>
      <c r="B40" s="485" t="s">
        <v>7655</v>
      </c>
      <c r="C40">
        <v>1</v>
      </c>
      <c r="D40" t="str">
        <f t="shared" si="0"/>
        <v>1244500.414</v>
      </c>
      <c r="E40" s="492" t="s">
        <v>7724</v>
      </c>
      <c r="H40" s="470">
        <v>-1000000</v>
      </c>
      <c r="I40" s="470">
        <v>-1000000</v>
      </c>
      <c r="J40" s="470">
        <v>0</v>
      </c>
      <c r="K40" s="18"/>
      <c r="L40" s="18" t="str">
        <f t="shared" si="1"/>
        <v>2</v>
      </c>
      <c r="M40" s="18" t="str">
        <f>INDEX(Chapter,MATCH(L40,Chapter!$A$1:$A$681,0),8)</f>
        <v>שירותים מקומיים</v>
      </c>
      <c r="N40" s="18" t="str">
        <f t="shared" si="2"/>
        <v>24</v>
      </c>
      <c r="O40" s="18" t="str">
        <f>INDEX(Chapter,MATCH(N40,Chapter!$A$1:$A$681,0),8)</f>
        <v>נכסים ציבוריים</v>
      </c>
      <c r="P40" s="18" t="str">
        <f t="shared" si="3"/>
        <v>244</v>
      </c>
      <c r="Q40" s="18" t="str">
        <f>INDEX(Chapter,MATCH(P40,Chapter!$A$1:$A$681,0),8)</f>
        <v>בטיחות בדרכים</v>
      </c>
      <c r="R40" s="18" t="str">
        <f t="shared" si="4"/>
        <v>2445</v>
      </c>
      <c r="S40" s="18" t="str">
        <f>INDEX(Chapter,MATCH(R40,Chapter!$A$1:$A$681,0),8)</f>
        <v>מטה בטיחות עירוני</v>
      </c>
      <c r="T40" s="18"/>
      <c r="U40" s="18" t="str">
        <f t="shared" si="5"/>
        <v>4</v>
      </c>
      <c r="V40" s="18" t="str">
        <f>IF($L40&lt;"6",INDEX(Revenue_type,MATCH(U40*1,type!$A$118:$A$168,0),8),INDEX(Expenditure_type,MATCH(U40*1,type!$A$2:$A$117,0),8))</f>
        <v>שירותים ושכר לימוד</v>
      </c>
      <c r="W40" s="18" t="str">
        <f t="shared" si="6"/>
        <v>41</v>
      </c>
      <c r="X40" s="18" t="str">
        <f>IF($L40&lt;"6",INDEX(Revenue_type,MATCH(W40*1,type!$A$118:$A$168,0),8),INDEX(Expenditure_type,MATCH(W40*1,type!$A$2:$A$117,0),8))</f>
        <v>שכל"מ מתושבים</v>
      </c>
      <c r="Y40" s="18" t="str">
        <f t="shared" si="7"/>
        <v>414</v>
      </c>
      <c r="Z40" s="18" t="e">
        <f>IF($L40&lt;"6",INDEX(Revenue_type,MATCH(Y40*1,type!$A$118:$A$168,0),8),INDEX(Expenditure_type,MATCH(Y40*1,type!$A$2:$A$117,0),8))</f>
        <v>#N/A</v>
      </c>
    </row>
    <row r="41" spans="1:26" ht="15.75" hidden="1" customHeight="1">
      <c r="A41" s="482">
        <v>210</v>
      </c>
      <c r="B41" s="485" t="s">
        <v>7656</v>
      </c>
      <c r="C41">
        <v>1</v>
      </c>
      <c r="D41" t="str">
        <f t="shared" si="0"/>
        <v>1244700.210</v>
      </c>
      <c r="E41" s="492" t="s">
        <v>7725</v>
      </c>
      <c r="H41" s="470">
        <v>-200000</v>
      </c>
      <c r="I41" s="470">
        <v>-256000</v>
      </c>
      <c r="J41" s="470">
        <v>-49872</v>
      </c>
      <c r="K41" s="18"/>
      <c r="L41" s="18" t="str">
        <f t="shared" si="1"/>
        <v>2</v>
      </c>
      <c r="M41" s="18" t="str">
        <f>INDEX(Chapter,MATCH(L41,Chapter!$A$1:$A$681,0),8)</f>
        <v>שירותים מקומיים</v>
      </c>
      <c r="N41" s="18" t="str">
        <f t="shared" si="2"/>
        <v>24</v>
      </c>
      <c r="O41" s="18" t="str">
        <f>INDEX(Chapter,MATCH(N41,Chapter!$A$1:$A$681,0),8)</f>
        <v>נכסים ציבוריים</v>
      </c>
      <c r="P41" s="18" t="str">
        <f t="shared" si="3"/>
        <v>244</v>
      </c>
      <c r="Q41" s="18" t="str">
        <f>INDEX(Chapter,MATCH(P41,Chapter!$A$1:$A$681,0),8)</f>
        <v>בטיחות בדרכים</v>
      </c>
      <c r="R41" s="18" t="str">
        <f t="shared" si="4"/>
        <v>2447</v>
      </c>
      <c r="S41" s="18" t="e">
        <f>INDEX(Chapter,MATCH(R41,Chapter!$A$1:$A$681,0),8)</f>
        <v>#N/A</v>
      </c>
      <c r="T41" s="18"/>
      <c r="U41" s="18" t="str">
        <f t="shared" si="5"/>
        <v>2</v>
      </c>
      <c r="V41" s="18" t="str">
        <f>IF($L41&lt;"6",INDEX(Revenue_type,MATCH(U41*1,type!$A$118:$A$168,0),8),INDEX(Expenditure_type,MATCH(U41*1,type!$A$2:$A$117,0),8))</f>
        <v>אגרות</v>
      </c>
      <c r="W41" s="18" t="str">
        <f t="shared" si="6"/>
        <v>21</v>
      </c>
      <c r="X41" s="18" t="str">
        <f>IF($L41&lt;"6",INDEX(Revenue_type,MATCH(W41*1,type!$A$118:$A$168,0),8),INDEX(Expenditure_type,MATCH(W41*1,type!$A$2:$A$117,0),8))</f>
        <v>אגרות מים וביוב</v>
      </c>
      <c r="Y41" s="18" t="str">
        <f t="shared" si="7"/>
        <v>210</v>
      </c>
      <c r="Z41" s="18" t="e">
        <f>IF($L41&lt;"6",INDEX(Revenue_type,MATCH(Y41*1,type!$A$118:$A$168,0),8),INDEX(Expenditure_type,MATCH(Y41*1,type!$A$2:$A$117,0),8))</f>
        <v>#N/A</v>
      </c>
    </row>
    <row r="42" spans="1:26" ht="15.75" hidden="1" customHeight="1">
      <c r="A42" s="482">
        <v>830</v>
      </c>
      <c r="B42" s="485" t="s">
        <v>7657</v>
      </c>
      <c r="C42">
        <v>1</v>
      </c>
      <c r="D42" t="str">
        <f t="shared" si="0"/>
        <v>1245000.830</v>
      </c>
      <c r="E42" s="492" t="s">
        <v>7726</v>
      </c>
      <c r="H42" s="470">
        <v>-40000000</v>
      </c>
      <c r="I42" s="470">
        <v>-40000000</v>
      </c>
      <c r="J42" s="470">
        <v>-71000000</v>
      </c>
      <c r="K42" s="18"/>
      <c r="L42" s="18" t="str">
        <f t="shared" si="1"/>
        <v>2</v>
      </c>
      <c r="M42" s="18" t="str">
        <f>INDEX(Chapter,MATCH(L42,Chapter!$A$1:$A$681,0),8)</f>
        <v>שירותים מקומיים</v>
      </c>
      <c r="N42" s="18" t="str">
        <f t="shared" si="2"/>
        <v>24</v>
      </c>
      <c r="O42" s="18" t="str">
        <f>INDEX(Chapter,MATCH(N42,Chapter!$A$1:$A$681,0),8)</f>
        <v>נכסים ציבוריים</v>
      </c>
      <c r="P42" s="18" t="str">
        <f t="shared" si="3"/>
        <v>245</v>
      </c>
      <c r="Q42" s="18" t="str">
        <f>INDEX(Chapter,MATCH(P42,Chapter!$A$1:$A$681,0),8)</f>
        <v>תיעול וניקוז</v>
      </c>
      <c r="R42" s="18" t="str">
        <f t="shared" si="4"/>
        <v>2450</v>
      </c>
      <c r="S42" s="18" t="e">
        <f>INDEX(Chapter,MATCH(R42,Chapter!$A$1:$A$681,0),8)</f>
        <v>#N/A</v>
      </c>
      <c r="T42" s="18"/>
      <c r="U42" s="18" t="str">
        <f t="shared" si="5"/>
        <v>8</v>
      </c>
      <c r="V42" s="18" t="str">
        <f>IF($L42&lt;"6",INDEX(Revenue_type,MATCH(U42*1,type!$A$118:$A$168,0),8),INDEX(Expenditure_type,MATCH(U42*1,type!$A$2:$A$117,0),8))</f>
        <v>השתתפויות בעלים ע"ח עבודות פיתוח</v>
      </c>
      <c r="W42" s="18" t="str">
        <f t="shared" si="6"/>
        <v>83</v>
      </c>
      <c r="X42" s="18" t="e">
        <f>IF($L42&lt;"6",INDEX(Revenue_type,MATCH(W42*1,type!$A$118:$A$168,0),8),INDEX(Expenditure_type,MATCH(W42*1,type!$A$2:$A$117,0),8))</f>
        <v>#N/A</v>
      </c>
      <c r="Y42" s="18" t="str">
        <f t="shared" si="7"/>
        <v>830</v>
      </c>
      <c r="Z42" s="18" t="e">
        <f>IF($L42&lt;"6",INDEX(Revenue_type,MATCH(Y42*1,type!$A$118:$A$168,0),8),INDEX(Expenditure_type,MATCH(Y42*1,type!$A$2:$A$117,0),8))</f>
        <v>#N/A</v>
      </c>
    </row>
    <row r="43" spans="1:26" ht="15.75" hidden="1" customHeight="1">
      <c r="A43" s="482">
        <v>210</v>
      </c>
      <c r="B43" s="485" t="s">
        <v>7658</v>
      </c>
      <c r="C43">
        <v>1</v>
      </c>
      <c r="D43" t="str">
        <f t="shared" si="0"/>
        <v>1246000.210</v>
      </c>
      <c r="E43" s="492" t="s">
        <v>7727</v>
      </c>
      <c r="H43" s="470">
        <v>-600000</v>
      </c>
      <c r="I43" s="470">
        <v>-600000</v>
      </c>
      <c r="J43" s="470">
        <v>-657688</v>
      </c>
      <c r="K43" s="18"/>
      <c r="L43" s="18" t="str">
        <f t="shared" si="1"/>
        <v>2</v>
      </c>
      <c r="M43" s="18" t="str">
        <f>INDEX(Chapter,MATCH(L43,Chapter!$A$1:$A$681,0),8)</f>
        <v>שירותים מקומיים</v>
      </c>
      <c r="N43" s="18" t="str">
        <f t="shared" si="2"/>
        <v>24</v>
      </c>
      <c r="O43" s="18" t="str">
        <f>INDEX(Chapter,MATCH(N43,Chapter!$A$1:$A$681,0),8)</f>
        <v>נכסים ציבוריים</v>
      </c>
      <c r="P43" s="18" t="str">
        <f t="shared" si="3"/>
        <v>246</v>
      </c>
      <c r="Q43" s="18" t="str">
        <f>INDEX(Chapter,MATCH(P43,Chapter!$A$1:$A$681,0),8)</f>
        <v>גנים ונטיעות</v>
      </c>
      <c r="R43" s="18" t="str">
        <f t="shared" si="4"/>
        <v>2460</v>
      </c>
      <c r="S43" s="18" t="e">
        <f>INDEX(Chapter,MATCH(R43,Chapter!$A$1:$A$681,0),8)</f>
        <v>#N/A</v>
      </c>
      <c r="T43" s="18"/>
      <c r="U43" s="18" t="str">
        <f t="shared" si="5"/>
        <v>2</v>
      </c>
      <c r="V43" s="18" t="str">
        <f>IF($L43&lt;"6",INDEX(Revenue_type,MATCH(U43*1,type!$A$118:$A$168,0),8),INDEX(Expenditure_type,MATCH(U43*1,type!$A$2:$A$117,0),8))</f>
        <v>אגרות</v>
      </c>
      <c r="W43" s="18" t="str">
        <f t="shared" si="6"/>
        <v>21</v>
      </c>
      <c r="X43" s="18" t="str">
        <f>IF($L43&lt;"6",INDEX(Revenue_type,MATCH(W43*1,type!$A$118:$A$168,0),8),INDEX(Expenditure_type,MATCH(W43*1,type!$A$2:$A$117,0),8))</f>
        <v>אגרות מים וביוב</v>
      </c>
      <c r="Y43" s="18" t="str">
        <f t="shared" si="7"/>
        <v>210</v>
      </c>
      <c r="Z43" s="18" t="e">
        <f>IF($L43&lt;"6",INDEX(Revenue_type,MATCH(Y43*1,type!$A$118:$A$168,0),8),INDEX(Expenditure_type,MATCH(Y43*1,type!$A$2:$A$117,0),8))</f>
        <v>#N/A</v>
      </c>
    </row>
    <row r="44" spans="1:26" ht="15.75" hidden="1" customHeight="1">
      <c r="A44" s="482">
        <v>210</v>
      </c>
      <c r="B44" s="485" t="s">
        <v>7659</v>
      </c>
      <c r="C44">
        <v>1</v>
      </c>
      <c r="D44" t="str">
        <f t="shared" si="0"/>
        <v>1247500.210</v>
      </c>
      <c r="E44" s="492" t="s">
        <v>7728</v>
      </c>
      <c r="H44" s="470">
        <v>0</v>
      </c>
      <c r="I44" s="470">
        <v>0</v>
      </c>
      <c r="J44" s="470">
        <v>-4870</v>
      </c>
      <c r="K44" s="18"/>
      <c r="L44" s="18" t="str">
        <f t="shared" si="1"/>
        <v>2</v>
      </c>
      <c r="M44" s="18" t="str">
        <f>INDEX(Chapter,MATCH(L44,Chapter!$A$1:$A$681,0),8)</f>
        <v>שירותים מקומיים</v>
      </c>
      <c r="N44" s="18" t="str">
        <f t="shared" si="2"/>
        <v>24</v>
      </c>
      <c r="O44" s="18" t="str">
        <f>INDEX(Chapter,MATCH(N44,Chapter!$A$1:$A$681,0),8)</f>
        <v>נכסים ציבוריים</v>
      </c>
      <c r="P44" s="18" t="str">
        <f t="shared" si="3"/>
        <v>247</v>
      </c>
      <c r="Q44" s="18" t="str">
        <f>INDEX(Chapter,MATCH(P44,Chapter!$A$1:$A$681,0),8)</f>
        <v>חופים, בריכות ומרחצאות</v>
      </c>
      <c r="R44" s="18" t="str">
        <f t="shared" si="4"/>
        <v>2475</v>
      </c>
      <c r="S44" s="18" t="e">
        <f>INDEX(Chapter,MATCH(R44,Chapter!$A$1:$A$681,0),8)</f>
        <v>#N/A</v>
      </c>
      <c r="T44" s="18"/>
      <c r="U44" s="18" t="str">
        <f t="shared" si="5"/>
        <v>2</v>
      </c>
      <c r="V44" s="18" t="str">
        <f>IF($L44&lt;"6",INDEX(Revenue_type,MATCH(U44*1,type!$A$118:$A$168,0),8),INDEX(Expenditure_type,MATCH(U44*1,type!$A$2:$A$117,0),8))</f>
        <v>אגרות</v>
      </c>
      <c r="W44" s="18" t="str">
        <f t="shared" si="6"/>
        <v>21</v>
      </c>
      <c r="X44" s="18" t="str">
        <f>IF($L44&lt;"6",INDEX(Revenue_type,MATCH(W44*1,type!$A$118:$A$168,0),8),INDEX(Expenditure_type,MATCH(W44*1,type!$A$2:$A$117,0),8))</f>
        <v>אגרות מים וביוב</v>
      </c>
      <c r="Y44" s="18" t="str">
        <f t="shared" si="7"/>
        <v>210</v>
      </c>
      <c r="Z44" s="18" t="e">
        <f>IF($L44&lt;"6",INDEX(Revenue_type,MATCH(Y44*1,type!$A$118:$A$168,0),8),INDEX(Expenditure_type,MATCH(Y44*1,type!$A$2:$A$117,0),8))</f>
        <v>#N/A</v>
      </c>
    </row>
    <row r="45" spans="1:26" ht="15.75" hidden="1" customHeight="1">
      <c r="A45" s="482">
        <v>410</v>
      </c>
      <c r="B45" s="485" t="s">
        <v>7660</v>
      </c>
      <c r="C45">
        <v>1</v>
      </c>
      <c r="D45" t="str">
        <f t="shared" si="0"/>
        <v>1247400.410</v>
      </c>
      <c r="E45" s="492" t="s">
        <v>7729</v>
      </c>
      <c r="H45" s="470">
        <v>-680000</v>
      </c>
      <c r="I45" s="470">
        <v>-680000</v>
      </c>
      <c r="J45" s="470">
        <v>-746509</v>
      </c>
      <c r="K45" s="18"/>
      <c r="L45" s="18" t="str">
        <f t="shared" si="1"/>
        <v>2</v>
      </c>
      <c r="M45" s="18" t="str">
        <f>INDEX(Chapter,MATCH(L45,Chapter!$A$1:$A$681,0),8)</f>
        <v>שירותים מקומיים</v>
      </c>
      <c r="N45" s="18" t="str">
        <f t="shared" si="2"/>
        <v>24</v>
      </c>
      <c r="O45" s="18" t="str">
        <f>INDEX(Chapter,MATCH(N45,Chapter!$A$1:$A$681,0),8)</f>
        <v>נכסים ציבוריים</v>
      </c>
      <c r="P45" s="18" t="str">
        <f t="shared" si="3"/>
        <v>247</v>
      </c>
      <c r="Q45" s="18" t="str">
        <f>INDEX(Chapter,MATCH(P45,Chapter!$A$1:$A$681,0),8)</f>
        <v>חופים, בריכות ומרחצאות</v>
      </c>
      <c r="R45" s="18" t="str">
        <f t="shared" si="4"/>
        <v>2474</v>
      </c>
      <c r="S45" s="18" t="str">
        <f>INDEX(Chapter,MATCH(R45,Chapter!$A$1:$A$681,0),8)</f>
        <v>מרחצאות</v>
      </c>
      <c r="T45" s="18"/>
      <c r="U45" s="18" t="str">
        <f t="shared" si="5"/>
        <v>4</v>
      </c>
      <c r="V45" s="18" t="str">
        <f>IF($L45&lt;"6",INDEX(Revenue_type,MATCH(U45*1,type!$A$118:$A$168,0),8),INDEX(Expenditure_type,MATCH(U45*1,type!$A$2:$A$117,0),8))</f>
        <v>שירותים ושכר לימוד</v>
      </c>
      <c r="W45" s="18" t="str">
        <f t="shared" si="6"/>
        <v>41</v>
      </c>
      <c r="X45" s="18" t="str">
        <f>IF($L45&lt;"6",INDEX(Revenue_type,MATCH(W45*1,type!$A$118:$A$168,0),8),INDEX(Expenditure_type,MATCH(W45*1,type!$A$2:$A$117,0),8))</f>
        <v>שכל"מ מתושבים</v>
      </c>
      <c r="Y45" s="18" t="str">
        <f t="shared" si="7"/>
        <v>410</v>
      </c>
      <c r="Z45" s="18" t="e">
        <f>IF($L45&lt;"6",INDEX(Revenue_type,MATCH(Y45*1,type!$A$118:$A$168,0),8),INDEX(Expenditure_type,MATCH(Y45*1,type!$A$2:$A$117,0),8))</f>
        <v>#N/A</v>
      </c>
    </row>
    <row r="46" spans="1:26" ht="15.75" hidden="1" customHeight="1">
      <c r="A46" s="482">
        <v>410</v>
      </c>
      <c r="B46" s="485" t="s">
        <v>7661</v>
      </c>
      <c r="C46">
        <v>1</v>
      </c>
      <c r="D46" t="str">
        <f t="shared" si="0"/>
        <v>1281000.410</v>
      </c>
      <c r="E46" s="492" t="s">
        <v>7730</v>
      </c>
      <c r="H46" s="470">
        <v>-3285000</v>
      </c>
      <c r="I46" s="470">
        <v>-3285000</v>
      </c>
      <c r="J46" s="470">
        <v>-2636305</v>
      </c>
      <c r="K46" s="18"/>
      <c r="L46" s="18" t="str">
        <f t="shared" si="1"/>
        <v>2</v>
      </c>
      <c r="M46" s="18" t="str">
        <f>INDEX(Chapter,MATCH(L46,Chapter!$A$1:$A$681,0),8)</f>
        <v>שירותים מקומיים</v>
      </c>
      <c r="N46" s="18" t="str">
        <f t="shared" si="2"/>
        <v>28</v>
      </c>
      <c r="O46" s="18" t="str">
        <f>INDEX(Chapter,MATCH(N46,Chapter!$A$1:$A$681,0),8)</f>
        <v>פיקוח עירוני</v>
      </c>
      <c r="P46" s="18" t="str">
        <f t="shared" si="3"/>
        <v>281</v>
      </c>
      <c r="Q46" s="18" t="str">
        <f>INDEX(Chapter,MATCH(P46,Chapter!$A$1:$A$681,0),8)</f>
        <v>פיקוח על חוקי עזר</v>
      </c>
      <c r="R46" s="18" t="str">
        <f t="shared" si="4"/>
        <v>2810</v>
      </c>
      <c r="S46" s="18" t="e">
        <f>INDEX(Chapter,MATCH(R46,Chapter!$A$1:$A$681,0),8)</f>
        <v>#N/A</v>
      </c>
      <c r="T46" s="18"/>
      <c r="U46" s="18" t="str">
        <f t="shared" si="5"/>
        <v>4</v>
      </c>
      <c r="V46" s="18" t="str">
        <f>IF($L46&lt;"6",INDEX(Revenue_type,MATCH(U46*1,type!$A$118:$A$168,0),8),INDEX(Expenditure_type,MATCH(U46*1,type!$A$2:$A$117,0),8))</f>
        <v>שירותים ושכר לימוד</v>
      </c>
      <c r="W46" s="18" t="str">
        <f t="shared" si="6"/>
        <v>41</v>
      </c>
      <c r="X46" s="18" t="str">
        <f>IF($L46&lt;"6",INDEX(Revenue_type,MATCH(W46*1,type!$A$118:$A$168,0),8),INDEX(Expenditure_type,MATCH(W46*1,type!$A$2:$A$117,0),8))</f>
        <v>שכל"מ מתושבים</v>
      </c>
      <c r="Y46" s="18" t="str">
        <f t="shared" si="7"/>
        <v>410</v>
      </c>
      <c r="Z46" s="18" t="e">
        <f>IF($L46&lt;"6",INDEX(Revenue_type,MATCH(Y46*1,type!$A$118:$A$168,0),8),INDEX(Expenditure_type,MATCH(Y46*1,type!$A$2:$A$117,0),8))</f>
        <v>#N/A</v>
      </c>
    </row>
    <row r="47" spans="1:26" ht="15.75" hidden="1" customHeight="1">
      <c r="A47" s="482">
        <v>410</v>
      </c>
      <c r="B47" s="485">
        <v>281005</v>
      </c>
      <c r="C47">
        <v>1</v>
      </c>
      <c r="D47" t="str">
        <f t="shared" si="0"/>
        <v>1281005.410</v>
      </c>
      <c r="E47" s="492" t="s">
        <v>7731</v>
      </c>
      <c r="H47" s="470">
        <v>-20000</v>
      </c>
      <c r="I47" s="470">
        <v>-20000</v>
      </c>
      <c r="J47" s="470">
        <v>-11701</v>
      </c>
      <c r="K47" s="18"/>
      <c r="L47" s="18" t="str">
        <f t="shared" si="1"/>
        <v>2</v>
      </c>
      <c r="M47" s="18" t="str">
        <f>INDEX(Chapter,MATCH(L47,Chapter!$A$1:$A$681,0),8)</f>
        <v>שירותים מקומיים</v>
      </c>
      <c r="N47" s="18" t="str">
        <f t="shared" si="2"/>
        <v>28</v>
      </c>
      <c r="O47" s="18" t="str">
        <f>INDEX(Chapter,MATCH(N47,Chapter!$A$1:$A$681,0),8)</f>
        <v>פיקוח עירוני</v>
      </c>
      <c r="P47" s="18" t="str">
        <f t="shared" si="3"/>
        <v>281</v>
      </c>
      <c r="Q47" s="18" t="str">
        <f>INDEX(Chapter,MATCH(P47,Chapter!$A$1:$A$681,0),8)</f>
        <v>פיקוח על חוקי עזר</v>
      </c>
      <c r="R47" s="18" t="str">
        <f t="shared" si="4"/>
        <v>2810</v>
      </c>
      <c r="S47" s="18" t="e">
        <f>INDEX(Chapter,MATCH(R47,Chapter!$A$1:$A$681,0),8)</f>
        <v>#N/A</v>
      </c>
      <c r="T47" s="18"/>
      <c r="U47" s="18" t="str">
        <f t="shared" si="5"/>
        <v>4</v>
      </c>
      <c r="V47" s="18" t="str">
        <f>IF($L47&lt;"6",INDEX(Revenue_type,MATCH(U47*1,type!$A$118:$A$168,0),8),INDEX(Expenditure_type,MATCH(U47*1,type!$A$2:$A$117,0),8))</f>
        <v>שירותים ושכר לימוד</v>
      </c>
      <c r="W47" s="18" t="str">
        <f t="shared" si="6"/>
        <v>41</v>
      </c>
      <c r="X47" s="18" t="str">
        <f>IF($L47&lt;"6",INDEX(Revenue_type,MATCH(W47*1,type!$A$118:$A$168,0),8),INDEX(Expenditure_type,MATCH(W47*1,type!$A$2:$A$117,0),8))</f>
        <v>שכל"מ מתושבים</v>
      </c>
      <c r="Y47" s="18" t="str">
        <f t="shared" si="7"/>
        <v>410</v>
      </c>
      <c r="Z47" s="18" t="e">
        <f>IF($L47&lt;"6",INDEX(Revenue_type,MATCH(Y47*1,type!$A$118:$A$168,0),8),INDEX(Expenditure_type,MATCH(Y47*1,type!$A$2:$A$117,0),8))</f>
        <v>#N/A</v>
      </c>
    </row>
    <row r="48" spans="1:26" ht="15.75" hidden="1" customHeight="1">
      <c r="A48" s="482">
        <v>410</v>
      </c>
      <c r="B48" s="485">
        <v>281006</v>
      </c>
      <c r="C48">
        <v>1</v>
      </c>
      <c r="D48" t="str">
        <f t="shared" si="0"/>
        <v>1281006.410</v>
      </c>
      <c r="E48" s="492" t="s">
        <v>7732</v>
      </c>
      <c r="H48" s="470">
        <v>0</v>
      </c>
      <c r="I48" s="470">
        <v>0</v>
      </c>
      <c r="J48" s="470">
        <v>-94950</v>
      </c>
      <c r="K48" s="18"/>
      <c r="L48" s="18" t="str">
        <f t="shared" si="1"/>
        <v>2</v>
      </c>
      <c r="M48" s="18" t="str">
        <f>INDEX(Chapter,MATCH(L48,Chapter!$A$1:$A$681,0),8)</f>
        <v>שירותים מקומיים</v>
      </c>
      <c r="N48" s="18" t="str">
        <f t="shared" si="2"/>
        <v>28</v>
      </c>
      <c r="O48" s="18" t="str">
        <f>INDEX(Chapter,MATCH(N48,Chapter!$A$1:$A$681,0),8)</f>
        <v>פיקוח עירוני</v>
      </c>
      <c r="P48" s="18" t="str">
        <f t="shared" si="3"/>
        <v>281</v>
      </c>
      <c r="Q48" s="18" t="str">
        <f>INDEX(Chapter,MATCH(P48,Chapter!$A$1:$A$681,0),8)</f>
        <v>פיקוח על חוקי עזר</v>
      </c>
      <c r="R48" s="18" t="str">
        <f t="shared" si="4"/>
        <v>2810</v>
      </c>
      <c r="S48" s="18" t="e">
        <f>INDEX(Chapter,MATCH(R48,Chapter!$A$1:$A$681,0),8)</f>
        <v>#N/A</v>
      </c>
      <c r="T48" s="18"/>
      <c r="U48" s="18" t="str">
        <f t="shared" si="5"/>
        <v>4</v>
      </c>
      <c r="V48" s="18" t="str">
        <f>IF($L48&lt;"6",INDEX(Revenue_type,MATCH(U48*1,type!$A$118:$A$168,0),8),INDEX(Expenditure_type,MATCH(U48*1,type!$A$2:$A$117,0),8))</f>
        <v>שירותים ושכר לימוד</v>
      </c>
      <c r="W48" s="18" t="str">
        <f t="shared" si="6"/>
        <v>41</v>
      </c>
      <c r="X48" s="18" t="str">
        <f>IF($L48&lt;"6",INDEX(Revenue_type,MATCH(W48*1,type!$A$118:$A$168,0),8),INDEX(Expenditure_type,MATCH(W48*1,type!$A$2:$A$117,0),8))</f>
        <v>שכל"מ מתושבים</v>
      </c>
      <c r="Y48" s="18" t="str">
        <f t="shared" si="7"/>
        <v>410</v>
      </c>
      <c r="Z48" s="18" t="e">
        <f>IF($L48&lt;"6",INDEX(Revenue_type,MATCH(Y48*1,type!$A$118:$A$168,0),8),INDEX(Expenditure_type,MATCH(Y48*1,type!$A$2:$A$117,0),8))</f>
        <v>#N/A</v>
      </c>
    </row>
    <row r="49" spans="1:26" ht="15.75" hidden="1" customHeight="1">
      <c r="A49" s="482">
        <v>920</v>
      </c>
      <c r="B49" s="485" t="s">
        <v>7662</v>
      </c>
      <c r="C49">
        <v>1</v>
      </c>
      <c r="D49" t="str">
        <f t="shared" si="0"/>
        <v>1311400.920</v>
      </c>
      <c r="E49" s="492" t="s">
        <v>7733</v>
      </c>
      <c r="H49" s="470">
        <v>0</v>
      </c>
      <c r="I49" s="470">
        <v>0</v>
      </c>
      <c r="J49" s="470">
        <v>-15667</v>
      </c>
      <c r="K49" s="18"/>
      <c r="L49" s="18" t="str">
        <f t="shared" si="1"/>
        <v>3</v>
      </c>
      <c r="M49" s="18" t="str">
        <f>INDEX(Chapter,MATCH(L49,Chapter!$A$1:$A$681,0),8)</f>
        <v>שירותים ממלכתיים</v>
      </c>
      <c r="N49" s="18" t="str">
        <f t="shared" si="2"/>
        <v>31</v>
      </c>
      <c r="O49" s="18" t="str">
        <f>INDEX(Chapter,MATCH(N49,Chapter!$A$1:$A$681,0),8)</f>
        <v>חינוך</v>
      </c>
      <c r="P49" s="18" t="str">
        <f t="shared" si="3"/>
        <v>311</v>
      </c>
      <c r="Q49" s="18" t="str">
        <f>INDEX(Chapter,MATCH(P49,Chapter!$A$1:$A$681,0),8)</f>
        <v>מינהל החינוך</v>
      </c>
      <c r="R49" s="18" t="str">
        <f t="shared" si="4"/>
        <v>3114</v>
      </c>
      <c r="S49" s="18" t="e">
        <f>INDEX(Chapter,MATCH(R49,Chapter!$A$1:$A$681,0),8)</f>
        <v>#N/A</v>
      </c>
      <c r="T49" s="18"/>
      <c r="U49" s="18" t="str">
        <f t="shared" si="5"/>
        <v>9</v>
      </c>
      <c r="V49" s="18" t="str">
        <f>IF($L49&lt;"6",INDEX(Revenue_type,MATCH(U49*1,type!$A$118:$A$168,0),8),INDEX(Expenditure_type,MATCH(U49*1,type!$A$2:$A$117,0),8))</f>
        <v>השתתפות משרדי ממשלה</v>
      </c>
      <c r="W49" s="18" t="str">
        <f t="shared" si="6"/>
        <v>92</v>
      </c>
      <c r="X49" s="18" t="str">
        <f>IF($L49&lt;"6",INDEX(Revenue_type,MATCH(W49*1,type!$A$118:$A$168,0),8),INDEX(Expenditure_type,MATCH(W49*1,type!$A$2:$A$117,0),8))</f>
        <v>השתתפות משרד החינוך והתרבות</v>
      </c>
      <c r="Y49" s="18" t="str">
        <f t="shared" si="7"/>
        <v>920</v>
      </c>
      <c r="Z49" s="18" t="e">
        <f>IF($L49&lt;"6",INDEX(Revenue_type,MATCH(Y49*1,type!$A$118:$A$168,0),8),INDEX(Expenditure_type,MATCH(Y49*1,type!$A$2:$A$117,0),8))</f>
        <v>#N/A</v>
      </c>
    </row>
    <row r="50" spans="1:26" ht="15.75" hidden="1" customHeight="1">
      <c r="A50" s="482">
        <v>930</v>
      </c>
      <c r="B50" s="485">
        <v>311006</v>
      </c>
      <c r="C50">
        <v>1</v>
      </c>
      <c r="D50" t="str">
        <f t="shared" si="0"/>
        <v>1311006.930</v>
      </c>
      <c r="E50" s="492" t="s">
        <v>7734</v>
      </c>
      <c r="H50" s="470">
        <v>0</v>
      </c>
      <c r="I50" s="470">
        <v>0</v>
      </c>
      <c r="J50" s="470">
        <v>-56420</v>
      </c>
      <c r="K50" s="18"/>
      <c r="L50" s="18" t="str">
        <f t="shared" si="1"/>
        <v>3</v>
      </c>
      <c r="M50" s="18" t="str">
        <f>INDEX(Chapter,MATCH(L50,Chapter!$A$1:$A$681,0),8)</f>
        <v>שירותים ממלכתיים</v>
      </c>
      <c r="N50" s="18" t="str">
        <f t="shared" si="2"/>
        <v>31</v>
      </c>
      <c r="O50" s="18" t="str">
        <f>INDEX(Chapter,MATCH(N50,Chapter!$A$1:$A$681,0),8)</f>
        <v>חינוך</v>
      </c>
      <c r="P50" s="18" t="str">
        <f t="shared" si="3"/>
        <v>311</v>
      </c>
      <c r="Q50" s="18" t="str">
        <f>INDEX(Chapter,MATCH(P50,Chapter!$A$1:$A$681,0),8)</f>
        <v>מינהל החינוך</v>
      </c>
      <c r="R50" s="18" t="str">
        <f t="shared" si="4"/>
        <v>3110</v>
      </c>
      <c r="S50" s="18" t="e">
        <f>INDEX(Chapter,MATCH(R50,Chapter!$A$1:$A$681,0),8)</f>
        <v>#N/A</v>
      </c>
      <c r="T50" s="18"/>
      <c r="U50" s="18" t="str">
        <f t="shared" si="5"/>
        <v>9</v>
      </c>
      <c r="V50" s="18" t="str">
        <f>IF($L50&lt;"6",INDEX(Revenue_type,MATCH(U50*1,type!$A$118:$A$168,0),8),INDEX(Expenditure_type,MATCH(U50*1,type!$A$2:$A$117,0),8))</f>
        <v>השתתפות משרדי ממשלה</v>
      </c>
      <c r="W50" s="18" t="str">
        <f t="shared" si="6"/>
        <v>93</v>
      </c>
      <c r="X50" s="18" t="str">
        <f>IF($L50&lt;"6",INDEX(Revenue_type,MATCH(W50*1,type!$A$118:$A$168,0),8),INDEX(Expenditure_type,MATCH(W50*1,type!$A$2:$A$117,0),8))</f>
        <v>השתתפות משרד העבודה והרווחה</v>
      </c>
      <c r="Y50" s="18" t="str">
        <f t="shared" si="7"/>
        <v>930</v>
      </c>
      <c r="Z50" s="18" t="e">
        <f>IF($L50&lt;"6",INDEX(Revenue_type,MATCH(Y50*1,type!$A$118:$A$168,0),8),INDEX(Expenditure_type,MATCH(Y50*1,type!$A$2:$A$117,0),8))</f>
        <v>#N/A</v>
      </c>
    </row>
    <row r="51" spans="1:26" ht="18.75" hidden="1" customHeight="1">
      <c r="A51" s="482">
        <v>770</v>
      </c>
      <c r="B51" s="485">
        <v>312229</v>
      </c>
      <c r="C51">
        <v>1</v>
      </c>
      <c r="D51" t="str">
        <f t="shared" si="0"/>
        <v>1312229.770</v>
      </c>
      <c r="E51" s="492" t="s">
        <v>7735</v>
      </c>
      <c r="H51" s="470">
        <v>-300000</v>
      </c>
      <c r="I51" s="470">
        <v>-300000</v>
      </c>
      <c r="J51" s="470">
        <v>-222642</v>
      </c>
      <c r="K51" s="18"/>
      <c r="L51" s="18" t="str">
        <f t="shared" si="1"/>
        <v>3</v>
      </c>
      <c r="M51" s="18" t="str">
        <f>INDEX(Chapter,MATCH(L51,Chapter!$A$1:$A$681,0),8)</f>
        <v>שירותים ממלכתיים</v>
      </c>
      <c r="N51" s="18" t="str">
        <f t="shared" si="2"/>
        <v>31</v>
      </c>
      <c r="O51" s="18" t="str">
        <f>INDEX(Chapter,MATCH(N51,Chapter!$A$1:$A$681,0),8)</f>
        <v>חינוך</v>
      </c>
      <c r="P51" s="18" t="str">
        <f t="shared" si="3"/>
        <v>312</v>
      </c>
      <c r="Q51" s="18" t="str">
        <f>INDEX(Chapter,MATCH(P51,Chapter!$A$1:$A$681,0),8)</f>
        <v>חינוך קדם יסודי</v>
      </c>
      <c r="R51" s="18" t="str">
        <f t="shared" si="4"/>
        <v>3122</v>
      </c>
      <c r="S51" s="18" t="str">
        <f>INDEX(Chapter,MATCH(R51,Chapter!$A$1:$A$681,0),8)</f>
        <v>גני ילדים גיל חובה</v>
      </c>
      <c r="T51" s="18"/>
      <c r="U51" s="18" t="str">
        <f t="shared" si="5"/>
        <v>7</v>
      </c>
      <c r="V51" s="18" t="str">
        <f>IF($L51&lt;"6",INDEX(Revenue_type,MATCH(U51*1,type!$A$118:$A$168,0),8),INDEX(Expenditure_type,MATCH(U51*1,type!$A$2:$A$117,0),8))</f>
        <v>השתתפות מוסדות ותרומות</v>
      </c>
      <c r="W51" s="18" t="str">
        <f t="shared" si="6"/>
        <v>77</v>
      </c>
      <c r="X51" s="18" t="str">
        <f>IF($L51&lt;"6",INDEX(Revenue_type,MATCH(W51*1,type!$A$118:$A$168,0),8),INDEX(Expenditure_type,MATCH(W51*1,type!$A$2:$A$117,0),8))</f>
        <v>השתתפות קהילות מחו"ל</v>
      </c>
      <c r="Y51" s="18" t="str">
        <f t="shared" si="7"/>
        <v>770</v>
      </c>
      <c r="Z51" s="18" t="e">
        <f>IF($L51&lt;"6",INDEX(Revenue_type,MATCH(Y51*1,type!$A$118:$A$168,0),8),INDEX(Expenditure_type,MATCH(Y51*1,type!$A$2:$A$117,0),8))</f>
        <v>#N/A</v>
      </c>
    </row>
    <row r="52" spans="1:26" ht="18.75" hidden="1" customHeight="1">
      <c r="A52" s="482">
        <v>920</v>
      </c>
      <c r="B52" s="485">
        <v>312220</v>
      </c>
      <c r="C52">
        <v>1</v>
      </c>
      <c r="D52" t="str">
        <f t="shared" si="0"/>
        <v>1312220.920</v>
      </c>
      <c r="E52" s="492" t="s">
        <v>7736</v>
      </c>
      <c r="H52" s="470">
        <v>-16000000</v>
      </c>
      <c r="I52" s="470">
        <v>-14500000</v>
      </c>
      <c r="J52" s="470">
        <v>-14468016</v>
      </c>
      <c r="K52" s="18"/>
      <c r="L52" s="18" t="str">
        <f t="shared" si="1"/>
        <v>3</v>
      </c>
      <c r="M52" s="18" t="str">
        <f>INDEX(Chapter,MATCH(L52,Chapter!$A$1:$A$681,0),8)</f>
        <v>שירותים ממלכתיים</v>
      </c>
      <c r="N52" s="18" t="str">
        <f t="shared" si="2"/>
        <v>31</v>
      </c>
      <c r="O52" s="18" t="str">
        <f>INDEX(Chapter,MATCH(N52,Chapter!$A$1:$A$681,0),8)</f>
        <v>חינוך</v>
      </c>
      <c r="P52" s="18" t="str">
        <f t="shared" si="3"/>
        <v>312</v>
      </c>
      <c r="Q52" s="18" t="str">
        <f>INDEX(Chapter,MATCH(P52,Chapter!$A$1:$A$681,0),8)</f>
        <v>חינוך קדם יסודי</v>
      </c>
      <c r="R52" s="18" t="str">
        <f t="shared" si="4"/>
        <v>3122</v>
      </c>
      <c r="S52" s="18" t="str">
        <f>INDEX(Chapter,MATCH(R52,Chapter!$A$1:$A$681,0),8)</f>
        <v>גני ילדים גיל חובה</v>
      </c>
      <c r="T52" s="18"/>
      <c r="U52" s="18" t="str">
        <f t="shared" si="5"/>
        <v>9</v>
      </c>
      <c r="V52" s="18" t="str">
        <f>IF($L52&lt;"6",INDEX(Revenue_type,MATCH(U52*1,type!$A$118:$A$168,0),8),INDEX(Expenditure_type,MATCH(U52*1,type!$A$2:$A$117,0),8))</f>
        <v>השתתפות משרדי ממשלה</v>
      </c>
      <c r="W52" s="18" t="str">
        <f t="shared" si="6"/>
        <v>92</v>
      </c>
      <c r="X52" s="18" t="str">
        <f>IF($L52&lt;"6",INDEX(Revenue_type,MATCH(W52*1,type!$A$118:$A$168,0),8),INDEX(Expenditure_type,MATCH(W52*1,type!$A$2:$A$117,0),8))</f>
        <v>השתתפות משרד החינוך והתרבות</v>
      </c>
      <c r="Y52" s="18" t="str">
        <f t="shared" si="7"/>
        <v>920</v>
      </c>
      <c r="Z52" s="18" t="e">
        <f>IF($L52&lt;"6",INDEX(Revenue_type,MATCH(Y52*1,type!$A$118:$A$168,0),8),INDEX(Expenditure_type,MATCH(Y52*1,type!$A$2:$A$117,0),8))</f>
        <v>#N/A</v>
      </c>
    </row>
    <row r="53" spans="1:26" ht="15.75" hidden="1" customHeight="1">
      <c r="A53" s="482">
        <v>710</v>
      </c>
      <c r="B53" s="485">
        <v>312220</v>
      </c>
      <c r="C53">
        <v>1</v>
      </c>
      <c r="D53" t="str">
        <f t="shared" si="0"/>
        <v>1312220.710</v>
      </c>
      <c r="E53" s="492" t="s">
        <v>7737</v>
      </c>
      <c r="H53" s="470">
        <v>-800000</v>
      </c>
      <c r="I53" s="470">
        <v>-700000</v>
      </c>
      <c r="J53" s="470">
        <v>-813349</v>
      </c>
      <c r="K53" s="18"/>
      <c r="L53" s="18" t="str">
        <f t="shared" si="1"/>
        <v>3</v>
      </c>
      <c r="M53" s="18" t="str">
        <f>INDEX(Chapter,MATCH(L53,Chapter!$A$1:$A$681,0),8)</f>
        <v>שירותים ממלכתיים</v>
      </c>
      <c r="N53" s="18" t="str">
        <f t="shared" si="2"/>
        <v>31</v>
      </c>
      <c r="O53" s="18" t="str">
        <f>INDEX(Chapter,MATCH(N53,Chapter!$A$1:$A$681,0),8)</f>
        <v>חינוך</v>
      </c>
      <c r="P53" s="18" t="str">
        <f t="shared" si="3"/>
        <v>312</v>
      </c>
      <c r="Q53" s="18" t="str">
        <f>INDEX(Chapter,MATCH(P53,Chapter!$A$1:$A$681,0),8)</f>
        <v>חינוך קדם יסודי</v>
      </c>
      <c r="R53" s="18" t="str">
        <f t="shared" si="4"/>
        <v>3122</v>
      </c>
      <c r="S53" s="18" t="str">
        <f>INDEX(Chapter,MATCH(R53,Chapter!$A$1:$A$681,0),8)</f>
        <v>גני ילדים גיל חובה</v>
      </c>
      <c r="T53" s="18"/>
      <c r="U53" s="18" t="str">
        <f t="shared" si="5"/>
        <v>7</v>
      </c>
      <c r="V53" s="18" t="str">
        <f>IF($L53&lt;"6",INDEX(Revenue_type,MATCH(U53*1,type!$A$118:$A$168,0),8),INDEX(Expenditure_type,MATCH(U53*1,type!$A$2:$A$117,0),8))</f>
        <v>השתתפות מוסדות ותרומות</v>
      </c>
      <c r="W53" s="18" t="str">
        <f t="shared" si="6"/>
        <v>71</v>
      </c>
      <c r="X53" s="18" t="str">
        <f>IF($L53&lt;"6",INDEX(Revenue_type,MATCH(W53*1,type!$A$118:$A$168,0),8),INDEX(Expenditure_type,MATCH(W53*1,type!$A$2:$A$117,0),8))</f>
        <v>השתתפות ועדים מקומיים</v>
      </c>
      <c r="Y53" s="18" t="str">
        <f t="shared" si="7"/>
        <v>710</v>
      </c>
      <c r="Z53" s="18" t="e">
        <f>IF($L53&lt;"6",INDEX(Revenue_type,MATCH(Y53*1,type!$A$118:$A$168,0),8),INDEX(Expenditure_type,MATCH(Y53*1,type!$A$2:$A$117,0),8))</f>
        <v>#N/A</v>
      </c>
    </row>
    <row r="54" spans="1:26" ht="15.75" hidden="1" customHeight="1">
      <c r="A54" s="482">
        <v>928</v>
      </c>
      <c r="B54" s="485">
        <v>312220</v>
      </c>
      <c r="C54">
        <v>1</v>
      </c>
      <c r="D54" t="str">
        <f t="shared" si="0"/>
        <v>1312220.928</v>
      </c>
      <c r="E54" s="492" t="s">
        <v>7738</v>
      </c>
      <c r="H54" s="470">
        <v>-24200000</v>
      </c>
      <c r="I54" s="470">
        <v>-21200000</v>
      </c>
      <c r="J54" s="470">
        <v>-16896126</v>
      </c>
      <c r="K54" s="18"/>
      <c r="L54" s="18" t="str">
        <f t="shared" si="1"/>
        <v>3</v>
      </c>
      <c r="M54" s="18" t="str">
        <f>INDEX(Chapter,MATCH(L54,Chapter!$A$1:$A$681,0),8)</f>
        <v>שירותים ממלכתיים</v>
      </c>
      <c r="N54" s="18" t="str">
        <f t="shared" si="2"/>
        <v>31</v>
      </c>
      <c r="O54" s="18" t="str">
        <f>INDEX(Chapter,MATCH(N54,Chapter!$A$1:$A$681,0),8)</f>
        <v>חינוך</v>
      </c>
      <c r="P54" s="18" t="str">
        <f t="shared" si="3"/>
        <v>312</v>
      </c>
      <c r="Q54" s="18" t="str">
        <f>INDEX(Chapter,MATCH(P54,Chapter!$A$1:$A$681,0),8)</f>
        <v>חינוך קדם יסודי</v>
      </c>
      <c r="R54" s="18" t="str">
        <f t="shared" si="4"/>
        <v>3122</v>
      </c>
      <c r="S54" s="18" t="str">
        <f>INDEX(Chapter,MATCH(R54,Chapter!$A$1:$A$681,0),8)</f>
        <v>גני ילדים גיל חובה</v>
      </c>
      <c r="T54" s="18"/>
      <c r="U54" s="18" t="str">
        <f t="shared" si="5"/>
        <v>9</v>
      </c>
      <c r="V54" s="18" t="str">
        <f>IF($L54&lt;"6",INDEX(Revenue_type,MATCH(U54*1,type!$A$118:$A$168,0),8),INDEX(Expenditure_type,MATCH(U54*1,type!$A$2:$A$117,0),8))</f>
        <v>השתתפות משרדי ממשלה</v>
      </c>
      <c r="W54" s="18" t="str">
        <f t="shared" si="6"/>
        <v>92</v>
      </c>
      <c r="X54" s="18" t="str">
        <f>IF($L54&lt;"6",INDEX(Revenue_type,MATCH(W54*1,type!$A$118:$A$168,0),8),INDEX(Expenditure_type,MATCH(W54*1,type!$A$2:$A$117,0),8))</f>
        <v>השתתפות משרד החינוך והתרבות</v>
      </c>
      <c r="Y54" s="18" t="str">
        <f t="shared" si="7"/>
        <v>928</v>
      </c>
      <c r="Z54" s="18" t="e">
        <f>IF($L54&lt;"6",INDEX(Revenue_type,MATCH(Y54*1,type!$A$118:$A$168,0),8),INDEX(Expenditure_type,MATCH(Y54*1,type!$A$2:$A$117,0),8))</f>
        <v>#N/A</v>
      </c>
    </row>
    <row r="55" spans="1:26" ht="15.75" hidden="1" customHeight="1">
      <c r="A55" s="482">
        <v>920</v>
      </c>
      <c r="B55" s="485">
        <v>312230</v>
      </c>
      <c r="C55">
        <v>1</v>
      </c>
      <c r="D55" t="str">
        <f t="shared" si="0"/>
        <v>1312230.920</v>
      </c>
      <c r="E55" s="492" t="s">
        <v>7739</v>
      </c>
      <c r="H55" s="470">
        <v>-25000000</v>
      </c>
      <c r="I55" s="470">
        <v>-24300000</v>
      </c>
      <c r="J55" s="470">
        <v>-26893148</v>
      </c>
      <c r="K55" s="18"/>
      <c r="L55" s="18" t="str">
        <f t="shared" si="1"/>
        <v>3</v>
      </c>
      <c r="M55" s="18" t="str">
        <f>INDEX(Chapter,MATCH(L55,Chapter!$A$1:$A$681,0),8)</f>
        <v>שירותים ממלכתיים</v>
      </c>
      <c r="N55" s="18" t="str">
        <f t="shared" si="2"/>
        <v>31</v>
      </c>
      <c r="O55" s="18" t="str">
        <f>INDEX(Chapter,MATCH(N55,Chapter!$A$1:$A$681,0),8)</f>
        <v>חינוך</v>
      </c>
      <c r="P55" s="18" t="str">
        <f t="shared" si="3"/>
        <v>312</v>
      </c>
      <c r="Q55" s="18" t="str">
        <f>INDEX(Chapter,MATCH(P55,Chapter!$A$1:$A$681,0),8)</f>
        <v>חינוך קדם יסודי</v>
      </c>
      <c r="R55" s="18" t="str">
        <f t="shared" si="4"/>
        <v>3122</v>
      </c>
      <c r="S55" s="18" t="str">
        <f>INDEX(Chapter,MATCH(R55,Chapter!$A$1:$A$681,0),8)</f>
        <v>גני ילדים גיל חובה</v>
      </c>
      <c r="T55" s="18"/>
      <c r="U55" s="18" t="str">
        <f t="shared" si="5"/>
        <v>9</v>
      </c>
      <c r="V55" s="18" t="str">
        <f>IF($L55&lt;"6",INDEX(Revenue_type,MATCH(U55*1,type!$A$118:$A$168,0),8),INDEX(Expenditure_type,MATCH(U55*1,type!$A$2:$A$117,0),8))</f>
        <v>השתתפות משרדי ממשלה</v>
      </c>
      <c r="W55" s="18" t="str">
        <f t="shared" si="6"/>
        <v>92</v>
      </c>
      <c r="X55" s="18" t="str">
        <f>IF($L55&lt;"6",INDEX(Revenue_type,MATCH(W55*1,type!$A$118:$A$168,0),8),INDEX(Expenditure_type,MATCH(W55*1,type!$A$2:$A$117,0),8))</f>
        <v>השתתפות משרד החינוך והתרבות</v>
      </c>
      <c r="Y55" s="18" t="str">
        <f t="shared" si="7"/>
        <v>920</v>
      </c>
      <c r="Z55" s="18" t="e">
        <f>IF($L55&lt;"6",INDEX(Revenue_type,MATCH(Y55*1,type!$A$118:$A$168,0),8),INDEX(Expenditure_type,MATCH(Y55*1,type!$A$2:$A$117,0),8))</f>
        <v>#N/A</v>
      </c>
    </row>
    <row r="56" spans="1:26" ht="15.75" hidden="1" customHeight="1">
      <c r="A56" s="482">
        <v>922</v>
      </c>
      <c r="B56" s="485">
        <v>312230</v>
      </c>
      <c r="C56">
        <v>1</v>
      </c>
      <c r="D56" t="str">
        <f t="shared" si="0"/>
        <v>1312230.922</v>
      </c>
      <c r="E56" s="492" t="s">
        <v>7740</v>
      </c>
      <c r="H56" s="470">
        <v>-1000000</v>
      </c>
      <c r="I56" s="470">
        <v>-900000</v>
      </c>
      <c r="J56" s="470">
        <v>-882976</v>
      </c>
      <c r="K56" s="18"/>
      <c r="L56" s="18" t="str">
        <f t="shared" si="1"/>
        <v>3</v>
      </c>
      <c r="M56" s="18" t="str">
        <f>INDEX(Chapter,MATCH(L56,Chapter!$A$1:$A$681,0),8)</f>
        <v>שירותים ממלכתיים</v>
      </c>
      <c r="N56" s="18" t="str">
        <f t="shared" si="2"/>
        <v>31</v>
      </c>
      <c r="O56" s="18" t="str">
        <f>INDEX(Chapter,MATCH(N56,Chapter!$A$1:$A$681,0),8)</f>
        <v>חינוך</v>
      </c>
      <c r="P56" s="18" t="str">
        <f t="shared" si="3"/>
        <v>312</v>
      </c>
      <c r="Q56" s="18" t="str">
        <f>INDEX(Chapter,MATCH(P56,Chapter!$A$1:$A$681,0),8)</f>
        <v>חינוך קדם יסודי</v>
      </c>
      <c r="R56" s="18" t="str">
        <f t="shared" si="4"/>
        <v>3122</v>
      </c>
      <c r="S56" s="18" t="str">
        <f>INDEX(Chapter,MATCH(R56,Chapter!$A$1:$A$681,0),8)</f>
        <v>גני ילדים גיל חובה</v>
      </c>
      <c r="T56" s="18"/>
      <c r="U56" s="18" t="str">
        <f t="shared" si="5"/>
        <v>9</v>
      </c>
      <c r="V56" s="18" t="str">
        <f>IF($L56&lt;"6",INDEX(Revenue_type,MATCH(U56*1,type!$A$118:$A$168,0),8),INDEX(Expenditure_type,MATCH(U56*1,type!$A$2:$A$117,0),8))</f>
        <v>השתתפות משרדי ממשלה</v>
      </c>
      <c r="W56" s="18" t="str">
        <f t="shared" si="6"/>
        <v>92</v>
      </c>
      <c r="X56" s="18" t="str">
        <f>IF($L56&lt;"6",INDEX(Revenue_type,MATCH(W56*1,type!$A$118:$A$168,0),8),INDEX(Expenditure_type,MATCH(W56*1,type!$A$2:$A$117,0),8))</f>
        <v>השתתפות משרד החינוך והתרבות</v>
      </c>
      <c r="Y56" s="18" t="str">
        <f t="shared" si="7"/>
        <v>922</v>
      </c>
      <c r="Z56" s="18" t="e">
        <f>IF($L56&lt;"6",INDEX(Revenue_type,MATCH(Y56*1,type!$A$118:$A$168,0),8),INDEX(Expenditure_type,MATCH(Y56*1,type!$A$2:$A$117,0),8))</f>
        <v>#N/A</v>
      </c>
    </row>
    <row r="57" spans="1:26" ht="15.75" hidden="1" customHeight="1">
      <c r="A57" s="482">
        <v>921</v>
      </c>
      <c r="B57" s="485">
        <v>312230</v>
      </c>
      <c r="C57">
        <v>1</v>
      </c>
      <c r="D57" t="str">
        <f t="shared" si="0"/>
        <v>1312230.921</v>
      </c>
      <c r="E57" s="492" t="s">
        <v>7741</v>
      </c>
      <c r="H57" s="470">
        <v>-2000000</v>
      </c>
      <c r="I57" s="470">
        <v>-1000000</v>
      </c>
      <c r="J57" s="470">
        <v>-1685398</v>
      </c>
      <c r="K57" s="18"/>
      <c r="L57" s="18" t="str">
        <f t="shared" si="1"/>
        <v>3</v>
      </c>
      <c r="M57" s="18" t="str">
        <f>INDEX(Chapter,MATCH(L57,Chapter!$A$1:$A$681,0),8)</f>
        <v>שירותים ממלכתיים</v>
      </c>
      <c r="N57" s="18" t="str">
        <f t="shared" si="2"/>
        <v>31</v>
      </c>
      <c r="O57" s="18" t="str">
        <f>INDEX(Chapter,MATCH(N57,Chapter!$A$1:$A$681,0),8)</f>
        <v>חינוך</v>
      </c>
      <c r="P57" s="18" t="str">
        <f t="shared" si="3"/>
        <v>312</v>
      </c>
      <c r="Q57" s="18" t="str">
        <f>INDEX(Chapter,MATCH(P57,Chapter!$A$1:$A$681,0),8)</f>
        <v>חינוך קדם יסודי</v>
      </c>
      <c r="R57" s="18" t="str">
        <f t="shared" si="4"/>
        <v>3122</v>
      </c>
      <c r="S57" s="18" t="str">
        <f>INDEX(Chapter,MATCH(R57,Chapter!$A$1:$A$681,0),8)</f>
        <v>גני ילדים גיל חובה</v>
      </c>
      <c r="T57" s="18"/>
      <c r="U57" s="18" t="str">
        <f t="shared" si="5"/>
        <v>9</v>
      </c>
      <c r="V57" s="18" t="str">
        <f>IF($L57&lt;"6",INDEX(Revenue_type,MATCH(U57*1,type!$A$118:$A$168,0),8),INDEX(Expenditure_type,MATCH(U57*1,type!$A$2:$A$117,0),8))</f>
        <v>השתתפות משרדי ממשלה</v>
      </c>
      <c r="W57" s="18" t="str">
        <f t="shared" si="6"/>
        <v>92</v>
      </c>
      <c r="X57" s="18" t="str">
        <f>IF($L57&lt;"6",INDEX(Revenue_type,MATCH(W57*1,type!$A$118:$A$168,0),8),INDEX(Expenditure_type,MATCH(W57*1,type!$A$2:$A$117,0),8))</f>
        <v>השתתפות משרד החינוך והתרבות</v>
      </c>
      <c r="Y57" s="18" t="str">
        <f t="shared" si="7"/>
        <v>921</v>
      </c>
      <c r="Z57" s="18" t="e">
        <f>IF($L57&lt;"6",INDEX(Revenue_type,MATCH(Y57*1,type!$A$118:$A$168,0),8),INDEX(Expenditure_type,MATCH(Y57*1,type!$A$2:$A$117,0),8))</f>
        <v>#N/A</v>
      </c>
    </row>
    <row r="58" spans="1:26" ht="15.75" hidden="1" customHeight="1">
      <c r="A58" s="482">
        <v>410</v>
      </c>
      <c r="B58" s="485">
        <v>312250</v>
      </c>
      <c r="C58">
        <v>1</v>
      </c>
      <c r="D58" t="str">
        <f t="shared" si="0"/>
        <v>1312250.410</v>
      </c>
      <c r="E58" s="492" t="s">
        <v>7742</v>
      </c>
      <c r="H58" s="470">
        <v>-2000000</v>
      </c>
      <c r="I58" s="470">
        <v>-2000000</v>
      </c>
      <c r="J58" s="470">
        <v>-2340748</v>
      </c>
      <c r="K58" s="18"/>
      <c r="L58" s="18" t="str">
        <f t="shared" si="1"/>
        <v>3</v>
      </c>
      <c r="M58" s="18" t="str">
        <f>INDEX(Chapter,MATCH(L58,Chapter!$A$1:$A$681,0),8)</f>
        <v>שירותים ממלכתיים</v>
      </c>
      <c r="N58" s="18" t="str">
        <f t="shared" si="2"/>
        <v>31</v>
      </c>
      <c r="O58" s="18" t="str">
        <f>INDEX(Chapter,MATCH(N58,Chapter!$A$1:$A$681,0),8)</f>
        <v>חינוך</v>
      </c>
      <c r="P58" s="18" t="str">
        <f t="shared" si="3"/>
        <v>312</v>
      </c>
      <c r="Q58" s="18" t="str">
        <f>INDEX(Chapter,MATCH(P58,Chapter!$A$1:$A$681,0),8)</f>
        <v>חינוך קדם יסודי</v>
      </c>
      <c r="R58" s="18" t="str">
        <f t="shared" si="4"/>
        <v>3122</v>
      </c>
      <c r="S58" s="18" t="str">
        <f>INDEX(Chapter,MATCH(R58,Chapter!$A$1:$A$681,0),8)</f>
        <v>גני ילדים גיל חובה</v>
      </c>
      <c r="T58" s="18"/>
      <c r="U58" s="18" t="str">
        <f t="shared" si="5"/>
        <v>4</v>
      </c>
      <c r="V58" s="18" t="str">
        <f>IF($L58&lt;"6",INDEX(Revenue_type,MATCH(U58*1,type!$A$118:$A$168,0),8),INDEX(Expenditure_type,MATCH(U58*1,type!$A$2:$A$117,0),8))</f>
        <v>שירותים ושכר לימוד</v>
      </c>
      <c r="W58" s="18" t="str">
        <f t="shared" si="6"/>
        <v>41</v>
      </c>
      <c r="X58" s="18" t="str">
        <f>IF($L58&lt;"6",INDEX(Revenue_type,MATCH(W58*1,type!$A$118:$A$168,0),8),INDEX(Expenditure_type,MATCH(W58*1,type!$A$2:$A$117,0),8))</f>
        <v>שכל"מ מתושבים</v>
      </c>
      <c r="Y58" s="18" t="str">
        <f t="shared" si="7"/>
        <v>410</v>
      </c>
      <c r="Z58" s="18" t="e">
        <f>IF($L58&lt;"6",INDEX(Revenue_type,MATCH(Y58*1,type!$A$118:$A$168,0),8),INDEX(Expenditure_type,MATCH(Y58*1,type!$A$2:$A$117,0),8))</f>
        <v>#N/A</v>
      </c>
    </row>
    <row r="59" spans="1:26" ht="15.75" hidden="1" customHeight="1">
      <c r="A59" s="482">
        <v>970</v>
      </c>
      <c r="B59" s="485">
        <v>313190</v>
      </c>
      <c r="C59">
        <v>1</v>
      </c>
      <c r="D59" t="str">
        <f t="shared" si="0"/>
        <v>1313190.970</v>
      </c>
      <c r="E59" s="492" t="s">
        <v>7743</v>
      </c>
      <c r="H59" s="470">
        <v>-1300000</v>
      </c>
      <c r="I59" s="470">
        <v>-1300000</v>
      </c>
      <c r="J59" s="470">
        <v>-1259929</v>
      </c>
      <c r="K59" s="18"/>
      <c r="L59" s="18" t="str">
        <f t="shared" si="1"/>
        <v>3</v>
      </c>
      <c r="M59" s="18" t="str">
        <f>INDEX(Chapter,MATCH(L59,Chapter!$A$1:$A$681,0),8)</f>
        <v>שירותים ממלכתיים</v>
      </c>
      <c r="N59" s="18" t="str">
        <f t="shared" si="2"/>
        <v>31</v>
      </c>
      <c r="O59" s="18" t="str">
        <f>INDEX(Chapter,MATCH(N59,Chapter!$A$1:$A$681,0),8)</f>
        <v>חינוך</v>
      </c>
      <c r="P59" s="18" t="str">
        <f t="shared" si="3"/>
        <v>313</v>
      </c>
      <c r="Q59" s="18" t="str">
        <f>INDEX(Chapter,MATCH(P59,Chapter!$A$1:$A$681,0),8)</f>
        <v>חינוך יסודי</v>
      </c>
      <c r="R59" s="18" t="str">
        <f t="shared" si="4"/>
        <v>3131</v>
      </c>
      <c r="S59" s="18" t="str">
        <f>INDEX(Chapter,MATCH(R59,Chapter!$A$1:$A$681,0),8)</f>
        <v>מינהל החינוך היסודי</v>
      </c>
      <c r="T59" s="18"/>
      <c r="U59" s="18" t="str">
        <f t="shared" si="5"/>
        <v>9</v>
      </c>
      <c r="V59" s="18" t="str">
        <f>IF($L59&lt;"6",INDEX(Revenue_type,MATCH(U59*1,type!$A$118:$A$168,0),8),INDEX(Expenditure_type,MATCH(U59*1,type!$A$2:$A$117,0),8))</f>
        <v>השתתפות משרדי ממשלה</v>
      </c>
      <c r="W59" s="18" t="str">
        <f t="shared" si="6"/>
        <v>97</v>
      </c>
      <c r="X59" s="18" t="str">
        <f>IF($L59&lt;"6",INDEX(Revenue_type,MATCH(W59*1,type!$A$118:$A$168,0),8),INDEX(Expenditure_type,MATCH(W59*1,type!$A$2:$A$117,0),8))</f>
        <v>השתתפות משרד הביטחון</v>
      </c>
      <c r="Y59" s="18" t="str">
        <f t="shared" si="7"/>
        <v>970</v>
      </c>
      <c r="Z59" s="18" t="e">
        <f>IF($L59&lt;"6",INDEX(Revenue_type,MATCH(Y59*1,type!$A$118:$A$168,0),8),INDEX(Expenditure_type,MATCH(Y59*1,type!$A$2:$A$117,0),8))</f>
        <v>#N/A</v>
      </c>
    </row>
    <row r="60" spans="1:26" ht="15.75" hidden="1" customHeight="1">
      <c r="A60" s="482">
        <v>770</v>
      </c>
      <c r="B60" s="485">
        <v>313190</v>
      </c>
      <c r="C60">
        <v>1</v>
      </c>
      <c r="D60" t="str">
        <f t="shared" si="0"/>
        <v>1313190.770</v>
      </c>
      <c r="E60" s="492" t="s">
        <v>7744</v>
      </c>
      <c r="H60" s="470">
        <v>0</v>
      </c>
      <c r="I60" s="470">
        <v>0</v>
      </c>
      <c r="J60" s="470">
        <v>-270562</v>
      </c>
      <c r="K60" s="18"/>
      <c r="L60" s="18" t="str">
        <f t="shared" si="1"/>
        <v>3</v>
      </c>
      <c r="M60" s="18" t="str">
        <f>INDEX(Chapter,MATCH(L60,Chapter!$A$1:$A$681,0),8)</f>
        <v>שירותים ממלכתיים</v>
      </c>
      <c r="N60" s="18" t="str">
        <f t="shared" si="2"/>
        <v>31</v>
      </c>
      <c r="O60" s="18" t="str">
        <f>INDEX(Chapter,MATCH(N60,Chapter!$A$1:$A$681,0),8)</f>
        <v>חינוך</v>
      </c>
      <c r="P60" s="18" t="str">
        <f t="shared" si="3"/>
        <v>313</v>
      </c>
      <c r="Q60" s="18" t="str">
        <f>INDEX(Chapter,MATCH(P60,Chapter!$A$1:$A$681,0),8)</f>
        <v>חינוך יסודי</v>
      </c>
      <c r="R60" s="18" t="str">
        <f t="shared" si="4"/>
        <v>3131</v>
      </c>
      <c r="S60" s="18" t="str">
        <f>INDEX(Chapter,MATCH(R60,Chapter!$A$1:$A$681,0),8)</f>
        <v>מינהל החינוך היסודי</v>
      </c>
      <c r="T60" s="18"/>
      <c r="U60" s="18" t="str">
        <f t="shared" si="5"/>
        <v>7</v>
      </c>
      <c r="V60" s="18" t="str">
        <f>IF($L60&lt;"6",INDEX(Revenue_type,MATCH(U60*1,type!$A$118:$A$168,0),8),INDEX(Expenditure_type,MATCH(U60*1,type!$A$2:$A$117,0),8))</f>
        <v>השתתפות מוסדות ותרומות</v>
      </c>
      <c r="W60" s="18" t="str">
        <f t="shared" si="6"/>
        <v>77</v>
      </c>
      <c r="X60" s="18" t="str">
        <f>IF($L60&lt;"6",INDEX(Revenue_type,MATCH(W60*1,type!$A$118:$A$168,0),8),INDEX(Expenditure_type,MATCH(W60*1,type!$A$2:$A$117,0),8))</f>
        <v>השתתפות קהילות מחו"ל</v>
      </c>
      <c r="Y60" s="18" t="str">
        <f t="shared" si="7"/>
        <v>770</v>
      </c>
      <c r="Z60" s="18" t="e">
        <f>IF($L60&lt;"6",INDEX(Revenue_type,MATCH(Y60*1,type!$A$118:$A$168,0),8),INDEX(Expenditure_type,MATCH(Y60*1,type!$A$2:$A$117,0),8))</f>
        <v>#N/A</v>
      </c>
    </row>
    <row r="61" spans="1:26" ht="15.75" hidden="1" customHeight="1">
      <c r="A61" s="482">
        <v>921</v>
      </c>
      <c r="B61" s="485" t="s">
        <v>7663</v>
      </c>
      <c r="C61">
        <v>1</v>
      </c>
      <c r="D61" t="str">
        <f t="shared" si="0"/>
        <v>1313220.921</v>
      </c>
      <c r="E61" s="492" t="s">
        <v>7745</v>
      </c>
      <c r="H61" s="470">
        <v>-1733000</v>
      </c>
      <c r="I61" s="470">
        <v>-1733000</v>
      </c>
      <c r="J61" s="470">
        <v>-1809513</v>
      </c>
      <c r="K61" s="18"/>
      <c r="L61" s="18" t="str">
        <f t="shared" si="1"/>
        <v>3</v>
      </c>
      <c r="M61" s="18" t="str">
        <f>INDEX(Chapter,MATCH(L61,Chapter!$A$1:$A$681,0),8)</f>
        <v>שירותים ממלכתיים</v>
      </c>
      <c r="N61" s="18" t="str">
        <f t="shared" si="2"/>
        <v>31</v>
      </c>
      <c r="O61" s="18" t="str">
        <f>INDEX(Chapter,MATCH(N61,Chapter!$A$1:$A$681,0),8)</f>
        <v>חינוך</v>
      </c>
      <c r="P61" s="18" t="str">
        <f t="shared" si="3"/>
        <v>313</v>
      </c>
      <c r="Q61" s="18" t="str">
        <f>INDEX(Chapter,MATCH(P61,Chapter!$A$1:$A$681,0),8)</f>
        <v>חינוך יסודי</v>
      </c>
      <c r="R61" s="18" t="str">
        <f t="shared" si="4"/>
        <v>3132</v>
      </c>
      <c r="S61" s="18" t="str">
        <f>INDEX(Chapter,MATCH(R61,Chapter!$A$1:$A$681,0),8)</f>
        <v>בתי״ס יסודיים</v>
      </c>
      <c r="T61" s="18"/>
      <c r="U61" s="18" t="str">
        <f t="shared" si="5"/>
        <v>9</v>
      </c>
      <c r="V61" s="18" t="str">
        <f>IF($L61&lt;"6",INDEX(Revenue_type,MATCH(U61*1,type!$A$118:$A$168,0),8),INDEX(Expenditure_type,MATCH(U61*1,type!$A$2:$A$117,0),8))</f>
        <v>השתתפות משרדי ממשלה</v>
      </c>
      <c r="W61" s="18" t="str">
        <f t="shared" si="6"/>
        <v>92</v>
      </c>
      <c r="X61" s="18" t="str">
        <f>IF($L61&lt;"6",INDEX(Revenue_type,MATCH(W61*1,type!$A$118:$A$168,0),8),INDEX(Expenditure_type,MATCH(W61*1,type!$A$2:$A$117,0),8))</f>
        <v>השתתפות משרד החינוך והתרבות</v>
      </c>
      <c r="Y61" s="18" t="str">
        <f t="shared" si="7"/>
        <v>921</v>
      </c>
      <c r="Z61" s="18" t="e">
        <f>IF($L61&lt;"6",INDEX(Revenue_type,MATCH(Y61*1,type!$A$118:$A$168,0),8),INDEX(Expenditure_type,MATCH(Y61*1,type!$A$2:$A$117,0),8))</f>
        <v>#N/A</v>
      </c>
    </row>
    <row r="62" spans="1:26" ht="15.75" hidden="1" customHeight="1">
      <c r="A62" s="482">
        <v>460</v>
      </c>
      <c r="B62" s="485" t="s">
        <v>7663</v>
      </c>
      <c r="C62">
        <v>1</v>
      </c>
      <c r="D62" t="str">
        <f t="shared" si="0"/>
        <v>1313220.460</v>
      </c>
      <c r="E62" s="492" t="s">
        <v>7746</v>
      </c>
      <c r="H62" s="470">
        <v>-6000</v>
      </c>
      <c r="I62" s="470">
        <v>-6000</v>
      </c>
      <c r="J62" s="470">
        <v>0</v>
      </c>
      <c r="K62" s="18"/>
      <c r="L62" s="18" t="str">
        <f t="shared" si="1"/>
        <v>3</v>
      </c>
      <c r="M62" s="18" t="str">
        <f>INDEX(Chapter,MATCH(L62,Chapter!$A$1:$A$681,0),8)</f>
        <v>שירותים ממלכתיים</v>
      </c>
      <c r="N62" s="18" t="str">
        <f t="shared" si="2"/>
        <v>31</v>
      </c>
      <c r="O62" s="18" t="str">
        <f>INDEX(Chapter,MATCH(N62,Chapter!$A$1:$A$681,0),8)</f>
        <v>חינוך</v>
      </c>
      <c r="P62" s="18" t="str">
        <f t="shared" si="3"/>
        <v>313</v>
      </c>
      <c r="Q62" s="18" t="str">
        <f>INDEX(Chapter,MATCH(P62,Chapter!$A$1:$A$681,0),8)</f>
        <v>חינוך יסודי</v>
      </c>
      <c r="R62" s="18" t="str">
        <f t="shared" si="4"/>
        <v>3132</v>
      </c>
      <c r="S62" s="18" t="str">
        <f>INDEX(Chapter,MATCH(R62,Chapter!$A$1:$A$681,0),8)</f>
        <v>בתי״ס יסודיים</v>
      </c>
      <c r="T62" s="18"/>
      <c r="U62" s="18" t="str">
        <f t="shared" si="5"/>
        <v>4</v>
      </c>
      <c r="V62" s="18" t="str">
        <f>IF($L62&lt;"6",INDEX(Revenue_type,MATCH(U62*1,type!$A$118:$A$168,0),8),INDEX(Expenditure_type,MATCH(U62*1,type!$A$2:$A$117,0),8))</f>
        <v>שירותים ושכר לימוד</v>
      </c>
      <c r="W62" s="18" t="str">
        <f t="shared" si="6"/>
        <v>46</v>
      </c>
      <c r="X62" s="18" t="e">
        <f>IF($L62&lt;"6",INDEX(Revenue_type,MATCH(W62*1,type!$A$118:$A$168,0),8),INDEX(Expenditure_type,MATCH(W62*1,type!$A$2:$A$117,0),8))</f>
        <v>#N/A</v>
      </c>
      <c r="Y62" s="18" t="str">
        <f t="shared" si="7"/>
        <v>460</v>
      </c>
      <c r="Z62" s="18" t="e">
        <f>IF($L62&lt;"6",INDEX(Revenue_type,MATCH(Y62*1,type!$A$118:$A$168,0),8),INDEX(Expenditure_type,MATCH(Y62*1,type!$A$2:$A$117,0),8))</f>
        <v>#N/A</v>
      </c>
    </row>
    <row r="63" spans="1:26" ht="15.75" hidden="1" customHeight="1">
      <c r="A63" s="482">
        <v>710</v>
      </c>
      <c r="B63" s="485" t="s">
        <v>7663</v>
      </c>
      <c r="C63">
        <v>1</v>
      </c>
      <c r="D63" t="str">
        <f t="shared" si="0"/>
        <v>1313220.710</v>
      </c>
      <c r="E63" s="492" t="s">
        <v>7747</v>
      </c>
      <c r="H63" s="470">
        <v>-1000000</v>
      </c>
      <c r="I63" s="470">
        <v>-1000000</v>
      </c>
      <c r="J63" s="470">
        <v>-663794</v>
      </c>
      <c r="K63" s="18"/>
      <c r="L63" s="18" t="str">
        <f t="shared" si="1"/>
        <v>3</v>
      </c>
      <c r="M63" s="18" t="str">
        <f>INDEX(Chapter,MATCH(L63,Chapter!$A$1:$A$681,0),8)</f>
        <v>שירותים ממלכתיים</v>
      </c>
      <c r="N63" s="18" t="str">
        <f t="shared" si="2"/>
        <v>31</v>
      </c>
      <c r="O63" s="18" t="str">
        <f>INDEX(Chapter,MATCH(N63,Chapter!$A$1:$A$681,0),8)</f>
        <v>חינוך</v>
      </c>
      <c r="P63" s="18" t="str">
        <f t="shared" si="3"/>
        <v>313</v>
      </c>
      <c r="Q63" s="18" t="str">
        <f>INDEX(Chapter,MATCH(P63,Chapter!$A$1:$A$681,0),8)</f>
        <v>חינוך יסודי</v>
      </c>
      <c r="R63" s="18" t="str">
        <f t="shared" si="4"/>
        <v>3132</v>
      </c>
      <c r="S63" s="18" t="str">
        <f>INDEX(Chapter,MATCH(R63,Chapter!$A$1:$A$681,0),8)</f>
        <v>בתי״ס יסודיים</v>
      </c>
      <c r="T63" s="18"/>
      <c r="U63" s="18" t="str">
        <f t="shared" si="5"/>
        <v>7</v>
      </c>
      <c r="V63" s="18" t="str">
        <f>IF($L63&lt;"6",INDEX(Revenue_type,MATCH(U63*1,type!$A$118:$A$168,0),8),INDEX(Expenditure_type,MATCH(U63*1,type!$A$2:$A$117,0),8))</f>
        <v>השתתפות מוסדות ותרומות</v>
      </c>
      <c r="W63" s="18" t="str">
        <f t="shared" si="6"/>
        <v>71</v>
      </c>
      <c r="X63" s="18" t="str">
        <f>IF($L63&lt;"6",INDEX(Revenue_type,MATCH(W63*1,type!$A$118:$A$168,0),8),INDEX(Expenditure_type,MATCH(W63*1,type!$A$2:$A$117,0),8))</f>
        <v>השתתפות ועדים מקומיים</v>
      </c>
      <c r="Y63" s="18" t="str">
        <f t="shared" si="7"/>
        <v>710</v>
      </c>
      <c r="Z63" s="18" t="e">
        <f>IF($L63&lt;"6",INDEX(Revenue_type,MATCH(Y63*1,type!$A$118:$A$168,0),8),INDEX(Expenditure_type,MATCH(Y63*1,type!$A$2:$A$117,0),8))</f>
        <v>#N/A</v>
      </c>
    </row>
    <row r="64" spans="1:26" ht="15.75" hidden="1" customHeight="1">
      <c r="A64" s="482">
        <v>920</v>
      </c>
      <c r="B64" s="485">
        <v>313272</v>
      </c>
      <c r="C64">
        <v>1</v>
      </c>
      <c r="D64" t="str">
        <f t="shared" si="0"/>
        <v>1313272.920</v>
      </c>
      <c r="E64" s="492" t="s">
        <v>7748</v>
      </c>
      <c r="H64" s="470">
        <v>0</v>
      </c>
      <c r="I64" s="470">
        <v>-350000</v>
      </c>
      <c r="J64" s="470">
        <v>0</v>
      </c>
      <c r="K64" s="18"/>
      <c r="L64" s="18" t="str">
        <f t="shared" si="1"/>
        <v>3</v>
      </c>
      <c r="M64" s="18" t="str">
        <f>INDEX(Chapter,MATCH(L64,Chapter!$A$1:$A$681,0),8)</f>
        <v>שירותים ממלכתיים</v>
      </c>
      <c r="N64" s="18" t="str">
        <f t="shared" si="2"/>
        <v>31</v>
      </c>
      <c r="O64" s="18" t="str">
        <f>INDEX(Chapter,MATCH(N64,Chapter!$A$1:$A$681,0),8)</f>
        <v>חינוך</v>
      </c>
      <c r="P64" s="18" t="str">
        <f t="shared" si="3"/>
        <v>313</v>
      </c>
      <c r="Q64" s="18" t="str">
        <f>INDEX(Chapter,MATCH(P64,Chapter!$A$1:$A$681,0),8)</f>
        <v>חינוך יסודי</v>
      </c>
      <c r="R64" s="18" t="str">
        <f t="shared" si="4"/>
        <v>3132</v>
      </c>
      <c r="S64" s="18" t="str">
        <f>INDEX(Chapter,MATCH(R64,Chapter!$A$1:$A$681,0),8)</f>
        <v>בתי״ס יסודיים</v>
      </c>
      <c r="T64" s="18"/>
      <c r="U64" s="18" t="str">
        <f t="shared" si="5"/>
        <v>9</v>
      </c>
      <c r="V64" s="18" t="str">
        <f>IF($L64&lt;"6",INDEX(Revenue_type,MATCH(U64*1,type!$A$118:$A$168,0),8),INDEX(Expenditure_type,MATCH(U64*1,type!$A$2:$A$117,0),8))</f>
        <v>השתתפות משרדי ממשלה</v>
      </c>
      <c r="W64" s="18" t="str">
        <f t="shared" si="6"/>
        <v>92</v>
      </c>
      <c r="X64" s="18" t="str">
        <f>IF($L64&lt;"6",INDEX(Revenue_type,MATCH(W64*1,type!$A$118:$A$168,0),8),INDEX(Expenditure_type,MATCH(W64*1,type!$A$2:$A$117,0),8))</f>
        <v>השתתפות משרד החינוך והתרבות</v>
      </c>
      <c r="Y64" s="18" t="str">
        <f t="shared" si="7"/>
        <v>920</v>
      </c>
      <c r="Z64" s="18" t="e">
        <f>IF($L64&lt;"6",INDEX(Revenue_type,MATCH(Y64*1,type!$A$118:$A$168,0),8),INDEX(Expenditure_type,MATCH(Y64*1,type!$A$2:$A$117,0),8))</f>
        <v>#N/A</v>
      </c>
    </row>
    <row r="65" spans="1:26" ht="15.75" hidden="1" customHeight="1">
      <c r="A65" s="482">
        <v>211</v>
      </c>
      <c r="B65" s="485">
        <v>313273</v>
      </c>
      <c r="C65">
        <v>1</v>
      </c>
      <c r="D65" t="str">
        <f t="shared" si="0"/>
        <v>1313273.211</v>
      </c>
      <c r="E65" s="492" t="s">
        <v>7749</v>
      </c>
      <c r="H65" s="470">
        <v>-1000000</v>
      </c>
      <c r="I65" s="470">
        <v>-1000000</v>
      </c>
      <c r="J65" s="470">
        <v>-962666</v>
      </c>
      <c r="K65" s="18"/>
      <c r="L65" s="18" t="str">
        <f t="shared" si="1"/>
        <v>3</v>
      </c>
      <c r="M65" s="18" t="str">
        <f>INDEX(Chapter,MATCH(L65,Chapter!$A$1:$A$681,0),8)</f>
        <v>שירותים ממלכתיים</v>
      </c>
      <c r="N65" s="18" t="str">
        <f t="shared" si="2"/>
        <v>31</v>
      </c>
      <c r="O65" s="18" t="str">
        <f>INDEX(Chapter,MATCH(N65,Chapter!$A$1:$A$681,0),8)</f>
        <v>חינוך</v>
      </c>
      <c r="P65" s="18" t="str">
        <f t="shared" si="3"/>
        <v>313</v>
      </c>
      <c r="Q65" s="18" t="str">
        <f>INDEX(Chapter,MATCH(P65,Chapter!$A$1:$A$681,0),8)</f>
        <v>חינוך יסודי</v>
      </c>
      <c r="R65" s="18" t="str">
        <f t="shared" si="4"/>
        <v>3132</v>
      </c>
      <c r="S65" s="18" t="str">
        <f>INDEX(Chapter,MATCH(R65,Chapter!$A$1:$A$681,0),8)</f>
        <v>בתי״ס יסודיים</v>
      </c>
      <c r="T65" s="18"/>
      <c r="U65" s="18" t="str">
        <f t="shared" si="5"/>
        <v>2</v>
      </c>
      <c r="V65" s="18" t="str">
        <f>IF($L65&lt;"6",INDEX(Revenue_type,MATCH(U65*1,type!$A$118:$A$168,0),8),INDEX(Expenditure_type,MATCH(U65*1,type!$A$2:$A$117,0),8))</f>
        <v>אגרות</v>
      </c>
      <c r="W65" s="18" t="str">
        <f t="shared" si="6"/>
        <v>21</v>
      </c>
      <c r="X65" s="18" t="str">
        <f>IF($L65&lt;"6",INDEX(Revenue_type,MATCH(W65*1,type!$A$118:$A$168,0),8),INDEX(Expenditure_type,MATCH(W65*1,type!$A$2:$A$117,0),8))</f>
        <v>אגרות מים וביוב</v>
      </c>
      <c r="Y65" s="18" t="str">
        <f t="shared" si="7"/>
        <v>211</v>
      </c>
      <c r="Z65" s="18" t="e">
        <f>IF($L65&lt;"6",INDEX(Revenue_type,MATCH(Y65*1,type!$A$118:$A$168,0),8),INDEX(Expenditure_type,MATCH(Y65*1,type!$A$2:$A$117,0),8))</f>
        <v>#N/A</v>
      </c>
    </row>
    <row r="66" spans="1:26" ht="15.75" hidden="1" customHeight="1">
      <c r="A66" s="482">
        <v>930</v>
      </c>
      <c r="B66" s="485">
        <v>313273</v>
      </c>
      <c r="C66">
        <v>1</v>
      </c>
      <c r="D66" t="str">
        <f t="shared" si="0"/>
        <v>1313273.930</v>
      </c>
      <c r="E66" s="492" t="s">
        <v>7750</v>
      </c>
      <c r="H66" s="470">
        <v>-5100000</v>
      </c>
      <c r="I66" s="470">
        <v>-5100000</v>
      </c>
      <c r="J66" s="470">
        <v>-2080970</v>
      </c>
      <c r="K66" s="18"/>
      <c r="L66" s="18" t="str">
        <f t="shared" si="1"/>
        <v>3</v>
      </c>
      <c r="M66" s="18" t="str">
        <f>INDEX(Chapter,MATCH(L66,Chapter!$A$1:$A$681,0),8)</f>
        <v>שירותים ממלכתיים</v>
      </c>
      <c r="N66" s="18" t="str">
        <f t="shared" si="2"/>
        <v>31</v>
      </c>
      <c r="O66" s="18" t="str">
        <f>INDEX(Chapter,MATCH(N66,Chapter!$A$1:$A$681,0),8)</f>
        <v>חינוך</v>
      </c>
      <c r="P66" s="18" t="str">
        <f t="shared" si="3"/>
        <v>313</v>
      </c>
      <c r="Q66" s="18" t="str">
        <f>INDEX(Chapter,MATCH(P66,Chapter!$A$1:$A$681,0),8)</f>
        <v>חינוך יסודי</v>
      </c>
      <c r="R66" s="18" t="str">
        <f t="shared" si="4"/>
        <v>3132</v>
      </c>
      <c r="S66" s="18" t="str">
        <f>INDEX(Chapter,MATCH(R66,Chapter!$A$1:$A$681,0),8)</f>
        <v>בתי״ס יסודיים</v>
      </c>
      <c r="T66" s="18"/>
      <c r="U66" s="18" t="str">
        <f t="shared" si="5"/>
        <v>9</v>
      </c>
      <c r="V66" s="18" t="str">
        <f>IF($L66&lt;"6",INDEX(Revenue_type,MATCH(U66*1,type!$A$118:$A$168,0),8),INDEX(Expenditure_type,MATCH(U66*1,type!$A$2:$A$117,0),8))</f>
        <v>השתתפות משרדי ממשלה</v>
      </c>
      <c r="W66" s="18" t="str">
        <f t="shared" si="6"/>
        <v>93</v>
      </c>
      <c r="X66" s="18" t="str">
        <f>IF($L66&lt;"6",INDEX(Revenue_type,MATCH(W66*1,type!$A$118:$A$168,0),8),INDEX(Expenditure_type,MATCH(W66*1,type!$A$2:$A$117,0),8))</f>
        <v>השתתפות משרד העבודה והרווחה</v>
      </c>
      <c r="Y66" s="18" t="str">
        <f t="shared" si="7"/>
        <v>930</v>
      </c>
      <c r="Z66" s="18" t="e">
        <f>IF($L66&lt;"6",INDEX(Revenue_type,MATCH(Y66*1,type!$A$118:$A$168,0),8),INDEX(Expenditure_type,MATCH(Y66*1,type!$A$2:$A$117,0),8))</f>
        <v>#N/A</v>
      </c>
    </row>
    <row r="67" spans="1:26" ht="15.75" hidden="1" customHeight="1">
      <c r="A67" s="482">
        <v>921</v>
      </c>
      <c r="B67" s="485">
        <v>313287</v>
      </c>
      <c r="C67">
        <v>1</v>
      </c>
      <c r="D67" t="str">
        <f t="shared" ref="D67:D130" si="8">C67&amp;B67&amp;"."&amp;A67</f>
        <v>1313287.921</v>
      </c>
      <c r="E67" s="492" t="s">
        <v>7751</v>
      </c>
      <c r="H67" s="470">
        <v>-112000</v>
      </c>
      <c r="I67" s="470">
        <v>-100000</v>
      </c>
      <c r="J67" s="470">
        <v>-106023</v>
      </c>
      <c r="K67" s="18"/>
      <c r="L67" s="18" t="str">
        <f t="shared" ref="L67:L130" si="9">IF(LEFT($B67,1)*1=0,LEFT($B67,2),LEFT($B67,1))</f>
        <v>3</v>
      </c>
      <c r="M67" s="18" t="str">
        <f>INDEX(Chapter,MATCH(L67,Chapter!$A$1:$A$681,0),8)</f>
        <v>שירותים ממלכתיים</v>
      </c>
      <c r="N67" s="18" t="str">
        <f t="shared" ref="N67:N130" si="10">IF(LEFT($B67,1)*1=0,LEFT($B67,3),LEFT($B67,2))</f>
        <v>31</v>
      </c>
      <c r="O67" s="18" t="str">
        <f>INDEX(Chapter,MATCH(N67,Chapter!$A$1:$A$681,0),8)</f>
        <v>חינוך</v>
      </c>
      <c r="P67" s="18" t="str">
        <f t="shared" ref="P67:P130" si="11">IF(LEFT($B67,1)*1=0,LEFT($B67,4),LEFT($B67,3))</f>
        <v>313</v>
      </c>
      <c r="Q67" s="18" t="str">
        <f>INDEX(Chapter,MATCH(P67,Chapter!$A$1:$A$681,0),8)</f>
        <v>חינוך יסודי</v>
      </c>
      <c r="R67" s="18" t="str">
        <f t="shared" ref="R67:R130" si="12">LEFT($B67,4)</f>
        <v>3132</v>
      </c>
      <c r="S67" s="18" t="str">
        <f>INDEX(Chapter,MATCH(R67,Chapter!$A$1:$A$681,0),8)</f>
        <v>בתי״ס יסודיים</v>
      </c>
      <c r="T67" s="18"/>
      <c r="U67" s="18" t="str">
        <f t="shared" ref="U67:U130" si="13">LEFT($A67,1)</f>
        <v>9</v>
      </c>
      <c r="V67" s="18" t="str">
        <f>IF($L67&lt;"6",INDEX(Revenue_type,MATCH(U67*1,type!$A$118:$A$168,0),8),INDEX(Expenditure_type,MATCH(U67*1,type!$A$2:$A$117,0),8))</f>
        <v>השתתפות משרדי ממשלה</v>
      </c>
      <c r="W67" s="18" t="str">
        <f t="shared" ref="W67:W130" si="14">LEFT($A67,2)</f>
        <v>92</v>
      </c>
      <c r="X67" s="18" t="str">
        <f>IF($L67&lt;"6",INDEX(Revenue_type,MATCH(W67*1,type!$A$118:$A$168,0),8),INDEX(Expenditure_type,MATCH(W67*1,type!$A$2:$A$117,0),8))</f>
        <v>השתתפות משרד החינוך והתרבות</v>
      </c>
      <c r="Y67" s="18" t="str">
        <f t="shared" ref="Y67:Y130" si="15">LEFT($A67,3)</f>
        <v>921</v>
      </c>
      <c r="Z67" s="18" t="e">
        <f>IF($L67&lt;"6",INDEX(Revenue_type,MATCH(Y67*1,type!$A$118:$A$168,0),8),INDEX(Expenditure_type,MATCH(Y67*1,type!$A$2:$A$117,0),8))</f>
        <v>#N/A</v>
      </c>
    </row>
    <row r="68" spans="1:26" ht="15.75" hidden="1" customHeight="1">
      <c r="A68" s="482">
        <v>920</v>
      </c>
      <c r="B68" s="485">
        <v>313288</v>
      </c>
      <c r="C68">
        <v>1</v>
      </c>
      <c r="D68" t="str">
        <f t="shared" si="8"/>
        <v>1313288.920</v>
      </c>
      <c r="E68" s="492" t="s">
        <v>7752</v>
      </c>
      <c r="H68" s="470">
        <v>-330000</v>
      </c>
      <c r="I68" s="470">
        <v>-330000</v>
      </c>
      <c r="J68" s="470">
        <v>-66500</v>
      </c>
      <c r="K68" s="18"/>
      <c r="L68" s="18" t="str">
        <f t="shared" si="9"/>
        <v>3</v>
      </c>
      <c r="M68" s="18" t="str">
        <f>INDEX(Chapter,MATCH(L68,Chapter!$A$1:$A$681,0),8)</f>
        <v>שירותים ממלכתיים</v>
      </c>
      <c r="N68" s="18" t="str">
        <f t="shared" si="10"/>
        <v>31</v>
      </c>
      <c r="O68" s="18" t="str">
        <f>INDEX(Chapter,MATCH(N68,Chapter!$A$1:$A$681,0),8)</f>
        <v>חינוך</v>
      </c>
      <c r="P68" s="18" t="str">
        <f t="shared" si="11"/>
        <v>313</v>
      </c>
      <c r="Q68" s="18" t="str">
        <f>INDEX(Chapter,MATCH(P68,Chapter!$A$1:$A$681,0),8)</f>
        <v>חינוך יסודי</v>
      </c>
      <c r="R68" s="18" t="str">
        <f t="shared" si="12"/>
        <v>3132</v>
      </c>
      <c r="S68" s="18" t="str">
        <f>INDEX(Chapter,MATCH(R68,Chapter!$A$1:$A$681,0),8)</f>
        <v>בתי״ס יסודיים</v>
      </c>
      <c r="T68" s="18"/>
      <c r="U68" s="18" t="str">
        <f t="shared" si="13"/>
        <v>9</v>
      </c>
      <c r="V68" s="18" t="str">
        <f>IF($L68&lt;"6",INDEX(Revenue_type,MATCH(U68*1,type!$A$118:$A$168,0),8),INDEX(Expenditure_type,MATCH(U68*1,type!$A$2:$A$117,0),8))</f>
        <v>השתתפות משרדי ממשלה</v>
      </c>
      <c r="W68" s="18" t="str">
        <f t="shared" si="14"/>
        <v>92</v>
      </c>
      <c r="X68" s="18" t="str">
        <f>IF($L68&lt;"6",INDEX(Revenue_type,MATCH(W68*1,type!$A$118:$A$168,0),8),INDEX(Expenditure_type,MATCH(W68*1,type!$A$2:$A$117,0),8))</f>
        <v>השתתפות משרד החינוך והתרבות</v>
      </c>
      <c r="Y68" s="18" t="str">
        <f t="shared" si="15"/>
        <v>920</v>
      </c>
      <c r="Z68" s="18" t="e">
        <f>IF($L68&lt;"6",INDEX(Revenue_type,MATCH(Y68*1,type!$A$118:$A$168,0),8),INDEX(Expenditure_type,MATCH(Y68*1,type!$A$2:$A$117,0),8))</f>
        <v>#N/A</v>
      </c>
    </row>
    <row r="69" spans="1:26" ht="15.75" hidden="1" customHeight="1">
      <c r="A69" s="482">
        <v>950</v>
      </c>
      <c r="B69" s="485">
        <v>313289</v>
      </c>
      <c r="C69">
        <v>1</v>
      </c>
      <c r="D69" t="str">
        <f t="shared" si="8"/>
        <v>1313289.950</v>
      </c>
      <c r="E69" s="492" t="s">
        <v>7753</v>
      </c>
      <c r="H69" s="470">
        <v>-290000</v>
      </c>
      <c r="I69" s="470">
        <v>-240000</v>
      </c>
      <c r="J69" s="470">
        <v>-258132</v>
      </c>
      <c r="K69" s="18"/>
      <c r="L69" s="18" t="str">
        <f t="shared" si="9"/>
        <v>3</v>
      </c>
      <c r="M69" s="18" t="str">
        <f>INDEX(Chapter,MATCH(L69,Chapter!$A$1:$A$681,0),8)</f>
        <v>שירותים ממלכתיים</v>
      </c>
      <c r="N69" s="18" t="str">
        <f t="shared" si="10"/>
        <v>31</v>
      </c>
      <c r="O69" s="18" t="str">
        <f>INDEX(Chapter,MATCH(N69,Chapter!$A$1:$A$681,0),8)</f>
        <v>חינוך</v>
      </c>
      <c r="P69" s="18" t="str">
        <f t="shared" si="11"/>
        <v>313</v>
      </c>
      <c r="Q69" s="18" t="str">
        <f>INDEX(Chapter,MATCH(P69,Chapter!$A$1:$A$681,0),8)</f>
        <v>חינוך יסודי</v>
      </c>
      <c r="R69" s="18" t="str">
        <f t="shared" si="12"/>
        <v>3132</v>
      </c>
      <c r="S69" s="18" t="str">
        <f>INDEX(Chapter,MATCH(R69,Chapter!$A$1:$A$681,0),8)</f>
        <v>בתי״ס יסודיים</v>
      </c>
      <c r="T69" s="18"/>
      <c r="U69" s="18" t="str">
        <f t="shared" si="13"/>
        <v>9</v>
      </c>
      <c r="V69" s="18" t="str">
        <f>IF($L69&lt;"6",INDEX(Revenue_type,MATCH(U69*1,type!$A$118:$A$168,0),8),INDEX(Expenditure_type,MATCH(U69*1,type!$A$2:$A$117,0),8))</f>
        <v>השתתפות משרדי ממשלה</v>
      </c>
      <c r="W69" s="18" t="str">
        <f t="shared" si="14"/>
        <v>95</v>
      </c>
      <c r="X69" s="18" t="str">
        <f>IF($L69&lt;"6",INDEX(Revenue_type,MATCH(W69*1,type!$A$118:$A$168,0),8),INDEX(Expenditure_type,MATCH(W69*1,type!$A$2:$A$117,0),8))</f>
        <v>השתתפות משרד הקליטה</v>
      </c>
      <c r="Y69" s="18" t="str">
        <f t="shared" si="15"/>
        <v>950</v>
      </c>
      <c r="Z69" s="18" t="e">
        <f>IF($L69&lt;"6",INDEX(Revenue_type,MATCH(Y69*1,type!$A$118:$A$168,0),8),INDEX(Expenditure_type,MATCH(Y69*1,type!$A$2:$A$117,0),8))</f>
        <v>#N/A</v>
      </c>
    </row>
    <row r="70" spans="1:26" ht="15.75" hidden="1" customHeight="1">
      <c r="A70" s="482">
        <v>770</v>
      </c>
      <c r="B70" s="485">
        <v>313290</v>
      </c>
      <c r="C70">
        <v>1</v>
      </c>
      <c r="D70" t="str">
        <f t="shared" si="8"/>
        <v>1313290.770</v>
      </c>
      <c r="E70" s="492" t="s">
        <v>7754</v>
      </c>
      <c r="H70" s="470">
        <v>0</v>
      </c>
      <c r="I70" s="470">
        <v>0</v>
      </c>
      <c r="J70" s="470">
        <v>-168407</v>
      </c>
      <c r="K70" s="18"/>
      <c r="L70" s="18" t="str">
        <f t="shared" si="9"/>
        <v>3</v>
      </c>
      <c r="M70" s="18" t="str">
        <f>INDEX(Chapter,MATCH(L70,Chapter!$A$1:$A$681,0),8)</f>
        <v>שירותים ממלכתיים</v>
      </c>
      <c r="N70" s="18" t="str">
        <f t="shared" si="10"/>
        <v>31</v>
      </c>
      <c r="O70" s="18" t="str">
        <f>INDEX(Chapter,MATCH(N70,Chapter!$A$1:$A$681,0),8)</f>
        <v>חינוך</v>
      </c>
      <c r="P70" s="18" t="str">
        <f t="shared" si="11"/>
        <v>313</v>
      </c>
      <c r="Q70" s="18" t="str">
        <f>INDEX(Chapter,MATCH(P70,Chapter!$A$1:$A$681,0),8)</f>
        <v>חינוך יסודי</v>
      </c>
      <c r="R70" s="18" t="str">
        <f t="shared" si="12"/>
        <v>3132</v>
      </c>
      <c r="S70" s="18" t="str">
        <f>INDEX(Chapter,MATCH(R70,Chapter!$A$1:$A$681,0),8)</f>
        <v>בתי״ס יסודיים</v>
      </c>
      <c r="T70" s="18"/>
      <c r="U70" s="18" t="str">
        <f t="shared" si="13"/>
        <v>7</v>
      </c>
      <c r="V70" s="18" t="str">
        <f>IF($L70&lt;"6",INDEX(Revenue_type,MATCH(U70*1,type!$A$118:$A$168,0),8),INDEX(Expenditure_type,MATCH(U70*1,type!$A$2:$A$117,0),8))</f>
        <v>השתתפות מוסדות ותרומות</v>
      </c>
      <c r="W70" s="18" t="str">
        <f t="shared" si="14"/>
        <v>77</v>
      </c>
      <c r="X70" s="18" t="str">
        <f>IF($L70&lt;"6",INDEX(Revenue_type,MATCH(W70*1,type!$A$118:$A$168,0),8),INDEX(Expenditure_type,MATCH(W70*1,type!$A$2:$A$117,0),8))</f>
        <v>השתתפות קהילות מחו"ל</v>
      </c>
      <c r="Y70" s="18" t="str">
        <f t="shared" si="15"/>
        <v>770</v>
      </c>
      <c r="Z70" s="18" t="e">
        <f>IF($L70&lt;"6",INDEX(Revenue_type,MATCH(Y70*1,type!$A$118:$A$168,0),8),INDEX(Expenditure_type,MATCH(Y70*1,type!$A$2:$A$117,0),8))</f>
        <v>#N/A</v>
      </c>
    </row>
    <row r="71" spans="1:26" ht="15.75" hidden="1" customHeight="1">
      <c r="A71" s="482">
        <v>772</v>
      </c>
      <c r="B71" s="485">
        <v>313290</v>
      </c>
      <c r="C71">
        <v>1</v>
      </c>
      <c r="D71" t="str">
        <f t="shared" si="8"/>
        <v>1313290.772</v>
      </c>
      <c r="E71" s="492" t="s">
        <v>7755</v>
      </c>
      <c r="H71" s="470">
        <v>-52000</v>
      </c>
      <c r="I71" s="470">
        <v>-52000</v>
      </c>
      <c r="J71" s="470">
        <v>-206988</v>
      </c>
      <c r="K71" s="18"/>
      <c r="L71" s="18" t="str">
        <f t="shared" si="9"/>
        <v>3</v>
      </c>
      <c r="M71" s="18" t="str">
        <f>INDEX(Chapter,MATCH(L71,Chapter!$A$1:$A$681,0),8)</f>
        <v>שירותים ממלכתיים</v>
      </c>
      <c r="N71" s="18" t="str">
        <f t="shared" si="10"/>
        <v>31</v>
      </c>
      <c r="O71" s="18" t="str">
        <f>INDEX(Chapter,MATCH(N71,Chapter!$A$1:$A$681,0),8)</f>
        <v>חינוך</v>
      </c>
      <c r="P71" s="18" t="str">
        <f t="shared" si="11"/>
        <v>313</v>
      </c>
      <c r="Q71" s="18" t="str">
        <f>INDEX(Chapter,MATCH(P71,Chapter!$A$1:$A$681,0),8)</f>
        <v>חינוך יסודי</v>
      </c>
      <c r="R71" s="18" t="str">
        <f t="shared" si="12"/>
        <v>3132</v>
      </c>
      <c r="S71" s="18" t="str">
        <f>INDEX(Chapter,MATCH(R71,Chapter!$A$1:$A$681,0),8)</f>
        <v>בתי״ס יסודיים</v>
      </c>
      <c r="T71" s="18"/>
      <c r="U71" s="18" t="str">
        <f t="shared" si="13"/>
        <v>7</v>
      </c>
      <c r="V71" s="18" t="str">
        <f>IF($L71&lt;"6",INDEX(Revenue_type,MATCH(U71*1,type!$A$118:$A$168,0),8),INDEX(Expenditure_type,MATCH(U71*1,type!$A$2:$A$117,0),8))</f>
        <v>השתתפות מוסדות ותרומות</v>
      </c>
      <c r="W71" s="18" t="str">
        <f t="shared" si="14"/>
        <v>77</v>
      </c>
      <c r="X71" s="18" t="str">
        <f>IF($L71&lt;"6",INDEX(Revenue_type,MATCH(W71*1,type!$A$118:$A$168,0),8),INDEX(Expenditure_type,MATCH(W71*1,type!$A$2:$A$117,0),8))</f>
        <v>השתתפות קהילות מחו"ל</v>
      </c>
      <c r="Y71" s="18" t="str">
        <f t="shared" si="15"/>
        <v>772</v>
      </c>
      <c r="Z71" s="18" t="e">
        <f>IF($L71&lt;"6",INDEX(Revenue_type,MATCH(Y71*1,type!$A$118:$A$168,0),8),INDEX(Expenditure_type,MATCH(Y71*1,type!$A$2:$A$117,0),8))</f>
        <v>#N/A</v>
      </c>
    </row>
    <row r="72" spans="1:26" ht="15.75" hidden="1" customHeight="1">
      <c r="A72" s="482">
        <v>773</v>
      </c>
      <c r="B72" s="485">
        <v>313290</v>
      </c>
      <c r="C72">
        <v>1</v>
      </c>
      <c r="D72" t="str">
        <f t="shared" si="8"/>
        <v>1313290.773</v>
      </c>
      <c r="E72" s="492" t="s">
        <v>7756</v>
      </c>
      <c r="H72" s="470">
        <v>-78000</v>
      </c>
      <c r="I72" s="470">
        <v>-78000</v>
      </c>
      <c r="J72" s="470">
        <v>-189346</v>
      </c>
      <c r="K72" s="18"/>
      <c r="L72" s="18" t="str">
        <f t="shared" si="9"/>
        <v>3</v>
      </c>
      <c r="M72" s="18" t="str">
        <f>INDEX(Chapter,MATCH(L72,Chapter!$A$1:$A$681,0),8)</f>
        <v>שירותים ממלכתיים</v>
      </c>
      <c r="N72" s="18" t="str">
        <f t="shared" si="10"/>
        <v>31</v>
      </c>
      <c r="O72" s="18" t="str">
        <f>INDEX(Chapter,MATCH(N72,Chapter!$A$1:$A$681,0),8)</f>
        <v>חינוך</v>
      </c>
      <c r="P72" s="18" t="str">
        <f t="shared" si="11"/>
        <v>313</v>
      </c>
      <c r="Q72" s="18" t="str">
        <f>INDEX(Chapter,MATCH(P72,Chapter!$A$1:$A$681,0),8)</f>
        <v>חינוך יסודי</v>
      </c>
      <c r="R72" s="18" t="str">
        <f t="shared" si="12"/>
        <v>3132</v>
      </c>
      <c r="S72" s="18" t="str">
        <f>INDEX(Chapter,MATCH(R72,Chapter!$A$1:$A$681,0),8)</f>
        <v>בתי״ס יסודיים</v>
      </c>
      <c r="T72" s="18"/>
      <c r="U72" s="18" t="str">
        <f t="shared" si="13"/>
        <v>7</v>
      </c>
      <c r="V72" s="18" t="str">
        <f>IF($L72&lt;"6",INDEX(Revenue_type,MATCH(U72*1,type!$A$118:$A$168,0),8),INDEX(Expenditure_type,MATCH(U72*1,type!$A$2:$A$117,0),8))</f>
        <v>השתתפות מוסדות ותרומות</v>
      </c>
      <c r="W72" s="18" t="str">
        <f t="shared" si="14"/>
        <v>77</v>
      </c>
      <c r="X72" s="18" t="str">
        <f>IF($L72&lt;"6",INDEX(Revenue_type,MATCH(W72*1,type!$A$118:$A$168,0),8),INDEX(Expenditure_type,MATCH(W72*1,type!$A$2:$A$117,0),8))</f>
        <v>השתתפות קהילות מחו"ל</v>
      </c>
      <c r="Y72" s="18" t="str">
        <f t="shared" si="15"/>
        <v>773</v>
      </c>
      <c r="Z72" s="18" t="e">
        <f>IF($L72&lt;"6",INDEX(Revenue_type,MATCH(Y72*1,type!$A$118:$A$168,0),8),INDEX(Expenditure_type,MATCH(Y72*1,type!$A$2:$A$117,0),8))</f>
        <v>#N/A</v>
      </c>
    </row>
    <row r="73" spans="1:26" ht="15.75" hidden="1" customHeight="1">
      <c r="A73" s="482">
        <v>774</v>
      </c>
      <c r="B73" s="485">
        <v>313290</v>
      </c>
      <c r="C73">
        <v>1</v>
      </c>
      <c r="D73" t="str">
        <f t="shared" si="8"/>
        <v>1313290.774</v>
      </c>
      <c r="E73" s="492" t="s">
        <v>7757</v>
      </c>
      <c r="H73" s="470">
        <v>-510000</v>
      </c>
      <c r="I73" s="470">
        <v>-510000</v>
      </c>
      <c r="J73" s="470">
        <v>-244100</v>
      </c>
      <c r="K73" s="18"/>
      <c r="L73" s="18" t="str">
        <f t="shared" si="9"/>
        <v>3</v>
      </c>
      <c r="M73" s="18" t="str">
        <f>INDEX(Chapter,MATCH(L73,Chapter!$A$1:$A$681,0),8)</f>
        <v>שירותים ממלכתיים</v>
      </c>
      <c r="N73" s="18" t="str">
        <f t="shared" si="10"/>
        <v>31</v>
      </c>
      <c r="O73" s="18" t="str">
        <f>INDEX(Chapter,MATCH(N73,Chapter!$A$1:$A$681,0),8)</f>
        <v>חינוך</v>
      </c>
      <c r="P73" s="18" t="str">
        <f t="shared" si="11"/>
        <v>313</v>
      </c>
      <c r="Q73" s="18" t="str">
        <f>INDEX(Chapter,MATCH(P73,Chapter!$A$1:$A$681,0),8)</f>
        <v>חינוך יסודי</v>
      </c>
      <c r="R73" s="18" t="str">
        <f t="shared" si="12"/>
        <v>3132</v>
      </c>
      <c r="S73" s="18" t="str">
        <f>INDEX(Chapter,MATCH(R73,Chapter!$A$1:$A$681,0),8)</f>
        <v>בתי״ס יסודיים</v>
      </c>
      <c r="T73" s="18"/>
      <c r="U73" s="18" t="str">
        <f t="shared" si="13"/>
        <v>7</v>
      </c>
      <c r="V73" s="18" t="str">
        <f>IF($L73&lt;"6",INDEX(Revenue_type,MATCH(U73*1,type!$A$118:$A$168,0),8),INDEX(Expenditure_type,MATCH(U73*1,type!$A$2:$A$117,0),8))</f>
        <v>השתתפות מוסדות ותרומות</v>
      </c>
      <c r="W73" s="18" t="str">
        <f t="shared" si="14"/>
        <v>77</v>
      </c>
      <c r="X73" s="18" t="str">
        <f>IF($L73&lt;"6",INDEX(Revenue_type,MATCH(W73*1,type!$A$118:$A$168,0),8),INDEX(Expenditure_type,MATCH(W73*1,type!$A$2:$A$117,0),8))</f>
        <v>השתתפות קהילות מחו"ל</v>
      </c>
      <c r="Y73" s="18" t="str">
        <f t="shared" si="15"/>
        <v>774</v>
      </c>
      <c r="Z73" s="18" t="e">
        <f>IF($L73&lt;"6",INDEX(Revenue_type,MATCH(Y73*1,type!$A$118:$A$168,0),8),INDEX(Expenditure_type,MATCH(Y73*1,type!$A$2:$A$117,0),8))</f>
        <v>#N/A</v>
      </c>
    </row>
    <row r="74" spans="1:26" ht="15.75" hidden="1" customHeight="1">
      <c r="A74" s="482">
        <v>970</v>
      </c>
      <c r="B74" s="485">
        <v>313290</v>
      </c>
      <c r="C74">
        <v>1</v>
      </c>
      <c r="D74" t="str">
        <f t="shared" si="8"/>
        <v>1313290.970</v>
      </c>
      <c r="E74" s="492" t="s">
        <v>7758</v>
      </c>
      <c r="H74" s="470">
        <v>-2581000</v>
      </c>
      <c r="I74" s="470">
        <v>-2581000</v>
      </c>
      <c r="J74" s="470">
        <v>-1579150</v>
      </c>
      <c r="K74" s="18"/>
      <c r="L74" s="18" t="str">
        <f t="shared" si="9"/>
        <v>3</v>
      </c>
      <c r="M74" s="18" t="str">
        <f>INDEX(Chapter,MATCH(L74,Chapter!$A$1:$A$681,0),8)</f>
        <v>שירותים ממלכתיים</v>
      </c>
      <c r="N74" s="18" t="str">
        <f t="shared" si="10"/>
        <v>31</v>
      </c>
      <c r="O74" s="18" t="str">
        <f>INDEX(Chapter,MATCH(N74,Chapter!$A$1:$A$681,0),8)</f>
        <v>חינוך</v>
      </c>
      <c r="P74" s="18" t="str">
        <f t="shared" si="11"/>
        <v>313</v>
      </c>
      <c r="Q74" s="18" t="str">
        <f>INDEX(Chapter,MATCH(P74,Chapter!$A$1:$A$681,0),8)</f>
        <v>חינוך יסודי</v>
      </c>
      <c r="R74" s="18" t="str">
        <f t="shared" si="12"/>
        <v>3132</v>
      </c>
      <c r="S74" s="18" t="str">
        <f>INDEX(Chapter,MATCH(R74,Chapter!$A$1:$A$681,0),8)</f>
        <v>בתי״ס יסודיים</v>
      </c>
      <c r="T74" s="18"/>
      <c r="U74" s="18" t="str">
        <f t="shared" si="13"/>
        <v>9</v>
      </c>
      <c r="V74" s="18" t="str">
        <f>IF($L74&lt;"6",INDEX(Revenue_type,MATCH(U74*1,type!$A$118:$A$168,0),8),INDEX(Expenditure_type,MATCH(U74*1,type!$A$2:$A$117,0),8))</f>
        <v>השתתפות משרדי ממשלה</v>
      </c>
      <c r="W74" s="18" t="str">
        <f t="shared" si="14"/>
        <v>97</v>
      </c>
      <c r="X74" s="18" t="str">
        <f>IF($L74&lt;"6",INDEX(Revenue_type,MATCH(W74*1,type!$A$118:$A$168,0),8),INDEX(Expenditure_type,MATCH(W74*1,type!$A$2:$A$117,0),8))</f>
        <v>השתתפות משרד הביטחון</v>
      </c>
      <c r="Y74" s="18" t="str">
        <f t="shared" si="15"/>
        <v>970</v>
      </c>
      <c r="Z74" s="18" t="e">
        <f>IF($L74&lt;"6",INDEX(Revenue_type,MATCH(Y74*1,type!$A$118:$A$168,0),8),INDEX(Expenditure_type,MATCH(Y74*1,type!$A$2:$A$117,0),8))</f>
        <v>#N/A</v>
      </c>
    </row>
    <row r="75" spans="1:26" ht="15.75" hidden="1" customHeight="1">
      <c r="A75" s="482">
        <v>971</v>
      </c>
      <c r="B75" s="485">
        <v>313290</v>
      </c>
      <c r="C75">
        <v>1</v>
      </c>
      <c r="D75" t="str">
        <f t="shared" si="8"/>
        <v>1313290.971</v>
      </c>
      <c r="E75" s="492" t="s">
        <v>7759</v>
      </c>
      <c r="H75" s="470">
        <v>-260000</v>
      </c>
      <c r="I75" s="470">
        <v>-260000</v>
      </c>
      <c r="J75" s="470">
        <v>-546312</v>
      </c>
      <c r="K75" s="18"/>
      <c r="L75" s="18" t="str">
        <f t="shared" si="9"/>
        <v>3</v>
      </c>
      <c r="M75" s="18" t="str">
        <f>INDEX(Chapter,MATCH(L75,Chapter!$A$1:$A$681,0),8)</f>
        <v>שירותים ממלכתיים</v>
      </c>
      <c r="N75" s="18" t="str">
        <f t="shared" si="10"/>
        <v>31</v>
      </c>
      <c r="O75" s="18" t="str">
        <f>INDEX(Chapter,MATCH(N75,Chapter!$A$1:$A$681,0),8)</f>
        <v>חינוך</v>
      </c>
      <c r="P75" s="18" t="str">
        <f t="shared" si="11"/>
        <v>313</v>
      </c>
      <c r="Q75" s="18" t="str">
        <f>INDEX(Chapter,MATCH(P75,Chapter!$A$1:$A$681,0),8)</f>
        <v>חינוך יסודי</v>
      </c>
      <c r="R75" s="18" t="str">
        <f t="shared" si="12"/>
        <v>3132</v>
      </c>
      <c r="S75" s="18" t="str">
        <f>INDEX(Chapter,MATCH(R75,Chapter!$A$1:$A$681,0),8)</f>
        <v>בתי״ס יסודיים</v>
      </c>
      <c r="T75" s="18"/>
      <c r="U75" s="18" t="str">
        <f t="shared" si="13"/>
        <v>9</v>
      </c>
      <c r="V75" s="18" t="str">
        <f>IF($L75&lt;"6",INDEX(Revenue_type,MATCH(U75*1,type!$A$118:$A$168,0),8),INDEX(Expenditure_type,MATCH(U75*1,type!$A$2:$A$117,0),8))</f>
        <v>השתתפות משרדי ממשלה</v>
      </c>
      <c r="W75" s="18" t="str">
        <f t="shared" si="14"/>
        <v>97</v>
      </c>
      <c r="X75" s="18" t="str">
        <f>IF($L75&lt;"6",INDEX(Revenue_type,MATCH(W75*1,type!$A$118:$A$168,0),8),INDEX(Expenditure_type,MATCH(W75*1,type!$A$2:$A$117,0),8))</f>
        <v>השתתפות משרד הביטחון</v>
      </c>
      <c r="Y75" s="18" t="str">
        <f t="shared" si="15"/>
        <v>971</v>
      </c>
      <c r="Z75" s="18" t="e">
        <f>IF($L75&lt;"6",INDEX(Revenue_type,MATCH(Y75*1,type!$A$118:$A$168,0),8),INDEX(Expenditure_type,MATCH(Y75*1,type!$A$2:$A$117,0),8))</f>
        <v>#N/A</v>
      </c>
    </row>
    <row r="76" spans="1:26" ht="15.75" hidden="1" customHeight="1">
      <c r="A76" s="482">
        <v>972</v>
      </c>
      <c r="B76" s="485">
        <v>313290</v>
      </c>
      <c r="C76">
        <v>1</v>
      </c>
      <c r="D76" t="str">
        <f t="shared" si="8"/>
        <v>1313290.972</v>
      </c>
      <c r="E76" s="492" t="s">
        <v>7760</v>
      </c>
      <c r="H76" s="470">
        <v>0</v>
      </c>
      <c r="I76" s="470">
        <v>0</v>
      </c>
      <c r="J76" s="470">
        <v>-91431</v>
      </c>
      <c r="K76" s="18"/>
      <c r="L76" s="18" t="str">
        <f t="shared" si="9"/>
        <v>3</v>
      </c>
      <c r="M76" s="18" t="str">
        <f>INDEX(Chapter,MATCH(L76,Chapter!$A$1:$A$681,0),8)</f>
        <v>שירותים ממלכתיים</v>
      </c>
      <c r="N76" s="18" t="str">
        <f t="shared" si="10"/>
        <v>31</v>
      </c>
      <c r="O76" s="18" t="str">
        <f>INDEX(Chapter,MATCH(N76,Chapter!$A$1:$A$681,0),8)</f>
        <v>חינוך</v>
      </c>
      <c r="P76" s="18" t="str">
        <f t="shared" si="11"/>
        <v>313</v>
      </c>
      <c r="Q76" s="18" t="str">
        <f>INDEX(Chapter,MATCH(P76,Chapter!$A$1:$A$681,0),8)</f>
        <v>חינוך יסודי</v>
      </c>
      <c r="R76" s="18" t="str">
        <f t="shared" si="12"/>
        <v>3132</v>
      </c>
      <c r="S76" s="18" t="str">
        <f>INDEX(Chapter,MATCH(R76,Chapter!$A$1:$A$681,0),8)</f>
        <v>בתי״ס יסודיים</v>
      </c>
      <c r="T76" s="18"/>
      <c r="U76" s="18" t="str">
        <f t="shared" si="13"/>
        <v>9</v>
      </c>
      <c r="V76" s="18" t="str">
        <f>IF($L76&lt;"6",INDEX(Revenue_type,MATCH(U76*1,type!$A$118:$A$168,0),8),INDEX(Expenditure_type,MATCH(U76*1,type!$A$2:$A$117,0),8))</f>
        <v>השתתפות משרדי ממשלה</v>
      </c>
      <c r="W76" s="18" t="str">
        <f t="shared" si="14"/>
        <v>97</v>
      </c>
      <c r="X76" s="18" t="str">
        <f>IF($L76&lt;"6",INDEX(Revenue_type,MATCH(W76*1,type!$A$118:$A$168,0),8),INDEX(Expenditure_type,MATCH(W76*1,type!$A$2:$A$117,0),8))</f>
        <v>השתתפות משרד הביטחון</v>
      </c>
      <c r="Y76" s="18" t="str">
        <f t="shared" si="15"/>
        <v>972</v>
      </c>
      <c r="Z76" s="18" t="e">
        <f>IF($L76&lt;"6",INDEX(Revenue_type,MATCH(Y76*1,type!$A$118:$A$168,0),8),INDEX(Expenditure_type,MATCH(Y76*1,type!$A$2:$A$117,0),8))</f>
        <v>#N/A</v>
      </c>
    </row>
    <row r="77" spans="1:26" ht="15.75" hidden="1" customHeight="1">
      <c r="A77" s="482">
        <v>970</v>
      </c>
      <c r="B77" s="485">
        <v>313291</v>
      </c>
      <c r="C77">
        <v>1</v>
      </c>
      <c r="D77" t="str">
        <f t="shared" si="8"/>
        <v>1313291.970</v>
      </c>
      <c r="E77" s="492" t="s">
        <v>7761</v>
      </c>
      <c r="H77" s="470">
        <v>0</v>
      </c>
      <c r="I77" s="470">
        <v>0</v>
      </c>
      <c r="J77" s="470">
        <v>-188540</v>
      </c>
      <c r="K77" s="18"/>
      <c r="L77" s="18" t="str">
        <f t="shared" si="9"/>
        <v>3</v>
      </c>
      <c r="M77" s="18" t="str">
        <f>INDEX(Chapter,MATCH(L77,Chapter!$A$1:$A$681,0),8)</f>
        <v>שירותים ממלכתיים</v>
      </c>
      <c r="N77" s="18" t="str">
        <f t="shared" si="10"/>
        <v>31</v>
      </c>
      <c r="O77" s="18" t="str">
        <f>INDEX(Chapter,MATCH(N77,Chapter!$A$1:$A$681,0),8)</f>
        <v>חינוך</v>
      </c>
      <c r="P77" s="18" t="str">
        <f t="shared" si="11"/>
        <v>313</v>
      </c>
      <c r="Q77" s="18" t="str">
        <f>INDEX(Chapter,MATCH(P77,Chapter!$A$1:$A$681,0),8)</f>
        <v>חינוך יסודי</v>
      </c>
      <c r="R77" s="18" t="str">
        <f t="shared" si="12"/>
        <v>3132</v>
      </c>
      <c r="S77" s="18" t="str">
        <f>INDEX(Chapter,MATCH(R77,Chapter!$A$1:$A$681,0),8)</f>
        <v>בתי״ס יסודיים</v>
      </c>
      <c r="T77" s="18"/>
      <c r="U77" s="18" t="str">
        <f t="shared" si="13"/>
        <v>9</v>
      </c>
      <c r="V77" s="18" t="str">
        <f>IF($L77&lt;"6",INDEX(Revenue_type,MATCH(U77*1,type!$A$118:$A$168,0),8),INDEX(Expenditure_type,MATCH(U77*1,type!$A$2:$A$117,0),8))</f>
        <v>השתתפות משרדי ממשלה</v>
      </c>
      <c r="W77" s="18" t="str">
        <f t="shared" si="14"/>
        <v>97</v>
      </c>
      <c r="X77" s="18" t="str">
        <f>IF($L77&lt;"6",INDEX(Revenue_type,MATCH(W77*1,type!$A$118:$A$168,0),8),INDEX(Expenditure_type,MATCH(W77*1,type!$A$2:$A$117,0),8))</f>
        <v>השתתפות משרד הביטחון</v>
      </c>
      <c r="Y77" s="18" t="str">
        <f t="shared" si="15"/>
        <v>970</v>
      </c>
      <c r="Z77" s="18" t="e">
        <f>IF($L77&lt;"6",INDEX(Revenue_type,MATCH(Y77*1,type!$A$118:$A$168,0),8),INDEX(Expenditure_type,MATCH(Y77*1,type!$A$2:$A$117,0),8))</f>
        <v>#N/A</v>
      </c>
    </row>
    <row r="78" spans="1:26" ht="15.75" hidden="1" customHeight="1">
      <c r="A78" s="482">
        <v>210</v>
      </c>
      <c r="B78" s="485" t="s">
        <v>7643</v>
      </c>
      <c r="C78">
        <v>1</v>
      </c>
      <c r="D78" t="str">
        <f t="shared" si="8"/>
        <v>1313200.210</v>
      </c>
      <c r="E78" s="492" t="s">
        <v>7762</v>
      </c>
      <c r="H78" s="470">
        <v>0</v>
      </c>
      <c r="I78" s="470">
        <v>-102500</v>
      </c>
      <c r="J78" s="470">
        <v>0</v>
      </c>
      <c r="K78" s="18"/>
      <c r="L78" s="18" t="str">
        <f t="shared" si="9"/>
        <v>3</v>
      </c>
      <c r="M78" s="18" t="str">
        <f>INDEX(Chapter,MATCH(L78,Chapter!$A$1:$A$681,0),8)</f>
        <v>שירותים ממלכתיים</v>
      </c>
      <c r="N78" s="18" t="str">
        <f t="shared" si="10"/>
        <v>31</v>
      </c>
      <c r="O78" s="18" t="str">
        <f>INDEX(Chapter,MATCH(N78,Chapter!$A$1:$A$681,0),8)</f>
        <v>חינוך</v>
      </c>
      <c r="P78" s="18" t="str">
        <f t="shared" si="11"/>
        <v>313</v>
      </c>
      <c r="Q78" s="18" t="str">
        <f>INDEX(Chapter,MATCH(P78,Chapter!$A$1:$A$681,0),8)</f>
        <v>חינוך יסודי</v>
      </c>
      <c r="R78" s="18" t="str">
        <f t="shared" si="12"/>
        <v>3132</v>
      </c>
      <c r="S78" s="18" t="str">
        <f>INDEX(Chapter,MATCH(R78,Chapter!$A$1:$A$681,0),8)</f>
        <v>בתי״ס יסודיים</v>
      </c>
      <c r="T78" s="18"/>
      <c r="U78" s="18" t="str">
        <f t="shared" si="13"/>
        <v>2</v>
      </c>
      <c r="V78" s="18" t="str">
        <f>IF($L78&lt;"6",INDEX(Revenue_type,MATCH(U78*1,type!$A$118:$A$168,0),8),INDEX(Expenditure_type,MATCH(U78*1,type!$A$2:$A$117,0),8))</f>
        <v>אגרות</v>
      </c>
      <c r="W78" s="18" t="str">
        <f t="shared" si="14"/>
        <v>21</v>
      </c>
      <c r="X78" s="18" t="str">
        <f>IF($L78&lt;"6",INDEX(Revenue_type,MATCH(W78*1,type!$A$118:$A$168,0),8),INDEX(Expenditure_type,MATCH(W78*1,type!$A$2:$A$117,0),8))</f>
        <v>אגרות מים וביוב</v>
      </c>
      <c r="Y78" s="18" t="str">
        <f t="shared" si="15"/>
        <v>210</v>
      </c>
      <c r="Z78" s="18" t="e">
        <f>IF($L78&lt;"6",INDEX(Revenue_type,MATCH(Y78*1,type!$A$118:$A$168,0),8),INDEX(Expenditure_type,MATCH(Y78*1,type!$A$2:$A$117,0),8))</f>
        <v>#N/A</v>
      </c>
    </row>
    <row r="79" spans="1:26" ht="15.75" hidden="1" customHeight="1">
      <c r="A79" s="482">
        <v>940</v>
      </c>
      <c r="B79" s="485" t="s">
        <v>7643</v>
      </c>
      <c r="C79">
        <v>1</v>
      </c>
      <c r="D79" t="str">
        <f t="shared" si="8"/>
        <v>1313200.940</v>
      </c>
      <c r="E79" s="492" t="s">
        <v>7763</v>
      </c>
      <c r="H79" s="470">
        <v>0</v>
      </c>
      <c r="I79" s="470">
        <v>-618500</v>
      </c>
      <c r="J79" s="470">
        <v>0</v>
      </c>
      <c r="K79" s="18"/>
      <c r="L79" s="18" t="str">
        <f t="shared" si="9"/>
        <v>3</v>
      </c>
      <c r="M79" s="18" t="str">
        <f>INDEX(Chapter,MATCH(L79,Chapter!$A$1:$A$681,0),8)</f>
        <v>שירותים ממלכתיים</v>
      </c>
      <c r="N79" s="18" t="str">
        <f t="shared" si="10"/>
        <v>31</v>
      </c>
      <c r="O79" s="18" t="str">
        <f>INDEX(Chapter,MATCH(N79,Chapter!$A$1:$A$681,0),8)</f>
        <v>חינוך</v>
      </c>
      <c r="P79" s="18" t="str">
        <f t="shared" si="11"/>
        <v>313</v>
      </c>
      <c r="Q79" s="18" t="str">
        <f>INDEX(Chapter,MATCH(P79,Chapter!$A$1:$A$681,0),8)</f>
        <v>חינוך יסודי</v>
      </c>
      <c r="R79" s="18" t="str">
        <f t="shared" si="12"/>
        <v>3132</v>
      </c>
      <c r="S79" s="18" t="str">
        <f>INDEX(Chapter,MATCH(R79,Chapter!$A$1:$A$681,0),8)</f>
        <v>בתי״ס יסודיים</v>
      </c>
      <c r="T79" s="18"/>
      <c r="U79" s="18" t="str">
        <f t="shared" si="13"/>
        <v>9</v>
      </c>
      <c r="V79" s="18" t="str">
        <f>IF($L79&lt;"6",INDEX(Revenue_type,MATCH(U79*1,type!$A$118:$A$168,0),8),INDEX(Expenditure_type,MATCH(U79*1,type!$A$2:$A$117,0),8))</f>
        <v>השתתפות משרדי ממשלה</v>
      </c>
      <c r="W79" s="18" t="str">
        <f t="shared" si="14"/>
        <v>94</v>
      </c>
      <c r="X79" s="18" t="str">
        <f>IF($L79&lt;"6",INDEX(Revenue_type,MATCH(W79*1,type!$A$118:$A$168,0),8),INDEX(Expenditure_type,MATCH(W79*1,type!$A$2:$A$117,0),8))</f>
        <v>השתתפות משרד הבריאות</v>
      </c>
      <c r="Y79" s="18" t="str">
        <f t="shared" si="15"/>
        <v>940</v>
      </c>
      <c r="Z79" s="18" t="e">
        <f>IF($L79&lt;"6",INDEX(Revenue_type,MATCH(Y79*1,type!$A$118:$A$168,0),8),INDEX(Expenditure_type,MATCH(Y79*1,type!$A$2:$A$117,0),8))</f>
        <v>#N/A</v>
      </c>
    </row>
    <row r="80" spans="1:26" ht="15.75" hidden="1" customHeight="1" thickBot="1">
      <c r="A80" s="483">
        <v>950</v>
      </c>
      <c r="B80" s="486" t="s">
        <v>7643</v>
      </c>
      <c r="C80">
        <v>1</v>
      </c>
      <c r="D80" t="str">
        <f t="shared" si="8"/>
        <v>1313200.950</v>
      </c>
      <c r="E80" s="493" t="s">
        <v>7764</v>
      </c>
      <c r="H80" s="470">
        <v>-16350000</v>
      </c>
      <c r="I80" s="470">
        <v>-15629000</v>
      </c>
      <c r="J80" s="470">
        <v>-12942303</v>
      </c>
      <c r="K80" s="18"/>
      <c r="L80" s="18" t="str">
        <f t="shared" si="9"/>
        <v>3</v>
      </c>
      <c r="M80" s="18" t="str">
        <f>INDEX(Chapter,MATCH(L80,Chapter!$A$1:$A$681,0),8)</f>
        <v>שירותים ממלכתיים</v>
      </c>
      <c r="N80" s="18" t="str">
        <f t="shared" si="10"/>
        <v>31</v>
      </c>
      <c r="O80" s="18" t="str">
        <f>INDEX(Chapter,MATCH(N80,Chapter!$A$1:$A$681,0),8)</f>
        <v>חינוך</v>
      </c>
      <c r="P80" s="18" t="str">
        <f t="shared" si="11"/>
        <v>313</v>
      </c>
      <c r="Q80" s="18" t="str">
        <f>INDEX(Chapter,MATCH(P80,Chapter!$A$1:$A$681,0),8)</f>
        <v>חינוך יסודי</v>
      </c>
      <c r="R80" s="18" t="str">
        <f t="shared" si="12"/>
        <v>3132</v>
      </c>
      <c r="S80" s="18" t="str">
        <f>INDEX(Chapter,MATCH(R80,Chapter!$A$1:$A$681,0),8)</f>
        <v>בתי״ס יסודיים</v>
      </c>
      <c r="T80" s="18"/>
      <c r="U80" s="18" t="str">
        <f t="shared" si="13"/>
        <v>9</v>
      </c>
      <c r="V80" s="18" t="str">
        <f>IF($L80&lt;"6",INDEX(Revenue_type,MATCH(U80*1,type!$A$118:$A$168,0),8),INDEX(Expenditure_type,MATCH(U80*1,type!$A$2:$A$117,0),8))</f>
        <v>השתתפות משרדי ממשלה</v>
      </c>
      <c r="W80" s="18" t="str">
        <f t="shared" si="14"/>
        <v>95</v>
      </c>
      <c r="X80" s="18" t="str">
        <f>IF($L80&lt;"6",INDEX(Revenue_type,MATCH(W80*1,type!$A$118:$A$168,0),8),INDEX(Expenditure_type,MATCH(W80*1,type!$A$2:$A$117,0),8))</f>
        <v>השתתפות משרד הקליטה</v>
      </c>
      <c r="Y80" s="18" t="str">
        <f t="shared" si="15"/>
        <v>950</v>
      </c>
      <c r="Z80" s="18" t="e">
        <f>IF($L80&lt;"6",INDEX(Revenue_type,MATCH(Y80*1,type!$A$118:$A$168,0),8),INDEX(Expenditure_type,MATCH(Y80*1,type!$A$2:$A$117,0),8))</f>
        <v>#N/A</v>
      </c>
    </row>
    <row r="81" spans="1:26" ht="15.75" hidden="1" customHeight="1" thickTop="1">
      <c r="A81" s="482">
        <v>940</v>
      </c>
      <c r="B81" s="485">
        <v>313266</v>
      </c>
      <c r="C81">
        <v>1</v>
      </c>
      <c r="D81" t="str">
        <f t="shared" si="8"/>
        <v>1313266.940</v>
      </c>
      <c r="E81" s="492" t="s">
        <v>7765</v>
      </c>
      <c r="H81" s="470">
        <v>0</v>
      </c>
      <c r="I81" s="470">
        <v>0</v>
      </c>
      <c r="J81" s="470">
        <v>-1269034</v>
      </c>
      <c r="K81" s="18"/>
      <c r="L81" s="18" t="str">
        <f t="shared" si="9"/>
        <v>3</v>
      </c>
      <c r="M81" s="18" t="str">
        <f>INDEX(Chapter,MATCH(L81,Chapter!$A$1:$A$681,0),8)</f>
        <v>שירותים ממלכתיים</v>
      </c>
      <c r="N81" s="18" t="str">
        <f t="shared" si="10"/>
        <v>31</v>
      </c>
      <c r="O81" s="18" t="str">
        <f>INDEX(Chapter,MATCH(N81,Chapter!$A$1:$A$681,0),8)</f>
        <v>חינוך</v>
      </c>
      <c r="P81" s="18" t="str">
        <f t="shared" si="11"/>
        <v>313</v>
      </c>
      <c r="Q81" s="18" t="str">
        <f>INDEX(Chapter,MATCH(P81,Chapter!$A$1:$A$681,0),8)</f>
        <v>חינוך יסודי</v>
      </c>
      <c r="R81" s="18" t="str">
        <f t="shared" si="12"/>
        <v>3132</v>
      </c>
      <c r="S81" s="18" t="str">
        <f>INDEX(Chapter,MATCH(R81,Chapter!$A$1:$A$681,0),8)</f>
        <v>בתי״ס יסודיים</v>
      </c>
      <c r="T81" s="18"/>
      <c r="U81" s="18" t="str">
        <f t="shared" si="13"/>
        <v>9</v>
      </c>
      <c r="V81" s="18" t="str">
        <f>IF($L81&lt;"6",INDEX(Revenue_type,MATCH(U81*1,type!$A$118:$A$168,0),8),INDEX(Expenditure_type,MATCH(U81*1,type!$A$2:$A$117,0),8))</f>
        <v>השתתפות משרדי ממשלה</v>
      </c>
      <c r="W81" s="18" t="str">
        <f t="shared" si="14"/>
        <v>94</v>
      </c>
      <c r="X81" s="18" t="str">
        <f>IF($L81&lt;"6",INDEX(Revenue_type,MATCH(W81*1,type!$A$118:$A$168,0),8),INDEX(Expenditure_type,MATCH(W81*1,type!$A$2:$A$117,0),8))</f>
        <v>השתתפות משרד הבריאות</v>
      </c>
      <c r="Y81" s="18" t="str">
        <f t="shared" si="15"/>
        <v>940</v>
      </c>
      <c r="Z81" s="18" t="e">
        <f>IF($L81&lt;"6",INDEX(Revenue_type,MATCH(Y81*1,type!$A$118:$A$168,0),8),INDEX(Expenditure_type,MATCH(Y81*1,type!$A$2:$A$117,0),8))</f>
        <v>#N/A</v>
      </c>
    </row>
    <row r="82" spans="1:26" ht="15.75" hidden="1" customHeight="1">
      <c r="A82" s="482">
        <v>941</v>
      </c>
      <c r="B82" s="485">
        <v>313266</v>
      </c>
      <c r="C82">
        <v>1</v>
      </c>
      <c r="D82" t="str">
        <f t="shared" si="8"/>
        <v>1313266.941</v>
      </c>
      <c r="E82" s="492" t="s">
        <v>7766</v>
      </c>
      <c r="H82" s="470">
        <v>0</v>
      </c>
      <c r="I82" s="470">
        <v>0</v>
      </c>
      <c r="J82" s="470">
        <v>-2807844</v>
      </c>
      <c r="K82" s="18"/>
      <c r="L82" s="18" t="str">
        <f t="shared" si="9"/>
        <v>3</v>
      </c>
      <c r="M82" s="18" t="str">
        <f>INDEX(Chapter,MATCH(L82,Chapter!$A$1:$A$681,0),8)</f>
        <v>שירותים ממלכתיים</v>
      </c>
      <c r="N82" s="18" t="str">
        <f t="shared" si="10"/>
        <v>31</v>
      </c>
      <c r="O82" s="18" t="str">
        <f>INDEX(Chapter,MATCH(N82,Chapter!$A$1:$A$681,0),8)</f>
        <v>חינוך</v>
      </c>
      <c r="P82" s="18" t="str">
        <f t="shared" si="11"/>
        <v>313</v>
      </c>
      <c r="Q82" s="18" t="str">
        <f>INDEX(Chapter,MATCH(P82,Chapter!$A$1:$A$681,0),8)</f>
        <v>חינוך יסודי</v>
      </c>
      <c r="R82" s="18" t="str">
        <f t="shared" si="12"/>
        <v>3132</v>
      </c>
      <c r="S82" s="18" t="str">
        <f>INDEX(Chapter,MATCH(R82,Chapter!$A$1:$A$681,0),8)</f>
        <v>בתי״ס יסודיים</v>
      </c>
      <c r="T82" s="18"/>
      <c r="U82" s="18" t="str">
        <f t="shared" si="13"/>
        <v>9</v>
      </c>
      <c r="V82" s="18" t="str">
        <f>IF($L82&lt;"6",INDEX(Revenue_type,MATCH(U82*1,type!$A$118:$A$168,0),8),INDEX(Expenditure_type,MATCH(U82*1,type!$A$2:$A$117,0),8))</f>
        <v>השתתפות משרדי ממשלה</v>
      </c>
      <c r="W82" s="18" t="str">
        <f t="shared" si="14"/>
        <v>94</v>
      </c>
      <c r="X82" s="18" t="str">
        <f>IF($L82&lt;"6",INDEX(Revenue_type,MATCH(W82*1,type!$A$118:$A$168,0),8),INDEX(Expenditure_type,MATCH(W82*1,type!$A$2:$A$117,0),8))</f>
        <v>השתתפות משרד הבריאות</v>
      </c>
      <c r="Y82" s="18" t="str">
        <f t="shared" si="15"/>
        <v>941</v>
      </c>
      <c r="Z82" s="18" t="e">
        <f>IF($L82&lt;"6",INDEX(Revenue_type,MATCH(Y82*1,type!$A$118:$A$168,0),8),INDEX(Expenditure_type,MATCH(Y82*1,type!$A$2:$A$117,0),8))</f>
        <v>#N/A</v>
      </c>
    </row>
    <row r="83" spans="1:26" ht="15.75" hidden="1" customHeight="1">
      <c r="A83" s="482">
        <v>710</v>
      </c>
      <c r="B83" s="485">
        <v>313312</v>
      </c>
      <c r="C83">
        <v>1</v>
      </c>
      <c r="D83" t="str">
        <f t="shared" si="8"/>
        <v>1313312.710</v>
      </c>
      <c r="E83" s="492" t="s">
        <v>7767</v>
      </c>
      <c r="H83" s="470">
        <v>-1600000</v>
      </c>
      <c r="I83" s="470">
        <v>-1600000</v>
      </c>
      <c r="J83" s="470">
        <v>-1617746</v>
      </c>
      <c r="K83" s="18"/>
      <c r="L83" s="18" t="str">
        <f t="shared" si="9"/>
        <v>3</v>
      </c>
      <c r="M83" s="18" t="str">
        <f>INDEX(Chapter,MATCH(L83,Chapter!$A$1:$A$681,0),8)</f>
        <v>שירותים ממלכתיים</v>
      </c>
      <c r="N83" s="18" t="str">
        <f t="shared" si="10"/>
        <v>31</v>
      </c>
      <c r="O83" s="18" t="str">
        <f>INDEX(Chapter,MATCH(N83,Chapter!$A$1:$A$681,0),8)</f>
        <v>חינוך</v>
      </c>
      <c r="P83" s="18" t="str">
        <f t="shared" si="11"/>
        <v>313</v>
      </c>
      <c r="Q83" s="18" t="str">
        <f>INDEX(Chapter,MATCH(P83,Chapter!$A$1:$A$681,0),8)</f>
        <v>חינוך יסודי</v>
      </c>
      <c r="R83" s="18" t="str">
        <f t="shared" si="12"/>
        <v>3133</v>
      </c>
      <c r="S83" s="18" t="str">
        <f>INDEX(Chapter,MATCH(R83,Chapter!$A$1:$A$681,0),8)</f>
        <v>חינוך מיוחד</v>
      </c>
      <c r="T83" s="18"/>
      <c r="U83" s="18" t="str">
        <f t="shared" si="13"/>
        <v>7</v>
      </c>
      <c r="V83" s="18" t="str">
        <f>IF($L83&lt;"6",INDEX(Revenue_type,MATCH(U83*1,type!$A$118:$A$168,0),8),INDEX(Expenditure_type,MATCH(U83*1,type!$A$2:$A$117,0),8))</f>
        <v>השתתפות מוסדות ותרומות</v>
      </c>
      <c r="W83" s="18" t="str">
        <f t="shared" si="14"/>
        <v>71</v>
      </c>
      <c r="X83" s="18" t="str">
        <f>IF($L83&lt;"6",INDEX(Revenue_type,MATCH(W83*1,type!$A$118:$A$168,0),8),INDEX(Expenditure_type,MATCH(W83*1,type!$A$2:$A$117,0),8))</f>
        <v>השתתפות ועדים מקומיים</v>
      </c>
      <c r="Y83" s="18" t="str">
        <f t="shared" si="15"/>
        <v>710</v>
      </c>
      <c r="Z83" s="18" t="e">
        <f>IF($L83&lt;"6",INDEX(Revenue_type,MATCH(Y83*1,type!$A$118:$A$168,0),8),INDEX(Expenditure_type,MATCH(Y83*1,type!$A$2:$A$117,0),8))</f>
        <v>#N/A</v>
      </c>
    </row>
    <row r="84" spans="1:26" ht="15.75" hidden="1" customHeight="1">
      <c r="A84" s="482">
        <v>921</v>
      </c>
      <c r="B84" s="485">
        <v>313312</v>
      </c>
      <c r="C84">
        <v>1</v>
      </c>
      <c r="D84" t="str">
        <f t="shared" si="8"/>
        <v>1313312.921</v>
      </c>
      <c r="E84" s="492" t="s">
        <v>7768</v>
      </c>
      <c r="H84" s="470">
        <v>-3700000</v>
      </c>
      <c r="I84" s="470">
        <v>-1600000</v>
      </c>
      <c r="J84" s="470">
        <v>-1695367</v>
      </c>
      <c r="K84" s="18"/>
      <c r="L84" s="18" t="str">
        <f t="shared" si="9"/>
        <v>3</v>
      </c>
      <c r="M84" s="18" t="str">
        <f>INDEX(Chapter,MATCH(L84,Chapter!$A$1:$A$681,0),8)</f>
        <v>שירותים ממלכתיים</v>
      </c>
      <c r="N84" s="18" t="str">
        <f t="shared" si="10"/>
        <v>31</v>
      </c>
      <c r="O84" s="18" t="str">
        <f>INDEX(Chapter,MATCH(N84,Chapter!$A$1:$A$681,0),8)</f>
        <v>חינוך</v>
      </c>
      <c r="P84" s="18" t="str">
        <f t="shared" si="11"/>
        <v>313</v>
      </c>
      <c r="Q84" s="18" t="str">
        <f>INDEX(Chapter,MATCH(P84,Chapter!$A$1:$A$681,0),8)</f>
        <v>חינוך יסודי</v>
      </c>
      <c r="R84" s="18" t="str">
        <f t="shared" si="12"/>
        <v>3133</v>
      </c>
      <c r="S84" s="18" t="str">
        <f>INDEX(Chapter,MATCH(R84,Chapter!$A$1:$A$681,0),8)</f>
        <v>חינוך מיוחד</v>
      </c>
      <c r="T84" s="18"/>
      <c r="U84" s="18" t="str">
        <f t="shared" si="13"/>
        <v>9</v>
      </c>
      <c r="V84" s="18" t="str">
        <f>IF($L84&lt;"6",INDEX(Revenue_type,MATCH(U84*1,type!$A$118:$A$168,0),8),INDEX(Expenditure_type,MATCH(U84*1,type!$A$2:$A$117,0),8))</f>
        <v>השתתפות משרדי ממשלה</v>
      </c>
      <c r="W84" s="18" t="str">
        <f t="shared" si="14"/>
        <v>92</v>
      </c>
      <c r="X84" s="18" t="str">
        <f>IF($L84&lt;"6",INDEX(Revenue_type,MATCH(W84*1,type!$A$118:$A$168,0),8),INDEX(Expenditure_type,MATCH(W84*1,type!$A$2:$A$117,0),8))</f>
        <v>השתתפות משרד החינוך והתרבות</v>
      </c>
      <c r="Y84" s="18" t="str">
        <f t="shared" si="15"/>
        <v>921</v>
      </c>
      <c r="Z84" s="18" t="e">
        <f>IF($L84&lt;"6",INDEX(Revenue_type,MATCH(Y84*1,type!$A$118:$A$168,0),8),INDEX(Expenditure_type,MATCH(Y84*1,type!$A$2:$A$117,0),8))</f>
        <v>#N/A</v>
      </c>
    </row>
    <row r="85" spans="1:26" ht="15.75" hidden="1" customHeight="1">
      <c r="A85" s="482">
        <v>940</v>
      </c>
      <c r="B85" s="485">
        <v>313312</v>
      </c>
      <c r="C85">
        <v>1</v>
      </c>
      <c r="D85" t="str">
        <f t="shared" si="8"/>
        <v>1313312.940</v>
      </c>
      <c r="E85" s="492" t="s">
        <v>7769</v>
      </c>
      <c r="H85" s="470">
        <v>0</v>
      </c>
      <c r="I85" s="470">
        <v>0</v>
      </c>
      <c r="J85" s="470">
        <v>-107730</v>
      </c>
      <c r="K85" s="18"/>
      <c r="L85" s="18" t="str">
        <f t="shared" si="9"/>
        <v>3</v>
      </c>
      <c r="M85" s="18" t="str">
        <f>INDEX(Chapter,MATCH(L85,Chapter!$A$1:$A$681,0),8)</f>
        <v>שירותים ממלכתיים</v>
      </c>
      <c r="N85" s="18" t="str">
        <f t="shared" si="10"/>
        <v>31</v>
      </c>
      <c r="O85" s="18" t="str">
        <f>INDEX(Chapter,MATCH(N85,Chapter!$A$1:$A$681,0),8)</f>
        <v>חינוך</v>
      </c>
      <c r="P85" s="18" t="str">
        <f t="shared" si="11"/>
        <v>313</v>
      </c>
      <c r="Q85" s="18" t="str">
        <f>INDEX(Chapter,MATCH(P85,Chapter!$A$1:$A$681,0),8)</f>
        <v>חינוך יסודי</v>
      </c>
      <c r="R85" s="18" t="str">
        <f t="shared" si="12"/>
        <v>3133</v>
      </c>
      <c r="S85" s="18" t="str">
        <f>INDEX(Chapter,MATCH(R85,Chapter!$A$1:$A$681,0),8)</f>
        <v>חינוך מיוחד</v>
      </c>
      <c r="T85" s="18"/>
      <c r="U85" s="18" t="str">
        <f t="shared" si="13"/>
        <v>9</v>
      </c>
      <c r="V85" s="18" t="str">
        <f>IF($L85&lt;"6",INDEX(Revenue_type,MATCH(U85*1,type!$A$118:$A$168,0),8),INDEX(Expenditure_type,MATCH(U85*1,type!$A$2:$A$117,0),8))</f>
        <v>השתתפות משרדי ממשלה</v>
      </c>
      <c r="W85" s="18" t="str">
        <f t="shared" si="14"/>
        <v>94</v>
      </c>
      <c r="X85" s="18" t="str">
        <f>IF($L85&lt;"6",INDEX(Revenue_type,MATCH(W85*1,type!$A$118:$A$168,0),8),INDEX(Expenditure_type,MATCH(W85*1,type!$A$2:$A$117,0),8))</f>
        <v>השתתפות משרד הבריאות</v>
      </c>
      <c r="Y85" s="18" t="str">
        <f t="shared" si="15"/>
        <v>940</v>
      </c>
      <c r="Z85" s="18" t="e">
        <f>IF($L85&lt;"6",INDEX(Revenue_type,MATCH(Y85*1,type!$A$118:$A$168,0),8),INDEX(Expenditure_type,MATCH(Y85*1,type!$A$2:$A$117,0),8))</f>
        <v>#N/A</v>
      </c>
    </row>
    <row r="86" spans="1:26" ht="15.75" hidden="1" customHeight="1">
      <c r="A86" s="482">
        <v>920</v>
      </c>
      <c r="B86" s="485">
        <v>313314</v>
      </c>
      <c r="C86">
        <v>1</v>
      </c>
      <c r="D86" t="str">
        <f t="shared" si="8"/>
        <v>1313314.920</v>
      </c>
      <c r="E86" s="492" t="s">
        <v>7770</v>
      </c>
      <c r="H86" s="470">
        <v>-325000</v>
      </c>
      <c r="I86" s="470">
        <v>-322000</v>
      </c>
      <c r="J86" s="470">
        <v>-295453</v>
      </c>
      <c r="K86" s="18"/>
      <c r="L86" s="18" t="str">
        <f t="shared" si="9"/>
        <v>3</v>
      </c>
      <c r="M86" s="18" t="str">
        <f>INDEX(Chapter,MATCH(L86,Chapter!$A$1:$A$681,0),8)</f>
        <v>שירותים ממלכתיים</v>
      </c>
      <c r="N86" s="18" t="str">
        <f t="shared" si="10"/>
        <v>31</v>
      </c>
      <c r="O86" s="18" t="str">
        <f>INDEX(Chapter,MATCH(N86,Chapter!$A$1:$A$681,0),8)</f>
        <v>חינוך</v>
      </c>
      <c r="P86" s="18" t="str">
        <f t="shared" si="11"/>
        <v>313</v>
      </c>
      <c r="Q86" s="18" t="str">
        <f>INDEX(Chapter,MATCH(P86,Chapter!$A$1:$A$681,0),8)</f>
        <v>חינוך יסודי</v>
      </c>
      <c r="R86" s="18" t="str">
        <f t="shared" si="12"/>
        <v>3133</v>
      </c>
      <c r="S86" s="18" t="str">
        <f>INDEX(Chapter,MATCH(R86,Chapter!$A$1:$A$681,0),8)</f>
        <v>חינוך מיוחד</v>
      </c>
      <c r="T86" s="18"/>
      <c r="U86" s="18" t="str">
        <f t="shared" si="13"/>
        <v>9</v>
      </c>
      <c r="V86" s="18" t="str">
        <f>IF($L86&lt;"6",INDEX(Revenue_type,MATCH(U86*1,type!$A$118:$A$168,0),8),INDEX(Expenditure_type,MATCH(U86*1,type!$A$2:$A$117,0),8))</f>
        <v>השתתפות משרדי ממשלה</v>
      </c>
      <c r="W86" s="18" t="str">
        <f t="shared" si="14"/>
        <v>92</v>
      </c>
      <c r="X86" s="18" t="str">
        <f>IF($L86&lt;"6",INDEX(Revenue_type,MATCH(W86*1,type!$A$118:$A$168,0),8),INDEX(Expenditure_type,MATCH(W86*1,type!$A$2:$A$117,0),8))</f>
        <v>השתתפות משרד החינוך והתרבות</v>
      </c>
      <c r="Y86" s="18" t="str">
        <f t="shared" si="15"/>
        <v>920</v>
      </c>
      <c r="Z86" s="18" t="e">
        <f>IF($L86&lt;"6",INDEX(Revenue_type,MATCH(Y86*1,type!$A$118:$A$168,0),8),INDEX(Expenditure_type,MATCH(Y86*1,type!$A$2:$A$117,0),8))</f>
        <v>#N/A</v>
      </c>
    </row>
    <row r="87" spans="1:26" ht="15.75" hidden="1" customHeight="1">
      <c r="A87" s="482">
        <v>710</v>
      </c>
      <c r="B87" s="485">
        <v>313320</v>
      </c>
      <c r="C87">
        <v>1</v>
      </c>
      <c r="D87" t="str">
        <f t="shared" si="8"/>
        <v>1313320.710</v>
      </c>
      <c r="E87" s="492" t="s">
        <v>7771</v>
      </c>
      <c r="H87" s="470">
        <v>0</v>
      </c>
      <c r="I87" s="470">
        <v>-1100000</v>
      </c>
      <c r="J87" s="470">
        <v>-789987</v>
      </c>
      <c r="K87" s="18"/>
      <c r="L87" s="18" t="str">
        <f t="shared" si="9"/>
        <v>3</v>
      </c>
      <c r="M87" s="18" t="str">
        <f>INDEX(Chapter,MATCH(L87,Chapter!$A$1:$A$681,0),8)</f>
        <v>שירותים ממלכתיים</v>
      </c>
      <c r="N87" s="18" t="str">
        <f t="shared" si="10"/>
        <v>31</v>
      </c>
      <c r="O87" s="18" t="str">
        <f>INDEX(Chapter,MATCH(N87,Chapter!$A$1:$A$681,0),8)</f>
        <v>חינוך</v>
      </c>
      <c r="P87" s="18" t="str">
        <f t="shared" si="11"/>
        <v>313</v>
      </c>
      <c r="Q87" s="18" t="str">
        <f>INDEX(Chapter,MATCH(P87,Chapter!$A$1:$A$681,0),8)</f>
        <v>חינוך יסודי</v>
      </c>
      <c r="R87" s="18" t="str">
        <f t="shared" si="12"/>
        <v>3133</v>
      </c>
      <c r="S87" s="18" t="str">
        <f>INDEX(Chapter,MATCH(R87,Chapter!$A$1:$A$681,0),8)</f>
        <v>חינוך מיוחד</v>
      </c>
      <c r="T87" s="18"/>
      <c r="U87" s="18" t="str">
        <f t="shared" si="13"/>
        <v>7</v>
      </c>
      <c r="V87" s="18" t="str">
        <f>IF($L87&lt;"6",INDEX(Revenue_type,MATCH(U87*1,type!$A$118:$A$168,0),8),INDEX(Expenditure_type,MATCH(U87*1,type!$A$2:$A$117,0),8))</f>
        <v>השתתפות מוסדות ותרומות</v>
      </c>
      <c r="W87" s="18" t="str">
        <f t="shared" si="14"/>
        <v>71</v>
      </c>
      <c r="X87" s="18" t="str">
        <f>IF($L87&lt;"6",INDEX(Revenue_type,MATCH(W87*1,type!$A$118:$A$168,0),8),INDEX(Expenditure_type,MATCH(W87*1,type!$A$2:$A$117,0),8))</f>
        <v>השתתפות ועדים מקומיים</v>
      </c>
      <c r="Y87" s="18" t="str">
        <f t="shared" si="15"/>
        <v>710</v>
      </c>
      <c r="Z87" s="18" t="e">
        <f>IF($L87&lt;"6",INDEX(Revenue_type,MATCH(Y87*1,type!$A$118:$A$168,0),8),INDEX(Expenditure_type,MATCH(Y87*1,type!$A$2:$A$117,0),8))</f>
        <v>#N/A</v>
      </c>
    </row>
    <row r="88" spans="1:26" ht="15.75" hidden="1" customHeight="1">
      <c r="A88" s="482">
        <v>921</v>
      </c>
      <c r="B88" s="485">
        <v>313320</v>
      </c>
      <c r="C88">
        <v>1</v>
      </c>
      <c r="D88" t="str">
        <f t="shared" si="8"/>
        <v>1313320.921</v>
      </c>
      <c r="E88" s="492" t="s">
        <v>7772</v>
      </c>
      <c r="H88" s="470">
        <v>-300000</v>
      </c>
      <c r="I88" s="470">
        <v>-250000</v>
      </c>
      <c r="J88" s="470">
        <v>-269164</v>
      </c>
      <c r="K88" s="18"/>
      <c r="L88" s="18" t="str">
        <f t="shared" si="9"/>
        <v>3</v>
      </c>
      <c r="M88" s="18" t="str">
        <f>INDEX(Chapter,MATCH(L88,Chapter!$A$1:$A$681,0),8)</f>
        <v>שירותים ממלכתיים</v>
      </c>
      <c r="N88" s="18" t="str">
        <f t="shared" si="10"/>
        <v>31</v>
      </c>
      <c r="O88" s="18" t="str">
        <f>INDEX(Chapter,MATCH(N88,Chapter!$A$1:$A$681,0),8)</f>
        <v>חינוך</v>
      </c>
      <c r="P88" s="18" t="str">
        <f t="shared" si="11"/>
        <v>313</v>
      </c>
      <c r="Q88" s="18" t="str">
        <f>INDEX(Chapter,MATCH(P88,Chapter!$A$1:$A$681,0),8)</f>
        <v>חינוך יסודי</v>
      </c>
      <c r="R88" s="18" t="str">
        <f t="shared" si="12"/>
        <v>3133</v>
      </c>
      <c r="S88" s="18" t="str">
        <f>INDEX(Chapter,MATCH(R88,Chapter!$A$1:$A$681,0),8)</f>
        <v>חינוך מיוחד</v>
      </c>
      <c r="T88" s="18"/>
      <c r="U88" s="18" t="str">
        <f t="shared" si="13"/>
        <v>9</v>
      </c>
      <c r="V88" s="18" t="str">
        <f>IF($L88&lt;"6",INDEX(Revenue_type,MATCH(U88*1,type!$A$118:$A$168,0),8),INDEX(Expenditure_type,MATCH(U88*1,type!$A$2:$A$117,0),8))</f>
        <v>השתתפות משרדי ממשלה</v>
      </c>
      <c r="W88" s="18" t="str">
        <f t="shared" si="14"/>
        <v>92</v>
      </c>
      <c r="X88" s="18" t="str">
        <f>IF($L88&lt;"6",INDEX(Revenue_type,MATCH(W88*1,type!$A$118:$A$168,0),8),INDEX(Expenditure_type,MATCH(W88*1,type!$A$2:$A$117,0),8))</f>
        <v>השתתפות משרד החינוך והתרבות</v>
      </c>
      <c r="Y88" s="18" t="str">
        <f t="shared" si="15"/>
        <v>921</v>
      </c>
      <c r="Z88" s="18" t="e">
        <f>IF($L88&lt;"6",INDEX(Revenue_type,MATCH(Y88*1,type!$A$118:$A$168,0),8),INDEX(Expenditure_type,MATCH(Y88*1,type!$A$2:$A$117,0),8))</f>
        <v>#N/A</v>
      </c>
    </row>
    <row r="89" spans="1:26" ht="15.75" hidden="1" customHeight="1">
      <c r="A89" s="482">
        <v>940</v>
      </c>
      <c r="B89" s="485">
        <v>313320</v>
      </c>
      <c r="C89">
        <v>1</v>
      </c>
      <c r="D89" t="str">
        <f t="shared" si="8"/>
        <v>1313320.940</v>
      </c>
      <c r="E89" s="492" t="s">
        <v>7773</v>
      </c>
      <c r="H89" s="470">
        <v>0</v>
      </c>
      <c r="I89" s="470">
        <v>0</v>
      </c>
      <c r="J89" s="470">
        <v>0</v>
      </c>
      <c r="K89" s="18"/>
      <c r="L89" s="18" t="str">
        <f t="shared" si="9"/>
        <v>3</v>
      </c>
      <c r="M89" s="18" t="str">
        <f>INDEX(Chapter,MATCH(L89,Chapter!$A$1:$A$681,0),8)</f>
        <v>שירותים ממלכתיים</v>
      </c>
      <c r="N89" s="18" t="str">
        <f t="shared" si="10"/>
        <v>31</v>
      </c>
      <c r="O89" s="18" t="str">
        <f>INDEX(Chapter,MATCH(N89,Chapter!$A$1:$A$681,0),8)</f>
        <v>חינוך</v>
      </c>
      <c r="P89" s="18" t="str">
        <f t="shared" si="11"/>
        <v>313</v>
      </c>
      <c r="Q89" s="18" t="str">
        <f>INDEX(Chapter,MATCH(P89,Chapter!$A$1:$A$681,0),8)</f>
        <v>חינוך יסודי</v>
      </c>
      <c r="R89" s="18" t="str">
        <f t="shared" si="12"/>
        <v>3133</v>
      </c>
      <c r="S89" s="18" t="str">
        <f>INDEX(Chapter,MATCH(R89,Chapter!$A$1:$A$681,0),8)</f>
        <v>חינוך מיוחד</v>
      </c>
      <c r="T89" s="18"/>
      <c r="U89" s="18" t="str">
        <f t="shared" si="13"/>
        <v>9</v>
      </c>
      <c r="V89" s="18" t="str">
        <f>IF($L89&lt;"6",INDEX(Revenue_type,MATCH(U89*1,type!$A$118:$A$168,0),8),INDEX(Expenditure_type,MATCH(U89*1,type!$A$2:$A$117,0),8))</f>
        <v>השתתפות משרדי ממשלה</v>
      </c>
      <c r="W89" s="18" t="str">
        <f t="shared" si="14"/>
        <v>94</v>
      </c>
      <c r="X89" s="18" t="str">
        <f>IF($L89&lt;"6",INDEX(Revenue_type,MATCH(W89*1,type!$A$118:$A$168,0),8),INDEX(Expenditure_type,MATCH(W89*1,type!$A$2:$A$117,0),8))</f>
        <v>השתתפות משרד הבריאות</v>
      </c>
      <c r="Y89" s="18" t="str">
        <f t="shared" si="15"/>
        <v>940</v>
      </c>
      <c r="Z89" s="18" t="e">
        <f>IF($L89&lt;"6",INDEX(Revenue_type,MATCH(Y89*1,type!$A$118:$A$168,0),8),INDEX(Expenditure_type,MATCH(Y89*1,type!$A$2:$A$117,0),8))</f>
        <v>#N/A</v>
      </c>
    </row>
    <row r="90" spans="1:26" ht="15.75" hidden="1" customHeight="1">
      <c r="A90" s="482">
        <v>710</v>
      </c>
      <c r="B90" s="485">
        <v>313330</v>
      </c>
      <c r="C90">
        <v>1</v>
      </c>
      <c r="D90" t="str">
        <f t="shared" si="8"/>
        <v>1313330.710</v>
      </c>
      <c r="E90" s="492" t="s">
        <v>7774</v>
      </c>
      <c r="H90" s="470">
        <v>0</v>
      </c>
      <c r="I90" s="470">
        <v>-1000000</v>
      </c>
      <c r="J90" s="470">
        <v>-687854</v>
      </c>
      <c r="K90" s="18"/>
      <c r="L90" s="18" t="str">
        <f t="shared" si="9"/>
        <v>3</v>
      </c>
      <c r="M90" s="18" t="str">
        <f>INDEX(Chapter,MATCH(L90,Chapter!$A$1:$A$681,0),8)</f>
        <v>שירותים ממלכתיים</v>
      </c>
      <c r="N90" s="18" t="str">
        <f t="shared" si="10"/>
        <v>31</v>
      </c>
      <c r="O90" s="18" t="str">
        <f>INDEX(Chapter,MATCH(N90,Chapter!$A$1:$A$681,0),8)</f>
        <v>חינוך</v>
      </c>
      <c r="P90" s="18" t="str">
        <f t="shared" si="11"/>
        <v>313</v>
      </c>
      <c r="Q90" s="18" t="str">
        <f>INDEX(Chapter,MATCH(P90,Chapter!$A$1:$A$681,0),8)</f>
        <v>חינוך יסודי</v>
      </c>
      <c r="R90" s="18" t="str">
        <f t="shared" si="12"/>
        <v>3133</v>
      </c>
      <c r="S90" s="18" t="str">
        <f>INDEX(Chapter,MATCH(R90,Chapter!$A$1:$A$681,0),8)</f>
        <v>חינוך מיוחד</v>
      </c>
      <c r="T90" s="18"/>
      <c r="U90" s="18" t="str">
        <f t="shared" si="13"/>
        <v>7</v>
      </c>
      <c r="V90" s="18" t="str">
        <f>IF($L90&lt;"6",INDEX(Revenue_type,MATCH(U90*1,type!$A$118:$A$168,0),8),INDEX(Expenditure_type,MATCH(U90*1,type!$A$2:$A$117,0),8))</f>
        <v>השתתפות מוסדות ותרומות</v>
      </c>
      <c r="W90" s="18" t="str">
        <f t="shared" si="14"/>
        <v>71</v>
      </c>
      <c r="X90" s="18" t="str">
        <f>IF($L90&lt;"6",INDEX(Revenue_type,MATCH(W90*1,type!$A$118:$A$168,0),8),INDEX(Expenditure_type,MATCH(W90*1,type!$A$2:$A$117,0),8))</f>
        <v>השתתפות ועדים מקומיים</v>
      </c>
      <c r="Y90" s="18" t="str">
        <f t="shared" si="15"/>
        <v>710</v>
      </c>
      <c r="Z90" s="18" t="e">
        <f>IF($L90&lt;"6",INDEX(Revenue_type,MATCH(Y90*1,type!$A$118:$A$168,0),8),INDEX(Expenditure_type,MATCH(Y90*1,type!$A$2:$A$117,0),8))</f>
        <v>#N/A</v>
      </c>
    </row>
    <row r="91" spans="1:26" ht="15.75" hidden="1" customHeight="1">
      <c r="A91" s="482">
        <v>921</v>
      </c>
      <c r="B91" s="485">
        <v>313330</v>
      </c>
      <c r="C91">
        <v>1</v>
      </c>
      <c r="D91" t="str">
        <f t="shared" si="8"/>
        <v>1313330.921</v>
      </c>
      <c r="E91" s="492" t="s">
        <v>7775</v>
      </c>
      <c r="H91" s="470">
        <v>-360000</v>
      </c>
      <c r="I91" s="470">
        <v>-340000</v>
      </c>
      <c r="J91" s="470">
        <v>-331508</v>
      </c>
      <c r="K91" s="18"/>
      <c r="L91" s="18" t="str">
        <f t="shared" si="9"/>
        <v>3</v>
      </c>
      <c r="M91" s="18" t="str">
        <f>INDEX(Chapter,MATCH(L91,Chapter!$A$1:$A$681,0),8)</f>
        <v>שירותים ממלכתיים</v>
      </c>
      <c r="N91" s="18" t="str">
        <f t="shared" si="10"/>
        <v>31</v>
      </c>
      <c r="O91" s="18" t="str">
        <f>INDEX(Chapter,MATCH(N91,Chapter!$A$1:$A$681,0),8)</f>
        <v>חינוך</v>
      </c>
      <c r="P91" s="18" t="str">
        <f t="shared" si="11"/>
        <v>313</v>
      </c>
      <c r="Q91" s="18" t="str">
        <f>INDEX(Chapter,MATCH(P91,Chapter!$A$1:$A$681,0),8)</f>
        <v>חינוך יסודי</v>
      </c>
      <c r="R91" s="18" t="str">
        <f t="shared" si="12"/>
        <v>3133</v>
      </c>
      <c r="S91" s="18" t="str">
        <f>INDEX(Chapter,MATCH(R91,Chapter!$A$1:$A$681,0),8)</f>
        <v>חינוך מיוחד</v>
      </c>
      <c r="T91" s="18"/>
      <c r="U91" s="18" t="str">
        <f t="shared" si="13"/>
        <v>9</v>
      </c>
      <c r="V91" s="18" t="str">
        <f>IF($L91&lt;"6",INDEX(Revenue_type,MATCH(U91*1,type!$A$118:$A$168,0),8),INDEX(Expenditure_type,MATCH(U91*1,type!$A$2:$A$117,0),8))</f>
        <v>השתתפות משרדי ממשלה</v>
      </c>
      <c r="W91" s="18" t="str">
        <f t="shared" si="14"/>
        <v>92</v>
      </c>
      <c r="X91" s="18" t="str">
        <f>IF($L91&lt;"6",INDEX(Revenue_type,MATCH(W91*1,type!$A$118:$A$168,0),8),INDEX(Expenditure_type,MATCH(W91*1,type!$A$2:$A$117,0),8))</f>
        <v>השתתפות משרד החינוך והתרבות</v>
      </c>
      <c r="Y91" s="18" t="str">
        <f t="shared" si="15"/>
        <v>921</v>
      </c>
      <c r="Z91" s="18" t="e">
        <f>IF($L91&lt;"6",INDEX(Revenue_type,MATCH(Y91*1,type!$A$118:$A$168,0),8),INDEX(Expenditure_type,MATCH(Y91*1,type!$A$2:$A$117,0),8))</f>
        <v>#N/A</v>
      </c>
    </row>
    <row r="92" spans="1:26" ht="15.75" hidden="1" customHeight="1">
      <c r="A92" s="482">
        <v>971</v>
      </c>
      <c r="B92" s="485">
        <v>313390</v>
      </c>
      <c r="C92">
        <v>1</v>
      </c>
      <c r="D92" t="str">
        <f t="shared" si="8"/>
        <v>1313390.971</v>
      </c>
      <c r="E92" s="492" t="s">
        <v>7776</v>
      </c>
      <c r="H92" s="470">
        <v>-300000</v>
      </c>
      <c r="I92" s="470">
        <v>-300000</v>
      </c>
      <c r="J92" s="470">
        <v>-418906</v>
      </c>
      <c r="K92" s="18"/>
      <c r="L92" s="18" t="str">
        <f t="shared" si="9"/>
        <v>3</v>
      </c>
      <c r="M92" s="18" t="str">
        <f>INDEX(Chapter,MATCH(L92,Chapter!$A$1:$A$681,0),8)</f>
        <v>שירותים ממלכתיים</v>
      </c>
      <c r="N92" s="18" t="str">
        <f t="shared" si="10"/>
        <v>31</v>
      </c>
      <c r="O92" s="18" t="str">
        <f>INDEX(Chapter,MATCH(N92,Chapter!$A$1:$A$681,0),8)</f>
        <v>חינוך</v>
      </c>
      <c r="P92" s="18" t="str">
        <f t="shared" si="11"/>
        <v>313</v>
      </c>
      <c r="Q92" s="18" t="str">
        <f>INDEX(Chapter,MATCH(P92,Chapter!$A$1:$A$681,0),8)</f>
        <v>חינוך יסודי</v>
      </c>
      <c r="R92" s="18" t="str">
        <f t="shared" si="12"/>
        <v>3133</v>
      </c>
      <c r="S92" s="18" t="str">
        <f>INDEX(Chapter,MATCH(R92,Chapter!$A$1:$A$681,0),8)</f>
        <v>חינוך מיוחד</v>
      </c>
      <c r="T92" s="18"/>
      <c r="U92" s="18" t="str">
        <f t="shared" si="13"/>
        <v>9</v>
      </c>
      <c r="V92" s="18" t="str">
        <f>IF($L92&lt;"6",INDEX(Revenue_type,MATCH(U92*1,type!$A$118:$A$168,0),8),INDEX(Expenditure_type,MATCH(U92*1,type!$A$2:$A$117,0),8))</f>
        <v>השתתפות משרדי ממשלה</v>
      </c>
      <c r="W92" s="18" t="str">
        <f t="shared" si="14"/>
        <v>97</v>
      </c>
      <c r="X92" s="18" t="str">
        <f>IF($L92&lt;"6",INDEX(Revenue_type,MATCH(W92*1,type!$A$118:$A$168,0),8),INDEX(Expenditure_type,MATCH(W92*1,type!$A$2:$A$117,0),8))</f>
        <v>השתתפות משרד הביטחון</v>
      </c>
      <c r="Y92" s="18" t="str">
        <f t="shared" si="15"/>
        <v>971</v>
      </c>
      <c r="Z92" s="18" t="e">
        <f>IF($L92&lt;"6",INDEX(Revenue_type,MATCH(Y92*1,type!$A$118:$A$168,0),8),INDEX(Expenditure_type,MATCH(Y92*1,type!$A$2:$A$117,0),8))</f>
        <v>#N/A</v>
      </c>
    </row>
    <row r="93" spans="1:26" ht="15.75" hidden="1" customHeight="1">
      <c r="A93" s="482">
        <v>920</v>
      </c>
      <c r="B93" s="485">
        <v>313390</v>
      </c>
      <c r="C93">
        <v>1</v>
      </c>
      <c r="D93" t="str">
        <f t="shared" si="8"/>
        <v>1313390.920</v>
      </c>
      <c r="E93" s="492" t="s">
        <v>7777</v>
      </c>
      <c r="H93" s="470">
        <v>0</v>
      </c>
      <c r="I93" s="470">
        <v>0</v>
      </c>
      <c r="J93" s="470">
        <v>0</v>
      </c>
      <c r="K93" s="18"/>
      <c r="L93" s="18" t="str">
        <f t="shared" si="9"/>
        <v>3</v>
      </c>
      <c r="M93" s="18" t="str">
        <f>INDEX(Chapter,MATCH(L93,Chapter!$A$1:$A$681,0),8)</f>
        <v>שירותים ממלכתיים</v>
      </c>
      <c r="N93" s="18" t="str">
        <f t="shared" si="10"/>
        <v>31</v>
      </c>
      <c r="O93" s="18" t="str">
        <f>INDEX(Chapter,MATCH(N93,Chapter!$A$1:$A$681,0),8)</f>
        <v>חינוך</v>
      </c>
      <c r="P93" s="18" t="str">
        <f t="shared" si="11"/>
        <v>313</v>
      </c>
      <c r="Q93" s="18" t="str">
        <f>INDEX(Chapter,MATCH(P93,Chapter!$A$1:$A$681,0),8)</f>
        <v>חינוך יסודי</v>
      </c>
      <c r="R93" s="18" t="str">
        <f t="shared" si="12"/>
        <v>3133</v>
      </c>
      <c r="S93" s="18" t="str">
        <f>INDEX(Chapter,MATCH(R93,Chapter!$A$1:$A$681,0),8)</f>
        <v>חינוך מיוחד</v>
      </c>
      <c r="T93" s="18"/>
      <c r="U93" s="18" t="str">
        <f t="shared" si="13"/>
        <v>9</v>
      </c>
      <c r="V93" s="18" t="str">
        <f>IF($L93&lt;"6",INDEX(Revenue_type,MATCH(U93*1,type!$A$118:$A$168,0),8),INDEX(Expenditure_type,MATCH(U93*1,type!$A$2:$A$117,0),8))</f>
        <v>השתתפות משרדי ממשלה</v>
      </c>
      <c r="W93" s="18" t="str">
        <f t="shared" si="14"/>
        <v>92</v>
      </c>
      <c r="X93" s="18" t="str">
        <f>IF($L93&lt;"6",INDEX(Revenue_type,MATCH(W93*1,type!$A$118:$A$168,0),8),INDEX(Expenditure_type,MATCH(W93*1,type!$A$2:$A$117,0),8))</f>
        <v>השתתפות משרד החינוך והתרבות</v>
      </c>
      <c r="Y93" s="18" t="str">
        <f t="shared" si="15"/>
        <v>920</v>
      </c>
      <c r="Z93" s="18" t="e">
        <f>IF($L93&lt;"6",INDEX(Revenue_type,MATCH(Y93*1,type!$A$118:$A$168,0),8),INDEX(Expenditure_type,MATCH(Y93*1,type!$A$2:$A$117,0),8))</f>
        <v>#N/A</v>
      </c>
    </row>
    <row r="94" spans="1:26" ht="15.75" hidden="1" customHeight="1" outlineLevel="2">
      <c r="A94" s="482">
        <v>970</v>
      </c>
      <c r="B94" s="485">
        <v>313390</v>
      </c>
      <c r="C94">
        <v>1</v>
      </c>
      <c r="D94" t="str">
        <f t="shared" si="8"/>
        <v>1313390.970</v>
      </c>
      <c r="E94" s="492" t="s">
        <v>7778</v>
      </c>
      <c r="H94" s="470">
        <v>-190000</v>
      </c>
      <c r="I94" s="470">
        <v>-190000</v>
      </c>
      <c r="J94" s="470">
        <v>-79786</v>
      </c>
      <c r="K94" s="18"/>
      <c r="L94" s="18" t="str">
        <f t="shared" si="9"/>
        <v>3</v>
      </c>
      <c r="M94" s="18" t="str">
        <f>INDEX(Chapter,MATCH(L94,Chapter!$A$1:$A$681,0),8)</f>
        <v>שירותים ממלכתיים</v>
      </c>
      <c r="N94" s="18" t="str">
        <f t="shared" si="10"/>
        <v>31</v>
      </c>
      <c r="O94" s="18" t="str">
        <f>INDEX(Chapter,MATCH(N94,Chapter!$A$1:$A$681,0),8)</f>
        <v>חינוך</v>
      </c>
      <c r="P94" s="18" t="str">
        <f t="shared" si="11"/>
        <v>313</v>
      </c>
      <c r="Q94" s="18" t="str">
        <f>INDEX(Chapter,MATCH(P94,Chapter!$A$1:$A$681,0),8)</f>
        <v>חינוך יסודי</v>
      </c>
      <c r="R94" s="18" t="str">
        <f t="shared" si="12"/>
        <v>3133</v>
      </c>
      <c r="S94" s="18" t="str">
        <f>INDEX(Chapter,MATCH(R94,Chapter!$A$1:$A$681,0),8)</f>
        <v>חינוך מיוחד</v>
      </c>
      <c r="T94" s="18"/>
      <c r="U94" s="18" t="str">
        <f t="shared" si="13"/>
        <v>9</v>
      </c>
      <c r="V94" s="18" t="str">
        <f>IF($L94&lt;"6",INDEX(Revenue_type,MATCH(U94*1,type!$A$118:$A$168,0),8),INDEX(Expenditure_type,MATCH(U94*1,type!$A$2:$A$117,0),8))</f>
        <v>השתתפות משרדי ממשלה</v>
      </c>
      <c r="W94" s="18" t="str">
        <f t="shared" si="14"/>
        <v>97</v>
      </c>
      <c r="X94" s="18" t="str">
        <f>IF($L94&lt;"6",INDEX(Revenue_type,MATCH(W94*1,type!$A$118:$A$168,0),8),INDEX(Expenditure_type,MATCH(W94*1,type!$A$2:$A$117,0),8))</f>
        <v>השתתפות משרד הביטחון</v>
      </c>
      <c r="Y94" s="18" t="str">
        <f t="shared" si="15"/>
        <v>970</v>
      </c>
      <c r="Z94" s="18" t="e">
        <f>IF($L94&lt;"6",INDEX(Revenue_type,MATCH(Y94*1,type!$A$118:$A$168,0),8),INDEX(Expenditure_type,MATCH(Y94*1,type!$A$2:$A$117,0),8))</f>
        <v>#N/A</v>
      </c>
    </row>
    <row r="95" spans="1:26" ht="15.75" hidden="1" customHeight="1" outlineLevel="2">
      <c r="A95" s="482">
        <v>920</v>
      </c>
      <c r="B95" s="485">
        <v>313316</v>
      </c>
      <c r="C95">
        <v>1</v>
      </c>
      <c r="D95" t="str">
        <f t="shared" si="8"/>
        <v>1313316.920</v>
      </c>
      <c r="E95" s="492" t="s">
        <v>7779</v>
      </c>
      <c r="H95" s="470">
        <v>-2600000</v>
      </c>
      <c r="I95" s="470">
        <v>-2150000</v>
      </c>
      <c r="J95" s="470">
        <v>-2816640</v>
      </c>
      <c r="K95" s="18"/>
      <c r="L95" s="18" t="str">
        <f t="shared" si="9"/>
        <v>3</v>
      </c>
      <c r="M95" s="18" t="str">
        <f>INDEX(Chapter,MATCH(L95,Chapter!$A$1:$A$681,0),8)</f>
        <v>שירותים ממלכתיים</v>
      </c>
      <c r="N95" s="18" t="str">
        <f t="shared" si="10"/>
        <v>31</v>
      </c>
      <c r="O95" s="18" t="str">
        <f>INDEX(Chapter,MATCH(N95,Chapter!$A$1:$A$681,0),8)</f>
        <v>חינוך</v>
      </c>
      <c r="P95" s="18" t="str">
        <f t="shared" si="11"/>
        <v>313</v>
      </c>
      <c r="Q95" s="18" t="str">
        <f>INDEX(Chapter,MATCH(P95,Chapter!$A$1:$A$681,0),8)</f>
        <v>חינוך יסודי</v>
      </c>
      <c r="R95" s="18" t="str">
        <f t="shared" si="12"/>
        <v>3133</v>
      </c>
      <c r="S95" s="18" t="str">
        <f>INDEX(Chapter,MATCH(R95,Chapter!$A$1:$A$681,0),8)</f>
        <v>חינוך מיוחד</v>
      </c>
      <c r="T95" s="18"/>
      <c r="U95" s="18" t="str">
        <f t="shared" si="13"/>
        <v>9</v>
      </c>
      <c r="V95" s="18" t="str">
        <f>IF($L95&lt;"6",INDEX(Revenue_type,MATCH(U95*1,type!$A$118:$A$168,0),8),INDEX(Expenditure_type,MATCH(U95*1,type!$A$2:$A$117,0),8))</f>
        <v>השתתפות משרדי ממשלה</v>
      </c>
      <c r="W95" s="18" t="str">
        <f t="shared" si="14"/>
        <v>92</v>
      </c>
      <c r="X95" s="18" t="str">
        <f>IF($L95&lt;"6",INDEX(Revenue_type,MATCH(W95*1,type!$A$118:$A$168,0),8),INDEX(Expenditure_type,MATCH(W95*1,type!$A$2:$A$117,0),8))</f>
        <v>השתתפות משרד החינוך והתרבות</v>
      </c>
      <c r="Y95" s="18" t="str">
        <f t="shared" si="15"/>
        <v>920</v>
      </c>
      <c r="Z95" s="18" t="e">
        <f>IF($L95&lt;"6",INDEX(Revenue_type,MATCH(Y95*1,type!$A$118:$A$168,0),8),INDEX(Expenditure_type,MATCH(Y95*1,type!$A$2:$A$117,0),8))</f>
        <v>#N/A</v>
      </c>
    </row>
    <row r="96" spans="1:26" ht="15.75" hidden="1" customHeight="1" outlineLevel="2">
      <c r="A96" s="482">
        <v>920</v>
      </c>
      <c r="B96" s="485">
        <v>317800</v>
      </c>
      <c r="C96">
        <v>1</v>
      </c>
      <c r="D96" t="str">
        <f t="shared" si="8"/>
        <v>1317800.920</v>
      </c>
      <c r="E96" s="492" t="s">
        <v>7780</v>
      </c>
      <c r="H96" s="470">
        <v>-9000000</v>
      </c>
      <c r="I96" s="470">
        <v>-9000000</v>
      </c>
      <c r="J96" s="470">
        <v>-12130695</v>
      </c>
      <c r="K96" s="18"/>
      <c r="L96" s="18" t="str">
        <f t="shared" si="9"/>
        <v>3</v>
      </c>
      <c r="M96" s="18" t="str">
        <f>INDEX(Chapter,MATCH(L96,Chapter!$A$1:$A$681,0),8)</f>
        <v>שירותים ממלכתיים</v>
      </c>
      <c r="N96" s="18" t="str">
        <f t="shared" si="10"/>
        <v>31</v>
      </c>
      <c r="O96" s="18" t="str">
        <f>INDEX(Chapter,MATCH(N96,Chapter!$A$1:$A$681,0),8)</f>
        <v>חינוך</v>
      </c>
      <c r="P96" s="18" t="str">
        <f t="shared" si="11"/>
        <v>317</v>
      </c>
      <c r="Q96" s="18" t="str">
        <f>INDEX(Chapter,MATCH(P96,Chapter!$A$1:$A$681,0),8)</f>
        <v>שירותים נוספים לבתי״ס וגנ״י</v>
      </c>
      <c r="R96" s="18" t="str">
        <f t="shared" si="12"/>
        <v>3178</v>
      </c>
      <c r="S96" s="18" t="str">
        <f>INDEX(Chapter,MATCH(R96,Chapter!$A$1:$A$681,0),8)</f>
        <v>הסעות ילדים</v>
      </c>
      <c r="T96" s="18"/>
      <c r="U96" s="18" t="str">
        <f t="shared" si="13"/>
        <v>9</v>
      </c>
      <c r="V96" s="18" t="str">
        <f>IF($L96&lt;"6",INDEX(Revenue_type,MATCH(U96*1,type!$A$118:$A$168,0),8),INDEX(Expenditure_type,MATCH(U96*1,type!$A$2:$A$117,0),8))</f>
        <v>השתתפות משרדי ממשלה</v>
      </c>
      <c r="W96" s="18" t="str">
        <f t="shared" si="14"/>
        <v>92</v>
      </c>
      <c r="X96" s="18" t="str">
        <f>IF($L96&lt;"6",INDEX(Revenue_type,MATCH(W96*1,type!$A$118:$A$168,0),8),INDEX(Expenditure_type,MATCH(W96*1,type!$A$2:$A$117,0),8))</f>
        <v>השתתפות משרד החינוך והתרבות</v>
      </c>
      <c r="Y96" s="18" t="str">
        <f t="shared" si="15"/>
        <v>920</v>
      </c>
      <c r="Z96" s="18" t="e">
        <f>IF($L96&lt;"6",INDEX(Revenue_type,MATCH(Y96*1,type!$A$118:$A$168,0),8),INDEX(Expenditure_type,MATCH(Y96*1,type!$A$2:$A$117,0),8))</f>
        <v>#N/A</v>
      </c>
    </row>
    <row r="97" spans="1:26" ht="15.75" hidden="1" customHeight="1" outlineLevel="2">
      <c r="A97" s="482">
        <v>770</v>
      </c>
      <c r="B97" s="485">
        <v>313719</v>
      </c>
      <c r="C97">
        <v>1</v>
      </c>
      <c r="D97" t="str">
        <f t="shared" si="8"/>
        <v>1313719.770</v>
      </c>
      <c r="E97" s="492" t="s">
        <v>7781</v>
      </c>
      <c r="H97" s="470">
        <v>-30000</v>
      </c>
      <c r="I97" s="470">
        <v>-30000</v>
      </c>
      <c r="J97" s="470">
        <v>-16692</v>
      </c>
      <c r="K97" s="18"/>
      <c r="L97" s="18" t="str">
        <f t="shared" si="9"/>
        <v>3</v>
      </c>
      <c r="M97" s="18" t="str">
        <f>INDEX(Chapter,MATCH(L97,Chapter!$A$1:$A$681,0),8)</f>
        <v>שירותים ממלכתיים</v>
      </c>
      <c r="N97" s="18" t="str">
        <f t="shared" si="10"/>
        <v>31</v>
      </c>
      <c r="O97" s="18" t="str">
        <f>INDEX(Chapter,MATCH(N97,Chapter!$A$1:$A$681,0),8)</f>
        <v>חינוך</v>
      </c>
      <c r="P97" s="18" t="str">
        <f t="shared" si="11"/>
        <v>313</v>
      </c>
      <c r="Q97" s="18" t="str">
        <f>INDEX(Chapter,MATCH(P97,Chapter!$A$1:$A$681,0),8)</f>
        <v>חינוך יסודי</v>
      </c>
      <c r="R97" s="18" t="str">
        <f t="shared" si="12"/>
        <v>3137</v>
      </c>
      <c r="S97" s="18" t="str">
        <f>INDEX(Chapter,MATCH(R97,Chapter!$A$1:$A$681,0),8)</f>
        <v>חוות חקלאיות</v>
      </c>
      <c r="T97" s="18"/>
      <c r="U97" s="18" t="str">
        <f t="shared" si="13"/>
        <v>7</v>
      </c>
      <c r="V97" s="18" t="str">
        <f>IF($L97&lt;"6",INDEX(Revenue_type,MATCH(U97*1,type!$A$118:$A$168,0),8),INDEX(Expenditure_type,MATCH(U97*1,type!$A$2:$A$117,0),8))</f>
        <v>השתתפות מוסדות ותרומות</v>
      </c>
      <c r="W97" s="18" t="str">
        <f t="shared" si="14"/>
        <v>77</v>
      </c>
      <c r="X97" s="18" t="str">
        <f>IF($L97&lt;"6",INDEX(Revenue_type,MATCH(W97*1,type!$A$118:$A$168,0),8),INDEX(Expenditure_type,MATCH(W97*1,type!$A$2:$A$117,0),8))</f>
        <v>השתתפות קהילות מחו"ל</v>
      </c>
      <c r="Y97" s="18" t="str">
        <f t="shared" si="15"/>
        <v>770</v>
      </c>
      <c r="Z97" s="18" t="e">
        <f>IF($L97&lt;"6",INDEX(Revenue_type,MATCH(Y97*1,type!$A$118:$A$168,0),8),INDEX(Expenditure_type,MATCH(Y97*1,type!$A$2:$A$117,0),8))</f>
        <v>#N/A</v>
      </c>
    </row>
    <row r="98" spans="1:26" ht="15.75" hidden="1" customHeight="1" outlineLevel="2">
      <c r="A98" s="482">
        <v>921</v>
      </c>
      <c r="B98" s="485">
        <v>313710</v>
      </c>
      <c r="C98">
        <v>1</v>
      </c>
      <c r="D98" t="str">
        <f t="shared" si="8"/>
        <v>1313710.921</v>
      </c>
      <c r="E98" s="492" t="s">
        <v>7782</v>
      </c>
      <c r="H98" s="470">
        <v>-100000</v>
      </c>
      <c r="I98" s="470">
        <v>-100000</v>
      </c>
      <c r="J98" s="470">
        <v>-140807</v>
      </c>
      <c r="K98" s="18"/>
      <c r="L98" s="18" t="str">
        <f t="shared" si="9"/>
        <v>3</v>
      </c>
      <c r="M98" s="18" t="str">
        <f>INDEX(Chapter,MATCH(L98,Chapter!$A$1:$A$681,0),8)</f>
        <v>שירותים ממלכתיים</v>
      </c>
      <c r="N98" s="18" t="str">
        <f t="shared" si="10"/>
        <v>31</v>
      </c>
      <c r="O98" s="18" t="str">
        <f>INDEX(Chapter,MATCH(N98,Chapter!$A$1:$A$681,0),8)</f>
        <v>חינוך</v>
      </c>
      <c r="P98" s="18" t="str">
        <f t="shared" si="11"/>
        <v>313</v>
      </c>
      <c r="Q98" s="18" t="str">
        <f>INDEX(Chapter,MATCH(P98,Chapter!$A$1:$A$681,0),8)</f>
        <v>חינוך יסודי</v>
      </c>
      <c r="R98" s="18" t="str">
        <f t="shared" si="12"/>
        <v>3137</v>
      </c>
      <c r="S98" s="18" t="str">
        <f>INDEX(Chapter,MATCH(R98,Chapter!$A$1:$A$681,0),8)</f>
        <v>חוות חקלאיות</v>
      </c>
      <c r="T98" s="18"/>
      <c r="U98" s="18" t="str">
        <f t="shared" si="13"/>
        <v>9</v>
      </c>
      <c r="V98" s="18" t="str">
        <f>IF($L98&lt;"6",INDEX(Revenue_type,MATCH(U98*1,type!$A$118:$A$168,0),8),INDEX(Expenditure_type,MATCH(U98*1,type!$A$2:$A$117,0),8))</f>
        <v>השתתפות משרדי ממשלה</v>
      </c>
      <c r="W98" s="18" t="str">
        <f t="shared" si="14"/>
        <v>92</v>
      </c>
      <c r="X98" s="18" t="str">
        <f>IF($L98&lt;"6",INDEX(Revenue_type,MATCH(W98*1,type!$A$118:$A$168,0),8),INDEX(Expenditure_type,MATCH(W98*1,type!$A$2:$A$117,0),8))</f>
        <v>השתתפות משרד החינוך והתרבות</v>
      </c>
      <c r="Y98" s="18" t="str">
        <f t="shared" si="15"/>
        <v>921</v>
      </c>
      <c r="Z98" s="18" t="e">
        <f>IF($L98&lt;"6",INDEX(Revenue_type,MATCH(Y98*1,type!$A$118:$A$168,0),8),INDEX(Expenditure_type,MATCH(Y98*1,type!$A$2:$A$117,0),8))</f>
        <v>#N/A</v>
      </c>
    </row>
    <row r="99" spans="1:26" ht="15.75" hidden="1" customHeight="1" outlineLevel="2">
      <c r="A99" s="482">
        <v>770</v>
      </c>
      <c r="B99" s="485">
        <v>313729</v>
      </c>
      <c r="C99">
        <v>1</v>
      </c>
      <c r="D99" t="str">
        <f t="shared" si="8"/>
        <v>1313729.770</v>
      </c>
      <c r="E99" s="492" t="s">
        <v>7783</v>
      </c>
      <c r="H99" s="470">
        <v>-155000</v>
      </c>
      <c r="I99" s="470">
        <v>-155000</v>
      </c>
      <c r="J99" s="470">
        <v>-19219</v>
      </c>
      <c r="K99" s="18"/>
      <c r="L99" s="18" t="str">
        <f t="shared" si="9"/>
        <v>3</v>
      </c>
      <c r="M99" s="18" t="str">
        <f>INDEX(Chapter,MATCH(L99,Chapter!$A$1:$A$681,0),8)</f>
        <v>שירותים ממלכתיים</v>
      </c>
      <c r="N99" s="18" t="str">
        <f t="shared" si="10"/>
        <v>31</v>
      </c>
      <c r="O99" s="18" t="str">
        <f>INDEX(Chapter,MATCH(N99,Chapter!$A$1:$A$681,0),8)</f>
        <v>חינוך</v>
      </c>
      <c r="P99" s="18" t="str">
        <f t="shared" si="11"/>
        <v>313</v>
      </c>
      <c r="Q99" s="18" t="str">
        <f>INDEX(Chapter,MATCH(P99,Chapter!$A$1:$A$681,0),8)</f>
        <v>חינוך יסודי</v>
      </c>
      <c r="R99" s="18" t="str">
        <f t="shared" si="12"/>
        <v>3137</v>
      </c>
      <c r="S99" s="18" t="str">
        <f>INDEX(Chapter,MATCH(R99,Chapter!$A$1:$A$681,0),8)</f>
        <v>חוות חקלאיות</v>
      </c>
      <c r="T99" s="18"/>
      <c r="U99" s="18" t="str">
        <f t="shared" si="13"/>
        <v>7</v>
      </c>
      <c r="V99" s="18" t="str">
        <f>IF($L99&lt;"6",INDEX(Revenue_type,MATCH(U99*1,type!$A$118:$A$168,0),8),INDEX(Expenditure_type,MATCH(U99*1,type!$A$2:$A$117,0),8))</f>
        <v>השתתפות מוסדות ותרומות</v>
      </c>
      <c r="W99" s="18" t="str">
        <f t="shared" si="14"/>
        <v>77</v>
      </c>
      <c r="X99" s="18" t="str">
        <f>IF($L99&lt;"6",INDEX(Revenue_type,MATCH(W99*1,type!$A$118:$A$168,0),8),INDEX(Expenditure_type,MATCH(W99*1,type!$A$2:$A$117,0),8))</f>
        <v>השתתפות קהילות מחו"ל</v>
      </c>
      <c r="Y99" s="18" t="str">
        <f t="shared" si="15"/>
        <v>770</v>
      </c>
      <c r="Z99" s="18" t="e">
        <f>IF($L99&lt;"6",INDEX(Revenue_type,MATCH(Y99*1,type!$A$118:$A$168,0),8),INDEX(Expenditure_type,MATCH(Y99*1,type!$A$2:$A$117,0),8))</f>
        <v>#N/A</v>
      </c>
    </row>
    <row r="100" spans="1:26" ht="15.75" hidden="1" customHeight="1" outlineLevel="2">
      <c r="A100" s="482">
        <v>921</v>
      </c>
      <c r="B100" s="485">
        <v>313720</v>
      </c>
      <c r="C100">
        <v>1</v>
      </c>
      <c r="D100" t="str">
        <f t="shared" si="8"/>
        <v>1313720.921</v>
      </c>
      <c r="E100" s="492" t="s">
        <v>7784</v>
      </c>
      <c r="H100" s="470">
        <v>-130000</v>
      </c>
      <c r="I100" s="470">
        <v>-130000</v>
      </c>
      <c r="J100" s="470">
        <v>-220324</v>
      </c>
      <c r="K100" s="18"/>
      <c r="L100" s="18" t="str">
        <f t="shared" si="9"/>
        <v>3</v>
      </c>
      <c r="M100" s="18" t="str">
        <f>INDEX(Chapter,MATCH(L100,Chapter!$A$1:$A$681,0),8)</f>
        <v>שירותים ממלכתיים</v>
      </c>
      <c r="N100" s="18" t="str">
        <f t="shared" si="10"/>
        <v>31</v>
      </c>
      <c r="O100" s="18" t="str">
        <f>INDEX(Chapter,MATCH(N100,Chapter!$A$1:$A$681,0),8)</f>
        <v>חינוך</v>
      </c>
      <c r="P100" s="18" t="str">
        <f t="shared" si="11"/>
        <v>313</v>
      </c>
      <c r="Q100" s="18" t="str">
        <f>INDEX(Chapter,MATCH(P100,Chapter!$A$1:$A$681,0),8)</f>
        <v>חינוך יסודי</v>
      </c>
      <c r="R100" s="18" t="str">
        <f t="shared" si="12"/>
        <v>3137</v>
      </c>
      <c r="S100" s="18" t="str">
        <f>INDEX(Chapter,MATCH(R100,Chapter!$A$1:$A$681,0),8)</f>
        <v>חוות חקלאיות</v>
      </c>
      <c r="T100" s="18"/>
      <c r="U100" s="18" t="str">
        <f t="shared" si="13"/>
        <v>9</v>
      </c>
      <c r="V100" s="18" t="str">
        <f>IF($L100&lt;"6",INDEX(Revenue_type,MATCH(U100*1,type!$A$118:$A$168,0),8),INDEX(Expenditure_type,MATCH(U100*1,type!$A$2:$A$117,0),8))</f>
        <v>השתתפות משרדי ממשלה</v>
      </c>
      <c r="W100" s="18" t="str">
        <f t="shared" si="14"/>
        <v>92</v>
      </c>
      <c r="X100" s="18" t="str">
        <f>IF($L100&lt;"6",INDEX(Revenue_type,MATCH(W100*1,type!$A$118:$A$168,0),8),INDEX(Expenditure_type,MATCH(W100*1,type!$A$2:$A$117,0),8))</f>
        <v>השתתפות משרד החינוך והתרבות</v>
      </c>
      <c r="Y100" s="18" t="str">
        <f t="shared" si="15"/>
        <v>921</v>
      </c>
      <c r="Z100" s="18" t="e">
        <f>IF($L100&lt;"6",INDEX(Revenue_type,MATCH(Y100*1,type!$A$118:$A$168,0),8),INDEX(Expenditure_type,MATCH(Y100*1,type!$A$2:$A$117,0),8))</f>
        <v>#N/A</v>
      </c>
    </row>
    <row r="101" spans="1:26" ht="15.75" hidden="1" customHeight="1" outlineLevel="2">
      <c r="A101" s="482">
        <v>770</v>
      </c>
      <c r="B101" s="485">
        <v>313839</v>
      </c>
      <c r="C101">
        <v>1</v>
      </c>
      <c r="D101" t="str">
        <f t="shared" si="8"/>
        <v>1313839.770</v>
      </c>
      <c r="E101" s="492" t="s">
        <v>7785</v>
      </c>
      <c r="H101" s="470">
        <v>-20000</v>
      </c>
      <c r="I101" s="470">
        <v>-20000</v>
      </c>
      <c r="J101" s="470">
        <v>0</v>
      </c>
      <c r="K101" s="18"/>
      <c r="L101" s="18" t="str">
        <f t="shared" si="9"/>
        <v>3</v>
      </c>
      <c r="M101" s="18" t="str">
        <f>INDEX(Chapter,MATCH(L101,Chapter!$A$1:$A$681,0),8)</f>
        <v>שירותים ממלכתיים</v>
      </c>
      <c r="N101" s="18" t="str">
        <f t="shared" si="10"/>
        <v>31</v>
      </c>
      <c r="O101" s="18" t="str">
        <f>INDEX(Chapter,MATCH(N101,Chapter!$A$1:$A$681,0),8)</f>
        <v>חינוך</v>
      </c>
      <c r="P101" s="18" t="str">
        <f t="shared" si="11"/>
        <v>313</v>
      </c>
      <c r="Q101" s="18" t="str">
        <f>INDEX(Chapter,MATCH(P101,Chapter!$A$1:$A$681,0),8)</f>
        <v>חינוך יסודי</v>
      </c>
      <c r="R101" s="18" t="str">
        <f t="shared" si="12"/>
        <v>3138</v>
      </c>
      <c r="S101" s="18" t="str">
        <f>INDEX(Chapter,MATCH(R101,Chapter!$A$1:$A$681,0),8)</f>
        <v>קייטנות/לימודיות וחודש לימוד נוסף</v>
      </c>
      <c r="T101" s="18"/>
      <c r="U101" s="18" t="str">
        <f t="shared" si="13"/>
        <v>7</v>
      </c>
      <c r="V101" s="18" t="str">
        <f>IF($L101&lt;"6",INDEX(Revenue_type,MATCH(U101*1,type!$A$118:$A$168,0),8),INDEX(Expenditure_type,MATCH(U101*1,type!$A$2:$A$117,0),8))</f>
        <v>השתתפות מוסדות ותרומות</v>
      </c>
      <c r="W101" s="18" t="str">
        <f t="shared" si="14"/>
        <v>77</v>
      </c>
      <c r="X101" s="18" t="str">
        <f>IF($L101&lt;"6",INDEX(Revenue_type,MATCH(W101*1,type!$A$118:$A$168,0),8),INDEX(Expenditure_type,MATCH(W101*1,type!$A$2:$A$117,0),8))</f>
        <v>השתתפות קהילות מחו"ל</v>
      </c>
      <c r="Y101" s="18" t="str">
        <f t="shared" si="15"/>
        <v>770</v>
      </c>
      <c r="Z101" s="18" t="e">
        <f>IF($L101&lt;"6",INDEX(Revenue_type,MATCH(Y101*1,type!$A$118:$A$168,0),8),INDEX(Expenditure_type,MATCH(Y101*1,type!$A$2:$A$117,0),8))</f>
        <v>#N/A</v>
      </c>
    </row>
    <row r="102" spans="1:26" ht="15.75" hidden="1" customHeight="1" outlineLevel="2">
      <c r="A102" s="482">
        <v>920</v>
      </c>
      <c r="B102" s="485">
        <v>313830</v>
      </c>
      <c r="C102">
        <v>1</v>
      </c>
      <c r="D102" t="str">
        <f t="shared" si="8"/>
        <v>1313830.920</v>
      </c>
      <c r="E102" s="492" t="s">
        <v>7786</v>
      </c>
      <c r="H102" s="470">
        <v>-10000</v>
      </c>
      <c r="I102" s="470">
        <v>-10000</v>
      </c>
      <c r="J102" s="470">
        <v>-22009</v>
      </c>
      <c r="K102" s="18"/>
      <c r="L102" s="18" t="str">
        <f t="shared" si="9"/>
        <v>3</v>
      </c>
      <c r="M102" s="18" t="str">
        <f>INDEX(Chapter,MATCH(L102,Chapter!$A$1:$A$681,0),8)</f>
        <v>שירותים ממלכתיים</v>
      </c>
      <c r="N102" s="18" t="str">
        <f t="shared" si="10"/>
        <v>31</v>
      </c>
      <c r="O102" s="18" t="str">
        <f>INDEX(Chapter,MATCH(N102,Chapter!$A$1:$A$681,0),8)</f>
        <v>חינוך</v>
      </c>
      <c r="P102" s="18" t="str">
        <f t="shared" si="11"/>
        <v>313</v>
      </c>
      <c r="Q102" s="18" t="str">
        <f>INDEX(Chapter,MATCH(P102,Chapter!$A$1:$A$681,0),8)</f>
        <v>חינוך יסודי</v>
      </c>
      <c r="R102" s="18" t="str">
        <f t="shared" si="12"/>
        <v>3138</v>
      </c>
      <c r="S102" s="18" t="str">
        <f>INDEX(Chapter,MATCH(R102,Chapter!$A$1:$A$681,0),8)</f>
        <v>קייטנות/לימודיות וחודש לימוד נוסף</v>
      </c>
      <c r="T102" s="18"/>
      <c r="U102" s="18" t="str">
        <f t="shared" si="13"/>
        <v>9</v>
      </c>
      <c r="V102" s="18" t="str">
        <f>IF($L102&lt;"6",INDEX(Revenue_type,MATCH(U102*1,type!$A$118:$A$168,0),8),INDEX(Expenditure_type,MATCH(U102*1,type!$A$2:$A$117,0),8))</f>
        <v>השתתפות משרדי ממשלה</v>
      </c>
      <c r="W102" s="18" t="str">
        <f t="shared" si="14"/>
        <v>92</v>
      </c>
      <c r="X102" s="18" t="str">
        <f>IF($L102&lt;"6",INDEX(Revenue_type,MATCH(W102*1,type!$A$118:$A$168,0),8),INDEX(Expenditure_type,MATCH(W102*1,type!$A$2:$A$117,0),8))</f>
        <v>השתתפות משרד החינוך והתרבות</v>
      </c>
      <c r="Y102" s="18" t="str">
        <f t="shared" si="15"/>
        <v>920</v>
      </c>
      <c r="Z102" s="18" t="e">
        <f>IF($L102&lt;"6",INDEX(Revenue_type,MATCH(Y102*1,type!$A$118:$A$168,0),8),INDEX(Expenditure_type,MATCH(Y102*1,type!$A$2:$A$117,0),8))</f>
        <v>#N/A</v>
      </c>
    </row>
    <row r="103" spans="1:26" ht="15.75" hidden="1" customHeight="1" outlineLevel="2">
      <c r="A103" s="482">
        <v>921</v>
      </c>
      <c r="B103" s="485">
        <v>313830</v>
      </c>
      <c r="C103">
        <v>1</v>
      </c>
      <c r="D103" t="str">
        <f t="shared" si="8"/>
        <v>1313830.921</v>
      </c>
      <c r="E103" s="492" t="s">
        <v>7787</v>
      </c>
      <c r="H103" s="470">
        <v>-187000</v>
      </c>
      <c r="I103" s="470">
        <v>-110000</v>
      </c>
      <c r="J103" s="470">
        <v>-185540</v>
      </c>
      <c r="K103" s="18"/>
      <c r="L103" s="18" t="str">
        <f t="shared" si="9"/>
        <v>3</v>
      </c>
      <c r="M103" s="18" t="str">
        <f>INDEX(Chapter,MATCH(L103,Chapter!$A$1:$A$681,0),8)</f>
        <v>שירותים ממלכתיים</v>
      </c>
      <c r="N103" s="18" t="str">
        <f t="shared" si="10"/>
        <v>31</v>
      </c>
      <c r="O103" s="18" t="str">
        <f>INDEX(Chapter,MATCH(N103,Chapter!$A$1:$A$681,0),8)</f>
        <v>חינוך</v>
      </c>
      <c r="P103" s="18" t="str">
        <f t="shared" si="11"/>
        <v>313</v>
      </c>
      <c r="Q103" s="18" t="str">
        <f>INDEX(Chapter,MATCH(P103,Chapter!$A$1:$A$681,0),8)</f>
        <v>חינוך יסודי</v>
      </c>
      <c r="R103" s="18" t="str">
        <f t="shared" si="12"/>
        <v>3138</v>
      </c>
      <c r="S103" s="18" t="str">
        <f>INDEX(Chapter,MATCH(R103,Chapter!$A$1:$A$681,0),8)</f>
        <v>קייטנות/לימודיות וחודש לימוד נוסף</v>
      </c>
      <c r="T103" s="18"/>
      <c r="U103" s="18" t="str">
        <f t="shared" si="13"/>
        <v>9</v>
      </c>
      <c r="V103" s="18" t="str">
        <f>IF($L103&lt;"6",INDEX(Revenue_type,MATCH(U103*1,type!$A$118:$A$168,0),8),INDEX(Expenditure_type,MATCH(U103*1,type!$A$2:$A$117,0),8))</f>
        <v>השתתפות משרדי ממשלה</v>
      </c>
      <c r="W103" s="18" t="str">
        <f t="shared" si="14"/>
        <v>92</v>
      </c>
      <c r="X103" s="18" t="str">
        <f>IF($L103&lt;"6",INDEX(Revenue_type,MATCH(W103*1,type!$A$118:$A$168,0),8),INDEX(Expenditure_type,MATCH(W103*1,type!$A$2:$A$117,0),8))</f>
        <v>השתתפות משרד החינוך והתרבות</v>
      </c>
      <c r="Y103" s="18" t="str">
        <f t="shared" si="15"/>
        <v>921</v>
      </c>
      <c r="Z103" s="18" t="e">
        <f>IF($L103&lt;"6",INDEX(Revenue_type,MATCH(Y103*1,type!$A$118:$A$168,0),8),INDEX(Expenditure_type,MATCH(Y103*1,type!$A$2:$A$117,0),8))</f>
        <v>#N/A</v>
      </c>
    </row>
    <row r="104" spans="1:26" ht="15.75" hidden="1" customHeight="1" outlineLevel="2">
      <c r="A104" s="482">
        <v>920</v>
      </c>
      <c r="B104" s="485">
        <v>313841</v>
      </c>
      <c r="C104">
        <v>1</v>
      </c>
      <c r="D104" t="str">
        <f t="shared" si="8"/>
        <v>1313841.920</v>
      </c>
      <c r="E104" s="492" t="s">
        <v>7788</v>
      </c>
      <c r="H104" s="470">
        <v>-13000000</v>
      </c>
      <c r="I104" s="470">
        <v>-12500000</v>
      </c>
      <c r="J104" s="470">
        <v>0</v>
      </c>
      <c r="K104" s="18"/>
      <c r="L104" s="18" t="str">
        <f t="shared" si="9"/>
        <v>3</v>
      </c>
      <c r="M104" s="18" t="str">
        <f>INDEX(Chapter,MATCH(L104,Chapter!$A$1:$A$681,0),8)</f>
        <v>שירותים ממלכתיים</v>
      </c>
      <c r="N104" s="18" t="str">
        <f t="shared" si="10"/>
        <v>31</v>
      </c>
      <c r="O104" s="18" t="str">
        <f>INDEX(Chapter,MATCH(N104,Chapter!$A$1:$A$681,0),8)</f>
        <v>חינוך</v>
      </c>
      <c r="P104" s="18" t="str">
        <f t="shared" si="11"/>
        <v>313</v>
      </c>
      <c r="Q104" s="18" t="str">
        <f>INDEX(Chapter,MATCH(P104,Chapter!$A$1:$A$681,0),8)</f>
        <v>חינוך יסודי</v>
      </c>
      <c r="R104" s="18" t="str">
        <f t="shared" si="12"/>
        <v>3138</v>
      </c>
      <c r="S104" s="18" t="str">
        <f>INDEX(Chapter,MATCH(R104,Chapter!$A$1:$A$681,0),8)</f>
        <v>קייטנות/לימודיות וחודש לימוד נוסף</v>
      </c>
      <c r="T104" s="18"/>
      <c r="U104" s="18" t="str">
        <f t="shared" si="13"/>
        <v>9</v>
      </c>
      <c r="V104" s="18" t="str">
        <f>IF($L104&lt;"6",INDEX(Revenue_type,MATCH(U104*1,type!$A$118:$A$168,0),8),INDEX(Expenditure_type,MATCH(U104*1,type!$A$2:$A$117,0),8))</f>
        <v>השתתפות משרדי ממשלה</v>
      </c>
      <c r="W104" s="18" t="str">
        <f t="shared" si="14"/>
        <v>92</v>
      </c>
      <c r="X104" s="18" t="str">
        <f>IF($L104&lt;"6",INDEX(Revenue_type,MATCH(W104*1,type!$A$118:$A$168,0),8),INDEX(Expenditure_type,MATCH(W104*1,type!$A$2:$A$117,0),8))</f>
        <v>השתתפות משרד החינוך והתרבות</v>
      </c>
      <c r="Y104" s="18" t="str">
        <f t="shared" si="15"/>
        <v>920</v>
      </c>
      <c r="Z104" s="18" t="e">
        <f>IF($L104&lt;"6",INDEX(Revenue_type,MATCH(Y104*1,type!$A$118:$A$168,0),8),INDEX(Expenditure_type,MATCH(Y104*1,type!$A$2:$A$117,0),8))</f>
        <v>#N/A</v>
      </c>
    </row>
    <row r="105" spans="1:26" ht="15.75" hidden="1" customHeight="1" outlineLevel="2">
      <c r="A105" s="482">
        <v>920</v>
      </c>
      <c r="B105" s="485">
        <v>317842</v>
      </c>
      <c r="C105">
        <v>1</v>
      </c>
      <c r="D105" t="str">
        <f t="shared" si="8"/>
        <v>1317842.920</v>
      </c>
      <c r="E105" s="492" t="s">
        <v>7789</v>
      </c>
      <c r="H105" s="470">
        <v>-6000000</v>
      </c>
      <c r="I105" s="470">
        <v>-5500000</v>
      </c>
      <c r="J105" s="470">
        <v>-5898799</v>
      </c>
      <c r="K105" s="18"/>
      <c r="L105" s="18" t="str">
        <f t="shared" si="9"/>
        <v>3</v>
      </c>
      <c r="M105" s="18" t="str">
        <f>INDEX(Chapter,MATCH(L105,Chapter!$A$1:$A$681,0),8)</f>
        <v>שירותים ממלכתיים</v>
      </c>
      <c r="N105" s="18" t="str">
        <f t="shared" si="10"/>
        <v>31</v>
      </c>
      <c r="O105" s="18" t="str">
        <f>INDEX(Chapter,MATCH(N105,Chapter!$A$1:$A$681,0),8)</f>
        <v>חינוך</v>
      </c>
      <c r="P105" s="18" t="str">
        <f t="shared" si="11"/>
        <v>317</v>
      </c>
      <c r="Q105" s="18" t="str">
        <f>INDEX(Chapter,MATCH(P105,Chapter!$A$1:$A$681,0),8)</f>
        <v>שירותים נוספים לבתי״ס וגנ״י</v>
      </c>
      <c r="R105" s="18" t="str">
        <f t="shared" si="12"/>
        <v>3178</v>
      </c>
      <c r="S105" s="18" t="str">
        <f>INDEX(Chapter,MATCH(R105,Chapter!$A$1:$A$681,0),8)</f>
        <v>הסעות ילדים</v>
      </c>
      <c r="T105" s="18"/>
      <c r="U105" s="18" t="str">
        <f t="shared" si="13"/>
        <v>9</v>
      </c>
      <c r="V105" s="18" t="str">
        <f>IF($L105&lt;"6",INDEX(Revenue_type,MATCH(U105*1,type!$A$118:$A$168,0),8),INDEX(Expenditure_type,MATCH(U105*1,type!$A$2:$A$117,0),8))</f>
        <v>השתתפות משרדי ממשלה</v>
      </c>
      <c r="W105" s="18" t="str">
        <f t="shared" si="14"/>
        <v>92</v>
      </c>
      <c r="X105" s="18" t="str">
        <f>IF($L105&lt;"6",INDEX(Revenue_type,MATCH(W105*1,type!$A$118:$A$168,0),8),INDEX(Expenditure_type,MATCH(W105*1,type!$A$2:$A$117,0),8))</f>
        <v>השתתפות משרד החינוך והתרבות</v>
      </c>
      <c r="Y105" s="18" t="str">
        <f t="shared" si="15"/>
        <v>920</v>
      </c>
      <c r="Z105" s="18" t="e">
        <f>IF($L105&lt;"6",INDEX(Revenue_type,MATCH(Y105*1,type!$A$118:$A$168,0),8),INDEX(Expenditure_type,MATCH(Y105*1,type!$A$2:$A$117,0),8))</f>
        <v>#N/A</v>
      </c>
    </row>
    <row r="106" spans="1:26" ht="15.75" hidden="1" customHeight="1" outlineLevel="2">
      <c r="A106" s="482">
        <v>920</v>
      </c>
      <c r="B106" s="485">
        <v>313843</v>
      </c>
      <c r="C106">
        <v>1</v>
      </c>
      <c r="D106" t="str">
        <f t="shared" si="8"/>
        <v>1313843.920</v>
      </c>
      <c r="E106" s="492" t="s">
        <v>7790</v>
      </c>
      <c r="H106" s="470">
        <v>-20500000</v>
      </c>
      <c r="I106" s="470">
        <v>-20500000</v>
      </c>
      <c r="J106" s="470">
        <v>-22411646</v>
      </c>
      <c r="K106" s="18"/>
      <c r="L106" s="18" t="str">
        <f t="shared" si="9"/>
        <v>3</v>
      </c>
      <c r="M106" s="18" t="str">
        <f>INDEX(Chapter,MATCH(L106,Chapter!$A$1:$A$681,0),8)</f>
        <v>שירותים ממלכתיים</v>
      </c>
      <c r="N106" s="18" t="str">
        <f t="shared" si="10"/>
        <v>31</v>
      </c>
      <c r="O106" s="18" t="str">
        <f>INDEX(Chapter,MATCH(N106,Chapter!$A$1:$A$681,0),8)</f>
        <v>חינוך</v>
      </c>
      <c r="P106" s="18" t="str">
        <f t="shared" si="11"/>
        <v>313</v>
      </c>
      <c r="Q106" s="18" t="str">
        <f>INDEX(Chapter,MATCH(P106,Chapter!$A$1:$A$681,0),8)</f>
        <v>חינוך יסודי</v>
      </c>
      <c r="R106" s="18" t="str">
        <f t="shared" si="12"/>
        <v>3138</v>
      </c>
      <c r="S106" s="18" t="str">
        <f>INDEX(Chapter,MATCH(R106,Chapter!$A$1:$A$681,0),8)</f>
        <v>קייטנות/לימודיות וחודש לימוד נוסף</v>
      </c>
      <c r="T106" s="18"/>
      <c r="U106" s="18" t="str">
        <f t="shared" si="13"/>
        <v>9</v>
      </c>
      <c r="V106" s="18" t="str">
        <f>IF($L106&lt;"6",INDEX(Revenue_type,MATCH(U106*1,type!$A$118:$A$168,0),8),INDEX(Expenditure_type,MATCH(U106*1,type!$A$2:$A$117,0),8))</f>
        <v>השתתפות משרדי ממשלה</v>
      </c>
      <c r="W106" s="18" t="str">
        <f t="shared" si="14"/>
        <v>92</v>
      </c>
      <c r="X106" s="18" t="str">
        <f>IF($L106&lt;"6",INDEX(Revenue_type,MATCH(W106*1,type!$A$118:$A$168,0),8),INDEX(Expenditure_type,MATCH(W106*1,type!$A$2:$A$117,0),8))</f>
        <v>השתתפות משרד החינוך והתרבות</v>
      </c>
      <c r="Y106" s="18" t="str">
        <f t="shared" si="15"/>
        <v>920</v>
      </c>
      <c r="Z106" s="18" t="e">
        <f>IF($L106&lt;"6",INDEX(Revenue_type,MATCH(Y106*1,type!$A$118:$A$168,0),8),INDEX(Expenditure_type,MATCH(Y106*1,type!$A$2:$A$117,0),8))</f>
        <v>#N/A</v>
      </c>
    </row>
    <row r="107" spans="1:26" ht="15.75" hidden="1" customHeight="1" outlineLevel="2">
      <c r="A107" s="482">
        <v>920</v>
      </c>
      <c r="B107" s="485">
        <v>313844</v>
      </c>
      <c r="C107">
        <v>1</v>
      </c>
      <c r="D107" t="str">
        <f t="shared" si="8"/>
        <v>1313844.920</v>
      </c>
      <c r="E107" s="492" t="s">
        <v>7791</v>
      </c>
      <c r="H107" s="470">
        <v>-1350000</v>
      </c>
      <c r="I107" s="470">
        <v>-1350000</v>
      </c>
      <c r="J107" s="470">
        <v>-1356425</v>
      </c>
      <c r="K107" s="18"/>
      <c r="L107" s="18" t="str">
        <f t="shared" si="9"/>
        <v>3</v>
      </c>
      <c r="M107" s="18" t="str">
        <f>INDEX(Chapter,MATCH(L107,Chapter!$A$1:$A$681,0),8)</f>
        <v>שירותים ממלכתיים</v>
      </c>
      <c r="N107" s="18" t="str">
        <f t="shared" si="10"/>
        <v>31</v>
      </c>
      <c r="O107" s="18" t="str">
        <f>INDEX(Chapter,MATCH(N107,Chapter!$A$1:$A$681,0),8)</f>
        <v>חינוך</v>
      </c>
      <c r="P107" s="18" t="str">
        <f t="shared" si="11"/>
        <v>313</v>
      </c>
      <c r="Q107" s="18" t="str">
        <f>INDEX(Chapter,MATCH(P107,Chapter!$A$1:$A$681,0),8)</f>
        <v>חינוך יסודי</v>
      </c>
      <c r="R107" s="18" t="str">
        <f t="shared" si="12"/>
        <v>3138</v>
      </c>
      <c r="S107" s="18" t="str">
        <f>INDEX(Chapter,MATCH(R107,Chapter!$A$1:$A$681,0),8)</f>
        <v>קייטנות/לימודיות וחודש לימוד נוסף</v>
      </c>
      <c r="T107" s="18"/>
      <c r="U107" s="18" t="str">
        <f t="shared" si="13"/>
        <v>9</v>
      </c>
      <c r="V107" s="18" t="str">
        <f>IF($L107&lt;"6",INDEX(Revenue_type,MATCH(U107*1,type!$A$118:$A$168,0),8),INDEX(Expenditure_type,MATCH(U107*1,type!$A$2:$A$117,0),8))</f>
        <v>השתתפות משרדי ממשלה</v>
      </c>
      <c r="W107" s="18" t="str">
        <f t="shared" si="14"/>
        <v>92</v>
      </c>
      <c r="X107" s="18" t="str">
        <f>IF($L107&lt;"6",INDEX(Revenue_type,MATCH(W107*1,type!$A$118:$A$168,0),8),INDEX(Expenditure_type,MATCH(W107*1,type!$A$2:$A$117,0),8))</f>
        <v>השתתפות משרד החינוך והתרבות</v>
      </c>
      <c r="Y107" s="18" t="str">
        <f t="shared" si="15"/>
        <v>920</v>
      </c>
      <c r="Z107" s="18" t="e">
        <f>IF($L107&lt;"6",INDEX(Revenue_type,MATCH(Y107*1,type!$A$118:$A$168,0),8),INDEX(Expenditure_type,MATCH(Y107*1,type!$A$2:$A$117,0),8))</f>
        <v>#N/A</v>
      </c>
    </row>
    <row r="108" spans="1:26" ht="15.75" hidden="1" customHeight="1" outlineLevel="2">
      <c r="A108" s="482">
        <v>211</v>
      </c>
      <c r="B108" s="485">
        <v>317100</v>
      </c>
      <c r="C108">
        <v>1</v>
      </c>
      <c r="D108" t="str">
        <f t="shared" si="8"/>
        <v>1317100.211</v>
      </c>
      <c r="E108" s="492" t="s">
        <v>7792</v>
      </c>
      <c r="H108" s="470">
        <v>-6000000</v>
      </c>
      <c r="I108" s="470">
        <v>-6150000</v>
      </c>
      <c r="J108" s="470">
        <v>-7161433</v>
      </c>
      <c r="K108" s="18"/>
      <c r="L108" s="18" t="str">
        <f t="shared" si="9"/>
        <v>3</v>
      </c>
      <c r="M108" s="18" t="str">
        <f>INDEX(Chapter,MATCH(L108,Chapter!$A$1:$A$681,0),8)</f>
        <v>שירותים ממלכתיים</v>
      </c>
      <c r="N108" s="18" t="str">
        <f t="shared" si="10"/>
        <v>31</v>
      </c>
      <c r="O108" s="18" t="str">
        <f>INDEX(Chapter,MATCH(N108,Chapter!$A$1:$A$681,0),8)</f>
        <v>חינוך</v>
      </c>
      <c r="P108" s="18" t="str">
        <f t="shared" si="11"/>
        <v>317</v>
      </c>
      <c r="Q108" s="18" t="str">
        <f>INDEX(Chapter,MATCH(P108,Chapter!$A$1:$A$681,0),8)</f>
        <v>שירותים נוספים לבתי״ס וגנ״י</v>
      </c>
      <c r="R108" s="18" t="str">
        <f t="shared" si="12"/>
        <v>3171</v>
      </c>
      <c r="S108" s="18" t="str">
        <f>INDEX(Chapter,MATCH(R108,Chapter!$A$1:$A$681,0),8)</f>
        <v>קב״ט שמירה ובטחון מוסדות חינוך</v>
      </c>
      <c r="T108" s="18"/>
      <c r="U108" s="18" t="str">
        <f t="shared" si="13"/>
        <v>2</v>
      </c>
      <c r="V108" s="18" t="str">
        <f>IF($L108&lt;"6",INDEX(Revenue_type,MATCH(U108*1,type!$A$118:$A$168,0),8),INDEX(Expenditure_type,MATCH(U108*1,type!$A$2:$A$117,0),8))</f>
        <v>אגרות</v>
      </c>
      <c r="W108" s="18" t="str">
        <f t="shared" si="14"/>
        <v>21</v>
      </c>
      <c r="X108" s="18" t="str">
        <f>IF($L108&lt;"6",INDEX(Revenue_type,MATCH(W108*1,type!$A$118:$A$168,0),8),INDEX(Expenditure_type,MATCH(W108*1,type!$A$2:$A$117,0),8))</f>
        <v>אגרות מים וביוב</v>
      </c>
      <c r="Y108" s="18" t="str">
        <f t="shared" si="15"/>
        <v>211</v>
      </c>
      <c r="Z108" s="18" t="e">
        <f>IF($L108&lt;"6",INDEX(Revenue_type,MATCH(Y108*1,type!$A$118:$A$168,0),8),INDEX(Expenditure_type,MATCH(Y108*1,type!$A$2:$A$117,0),8))</f>
        <v>#N/A</v>
      </c>
    </row>
    <row r="109" spans="1:26" ht="15.75" hidden="1" customHeight="1" outlineLevel="2">
      <c r="A109" s="482">
        <v>212</v>
      </c>
      <c r="B109" s="485">
        <v>317100</v>
      </c>
      <c r="C109">
        <v>1</v>
      </c>
      <c r="D109" t="str">
        <f t="shared" si="8"/>
        <v>1317100.212</v>
      </c>
      <c r="E109" s="492" t="s">
        <v>7793</v>
      </c>
      <c r="H109" s="470">
        <v>-2000000</v>
      </c>
      <c r="I109" s="470">
        <v>-1000000</v>
      </c>
      <c r="J109" s="470">
        <v>-2025675</v>
      </c>
      <c r="K109" s="18"/>
      <c r="L109" s="18" t="str">
        <f t="shared" si="9"/>
        <v>3</v>
      </c>
      <c r="M109" s="18" t="str">
        <f>INDEX(Chapter,MATCH(L109,Chapter!$A$1:$A$681,0),8)</f>
        <v>שירותים ממלכתיים</v>
      </c>
      <c r="N109" s="18" t="str">
        <f t="shared" si="10"/>
        <v>31</v>
      </c>
      <c r="O109" s="18" t="str">
        <f>INDEX(Chapter,MATCH(N109,Chapter!$A$1:$A$681,0),8)</f>
        <v>חינוך</v>
      </c>
      <c r="P109" s="18" t="str">
        <f t="shared" si="11"/>
        <v>317</v>
      </c>
      <c r="Q109" s="18" t="str">
        <f>INDEX(Chapter,MATCH(P109,Chapter!$A$1:$A$681,0),8)</f>
        <v>שירותים נוספים לבתי״ס וגנ״י</v>
      </c>
      <c r="R109" s="18" t="str">
        <f t="shared" si="12"/>
        <v>3171</v>
      </c>
      <c r="S109" s="18" t="str">
        <f>INDEX(Chapter,MATCH(R109,Chapter!$A$1:$A$681,0),8)</f>
        <v>קב״ט שמירה ובטחון מוסדות חינוך</v>
      </c>
      <c r="T109" s="18"/>
      <c r="U109" s="18" t="str">
        <f t="shared" si="13"/>
        <v>2</v>
      </c>
      <c r="V109" s="18" t="str">
        <f>IF($L109&lt;"6",INDEX(Revenue_type,MATCH(U109*1,type!$A$118:$A$168,0),8),INDEX(Expenditure_type,MATCH(U109*1,type!$A$2:$A$117,0),8))</f>
        <v>אגרות</v>
      </c>
      <c r="W109" s="18" t="str">
        <f t="shared" si="14"/>
        <v>21</v>
      </c>
      <c r="X109" s="18" t="str">
        <f>IF($L109&lt;"6",INDEX(Revenue_type,MATCH(W109*1,type!$A$118:$A$168,0),8),INDEX(Expenditure_type,MATCH(W109*1,type!$A$2:$A$117,0),8))</f>
        <v>אגרות מים וביוב</v>
      </c>
      <c r="Y109" s="18" t="str">
        <f t="shared" si="15"/>
        <v>212</v>
      </c>
      <c r="Z109" s="18" t="e">
        <f>IF($L109&lt;"6",INDEX(Revenue_type,MATCH(Y109*1,type!$A$118:$A$168,0),8),INDEX(Expenditure_type,MATCH(Y109*1,type!$A$2:$A$117,0),8))</f>
        <v>#N/A</v>
      </c>
    </row>
    <row r="110" spans="1:26" ht="15.75" hidden="1" customHeight="1" outlineLevel="2">
      <c r="A110" s="482">
        <v>940</v>
      </c>
      <c r="B110" s="485">
        <v>317100</v>
      </c>
      <c r="C110">
        <v>1</v>
      </c>
      <c r="D110" t="str">
        <f t="shared" si="8"/>
        <v>1317100.940</v>
      </c>
      <c r="E110" s="492" t="s">
        <v>7794</v>
      </c>
      <c r="H110" s="470">
        <v>-290000</v>
      </c>
      <c r="I110" s="470">
        <v>-1290000</v>
      </c>
      <c r="J110" s="470">
        <v>-260112</v>
      </c>
      <c r="K110" s="18"/>
      <c r="L110" s="18" t="str">
        <f t="shared" si="9"/>
        <v>3</v>
      </c>
      <c r="M110" s="18" t="str">
        <f>INDEX(Chapter,MATCH(L110,Chapter!$A$1:$A$681,0),8)</f>
        <v>שירותים ממלכתיים</v>
      </c>
      <c r="N110" s="18" t="str">
        <f t="shared" si="10"/>
        <v>31</v>
      </c>
      <c r="O110" s="18" t="str">
        <f>INDEX(Chapter,MATCH(N110,Chapter!$A$1:$A$681,0),8)</f>
        <v>חינוך</v>
      </c>
      <c r="P110" s="18" t="str">
        <f t="shared" si="11"/>
        <v>317</v>
      </c>
      <c r="Q110" s="18" t="str">
        <f>INDEX(Chapter,MATCH(P110,Chapter!$A$1:$A$681,0),8)</f>
        <v>שירותים נוספים לבתי״ס וגנ״י</v>
      </c>
      <c r="R110" s="18" t="str">
        <f t="shared" si="12"/>
        <v>3171</v>
      </c>
      <c r="S110" s="18" t="str">
        <f>INDEX(Chapter,MATCH(R110,Chapter!$A$1:$A$681,0),8)</f>
        <v>קב״ט שמירה ובטחון מוסדות חינוך</v>
      </c>
      <c r="T110" s="18"/>
      <c r="U110" s="18" t="str">
        <f t="shared" si="13"/>
        <v>9</v>
      </c>
      <c r="V110" s="18" t="str">
        <f>IF($L110&lt;"6",INDEX(Revenue_type,MATCH(U110*1,type!$A$118:$A$168,0),8),INDEX(Expenditure_type,MATCH(U110*1,type!$A$2:$A$117,0),8))</f>
        <v>השתתפות משרדי ממשלה</v>
      </c>
      <c r="W110" s="18" t="str">
        <f t="shared" si="14"/>
        <v>94</v>
      </c>
      <c r="X110" s="18" t="str">
        <f>IF($L110&lt;"6",INDEX(Revenue_type,MATCH(W110*1,type!$A$118:$A$168,0),8),INDEX(Expenditure_type,MATCH(W110*1,type!$A$2:$A$117,0),8))</f>
        <v>השתתפות משרד הבריאות</v>
      </c>
      <c r="Y110" s="18" t="str">
        <f t="shared" si="15"/>
        <v>940</v>
      </c>
      <c r="Z110" s="18" t="e">
        <f>IF($L110&lt;"6",INDEX(Revenue_type,MATCH(Y110*1,type!$A$118:$A$168,0),8),INDEX(Expenditure_type,MATCH(Y110*1,type!$A$2:$A$117,0),8))</f>
        <v>#N/A</v>
      </c>
    </row>
    <row r="111" spans="1:26" ht="15.75" hidden="1" customHeight="1" outlineLevel="2">
      <c r="A111" s="482">
        <v>920</v>
      </c>
      <c r="B111" s="485">
        <v>317300</v>
      </c>
      <c r="C111">
        <v>1</v>
      </c>
      <c r="D111" t="str">
        <f t="shared" si="8"/>
        <v>1317300.920</v>
      </c>
      <c r="E111" s="492" t="s">
        <v>7795</v>
      </c>
      <c r="H111" s="470">
        <v>-6600000</v>
      </c>
      <c r="I111" s="470">
        <v>-6300000</v>
      </c>
      <c r="J111" s="470">
        <v>-6257366</v>
      </c>
      <c r="K111" s="18"/>
      <c r="L111" s="18" t="str">
        <f t="shared" si="9"/>
        <v>3</v>
      </c>
      <c r="M111" s="18" t="str">
        <f>INDEX(Chapter,MATCH(L111,Chapter!$A$1:$A$681,0),8)</f>
        <v>שירותים ממלכתיים</v>
      </c>
      <c r="N111" s="18" t="str">
        <f t="shared" si="10"/>
        <v>31</v>
      </c>
      <c r="O111" s="18" t="str">
        <f>INDEX(Chapter,MATCH(N111,Chapter!$A$1:$A$681,0),8)</f>
        <v>חינוך</v>
      </c>
      <c r="P111" s="18" t="str">
        <f t="shared" si="11"/>
        <v>317</v>
      </c>
      <c r="Q111" s="18" t="str">
        <f>INDEX(Chapter,MATCH(P111,Chapter!$A$1:$A$681,0),8)</f>
        <v>שירותים נוספים לבתי״ס וגנ״י</v>
      </c>
      <c r="R111" s="18" t="str">
        <f t="shared" si="12"/>
        <v>3173</v>
      </c>
      <c r="S111" s="18" t="str">
        <f>INDEX(Chapter,MATCH(R111,Chapter!$A$1:$A$681,0),8)</f>
        <v>שרות פסיכולוגי חינוכי</v>
      </c>
      <c r="T111" s="18"/>
      <c r="U111" s="18" t="str">
        <f t="shared" si="13"/>
        <v>9</v>
      </c>
      <c r="V111" s="18" t="str">
        <f>IF($L111&lt;"6",INDEX(Revenue_type,MATCH(U111*1,type!$A$118:$A$168,0),8),INDEX(Expenditure_type,MATCH(U111*1,type!$A$2:$A$117,0),8))</f>
        <v>השתתפות משרדי ממשלה</v>
      </c>
      <c r="W111" s="18" t="str">
        <f t="shared" si="14"/>
        <v>92</v>
      </c>
      <c r="X111" s="18" t="str">
        <f>IF($L111&lt;"6",INDEX(Revenue_type,MATCH(W111*1,type!$A$118:$A$168,0),8),INDEX(Expenditure_type,MATCH(W111*1,type!$A$2:$A$117,0),8))</f>
        <v>השתתפות משרד החינוך והתרבות</v>
      </c>
      <c r="Y111" s="18" t="str">
        <f t="shared" si="15"/>
        <v>920</v>
      </c>
      <c r="Z111" s="18" t="e">
        <f>IF($L111&lt;"6",INDEX(Revenue_type,MATCH(Y111*1,type!$A$118:$A$168,0),8),INDEX(Expenditure_type,MATCH(Y111*1,type!$A$2:$A$117,0),8))</f>
        <v>#N/A</v>
      </c>
    </row>
    <row r="112" spans="1:26" ht="15.75" hidden="1" customHeight="1" outlineLevel="2">
      <c r="A112" s="482">
        <v>770</v>
      </c>
      <c r="B112" s="485">
        <v>317390</v>
      </c>
      <c r="C112">
        <v>1</v>
      </c>
      <c r="D112" t="str">
        <f t="shared" si="8"/>
        <v>1317390.770</v>
      </c>
      <c r="E112" s="492" t="s">
        <v>7796</v>
      </c>
      <c r="H112" s="470">
        <v>0</v>
      </c>
      <c r="I112" s="470">
        <v>0</v>
      </c>
      <c r="J112" s="470">
        <v>-258</v>
      </c>
      <c r="K112" s="18"/>
      <c r="L112" s="18" t="str">
        <f t="shared" si="9"/>
        <v>3</v>
      </c>
      <c r="M112" s="18" t="str">
        <f>INDEX(Chapter,MATCH(L112,Chapter!$A$1:$A$681,0),8)</f>
        <v>שירותים ממלכתיים</v>
      </c>
      <c r="N112" s="18" t="str">
        <f t="shared" si="10"/>
        <v>31</v>
      </c>
      <c r="O112" s="18" t="str">
        <f>INDEX(Chapter,MATCH(N112,Chapter!$A$1:$A$681,0),8)</f>
        <v>חינוך</v>
      </c>
      <c r="P112" s="18" t="str">
        <f t="shared" si="11"/>
        <v>317</v>
      </c>
      <c r="Q112" s="18" t="str">
        <f>INDEX(Chapter,MATCH(P112,Chapter!$A$1:$A$681,0),8)</f>
        <v>שירותים נוספים לבתי״ס וגנ״י</v>
      </c>
      <c r="R112" s="18" t="str">
        <f t="shared" si="12"/>
        <v>3173</v>
      </c>
      <c r="S112" s="18" t="str">
        <f>INDEX(Chapter,MATCH(R112,Chapter!$A$1:$A$681,0),8)</f>
        <v>שרות פסיכולוגי חינוכי</v>
      </c>
      <c r="T112" s="18"/>
      <c r="U112" s="18" t="str">
        <f t="shared" si="13"/>
        <v>7</v>
      </c>
      <c r="V112" s="18" t="str">
        <f>IF($L112&lt;"6",INDEX(Revenue_type,MATCH(U112*1,type!$A$118:$A$168,0),8),INDEX(Expenditure_type,MATCH(U112*1,type!$A$2:$A$117,0),8))</f>
        <v>השתתפות מוסדות ותרומות</v>
      </c>
      <c r="W112" s="18" t="str">
        <f t="shared" si="14"/>
        <v>77</v>
      </c>
      <c r="X112" s="18" t="str">
        <f>IF($L112&lt;"6",INDEX(Revenue_type,MATCH(W112*1,type!$A$118:$A$168,0),8),INDEX(Expenditure_type,MATCH(W112*1,type!$A$2:$A$117,0),8))</f>
        <v>השתתפות קהילות מחו"ל</v>
      </c>
      <c r="Y112" s="18" t="str">
        <f t="shared" si="15"/>
        <v>770</v>
      </c>
      <c r="Z112" s="18" t="e">
        <f>IF($L112&lt;"6",INDEX(Revenue_type,MATCH(Y112*1,type!$A$118:$A$168,0),8),INDEX(Expenditure_type,MATCH(Y112*1,type!$A$2:$A$117,0),8))</f>
        <v>#N/A</v>
      </c>
    </row>
    <row r="113" spans="1:26" ht="15.75" hidden="1" customHeight="1" outlineLevel="2">
      <c r="A113" s="482">
        <v>970</v>
      </c>
      <c r="B113" s="485">
        <v>317390</v>
      </c>
      <c r="C113">
        <v>1</v>
      </c>
      <c r="D113" t="str">
        <f t="shared" si="8"/>
        <v>1317390.970</v>
      </c>
      <c r="E113" s="492" t="s">
        <v>7797</v>
      </c>
      <c r="H113" s="470">
        <v>-99000</v>
      </c>
      <c r="I113" s="470">
        <v>-99000</v>
      </c>
      <c r="J113" s="470">
        <v>-211680</v>
      </c>
      <c r="K113" s="18"/>
      <c r="L113" s="18" t="str">
        <f t="shared" si="9"/>
        <v>3</v>
      </c>
      <c r="M113" s="18" t="str">
        <f>INDEX(Chapter,MATCH(L113,Chapter!$A$1:$A$681,0),8)</f>
        <v>שירותים ממלכתיים</v>
      </c>
      <c r="N113" s="18" t="str">
        <f t="shared" si="10"/>
        <v>31</v>
      </c>
      <c r="O113" s="18" t="str">
        <f>INDEX(Chapter,MATCH(N113,Chapter!$A$1:$A$681,0),8)</f>
        <v>חינוך</v>
      </c>
      <c r="P113" s="18" t="str">
        <f t="shared" si="11"/>
        <v>317</v>
      </c>
      <c r="Q113" s="18" t="str">
        <f>INDEX(Chapter,MATCH(P113,Chapter!$A$1:$A$681,0),8)</f>
        <v>שירותים נוספים לבתי״ס וגנ״י</v>
      </c>
      <c r="R113" s="18" t="str">
        <f t="shared" si="12"/>
        <v>3173</v>
      </c>
      <c r="S113" s="18" t="str">
        <f>INDEX(Chapter,MATCH(R113,Chapter!$A$1:$A$681,0),8)</f>
        <v>שרות פסיכולוגי חינוכי</v>
      </c>
      <c r="T113" s="18"/>
      <c r="U113" s="18" t="str">
        <f t="shared" si="13"/>
        <v>9</v>
      </c>
      <c r="V113" s="18" t="str">
        <f>IF($L113&lt;"6",INDEX(Revenue_type,MATCH(U113*1,type!$A$118:$A$168,0),8),INDEX(Expenditure_type,MATCH(U113*1,type!$A$2:$A$117,0),8))</f>
        <v>השתתפות משרדי ממשלה</v>
      </c>
      <c r="W113" s="18" t="str">
        <f t="shared" si="14"/>
        <v>97</v>
      </c>
      <c r="X113" s="18" t="str">
        <f>IF($L113&lt;"6",INDEX(Revenue_type,MATCH(W113*1,type!$A$118:$A$168,0),8),INDEX(Expenditure_type,MATCH(W113*1,type!$A$2:$A$117,0),8))</f>
        <v>השתתפות משרד הביטחון</v>
      </c>
      <c r="Y113" s="18" t="str">
        <f t="shared" si="15"/>
        <v>970</v>
      </c>
      <c r="Z113" s="18" t="e">
        <f>IF($L113&lt;"6",INDEX(Revenue_type,MATCH(Y113*1,type!$A$118:$A$168,0),8),INDEX(Expenditure_type,MATCH(Y113*1,type!$A$2:$A$117,0),8))</f>
        <v>#N/A</v>
      </c>
    </row>
    <row r="114" spans="1:26" ht="15.75" hidden="1" customHeight="1" outlineLevel="2">
      <c r="A114" s="482">
        <v>770</v>
      </c>
      <c r="B114" s="485">
        <v>317319</v>
      </c>
      <c r="C114">
        <v>1</v>
      </c>
      <c r="D114" t="str">
        <f t="shared" si="8"/>
        <v>1317319.770</v>
      </c>
      <c r="E114" s="492" t="s">
        <v>7798</v>
      </c>
      <c r="H114" s="470">
        <v>-805000</v>
      </c>
      <c r="I114" s="470">
        <v>-805000</v>
      </c>
      <c r="J114" s="470">
        <v>-213525</v>
      </c>
      <c r="K114" s="18"/>
      <c r="L114" s="18" t="str">
        <f t="shared" si="9"/>
        <v>3</v>
      </c>
      <c r="M114" s="18" t="str">
        <f>INDEX(Chapter,MATCH(L114,Chapter!$A$1:$A$681,0),8)</f>
        <v>שירותים ממלכתיים</v>
      </c>
      <c r="N114" s="18" t="str">
        <f t="shared" si="10"/>
        <v>31</v>
      </c>
      <c r="O114" s="18" t="str">
        <f>INDEX(Chapter,MATCH(N114,Chapter!$A$1:$A$681,0),8)</f>
        <v>חינוך</v>
      </c>
      <c r="P114" s="18" t="str">
        <f t="shared" si="11"/>
        <v>317</v>
      </c>
      <c r="Q114" s="18" t="str">
        <f>INDEX(Chapter,MATCH(P114,Chapter!$A$1:$A$681,0),8)</f>
        <v>שירותים נוספים לבתי״ס וגנ״י</v>
      </c>
      <c r="R114" s="18" t="str">
        <f t="shared" si="12"/>
        <v>3173</v>
      </c>
      <c r="S114" s="18" t="str">
        <f>INDEX(Chapter,MATCH(R114,Chapter!$A$1:$A$681,0),8)</f>
        <v>שרות פסיכולוגי חינוכי</v>
      </c>
      <c r="T114" s="18"/>
      <c r="U114" s="18" t="str">
        <f t="shared" si="13"/>
        <v>7</v>
      </c>
      <c r="V114" s="18" t="str">
        <f>IF($L114&lt;"6",INDEX(Revenue_type,MATCH(U114*1,type!$A$118:$A$168,0),8),INDEX(Expenditure_type,MATCH(U114*1,type!$A$2:$A$117,0),8))</f>
        <v>השתתפות מוסדות ותרומות</v>
      </c>
      <c r="W114" s="18" t="str">
        <f t="shared" si="14"/>
        <v>77</v>
      </c>
      <c r="X114" s="18" t="str">
        <f>IF($L114&lt;"6",INDEX(Revenue_type,MATCH(W114*1,type!$A$118:$A$168,0),8),INDEX(Expenditure_type,MATCH(W114*1,type!$A$2:$A$117,0),8))</f>
        <v>השתתפות קהילות מחו"ל</v>
      </c>
      <c r="Y114" s="18" t="str">
        <f t="shared" si="15"/>
        <v>770</v>
      </c>
      <c r="Z114" s="18" t="e">
        <f>IF($L114&lt;"6",INDEX(Revenue_type,MATCH(Y114*1,type!$A$118:$A$168,0),8),INDEX(Expenditure_type,MATCH(Y114*1,type!$A$2:$A$117,0),8))</f>
        <v>#N/A</v>
      </c>
    </row>
    <row r="115" spans="1:26" ht="15.75" hidden="1" customHeight="1" outlineLevel="2">
      <c r="A115" s="482">
        <v>930</v>
      </c>
      <c r="B115" s="485">
        <v>317319</v>
      </c>
      <c r="C115">
        <v>1</v>
      </c>
      <c r="D115" t="str">
        <f t="shared" si="8"/>
        <v>1317319.930</v>
      </c>
      <c r="E115" s="492" t="s">
        <v>7799</v>
      </c>
      <c r="H115" s="470">
        <v>0</v>
      </c>
      <c r="I115" s="470">
        <v>0</v>
      </c>
      <c r="J115" s="470">
        <v>-90720</v>
      </c>
      <c r="K115" s="18"/>
      <c r="L115" s="18" t="str">
        <f t="shared" si="9"/>
        <v>3</v>
      </c>
      <c r="M115" s="18" t="str">
        <f>INDEX(Chapter,MATCH(L115,Chapter!$A$1:$A$681,0),8)</f>
        <v>שירותים ממלכתיים</v>
      </c>
      <c r="N115" s="18" t="str">
        <f t="shared" si="10"/>
        <v>31</v>
      </c>
      <c r="O115" s="18" t="str">
        <f>INDEX(Chapter,MATCH(N115,Chapter!$A$1:$A$681,0),8)</f>
        <v>חינוך</v>
      </c>
      <c r="P115" s="18" t="str">
        <f t="shared" si="11"/>
        <v>317</v>
      </c>
      <c r="Q115" s="18" t="str">
        <f>INDEX(Chapter,MATCH(P115,Chapter!$A$1:$A$681,0),8)</f>
        <v>שירותים נוספים לבתי״ס וגנ״י</v>
      </c>
      <c r="R115" s="18" t="str">
        <f t="shared" si="12"/>
        <v>3173</v>
      </c>
      <c r="S115" s="18" t="str">
        <f>INDEX(Chapter,MATCH(R115,Chapter!$A$1:$A$681,0),8)</f>
        <v>שרות פסיכולוגי חינוכי</v>
      </c>
      <c r="T115" s="18"/>
      <c r="U115" s="18" t="str">
        <f t="shared" si="13"/>
        <v>9</v>
      </c>
      <c r="V115" s="18" t="str">
        <f>IF($L115&lt;"6",INDEX(Revenue_type,MATCH(U115*1,type!$A$118:$A$168,0),8),INDEX(Expenditure_type,MATCH(U115*1,type!$A$2:$A$117,0),8))</f>
        <v>השתתפות משרדי ממשלה</v>
      </c>
      <c r="W115" s="18" t="str">
        <f t="shared" si="14"/>
        <v>93</v>
      </c>
      <c r="X115" s="18" t="str">
        <f>IF($L115&lt;"6",INDEX(Revenue_type,MATCH(W115*1,type!$A$118:$A$168,0),8),INDEX(Expenditure_type,MATCH(W115*1,type!$A$2:$A$117,0),8))</f>
        <v>השתתפות משרד העבודה והרווחה</v>
      </c>
      <c r="Y115" s="18" t="str">
        <f t="shared" si="15"/>
        <v>930</v>
      </c>
      <c r="Z115" s="18" t="e">
        <f>IF($L115&lt;"6",INDEX(Revenue_type,MATCH(Y115*1,type!$A$118:$A$168,0),8),INDEX(Expenditure_type,MATCH(Y115*1,type!$A$2:$A$117,0),8))</f>
        <v>#N/A</v>
      </c>
    </row>
    <row r="116" spans="1:26" ht="15.75" hidden="1" customHeight="1" outlineLevel="2">
      <c r="A116" s="482">
        <v>970</v>
      </c>
      <c r="B116" s="485">
        <v>317319</v>
      </c>
      <c r="C116">
        <v>1</v>
      </c>
      <c r="D116" t="str">
        <f t="shared" si="8"/>
        <v>1317319.970</v>
      </c>
      <c r="E116" s="492" t="s">
        <v>7800</v>
      </c>
      <c r="H116" s="470">
        <v>-400000</v>
      </c>
      <c r="I116" s="470">
        <v>-400000</v>
      </c>
      <c r="J116" s="470">
        <v>-441107</v>
      </c>
      <c r="K116" s="18"/>
      <c r="L116" s="18" t="str">
        <f t="shared" si="9"/>
        <v>3</v>
      </c>
      <c r="M116" s="18" t="str">
        <f>INDEX(Chapter,MATCH(L116,Chapter!$A$1:$A$681,0),8)</f>
        <v>שירותים ממלכתיים</v>
      </c>
      <c r="N116" s="18" t="str">
        <f t="shared" si="10"/>
        <v>31</v>
      </c>
      <c r="O116" s="18" t="str">
        <f>INDEX(Chapter,MATCH(N116,Chapter!$A$1:$A$681,0),8)</f>
        <v>חינוך</v>
      </c>
      <c r="P116" s="18" t="str">
        <f t="shared" si="11"/>
        <v>317</v>
      </c>
      <c r="Q116" s="18" t="str">
        <f>INDEX(Chapter,MATCH(P116,Chapter!$A$1:$A$681,0),8)</f>
        <v>שירותים נוספים לבתי״ס וגנ״י</v>
      </c>
      <c r="R116" s="18" t="str">
        <f t="shared" si="12"/>
        <v>3173</v>
      </c>
      <c r="S116" s="18" t="str">
        <f>INDEX(Chapter,MATCH(R116,Chapter!$A$1:$A$681,0),8)</f>
        <v>שרות פסיכולוגי חינוכי</v>
      </c>
      <c r="T116" s="18"/>
      <c r="U116" s="18" t="str">
        <f t="shared" si="13"/>
        <v>9</v>
      </c>
      <c r="V116" s="18" t="str">
        <f>IF($L116&lt;"6",INDEX(Revenue_type,MATCH(U116*1,type!$A$118:$A$168,0),8),INDEX(Expenditure_type,MATCH(U116*1,type!$A$2:$A$117,0),8))</f>
        <v>השתתפות משרדי ממשלה</v>
      </c>
      <c r="W116" s="18" t="str">
        <f t="shared" si="14"/>
        <v>97</v>
      </c>
      <c r="X116" s="18" t="str">
        <f>IF($L116&lt;"6",INDEX(Revenue_type,MATCH(W116*1,type!$A$118:$A$168,0),8),INDEX(Expenditure_type,MATCH(W116*1,type!$A$2:$A$117,0),8))</f>
        <v>השתתפות משרד הביטחון</v>
      </c>
      <c r="Y116" s="18" t="str">
        <f t="shared" si="15"/>
        <v>970</v>
      </c>
      <c r="Z116" s="18" t="e">
        <f>IF($L116&lt;"6",INDEX(Revenue_type,MATCH(Y116*1,type!$A$118:$A$168,0),8),INDEX(Expenditure_type,MATCH(Y116*1,type!$A$2:$A$117,0),8))</f>
        <v>#N/A</v>
      </c>
    </row>
    <row r="117" spans="1:26" ht="15.75" hidden="1" customHeight="1" outlineLevel="2">
      <c r="A117" s="482">
        <v>920</v>
      </c>
      <c r="B117" s="485">
        <v>315900</v>
      </c>
      <c r="C117">
        <v>1</v>
      </c>
      <c r="D117" t="str">
        <f t="shared" si="8"/>
        <v>1315900.920</v>
      </c>
      <c r="E117" s="492" t="s">
        <v>7801</v>
      </c>
      <c r="H117" s="470">
        <v>-400000</v>
      </c>
      <c r="I117" s="470">
        <v>-400000</v>
      </c>
      <c r="J117" s="470">
        <v>-97163</v>
      </c>
      <c r="K117" s="18"/>
      <c r="L117" s="18" t="str">
        <f t="shared" si="9"/>
        <v>3</v>
      </c>
      <c r="M117" s="18" t="str">
        <f>INDEX(Chapter,MATCH(L117,Chapter!$A$1:$A$681,0),8)</f>
        <v>שירותים ממלכתיים</v>
      </c>
      <c r="N117" s="18" t="str">
        <f t="shared" si="10"/>
        <v>31</v>
      </c>
      <c r="O117" s="18" t="str">
        <f>INDEX(Chapter,MATCH(N117,Chapter!$A$1:$A$681,0),8)</f>
        <v>חינוך</v>
      </c>
      <c r="P117" s="18" t="str">
        <f t="shared" si="11"/>
        <v>315</v>
      </c>
      <c r="Q117" s="18" t="str">
        <f>INDEX(Chapter,MATCH(P117,Chapter!$A$1:$A$681,0),8)</f>
        <v>חינוך על יסודי</v>
      </c>
      <c r="R117" s="18" t="str">
        <f t="shared" si="12"/>
        <v>3159</v>
      </c>
      <c r="S117" s="18" t="e">
        <f>INDEX(Chapter,MATCH(R117,Chapter!$A$1:$A$681,0),8)</f>
        <v>#N/A</v>
      </c>
      <c r="T117" s="18"/>
      <c r="U117" s="18" t="str">
        <f t="shared" si="13"/>
        <v>9</v>
      </c>
      <c r="V117" s="18" t="str">
        <f>IF($L117&lt;"6",INDEX(Revenue_type,MATCH(U117*1,type!$A$118:$A$168,0),8),INDEX(Expenditure_type,MATCH(U117*1,type!$A$2:$A$117,0),8))</f>
        <v>השתתפות משרדי ממשלה</v>
      </c>
      <c r="W117" s="18" t="str">
        <f t="shared" si="14"/>
        <v>92</v>
      </c>
      <c r="X117" s="18" t="str">
        <f>IF($L117&lt;"6",INDEX(Revenue_type,MATCH(W117*1,type!$A$118:$A$168,0),8),INDEX(Expenditure_type,MATCH(W117*1,type!$A$2:$A$117,0),8))</f>
        <v>השתתפות משרד החינוך והתרבות</v>
      </c>
      <c r="Y117" s="18" t="str">
        <f t="shared" si="15"/>
        <v>920</v>
      </c>
      <c r="Z117" s="18" t="e">
        <f>IF($L117&lt;"6",INDEX(Revenue_type,MATCH(Y117*1,type!$A$118:$A$168,0),8),INDEX(Expenditure_type,MATCH(Y117*1,type!$A$2:$A$117,0),8))</f>
        <v>#N/A</v>
      </c>
    </row>
    <row r="118" spans="1:26" ht="15.75" hidden="1" customHeight="1" outlineLevel="2">
      <c r="A118" s="482">
        <v>930</v>
      </c>
      <c r="B118" s="485">
        <v>315920</v>
      </c>
      <c r="C118">
        <v>1</v>
      </c>
      <c r="D118" t="str">
        <f t="shared" si="8"/>
        <v>1315920.930</v>
      </c>
      <c r="E118" s="492" t="s">
        <v>7802</v>
      </c>
      <c r="H118" s="470">
        <v>-450000</v>
      </c>
      <c r="I118" s="470">
        <v>-450000</v>
      </c>
      <c r="J118" s="470">
        <v>-586857</v>
      </c>
      <c r="K118" s="18"/>
      <c r="L118" s="18" t="str">
        <f t="shared" si="9"/>
        <v>3</v>
      </c>
      <c r="M118" s="18" t="str">
        <f>INDEX(Chapter,MATCH(L118,Chapter!$A$1:$A$681,0),8)</f>
        <v>שירותים ממלכתיים</v>
      </c>
      <c r="N118" s="18" t="str">
        <f t="shared" si="10"/>
        <v>31</v>
      </c>
      <c r="O118" s="18" t="str">
        <f>INDEX(Chapter,MATCH(N118,Chapter!$A$1:$A$681,0),8)</f>
        <v>חינוך</v>
      </c>
      <c r="P118" s="18" t="str">
        <f t="shared" si="11"/>
        <v>315</v>
      </c>
      <c r="Q118" s="18" t="str">
        <f>INDEX(Chapter,MATCH(P118,Chapter!$A$1:$A$681,0),8)</f>
        <v>חינוך על יסודי</v>
      </c>
      <c r="R118" s="18" t="str">
        <f t="shared" si="12"/>
        <v>3159</v>
      </c>
      <c r="S118" s="18" t="e">
        <f>INDEX(Chapter,MATCH(R118,Chapter!$A$1:$A$681,0),8)</f>
        <v>#N/A</v>
      </c>
      <c r="T118" s="18"/>
      <c r="U118" s="18" t="str">
        <f t="shared" si="13"/>
        <v>9</v>
      </c>
      <c r="V118" s="18" t="str">
        <f>IF($L118&lt;"6",INDEX(Revenue_type,MATCH(U118*1,type!$A$118:$A$168,0),8),INDEX(Expenditure_type,MATCH(U118*1,type!$A$2:$A$117,0),8))</f>
        <v>השתתפות משרדי ממשלה</v>
      </c>
      <c r="W118" s="18" t="str">
        <f t="shared" si="14"/>
        <v>93</v>
      </c>
      <c r="X118" s="18" t="str">
        <f>IF($L118&lt;"6",INDEX(Revenue_type,MATCH(W118*1,type!$A$118:$A$168,0),8),INDEX(Expenditure_type,MATCH(W118*1,type!$A$2:$A$117,0),8))</f>
        <v>השתתפות משרד העבודה והרווחה</v>
      </c>
      <c r="Y118" s="18" t="str">
        <f t="shared" si="15"/>
        <v>930</v>
      </c>
      <c r="Z118" s="18" t="e">
        <f>IF($L118&lt;"6",INDEX(Revenue_type,MATCH(Y118*1,type!$A$118:$A$168,0),8),INDEX(Expenditure_type,MATCH(Y118*1,type!$A$2:$A$117,0),8))</f>
        <v>#N/A</v>
      </c>
    </row>
    <row r="119" spans="1:26" ht="15.75" hidden="1" customHeight="1" outlineLevel="2">
      <c r="A119" s="482">
        <v>930</v>
      </c>
      <c r="B119" s="485">
        <v>315930</v>
      </c>
      <c r="C119">
        <v>1</v>
      </c>
      <c r="D119" t="str">
        <f t="shared" si="8"/>
        <v>1315930.930</v>
      </c>
      <c r="E119" s="492" t="s">
        <v>7803</v>
      </c>
      <c r="H119" s="470">
        <v>-1592000</v>
      </c>
      <c r="I119" s="470">
        <v>-1592000</v>
      </c>
      <c r="J119" s="470">
        <v>-1464574</v>
      </c>
      <c r="K119" s="18"/>
      <c r="L119" s="18" t="str">
        <f t="shared" si="9"/>
        <v>3</v>
      </c>
      <c r="M119" s="18" t="str">
        <f>INDEX(Chapter,MATCH(L119,Chapter!$A$1:$A$681,0),8)</f>
        <v>שירותים ממלכתיים</v>
      </c>
      <c r="N119" s="18" t="str">
        <f t="shared" si="10"/>
        <v>31</v>
      </c>
      <c r="O119" s="18" t="str">
        <f>INDEX(Chapter,MATCH(N119,Chapter!$A$1:$A$681,0),8)</f>
        <v>חינוך</v>
      </c>
      <c r="P119" s="18" t="str">
        <f t="shared" si="11"/>
        <v>315</v>
      </c>
      <c r="Q119" s="18" t="str">
        <f>INDEX(Chapter,MATCH(P119,Chapter!$A$1:$A$681,0),8)</f>
        <v>חינוך על יסודי</v>
      </c>
      <c r="R119" s="18" t="str">
        <f t="shared" si="12"/>
        <v>3159</v>
      </c>
      <c r="S119" s="18" t="e">
        <f>INDEX(Chapter,MATCH(R119,Chapter!$A$1:$A$681,0),8)</f>
        <v>#N/A</v>
      </c>
      <c r="T119" s="18"/>
      <c r="U119" s="18" t="str">
        <f t="shared" si="13"/>
        <v>9</v>
      </c>
      <c r="V119" s="18" t="str">
        <f>IF($L119&lt;"6",INDEX(Revenue_type,MATCH(U119*1,type!$A$118:$A$168,0),8),INDEX(Expenditure_type,MATCH(U119*1,type!$A$2:$A$117,0),8))</f>
        <v>השתתפות משרדי ממשלה</v>
      </c>
      <c r="W119" s="18" t="str">
        <f t="shared" si="14"/>
        <v>93</v>
      </c>
      <c r="X119" s="18" t="str">
        <f>IF($L119&lt;"6",INDEX(Revenue_type,MATCH(W119*1,type!$A$118:$A$168,0),8),INDEX(Expenditure_type,MATCH(W119*1,type!$A$2:$A$117,0),8))</f>
        <v>השתתפות משרד העבודה והרווחה</v>
      </c>
      <c r="Y119" s="18" t="str">
        <f t="shared" si="15"/>
        <v>930</v>
      </c>
      <c r="Z119" s="18" t="e">
        <f>IF($L119&lt;"6",INDEX(Revenue_type,MATCH(Y119*1,type!$A$118:$A$168,0),8),INDEX(Expenditure_type,MATCH(Y119*1,type!$A$2:$A$117,0),8))</f>
        <v>#N/A</v>
      </c>
    </row>
    <row r="120" spans="1:26" ht="15.75" hidden="1" customHeight="1" outlineLevel="2">
      <c r="A120" s="482">
        <v>970</v>
      </c>
      <c r="B120" s="485">
        <v>315190</v>
      </c>
      <c r="C120">
        <v>1</v>
      </c>
      <c r="D120" t="str">
        <f t="shared" si="8"/>
        <v>1315190.970</v>
      </c>
      <c r="E120" s="492" t="s">
        <v>7804</v>
      </c>
      <c r="H120" s="470">
        <v>-700000</v>
      </c>
      <c r="I120" s="470">
        <v>-700000</v>
      </c>
      <c r="J120" s="470">
        <v>-554504</v>
      </c>
      <c r="K120" s="18"/>
      <c r="L120" s="18" t="str">
        <f t="shared" si="9"/>
        <v>3</v>
      </c>
      <c r="M120" s="18" t="str">
        <f>INDEX(Chapter,MATCH(L120,Chapter!$A$1:$A$681,0),8)</f>
        <v>שירותים ממלכתיים</v>
      </c>
      <c r="N120" s="18" t="str">
        <f t="shared" si="10"/>
        <v>31</v>
      </c>
      <c r="O120" s="18" t="str">
        <f>INDEX(Chapter,MATCH(N120,Chapter!$A$1:$A$681,0),8)</f>
        <v>חינוך</v>
      </c>
      <c r="P120" s="18" t="str">
        <f t="shared" si="11"/>
        <v>315</v>
      </c>
      <c r="Q120" s="18" t="str">
        <f>INDEX(Chapter,MATCH(P120,Chapter!$A$1:$A$681,0),8)</f>
        <v>חינוך על יסודי</v>
      </c>
      <c r="R120" s="18" t="str">
        <f t="shared" si="12"/>
        <v>3151</v>
      </c>
      <c r="S120" s="18" t="str">
        <f>INDEX(Chapter,MATCH(R120,Chapter!$A$1:$A$681,0),8)</f>
        <v>מינהל החינוך העל יסודי</v>
      </c>
      <c r="T120" s="18"/>
      <c r="U120" s="18" t="str">
        <f t="shared" si="13"/>
        <v>9</v>
      </c>
      <c r="V120" s="18" t="str">
        <f>IF($L120&lt;"6",INDEX(Revenue_type,MATCH(U120*1,type!$A$118:$A$168,0),8),INDEX(Expenditure_type,MATCH(U120*1,type!$A$2:$A$117,0),8))</f>
        <v>השתתפות משרדי ממשלה</v>
      </c>
      <c r="W120" s="18" t="str">
        <f t="shared" si="14"/>
        <v>97</v>
      </c>
      <c r="X120" s="18" t="str">
        <f>IF($L120&lt;"6",INDEX(Revenue_type,MATCH(W120*1,type!$A$118:$A$168,0),8),INDEX(Expenditure_type,MATCH(W120*1,type!$A$2:$A$117,0),8))</f>
        <v>השתתפות משרד הביטחון</v>
      </c>
      <c r="Y120" s="18" t="str">
        <f t="shared" si="15"/>
        <v>970</v>
      </c>
      <c r="Z120" s="18" t="e">
        <f>IF($L120&lt;"6",INDEX(Revenue_type,MATCH(Y120*1,type!$A$118:$A$168,0),8),INDEX(Expenditure_type,MATCH(Y120*1,type!$A$2:$A$117,0),8))</f>
        <v>#N/A</v>
      </c>
    </row>
    <row r="121" spans="1:26" ht="15.75" hidden="1" customHeight="1" outlineLevel="2">
      <c r="A121" s="482">
        <v>971</v>
      </c>
      <c r="B121" s="485">
        <v>315190</v>
      </c>
      <c r="C121">
        <v>1</v>
      </c>
      <c r="D121" t="str">
        <f t="shared" si="8"/>
        <v>1315190.971</v>
      </c>
      <c r="E121" s="492" t="s">
        <v>7805</v>
      </c>
      <c r="H121" s="470">
        <v>-1502000</v>
      </c>
      <c r="I121" s="470">
        <v>-1502000</v>
      </c>
      <c r="J121" s="470">
        <v>-851490</v>
      </c>
      <c r="K121" s="18"/>
      <c r="L121" s="18" t="str">
        <f t="shared" si="9"/>
        <v>3</v>
      </c>
      <c r="M121" s="18" t="str">
        <f>INDEX(Chapter,MATCH(L121,Chapter!$A$1:$A$681,0),8)</f>
        <v>שירותים ממלכתיים</v>
      </c>
      <c r="N121" s="18" t="str">
        <f t="shared" si="10"/>
        <v>31</v>
      </c>
      <c r="O121" s="18" t="str">
        <f>INDEX(Chapter,MATCH(N121,Chapter!$A$1:$A$681,0),8)</f>
        <v>חינוך</v>
      </c>
      <c r="P121" s="18" t="str">
        <f t="shared" si="11"/>
        <v>315</v>
      </c>
      <c r="Q121" s="18" t="str">
        <f>INDEX(Chapter,MATCH(P121,Chapter!$A$1:$A$681,0),8)</f>
        <v>חינוך על יסודי</v>
      </c>
      <c r="R121" s="18" t="str">
        <f t="shared" si="12"/>
        <v>3151</v>
      </c>
      <c r="S121" s="18" t="str">
        <f>INDEX(Chapter,MATCH(R121,Chapter!$A$1:$A$681,0),8)</f>
        <v>מינהל החינוך העל יסודי</v>
      </c>
      <c r="T121" s="18"/>
      <c r="U121" s="18" t="str">
        <f t="shared" si="13"/>
        <v>9</v>
      </c>
      <c r="V121" s="18" t="str">
        <f>IF($L121&lt;"6",INDEX(Revenue_type,MATCH(U121*1,type!$A$118:$A$168,0),8),INDEX(Expenditure_type,MATCH(U121*1,type!$A$2:$A$117,0),8))</f>
        <v>השתתפות משרדי ממשלה</v>
      </c>
      <c r="W121" s="18" t="str">
        <f t="shared" si="14"/>
        <v>97</v>
      </c>
      <c r="X121" s="18" t="str">
        <f>IF($L121&lt;"6",INDEX(Revenue_type,MATCH(W121*1,type!$A$118:$A$168,0),8),INDEX(Expenditure_type,MATCH(W121*1,type!$A$2:$A$117,0),8))</f>
        <v>השתתפות משרד הביטחון</v>
      </c>
      <c r="Y121" s="18" t="str">
        <f t="shared" si="15"/>
        <v>971</v>
      </c>
      <c r="Z121" s="18" t="e">
        <f>IF($L121&lt;"6",INDEX(Revenue_type,MATCH(Y121*1,type!$A$118:$A$168,0),8),INDEX(Expenditure_type,MATCH(Y121*1,type!$A$2:$A$117,0),8))</f>
        <v>#N/A</v>
      </c>
    </row>
    <row r="122" spans="1:26" ht="15.75" hidden="1" customHeight="1" outlineLevel="2">
      <c r="A122" s="482">
        <v>770</v>
      </c>
      <c r="B122" s="485">
        <v>315190</v>
      </c>
      <c r="C122">
        <v>1</v>
      </c>
      <c r="D122" t="str">
        <f t="shared" si="8"/>
        <v>1315190.770</v>
      </c>
      <c r="E122" s="492" t="s">
        <v>7806</v>
      </c>
      <c r="H122" s="470">
        <v>0</v>
      </c>
      <c r="I122" s="470">
        <v>0</v>
      </c>
      <c r="J122" s="470">
        <v>-61</v>
      </c>
      <c r="K122" s="18"/>
      <c r="L122" s="18" t="str">
        <f t="shared" si="9"/>
        <v>3</v>
      </c>
      <c r="M122" s="18" t="str">
        <f>INDEX(Chapter,MATCH(L122,Chapter!$A$1:$A$681,0),8)</f>
        <v>שירותים ממלכתיים</v>
      </c>
      <c r="N122" s="18" t="str">
        <f t="shared" si="10"/>
        <v>31</v>
      </c>
      <c r="O122" s="18" t="str">
        <f>INDEX(Chapter,MATCH(N122,Chapter!$A$1:$A$681,0),8)</f>
        <v>חינוך</v>
      </c>
      <c r="P122" s="18" t="str">
        <f t="shared" si="11"/>
        <v>315</v>
      </c>
      <c r="Q122" s="18" t="str">
        <f>INDEX(Chapter,MATCH(P122,Chapter!$A$1:$A$681,0),8)</f>
        <v>חינוך על יסודי</v>
      </c>
      <c r="R122" s="18" t="str">
        <f t="shared" si="12"/>
        <v>3151</v>
      </c>
      <c r="S122" s="18" t="str">
        <f>INDEX(Chapter,MATCH(R122,Chapter!$A$1:$A$681,0),8)</f>
        <v>מינהל החינוך העל יסודי</v>
      </c>
      <c r="T122" s="18"/>
      <c r="U122" s="18" t="str">
        <f t="shared" si="13"/>
        <v>7</v>
      </c>
      <c r="V122" s="18" t="str">
        <f>IF($L122&lt;"6",INDEX(Revenue_type,MATCH(U122*1,type!$A$118:$A$168,0),8),INDEX(Expenditure_type,MATCH(U122*1,type!$A$2:$A$117,0),8))</f>
        <v>השתתפות מוסדות ותרומות</v>
      </c>
      <c r="W122" s="18" t="str">
        <f t="shared" si="14"/>
        <v>77</v>
      </c>
      <c r="X122" s="18" t="str">
        <f>IF($L122&lt;"6",INDEX(Revenue_type,MATCH(W122*1,type!$A$118:$A$168,0),8),INDEX(Expenditure_type,MATCH(W122*1,type!$A$2:$A$117,0),8))</f>
        <v>השתתפות קהילות מחו"ל</v>
      </c>
      <c r="Y122" s="18" t="str">
        <f t="shared" si="15"/>
        <v>770</v>
      </c>
      <c r="Z122" s="18" t="e">
        <f>IF($L122&lt;"6",INDEX(Revenue_type,MATCH(Y122*1,type!$A$118:$A$168,0),8),INDEX(Expenditure_type,MATCH(Y122*1,type!$A$2:$A$117,0),8))</f>
        <v>#N/A</v>
      </c>
    </row>
    <row r="123" spans="1:26" ht="15.75" hidden="1" customHeight="1" outlineLevel="2">
      <c r="A123" s="482">
        <v>411</v>
      </c>
      <c r="B123" s="485">
        <v>315190</v>
      </c>
      <c r="C123">
        <v>1</v>
      </c>
      <c r="D123" t="str">
        <f t="shared" si="8"/>
        <v>1315190.411</v>
      </c>
      <c r="E123" s="492" t="s">
        <v>7807</v>
      </c>
      <c r="H123" s="470">
        <v>0</v>
      </c>
      <c r="I123" s="470">
        <v>0</v>
      </c>
      <c r="J123" s="470">
        <v>-70</v>
      </c>
      <c r="K123" s="18"/>
      <c r="L123" s="18" t="str">
        <f t="shared" si="9"/>
        <v>3</v>
      </c>
      <c r="M123" s="18" t="str">
        <f>INDEX(Chapter,MATCH(L123,Chapter!$A$1:$A$681,0),8)</f>
        <v>שירותים ממלכתיים</v>
      </c>
      <c r="N123" s="18" t="str">
        <f t="shared" si="10"/>
        <v>31</v>
      </c>
      <c r="O123" s="18" t="str">
        <f>INDEX(Chapter,MATCH(N123,Chapter!$A$1:$A$681,0),8)</f>
        <v>חינוך</v>
      </c>
      <c r="P123" s="18" t="str">
        <f t="shared" si="11"/>
        <v>315</v>
      </c>
      <c r="Q123" s="18" t="str">
        <f>INDEX(Chapter,MATCH(P123,Chapter!$A$1:$A$681,0),8)</f>
        <v>חינוך על יסודי</v>
      </c>
      <c r="R123" s="18" t="str">
        <f t="shared" si="12"/>
        <v>3151</v>
      </c>
      <c r="S123" s="18" t="str">
        <f>INDEX(Chapter,MATCH(R123,Chapter!$A$1:$A$681,0),8)</f>
        <v>מינהל החינוך העל יסודי</v>
      </c>
      <c r="T123" s="18"/>
      <c r="U123" s="18" t="str">
        <f t="shared" si="13"/>
        <v>4</v>
      </c>
      <c r="V123" s="18" t="str">
        <f>IF($L123&lt;"6",INDEX(Revenue_type,MATCH(U123*1,type!$A$118:$A$168,0),8),INDEX(Expenditure_type,MATCH(U123*1,type!$A$2:$A$117,0),8))</f>
        <v>שירותים ושכר לימוד</v>
      </c>
      <c r="W123" s="18" t="str">
        <f t="shared" si="14"/>
        <v>41</v>
      </c>
      <c r="X123" s="18" t="str">
        <f>IF($L123&lt;"6",INDEX(Revenue_type,MATCH(W123*1,type!$A$118:$A$168,0),8),INDEX(Expenditure_type,MATCH(W123*1,type!$A$2:$A$117,0),8))</f>
        <v>שכל"מ מתושבים</v>
      </c>
      <c r="Y123" s="18" t="str">
        <f t="shared" si="15"/>
        <v>411</v>
      </c>
      <c r="Z123" s="18" t="e">
        <f>IF($L123&lt;"6",INDEX(Revenue_type,MATCH(Y123*1,type!$A$118:$A$168,0),8),INDEX(Expenditure_type,MATCH(Y123*1,type!$A$2:$A$117,0),8))</f>
        <v>#N/A</v>
      </c>
    </row>
    <row r="124" spans="1:26" ht="15.75" hidden="1" customHeight="1" outlineLevel="2">
      <c r="A124" s="482">
        <v>410</v>
      </c>
      <c r="B124" s="485">
        <v>315190</v>
      </c>
      <c r="C124">
        <v>1</v>
      </c>
      <c r="D124" t="str">
        <f t="shared" si="8"/>
        <v>1315190.410</v>
      </c>
      <c r="E124" s="492" t="s">
        <v>7808</v>
      </c>
      <c r="H124" s="470">
        <v>0</v>
      </c>
      <c r="I124" s="470">
        <v>0</v>
      </c>
      <c r="J124" s="470">
        <v>-14870</v>
      </c>
      <c r="K124" s="18"/>
      <c r="L124" s="18" t="str">
        <f t="shared" si="9"/>
        <v>3</v>
      </c>
      <c r="M124" s="18" t="str">
        <f>INDEX(Chapter,MATCH(L124,Chapter!$A$1:$A$681,0),8)</f>
        <v>שירותים ממלכתיים</v>
      </c>
      <c r="N124" s="18" t="str">
        <f t="shared" si="10"/>
        <v>31</v>
      </c>
      <c r="O124" s="18" t="str">
        <f>INDEX(Chapter,MATCH(N124,Chapter!$A$1:$A$681,0),8)</f>
        <v>חינוך</v>
      </c>
      <c r="P124" s="18" t="str">
        <f t="shared" si="11"/>
        <v>315</v>
      </c>
      <c r="Q124" s="18" t="str">
        <f>INDEX(Chapter,MATCH(P124,Chapter!$A$1:$A$681,0),8)</f>
        <v>חינוך על יסודי</v>
      </c>
      <c r="R124" s="18" t="str">
        <f t="shared" si="12"/>
        <v>3151</v>
      </c>
      <c r="S124" s="18" t="str">
        <f>INDEX(Chapter,MATCH(R124,Chapter!$A$1:$A$681,0),8)</f>
        <v>מינהל החינוך העל יסודי</v>
      </c>
      <c r="T124" s="18"/>
      <c r="U124" s="18" t="str">
        <f t="shared" si="13"/>
        <v>4</v>
      </c>
      <c r="V124" s="18" t="str">
        <f>IF($L124&lt;"6",INDEX(Revenue_type,MATCH(U124*1,type!$A$118:$A$168,0),8),INDEX(Expenditure_type,MATCH(U124*1,type!$A$2:$A$117,0),8))</f>
        <v>שירותים ושכר לימוד</v>
      </c>
      <c r="W124" s="18" t="str">
        <f t="shared" si="14"/>
        <v>41</v>
      </c>
      <c r="X124" s="18" t="str">
        <f>IF($L124&lt;"6",INDEX(Revenue_type,MATCH(W124*1,type!$A$118:$A$168,0),8),INDEX(Expenditure_type,MATCH(W124*1,type!$A$2:$A$117,0),8))</f>
        <v>שכל"מ מתושבים</v>
      </c>
      <c r="Y124" s="18" t="str">
        <f t="shared" si="15"/>
        <v>410</v>
      </c>
      <c r="Z124" s="18" t="e">
        <f>IF($L124&lt;"6",INDEX(Revenue_type,MATCH(Y124*1,type!$A$118:$A$168,0),8),INDEX(Expenditure_type,MATCH(Y124*1,type!$A$2:$A$117,0),8))</f>
        <v>#N/A</v>
      </c>
    </row>
    <row r="125" spans="1:26" ht="15.75" hidden="1" customHeight="1" outlineLevel="2">
      <c r="A125" s="482">
        <v>930</v>
      </c>
      <c r="B125" s="485">
        <v>315210</v>
      </c>
      <c r="C125">
        <v>1</v>
      </c>
      <c r="D125" t="str">
        <f t="shared" si="8"/>
        <v>1315210.930</v>
      </c>
      <c r="E125" s="492" t="s">
        <v>7809</v>
      </c>
      <c r="H125" s="470">
        <v>-11130000</v>
      </c>
      <c r="I125" s="470">
        <v>-10000000</v>
      </c>
      <c r="J125" s="470">
        <v>-11500772</v>
      </c>
      <c r="K125" s="18"/>
      <c r="L125" s="18" t="str">
        <f t="shared" si="9"/>
        <v>3</v>
      </c>
      <c r="M125" s="18" t="str">
        <f>INDEX(Chapter,MATCH(L125,Chapter!$A$1:$A$681,0),8)</f>
        <v>שירותים ממלכתיים</v>
      </c>
      <c r="N125" s="18" t="str">
        <f t="shared" si="10"/>
        <v>31</v>
      </c>
      <c r="O125" s="18" t="str">
        <f>INDEX(Chapter,MATCH(N125,Chapter!$A$1:$A$681,0),8)</f>
        <v>חינוך</v>
      </c>
      <c r="P125" s="18" t="str">
        <f t="shared" si="11"/>
        <v>315</v>
      </c>
      <c r="Q125" s="18" t="str">
        <f>INDEX(Chapter,MATCH(P125,Chapter!$A$1:$A$681,0),8)</f>
        <v>חינוך על יסודי</v>
      </c>
      <c r="R125" s="18" t="str">
        <f t="shared" si="12"/>
        <v>3152</v>
      </c>
      <c r="S125" s="18" t="str">
        <f>INDEX(Chapter,MATCH(R125,Chapter!$A$1:$A$681,0),8)</f>
        <v>בתי״ס על יסודיים עיוניים</v>
      </c>
      <c r="T125" s="18"/>
      <c r="U125" s="18" t="str">
        <f t="shared" si="13"/>
        <v>9</v>
      </c>
      <c r="V125" s="18" t="str">
        <f>IF($L125&lt;"6",INDEX(Revenue_type,MATCH(U125*1,type!$A$118:$A$168,0),8),INDEX(Expenditure_type,MATCH(U125*1,type!$A$2:$A$117,0),8))</f>
        <v>השתתפות משרדי ממשלה</v>
      </c>
      <c r="W125" s="18" t="str">
        <f t="shared" si="14"/>
        <v>93</v>
      </c>
      <c r="X125" s="18" t="str">
        <f>IF($L125&lt;"6",INDEX(Revenue_type,MATCH(W125*1,type!$A$118:$A$168,0),8),INDEX(Expenditure_type,MATCH(W125*1,type!$A$2:$A$117,0),8))</f>
        <v>השתתפות משרד העבודה והרווחה</v>
      </c>
      <c r="Y125" s="18" t="str">
        <f t="shared" si="15"/>
        <v>930</v>
      </c>
      <c r="Z125" s="18" t="e">
        <f>IF($L125&lt;"6",INDEX(Revenue_type,MATCH(Y125*1,type!$A$118:$A$168,0),8),INDEX(Expenditure_type,MATCH(Y125*1,type!$A$2:$A$117,0),8))</f>
        <v>#N/A</v>
      </c>
    </row>
    <row r="126" spans="1:26" ht="15.75" hidden="1" customHeight="1" outlineLevel="2">
      <c r="A126" s="482">
        <v>940</v>
      </c>
      <c r="B126" s="485">
        <v>315210</v>
      </c>
      <c r="C126">
        <v>1</v>
      </c>
      <c r="D126" t="str">
        <f t="shared" si="8"/>
        <v>1315210.940</v>
      </c>
      <c r="E126" s="492" t="s">
        <v>7810</v>
      </c>
      <c r="H126" s="470">
        <v>0</v>
      </c>
      <c r="I126" s="470">
        <v>0</v>
      </c>
      <c r="J126" s="470">
        <v>-92858</v>
      </c>
      <c r="K126" s="18"/>
      <c r="L126" s="18" t="str">
        <f t="shared" si="9"/>
        <v>3</v>
      </c>
      <c r="M126" s="18" t="str">
        <f>INDEX(Chapter,MATCH(L126,Chapter!$A$1:$A$681,0),8)</f>
        <v>שירותים ממלכתיים</v>
      </c>
      <c r="N126" s="18" t="str">
        <f t="shared" si="10"/>
        <v>31</v>
      </c>
      <c r="O126" s="18" t="str">
        <f>INDEX(Chapter,MATCH(N126,Chapter!$A$1:$A$681,0),8)</f>
        <v>חינוך</v>
      </c>
      <c r="P126" s="18" t="str">
        <f t="shared" si="11"/>
        <v>315</v>
      </c>
      <c r="Q126" s="18" t="str">
        <f>INDEX(Chapter,MATCH(P126,Chapter!$A$1:$A$681,0),8)</f>
        <v>חינוך על יסודי</v>
      </c>
      <c r="R126" s="18" t="str">
        <f t="shared" si="12"/>
        <v>3152</v>
      </c>
      <c r="S126" s="18" t="str">
        <f>INDEX(Chapter,MATCH(R126,Chapter!$A$1:$A$681,0),8)</f>
        <v>בתי״ס על יסודיים עיוניים</v>
      </c>
      <c r="T126" s="18"/>
      <c r="U126" s="18" t="str">
        <f t="shared" si="13"/>
        <v>9</v>
      </c>
      <c r="V126" s="18" t="str">
        <f>IF($L126&lt;"6",INDEX(Revenue_type,MATCH(U126*1,type!$A$118:$A$168,0),8),INDEX(Expenditure_type,MATCH(U126*1,type!$A$2:$A$117,0),8))</f>
        <v>השתתפות משרדי ממשלה</v>
      </c>
      <c r="W126" s="18" t="str">
        <f t="shared" si="14"/>
        <v>94</v>
      </c>
      <c r="X126" s="18" t="str">
        <f>IF($L126&lt;"6",INDEX(Revenue_type,MATCH(W126*1,type!$A$118:$A$168,0),8),INDEX(Expenditure_type,MATCH(W126*1,type!$A$2:$A$117,0),8))</f>
        <v>השתתפות משרד הבריאות</v>
      </c>
      <c r="Y126" s="18" t="str">
        <f t="shared" si="15"/>
        <v>940</v>
      </c>
      <c r="Z126" s="18" t="e">
        <f>IF($L126&lt;"6",INDEX(Revenue_type,MATCH(Y126*1,type!$A$118:$A$168,0),8),INDEX(Expenditure_type,MATCH(Y126*1,type!$A$2:$A$117,0),8))</f>
        <v>#N/A</v>
      </c>
    </row>
    <row r="127" spans="1:26" ht="15.75" hidden="1" customHeight="1" outlineLevel="2">
      <c r="A127" s="482">
        <v>930</v>
      </c>
      <c r="B127" s="485">
        <v>315217</v>
      </c>
      <c r="C127">
        <v>1</v>
      </c>
      <c r="D127" t="str">
        <f t="shared" si="8"/>
        <v>1315217.930</v>
      </c>
      <c r="E127" s="492" t="s">
        <v>7811</v>
      </c>
      <c r="H127" s="470">
        <v>-7415000</v>
      </c>
      <c r="I127" s="470">
        <v>-7000000</v>
      </c>
      <c r="J127" s="470">
        <v>-7473693</v>
      </c>
      <c r="K127" s="18"/>
      <c r="L127" s="18" t="str">
        <f t="shared" si="9"/>
        <v>3</v>
      </c>
      <c r="M127" s="18" t="str">
        <f>INDEX(Chapter,MATCH(L127,Chapter!$A$1:$A$681,0),8)</f>
        <v>שירותים ממלכתיים</v>
      </c>
      <c r="N127" s="18" t="str">
        <f t="shared" si="10"/>
        <v>31</v>
      </c>
      <c r="O127" s="18" t="str">
        <f>INDEX(Chapter,MATCH(N127,Chapter!$A$1:$A$681,0),8)</f>
        <v>חינוך</v>
      </c>
      <c r="P127" s="18" t="str">
        <f t="shared" si="11"/>
        <v>315</v>
      </c>
      <c r="Q127" s="18" t="str">
        <f>INDEX(Chapter,MATCH(P127,Chapter!$A$1:$A$681,0),8)</f>
        <v>חינוך על יסודי</v>
      </c>
      <c r="R127" s="18" t="str">
        <f t="shared" si="12"/>
        <v>3152</v>
      </c>
      <c r="S127" s="18" t="str">
        <f>INDEX(Chapter,MATCH(R127,Chapter!$A$1:$A$681,0),8)</f>
        <v>בתי״ס על יסודיים עיוניים</v>
      </c>
      <c r="T127" s="18"/>
      <c r="U127" s="18" t="str">
        <f t="shared" si="13"/>
        <v>9</v>
      </c>
      <c r="V127" s="18" t="str">
        <f>IF($L127&lt;"6",INDEX(Revenue_type,MATCH(U127*1,type!$A$118:$A$168,0),8),INDEX(Expenditure_type,MATCH(U127*1,type!$A$2:$A$117,0),8))</f>
        <v>השתתפות משרדי ממשלה</v>
      </c>
      <c r="W127" s="18" t="str">
        <f t="shared" si="14"/>
        <v>93</v>
      </c>
      <c r="X127" s="18" t="str">
        <f>IF($L127&lt;"6",INDEX(Revenue_type,MATCH(W127*1,type!$A$118:$A$168,0),8),INDEX(Expenditure_type,MATCH(W127*1,type!$A$2:$A$117,0),8))</f>
        <v>השתתפות משרד העבודה והרווחה</v>
      </c>
      <c r="Y127" s="18" t="str">
        <f t="shared" si="15"/>
        <v>930</v>
      </c>
      <c r="Z127" s="18" t="e">
        <f>IF($L127&lt;"6",INDEX(Revenue_type,MATCH(Y127*1,type!$A$118:$A$168,0),8),INDEX(Expenditure_type,MATCH(Y127*1,type!$A$2:$A$117,0),8))</f>
        <v>#N/A</v>
      </c>
    </row>
    <row r="128" spans="1:26" ht="15.75" hidden="1" customHeight="1" outlineLevel="2">
      <c r="A128" s="482">
        <v>940</v>
      </c>
      <c r="B128" s="485">
        <v>315217</v>
      </c>
      <c r="C128">
        <v>1</v>
      </c>
      <c r="D128" t="str">
        <f t="shared" si="8"/>
        <v>1315217.940</v>
      </c>
      <c r="E128" s="492" t="s">
        <v>7812</v>
      </c>
      <c r="H128" s="470">
        <v>0</v>
      </c>
      <c r="I128" s="470">
        <v>0</v>
      </c>
      <c r="J128" s="470">
        <v>-30864</v>
      </c>
      <c r="K128" s="18"/>
      <c r="L128" s="18" t="str">
        <f t="shared" si="9"/>
        <v>3</v>
      </c>
      <c r="M128" s="18" t="str">
        <f>INDEX(Chapter,MATCH(L128,Chapter!$A$1:$A$681,0),8)</f>
        <v>שירותים ממלכתיים</v>
      </c>
      <c r="N128" s="18" t="str">
        <f t="shared" si="10"/>
        <v>31</v>
      </c>
      <c r="O128" s="18" t="str">
        <f>INDEX(Chapter,MATCH(N128,Chapter!$A$1:$A$681,0),8)</f>
        <v>חינוך</v>
      </c>
      <c r="P128" s="18" t="str">
        <f t="shared" si="11"/>
        <v>315</v>
      </c>
      <c r="Q128" s="18" t="str">
        <f>INDEX(Chapter,MATCH(P128,Chapter!$A$1:$A$681,0),8)</f>
        <v>חינוך על יסודי</v>
      </c>
      <c r="R128" s="18" t="str">
        <f t="shared" si="12"/>
        <v>3152</v>
      </c>
      <c r="S128" s="18" t="str">
        <f>INDEX(Chapter,MATCH(R128,Chapter!$A$1:$A$681,0),8)</f>
        <v>בתי״ס על יסודיים עיוניים</v>
      </c>
      <c r="T128" s="18"/>
      <c r="U128" s="18" t="str">
        <f t="shared" si="13"/>
        <v>9</v>
      </c>
      <c r="V128" s="18" t="str">
        <f>IF($L128&lt;"6",INDEX(Revenue_type,MATCH(U128*1,type!$A$118:$A$168,0),8),INDEX(Expenditure_type,MATCH(U128*1,type!$A$2:$A$117,0),8))</f>
        <v>השתתפות משרדי ממשלה</v>
      </c>
      <c r="W128" s="18" t="str">
        <f t="shared" si="14"/>
        <v>94</v>
      </c>
      <c r="X128" s="18" t="str">
        <f>IF($L128&lt;"6",INDEX(Revenue_type,MATCH(W128*1,type!$A$118:$A$168,0),8),INDEX(Expenditure_type,MATCH(W128*1,type!$A$2:$A$117,0),8))</f>
        <v>השתתפות משרד הבריאות</v>
      </c>
      <c r="Y128" s="18" t="str">
        <f t="shared" si="15"/>
        <v>940</v>
      </c>
      <c r="Z128" s="18" t="e">
        <f>IF($L128&lt;"6",INDEX(Revenue_type,MATCH(Y128*1,type!$A$118:$A$168,0),8),INDEX(Expenditure_type,MATCH(Y128*1,type!$A$2:$A$117,0),8))</f>
        <v>#N/A</v>
      </c>
    </row>
    <row r="129" spans="1:26" ht="15.75" hidden="1" customHeight="1" outlineLevel="2">
      <c r="A129" s="482">
        <v>930</v>
      </c>
      <c r="B129" s="485">
        <v>315220</v>
      </c>
      <c r="C129">
        <v>1</v>
      </c>
      <c r="D129" t="str">
        <f t="shared" si="8"/>
        <v>1315220.930</v>
      </c>
      <c r="E129" s="492" t="s">
        <v>7813</v>
      </c>
      <c r="H129" s="470">
        <v>-3670000</v>
      </c>
      <c r="I129" s="470">
        <v>-3240000</v>
      </c>
      <c r="J129" s="470">
        <v>-4065424</v>
      </c>
      <c r="K129" s="18"/>
      <c r="L129" s="18" t="str">
        <f t="shared" si="9"/>
        <v>3</v>
      </c>
      <c r="M129" s="18" t="str">
        <f>INDEX(Chapter,MATCH(L129,Chapter!$A$1:$A$681,0),8)</f>
        <v>שירותים ממלכתיים</v>
      </c>
      <c r="N129" s="18" t="str">
        <f t="shared" si="10"/>
        <v>31</v>
      </c>
      <c r="O129" s="18" t="str">
        <f>INDEX(Chapter,MATCH(N129,Chapter!$A$1:$A$681,0),8)</f>
        <v>חינוך</v>
      </c>
      <c r="P129" s="18" t="str">
        <f t="shared" si="11"/>
        <v>315</v>
      </c>
      <c r="Q129" s="18" t="str">
        <f>INDEX(Chapter,MATCH(P129,Chapter!$A$1:$A$681,0),8)</f>
        <v>חינוך על יסודי</v>
      </c>
      <c r="R129" s="18" t="str">
        <f t="shared" si="12"/>
        <v>3152</v>
      </c>
      <c r="S129" s="18" t="str">
        <f>INDEX(Chapter,MATCH(R129,Chapter!$A$1:$A$681,0),8)</f>
        <v>בתי״ס על יסודיים עיוניים</v>
      </c>
      <c r="T129" s="18"/>
      <c r="U129" s="18" t="str">
        <f t="shared" si="13"/>
        <v>9</v>
      </c>
      <c r="V129" s="18" t="str">
        <f>IF($L129&lt;"6",INDEX(Revenue_type,MATCH(U129*1,type!$A$118:$A$168,0),8),INDEX(Expenditure_type,MATCH(U129*1,type!$A$2:$A$117,0),8))</f>
        <v>השתתפות משרדי ממשלה</v>
      </c>
      <c r="W129" s="18" t="str">
        <f t="shared" si="14"/>
        <v>93</v>
      </c>
      <c r="X129" s="18" t="str">
        <f>IF($L129&lt;"6",INDEX(Revenue_type,MATCH(W129*1,type!$A$118:$A$168,0),8),INDEX(Expenditure_type,MATCH(W129*1,type!$A$2:$A$117,0),8))</f>
        <v>השתתפות משרד העבודה והרווחה</v>
      </c>
      <c r="Y129" s="18" t="str">
        <f t="shared" si="15"/>
        <v>930</v>
      </c>
      <c r="Z129" s="18" t="e">
        <f>IF($L129&lt;"6",INDEX(Revenue_type,MATCH(Y129*1,type!$A$118:$A$168,0),8),INDEX(Expenditure_type,MATCH(Y129*1,type!$A$2:$A$117,0),8))</f>
        <v>#N/A</v>
      </c>
    </row>
    <row r="130" spans="1:26" ht="15.75" hidden="1" customHeight="1" outlineLevel="2">
      <c r="A130" s="482">
        <v>940</v>
      </c>
      <c r="B130" s="485">
        <v>315220</v>
      </c>
      <c r="C130">
        <v>1</v>
      </c>
      <c r="D130" t="str">
        <f t="shared" si="8"/>
        <v>1315220.940</v>
      </c>
      <c r="E130" s="492" t="s">
        <v>7814</v>
      </c>
      <c r="H130" s="470">
        <v>0</v>
      </c>
      <c r="I130" s="470">
        <v>0</v>
      </c>
      <c r="J130" s="470">
        <v>-29301</v>
      </c>
      <c r="K130" s="18"/>
      <c r="L130" s="18" t="str">
        <f t="shared" si="9"/>
        <v>3</v>
      </c>
      <c r="M130" s="18" t="str">
        <f>INDEX(Chapter,MATCH(L130,Chapter!$A$1:$A$681,0),8)</f>
        <v>שירותים ממלכתיים</v>
      </c>
      <c r="N130" s="18" t="str">
        <f t="shared" si="10"/>
        <v>31</v>
      </c>
      <c r="O130" s="18" t="str">
        <f>INDEX(Chapter,MATCH(N130,Chapter!$A$1:$A$681,0),8)</f>
        <v>חינוך</v>
      </c>
      <c r="P130" s="18" t="str">
        <f t="shared" si="11"/>
        <v>315</v>
      </c>
      <c r="Q130" s="18" t="str">
        <f>INDEX(Chapter,MATCH(P130,Chapter!$A$1:$A$681,0),8)</f>
        <v>חינוך על יסודי</v>
      </c>
      <c r="R130" s="18" t="str">
        <f t="shared" si="12"/>
        <v>3152</v>
      </c>
      <c r="S130" s="18" t="str">
        <f>INDEX(Chapter,MATCH(R130,Chapter!$A$1:$A$681,0),8)</f>
        <v>בתי״ס על יסודיים עיוניים</v>
      </c>
      <c r="T130" s="18"/>
      <c r="U130" s="18" t="str">
        <f t="shared" si="13"/>
        <v>9</v>
      </c>
      <c r="V130" s="18" t="str">
        <f>IF($L130&lt;"6",INDEX(Revenue_type,MATCH(U130*1,type!$A$118:$A$168,0),8),INDEX(Expenditure_type,MATCH(U130*1,type!$A$2:$A$117,0),8))</f>
        <v>השתתפות משרדי ממשלה</v>
      </c>
      <c r="W130" s="18" t="str">
        <f t="shared" si="14"/>
        <v>94</v>
      </c>
      <c r="X130" s="18" t="str">
        <f>IF($L130&lt;"6",INDEX(Revenue_type,MATCH(W130*1,type!$A$118:$A$168,0),8),INDEX(Expenditure_type,MATCH(W130*1,type!$A$2:$A$117,0),8))</f>
        <v>השתתפות משרד הבריאות</v>
      </c>
      <c r="Y130" s="18" t="str">
        <f t="shared" si="15"/>
        <v>940</v>
      </c>
      <c r="Z130" s="18" t="e">
        <f>IF($L130&lt;"6",INDEX(Revenue_type,MATCH(Y130*1,type!$A$118:$A$168,0),8),INDEX(Expenditure_type,MATCH(Y130*1,type!$A$2:$A$117,0),8))</f>
        <v>#N/A</v>
      </c>
    </row>
    <row r="131" spans="1:26" ht="15.75" hidden="1" customHeight="1" outlineLevel="2">
      <c r="A131" s="482">
        <v>930</v>
      </c>
      <c r="B131" s="485">
        <v>315230</v>
      </c>
      <c r="C131">
        <v>1</v>
      </c>
      <c r="D131" t="str">
        <f t="shared" ref="D131:D194" si="16">C131&amp;B131&amp;"."&amp;A131</f>
        <v>1315230.930</v>
      </c>
      <c r="E131" s="492" t="s">
        <v>7815</v>
      </c>
      <c r="H131" s="470">
        <v>-7730000</v>
      </c>
      <c r="I131" s="470">
        <v>-7300000</v>
      </c>
      <c r="J131" s="470">
        <v>-7855565</v>
      </c>
      <c r="K131" s="18"/>
      <c r="L131" s="18" t="str">
        <f t="shared" ref="L131:L194" si="17">IF(LEFT($B131,1)*1=0,LEFT($B131,2),LEFT($B131,1))</f>
        <v>3</v>
      </c>
      <c r="M131" s="18" t="str">
        <f>INDEX(Chapter,MATCH(L131,Chapter!$A$1:$A$681,0),8)</f>
        <v>שירותים ממלכתיים</v>
      </c>
      <c r="N131" s="18" t="str">
        <f t="shared" ref="N131:N194" si="18">IF(LEFT($B131,1)*1=0,LEFT($B131,3),LEFT($B131,2))</f>
        <v>31</v>
      </c>
      <c r="O131" s="18" t="str">
        <f>INDEX(Chapter,MATCH(N131,Chapter!$A$1:$A$681,0),8)</f>
        <v>חינוך</v>
      </c>
      <c r="P131" s="18" t="str">
        <f t="shared" ref="P131:P194" si="19">IF(LEFT($B131,1)*1=0,LEFT($B131,4),LEFT($B131,3))</f>
        <v>315</v>
      </c>
      <c r="Q131" s="18" t="str">
        <f>INDEX(Chapter,MATCH(P131,Chapter!$A$1:$A$681,0),8)</f>
        <v>חינוך על יסודי</v>
      </c>
      <c r="R131" s="18" t="str">
        <f t="shared" ref="R131:R194" si="20">LEFT($B131,4)</f>
        <v>3152</v>
      </c>
      <c r="S131" s="18" t="str">
        <f>INDEX(Chapter,MATCH(R131,Chapter!$A$1:$A$681,0),8)</f>
        <v>בתי״ס על יסודיים עיוניים</v>
      </c>
      <c r="T131" s="18"/>
      <c r="U131" s="18" t="str">
        <f t="shared" ref="U131:U194" si="21">LEFT($A131,1)</f>
        <v>9</v>
      </c>
      <c r="V131" s="18" t="str">
        <f>IF($L131&lt;"6",INDEX(Revenue_type,MATCH(U131*1,type!$A$118:$A$168,0),8),INDEX(Expenditure_type,MATCH(U131*1,type!$A$2:$A$117,0),8))</f>
        <v>השתתפות משרדי ממשלה</v>
      </c>
      <c r="W131" s="18" t="str">
        <f t="shared" ref="W131:W194" si="22">LEFT($A131,2)</f>
        <v>93</v>
      </c>
      <c r="X131" s="18" t="str">
        <f>IF($L131&lt;"6",INDEX(Revenue_type,MATCH(W131*1,type!$A$118:$A$168,0),8),INDEX(Expenditure_type,MATCH(W131*1,type!$A$2:$A$117,0),8))</f>
        <v>השתתפות משרד העבודה והרווחה</v>
      </c>
      <c r="Y131" s="18" t="str">
        <f t="shared" ref="Y131:Y194" si="23">LEFT($A131,3)</f>
        <v>930</v>
      </c>
      <c r="Z131" s="18" t="e">
        <f>IF($L131&lt;"6",INDEX(Revenue_type,MATCH(Y131*1,type!$A$118:$A$168,0),8),INDEX(Expenditure_type,MATCH(Y131*1,type!$A$2:$A$117,0),8))</f>
        <v>#N/A</v>
      </c>
    </row>
    <row r="132" spans="1:26" ht="15.75" hidden="1" customHeight="1" outlineLevel="2">
      <c r="A132" s="482">
        <v>940</v>
      </c>
      <c r="B132" s="485">
        <v>315230</v>
      </c>
      <c r="C132">
        <v>1</v>
      </c>
      <c r="D132" t="str">
        <f t="shared" si="16"/>
        <v>1315230.940</v>
      </c>
      <c r="E132" s="492" t="s">
        <v>7816</v>
      </c>
      <c r="H132" s="470">
        <v>0</v>
      </c>
      <c r="I132" s="470">
        <v>0</v>
      </c>
      <c r="J132" s="470">
        <v>-96015</v>
      </c>
      <c r="K132" s="18"/>
      <c r="L132" s="18" t="str">
        <f t="shared" si="17"/>
        <v>3</v>
      </c>
      <c r="M132" s="18" t="str">
        <f>INDEX(Chapter,MATCH(L132,Chapter!$A$1:$A$681,0),8)</f>
        <v>שירותים ממלכתיים</v>
      </c>
      <c r="N132" s="18" t="str">
        <f t="shared" si="18"/>
        <v>31</v>
      </c>
      <c r="O132" s="18" t="str">
        <f>INDEX(Chapter,MATCH(N132,Chapter!$A$1:$A$681,0),8)</f>
        <v>חינוך</v>
      </c>
      <c r="P132" s="18" t="str">
        <f t="shared" si="19"/>
        <v>315</v>
      </c>
      <c r="Q132" s="18" t="str">
        <f>INDEX(Chapter,MATCH(P132,Chapter!$A$1:$A$681,0),8)</f>
        <v>חינוך על יסודי</v>
      </c>
      <c r="R132" s="18" t="str">
        <f t="shared" si="20"/>
        <v>3152</v>
      </c>
      <c r="S132" s="18" t="str">
        <f>INDEX(Chapter,MATCH(R132,Chapter!$A$1:$A$681,0),8)</f>
        <v>בתי״ס על יסודיים עיוניים</v>
      </c>
      <c r="T132" s="18"/>
      <c r="U132" s="18" t="str">
        <f t="shared" si="21"/>
        <v>9</v>
      </c>
      <c r="V132" s="18" t="str">
        <f>IF($L132&lt;"6",INDEX(Revenue_type,MATCH(U132*1,type!$A$118:$A$168,0),8),INDEX(Expenditure_type,MATCH(U132*1,type!$A$2:$A$117,0),8))</f>
        <v>השתתפות משרדי ממשלה</v>
      </c>
      <c r="W132" s="18" t="str">
        <f t="shared" si="22"/>
        <v>94</v>
      </c>
      <c r="X132" s="18" t="str">
        <f>IF($L132&lt;"6",INDEX(Revenue_type,MATCH(W132*1,type!$A$118:$A$168,0),8),INDEX(Expenditure_type,MATCH(W132*1,type!$A$2:$A$117,0),8))</f>
        <v>השתתפות משרד הבריאות</v>
      </c>
      <c r="Y132" s="18" t="str">
        <f t="shared" si="23"/>
        <v>940</v>
      </c>
      <c r="Z132" s="18" t="e">
        <f>IF($L132&lt;"6",INDEX(Revenue_type,MATCH(Y132*1,type!$A$118:$A$168,0),8),INDEX(Expenditure_type,MATCH(Y132*1,type!$A$2:$A$117,0),8))</f>
        <v>#N/A</v>
      </c>
    </row>
    <row r="133" spans="1:26" ht="15.75" hidden="1" customHeight="1" outlineLevel="2">
      <c r="A133" s="482">
        <v>930</v>
      </c>
      <c r="B133" s="485">
        <v>315240</v>
      </c>
      <c r="C133">
        <v>1</v>
      </c>
      <c r="D133" t="str">
        <f t="shared" si="16"/>
        <v>1315240.930</v>
      </c>
      <c r="E133" s="492" t="s">
        <v>7817</v>
      </c>
      <c r="H133" s="470">
        <v>-10070000</v>
      </c>
      <c r="I133" s="470">
        <v>-9640000</v>
      </c>
      <c r="J133" s="470">
        <v>-11354143</v>
      </c>
      <c r="K133" s="18"/>
      <c r="L133" s="18" t="str">
        <f t="shared" si="17"/>
        <v>3</v>
      </c>
      <c r="M133" s="18" t="str">
        <f>INDEX(Chapter,MATCH(L133,Chapter!$A$1:$A$681,0),8)</f>
        <v>שירותים ממלכתיים</v>
      </c>
      <c r="N133" s="18" t="str">
        <f t="shared" si="18"/>
        <v>31</v>
      </c>
      <c r="O133" s="18" t="str">
        <f>INDEX(Chapter,MATCH(N133,Chapter!$A$1:$A$681,0),8)</f>
        <v>חינוך</v>
      </c>
      <c r="P133" s="18" t="str">
        <f t="shared" si="19"/>
        <v>315</v>
      </c>
      <c r="Q133" s="18" t="str">
        <f>INDEX(Chapter,MATCH(P133,Chapter!$A$1:$A$681,0),8)</f>
        <v>חינוך על יסודי</v>
      </c>
      <c r="R133" s="18" t="str">
        <f t="shared" si="20"/>
        <v>3152</v>
      </c>
      <c r="S133" s="18" t="str">
        <f>INDEX(Chapter,MATCH(R133,Chapter!$A$1:$A$681,0),8)</f>
        <v>בתי״ס על יסודיים עיוניים</v>
      </c>
      <c r="T133" s="18"/>
      <c r="U133" s="18" t="str">
        <f t="shared" si="21"/>
        <v>9</v>
      </c>
      <c r="V133" s="18" t="str">
        <f>IF($L133&lt;"6",INDEX(Revenue_type,MATCH(U133*1,type!$A$118:$A$168,0),8),INDEX(Expenditure_type,MATCH(U133*1,type!$A$2:$A$117,0),8))</f>
        <v>השתתפות משרדי ממשלה</v>
      </c>
      <c r="W133" s="18" t="str">
        <f t="shared" si="22"/>
        <v>93</v>
      </c>
      <c r="X133" s="18" t="str">
        <f>IF($L133&lt;"6",INDEX(Revenue_type,MATCH(W133*1,type!$A$118:$A$168,0),8),INDEX(Expenditure_type,MATCH(W133*1,type!$A$2:$A$117,0),8))</f>
        <v>השתתפות משרד העבודה והרווחה</v>
      </c>
      <c r="Y133" s="18" t="str">
        <f t="shared" si="23"/>
        <v>930</v>
      </c>
      <c r="Z133" s="18" t="e">
        <f>IF($L133&lt;"6",INDEX(Revenue_type,MATCH(Y133*1,type!$A$118:$A$168,0),8),INDEX(Expenditure_type,MATCH(Y133*1,type!$A$2:$A$117,0),8))</f>
        <v>#N/A</v>
      </c>
    </row>
    <row r="134" spans="1:26" ht="15.75" hidden="1" customHeight="1" outlineLevel="2">
      <c r="A134" s="482">
        <v>940</v>
      </c>
      <c r="B134" s="485">
        <v>315240</v>
      </c>
      <c r="C134">
        <v>1</v>
      </c>
      <c r="D134" t="str">
        <f t="shared" si="16"/>
        <v>1315240.940</v>
      </c>
      <c r="E134" s="492" t="s">
        <v>7818</v>
      </c>
      <c r="H134" s="470">
        <v>0</v>
      </c>
      <c r="I134" s="470">
        <v>0</v>
      </c>
      <c r="J134" s="470">
        <v>-101742</v>
      </c>
      <c r="K134" s="18"/>
      <c r="L134" s="18" t="str">
        <f t="shared" si="17"/>
        <v>3</v>
      </c>
      <c r="M134" s="18" t="str">
        <f>INDEX(Chapter,MATCH(L134,Chapter!$A$1:$A$681,0),8)</f>
        <v>שירותים ממלכתיים</v>
      </c>
      <c r="N134" s="18" t="str">
        <f t="shared" si="18"/>
        <v>31</v>
      </c>
      <c r="O134" s="18" t="str">
        <f>INDEX(Chapter,MATCH(N134,Chapter!$A$1:$A$681,0),8)</f>
        <v>חינוך</v>
      </c>
      <c r="P134" s="18" t="str">
        <f t="shared" si="19"/>
        <v>315</v>
      </c>
      <c r="Q134" s="18" t="str">
        <f>INDEX(Chapter,MATCH(P134,Chapter!$A$1:$A$681,0),8)</f>
        <v>חינוך על יסודי</v>
      </c>
      <c r="R134" s="18" t="str">
        <f t="shared" si="20"/>
        <v>3152</v>
      </c>
      <c r="S134" s="18" t="str">
        <f>INDEX(Chapter,MATCH(R134,Chapter!$A$1:$A$681,0),8)</f>
        <v>בתי״ס על יסודיים עיוניים</v>
      </c>
      <c r="T134" s="18"/>
      <c r="U134" s="18" t="str">
        <f t="shared" si="21"/>
        <v>9</v>
      </c>
      <c r="V134" s="18" t="str">
        <f>IF($L134&lt;"6",INDEX(Revenue_type,MATCH(U134*1,type!$A$118:$A$168,0),8),INDEX(Expenditure_type,MATCH(U134*1,type!$A$2:$A$117,0),8))</f>
        <v>השתתפות משרדי ממשלה</v>
      </c>
      <c r="W134" s="18" t="str">
        <f t="shared" si="22"/>
        <v>94</v>
      </c>
      <c r="X134" s="18" t="str">
        <f>IF($L134&lt;"6",INDEX(Revenue_type,MATCH(W134*1,type!$A$118:$A$168,0),8),INDEX(Expenditure_type,MATCH(W134*1,type!$A$2:$A$117,0),8))</f>
        <v>השתתפות משרד הבריאות</v>
      </c>
      <c r="Y134" s="18" t="str">
        <f t="shared" si="23"/>
        <v>940</v>
      </c>
      <c r="Z134" s="18" t="e">
        <f>IF($L134&lt;"6",INDEX(Revenue_type,MATCH(Y134*1,type!$A$118:$A$168,0),8),INDEX(Expenditure_type,MATCH(Y134*1,type!$A$2:$A$117,0),8))</f>
        <v>#N/A</v>
      </c>
    </row>
    <row r="135" spans="1:26" ht="15.75" hidden="1" customHeight="1" outlineLevel="2">
      <c r="A135" s="482">
        <v>930</v>
      </c>
      <c r="B135" s="485">
        <v>315250</v>
      </c>
      <c r="C135">
        <v>1</v>
      </c>
      <c r="D135" t="str">
        <f t="shared" si="16"/>
        <v>1315250.930</v>
      </c>
      <c r="E135" s="492" t="s">
        <v>7819</v>
      </c>
      <c r="H135" s="470">
        <v>-14430000</v>
      </c>
      <c r="I135" s="470">
        <v>-14000000</v>
      </c>
      <c r="J135" s="470">
        <v>-14310374</v>
      </c>
      <c r="K135" s="18"/>
      <c r="L135" s="18" t="str">
        <f t="shared" si="17"/>
        <v>3</v>
      </c>
      <c r="M135" s="18" t="str">
        <f>INDEX(Chapter,MATCH(L135,Chapter!$A$1:$A$681,0),8)</f>
        <v>שירותים ממלכתיים</v>
      </c>
      <c r="N135" s="18" t="str">
        <f t="shared" si="18"/>
        <v>31</v>
      </c>
      <c r="O135" s="18" t="str">
        <f>INDEX(Chapter,MATCH(N135,Chapter!$A$1:$A$681,0),8)</f>
        <v>חינוך</v>
      </c>
      <c r="P135" s="18" t="str">
        <f t="shared" si="19"/>
        <v>315</v>
      </c>
      <c r="Q135" s="18" t="str">
        <f>INDEX(Chapter,MATCH(P135,Chapter!$A$1:$A$681,0),8)</f>
        <v>חינוך על יסודי</v>
      </c>
      <c r="R135" s="18" t="str">
        <f t="shared" si="20"/>
        <v>3152</v>
      </c>
      <c r="S135" s="18" t="str">
        <f>INDEX(Chapter,MATCH(R135,Chapter!$A$1:$A$681,0),8)</f>
        <v>בתי״ס על יסודיים עיוניים</v>
      </c>
      <c r="T135" s="18"/>
      <c r="U135" s="18" t="str">
        <f t="shared" si="21"/>
        <v>9</v>
      </c>
      <c r="V135" s="18" t="str">
        <f>IF($L135&lt;"6",INDEX(Revenue_type,MATCH(U135*1,type!$A$118:$A$168,0),8),INDEX(Expenditure_type,MATCH(U135*1,type!$A$2:$A$117,0),8))</f>
        <v>השתתפות משרדי ממשלה</v>
      </c>
      <c r="W135" s="18" t="str">
        <f t="shared" si="22"/>
        <v>93</v>
      </c>
      <c r="X135" s="18" t="str">
        <f>IF($L135&lt;"6",INDEX(Revenue_type,MATCH(W135*1,type!$A$118:$A$168,0),8),INDEX(Expenditure_type,MATCH(W135*1,type!$A$2:$A$117,0),8))</f>
        <v>השתתפות משרד העבודה והרווחה</v>
      </c>
      <c r="Y135" s="18" t="str">
        <f t="shared" si="23"/>
        <v>930</v>
      </c>
      <c r="Z135" s="18" t="e">
        <f>IF($L135&lt;"6",INDEX(Revenue_type,MATCH(Y135*1,type!$A$118:$A$168,0),8),INDEX(Expenditure_type,MATCH(Y135*1,type!$A$2:$A$117,0),8))</f>
        <v>#N/A</v>
      </c>
    </row>
    <row r="136" spans="1:26" ht="15.75" hidden="1" customHeight="1" outlineLevel="2">
      <c r="A136" s="482">
        <v>940</v>
      </c>
      <c r="B136" s="485">
        <v>315250</v>
      </c>
      <c r="C136">
        <v>1</v>
      </c>
      <c r="D136" t="str">
        <f t="shared" si="16"/>
        <v>1315250.940</v>
      </c>
      <c r="E136" s="492" t="s">
        <v>7820</v>
      </c>
      <c r="H136" s="470">
        <v>0</v>
      </c>
      <c r="I136" s="470">
        <v>0</v>
      </c>
      <c r="J136" s="470">
        <v>-139033</v>
      </c>
      <c r="K136" s="18"/>
      <c r="L136" s="18" t="str">
        <f t="shared" si="17"/>
        <v>3</v>
      </c>
      <c r="M136" s="18" t="str">
        <f>INDEX(Chapter,MATCH(L136,Chapter!$A$1:$A$681,0),8)</f>
        <v>שירותים ממלכתיים</v>
      </c>
      <c r="N136" s="18" t="str">
        <f t="shared" si="18"/>
        <v>31</v>
      </c>
      <c r="O136" s="18" t="str">
        <f>INDEX(Chapter,MATCH(N136,Chapter!$A$1:$A$681,0),8)</f>
        <v>חינוך</v>
      </c>
      <c r="P136" s="18" t="str">
        <f t="shared" si="19"/>
        <v>315</v>
      </c>
      <c r="Q136" s="18" t="str">
        <f>INDEX(Chapter,MATCH(P136,Chapter!$A$1:$A$681,0),8)</f>
        <v>חינוך על יסודי</v>
      </c>
      <c r="R136" s="18" t="str">
        <f t="shared" si="20"/>
        <v>3152</v>
      </c>
      <c r="S136" s="18" t="str">
        <f>INDEX(Chapter,MATCH(R136,Chapter!$A$1:$A$681,0),8)</f>
        <v>בתי״ס על יסודיים עיוניים</v>
      </c>
      <c r="T136" s="18"/>
      <c r="U136" s="18" t="str">
        <f t="shared" si="21"/>
        <v>9</v>
      </c>
      <c r="V136" s="18" t="str">
        <f>IF($L136&lt;"6",INDEX(Revenue_type,MATCH(U136*1,type!$A$118:$A$168,0),8),INDEX(Expenditure_type,MATCH(U136*1,type!$A$2:$A$117,0),8))</f>
        <v>השתתפות משרדי ממשלה</v>
      </c>
      <c r="W136" s="18" t="str">
        <f t="shared" si="22"/>
        <v>94</v>
      </c>
      <c r="X136" s="18" t="str">
        <f>IF($L136&lt;"6",INDEX(Revenue_type,MATCH(W136*1,type!$A$118:$A$168,0),8),INDEX(Expenditure_type,MATCH(W136*1,type!$A$2:$A$117,0),8))</f>
        <v>השתתפות משרד הבריאות</v>
      </c>
      <c r="Y136" s="18" t="str">
        <f t="shared" si="23"/>
        <v>940</v>
      </c>
      <c r="Z136" s="18" t="e">
        <f>IF($L136&lt;"6",INDEX(Revenue_type,MATCH(Y136*1,type!$A$118:$A$168,0),8),INDEX(Expenditure_type,MATCH(Y136*1,type!$A$2:$A$117,0),8))</f>
        <v>#N/A</v>
      </c>
    </row>
    <row r="137" spans="1:26" ht="15.75" hidden="1" customHeight="1" outlineLevel="2">
      <c r="A137" s="482">
        <v>930</v>
      </c>
      <c r="B137" s="485">
        <v>315260</v>
      </c>
      <c r="C137">
        <v>1</v>
      </c>
      <c r="D137" t="str">
        <f t="shared" si="16"/>
        <v>1315260.930</v>
      </c>
      <c r="E137" s="492" t="s">
        <v>7821</v>
      </c>
      <c r="H137" s="470">
        <v>0</v>
      </c>
      <c r="I137" s="470">
        <v>-400000</v>
      </c>
      <c r="J137" s="470">
        <v>0</v>
      </c>
      <c r="K137" s="18"/>
      <c r="L137" s="18" t="str">
        <f t="shared" si="17"/>
        <v>3</v>
      </c>
      <c r="M137" s="18" t="str">
        <f>INDEX(Chapter,MATCH(L137,Chapter!$A$1:$A$681,0),8)</f>
        <v>שירותים ממלכתיים</v>
      </c>
      <c r="N137" s="18" t="str">
        <f t="shared" si="18"/>
        <v>31</v>
      </c>
      <c r="O137" s="18" t="str">
        <f>INDEX(Chapter,MATCH(N137,Chapter!$A$1:$A$681,0),8)</f>
        <v>חינוך</v>
      </c>
      <c r="P137" s="18" t="str">
        <f t="shared" si="19"/>
        <v>315</v>
      </c>
      <c r="Q137" s="18" t="str">
        <f>INDEX(Chapter,MATCH(P137,Chapter!$A$1:$A$681,0),8)</f>
        <v>חינוך על יסודי</v>
      </c>
      <c r="R137" s="18" t="str">
        <f t="shared" si="20"/>
        <v>3152</v>
      </c>
      <c r="S137" s="18" t="str">
        <f>INDEX(Chapter,MATCH(R137,Chapter!$A$1:$A$681,0),8)</f>
        <v>בתי״ס על יסודיים עיוניים</v>
      </c>
      <c r="T137" s="18"/>
      <c r="U137" s="18" t="str">
        <f t="shared" si="21"/>
        <v>9</v>
      </c>
      <c r="V137" s="18" t="str">
        <f>IF($L137&lt;"6",INDEX(Revenue_type,MATCH(U137*1,type!$A$118:$A$168,0),8),INDEX(Expenditure_type,MATCH(U137*1,type!$A$2:$A$117,0),8))</f>
        <v>השתתפות משרדי ממשלה</v>
      </c>
      <c r="W137" s="18" t="str">
        <f t="shared" si="22"/>
        <v>93</v>
      </c>
      <c r="X137" s="18" t="str">
        <f>IF($L137&lt;"6",INDEX(Revenue_type,MATCH(W137*1,type!$A$118:$A$168,0),8),INDEX(Expenditure_type,MATCH(W137*1,type!$A$2:$A$117,0),8))</f>
        <v>השתתפות משרד העבודה והרווחה</v>
      </c>
      <c r="Y137" s="18" t="str">
        <f t="shared" si="23"/>
        <v>930</v>
      </c>
      <c r="Z137" s="18" t="e">
        <f>IF($L137&lt;"6",INDEX(Revenue_type,MATCH(Y137*1,type!$A$118:$A$168,0),8),INDEX(Expenditure_type,MATCH(Y137*1,type!$A$2:$A$117,0),8))</f>
        <v>#N/A</v>
      </c>
    </row>
    <row r="138" spans="1:26" ht="15.75" hidden="1" customHeight="1" outlineLevel="2">
      <c r="A138" s="482">
        <v>210</v>
      </c>
      <c r="B138" s="485">
        <v>315280</v>
      </c>
      <c r="C138">
        <v>1</v>
      </c>
      <c r="D138" t="str">
        <f t="shared" si="16"/>
        <v>1315280.210</v>
      </c>
      <c r="E138" s="492" t="s">
        <v>7822</v>
      </c>
      <c r="H138" s="470">
        <v>0</v>
      </c>
      <c r="I138" s="470">
        <v>-1300000</v>
      </c>
      <c r="J138" s="470">
        <v>-935000</v>
      </c>
      <c r="K138" s="18"/>
      <c r="L138" s="18" t="str">
        <f t="shared" si="17"/>
        <v>3</v>
      </c>
      <c r="M138" s="18" t="str">
        <f>INDEX(Chapter,MATCH(L138,Chapter!$A$1:$A$681,0),8)</f>
        <v>שירותים ממלכתיים</v>
      </c>
      <c r="N138" s="18" t="str">
        <f t="shared" si="18"/>
        <v>31</v>
      </c>
      <c r="O138" s="18" t="str">
        <f>INDEX(Chapter,MATCH(N138,Chapter!$A$1:$A$681,0),8)</f>
        <v>חינוך</v>
      </c>
      <c r="P138" s="18" t="str">
        <f t="shared" si="19"/>
        <v>315</v>
      </c>
      <c r="Q138" s="18" t="str">
        <f>INDEX(Chapter,MATCH(P138,Chapter!$A$1:$A$681,0),8)</f>
        <v>חינוך על יסודי</v>
      </c>
      <c r="R138" s="18" t="str">
        <f t="shared" si="20"/>
        <v>3152</v>
      </c>
      <c r="S138" s="18" t="str">
        <f>INDEX(Chapter,MATCH(R138,Chapter!$A$1:$A$681,0),8)</f>
        <v>בתי״ס על יסודיים עיוניים</v>
      </c>
      <c r="T138" s="18"/>
      <c r="U138" s="18" t="str">
        <f t="shared" si="21"/>
        <v>2</v>
      </c>
      <c r="V138" s="18" t="str">
        <f>IF($L138&lt;"6",INDEX(Revenue_type,MATCH(U138*1,type!$A$118:$A$168,0),8),INDEX(Expenditure_type,MATCH(U138*1,type!$A$2:$A$117,0),8))</f>
        <v>אגרות</v>
      </c>
      <c r="W138" s="18" t="str">
        <f t="shared" si="22"/>
        <v>21</v>
      </c>
      <c r="X138" s="18" t="str">
        <f>IF($L138&lt;"6",INDEX(Revenue_type,MATCH(W138*1,type!$A$118:$A$168,0),8),INDEX(Expenditure_type,MATCH(W138*1,type!$A$2:$A$117,0),8))</f>
        <v>אגרות מים וביוב</v>
      </c>
      <c r="Y138" s="18" t="str">
        <f t="shared" si="23"/>
        <v>210</v>
      </c>
      <c r="Z138" s="18" t="e">
        <f>IF($L138&lt;"6",INDEX(Revenue_type,MATCH(Y138*1,type!$A$118:$A$168,0),8),INDEX(Expenditure_type,MATCH(Y138*1,type!$A$2:$A$117,0),8))</f>
        <v>#N/A</v>
      </c>
    </row>
    <row r="139" spans="1:26" ht="15.75" hidden="1" customHeight="1" outlineLevel="2">
      <c r="A139" s="482">
        <v>930</v>
      </c>
      <c r="B139" s="485">
        <v>315290</v>
      </c>
      <c r="C139">
        <v>1</v>
      </c>
      <c r="D139" t="str">
        <f t="shared" si="16"/>
        <v>1315290.930</v>
      </c>
      <c r="E139" s="494" t="s">
        <v>7823</v>
      </c>
      <c r="H139" s="470">
        <v>-16430000</v>
      </c>
      <c r="I139" s="470">
        <v>-15300000</v>
      </c>
      <c r="J139" s="470">
        <v>-16826284</v>
      </c>
      <c r="K139" s="18"/>
      <c r="L139" s="18" t="str">
        <f t="shared" si="17"/>
        <v>3</v>
      </c>
      <c r="M139" s="18" t="str">
        <f>INDEX(Chapter,MATCH(L139,Chapter!$A$1:$A$681,0),8)</f>
        <v>שירותים ממלכתיים</v>
      </c>
      <c r="N139" s="18" t="str">
        <f t="shared" si="18"/>
        <v>31</v>
      </c>
      <c r="O139" s="18" t="str">
        <f>INDEX(Chapter,MATCH(N139,Chapter!$A$1:$A$681,0),8)</f>
        <v>חינוך</v>
      </c>
      <c r="P139" s="18" t="str">
        <f t="shared" si="19"/>
        <v>315</v>
      </c>
      <c r="Q139" s="18" t="str">
        <f>INDEX(Chapter,MATCH(P139,Chapter!$A$1:$A$681,0),8)</f>
        <v>חינוך על יסודי</v>
      </c>
      <c r="R139" s="18" t="str">
        <f t="shared" si="20"/>
        <v>3152</v>
      </c>
      <c r="S139" s="18" t="str">
        <f>INDEX(Chapter,MATCH(R139,Chapter!$A$1:$A$681,0),8)</f>
        <v>בתי״ס על יסודיים עיוניים</v>
      </c>
      <c r="T139" s="18"/>
      <c r="U139" s="18" t="str">
        <f t="shared" si="21"/>
        <v>9</v>
      </c>
      <c r="V139" s="18" t="str">
        <f>IF($L139&lt;"6",INDEX(Revenue_type,MATCH(U139*1,type!$A$118:$A$168,0),8),INDEX(Expenditure_type,MATCH(U139*1,type!$A$2:$A$117,0),8))</f>
        <v>השתתפות משרדי ממשלה</v>
      </c>
      <c r="W139" s="18" t="str">
        <f t="shared" si="22"/>
        <v>93</v>
      </c>
      <c r="X139" s="18" t="str">
        <f>IF($L139&lt;"6",INDEX(Revenue_type,MATCH(W139*1,type!$A$118:$A$168,0),8),INDEX(Expenditure_type,MATCH(W139*1,type!$A$2:$A$117,0),8))</f>
        <v>השתתפות משרד העבודה והרווחה</v>
      </c>
      <c r="Y139" s="18" t="str">
        <f t="shared" si="23"/>
        <v>930</v>
      </c>
      <c r="Z139" s="18" t="e">
        <f>IF($L139&lt;"6",INDEX(Revenue_type,MATCH(Y139*1,type!$A$118:$A$168,0),8),INDEX(Expenditure_type,MATCH(Y139*1,type!$A$2:$A$117,0),8))</f>
        <v>#N/A</v>
      </c>
    </row>
    <row r="140" spans="1:26" ht="15.75" hidden="1" customHeight="1" outlineLevel="2">
      <c r="A140" s="482">
        <v>940</v>
      </c>
      <c r="B140" s="485">
        <v>315290</v>
      </c>
      <c r="C140">
        <v>1</v>
      </c>
      <c r="D140" t="str">
        <f t="shared" si="16"/>
        <v>1315290.940</v>
      </c>
      <c r="E140" s="494" t="s">
        <v>7824</v>
      </c>
      <c r="H140" s="470">
        <v>0</v>
      </c>
      <c r="I140" s="470">
        <v>0</v>
      </c>
      <c r="J140" s="470">
        <v>-131880</v>
      </c>
      <c r="K140" s="18"/>
      <c r="L140" s="18" t="str">
        <f t="shared" si="17"/>
        <v>3</v>
      </c>
      <c r="M140" s="18" t="str">
        <f>INDEX(Chapter,MATCH(L140,Chapter!$A$1:$A$681,0),8)</f>
        <v>שירותים ממלכתיים</v>
      </c>
      <c r="N140" s="18" t="str">
        <f t="shared" si="18"/>
        <v>31</v>
      </c>
      <c r="O140" s="18" t="str">
        <f>INDEX(Chapter,MATCH(N140,Chapter!$A$1:$A$681,0),8)</f>
        <v>חינוך</v>
      </c>
      <c r="P140" s="18" t="str">
        <f t="shared" si="19"/>
        <v>315</v>
      </c>
      <c r="Q140" s="18" t="str">
        <f>INDEX(Chapter,MATCH(P140,Chapter!$A$1:$A$681,0),8)</f>
        <v>חינוך על יסודי</v>
      </c>
      <c r="R140" s="18" t="str">
        <f t="shared" si="20"/>
        <v>3152</v>
      </c>
      <c r="S140" s="18" t="str">
        <f>INDEX(Chapter,MATCH(R140,Chapter!$A$1:$A$681,0),8)</f>
        <v>בתי״ס על יסודיים עיוניים</v>
      </c>
      <c r="T140" s="18"/>
      <c r="U140" s="18" t="str">
        <f t="shared" si="21"/>
        <v>9</v>
      </c>
      <c r="V140" s="18" t="str">
        <f>IF($L140&lt;"6",INDEX(Revenue_type,MATCH(U140*1,type!$A$118:$A$168,0),8),INDEX(Expenditure_type,MATCH(U140*1,type!$A$2:$A$117,0),8))</f>
        <v>השתתפות משרדי ממשלה</v>
      </c>
      <c r="W140" s="18" t="str">
        <f t="shared" si="22"/>
        <v>94</v>
      </c>
      <c r="X140" s="18" t="str">
        <f>IF($L140&lt;"6",INDEX(Revenue_type,MATCH(W140*1,type!$A$118:$A$168,0),8),INDEX(Expenditure_type,MATCH(W140*1,type!$A$2:$A$117,0),8))</f>
        <v>השתתפות משרד הבריאות</v>
      </c>
      <c r="Y140" s="18" t="str">
        <f t="shared" si="23"/>
        <v>940</v>
      </c>
      <c r="Z140" s="18" t="e">
        <f>IF($L140&lt;"6",INDEX(Revenue_type,MATCH(Y140*1,type!$A$118:$A$168,0),8),INDEX(Expenditure_type,MATCH(Y140*1,type!$A$2:$A$117,0),8))</f>
        <v>#N/A</v>
      </c>
    </row>
    <row r="141" spans="1:26" ht="15.75" hidden="1" customHeight="1" outlineLevel="2" thickBot="1">
      <c r="A141" s="483">
        <v>930</v>
      </c>
      <c r="B141" s="486">
        <v>315590</v>
      </c>
      <c r="C141">
        <v>1</v>
      </c>
      <c r="D141" t="str">
        <f t="shared" si="16"/>
        <v>1315590.930</v>
      </c>
      <c r="E141" s="493" t="s">
        <v>7825</v>
      </c>
      <c r="H141" s="470">
        <v>0</v>
      </c>
      <c r="I141" s="470">
        <v>0</v>
      </c>
      <c r="J141" s="470">
        <v>-1016</v>
      </c>
      <c r="K141" s="18"/>
      <c r="L141" s="18" t="str">
        <f t="shared" si="17"/>
        <v>3</v>
      </c>
      <c r="M141" s="18" t="str">
        <f>INDEX(Chapter,MATCH(L141,Chapter!$A$1:$A$681,0),8)</f>
        <v>שירותים ממלכתיים</v>
      </c>
      <c r="N141" s="18" t="str">
        <f t="shared" si="18"/>
        <v>31</v>
      </c>
      <c r="O141" s="18" t="str">
        <f>INDEX(Chapter,MATCH(N141,Chapter!$A$1:$A$681,0),8)</f>
        <v>חינוך</v>
      </c>
      <c r="P141" s="18" t="str">
        <f t="shared" si="19"/>
        <v>315</v>
      </c>
      <c r="Q141" s="18" t="str">
        <f>INDEX(Chapter,MATCH(P141,Chapter!$A$1:$A$681,0),8)</f>
        <v>חינוך על יסודי</v>
      </c>
      <c r="R141" s="18" t="str">
        <f t="shared" si="20"/>
        <v>3155</v>
      </c>
      <c r="S141" s="18" t="str">
        <f>INDEX(Chapter,MATCH(R141,Chapter!$A$1:$A$681,0),8)</f>
        <v>בתי״ס על יסודיים מקצועיים</v>
      </c>
      <c r="T141" s="18"/>
      <c r="U141" s="18" t="str">
        <f t="shared" si="21"/>
        <v>9</v>
      </c>
      <c r="V141" s="18" t="str">
        <f>IF($L141&lt;"6",INDEX(Revenue_type,MATCH(U141*1,type!$A$118:$A$168,0),8),INDEX(Expenditure_type,MATCH(U141*1,type!$A$2:$A$117,0),8))</f>
        <v>השתתפות משרדי ממשלה</v>
      </c>
      <c r="W141" s="18" t="str">
        <f t="shared" si="22"/>
        <v>93</v>
      </c>
      <c r="X141" s="18" t="str">
        <f>IF($L141&lt;"6",INDEX(Revenue_type,MATCH(W141*1,type!$A$118:$A$168,0),8),INDEX(Expenditure_type,MATCH(W141*1,type!$A$2:$A$117,0),8))</f>
        <v>השתתפות משרד העבודה והרווחה</v>
      </c>
      <c r="Y141" s="18" t="str">
        <f t="shared" si="23"/>
        <v>930</v>
      </c>
      <c r="Z141" s="18" t="e">
        <f>IF($L141&lt;"6",INDEX(Revenue_type,MATCH(Y141*1,type!$A$118:$A$168,0),8),INDEX(Expenditure_type,MATCH(Y141*1,type!$A$2:$A$117,0),8))</f>
        <v>#N/A</v>
      </c>
    </row>
    <row r="142" spans="1:26" ht="15.75" hidden="1" customHeight="1" outlineLevel="2" thickTop="1">
      <c r="A142" s="484">
        <v>930</v>
      </c>
      <c r="B142" s="485">
        <v>315540</v>
      </c>
      <c r="C142">
        <v>1</v>
      </c>
      <c r="D142" t="str">
        <f t="shared" si="16"/>
        <v>1315540.930</v>
      </c>
      <c r="E142" s="492" t="s">
        <v>7826</v>
      </c>
      <c r="H142" s="470">
        <v>0</v>
      </c>
      <c r="I142" s="470">
        <v>0</v>
      </c>
      <c r="J142" s="470">
        <v>-381327</v>
      </c>
      <c r="K142" s="18"/>
      <c r="L142" s="18" t="str">
        <f t="shared" si="17"/>
        <v>3</v>
      </c>
      <c r="M142" s="18" t="str">
        <f>INDEX(Chapter,MATCH(L142,Chapter!$A$1:$A$681,0),8)</f>
        <v>שירותים ממלכתיים</v>
      </c>
      <c r="N142" s="18" t="str">
        <f t="shared" si="18"/>
        <v>31</v>
      </c>
      <c r="O142" s="18" t="str">
        <f>INDEX(Chapter,MATCH(N142,Chapter!$A$1:$A$681,0),8)</f>
        <v>חינוך</v>
      </c>
      <c r="P142" s="18" t="str">
        <f t="shared" si="19"/>
        <v>315</v>
      </c>
      <c r="Q142" s="18" t="str">
        <f>INDEX(Chapter,MATCH(P142,Chapter!$A$1:$A$681,0),8)</f>
        <v>חינוך על יסודי</v>
      </c>
      <c r="R142" s="18" t="str">
        <f t="shared" si="20"/>
        <v>3155</v>
      </c>
      <c r="S142" s="18" t="str">
        <f>INDEX(Chapter,MATCH(R142,Chapter!$A$1:$A$681,0),8)</f>
        <v>בתי״ס על יסודיים מקצועיים</v>
      </c>
      <c r="T142" s="18"/>
      <c r="U142" s="18" t="str">
        <f t="shared" si="21"/>
        <v>9</v>
      </c>
      <c r="V142" s="18" t="str">
        <f>IF($L142&lt;"6",INDEX(Revenue_type,MATCH(U142*1,type!$A$118:$A$168,0),8),INDEX(Expenditure_type,MATCH(U142*1,type!$A$2:$A$117,0),8))</f>
        <v>השתתפות משרדי ממשלה</v>
      </c>
      <c r="W142" s="18" t="str">
        <f t="shared" si="22"/>
        <v>93</v>
      </c>
      <c r="X142" s="18" t="str">
        <f>IF($L142&lt;"6",INDEX(Revenue_type,MATCH(W142*1,type!$A$118:$A$168,0),8),INDEX(Expenditure_type,MATCH(W142*1,type!$A$2:$A$117,0),8))</f>
        <v>השתתפות משרד העבודה והרווחה</v>
      </c>
      <c r="Y142" s="18" t="str">
        <f t="shared" si="23"/>
        <v>930</v>
      </c>
      <c r="Z142" s="18" t="e">
        <f>IF($L142&lt;"6",INDEX(Revenue_type,MATCH(Y142*1,type!$A$118:$A$168,0),8),INDEX(Expenditure_type,MATCH(Y142*1,type!$A$2:$A$117,0),8))</f>
        <v>#N/A</v>
      </c>
    </row>
    <row r="143" spans="1:26" ht="15.75" hidden="1" customHeight="1" outlineLevel="2">
      <c r="A143" s="484">
        <v>930</v>
      </c>
      <c r="B143" s="485">
        <v>315270</v>
      </c>
      <c r="C143">
        <v>1</v>
      </c>
      <c r="D143" t="str">
        <f t="shared" si="16"/>
        <v>1315270.930</v>
      </c>
      <c r="E143" s="492" t="s">
        <v>7827</v>
      </c>
      <c r="H143" s="470">
        <v>-3230000</v>
      </c>
      <c r="I143" s="470">
        <v>-2800000</v>
      </c>
      <c r="J143" s="470">
        <v>-3348201</v>
      </c>
      <c r="K143" s="18"/>
      <c r="L143" s="18" t="str">
        <f t="shared" si="17"/>
        <v>3</v>
      </c>
      <c r="M143" s="18" t="str">
        <f>INDEX(Chapter,MATCH(L143,Chapter!$A$1:$A$681,0),8)</f>
        <v>שירותים ממלכתיים</v>
      </c>
      <c r="N143" s="18" t="str">
        <f t="shared" si="18"/>
        <v>31</v>
      </c>
      <c r="O143" s="18" t="str">
        <f>INDEX(Chapter,MATCH(N143,Chapter!$A$1:$A$681,0),8)</f>
        <v>חינוך</v>
      </c>
      <c r="P143" s="18" t="str">
        <f t="shared" si="19"/>
        <v>315</v>
      </c>
      <c r="Q143" s="18" t="str">
        <f>INDEX(Chapter,MATCH(P143,Chapter!$A$1:$A$681,0),8)</f>
        <v>חינוך על יסודי</v>
      </c>
      <c r="R143" s="18" t="str">
        <f t="shared" si="20"/>
        <v>3152</v>
      </c>
      <c r="S143" s="18" t="str">
        <f>INDEX(Chapter,MATCH(R143,Chapter!$A$1:$A$681,0),8)</f>
        <v>בתי״ס על יסודיים עיוניים</v>
      </c>
      <c r="T143" s="18"/>
      <c r="U143" s="18" t="str">
        <f t="shared" si="21"/>
        <v>9</v>
      </c>
      <c r="V143" s="18" t="str">
        <f>IF($L143&lt;"6",INDEX(Revenue_type,MATCH(U143*1,type!$A$118:$A$168,0),8),INDEX(Expenditure_type,MATCH(U143*1,type!$A$2:$A$117,0),8))</f>
        <v>השתתפות משרדי ממשלה</v>
      </c>
      <c r="W143" s="18" t="str">
        <f t="shared" si="22"/>
        <v>93</v>
      </c>
      <c r="X143" s="18" t="str">
        <f>IF($L143&lt;"6",INDEX(Revenue_type,MATCH(W143*1,type!$A$118:$A$168,0),8),INDEX(Expenditure_type,MATCH(W143*1,type!$A$2:$A$117,0),8))</f>
        <v>השתתפות משרד העבודה והרווחה</v>
      </c>
      <c r="Y143" s="18" t="str">
        <f t="shared" si="23"/>
        <v>930</v>
      </c>
      <c r="Z143" s="18" t="e">
        <f>IF($L143&lt;"6",INDEX(Revenue_type,MATCH(Y143*1,type!$A$118:$A$168,0),8),INDEX(Expenditure_type,MATCH(Y143*1,type!$A$2:$A$117,0),8))</f>
        <v>#N/A</v>
      </c>
    </row>
    <row r="144" spans="1:26" ht="15.75" hidden="1" customHeight="1" outlineLevel="2">
      <c r="A144" s="484">
        <v>940</v>
      </c>
      <c r="B144" s="485">
        <v>315270</v>
      </c>
      <c r="C144">
        <v>1</v>
      </c>
      <c r="D144" t="str">
        <f t="shared" si="16"/>
        <v>1315270.940</v>
      </c>
      <c r="E144" s="492" t="s">
        <v>7828</v>
      </c>
      <c r="H144" s="470">
        <v>0</v>
      </c>
      <c r="I144" s="470">
        <v>0</v>
      </c>
      <c r="J144" s="470">
        <v>-32831</v>
      </c>
      <c r="K144" s="18"/>
      <c r="L144" s="18" t="str">
        <f t="shared" si="17"/>
        <v>3</v>
      </c>
      <c r="M144" s="18" t="str">
        <f>INDEX(Chapter,MATCH(L144,Chapter!$A$1:$A$681,0),8)</f>
        <v>שירותים ממלכתיים</v>
      </c>
      <c r="N144" s="18" t="str">
        <f t="shared" si="18"/>
        <v>31</v>
      </c>
      <c r="O144" s="18" t="str">
        <f>INDEX(Chapter,MATCH(N144,Chapter!$A$1:$A$681,0),8)</f>
        <v>חינוך</v>
      </c>
      <c r="P144" s="18" t="str">
        <f t="shared" si="19"/>
        <v>315</v>
      </c>
      <c r="Q144" s="18" t="str">
        <f>INDEX(Chapter,MATCH(P144,Chapter!$A$1:$A$681,0),8)</f>
        <v>חינוך על יסודי</v>
      </c>
      <c r="R144" s="18" t="str">
        <f t="shared" si="20"/>
        <v>3152</v>
      </c>
      <c r="S144" s="18" t="str">
        <f>INDEX(Chapter,MATCH(R144,Chapter!$A$1:$A$681,0),8)</f>
        <v>בתי״ס על יסודיים עיוניים</v>
      </c>
      <c r="T144" s="18"/>
      <c r="U144" s="18" t="str">
        <f t="shared" si="21"/>
        <v>9</v>
      </c>
      <c r="V144" s="18" t="str">
        <f>IF($L144&lt;"6",INDEX(Revenue_type,MATCH(U144*1,type!$A$118:$A$168,0),8),INDEX(Expenditure_type,MATCH(U144*1,type!$A$2:$A$117,0),8))</f>
        <v>השתתפות משרדי ממשלה</v>
      </c>
      <c r="W144" s="18" t="str">
        <f t="shared" si="22"/>
        <v>94</v>
      </c>
      <c r="X144" s="18" t="str">
        <f>IF($L144&lt;"6",INDEX(Revenue_type,MATCH(W144*1,type!$A$118:$A$168,0),8),INDEX(Expenditure_type,MATCH(W144*1,type!$A$2:$A$117,0),8))</f>
        <v>השתתפות משרד הבריאות</v>
      </c>
      <c r="Y144" s="18" t="str">
        <f t="shared" si="23"/>
        <v>940</v>
      </c>
      <c r="Z144" s="18" t="e">
        <f>IF($L144&lt;"6",INDEX(Revenue_type,MATCH(Y144*1,type!$A$118:$A$168,0),8),INDEX(Expenditure_type,MATCH(Y144*1,type!$A$2:$A$117,0),8))</f>
        <v>#N/A</v>
      </c>
    </row>
    <row r="145" spans="1:26" ht="15.75" hidden="1" customHeight="1" outlineLevel="2">
      <c r="A145" s="484">
        <v>930</v>
      </c>
      <c r="B145" s="485">
        <v>315280</v>
      </c>
      <c r="C145">
        <v>1</v>
      </c>
      <c r="D145" t="str">
        <f t="shared" si="16"/>
        <v>1315280.930</v>
      </c>
      <c r="E145" s="492" t="s">
        <v>7829</v>
      </c>
      <c r="H145" s="470">
        <v>-9980000</v>
      </c>
      <c r="I145" s="470">
        <v>-8150000</v>
      </c>
      <c r="J145" s="470">
        <v>-6206205</v>
      </c>
      <c r="K145" s="18"/>
      <c r="L145" s="18" t="str">
        <f t="shared" si="17"/>
        <v>3</v>
      </c>
      <c r="M145" s="18" t="str">
        <f>INDEX(Chapter,MATCH(L145,Chapter!$A$1:$A$681,0),8)</f>
        <v>שירותים ממלכתיים</v>
      </c>
      <c r="N145" s="18" t="str">
        <f t="shared" si="18"/>
        <v>31</v>
      </c>
      <c r="O145" s="18" t="str">
        <f>INDEX(Chapter,MATCH(N145,Chapter!$A$1:$A$681,0),8)</f>
        <v>חינוך</v>
      </c>
      <c r="P145" s="18" t="str">
        <f t="shared" si="19"/>
        <v>315</v>
      </c>
      <c r="Q145" s="18" t="str">
        <f>INDEX(Chapter,MATCH(P145,Chapter!$A$1:$A$681,0),8)</f>
        <v>חינוך על יסודי</v>
      </c>
      <c r="R145" s="18" t="str">
        <f t="shared" si="20"/>
        <v>3152</v>
      </c>
      <c r="S145" s="18" t="str">
        <f>INDEX(Chapter,MATCH(R145,Chapter!$A$1:$A$681,0),8)</f>
        <v>בתי״ס על יסודיים עיוניים</v>
      </c>
      <c r="T145" s="18"/>
      <c r="U145" s="18" t="str">
        <f t="shared" si="21"/>
        <v>9</v>
      </c>
      <c r="V145" s="18" t="str">
        <f>IF($L145&lt;"6",INDEX(Revenue_type,MATCH(U145*1,type!$A$118:$A$168,0),8),INDEX(Expenditure_type,MATCH(U145*1,type!$A$2:$A$117,0),8))</f>
        <v>השתתפות משרדי ממשלה</v>
      </c>
      <c r="W145" s="18" t="str">
        <f t="shared" si="22"/>
        <v>93</v>
      </c>
      <c r="X145" s="18" t="str">
        <f>IF($L145&lt;"6",INDEX(Revenue_type,MATCH(W145*1,type!$A$118:$A$168,0),8),INDEX(Expenditure_type,MATCH(W145*1,type!$A$2:$A$117,0),8))</f>
        <v>השתתפות משרד העבודה והרווחה</v>
      </c>
      <c r="Y145" s="18" t="str">
        <f t="shared" si="23"/>
        <v>930</v>
      </c>
      <c r="Z145" s="18" t="e">
        <f>IF($L145&lt;"6",INDEX(Revenue_type,MATCH(Y145*1,type!$A$118:$A$168,0),8),INDEX(Expenditure_type,MATCH(Y145*1,type!$A$2:$A$117,0),8))</f>
        <v>#N/A</v>
      </c>
    </row>
    <row r="146" spans="1:26" ht="15.75" hidden="1" customHeight="1" outlineLevel="2">
      <c r="A146" s="484">
        <v>940</v>
      </c>
      <c r="B146" s="485">
        <v>315280</v>
      </c>
      <c r="C146">
        <v>1</v>
      </c>
      <c r="D146" t="str">
        <f t="shared" si="16"/>
        <v>1315280.940</v>
      </c>
      <c r="E146" s="492" t="s">
        <v>7830</v>
      </c>
      <c r="H146" s="470">
        <v>0</v>
      </c>
      <c r="I146" s="470">
        <v>0</v>
      </c>
      <c r="J146" s="470">
        <v>-81125</v>
      </c>
      <c r="K146" s="18"/>
      <c r="L146" s="18" t="str">
        <f t="shared" si="17"/>
        <v>3</v>
      </c>
      <c r="M146" s="18" t="str">
        <f>INDEX(Chapter,MATCH(L146,Chapter!$A$1:$A$681,0),8)</f>
        <v>שירותים ממלכתיים</v>
      </c>
      <c r="N146" s="18" t="str">
        <f t="shared" si="18"/>
        <v>31</v>
      </c>
      <c r="O146" s="18" t="str">
        <f>INDEX(Chapter,MATCH(N146,Chapter!$A$1:$A$681,0),8)</f>
        <v>חינוך</v>
      </c>
      <c r="P146" s="18" t="str">
        <f t="shared" si="19"/>
        <v>315</v>
      </c>
      <c r="Q146" s="18" t="str">
        <f>INDEX(Chapter,MATCH(P146,Chapter!$A$1:$A$681,0),8)</f>
        <v>חינוך על יסודי</v>
      </c>
      <c r="R146" s="18" t="str">
        <f t="shared" si="20"/>
        <v>3152</v>
      </c>
      <c r="S146" s="18" t="str">
        <f>INDEX(Chapter,MATCH(R146,Chapter!$A$1:$A$681,0),8)</f>
        <v>בתי״ס על יסודיים עיוניים</v>
      </c>
      <c r="T146" s="18"/>
      <c r="U146" s="18" t="str">
        <f t="shared" si="21"/>
        <v>9</v>
      </c>
      <c r="V146" s="18" t="str">
        <f>IF($L146&lt;"6",INDEX(Revenue_type,MATCH(U146*1,type!$A$118:$A$168,0),8),INDEX(Expenditure_type,MATCH(U146*1,type!$A$2:$A$117,0),8))</f>
        <v>השתתפות משרדי ממשלה</v>
      </c>
      <c r="W146" s="18" t="str">
        <f t="shared" si="22"/>
        <v>94</v>
      </c>
      <c r="X146" s="18" t="str">
        <f>IF($L146&lt;"6",INDEX(Revenue_type,MATCH(W146*1,type!$A$118:$A$168,0),8),INDEX(Expenditure_type,MATCH(W146*1,type!$A$2:$A$117,0),8))</f>
        <v>השתתפות משרד הבריאות</v>
      </c>
      <c r="Y146" s="18" t="str">
        <f t="shared" si="23"/>
        <v>940</v>
      </c>
      <c r="Z146" s="18" t="e">
        <f>IF($L146&lt;"6",INDEX(Revenue_type,MATCH(Y146*1,type!$A$118:$A$168,0),8),INDEX(Expenditure_type,MATCH(Y146*1,type!$A$2:$A$117,0),8))</f>
        <v>#N/A</v>
      </c>
    </row>
    <row r="147" spans="1:26" ht="15.75" hidden="1" customHeight="1" outlineLevel="2">
      <c r="A147" s="484">
        <v>410</v>
      </c>
      <c r="B147" s="485">
        <v>315520</v>
      </c>
      <c r="C147">
        <v>1</v>
      </c>
      <c r="D147" t="str">
        <f t="shared" si="16"/>
        <v>1315520.410</v>
      </c>
      <c r="E147" s="492" t="s">
        <v>7831</v>
      </c>
      <c r="H147" s="470">
        <v>0</v>
      </c>
      <c r="I147" s="470">
        <v>0</v>
      </c>
      <c r="J147" s="470">
        <v>-36000</v>
      </c>
      <c r="K147" s="18"/>
      <c r="L147" s="18" t="str">
        <f t="shared" si="17"/>
        <v>3</v>
      </c>
      <c r="M147" s="18" t="str">
        <f>INDEX(Chapter,MATCH(L147,Chapter!$A$1:$A$681,0),8)</f>
        <v>שירותים ממלכתיים</v>
      </c>
      <c r="N147" s="18" t="str">
        <f t="shared" si="18"/>
        <v>31</v>
      </c>
      <c r="O147" s="18" t="str">
        <f>INDEX(Chapter,MATCH(N147,Chapter!$A$1:$A$681,0),8)</f>
        <v>חינוך</v>
      </c>
      <c r="P147" s="18" t="str">
        <f t="shared" si="19"/>
        <v>315</v>
      </c>
      <c r="Q147" s="18" t="str">
        <f>INDEX(Chapter,MATCH(P147,Chapter!$A$1:$A$681,0),8)</f>
        <v>חינוך על יסודי</v>
      </c>
      <c r="R147" s="18" t="str">
        <f t="shared" si="20"/>
        <v>3155</v>
      </c>
      <c r="S147" s="18" t="str">
        <f>INDEX(Chapter,MATCH(R147,Chapter!$A$1:$A$681,0),8)</f>
        <v>בתי״ס על יסודיים מקצועיים</v>
      </c>
      <c r="T147" s="18"/>
      <c r="U147" s="18" t="str">
        <f t="shared" si="21"/>
        <v>4</v>
      </c>
      <c r="V147" s="18" t="str">
        <f>IF($L147&lt;"6",INDEX(Revenue_type,MATCH(U147*1,type!$A$118:$A$168,0),8),INDEX(Expenditure_type,MATCH(U147*1,type!$A$2:$A$117,0),8))</f>
        <v>שירותים ושכר לימוד</v>
      </c>
      <c r="W147" s="18" t="str">
        <f t="shared" si="22"/>
        <v>41</v>
      </c>
      <c r="X147" s="18" t="str">
        <f>IF($L147&lt;"6",INDEX(Revenue_type,MATCH(W147*1,type!$A$118:$A$168,0),8),INDEX(Expenditure_type,MATCH(W147*1,type!$A$2:$A$117,0),8))</f>
        <v>שכל"מ מתושבים</v>
      </c>
      <c r="Y147" s="18" t="str">
        <f t="shared" si="23"/>
        <v>410</v>
      </c>
      <c r="Z147" s="18" t="e">
        <f>IF($L147&lt;"6",INDEX(Revenue_type,MATCH(Y147*1,type!$A$118:$A$168,0),8),INDEX(Expenditure_type,MATCH(Y147*1,type!$A$2:$A$117,0),8))</f>
        <v>#N/A</v>
      </c>
    </row>
    <row r="148" spans="1:26" ht="15.75" hidden="1" customHeight="1" outlineLevel="2">
      <c r="A148" s="484">
        <v>930</v>
      </c>
      <c r="B148" s="485">
        <v>315520</v>
      </c>
      <c r="C148">
        <v>1</v>
      </c>
      <c r="D148" t="str">
        <f t="shared" si="16"/>
        <v>1315520.930</v>
      </c>
      <c r="E148" s="492" t="s">
        <v>7832</v>
      </c>
      <c r="H148" s="470">
        <v>-4665000</v>
      </c>
      <c r="I148" s="470">
        <v>-4600000</v>
      </c>
      <c r="J148" s="470">
        <v>-4305433</v>
      </c>
      <c r="K148" s="18"/>
      <c r="L148" s="18" t="str">
        <f t="shared" si="17"/>
        <v>3</v>
      </c>
      <c r="M148" s="18" t="str">
        <f>INDEX(Chapter,MATCH(L148,Chapter!$A$1:$A$681,0),8)</f>
        <v>שירותים ממלכתיים</v>
      </c>
      <c r="N148" s="18" t="str">
        <f t="shared" si="18"/>
        <v>31</v>
      </c>
      <c r="O148" s="18" t="str">
        <f>INDEX(Chapter,MATCH(N148,Chapter!$A$1:$A$681,0),8)</f>
        <v>חינוך</v>
      </c>
      <c r="P148" s="18" t="str">
        <f t="shared" si="19"/>
        <v>315</v>
      </c>
      <c r="Q148" s="18" t="str">
        <f>INDEX(Chapter,MATCH(P148,Chapter!$A$1:$A$681,0),8)</f>
        <v>חינוך על יסודי</v>
      </c>
      <c r="R148" s="18" t="str">
        <f t="shared" si="20"/>
        <v>3155</v>
      </c>
      <c r="S148" s="18" t="str">
        <f>INDEX(Chapter,MATCH(R148,Chapter!$A$1:$A$681,0),8)</f>
        <v>בתי״ס על יסודיים מקצועיים</v>
      </c>
      <c r="T148" s="18"/>
      <c r="U148" s="18" t="str">
        <f t="shared" si="21"/>
        <v>9</v>
      </c>
      <c r="V148" s="18" t="str">
        <f>IF($L148&lt;"6",INDEX(Revenue_type,MATCH(U148*1,type!$A$118:$A$168,0),8),INDEX(Expenditure_type,MATCH(U148*1,type!$A$2:$A$117,0),8))</f>
        <v>השתתפות משרדי ממשלה</v>
      </c>
      <c r="W148" s="18" t="str">
        <f t="shared" si="22"/>
        <v>93</v>
      </c>
      <c r="X148" s="18" t="str">
        <f>IF($L148&lt;"6",INDEX(Revenue_type,MATCH(W148*1,type!$A$118:$A$168,0),8),INDEX(Expenditure_type,MATCH(W148*1,type!$A$2:$A$117,0),8))</f>
        <v>השתתפות משרד העבודה והרווחה</v>
      </c>
      <c r="Y148" s="18" t="str">
        <f t="shared" si="23"/>
        <v>930</v>
      </c>
      <c r="Z148" s="18" t="e">
        <f>IF($L148&lt;"6",INDEX(Revenue_type,MATCH(Y148*1,type!$A$118:$A$168,0),8),INDEX(Expenditure_type,MATCH(Y148*1,type!$A$2:$A$117,0),8))</f>
        <v>#N/A</v>
      </c>
    </row>
    <row r="149" spans="1:26" ht="15.75" hidden="1" customHeight="1" outlineLevel="2">
      <c r="A149" s="484">
        <v>940</v>
      </c>
      <c r="B149" s="485">
        <v>315520</v>
      </c>
      <c r="C149">
        <v>1</v>
      </c>
      <c r="D149" t="str">
        <f t="shared" si="16"/>
        <v>1315520.940</v>
      </c>
      <c r="E149" s="492" t="s">
        <v>7833</v>
      </c>
      <c r="H149" s="470">
        <v>0</v>
      </c>
      <c r="I149" s="470">
        <v>0</v>
      </c>
      <c r="J149" s="470">
        <v>-31973</v>
      </c>
      <c r="K149" s="18"/>
      <c r="L149" s="18" t="str">
        <f t="shared" si="17"/>
        <v>3</v>
      </c>
      <c r="M149" s="18" t="str">
        <f>INDEX(Chapter,MATCH(L149,Chapter!$A$1:$A$681,0),8)</f>
        <v>שירותים ממלכתיים</v>
      </c>
      <c r="N149" s="18" t="str">
        <f t="shared" si="18"/>
        <v>31</v>
      </c>
      <c r="O149" s="18" t="str">
        <f>INDEX(Chapter,MATCH(N149,Chapter!$A$1:$A$681,0),8)</f>
        <v>חינוך</v>
      </c>
      <c r="P149" s="18" t="str">
        <f t="shared" si="19"/>
        <v>315</v>
      </c>
      <c r="Q149" s="18" t="str">
        <f>INDEX(Chapter,MATCH(P149,Chapter!$A$1:$A$681,0),8)</f>
        <v>חינוך על יסודי</v>
      </c>
      <c r="R149" s="18" t="str">
        <f t="shared" si="20"/>
        <v>3155</v>
      </c>
      <c r="S149" s="18" t="str">
        <f>INDEX(Chapter,MATCH(R149,Chapter!$A$1:$A$681,0),8)</f>
        <v>בתי״ס על יסודיים מקצועיים</v>
      </c>
      <c r="T149" s="18"/>
      <c r="U149" s="18" t="str">
        <f t="shared" si="21"/>
        <v>9</v>
      </c>
      <c r="V149" s="18" t="str">
        <f>IF($L149&lt;"6",INDEX(Revenue_type,MATCH(U149*1,type!$A$118:$A$168,0),8),INDEX(Expenditure_type,MATCH(U149*1,type!$A$2:$A$117,0),8))</f>
        <v>השתתפות משרדי ממשלה</v>
      </c>
      <c r="W149" s="18" t="str">
        <f t="shared" si="22"/>
        <v>94</v>
      </c>
      <c r="X149" s="18" t="str">
        <f>IF($L149&lt;"6",INDEX(Revenue_type,MATCH(W149*1,type!$A$118:$A$168,0),8),INDEX(Expenditure_type,MATCH(W149*1,type!$A$2:$A$117,0),8))</f>
        <v>השתתפות משרד הבריאות</v>
      </c>
      <c r="Y149" s="18" t="str">
        <f t="shared" si="23"/>
        <v>940</v>
      </c>
      <c r="Z149" s="18" t="e">
        <f>IF($L149&lt;"6",INDEX(Revenue_type,MATCH(Y149*1,type!$A$118:$A$168,0),8),INDEX(Expenditure_type,MATCH(Y149*1,type!$A$2:$A$117,0),8))</f>
        <v>#N/A</v>
      </c>
    </row>
    <row r="150" spans="1:26" ht="15.75" hidden="1" customHeight="1" outlineLevel="2">
      <c r="A150" s="484">
        <v>770</v>
      </c>
      <c r="B150" s="485">
        <v>315790</v>
      </c>
      <c r="C150">
        <v>1</v>
      </c>
      <c r="D150" t="str">
        <f t="shared" si="16"/>
        <v>1315790.770</v>
      </c>
      <c r="E150" s="492" t="s">
        <v>7834</v>
      </c>
      <c r="H150" s="470">
        <v>-1150000</v>
      </c>
      <c r="I150" s="470">
        <v>-1150000</v>
      </c>
      <c r="J150" s="470">
        <v>-354735</v>
      </c>
      <c r="K150" s="18"/>
      <c r="L150" s="18" t="str">
        <f t="shared" si="17"/>
        <v>3</v>
      </c>
      <c r="M150" s="18" t="str">
        <f>INDEX(Chapter,MATCH(L150,Chapter!$A$1:$A$681,0),8)</f>
        <v>שירותים ממלכתיים</v>
      </c>
      <c r="N150" s="18" t="str">
        <f t="shared" si="18"/>
        <v>31</v>
      </c>
      <c r="O150" s="18" t="str">
        <f>INDEX(Chapter,MATCH(N150,Chapter!$A$1:$A$681,0),8)</f>
        <v>חינוך</v>
      </c>
      <c r="P150" s="18" t="str">
        <f t="shared" si="19"/>
        <v>315</v>
      </c>
      <c r="Q150" s="18" t="str">
        <f>INDEX(Chapter,MATCH(P150,Chapter!$A$1:$A$681,0),8)</f>
        <v>חינוך על יסודי</v>
      </c>
      <c r="R150" s="18" t="str">
        <f t="shared" si="20"/>
        <v>3157</v>
      </c>
      <c r="S150" s="18" t="str">
        <f>INDEX(Chapter,MATCH(R150,Chapter!$A$1:$A$681,0),8)</f>
        <v>בתי״ס על יסודיים מקיפים</v>
      </c>
      <c r="T150" s="18"/>
      <c r="U150" s="18" t="str">
        <f t="shared" si="21"/>
        <v>7</v>
      </c>
      <c r="V150" s="18" t="str">
        <f>IF($L150&lt;"6",INDEX(Revenue_type,MATCH(U150*1,type!$A$118:$A$168,0),8),INDEX(Expenditure_type,MATCH(U150*1,type!$A$2:$A$117,0),8))</f>
        <v>השתתפות מוסדות ותרומות</v>
      </c>
      <c r="W150" s="18" t="str">
        <f t="shared" si="22"/>
        <v>77</v>
      </c>
      <c r="X150" s="18" t="str">
        <f>IF($L150&lt;"6",INDEX(Revenue_type,MATCH(W150*1,type!$A$118:$A$168,0),8),INDEX(Expenditure_type,MATCH(W150*1,type!$A$2:$A$117,0),8))</f>
        <v>השתתפות קהילות מחו"ל</v>
      </c>
      <c r="Y150" s="18" t="str">
        <f t="shared" si="23"/>
        <v>770</v>
      </c>
      <c r="Z150" s="18" t="e">
        <f>IF($L150&lt;"6",INDEX(Revenue_type,MATCH(Y150*1,type!$A$118:$A$168,0),8),INDEX(Expenditure_type,MATCH(Y150*1,type!$A$2:$A$117,0),8))</f>
        <v>#N/A</v>
      </c>
    </row>
    <row r="151" spans="1:26" ht="15.75" hidden="1" customHeight="1" outlineLevel="2">
      <c r="A151" s="484">
        <v>710</v>
      </c>
      <c r="B151" s="485">
        <v>315700</v>
      </c>
      <c r="C151">
        <v>1</v>
      </c>
      <c r="D151" t="str">
        <f t="shared" si="16"/>
        <v>1315700.710</v>
      </c>
      <c r="E151" s="492" t="s">
        <v>7835</v>
      </c>
      <c r="H151" s="470">
        <v>-2500000</v>
      </c>
      <c r="I151" s="470">
        <v>-2500000</v>
      </c>
      <c r="J151" s="470">
        <v>-614800</v>
      </c>
      <c r="K151" s="18"/>
      <c r="L151" s="18" t="str">
        <f t="shared" si="17"/>
        <v>3</v>
      </c>
      <c r="M151" s="18" t="str">
        <f>INDEX(Chapter,MATCH(L151,Chapter!$A$1:$A$681,0),8)</f>
        <v>שירותים ממלכתיים</v>
      </c>
      <c r="N151" s="18" t="str">
        <f t="shared" si="18"/>
        <v>31</v>
      </c>
      <c r="O151" s="18" t="str">
        <f>INDEX(Chapter,MATCH(N151,Chapter!$A$1:$A$681,0),8)</f>
        <v>חינוך</v>
      </c>
      <c r="P151" s="18" t="str">
        <f t="shared" si="19"/>
        <v>315</v>
      </c>
      <c r="Q151" s="18" t="str">
        <f>INDEX(Chapter,MATCH(P151,Chapter!$A$1:$A$681,0),8)</f>
        <v>חינוך על יסודי</v>
      </c>
      <c r="R151" s="18" t="str">
        <f t="shared" si="20"/>
        <v>3157</v>
      </c>
      <c r="S151" s="18" t="str">
        <f>INDEX(Chapter,MATCH(R151,Chapter!$A$1:$A$681,0),8)</f>
        <v>בתי״ס על יסודיים מקיפים</v>
      </c>
      <c r="T151" s="18"/>
      <c r="U151" s="18" t="str">
        <f t="shared" si="21"/>
        <v>7</v>
      </c>
      <c r="V151" s="18" t="str">
        <f>IF($L151&lt;"6",INDEX(Revenue_type,MATCH(U151*1,type!$A$118:$A$168,0),8),INDEX(Expenditure_type,MATCH(U151*1,type!$A$2:$A$117,0),8))</f>
        <v>השתתפות מוסדות ותרומות</v>
      </c>
      <c r="W151" s="18" t="str">
        <f t="shared" si="22"/>
        <v>71</v>
      </c>
      <c r="X151" s="18" t="str">
        <f>IF($L151&lt;"6",INDEX(Revenue_type,MATCH(W151*1,type!$A$118:$A$168,0),8),INDEX(Expenditure_type,MATCH(W151*1,type!$A$2:$A$117,0),8))</f>
        <v>השתתפות ועדים מקומיים</v>
      </c>
      <c r="Y151" s="18" t="str">
        <f t="shared" si="23"/>
        <v>710</v>
      </c>
      <c r="Z151" s="18" t="e">
        <f>IF($L151&lt;"6",INDEX(Revenue_type,MATCH(Y151*1,type!$A$118:$A$168,0),8),INDEX(Expenditure_type,MATCH(Y151*1,type!$A$2:$A$117,0),8))</f>
        <v>#N/A</v>
      </c>
    </row>
    <row r="152" spans="1:26" ht="15.75" hidden="1" customHeight="1" outlineLevel="2">
      <c r="A152" s="484">
        <v>940</v>
      </c>
      <c r="B152" s="485">
        <v>315700</v>
      </c>
      <c r="C152">
        <v>1</v>
      </c>
      <c r="D152" t="str">
        <f t="shared" si="16"/>
        <v>1315700.940</v>
      </c>
      <c r="E152" s="492" t="s">
        <v>7836</v>
      </c>
      <c r="H152" s="470">
        <v>0</v>
      </c>
      <c r="I152" s="470">
        <v>0</v>
      </c>
      <c r="J152" s="470">
        <v>-45311</v>
      </c>
      <c r="K152" s="18"/>
      <c r="L152" s="18" t="str">
        <f t="shared" si="17"/>
        <v>3</v>
      </c>
      <c r="M152" s="18" t="str">
        <f>INDEX(Chapter,MATCH(L152,Chapter!$A$1:$A$681,0),8)</f>
        <v>שירותים ממלכתיים</v>
      </c>
      <c r="N152" s="18" t="str">
        <f t="shared" si="18"/>
        <v>31</v>
      </c>
      <c r="O152" s="18" t="str">
        <f>INDEX(Chapter,MATCH(N152,Chapter!$A$1:$A$681,0),8)</f>
        <v>חינוך</v>
      </c>
      <c r="P152" s="18" t="str">
        <f t="shared" si="19"/>
        <v>315</v>
      </c>
      <c r="Q152" s="18" t="str">
        <f>INDEX(Chapter,MATCH(P152,Chapter!$A$1:$A$681,0),8)</f>
        <v>חינוך על יסודי</v>
      </c>
      <c r="R152" s="18" t="str">
        <f t="shared" si="20"/>
        <v>3157</v>
      </c>
      <c r="S152" s="18" t="str">
        <f>INDEX(Chapter,MATCH(R152,Chapter!$A$1:$A$681,0),8)</f>
        <v>בתי״ס על יסודיים מקיפים</v>
      </c>
      <c r="T152" s="18"/>
      <c r="U152" s="18" t="str">
        <f t="shared" si="21"/>
        <v>9</v>
      </c>
      <c r="V152" s="18" t="str">
        <f>IF($L152&lt;"6",INDEX(Revenue_type,MATCH(U152*1,type!$A$118:$A$168,0),8),INDEX(Expenditure_type,MATCH(U152*1,type!$A$2:$A$117,0),8))</f>
        <v>השתתפות משרדי ממשלה</v>
      </c>
      <c r="W152" s="18" t="str">
        <f t="shared" si="22"/>
        <v>94</v>
      </c>
      <c r="X152" s="18" t="str">
        <f>IF($L152&lt;"6",INDEX(Revenue_type,MATCH(W152*1,type!$A$118:$A$168,0),8),INDEX(Expenditure_type,MATCH(W152*1,type!$A$2:$A$117,0),8))</f>
        <v>השתתפות משרד הבריאות</v>
      </c>
      <c r="Y152" s="18" t="str">
        <f t="shared" si="23"/>
        <v>940</v>
      </c>
      <c r="Z152" s="18" t="e">
        <f>IF($L152&lt;"6",INDEX(Revenue_type,MATCH(Y152*1,type!$A$118:$A$168,0),8),INDEX(Expenditure_type,MATCH(Y152*1,type!$A$2:$A$117,0),8))</f>
        <v>#N/A</v>
      </c>
    </row>
    <row r="153" spans="1:26" ht="15.75" hidden="1" customHeight="1" outlineLevel="2">
      <c r="A153" s="484">
        <v>710</v>
      </c>
      <c r="B153" s="485">
        <v>315710</v>
      </c>
      <c r="C153">
        <v>1</v>
      </c>
      <c r="D153" t="str">
        <f t="shared" si="16"/>
        <v>1315710.710</v>
      </c>
      <c r="E153" s="492" t="s">
        <v>7837</v>
      </c>
      <c r="H153" s="470">
        <v>-450000</v>
      </c>
      <c r="I153" s="470">
        <v>-850000</v>
      </c>
      <c r="J153" s="470">
        <v>-864187</v>
      </c>
      <c r="K153" s="18"/>
      <c r="L153" s="18" t="str">
        <f t="shared" si="17"/>
        <v>3</v>
      </c>
      <c r="M153" s="18" t="str">
        <f>INDEX(Chapter,MATCH(L153,Chapter!$A$1:$A$681,0),8)</f>
        <v>שירותים ממלכתיים</v>
      </c>
      <c r="N153" s="18" t="str">
        <f t="shared" si="18"/>
        <v>31</v>
      </c>
      <c r="O153" s="18" t="str">
        <f>INDEX(Chapter,MATCH(N153,Chapter!$A$1:$A$681,0),8)</f>
        <v>חינוך</v>
      </c>
      <c r="P153" s="18" t="str">
        <f t="shared" si="19"/>
        <v>315</v>
      </c>
      <c r="Q153" s="18" t="str">
        <f>INDEX(Chapter,MATCH(P153,Chapter!$A$1:$A$681,0),8)</f>
        <v>חינוך על יסודי</v>
      </c>
      <c r="R153" s="18" t="str">
        <f t="shared" si="20"/>
        <v>3157</v>
      </c>
      <c r="S153" s="18" t="str">
        <f>INDEX(Chapter,MATCH(R153,Chapter!$A$1:$A$681,0),8)</f>
        <v>בתי״ס על יסודיים מקיפים</v>
      </c>
      <c r="T153" s="18"/>
      <c r="U153" s="18" t="str">
        <f t="shared" si="21"/>
        <v>7</v>
      </c>
      <c r="V153" s="18" t="str">
        <f>IF($L153&lt;"6",INDEX(Revenue_type,MATCH(U153*1,type!$A$118:$A$168,0),8),INDEX(Expenditure_type,MATCH(U153*1,type!$A$2:$A$117,0),8))</f>
        <v>השתתפות מוסדות ותרומות</v>
      </c>
      <c r="W153" s="18" t="str">
        <f t="shared" si="22"/>
        <v>71</v>
      </c>
      <c r="X153" s="18" t="str">
        <f>IF($L153&lt;"6",INDEX(Revenue_type,MATCH(W153*1,type!$A$118:$A$168,0),8),INDEX(Expenditure_type,MATCH(W153*1,type!$A$2:$A$117,0),8))</f>
        <v>השתתפות ועדים מקומיים</v>
      </c>
      <c r="Y153" s="18" t="str">
        <f t="shared" si="23"/>
        <v>710</v>
      </c>
      <c r="Z153" s="18" t="e">
        <f>IF($L153&lt;"6",INDEX(Revenue_type,MATCH(Y153*1,type!$A$118:$A$168,0),8),INDEX(Expenditure_type,MATCH(Y153*1,type!$A$2:$A$117,0),8))</f>
        <v>#N/A</v>
      </c>
    </row>
    <row r="154" spans="1:26" ht="15.75" hidden="1" customHeight="1" outlineLevel="2">
      <c r="A154" s="484">
        <v>921</v>
      </c>
      <c r="B154" s="485">
        <v>315710</v>
      </c>
      <c r="C154">
        <v>1</v>
      </c>
      <c r="D154" t="str">
        <f t="shared" si="16"/>
        <v>1315710.921</v>
      </c>
      <c r="E154" s="492" t="s">
        <v>7838</v>
      </c>
      <c r="H154" s="470">
        <v>-450000</v>
      </c>
      <c r="I154" s="470">
        <v>-800000</v>
      </c>
      <c r="J154" s="470">
        <v>-757529</v>
      </c>
      <c r="K154" s="18"/>
      <c r="L154" s="18" t="str">
        <f t="shared" si="17"/>
        <v>3</v>
      </c>
      <c r="M154" s="18" t="str">
        <f>INDEX(Chapter,MATCH(L154,Chapter!$A$1:$A$681,0),8)</f>
        <v>שירותים ממלכתיים</v>
      </c>
      <c r="N154" s="18" t="str">
        <f t="shared" si="18"/>
        <v>31</v>
      </c>
      <c r="O154" s="18" t="str">
        <f>INDEX(Chapter,MATCH(N154,Chapter!$A$1:$A$681,0),8)</f>
        <v>חינוך</v>
      </c>
      <c r="P154" s="18" t="str">
        <f t="shared" si="19"/>
        <v>315</v>
      </c>
      <c r="Q154" s="18" t="str">
        <f>INDEX(Chapter,MATCH(P154,Chapter!$A$1:$A$681,0),8)</f>
        <v>חינוך על יסודי</v>
      </c>
      <c r="R154" s="18" t="str">
        <f t="shared" si="20"/>
        <v>3157</v>
      </c>
      <c r="S154" s="18" t="str">
        <f>INDEX(Chapter,MATCH(R154,Chapter!$A$1:$A$681,0),8)</f>
        <v>בתי״ס על יסודיים מקיפים</v>
      </c>
      <c r="T154" s="18"/>
      <c r="U154" s="18" t="str">
        <f t="shared" si="21"/>
        <v>9</v>
      </c>
      <c r="V154" s="18" t="str">
        <f>IF($L154&lt;"6",INDEX(Revenue_type,MATCH(U154*1,type!$A$118:$A$168,0),8),INDEX(Expenditure_type,MATCH(U154*1,type!$A$2:$A$117,0),8))</f>
        <v>השתתפות משרדי ממשלה</v>
      </c>
      <c r="W154" s="18" t="str">
        <f t="shared" si="22"/>
        <v>92</v>
      </c>
      <c r="X154" s="18" t="str">
        <f>IF($L154&lt;"6",INDEX(Revenue_type,MATCH(W154*1,type!$A$118:$A$168,0),8),INDEX(Expenditure_type,MATCH(W154*1,type!$A$2:$A$117,0),8))</f>
        <v>השתתפות משרד החינוך והתרבות</v>
      </c>
      <c r="Y154" s="18" t="str">
        <f t="shared" si="23"/>
        <v>921</v>
      </c>
      <c r="Z154" s="18" t="e">
        <f>IF($L154&lt;"6",INDEX(Revenue_type,MATCH(Y154*1,type!$A$118:$A$168,0),8),INDEX(Expenditure_type,MATCH(Y154*1,type!$A$2:$A$117,0),8))</f>
        <v>#N/A</v>
      </c>
    </row>
    <row r="155" spans="1:26" ht="15.75" hidden="1" customHeight="1" outlineLevel="2">
      <c r="A155" s="484">
        <v>926</v>
      </c>
      <c r="B155" s="485">
        <v>315710</v>
      </c>
      <c r="C155">
        <v>1</v>
      </c>
      <c r="D155" t="str">
        <f t="shared" si="16"/>
        <v>1315710.926</v>
      </c>
      <c r="E155" s="492" t="s">
        <v>7839</v>
      </c>
      <c r="H155" s="470">
        <v>-200000</v>
      </c>
      <c r="I155" s="470">
        <v>-300000</v>
      </c>
      <c r="J155" s="470">
        <v>-210136</v>
      </c>
      <c r="K155" s="18"/>
      <c r="L155" s="18" t="str">
        <f t="shared" si="17"/>
        <v>3</v>
      </c>
      <c r="M155" s="18" t="str">
        <f>INDEX(Chapter,MATCH(L155,Chapter!$A$1:$A$681,0),8)</f>
        <v>שירותים ממלכתיים</v>
      </c>
      <c r="N155" s="18" t="str">
        <f t="shared" si="18"/>
        <v>31</v>
      </c>
      <c r="O155" s="18" t="str">
        <f>INDEX(Chapter,MATCH(N155,Chapter!$A$1:$A$681,0),8)</f>
        <v>חינוך</v>
      </c>
      <c r="P155" s="18" t="str">
        <f t="shared" si="19"/>
        <v>315</v>
      </c>
      <c r="Q155" s="18" t="str">
        <f>INDEX(Chapter,MATCH(P155,Chapter!$A$1:$A$681,0),8)</f>
        <v>חינוך על יסודי</v>
      </c>
      <c r="R155" s="18" t="str">
        <f t="shared" si="20"/>
        <v>3157</v>
      </c>
      <c r="S155" s="18" t="str">
        <f>INDEX(Chapter,MATCH(R155,Chapter!$A$1:$A$681,0),8)</f>
        <v>בתי״ס על יסודיים מקיפים</v>
      </c>
      <c r="T155" s="18"/>
      <c r="U155" s="18" t="str">
        <f t="shared" si="21"/>
        <v>9</v>
      </c>
      <c r="V155" s="18" t="str">
        <f>IF($L155&lt;"6",INDEX(Revenue_type,MATCH(U155*1,type!$A$118:$A$168,0),8),INDEX(Expenditure_type,MATCH(U155*1,type!$A$2:$A$117,0),8))</f>
        <v>השתתפות משרדי ממשלה</v>
      </c>
      <c r="W155" s="18" t="str">
        <f t="shared" si="22"/>
        <v>92</v>
      </c>
      <c r="X155" s="18" t="str">
        <f>IF($L155&lt;"6",INDEX(Revenue_type,MATCH(W155*1,type!$A$118:$A$168,0),8),INDEX(Expenditure_type,MATCH(W155*1,type!$A$2:$A$117,0),8))</f>
        <v>השתתפות משרד החינוך והתרבות</v>
      </c>
      <c r="Y155" s="18" t="str">
        <f t="shared" si="23"/>
        <v>926</v>
      </c>
      <c r="Z155" s="18" t="e">
        <f>IF($L155&lt;"6",INDEX(Revenue_type,MATCH(Y155*1,type!$A$118:$A$168,0),8),INDEX(Expenditure_type,MATCH(Y155*1,type!$A$2:$A$117,0),8))</f>
        <v>#N/A</v>
      </c>
    </row>
    <row r="156" spans="1:26" ht="15.75" hidden="1" customHeight="1" outlineLevel="2">
      <c r="A156" s="484">
        <v>928</v>
      </c>
      <c r="B156" s="485">
        <v>315710</v>
      </c>
      <c r="C156">
        <v>1</v>
      </c>
      <c r="D156" t="str">
        <f t="shared" si="16"/>
        <v>1315710.928</v>
      </c>
      <c r="E156" s="492" t="s">
        <v>7840</v>
      </c>
      <c r="H156" s="470">
        <v>-200000</v>
      </c>
      <c r="I156" s="470">
        <v>-200000</v>
      </c>
      <c r="J156" s="470">
        <v>-232785</v>
      </c>
      <c r="K156" s="18"/>
      <c r="L156" s="18" t="str">
        <f t="shared" si="17"/>
        <v>3</v>
      </c>
      <c r="M156" s="18" t="str">
        <f>INDEX(Chapter,MATCH(L156,Chapter!$A$1:$A$681,0),8)</f>
        <v>שירותים ממלכתיים</v>
      </c>
      <c r="N156" s="18" t="str">
        <f t="shared" si="18"/>
        <v>31</v>
      </c>
      <c r="O156" s="18" t="str">
        <f>INDEX(Chapter,MATCH(N156,Chapter!$A$1:$A$681,0),8)</f>
        <v>חינוך</v>
      </c>
      <c r="P156" s="18" t="str">
        <f t="shared" si="19"/>
        <v>315</v>
      </c>
      <c r="Q156" s="18" t="str">
        <f>INDEX(Chapter,MATCH(P156,Chapter!$A$1:$A$681,0),8)</f>
        <v>חינוך על יסודי</v>
      </c>
      <c r="R156" s="18" t="str">
        <f t="shared" si="20"/>
        <v>3157</v>
      </c>
      <c r="S156" s="18" t="str">
        <f>INDEX(Chapter,MATCH(R156,Chapter!$A$1:$A$681,0),8)</f>
        <v>בתי״ס על יסודיים מקיפים</v>
      </c>
      <c r="T156" s="18"/>
      <c r="U156" s="18" t="str">
        <f t="shared" si="21"/>
        <v>9</v>
      </c>
      <c r="V156" s="18" t="str">
        <f>IF($L156&lt;"6",INDEX(Revenue_type,MATCH(U156*1,type!$A$118:$A$168,0),8),INDEX(Expenditure_type,MATCH(U156*1,type!$A$2:$A$117,0),8))</f>
        <v>השתתפות משרדי ממשלה</v>
      </c>
      <c r="W156" s="18" t="str">
        <f t="shared" si="22"/>
        <v>92</v>
      </c>
      <c r="X156" s="18" t="str">
        <f>IF($L156&lt;"6",INDEX(Revenue_type,MATCH(W156*1,type!$A$118:$A$168,0),8),INDEX(Expenditure_type,MATCH(W156*1,type!$A$2:$A$117,0),8))</f>
        <v>השתתפות משרד החינוך והתרבות</v>
      </c>
      <c r="Y156" s="18" t="str">
        <f t="shared" si="23"/>
        <v>928</v>
      </c>
      <c r="Z156" s="18" t="e">
        <f>IF($L156&lt;"6",INDEX(Revenue_type,MATCH(Y156*1,type!$A$118:$A$168,0),8),INDEX(Expenditure_type,MATCH(Y156*1,type!$A$2:$A$117,0),8))</f>
        <v>#N/A</v>
      </c>
    </row>
    <row r="157" spans="1:26" ht="15.75" hidden="1" customHeight="1" outlineLevel="2">
      <c r="A157" s="484">
        <v>940</v>
      </c>
      <c r="B157" s="485">
        <v>315710</v>
      </c>
      <c r="C157">
        <v>1</v>
      </c>
      <c r="D157" t="str">
        <f t="shared" si="16"/>
        <v>1315710.940</v>
      </c>
      <c r="E157" s="492" t="s">
        <v>7841</v>
      </c>
      <c r="H157" s="470">
        <v>-1050000</v>
      </c>
      <c r="I157" s="470">
        <v>-700000</v>
      </c>
      <c r="J157" s="470">
        <v>-43466</v>
      </c>
      <c r="K157" s="18"/>
      <c r="L157" s="18" t="str">
        <f t="shared" si="17"/>
        <v>3</v>
      </c>
      <c r="M157" s="18" t="str">
        <f>INDEX(Chapter,MATCH(L157,Chapter!$A$1:$A$681,0),8)</f>
        <v>שירותים ממלכתיים</v>
      </c>
      <c r="N157" s="18" t="str">
        <f t="shared" si="18"/>
        <v>31</v>
      </c>
      <c r="O157" s="18" t="str">
        <f>INDEX(Chapter,MATCH(N157,Chapter!$A$1:$A$681,0),8)</f>
        <v>חינוך</v>
      </c>
      <c r="P157" s="18" t="str">
        <f t="shared" si="19"/>
        <v>315</v>
      </c>
      <c r="Q157" s="18" t="str">
        <f>INDEX(Chapter,MATCH(P157,Chapter!$A$1:$A$681,0),8)</f>
        <v>חינוך על יסודי</v>
      </c>
      <c r="R157" s="18" t="str">
        <f t="shared" si="20"/>
        <v>3157</v>
      </c>
      <c r="S157" s="18" t="str">
        <f>INDEX(Chapter,MATCH(R157,Chapter!$A$1:$A$681,0),8)</f>
        <v>בתי״ס על יסודיים מקיפים</v>
      </c>
      <c r="T157" s="18"/>
      <c r="U157" s="18" t="str">
        <f t="shared" si="21"/>
        <v>9</v>
      </c>
      <c r="V157" s="18" t="str">
        <f>IF($L157&lt;"6",INDEX(Revenue_type,MATCH(U157*1,type!$A$118:$A$168,0),8),INDEX(Expenditure_type,MATCH(U157*1,type!$A$2:$A$117,0),8))</f>
        <v>השתתפות משרדי ממשלה</v>
      </c>
      <c r="W157" s="18" t="str">
        <f t="shared" si="22"/>
        <v>94</v>
      </c>
      <c r="X157" s="18" t="str">
        <f>IF($L157&lt;"6",INDEX(Revenue_type,MATCH(W157*1,type!$A$118:$A$168,0),8),INDEX(Expenditure_type,MATCH(W157*1,type!$A$2:$A$117,0),8))</f>
        <v>השתתפות משרד הבריאות</v>
      </c>
      <c r="Y157" s="18" t="str">
        <f t="shared" si="23"/>
        <v>940</v>
      </c>
      <c r="Z157" s="18" t="e">
        <f>IF($L157&lt;"6",INDEX(Revenue_type,MATCH(Y157*1,type!$A$118:$A$168,0),8),INDEX(Expenditure_type,MATCH(Y157*1,type!$A$2:$A$117,0),8))</f>
        <v>#N/A</v>
      </c>
    </row>
    <row r="158" spans="1:26" ht="15.75" hidden="1" customHeight="1" outlineLevel="2">
      <c r="A158" s="484">
        <v>921</v>
      </c>
      <c r="B158" s="485">
        <v>315730</v>
      </c>
      <c r="C158">
        <v>1</v>
      </c>
      <c r="D158" t="str">
        <f t="shared" si="16"/>
        <v>1315730.921</v>
      </c>
      <c r="E158" s="492" t="s">
        <v>7842</v>
      </c>
      <c r="H158" s="470">
        <v>-4110000</v>
      </c>
      <c r="I158" s="470">
        <v>-4479000</v>
      </c>
      <c r="J158" s="470">
        <v>-2990154</v>
      </c>
      <c r="K158" s="18"/>
      <c r="L158" s="18" t="str">
        <f t="shared" si="17"/>
        <v>3</v>
      </c>
      <c r="M158" s="18" t="str">
        <f>INDEX(Chapter,MATCH(L158,Chapter!$A$1:$A$681,0),8)</f>
        <v>שירותים ממלכתיים</v>
      </c>
      <c r="N158" s="18" t="str">
        <f t="shared" si="18"/>
        <v>31</v>
      </c>
      <c r="O158" s="18" t="str">
        <f>INDEX(Chapter,MATCH(N158,Chapter!$A$1:$A$681,0),8)</f>
        <v>חינוך</v>
      </c>
      <c r="P158" s="18" t="str">
        <f t="shared" si="19"/>
        <v>315</v>
      </c>
      <c r="Q158" s="18" t="str">
        <f>INDEX(Chapter,MATCH(P158,Chapter!$A$1:$A$681,0),8)</f>
        <v>חינוך על יסודי</v>
      </c>
      <c r="R158" s="18" t="str">
        <f t="shared" si="20"/>
        <v>3157</v>
      </c>
      <c r="S158" s="18" t="str">
        <f>INDEX(Chapter,MATCH(R158,Chapter!$A$1:$A$681,0),8)</f>
        <v>בתי״ס על יסודיים מקיפים</v>
      </c>
      <c r="T158" s="18"/>
      <c r="U158" s="18" t="str">
        <f t="shared" si="21"/>
        <v>9</v>
      </c>
      <c r="V158" s="18" t="str">
        <f>IF($L158&lt;"6",INDEX(Revenue_type,MATCH(U158*1,type!$A$118:$A$168,0),8),INDEX(Expenditure_type,MATCH(U158*1,type!$A$2:$A$117,0),8))</f>
        <v>השתתפות משרדי ממשלה</v>
      </c>
      <c r="W158" s="18" t="str">
        <f t="shared" si="22"/>
        <v>92</v>
      </c>
      <c r="X158" s="18" t="str">
        <f>IF($L158&lt;"6",INDEX(Revenue_type,MATCH(W158*1,type!$A$118:$A$168,0),8),INDEX(Expenditure_type,MATCH(W158*1,type!$A$2:$A$117,0),8))</f>
        <v>השתתפות משרד החינוך והתרבות</v>
      </c>
      <c r="Y158" s="18" t="str">
        <f t="shared" si="23"/>
        <v>921</v>
      </c>
      <c r="Z158" s="18" t="e">
        <f>IF($L158&lt;"6",INDEX(Revenue_type,MATCH(Y158*1,type!$A$118:$A$168,0),8),INDEX(Expenditure_type,MATCH(Y158*1,type!$A$2:$A$117,0),8))</f>
        <v>#N/A</v>
      </c>
    </row>
    <row r="159" spans="1:26" ht="15.75" hidden="1" customHeight="1" outlineLevel="2">
      <c r="A159" s="484">
        <v>926</v>
      </c>
      <c r="B159" s="485">
        <v>315740</v>
      </c>
      <c r="C159">
        <v>1</v>
      </c>
      <c r="D159" t="str">
        <f t="shared" si="16"/>
        <v>1315740.926</v>
      </c>
      <c r="E159" s="492" t="s">
        <v>7843</v>
      </c>
      <c r="H159" s="470">
        <v>-4844000</v>
      </c>
      <c r="I159" s="470">
        <v>-4172000</v>
      </c>
      <c r="J159" s="470">
        <v>-5891774</v>
      </c>
      <c r="K159" s="18"/>
      <c r="L159" s="18" t="str">
        <f t="shared" si="17"/>
        <v>3</v>
      </c>
      <c r="M159" s="18" t="str">
        <f>INDEX(Chapter,MATCH(L159,Chapter!$A$1:$A$681,0),8)</f>
        <v>שירותים ממלכתיים</v>
      </c>
      <c r="N159" s="18" t="str">
        <f t="shared" si="18"/>
        <v>31</v>
      </c>
      <c r="O159" s="18" t="str">
        <f>INDEX(Chapter,MATCH(N159,Chapter!$A$1:$A$681,0),8)</f>
        <v>חינוך</v>
      </c>
      <c r="P159" s="18" t="str">
        <f t="shared" si="19"/>
        <v>315</v>
      </c>
      <c r="Q159" s="18" t="str">
        <f>INDEX(Chapter,MATCH(P159,Chapter!$A$1:$A$681,0),8)</f>
        <v>חינוך על יסודי</v>
      </c>
      <c r="R159" s="18" t="str">
        <f t="shared" si="20"/>
        <v>3157</v>
      </c>
      <c r="S159" s="18" t="str">
        <f>INDEX(Chapter,MATCH(R159,Chapter!$A$1:$A$681,0),8)</f>
        <v>בתי״ס על יסודיים מקיפים</v>
      </c>
      <c r="T159" s="18"/>
      <c r="U159" s="18" t="str">
        <f t="shared" si="21"/>
        <v>9</v>
      </c>
      <c r="V159" s="18" t="str">
        <f>IF($L159&lt;"6",INDEX(Revenue_type,MATCH(U159*1,type!$A$118:$A$168,0),8),INDEX(Expenditure_type,MATCH(U159*1,type!$A$2:$A$117,0),8))</f>
        <v>השתתפות משרדי ממשלה</v>
      </c>
      <c r="W159" s="18" t="str">
        <f t="shared" si="22"/>
        <v>92</v>
      </c>
      <c r="X159" s="18" t="str">
        <f>IF($L159&lt;"6",INDEX(Revenue_type,MATCH(W159*1,type!$A$118:$A$168,0),8),INDEX(Expenditure_type,MATCH(W159*1,type!$A$2:$A$117,0),8))</f>
        <v>השתתפות משרד החינוך והתרבות</v>
      </c>
      <c r="Y159" s="18" t="str">
        <f t="shared" si="23"/>
        <v>926</v>
      </c>
      <c r="Z159" s="18" t="e">
        <f>IF($L159&lt;"6",INDEX(Revenue_type,MATCH(Y159*1,type!$A$118:$A$168,0),8),INDEX(Expenditure_type,MATCH(Y159*1,type!$A$2:$A$117,0),8))</f>
        <v>#N/A</v>
      </c>
    </row>
    <row r="160" spans="1:26" ht="15.75" hidden="1" customHeight="1" outlineLevel="2">
      <c r="A160" s="484">
        <v>927</v>
      </c>
      <c r="B160" s="485">
        <v>315750</v>
      </c>
      <c r="C160">
        <v>1</v>
      </c>
      <c r="D160" t="str">
        <f t="shared" si="16"/>
        <v>1315750.927</v>
      </c>
      <c r="E160" s="492" t="s">
        <v>7844</v>
      </c>
      <c r="H160" s="470">
        <v>-1701000</v>
      </c>
      <c r="I160" s="470">
        <v>-3700000</v>
      </c>
      <c r="J160" s="470">
        <v>-572395</v>
      </c>
      <c r="K160" s="18"/>
      <c r="L160" s="18" t="str">
        <f t="shared" si="17"/>
        <v>3</v>
      </c>
      <c r="M160" s="18" t="str">
        <f>INDEX(Chapter,MATCH(L160,Chapter!$A$1:$A$681,0),8)</f>
        <v>שירותים ממלכתיים</v>
      </c>
      <c r="N160" s="18" t="str">
        <f t="shared" si="18"/>
        <v>31</v>
      </c>
      <c r="O160" s="18" t="str">
        <f>INDEX(Chapter,MATCH(N160,Chapter!$A$1:$A$681,0),8)</f>
        <v>חינוך</v>
      </c>
      <c r="P160" s="18" t="str">
        <f t="shared" si="19"/>
        <v>315</v>
      </c>
      <c r="Q160" s="18" t="str">
        <f>INDEX(Chapter,MATCH(P160,Chapter!$A$1:$A$681,0),8)</f>
        <v>חינוך על יסודי</v>
      </c>
      <c r="R160" s="18" t="str">
        <f t="shared" si="20"/>
        <v>3157</v>
      </c>
      <c r="S160" s="18" t="str">
        <f>INDEX(Chapter,MATCH(R160,Chapter!$A$1:$A$681,0),8)</f>
        <v>בתי״ס על יסודיים מקיפים</v>
      </c>
      <c r="T160" s="18"/>
      <c r="U160" s="18" t="str">
        <f t="shared" si="21"/>
        <v>9</v>
      </c>
      <c r="V160" s="18" t="str">
        <f>IF($L160&lt;"6",INDEX(Revenue_type,MATCH(U160*1,type!$A$118:$A$168,0),8),INDEX(Expenditure_type,MATCH(U160*1,type!$A$2:$A$117,0),8))</f>
        <v>השתתפות משרדי ממשלה</v>
      </c>
      <c r="W160" s="18" t="str">
        <f t="shared" si="22"/>
        <v>92</v>
      </c>
      <c r="X160" s="18" t="str">
        <f>IF($L160&lt;"6",INDEX(Revenue_type,MATCH(W160*1,type!$A$118:$A$168,0),8),INDEX(Expenditure_type,MATCH(W160*1,type!$A$2:$A$117,0),8))</f>
        <v>השתתפות משרד החינוך והתרבות</v>
      </c>
      <c r="Y160" s="18" t="str">
        <f t="shared" si="23"/>
        <v>927</v>
      </c>
      <c r="Z160" s="18" t="e">
        <f>IF($L160&lt;"6",INDEX(Revenue_type,MATCH(Y160*1,type!$A$118:$A$168,0),8),INDEX(Expenditure_type,MATCH(Y160*1,type!$A$2:$A$117,0),8))</f>
        <v>#N/A</v>
      </c>
    </row>
    <row r="161" spans="1:26" ht="15.75" hidden="1" customHeight="1" outlineLevel="2">
      <c r="A161" s="484">
        <v>928</v>
      </c>
      <c r="B161" s="485">
        <v>315760</v>
      </c>
      <c r="C161">
        <v>1</v>
      </c>
      <c r="D161" t="str">
        <f t="shared" si="16"/>
        <v>1315760.928</v>
      </c>
      <c r="E161" s="492" t="s">
        <v>7845</v>
      </c>
      <c r="H161" s="470">
        <v>-550000</v>
      </c>
      <c r="I161" s="470">
        <v>-2053000</v>
      </c>
      <c r="J161" s="470">
        <v>-14925</v>
      </c>
      <c r="K161" s="18"/>
      <c r="L161" s="18" t="str">
        <f t="shared" si="17"/>
        <v>3</v>
      </c>
      <c r="M161" s="18" t="str">
        <f>INDEX(Chapter,MATCH(L161,Chapter!$A$1:$A$681,0),8)</f>
        <v>שירותים ממלכתיים</v>
      </c>
      <c r="N161" s="18" t="str">
        <f t="shared" si="18"/>
        <v>31</v>
      </c>
      <c r="O161" s="18" t="str">
        <f>INDEX(Chapter,MATCH(N161,Chapter!$A$1:$A$681,0),8)</f>
        <v>חינוך</v>
      </c>
      <c r="P161" s="18" t="str">
        <f t="shared" si="19"/>
        <v>315</v>
      </c>
      <c r="Q161" s="18" t="str">
        <f>INDEX(Chapter,MATCH(P161,Chapter!$A$1:$A$681,0),8)</f>
        <v>חינוך על יסודי</v>
      </c>
      <c r="R161" s="18" t="str">
        <f t="shared" si="20"/>
        <v>3157</v>
      </c>
      <c r="S161" s="18" t="str">
        <f>INDEX(Chapter,MATCH(R161,Chapter!$A$1:$A$681,0),8)</f>
        <v>בתי״ס על יסודיים מקיפים</v>
      </c>
      <c r="T161" s="18"/>
      <c r="U161" s="18" t="str">
        <f t="shared" si="21"/>
        <v>9</v>
      </c>
      <c r="V161" s="18" t="str">
        <f>IF($L161&lt;"6",INDEX(Revenue_type,MATCH(U161*1,type!$A$118:$A$168,0),8),INDEX(Expenditure_type,MATCH(U161*1,type!$A$2:$A$117,0),8))</f>
        <v>השתתפות משרדי ממשלה</v>
      </c>
      <c r="W161" s="18" t="str">
        <f t="shared" si="22"/>
        <v>92</v>
      </c>
      <c r="X161" s="18" t="str">
        <f>IF($L161&lt;"6",INDEX(Revenue_type,MATCH(W161*1,type!$A$118:$A$168,0),8),INDEX(Expenditure_type,MATCH(W161*1,type!$A$2:$A$117,0),8))</f>
        <v>השתתפות משרד החינוך והתרבות</v>
      </c>
      <c r="Y161" s="18" t="str">
        <f t="shared" si="23"/>
        <v>928</v>
      </c>
      <c r="Z161" s="18" t="e">
        <f>IF($L161&lt;"6",INDEX(Revenue_type,MATCH(Y161*1,type!$A$118:$A$168,0),8),INDEX(Expenditure_type,MATCH(Y161*1,type!$A$2:$A$117,0),8))</f>
        <v>#N/A</v>
      </c>
    </row>
    <row r="162" spans="1:26" ht="15.75" hidden="1" customHeight="1" outlineLevel="2">
      <c r="A162" s="484">
        <v>970</v>
      </c>
      <c r="B162" s="485">
        <v>315900</v>
      </c>
      <c r="C162">
        <v>1</v>
      </c>
      <c r="D162" t="str">
        <f t="shared" si="16"/>
        <v>1315900.970</v>
      </c>
      <c r="E162" s="492" t="s">
        <v>7846</v>
      </c>
      <c r="H162" s="470">
        <v>-7500000</v>
      </c>
      <c r="I162" s="470">
        <v>-7800000</v>
      </c>
      <c r="J162" s="470">
        <v>-8441645</v>
      </c>
      <c r="K162" s="18"/>
      <c r="L162" s="18" t="str">
        <f t="shared" si="17"/>
        <v>3</v>
      </c>
      <c r="M162" s="18" t="str">
        <f>INDEX(Chapter,MATCH(L162,Chapter!$A$1:$A$681,0),8)</f>
        <v>שירותים ממלכתיים</v>
      </c>
      <c r="N162" s="18" t="str">
        <f t="shared" si="18"/>
        <v>31</v>
      </c>
      <c r="O162" s="18" t="str">
        <f>INDEX(Chapter,MATCH(N162,Chapter!$A$1:$A$681,0),8)</f>
        <v>חינוך</v>
      </c>
      <c r="P162" s="18" t="str">
        <f t="shared" si="19"/>
        <v>315</v>
      </c>
      <c r="Q162" s="18" t="str">
        <f>INDEX(Chapter,MATCH(P162,Chapter!$A$1:$A$681,0),8)</f>
        <v>חינוך על יסודי</v>
      </c>
      <c r="R162" s="18" t="str">
        <f t="shared" si="20"/>
        <v>3159</v>
      </c>
      <c r="S162" s="18" t="e">
        <f>INDEX(Chapter,MATCH(R162,Chapter!$A$1:$A$681,0),8)</f>
        <v>#N/A</v>
      </c>
      <c r="T162" s="18"/>
      <c r="U162" s="18" t="str">
        <f t="shared" si="21"/>
        <v>9</v>
      </c>
      <c r="V162" s="18" t="str">
        <f>IF($L162&lt;"6",INDEX(Revenue_type,MATCH(U162*1,type!$A$118:$A$168,0),8),INDEX(Expenditure_type,MATCH(U162*1,type!$A$2:$A$117,0),8))</f>
        <v>השתתפות משרדי ממשלה</v>
      </c>
      <c r="W162" s="18" t="str">
        <f t="shared" si="22"/>
        <v>97</v>
      </c>
      <c r="X162" s="18" t="str">
        <f>IF($L162&lt;"6",INDEX(Revenue_type,MATCH(W162*1,type!$A$118:$A$168,0),8),INDEX(Expenditure_type,MATCH(W162*1,type!$A$2:$A$117,0),8))</f>
        <v>השתתפות משרד הביטחון</v>
      </c>
      <c r="Y162" s="18" t="str">
        <f t="shared" si="23"/>
        <v>970</v>
      </c>
      <c r="Z162" s="18" t="e">
        <f>IF($L162&lt;"6",INDEX(Revenue_type,MATCH(Y162*1,type!$A$118:$A$168,0),8),INDEX(Expenditure_type,MATCH(Y162*1,type!$A$2:$A$117,0),8))</f>
        <v>#N/A</v>
      </c>
    </row>
    <row r="163" spans="1:26" ht="15.75" hidden="1" customHeight="1" outlineLevel="2">
      <c r="A163" s="482">
        <v>930</v>
      </c>
      <c r="B163" s="485" t="s">
        <v>7664</v>
      </c>
      <c r="C163">
        <v>1</v>
      </c>
      <c r="D163" t="str">
        <f t="shared" si="16"/>
        <v>1315510.930</v>
      </c>
      <c r="E163" s="492" t="s">
        <v>7847</v>
      </c>
      <c r="H163" s="470">
        <v>-1667000</v>
      </c>
      <c r="I163" s="470">
        <v>-1250000</v>
      </c>
      <c r="J163" s="470">
        <v>0</v>
      </c>
      <c r="K163" s="18"/>
      <c r="L163" s="18" t="str">
        <f t="shared" si="17"/>
        <v>3</v>
      </c>
      <c r="M163" s="18" t="str">
        <f>INDEX(Chapter,MATCH(L163,Chapter!$A$1:$A$681,0),8)</f>
        <v>שירותים ממלכתיים</v>
      </c>
      <c r="N163" s="18" t="str">
        <f t="shared" si="18"/>
        <v>31</v>
      </c>
      <c r="O163" s="18" t="str">
        <f>INDEX(Chapter,MATCH(N163,Chapter!$A$1:$A$681,0),8)</f>
        <v>חינוך</v>
      </c>
      <c r="P163" s="18" t="str">
        <f t="shared" si="19"/>
        <v>315</v>
      </c>
      <c r="Q163" s="18" t="str">
        <f>INDEX(Chapter,MATCH(P163,Chapter!$A$1:$A$681,0),8)</f>
        <v>חינוך על יסודי</v>
      </c>
      <c r="R163" s="18" t="str">
        <f t="shared" si="20"/>
        <v>3155</v>
      </c>
      <c r="S163" s="18" t="str">
        <f>INDEX(Chapter,MATCH(R163,Chapter!$A$1:$A$681,0),8)</f>
        <v>בתי״ס על יסודיים מקצועיים</v>
      </c>
      <c r="T163" s="18"/>
      <c r="U163" s="18" t="str">
        <f t="shared" si="21"/>
        <v>9</v>
      </c>
      <c r="V163" s="18" t="str">
        <f>IF($L163&lt;"6",INDEX(Revenue_type,MATCH(U163*1,type!$A$118:$A$168,0),8),INDEX(Expenditure_type,MATCH(U163*1,type!$A$2:$A$117,0),8))</f>
        <v>השתתפות משרדי ממשלה</v>
      </c>
      <c r="W163" s="18" t="str">
        <f t="shared" si="22"/>
        <v>93</v>
      </c>
      <c r="X163" s="18" t="str">
        <f>IF($L163&lt;"6",INDEX(Revenue_type,MATCH(W163*1,type!$A$118:$A$168,0),8),INDEX(Expenditure_type,MATCH(W163*1,type!$A$2:$A$117,0),8))</f>
        <v>השתתפות משרד העבודה והרווחה</v>
      </c>
      <c r="Y163" s="18" t="str">
        <f t="shared" si="23"/>
        <v>930</v>
      </c>
      <c r="Z163" s="18" t="e">
        <f>IF($L163&lt;"6",INDEX(Revenue_type,MATCH(Y163*1,type!$A$118:$A$168,0),8),INDEX(Expenditure_type,MATCH(Y163*1,type!$A$2:$A$117,0),8))</f>
        <v>#N/A</v>
      </c>
    </row>
    <row r="164" spans="1:26" ht="15.75" hidden="1" customHeight="1" outlineLevel="2">
      <c r="A164" s="482">
        <v>770</v>
      </c>
      <c r="B164" s="485">
        <v>315329</v>
      </c>
      <c r="C164">
        <v>1</v>
      </c>
      <c r="D164" t="str">
        <f t="shared" si="16"/>
        <v>1315329.770</v>
      </c>
      <c r="E164" s="492" t="s">
        <v>7848</v>
      </c>
      <c r="H164" s="470">
        <v>-150000</v>
      </c>
      <c r="I164" s="470">
        <v>-150000</v>
      </c>
      <c r="J164" s="470">
        <v>-30322</v>
      </c>
      <c r="K164" s="18"/>
      <c r="L164" s="18" t="str">
        <f t="shared" si="17"/>
        <v>3</v>
      </c>
      <c r="M164" s="18" t="str">
        <f>INDEX(Chapter,MATCH(L164,Chapter!$A$1:$A$681,0),8)</f>
        <v>שירותים ממלכתיים</v>
      </c>
      <c r="N164" s="18" t="str">
        <f t="shared" si="18"/>
        <v>31</v>
      </c>
      <c r="O164" s="18" t="str">
        <f>INDEX(Chapter,MATCH(N164,Chapter!$A$1:$A$681,0),8)</f>
        <v>חינוך</v>
      </c>
      <c r="P164" s="18" t="str">
        <f t="shared" si="19"/>
        <v>315</v>
      </c>
      <c r="Q164" s="18" t="str">
        <f>INDEX(Chapter,MATCH(P164,Chapter!$A$1:$A$681,0),8)</f>
        <v>חינוך על יסודי</v>
      </c>
      <c r="R164" s="18" t="str">
        <f t="shared" si="20"/>
        <v>3153</v>
      </c>
      <c r="S164" s="18" t="str">
        <f>INDEX(Chapter,MATCH(R164,Chapter!$A$1:$A$681,0),8)</f>
        <v>בתי״ס ערב על יסודיים</v>
      </c>
      <c r="T164" s="18"/>
      <c r="U164" s="18" t="str">
        <f t="shared" si="21"/>
        <v>7</v>
      </c>
      <c r="V164" s="18" t="str">
        <f>IF($L164&lt;"6",INDEX(Revenue_type,MATCH(U164*1,type!$A$118:$A$168,0),8),INDEX(Expenditure_type,MATCH(U164*1,type!$A$2:$A$117,0),8))</f>
        <v>השתתפות מוסדות ותרומות</v>
      </c>
      <c r="W164" s="18" t="str">
        <f t="shared" si="22"/>
        <v>77</v>
      </c>
      <c r="X164" s="18" t="str">
        <f>IF($L164&lt;"6",INDEX(Revenue_type,MATCH(W164*1,type!$A$118:$A$168,0),8),INDEX(Expenditure_type,MATCH(W164*1,type!$A$2:$A$117,0),8))</f>
        <v>השתתפות קהילות מחו"ל</v>
      </c>
      <c r="Y164" s="18" t="str">
        <f t="shared" si="23"/>
        <v>770</v>
      </c>
      <c r="Z164" s="18" t="e">
        <f>IF($L164&lt;"6",INDEX(Revenue_type,MATCH(Y164*1,type!$A$118:$A$168,0),8),INDEX(Expenditure_type,MATCH(Y164*1,type!$A$2:$A$117,0),8))</f>
        <v>#N/A</v>
      </c>
    </row>
    <row r="165" spans="1:26" ht="15.75" hidden="1" customHeight="1" outlineLevel="2">
      <c r="A165" s="482">
        <v>920</v>
      </c>
      <c r="B165" s="485">
        <v>315331</v>
      </c>
      <c r="C165">
        <v>1</v>
      </c>
      <c r="D165" t="str">
        <f t="shared" si="16"/>
        <v>1315331.920</v>
      </c>
      <c r="E165" s="492" t="s">
        <v>7849</v>
      </c>
      <c r="H165" s="470">
        <v>-400000</v>
      </c>
      <c r="I165" s="470">
        <v>-400000</v>
      </c>
      <c r="J165" s="470">
        <v>-579747</v>
      </c>
      <c r="K165" s="18"/>
      <c r="L165" s="18" t="str">
        <f t="shared" si="17"/>
        <v>3</v>
      </c>
      <c r="M165" s="18" t="str">
        <f>INDEX(Chapter,MATCH(L165,Chapter!$A$1:$A$681,0),8)</f>
        <v>שירותים ממלכתיים</v>
      </c>
      <c r="N165" s="18" t="str">
        <f t="shared" si="18"/>
        <v>31</v>
      </c>
      <c r="O165" s="18" t="str">
        <f>INDEX(Chapter,MATCH(N165,Chapter!$A$1:$A$681,0),8)</f>
        <v>חינוך</v>
      </c>
      <c r="P165" s="18" t="str">
        <f t="shared" si="19"/>
        <v>315</v>
      </c>
      <c r="Q165" s="18" t="str">
        <f>INDEX(Chapter,MATCH(P165,Chapter!$A$1:$A$681,0),8)</f>
        <v>חינוך על יסודי</v>
      </c>
      <c r="R165" s="18" t="str">
        <f t="shared" si="20"/>
        <v>3153</v>
      </c>
      <c r="S165" s="18" t="str">
        <f>INDEX(Chapter,MATCH(R165,Chapter!$A$1:$A$681,0),8)</f>
        <v>בתי״ס ערב על יסודיים</v>
      </c>
      <c r="T165" s="18"/>
      <c r="U165" s="18" t="str">
        <f t="shared" si="21"/>
        <v>9</v>
      </c>
      <c r="V165" s="18" t="str">
        <f>IF($L165&lt;"6",INDEX(Revenue_type,MATCH(U165*1,type!$A$118:$A$168,0),8),INDEX(Expenditure_type,MATCH(U165*1,type!$A$2:$A$117,0),8))</f>
        <v>השתתפות משרדי ממשלה</v>
      </c>
      <c r="W165" s="18" t="str">
        <f t="shared" si="22"/>
        <v>92</v>
      </c>
      <c r="X165" s="18" t="str">
        <f>IF($L165&lt;"6",INDEX(Revenue_type,MATCH(W165*1,type!$A$118:$A$168,0),8),INDEX(Expenditure_type,MATCH(W165*1,type!$A$2:$A$117,0),8))</f>
        <v>השתתפות משרד החינוך והתרבות</v>
      </c>
      <c r="Y165" s="18" t="str">
        <f t="shared" si="23"/>
        <v>920</v>
      </c>
      <c r="Z165" s="18" t="e">
        <f>IF($L165&lt;"6",INDEX(Revenue_type,MATCH(Y165*1,type!$A$118:$A$168,0),8),INDEX(Expenditure_type,MATCH(Y165*1,type!$A$2:$A$117,0),8))</f>
        <v>#N/A</v>
      </c>
    </row>
    <row r="166" spans="1:26" ht="15.75" hidden="1" customHeight="1" outlineLevel="2">
      <c r="A166" s="482">
        <v>920</v>
      </c>
      <c r="B166" s="485">
        <v>315332</v>
      </c>
      <c r="C166">
        <v>1</v>
      </c>
      <c r="D166" t="str">
        <f t="shared" si="16"/>
        <v>1315332.920</v>
      </c>
      <c r="E166" s="492" t="s">
        <v>7850</v>
      </c>
      <c r="H166" s="470">
        <v>-380000</v>
      </c>
      <c r="I166" s="470">
        <v>-380000</v>
      </c>
      <c r="J166" s="470">
        <v>-269874</v>
      </c>
      <c r="K166" s="18"/>
      <c r="L166" s="18" t="str">
        <f t="shared" si="17"/>
        <v>3</v>
      </c>
      <c r="M166" s="18" t="str">
        <f>INDEX(Chapter,MATCH(L166,Chapter!$A$1:$A$681,0),8)</f>
        <v>שירותים ממלכתיים</v>
      </c>
      <c r="N166" s="18" t="str">
        <f t="shared" si="18"/>
        <v>31</v>
      </c>
      <c r="O166" s="18" t="str">
        <f>INDEX(Chapter,MATCH(N166,Chapter!$A$1:$A$681,0),8)</f>
        <v>חינוך</v>
      </c>
      <c r="P166" s="18" t="str">
        <f t="shared" si="19"/>
        <v>315</v>
      </c>
      <c r="Q166" s="18" t="str">
        <f>INDEX(Chapter,MATCH(P166,Chapter!$A$1:$A$681,0),8)</f>
        <v>חינוך על יסודי</v>
      </c>
      <c r="R166" s="18" t="str">
        <f t="shared" si="20"/>
        <v>3153</v>
      </c>
      <c r="S166" s="18" t="str">
        <f>INDEX(Chapter,MATCH(R166,Chapter!$A$1:$A$681,0),8)</f>
        <v>בתי״ס ערב על יסודיים</v>
      </c>
      <c r="T166" s="18"/>
      <c r="U166" s="18" t="str">
        <f t="shared" si="21"/>
        <v>9</v>
      </c>
      <c r="V166" s="18" t="str">
        <f>IF($L166&lt;"6",INDEX(Revenue_type,MATCH(U166*1,type!$A$118:$A$168,0),8),INDEX(Expenditure_type,MATCH(U166*1,type!$A$2:$A$117,0),8))</f>
        <v>השתתפות משרדי ממשלה</v>
      </c>
      <c r="W166" s="18" t="str">
        <f t="shared" si="22"/>
        <v>92</v>
      </c>
      <c r="X166" s="18" t="str">
        <f>IF($L166&lt;"6",INDEX(Revenue_type,MATCH(W166*1,type!$A$118:$A$168,0),8),INDEX(Expenditure_type,MATCH(W166*1,type!$A$2:$A$117,0),8))</f>
        <v>השתתפות משרד החינוך והתרבות</v>
      </c>
      <c r="Y166" s="18" t="str">
        <f t="shared" si="23"/>
        <v>920</v>
      </c>
      <c r="Z166" s="18" t="e">
        <f>IF($L166&lt;"6",INDEX(Revenue_type,MATCH(Y166*1,type!$A$118:$A$168,0),8),INDEX(Expenditure_type,MATCH(Y166*1,type!$A$2:$A$117,0),8))</f>
        <v>#N/A</v>
      </c>
    </row>
    <row r="167" spans="1:26" ht="15.75" hidden="1" customHeight="1" outlineLevel="2">
      <c r="A167" s="482">
        <v>920</v>
      </c>
      <c r="B167" s="485">
        <v>315370</v>
      </c>
      <c r="C167">
        <v>1</v>
      </c>
      <c r="D167" t="str">
        <f t="shared" si="16"/>
        <v>1315370.920</v>
      </c>
      <c r="E167" s="492" t="s">
        <v>7851</v>
      </c>
      <c r="H167" s="470">
        <v>-300000</v>
      </c>
      <c r="I167" s="470">
        <v>-300000</v>
      </c>
      <c r="J167" s="470">
        <v>-290671</v>
      </c>
      <c r="K167" s="18"/>
      <c r="L167" s="18" t="str">
        <f t="shared" si="17"/>
        <v>3</v>
      </c>
      <c r="M167" s="18" t="str">
        <f>INDEX(Chapter,MATCH(L167,Chapter!$A$1:$A$681,0),8)</f>
        <v>שירותים ממלכתיים</v>
      </c>
      <c r="N167" s="18" t="str">
        <f t="shared" si="18"/>
        <v>31</v>
      </c>
      <c r="O167" s="18" t="str">
        <f>INDEX(Chapter,MATCH(N167,Chapter!$A$1:$A$681,0),8)</f>
        <v>חינוך</v>
      </c>
      <c r="P167" s="18" t="str">
        <f t="shared" si="19"/>
        <v>315</v>
      </c>
      <c r="Q167" s="18" t="str">
        <f>INDEX(Chapter,MATCH(P167,Chapter!$A$1:$A$681,0),8)</f>
        <v>חינוך על יסודי</v>
      </c>
      <c r="R167" s="18" t="str">
        <f t="shared" si="20"/>
        <v>3153</v>
      </c>
      <c r="S167" s="18" t="str">
        <f>INDEX(Chapter,MATCH(R167,Chapter!$A$1:$A$681,0),8)</f>
        <v>בתי״ס ערב על יסודיים</v>
      </c>
      <c r="T167" s="18"/>
      <c r="U167" s="18" t="str">
        <f t="shared" si="21"/>
        <v>9</v>
      </c>
      <c r="V167" s="18" t="str">
        <f>IF($L167&lt;"6",INDEX(Revenue_type,MATCH(U167*1,type!$A$118:$A$168,0),8),INDEX(Expenditure_type,MATCH(U167*1,type!$A$2:$A$117,0),8))</f>
        <v>השתתפות משרדי ממשלה</v>
      </c>
      <c r="W167" s="18" t="str">
        <f t="shared" si="22"/>
        <v>92</v>
      </c>
      <c r="X167" s="18" t="str">
        <f>IF($L167&lt;"6",INDEX(Revenue_type,MATCH(W167*1,type!$A$118:$A$168,0),8),INDEX(Expenditure_type,MATCH(W167*1,type!$A$2:$A$117,0),8))</f>
        <v>השתתפות משרד החינוך והתרבות</v>
      </c>
      <c r="Y167" s="18" t="str">
        <f t="shared" si="23"/>
        <v>920</v>
      </c>
      <c r="Z167" s="18" t="e">
        <f>IF($L167&lt;"6",INDEX(Revenue_type,MATCH(Y167*1,type!$A$118:$A$168,0),8),INDEX(Expenditure_type,MATCH(Y167*1,type!$A$2:$A$117,0),8))</f>
        <v>#N/A</v>
      </c>
    </row>
    <row r="168" spans="1:26" ht="15.75" hidden="1" customHeight="1" outlineLevel="2">
      <c r="A168" s="482">
        <v>921</v>
      </c>
      <c r="B168" s="485">
        <v>315370</v>
      </c>
      <c r="C168">
        <v>1</v>
      </c>
      <c r="D168" t="str">
        <f t="shared" si="16"/>
        <v>1315370.921</v>
      </c>
      <c r="E168" s="492" t="s">
        <v>7852</v>
      </c>
      <c r="H168" s="470">
        <v>0</v>
      </c>
      <c r="I168" s="470">
        <v>0</v>
      </c>
      <c r="J168" s="470">
        <v>-67060</v>
      </c>
      <c r="K168" s="18"/>
      <c r="L168" s="18" t="str">
        <f t="shared" si="17"/>
        <v>3</v>
      </c>
      <c r="M168" s="18" t="str">
        <f>INDEX(Chapter,MATCH(L168,Chapter!$A$1:$A$681,0),8)</f>
        <v>שירותים ממלכתיים</v>
      </c>
      <c r="N168" s="18" t="str">
        <f t="shared" si="18"/>
        <v>31</v>
      </c>
      <c r="O168" s="18" t="str">
        <f>INDEX(Chapter,MATCH(N168,Chapter!$A$1:$A$681,0),8)</f>
        <v>חינוך</v>
      </c>
      <c r="P168" s="18" t="str">
        <f t="shared" si="19"/>
        <v>315</v>
      </c>
      <c r="Q168" s="18" t="str">
        <f>INDEX(Chapter,MATCH(P168,Chapter!$A$1:$A$681,0),8)</f>
        <v>חינוך על יסודי</v>
      </c>
      <c r="R168" s="18" t="str">
        <f t="shared" si="20"/>
        <v>3153</v>
      </c>
      <c r="S168" s="18" t="str">
        <f>INDEX(Chapter,MATCH(R168,Chapter!$A$1:$A$681,0),8)</f>
        <v>בתי״ס ערב על יסודיים</v>
      </c>
      <c r="T168" s="18"/>
      <c r="U168" s="18" t="str">
        <f t="shared" si="21"/>
        <v>9</v>
      </c>
      <c r="V168" s="18" t="str">
        <f>IF($L168&lt;"6",INDEX(Revenue_type,MATCH(U168*1,type!$A$118:$A$168,0),8),INDEX(Expenditure_type,MATCH(U168*1,type!$A$2:$A$117,0),8))</f>
        <v>השתתפות משרדי ממשלה</v>
      </c>
      <c r="W168" s="18" t="str">
        <f t="shared" si="22"/>
        <v>92</v>
      </c>
      <c r="X168" s="18" t="str">
        <f>IF($L168&lt;"6",INDEX(Revenue_type,MATCH(W168*1,type!$A$118:$A$168,0),8),INDEX(Expenditure_type,MATCH(W168*1,type!$A$2:$A$117,0),8))</f>
        <v>השתתפות משרד החינוך והתרבות</v>
      </c>
      <c r="Y168" s="18" t="str">
        <f t="shared" si="23"/>
        <v>921</v>
      </c>
      <c r="Z168" s="18" t="e">
        <f>IF($L168&lt;"6",INDEX(Revenue_type,MATCH(Y168*1,type!$A$118:$A$168,0),8),INDEX(Expenditure_type,MATCH(Y168*1,type!$A$2:$A$117,0),8))</f>
        <v>#N/A</v>
      </c>
    </row>
    <row r="169" spans="1:26" ht="15.75" hidden="1" customHeight="1" outlineLevel="2">
      <c r="A169" s="482">
        <v>920</v>
      </c>
      <c r="B169" s="485">
        <v>315380</v>
      </c>
      <c r="C169">
        <v>1</v>
      </c>
      <c r="D169" t="str">
        <f t="shared" si="16"/>
        <v>1315380.920</v>
      </c>
      <c r="E169" s="492" t="s">
        <v>7853</v>
      </c>
      <c r="H169" s="470">
        <v>-20000</v>
      </c>
      <c r="I169" s="470">
        <v>-20000</v>
      </c>
      <c r="J169" s="470">
        <v>0</v>
      </c>
      <c r="K169" s="18"/>
      <c r="L169" s="18" t="str">
        <f t="shared" si="17"/>
        <v>3</v>
      </c>
      <c r="M169" s="18" t="str">
        <f>INDEX(Chapter,MATCH(L169,Chapter!$A$1:$A$681,0),8)</f>
        <v>שירותים ממלכתיים</v>
      </c>
      <c r="N169" s="18" t="str">
        <f t="shared" si="18"/>
        <v>31</v>
      </c>
      <c r="O169" s="18" t="str">
        <f>INDEX(Chapter,MATCH(N169,Chapter!$A$1:$A$681,0),8)</f>
        <v>חינוך</v>
      </c>
      <c r="P169" s="18" t="str">
        <f t="shared" si="19"/>
        <v>315</v>
      </c>
      <c r="Q169" s="18" t="str">
        <f>INDEX(Chapter,MATCH(P169,Chapter!$A$1:$A$681,0),8)</f>
        <v>חינוך על יסודי</v>
      </c>
      <c r="R169" s="18" t="str">
        <f t="shared" si="20"/>
        <v>3153</v>
      </c>
      <c r="S169" s="18" t="str">
        <f>INDEX(Chapter,MATCH(R169,Chapter!$A$1:$A$681,0),8)</f>
        <v>בתי״ס ערב על יסודיים</v>
      </c>
      <c r="T169" s="18"/>
      <c r="U169" s="18" t="str">
        <f t="shared" si="21"/>
        <v>9</v>
      </c>
      <c r="V169" s="18" t="str">
        <f>IF($L169&lt;"6",INDEX(Revenue_type,MATCH(U169*1,type!$A$118:$A$168,0),8),INDEX(Expenditure_type,MATCH(U169*1,type!$A$2:$A$117,0),8))</f>
        <v>השתתפות משרדי ממשלה</v>
      </c>
      <c r="W169" s="18" t="str">
        <f t="shared" si="22"/>
        <v>92</v>
      </c>
      <c r="X169" s="18" t="str">
        <f>IF($L169&lt;"6",INDEX(Revenue_type,MATCH(W169*1,type!$A$118:$A$168,0),8),INDEX(Expenditure_type,MATCH(W169*1,type!$A$2:$A$117,0),8))</f>
        <v>השתתפות משרד החינוך והתרבות</v>
      </c>
      <c r="Y169" s="18" t="str">
        <f t="shared" si="23"/>
        <v>920</v>
      </c>
      <c r="Z169" s="18" t="e">
        <f>IF($L169&lt;"6",INDEX(Revenue_type,MATCH(Y169*1,type!$A$118:$A$168,0),8),INDEX(Expenditure_type,MATCH(Y169*1,type!$A$2:$A$117,0),8))</f>
        <v>#N/A</v>
      </c>
    </row>
    <row r="170" spans="1:26" ht="15.75" hidden="1" customHeight="1" outlineLevel="2">
      <c r="A170" s="482">
        <v>920</v>
      </c>
      <c r="B170" s="485">
        <v>315680</v>
      </c>
      <c r="C170">
        <v>1</v>
      </c>
      <c r="D170" t="str">
        <f t="shared" si="16"/>
        <v>1315680.920</v>
      </c>
      <c r="E170" s="492" t="s">
        <v>7854</v>
      </c>
      <c r="H170" s="470">
        <v>-1578000</v>
      </c>
      <c r="I170" s="470">
        <v>-1578000</v>
      </c>
      <c r="J170" s="470">
        <v>-1510700</v>
      </c>
      <c r="K170" s="18"/>
      <c r="L170" s="18" t="str">
        <f t="shared" si="17"/>
        <v>3</v>
      </c>
      <c r="M170" s="18" t="str">
        <f>INDEX(Chapter,MATCH(L170,Chapter!$A$1:$A$681,0),8)</f>
        <v>שירותים ממלכתיים</v>
      </c>
      <c r="N170" s="18" t="str">
        <f t="shared" si="18"/>
        <v>31</v>
      </c>
      <c r="O170" s="18" t="str">
        <f>INDEX(Chapter,MATCH(N170,Chapter!$A$1:$A$681,0),8)</f>
        <v>חינוך</v>
      </c>
      <c r="P170" s="18" t="str">
        <f t="shared" si="19"/>
        <v>315</v>
      </c>
      <c r="Q170" s="18" t="str">
        <f>INDEX(Chapter,MATCH(P170,Chapter!$A$1:$A$681,0),8)</f>
        <v>חינוך על יסודי</v>
      </c>
      <c r="R170" s="18" t="str">
        <f t="shared" si="20"/>
        <v>3156</v>
      </c>
      <c r="S170" s="18" t="str">
        <f>INDEX(Chapter,MATCH(R170,Chapter!$A$1:$A$681,0),8)</f>
        <v>בתי״ס על יסודיים חקלאיים</v>
      </c>
      <c r="T170" s="18"/>
      <c r="U170" s="18" t="str">
        <f t="shared" si="21"/>
        <v>9</v>
      </c>
      <c r="V170" s="18" t="str">
        <f>IF($L170&lt;"6",INDEX(Revenue_type,MATCH(U170*1,type!$A$118:$A$168,0),8),INDEX(Expenditure_type,MATCH(U170*1,type!$A$2:$A$117,0),8))</f>
        <v>השתתפות משרדי ממשלה</v>
      </c>
      <c r="W170" s="18" t="str">
        <f t="shared" si="22"/>
        <v>92</v>
      </c>
      <c r="X170" s="18" t="str">
        <f>IF($L170&lt;"6",INDEX(Revenue_type,MATCH(W170*1,type!$A$118:$A$168,0),8),INDEX(Expenditure_type,MATCH(W170*1,type!$A$2:$A$117,0),8))</f>
        <v>השתתפות משרד החינוך והתרבות</v>
      </c>
      <c r="Y170" s="18" t="str">
        <f t="shared" si="23"/>
        <v>920</v>
      </c>
      <c r="Z170" s="18" t="e">
        <f>IF($L170&lt;"6",INDEX(Revenue_type,MATCH(Y170*1,type!$A$118:$A$168,0),8),INDEX(Expenditure_type,MATCH(Y170*1,type!$A$2:$A$117,0),8))</f>
        <v>#N/A</v>
      </c>
    </row>
    <row r="171" spans="1:26" ht="15.75" hidden="1" customHeight="1" outlineLevel="2">
      <c r="A171" s="482">
        <v>770</v>
      </c>
      <c r="B171" s="485">
        <v>315490</v>
      </c>
      <c r="C171">
        <v>1</v>
      </c>
      <c r="D171" t="str">
        <f t="shared" si="16"/>
        <v>1315490.770</v>
      </c>
      <c r="E171" s="492" t="s">
        <v>7855</v>
      </c>
      <c r="H171" s="470">
        <v>-490000</v>
      </c>
      <c r="I171" s="470">
        <v>-490000</v>
      </c>
      <c r="J171" s="470">
        <v>-494015</v>
      </c>
      <c r="K171" s="18"/>
      <c r="L171" s="18" t="str">
        <f t="shared" si="17"/>
        <v>3</v>
      </c>
      <c r="M171" s="18" t="str">
        <f>INDEX(Chapter,MATCH(L171,Chapter!$A$1:$A$681,0),8)</f>
        <v>שירותים ממלכתיים</v>
      </c>
      <c r="N171" s="18" t="str">
        <f t="shared" si="18"/>
        <v>31</v>
      </c>
      <c r="O171" s="18" t="str">
        <f>INDEX(Chapter,MATCH(N171,Chapter!$A$1:$A$681,0),8)</f>
        <v>חינוך</v>
      </c>
      <c r="P171" s="18" t="str">
        <f t="shared" si="19"/>
        <v>315</v>
      </c>
      <c r="Q171" s="18" t="str">
        <f>INDEX(Chapter,MATCH(P171,Chapter!$A$1:$A$681,0),8)</f>
        <v>חינוך על יסודי</v>
      </c>
      <c r="R171" s="18" t="str">
        <f t="shared" si="20"/>
        <v>3154</v>
      </c>
      <c r="S171" s="18" t="str">
        <f>INDEX(Chapter,MATCH(R171,Chapter!$A$1:$A$681,0),8)</f>
        <v>ישיבות תיכוניות אולפנות ומתיבתאות</v>
      </c>
      <c r="T171" s="18"/>
      <c r="U171" s="18" t="str">
        <f t="shared" si="21"/>
        <v>7</v>
      </c>
      <c r="V171" s="18" t="str">
        <f>IF($L171&lt;"6",INDEX(Revenue_type,MATCH(U171*1,type!$A$118:$A$168,0),8),INDEX(Expenditure_type,MATCH(U171*1,type!$A$2:$A$117,0),8))</f>
        <v>השתתפות מוסדות ותרומות</v>
      </c>
      <c r="W171" s="18" t="str">
        <f t="shared" si="22"/>
        <v>77</v>
      </c>
      <c r="X171" s="18" t="str">
        <f>IF($L171&lt;"6",INDEX(Revenue_type,MATCH(W171*1,type!$A$118:$A$168,0),8),INDEX(Expenditure_type,MATCH(W171*1,type!$A$2:$A$117,0),8))</f>
        <v>השתתפות קהילות מחו"ל</v>
      </c>
      <c r="Y171" s="18" t="str">
        <f t="shared" si="23"/>
        <v>770</v>
      </c>
      <c r="Z171" s="18" t="e">
        <f>IF($L171&lt;"6",INDEX(Revenue_type,MATCH(Y171*1,type!$A$118:$A$168,0),8),INDEX(Expenditure_type,MATCH(Y171*1,type!$A$2:$A$117,0),8))</f>
        <v>#N/A</v>
      </c>
    </row>
    <row r="172" spans="1:26" ht="15.75" hidden="1" customHeight="1" outlineLevel="2">
      <c r="A172" s="482">
        <v>920</v>
      </c>
      <c r="B172" s="485">
        <v>315600</v>
      </c>
      <c r="C172">
        <v>1</v>
      </c>
      <c r="D172" t="str">
        <f t="shared" si="16"/>
        <v>1315600.920</v>
      </c>
      <c r="E172" s="492" t="s">
        <v>7856</v>
      </c>
      <c r="H172" s="470">
        <v>0</v>
      </c>
      <c r="I172" s="470">
        <v>0</v>
      </c>
      <c r="J172" s="470">
        <v>-88976</v>
      </c>
      <c r="K172" s="18"/>
      <c r="L172" s="18" t="str">
        <f t="shared" si="17"/>
        <v>3</v>
      </c>
      <c r="M172" s="18" t="str">
        <f>INDEX(Chapter,MATCH(L172,Chapter!$A$1:$A$681,0),8)</f>
        <v>שירותים ממלכתיים</v>
      </c>
      <c r="N172" s="18" t="str">
        <f t="shared" si="18"/>
        <v>31</v>
      </c>
      <c r="O172" s="18" t="str">
        <f>INDEX(Chapter,MATCH(N172,Chapter!$A$1:$A$681,0),8)</f>
        <v>חינוך</v>
      </c>
      <c r="P172" s="18" t="str">
        <f t="shared" si="19"/>
        <v>315</v>
      </c>
      <c r="Q172" s="18" t="str">
        <f>INDEX(Chapter,MATCH(P172,Chapter!$A$1:$A$681,0),8)</f>
        <v>חינוך על יסודי</v>
      </c>
      <c r="R172" s="18" t="str">
        <f t="shared" si="20"/>
        <v>3156</v>
      </c>
      <c r="S172" s="18" t="str">
        <f>INDEX(Chapter,MATCH(R172,Chapter!$A$1:$A$681,0),8)</f>
        <v>בתי״ס על יסודיים חקלאיים</v>
      </c>
      <c r="T172" s="18"/>
      <c r="U172" s="18" t="str">
        <f t="shared" si="21"/>
        <v>9</v>
      </c>
      <c r="V172" s="18" t="str">
        <f>IF($L172&lt;"6",INDEX(Revenue_type,MATCH(U172*1,type!$A$118:$A$168,0),8),INDEX(Expenditure_type,MATCH(U172*1,type!$A$2:$A$117,0),8))</f>
        <v>השתתפות משרדי ממשלה</v>
      </c>
      <c r="W172" s="18" t="str">
        <f t="shared" si="22"/>
        <v>92</v>
      </c>
      <c r="X172" s="18" t="str">
        <f>IF($L172&lt;"6",INDEX(Revenue_type,MATCH(W172*1,type!$A$118:$A$168,0),8),INDEX(Expenditure_type,MATCH(W172*1,type!$A$2:$A$117,0),8))</f>
        <v>השתתפות משרד החינוך והתרבות</v>
      </c>
      <c r="Y172" s="18" t="str">
        <f t="shared" si="23"/>
        <v>920</v>
      </c>
      <c r="Z172" s="18" t="e">
        <f>IF($L172&lt;"6",INDEX(Revenue_type,MATCH(Y172*1,type!$A$118:$A$168,0),8),INDEX(Expenditure_type,MATCH(Y172*1,type!$A$2:$A$117,0),8))</f>
        <v>#N/A</v>
      </c>
    </row>
    <row r="173" spans="1:26" ht="15.75" hidden="1" customHeight="1" outlineLevel="2">
      <c r="A173" s="482">
        <v>770</v>
      </c>
      <c r="B173" s="485">
        <v>315200</v>
      </c>
      <c r="C173">
        <v>1</v>
      </c>
      <c r="D173" t="str">
        <f t="shared" si="16"/>
        <v>1315200.770</v>
      </c>
      <c r="E173" s="492" t="s">
        <v>7857</v>
      </c>
      <c r="H173" s="470">
        <v>-1363000</v>
      </c>
      <c r="I173" s="470">
        <v>-1363000</v>
      </c>
      <c r="J173" s="470">
        <v>-1552383</v>
      </c>
      <c r="K173" s="18"/>
      <c r="L173" s="18" t="str">
        <f t="shared" si="17"/>
        <v>3</v>
      </c>
      <c r="M173" s="18" t="str">
        <f>INDEX(Chapter,MATCH(L173,Chapter!$A$1:$A$681,0),8)</f>
        <v>שירותים ממלכתיים</v>
      </c>
      <c r="N173" s="18" t="str">
        <f t="shared" si="18"/>
        <v>31</v>
      </c>
      <c r="O173" s="18" t="str">
        <f>INDEX(Chapter,MATCH(N173,Chapter!$A$1:$A$681,0),8)</f>
        <v>חינוך</v>
      </c>
      <c r="P173" s="18" t="str">
        <f t="shared" si="19"/>
        <v>315</v>
      </c>
      <c r="Q173" s="18" t="str">
        <f>INDEX(Chapter,MATCH(P173,Chapter!$A$1:$A$681,0),8)</f>
        <v>חינוך על יסודי</v>
      </c>
      <c r="R173" s="18" t="str">
        <f t="shared" si="20"/>
        <v>3152</v>
      </c>
      <c r="S173" s="18" t="str">
        <f>INDEX(Chapter,MATCH(R173,Chapter!$A$1:$A$681,0),8)</f>
        <v>בתי״ס על יסודיים עיוניים</v>
      </c>
      <c r="T173" s="18"/>
      <c r="U173" s="18" t="str">
        <f t="shared" si="21"/>
        <v>7</v>
      </c>
      <c r="V173" s="18" t="str">
        <f>IF($L173&lt;"6",INDEX(Revenue_type,MATCH(U173*1,type!$A$118:$A$168,0),8),INDEX(Expenditure_type,MATCH(U173*1,type!$A$2:$A$117,0),8))</f>
        <v>השתתפות מוסדות ותרומות</v>
      </c>
      <c r="W173" s="18" t="str">
        <f t="shared" si="22"/>
        <v>77</v>
      </c>
      <c r="X173" s="18" t="str">
        <f>IF($L173&lt;"6",INDEX(Revenue_type,MATCH(W173*1,type!$A$118:$A$168,0),8),INDEX(Expenditure_type,MATCH(W173*1,type!$A$2:$A$117,0),8))</f>
        <v>השתתפות קהילות מחו"ל</v>
      </c>
      <c r="Y173" s="18" t="str">
        <f t="shared" si="23"/>
        <v>770</v>
      </c>
      <c r="Z173" s="18" t="e">
        <f>IF($L173&lt;"6",INDEX(Revenue_type,MATCH(Y173*1,type!$A$118:$A$168,0),8),INDEX(Expenditure_type,MATCH(Y173*1,type!$A$2:$A$117,0),8))</f>
        <v>#N/A</v>
      </c>
    </row>
    <row r="174" spans="1:26" ht="15.75" hidden="1" customHeight="1" outlineLevel="2">
      <c r="A174" s="482">
        <v>920</v>
      </c>
      <c r="B174" s="485">
        <v>327220</v>
      </c>
      <c r="C174">
        <v>1</v>
      </c>
      <c r="D174" t="str">
        <f t="shared" si="16"/>
        <v>1327220.920</v>
      </c>
      <c r="E174" s="492" t="s">
        <v>7858</v>
      </c>
      <c r="H174" s="470">
        <v>-98000</v>
      </c>
      <c r="I174" s="470">
        <v>-98000</v>
      </c>
      <c r="J174" s="470">
        <v>-67598</v>
      </c>
      <c r="K174" s="18"/>
      <c r="L174" s="18" t="str">
        <f t="shared" si="17"/>
        <v>3</v>
      </c>
      <c r="M174" s="18" t="str">
        <f>INDEX(Chapter,MATCH(L174,Chapter!$A$1:$A$681,0),8)</f>
        <v>שירותים ממלכתיים</v>
      </c>
      <c r="N174" s="18" t="str">
        <f t="shared" si="18"/>
        <v>32</v>
      </c>
      <c r="O174" s="18" t="str">
        <f>INDEX(Chapter,MATCH(N174,Chapter!$A$1:$A$681,0),8)</f>
        <v>תרבות</v>
      </c>
      <c r="P174" s="18" t="str">
        <f t="shared" si="19"/>
        <v>327</v>
      </c>
      <c r="Q174" s="18" t="str">
        <f>INDEX(Chapter,MATCH(P174,Chapter!$A$1:$A$681,0),8)</f>
        <v>תרבות תורנית</v>
      </c>
      <c r="R174" s="18" t="str">
        <f t="shared" si="20"/>
        <v>3272</v>
      </c>
      <c r="S174" s="18" t="e">
        <f>INDEX(Chapter,MATCH(R174,Chapter!$A$1:$A$681,0),8)</f>
        <v>#N/A</v>
      </c>
      <c r="T174" s="18"/>
      <c r="U174" s="18" t="str">
        <f t="shared" si="21"/>
        <v>9</v>
      </c>
      <c r="V174" s="18" t="str">
        <f>IF($L174&lt;"6",INDEX(Revenue_type,MATCH(U174*1,type!$A$118:$A$168,0),8),INDEX(Expenditure_type,MATCH(U174*1,type!$A$2:$A$117,0),8))</f>
        <v>השתתפות משרדי ממשלה</v>
      </c>
      <c r="W174" s="18" t="str">
        <f t="shared" si="22"/>
        <v>92</v>
      </c>
      <c r="X174" s="18" t="str">
        <f>IF($L174&lt;"6",INDEX(Revenue_type,MATCH(W174*1,type!$A$118:$A$168,0),8),INDEX(Expenditure_type,MATCH(W174*1,type!$A$2:$A$117,0),8))</f>
        <v>השתתפות משרד החינוך והתרבות</v>
      </c>
      <c r="Y174" s="18" t="str">
        <f t="shared" si="23"/>
        <v>920</v>
      </c>
      <c r="Z174" s="18" t="e">
        <f>IF($L174&lt;"6",INDEX(Revenue_type,MATCH(Y174*1,type!$A$118:$A$168,0),8),INDEX(Expenditure_type,MATCH(Y174*1,type!$A$2:$A$117,0),8))</f>
        <v>#N/A</v>
      </c>
    </row>
    <row r="175" spans="1:26" ht="15.75" hidden="1" customHeight="1" outlineLevel="2">
      <c r="A175" s="482">
        <v>410</v>
      </c>
      <c r="B175" s="485" t="s">
        <v>7665</v>
      </c>
      <c r="C175">
        <v>1</v>
      </c>
      <c r="D175" t="str">
        <f t="shared" si="16"/>
        <v>1323000.410</v>
      </c>
      <c r="E175" s="495" t="s">
        <v>7859</v>
      </c>
      <c r="H175" s="470">
        <v>-2250000</v>
      </c>
      <c r="I175" s="470">
        <v>-2250000</v>
      </c>
      <c r="J175" s="470">
        <v>-2201299</v>
      </c>
      <c r="K175" s="18"/>
      <c r="L175" s="18" t="str">
        <f t="shared" si="17"/>
        <v>3</v>
      </c>
      <c r="M175" s="18" t="str">
        <f>INDEX(Chapter,MATCH(L175,Chapter!$A$1:$A$681,0),8)</f>
        <v>שירותים ממלכתיים</v>
      </c>
      <c r="N175" s="18" t="str">
        <f t="shared" si="18"/>
        <v>32</v>
      </c>
      <c r="O175" s="18" t="str">
        <f>INDEX(Chapter,MATCH(N175,Chapter!$A$1:$A$681,0),8)</f>
        <v>תרבות</v>
      </c>
      <c r="P175" s="18" t="str">
        <f t="shared" si="19"/>
        <v>323</v>
      </c>
      <c r="Q175" s="18" t="str">
        <f>INDEX(Chapter,MATCH(P175,Chapter!$A$1:$A$681,0),8)</f>
        <v>ספריות עירוניות</v>
      </c>
      <c r="R175" s="18" t="str">
        <f t="shared" si="20"/>
        <v>3230</v>
      </c>
      <c r="S175" s="18" t="e">
        <f>INDEX(Chapter,MATCH(R175,Chapter!$A$1:$A$681,0),8)</f>
        <v>#N/A</v>
      </c>
      <c r="T175" s="18"/>
      <c r="U175" s="18" t="str">
        <f t="shared" si="21"/>
        <v>4</v>
      </c>
      <c r="V175" s="18" t="str">
        <f>IF($L175&lt;"6",INDEX(Revenue_type,MATCH(U175*1,type!$A$118:$A$168,0),8),INDEX(Expenditure_type,MATCH(U175*1,type!$A$2:$A$117,0),8))</f>
        <v>שירותים ושכר לימוד</v>
      </c>
      <c r="W175" s="18" t="str">
        <f t="shared" si="22"/>
        <v>41</v>
      </c>
      <c r="X175" s="18" t="str">
        <f>IF($L175&lt;"6",INDEX(Revenue_type,MATCH(W175*1,type!$A$118:$A$168,0),8),INDEX(Expenditure_type,MATCH(W175*1,type!$A$2:$A$117,0),8))</f>
        <v>שכל"מ מתושבים</v>
      </c>
      <c r="Y175" s="18" t="str">
        <f t="shared" si="23"/>
        <v>410</v>
      </c>
      <c r="Z175" s="18" t="e">
        <f>IF($L175&lt;"6",INDEX(Revenue_type,MATCH(Y175*1,type!$A$118:$A$168,0),8),INDEX(Expenditure_type,MATCH(Y175*1,type!$A$2:$A$117,0),8))</f>
        <v>#N/A</v>
      </c>
    </row>
    <row r="176" spans="1:26" ht="15.75" hidden="1" customHeight="1" outlineLevel="2">
      <c r="A176" s="482">
        <v>410</v>
      </c>
      <c r="B176" s="487">
        <v>323001</v>
      </c>
      <c r="C176">
        <v>1</v>
      </c>
      <c r="D176" t="str">
        <f t="shared" si="16"/>
        <v>1323001.410</v>
      </c>
      <c r="E176" s="492" t="s">
        <v>7860</v>
      </c>
      <c r="H176" s="470">
        <v>-380000</v>
      </c>
      <c r="I176" s="470">
        <v>-380000</v>
      </c>
      <c r="J176" s="470">
        <v>-157979</v>
      </c>
      <c r="K176" s="18"/>
      <c r="L176" s="18" t="str">
        <f t="shared" si="17"/>
        <v>3</v>
      </c>
      <c r="M176" s="18" t="str">
        <f>INDEX(Chapter,MATCH(L176,Chapter!$A$1:$A$681,0),8)</f>
        <v>שירותים ממלכתיים</v>
      </c>
      <c r="N176" s="18" t="str">
        <f t="shared" si="18"/>
        <v>32</v>
      </c>
      <c r="O176" s="18" t="str">
        <f>INDEX(Chapter,MATCH(N176,Chapter!$A$1:$A$681,0),8)</f>
        <v>תרבות</v>
      </c>
      <c r="P176" s="18" t="str">
        <f t="shared" si="19"/>
        <v>323</v>
      </c>
      <c r="Q176" s="18" t="str">
        <f>INDEX(Chapter,MATCH(P176,Chapter!$A$1:$A$681,0),8)</f>
        <v>ספריות עירוניות</v>
      </c>
      <c r="R176" s="18" t="str">
        <f t="shared" si="20"/>
        <v>3230</v>
      </c>
      <c r="S176" s="18" t="e">
        <f>INDEX(Chapter,MATCH(R176,Chapter!$A$1:$A$681,0),8)</f>
        <v>#N/A</v>
      </c>
      <c r="T176" s="18"/>
      <c r="U176" s="18" t="str">
        <f t="shared" si="21"/>
        <v>4</v>
      </c>
      <c r="V176" s="18" t="str">
        <f>IF($L176&lt;"6",INDEX(Revenue_type,MATCH(U176*1,type!$A$118:$A$168,0),8),INDEX(Expenditure_type,MATCH(U176*1,type!$A$2:$A$117,0),8))</f>
        <v>שירותים ושכר לימוד</v>
      </c>
      <c r="W176" s="18" t="str">
        <f t="shared" si="22"/>
        <v>41</v>
      </c>
      <c r="X176" s="18" t="str">
        <f>IF($L176&lt;"6",INDEX(Revenue_type,MATCH(W176*1,type!$A$118:$A$168,0),8),INDEX(Expenditure_type,MATCH(W176*1,type!$A$2:$A$117,0),8))</f>
        <v>שכל"מ מתושבים</v>
      </c>
      <c r="Y176" s="18" t="str">
        <f t="shared" si="23"/>
        <v>410</v>
      </c>
      <c r="Z176" s="18" t="e">
        <f>IF($L176&lt;"6",INDEX(Revenue_type,MATCH(Y176*1,type!$A$118:$A$168,0),8),INDEX(Expenditure_type,MATCH(Y176*1,type!$A$2:$A$117,0),8))</f>
        <v>#N/A</v>
      </c>
    </row>
    <row r="177" spans="1:26" ht="15.75" hidden="1" customHeight="1" outlineLevel="2">
      <c r="A177" s="482">
        <v>410</v>
      </c>
      <c r="B177" s="487">
        <v>321002</v>
      </c>
      <c r="C177">
        <v>1</v>
      </c>
      <c r="D177" t="str">
        <f t="shared" si="16"/>
        <v>1321002.410</v>
      </c>
      <c r="E177" s="492" t="s">
        <v>7861</v>
      </c>
      <c r="H177" s="470">
        <v>-65000</v>
      </c>
      <c r="I177" s="470">
        <v>-65000</v>
      </c>
      <c r="J177" s="470">
        <v>-36586</v>
      </c>
      <c r="K177" s="18"/>
      <c r="L177" s="18" t="str">
        <f t="shared" si="17"/>
        <v>3</v>
      </c>
      <c r="M177" s="18" t="str">
        <f>INDEX(Chapter,MATCH(L177,Chapter!$A$1:$A$681,0),8)</f>
        <v>שירותים ממלכתיים</v>
      </c>
      <c r="N177" s="18" t="str">
        <f t="shared" si="18"/>
        <v>32</v>
      </c>
      <c r="O177" s="18" t="str">
        <f>INDEX(Chapter,MATCH(N177,Chapter!$A$1:$A$681,0),8)</f>
        <v>תרבות</v>
      </c>
      <c r="P177" s="18" t="str">
        <f t="shared" si="19"/>
        <v>321</v>
      </c>
      <c r="Q177" s="18" t="str">
        <f>INDEX(Chapter,MATCH(P177,Chapter!$A$1:$A$681,0),8)</f>
        <v>מינהל התרבות</v>
      </c>
      <c r="R177" s="18" t="str">
        <f t="shared" si="20"/>
        <v>3210</v>
      </c>
      <c r="S177" s="18" t="e">
        <f>INDEX(Chapter,MATCH(R177,Chapter!$A$1:$A$681,0),8)</f>
        <v>#N/A</v>
      </c>
      <c r="T177" s="18"/>
      <c r="U177" s="18" t="str">
        <f t="shared" si="21"/>
        <v>4</v>
      </c>
      <c r="V177" s="18" t="str">
        <f>IF($L177&lt;"6",INDEX(Revenue_type,MATCH(U177*1,type!$A$118:$A$168,0),8),INDEX(Expenditure_type,MATCH(U177*1,type!$A$2:$A$117,0),8))</f>
        <v>שירותים ושכר לימוד</v>
      </c>
      <c r="W177" s="18" t="str">
        <f t="shared" si="22"/>
        <v>41</v>
      </c>
      <c r="X177" s="18" t="str">
        <f>IF($L177&lt;"6",INDEX(Revenue_type,MATCH(W177*1,type!$A$118:$A$168,0),8),INDEX(Expenditure_type,MATCH(W177*1,type!$A$2:$A$117,0),8))</f>
        <v>שכל"מ מתושבים</v>
      </c>
      <c r="Y177" s="18" t="str">
        <f t="shared" si="23"/>
        <v>410</v>
      </c>
      <c r="Z177" s="18" t="e">
        <f>IF($L177&lt;"6",INDEX(Revenue_type,MATCH(Y177*1,type!$A$118:$A$168,0),8),INDEX(Expenditure_type,MATCH(Y177*1,type!$A$2:$A$117,0),8))</f>
        <v>#N/A</v>
      </c>
    </row>
    <row r="178" spans="1:26" ht="15.75" hidden="1" customHeight="1" outlineLevel="2">
      <c r="A178" s="482">
        <v>410</v>
      </c>
      <c r="B178" s="487">
        <v>322003</v>
      </c>
      <c r="C178">
        <v>1</v>
      </c>
      <c r="D178" t="str">
        <f t="shared" si="16"/>
        <v>1322003.410</v>
      </c>
      <c r="E178" s="492" t="s">
        <v>7862</v>
      </c>
      <c r="H178" s="470">
        <v>-25000</v>
      </c>
      <c r="I178" s="470">
        <v>-25000</v>
      </c>
      <c r="J178" s="470">
        <v>0</v>
      </c>
      <c r="K178" s="18"/>
      <c r="L178" s="18" t="str">
        <f t="shared" si="17"/>
        <v>3</v>
      </c>
      <c r="M178" s="18" t="str">
        <f>INDEX(Chapter,MATCH(L178,Chapter!$A$1:$A$681,0),8)</f>
        <v>שירותים ממלכתיים</v>
      </c>
      <c r="N178" s="18" t="str">
        <f t="shared" si="18"/>
        <v>32</v>
      </c>
      <c r="O178" s="18" t="str">
        <f>INDEX(Chapter,MATCH(N178,Chapter!$A$1:$A$681,0),8)</f>
        <v>תרבות</v>
      </c>
      <c r="P178" s="18" t="str">
        <f t="shared" si="19"/>
        <v>322</v>
      </c>
      <c r="Q178" s="18" t="str">
        <f>INDEX(Chapter,MATCH(P178,Chapter!$A$1:$A$681,0),8)</f>
        <v>פעולות תרבות</v>
      </c>
      <c r="R178" s="18" t="str">
        <f t="shared" si="20"/>
        <v>3220</v>
      </c>
      <c r="S178" s="18" t="e">
        <f>INDEX(Chapter,MATCH(R178,Chapter!$A$1:$A$681,0),8)</f>
        <v>#N/A</v>
      </c>
      <c r="T178" s="18"/>
      <c r="U178" s="18" t="str">
        <f t="shared" si="21"/>
        <v>4</v>
      </c>
      <c r="V178" s="18" t="str">
        <f>IF($L178&lt;"6",INDEX(Revenue_type,MATCH(U178*1,type!$A$118:$A$168,0),8),INDEX(Expenditure_type,MATCH(U178*1,type!$A$2:$A$117,0),8))</f>
        <v>שירותים ושכר לימוד</v>
      </c>
      <c r="W178" s="18" t="str">
        <f t="shared" si="22"/>
        <v>41</v>
      </c>
      <c r="X178" s="18" t="str">
        <f>IF($L178&lt;"6",INDEX(Revenue_type,MATCH(W178*1,type!$A$118:$A$168,0),8),INDEX(Expenditure_type,MATCH(W178*1,type!$A$2:$A$117,0),8))</f>
        <v>שכל"מ מתושבים</v>
      </c>
      <c r="Y178" s="18" t="str">
        <f t="shared" si="23"/>
        <v>410</v>
      </c>
      <c r="Z178" s="18" t="e">
        <f>IF($L178&lt;"6",INDEX(Revenue_type,MATCH(Y178*1,type!$A$118:$A$168,0),8),INDEX(Expenditure_type,MATCH(Y178*1,type!$A$2:$A$117,0),8))</f>
        <v>#N/A</v>
      </c>
    </row>
    <row r="179" spans="1:26" ht="15.75" hidden="1" customHeight="1" outlineLevel="2">
      <c r="A179" s="482">
        <v>411</v>
      </c>
      <c r="B179" s="487">
        <v>327004</v>
      </c>
      <c r="C179">
        <v>1</v>
      </c>
      <c r="D179" t="str">
        <f t="shared" si="16"/>
        <v>1327004.411</v>
      </c>
      <c r="E179" s="492" t="s">
        <v>7863</v>
      </c>
      <c r="H179" s="470">
        <v>-135000</v>
      </c>
      <c r="I179" s="470">
        <v>-135000</v>
      </c>
      <c r="J179" s="470">
        <v>-175419</v>
      </c>
      <c r="K179" s="18"/>
      <c r="L179" s="18" t="str">
        <f t="shared" si="17"/>
        <v>3</v>
      </c>
      <c r="M179" s="18" t="str">
        <f>INDEX(Chapter,MATCH(L179,Chapter!$A$1:$A$681,0),8)</f>
        <v>שירותים ממלכתיים</v>
      </c>
      <c r="N179" s="18" t="str">
        <f t="shared" si="18"/>
        <v>32</v>
      </c>
      <c r="O179" s="18" t="str">
        <f>INDEX(Chapter,MATCH(N179,Chapter!$A$1:$A$681,0),8)</f>
        <v>תרבות</v>
      </c>
      <c r="P179" s="18" t="str">
        <f t="shared" si="19"/>
        <v>327</v>
      </c>
      <c r="Q179" s="18" t="str">
        <f>INDEX(Chapter,MATCH(P179,Chapter!$A$1:$A$681,0),8)</f>
        <v>תרבות תורנית</v>
      </c>
      <c r="R179" s="18" t="str">
        <f t="shared" si="20"/>
        <v>3270</v>
      </c>
      <c r="S179" s="18" t="e">
        <f>INDEX(Chapter,MATCH(R179,Chapter!$A$1:$A$681,0),8)</f>
        <v>#N/A</v>
      </c>
      <c r="T179" s="18"/>
      <c r="U179" s="18" t="str">
        <f t="shared" si="21"/>
        <v>4</v>
      </c>
      <c r="V179" s="18" t="str">
        <f>IF($L179&lt;"6",INDEX(Revenue_type,MATCH(U179*1,type!$A$118:$A$168,0),8),INDEX(Expenditure_type,MATCH(U179*1,type!$A$2:$A$117,0),8))</f>
        <v>שירותים ושכר לימוד</v>
      </c>
      <c r="W179" s="18" t="str">
        <f t="shared" si="22"/>
        <v>41</v>
      </c>
      <c r="X179" s="18" t="str">
        <f>IF($L179&lt;"6",INDEX(Revenue_type,MATCH(W179*1,type!$A$118:$A$168,0),8),INDEX(Expenditure_type,MATCH(W179*1,type!$A$2:$A$117,0),8))</f>
        <v>שכל"מ מתושבים</v>
      </c>
      <c r="Y179" s="18" t="str">
        <f t="shared" si="23"/>
        <v>411</v>
      </c>
      <c r="Z179" s="18" t="e">
        <f>IF($L179&lt;"6",INDEX(Revenue_type,MATCH(Y179*1,type!$A$118:$A$168,0),8),INDEX(Expenditure_type,MATCH(Y179*1,type!$A$2:$A$117,0),8))</f>
        <v>#N/A</v>
      </c>
    </row>
    <row r="180" spans="1:26" ht="15.75" hidden="1" customHeight="1" outlineLevel="2">
      <c r="A180" s="482">
        <v>410</v>
      </c>
      <c r="B180" s="487">
        <v>322005</v>
      </c>
      <c r="C180">
        <v>1</v>
      </c>
      <c r="D180" t="str">
        <f t="shared" si="16"/>
        <v>1322005.410</v>
      </c>
      <c r="E180" s="492" t="s">
        <v>7864</v>
      </c>
      <c r="H180" s="470">
        <v>-50000</v>
      </c>
      <c r="I180" s="470">
        <v>-50000</v>
      </c>
      <c r="J180" s="470">
        <v>-34752</v>
      </c>
      <c r="K180" s="18"/>
      <c r="L180" s="18" t="str">
        <f t="shared" si="17"/>
        <v>3</v>
      </c>
      <c r="M180" s="18" t="str">
        <f>INDEX(Chapter,MATCH(L180,Chapter!$A$1:$A$681,0),8)</f>
        <v>שירותים ממלכתיים</v>
      </c>
      <c r="N180" s="18" t="str">
        <f t="shared" si="18"/>
        <v>32</v>
      </c>
      <c r="O180" s="18" t="str">
        <f>INDEX(Chapter,MATCH(N180,Chapter!$A$1:$A$681,0),8)</f>
        <v>תרבות</v>
      </c>
      <c r="P180" s="18" t="str">
        <f t="shared" si="19"/>
        <v>322</v>
      </c>
      <c r="Q180" s="18" t="str">
        <f>INDEX(Chapter,MATCH(P180,Chapter!$A$1:$A$681,0),8)</f>
        <v>פעולות תרבות</v>
      </c>
      <c r="R180" s="18" t="str">
        <f t="shared" si="20"/>
        <v>3220</v>
      </c>
      <c r="S180" s="18" t="e">
        <f>INDEX(Chapter,MATCH(R180,Chapter!$A$1:$A$681,0),8)</f>
        <v>#N/A</v>
      </c>
      <c r="T180" s="18"/>
      <c r="U180" s="18" t="str">
        <f t="shared" si="21"/>
        <v>4</v>
      </c>
      <c r="V180" s="18" t="str">
        <f>IF($L180&lt;"6",INDEX(Revenue_type,MATCH(U180*1,type!$A$118:$A$168,0),8),INDEX(Expenditure_type,MATCH(U180*1,type!$A$2:$A$117,0),8))</f>
        <v>שירותים ושכר לימוד</v>
      </c>
      <c r="W180" s="18" t="str">
        <f t="shared" si="22"/>
        <v>41</v>
      </c>
      <c r="X180" s="18" t="str">
        <f>IF($L180&lt;"6",INDEX(Revenue_type,MATCH(W180*1,type!$A$118:$A$168,0),8),INDEX(Expenditure_type,MATCH(W180*1,type!$A$2:$A$117,0),8))</f>
        <v>שכל"מ מתושבים</v>
      </c>
      <c r="Y180" s="18" t="str">
        <f t="shared" si="23"/>
        <v>410</v>
      </c>
      <c r="Z180" s="18" t="e">
        <f>IF($L180&lt;"6",INDEX(Revenue_type,MATCH(Y180*1,type!$A$118:$A$168,0),8),INDEX(Expenditure_type,MATCH(Y180*1,type!$A$2:$A$117,0),8))</f>
        <v>#N/A</v>
      </c>
    </row>
    <row r="181" spans="1:26" ht="15.75" hidden="1" customHeight="1" outlineLevel="2">
      <c r="A181" s="482">
        <v>410</v>
      </c>
      <c r="B181" s="487">
        <v>326006</v>
      </c>
      <c r="C181">
        <v>1</v>
      </c>
      <c r="D181" t="str">
        <f t="shared" si="16"/>
        <v>1326006.410</v>
      </c>
      <c r="E181" s="492" t="s">
        <v>7865</v>
      </c>
      <c r="H181" s="470">
        <v>-282000</v>
      </c>
      <c r="I181" s="470">
        <v>-282000</v>
      </c>
      <c r="J181" s="470">
        <v>-102627</v>
      </c>
      <c r="K181" s="18"/>
      <c r="L181" s="18" t="str">
        <f t="shared" si="17"/>
        <v>3</v>
      </c>
      <c r="M181" s="18" t="str">
        <f>INDEX(Chapter,MATCH(L181,Chapter!$A$1:$A$681,0),8)</f>
        <v>שירותים ממלכתיים</v>
      </c>
      <c r="N181" s="18" t="str">
        <f t="shared" si="18"/>
        <v>32</v>
      </c>
      <c r="O181" s="18" t="str">
        <f>INDEX(Chapter,MATCH(N181,Chapter!$A$1:$A$681,0),8)</f>
        <v>תרבות</v>
      </c>
      <c r="P181" s="18" t="str">
        <f t="shared" si="19"/>
        <v>326</v>
      </c>
      <c r="Q181" s="18" t="str">
        <f>INDEX(Chapter,MATCH(P181,Chapter!$A$1:$A$681,0),8)</f>
        <v>מוקדי תרבות</v>
      </c>
      <c r="R181" s="18" t="str">
        <f t="shared" si="20"/>
        <v>3260</v>
      </c>
      <c r="S181" s="18" t="e">
        <f>INDEX(Chapter,MATCH(R181,Chapter!$A$1:$A$681,0),8)</f>
        <v>#N/A</v>
      </c>
      <c r="T181" s="18"/>
      <c r="U181" s="18" t="str">
        <f t="shared" si="21"/>
        <v>4</v>
      </c>
      <c r="V181" s="18" t="str">
        <f>IF($L181&lt;"6",INDEX(Revenue_type,MATCH(U181*1,type!$A$118:$A$168,0),8),INDEX(Expenditure_type,MATCH(U181*1,type!$A$2:$A$117,0),8))</f>
        <v>שירותים ושכר לימוד</v>
      </c>
      <c r="W181" s="18" t="str">
        <f t="shared" si="22"/>
        <v>41</v>
      </c>
      <c r="X181" s="18" t="str">
        <f>IF($L181&lt;"6",INDEX(Revenue_type,MATCH(W181*1,type!$A$118:$A$168,0),8),INDEX(Expenditure_type,MATCH(W181*1,type!$A$2:$A$117,0),8))</f>
        <v>שכל"מ מתושבים</v>
      </c>
      <c r="Y181" s="18" t="str">
        <f t="shared" si="23"/>
        <v>410</v>
      </c>
      <c r="Z181" s="18" t="e">
        <f>IF($L181&lt;"6",INDEX(Revenue_type,MATCH(Y181*1,type!$A$118:$A$168,0),8),INDEX(Expenditure_type,MATCH(Y181*1,type!$A$2:$A$117,0),8))</f>
        <v>#N/A</v>
      </c>
    </row>
    <row r="182" spans="1:26" ht="15.75" hidden="1" customHeight="1" outlineLevel="2">
      <c r="A182" s="482">
        <v>410</v>
      </c>
      <c r="B182" s="487">
        <v>325007</v>
      </c>
      <c r="C182">
        <v>1</v>
      </c>
      <c r="D182" t="str">
        <f t="shared" si="16"/>
        <v>1325007.410</v>
      </c>
      <c r="E182" s="492" t="s">
        <v>7866</v>
      </c>
      <c r="H182" s="470">
        <v>-185000</v>
      </c>
      <c r="I182" s="470">
        <v>-185000</v>
      </c>
      <c r="J182" s="470">
        <v>-98225</v>
      </c>
      <c r="K182" s="18"/>
      <c r="L182" s="18" t="str">
        <f t="shared" si="17"/>
        <v>3</v>
      </c>
      <c r="M182" s="18" t="str">
        <f>INDEX(Chapter,MATCH(L182,Chapter!$A$1:$A$681,0),8)</f>
        <v>שירותים ממלכתיים</v>
      </c>
      <c r="N182" s="18" t="str">
        <f t="shared" si="18"/>
        <v>32</v>
      </c>
      <c r="O182" s="18" t="str">
        <f>INDEX(Chapter,MATCH(N182,Chapter!$A$1:$A$681,0),8)</f>
        <v>תרבות</v>
      </c>
      <c r="P182" s="18" t="str">
        <f t="shared" si="19"/>
        <v>325</v>
      </c>
      <c r="Q182" s="18" t="str">
        <f>INDEX(Chapter,MATCH(P182,Chapter!$A$1:$A$681,0),8)</f>
        <v>מוסיקה ומחול</v>
      </c>
      <c r="R182" s="18" t="str">
        <f t="shared" si="20"/>
        <v>3250</v>
      </c>
      <c r="S182" s="18" t="e">
        <f>INDEX(Chapter,MATCH(R182,Chapter!$A$1:$A$681,0),8)</f>
        <v>#N/A</v>
      </c>
      <c r="T182" s="18"/>
      <c r="U182" s="18" t="str">
        <f t="shared" si="21"/>
        <v>4</v>
      </c>
      <c r="V182" s="18" t="str">
        <f>IF($L182&lt;"6",INDEX(Revenue_type,MATCH(U182*1,type!$A$118:$A$168,0),8),INDEX(Expenditure_type,MATCH(U182*1,type!$A$2:$A$117,0),8))</f>
        <v>שירותים ושכר לימוד</v>
      </c>
      <c r="W182" s="18" t="str">
        <f t="shared" si="22"/>
        <v>41</v>
      </c>
      <c r="X182" s="18" t="str">
        <f>IF($L182&lt;"6",INDEX(Revenue_type,MATCH(W182*1,type!$A$118:$A$168,0),8),INDEX(Expenditure_type,MATCH(W182*1,type!$A$2:$A$117,0),8))</f>
        <v>שכל"מ מתושבים</v>
      </c>
      <c r="Y182" s="18" t="str">
        <f t="shared" si="23"/>
        <v>410</v>
      </c>
      <c r="Z182" s="18" t="e">
        <f>IF($L182&lt;"6",INDEX(Revenue_type,MATCH(Y182*1,type!$A$118:$A$168,0),8),INDEX(Expenditure_type,MATCH(Y182*1,type!$A$2:$A$117,0),8))</f>
        <v>#N/A</v>
      </c>
    </row>
    <row r="183" spans="1:26" ht="15.75" hidden="1" customHeight="1" outlineLevel="2">
      <c r="A183" s="482">
        <v>410</v>
      </c>
      <c r="B183" s="487">
        <v>328008</v>
      </c>
      <c r="C183">
        <v>1</v>
      </c>
      <c r="D183" t="str">
        <f t="shared" si="16"/>
        <v>1328008.410</v>
      </c>
      <c r="E183" s="492" t="s">
        <v>7867</v>
      </c>
      <c r="H183" s="470">
        <v>-1199000</v>
      </c>
      <c r="I183" s="470">
        <v>-253000</v>
      </c>
      <c r="J183" s="470">
        <v>-24916</v>
      </c>
      <c r="K183" s="18"/>
      <c r="L183" s="18" t="str">
        <f t="shared" si="17"/>
        <v>3</v>
      </c>
      <c r="M183" s="18" t="str">
        <f>INDEX(Chapter,MATCH(L183,Chapter!$A$1:$A$681,0),8)</f>
        <v>שירותים ממלכתיים</v>
      </c>
      <c r="N183" s="18" t="str">
        <f t="shared" si="18"/>
        <v>32</v>
      </c>
      <c r="O183" s="18" t="str">
        <f>INDEX(Chapter,MATCH(N183,Chapter!$A$1:$A$681,0),8)</f>
        <v>תרבות</v>
      </c>
      <c r="P183" s="18" t="str">
        <f t="shared" si="19"/>
        <v>328</v>
      </c>
      <c r="Q183" s="18" t="str">
        <f>INDEX(Chapter,MATCH(P183,Chapter!$A$1:$A$681,0),8)</f>
        <v>נוער</v>
      </c>
      <c r="R183" s="18" t="str">
        <f t="shared" si="20"/>
        <v>3280</v>
      </c>
      <c r="S183" s="18" t="e">
        <f>INDEX(Chapter,MATCH(R183,Chapter!$A$1:$A$681,0),8)</f>
        <v>#N/A</v>
      </c>
      <c r="T183" s="18"/>
      <c r="U183" s="18" t="str">
        <f t="shared" si="21"/>
        <v>4</v>
      </c>
      <c r="V183" s="18" t="str">
        <f>IF($L183&lt;"6",INDEX(Revenue_type,MATCH(U183*1,type!$A$118:$A$168,0),8),INDEX(Expenditure_type,MATCH(U183*1,type!$A$2:$A$117,0),8))</f>
        <v>שירותים ושכר לימוד</v>
      </c>
      <c r="W183" s="18" t="str">
        <f t="shared" si="22"/>
        <v>41</v>
      </c>
      <c r="X183" s="18" t="str">
        <f>IF($L183&lt;"6",INDEX(Revenue_type,MATCH(W183*1,type!$A$118:$A$168,0),8),INDEX(Expenditure_type,MATCH(W183*1,type!$A$2:$A$117,0),8))</f>
        <v>שכל"מ מתושבים</v>
      </c>
      <c r="Y183" s="18" t="str">
        <f t="shared" si="23"/>
        <v>410</v>
      </c>
      <c r="Z183" s="18" t="e">
        <f>IF($L183&lt;"6",INDEX(Revenue_type,MATCH(Y183*1,type!$A$118:$A$168,0),8),INDEX(Expenditure_type,MATCH(Y183*1,type!$A$2:$A$117,0),8))</f>
        <v>#N/A</v>
      </c>
    </row>
    <row r="184" spans="1:26" ht="15.75" hidden="1" customHeight="1" outlineLevel="2">
      <c r="A184" s="482">
        <v>410</v>
      </c>
      <c r="B184" s="487">
        <v>326009</v>
      </c>
      <c r="C184">
        <v>1</v>
      </c>
      <c r="D184" t="str">
        <f t="shared" si="16"/>
        <v>1326009.410</v>
      </c>
      <c r="E184" s="492" t="s">
        <v>7868</v>
      </c>
      <c r="H184" s="470">
        <v>-100000</v>
      </c>
      <c r="I184" s="470">
        <v>-100000</v>
      </c>
      <c r="J184" s="470">
        <v>-5900</v>
      </c>
      <c r="K184" s="18"/>
      <c r="L184" s="18" t="str">
        <f t="shared" si="17"/>
        <v>3</v>
      </c>
      <c r="M184" s="18" t="str">
        <f>INDEX(Chapter,MATCH(L184,Chapter!$A$1:$A$681,0),8)</f>
        <v>שירותים ממלכתיים</v>
      </c>
      <c r="N184" s="18" t="str">
        <f t="shared" si="18"/>
        <v>32</v>
      </c>
      <c r="O184" s="18" t="str">
        <f>INDEX(Chapter,MATCH(N184,Chapter!$A$1:$A$681,0),8)</f>
        <v>תרבות</v>
      </c>
      <c r="P184" s="18" t="str">
        <f t="shared" si="19"/>
        <v>326</v>
      </c>
      <c r="Q184" s="18" t="str">
        <f>INDEX(Chapter,MATCH(P184,Chapter!$A$1:$A$681,0),8)</f>
        <v>מוקדי תרבות</v>
      </c>
      <c r="R184" s="18" t="str">
        <f t="shared" si="20"/>
        <v>3260</v>
      </c>
      <c r="S184" s="18" t="e">
        <f>INDEX(Chapter,MATCH(R184,Chapter!$A$1:$A$681,0),8)</f>
        <v>#N/A</v>
      </c>
      <c r="T184" s="18"/>
      <c r="U184" s="18" t="str">
        <f t="shared" si="21"/>
        <v>4</v>
      </c>
      <c r="V184" s="18" t="str">
        <f>IF($L184&lt;"6",INDEX(Revenue_type,MATCH(U184*1,type!$A$118:$A$168,0),8),INDEX(Expenditure_type,MATCH(U184*1,type!$A$2:$A$117,0),8))</f>
        <v>שירותים ושכר לימוד</v>
      </c>
      <c r="W184" s="18" t="str">
        <f t="shared" si="22"/>
        <v>41</v>
      </c>
      <c r="X184" s="18" t="str">
        <f>IF($L184&lt;"6",INDEX(Revenue_type,MATCH(W184*1,type!$A$118:$A$168,0),8),INDEX(Expenditure_type,MATCH(W184*1,type!$A$2:$A$117,0),8))</f>
        <v>שכל"מ מתושבים</v>
      </c>
      <c r="Y184" s="18" t="str">
        <f t="shared" si="23"/>
        <v>410</v>
      </c>
      <c r="Z184" s="18" t="e">
        <f>IF($L184&lt;"6",INDEX(Revenue_type,MATCH(Y184*1,type!$A$118:$A$168,0),8),INDEX(Expenditure_type,MATCH(Y184*1,type!$A$2:$A$117,0),8))</f>
        <v>#N/A</v>
      </c>
    </row>
    <row r="185" spans="1:26" ht="15.75" hidden="1" customHeight="1" outlineLevel="2">
      <c r="A185" s="482">
        <v>410</v>
      </c>
      <c r="B185" s="487">
        <v>329010</v>
      </c>
      <c r="C185">
        <v>1</v>
      </c>
      <c r="D185" t="str">
        <f t="shared" si="16"/>
        <v>1329010.410</v>
      </c>
      <c r="E185" s="492" t="s">
        <v>7869</v>
      </c>
      <c r="H185" s="470">
        <v>-400000</v>
      </c>
      <c r="I185" s="470">
        <v>-400000</v>
      </c>
      <c r="J185" s="470">
        <v>-247688</v>
      </c>
      <c r="K185" s="18"/>
      <c r="L185" s="18" t="str">
        <f t="shared" si="17"/>
        <v>3</v>
      </c>
      <c r="M185" s="18" t="str">
        <f>INDEX(Chapter,MATCH(L185,Chapter!$A$1:$A$681,0),8)</f>
        <v>שירותים ממלכתיים</v>
      </c>
      <c r="N185" s="18" t="str">
        <f t="shared" si="18"/>
        <v>32</v>
      </c>
      <c r="O185" s="18" t="str">
        <f>INDEX(Chapter,MATCH(N185,Chapter!$A$1:$A$681,0),8)</f>
        <v>תרבות</v>
      </c>
      <c r="P185" s="18" t="str">
        <f t="shared" si="19"/>
        <v>329</v>
      </c>
      <c r="Q185" s="18" t="str">
        <f>INDEX(Chapter,MATCH(P185,Chapter!$A$1:$A$681,0),8)</f>
        <v>ספורט</v>
      </c>
      <c r="R185" s="18" t="str">
        <f t="shared" si="20"/>
        <v>3290</v>
      </c>
      <c r="S185" s="18" t="e">
        <f>INDEX(Chapter,MATCH(R185,Chapter!$A$1:$A$681,0),8)</f>
        <v>#N/A</v>
      </c>
      <c r="T185" s="18"/>
      <c r="U185" s="18" t="str">
        <f t="shared" si="21"/>
        <v>4</v>
      </c>
      <c r="V185" s="18" t="str">
        <f>IF($L185&lt;"6",INDEX(Revenue_type,MATCH(U185*1,type!$A$118:$A$168,0),8),INDEX(Expenditure_type,MATCH(U185*1,type!$A$2:$A$117,0),8))</f>
        <v>שירותים ושכר לימוד</v>
      </c>
      <c r="W185" s="18" t="str">
        <f t="shared" si="22"/>
        <v>41</v>
      </c>
      <c r="X185" s="18" t="str">
        <f>IF($L185&lt;"6",INDEX(Revenue_type,MATCH(W185*1,type!$A$118:$A$168,0),8),INDEX(Expenditure_type,MATCH(W185*1,type!$A$2:$A$117,0),8))</f>
        <v>שכל"מ מתושבים</v>
      </c>
      <c r="Y185" s="18" t="str">
        <f t="shared" si="23"/>
        <v>410</v>
      </c>
      <c r="Z185" s="18" t="e">
        <f>IF($L185&lt;"6",INDEX(Revenue_type,MATCH(Y185*1,type!$A$118:$A$168,0),8),INDEX(Expenditure_type,MATCH(Y185*1,type!$A$2:$A$117,0),8))</f>
        <v>#N/A</v>
      </c>
    </row>
    <row r="186" spans="1:26" ht="15.75" hidden="1" customHeight="1" outlineLevel="2">
      <c r="A186" s="482">
        <v>410</v>
      </c>
      <c r="B186" s="487">
        <v>329011</v>
      </c>
      <c r="C186">
        <v>1</v>
      </c>
      <c r="D186" t="str">
        <f t="shared" si="16"/>
        <v>1329011.410</v>
      </c>
      <c r="E186" s="492" t="s">
        <v>7870</v>
      </c>
      <c r="H186" s="470">
        <v>0</v>
      </c>
      <c r="I186" s="470">
        <v>0</v>
      </c>
      <c r="J186" s="470">
        <v>-58221</v>
      </c>
      <c r="K186" s="18"/>
      <c r="L186" s="18" t="str">
        <f t="shared" si="17"/>
        <v>3</v>
      </c>
      <c r="M186" s="18" t="str">
        <f>INDEX(Chapter,MATCH(L186,Chapter!$A$1:$A$681,0),8)</f>
        <v>שירותים ממלכתיים</v>
      </c>
      <c r="N186" s="18" t="str">
        <f t="shared" si="18"/>
        <v>32</v>
      </c>
      <c r="O186" s="18" t="str">
        <f>INDEX(Chapter,MATCH(N186,Chapter!$A$1:$A$681,0),8)</f>
        <v>תרבות</v>
      </c>
      <c r="P186" s="18" t="str">
        <f t="shared" si="19"/>
        <v>329</v>
      </c>
      <c r="Q186" s="18" t="str">
        <f>INDEX(Chapter,MATCH(P186,Chapter!$A$1:$A$681,0),8)</f>
        <v>ספורט</v>
      </c>
      <c r="R186" s="18" t="str">
        <f t="shared" si="20"/>
        <v>3290</v>
      </c>
      <c r="S186" s="18" t="e">
        <f>INDEX(Chapter,MATCH(R186,Chapter!$A$1:$A$681,0),8)</f>
        <v>#N/A</v>
      </c>
      <c r="T186" s="18"/>
      <c r="U186" s="18" t="str">
        <f t="shared" si="21"/>
        <v>4</v>
      </c>
      <c r="V186" s="18" t="str">
        <f>IF($L186&lt;"6",INDEX(Revenue_type,MATCH(U186*1,type!$A$118:$A$168,0),8),INDEX(Expenditure_type,MATCH(U186*1,type!$A$2:$A$117,0),8))</f>
        <v>שירותים ושכר לימוד</v>
      </c>
      <c r="W186" s="18" t="str">
        <f t="shared" si="22"/>
        <v>41</v>
      </c>
      <c r="X186" s="18" t="str">
        <f>IF($L186&lt;"6",INDEX(Revenue_type,MATCH(W186*1,type!$A$118:$A$168,0),8),INDEX(Expenditure_type,MATCH(W186*1,type!$A$2:$A$117,0),8))</f>
        <v>שכל"מ מתושבים</v>
      </c>
      <c r="Y186" s="18" t="str">
        <f t="shared" si="23"/>
        <v>410</v>
      </c>
      <c r="Z186" s="18" t="e">
        <f>IF($L186&lt;"6",INDEX(Revenue_type,MATCH(Y186*1,type!$A$118:$A$168,0),8),INDEX(Expenditure_type,MATCH(Y186*1,type!$A$2:$A$117,0),8))</f>
        <v>#N/A</v>
      </c>
    </row>
    <row r="187" spans="1:26" ht="15.75" hidden="1" customHeight="1" outlineLevel="2">
      <c r="A187" s="482">
        <v>410</v>
      </c>
      <c r="B187" s="487">
        <v>324012</v>
      </c>
      <c r="C187">
        <v>1</v>
      </c>
      <c r="D187" t="str">
        <f t="shared" si="16"/>
        <v>1324012.410</v>
      </c>
      <c r="E187" s="492" t="s">
        <v>7871</v>
      </c>
      <c r="H187" s="470">
        <v>-220000</v>
      </c>
      <c r="I187" s="470">
        <v>-220000</v>
      </c>
      <c r="J187" s="470">
        <v>-107734</v>
      </c>
      <c r="K187" s="18"/>
      <c r="L187" s="18" t="str">
        <f t="shared" si="17"/>
        <v>3</v>
      </c>
      <c r="M187" s="18" t="str">
        <f>INDEX(Chapter,MATCH(L187,Chapter!$A$1:$A$681,0),8)</f>
        <v>שירותים ממלכתיים</v>
      </c>
      <c r="N187" s="18" t="str">
        <f t="shared" si="18"/>
        <v>32</v>
      </c>
      <c r="O187" s="18" t="str">
        <f>INDEX(Chapter,MATCH(N187,Chapter!$A$1:$A$681,0),8)</f>
        <v>תרבות</v>
      </c>
      <c r="P187" s="18" t="str">
        <f t="shared" si="19"/>
        <v>324</v>
      </c>
      <c r="Q187" s="18" t="str">
        <f>INDEX(Chapter,MATCH(P187,Chapter!$A$1:$A$681,0),8)</f>
        <v>מתנ״סים</v>
      </c>
      <c r="R187" s="18" t="str">
        <f t="shared" si="20"/>
        <v>3240</v>
      </c>
      <c r="S187" s="18" t="e">
        <f>INDEX(Chapter,MATCH(R187,Chapter!$A$1:$A$681,0),8)</f>
        <v>#N/A</v>
      </c>
      <c r="T187" s="18"/>
      <c r="U187" s="18" t="str">
        <f t="shared" si="21"/>
        <v>4</v>
      </c>
      <c r="V187" s="18" t="str">
        <f>IF($L187&lt;"6",INDEX(Revenue_type,MATCH(U187*1,type!$A$118:$A$168,0),8),INDEX(Expenditure_type,MATCH(U187*1,type!$A$2:$A$117,0),8))</f>
        <v>שירותים ושכר לימוד</v>
      </c>
      <c r="W187" s="18" t="str">
        <f t="shared" si="22"/>
        <v>41</v>
      </c>
      <c r="X187" s="18" t="str">
        <f>IF($L187&lt;"6",INDEX(Revenue_type,MATCH(W187*1,type!$A$118:$A$168,0),8),INDEX(Expenditure_type,MATCH(W187*1,type!$A$2:$A$117,0),8))</f>
        <v>שכל"מ מתושבים</v>
      </c>
      <c r="Y187" s="18" t="str">
        <f t="shared" si="23"/>
        <v>410</v>
      </c>
      <c r="Z187" s="18" t="e">
        <f>IF($L187&lt;"6",INDEX(Revenue_type,MATCH(Y187*1,type!$A$118:$A$168,0),8),INDEX(Expenditure_type,MATCH(Y187*1,type!$A$2:$A$117,0),8))</f>
        <v>#N/A</v>
      </c>
    </row>
    <row r="188" spans="1:26" ht="15.75" hidden="1" customHeight="1" outlineLevel="2">
      <c r="A188" s="482">
        <v>410</v>
      </c>
      <c r="B188" s="487">
        <v>329013</v>
      </c>
      <c r="C188">
        <v>1</v>
      </c>
      <c r="D188" t="str">
        <f t="shared" si="16"/>
        <v>1329013.410</v>
      </c>
      <c r="E188" s="492" t="s">
        <v>7872</v>
      </c>
      <c r="H188" s="470">
        <v>0</v>
      </c>
      <c r="I188" s="470">
        <v>0</v>
      </c>
      <c r="J188" s="470">
        <v>-57710</v>
      </c>
      <c r="K188" s="18"/>
      <c r="L188" s="18" t="str">
        <f t="shared" si="17"/>
        <v>3</v>
      </c>
      <c r="M188" s="18" t="str">
        <f>INDEX(Chapter,MATCH(L188,Chapter!$A$1:$A$681,0),8)</f>
        <v>שירותים ממלכתיים</v>
      </c>
      <c r="N188" s="18" t="str">
        <f t="shared" si="18"/>
        <v>32</v>
      </c>
      <c r="O188" s="18" t="str">
        <f>INDEX(Chapter,MATCH(N188,Chapter!$A$1:$A$681,0),8)</f>
        <v>תרבות</v>
      </c>
      <c r="P188" s="18" t="str">
        <f t="shared" si="19"/>
        <v>329</v>
      </c>
      <c r="Q188" s="18" t="str">
        <f>INDEX(Chapter,MATCH(P188,Chapter!$A$1:$A$681,0),8)</f>
        <v>ספורט</v>
      </c>
      <c r="R188" s="18" t="str">
        <f t="shared" si="20"/>
        <v>3290</v>
      </c>
      <c r="S188" s="18" t="e">
        <f>INDEX(Chapter,MATCH(R188,Chapter!$A$1:$A$681,0),8)</f>
        <v>#N/A</v>
      </c>
      <c r="T188" s="18"/>
      <c r="U188" s="18" t="str">
        <f t="shared" si="21"/>
        <v>4</v>
      </c>
      <c r="V188" s="18" t="str">
        <f>IF($L188&lt;"6",INDEX(Revenue_type,MATCH(U188*1,type!$A$118:$A$168,0),8),INDEX(Expenditure_type,MATCH(U188*1,type!$A$2:$A$117,0),8))</f>
        <v>שירותים ושכר לימוד</v>
      </c>
      <c r="W188" s="18" t="str">
        <f t="shared" si="22"/>
        <v>41</v>
      </c>
      <c r="X188" s="18" t="str">
        <f>IF($L188&lt;"6",INDEX(Revenue_type,MATCH(W188*1,type!$A$118:$A$168,0),8),INDEX(Expenditure_type,MATCH(W188*1,type!$A$2:$A$117,0),8))</f>
        <v>שכל"מ מתושבים</v>
      </c>
      <c r="Y188" s="18" t="str">
        <f t="shared" si="23"/>
        <v>410</v>
      </c>
      <c r="Z188" s="18" t="e">
        <f>IF($L188&lt;"6",INDEX(Revenue_type,MATCH(Y188*1,type!$A$118:$A$168,0),8),INDEX(Expenditure_type,MATCH(Y188*1,type!$A$2:$A$117,0),8))</f>
        <v>#N/A</v>
      </c>
    </row>
    <row r="189" spans="1:26" ht="15.75" hidden="1" customHeight="1" outlineLevel="2">
      <c r="A189" s="482">
        <v>410</v>
      </c>
      <c r="B189" s="487">
        <v>324014</v>
      </c>
      <c r="C189">
        <v>1</v>
      </c>
      <c r="D189" t="str">
        <f t="shared" si="16"/>
        <v>1324014.410</v>
      </c>
      <c r="E189" s="492" t="s">
        <v>7873</v>
      </c>
      <c r="H189" s="470">
        <v>-330000</v>
      </c>
      <c r="I189" s="470">
        <v>-330000</v>
      </c>
      <c r="J189" s="470">
        <v>-160592</v>
      </c>
      <c r="K189" s="18"/>
      <c r="L189" s="18" t="str">
        <f t="shared" si="17"/>
        <v>3</v>
      </c>
      <c r="M189" s="18" t="str">
        <f>INDEX(Chapter,MATCH(L189,Chapter!$A$1:$A$681,0),8)</f>
        <v>שירותים ממלכתיים</v>
      </c>
      <c r="N189" s="18" t="str">
        <f t="shared" si="18"/>
        <v>32</v>
      </c>
      <c r="O189" s="18" t="str">
        <f>INDEX(Chapter,MATCH(N189,Chapter!$A$1:$A$681,0),8)</f>
        <v>תרבות</v>
      </c>
      <c r="P189" s="18" t="str">
        <f t="shared" si="19"/>
        <v>324</v>
      </c>
      <c r="Q189" s="18" t="str">
        <f>INDEX(Chapter,MATCH(P189,Chapter!$A$1:$A$681,0),8)</f>
        <v>מתנ״סים</v>
      </c>
      <c r="R189" s="18" t="str">
        <f t="shared" si="20"/>
        <v>3240</v>
      </c>
      <c r="S189" s="18" t="e">
        <f>INDEX(Chapter,MATCH(R189,Chapter!$A$1:$A$681,0),8)</f>
        <v>#N/A</v>
      </c>
      <c r="T189" s="18"/>
      <c r="U189" s="18" t="str">
        <f t="shared" si="21"/>
        <v>4</v>
      </c>
      <c r="V189" s="18" t="str">
        <f>IF($L189&lt;"6",INDEX(Revenue_type,MATCH(U189*1,type!$A$118:$A$168,0),8),INDEX(Expenditure_type,MATCH(U189*1,type!$A$2:$A$117,0),8))</f>
        <v>שירותים ושכר לימוד</v>
      </c>
      <c r="W189" s="18" t="str">
        <f t="shared" si="22"/>
        <v>41</v>
      </c>
      <c r="X189" s="18" t="str">
        <f>IF($L189&lt;"6",INDEX(Revenue_type,MATCH(W189*1,type!$A$118:$A$168,0),8),INDEX(Expenditure_type,MATCH(W189*1,type!$A$2:$A$117,0),8))</f>
        <v>שכל"מ מתושבים</v>
      </c>
      <c r="Y189" s="18" t="str">
        <f t="shared" si="23"/>
        <v>410</v>
      </c>
      <c r="Z189" s="18" t="e">
        <f>IF($L189&lt;"6",INDEX(Revenue_type,MATCH(Y189*1,type!$A$118:$A$168,0),8),INDEX(Expenditure_type,MATCH(Y189*1,type!$A$2:$A$117,0),8))</f>
        <v>#N/A</v>
      </c>
    </row>
    <row r="190" spans="1:26" ht="15.75" hidden="1" customHeight="1" outlineLevel="2">
      <c r="A190" s="482">
        <v>410</v>
      </c>
      <c r="B190" s="487">
        <v>324015</v>
      </c>
      <c r="C190">
        <v>1</v>
      </c>
      <c r="D190" t="str">
        <f t="shared" si="16"/>
        <v>1324015.410</v>
      </c>
      <c r="E190" s="492" t="s">
        <v>7874</v>
      </c>
      <c r="H190" s="470">
        <v>-40000</v>
      </c>
      <c r="I190" s="470">
        <v>-40000</v>
      </c>
      <c r="J190" s="470">
        <v>-51243</v>
      </c>
      <c r="K190" s="18"/>
      <c r="L190" s="18" t="str">
        <f t="shared" si="17"/>
        <v>3</v>
      </c>
      <c r="M190" s="18" t="str">
        <f>INDEX(Chapter,MATCH(L190,Chapter!$A$1:$A$681,0),8)</f>
        <v>שירותים ממלכתיים</v>
      </c>
      <c r="N190" s="18" t="str">
        <f t="shared" si="18"/>
        <v>32</v>
      </c>
      <c r="O190" s="18" t="str">
        <f>INDEX(Chapter,MATCH(N190,Chapter!$A$1:$A$681,0),8)</f>
        <v>תרבות</v>
      </c>
      <c r="P190" s="18" t="str">
        <f t="shared" si="19"/>
        <v>324</v>
      </c>
      <c r="Q190" s="18" t="str">
        <f>INDEX(Chapter,MATCH(P190,Chapter!$A$1:$A$681,0),8)</f>
        <v>מתנ״סים</v>
      </c>
      <c r="R190" s="18" t="str">
        <f t="shared" si="20"/>
        <v>3240</v>
      </c>
      <c r="S190" s="18" t="e">
        <f>INDEX(Chapter,MATCH(R190,Chapter!$A$1:$A$681,0),8)</f>
        <v>#N/A</v>
      </c>
      <c r="T190" s="18"/>
      <c r="U190" s="18" t="str">
        <f t="shared" si="21"/>
        <v>4</v>
      </c>
      <c r="V190" s="18" t="str">
        <f>IF($L190&lt;"6",INDEX(Revenue_type,MATCH(U190*1,type!$A$118:$A$168,0),8),INDEX(Expenditure_type,MATCH(U190*1,type!$A$2:$A$117,0),8))</f>
        <v>שירותים ושכר לימוד</v>
      </c>
      <c r="W190" s="18" t="str">
        <f t="shared" si="22"/>
        <v>41</v>
      </c>
      <c r="X190" s="18" t="str">
        <f>IF($L190&lt;"6",INDEX(Revenue_type,MATCH(W190*1,type!$A$118:$A$168,0),8),INDEX(Expenditure_type,MATCH(W190*1,type!$A$2:$A$117,0),8))</f>
        <v>שכל"מ מתושבים</v>
      </c>
      <c r="Y190" s="18" t="str">
        <f t="shared" si="23"/>
        <v>410</v>
      </c>
      <c r="Z190" s="18" t="e">
        <f>IF($L190&lt;"6",INDEX(Revenue_type,MATCH(Y190*1,type!$A$118:$A$168,0),8),INDEX(Expenditure_type,MATCH(Y190*1,type!$A$2:$A$117,0),8))</f>
        <v>#N/A</v>
      </c>
    </row>
    <row r="191" spans="1:26" ht="15.75" hidden="1" customHeight="1" outlineLevel="2">
      <c r="A191" s="482">
        <v>410</v>
      </c>
      <c r="B191" s="487">
        <v>329016</v>
      </c>
      <c r="C191">
        <v>1</v>
      </c>
      <c r="D191" t="str">
        <f t="shared" si="16"/>
        <v>1329016.410</v>
      </c>
      <c r="E191" s="492" t="s">
        <v>7875</v>
      </c>
      <c r="H191" s="470">
        <v>0</v>
      </c>
      <c r="I191" s="470">
        <v>0</v>
      </c>
      <c r="J191" s="470">
        <v>-49920</v>
      </c>
      <c r="K191" s="18"/>
      <c r="L191" s="18" t="str">
        <f t="shared" si="17"/>
        <v>3</v>
      </c>
      <c r="M191" s="18" t="str">
        <f>INDEX(Chapter,MATCH(L191,Chapter!$A$1:$A$681,0),8)</f>
        <v>שירותים ממלכתיים</v>
      </c>
      <c r="N191" s="18" t="str">
        <f t="shared" si="18"/>
        <v>32</v>
      </c>
      <c r="O191" s="18" t="str">
        <f>INDEX(Chapter,MATCH(N191,Chapter!$A$1:$A$681,0),8)</f>
        <v>תרבות</v>
      </c>
      <c r="P191" s="18" t="str">
        <f t="shared" si="19"/>
        <v>329</v>
      </c>
      <c r="Q191" s="18" t="str">
        <f>INDEX(Chapter,MATCH(P191,Chapter!$A$1:$A$681,0),8)</f>
        <v>ספורט</v>
      </c>
      <c r="R191" s="18" t="str">
        <f t="shared" si="20"/>
        <v>3290</v>
      </c>
      <c r="S191" s="18" t="e">
        <f>INDEX(Chapter,MATCH(R191,Chapter!$A$1:$A$681,0),8)</f>
        <v>#N/A</v>
      </c>
      <c r="T191" s="18"/>
      <c r="U191" s="18" t="str">
        <f t="shared" si="21"/>
        <v>4</v>
      </c>
      <c r="V191" s="18" t="str">
        <f>IF($L191&lt;"6",INDEX(Revenue_type,MATCH(U191*1,type!$A$118:$A$168,0),8),INDEX(Expenditure_type,MATCH(U191*1,type!$A$2:$A$117,0),8))</f>
        <v>שירותים ושכר לימוד</v>
      </c>
      <c r="W191" s="18" t="str">
        <f t="shared" si="22"/>
        <v>41</v>
      </c>
      <c r="X191" s="18" t="str">
        <f>IF($L191&lt;"6",INDEX(Revenue_type,MATCH(W191*1,type!$A$118:$A$168,0),8),INDEX(Expenditure_type,MATCH(W191*1,type!$A$2:$A$117,0),8))</f>
        <v>שכל"מ מתושבים</v>
      </c>
      <c r="Y191" s="18" t="str">
        <f t="shared" si="23"/>
        <v>410</v>
      </c>
      <c r="Z191" s="18" t="e">
        <f>IF($L191&lt;"6",INDEX(Revenue_type,MATCH(Y191*1,type!$A$118:$A$168,0),8),INDEX(Expenditure_type,MATCH(Y191*1,type!$A$2:$A$117,0),8))</f>
        <v>#N/A</v>
      </c>
    </row>
    <row r="192" spans="1:26" ht="15.75" hidden="1" customHeight="1" outlineLevel="2">
      <c r="A192" s="482">
        <v>410</v>
      </c>
      <c r="B192" s="487">
        <v>329017</v>
      </c>
      <c r="C192">
        <v>1</v>
      </c>
      <c r="D192" t="str">
        <f t="shared" si="16"/>
        <v>1329017.410</v>
      </c>
      <c r="E192" s="492" t="s">
        <v>7876</v>
      </c>
      <c r="H192" s="470">
        <v>-100000</v>
      </c>
      <c r="I192" s="470">
        <v>-100000</v>
      </c>
      <c r="J192" s="470">
        <v>-140763</v>
      </c>
      <c r="K192" s="18"/>
      <c r="L192" s="18" t="str">
        <f t="shared" si="17"/>
        <v>3</v>
      </c>
      <c r="M192" s="18" t="str">
        <f>INDEX(Chapter,MATCH(L192,Chapter!$A$1:$A$681,0),8)</f>
        <v>שירותים ממלכתיים</v>
      </c>
      <c r="N192" s="18" t="str">
        <f t="shared" si="18"/>
        <v>32</v>
      </c>
      <c r="O192" s="18" t="str">
        <f>INDEX(Chapter,MATCH(N192,Chapter!$A$1:$A$681,0),8)</f>
        <v>תרבות</v>
      </c>
      <c r="P192" s="18" t="str">
        <f t="shared" si="19"/>
        <v>329</v>
      </c>
      <c r="Q192" s="18" t="str">
        <f>INDEX(Chapter,MATCH(P192,Chapter!$A$1:$A$681,0),8)</f>
        <v>ספורט</v>
      </c>
      <c r="R192" s="18" t="str">
        <f t="shared" si="20"/>
        <v>3290</v>
      </c>
      <c r="S192" s="18" t="e">
        <f>INDEX(Chapter,MATCH(R192,Chapter!$A$1:$A$681,0),8)</f>
        <v>#N/A</v>
      </c>
      <c r="T192" s="18"/>
      <c r="U192" s="18" t="str">
        <f t="shared" si="21"/>
        <v>4</v>
      </c>
      <c r="V192" s="18" t="str">
        <f>IF($L192&lt;"6",INDEX(Revenue_type,MATCH(U192*1,type!$A$118:$A$168,0),8),INDEX(Expenditure_type,MATCH(U192*1,type!$A$2:$A$117,0),8))</f>
        <v>שירותים ושכר לימוד</v>
      </c>
      <c r="W192" s="18" t="str">
        <f t="shared" si="22"/>
        <v>41</v>
      </c>
      <c r="X192" s="18" t="str">
        <f>IF($L192&lt;"6",INDEX(Revenue_type,MATCH(W192*1,type!$A$118:$A$168,0),8),INDEX(Expenditure_type,MATCH(W192*1,type!$A$2:$A$117,0),8))</f>
        <v>שכל"מ מתושבים</v>
      </c>
      <c r="Y192" s="18" t="str">
        <f t="shared" si="23"/>
        <v>410</v>
      </c>
      <c r="Z192" s="18" t="e">
        <f>IF($L192&lt;"6",INDEX(Revenue_type,MATCH(Y192*1,type!$A$118:$A$168,0),8),INDEX(Expenditure_type,MATCH(Y192*1,type!$A$2:$A$117,0),8))</f>
        <v>#N/A</v>
      </c>
    </row>
    <row r="193" spans="1:26" ht="15.75" hidden="1" customHeight="1" outlineLevel="2">
      <c r="A193" s="482">
        <v>410</v>
      </c>
      <c r="B193" s="487">
        <v>329018</v>
      </c>
      <c r="C193">
        <v>1</v>
      </c>
      <c r="D193" t="str">
        <f t="shared" si="16"/>
        <v>1329018.410</v>
      </c>
      <c r="E193" s="492" t="s">
        <v>7877</v>
      </c>
      <c r="H193" s="470">
        <v>-211800</v>
      </c>
      <c r="I193" s="470">
        <v>-211800</v>
      </c>
      <c r="J193" s="470">
        <v>-107919</v>
      </c>
      <c r="K193" s="18"/>
      <c r="L193" s="18" t="str">
        <f t="shared" si="17"/>
        <v>3</v>
      </c>
      <c r="M193" s="18" t="str">
        <f>INDEX(Chapter,MATCH(L193,Chapter!$A$1:$A$681,0),8)</f>
        <v>שירותים ממלכתיים</v>
      </c>
      <c r="N193" s="18" t="str">
        <f t="shared" si="18"/>
        <v>32</v>
      </c>
      <c r="O193" s="18" t="str">
        <f>INDEX(Chapter,MATCH(N193,Chapter!$A$1:$A$681,0),8)</f>
        <v>תרבות</v>
      </c>
      <c r="P193" s="18" t="str">
        <f t="shared" si="19"/>
        <v>329</v>
      </c>
      <c r="Q193" s="18" t="str">
        <f>INDEX(Chapter,MATCH(P193,Chapter!$A$1:$A$681,0),8)</f>
        <v>ספורט</v>
      </c>
      <c r="R193" s="18" t="str">
        <f t="shared" si="20"/>
        <v>3290</v>
      </c>
      <c r="S193" s="18" t="e">
        <f>INDEX(Chapter,MATCH(R193,Chapter!$A$1:$A$681,0),8)</f>
        <v>#N/A</v>
      </c>
      <c r="T193" s="18"/>
      <c r="U193" s="18" t="str">
        <f t="shared" si="21"/>
        <v>4</v>
      </c>
      <c r="V193" s="18" t="str">
        <f>IF($L193&lt;"6",INDEX(Revenue_type,MATCH(U193*1,type!$A$118:$A$168,0),8),INDEX(Expenditure_type,MATCH(U193*1,type!$A$2:$A$117,0),8))</f>
        <v>שירותים ושכר לימוד</v>
      </c>
      <c r="W193" s="18" t="str">
        <f t="shared" si="22"/>
        <v>41</v>
      </c>
      <c r="X193" s="18" t="str">
        <f>IF($L193&lt;"6",INDEX(Revenue_type,MATCH(W193*1,type!$A$118:$A$168,0),8),INDEX(Expenditure_type,MATCH(W193*1,type!$A$2:$A$117,0),8))</f>
        <v>שכל"מ מתושבים</v>
      </c>
      <c r="Y193" s="18" t="str">
        <f t="shared" si="23"/>
        <v>410</v>
      </c>
      <c r="Z193" s="18" t="e">
        <f>IF($L193&lt;"6",INDEX(Revenue_type,MATCH(Y193*1,type!$A$118:$A$168,0),8),INDEX(Expenditure_type,MATCH(Y193*1,type!$A$2:$A$117,0),8))</f>
        <v>#N/A</v>
      </c>
    </row>
    <row r="194" spans="1:26" ht="15.75" hidden="1" customHeight="1" outlineLevel="2">
      <c r="A194" s="482">
        <v>410</v>
      </c>
      <c r="B194" s="487">
        <v>329019</v>
      </c>
      <c r="C194">
        <v>1</v>
      </c>
      <c r="D194" t="str">
        <f t="shared" si="16"/>
        <v>1329019.410</v>
      </c>
      <c r="E194" s="492" t="s">
        <v>7878</v>
      </c>
      <c r="H194" s="470">
        <v>-60000</v>
      </c>
      <c r="I194" s="470">
        <v>-60000</v>
      </c>
      <c r="J194" s="470">
        <v>-188030</v>
      </c>
      <c r="K194" s="18"/>
      <c r="L194" s="18" t="str">
        <f t="shared" si="17"/>
        <v>3</v>
      </c>
      <c r="M194" s="18" t="str">
        <f>INDEX(Chapter,MATCH(L194,Chapter!$A$1:$A$681,0),8)</f>
        <v>שירותים ממלכתיים</v>
      </c>
      <c r="N194" s="18" t="str">
        <f t="shared" si="18"/>
        <v>32</v>
      </c>
      <c r="O194" s="18" t="str">
        <f>INDEX(Chapter,MATCH(N194,Chapter!$A$1:$A$681,0),8)</f>
        <v>תרבות</v>
      </c>
      <c r="P194" s="18" t="str">
        <f t="shared" si="19"/>
        <v>329</v>
      </c>
      <c r="Q194" s="18" t="str">
        <f>INDEX(Chapter,MATCH(P194,Chapter!$A$1:$A$681,0),8)</f>
        <v>ספורט</v>
      </c>
      <c r="R194" s="18" t="str">
        <f t="shared" si="20"/>
        <v>3290</v>
      </c>
      <c r="S194" s="18" t="e">
        <f>INDEX(Chapter,MATCH(R194,Chapter!$A$1:$A$681,0),8)</f>
        <v>#N/A</v>
      </c>
      <c r="T194" s="18"/>
      <c r="U194" s="18" t="str">
        <f t="shared" si="21"/>
        <v>4</v>
      </c>
      <c r="V194" s="18" t="str">
        <f>IF($L194&lt;"6",INDEX(Revenue_type,MATCH(U194*1,type!$A$118:$A$168,0),8),INDEX(Expenditure_type,MATCH(U194*1,type!$A$2:$A$117,0),8))</f>
        <v>שירותים ושכר לימוד</v>
      </c>
      <c r="W194" s="18" t="str">
        <f t="shared" si="22"/>
        <v>41</v>
      </c>
      <c r="X194" s="18" t="str">
        <f>IF($L194&lt;"6",INDEX(Revenue_type,MATCH(W194*1,type!$A$118:$A$168,0),8),INDEX(Expenditure_type,MATCH(W194*1,type!$A$2:$A$117,0),8))</f>
        <v>שכל"מ מתושבים</v>
      </c>
      <c r="Y194" s="18" t="str">
        <f t="shared" si="23"/>
        <v>410</v>
      </c>
      <c r="Z194" s="18" t="e">
        <f>IF($L194&lt;"6",INDEX(Revenue_type,MATCH(Y194*1,type!$A$118:$A$168,0),8),INDEX(Expenditure_type,MATCH(Y194*1,type!$A$2:$A$117,0),8))</f>
        <v>#N/A</v>
      </c>
    </row>
    <row r="195" spans="1:26" ht="15.75" hidden="1" customHeight="1" outlineLevel="2">
      <c r="A195" s="482">
        <v>410</v>
      </c>
      <c r="B195" s="487">
        <v>329020</v>
      </c>
      <c r="C195">
        <v>1</v>
      </c>
      <c r="D195" t="str">
        <f t="shared" ref="D195:D254" si="24">C195&amp;B195&amp;"."&amp;A195</f>
        <v>1329020.410</v>
      </c>
      <c r="E195" s="492" t="s">
        <v>7879</v>
      </c>
      <c r="H195" s="470">
        <v>-100000</v>
      </c>
      <c r="I195" s="470">
        <v>-100000</v>
      </c>
      <c r="J195" s="470">
        <v>-71406</v>
      </c>
      <c r="K195" s="18"/>
      <c r="L195" s="18" t="str">
        <f t="shared" ref="L195:L258" si="25">IF(LEFT($B195,1)*1=0,LEFT($B195,2),LEFT($B195,1))</f>
        <v>3</v>
      </c>
      <c r="M195" s="18" t="str">
        <f>INDEX(Chapter,MATCH(L195,Chapter!$A$1:$A$681,0),8)</f>
        <v>שירותים ממלכתיים</v>
      </c>
      <c r="N195" s="18" t="str">
        <f t="shared" ref="N195:N258" si="26">IF(LEFT($B195,1)*1=0,LEFT($B195,3),LEFT($B195,2))</f>
        <v>32</v>
      </c>
      <c r="O195" s="18" t="str">
        <f>INDEX(Chapter,MATCH(N195,Chapter!$A$1:$A$681,0),8)</f>
        <v>תרבות</v>
      </c>
      <c r="P195" s="18" t="str">
        <f t="shared" ref="P195:P258" si="27">IF(LEFT($B195,1)*1=0,LEFT($B195,4),LEFT($B195,3))</f>
        <v>329</v>
      </c>
      <c r="Q195" s="18" t="str">
        <f>INDEX(Chapter,MATCH(P195,Chapter!$A$1:$A$681,0),8)</f>
        <v>ספורט</v>
      </c>
      <c r="R195" s="18" t="str">
        <f t="shared" ref="R195:R258" si="28">LEFT($B195,4)</f>
        <v>3290</v>
      </c>
      <c r="S195" s="18" t="e">
        <f>INDEX(Chapter,MATCH(R195,Chapter!$A$1:$A$681,0),8)</f>
        <v>#N/A</v>
      </c>
      <c r="T195" s="18"/>
      <c r="U195" s="18" t="str">
        <f t="shared" ref="U195:U258" si="29">LEFT($A195,1)</f>
        <v>4</v>
      </c>
      <c r="V195" s="18" t="str">
        <f>IF($L195&lt;"6",INDEX(Revenue_type,MATCH(U195*1,type!$A$118:$A$168,0),8),INDEX(Expenditure_type,MATCH(U195*1,type!$A$2:$A$117,0),8))</f>
        <v>שירותים ושכר לימוד</v>
      </c>
      <c r="W195" s="18" t="str">
        <f t="shared" ref="W195:W258" si="30">LEFT($A195,2)</f>
        <v>41</v>
      </c>
      <c r="X195" s="18" t="str">
        <f>IF($L195&lt;"6",INDEX(Revenue_type,MATCH(W195*1,type!$A$118:$A$168,0),8),INDEX(Expenditure_type,MATCH(W195*1,type!$A$2:$A$117,0),8))</f>
        <v>שכל"מ מתושבים</v>
      </c>
      <c r="Y195" s="18" t="str">
        <f t="shared" ref="Y195:Y258" si="31">LEFT($A195,3)</f>
        <v>410</v>
      </c>
      <c r="Z195" s="18" t="e">
        <f>IF($L195&lt;"6",INDEX(Revenue_type,MATCH(Y195*1,type!$A$118:$A$168,0),8),INDEX(Expenditure_type,MATCH(Y195*1,type!$A$2:$A$117,0),8))</f>
        <v>#N/A</v>
      </c>
    </row>
    <row r="196" spans="1:26" ht="15.75" hidden="1" customHeight="1" outlineLevel="2">
      <c r="A196" s="482">
        <v>410</v>
      </c>
      <c r="B196" s="488">
        <v>326102</v>
      </c>
      <c r="C196">
        <v>1</v>
      </c>
      <c r="D196" t="str">
        <f t="shared" si="24"/>
        <v>1326102.410</v>
      </c>
      <c r="E196" s="492" t="s">
        <v>7880</v>
      </c>
      <c r="H196" s="470">
        <v>-2537000</v>
      </c>
      <c r="I196" s="470">
        <v>-2537000</v>
      </c>
      <c r="J196" s="470">
        <v>-1656025</v>
      </c>
      <c r="K196" s="18"/>
      <c r="L196" s="18" t="str">
        <f t="shared" si="25"/>
        <v>3</v>
      </c>
      <c r="M196" s="18" t="str">
        <f>INDEX(Chapter,MATCH(L196,Chapter!$A$1:$A$681,0),8)</f>
        <v>שירותים ממלכתיים</v>
      </c>
      <c r="N196" s="18" t="str">
        <f t="shared" si="26"/>
        <v>32</v>
      </c>
      <c r="O196" s="18" t="str">
        <f>INDEX(Chapter,MATCH(N196,Chapter!$A$1:$A$681,0),8)</f>
        <v>תרבות</v>
      </c>
      <c r="P196" s="18" t="str">
        <f t="shared" si="27"/>
        <v>326</v>
      </c>
      <c r="Q196" s="18" t="str">
        <f>INDEX(Chapter,MATCH(P196,Chapter!$A$1:$A$681,0),8)</f>
        <v>מוקדי תרבות</v>
      </c>
      <c r="R196" s="18" t="str">
        <f t="shared" si="28"/>
        <v>3261</v>
      </c>
      <c r="S196" s="18" t="str">
        <f>INDEX(Chapter,MATCH(R196,Chapter!$A$1:$A$681,0),8)</f>
        <v>תיאטרונים</v>
      </c>
      <c r="T196" s="18"/>
      <c r="U196" s="18" t="str">
        <f t="shared" si="29"/>
        <v>4</v>
      </c>
      <c r="V196" s="18" t="str">
        <f>IF($L196&lt;"6",INDEX(Revenue_type,MATCH(U196*1,type!$A$118:$A$168,0),8),INDEX(Expenditure_type,MATCH(U196*1,type!$A$2:$A$117,0),8))</f>
        <v>שירותים ושכר לימוד</v>
      </c>
      <c r="W196" s="18" t="str">
        <f t="shared" si="30"/>
        <v>41</v>
      </c>
      <c r="X196" s="18" t="str">
        <f>IF($L196&lt;"6",INDEX(Revenue_type,MATCH(W196*1,type!$A$118:$A$168,0),8),INDEX(Expenditure_type,MATCH(W196*1,type!$A$2:$A$117,0),8))</f>
        <v>שכל"מ מתושבים</v>
      </c>
      <c r="Y196" s="18" t="str">
        <f t="shared" si="31"/>
        <v>410</v>
      </c>
      <c r="Z196" s="18" t="e">
        <f>IF($L196&lt;"6",INDEX(Revenue_type,MATCH(Y196*1,type!$A$118:$A$168,0),8),INDEX(Expenditure_type,MATCH(Y196*1,type!$A$2:$A$117,0),8))</f>
        <v>#N/A</v>
      </c>
    </row>
    <row r="197" spans="1:26" ht="15.75" hidden="1" customHeight="1" outlineLevel="2">
      <c r="A197" s="482">
        <v>410</v>
      </c>
      <c r="B197" s="488">
        <v>322106</v>
      </c>
      <c r="C197">
        <v>1</v>
      </c>
      <c r="D197" t="str">
        <f t="shared" si="24"/>
        <v>1322106.410</v>
      </c>
      <c r="E197" s="492" t="s">
        <v>7881</v>
      </c>
      <c r="H197" s="470">
        <v>-54000</v>
      </c>
      <c r="I197" s="470">
        <v>-54000</v>
      </c>
      <c r="J197" s="470">
        <v>-13800</v>
      </c>
      <c r="K197" s="18"/>
      <c r="L197" s="18" t="str">
        <f t="shared" si="25"/>
        <v>3</v>
      </c>
      <c r="M197" s="18" t="str">
        <f>INDEX(Chapter,MATCH(L197,Chapter!$A$1:$A$681,0),8)</f>
        <v>שירותים ממלכתיים</v>
      </c>
      <c r="N197" s="18" t="str">
        <f t="shared" si="26"/>
        <v>32</v>
      </c>
      <c r="O197" s="18" t="str">
        <f>INDEX(Chapter,MATCH(N197,Chapter!$A$1:$A$681,0),8)</f>
        <v>תרבות</v>
      </c>
      <c r="P197" s="18" t="str">
        <f t="shared" si="27"/>
        <v>322</v>
      </c>
      <c r="Q197" s="18" t="str">
        <f>INDEX(Chapter,MATCH(P197,Chapter!$A$1:$A$681,0),8)</f>
        <v>פעולות תרבות</v>
      </c>
      <c r="R197" s="18" t="str">
        <f t="shared" si="28"/>
        <v>3221</v>
      </c>
      <c r="S197" s="18" t="e">
        <f>INDEX(Chapter,MATCH(R197,Chapter!$A$1:$A$681,0),8)</f>
        <v>#N/A</v>
      </c>
      <c r="T197" s="18"/>
      <c r="U197" s="18" t="str">
        <f t="shared" si="29"/>
        <v>4</v>
      </c>
      <c r="V197" s="18" t="str">
        <f>IF($L197&lt;"6",INDEX(Revenue_type,MATCH(U197*1,type!$A$118:$A$168,0),8),INDEX(Expenditure_type,MATCH(U197*1,type!$A$2:$A$117,0),8))</f>
        <v>שירותים ושכר לימוד</v>
      </c>
      <c r="W197" s="18" t="str">
        <f t="shared" si="30"/>
        <v>41</v>
      </c>
      <c r="X197" s="18" t="str">
        <f>IF($L197&lt;"6",INDEX(Revenue_type,MATCH(W197*1,type!$A$118:$A$168,0),8),INDEX(Expenditure_type,MATCH(W197*1,type!$A$2:$A$117,0),8))</f>
        <v>שכל"מ מתושבים</v>
      </c>
      <c r="Y197" s="18" t="str">
        <f t="shared" si="31"/>
        <v>410</v>
      </c>
      <c r="Z197" s="18" t="e">
        <f>IF($L197&lt;"6",INDEX(Revenue_type,MATCH(Y197*1,type!$A$118:$A$168,0),8),INDEX(Expenditure_type,MATCH(Y197*1,type!$A$2:$A$117,0),8))</f>
        <v>#N/A</v>
      </c>
    </row>
    <row r="198" spans="1:26" ht="15.75" hidden="1" customHeight="1" outlineLevel="2">
      <c r="A198" s="482">
        <v>410</v>
      </c>
      <c r="B198" s="488">
        <v>322202</v>
      </c>
      <c r="C198">
        <v>1</v>
      </c>
      <c r="D198" t="str">
        <f t="shared" si="24"/>
        <v>1322202.410</v>
      </c>
      <c r="E198" s="492" t="s">
        <v>7882</v>
      </c>
      <c r="H198" s="470">
        <v>-176000</v>
      </c>
      <c r="I198" s="470">
        <v>-176000</v>
      </c>
      <c r="J198" s="470">
        <v>-124644</v>
      </c>
      <c r="K198" s="18"/>
      <c r="L198" s="18" t="str">
        <f t="shared" si="25"/>
        <v>3</v>
      </c>
      <c r="M198" s="18" t="str">
        <f>INDEX(Chapter,MATCH(L198,Chapter!$A$1:$A$681,0),8)</f>
        <v>שירותים ממלכתיים</v>
      </c>
      <c r="N198" s="18" t="str">
        <f t="shared" si="26"/>
        <v>32</v>
      </c>
      <c r="O198" s="18" t="str">
        <f>INDEX(Chapter,MATCH(N198,Chapter!$A$1:$A$681,0),8)</f>
        <v>תרבות</v>
      </c>
      <c r="P198" s="18" t="str">
        <f t="shared" si="27"/>
        <v>322</v>
      </c>
      <c r="Q198" s="18" t="str">
        <f>INDEX(Chapter,MATCH(P198,Chapter!$A$1:$A$681,0),8)</f>
        <v>פעולות תרבות</v>
      </c>
      <c r="R198" s="18" t="str">
        <f t="shared" si="28"/>
        <v>3222</v>
      </c>
      <c r="S198" s="18" t="e">
        <f>INDEX(Chapter,MATCH(R198,Chapter!$A$1:$A$681,0),8)</f>
        <v>#N/A</v>
      </c>
      <c r="T198" s="18"/>
      <c r="U198" s="18" t="str">
        <f t="shared" si="29"/>
        <v>4</v>
      </c>
      <c r="V198" s="18" t="str">
        <f>IF($L198&lt;"6",INDEX(Revenue_type,MATCH(U198*1,type!$A$118:$A$168,0),8),INDEX(Expenditure_type,MATCH(U198*1,type!$A$2:$A$117,0),8))</f>
        <v>שירותים ושכר לימוד</v>
      </c>
      <c r="W198" s="18" t="str">
        <f t="shared" si="30"/>
        <v>41</v>
      </c>
      <c r="X198" s="18" t="str">
        <f>IF($L198&lt;"6",INDEX(Revenue_type,MATCH(W198*1,type!$A$118:$A$168,0),8),INDEX(Expenditure_type,MATCH(W198*1,type!$A$2:$A$117,0),8))</f>
        <v>שכל"מ מתושבים</v>
      </c>
      <c r="Y198" s="18" t="str">
        <f t="shared" si="31"/>
        <v>410</v>
      </c>
      <c r="Z198" s="18" t="e">
        <f>IF($L198&lt;"6",INDEX(Revenue_type,MATCH(Y198*1,type!$A$118:$A$168,0),8),INDEX(Expenditure_type,MATCH(Y198*1,type!$A$2:$A$117,0),8))</f>
        <v>#N/A</v>
      </c>
    </row>
    <row r="199" spans="1:26" ht="15.75" hidden="1" customHeight="1" outlineLevel="2">
      <c r="A199" s="482">
        <v>410</v>
      </c>
      <c r="B199" s="488">
        <v>326305</v>
      </c>
      <c r="C199">
        <v>1</v>
      </c>
      <c r="D199" t="str">
        <f t="shared" si="24"/>
        <v>1326305.410</v>
      </c>
      <c r="E199" s="492" t="s">
        <v>7865</v>
      </c>
      <c r="H199" s="470">
        <v>-112000</v>
      </c>
      <c r="I199" s="470">
        <v>-112000</v>
      </c>
      <c r="J199" s="470">
        <v>-53991</v>
      </c>
      <c r="K199" s="18"/>
      <c r="L199" s="18" t="str">
        <f t="shared" si="25"/>
        <v>3</v>
      </c>
      <c r="M199" s="18" t="str">
        <f>INDEX(Chapter,MATCH(L199,Chapter!$A$1:$A$681,0),8)</f>
        <v>שירותים ממלכתיים</v>
      </c>
      <c r="N199" s="18" t="str">
        <f t="shared" si="26"/>
        <v>32</v>
      </c>
      <c r="O199" s="18" t="str">
        <f>INDEX(Chapter,MATCH(N199,Chapter!$A$1:$A$681,0),8)</f>
        <v>תרבות</v>
      </c>
      <c r="P199" s="18" t="str">
        <f t="shared" si="27"/>
        <v>326</v>
      </c>
      <c r="Q199" s="18" t="str">
        <f>INDEX(Chapter,MATCH(P199,Chapter!$A$1:$A$681,0),8)</f>
        <v>מוקדי תרבות</v>
      </c>
      <c r="R199" s="18" t="str">
        <f t="shared" si="28"/>
        <v>3263</v>
      </c>
      <c r="S199" s="18" t="str">
        <f>INDEX(Chapter,MATCH(R199,Chapter!$A$1:$A$681,0),8)</f>
        <v>גן חיות</v>
      </c>
      <c r="T199" s="18"/>
      <c r="U199" s="18" t="str">
        <f t="shared" si="29"/>
        <v>4</v>
      </c>
      <c r="V199" s="18" t="str">
        <f>IF($L199&lt;"6",INDEX(Revenue_type,MATCH(U199*1,type!$A$118:$A$168,0),8),INDEX(Expenditure_type,MATCH(U199*1,type!$A$2:$A$117,0),8))</f>
        <v>שירותים ושכר לימוד</v>
      </c>
      <c r="W199" s="18" t="str">
        <f t="shared" si="30"/>
        <v>41</v>
      </c>
      <c r="X199" s="18" t="str">
        <f>IF($L199&lt;"6",INDEX(Revenue_type,MATCH(W199*1,type!$A$118:$A$168,0),8),INDEX(Expenditure_type,MATCH(W199*1,type!$A$2:$A$117,0),8))</f>
        <v>שכל"מ מתושבים</v>
      </c>
      <c r="Y199" s="18" t="str">
        <f t="shared" si="31"/>
        <v>410</v>
      </c>
      <c r="Z199" s="18" t="e">
        <f>IF($L199&lt;"6",INDEX(Revenue_type,MATCH(Y199*1,type!$A$118:$A$168,0),8),INDEX(Expenditure_type,MATCH(Y199*1,type!$A$2:$A$117,0),8))</f>
        <v>#N/A</v>
      </c>
    </row>
    <row r="200" spans="1:26" ht="15.75" hidden="1" customHeight="1" outlineLevel="2">
      <c r="A200" s="482">
        <v>410</v>
      </c>
      <c r="B200" s="488">
        <v>326306</v>
      </c>
      <c r="C200">
        <v>1</v>
      </c>
      <c r="D200" t="str">
        <f t="shared" si="24"/>
        <v>1326306.410</v>
      </c>
      <c r="E200" s="492" t="s">
        <v>7883</v>
      </c>
      <c r="H200" s="470">
        <v>-80000</v>
      </c>
      <c r="I200" s="470">
        <v>-80000</v>
      </c>
      <c r="J200" s="470">
        <v>-34050</v>
      </c>
      <c r="K200" s="18"/>
      <c r="L200" s="18" t="str">
        <f t="shared" si="25"/>
        <v>3</v>
      </c>
      <c r="M200" s="18" t="str">
        <f>INDEX(Chapter,MATCH(L200,Chapter!$A$1:$A$681,0),8)</f>
        <v>שירותים ממלכתיים</v>
      </c>
      <c r="N200" s="18" t="str">
        <f t="shared" si="26"/>
        <v>32</v>
      </c>
      <c r="O200" s="18" t="str">
        <f>INDEX(Chapter,MATCH(N200,Chapter!$A$1:$A$681,0),8)</f>
        <v>תרבות</v>
      </c>
      <c r="P200" s="18" t="str">
        <f t="shared" si="27"/>
        <v>326</v>
      </c>
      <c r="Q200" s="18" t="str">
        <f>INDEX(Chapter,MATCH(P200,Chapter!$A$1:$A$681,0),8)</f>
        <v>מוקדי תרבות</v>
      </c>
      <c r="R200" s="18" t="str">
        <f t="shared" si="28"/>
        <v>3263</v>
      </c>
      <c r="S200" s="18" t="str">
        <f>INDEX(Chapter,MATCH(R200,Chapter!$A$1:$A$681,0),8)</f>
        <v>גן חיות</v>
      </c>
      <c r="T200" s="18"/>
      <c r="U200" s="18" t="str">
        <f t="shared" si="29"/>
        <v>4</v>
      </c>
      <c r="V200" s="18" t="str">
        <f>IF($L200&lt;"6",INDEX(Revenue_type,MATCH(U200*1,type!$A$118:$A$168,0),8),INDEX(Expenditure_type,MATCH(U200*1,type!$A$2:$A$117,0),8))</f>
        <v>שירותים ושכר לימוד</v>
      </c>
      <c r="W200" s="18" t="str">
        <f t="shared" si="30"/>
        <v>41</v>
      </c>
      <c r="X200" s="18" t="str">
        <f>IF($L200&lt;"6",INDEX(Revenue_type,MATCH(W200*1,type!$A$118:$A$168,0),8),INDEX(Expenditure_type,MATCH(W200*1,type!$A$2:$A$117,0),8))</f>
        <v>שכל"מ מתושבים</v>
      </c>
      <c r="Y200" s="18" t="str">
        <f t="shared" si="31"/>
        <v>410</v>
      </c>
      <c r="Z200" s="18" t="e">
        <f>IF($L200&lt;"6",INDEX(Revenue_type,MATCH(Y200*1,type!$A$118:$A$168,0),8),INDEX(Expenditure_type,MATCH(Y200*1,type!$A$2:$A$117,0),8))</f>
        <v>#N/A</v>
      </c>
    </row>
    <row r="201" spans="1:26" ht="15.75" hidden="1" customHeight="1" outlineLevel="2">
      <c r="A201" s="482">
        <v>410</v>
      </c>
      <c r="B201" s="488">
        <v>322402</v>
      </c>
      <c r="C201">
        <v>1</v>
      </c>
      <c r="D201" t="str">
        <f t="shared" si="24"/>
        <v>1322402.410</v>
      </c>
      <c r="E201" s="492" t="s">
        <v>7884</v>
      </c>
      <c r="H201" s="470">
        <v>-220000</v>
      </c>
      <c r="I201" s="470">
        <v>-220000</v>
      </c>
      <c r="J201" s="470">
        <v>-215085</v>
      </c>
      <c r="K201" s="18"/>
      <c r="L201" s="18" t="str">
        <f t="shared" si="25"/>
        <v>3</v>
      </c>
      <c r="M201" s="18" t="str">
        <f>INDEX(Chapter,MATCH(L201,Chapter!$A$1:$A$681,0),8)</f>
        <v>שירותים ממלכתיים</v>
      </c>
      <c r="N201" s="18" t="str">
        <f t="shared" si="26"/>
        <v>32</v>
      </c>
      <c r="O201" s="18" t="str">
        <f>INDEX(Chapter,MATCH(N201,Chapter!$A$1:$A$681,0),8)</f>
        <v>תרבות</v>
      </c>
      <c r="P201" s="18" t="str">
        <f t="shared" si="27"/>
        <v>322</v>
      </c>
      <c r="Q201" s="18" t="str">
        <f>INDEX(Chapter,MATCH(P201,Chapter!$A$1:$A$681,0),8)</f>
        <v>פעולות תרבות</v>
      </c>
      <c r="R201" s="18" t="str">
        <f t="shared" si="28"/>
        <v>3224</v>
      </c>
      <c r="S201" s="18" t="e">
        <f>INDEX(Chapter,MATCH(R201,Chapter!$A$1:$A$681,0),8)</f>
        <v>#N/A</v>
      </c>
      <c r="T201" s="18"/>
      <c r="U201" s="18" t="str">
        <f t="shared" si="29"/>
        <v>4</v>
      </c>
      <c r="V201" s="18" t="str">
        <f>IF($L201&lt;"6",INDEX(Revenue_type,MATCH(U201*1,type!$A$118:$A$168,0),8),INDEX(Expenditure_type,MATCH(U201*1,type!$A$2:$A$117,0),8))</f>
        <v>שירותים ושכר לימוד</v>
      </c>
      <c r="W201" s="18" t="str">
        <f t="shared" si="30"/>
        <v>41</v>
      </c>
      <c r="X201" s="18" t="str">
        <f>IF($L201&lt;"6",INDEX(Revenue_type,MATCH(W201*1,type!$A$118:$A$168,0),8),INDEX(Expenditure_type,MATCH(W201*1,type!$A$2:$A$117,0),8))</f>
        <v>שכל"מ מתושבים</v>
      </c>
      <c r="Y201" s="18" t="str">
        <f t="shared" si="31"/>
        <v>410</v>
      </c>
      <c r="Z201" s="18" t="e">
        <f>IF($L201&lt;"6",INDEX(Revenue_type,MATCH(Y201*1,type!$A$118:$A$168,0),8),INDEX(Expenditure_type,MATCH(Y201*1,type!$A$2:$A$117,0),8))</f>
        <v>#N/A</v>
      </c>
    </row>
    <row r="202" spans="1:26" ht="15.75" hidden="1" customHeight="1" outlineLevel="2">
      <c r="A202" s="482">
        <v>410</v>
      </c>
      <c r="B202" s="488">
        <v>326502</v>
      </c>
      <c r="C202">
        <v>1</v>
      </c>
      <c r="D202" t="str">
        <f t="shared" si="24"/>
        <v>1326502.410</v>
      </c>
      <c r="E202" s="492" t="s">
        <v>7885</v>
      </c>
      <c r="H202" s="470">
        <v>-1687000</v>
      </c>
      <c r="I202" s="470">
        <v>-1687000</v>
      </c>
      <c r="J202" s="470">
        <v>-1360367</v>
      </c>
      <c r="K202" s="18"/>
      <c r="L202" s="18" t="str">
        <f t="shared" si="25"/>
        <v>3</v>
      </c>
      <c r="M202" s="18" t="str">
        <f>INDEX(Chapter,MATCH(L202,Chapter!$A$1:$A$681,0),8)</f>
        <v>שירותים ממלכתיים</v>
      </c>
      <c r="N202" s="18" t="str">
        <f t="shared" si="26"/>
        <v>32</v>
      </c>
      <c r="O202" s="18" t="str">
        <f>INDEX(Chapter,MATCH(N202,Chapter!$A$1:$A$681,0),8)</f>
        <v>תרבות</v>
      </c>
      <c r="P202" s="18" t="str">
        <f t="shared" si="27"/>
        <v>326</v>
      </c>
      <c r="Q202" s="18" t="str">
        <f>INDEX(Chapter,MATCH(P202,Chapter!$A$1:$A$681,0),8)</f>
        <v>מוקדי תרבות</v>
      </c>
      <c r="R202" s="18" t="str">
        <f t="shared" si="28"/>
        <v>3265</v>
      </c>
      <c r="S202" s="18" t="e">
        <f>INDEX(Chapter,MATCH(R202,Chapter!$A$1:$A$681,0),8)</f>
        <v>#N/A</v>
      </c>
      <c r="T202" s="18"/>
      <c r="U202" s="18" t="str">
        <f t="shared" si="29"/>
        <v>4</v>
      </c>
      <c r="V202" s="18" t="str">
        <f>IF($L202&lt;"6",INDEX(Revenue_type,MATCH(U202*1,type!$A$118:$A$168,0),8),INDEX(Expenditure_type,MATCH(U202*1,type!$A$2:$A$117,0),8))</f>
        <v>שירותים ושכר לימוד</v>
      </c>
      <c r="W202" s="18" t="str">
        <f t="shared" si="30"/>
        <v>41</v>
      </c>
      <c r="X202" s="18" t="str">
        <f>IF($L202&lt;"6",INDEX(Revenue_type,MATCH(W202*1,type!$A$118:$A$168,0),8),INDEX(Expenditure_type,MATCH(W202*1,type!$A$2:$A$117,0),8))</f>
        <v>שכל"מ מתושבים</v>
      </c>
      <c r="Y202" s="18" t="str">
        <f t="shared" si="31"/>
        <v>410</v>
      </c>
      <c r="Z202" s="18" t="e">
        <f>IF($L202&lt;"6",INDEX(Revenue_type,MATCH(Y202*1,type!$A$118:$A$168,0),8),INDEX(Expenditure_type,MATCH(Y202*1,type!$A$2:$A$117,0),8))</f>
        <v>#N/A</v>
      </c>
    </row>
    <row r="203" spans="1:26" ht="15.75" hidden="1" customHeight="1" outlineLevel="2">
      <c r="A203" s="482">
        <v>410</v>
      </c>
      <c r="B203" s="488">
        <v>326506</v>
      </c>
      <c r="C203">
        <v>1</v>
      </c>
      <c r="D203" t="str">
        <f t="shared" si="24"/>
        <v>1326506.410</v>
      </c>
      <c r="E203" s="492" t="s">
        <v>7886</v>
      </c>
      <c r="H203" s="470">
        <v>-300000</v>
      </c>
      <c r="I203" s="470">
        <v>-300000</v>
      </c>
      <c r="J203" s="470">
        <v>-211827</v>
      </c>
      <c r="K203" s="18"/>
      <c r="L203" s="18" t="str">
        <f t="shared" si="25"/>
        <v>3</v>
      </c>
      <c r="M203" s="18" t="str">
        <f>INDEX(Chapter,MATCH(L203,Chapter!$A$1:$A$681,0),8)</f>
        <v>שירותים ממלכתיים</v>
      </c>
      <c r="N203" s="18" t="str">
        <f t="shared" si="26"/>
        <v>32</v>
      </c>
      <c r="O203" s="18" t="str">
        <f>INDEX(Chapter,MATCH(N203,Chapter!$A$1:$A$681,0),8)</f>
        <v>תרבות</v>
      </c>
      <c r="P203" s="18" t="str">
        <f t="shared" si="27"/>
        <v>326</v>
      </c>
      <c r="Q203" s="18" t="str">
        <f>INDEX(Chapter,MATCH(P203,Chapter!$A$1:$A$681,0),8)</f>
        <v>מוקדי תרבות</v>
      </c>
      <c r="R203" s="18" t="str">
        <f t="shared" si="28"/>
        <v>3265</v>
      </c>
      <c r="S203" s="18" t="e">
        <f>INDEX(Chapter,MATCH(R203,Chapter!$A$1:$A$681,0),8)</f>
        <v>#N/A</v>
      </c>
      <c r="T203" s="18"/>
      <c r="U203" s="18" t="str">
        <f t="shared" si="29"/>
        <v>4</v>
      </c>
      <c r="V203" s="18" t="str">
        <f>IF($L203&lt;"6",INDEX(Revenue_type,MATCH(U203*1,type!$A$118:$A$168,0),8),INDEX(Expenditure_type,MATCH(U203*1,type!$A$2:$A$117,0),8))</f>
        <v>שירותים ושכר לימוד</v>
      </c>
      <c r="W203" s="18" t="str">
        <f t="shared" si="30"/>
        <v>41</v>
      </c>
      <c r="X203" s="18" t="str">
        <f>IF($L203&lt;"6",INDEX(Revenue_type,MATCH(W203*1,type!$A$118:$A$168,0),8),INDEX(Expenditure_type,MATCH(W203*1,type!$A$2:$A$117,0),8))</f>
        <v>שכל"מ מתושבים</v>
      </c>
      <c r="Y203" s="18" t="str">
        <f t="shared" si="31"/>
        <v>410</v>
      </c>
      <c r="Z203" s="18" t="e">
        <f>IF($L203&lt;"6",INDEX(Revenue_type,MATCH(Y203*1,type!$A$118:$A$168,0),8),INDEX(Expenditure_type,MATCH(Y203*1,type!$A$2:$A$117,0),8))</f>
        <v>#N/A</v>
      </c>
    </row>
    <row r="204" spans="1:26" ht="15.75" hidden="1" customHeight="1" outlineLevel="2">
      <c r="A204" s="482">
        <v>410</v>
      </c>
      <c r="B204" s="488">
        <v>326509</v>
      </c>
      <c r="C204">
        <v>1</v>
      </c>
      <c r="D204" t="str">
        <f t="shared" si="24"/>
        <v>1326509.410</v>
      </c>
      <c r="E204" s="492" t="s">
        <v>7887</v>
      </c>
      <c r="H204" s="470">
        <v>-270000</v>
      </c>
      <c r="I204" s="470">
        <v>-270000</v>
      </c>
      <c r="J204" s="470">
        <v>-265740</v>
      </c>
      <c r="K204" s="18"/>
      <c r="L204" s="18" t="str">
        <f t="shared" si="25"/>
        <v>3</v>
      </c>
      <c r="M204" s="18" t="str">
        <f>INDEX(Chapter,MATCH(L204,Chapter!$A$1:$A$681,0),8)</f>
        <v>שירותים ממלכתיים</v>
      </c>
      <c r="N204" s="18" t="str">
        <f t="shared" si="26"/>
        <v>32</v>
      </c>
      <c r="O204" s="18" t="str">
        <f>INDEX(Chapter,MATCH(N204,Chapter!$A$1:$A$681,0),8)</f>
        <v>תרבות</v>
      </c>
      <c r="P204" s="18" t="str">
        <f t="shared" si="27"/>
        <v>326</v>
      </c>
      <c r="Q204" s="18" t="str">
        <f>INDEX(Chapter,MATCH(P204,Chapter!$A$1:$A$681,0),8)</f>
        <v>מוקדי תרבות</v>
      </c>
      <c r="R204" s="18" t="str">
        <f t="shared" si="28"/>
        <v>3265</v>
      </c>
      <c r="S204" s="18" t="e">
        <f>INDEX(Chapter,MATCH(R204,Chapter!$A$1:$A$681,0),8)</f>
        <v>#N/A</v>
      </c>
      <c r="T204" s="18"/>
      <c r="U204" s="18" t="str">
        <f t="shared" si="29"/>
        <v>4</v>
      </c>
      <c r="V204" s="18" t="str">
        <f>IF($L204&lt;"6",INDEX(Revenue_type,MATCH(U204*1,type!$A$118:$A$168,0),8),INDEX(Expenditure_type,MATCH(U204*1,type!$A$2:$A$117,0),8))</f>
        <v>שירותים ושכר לימוד</v>
      </c>
      <c r="W204" s="18" t="str">
        <f t="shared" si="30"/>
        <v>41</v>
      </c>
      <c r="X204" s="18" t="str">
        <f>IF($L204&lt;"6",INDEX(Revenue_type,MATCH(W204*1,type!$A$118:$A$168,0),8),INDEX(Expenditure_type,MATCH(W204*1,type!$A$2:$A$117,0),8))</f>
        <v>שכל"מ מתושבים</v>
      </c>
      <c r="Y204" s="18" t="str">
        <f t="shared" si="31"/>
        <v>410</v>
      </c>
      <c r="Z204" s="18" t="e">
        <f>IF($L204&lt;"6",INDEX(Revenue_type,MATCH(Y204*1,type!$A$118:$A$168,0),8),INDEX(Expenditure_type,MATCH(Y204*1,type!$A$2:$A$117,0),8))</f>
        <v>#N/A</v>
      </c>
    </row>
    <row r="205" spans="1:26" ht="15.75" hidden="1" customHeight="1" outlineLevel="2">
      <c r="A205" s="482">
        <v>410</v>
      </c>
      <c r="B205" s="488">
        <v>326510</v>
      </c>
      <c r="C205">
        <v>1</v>
      </c>
      <c r="D205" t="str">
        <f t="shared" si="24"/>
        <v>1326510.410</v>
      </c>
      <c r="E205" s="492" t="s">
        <v>7888</v>
      </c>
      <c r="H205" s="470">
        <v>-60000</v>
      </c>
      <c r="I205" s="470">
        <v>-60000</v>
      </c>
      <c r="J205" s="470">
        <v>0</v>
      </c>
      <c r="K205" s="18"/>
      <c r="L205" s="18" t="str">
        <f t="shared" si="25"/>
        <v>3</v>
      </c>
      <c r="M205" s="18" t="str">
        <f>INDEX(Chapter,MATCH(L205,Chapter!$A$1:$A$681,0),8)</f>
        <v>שירותים ממלכתיים</v>
      </c>
      <c r="N205" s="18" t="str">
        <f t="shared" si="26"/>
        <v>32</v>
      </c>
      <c r="O205" s="18" t="str">
        <f>INDEX(Chapter,MATCH(N205,Chapter!$A$1:$A$681,0),8)</f>
        <v>תרבות</v>
      </c>
      <c r="P205" s="18" t="str">
        <f t="shared" si="27"/>
        <v>326</v>
      </c>
      <c r="Q205" s="18" t="str">
        <f>INDEX(Chapter,MATCH(P205,Chapter!$A$1:$A$681,0),8)</f>
        <v>מוקדי תרבות</v>
      </c>
      <c r="R205" s="18" t="str">
        <f t="shared" si="28"/>
        <v>3265</v>
      </c>
      <c r="S205" s="18" t="e">
        <f>INDEX(Chapter,MATCH(R205,Chapter!$A$1:$A$681,0),8)</f>
        <v>#N/A</v>
      </c>
      <c r="T205" s="18"/>
      <c r="U205" s="18" t="str">
        <f t="shared" si="29"/>
        <v>4</v>
      </c>
      <c r="V205" s="18" t="str">
        <f>IF($L205&lt;"6",INDEX(Revenue_type,MATCH(U205*1,type!$A$118:$A$168,0),8),INDEX(Expenditure_type,MATCH(U205*1,type!$A$2:$A$117,0),8))</f>
        <v>שירותים ושכר לימוד</v>
      </c>
      <c r="W205" s="18" t="str">
        <f t="shared" si="30"/>
        <v>41</v>
      </c>
      <c r="X205" s="18" t="str">
        <f>IF($L205&lt;"6",INDEX(Revenue_type,MATCH(W205*1,type!$A$118:$A$168,0),8),INDEX(Expenditure_type,MATCH(W205*1,type!$A$2:$A$117,0),8))</f>
        <v>שכל"מ מתושבים</v>
      </c>
      <c r="Y205" s="18" t="str">
        <f t="shared" si="31"/>
        <v>410</v>
      </c>
      <c r="Z205" s="18" t="e">
        <f>IF($L205&lt;"6",INDEX(Revenue_type,MATCH(Y205*1,type!$A$118:$A$168,0),8),INDEX(Expenditure_type,MATCH(Y205*1,type!$A$2:$A$117,0),8))</f>
        <v>#N/A</v>
      </c>
    </row>
    <row r="206" spans="1:26" ht="15.75" hidden="1" customHeight="1" outlineLevel="2">
      <c r="A206" s="482">
        <v>410</v>
      </c>
      <c r="B206" s="488">
        <v>326601</v>
      </c>
      <c r="C206">
        <v>1</v>
      </c>
      <c r="D206" t="str">
        <f t="shared" si="24"/>
        <v>1326601.410</v>
      </c>
      <c r="E206" s="492" t="s">
        <v>7889</v>
      </c>
      <c r="H206" s="470">
        <v>-200000</v>
      </c>
      <c r="I206" s="470">
        <v>-200000</v>
      </c>
      <c r="J206" s="470">
        <v>-99488</v>
      </c>
      <c r="K206" s="18"/>
      <c r="L206" s="18" t="str">
        <f t="shared" si="25"/>
        <v>3</v>
      </c>
      <c r="M206" s="18" t="str">
        <f>INDEX(Chapter,MATCH(L206,Chapter!$A$1:$A$681,0),8)</f>
        <v>שירותים ממלכתיים</v>
      </c>
      <c r="N206" s="18" t="str">
        <f t="shared" si="26"/>
        <v>32</v>
      </c>
      <c r="O206" s="18" t="str">
        <f>INDEX(Chapter,MATCH(N206,Chapter!$A$1:$A$681,0),8)</f>
        <v>תרבות</v>
      </c>
      <c r="P206" s="18" t="str">
        <f t="shared" si="27"/>
        <v>326</v>
      </c>
      <c r="Q206" s="18" t="str">
        <f>INDEX(Chapter,MATCH(P206,Chapter!$A$1:$A$681,0),8)</f>
        <v>מוקדי תרבות</v>
      </c>
      <c r="R206" s="18" t="str">
        <f t="shared" si="28"/>
        <v>3266</v>
      </c>
      <c r="S206" s="18" t="e">
        <f>INDEX(Chapter,MATCH(R206,Chapter!$A$1:$A$681,0),8)</f>
        <v>#N/A</v>
      </c>
      <c r="T206" s="18"/>
      <c r="U206" s="18" t="str">
        <f t="shared" si="29"/>
        <v>4</v>
      </c>
      <c r="V206" s="18" t="str">
        <f>IF($L206&lt;"6",INDEX(Revenue_type,MATCH(U206*1,type!$A$118:$A$168,0),8),INDEX(Expenditure_type,MATCH(U206*1,type!$A$2:$A$117,0),8))</f>
        <v>שירותים ושכר לימוד</v>
      </c>
      <c r="W206" s="18" t="str">
        <f t="shared" si="30"/>
        <v>41</v>
      </c>
      <c r="X206" s="18" t="str">
        <f>IF($L206&lt;"6",INDEX(Revenue_type,MATCH(W206*1,type!$A$118:$A$168,0),8),INDEX(Expenditure_type,MATCH(W206*1,type!$A$2:$A$117,0),8))</f>
        <v>שכל"מ מתושבים</v>
      </c>
      <c r="Y206" s="18" t="str">
        <f t="shared" si="31"/>
        <v>410</v>
      </c>
      <c r="Z206" s="18" t="e">
        <f>IF($L206&lt;"6",INDEX(Revenue_type,MATCH(Y206*1,type!$A$118:$A$168,0),8),INDEX(Expenditure_type,MATCH(Y206*1,type!$A$2:$A$117,0),8))</f>
        <v>#N/A</v>
      </c>
    </row>
    <row r="207" spans="1:26" ht="15.75" hidden="1" customHeight="1" outlineLevel="2">
      <c r="A207" s="482">
        <v>410</v>
      </c>
      <c r="B207" s="488">
        <v>322603</v>
      </c>
      <c r="C207">
        <v>1</v>
      </c>
      <c r="D207" t="str">
        <f t="shared" si="24"/>
        <v>1322603.410</v>
      </c>
      <c r="E207" s="492" t="s">
        <v>7890</v>
      </c>
      <c r="H207" s="470">
        <v>-5000</v>
      </c>
      <c r="I207" s="470">
        <v>-5000</v>
      </c>
      <c r="J207" s="470">
        <v>0</v>
      </c>
      <c r="K207" s="18"/>
      <c r="L207" s="18" t="str">
        <f t="shared" si="25"/>
        <v>3</v>
      </c>
      <c r="M207" s="18" t="str">
        <f>INDEX(Chapter,MATCH(L207,Chapter!$A$1:$A$681,0),8)</f>
        <v>שירותים ממלכתיים</v>
      </c>
      <c r="N207" s="18" t="str">
        <f t="shared" si="26"/>
        <v>32</v>
      </c>
      <c r="O207" s="18" t="str">
        <f>INDEX(Chapter,MATCH(N207,Chapter!$A$1:$A$681,0),8)</f>
        <v>תרבות</v>
      </c>
      <c r="P207" s="18" t="str">
        <f t="shared" si="27"/>
        <v>322</v>
      </c>
      <c r="Q207" s="18" t="str">
        <f>INDEX(Chapter,MATCH(P207,Chapter!$A$1:$A$681,0),8)</f>
        <v>פעולות תרבות</v>
      </c>
      <c r="R207" s="18" t="str">
        <f t="shared" si="28"/>
        <v>3226</v>
      </c>
      <c r="S207" s="18" t="e">
        <f>INDEX(Chapter,MATCH(R207,Chapter!$A$1:$A$681,0),8)</f>
        <v>#N/A</v>
      </c>
      <c r="T207" s="18"/>
      <c r="U207" s="18" t="str">
        <f t="shared" si="29"/>
        <v>4</v>
      </c>
      <c r="V207" s="18" t="str">
        <f>IF($L207&lt;"6",INDEX(Revenue_type,MATCH(U207*1,type!$A$118:$A$168,0),8),INDEX(Expenditure_type,MATCH(U207*1,type!$A$2:$A$117,0),8))</f>
        <v>שירותים ושכר לימוד</v>
      </c>
      <c r="W207" s="18" t="str">
        <f t="shared" si="30"/>
        <v>41</v>
      </c>
      <c r="X207" s="18" t="str">
        <f>IF($L207&lt;"6",INDEX(Revenue_type,MATCH(W207*1,type!$A$118:$A$168,0),8),INDEX(Expenditure_type,MATCH(W207*1,type!$A$2:$A$117,0),8))</f>
        <v>שכל"מ מתושבים</v>
      </c>
      <c r="Y207" s="18" t="str">
        <f t="shared" si="31"/>
        <v>410</v>
      </c>
      <c r="Z207" s="18" t="e">
        <f>IF($L207&lt;"6",INDEX(Revenue_type,MATCH(Y207*1,type!$A$118:$A$168,0),8),INDEX(Expenditure_type,MATCH(Y207*1,type!$A$2:$A$117,0),8))</f>
        <v>#N/A</v>
      </c>
    </row>
    <row r="208" spans="1:26" ht="15.75" hidden="1" customHeight="1" outlineLevel="2">
      <c r="A208" s="482">
        <v>410</v>
      </c>
      <c r="B208" s="488">
        <v>328607</v>
      </c>
      <c r="C208">
        <v>1</v>
      </c>
      <c r="D208" t="str">
        <f t="shared" si="24"/>
        <v>1328607.410</v>
      </c>
      <c r="E208" s="492" t="s">
        <v>7891</v>
      </c>
      <c r="H208" s="470">
        <v>-115000</v>
      </c>
      <c r="I208" s="470">
        <v>-115000</v>
      </c>
      <c r="J208" s="470">
        <v>-23286</v>
      </c>
      <c r="K208" s="18"/>
      <c r="L208" s="18" t="str">
        <f t="shared" si="25"/>
        <v>3</v>
      </c>
      <c r="M208" s="18" t="str">
        <f>INDEX(Chapter,MATCH(L208,Chapter!$A$1:$A$681,0),8)</f>
        <v>שירותים ממלכתיים</v>
      </c>
      <c r="N208" s="18" t="str">
        <f t="shared" si="26"/>
        <v>32</v>
      </c>
      <c r="O208" s="18" t="str">
        <f>INDEX(Chapter,MATCH(N208,Chapter!$A$1:$A$681,0),8)</f>
        <v>תרבות</v>
      </c>
      <c r="P208" s="18" t="str">
        <f t="shared" si="27"/>
        <v>328</v>
      </c>
      <c r="Q208" s="18" t="str">
        <f>INDEX(Chapter,MATCH(P208,Chapter!$A$1:$A$681,0),8)</f>
        <v>נוער</v>
      </c>
      <c r="R208" s="18" t="str">
        <f t="shared" si="28"/>
        <v>3286</v>
      </c>
      <c r="S208" s="18" t="e">
        <f>INDEX(Chapter,MATCH(R208,Chapter!$A$1:$A$681,0),8)</f>
        <v>#N/A</v>
      </c>
      <c r="T208" s="18"/>
      <c r="U208" s="18" t="str">
        <f t="shared" si="29"/>
        <v>4</v>
      </c>
      <c r="V208" s="18" t="str">
        <f>IF($L208&lt;"6",INDEX(Revenue_type,MATCH(U208*1,type!$A$118:$A$168,0),8),INDEX(Expenditure_type,MATCH(U208*1,type!$A$2:$A$117,0),8))</f>
        <v>שירותים ושכר לימוד</v>
      </c>
      <c r="W208" s="18" t="str">
        <f t="shared" si="30"/>
        <v>41</v>
      </c>
      <c r="X208" s="18" t="str">
        <f>IF($L208&lt;"6",INDEX(Revenue_type,MATCH(W208*1,type!$A$118:$A$168,0),8),INDEX(Expenditure_type,MATCH(W208*1,type!$A$2:$A$117,0),8))</f>
        <v>שכל"מ מתושבים</v>
      </c>
      <c r="Y208" s="18" t="str">
        <f t="shared" si="31"/>
        <v>410</v>
      </c>
      <c r="Z208" s="18" t="e">
        <f>IF($L208&lt;"6",INDEX(Revenue_type,MATCH(Y208*1,type!$A$118:$A$168,0),8),INDEX(Expenditure_type,MATCH(Y208*1,type!$A$2:$A$117,0),8))</f>
        <v>#N/A</v>
      </c>
    </row>
    <row r="209" spans="1:26" ht="15.75" hidden="1" customHeight="1" outlineLevel="2">
      <c r="A209" s="482">
        <v>921</v>
      </c>
      <c r="B209" s="489" t="s">
        <v>8898</v>
      </c>
      <c r="C209">
        <v>1</v>
      </c>
      <c r="D209" t="str">
        <f t="shared" si="24"/>
        <v>1328205.921</v>
      </c>
      <c r="E209" s="492" t="s">
        <v>7892</v>
      </c>
      <c r="H209" s="470">
        <v>-939000</v>
      </c>
      <c r="I209" s="470">
        <v>-939000</v>
      </c>
      <c r="J209" s="470">
        <v>-901904</v>
      </c>
      <c r="K209" s="18"/>
      <c r="L209" s="18" t="str">
        <f t="shared" si="25"/>
        <v>3</v>
      </c>
      <c r="M209" s="18" t="str">
        <f>INDEX(Chapter,MATCH(L209,Chapter!$A$1:$A$681,0),8)</f>
        <v>שירותים ממלכתיים</v>
      </c>
      <c r="N209" s="18" t="str">
        <f t="shared" si="26"/>
        <v>32</v>
      </c>
      <c r="O209" s="18" t="str">
        <f>INDEX(Chapter,MATCH(N209,Chapter!$A$1:$A$681,0),8)</f>
        <v>תרבות</v>
      </c>
      <c r="P209" s="18" t="str">
        <f t="shared" si="27"/>
        <v>328</v>
      </c>
      <c r="Q209" s="18" t="str">
        <f>INDEX(Chapter,MATCH(P209,Chapter!$A$1:$A$681,0),8)</f>
        <v>נוער</v>
      </c>
      <c r="R209" s="18" t="str">
        <f t="shared" si="28"/>
        <v>3282</v>
      </c>
      <c r="S209" s="18" t="str">
        <f>INDEX(Chapter,MATCH(R209,Chapter!$A$1:$A$681,0),8)</f>
        <v>מוקדי הפעלת נוער</v>
      </c>
      <c r="T209" s="18"/>
      <c r="U209" s="18" t="str">
        <f t="shared" si="29"/>
        <v>9</v>
      </c>
      <c r="V209" s="18" t="str">
        <f>IF($L209&lt;"6",INDEX(Revenue_type,MATCH(U209*1,type!$A$118:$A$168,0),8),INDEX(Expenditure_type,MATCH(U209*1,type!$A$2:$A$117,0),8))</f>
        <v>השתתפות משרדי ממשלה</v>
      </c>
      <c r="W209" s="18" t="str">
        <f t="shared" si="30"/>
        <v>92</v>
      </c>
      <c r="X209" s="18" t="str">
        <f>IF($L209&lt;"6",INDEX(Revenue_type,MATCH(W209*1,type!$A$118:$A$168,0),8),INDEX(Expenditure_type,MATCH(W209*1,type!$A$2:$A$117,0),8))</f>
        <v>השתתפות משרד החינוך והתרבות</v>
      </c>
      <c r="Y209" s="18" t="str">
        <f t="shared" si="31"/>
        <v>921</v>
      </c>
      <c r="Z209" s="18" t="e">
        <f>IF($L209&lt;"6",INDEX(Revenue_type,MATCH(Y209*1,type!$A$118:$A$168,0),8),INDEX(Expenditure_type,MATCH(Y209*1,type!$A$2:$A$117,0),8))</f>
        <v>#N/A</v>
      </c>
    </row>
    <row r="210" spans="1:26" ht="15.75" hidden="1" customHeight="1" outlineLevel="2">
      <c r="A210" s="482">
        <v>410</v>
      </c>
      <c r="B210" s="489" t="s">
        <v>8899</v>
      </c>
      <c r="C210">
        <v>1</v>
      </c>
      <c r="D210" t="str">
        <f t="shared" si="24"/>
        <v>1324400.410</v>
      </c>
      <c r="E210" s="492" t="s">
        <v>7893</v>
      </c>
      <c r="H210" s="470">
        <v>0</v>
      </c>
      <c r="I210" s="470">
        <v>0</v>
      </c>
      <c r="J210" s="470">
        <v>-1629</v>
      </c>
      <c r="K210" s="18"/>
      <c r="L210" s="18" t="str">
        <f t="shared" si="25"/>
        <v>3</v>
      </c>
      <c r="M210" s="18" t="str">
        <f>INDEX(Chapter,MATCH(L210,Chapter!$A$1:$A$681,0),8)</f>
        <v>שירותים ממלכתיים</v>
      </c>
      <c r="N210" s="18" t="str">
        <f t="shared" si="26"/>
        <v>32</v>
      </c>
      <c r="O210" s="18" t="str">
        <f>INDEX(Chapter,MATCH(N210,Chapter!$A$1:$A$681,0),8)</f>
        <v>תרבות</v>
      </c>
      <c r="P210" s="18" t="str">
        <f t="shared" si="27"/>
        <v>324</v>
      </c>
      <c r="Q210" s="18" t="str">
        <f>INDEX(Chapter,MATCH(P210,Chapter!$A$1:$A$681,0),8)</f>
        <v>מתנ״סים</v>
      </c>
      <c r="R210" s="18" t="str">
        <f t="shared" si="28"/>
        <v>3244</v>
      </c>
      <c r="S210" s="18" t="e">
        <f>INDEX(Chapter,MATCH(R210,Chapter!$A$1:$A$681,0),8)</f>
        <v>#N/A</v>
      </c>
      <c r="T210" s="18"/>
      <c r="U210" s="18" t="str">
        <f t="shared" si="29"/>
        <v>4</v>
      </c>
      <c r="V210" s="18" t="str">
        <f>IF($L210&lt;"6",INDEX(Revenue_type,MATCH(U210*1,type!$A$118:$A$168,0),8),INDEX(Expenditure_type,MATCH(U210*1,type!$A$2:$A$117,0),8))</f>
        <v>שירותים ושכר לימוד</v>
      </c>
      <c r="W210" s="18" t="str">
        <f t="shared" si="30"/>
        <v>41</v>
      </c>
      <c r="X210" s="18" t="str">
        <f>IF($L210&lt;"6",INDEX(Revenue_type,MATCH(W210*1,type!$A$118:$A$168,0),8),INDEX(Expenditure_type,MATCH(W210*1,type!$A$2:$A$117,0),8))</f>
        <v>שכל"מ מתושבים</v>
      </c>
      <c r="Y210" s="18" t="str">
        <f t="shared" si="31"/>
        <v>410</v>
      </c>
      <c r="Z210" s="18" t="e">
        <f>IF($L210&lt;"6",INDEX(Revenue_type,MATCH(Y210*1,type!$A$118:$A$168,0),8),INDEX(Expenditure_type,MATCH(Y210*1,type!$A$2:$A$117,0),8))</f>
        <v>#N/A</v>
      </c>
    </row>
    <row r="211" spans="1:26" ht="15.75" hidden="1" customHeight="1" outlineLevel="2">
      <c r="A211" s="482">
        <v>920</v>
      </c>
      <c r="B211" s="489" t="s">
        <v>8900</v>
      </c>
      <c r="C211">
        <v>1</v>
      </c>
      <c r="D211" t="str">
        <f t="shared" si="24"/>
        <v>1322400.920</v>
      </c>
      <c r="E211" s="492" t="s">
        <v>7894</v>
      </c>
      <c r="H211" s="470">
        <v>0</v>
      </c>
      <c r="I211" s="470">
        <v>0</v>
      </c>
      <c r="J211" s="470">
        <v>0</v>
      </c>
      <c r="K211" s="18"/>
      <c r="L211" s="18" t="str">
        <f t="shared" si="25"/>
        <v>3</v>
      </c>
      <c r="M211" s="18" t="str">
        <f>INDEX(Chapter,MATCH(L211,Chapter!$A$1:$A$681,0),8)</f>
        <v>שירותים ממלכתיים</v>
      </c>
      <c r="N211" s="18" t="str">
        <f t="shared" si="26"/>
        <v>32</v>
      </c>
      <c r="O211" s="18" t="str">
        <f>INDEX(Chapter,MATCH(N211,Chapter!$A$1:$A$681,0),8)</f>
        <v>תרבות</v>
      </c>
      <c r="P211" s="18" t="str">
        <f t="shared" si="27"/>
        <v>322</v>
      </c>
      <c r="Q211" s="18" t="str">
        <f>INDEX(Chapter,MATCH(P211,Chapter!$A$1:$A$681,0),8)</f>
        <v>פעולות תרבות</v>
      </c>
      <c r="R211" s="18" t="str">
        <f t="shared" si="28"/>
        <v>3224</v>
      </c>
      <c r="S211" s="18" t="e">
        <f>INDEX(Chapter,MATCH(R211,Chapter!$A$1:$A$681,0),8)</f>
        <v>#N/A</v>
      </c>
      <c r="T211" s="18"/>
      <c r="U211" s="18" t="str">
        <f t="shared" si="29"/>
        <v>9</v>
      </c>
      <c r="V211" s="18" t="str">
        <f>IF($L211&lt;"6",INDEX(Revenue_type,MATCH(U211*1,type!$A$118:$A$168,0),8),INDEX(Expenditure_type,MATCH(U211*1,type!$A$2:$A$117,0),8))</f>
        <v>השתתפות משרדי ממשלה</v>
      </c>
      <c r="W211" s="18" t="str">
        <f t="shared" si="30"/>
        <v>92</v>
      </c>
      <c r="X211" s="18" t="str">
        <f>IF($L211&lt;"6",INDEX(Revenue_type,MATCH(W211*1,type!$A$118:$A$168,0),8),INDEX(Expenditure_type,MATCH(W211*1,type!$A$2:$A$117,0),8))</f>
        <v>השתתפות משרד החינוך והתרבות</v>
      </c>
      <c r="Y211" s="18" t="str">
        <f t="shared" si="31"/>
        <v>920</v>
      </c>
      <c r="Z211" s="18" t="e">
        <f>IF($L211&lt;"6",INDEX(Revenue_type,MATCH(Y211*1,type!$A$118:$A$168,0),8),INDEX(Expenditure_type,MATCH(Y211*1,type!$A$2:$A$117,0),8))</f>
        <v>#N/A</v>
      </c>
    </row>
    <row r="212" spans="1:26" ht="15.75" hidden="1" customHeight="1" outlineLevel="2">
      <c r="A212" s="482">
        <v>930</v>
      </c>
      <c r="B212" s="488">
        <v>341331</v>
      </c>
      <c r="C212">
        <v>1</v>
      </c>
      <c r="D212" t="str">
        <f t="shared" si="24"/>
        <v>1341331.930</v>
      </c>
      <c r="E212" s="492" t="s">
        <v>7895</v>
      </c>
      <c r="H212" s="470">
        <v>-21140000</v>
      </c>
      <c r="I212" s="470">
        <v>-21140000</v>
      </c>
      <c r="J212" s="470">
        <v>-21103652</v>
      </c>
      <c r="K212" s="18"/>
      <c r="L212" s="18" t="str">
        <f t="shared" si="25"/>
        <v>3</v>
      </c>
      <c r="M212" s="18" t="str">
        <f>INDEX(Chapter,MATCH(L212,Chapter!$A$1:$A$681,0),8)</f>
        <v>שירותים ממלכתיים</v>
      </c>
      <c r="N212" s="18" t="str">
        <f t="shared" si="26"/>
        <v>34</v>
      </c>
      <c r="O212" s="18" t="str">
        <f>INDEX(Chapter,MATCH(N212,Chapter!$A$1:$A$681,0),8)</f>
        <v>רווחה</v>
      </c>
      <c r="P212" s="18" t="str">
        <f t="shared" si="27"/>
        <v>341</v>
      </c>
      <c r="Q212" s="18" t="str">
        <f>INDEX(Chapter,MATCH(P212,Chapter!$A$1:$A$681,0),8)</f>
        <v>מינהל הרווחה</v>
      </c>
      <c r="R212" s="18" t="str">
        <f t="shared" si="28"/>
        <v>3413</v>
      </c>
      <c r="S212" s="18" t="e">
        <f>INDEX(Chapter,MATCH(R212,Chapter!$A$1:$A$681,0),8)</f>
        <v>#N/A</v>
      </c>
      <c r="T212" s="18"/>
      <c r="U212" s="18" t="str">
        <f t="shared" si="29"/>
        <v>9</v>
      </c>
      <c r="V212" s="18" t="str">
        <f>IF($L212&lt;"6",INDEX(Revenue_type,MATCH(U212*1,type!$A$118:$A$168,0),8),INDEX(Expenditure_type,MATCH(U212*1,type!$A$2:$A$117,0),8))</f>
        <v>השתתפות משרדי ממשלה</v>
      </c>
      <c r="W212" s="18" t="str">
        <f t="shared" si="30"/>
        <v>93</v>
      </c>
      <c r="X212" s="18" t="str">
        <f>IF($L212&lt;"6",INDEX(Revenue_type,MATCH(W212*1,type!$A$118:$A$168,0),8),INDEX(Expenditure_type,MATCH(W212*1,type!$A$2:$A$117,0),8))</f>
        <v>השתתפות משרד העבודה והרווחה</v>
      </c>
      <c r="Y212" s="18" t="str">
        <f t="shared" si="31"/>
        <v>930</v>
      </c>
      <c r="Z212" s="18" t="e">
        <f>IF($L212&lt;"6",INDEX(Revenue_type,MATCH(Y212*1,type!$A$118:$A$168,0),8),INDEX(Expenditure_type,MATCH(Y212*1,type!$A$2:$A$117,0),8))</f>
        <v>#N/A</v>
      </c>
    </row>
    <row r="213" spans="1:26" ht="15.75" hidden="1" customHeight="1" outlineLevel="2">
      <c r="A213" s="482">
        <v>930</v>
      </c>
      <c r="B213" s="488" t="s">
        <v>7666</v>
      </c>
      <c r="C213">
        <v>1</v>
      </c>
      <c r="D213" t="str">
        <f t="shared" si="24"/>
        <v>1342000.930</v>
      </c>
      <c r="E213" s="492" t="s">
        <v>7896</v>
      </c>
      <c r="H213" s="470">
        <v>-10000000</v>
      </c>
      <c r="I213" s="470">
        <v>-10500000</v>
      </c>
      <c r="J213" s="470">
        <v>-9165682</v>
      </c>
      <c r="K213" s="18"/>
      <c r="L213" s="18" t="str">
        <f t="shared" si="25"/>
        <v>3</v>
      </c>
      <c r="M213" s="18" t="str">
        <f>INDEX(Chapter,MATCH(L213,Chapter!$A$1:$A$681,0),8)</f>
        <v>שירותים ממלכתיים</v>
      </c>
      <c r="N213" s="18" t="str">
        <f t="shared" si="26"/>
        <v>34</v>
      </c>
      <c r="O213" s="18" t="str">
        <f>INDEX(Chapter,MATCH(N213,Chapter!$A$1:$A$681,0),8)</f>
        <v>רווחה</v>
      </c>
      <c r="P213" s="18" t="str">
        <f t="shared" si="27"/>
        <v>342</v>
      </c>
      <c r="Q213" s="18" t="str">
        <f>INDEX(Chapter,MATCH(P213,Chapter!$A$1:$A$681,0),8)</f>
        <v>רווחת הפרט והמשפחה</v>
      </c>
      <c r="R213" s="18" t="str">
        <f t="shared" si="28"/>
        <v>3420</v>
      </c>
      <c r="S213" s="18" t="e">
        <f>INDEX(Chapter,MATCH(R213,Chapter!$A$1:$A$681,0),8)</f>
        <v>#N/A</v>
      </c>
      <c r="T213" s="18"/>
      <c r="U213" s="18" t="str">
        <f t="shared" si="29"/>
        <v>9</v>
      </c>
      <c r="V213" s="18" t="str">
        <f>IF($L213&lt;"6",INDEX(Revenue_type,MATCH(U213*1,type!$A$118:$A$168,0),8),INDEX(Expenditure_type,MATCH(U213*1,type!$A$2:$A$117,0),8))</f>
        <v>השתתפות משרדי ממשלה</v>
      </c>
      <c r="W213" s="18" t="str">
        <f t="shared" si="30"/>
        <v>93</v>
      </c>
      <c r="X213" s="18" t="str">
        <f>IF($L213&lt;"6",INDEX(Revenue_type,MATCH(W213*1,type!$A$118:$A$168,0),8),INDEX(Expenditure_type,MATCH(W213*1,type!$A$2:$A$117,0),8))</f>
        <v>השתתפות משרד העבודה והרווחה</v>
      </c>
      <c r="Y213" s="18" t="str">
        <f t="shared" si="31"/>
        <v>930</v>
      </c>
      <c r="Z213" s="18" t="e">
        <f>IF($L213&lt;"6",INDEX(Revenue_type,MATCH(Y213*1,type!$A$118:$A$168,0),8),INDEX(Expenditure_type,MATCH(Y213*1,type!$A$2:$A$117,0),8))</f>
        <v>#N/A</v>
      </c>
    </row>
    <row r="214" spans="1:26" ht="15.75" hidden="1" customHeight="1" outlineLevel="2">
      <c r="A214" s="482">
        <v>410</v>
      </c>
      <c r="B214" s="488" t="s">
        <v>7666</v>
      </c>
      <c r="C214">
        <v>1</v>
      </c>
      <c r="D214" t="str">
        <f t="shared" si="24"/>
        <v>1342000.410</v>
      </c>
      <c r="E214" s="492" t="s">
        <v>7897</v>
      </c>
      <c r="H214" s="470">
        <v>-26000</v>
      </c>
      <c r="I214" s="470">
        <v>-26000</v>
      </c>
      <c r="J214" s="470">
        <v>-24584</v>
      </c>
      <c r="K214" s="18"/>
      <c r="L214" s="18" t="str">
        <f t="shared" si="25"/>
        <v>3</v>
      </c>
      <c r="M214" s="18" t="str">
        <f>INDEX(Chapter,MATCH(L214,Chapter!$A$1:$A$681,0),8)</f>
        <v>שירותים ממלכתיים</v>
      </c>
      <c r="N214" s="18" t="str">
        <f t="shared" si="26"/>
        <v>34</v>
      </c>
      <c r="O214" s="18" t="str">
        <f>INDEX(Chapter,MATCH(N214,Chapter!$A$1:$A$681,0),8)</f>
        <v>רווחה</v>
      </c>
      <c r="P214" s="18" t="str">
        <f t="shared" si="27"/>
        <v>342</v>
      </c>
      <c r="Q214" s="18" t="str">
        <f>INDEX(Chapter,MATCH(P214,Chapter!$A$1:$A$681,0),8)</f>
        <v>רווחת הפרט והמשפחה</v>
      </c>
      <c r="R214" s="18" t="str">
        <f t="shared" si="28"/>
        <v>3420</v>
      </c>
      <c r="S214" s="18" t="e">
        <f>INDEX(Chapter,MATCH(R214,Chapter!$A$1:$A$681,0),8)</f>
        <v>#N/A</v>
      </c>
      <c r="T214" s="18"/>
      <c r="U214" s="18" t="str">
        <f t="shared" si="29"/>
        <v>4</v>
      </c>
      <c r="V214" s="18" t="str">
        <f>IF($L214&lt;"6",INDEX(Revenue_type,MATCH(U214*1,type!$A$118:$A$168,0),8),INDEX(Expenditure_type,MATCH(U214*1,type!$A$2:$A$117,0),8))</f>
        <v>שירותים ושכר לימוד</v>
      </c>
      <c r="W214" s="18" t="str">
        <f t="shared" si="30"/>
        <v>41</v>
      </c>
      <c r="X214" s="18" t="str">
        <f>IF($L214&lt;"6",INDEX(Revenue_type,MATCH(W214*1,type!$A$118:$A$168,0),8),INDEX(Expenditure_type,MATCH(W214*1,type!$A$2:$A$117,0),8))</f>
        <v>שכל"מ מתושבים</v>
      </c>
      <c r="Y214" s="18" t="str">
        <f t="shared" si="31"/>
        <v>410</v>
      </c>
      <c r="Z214" s="18" t="e">
        <f>IF($L214&lt;"6",INDEX(Revenue_type,MATCH(Y214*1,type!$A$118:$A$168,0),8),INDEX(Expenditure_type,MATCH(Y214*1,type!$A$2:$A$117,0),8))</f>
        <v>#N/A</v>
      </c>
    </row>
    <row r="215" spans="1:26" ht="15.75" hidden="1" customHeight="1" outlineLevel="2">
      <c r="A215" s="482">
        <v>930</v>
      </c>
      <c r="B215" s="488" t="s">
        <v>7667</v>
      </c>
      <c r="C215">
        <v>1</v>
      </c>
      <c r="D215" t="str">
        <f t="shared" si="24"/>
        <v>1343000.930</v>
      </c>
      <c r="E215" s="492" t="s">
        <v>7898</v>
      </c>
      <c r="H215" s="470">
        <v>-42667500</v>
      </c>
      <c r="I215" s="470">
        <v>-42000000</v>
      </c>
      <c r="J215" s="470">
        <v>-41627877</v>
      </c>
      <c r="K215" s="18"/>
      <c r="L215" s="18" t="str">
        <f t="shared" si="25"/>
        <v>3</v>
      </c>
      <c r="M215" s="18" t="str">
        <f>INDEX(Chapter,MATCH(L215,Chapter!$A$1:$A$681,0),8)</f>
        <v>שירותים ממלכתיים</v>
      </c>
      <c r="N215" s="18" t="str">
        <f t="shared" si="26"/>
        <v>34</v>
      </c>
      <c r="O215" s="18" t="str">
        <f>INDEX(Chapter,MATCH(N215,Chapter!$A$1:$A$681,0),8)</f>
        <v>רווחה</v>
      </c>
      <c r="P215" s="18" t="str">
        <f t="shared" si="27"/>
        <v>343</v>
      </c>
      <c r="Q215" s="18" t="str">
        <f>INDEX(Chapter,MATCH(P215,Chapter!$A$1:$A$681,0),8)</f>
        <v>שירותים לילד ולנוער</v>
      </c>
      <c r="R215" s="18" t="str">
        <f t="shared" si="28"/>
        <v>3430</v>
      </c>
      <c r="S215" s="18" t="e">
        <f>INDEX(Chapter,MATCH(R215,Chapter!$A$1:$A$681,0),8)</f>
        <v>#N/A</v>
      </c>
      <c r="T215" s="18"/>
      <c r="U215" s="18" t="str">
        <f t="shared" si="29"/>
        <v>9</v>
      </c>
      <c r="V215" s="18" t="str">
        <f>IF($L215&lt;"6",INDEX(Revenue_type,MATCH(U215*1,type!$A$118:$A$168,0),8),INDEX(Expenditure_type,MATCH(U215*1,type!$A$2:$A$117,0),8))</f>
        <v>השתתפות משרדי ממשלה</v>
      </c>
      <c r="W215" s="18" t="str">
        <f t="shared" si="30"/>
        <v>93</v>
      </c>
      <c r="X215" s="18" t="str">
        <f>IF($L215&lt;"6",INDEX(Revenue_type,MATCH(W215*1,type!$A$118:$A$168,0),8),INDEX(Expenditure_type,MATCH(W215*1,type!$A$2:$A$117,0),8))</f>
        <v>השתתפות משרד העבודה והרווחה</v>
      </c>
      <c r="Y215" s="18" t="str">
        <f t="shared" si="31"/>
        <v>930</v>
      </c>
      <c r="Z215" s="18" t="e">
        <f>IF($L215&lt;"6",INDEX(Revenue_type,MATCH(Y215*1,type!$A$118:$A$168,0),8),INDEX(Expenditure_type,MATCH(Y215*1,type!$A$2:$A$117,0),8))</f>
        <v>#N/A</v>
      </c>
    </row>
    <row r="216" spans="1:26" ht="15.75" hidden="1" customHeight="1" outlineLevel="2">
      <c r="A216" s="482">
        <v>410</v>
      </c>
      <c r="B216" s="488" t="s">
        <v>7667</v>
      </c>
      <c r="C216">
        <v>1</v>
      </c>
      <c r="D216" t="str">
        <f t="shared" si="24"/>
        <v>1343000.410</v>
      </c>
      <c r="E216" s="492" t="s">
        <v>7899</v>
      </c>
      <c r="H216" s="470">
        <v>-300000</v>
      </c>
      <c r="I216" s="470">
        <v>-300000</v>
      </c>
      <c r="J216" s="470">
        <v>-154891</v>
      </c>
      <c r="K216" s="18"/>
      <c r="L216" s="18" t="str">
        <f t="shared" si="25"/>
        <v>3</v>
      </c>
      <c r="M216" s="18" t="str">
        <f>INDEX(Chapter,MATCH(L216,Chapter!$A$1:$A$681,0),8)</f>
        <v>שירותים ממלכתיים</v>
      </c>
      <c r="N216" s="18" t="str">
        <f t="shared" si="26"/>
        <v>34</v>
      </c>
      <c r="O216" s="18" t="str">
        <f>INDEX(Chapter,MATCH(N216,Chapter!$A$1:$A$681,0),8)</f>
        <v>רווחה</v>
      </c>
      <c r="P216" s="18" t="str">
        <f t="shared" si="27"/>
        <v>343</v>
      </c>
      <c r="Q216" s="18" t="str">
        <f>INDEX(Chapter,MATCH(P216,Chapter!$A$1:$A$681,0),8)</f>
        <v>שירותים לילד ולנוער</v>
      </c>
      <c r="R216" s="18" t="str">
        <f t="shared" si="28"/>
        <v>3430</v>
      </c>
      <c r="S216" s="18" t="e">
        <f>INDEX(Chapter,MATCH(R216,Chapter!$A$1:$A$681,0),8)</f>
        <v>#N/A</v>
      </c>
      <c r="T216" s="18"/>
      <c r="U216" s="18" t="str">
        <f t="shared" si="29"/>
        <v>4</v>
      </c>
      <c r="V216" s="18" t="str">
        <f>IF($L216&lt;"6",INDEX(Revenue_type,MATCH(U216*1,type!$A$118:$A$168,0),8),INDEX(Expenditure_type,MATCH(U216*1,type!$A$2:$A$117,0),8))</f>
        <v>שירותים ושכר לימוד</v>
      </c>
      <c r="W216" s="18" t="str">
        <f t="shared" si="30"/>
        <v>41</v>
      </c>
      <c r="X216" s="18" t="str">
        <f>IF($L216&lt;"6",INDEX(Revenue_type,MATCH(W216*1,type!$A$118:$A$168,0),8),INDEX(Expenditure_type,MATCH(W216*1,type!$A$2:$A$117,0),8))</f>
        <v>שכל"מ מתושבים</v>
      </c>
      <c r="Y216" s="18" t="str">
        <f t="shared" si="31"/>
        <v>410</v>
      </c>
      <c r="Z216" s="18" t="e">
        <f>IF($L216&lt;"6",INDEX(Revenue_type,MATCH(Y216*1,type!$A$118:$A$168,0),8),INDEX(Expenditure_type,MATCH(Y216*1,type!$A$2:$A$117,0),8))</f>
        <v>#N/A</v>
      </c>
    </row>
    <row r="217" spans="1:26" ht="15.75" hidden="1" customHeight="1" outlineLevel="2">
      <c r="A217" s="482">
        <v>930</v>
      </c>
      <c r="B217" s="488" t="s">
        <v>7668</v>
      </c>
      <c r="C217">
        <v>1</v>
      </c>
      <c r="D217" t="str">
        <f t="shared" si="24"/>
        <v>1344000.930</v>
      </c>
      <c r="E217" s="492" t="s">
        <v>7900</v>
      </c>
      <c r="H217" s="470">
        <v>-16000000</v>
      </c>
      <c r="I217" s="470">
        <v>-17000000</v>
      </c>
      <c r="J217" s="470">
        <v>-14975344</v>
      </c>
      <c r="K217" s="18"/>
      <c r="L217" s="18" t="str">
        <f t="shared" si="25"/>
        <v>3</v>
      </c>
      <c r="M217" s="18" t="str">
        <f>INDEX(Chapter,MATCH(L217,Chapter!$A$1:$A$681,0),8)</f>
        <v>שירותים ממלכתיים</v>
      </c>
      <c r="N217" s="18" t="str">
        <f t="shared" si="26"/>
        <v>34</v>
      </c>
      <c r="O217" s="18" t="str">
        <f>INDEX(Chapter,MATCH(N217,Chapter!$A$1:$A$681,0),8)</f>
        <v>רווחה</v>
      </c>
      <c r="P217" s="18" t="str">
        <f t="shared" si="27"/>
        <v>344</v>
      </c>
      <c r="Q217" s="18" t="str">
        <f>INDEX(Chapter,MATCH(P217,Chapter!$A$1:$A$681,0),8)</f>
        <v>שירותים לזקן</v>
      </c>
      <c r="R217" s="18" t="str">
        <f t="shared" si="28"/>
        <v>3440</v>
      </c>
      <c r="S217" s="18" t="e">
        <f>INDEX(Chapter,MATCH(R217,Chapter!$A$1:$A$681,0),8)</f>
        <v>#N/A</v>
      </c>
      <c r="T217" s="18"/>
      <c r="U217" s="18" t="str">
        <f t="shared" si="29"/>
        <v>9</v>
      </c>
      <c r="V217" s="18" t="str">
        <f>IF($L217&lt;"6",INDEX(Revenue_type,MATCH(U217*1,type!$A$118:$A$168,0),8),INDEX(Expenditure_type,MATCH(U217*1,type!$A$2:$A$117,0),8))</f>
        <v>השתתפות משרדי ממשלה</v>
      </c>
      <c r="W217" s="18" t="str">
        <f t="shared" si="30"/>
        <v>93</v>
      </c>
      <c r="X217" s="18" t="str">
        <f>IF($L217&lt;"6",INDEX(Revenue_type,MATCH(W217*1,type!$A$118:$A$168,0),8),INDEX(Expenditure_type,MATCH(W217*1,type!$A$2:$A$117,0),8))</f>
        <v>השתתפות משרד העבודה והרווחה</v>
      </c>
      <c r="Y217" s="18" t="str">
        <f t="shared" si="31"/>
        <v>930</v>
      </c>
      <c r="Z217" s="18" t="e">
        <f>IF($L217&lt;"6",INDEX(Revenue_type,MATCH(Y217*1,type!$A$118:$A$168,0),8),INDEX(Expenditure_type,MATCH(Y217*1,type!$A$2:$A$117,0),8))</f>
        <v>#N/A</v>
      </c>
    </row>
    <row r="218" spans="1:26" ht="15.75" hidden="1" customHeight="1" outlineLevel="2">
      <c r="A218" s="482">
        <v>410</v>
      </c>
      <c r="B218" s="488" t="s">
        <v>7668</v>
      </c>
      <c r="C218">
        <v>1</v>
      </c>
      <c r="D218" t="str">
        <f t="shared" si="24"/>
        <v>1344000.410</v>
      </c>
      <c r="E218" s="492" t="s">
        <v>7901</v>
      </c>
      <c r="H218" s="470">
        <v>-3000000</v>
      </c>
      <c r="I218" s="470">
        <v>-3000000</v>
      </c>
      <c r="J218" s="470">
        <v>-2708875</v>
      </c>
      <c r="K218" s="18"/>
      <c r="L218" s="18" t="str">
        <f t="shared" si="25"/>
        <v>3</v>
      </c>
      <c r="M218" s="18" t="str">
        <f>INDEX(Chapter,MATCH(L218,Chapter!$A$1:$A$681,0),8)</f>
        <v>שירותים ממלכתיים</v>
      </c>
      <c r="N218" s="18" t="str">
        <f t="shared" si="26"/>
        <v>34</v>
      </c>
      <c r="O218" s="18" t="str">
        <f>INDEX(Chapter,MATCH(N218,Chapter!$A$1:$A$681,0),8)</f>
        <v>רווחה</v>
      </c>
      <c r="P218" s="18" t="str">
        <f t="shared" si="27"/>
        <v>344</v>
      </c>
      <c r="Q218" s="18" t="str">
        <f>INDEX(Chapter,MATCH(P218,Chapter!$A$1:$A$681,0),8)</f>
        <v>שירותים לזקן</v>
      </c>
      <c r="R218" s="18" t="str">
        <f t="shared" si="28"/>
        <v>3440</v>
      </c>
      <c r="S218" s="18" t="e">
        <f>INDEX(Chapter,MATCH(R218,Chapter!$A$1:$A$681,0),8)</f>
        <v>#N/A</v>
      </c>
      <c r="T218" s="18"/>
      <c r="U218" s="18" t="str">
        <f t="shared" si="29"/>
        <v>4</v>
      </c>
      <c r="V218" s="18" t="str">
        <f>IF($L218&lt;"6",INDEX(Revenue_type,MATCH(U218*1,type!$A$118:$A$168,0),8),INDEX(Expenditure_type,MATCH(U218*1,type!$A$2:$A$117,0),8))</f>
        <v>שירותים ושכר לימוד</v>
      </c>
      <c r="W218" s="18" t="str">
        <f t="shared" si="30"/>
        <v>41</v>
      </c>
      <c r="X218" s="18" t="str">
        <f>IF($L218&lt;"6",INDEX(Revenue_type,MATCH(W218*1,type!$A$118:$A$168,0),8),INDEX(Expenditure_type,MATCH(W218*1,type!$A$2:$A$117,0),8))</f>
        <v>שכל"מ מתושבים</v>
      </c>
      <c r="Y218" s="18" t="str">
        <f t="shared" si="31"/>
        <v>410</v>
      </c>
      <c r="Z218" s="18" t="e">
        <f>IF($L218&lt;"6",INDEX(Revenue_type,MATCH(Y218*1,type!$A$118:$A$168,0),8),INDEX(Expenditure_type,MATCH(Y218*1,type!$A$2:$A$117,0),8))</f>
        <v>#N/A</v>
      </c>
    </row>
    <row r="219" spans="1:26" ht="15.75" hidden="1" customHeight="1" outlineLevel="2">
      <c r="A219" s="482">
        <v>930</v>
      </c>
      <c r="B219" s="488" t="s">
        <v>7669</v>
      </c>
      <c r="C219">
        <v>1</v>
      </c>
      <c r="D219" t="str">
        <f t="shared" si="24"/>
        <v>1345000.930</v>
      </c>
      <c r="E219" s="492" t="s">
        <v>7902</v>
      </c>
      <c r="H219" s="470">
        <v>-69000000</v>
      </c>
      <c r="I219" s="470">
        <v>-67950000</v>
      </c>
      <c r="J219" s="470">
        <v>-66683553</v>
      </c>
      <c r="K219" s="18"/>
      <c r="L219" s="18" t="str">
        <f t="shared" si="25"/>
        <v>3</v>
      </c>
      <c r="M219" s="18" t="str">
        <f>INDEX(Chapter,MATCH(L219,Chapter!$A$1:$A$681,0),8)</f>
        <v>שירותים ממלכתיים</v>
      </c>
      <c r="N219" s="18" t="str">
        <f t="shared" si="26"/>
        <v>34</v>
      </c>
      <c r="O219" s="18" t="str">
        <f>INDEX(Chapter,MATCH(N219,Chapter!$A$1:$A$681,0),8)</f>
        <v>רווחה</v>
      </c>
      <c r="P219" s="18" t="str">
        <f t="shared" si="27"/>
        <v>345</v>
      </c>
      <c r="Q219" s="18" t="str">
        <f>INDEX(Chapter,MATCH(P219,Chapter!$A$1:$A$681,0),8)</f>
        <v>שירותים למפגר</v>
      </c>
      <c r="R219" s="18" t="str">
        <f t="shared" si="28"/>
        <v>3450</v>
      </c>
      <c r="S219" s="18" t="e">
        <f>INDEX(Chapter,MATCH(R219,Chapter!$A$1:$A$681,0),8)</f>
        <v>#N/A</v>
      </c>
      <c r="T219" s="18"/>
      <c r="U219" s="18" t="str">
        <f t="shared" si="29"/>
        <v>9</v>
      </c>
      <c r="V219" s="18" t="str">
        <f>IF($L219&lt;"6",INDEX(Revenue_type,MATCH(U219*1,type!$A$118:$A$168,0),8),INDEX(Expenditure_type,MATCH(U219*1,type!$A$2:$A$117,0),8))</f>
        <v>השתתפות משרדי ממשלה</v>
      </c>
      <c r="W219" s="18" t="str">
        <f t="shared" si="30"/>
        <v>93</v>
      </c>
      <c r="X219" s="18" t="str">
        <f>IF($L219&lt;"6",INDEX(Revenue_type,MATCH(W219*1,type!$A$118:$A$168,0),8),INDEX(Expenditure_type,MATCH(W219*1,type!$A$2:$A$117,0),8))</f>
        <v>השתתפות משרד העבודה והרווחה</v>
      </c>
      <c r="Y219" s="18" t="str">
        <f t="shared" si="31"/>
        <v>930</v>
      </c>
      <c r="Z219" s="18" t="e">
        <f>IF($L219&lt;"6",INDEX(Revenue_type,MATCH(Y219*1,type!$A$118:$A$168,0),8),INDEX(Expenditure_type,MATCH(Y219*1,type!$A$2:$A$117,0),8))</f>
        <v>#N/A</v>
      </c>
    </row>
    <row r="220" spans="1:26" ht="15.75" hidden="1" customHeight="1" outlineLevel="2">
      <c r="A220" s="482">
        <v>410</v>
      </c>
      <c r="B220" s="488" t="s">
        <v>7669</v>
      </c>
      <c r="C220">
        <v>1</v>
      </c>
      <c r="D220" t="str">
        <f t="shared" si="24"/>
        <v>1345000.410</v>
      </c>
      <c r="E220" s="492" t="s">
        <v>7903</v>
      </c>
      <c r="H220" s="470">
        <v>-700000</v>
      </c>
      <c r="I220" s="470">
        <v>-700000</v>
      </c>
      <c r="J220" s="470">
        <v>-424680</v>
      </c>
      <c r="K220" s="18"/>
      <c r="L220" s="18" t="str">
        <f t="shared" si="25"/>
        <v>3</v>
      </c>
      <c r="M220" s="18" t="str">
        <f>INDEX(Chapter,MATCH(L220,Chapter!$A$1:$A$681,0),8)</f>
        <v>שירותים ממלכתיים</v>
      </c>
      <c r="N220" s="18" t="str">
        <f t="shared" si="26"/>
        <v>34</v>
      </c>
      <c r="O220" s="18" t="str">
        <f>INDEX(Chapter,MATCH(N220,Chapter!$A$1:$A$681,0),8)</f>
        <v>רווחה</v>
      </c>
      <c r="P220" s="18" t="str">
        <f t="shared" si="27"/>
        <v>345</v>
      </c>
      <c r="Q220" s="18" t="str">
        <f>INDEX(Chapter,MATCH(P220,Chapter!$A$1:$A$681,0),8)</f>
        <v>שירותים למפגר</v>
      </c>
      <c r="R220" s="18" t="str">
        <f t="shared" si="28"/>
        <v>3450</v>
      </c>
      <c r="S220" s="18" t="e">
        <f>INDEX(Chapter,MATCH(R220,Chapter!$A$1:$A$681,0),8)</f>
        <v>#N/A</v>
      </c>
      <c r="T220" s="18"/>
      <c r="U220" s="18" t="str">
        <f t="shared" si="29"/>
        <v>4</v>
      </c>
      <c r="V220" s="18" t="str">
        <f>IF($L220&lt;"6",INDEX(Revenue_type,MATCH(U220*1,type!$A$118:$A$168,0),8),INDEX(Expenditure_type,MATCH(U220*1,type!$A$2:$A$117,0),8))</f>
        <v>שירותים ושכר לימוד</v>
      </c>
      <c r="W220" s="18" t="str">
        <f t="shared" si="30"/>
        <v>41</v>
      </c>
      <c r="X220" s="18" t="str">
        <f>IF($L220&lt;"6",INDEX(Revenue_type,MATCH(W220*1,type!$A$118:$A$168,0),8),INDEX(Expenditure_type,MATCH(W220*1,type!$A$2:$A$117,0),8))</f>
        <v>שכל"מ מתושבים</v>
      </c>
      <c r="Y220" s="18" t="str">
        <f t="shared" si="31"/>
        <v>410</v>
      </c>
      <c r="Z220" s="18" t="e">
        <f>IF($L220&lt;"6",INDEX(Revenue_type,MATCH(Y220*1,type!$A$118:$A$168,0),8),INDEX(Expenditure_type,MATCH(Y220*1,type!$A$2:$A$117,0),8))</f>
        <v>#N/A</v>
      </c>
    </row>
    <row r="221" spans="1:26" ht="15.75" hidden="1" customHeight="1" outlineLevel="2">
      <c r="A221" s="482">
        <v>930</v>
      </c>
      <c r="B221" s="488" t="s">
        <v>7670</v>
      </c>
      <c r="C221">
        <v>1</v>
      </c>
      <c r="D221" t="str">
        <f t="shared" si="24"/>
        <v>1346200.930</v>
      </c>
      <c r="E221" s="492" t="s">
        <v>7904</v>
      </c>
      <c r="H221" s="470">
        <v>-3000000</v>
      </c>
      <c r="I221" s="470">
        <v>-3136000</v>
      </c>
      <c r="J221" s="470">
        <v>-2080815</v>
      </c>
      <c r="K221" s="18"/>
      <c r="L221" s="18" t="str">
        <f t="shared" si="25"/>
        <v>3</v>
      </c>
      <c r="M221" s="18" t="str">
        <f>INDEX(Chapter,MATCH(L221,Chapter!$A$1:$A$681,0),8)</f>
        <v>שירותים ממלכתיים</v>
      </c>
      <c r="N221" s="18" t="str">
        <f t="shared" si="26"/>
        <v>34</v>
      </c>
      <c r="O221" s="18" t="str">
        <f>INDEX(Chapter,MATCH(N221,Chapter!$A$1:$A$681,0),8)</f>
        <v>רווחה</v>
      </c>
      <c r="P221" s="18" t="str">
        <f t="shared" si="27"/>
        <v>346</v>
      </c>
      <c r="Q221" s="18" t="str">
        <f>INDEX(Chapter,MATCH(P221,Chapter!$A$1:$A$681,0),8)</f>
        <v>שירותי שיקום</v>
      </c>
      <c r="R221" s="18" t="str">
        <f t="shared" si="28"/>
        <v>3462</v>
      </c>
      <c r="S221" s="18" t="str">
        <f>INDEX(Chapter,MATCH(R221,Chapter!$A$1:$A$681,0),8)</f>
        <v>שיקום העיוור - מעונות יום</v>
      </c>
      <c r="T221" s="18"/>
      <c r="U221" s="18" t="str">
        <f t="shared" si="29"/>
        <v>9</v>
      </c>
      <c r="V221" s="18" t="str">
        <f>IF($L221&lt;"6",INDEX(Revenue_type,MATCH(U221*1,type!$A$118:$A$168,0),8),INDEX(Expenditure_type,MATCH(U221*1,type!$A$2:$A$117,0),8))</f>
        <v>השתתפות משרדי ממשלה</v>
      </c>
      <c r="W221" s="18" t="str">
        <f t="shared" si="30"/>
        <v>93</v>
      </c>
      <c r="X221" s="18" t="str">
        <f>IF($L221&lt;"6",INDEX(Revenue_type,MATCH(W221*1,type!$A$118:$A$168,0),8),INDEX(Expenditure_type,MATCH(W221*1,type!$A$2:$A$117,0),8))</f>
        <v>השתתפות משרד העבודה והרווחה</v>
      </c>
      <c r="Y221" s="18" t="str">
        <f t="shared" si="31"/>
        <v>930</v>
      </c>
      <c r="Z221" s="18" t="e">
        <f>IF($L221&lt;"6",INDEX(Revenue_type,MATCH(Y221*1,type!$A$118:$A$168,0),8),INDEX(Expenditure_type,MATCH(Y221*1,type!$A$2:$A$117,0),8))</f>
        <v>#N/A</v>
      </c>
    </row>
    <row r="222" spans="1:26" ht="15.75" hidden="1" customHeight="1" outlineLevel="2">
      <c r="A222" s="482">
        <v>930</v>
      </c>
      <c r="B222" s="488" t="s">
        <v>7671</v>
      </c>
      <c r="C222">
        <v>1</v>
      </c>
      <c r="D222" t="str">
        <f t="shared" si="24"/>
        <v>1346400.930</v>
      </c>
      <c r="E222" s="492" t="s">
        <v>7905</v>
      </c>
      <c r="H222" s="470">
        <v>-23000000</v>
      </c>
      <c r="I222" s="470">
        <v>-23250000</v>
      </c>
      <c r="J222" s="470">
        <v>-22660513</v>
      </c>
      <c r="K222" s="18"/>
      <c r="L222" s="18" t="str">
        <f t="shared" si="25"/>
        <v>3</v>
      </c>
      <c r="M222" s="18" t="str">
        <f>INDEX(Chapter,MATCH(L222,Chapter!$A$1:$A$681,0),8)</f>
        <v>שירותים ממלכתיים</v>
      </c>
      <c r="N222" s="18" t="str">
        <f t="shared" si="26"/>
        <v>34</v>
      </c>
      <c r="O222" s="18" t="str">
        <f>INDEX(Chapter,MATCH(N222,Chapter!$A$1:$A$681,0),8)</f>
        <v>רווחה</v>
      </c>
      <c r="P222" s="18" t="str">
        <f t="shared" si="27"/>
        <v>346</v>
      </c>
      <c r="Q222" s="18" t="str">
        <f>INDEX(Chapter,MATCH(P222,Chapter!$A$1:$A$681,0),8)</f>
        <v>שירותי שיקום</v>
      </c>
      <c r="R222" s="18" t="str">
        <f t="shared" si="28"/>
        <v>3464</v>
      </c>
      <c r="S222" s="18" t="str">
        <f>INDEX(Chapter,MATCH(R222,Chapter!$A$1:$A$681,0),8)</f>
        <v>מפעלי תעסוקה לעיוורים</v>
      </c>
      <c r="T222" s="18"/>
      <c r="U222" s="18" t="str">
        <f t="shared" si="29"/>
        <v>9</v>
      </c>
      <c r="V222" s="18" t="str">
        <f>IF($L222&lt;"6",INDEX(Revenue_type,MATCH(U222*1,type!$A$118:$A$168,0),8),INDEX(Expenditure_type,MATCH(U222*1,type!$A$2:$A$117,0),8))</f>
        <v>השתתפות משרדי ממשלה</v>
      </c>
      <c r="W222" s="18" t="str">
        <f t="shared" si="30"/>
        <v>93</v>
      </c>
      <c r="X222" s="18" t="str">
        <f>IF($L222&lt;"6",INDEX(Revenue_type,MATCH(W222*1,type!$A$118:$A$168,0),8),INDEX(Expenditure_type,MATCH(W222*1,type!$A$2:$A$117,0),8))</f>
        <v>השתתפות משרד העבודה והרווחה</v>
      </c>
      <c r="Y222" s="18" t="str">
        <f t="shared" si="31"/>
        <v>930</v>
      </c>
      <c r="Z222" s="18" t="e">
        <f>IF($L222&lt;"6",INDEX(Revenue_type,MATCH(Y222*1,type!$A$118:$A$168,0),8),INDEX(Expenditure_type,MATCH(Y222*1,type!$A$2:$A$117,0),8))</f>
        <v>#N/A</v>
      </c>
    </row>
    <row r="223" spans="1:26" ht="15.75" hidden="1" customHeight="1" outlineLevel="2">
      <c r="A223" s="482">
        <v>410</v>
      </c>
      <c r="B223" s="488" t="s">
        <v>7671</v>
      </c>
      <c r="C223">
        <v>1</v>
      </c>
      <c r="D223" t="str">
        <f t="shared" si="24"/>
        <v>1346400.410</v>
      </c>
      <c r="E223" s="492" t="s">
        <v>7906</v>
      </c>
      <c r="H223" s="470">
        <v>-1800000</v>
      </c>
      <c r="I223" s="470">
        <v>-1800000</v>
      </c>
      <c r="J223" s="470">
        <v>0</v>
      </c>
      <c r="K223" s="18"/>
      <c r="L223" s="18" t="str">
        <f t="shared" si="25"/>
        <v>3</v>
      </c>
      <c r="M223" s="18" t="str">
        <f>INDEX(Chapter,MATCH(L223,Chapter!$A$1:$A$681,0),8)</f>
        <v>שירותים ממלכתיים</v>
      </c>
      <c r="N223" s="18" t="str">
        <f t="shared" si="26"/>
        <v>34</v>
      </c>
      <c r="O223" s="18" t="str">
        <f>INDEX(Chapter,MATCH(N223,Chapter!$A$1:$A$681,0),8)</f>
        <v>רווחה</v>
      </c>
      <c r="P223" s="18" t="str">
        <f t="shared" si="27"/>
        <v>346</v>
      </c>
      <c r="Q223" s="18" t="str">
        <f>INDEX(Chapter,MATCH(P223,Chapter!$A$1:$A$681,0),8)</f>
        <v>שירותי שיקום</v>
      </c>
      <c r="R223" s="18" t="str">
        <f t="shared" si="28"/>
        <v>3464</v>
      </c>
      <c r="S223" s="18" t="str">
        <f>INDEX(Chapter,MATCH(R223,Chapter!$A$1:$A$681,0),8)</f>
        <v>מפעלי תעסוקה לעיוורים</v>
      </c>
      <c r="T223" s="18"/>
      <c r="U223" s="18" t="str">
        <f t="shared" si="29"/>
        <v>4</v>
      </c>
      <c r="V223" s="18" t="str">
        <f>IF($L223&lt;"6",INDEX(Revenue_type,MATCH(U223*1,type!$A$118:$A$168,0),8),INDEX(Expenditure_type,MATCH(U223*1,type!$A$2:$A$117,0),8))</f>
        <v>שירותים ושכר לימוד</v>
      </c>
      <c r="W223" s="18" t="str">
        <f t="shared" si="30"/>
        <v>41</v>
      </c>
      <c r="X223" s="18" t="str">
        <f>IF($L223&lt;"6",INDEX(Revenue_type,MATCH(W223*1,type!$A$118:$A$168,0),8),INDEX(Expenditure_type,MATCH(W223*1,type!$A$2:$A$117,0),8))</f>
        <v>שכל"מ מתושבים</v>
      </c>
      <c r="Y223" s="18" t="str">
        <f t="shared" si="31"/>
        <v>410</v>
      </c>
      <c r="Z223" s="18" t="e">
        <f>IF($L223&lt;"6",INDEX(Revenue_type,MATCH(Y223*1,type!$A$118:$A$168,0),8),INDEX(Expenditure_type,MATCH(Y223*1,type!$A$2:$A$117,0),8))</f>
        <v>#N/A</v>
      </c>
    </row>
    <row r="224" spans="1:26" ht="15.75" hidden="1" customHeight="1" outlineLevel="2">
      <c r="A224" s="482">
        <v>930</v>
      </c>
      <c r="B224" s="488" t="s">
        <v>7672</v>
      </c>
      <c r="C224">
        <v>1</v>
      </c>
      <c r="D224" t="str">
        <f t="shared" si="24"/>
        <v>1346500.930</v>
      </c>
      <c r="E224" s="492" t="s">
        <v>7907</v>
      </c>
      <c r="H224" s="470">
        <v>-4000000</v>
      </c>
      <c r="I224" s="470">
        <v>-3984500</v>
      </c>
      <c r="J224" s="470">
        <v>-3792127</v>
      </c>
      <c r="K224" s="18"/>
      <c r="L224" s="18" t="str">
        <f t="shared" si="25"/>
        <v>3</v>
      </c>
      <c r="M224" s="18" t="str">
        <f>INDEX(Chapter,MATCH(L224,Chapter!$A$1:$A$681,0),8)</f>
        <v>שירותים ממלכתיים</v>
      </c>
      <c r="N224" s="18" t="str">
        <f t="shared" si="26"/>
        <v>34</v>
      </c>
      <c r="O224" s="18" t="str">
        <f>INDEX(Chapter,MATCH(N224,Chapter!$A$1:$A$681,0),8)</f>
        <v>רווחה</v>
      </c>
      <c r="P224" s="18" t="str">
        <f t="shared" si="27"/>
        <v>346</v>
      </c>
      <c r="Q224" s="18" t="str">
        <f>INDEX(Chapter,MATCH(P224,Chapter!$A$1:$A$681,0),8)</f>
        <v>שירותי שיקום</v>
      </c>
      <c r="R224" s="18" t="str">
        <f t="shared" si="28"/>
        <v>3465</v>
      </c>
      <c r="S224" s="18" t="str">
        <f>INDEX(Chapter,MATCH(R224,Chapter!$A$1:$A$681,0),8)</f>
        <v>נכים - שיקום במוסדות</v>
      </c>
      <c r="T224" s="18"/>
      <c r="U224" s="18" t="str">
        <f t="shared" si="29"/>
        <v>9</v>
      </c>
      <c r="V224" s="18" t="str">
        <f>IF($L224&lt;"6",INDEX(Revenue_type,MATCH(U224*1,type!$A$118:$A$168,0),8),INDEX(Expenditure_type,MATCH(U224*1,type!$A$2:$A$117,0),8))</f>
        <v>השתתפות משרדי ממשלה</v>
      </c>
      <c r="W224" s="18" t="str">
        <f t="shared" si="30"/>
        <v>93</v>
      </c>
      <c r="X224" s="18" t="str">
        <f>IF($L224&lt;"6",INDEX(Revenue_type,MATCH(W224*1,type!$A$118:$A$168,0),8),INDEX(Expenditure_type,MATCH(W224*1,type!$A$2:$A$117,0),8))</f>
        <v>השתתפות משרד העבודה והרווחה</v>
      </c>
      <c r="Y224" s="18" t="str">
        <f t="shared" si="31"/>
        <v>930</v>
      </c>
      <c r="Z224" s="18" t="e">
        <f>IF($L224&lt;"6",INDEX(Revenue_type,MATCH(Y224*1,type!$A$118:$A$168,0),8),INDEX(Expenditure_type,MATCH(Y224*1,type!$A$2:$A$117,0),8))</f>
        <v>#N/A</v>
      </c>
    </row>
    <row r="225" spans="1:26" ht="15.75" hidden="1" customHeight="1" outlineLevel="2">
      <c r="A225" s="482">
        <v>930</v>
      </c>
      <c r="B225" s="488">
        <v>346524</v>
      </c>
      <c r="C225">
        <v>1</v>
      </c>
      <c r="D225" t="str">
        <f t="shared" si="24"/>
        <v>1346524.930</v>
      </c>
      <c r="E225" s="492" t="s">
        <v>7908</v>
      </c>
      <c r="H225" s="470">
        <v>-810000</v>
      </c>
      <c r="I225" s="470">
        <v>-810000</v>
      </c>
      <c r="J225" s="470">
        <v>-896860</v>
      </c>
      <c r="K225" s="18"/>
      <c r="L225" s="18" t="str">
        <f t="shared" si="25"/>
        <v>3</v>
      </c>
      <c r="M225" s="18" t="str">
        <f>INDEX(Chapter,MATCH(L225,Chapter!$A$1:$A$681,0),8)</f>
        <v>שירותים ממלכתיים</v>
      </c>
      <c r="N225" s="18" t="str">
        <f t="shared" si="26"/>
        <v>34</v>
      </c>
      <c r="O225" s="18" t="str">
        <f>INDEX(Chapter,MATCH(N225,Chapter!$A$1:$A$681,0),8)</f>
        <v>רווחה</v>
      </c>
      <c r="P225" s="18" t="str">
        <f t="shared" si="27"/>
        <v>346</v>
      </c>
      <c r="Q225" s="18" t="str">
        <f>INDEX(Chapter,MATCH(P225,Chapter!$A$1:$A$681,0),8)</f>
        <v>שירותי שיקום</v>
      </c>
      <c r="R225" s="18" t="str">
        <f t="shared" si="28"/>
        <v>3465</v>
      </c>
      <c r="S225" s="18" t="str">
        <f>INDEX(Chapter,MATCH(R225,Chapter!$A$1:$A$681,0),8)</f>
        <v>נכים - שיקום במוסדות</v>
      </c>
      <c r="T225" s="18"/>
      <c r="U225" s="18" t="str">
        <f t="shared" si="29"/>
        <v>9</v>
      </c>
      <c r="V225" s="18" t="str">
        <f>IF($L225&lt;"6",INDEX(Revenue_type,MATCH(U225*1,type!$A$118:$A$168,0),8),INDEX(Expenditure_type,MATCH(U225*1,type!$A$2:$A$117,0),8))</f>
        <v>השתתפות משרדי ממשלה</v>
      </c>
      <c r="W225" s="18" t="str">
        <f t="shared" si="30"/>
        <v>93</v>
      </c>
      <c r="X225" s="18" t="str">
        <f>IF($L225&lt;"6",INDEX(Revenue_type,MATCH(W225*1,type!$A$118:$A$168,0),8),INDEX(Expenditure_type,MATCH(W225*1,type!$A$2:$A$117,0),8))</f>
        <v>השתתפות משרד העבודה והרווחה</v>
      </c>
      <c r="Y225" s="18" t="str">
        <f t="shared" si="31"/>
        <v>930</v>
      </c>
      <c r="Z225" s="18" t="e">
        <f>IF($L225&lt;"6",INDEX(Revenue_type,MATCH(Y225*1,type!$A$118:$A$168,0),8),INDEX(Expenditure_type,MATCH(Y225*1,type!$A$2:$A$117,0),8))</f>
        <v>#N/A</v>
      </c>
    </row>
    <row r="226" spans="1:26" ht="15.75" hidden="1" customHeight="1" outlineLevel="2">
      <c r="A226" s="482">
        <v>410</v>
      </c>
      <c r="B226" s="488" t="s">
        <v>7672</v>
      </c>
      <c r="C226">
        <v>1</v>
      </c>
      <c r="D226" t="str">
        <f t="shared" si="24"/>
        <v>1346500.410</v>
      </c>
      <c r="E226" s="492" t="s">
        <v>7909</v>
      </c>
      <c r="H226" s="470">
        <v>0</v>
      </c>
      <c r="I226" s="470">
        <v>0</v>
      </c>
      <c r="J226" s="470">
        <v>-71025</v>
      </c>
      <c r="K226" s="18"/>
      <c r="L226" s="18" t="str">
        <f t="shared" si="25"/>
        <v>3</v>
      </c>
      <c r="M226" s="18" t="str">
        <f>INDEX(Chapter,MATCH(L226,Chapter!$A$1:$A$681,0),8)</f>
        <v>שירותים ממלכתיים</v>
      </c>
      <c r="N226" s="18" t="str">
        <f t="shared" si="26"/>
        <v>34</v>
      </c>
      <c r="O226" s="18" t="str">
        <f>INDEX(Chapter,MATCH(N226,Chapter!$A$1:$A$681,0),8)</f>
        <v>רווחה</v>
      </c>
      <c r="P226" s="18" t="str">
        <f t="shared" si="27"/>
        <v>346</v>
      </c>
      <c r="Q226" s="18" t="str">
        <f>INDEX(Chapter,MATCH(P226,Chapter!$A$1:$A$681,0),8)</f>
        <v>שירותי שיקום</v>
      </c>
      <c r="R226" s="18" t="str">
        <f t="shared" si="28"/>
        <v>3465</v>
      </c>
      <c r="S226" s="18" t="str">
        <f>INDEX(Chapter,MATCH(R226,Chapter!$A$1:$A$681,0),8)</f>
        <v>נכים - שיקום במוסדות</v>
      </c>
      <c r="T226" s="18"/>
      <c r="U226" s="18" t="str">
        <f t="shared" si="29"/>
        <v>4</v>
      </c>
      <c r="V226" s="18" t="str">
        <f>IF($L226&lt;"6",INDEX(Revenue_type,MATCH(U226*1,type!$A$118:$A$168,0),8),INDEX(Expenditure_type,MATCH(U226*1,type!$A$2:$A$117,0),8))</f>
        <v>שירותים ושכר לימוד</v>
      </c>
      <c r="W226" s="18" t="str">
        <f t="shared" si="30"/>
        <v>41</v>
      </c>
      <c r="X226" s="18" t="str">
        <f>IF($L226&lt;"6",INDEX(Revenue_type,MATCH(W226*1,type!$A$118:$A$168,0),8),INDEX(Expenditure_type,MATCH(W226*1,type!$A$2:$A$117,0),8))</f>
        <v>שכל"מ מתושבים</v>
      </c>
      <c r="Y226" s="18" t="str">
        <f t="shared" si="31"/>
        <v>410</v>
      </c>
      <c r="Z226" s="18" t="e">
        <f>IF($L226&lt;"6",INDEX(Revenue_type,MATCH(Y226*1,type!$A$118:$A$168,0),8),INDEX(Expenditure_type,MATCH(Y226*1,type!$A$2:$A$117,0),8))</f>
        <v>#N/A</v>
      </c>
    </row>
    <row r="227" spans="1:26" ht="15.75" hidden="1" customHeight="1" outlineLevel="2">
      <c r="A227" s="482">
        <v>930</v>
      </c>
      <c r="B227" s="488" t="s">
        <v>7673</v>
      </c>
      <c r="C227">
        <v>1</v>
      </c>
      <c r="D227" t="str">
        <f t="shared" si="24"/>
        <v>1347000.930</v>
      </c>
      <c r="E227" s="492" t="s">
        <v>7910</v>
      </c>
      <c r="H227" s="470">
        <v>-1500000</v>
      </c>
      <c r="I227" s="470">
        <v>-2542000</v>
      </c>
      <c r="J227" s="470">
        <v>-688458</v>
      </c>
      <c r="K227" s="18"/>
      <c r="L227" s="18" t="str">
        <f t="shared" si="25"/>
        <v>3</v>
      </c>
      <c r="M227" s="18" t="str">
        <f>INDEX(Chapter,MATCH(L227,Chapter!$A$1:$A$681,0),8)</f>
        <v>שירותים ממלכתיים</v>
      </c>
      <c r="N227" s="18" t="str">
        <f t="shared" si="26"/>
        <v>34</v>
      </c>
      <c r="O227" s="18" t="str">
        <f>INDEX(Chapter,MATCH(N227,Chapter!$A$1:$A$681,0),8)</f>
        <v>רווחה</v>
      </c>
      <c r="P227" s="18" t="str">
        <f t="shared" si="27"/>
        <v>347</v>
      </c>
      <c r="Q227" s="18" t="str">
        <f>INDEX(Chapter,MATCH(P227,Chapter!$A$1:$A$681,0),8)</f>
        <v>שירותי תיקון</v>
      </c>
      <c r="R227" s="18" t="str">
        <f t="shared" si="28"/>
        <v>3470</v>
      </c>
      <c r="S227" s="18" t="e">
        <f>INDEX(Chapter,MATCH(R227,Chapter!$A$1:$A$681,0),8)</f>
        <v>#N/A</v>
      </c>
      <c r="T227" s="18"/>
      <c r="U227" s="18" t="str">
        <f t="shared" si="29"/>
        <v>9</v>
      </c>
      <c r="V227" s="18" t="str">
        <f>IF($L227&lt;"6",INDEX(Revenue_type,MATCH(U227*1,type!$A$118:$A$168,0),8),INDEX(Expenditure_type,MATCH(U227*1,type!$A$2:$A$117,0),8))</f>
        <v>השתתפות משרדי ממשלה</v>
      </c>
      <c r="W227" s="18" t="str">
        <f t="shared" si="30"/>
        <v>93</v>
      </c>
      <c r="X227" s="18" t="str">
        <f>IF($L227&lt;"6",INDEX(Revenue_type,MATCH(W227*1,type!$A$118:$A$168,0),8),INDEX(Expenditure_type,MATCH(W227*1,type!$A$2:$A$117,0),8))</f>
        <v>השתתפות משרד העבודה והרווחה</v>
      </c>
      <c r="Y227" s="18" t="str">
        <f t="shared" si="31"/>
        <v>930</v>
      </c>
      <c r="Z227" s="18" t="e">
        <f>IF($L227&lt;"6",INDEX(Revenue_type,MATCH(Y227*1,type!$A$118:$A$168,0),8),INDEX(Expenditure_type,MATCH(Y227*1,type!$A$2:$A$117,0),8))</f>
        <v>#N/A</v>
      </c>
    </row>
    <row r="228" spans="1:26" ht="15.75" hidden="1" customHeight="1" outlineLevel="2">
      <c r="A228" s="482">
        <v>930</v>
      </c>
      <c r="B228" s="488" t="s">
        <v>7674</v>
      </c>
      <c r="C228">
        <v>1</v>
      </c>
      <c r="D228" t="str">
        <f t="shared" si="24"/>
        <v>1347310.930</v>
      </c>
      <c r="E228" s="492" t="s">
        <v>7911</v>
      </c>
      <c r="H228" s="470">
        <v>-158000</v>
      </c>
      <c r="I228" s="470">
        <v>-158000</v>
      </c>
      <c r="J228" s="470">
        <v>-498170</v>
      </c>
      <c r="K228" s="18"/>
      <c r="L228" s="18" t="str">
        <f t="shared" si="25"/>
        <v>3</v>
      </c>
      <c r="M228" s="18" t="str">
        <f>INDEX(Chapter,MATCH(L228,Chapter!$A$1:$A$681,0),8)</f>
        <v>שירותים ממלכתיים</v>
      </c>
      <c r="N228" s="18" t="str">
        <f t="shared" si="26"/>
        <v>34</v>
      </c>
      <c r="O228" s="18" t="str">
        <f>INDEX(Chapter,MATCH(N228,Chapter!$A$1:$A$681,0),8)</f>
        <v>רווחה</v>
      </c>
      <c r="P228" s="18" t="str">
        <f t="shared" si="27"/>
        <v>347</v>
      </c>
      <c r="Q228" s="18" t="str">
        <f>INDEX(Chapter,MATCH(P228,Chapter!$A$1:$A$681,0),8)</f>
        <v>שירותי תיקון</v>
      </c>
      <c r="R228" s="18" t="str">
        <f t="shared" si="28"/>
        <v>3473</v>
      </c>
      <c r="S228" s="18" t="str">
        <f>INDEX(Chapter,MATCH(R228,Chapter!$A$1:$A$681,0),8)</f>
        <v>סמים</v>
      </c>
      <c r="T228" s="18"/>
      <c r="U228" s="18" t="str">
        <f t="shared" si="29"/>
        <v>9</v>
      </c>
      <c r="V228" s="18" t="str">
        <f>IF($L228&lt;"6",INDEX(Revenue_type,MATCH(U228*1,type!$A$118:$A$168,0),8),INDEX(Expenditure_type,MATCH(U228*1,type!$A$2:$A$117,0),8))</f>
        <v>השתתפות משרדי ממשלה</v>
      </c>
      <c r="W228" s="18" t="str">
        <f t="shared" si="30"/>
        <v>93</v>
      </c>
      <c r="X228" s="18" t="str">
        <f>IF($L228&lt;"6",INDEX(Revenue_type,MATCH(W228*1,type!$A$118:$A$168,0),8),INDEX(Expenditure_type,MATCH(W228*1,type!$A$2:$A$117,0),8))</f>
        <v>השתתפות משרד העבודה והרווחה</v>
      </c>
      <c r="Y228" s="18" t="str">
        <f t="shared" si="31"/>
        <v>930</v>
      </c>
      <c r="Z228" s="18" t="e">
        <f>IF($L228&lt;"6",INDEX(Revenue_type,MATCH(Y228*1,type!$A$118:$A$168,0),8),INDEX(Expenditure_type,MATCH(Y228*1,type!$A$2:$A$117,0),8))</f>
        <v>#N/A</v>
      </c>
    </row>
    <row r="229" spans="1:26" ht="15.75" hidden="1" customHeight="1" outlineLevel="2">
      <c r="A229" s="482">
        <v>930</v>
      </c>
      <c r="B229" s="488" t="s">
        <v>7675</v>
      </c>
      <c r="C229">
        <v>1</v>
      </c>
      <c r="D229" t="str">
        <f t="shared" si="24"/>
        <v>1347320.930</v>
      </c>
      <c r="E229" s="492" t="s">
        <v>7912</v>
      </c>
      <c r="H229" s="470">
        <v>0</v>
      </c>
      <c r="I229" s="470">
        <v>-300000</v>
      </c>
      <c r="J229" s="470">
        <v>0</v>
      </c>
      <c r="K229" s="18"/>
      <c r="L229" s="18" t="str">
        <f t="shared" si="25"/>
        <v>3</v>
      </c>
      <c r="M229" s="18" t="str">
        <f>INDEX(Chapter,MATCH(L229,Chapter!$A$1:$A$681,0),8)</f>
        <v>שירותים ממלכתיים</v>
      </c>
      <c r="N229" s="18" t="str">
        <f t="shared" si="26"/>
        <v>34</v>
      </c>
      <c r="O229" s="18" t="str">
        <f>INDEX(Chapter,MATCH(N229,Chapter!$A$1:$A$681,0),8)</f>
        <v>רווחה</v>
      </c>
      <c r="P229" s="18" t="str">
        <f t="shared" si="27"/>
        <v>347</v>
      </c>
      <c r="Q229" s="18" t="str">
        <f>INDEX(Chapter,MATCH(P229,Chapter!$A$1:$A$681,0),8)</f>
        <v>שירותי תיקון</v>
      </c>
      <c r="R229" s="18" t="str">
        <f t="shared" si="28"/>
        <v>3473</v>
      </c>
      <c r="S229" s="18" t="str">
        <f>INDEX(Chapter,MATCH(R229,Chapter!$A$1:$A$681,0),8)</f>
        <v>סמים</v>
      </c>
      <c r="T229" s="18"/>
      <c r="U229" s="18" t="str">
        <f t="shared" si="29"/>
        <v>9</v>
      </c>
      <c r="V229" s="18" t="str">
        <f>IF($L229&lt;"6",INDEX(Revenue_type,MATCH(U229*1,type!$A$118:$A$168,0),8),INDEX(Expenditure_type,MATCH(U229*1,type!$A$2:$A$117,0),8))</f>
        <v>השתתפות משרדי ממשלה</v>
      </c>
      <c r="W229" s="18" t="str">
        <f t="shared" si="30"/>
        <v>93</v>
      </c>
      <c r="X229" s="18" t="str">
        <f>IF($L229&lt;"6",INDEX(Revenue_type,MATCH(W229*1,type!$A$118:$A$168,0),8),INDEX(Expenditure_type,MATCH(W229*1,type!$A$2:$A$117,0),8))</f>
        <v>השתתפות משרד העבודה והרווחה</v>
      </c>
      <c r="Y229" s="18" t="str">
        <f t="shared" si="31"/>
        <v>930</v>
      </c>
      <c r="Z229" s="18" t="e">
        <f>IF($L229&lt;"6",INDEX(Revenue_type,MATCH(Y229*1,type!$A$118:$A$168,0),8),INDEX(Expenditure_type,MATCH(Y229*1,type!$A$2:$A$117,0),8))</f>
        <v>#N/A</v>
      </c>
    </row>
    <row r="230" spans="1:26" ht="15.75" hidden="1" customHeight="1" outlineLevel="2">
      <c r="A230" s="482">
        <v>930</v>
      </c>
      <c r="B230" s="488" t="s">
        <v>7676</v>
      </c>
      <c r="C230">
        <v>1</v>
      </c>
      <c r="D230" t="str">
        <f t="shared" si="24"/>
        <v>1347410.930</v>
      </c>
      <c r="E230" s="492" t="s">
        <v>7913</v>
      </c>
      <c r="H230" s="470">
        <v>-1000000</v>
      </c>
      <c r="I230" s="470">
        <v>-1000000</v>
      </c>
      <c r="J230" s="470">
        <v>-2006815</v>
      </c>
      <c r="K230" s="18"/>
      <c r="L230" s="18" t="str">
        <f t="shared" si="25"/>
        <v>3</v>
      </c>
      <c r="M230" s="18" t="str">
        <f>INDEX(Chapter,MATCH(L230,Chapter!$A$1:$A$681,0),8)</f>
        <v>שירותים ממלכתיים</v>
      </c>
      <c r="N230" s="18" t="str">
        <f t="shared" si="26"/>
        <v>34</v>
      </c>
      <c r="O230" s="18" t="str">
        <f>INDEX(Chapter,MATCH(N230,Chapter!$A$1:$A$681,0),8)</f>
        <v>רווחה</v>
      </c>
      <c r="P230" s="18" t="str">
        <f t="shared" si="27"/>
        <v>347</v>
      </c>
      <c r="Q230" s="18" t="str">
        <f>INDEX(Chapter,MATCH(P230,Chapter!$A$1:$A$681,0),8)</f>
        <v>שירותי תיקון</v>
      </c>
      <c r="R230" s="18" t="str">
        <f t="shared" si="28"/>
        <v>3474</v>
      </c>
      <c r="S230" s="18" t="str">
        <f>INDEX(Chapter,MATCH(R230,Chapter!$A$1:$A$681,0),8)</f>
        <v>מפתנים</v>
      </c>
      <c r="T230" s="18"/>
      <c r="U230" s="18" t="str">
        <f t="shared" si="29"/>
        <v>9</v>
      </c>
      <c r="V230" s="18" t="str">
        <f>IF($L230&lt;"6",INDEX(Revenue_type,MATCH(U230*1,type!$A$118:$A$168,0),8),INDEX(Expenditure_type,MATCH(U230*1,type!$A$2:$A$117,0),8))</f>
        <v>השתתפות משרדי ממשלה</v>
      </c>
      <c r="W230" s="18" t="str">
        <f t="shared" si="30"/>
        <v>93</v>
      </c>
      <c r="X230" s="18" t="str">
        <f>IF($L230&lt;"6",INDEX(Revenue_type,MATCH(W230*1,type!$A$118:$A$168,0),8),INDEX(Expenditure_type,MATCH(W230*1,type!$A$2:$A$117,0),8))</f>
        <v>השתתפות משרד העבודה והרווחה</v>
      </c>
      <c r="Y230" s="18" t="str">
        <f t="shared" si="31"/>
        <v>930</v>
      </c>
      <c r="Z230" s="18" t="e">
        <f>IF($L230&lt;"6",INDEX(Revenue_type,MATCH(Y230*1,type!$A$118:$A$168,0),8),INDEX(Expenditure_type,MATCH(Y230*1,type!$A$2:$A$117,0),8))</f>
        <v>#N/A</v>
      </c>
    </row>
    <row r="231" spans="1:26" ht="15.75" hidden="1" customHeight="1" outlineLevel="2">
      <c r="A231" s="482">
        <v>920</v>
      </c>
      <c r="B231" s="489" t="s">
        <v>8901</v>
      </c>
      <c r="C231">
        <v>1</v>
      </c>
      <c r="D231" t="str">
        <f t="shared" si="24"/>
        <v>1348200.920</v>
      </c>
      <c r="E231" s="492" t="s">
        <v>7914</v>
      </c>
      <c r="H231" s="470">
        <v>-775000</v>
      </c>
      <c r="I231" s="470">
        <v>-175000</v>
      </c>
      <c r="J231" s="470">
        <v>-211803</v>
      </c>
      <c r="K231" s="18"/>
      <c r="L231" s="18" t="str">
        <f t="shared" si="25"/>
        <v>3</v>
      </c>
      <c r="M231" s="18" t="str">
        <f>INDEX(Chapter,MATCH(L231,Chapter!$A$1:$A$681,0),8)</f>
        <v>שירותים ממלכתיים</v>
      </c>
      <c r="N231" s="18" t="str">
        <f t="shared" si="26"/>
        <v>34</v>
      </c>
      <c r="O231" s="18" t="str">
        <f>INDEX(Chapter,MATCH(N231,Chapter!$A$1:$A$681,0),8)</f>
        <v>רווחה</v>
      </c>
      <c r="P231" s="18" t="str">
        <f t="shared" si="27"/>
        <v>348</v>
      </c>
      <c r="Q231" s="18" t="str">
        <f>INDEX(Chapter,MATCH(P231,Chapter!$A$1:$A$681,0),8)</f>
        <v>עבודה קהילתית</v>
      </c>
      <c r="R231" s="18" t="str">
        <f t="shared" si="28"/>
        <v>3482</v>
      </c>
      <c r="S231" s="18" t="str">
        <f>INDEX(Chapter,MATCH(R231,Chapter!$A$1:$A$681,0),8)</f>
        <v>מרכזים קהילתיים</v>
      </c>
      <c r="T231" s="18"/>
      <c r="U231" s="18" t="str">
        <f t="shared" si="29"/>
        <v>9</v>
      </c>
      <c r="V231" s="18" t="str">
        <f>IF($L231&lt;"6",INDEX(Revenue_type,MATCH(U231*1,type!$A$118:$A$168,0),8),INDEX(Expenditure_type,MATCH(U231*1,type!$A$2:$A$117,0),8))</f>
        <v>השתתפות משרדי ממשלה</v>
      </c>
      <c r="W231" s="18" t="str">
        <f t="shared" si="30"/>
        <v>92</v>
      </c>
      <c r="X231" s="18" t="str">
        <f>IF($L231&lt;"6",INDEX(Revenue_type,MATCH(W231*1,type!$A$118:$A$168,0),8),INDEX(Expenditure_type,MATCH(W231*1,type!$A$2:$A$117,0),8))</f>
        <v>השתתפות משרד החינוך והתרבות</v>
      </c>
      <c r="Y231" s="18" t="str">
        <f t="shared" si="31"/>
        <v>920</v>
      </c>
      <c r="Z231" s="18" t="e">
        <f>IF($L231&lt;"6",INDEX(Revenue_type,MATCH(Y231*1,type!$A$118:$A$168,0),8),INDEX(Expenditure_type,MATCH(Y231*1,type!$A$2:$A$117,0),8))</f>
        <v>#N/A</v>
      </c>
    </row>
    <row r="232" spans="1:26" ht="15.75" hidden="1" customHeight="1" outlineLevel="2">
      <c r="A232" s="482">
        <v>920</v>
      </c>
      <c r="B232" s="489" t="s">
        <v>8902</v>
      </c>
      <c r="C232">
        <v>1</v>
      </c>
      <c r="D232" t="str">
        <f t="shared" si="24"/>
        <v>1348300.920</v>
      </c>
      <c r="E232" s="492" t="s">
        <v>7915</v>
      </c>
      <c r="H232" s="470">
        <v>-1150000</v>
      </c>
      <c r="I232" s="470">
        <v>-1150000</v>
      </c>
      <c r="J232" s="470">
        <v>-1380166</v>
      </c>
      <c r="K232" s="18"/>
      <c r="L232" s="18" t="str">
        <f t="shared" si="25"/>
        <v>3</v>
      </c>
      <c r="M232" s="18" t="str">
        <f>INDEX(Chapter,MATCH(L232,Chapter!$A$1:$A$681,0),8)</f>
        <v>שירותים ממלכתיים</v>
      </c>
      <c r="N232" s="18" t="str">
        <f t="shared" si="26"/>
        <v>34</v>
      </c>
      <c r="O232" s="18" t="str">
        <f>INDEX(Chapter,MATCH(N232,Chapter!$A$1:$A$681,0),8)</f>
        <v>רווחה</v>
      </c>
      <c r="P232" s="18" t="str">
        <f t="shared" si="27"/>
        <v>348</v>
      </c>
      <c r="Q232" s="18" t="str">
        <f>INDEX(Chapter,MATCH(P232,Chapter!$A$1:$A$681,0),8)</f>
        <v>עבודה קהילתית</v>
      </c>
      <c r="R232" s="18" t="str">
        <f t="shared" si="28"/>
        <v>3483</v>
      </c>
      <c r="S232" s="18" t="str">
        <f>INDEX(Chapter,MATCH(R232,Chapter!$A$1:$A$681,0),8)</f>
        <v>התנדבות</v>
      </c>
      <c r="T232" s="18"/>
      <c r="U232" s="18" t="str">
        <f t="shared" si="29"/>
        <v>9</v>
      </c>
      <c r="V232" s="18" t="str">
        <f>IF($L232&lt;"6",INDEX(Revenue_type,MATCH(U232*1,type!$A$118:$A$168,0),8),INDEX(Expenditure_type,MATCH(U232*1,type!$A$2:$A$117,0),8))</f>
        <v>השתתפות משרדי ממשלה</v>
      </c>
      <c r="W232" s="18" t="str">
        <f t="shared" si="30"/>
        <v>92</v>
      </c>
      <c r="X232" s="18" t="str">
        <f>IF($L232&lt;"6",INDEX(Revenue_type,MATCH(W232*1,type!$A$118:$A$168,0),8),INDEX(Expenditure_type,MATCH(W232*1,type!$A$2:$A$117,0),8))</f>
        <v>השתתפות משרד החינוך והתרבות</v>
      </c>
      <c r="Y232" s="18" t="str">
        <f t="shared" si="31"/>
        <v>920</v>
      </c>
      <c r="Z232" s="18" t="e">
        <f>IF($L232&lt;"6",INDEX(Revenue_type,MATCH(Y232*1,type!$A$118:$A$168,0),8),INDEX(Expenditure_type,MATCH(Y232*1,type!$A$2:$A$117,0),8))</f>
        <v>#N/A</v>
      </c>
    </row>
    <row r="233" spans="1:26" ht="15.75" hidden="1" customHeight="1" outlineLevel="2">
      <c r="A233" s="482">
        <v>920</v>
      </c>
      <c r="B233" s="489" t="s">
        <v>8903</v>
      </c>
      <c r="C233">
        <v>1</v>
      </c>
      <c r="D233" t="str">
        <f t="shared" si="24"/>
        <v>1348500.920</v>
      </c>
      <c r="E233" s="492" t="s">
        <v>7916</v>
      </c>
      <c r="H233" s="470">
        <v>-270000</v>
      </c>
      <c r="I233" s="470">
        <v>-270000</v>
      </c>
      <c r="J233" s="470">
        <v>-375000</v>
      </c>
      <c r="K233" s="18"/>
      <c r="L233" s="18" t="str">
        <f t="shared" si="25"/>
        <v>3</v>
      </c>
      <c r="M233" s="18" t="str">
        <f>INDEX(Chapter,MATCH(L233,Chapter!$A$1:$A$681,0),8)</f>
        <v>שירותים ממלכתיים</v>
      </c>
      <c r="N233" s="18" t="str">
        <f t="shared" si="26"/>
        <v>34</v>
      </c>
      <c r="O233" s="18" t="str">
        <f>INDEX(Chapter,MATCH(N233,Chapter!$A$1:$A$681,0),8)</f>
        <v>רווחה</v>
      </c>
      <c r="P233" s="18" t="str">
        <f t="shared" si="27"/>
        <v>348</v>
      </c>
      <c r="Q233" s="18" t="str">
        <f>INDEX(Chapter,MATCH(P233,Chapter!$A$1:$A$681,0),8)</f>
        <v>עבודה קהילתית</v>
      </c>
      <c r="R233" s="18" t="str">
        <f t="shared" si="28"/>
        <v>3485</v>
      </c>
      <c r="S233" s="18" t="str">
        <f>INDEX(Chapter,MATCH(R233,Chapter!$A$1:$A$681,0),8)</f>
        <v>שיקום שכונות</v>
      </c>
      <c r="T233" s="18"/>
      <c r="U233" s="18" t="str">
        <f t="shared" si="29"/>
        <v>9</v>
      </c>
      <c r="V233" s="18" t="str">
        <f>IF($L233&lt;"6",INDEX(Revenue_type,MATCH(U233*1,type!$A$118:$A$168,0),8),INDEX(Expenditure_type,MATCH(U233*1,type!$A$2:$A$117,0),8))</f>
        <v>השתתפות משרדי ממשלה</v>
      </c>
      <c r="W233" s="18" t="str">
        <f t="shared" si="30"/>
        <v>92</v>
      </c>
      <c r="X233" s="18" t="str">
        <f>IF($L233&lt;"6",INDEX(Revenue_type,MATCH(W233*1,type!$A$118:$A$168,0),8),INDEX(Expenditure_type,MATCH(W233*1,type!$A$2:$A$117,0),8))</f>
        <v>השתתפות משרד החינוך והתרבות</v>
      </c>
      <c r="Y233" s="18" t="str">
        <f t="shared" si="31"/>
        <v>920</v>
      </c>
      <c r="Z233" s="18" t="e">
        <f>IF($L233&lt;"6",INDEX(Revenue_type,MATCH(Y233*1,type!$A$118:$A$168,0),8),INDEX(Expenditure_type,MATCH(Y233*1,type!$A$2:$A$117,0),8))</f>
        <v>#N/A</v>
      </c>
    </row>
    <row r="234" spans="1:26" ht="15.75" hidden="1" customHeight="1" outlineLevel="2">
      <c r="A234" s="482">
        <v>210</v>
      </c>
      <c r="B234" s="490" t="s">
        <v>7677</v>
      </c>
      <c r="C234">
        <v>1</v>
      </c>
      <c r="D234" t="str">
        <f t="shared" si="24"/>
        <v>1410000.210</v>
      </c>
      <c r="E234" s="492" t="s">
        <v>7917</v>
      </c>
      <c r="H234" s="470">
        <v>0</v>
      </c>
      <c r="I234" s="470">
        <v>0</v>
      </c>
      <c r="J234" s="470">
        <v>-668550</v>
      </c>
      <c r="K234" s="18"/>
      <c r="L234" s="18" t="str">
        <f t="shared" si="25"/>
        <v>4</v>
      </c>
      <c r="M234" s="18" t="str">
        <f>INDEX(Chapter,MATCH(L234,Chapter!$A$1:$A$681,0),8)</f>
        <v>מפעלים</v>
      </c>
      <c r="N234" s="18" t="str">
        <f t="shared" si="26"/>
        <v>41</v>
      </c>
      <c r="O234" s="18" t="str">
        <f>INDEX(Chapter,MATCH(N234,Chapter!$A$1:$A$681,0),8)</f>
        <v>מים</v>
      </c>
      <c r="P234" s="18" t="str">
        <f t="shared" si="27"/>
        <v>410</v>
      </c>
      <c r="Q234" s="18" t="e">
        <f>INDEX(Chapter,MATCH(P234,Chapter!$A$1:$A$681,0),8)</f>
        <v>#N/A</v>
      </c>
      <c r="R234" s="18" t="str">
        <f t="shared" si="28"/>
        <v>4100</v>
      </c>
      <c r="S234" s="18" t="e">
        <f>INDEX(Chapter,MATCH(R234,Chapter!$A$1:$A$681,0),8)</f>
        <v>#N/A</v>
      </c>
      <c r="T234" s="18"/>
      <c r="U234" s="18" t="str">
        <f t="shared" si="29"/>
        <v>2</v>
      </c>
      <c r="V234" s="18" t="str">
        <f>IF($L234&lt;"6",INDEX(Revenue_type,MATCH(U234*1,type!$A$118:$A$168,0),8),INDEX(Expenditure_type,MATCH(U234*1,type!$A$2:$A$117,0),8))</f>
        <v>אגרות</v>
      </c>
      <c r="W234" s="18" t="str">
        <f t="shared" si="30"/>
        <v>21</v>
      </c>
      <c r="X234" s="18" t="str">
        <f>IF($L234&lt;"6",INDEX(Revenue_type,MATCH(W234*1,type!$A$118:$A$168,0),8),INDEX(Expenditure_type,MATCH(W234*1,type!$A$2:$A$117,0),8))</f>
        <v>אגרות מים וביוב</v>
      </c>
      <c r="Y234" s="18" t="str">
        <f t="shared" si="31"/>
        <v>210</v>
      </c>
      <c r="Z234" s="18" t="e">
        <f>IF($L234&lt;"6",INDEX(Revenue_type,MATCH(Y234*1,type!$A$118:$A$168,0),8),INDEX(Expenditure_type,MATCH(Y234*1,type!$A$2:$A$117,0),8))</f>
        <v>#N/A</v>
      </c>
    </row>
    <row r="235" spans="1:26" ht="15.75" hidden="1" customHeight="1" outlineLevel="2">
      <c r="A235" s="482">
        <v>410</v>
      </c>
      <c r="B235" s="488" t="s">
        <v>7678</v>
      </c>
      <c r="C235">
        <v>1</v>
      </c>
      <c r="D235" t="str">
        <f t="shared" si="24"/>
        <v>1432000.410</v>
      </c>
      <c r="E235" s="492" t="s">
        <v>7918</v>
      </c>
      <c r="H235" s="470">
        <v>-10000</v>
      </c>
      <c r="I235" s="470">
        <v>-10000</v>
      </c>
      <c r="J235" s="470">
        <v>-10082</v>
      </c>
      <c r="K235" s="18"/>
      <c r="L235" s="18" t="str">
        <f t="shared" si="25"/>
        <v>4</v>
      </c>
      <c r="M235" s="18" t="str">
        <f>INDEX(Chapter,MATCH(L235,Chapter!$A$1:$A$681,0),8)</f>
        <v>מפעלים</v>
      </c>
      <c r="N235" s="18" t="str">
        <f t="shared" si="26"/>
        <v>43</v>
      </c>
      <c r="O235" s="18" t="str">
        <f>INDEX(Chapter,MATCH(N235,Chapter!$A$1:$A$681,0),8)</f>
        <v>נכסים</v>
      </c>
      <c r="P235" s="18" t="str">
        <f t="shared" si="27"/>
        <v>432</v>
      </c>
      <c r="Q235" s="18" t="str">
        <f>INDEX(Chapter,MATCH(P235,Chapter!$A$1:$A$681,0),8)</f>
        <v>דירות</v>
      </c>
      <c r="R235" s="18" t="str">
        <f t="shared" si="28"/>
        <v>4320</v>
      </c>
      <c r="S235" s="18" t="e">
        <f>INDEX(Chapter,MATCH(R235,Chapter!$A$1:$A$681,0),8)</f>
        <v>#N/A</v>
      </c>
      <c r="T235" s="18"/>
      <c r="U235" s="18" t="str">
        <f t="shared" si="29"/>
        <v>4</v>
      </c>
      <c r="V235" s="18" t="str">
        <f>IF($L235&lt;"6",INDEX(Revenue_type,MATCH(U235*1,type!$A$118:$A$168,0),8),INDEX(Expenditure_type,MATCH(U235*1,type!$A$2:$A$117,0),8))</f>
        <v>שירותים ושכר לימוד</v>
      </c>
      <c r="W235" s="18" t="str">
        <f t="shared" si="30"/>
        <v>41</v>
      </c>
      <c r="X235" s="18" t="str">
        <f>IF($L235&lt;"6",INDEX(Revenue_type,MATCH(W235*1,type!$A$118:$A$168,0),8),INDEX(Expenditure_type,MATCH(W235*1,type!$A$2:$A$117,0),8))</f>
        <v>שכל"מ מתושבים</v>
      </c>
      <c r="Y235" s="18" t="str">
        <f t="shared" si="31"/>
        <v>410</v>
      </c>
      <c r="Z235" s="18" t="e">
        <f>IF($L235&lt;"6",INDEX(Revenue_type,MATCH(Y235*1,type!$A$118:$A$168,0),8),INDEX(Expenditure_type,MATCH(Y235*1,type!$A$2:$A$117,0),8))</f>
        <v>#N/A</v>
      </c>
    </row>
    <row r="236" spans="1:26" ht="15.75" hidden="1" customHeight="1" outlineLevel="2">
      <c r="A236" s="482">
        <v>570</v>
      </c>
      <c r="B236" s="491" t="s">
        <v>7679</v>
      </c>
      <c r="C236">
        <v>1</v>
      </c>
      <c r="D236" t="str">
        <f t="shared" si="24"/>
        <v>1430000.570</v>
      </c>
      <c r="E236" s="492" t="s">
        <v>7919</v>
      </c>
      <c r="H236" s="470">
        <v>-5000</v>
      </c>
      <c r="I236" s="470">
        <v>-5000</v>
      </c>
      <c r="J236" s="470">
        <v>-970050</v>
      </c>
      <c r="K236" s="18"/>
      <c r="L236" s="18" t="str">
        <f t="shared" si="25"/>
        <v>4</v>
      </c>
      <c r="M236" s="18" t="str">
        <f>INDEX(Chapter,MATCH(L236,Chapter!$A$1:$A$681,0),8)</f>
        <v>מפעלים</v>
      </c>
      <c r="N236" s="18" t="str">
        <f t="shared" si="26"/>
        <v>43</v>
      </c>
      <c r="O236" s="18" t="str">
        <f>INDEX(Chapter,MATCH(N236,Chapter!$A$1:$A$681,0),8)</f>
        <v>נכסים</v>
      </c>
      <c r="P236" s="18" t="str">
        <f t="shared" si="27"/>
        <v>430</v>
      </c>
      <c r="Q236" s="18" t="e">
        <f>INDEX(Chapter,MATCH(P236,Chapter!$A$1:$A$681,0),8)</f>
        <v>#N/A</v>
      </c>
      <c r="R236" s="18" t="str">
        <f t="shared" si="28"/>
        <v>4300</v>
      </c>
      <c r="S236" s="18" t="e">
        <f>INDEX(Chapter,MATCH(R236,Chapter!$A$1:$A$681,0),8)</f>
        <v>#N/A</v>
      </c>
      <c r="T236" s="18"/>
      <c r="U236" s="18" t="str">
        <f t="shared" si="29"/>
        <v>5</v>
      </c>
      <c r="V236" s="18" t="str">
        <f>IF($L236&lt;"6",INDEX(Revenue_type,MATCH(U236*1,type!$A$118:$A$168,0),8),INDEX(Expenditure_type,MATCH(U236*1,type!$A$2:$A$117,0),8))</f>
        <v>החזרות</v>
      </c>
      <c r="W236" s="18" t="str">
        <f t="shared" si="30"/>
        <v>57</v>
      </c>
      <c r="X236" s="18" t="e">
        <f>IF($L236&lt;"6",INDEX(Revenue_type,MATCH(W236*1,type!$A$118:$A$168,0),8),INDEX(Expenditure_type,MATCH(W236*1,type!$A$2:$A$117,0),8))</f>
        <v>#N/A</v>
      </c>
      <c r="Y236" s="18" t="str">
        <f t="shared" si="31"/>
        <v>570</v>
      </c>
      <c r="Z236" s="18" t="e">
        <f>IF($L236&lt;"6",INDEX(Revenue_type,MATCH(Y236*1,type!$A$118:$A$168,0),8),INDEX(Expenditure_type,MATCH(Y236*1,type!$A$2:$A$117,0),8))</f>
        <v>#N/A</v>
      </c>
    </row>
    <row r="237" spans="1:26" ht="15.75" hidden="1" customHeight="1" outlineLevel="2">
      <c r="A237" s="482">
        <v>610</v>
      </c>
      <c r="B237" s="491" t="s">
        <v>7679</v>
      </c>
      <c r="C237">
        <v>1</v>
      </c>
      <c r="D237" t="str">
        <f t="shared" si="24"/>
        <v>1430000.610</v>
      </c>
      <c r="E237" s="492" t="s">
        <v>7920</v>
      </c>
      <c r="H237" s="470">
        <v>-2774000</v>
      </c>
      <c r="I237" s="470">
        <v>-2774000</v>
      </c>
      <c r="J237" s="470">
        <v>-94840</v>
      </c>
      <c r="K237" s="18"/>
      <c r="L237" s="18" t="str">
        <f t="shared" si="25"/>
        <v>4</v>
      </c>
      <c r="M237" s="18" t="str">
        <f>INDEX(Chapter,MATCH(L237,Chapter!$A$1:$A$681,0),8)</f>
        <v>מפעלים</v>
      </c>
      <c r="N237" s="18" t="str">
        <f t="shared" si="26"/>
        <v>43</v>
      </c>
      <c r="O237" s="18" t="str">
        <f>INDEX(Chapter,MATCH(N237,Chapter!$A$1:$A$681,0),8)</f>
        <v>נכסים</v>
      </c>
      <c r="P237" s="18" t="str">
        <f t="shared" si="27"/>
        <v>430</v>
      </c>
      <c r="Q237" s="18" t="e">
        <f>INDEX(Chapter,MATCH(P237,Chapter!$A$1:$A$681,0),8)</f>
        <v>#N/A</v>
      </c>
      <c r="R237" s="18" t="str">
        <f t="shared" si="28"/>
        <v>4300</v>
      </c>
      <c r="S237" s="18" t="e">
        <f>INDEX(Chapter,MATCH(R237,Chapter!$A$1:$A$681,0),8)</f>
        <v>#N/A</v>
      </c>
      <c r="T237" s="18"/>
      <c r="U237" s="18" t="str">
        <f t="shared" si="29"/>
        <v>6</v>
      </c>
      <c r="V237" s="18" t="str">
        <f>IF($L237&lt;"6",INDEX(Revenue_type,MATCH(U237*1,type!$A$118:$A$168,0),8),INDEX(Expenditure_type,MATCH(U237*1,type!$A$2:$A$117,0),8))</f>
        <v>הכנסות מרכוש ומפעלים</v>
      </c>
      <c r="W237" s="18" t="str">
        <f t="shared" si="30"/>
        <v>61</v>
      </c>
      <c r="X237" s="18" t="str">
        <f>IF($L237&lt;"6",INDEX(Revenue_type,MATCH(W237*1,type!$A$118:$A$168,0),8),INDEX(Expenditure_type,MATCH(W237*1,type!$A$2:$A$117,0),8))</f>
        <v>מכירת חומרים</v>
      </c>
      <c r="Y237" s="18" t="str">
        <f t="shared" si="31"/>
        <v>610</v>
      </c>
      <c r="Z237" s="18" t="e">
        <f>IF($L237&lt;"6",INDEX(Revenue_type,MATCH(Y237*1,type!$A$118:$A$168,0),8),INDEX(Expenditure_type,MATCH(Y237*1,type!$A$2:$A$117,0),8))</f>
        <v>#N/A</v>
      </c>
    </row>
    <row r="238" spans="1:26" ht="15.75" hidden="1" customHeight="1" outlineLevel="2">
      <c r="A238" s="482">
        <v>611</v>
      </c>
      <c r="B238" s="491" t="s">
        <v>7679</v>
      </c>
      <c r="C238">
        <v>1</v>
      </c>
      <c r="D238" t="str">
        <f t="shared" si="24"/>
        <v>1430000.611</v>
      </c>
      <c r="E238" s="492" t="s">
        <v>7921</v>
      </c>
      <c r="H238" s="470">
        <v>-4300000</v>
      </c>
      <c r="I238" s="470">
        <v>-4300000</v>
      </c>
      <c r="J238" s="470">
        <v>-5441211</v>
      </c>
      <c r="K238" s="18"/>
      <c r="L238" s="18" t="str">
        <f t="shared" si="25"/>
        <v>4</v>
      </c>
      <c r="M238" s="18" t="str">
        <f>INDEX(Chapter,MATCH(L238,Chapter!$A$1:$A$681,0),8)</f>
        <v>מפעלים</v>
      </c>
      <c r="N238" s="18" t="str">
        <f t="shared" si="26"/>
        <v>43</v>
      </c>
      <c r="O238" s="18" t="str">
        <f>INDEX(Chapter,MATCH(N238,Chapter!$A$1:$A$681,0),8)</f>
        <v>נכסים</v>
      </c>
      <c r="P238" s="18" t="str">
        <f t="shared" si="27"/>
        <v>430</v>
      </c>
      <c r="Q238" s="18" t="e">
        <f>INDEX(Chapter,MATCH(P238,Chapter!$A$1:$A$681,0),8)</f>
        <v>#N/A</v>
      </c>
      <c r="R238" s="18" t="str">
        <f t="shared" si="28"/>
        <v>4300</v>
      </c>
      <c r="S238" s="18" t="e">
        <f>INDEX(Chapter,MATCH(R238,Chapter!$A$1:$A$681,0),8)</f>
        <v>#N/A</v>
      </c>
      <c r="T238" s="18"/>
      <c r="U238" s="18" t="str">
        <f t="shared" si="29"/>
        <v>6</v>
      </c>
      <c r="V238" s="18" t="str">
        <f>IF($L238&lt;"6",INDEX(Revenue_type,MATCH(U238*1,type!$A$118:$A$168,0),8),INDEX(Expenditure_type,MATCH(U238*1,type!$A$2:$A$117,0),8))</f>
        <v>הכנסות מרכוש ומפעלים</v>
      </c>
      <c r="W238" s="18" t="str">
        <f t="shared" si="30"/>
        <v>61</v>
      </c>
      <c r="X238" s="18" t="str">
        <f>IF($L238&lt;"6",INDEX(Revenue_type,MATCH(W238*1,type!$A$118:$A$168,0),8),INDEX(Expenditure_type,MATCH(W238*1,type!$A$2:$A$117,0),8))</f>
        <v>מכירת חומרים</v>
      </c>
      <c r="Y238" s="18" t="str">
        <f t="shared" si="31"/>
        <v>611</v>
      </c>
      <c r="Z238" s="18" t="e">
        <f>IF($L238&lt;"6",INDEX(Revenue_type,MATCH(Y238*1,type!$A$118:$A$168,0),8),INDEX(Expenditure_type,MATCH(Y238*1,type!$A$2:$A$117,0),8))</f>
        <v>#N/A</v>
      </c>
    </row>
    <row r="239" spans="1:26" ht="15.75" hidden="1" customHeight="1" outlineLevel="2">
      <c r="A239" s="482">
        <v>690</v>
      </c>
      <c r="B239" s="491" t="s">
        <v>7679</v>
      </c>
      <c r="C239">
        <v>1</v>
      </c>
      <c r="D239" t="str">
        <f t="shared" si="24"/>
        <v>1430000.690</v>
      </c>
      <c r="E239" s="492" t="s">
        <v>7922</v>
      </c>
      <c r="H239" s="470">
        <v>-400000</v>
      </c>
      <c r="I239" s="470">
        <v>-400000</v>
      </c>
      <c r="J239" s="470">
        <v>0</v>
      </c>
      <c r="K239" s="18"/>
      <c r="L239" s="18" t="str">
        <f t="shared" si="25"/>
        <v>4</v>
      </c>
      <c r="M239" s="18" t="str">
        <f>INDEX(Chapter,MATCH(L239,Chapter!$A$1:$A$681,0),8)</f>
        <v>מפעלים</v>
      </c>
      <c r="N239" s="18" t="str">
        <f t="shared" si="26"/>
        <v>43</v>
      </c>
      <c r="O239" s="18" t="str">
        <f>INDEX(Chapter,MATCH(N239,Chapter!$A$1:$A$681,0),8)</f>
        <v>נכסים</v>
      </c>
      <c r="P239" s="18" t="str">
        <f t="shared" si="27"/>
        <v>430</v>
      </c>
      <c r="Q239" s="18" t="e">
        <f>INDEX(Chapter,MATCH(P239,Chapter!$A$1:$A$681,0),8)</f>
        <v>#N/A</v>
      </c>
      <c r="R239" s="18" t="str">
        <f t="shared" si="28"/>
        <v>4300</v>
      </c>
      <c r="S239" s="18" t="e">
        <f>INDEX(Chapter,MATCH(R239,Chapter!$A$1:$A$681,0),8)</f>
        <v>#N/A</v>
      </c>
      <c r="T239" s="18"/>
      <c r="U239" s="18" t="str">
        <f t="shared" si="29"/>
        <v>6</v>
      </c>
      <c r="V239" s="18" t="str">
        <f>IF($L239&lt;"6",INDEX(Revenue_type,MATCH(U239*1,type!$A$118:$A$168,0),8),INDEX(Expenditure_type,MATCH(U239*1,type!$A$2:$A$117,0),8))</f>
        <v>הכנסות מרכוש ומפעלים</v>
      </c>
      <c r="W239" s="18" t="str">
        <f t="shared" si="30"/>
        <v>69</v>
      </c>
      <c r="X239" s="18" t="str">
        <f>IF($L239&lt;"6",INDEX(Revenue_type,MATCH(W239*1,type!$A$118:$A$168,0),8),INDEX(Expenditure_type,MATCH(W239*1,type!$A$2:$A$117,0),8))</f>
        <v>הכנסות שונות</v>
      </c>
      <c r="Y239" s="18" t="str">
        <f t="shared" si="31"/>
        <v>690</v>
      </c>
      <c r="Z239" s="18" t="e">
        <f>IF($L239&lt;"6",INDEX(Revenue_type,MATCH(Y239*1,type!$A$118:$A$168,0),8),INDEX(Expenditure_type,MATCH(Y239*1,type!$A$2:$A$117,0),8))</f>
        <v>#N/A</v>
      </c>
    </row>
    <row r="240" spans="1:26" ht="15.75" hidden="1" customHeight="1" outlineLevel="2">
      <c r="A240" s="482">
        <v>700</v>
      </c>
      <c r="B240" s="491" t="s">
        <v>7679</v>
      </c>
      <c r="C240">
        <v>1</v>
      </c>
      <c r="D240" t="str">
        <f t="shared" si="24"/>
        <v>1430000.700</v>
      </c>
      <c r="E240" s="492" t="s">
        <v>7923</v>
      </c>
      <c r="H240" s="470">
        <v>-1000000</v>
      </c>
      <c r="I240" s="470">
        <v>-1000000</v>
      </c>
      <c r="J240" s="470">
        <v>-1333644</v>
      </c>
      <c r="K240" s="18"/>
      <c r="L240" s="18" t="str">
        <f t="shared" si="25"/>
        <v>4</v>
      </c>
      <c r="M240" s="18" t="str">
        <f>INDEX(Chapter,MATCH(L240,Chapter!$A$1:$A$681,0),8)</f>
        <v>מפעלים</v>
      </c>
      <c r="N240" s="18" t="str">
        <f t="shared" si="26"/>
        <v>43</v>
      </c>
      <c r="O240" s="18" t="str">
        <f>INDEX(Chapter,MATCH(N240,Chapter!$A$1:$A$681,0),8)</f>
        <v>נכסים</v>
      </c>
      <c r="P240" s="18" t="str">
        <f t="shared" si="27"/>
        <v>430</v>
      </c>
      <c r="Q240" s="18" t="e">
        <f>INDEX(Chapter,MATCH(P240,Chapter!$A$1:$A$681,0),8)</f>
        <v>#N/A</v>
      </c>
      <c r="R240" s="18" t="str">
        <f t="shared" si="28"/>
        <v>4300</v>
      </c>
      <c r="S240" s="18" t="e">
        <f>INDEX(Chapter,MATCH(R240,Chapter!$A$1:$A$681,0),8)</f>
        <v>#N/A</v>
      </c>
      <c r="T240" s="18"/>
      <c r="U240" s="18" t="str">
        <f t="shared" si="29"/>
        <v>7</v>
      </c>
      <c r="V240" s="18" t="str">
        <f>IF($L240&lt;"6",INDEX(Revenue_type,MATCH(U240*1,type!$A$118:$A$168,0),8),INDEX(Expenditure_type,MATCH(U240*1,type!$A$2:$A$117,0),8))</f>
        <v>השתתפות מוסדות ותרומות</v>
      </c>
      <c r="W240" s="18" t="str">
        <f t="shared" si="30"/>
        <v>70</v>
      </c>
      <c r="X240" s="18" t="e">
        <f>IF($L240&lt;"6",INDEX(Revenue_type,MATCH(W240*1,type!$A$118:$A$168,0),8),INDEX(Expenditure_type,MATCH(W240*1,type!$A$2:$A$117,0),8))</f>
        <v>#N/A</v>
      </c>
      <c r="Y240" s="18" t="str">
        <f t="shared" si="31"/>
        <v>700</v>
      </c>
      <c r="Z240" s="18" t="e">
        <f>IF($L240&lt;"6",INDEX(Revenue_type,MATCH(Y240*1,type!$A$118:$A$168,0),8),INDEX(Expenditure_type,MATCH(Y240*1,type!$A$2:$A$117,0),8))</f>
        <v>#N/A</v>
      </c>
    </row>
    <row r="241" spans="1:26" ht="15.75" hidden="1" customHeight="1" outlineLevel="2">
      <c r="A241" s="482">
        <v>690</v>
      </c>
      <c r="B241" s="488" t="s">
        <v>7680</v>
      </c>
      <c r="C241">
        <v>1</v>
      </c>
      <c r="D241" t="str">
        <f t="shared" si="24"/>
        <v>1435000.690</v>
      </c>
      <c r="E241" s="492" t="s">
        <v>7924</v>
      </c>
      <c r="H241" s="470">
        <v>-3511000</v>
      </c>
      <c r="I241" s="470">
        <v>-3511000</v>
      </c>
      <c r="J241" s="470">
        <v>-2568635</v>
      </c>
      <c r="K241" s="18"/>
      <c r="L241" s="18" t="str">
        <f t="shared" si="25"/>
        <v>4</v>
      </c>
      <c r="M241" s="18" t="str">
        <f>INDEX(Chapter,MATCH(L241,Chapter!$A$1:$A$681,0),8)</f>
        <v>מפעלים</v>
      </c>
      <c r="N241" s="18" t="str">
        <f t="shared" si="26"/>
        <v>43</v>
      </c>
      <c r="O241" s="18" t="str">
        <f>INDEX(Chapter,MATCH(N241,Chapter!$A$1:$A$681,0),8)</f>
        <v>נכסים</v>
      </c>
      <c r="P241" s="18" t="str">
        <f t="shared" si="27"/>
        <v>435</v>
      </c>
      <c r="Q241" s="18" t="str">
        <f>INDEX(Chapter,MATCH(P241,Chapter!$A$1:$A$681,0),8)</f>
        <v>קרקעות</v>
      </c>
      <c r="R241" s="18" t="str">
        <f t="shared" si="28"/>
        <v>4350</v>
      </c>
      <c r="S241" s="18" t="e">
        <f>INDEX(Chapter,MATCH(R241,Chapter!$A$1:$A$681,0),8)</f>
        <v>#N/A</v>
      </c>
      <c r="T241" s="18"/>
      <c r="U241" s="18" t="str">
        <f t="shared" si="29"/>
        <v>6</v>
      </c>
      <c r="V241" s="18" t="str">
        <f>IF($L241&lt;"6",INDEX(Revenue_type,MATCH(U241*1,type!$A$118:$A$168,0),8),INDEX(Expenditure_type,MATCH(U241*1,type!$A$2:$A$117,0),8))</f>
        <v>הכנסות מרכוש ומפעלים</v>
      </c>
      <c r="W241" s="18" t="str">
        <f t="shared" si="30"/>
        <v>69</v>
      </c>
      <c r="X241" s="18" t="str">
        <f>IF($L241&lt;"6",INDEX(Revenue_type,MATCH(W241*1,type!$A$118:$A$168,0),8),INDEX(Expenditure_type,MATCH(W241*1,type!$A$2:$A$117,0),8))</f>
        <v>הכנסות שונות</v>
      </c>
      <c r="Y241" s="18" t="str">
        <f t="shared" si="31"/>
        <v>690</v>
      </c>
      <c r="Z241" s="18" t="e">
        <f>IF($L241&lt;"6",INDEX(Revenue_type,MATCH(Y241*1,type!$A$118:$A$168,0),8),INDEX(Expenditure_type,MATCH(Y241*1,type!$A$2:$A$117,0),8))</f>
        <v>#N/A</v>
      </c>
    </row>
    <row r="242" spans="1:26" ht="15.75" hidden="1" customHeight="1" outlineLevel="2">
      <c r="A242" s="482">
        <v>610</v>
      </c>
      <c r="B242" s="491" t="s">
        <v>7681</v>
      </c>
      <c r="C242">
        <v>1</v>
      </c>
      <c r="D242" t="str">
        <f t="shared" si="24"/>
        <v>1442000.610</v>
      </c>
      <c r="E242" s="492" t="s">
        <v>7925</v>
      </c>
      <c r="H242" s="470">
        <v>-107000</v>
      </c>
      <c r="I242" s="470">
        <v>-107000</v>
      </c>
      <c r="J242" s="470">
        <v>-32014</v>
      </c>
      <c r="K242" s="18"/>
      <c r="L242" s="18" t="str">
        <f t="shared" si="25"/>
        <v>4</v>
      </c>
      <c r="M242" s="18" t="str">
        <f>INDEX(Chapter,MATCH(L242,Chapter!$A$1:$A$681,0),8)</f>
        <v>מפעלים</v>
      </c>
      <c r="N242" s="18" t="str">
        <f t="shared" si="26"/>
        <v>44</v>
      </c>
      <c r="O242" s="18" t="str">
        <f>INDEX(Chapter,MATCH(N242,Chapter!$A$1:$A$681,0),8)</f>
        <v>תחבורה</v>
      </c>
      <c r="P242" s="18" t="str">
        <f t="shared" si="27"/>
        <v>442</v>
      </c>
      <c r="Q242" s="18" t="str">
        <f>INDEX(Chapter,MATCH(P242,Chapter!$A$1:$A$681,0),8)</f>
        <v>אוטובוסים</v>
      </c>
      <c r="R242" s="18" t="str">
        <f t="shared" si="28"/>
        <v>4420</v>
      </c>
      <c r="S242" s="18" t="e">
        <f>INDEX(Chapter,MATCH(R242,Chapter!$A$1:$A$681,0),8)</f>
        <v>#N/A</v>
      </c>
      <c r="T242" s="18"/>
      <c r="U242" s="18" t="str">
        <f t="shared" si="29"/>
        <v>6</v>
      </c>
      <c r="V242" s="18" t="str">
        <f>IF($L242&lt;"6",INDEX(Revenue_type,MATCH(U242*1,type!$A$118:$A$168,0),8),INDEX(Expenditure_type,MATCH(U242*1,type!$A$2:$A$117,0),8))</f>
        <v>הכנסות מרכוש ומפעלים</v>
      </c>
      <c r="W242" s="18" t="str">
        <f t="shared" si="30"/>
        <v>61</v>
      </c>
      <c r="X242" s="18" t="str">
        <f>IF($L242&lt;"6",INDEX(Revenue_type,MATCH(W242*1,type!$A$118:$A$168,0),8),INDEX(Expenditure_type,MATCH(W242*1,type!$A$2:$A$117,0),8))</f>
        <v>מכירת חומרים</v>
      </c>
      <c r="Y242" s="18" t="str">
        <f t="shared" si="31"/>
        <v>610</v>
      </c>
      <c r="Z242" s="18" t="e">
        <f>IF($L242&lt;"6",INDEX(Revenue_type,MATCH(Y242*1,type!$A$118:$A$168,0),8),INDEX(Expenditure_type,MATCH(Y242*1,type!$A$2:$A$117,0),8))</f>
        <v>#N/A</v>
      </c>
    </row>
    <row r="243" spans="1:26" ht="15.75" hidden="1" customHeight="1" outlineLevel="2">
      <c r="A243" s="482">
        <v>210</v>
      </c>
      <c r="B243" s="485" t="s">
        <v>7682</v>
      </c>
      <c r="C243">
        <v>1</v>
      </c>
      <c r="D243" t="str">
        <f t="shared" si="24"/>
        <v>1471200.210</v>
      </c>
      <c r="E243" s="492" t="s">
        <v>7926</v>
      </c>
      <c r="H243" s="470">
        <v>0</v>
      </c>
      <c r="I243" s="470">
        <v>0</v>
      </c>
      <c r="J243" s="470">
        <v>-346000</v>
      </c>
      <c r="K243" s="18"/>
      <c r="L243" s="18" t="str">
        <f t="shared" si="25"/>
        <v>4</v>
      </c>
      <c r="M243" s="18" t="str">
        <f>INDEX(Chapter,MATCH(L243,Chapter!$A$1:$A$681,0),8)</f>
        <v>מפעלים</v>
      </c>
      <c r="N243" s="18" t="str">
        <f t="shared" si="26"/>
        <v>47</v>
      </c>
      <c r="O243" s="18" t="str">
        <f>INDEX(Chapter,MATCH(N243,Chapter!$A$1:$A$681,0),8)</f>
        <v>מפעל הביוב</v>
      </c>
      <c r="P243" s="18" t="str">
        <f t="shared" si="27"/>
        <v>471</v>
      </c>
      <c r="Q243" s="18" t="str">
        <f>INDEX(Chapter,MATCH(P243,Chapter!$A$1:$A$681,0),8)</f>
        <v>מינהל הביוב</v>
      </c>
      <c r="R243" s="18" t="str">
        <f t="shared" si="28"/>
        <v>4712</v>
      </c>
      <c r="S243" s="18" t="e">
        <f>INDEX(Chapter,MATCH(R243,Chapter!$A$1:$A$681,0),8)</f>
        <v>#N/A</v>
      </c>
      <c r="T243" s="18"/>
      <c r="U243" s="18" t="str">
        <f t="shared" si="29"/>
        <v>2</v>
      </c>
      <c r="V243" s="18" t="str">
        <f>IF($L243&lt;"6",INDEX(Revenue_type,MATCH(U243*1,type!$A$118:$A$168,0),8),INDEX(Expenditure_type,MATCH(U243*1,type!$A$2:$A$117,0),8))</f>
        <v>אגרות</v>
      </c>
      <c r="W243" s="18" t="str">
        <f t="shared" si="30"/>
        <v>21</v>
      </c>
      <c r="X243" s="18" t="str">
        <f>IF($L243&lt;"6",INDEX(Revenue_type,MATCH(W243*1,type!$A$118:$A$168,0),8),INDEX(Expenditure_type,MATCH(W243*1,type!$A$2:$A$117,0),8))</f>
        <v>אגרות מים וביוב</v>
      </c>
      <c r="Y243" s="18" t="str">
        <f t="shared" si="31"/>
        <v>210</v>
      </c>
      <c r="Z243" s="18" t="e">
        <f>IF($L243&lt;"6",INDEX(Revenue_type,MATCH(Y243*1,type!$A$118:$A$168,0),8),INDEX(Expenditure_type,MATCH(Y243*1,type!$A$2:$A$117,0),8))</f>
        <v>#N/A</v>
      </c>
    </row>
    <row r="244" spans="1:26" ht="15.75" hidden="1" customHeight="1" outlineLevel="2">
      <c r="A244" s="482">
        <v>940</v>
      </c>
      <c r="B244" s="491" t="s">
        <v>8904</v>
      </c>
      <c r="C244">
        <v>1</v>
      </c>
      <c r="D244" t="str">
        <f t="shared" si="24"/>
        <v>1333000.940</v>
      </c>
      <c r="E244" s="492" t="s">
        <v>7927</v>
      </c>
      <c r="H244" s="470">
        <v>-436000000</v>
      </c>
      <c r="I244" s="470">
        <v>-402000000</v>
      </c>
      <c r="J244" s="470">
        <v>-413155707</v>
      </c>
      <c r="K244" s="18"/>
      <c r="L244" s="18" t="str">
        <f t="shared" si="25"/>
        <v>3</v>
      </c>
      <c r="M244" s="18" t="str">
        <f>INDEX(Chapter,MATCH(L244,Chapter!$A$1:$A$681,0),8)</f>
        <v>שירותים ממלכתיים</v>
      </c>
      <c r="N244" s="18" t="str">
        <f t="shared" si="26"/>
        <v>33</v>
      </c>
      <c r="O244" s="18" t="str">
        <f>INDEX(Chapter,MATCH(N244,Chapter!$A$1:$A$681,0),8)</f>
        <v>בריאות</v>
      </c>
      <c r="P244" s="18" t="str">
        <f t="shared" si="27"/>
        <v>333</v>
      </c>
      <c r="Q244" s="18" t="str">
        <f>INDEX(Chapter,MATCH(P244,Chapter!$A$1:$A$681,0),8)</f>
        <v>בתי חולים</v>
      </c>
      <c r="R244" s="18" t="str">
        <f t="shared" si="28"/>
        <v>3330</v>
      </c>
      <c r="S244" s="18" t="e">
        <f>INDEX(Chapter,MATCH(R244,Chapter!$A$1:$A$681,0),8)</f>
        <v>#N/A</v>
      </c>
      <c r="T244" s="18"/>
      <c r="U244" s="18" t="str">
        <f t="shared" si="29"/>
        <v>9</v>
      </c>
      <c r="V244" s="18" t="str">
        <f>IF($L244&lt;"6",INDEX(Revenue_type,MATCH(U244*1,type!$A$118:$A$168,0),8),INDEX(Expenditure_type,MATCH(U244*1,type!$A$2:$A$117,0),8))</f>
        <v>השתתפות משרדי ממשלה</v>
      </c>
      <c r="W244" s="18" t="str">
        <f t="shared" si="30"/>
        <v>94</v>
      </c>
      <c r="X244" s="18" t="str">
        <f>IF($L244&lt;"6",INDEX(Revenue_type,MATCH(W244*1,type!$A$118:$A$168,0),8),INDEX(Expenditure_type,MATCH(W244*1,type!$A$2:$A$117,0),8))</f>
        <v>השתתפות משרד הבריאות</v>
      </c>
      <c r="Y244" s="18" t="str">
        <f t="shared" si="31"/>
        <v>940</v>
      </c>
      <c r="Z244" s="18" t="e">
        <f>IF($L244&lt;"6",INDEX(Revenue_type,MATCH(Y244*1,type!$A$118:$A$168,0),8),INDEX(Expenditure_type,MATCH(Y244*1,type!$A$2:$A$117,0),8))</f>
        <v>#N/A</v>
      </c>
    </row>
    <row r="245" spans="1:26" ht="15.75" hidden="1" customHeight="1" outlineLevel="2">
      <c r="A245" s="482">
        <v>945</v>
      </c>
      <c r="B245" s="491" t="s">
        <v>8904</v>
      </c>
      <c r="C245">
        <v>1</v>
      </c>
      <c r="D245" t="str">
        <f t="shared" si="24"/>
        <v>1333000.945</v>
      </c>
      <c r="E245" s="492" t="s">
        <v>7928</v>
      </c>
      <c r="H245" s="470">
        <v>-10000000</v>
      </c>
      <c r="I245" s="470">
        <v>-7000000</v>
      </c>
      <c r="J245" s="470">
        <v>-8458870</v>
      </c>
      <c r="K245" s="18"/>
      <c r="L245" s="18" t="str">
        <f t="shared" si="25"/>
        <v>3</v>
      </c>
      <c r="M245" s="18" t="str">
        <f>INDEX(Chapter,MATCH(L245,Chapter!$A$1:$A$681,0),8)</f>
        <v>שירותים ממלכתיים</v>
      </c>
      <c r="N245" s="18" t="str">
        <f t="shared" si="26"/>
        <v>33</v>
      </c>
      <c r="O245" s="18" t="str">
        <f>INDEX(Chapter,MATCH(N245,Chapter!$A$1:$A$681,0),8)</f>
        <v>בריאות</v>
      </c>
      <c r="P245" s="18" t="str">
        <f t="shared" si="27"/>
        <v>333</v>
      </c>
      <c r="Q245" s="18" t="str">
        <f>INDEX(Chapter,MATCH(P245,Chapter!$A$1:$A$681,0),8)</f>
        <v>בתי חולים</v>
      </c>
      <c r="R245" s="18" t="str">
        <f t="shared" si="28"/>
        <v>3330</v>
      </c>
      <c r="S245" s="18" t="e">
        <f>INDEX(Chapter,MATCH(R245,Chapter!$A$1:$A$681,0),8)</f>
        <v>#N/A</v>
      </c>
      <c r="T245" s="18"/>
      <c r="U245" s="18" t="str">
        <f t="shared" si="29"/>
        <v>9</v>
      </c>
      <c r="V245" s="18" t="str">
        <f>IF($L245&lt;"6",INDEX(Revenue_type,MATCH(U245*1,type!$A$118:$A$168,0),8),INDEX(Expenditure_type,MATCH(U245*1,type!$A$2:$A$117,0),8))</f>
        <v>השתתפות משרדי ממשלה</v>
      </c>
      <c r="W245" s="18" t="str">
        <f t="shared" si="30"/>
        <v>94</v>
      </c>
      <c r="X245" s="18" t="str">
        <f>IF($L245&lt;"6",INDEX(Revenue_type,MATCH(W245*1,type!$A$118:$A$168,0),8),INDEX(Expenditure_type,MATCH(W245*1,type!$A$2:$A$117,0),8))</f>
        <v>השתתפות משרד הבריאות</v>
      </c>
      <c r="Y245" s="18" t="str">
        <f t="shared" si="31"/>
        <v>945</v>
      </c>
      <c r="Z245" s="18" t="e">
        <f>IF($L245&lt;"6",INDEX(Revenue_type,MATCH(Y245*1,type!$A$118:$A$168,0),8),INDEX(Expenditure_type,MATCH(Y245*1,type!$A$2:$A$117,0),8))</f>
        <v>#N/A</v>
      </c>
    </row>
    <row r="246" spans="1:26" ht="15.75" hidden="1" customHeight="1" outlineLevel="2">
      <c r="A246" s="482">
        <v>600</v>
      </c>
      <c r="B246" s="488" t="s">
        <v>7683</v>
      </c>
      <c r="C246">
        <v>1</v>
      </c>
      <c r="D246" t="str">
        <f t="shared" si="24"/>
        <v>1510000.600</v>
      </c>
      <c r="E246" s="496" t="s">
        <v>7929</v>
      </c>
      <c r="H246" s="470">
        <v>-1500000</v>
      </c>
      <c r="I246" s="470">
        <v>-1500000</v>
      </c>
      <c r="J246" s="470">
        <v>-2464478</v>
      </c>
      <c r="K246" s="18"/>
      <c r="L246" s="18" t="str">
        <f t="shared" si="25"/>
        <v>5</v>
      </c>
      <c r="M246" s="18" t="str">
        <f>INDEX(Chapter,MATCH(L246,Chapter!$A$1:$A$681,0),8)</f>
        <v>תקבולים בלתי רגילים</v>
      </c>
      <c r="N246" s="18" t="str">
        <f t="shared" si="26"/>
        <v>51</v>
      </c>
      <c r="O246" s="18" t="str">
        <f>INDEX(Chapter,MATCH(N246,Chapter!$A$1:$A$681,0),8)</f>
        <v>ריבית והחזר הוצאות משנים קודמות</v>
      </c>
      <c r="P246" s="18" t="str">
        <f t="shared" si="27"/>
        <v>510</v>
      </c>
      <c r="Q246" s="18" t="e">
        <f>INDEX(Chapter,MATCH(P246,Chapter!$A$1:$A$681,0),8)</f>
        <v>#N/A</v>
      </c>
      <c r="R246" s="18" t="str">
        <f t="shared" si="28"/>
        <v>5100</v>
      </c>
      <c r="S246" s="18" t="e">
        <f>INDEX(Chapter,MATCH(R246,Chapter!$A$1:$A$681,0),8)</f>
        <v>#N/A</v>
      </c>
      <c r="T246" s="18"/>
      <c r="U246" s="18" t="str">
        <f t="shared" si="29"/>
        <v>6</v>
      </c>
      <c r="V246" s="18" t="str">
        <f>IF($L246&lt;"6",INDEX(Revenue_type,MATCH(U246*1,type!$A$118:$A$168,0),8),INDEX(Expenditure_type,MATCH(U246*1,type!$A$2:$A$117,0),8))</f>
        <v>הכנסות מרכוש ומפעלים</v>
      </c>
      <c r="W246" s="18" t="str">
        <f t="shared" si="30"/>
        <v>60</v>
      </c>
      <c r="X246" s="18" t="e">
        <f>IF($L246&lt;"6",INDEX(Revenue_type,MATCH(W246*1,type!$A$118:$A$168,0),8),INDEX(Expenditure_type,MATCH(W246*1,type!$A$2:$A$117,0),8))</f>
        <v>#N/A</v>
      </c>
      <c r="Y246" s="18" t="str">
        <f t="shared" si="31"/>
        <v>600</v>
      </c>
      <c r="Z246" s="18" t="e">
        <f>IF($L246&lt;"6",INDEX(Revenue_type,MATCH(Y246*1,type!$A$118:$A$168,0),8),INDEX(Expenditure_type,MATCH(Y246*1,type!$A$2:$A$117,0),8))</f>
        <v>#N/A</v>
      </c>
    </row>
    <row r="247" spans="1:26" ht="15.75" hidden="1" customHeight="1" outlineLevel="2">
      <c r="A247" s="482">
        <v>603</v>
      </c>
      <c r="B247" s="488" t="s">
        <v>7683</v>
      </c>
      <c r="C247">
        <v>1</v>
      </c>
      <c r="D247" t="str">
        <f t="shared" si="24"/>
        <v>1510000.603</v>
      </c>
      <c r="E247" s="496" t="s">
        <v>7930</v>
      </c>
      <c r="H247" s="470">
        <v>-600000</v>
      </c>
      <c r="I247" s="470">
        <v>-600000</v>
      </c>
      <c r="J247" s="470">
        <v>0</v>
      </c>
      <c r="K247" s="18"/>
      <c r="L247" s="18" t="str">
        <f t="shared" si="25"/>
        <v>5</v>
      </c>
      <c r="M247" s="18" t="str">
        <f>INDEX(Chapter,MATCH(L247,Chapter!$A$1:$A$681,0),8)</f>
        <v>תקבולים בלתי רגילים</v>
      </c>
      <c r="N247" s="18" t="str">
        <f t="shared" si="26"/>
        <v>51</v>
      </c>
      <c r="O247" s="18" t="str">
        <f>INDEX(Chapter,MATCH(N247,Chapter!$A$1:$A$681,0),8)</f>
        <v>ריבית והחזר הוצאות משנים קודמות</v>
      </c>
      <c r="P247" s="18" t="str">
        <f t="shared" si="27"/>
        <v>510</v>
      </c>
      <c r="Q247" s="18" t="e">
        <f>INDEX(Chapter,MATCH(P247,Chapter!$A$1:$A$681,0),8)</f>
        <v>#N/A</v>
      </c>
      <c r="R247" s="18" t="str">
        <f t="shared" si="28"/>
        <v>5100</v>
      </c>
      <c r="S247" s="18" t="e">
        <f>INDEX(Chapter,MATCH(R247,Chapter!$A$1:$A$681,0),8)</f>
        <v>#N/A</v>
      </c>
      <c r="T247" s="18"/>
      <c r="U247" s="18" t="str">
        <f t="shared" si="29"/>
        <v>6</v>
      </c>
      <c r="V247" s="18" t="str">
        <f>IF($L247&lt;"6",INDEX(Revenue_type,MATCH(U247*1,type!$A$118:$A$168,0),8),INDEX(Expenditure_type,MATCH(U247*1,type!$A$2:$A$117,0),8))</f>
        <v>הכנסות מרכוש ומפעלים</v>
      </c>
      <c r="W247" s="18" t="str">
        <f t="shared" si="30"/>
        <v>60</v>
      </c>
      <c r="X247" s="18" t="e">
        <f>IF($L247&lt;"6",INDEX(Revenue_type,MATCH(W247*1,type!$A$118:$A$168,0),8),INDEX(Expenditure_type,MATCH(W247*1,type!$A$2:$A$117,0),8))</f>
        <v>#N/A</v>
      </c>
      <c r="Y247" s="18" t="str">
        <f t="shared" si="31"/>
        <v>603</v>
      </c>
      <c r="Z247" s="18" t="e">
        <f>IF($L247&lt;"6",INDEX(Revenue_type,MATCH(Y247*1,type!$A$118:$A$168,0),8),INDEX(Expenditure_type,MATCH(Y247*1,type!$A$2:$A$117,0),8))</f>
        <v>#N/A</v>
      </c>
    </row>
    <row r="248" spans="1:26" ht="15.75" hidden="1" customHeight="1" outlineLevel="2">
      <c r="A248" s="482">
        <v>611</v>
      </c>
      <c r="B248" s="488" t="s">
        <v>7683</v>
      </c>
      <c r="C248">
        <v>1</v>
      </c>
      <c r="D248" t="str">
        <f t="shared" si="24"/>
        <v>1510000.611</v>
      </c>
      <c r="E248" s="496" t="s">
        <v>7931</v>
      </c>
      <c r="H248" s="470">
        <v>0</v>
      </c>
      <c r="I248" s="470">
        <v>0</v>
      </c>
      <c r="J248" s="470">
        <v>-42400000</v>
      </c>
      <c r="K248" s="18"/>
      <c r="L248" s="18" t="str">
        <f t="shared" si="25"/>
        <v>5</v>
      </c>
      <c r="M248" s="18" t="str">
        <f>INDEX(Chapter,MATCH(L248,Chapter!$A$1:$A$681,0),8)</f>
        <v>תקבולים בלתי רגילים</v>
      </c>
      <c r="N248" s="18" t="str">
        <f t="shared" si="26"/>
        <v>51</v>
      </c>
      <c r="O248" s="18" t="str">
        <f>INDEX(Chapter,MATCH(N248,Chapter!$A$1:$A$681,0),8)</f>
        <v>ריבית והחזר הוצאות משנים קודמות</v>
      </c>
      <c r="P248" s="18" t="str">
        <f t="shared" si="27"/>
        <v>510</v>
      </c>
      <c r="Q248" s="18" t="e">
        <f>INDEX(Chapter,MATCH(P248,Chapter!$A$1:$A$681,0),8)</f>
        <v>#N/A</v>
      </c>
      <c r="R248" s="18" t="str">
        <f t="shared" si="28"/>
        <v>5100</v>
      </c>
      <c r="S248" s="18" t="e">
        <f>INDEX(Chapter,MATCH(R248,Chapter!$A$1:$A$681,0),8)</f>
        <v>#N/A</v>
      </c>
      <c r="T248" s="18"/>
      <c r="U248" s="18" t="str">
        <f t="shared" si="29"/>
        <v>6</v>
      </c>
      <c r="V248" s="18" t="str">
        <f>IF($L248&lt;"6",INDEX(Revenue_type,MATCH(U248*1,type!$A$118:$A$168,0),8),INDEX(Expenditure_type,MATCH(U248*1,type!$A$2:$A$117,0),8))</f>
        <v>הכנסות מרכוש ומפעלים</v>
      </c>
      <c r="W248" s="18" t="str">
        <f t="shared" si="30"/>
        <v>61</v>
      </c>
      <c r="X248" s="18" t="str">
        <f>IF($L248&lt;"6",INDEX(Revenue_type,MATCH(W248*1,type!$A$118:$A$168,0),8),INDEX(Expenditure_type,MATCH(W248*1,type!$A$2:$A$117,0),8))</f>
        <v>מכירת חומרים</v>
      </c>
      <c r="Y248" s="18" t="str">
        <f t="shared" si="31"/>
        <v>611</v>
      </c>
      <c r="Z248" s="18" t="e">
        <f>IF($L248&lt;"6",INDEX(Revenue_type,MATCH(Y248*1,type!$A$118:$A$168,0),8),INDEX(Expenditure_type,MATCH(Y248*1,type!$A$2:$A$117,0),8))</f>
        <v>#N/A</v>
      </c>
    </row>
    <row r="249" spans="1:26" ht="15.75" hidden="1" customHeight="1" outlineLevel="2">
      <c r="A249" s="482">
        <v>614</v>
      </c>
      <c r="B249" s="488" t="s">
        <v>7683</v>
      </c>
      <c r="C249">
        <v>1</v>
      </c>
      <c r="D249" t="str">
        <f t="shared" si="24"/>
        <v>1510000.614</v>
      </c>
      <c r="E249" s="492" t="s">
        <v>7932</v>
      </c>
      <c r="H249" s="470">
        <v>-12000000</v>
      </c>
      <c r="I249" s="470">
        <v>-12000000</v>
      </c>
      <c r="J249" s="470">
        <v>-13245767</v>
      </c>
      <c r="K249" s="18"/>
      <c r="L249" s="18" t="str">
        <f t="shared" si="25"/>
        <v>5</v>
      </c>
      <c r="M249" s="18" t="str">
        <f>INDEX(Chapter,MATCH(L249,Chapter!$A$1:$A$681,0),8)</f>
        <v>תקבולים בלתי רגילים</v>
      </c>
      <c r="N249" s="18" t="str">
        <f t="shared" si="26"/>
        <v>51</v>
      </c>
      <c r="O249" s="18" t="str">
        <f>INDEX(Chapter,MATCH(N249,Chapter!$A$1:$A$681,0),8)</f>
        <v>ריבית והחזר הוצאות משנים קודמות</v>
      </c>
      <c r="P249" s="18" t="str">
        <f t="shared" si="27"/>
        <v>510</v>
      </c>
      <c r="Q249" s="18" t="e">
        <f>INDEX(Chapter,MATCH(P249,Chapter!$A$1:$A$681,0),8)</f>
        <v>#N/A</v>
      </c>
      <c r="R249" s="18" t="str">
        <f t="shared" si="28"/>
        <v>5100</v>
      </c>
      <c r="S249" s="18" t="e">
        <f>INDEX(Chapter,MATCH(R249,Chapter!$A$1:$A$681,0),8)</f>
        <v>#N/A</v>
      </c>
      <c r="T249" s="18"/>
      <c r="U249" s="18" t="str">
        <f t="shared" si="29"/>
        <v>6</v>
      </c>
      <c r="V249" s="18" t="str">
        <f>IF($L249&lt;"6",INDEX(Revenue_type,MATCH(U249*1,type!$A$118:$A$168,0),8),INDEX(Expenditure_type,MATCH(U249*1,type!$A$2:$A$117,0),8))</f>
        <v>הכנסות מרכוש ומפעלים</v>
      </c>
      <c r="W249" s="18" t="str">
        <f t="shared" si="30"/>
        <v>61</v>
      </c>
      <c r="X249" s="18" t="str">
        <f>IF($L249&lt;"6",INDEX(Revenue_type,MATCH(W249*1,type!$A$118:$A$168,0),8),INDEX(Expenditure_type,MATCH(W249*1,type!$A$2:$A$117,0),8))</f>
        <v>מכירת חומרים</v>
      </c>
      <c r="Y249" s="18" t="str">
        <f t="shared" si="31"/>
        <v>614</v>
      </c>
      <c r="Z249" s="18" t="e">
        <f>IF($L249&lt;"6",INDEX(Revenue_type,MATCH(Y249*1,type!$A$118:$A$168,0),8),INDEX(Expenditure_type,MATCH(Y249*1,type!$A$2:$A$117,0),8))</f>
        <v>#N/A</v>
      </c>
    </row>
    <row r="250" spans="1:26" ht="15.75" hidden="1" customHeight="1" outlineLevel="2">
      <c r="A250" s="482">
        <v>601</v>
      </c>
      <c r="B250" s="488" t="s">
        <v>7684</v>
      </c>
      <c r="C250">
        <v>1</v>
      </c>
      <c r="D250" t="str">
        <f t="shared" si="24"/>
        <v>1520000.601</v>
      </c>
      <c r="E250" s="492" t="s">
        <v>7933</v>
      </c>
      <c r="H250" s="470">
        <v>-100000</v>
      </c>
      <c r="I250" s="470">
        <v>-100000</v>
      </c>
      <c r="J250" s="470">
        <v>-71582</v>
      </c>
      <c r="K250" s="18"/>
      <c r="L250" s="18" t="str">
        <f t="shared" si="25"/>
        <v>5</v>
      </c>
      <c r="M250" s="18" t="str">
        <f>INDEX(Chapter,MATCH(L250,Chapter!$A$1:$A$681,0),8)</f>
        <v>תקבולים בלתי רגילים</v>
      </c>
      <c r="N250" s="18" t="str">
        <f t="shared" si="26"/>
        <v>52</v>
      </c>
      <c r="O250" s="18" t="e">
        <f>INDEX(Chapter,MATCH(N250,Chapter!$A$1:$A$681,0),8)</f>
        <v>#N/A</v>
      </c>
      <c r="P250" s="18" t="str">
        <f t="shared" si="27"/>
        <v>520</v>
      </c>
      <c r="Q250" s="18" t="e">
        <f>INDEX(Chapter,MATCH(P250,Chapter!$A$1:$A$681,0),8)</f>
        <v>#N/A</v>
      </c>
      <c r="R250" s="18" t="str">
        <f t="shared" si="28"/>
        <v>5200</v>
      </c>
      <c r="S250" s="18" t="e">
        <f>INDEX(Chapter,MATCH(R250,Chapter!$A$1:$A$681,0),8)</f>
        <v>#N/A</v>
      </c>
      <c r="T250" s="18"/>
      <c r="U250" s="18" t="str">
        <f t="shared" si="29"/>
        <v>6</v>
      </c>
      <c r="V250" s="18" t="str">
        <f>IF($L250&lt;"6",INDEX(Revenue_type,MATCH(U250*1,type!$A$118:$A$168,0),8),INDEX(Expenditure_type,MATCH(U250*1,type!$A$2:$A$117,0),8))</f>
        <v>הכנסות מרכוש ומפעלים</v>
      </c>
      <c r="W250" s="18" t="str">
        <f t="shared" si="30"/>
        <v>60</v>
      </c>
      <c r="X250" s="18" t="e">
        <f>IF($L250&lt;"6",INDEX(Revenue_type,MATCH(W250*1,type!$A$118:$A$168,0),8),INDEX(Expenditure_type,MATCH(W250*1,type!$A$2:$A$117,0),8))</f>
        <v>#N/A</v>
      </c>
      <c r="Y250" s="18" t="str">
        <f t="shared" si="31"/>
        <v>601</v>
      </c>
      <c r="Z250" s="18" t="e">
        <f>IF($L250&lt;"6",INDEX(Revenue_type,MATCH(Y250*1,type!$A$118:$A$168,0),8),INDEX(Expenditure_type,MATCH(Y250*1,type!$A$2:$A$117,0),8))</f>
        <v>#N/A</v>
      </c>
    </row>
    <row r="251" spans="1:26" ht="15.75" hidden="1" customHeight="1" outlineLevel="2">
      <c r="A251" s="482">
        <v>604</v>
      </c>
      <c r="B251" s="488" t="s">
        <v>7684</v>
      </c>
      <c r="C251">
        <v>1</v>
      </c>
      <c r="D251" t="str">
        <f t="shared" si="24"/>
        <v>1520000.604</v>
      </c>
      <c r="E251" s="492" t="s">
        <v>7934</v>
      </c>
      <c r="H251" s="470">
        <v>0</v>
      </c>
      <c r="I251" s="470">
        <v>0</v>
      </c>
      <c r="J251" s="470">
        <v>0</v>
      </c>
      <c r="K251" s="18"/>
      <c r="L251" s="18" t="str">
        <f t="shared" si="25"/>
        <v>5</v>
      </c>
      <c r="M251" s="18" t="str">
        <f>INDEX(Chapter,MATCH(L251,Chapter!$A$1:$A$681,0),8)</f>
        <v>תקבולים בלתי רגילים</v>
      </c>
      <c r="N251" s="18" t="str">
        <f t="shared" si="26"/>
        <v>52</v>
      </c>
      <c r="O251" s="18" t="e">
        <f>INDEX(Chapter,MATCH(N251,Chapter!$A$1:$A$681,0),8)</f>
        <v>#N/A</v>
      </c>
      <c r="P251" s="18" t="str">
        <f t="shared" si="27"/>
        <v>520</v>
      </c>
      <c r="Q251" s="18" t="e">
        <f>INDEX(Chapter,MATCH(P251,Chapter!$A$1:$A$681,0),8)</f>
        <v>#N/A</v>
      </c>
      <c r="R251" s="18" t="str">
        <f t="shared" si="28"/>
        <v>5200</v>
      </c>
      <c r="S251" s="18" t="e">
        <f>INDEX(Chapter,MATCH(R251,Chapter!$A$1:$A$681,0),8)</f>
        <v>#N/A</v>
      </c>
      <c r="T251" s="18"/>
      <c r="U251" s="18" t="str">
        <f t="shared" si="29"/>
        <v>6</v>
      </c>
      <c r="V251" s="18" t="str">
        <f>IF($L251&lt;"6",INDEX(Revenue_type,MATCH(U251*1,type!$A$118:$A$168,0),8),INDEX(Expenditure_type,MATCH(U251*1,type!$A$2:$A$117,0),8))</f>
        <v>הכנסות מרכוש ומפעלים</v>
      </c>
      <c r="W251" s="18" t="str">
        <f t="shared" si="30"/>
        <v>60</v>
      </c>
      <c r="X251" s="18" t="e">
        <f>IF($L251&lt;"6",INDEX(Revenue_type,MATCH(W251*1,type!$A$118:$A$168,0),8),INDEX(Expenditure_type,MATCH(W251*1,type!$A$2:$A$117,0),8))</f>
        <v>#N/A</v>
      </c>
      <c r="Y251" s="18" t="str">
        <f t="shared" si="31"/>
        <v>604</v>
      </c>
      <c r="Z251" s="18" t="e">
        <f>IF($L251&lt;"6",INDEX(Revenue_type,MATCH(Y251*1,type!$A$118:$A$168,0),8),INDEX(Expenditure_type,MATCH(Y251*1,type!$A$2:$A$117,0),8))</f>
        <v>#N/A</v>
      </c>
    </row>
    <row r="252" spans="1:26" ht="15.75" hidden="1" customHeight="1" outlineLevel="2">
      <c r="A252" s="482">
        <v>601</v>
      </c>
      <c r="B252" s="488" t="s">
        <v>7685</v>
      </c>
      <c r="C252">
        <v>1</v>
      </c>
      <c r="D252" t="str">
        <f t="shared" si="24"/>
        <v>1540000.601</v>
      </c>
      <c r="E252" s="492" t="s">
        <v>7935</v>
      </c>
      <c r="H252" s="470">
        <v>-2000000</v>
      </c>
      <c r="I252" s="470">
        <v>-1800000</v>
      </c>
      <c r="J252" s="470">
        <v>-3782083</v>
      </c>
      <c r="K252" s="18"/>
      <c r="L252" s="18" t="str">
        <f t="shared" si="25"/>
        <v>5</v>
      </c>
      <c r="M252" s="18" t="str">
        <f>INDEX(Chapter,MATCH(L252,Chapter!$A$1:$A$681,0),8)</f>
        <v>תקבולים בלתי רגילים</v>
      </c>
      <c r="N252" s="18" t="str">
        <f t="shared" si="26"/>
        <v>54</v>
      </c>
      <c r="O252" s="18" t="e">
        <f>INDEX(Chapter,MATCH(N252,Chapter!$A$1:$A$681,0),8)</f>
        <v>#N/A</v>
      </c>
      <c r="P252" s="18" t="str">
        <f t="shared" si="27"/>
        <v>540</v>
      </c>
      <c r="Q252" s="18" t="e">
        <f>INDEX(Chapter,MATCH(P252,Chapter!$A$1:$A$681,0),8)</f>
        <v>#N/A</v>
      </c>
      <c r="R252" s="18" t="str">
        <f t="shared" si="28"/>
        <v>5400</v>
      </c>
      <c r="S252" s="18" t="e">
        <f>INDEX(Chapter,MATCH(R252,Chapter!$A$1:$A$681,0),8)</f>
        <v>#N/A</v>
      </c>
      <c r="T252" s="18"/>
      <c r="U252" s="18" t="str">
        <f t="shared" si="29"/>
        <v>6</v>
      </c>
      <c r="V252" s="18" t="str">
        <f>IF($L252&lt;"6",INDEX(Revenue_type,MATCH(U252*1,type!$A$118:$A$168,0),8),INDEX(Expenditure_type,MATCH(U252*1,type!$A$2:$A$117,0),8))</f>
        <v>הכנסות מרכוש ומפעלים</v>
      </c>
      <c r="W252" s="18" t="str">
        <f t="shared" si="30"/>
        <v>60</v>
      </c>
      <c r="X252" s="18" t="e">
        <f>IF($L252&lt;"6",INDEX(Revenue_type,MATCH(W252*1,type!$A$118:$A$168,0),8),INDEX(Expenditure_type,MATCH(W252*1,type!$A$2:$A$117,0),8))</f>
        <v>#N/A</v>
      </c>
      <c r="Y252" s="18" t="str">
        <f t="shared" si="31"/>
        <v>601</v>
      </c>
      <c r="Z252" s="18" t="e">
        <f>IF($L252&lt;"6",INDEX(Revenue_type,MATCH(Y252*1,type!$A$118:$A$168,0),8),INDEX(Expenditure_type,MATCH(Y252*1,type!$A$2:$A$117,0),8))</f>
        <v>#N/A</v>
      </c>
    </row>
    <row r="253" spans="1:26" ht="15.75" hidden="1" customHeight="1" outlineLevel="2">
      <c r="A253" s="482">
        <v>602</v>
      </c>
      <c r="B253" s="488" t="s">
        <v>7685</v>
      </c>
      <c r="C253">
        <v>1</v>
      </c>
      <c r="D253" t="str">
        <f t="shared" si="24"/>
        <v>1540000.602</v>
      </c>
      <c r="E253" s="492" t="s">
        <v>7936</v>
      </c>
      <c r="H253" s="470">
        <v>-300000</v>
      </c>
      <c r="I253" s="470">
        <v>-400000</v>
      </c>
      <c r="J253" s="470">
        <v>-250458</v>
      </c>
      <c r="K253" s="18"/>
      <c r="L253" s="18" t="str">
        <f t="shared" si="25"/>
        <v>5</v>
      </c>
      <c r="M253" s="18" t="str">
        <f>INDEX(Chapter,MATCH(L253,Chapter!$A$1:$A$681,0),8)</f>
        <v>תקבולים בלתי רגילים</v>
      </c>
      <c r="N253" s="18" t="str">
        <f t="shared" si="26"/>
        <v>54</v>
      </c>
      <c r="O253" s="18" t="e">
        <f>INDEX(Chapter,MATCH(N253,Chapter!$A$1:$A$681,0),8)</f>
        <v>#N/A</v>
      </c>
      <c r="P253" s="18" t="str">
        <f t="shared" si="27"/>
        <v>540</v>
      </c>
      <c r="Q253" s="18" t="e">
        <f>INDEX(Chapter,MATCH(P253,Chapter!$A$1:$A$681,0),8)</f>
        <v>#N/A</v>
      </c>
      <c r="R253" s="18" t="str">
        <f t="shared" si="28"/>
        <v>5400</v>
      </c>
      <c r="S253" s="18" t="e">
        <f>INDEX(Chapter,MATCH(R253,Chapter!$A$1:$A$681,0),8)</f>
        <v>#N/A</v>
      </c>
      <c r="T253" s="18"/>
      <c r="U253" s="18" t="str">
        <f t="shared" si="29"/>
        <v>6</v>
      </c>
      <c r="V253" s="18" t="str">
        <f>IF($L253&lt;"6",INDEX(Revenue_type,MATCH(U253*1,type!$A$118:$A$168,0),8),INDEX(Expenditure_type,MATCH(U253*1,type!$A$2:$A$117,0),8))</f>
        <v>הכנסות מרכוש ומפעלים</v>
      </c>
      <c r="W253" s="18" t="str">
        <f t="shared" si="30"/>
        <v>60</v>
      </c>
      <c r="X253" s="18" t="e">
        <f>IF($L253&lt;"6",INDEX(Revenue_type,MATCH(W253*1,type!$A$118:$A$168,0),8),INDEX(Expenditure_type,MATCH(W253*1,type!$A$2:$A$117,0),8))</f>
        <v>#N/A</v>
      </c>
      <c r="Y253" s="18" t="str">
        <f t="shared" si="31"/>
        <v>602</v>
      </c>
      <c r="Z253" s="18" t="e">
        <f>IF($L253&lt;"6",INDEX(Revenue_type,MATCH(Y253*1,type!$A$118:$A$168,0),8),INDEX(Expenditure_type,MATCH(Y253*1,type!$A$2:$A$117,0),8))</f>
        <v>#N/A</v>
      </c>
    </row>
    <row r="254" spans="1:26" ht="15.75" hidden="1" customHeight="1" outlineLevel="2">
      <c r="A254" s="482">
        <v>603</v>
      </c>
      <c r="B254" s="488" t="s">
        <v>7686</v>
      </c>
      <c r="C254">
        <v>1</v>
      </c>
      <c r="D254" t="str">
        <f t="shared" si="24"/>
        <v>1547000.603</v>
      </c>
      <c r="E254" s="492" t="s">
        <v>7937</v>
      </c>
      <c r="H254" s="470">
        <v>-100000</v>
      </c>
      <c r="I254" s="470">
        <v>-200000</v>
      </c>
      <c r="J254" s="470">
        <v>-91882</v>
      </c>
      <c r="K254" s="18"/>
      <c r="L254" s="18" t="str">
        <f t="shared" si="25"/>
        <v>5</v>
      </c>
      <c r="M254" s="18" t="str">
        <f>INDEX(Chapter,MATCH(L254,Chapter!$A$1:$A$681,0),8)</f>
        <v>תקבולים בלתי רגילים</v>
      </c>
      <c r="N254" s="18" t="str">
        <f t="shared" si="26"/>
        <v>54</v>
      </c>
      <c r="O254" s="18" t="e">
        <f>INDEX(Chapter,MATCH(N254,Chapter!$A$1:$A$681,0),8)</f>
        <v>#N/A</v>
      </c>
      <c r="P254" s="18" t="str">
        <f t="shared" si="27"/>
        <v>547</v>
      </c>
      <c r="Q254" s="18" t="e">
        <f>INDEX(Chapter,MATCH(P254,Chapter!$A$1:$A$681,0),8)</f>
        <v>#N/A</v>
      </c>
      <c r="R254" s="18" t="str">
        <f t="shared" si="28"/>
        <v>5470</v>
      </c>
      <c r="S254" s="18" t="e">
        <f>INDEX(Chapter,MATCH(R254,Chapter!$A$1:$A$681,0),8)</f>
        <v>#N/A</v>
      </c>
      <c r="T254" s="18"/>
      <c r="U254" s="18" t="str">
        <f t="shared" si="29"/>
        <v>6</v>
      </c>
      <c r="V254" s="18" t="str">
        <f>IF($L254&lt;"6",INDEX(Revenue_type,MATCH(U254*1,type!$A$118:$A$168,0),8),INDEX(Expenditure_type,MATCH(U254*1,type!$A$2:$A$117,0),8))</f>
        <v>הכנסות מרכוש ומפעלים</v>
      </c>
      <c r="W254" s="18" t="str">
        <f t="shared" si="30"/>
        <v>60</v>
      </c>
      <c r="X254" s="18" t="e">
        <f>IF($L254&lt;"6",INDEX(Revenue_type,MATCH(W254*1,type!$A$118:$A$168,0),8),INDEX(Expenditure_type,MATCH(W254*1,type!$A$2:$A$117,0),8))</f>
        <v>#N/A</v>
      </c>
      <c r="Y254" s="18" t="str">
        <f t="shared" si="31"/>
        <v>603</v>
      </c>
      <c r="Z254" s="18" t="e">
        <f>IF($L254&lt;"6",INDEX(Revenue_type,MATCH(Y254*1,type!$A$118:$A$168,0),8),INDEX(Expenditure_type,MATCH(Y254*1,type!$A$2:$A$117,0),8))</f>
        <v>#N/A</v>
      </c>
    </row>
    <row r="255" spans="1:26" ht="15.75" hidden="1" customHeight="1" outlineLevel="2">
      <c r="A255">
        <v>100</v>
      </c>
      <c r="B255" s="249">
        <v>821000</v>
      </c>
      <c r="C255">
        <v>1</v>
      </c>
      <c r="D255" t="str">
        <f t="shared" ref="D255:D318" si="32">C255&amp;B255&amp;"."&amp;A255</f>
        <v>1821000.100</v>
      </c>
      <c r="E255" s="444" t="s">
        <v>7938</v>
      </c>
      <c r="H255" s="470">
        <v>3256900</v>
      </c>
      <c r="I255" s="470">
        <v>3227000</v>
      </c>
      <c r="J255" s="470">
        <v>2874600</v>
      </c>
      <c r="K255" s="18"/>
      <c r="L255" s="18" t="str">
        <f t="shared" si="25"/>
        <v>8</v>
      </c>
      <c r="M255" s="18" t="str">
        <f>INDEX(Chapter,MATCH(L255,Chapter!$A$1:$A$681,0),8)</f>
        <v>שירותים ממלכתיים</v>
      </c>
      <c r="N255" s="18" t="str">
        <f t="shared" si="26"/>
        <v>82</v>
      </c>
      <c r="O255" s="18" t="str">
        <f>INDEX(Chapter,MATCH(N255,Chapter!$A$1:$A$681,0),8)</f>
        <v>תרבות</v>
      </c>
      <c r="P255" s="18" t="str">
        <f t="shared" si="27"/>
        <v>821</v>
      </c>
      <c r="Q255" s="18" t="str">
        <f>INDEX(Chapter,MATCH(P255,Chapter!$A$1:$A$681,0),8)</f>
        <v>מינהל התרבות</v>
      </c>
      <c r="R255" s="18" t="str">
        <f t="shared" si="28"/>
        <v>8210</v>
      </c>
      <c r="S255" s="18" t="e">
        <f>INDEX(Chapter,MATCH(R255,Chapter!$A$1:$A$681,0),8)</f>
        <v>#N/A</v>
      </c>
      <c r="T255" s="18"/>
      <c r="U255" s="18" t="str">
        <f t="shared" si="29"/>
        <v>1</v>
      </c>
      <c r="V255" s="18" t="str">
        <f>IF($L255&lt;"6",INDEX(Revenue_type,MATCH(U255*1,type!$A$118:$A$168,0),8),INDEX(Expenditure_type,MATCH(U255*1,type!$A$2:$A$117,0),8))</f>
        <v>משכורות וש"ע לעובדים לפי תקן</v>
      </c>
      <c r="W255" s="18" t="str">
        <f t="shared" si="30"/>
        <v>10</v>
      </c>
      <c r="X255" s="18" t="e">
        <f>IF($L255&lt;"6",INDEX(Revenue_type,MATCH(W255*1,type!$A$118:$A$168,0),8),INDEX(Expenditure_type,MATCH(W255*1,type!$A$2:$A$117,0),8))</f>
        <v>#N/A</v>
      </c>
      <c r="Y255" s="18" t="str">
        <f t="shared" si="31"/>
        <v>100</v>
      </c>
      <c r="Z255" s="18" t="e">
        <f>IF($L255&lt;"6",INDEX(Revenue_type,MATCH(Y255*1,type!$A$118:$A$168,0),8),INDEX(Expenditure_type,MATCH(Y255*1,type!$A$2:$A$117,0),8))</f>
        <v>#N/A</v>
      </c>
    </row>
    <row r="256" spans="1:26" ht="15.75" hidden="1" customHeight="1" outlineLevel="2">
      <c r="A256">
        <v>120</v>
      </c>
      <c r="B256" s="249">
        <v>821000</v>
      </c>
      <c r="C256">
        <v>1</v>
      </c>
      <c r="D256" t="str">
        <f t="shared" si="32"/>
        <v>1821000.120</v>
      </c>
      <c r="E256" s="444" t="s">
        <v>7939</v>
      </c>
      <c r="H256" s="470">
        <v>132100</v>
      </c>
      <c r="I256" s="470">
        <v>132100</v>
      </c>
      <c r="J256" s="470">
        <v>121700</v>
      </c>
      <c r="K256" s="18"/>
      <c r="L256" s="18" t="str">
        <f t="shared" si="25"/>
        <v>8</v>
      </c>
      <c r="M256" s="18" t="str">
        <f>INDEX(Chapter,MATCH(L256,Chapter!$A$1:$A$681,0),8)</f>
        <v>שירותים ממלכתיים</v>
      </c>
      <c r="N256" s="18" t="str">
        <f t="shared" si="26"/>
        <v>82</v>
      </c>
      <c r="O256" s="18" t="str">
        <f>INDEX(Chapter,MATCH(N256,Chapter!$A$1:$A$681,0),8)</f>
        <v>תרבות</v>
      </c>
      <c r="P256" s="18" t="str">
        <f t="shared" si="27"/>
        <v>821</v>
      </c>
      <c r="Q256" s="18" t="str">
        <f>INDEX(Chapter,MATCH(P256,Chapter!$A$1:$A$681,0),8)</f>
        <v>מינהל התרבות</v>
      </c>
      <c r="R256" s="18" t="str">
        <f t="shared" si="28"/>
        <v>8210</v>
      </c>
      <c r="S256" s="18" t="e">
        <f>INDEX(Chapter,MATCH(R256,Chapter!$A$1:$A$681,0),8)</f>
        <v>#N/A</v>
      </c>
      <c r="T256" s="18"/>
      <c r="U256" s="18" t="str">
        <f t="shared" si="29"/>
        <v>1</v>
      </c>
      <c r="V256" s="18" t="str">
        <f>IF($L256&lt;"6",INDEX(Revenue_type,MATCH(U256*1,type!$A$118:$A$168,0),8),INDEX(Expenditure_type,MATCH(U256*1,type!$A$2:$A$117,0),8))</f>
        <v>משכורות וש"ע לעובדים לפי תקן</v>
      </c>
      <c r="W256" s="18" t="str">
        <f t="shared" si="30"/>
        <v>12</v>
      </c>
      <c r="X256" s="18" t="str">
        <f>IF($L256&lt;"6",INDEX(Revenue_type,MATCH(W256*1,type!$A$118:$A$168,0),8),INDEX(Expenditure_type,MATCH(W256*1,type!$A$2:$A$117,0),8))</f>
        <v>תוספות שאינן נכללות בשכר הקובע</v>
      </c>
      <c r="Y256" s="18" t="str">
        <f t="shared" si="31"/>
        <v>120</v>
      </c>
      <c r="Z256" s="18" t="e">
        <f>IF($L256&lt;"6",INDEX(Revenue_type,MATCH(Y256*1,type!$A$118:$A$168,0),8),INDEX(Expenditure_type,MATCH(Y256*1,type!$A$2:$A$117,0),8))</f>
        <v>#N/A</v>
      </c>
    </row>
    <row r="257" spans="1:26" ht="15.75" hidden="1" customHeight="1" outlineLevel="2">
      <c r="A257">
        <v>700</v>
      </c>
      <c r="B257" s="249">
        <v>821000</v>
      </c>
      <c r="C257">
        <v>1</v>
      </c>
      <c r="D257" t="str">
        <f t="shared" si="32"/>
        <v>1821000.700</v>
      </c>
      <c r="E257" s="444" t="s">
        <v>7940</v>
      </c>
      <c r="H257" s="470">
        <v>38900</v>
      </c>
      <c r="I257" s="470">
        <v>40000</v>
      </c>
      <c r="J257" s="470">
        <v>43300</v>
      </c>
      <c r="K257" s="18"/>
      <c r="L257" s="18" t="str">
        <f t="shared" si="25"/>
        <v>8</v>
      </c>
      <c r="M257" s="18" t="str">
        <f>INDEX(Chapter,MATCH(L257,Chapter!$A$1:$A$681,0),8)</f>
        <v>שירותים ממלכתיים</v>
      </c>
      <c r="N257" s="18" t="str">
        <f t="shared" si="26"/>
        <v>82</v>
      </c>
      <c r="O257" s="18" t="str">
        <f>INDEX(Chapter,MATCH(N257,Chapter!$A$1:$A$681,0),8)</f>
        <v>תרבות</v>
      </c>
      <c r="P257" s="18" t="str">
        <f t="shared" si="27"/>
        <v>821</v>
      </c>
      <c r="Q257" s="18" t="str">
        <f>INDEX(Chapter,MATCH(P257,Chapter!$A$1:$A$681,0),8)</f>
        <v>מינהל התרבות</v>
      </c>
      <c r="R257" s="18" t="str">
        <f t="shared" si="28"/>
        <v>8210</v>
      </c>
      <c r="S257" s="18" t="e">
        <f>INDEX(Chapter,MATCH(R257,Chapter!$A$1:$A$681,0),8)</f>
        <v>#N/A</v>
      </c>
      <c r="T257" s="18"/>
      <c r="U257" s="18" t="str">
        <f t="shared" si="29"/>
        <v>7</v>
      </c>
      <c r="V257" s="18" t="str">
        <f>IF($L257&lt;"6",INDEX(Revenue_type,MATCH(U257*1,type!$A$118:$A$168,0),8),INDEX(Expenditure_type,MATCH(U257*1,type!$A$2:$A$117,0),8))</f>
        <v>הוצאות לפעולות</v>
      </c>
      <c r="W257" s="18" t="str">
        <f t="shared" si="30"/>
        <v>70</v>
      </c>
      <c r="X257" s="18" t="e">
        <f>IF($L257&lt;"6",INDEX(Revenue_type,MATCH(W257*1,type!$A$118:$A$168,0),8),INDEX(Expenditure_type,MATCH(W257*1,type!$A$2:$A$117,0),8))</f>
        <v>#N/A</v>
      </c>
      <c r="Y257" s="18" t="str">
        <f t="shared" si="31"/>
        <v>700</v>
      </c>
      <c r="Z257" s="18" t="e">
        <f>IF($L257&lt;"6",INDEX(Revenue_type,MATCH(Y257*1,type!$A$118:$A$168,0),8),INDEX(Expenditure_type,MATCH(Y257*1,type!$A$2:$A$117,0),8))</f>
        <v>#N/A</v>
      </c>
    </row>
    <row r="258" spans="1:26" ht="15.75" hidden="1" customHeight="1" outlineLevel="2">
      <c r="A258">
        <v>100</v>
      </c>
      <c r="B258" s="249">
        <v>821110</v>
      </c>
      <c r="C258">
        <v>1</v>
      </c>
      <c r="D258" t="str">
        <f t="shared" si="32"/>
        <v>1821110.100</v>
      </c>
      <c r="E258" s="444" t="s">
        <v>7941</v>
      </c>
      <c r="H258" s="470">
        <v>769800</v>
      </c>
      <c r="I258" s="470">
        <v>612800</v>
      </c>
      <c r="J258" s="470">
        <v>575900</v>
      </c>
      <c r="K258" s="18"/>
      <c r="L258" s="18" t="str">
        <f t="shared" si="25"/>
        <v>8</v>
      </c>
      <c r="M258" s="18" t="str">
        <f>INDEX(Chapter,MATCH(L258,Chapter!$A$1:$A$681,0),8)</f>
        <v>שירותים ממלכתיים</v>
      </c>
      <c r="N258" s="18" t="str">
        <f t="shared" si="26"/>
        <v>82</v>
      </c>
      <c r="O258" s="18" t="str">
        <f>INDEX(Chapter,MATCH(N258,Chapter!$A$1:$A$681,0),8)</f>
        <v>תרבות</v>
      </c>
      <c r="P258" s="18" t="str">
        <f t="shared" si="27"/>
        <v>821</v>
      </c>
      <c r="Q258" s="18" t="str">
        <f>INDEX(Chapter,MATCH(P258,Chapter!$A$1:$A$681,0),8)</f>
        <v>מינהל התרבות</v>
      </c>
      <c r="R258" s="18" t="str">
        <f t="shared" si="28"/>
        <v>8211</v>
      </c>
      <c r="S258" s="18" t="e">
        <f>INDEX(Chapter,MATCH(R258,Chapter!$A$1:$A$681,0),8)</f>
        <v>#N/A</v>
      </c>
      <c r="T258" s="18"/>
      <c r="U258" s="18" t="str">
        <f t="shared" si="29"/>
        <v>1</v>
      </c>
      <c r="V258" s="18" t="str">
        <f>IF($L258&lt;"6",INDEX(Revenue_type,MATCH(U258*1,type!$A$118:$A$168,0),8),INDEX(Expenditure_type,MATCH(U258*1,type!$A$2:$A$117,0),8))</f>
        <v>משכורות וש"ע לעובדים לפי תקן</v>
      </c>
      <c r="W258" s="18" t="str">
        <f t="shared" si="30"/>
        <v>10</v>
      </c>
      <c r="X258" s="18" t="e">
        <f>IF($L258&lt;"6",INDEX(Revenue_type,MATCH(W258*1,type!$A$118:$A$168,0),8),INDEX(Expenditure_type,MATCH(W258*1,type!$A$2:$A$117,0),8))</f>
        <v>#N/A</v>
      </c>
      <c r="Y258" s="18" t="str">
        <f t="shared" si="31"/>
        <v>100</v>
      </c>
      <c r="Z258" s="18" t="e">
        <f>IF($L258&lt;"6",INDEX(Revenue_type,MATCH(Y258*1,type!$A$118:$A$168,0),8),INDEX(Expenditure_type,MATCH(Y258*1,type!$A$2:$A$117,0),8))</f>
        <v>#N/A</v>
      </c>
    </row>
    <row r="259" spans="1:26" ht="15.75" hidden="1" customHeight="1" outlineLevel="2">
      <c r="A259">
        <v>200</v>
      </c>
      <c r="B259" s="249">
        <v>821110</v>
      </c>
      <c r="C259">
        <v>1</v>
      </c>
      <c r="D259" t="str">
        <f t="shared" si="32"/>
        <v>1821110.200</v>
      </c>
      <c r="E259" s="444" t="s">
        <v>7942</v>
      </c>
      <c r="H259" s="470">
        <v>601000</v>
      </c>
      <c r="I259" s="470">
        <v>594000</v>
      </c>
      <c r="J259" s="470">
        <v>552700</v>
      </c>
      <c r="K259" s="18"/>
      <c r="L259" s="18" t="str">
        <f t="shared" ref="L259:L322" si="33">IF(LEFT($B259,1)*1=0,LEFT($B259,2),LEFT($B259,1))</f>
        <v>8</v>
      </c>
      <c r="M259" s="18" t="str">
        <f>INDEX(Chapter,MATCH(L259,Chapter!$A$1:$A$681,0),8)</f>
        <v>שירותים ממלכתיים</v>
      </c>
      <c r="N259" s="18" t="str">
        <f t="shared" ref="N259:N322" si="34">IF(LEFT($B259,1)*1=0,LEFT($B259,3),LEFT($B259,2))</f>
        <v>82</v>
      </c>
      <c r="O259" s="18" t="str">
        <f>INDEX(Chapter,MATCH(N259,Chapter!$A$1:$A$681,0),8)</f>
        <v>תרבות</v>
      </c>
      <c r="P259" s="18" t="str">
        <f t="shared" ref="P259:P322" si="35">IF(LEFT($B259,1)*1=0,LEFT($B259,4),LEFT($B259,3))</f>
        <v>821</v>
      </c>
      <c r="Q259" s="18" t="str">
        <f>INDEX(Chapter,MATCH(P259,Chapter!$A$1:$A$681,0),8)</f>
        <v>מינהל התרבות</v>
      </c>
      <c r="R259" s="18" t="str">
        <f t="shared" ref="R259:R322" si="36">LEFT($B259,4)</f>
        <v>8211</v>
      </c>
      <c r="S259" s="18" t="e">
        <f>INDEX(Chapter,MATCH(R259,Chapter!$A$1:$A$681,0),8)</f>
        <v>#N/A</v>
      </c>
      <c r="T259" s="18"/>
      <c r="U259" s="18" t="str">
        <f t="shared" ref="U259:U322" si="37">LEFT($A259,1)</f>
        <v>2</v>
      </c>
      <c r="V259" s="18" t="str">
        <f>IF($L259&lt;"6",INDEX(Revenue_type,MATCH(U259*1,type!$A$118:$A$168,0),8),INDEX(Expenditure_type,MATCH(U259*1,type!$A$2:$A$117,0),8))</f>
        <v>משכורות וש"ע לעובדים בלי תקן</v>
      </c>
      <c r="W259" s="18" t="str">
        <f t="shared" ref="W259:W322" si="38">LEFT($A259,2)</f>
        <v>20</v>
      </c>
      <c r="X259" s="18" t="e">
        <f>IF($L259&lt;"6",INDEX(Revenue_type,MATCH(W259*1,type!$A$118:$A$168,0),8),INDEX(Expenditure_type,MATCH(W259*1,type!$A$2:$A$117,0),8))</f>
        <v>#N/A</v>
      </c>
      <c r="Y259" s="18" t="str">
        <f t="shared" ref="Y259:Y322" si="39">LEFT($A259,3)</f>
        <v>200</v>
      </c>
      <c r="Z259" s="18" t="e">
        <f>IF($L259&lt;"6",INDEX(Revenue_type,MATCH(Y259*1,type!$A$118:$A$168,0),8),INDEX(Expenditure_type,MATCH(Y259*1,type!$A$2:$A$117,0),8))</f>
        <v>#N/A</v>
      </c>
    </row>
    <row r="260" spans="1:26" ht="15.75" hidden="1" customHeight="1" outlineLevel="2">
      <c r="A260">
        <v>120</v>
      </c>
      <c r="B260" s="249">
        <v>821110</v>
      </c>
      <c r="C260">
        <v>1</v>
      </c>
      <c r="D260" t="str">
        <f t="shared" si="32"/>
        <v>1821110.120</v>
      </c>
      <c r="E260" s="444" t="s">
        <v>7943</v>
      </c>
      <c r="H260" s="470">
        <v>37200</v>
      </c>
      <c r="I260" s="470">
        <v>37200</v>
      </c>
      <c r="J260" s="470">
        <v>68300</v>
      </c>
      <c r="K260" s="18"/>
      <c r="L260" s="18" t="str">
        <f t="shared" si="33"/>
        <v>8</v>
      </c>
      <c r="M260" s="18" t="str">
        <f>INDEX(Chapter,MATCH(L260,Chapter!$A$1:$A$681,0),8)</f>
        <v>שירותים ממלכתיים</v>
      </c>
      <c r="N260" s="18" t="str">
        <f t="shared" si="34"/>
        <v>82</v>
      </c>
      <c r="O260" s="18" t="str">
        <f>INDEX(Chapter,MATCH(N260,Chapter!$A$1:$A$681,0),8)</f>
        <v>תרבות</v>
      </c>
      <c r="P260" s="18" t="str">
        <f t="shared" si="35"/>
        <v>821</v>
      </c>
      <c r="Q260" s="18" t="str">
        <f>INDEX(Chapter,MATCH(P260,Chapter!$A$1:$A$681,0),8)</f>
        <v>מינהל התרבות</v>
      </c>
      <c r="R260" s="18" t="str">
        <f t="shared" si="36"/>
        <v>8211</v>
      </c>
      <c r="S260" s="18" t="e">
        <f>INDEX(Chapter,MATCH(R260,Chapter!$A$1:$A$681,0),8)</f>
        <v>#N/A</v>
      </c>
      <c r="T260" s="18"/>
      <c r="U260" s="18" t="str">
        <f t="shared" si="37"/>
        <v>1</v>
      </c>
      <c r="V260" s="18" t="str">
        <f>IF($L260&lt;"6",INDEX(Revenue_type,MATCH(U260*1,type!$A$118:$A$168,0),8),INDEX(Expenditure_type,MATCH(U260*1,type!$A$2:$A$117,0),8))</f>
        <v>משכורות וש"ע לעובדים לפי תקן</v>
      </c>
      <c r="W260" s="18" t="str">
        <f t="shared" si="38"/>
        <v>12</v>
      </c>
      <c r="X260" s="18" t="str">
        <f>IF($L260&lt;"6",INDEX(Revenue_type,MATCH(W260*1,type!$A$118:$A$168,0),8),INDEX(Expenditure_type,MATCH(W260*1,type!$A$2:$A$117,0),8))</f>
        <v>תוספות שאינן נכללות בשכר הקובע</v>
      </c>
      <c r="Y260" s="18" t="str">
        <f t="shared" si="39"/>
        <v>120</v>
      </c>
      <c r="Z260" s="18" t="e">
        <f>IF($L260&lt;"6",INDEX(Revenue_type,MATCH(Y260*1,type!$A$118:$A$168,0),8),INDEX(Expenditure_type,MATCH(Y260*1,type!$A$2:$A$117,0),8))</f>
        <v>#N/A</v>
      </c>
    </row>
    <row r="261" spans="1:26" ht="15.75" hidden="1" customHeight="1" outlineLevel="2">
      <c r="A261">
        <v>400</v>
      </c>
      <c r="B261" s="249">
        <v>821110</v>
      </c>
      <c r="C261">
        <v>1</v>
      </c>
      <c r="D261" t="str">
        <f t="shared" si="32"/>
        <v>1821110.400</v>
      </c>
      <c r="E261" s="444" t="s">
        <v>7944</v>
      </c>
      <c r="H261" s="470">
        <v>5000</v>
      </c>
      <c r="I261" s="470">
        <v>5000</v>
      </c>
      <c r="J261" s="470">
        <v>5400</v>
      </c>
      <c r="K261" s="18"/>
      <c r="L261" s="18" t="str">
        <f t="shared" si="33"/>
        <v>8</v>
      </c>
      <c r="M261" s="18" t="str">
        <f>INDEX(Chapter,MATCH(L261,Chapter!$A$1:$A$681,0),8)</f>
        <v>שירותים ממלכתיים</v>
      </c>
      <c r="N261" s="18" t="str">
        <f t="shared" si="34"/>
        <v>82</v>
      </c>
      <c r="O261" s="18" t="str">
        <f>INDEX(Chapter,MATCH(N261,Chapter!$A$1:$A$681,0),8)</f>
        <v>תרבות</v>
      </c>
      <c r="P261" s="18" t="str">
        <f t="shared" si="35"/>
        <v>821</v>
      </c>
      <c r="Q261" s="18" t="str">
        <f>INDEX(Chapter,MATCH(P261,Chapter!$A$1:$A$681,0),8)</f>
        <v>מינהל התרבות</v>
      </c>
      <c r="R261" s="18" t="str">
        <f t="shared" si="36"/>
        <v>8211</v>
      </c>
      <c r="S261" s="18" t="e">
        <f>INDEX(Chapter,MATCH(R261,Chapter!$A$1:$A$681,0),8)</f>
        <v>#N/A</v>
      </c>
      <c r="T261" s="18"/>
      <c r="U261" s="18" t="str">
        <f t="shared" si="37"/>
        <v>4</v>
      </c>
      <c r="V261" s="18" t="str">
        <f>IF($L261&lt;"6",INDEX(Revenue_type,MATCH(U261*1,type!$A$118:$A$168,0),8),INDEX(Expenditure_type,MATCH(U261*1,type!$A$2:$A$117,0),8))</f>
        <v>אחזקת בינים ואספקת ציוד</v>
      </c>
      <c r="W261" s="18" t="str">
        <f t="shared" si="38"/>
        <v>40</v>
      </c>
      <c r="X261" s="18" t="e">
        <f>IF($L261&lt;"6",INDEX(Revenue_type,MATCH(W261*1,type!$A$118:$A$168,0),8),INDEX(Expenditure_type,MATCH(W261*1,type!$A$2:$A$117,0),8))</f>
        <v>#N/A</v>
      </c>
      <c r="Y261" s="18" t="str">
        <f t="shared" si="39"/>
        <v>400</v>
      </c>
      <c r="Z261" s="18" t="e">
        <f>IF($L261&lt;"6",INDEX(Revenue_type,MATCH(Y261*1,type!$A$118:$A$168,0),8),INDEX(Expenditure_type,MATCH(Y261*1,type!$A$2:$A$117,0),8))</f>
        <v>#N/A</v>
      </c>
    </row>
    <row r="262" spans="1:26" ht="15.75" hidden="1" customHeight="1" outlineLevel="2">
      <c r="A262">
        <v>500</v>
      </c>
      <c r="B262" s="249">
        <v>821110</v>
      </c>
      <c r="C262">
        <v>1</v>
      </c>
      <c r="D262" t="str">
        <f t="shared" si="32"/>
        <v>1821110.500</v>
      </c>
      <c r="E262" s="444" t="s">
        <v>7945</v>
      </c>
      <c r="H262" s="470">
        <v>141700</v>
      </c>
      <c r="I262" s="470">
        <v>155000</v>
      </c>
      <c r="J262" s="470">
        <v>139500</v>
      </c>
      <c r="K262" s="18"/>
      <c r="L262" s="18" t="str">
        <f t="shared" si="33"/>
        <v>8</v>
      </c>
      <c r="M262" s="18" t="str">
        <f>INDEX(Chapter,MATCH(L262,Chapter!$A$1:$A$681,0),8)</f>
        <v>שירותים ממלכתיים</v>
      </c>
      <c r="N262" s="18" t="str">
        <f t="shared" si="34"/>
        <v>82</v>
      </c>
      <c r="O262" s="18" t="str">
        <f>INDEX(Chapter,MATCH(N262,Chapter!$A$1:$A$681,0),8)</f>
        <v>תרבות</v>
      </c>
      <c r="P262" s="18" t="str">
        <f t="shared" si="35"/>
        <v>821</v>
      </c>
      <c r="Q262" s="18" t="str">
        <f>INDEX(Chapter,MATCH(P262,Chapter!$A$1:$A$681,0),8)</f>
        <v>מינהל התרבות</v>
      </c>
      <c r="R262" s="18" t="str">
        <f t="shared" si="36"/>
        <v>8211</v>
      </c>
      <c r="S262" s="18" t="e">
        <f>INDEX(Chapter,MATCH(R262,Chapter!$A$1:$A$681,0),8)</f>
        <v>#N/A</v>
      </c>
      <c r="T262" s="18"/>
      <c r="U262" s="18" t="str">
        <f t="shared" si="37"/>
        <v>5</v>
      </c>
      <c r="V262" s="18" t="str">
        <f>IF($L262&lt;"6",INDEX(Revenue_type,MATCH(U262*1,type!$A$118:$A$168,0),8),INDEX(Expenditure_type,MATCH(U262*1,type!$A$2:$A$117,0),8))</f>
        <v>הוצאות מנהליות</v>
      </c>
      <c r="W262" s="18" t="str">
        <f t="shared" si="38"/>
        <v>50</v>
      </c>
      <c r="X262" s="18" t="e">
        <f>IF($L262&lt;"6",INDEX(Revenue_type,MATCH(W262*1,type!$A$118:$A$168,0),8),INDEX(Expenditure_type,MATCH(W262*1,type!$A$2:$A$117,0),8))</f>
        <v>#N/A</v>
      </c>
      <c r="Y262" s="18" t="str">
        <f t="shared" si="39"/>
        <v>500</v>
      </c>
      <c r="Z262" s="18" t="e">
        <f>IF($L262&lt;"6",INDEX(Revenue_type,MATCH(Y262*1,type!$A$118:$A$168,0),8),INDEX(Expenditure_type,MATCH(Y262*1,type!$A$2:$A$117,0),8))</f>
        <v>#N/A</v>
      </c>
    </row>
    <row r="263" spans="1:26" ht="15.75" hidden="1" customHeight="1" outlineLevel="2">
      <c r="A263">
        <v>500</v>
      </c>
      <c r="B263" s="249">
        <v>821110</v>
      </c>
      <c r="C263">
        <v>1</v>
      </c>
      <c r="D263" t="str">
        <f t="shared" si="32"/>
        <v>1821110.500</v>
      </c>
      <c r="E263" s="444" t="s">
        <v>7946</v>
      </c>
      <c r="H263" s="470">
        <v>1600</v>
      </c>
      <c r="I263" s="470">
        <v>2100</v>
      </c>
      <c r="J263" s="470">
        <v>300</v>
      </c>
      <c r="K263" s="18"/>
      <c r="L263" s="18" t="str">
        <f t="shared" si="33"/>
        <v>8</v>
      </c>
      <c r="M263" s="18" t="str">
        <f>INDEX(Chapter,MATCH(L263,Chapter!$A$1:$A$681,0),8)</f>
        <v>שירותים ממלכתיים</v>
      </c>
      <c r="N263" s="18" t="str">
        <f t="shared" si="34"/>
        <v>82</v>
      </c>
      <c r="O263" s="18" t="str">
        <f>INDEX(Chapter,MATCH(N263,Chapter!$A$1:$A$681,0),8)</f>
        <v>תרבות</v>
      </c>
      <c r="P263" s="18" t="str">
        <f t="shared" si="35"/>
        <v>821</v>
      </c>
      <c r="Q263" s="18" t="str">
        <f>INDEX(Chapter,MATCH(P263,Chapter!$A$1:$A$681,0),8)</f>
        <v>מינהל התרבות</v>
      </c>
      <c r="R263" s="18" t="str">
        <f t="shared" si="36"/>
        <v>8211</v>
      </c>
      <c r="S263" s="18" t="e">
        <f>INDEX(Chapter,MATCH(R263,Chapter!$A$1:$A$681,0),8)</f>
        <v>#N/A</v>
      </c>
      <c r="T263" s="18"/>
      <c r="U263" s="18" t="str">
        <f t="shared" si="37"/>
        <v>5</v>
      </c>
      <c r="V263" s="18" t="str">
        <f>IF($L263&lt;"6",INDEX(Revenue_type,MATCH(U263*1,type!$A$118:$A$168,0),8),INDEX(Expenditure_type,MATCH(U263*1,type!$A$2:$A$117,0),8))</f>
        <v>הוצאות מנהליות</v>
      </c>
      <c r="W263" s="18" t="str">
        <f t="shared" si="38"/>
        <v>50</v>
      </c>
      <c r="X263" s="18" t="e">
        <f>IF($L263&lt;"6",INDEX(Revenue_type,MATCH(W263*1,type!$A$118:$A$168,0),8),INDEX(Expenditure_type,MATCH(W263*1,type!$A$2:$A$117,0),8))</f>
        <v>#N/A</v>
      </c>
      <c r="Y263" s="18" t="str">
        <f t="shared" si="39"/>
        <v>500</v>
      </c>
      <c r="Z263" s="18" t="e">
        <f>IF($L263&lt;"6",INDEX(Revenue_type,MATCH(Y263*1,type!$A$118:$A$168,0),8),INDEX(Expenditure_type,MATCH(Y263*1,type!$A$2:$A$117,0),8))</f>
        <v>#N/A</v>
      </c>
    </row>
    <row r="264" spans="1:26" ht="15.75" hidden="1" customHeight="1" outlineLevel="2">
      <c r="A264">
        <v>700</v>
      </c>
      <c r="B264" s="249">
        <v>821110</v>
      </c>
      <c r="C264">
        <v>1</v>
      </c>
      <c r="D264" t="str">
        <f t="shared" si="32"/>
        <v>1821110.700</v>
      </c>
      <c r="E264" s="444" t="s">
        <v>7947</v>
      </c>
      <c r="H264" s="470">
        <v>659500</v>
      </c>
      <c r="I264" s="470">
        <v>669500</v>
      </c>
      <c r="J264" s="470">
        <v>871200</v>
      </c>
      <c r="K264" s="18"/>
      <c r="L264" s="18" t="str">
        <f t="shared" si="33"/>
        <v>8</v>
      </c>
      <c r="M264" s="18" t="str">
        <f>INDEX(Chapter,MATCH(L264,Chapter!$A$1:$A$681,0),8)</f>
        <v>שירותים ממלכתיים</v>
      </c>
      <c r="N264" s="18" t="str">
        <f t="shared" si="34"/>
        <v>82</v>
      </c>
      <c r="O264" s="18" t="str">
        <f>INDEX(Chapter,MATCH(N264,Chapter!$A$1:$A$681,0),8)</f>
        <v>תרבות</v>
      </c>
      <c r="P264" s="18" t="str">
        <f t="shared" si="35"/>
        <v>821</v>
      </c>
      <c r="Q264" s="18" t="str">
        <f>INDEX(Chapter,MATCH(P264,Chapter!$A$1:$A$681,0),8)</f>
        <v>מינהל התרבות</v>
      </c>
      <c r="R264" s="18" t="str">
        <f t="shared" si="36"/>
        <v>8211</v>
      </c>
      <c r="S264" s="18" t="e">
        <f>INDEX(Chapter,MATCH(R264,Chapter!$A$1:$A$681,0),8)</f>
        <v>#N/A</v>
      </c>
      <c r="T264" s="18"/>
      <c r="U264" s="18" t="str">
        <f t="shared" si="37"/>
        <v>7</v>
      </c>
      <c r="V264" s="18" t="str">
        <f>IF($L264&lt;"6",INDEX(Revenue_type,MATCH(U264*1,type!$A$118:$A$168,0),8),INDEX(Expenditure_type,MATCH(U264*1,type!$A$2:$A$117,0),8))</f>
        <v>הוצאות לפעולות</v>
      </c>
      <c r="W264" s="18" t="str">
        <f t="shared" si="38"/>
        <v>70</v>
      </c>
      <c r="X264" s="18" t="e">
        <f>IF($L264&lt;"6",INDEX(Revenue_type,MATCH(W264*1,type!$A$118:$A$168,0),8),INDEX(Expenditure_type,MATCH(W264*1,type!$A$2:$A$117,0),8))</f>
        <v>#N/A</v>
      </c>
      <c r="Y264" s="18" t="str">
        <f t="shared" si="39"/>
        <v>700</v>
      </c>
      <c r="Z264" s="18" t="e">
        <f>IF($L264&lt;"6",INDEX(Revenue_type,MATCH(Y264*1,type!$A$118:$A$168,0),8),INDEX(Expenditure_type,MATCH(Y264*1,type!$A$2:$A$117,0),8))</f>
        <v>#N/A</v>
      </c>
    </row>
    <row r="265" spans="1:26" ht="15.75" hidden="1" customHeight="1" outlineLevel="2">
      <c r="A265">
        <v>100</v>
      </c>
      <c r="B265" s="249">
        <v>822220</v>
      </c>
      <c r="C265">
        <v>1</v>
      </c>
      <c r="D265" t="str">
        <f t="shared" si="32"/>
        <v>1822220.100</v>
      </c>
      <c r="E265" s="444" t="s">
        <v>7948</v>
      </c>
      <c r="H265" s="470">
        <v>272000</v>
      </c>
      <c r="I265" s="470">
        <v>269000</v>
      </c>
      <c r="J265" s="470">
        <v>352200</v>
      </c>
      <c r="K265" s="18"/>
      <c r="L265" s="18" t="str">
        <f t="shared" si="33"/>
        <v>8</v>
      </c>
      <c r="M265" s="18" t="str">
        <f>INDEX(Chapter,MATCH(L265,Chapter!$A$1:$A$681,0),8)</f>
        <v>שירותים ממלכתיים</v>
      </c>
      <c r="N265" s="18" t="str">
        <f t="shared" si="34"/>
        <v>82</v>
      </c>
      <c r="O265" s="18" t="str">
        <f>INDEX(Chapter,MATCH(N265,Chapter!$A$1:$A$681,0),8)</f>
        <v>תרבות</v>
      </c>
      <c r="P265" s="18" t="str">
        <f t="shared" si="35"/>
        <v>822</v>
      </c>
      <c r="Q265" s="18" t="str">
        <f>INDEX(Chapter,MATCH(P265,Chapter!$A$1:$A$681,0),8)</f>
        <v>פעולות תרבות</v>
      </c>
      <c r="R265" s="18" t="str">
        <f t="shared" si="36"/>
        <v>8222</v>
      </c>
      <c r="S265" s="18" t="e">
        <f>INDEX(Chapter,MATCH(R265,Chapter!$A$1:$A$681,0),8)</f>
        <v>#N/A</v>
      </c>
      <c r="T265" s="18"/>
      <c r="U265" s="18" t="str">
        <f t="shared" si="37"/>
        <v>1</v>
      </c>
      <c r="V265" s="18" t="str">
        <f>IF($L265&lt;"6",INDEX(Revenue_type,MATCH(U265*1,type!$A$118:$A$168,0),8),INDEX(Expenditure_type,MATCH(U265*1,type!$A$2:$A$117,0),8))</f>
        <v>משכורות וש"ע לעובדים לפי תקן</v>
      </c>
      <c r="W265" s="18" t="str">
        <f t="shared" si="38"/>
        <v>10</v>
      </c>
      <c r="X265" s="18" t="e">
        <f>IF($L265&lt;"6",INDEX(Revenue_type,MATCH(W265*1,type!$A$118:$A$168,0),8),INDEX(Expenditure_type,MATCH(W265*1,type!$A$2:$A$117,0),8))</f>
        <v>#N/A</v>
      </c>
      <c r="Y265" s="18" t="str">
        <f t="shared" si="39"/>
        <v>100</v>
      </c>
      <c r="Z265" s="18" t="e">
        <f>IF($L265&lt;"6",INDEX(Revenue_type,MATCH(Y265*1,type!$A$118:$A$168,0),8),INDEX(Expenditure_type,MATCH(Y265*1,type!$A$2:$A$117,0),8))</f>
        <v>#N/A</v>
      </c>
    </row>
    <row r="266" spans="1:26" ht="15.75" hidden="1" customHeight="1" outlineLevel="2">
      <c r="A266">
        <v>200</v>
      </c>
      <c r="B266" s="249">
        <v>822220</v>
      </c>
      <c r="C266">
        <v>1</v>
      </c>
      <c r="D266" t="str">
        <f t="shared" si="32"/>
        <v>1822220.200</v>
      </c>
      <c r="E266" s="444" t="s">
        <v>7949</v>
      </c>
      <c r="H266" s="470">
        <v>99000</v>
      </c>
      <c r="I266" s="470">
        <v>98000</v>
      </c>
      <c r="J266" s="470">
        <v>131300</v>
      </c>
      <c r="K266" s="18"/>
      <c r="L266" s="18" t="str">
        <f t="shared" si="33"/>
        <v>8</v>
      </c>
      <c r="M266" s="18" t="str">
        <f>INDEX(Chapter,MATCH(L266,Chapter!$A$1:$A$681,0),8)</f>
        <v>שירותים ממלכתיים</v>
      </c>
      <c r="N266" s="18" t="str">
        <f t="shared" si="34"/>
        <v>82</v>
      </c>
      <c r="O266" s="18" t="str">
        <f>INDEX(Chapter,MATCH(N266,Chapter!$A$1:$A$681,0),8)</f>
        <v>תרבות</v>
      </c>
      <c r="P266" s="18" t="str">
        <f t="shared" si="35"/>
        <v>822</v>
      </c>
      <c r="Q266" s="18" t="str">
        <f>INDEX(Chapter,MATCH(P266,Chapter!$A$1:$A$681,0),8)</f>
        <v>פעולות תרבות</v>
      </c>
      <c r="R266" s="18" t="str">
        <f t="shared" si="36"/>
        <v>8222</v>
      </c>
      <c r="S266" s="18" t="e">
        <f>INDEX(Chapter,MATCH(R266,Chapter!$A$1:$A$681,0),8)</f>
        <v>#N/A</v>
      </c>
      <c r="T266" s="18"/>
      <c r="U266" s="18" t="str">
        <f t="shared" si="37"/>
        <v>2</v>
      </c>
      <c r="V266" s="18" t="str">
        <f>IF($L266&lt;"6",INDEX(Revenue_type,MATCH(U266*1,type!$A$118:$A$168,0),8),INDEX(Expenditure_type,MATCH(U266*1,type!$A$2:$A$117,0),8))</f>
        <v>משכורות וש"ע לעובדים בלי תקן</v>
      </c>
      <c r="W266" s="18" t="str">
        <f t="shared" si="38"/>
        <v>20</v>
      </c>
      <c r="X266" s="18" t="e">
        <f>IF($L266&lt;"6",INDEX(Revenue_type,MATCH(W266*1,type!$A$118:$A$168,0),8),INDEX(Expenditure_type,MATCH(W266*1,type!$A$2:$A$117,0),8))</f>
        <v>#N/A</v>
      </c>
      <c r="Y266" s="18" t="str">
        <f t="shared" si="39"/>
        <v>200</v>
      </c>
      <c r="Z266" s="18" t="e">
        <f>IF($L266&lt;"6",INDEX(Revenue_type,MATCH(Y266*1,type!$A$118:$A$168,0),8),INDEX(Expenditure_type,MATCH(Y266*1,type!$A$2:$A$117,0),8))</f>
        <v>#N/A</v>
      </c>
    </row>
    <row r="267" spans="1:26" ht="15.75" hidden="1" customHeight="1" outlineLevel="2">
      <c r="A267">
        <v>120</v>
      </c>
      <c r="B267" s="249">
        <v>822220</v>
      </c>
      <c r="C267">
        <v>1</v>
      </c>
      <c r="D267" t="str">
        <f t="shared" si="32"/>
        <v>1822220.120</v>
      </c>
      <c r="E267" s="444" t="s">
        <v>7950</v>
      </c>
      <c r="H267" s="470">
        <v>0</v>
      </c>
      <c r="I267" s="470">
        <v>0</v>
      </c>
      <c r="J267" s="470">
        <v>15600</v>
      </c>
      <c r="K267" s="18"/>
      <c r="L267" s="18" t="str">
        <f t="shared" si="33"/>
        <v>8</v>
      </c>
      <c r="M267" s="18" t="str">
        <f>INDEX(Chapter,MATCH(L267,Chapter!$A$1:$A$681,0),8)</f>
        <v>שירותים ממלכתיים</v>
      </c>
      <c r="N267" s="18" t="str">
        <f t="shared" si="34"/>
        <v>82</v>
      </c>
      <c r="O267" s="18" t="str">
        <f>INDEX(Chapter,MATCH(N267,Chapter!$A$1:$A$681,0),8)</f>
        <v>תרבות</v>
      </c>
      <c r="P267" s="18" t="str">
        <f t="shared" si="35"/>
        <v>822</v>
      </c>
      <c r="Q267" s="18" t="str">
        <f>INDEX(Chapter,MATCH(P267,Chapter!$A$1:$A$681,0),8)</f>
        <v>פעולות תרבות</v>
      </c>
      <c r="R267" s="18" t="str">
        <f t="shared" si="36"/>
        <v>8222</v>
      </c>
      <c r="S267" s="18" t="e">
        <f>INDEX(Chapter,MATCH(R267,Chapter!$A$1:$A$681,0),8)</f>
        <v>#N/A</v>
      </c>
      <c r="T267" s="18"/>
      <c r="U267" s="18" t="str">
        <f t="shared" si="37"/>
        <v>1</v>
      </c>
      <c r="V267" s="18" t="str">
        <f>IF($L267&lt;"6",INDEX(Revenue_type,MATCH(U267*1,type!$A$118:$A$168,0),8),INDEX(Expenditure_type,MATCH(U267*1,type!$A$2:$A$117,0),8))</f>
        <v>משכורות וש"ע לעובדים לפי תקן</v>
      </c>
      <c r="W267" s="18" t="str">
        <f t="shared" si="38"/>
        <v>12</v>
      </c>
      <c r="X267" s="18" t="str">
        <f>IF($L267&lt;"6",INDEX(Revenue_type,MATCH(W267*1,type!$A$118:$A$168,0),8),INDEX(Expenditure_type,MATCH(W267*1,type!$A$2:$A$117,0),8))</f>
        <v>תוספות שאינן נכללות בשכר הקובע</v>
      </c>
      <c r="Y267" s="18" t="str">
        <f t="shared" si="39"/>
        <v>120</v>
      </c>
      <c r="Z267" s="18" t="e">
        <f>IF($L267&lt;"6",INDEX(Revenue_type,MATCH(Y267*1,type!$A$118:$A$168,0),8),INDEX(Expenditure_type,MATCH(Y267*1,type!$A$2:$A$117,0),8))</f>
        <v>#N/A</v>
      </c>
    </row>
    <row r="268" spans="1:26" ht="15.75" hidden="1" customHeight="1" outlineLevel="2">
      <c r="A268">
        <v>400</v>
      </c>
      <c r="B268" s="249">
        <v>822220</v>
      </c>
      <c r="C268">
        <v>1</v>
      </c>
      <c r="D268" t="str">
        <f t="shared" si="32"/>
        <v>1822220.400</v>
      </c>
      <c r="E268" s="444" t="s">
        <v>7951</v>
      </c>
      <c r="H268" s="470">
        <v>7500</v>
      </c>
      <c r="I268" s="470">
        <v>7500</v>
      </c>
      <c r="J268" s="470">
        <v>9000</v>
      </c>
      <c r="K268" s="18"/>
      <c r="L268" s="18" t="str">
        <f t="shared" si="33"/>
        <v>8</v>
      </c>
      <c r="M268" s="18" t="str">
        <f>INDEX(Chapter,MATCH(L268,Chapter!$A$1:$A$681,0),8)</f>
        <v>שירותים ממלכתיים</v>
      </c>
      <c r="N268" s="18" t="str">
        <f t="shared" si="34"/>
        <v>82</v>
      </c>
      <c r="O268" s="18" t="str">
        <f>INDEX(Chapter,MATCH(N268,Chapter!$A$1:$A$681,0),8)</f>
        <v>תרבות</v>
      </c>
      <c r="P268" s="18" t="str">
        <f t="shared" si="35"/>
        <v>822</v>
      </c>
      <c r="Q268" s="18" t="str">
        <f>INDEX(Chapter,MATCH(P268,Chapter!$A$1:$A$681,0),8)</f>
        <v>פעולות תרבות</v>
      </c>
      <c r="R268" s="18" t="str">
        <f t="shared" si="36"/>
        <v>8222</v>
      </c>
      <c r="S268" s="18" t="e">
        <f>INDEX(Chapter,MATCH(R268,Chapter!$A$1:$A$681,0),8)</f>
        <v>#N/A</v>
      </c>
      <c r="T268" s="18"/>
      <c r="U268" s="18" t="str">
        <f t="shared" si="37"/>
        <v>4</v>
      </c>
      <c r="V268" s="18" t="str">
        <f>IF($L268&lt;"6",INDEX(Revenue_type,MATCH(U268*1,type!$A$118:$A$168,0),8),INDEX(Expenditure_type,MATCH(U268*1,type!$A$2:$A$117,0),8))</f>
        <v>אחזקת בינים ואספקת ציוד</v>
      </c>
      <c r="W268" s="18" t="str">
        <f t="shared" si="38"/>
        <v>40</v>
      </c>
      <c r="X268" s="18" t="e">
        <f>IF($L268&lt;"6",INDEX(Revenue_type,MATCH(W268*1,type!$A$118:$A$168,0),8),INDEX(Expenditure_type,MATCH(W268*1,type!$A$2:$A$117,0),8))</f>
        <v>#N/A</v>
      </c>
      <c r="Y268" s="18" t="str">
        <f t="shared" si="39"/>
        <v>400</v>
      </c>
      <c r="Z268" s="18" t="e">
        <f>IF($L268&lt;"6",INDEX(Revenue_type,MATCH(Y268*1,type!$A$118:$A$168,0),8),INDEX(Expenditure_type,MATCH(Y268*1,type!$A$2:$A$117,0),8))</f>
        <v>#N/A</v>
      </c>
    </row>
    <row r="269" spans="1:26" ht="15.75" hidden="1" customHeight="1" outlineLevel="2">
      <c r="A269">
        <v>500</v>
      </c>
      <c r="B269" s="249">
        <v>822220</v>
      </c>
      <c r="C269">
        <v>1</v>
      </c>
      <c r="D269" t="str">
        <f t="shared" si="32"/>
        <v>1822220.500</v>
      </c>
      <c r="E269" s="444" t="s">
        <v>7952</v>
      </c>
      <c r="H269" s="470">
        <v>8000</v>
      </c>
      <c r="I269" s="470">
        <v>8000</v>
      </c>
      <c r="J269" s="470">
        <v>7500</v>
      </c>
      <c r="K269" s="18"/>
      <c r="L269" s="18" t="str">
        <f t="shared" si="33"/>
        <v>8</v>
      </c>
      <c r="M269" s="18" t="str">
        <f>INDEX(Chapter,MATCH(L269,Chapter!$A$1:$A$681,0),8)</f>
        <v>שירותים ממלכתיים</v>
      </c>
      <c r="N269" s="18" t="str">
        <f t="shared" si="34"/>
        <v>82</v>
      </c>
      <c r="O269" s="18" t="str">
        <f>INDEX(Chapter,MATCH(N269,Chapter!$A$1:$A$681,0),8)</f>
        <v>תרבות</v>
      </c>
      <c r="P269" s="18" t="str">
        <f t="shared" si="35"/>
        <v>822</v>
      </c>
      <c r="Q269" s="18" t="str">
        <f>INDEX(Chapter,MATCH(P269,Chapter!$A$1:$A$681,0),8)</f>
        <v>פעולות תרבות</v>
      </c>
      <c r="R269" s="18" t="str">
        <f t="shared" si="36"/>
        <v>8222</v>
      </c>
      <c r="S269" s="18" t="e">
        <f>INDEX(Chapter,MATCH(R269,Chapter!$A$1:$A$681,0),8)</f>
        <v>#N/A</v>
      </c>
      <c r="T269" s="18"/>
      <c r="U269" s="18" t="str">
        <f t="shared" si="37"/>
        <v>5</v>
      </c>
      <c r="V269" s="18" t="str">
        <f>IF($L269&lt;"6",INDEX(Revenue_type,MATCH(U269*1,type!$A$118:$A$168,0),8),INDEX(Expenditure_type,MATCH(U269*1,type!$A$2:$A$117,0),8))</f>
        <v>הוצאות מנהליות</v>
      </c>
      <c r="W269" s="18" t="str">
        <f t="shared" si="38"/>
        <v>50</v>
      </c>
      <c r="X269" s="18" t="e">
        <f>IF($L269&lt;"6",INDEX(Revenue_type,MATCH(W269*1,type!$A$118:$A$168,0),8),INDEX(Expenditure_type,MATCH(W269*1,type!$A$2:$A$117,0),8))</f>
        <v>#N/A</v>
      </c>
      <c r="Y269" s="18" t="str">
        <f t="shared" si="39"/>
        <v>500</v>
      </c>
      <c r="Z269" s="18" t="e">
        <f>IF($L269&lt;"6",INDEX(Revenue_type,MATCH(Y269*1,type!$A$118:$A$168,0),8),INDEX(Expenditure_type,MATCH(Y269*1,type!$A$2:$A$117,0),8))</f>
        <v>#N/A</v>
      </c>
    </row>
    <row r="270" spans="1:26" ht="15.75" hidden="1" customHeight="1" outlineLevel="2">
      <c r="A270">
        <v>500</v>
      </c>
      <c r="B270" s="249">
        <v>822220</v>
      </c>
      <c r="C270">
        <v>1</v>
      </c>
      <c r="D270" t="str">
        <f t="shared" si="32"/>
        <v>1822220.500</v>
      </c>
      <c r="E270" s="444" t="s">
        <v>7953</v>
      </c>
      <c r="H270" s="470">
        <v>1451600</v>
      </c>
      <c r="I270" s="470">
        <v>1525000</v>
      </c>
      <c r="J270" s="470">
        <v>1239800</v>
      </c>
      <c r="K270" s="18"/>
      <c r="L270" s="18" t="str">
        <f t="shared" si="33"/>
        <v>8</v>
      </c>
      <c r="M270" s="18" t="str">
        <f>INDEX(Chapter,MATCH(L270,Chapter!$A$1:$A$681,0),8)</f>
        <v>שירותים ממלכתיים</v>
      </c>
      <c r="N270" s="18" t="str">
        <f t="shared" si="34"/>
        <v>82</v>
      </c>
      <c r="O270" s="18" t="str">
        <f>INDEX(Chapter,MATCH(N270,Chapter!$A$1:$A$681,0),8)</f>
        <v>תרבות</v>
      </c>
      <c r="P270" s="18" t="str">
        <f t="shared" si="35"/>
        <v>822</v>
      </c>
      <c r="Q270" s="18" t="str">
        <f>INDEX(Chapter,MATCH(P270,Chapter!$A$1:$A$681,0),8)</f>
        <v>פעולות תרבות</v>
      </c>
      <c r="R270" s="18" t="str">
        <f t="shared" si="36"/>
        <v>8222</v>
      </c>
      <c r="S270" s="18" t="e">
        <f>INDEX(Chapter,MATCH(R270,Chapter!$A$1:$A$681,0),8)</f>
        <v>#N/A</v>
      </c>
      <c r="T270" s="18"/>
      <c r="U270" s="18" t="str">
        <f t="shared" si="37"/>
        <v>5</v>
      </c>
      <c r="V270" s="18" t="str">
        <f>IF($L270&lt;"6",INDEX(Revenue_type,MATCH(U270*1,type!$A$118:$A$168,0),8),INDEX(Expenditure_type,MATCH(U270*1,type!$A$2:$A$117,0),8))</f>
        <v>הוצאות מנהליות</v>
      </c>
      <c r="W270" s="18" t="str">
        <f t="shared" si="38"/>
        <v>50</v>
      </c>
      <c r="X270" s="18" t="e">
        <f>IF($L270&lt;"6",INDEX(Revenue_type,MATCH(W270*1,type!$A$118:$A$168,0),8),INDEX(Expenditure_type,MATCH(W270*1,type!$A$2:$A$117,0),8))</f>
        <v>#N/A</v>
      </c>
      <c r="Y270" s="18" t="str">
        <f t="shared" si="39"/>
        <v>500</v>
      </c>
      <c r="Z270" s="18" t="e">
        <f>IF($L270&lt;"6",INDEX(Revenue_type,MATCH(Y270*1,type!$A$118:$A$168,0),8),INDEX(Expenditure_type,MATCH(Y270*1,type!$A$2:$A$117,0),8))</f>
        <v>#N/A</v>
      </c>
    </row>
    <row r="271" spans="1:26" ht="15.75" hidden="1" customHeight="1" outlineLevel="2">
      <c r="A271">
        <v>700</v>
      </c>
      <c r="B271" s="249">
        <v>822220</v>
      </c>
      <c r="C271">
        <v>1</v>
      </c>
      <c r="D271" t="str">
        <f t="shared" si="32"/>
        <v>1822220.700</v>
      </c>
      <c r="E271" s="444" t="s">
        <v>7954</v>
      </c>
      <c r="H271" s="470">
        <v>9500</v>
      </c>
      <c r="I271" s="470">
        <v>9500</v>
      </c>
      <c r="J271" s="470">
        <v>6400</v>
      </c>
      <c r="K271" s="18"/>
      <c r="L271" s="18" t="str">
        <f t="shared" si="33"/>
        <v>8</v>
      </c>
      <c r="M271" s="18" t="str">
        <f>INDEX(Chapter,MATCH(L271,Chapter!$A$1:$A$681,0),8)</f>
        <v>שירותים ממלכתיים</v>
      </c>
      <c r="N271" s="18" t="str">
        <f t="shared" si="34"/>
        <v>82</v>
      </c>
      <c r="O271" s="18" t="str">
        <f>INDEX(Chapter,MATCH(N271,Chapter!$A$1:$A$681,0),8)</f>
        <v>תרבות</v>
      </c>
      <c r="P271" s="18" t="str">
        <f t="shared" si="35"/>
        <v>822</v>
      </c>
      <c r="Q271" s="18" t="str">
        <f>INDEX(Chapter,MATCH(P271,Chapter!$A$1:$A$681,0),8)</f>
        <v>פעולות תרבות</v>
      </c>
      <c r="R271" s="18" t="str">
        <f t="shared" si="36"/>
        <v>8222</v>
      </c>
      <c r="S271" s="18" t="e">
        <f>INDEX(Chapter,MATCH(R271,Chapter!$A$1:$A$681,0),8)</f>
        <v>#N/A</v>
      </c>
      <c r="T271" s="18"/>
      <c r="U271" s="18" t="str">
        <f t="shared" si="37"/>
        <v>7</v>
      </c>
      <c r="V271" s="18" t="str">
        <f>IF($L271&lt;"6",INDEX(Revenue_type,MATCH(U271*1,type!$A$118:$A$168,0),8),INDEX(Expenditure_type,MATCH(U271*1,type!$A$2:$A$117,0),8))</f>
        <v>הוצאות לפעולות</v>
      </c>
      <c r="W271" s="18" t="str">
        <f t="shared" si="38"/>
        <v>70</v>
      </c>
      <c r="X271" s="18" t="e">
        <f>IF($L271&lt;"6",INDEX(Revenue_type,MATCH(W271*1,type!$A$118:$A$168,0),8),INDEX(Expenditure_type,MATCH(W271*1,type!$A$2:$A$117,0),8))</f>
        <v>#N/A</v>
      </c>
      <c r="Y271" s="18" t="str">
        <f t="shared" si="39"/>
        <v>700</v>
      </c>
      <c r="Z271" s="18" t="e">
        <f>IF($L271&lt;"6",INDEX(Revenue_type,MATCH(Y271*1,type!$A$118:$A$168,0),8),INDEX(Expenditure_type,MATCH(Y271*1,type!$A$2:$A$117,0),8))</f>
        <v>#N/A</v>
      </c>
    </row>
    <row r="272" spans="1:26" ht="15.75" hidden="1" customHeight="1" outlineLevel="2">
      <c r="A272">
        <v>700</v>
      </c>
      <c r="B272" s="249">
        <v>822247</v>
      </c>
      <c r="C272">
        <v>1</v>
      </c>
      <c r="D272" t="str">
        <f t="shared" si="32"/>
        <v>1822247.700</v>
      </c>
      <c r="E272" s="444" t="s">
        <v>7955</v>
      </c>
      <c r="H272" s="470">
        <v>38900</v>
      </c>
      <c r="I272" s="470">
        <v>40000</v>
      </c>
      <c r="J272" s="470">
        <v>58700</v>
      </c>
      <c r="K272" s="18"/>
      <c r="L272" s="18" t="str">
        <f t="shared" si="33"/>
        <v>8</v>
      </c>
      <c r="M272" s="18" t="str">
        <f>INDEX(Chapter,MATCH(L272,Chapter!$A$1:$A$681,0),8)</f>
        <v>שירותים ממלכתיים</v>
      </c>
      <c r="N272" s="18" t="str">
        <f t="shared" si="34"/>
        <v>82</v>
      </c>
      <c r="O272" s="18" t="str">
        <f>INDEX(Chapter,MATCH(N272,Chapter!$A$1:$A$681,0),8)</f>
        <v>תרבות</v>
      </c>
      <c r="P272" s="18" t="str">
        <f t="shared" si="35"/>
        <v>822</v>
      </c>
      <c r="Q272" s="18" t="str">
        <f>INDEX(Chapter,MATCH(P272,Chapter!$A$1:$A$681,0),8)</f>
        <v>פעולות תרבות</v>
      </c>
      <c r="R272" s="18" t="str">
        <f t="shared" si="36"/>
        <v>8222</v>
      </c>
      <c r="S272" s="18" t="e">
        <f>INDEX(Chapter,MATCH(R272,Chapter!$A$1:$A$681,0),8)</f>
        <v>#N/A</v>
      </c>
      <c r="T272" s="18"/>
      <c r="U272" s="18" t="str">
        <f t="shared" si="37"/>
        <v>7</v>
      </c>
      <c r="V272" s="18" t="str">
        <f>IF($L272&lt;"6",INDEX(Revenue_type,MATCH(U272*1,type!$A$118:$A$168,0),8),INDEX(Expenditure_type,MATCH(U272*1,type!$A$2:$A$117,0),8))</f>
        <v>הוצאות לפעולות</v>
      </c>
      <c r="W272" s="18" t="str">
        <f t="shared" si="38"/>
        <v>70</v>
      </c>
      <c r="X272" s="18" t="e">
        <f>IF($L272&lt;"6",INDEX(Revenue_type,MATCH(W272*1,type!$A$118:$A$168,0),8),INDEX(Expenditure_type,MATCH(W272*1,type!$A$2:$A$117,0),8))</f>
        <v>#N/A</v>
      </c>
      <c r="Y272" s="18" t="str">
        <f t="shared" si="39"/>
        <v>700</v>
      </c>
      <c r="Z272" s="18" t="e">
        <f>IF($L272&lt;"6",INDEX(Revenue_type,MATCH(Y272*1,type!$A$118:$A$168,0),8),INDEX(Expenditure_type,MATCH(Y272*1,type!$A$2:$A$117,0),8))</f>
        <v>#N/A</v>
      </c>
    </row>
    <row r="273" spans="1:26" ht="15.75" hidden="1" customHeight="1" outlineLevel="2">
      <c r="A273">
        <v>400</v>
      </c>
      <c r="B273" s="249">
        <v>825320</v>
      </c>
      <c r="C273">
        <v>1</v>
      </c>
      <c r="D273" t="str">
        <f t="shared" si="32"/>
        <v>1825320.400</v>
      </c>
      <c r="E273" s="444" t="s">
        <v>7956</v>
      </c>
      <c r="H273" s="470">
        <v>0</v>
      </c>
      <c r="I273" s="470">
        <v>0</v>
      </c>
      <c r="J273" s="470">
        <v>32300</v>
      </c>
      <c r="K273" s="18"/>
      <c r="L273" s="18" t="str">
        <f t="shared" si="33"/>
        <v>8</v>
      </c>
      <c r="M273" s="18" t="str">
        <f>INDEX(Chapter,MATCH(L273,Chapter!$A$1:$A$681,0),8)</f>
        <v>שירותים ממלכתיים</v>
      </c>
      <c r="N273" s="18" t="str">
        <f t="shared" si="34"/>
        <v>82</v>
      </c>
      <c r="O273" s="18" t="str">
        <f>INDEX(Chapter,MATCH(N273,Chapter!$A$1:$A$681,0),8)</f>
        <v>תרבות</v>
      </c>
      <c r="P273" s="18" t="str">
        <f t="shared" si="35"/>
        <v>825</v>
      </c>
      <c r="Q273" s="18" t="str">
        <f>INDEX(Chapter,MATCH(P273,Chapter!$A$1:$A$681,0),8)</f>
        <v>מוסיקה ומחול</v>
      </c>
      <c r="R273" s="18" t="str">
        <f t="shared" si="36"/>
        <v>8253</v>
      </c>
      <c r="S273" s="18" t="e">
        <f>INDEX(Chapter,MATCH(R273,Chapter!$A$1:$A$681,0),8)</f>
        <v>#N/A</v>
      </c>
      <c r="T273" s="18"/>
      <c r="U273" s="18" t="str">
        <f t="shared" si="37"/>
        <v>4</v>
      </c>
      <c r="V273" s="18" t="str">
        <f>IF($L273&lt;"6",INDEX(Revenue_type,MATCH(U273*1,type!$A$118:$A$168,0),8),INDEX(Expenditure_type,MATCH(U273*1,type!$A$2:$A$117,0),8))</f>
        <v>אחזקת בינים ואספקת ציוד</v>
      </c>
      <c r="W273" s="18" t="str">
        <f t="shared" si="38"/>
        <v>40</v>
      </c>
      <c r="X273" s="18" t="e">
        <f>IF($L273&lt;"6",INDEX(Revenue_type,MATCH(W273*1,type!$A$118:$A$168,0),8),INDEX(Expenditure_type,MATCH(W273*1,type!$A$2:$A$117,0),8))</f>
        <v>#N/A</v>
      </c>
      <c r="Y273" s="18" t="str">
        <f t="shared" si="39"/>
        <v>400</v>
      </c>
      <c r="Z273" s="18" t="e">
        <f>IF($L273&lt;"6",INDEX(Revenue_type,MATCH(Y273*1,type!$A$118:$A$168,0),8),INDEX(Expenditure_type,MATCH(Y273*1,type!$A$2:$A$117,0),8))</f>
        <v>#N/A</v>
      </c>
    </row>
    <row r="274" spans="1:26" ht="15.75" hidden="1" customHeight="1" outlineLevel="2">
      <c r="A274">
        <v>500</v>
      </c>
      <c r="B274" s="249">
        <v>822169</v>
      </c>
      <c r="C274">
        <v>1</v>
      </c>
      <c r="D274" t="str">
        <f t="shared" si="32"/>
        <v>1822169.500</v>
      </c>
      <c r="E274" s="444" t="s">
        <v>7957</v>
      </c>
      <c r="H274" s="470">
        <v>0</v>
      </c>
      <c r="I274" s="470">
        <v>250000</v>
      </c>
      <c r="J274" s="470">
        <v>0</v>
      </c>
      <c r="K274" s="18"/>
      <c r="L274" s="18" t="str">
        <f t="shared" si="33"/>
        <v>8</v>
      </c>
      <c r="M274" s="18" t="str">
        <f>INDEX(Chapter,MATCH(L274,Chapter!$A$1:$A$681,0),8)</f>
        <v>שירותים ממלכתיים</v>
      </c>
      <c r="N274" s="18" t="str">
        <f t="shared" si="34"/>
        <v>82</v>
      </c>
      <c r="O274" s="18" t="str">
        <f>INDEX(Chapter,MATCH(N274,Chapter!$A$1:$A$681,0),8)</f>
        <v>תרבות</v>
      </c>
      <c r="P274" s="18" t="str">
        <f t="shared" si="35"/>
        <v>822</v>
      </c>
      <c r="Q274" s="18" t="str">
        <f>INDEX(Chapter,MATCH(P274,Chapter!$A$1:$A$681,0),8)</f>
        <v>פעולות תרבות</v>
      </c>
      <c r="R274" s="18" t="str">
        <f t="shared" si="36"/>
        <v>8221</v>
      </c>
      <c r="S274" s="18" t="e">
        <f>INDEX(Chapter,MATCH(R274,Chapter!$A$1:$A$681,0),8)</f>
        <v>#N/A</v>
      </c>
      <c r="T274" s="18"/>
      <c r="U274" s="18" t="str">
        <f t="shared" si="37"/>
        <v>5</v>
      </c>
      <c r="V274" s="18" t="str">
        <f>IF($L274&lt;"6",INDEX(Revenue_type,MATCH(U274*1,type!$A$118:$A$168,0),8),INDEX(Expenditure_type,MATCH(U274*1,type!$A$2:$A$117,0),8))</f>
        <v>הוצאות מנהליות</v>
      </c>
      <c r="W274" s="18" t="str">
        <f t="shared" si="38"/>
        <v>50</v>
      </c>
      <c r="X274" s="18" t="e">
        <f>IF($L274&lt;"6",INDEX(Revenue_type,MATCH(W274*1,type!$A$118:$A$168,0),8),INDEX(Expenditure_type,MATCH(W274*1,type!$A$2:$A$117,0),8))</f>
        <v>#N/A</v>
      </c>
      <c r="Y274" s="18" t="str">
        <f t="shared" si="39"/>
        <v>500</v>
      </c>
      <c r="Z274" s="18" t="e">
        <f>IF($L274&lt;"6",INDEX(Revenue_type,MATCH(Y274*1,type!$A$118:$A$168,0),8),INDEX(Expenditure_type,MATCH(Y274*1,type!$A$2:$A$117,0),8))</f>
        <v>#N/A</v>
      </c>
    </row>
    <row r="275" spans="1:26" ht="15.75" hidden="1" customHeight="1" outlineLevel="2">
      <c r="A275">
        <v>700</v>
      </c>
      <c r="B275" s="249">
        <v>822169</v>
      </c>
      <c r="C275">
        <v>1</v>
      </c>
      <c r="D275" t="str">
        <f t="shared" si="32"/>
        <v>1822169.700</v>
      </c>
      <c r="E275" s="444" t="s">
        <v>7958</v>
      </c>
      <c r="H275" s="470">
        <v>12591300</v>
      </c>
      <c r="I275" s="470">
        <v>13655600</v>
      </c>
      <c r="J275" s="470">
        <v>12233300</v>
      </c>
      <c r="K275" s="18"/>
      <c r="L275" s="18" t="str">
        <f t="shared" si="33"/>
        <v>8</v>
      </c>
      <c r="M275" s="18" t="str">
        <f>INDEX(Chapter,MATCH(L275,Chapter!$A$1:$A$681,0),8)</f>
        <v>שירותים ממלכתיים</v>
      </c>
      <c r="N275" s="18" t="str">
        <f t="shared" si="34"/>
        <v>82</v>
      </c>
      <c r="O275" s="18" t="str">
        <f>INDEX(Chapter,MATCH(N275,Chapter!$A$1:$A$681,0),8)</f>
        <v>תרבות</v>
      </c>
      <c r="P275" s="18" t="str">
        <f t="shared" si="35"/>
        <v>822</v>
      </c>
      <c r="Q275" s="18" t="str">
        <f>INDEX(Chapter,MATCH(P275,Chapter!$A$1:$A$681,0),8)</f>
        <v>פעולות תרבות</v>
      </c>
      <c r="R275" s="18" t="str">
        <f t="shared" si="36"/>
        <v>8221</v>
      </c>
      <c r="S275" s="18" t="e">
        <f>INDEX(Chapter,MATCH(R275,Chapter!$A$1:$A$681,0),8)</f>
        <v>#N/A</v>
      </c>
      <c r="T275" s="18"/>
      <c r="U275" s="18" t="str">
        <f t="shared" si="37"/>
        <v>7</v>
      </c>
      <c r="V275" s="18" t="str">
        <f>IF($L275&lt;"6",INDEX(Revenue_type,MATCH(U275*1,type!$A$118:$A$168,0),8),INDEX(Expenditure_type,MATCH(U275*1,type!$A$2:$A$117,0),8))</f>
        <v>הוצאות לפעולות</v>
      </c>
      <c r="W275" s="18" t="str">
        <f t="shared" si="38"/>
        <v>70</v>
      </c>
      <c r="X275" s="18" t="e">
        <f>IF($L275&lt;"6",INDEX(Revenue_type,MATCH(W275*1,type!$A$118:$A$168,0),8),INDEX(Expenditure_type,MATCH(W275*1,type!$A$2:$A$117,0),8))</f>
        <v>#N/A</v>
      </c>
      <c r="Y275" s="18" t="str">
        <f t="shared" si="39"/>
        <v>700</v>
      </c>
      <c r="Z275" s="18" t="e">
        <f>IF($L275&lt;"6",INDEX(Revenue_type,MATCH(Y275*1,type!$A$118:$A$168,0),8),INDEX(Expenditure_type,MATCH(Y275*1,type!$A$2:$A$117,0),8))</f>
        <v>#N/A</v>
      </c>
    </row>
    <row r="276" spans="1:26" ht="15.75" hidden="1" customHeight="1" outlineLevel="2">
      <c r="A276">
        <v>700</v>
      </c>
      <c r="B276" s="249">
        <v>822159</v>
      </c>
      <c r="C276">
        <v>1</v>
      </c>
      <c r="D276" t="str">
        <f t="shared" si="32"/>
        <v>1822159.700</v>
      </c>
      <c r="E276" s="444" t="s">
        <v>7959</v>
      </c>
      <c r="H276" s="470">
        <v>1500000</v>
      </c>
      <c r="I276" s="470">
        <v>1500000</v>
      </c>
      <c r="J276" s="470">
        <v>1481100</v>
      </c>
      <c r="K276" s="18"/>
      <c r="L276" s="18" t="str">
        <f t="shared" si="33"/>
        <v>8</v>
      </c>
      <c r="M276" s="18" t="str">
        <f>INDEX(Chapter,MATCH(L276,Chapter!$A$1:$A$681,0),8)</f>
        <v>שירותים ממלכתיים</v>
      </c>
      <c r="N276" s="18" t="str">
        <f t="shared" si="34"/>
        <v>82</v>
      </c>
      <c r="O276" s="18" t="str">
        <f>INDEX(Chapter,MATCH(N276,Chapter!$A$1:$A$681,0),8)</f>
        <v>תרבות</v>
      </c>
      <c r="P276" s="18" t="str">
        <f t="shared" si="35"/>
        <v>822</v>
      </c>
      <c r="Q276" s="18" t="str">
        <f>INDEX(Chapter,MATCH(P276,Chapter!$A$1:$A$681,0),8)</f>
        <v>פעולות תרבות</v>
      </c>
      <c r="R276" s="18" t="str">
        <f t="shared" si="36"/>
        <v>8221</v>
      </c>
      <c r="S276" s="18" t="e">
        <f>INDEX(Chapter,MATCH(R276,Chapter!$A$1:$A$681,0),8)</f>
        <v>#N/A</v>
      </c>
      <c r="T276" s="18"/>
      <c r="U276" s="18" t="str">
        <f t="shared" si="37"/>
        <v>7</v>
      </c>
      <c r="V276" s="18" t="str">
        <f>IF($L276&lt;"6",INDEX(Revenue_type,MATCH(U276*1,type!$A$118:$A$168,0),8),INDEX(Expenditure_type,MATCH(U276*1,type!$A$2:$A$117,0),8))</f>
        <v>הוצאות לפעולות</v>
      </c>
      <c r="W276" s="18" t="str">
        <f t="shared" si="38"/>
        <v>70</v>
      </c>
      <c r="X276" s="18" t="e">
        <f>IF($L276&lt;"6",INDEX(Revenue_type,MATCH(W276*1,type!$A$118:$A$168,0),8),INDEX(Expenditure_type,MATCH(W276*1,type!$A$2:$A$117,0),8))</f>
        <v>#N/A</v>
      </c>
      <c r="Y276" s="18" t="str">
        <f t="shared" si="39"/>
        <v>700</v>
      </c>
      <c r="Z276" s="18" t="e">
        <f>IF($L276&lt;"6",INDEX(Revenue_type,MATCH(Y276*1,type!$A$118:$A$168,0),8),INDEX(Expenditure_type,MATCH(Y276*1,type!$A$2:$A$117,0),8))</f>
        <v>#N/A</v>
      </c>
    </row>
    <row r="277" spans="1:26" ht="15.75" hidden="1" customHeight="1" outlineLevel="2">
      <c r="A277">
        <v>100</v>
      </c>
      <c r="B277" s="249">
        <v>822252</v>
      </c>
      <c r="C277">
        <v>1</v>
      </c>
      <c r="D277" t="str">
        <f t="shared" si="32"/>
        <v>1822252.100</v>
      </c>
      <c r="E277" s="444" t="s">
        <v>7960</v>
      </c>
      <c r="H277" s="470">
        <v>214000</v>
      </c>
      <c r="I277" s="470">
        <v>212000</v>
      </c>
      <c r="J277" s="470">
        <v>151200</v>
      </c>
      <c r="K277" s="18"/>
      <c r="L277" s="18" t="str">
        <f t="shared" si="33"/>
        <v>8</v>
      </c>
      <c r="M277" s="18" t="str">
        <f>INDEX(Chapter,MATCH(L277,Chapter!$A$1:$A$681,0),8)</f>
        <v>שירותים ממלכתיים</v>
      </c>
      <c r="N277" s="18" t="str">
        <f t="shared" si="34"/>
        <v>82</v>
      </c>
      <c r="O277" s="18" t="str">
        <f>INDEX(Chapter,MATCH(N277,Chapter!$A$1:$A$681,0),8)</f>
        <v>תרבות</v>
      </c>
      <c r="P277" s="18" t="str">
        <f t="shared" si="35"/>
        <v>822</v>
      </c>
      <c r="Q277" s="18" t="str">
        <f>INDEX(Chapter,MATCH(P277,Chapter!$A$1:$A$681,0),8)</f>
        <v>פעולות תרבות</v>
      </c>
      <c r="R277" s="18" t="str">
        <f t="shared" si="36"/>
        <v>8222</v>
      </c>
      <c r="S277" s="18" t="e">
        <f>INDEX(Chapter,MATCH(R277,Chapter!$A$1:$A$681,0),8)</f>
        <v>#N/A</v>
      </c>
      <c r="T277" s="18"/>
      <c r="U277" s="18" t="str">
        <f t="shared" si="37"/>
        <v>1</v>
      </c>
      <c r="V277" s="18" t="str">
        <f>IF($L277&lt;"6",INDEX(Revenue_type,MATCH(U277*1,type!$A$118:$A$168,0),8),INDEX(Expenditure_type,MATCH(U277*1,type!$A$2:$A$117,0),8))</f>
        <v>משכורות וש"ע לעובדים לפי תקן</v>
      </c>
      <c r="W277" s="18" t="str">
        <f t="shared" si="38"/>
        <v>10</v>
      </c>
      <c r="X277" s="18" t="e">
        <f>IF($L277&lt;"6",INDEX(Revenue_type,MATCH(W277*1,type!$A$118:$A$168,0),8),INDEX(Expenditure_type,MATCH(W277*1,type!$A$2:$A$117,0),8))</f>
        <v>#N/A</v>
      </c>
      <c r="Y277" s="18" t="str">
        <f t="shared" si="39"/>
        <v>100</v>
      </c>
      <c r="Z277" s="18" t="e">
        <f>IF($L277&lt;"6",INDEX(Revenue_type,MATCH(Y277*1,type!$A$118:$A$168,0),8),INDEX(Expenditure_type,MATCH(Y277*1,type!$A$2:$A$117,0),8))</f>
        <v>#N/A</v>
      </c>
    </row>
    <row r="278" spans="1:26" ht="15.75" hidden="1" customHeight="1" outlineLevel="2">
      <c r="A278">
        <v>120</v>
      </c>
      <c r="B278" s="249">
        <v>822252</v>
      </c>
      <c r="C278">
        <v>1</v>
      </c>
      <c r="D278" t="str">
        <f t="shared" si="32"/>
        <v>1822252.120</v>
      </c>
      <c r="E278" s="444" t="s">
        <v>7961</v>
      </c>
      <c r="H278" s="470">
        <v>0</v>
      </c>
      <c r="I278" s="470">
        <v>0</v>
      </c>
      <c r="J278" s="470">
        <v>4100</v>
      </c>
      <c r="K278" s="18"/>
      <c r="L278" s="18" t="str">
        <f t="shared" si="33"/>
        <v>8</v>
      </c>
      <c r="M278" s="18" t="str">
        <f>INDEX(Chapter,MATCH(L278,Chapter!$A$1:$A$681,0),8)</f>
        <v>שירותים ממלכתיים</v>
      </c>
      <c r="N278" s="18" t="str">
        <f t="shared" si="34"/>
        <v>82</v>
      </c>
      <c r="O278" s="18" t="str">
        <f>INDEX(Chapter,MATCH(N278,Chapter!$A$1:$A$681,0),8)</f>
        <v>תרבות</v>
      </c>
      <c r="P278" s="18" t="str">
        <f t="shared" si="35"/>
        <v>822</v>
      </c>
      <c r="Q278" s="18" t="str">
        <f>INDEX(Chapter,MATCH(P278,Chapter!$A$1:$A$681,0),8)</f>
        <v>פעולות תרבות</v>
      </c>
      <c r="R278" s="18" t="str">
        <f t="shared" si="36"/>
        <v>8222</v>
      </c>
      <c r="S278" s="18" t="e">
        <f>INDEX(Chapter,MATCH(R278,Chapter!$A$1:$A$681,0),8)</f>
        <v>#N/A</v>
      </c>
      <c r="T278" s="18"/>
      <c r="U278" s="18" t="str">
        <f t="shared" si="37"/>
        <v>1</v>
      </c>
      <c r="V278" s="18" t="str">
        <f>IF($L278&lt;"6",INDEX(Revenue_type,MATCH(U278*1,type!$A$118:$A$168,0),8),INDEX(Expenditure_type,MATCH(U278*1,type!$A$2:$A$117,0),8))</f>
        <v>משכורות וש"ע לעובדים לפי תקן</v>
      </c>
      <c r="W278" s="18" t="str">
        <f t="shared" si="38"/>
        <v>12</v>
      </c>
      <c r="X278" s="18" t="str">
        <f>IF($L278&lt;"6",INDEX(Revenue_type,MATCH(W278*1,type!$A$118:$A$168,0),8),INDEX(Expenditure_type,MATCH(W278*1,type!$A$2:$A$117,0),8))</f>
        <v>תוספות שאינן נכללות בשכר הקובע</v>
      </c>
      <c r="Y278" s="18" t="str">
        <f t="shared" si="39"/>
        <v>120</v>
      </c>
      <c r="Z278" s="18" t="e">
        <f>IF($L278&lt;"6",INDEX(Revenue_type,MATCH(Y278*1,type!$A$118:$A$168,0),8),INDEX(Expenditure_type,MATCH(Y278*1,type!$A$2:$A$117,0),8))</f>
        <v>#N/A</v>
      </c>
    </row>
    <row r="279" spans="1:26" ht="15.75" hidden="1" customHeight="1" outlineLevel="2">
      <c r="A279">
        <v>700</v>
      </c>
      <c r="B279" s="249">
        <v>822200</v>
      </c>
      <c r="C279">
        <v>1</v>
      </c>
      <c r="D279" t="str">
        <f t="shared" si="32"/>
        <v>1822200.700</v>
      </c>
      <c r="E279" s="444" t="s">
        <v>7962</v>
      </c>
      <c r="H279" s="470">
        <v>402200</v>
      </c>
      <c r="I279" s="470">
        <v>414000</v>
      </c>
      <c r="J279" s="470">
        <v>0</v>
      </c>
      <c r="K279" s="18"/>
      <c r="L279" s="18" t="str">
        <f t="shared" si="33"/>
        <v>8</v>
      </c>
      <c r="M279" s="18" t="str">
        <f>INDEX(Chapter,MATCH(L279,Chapter!$A$1:$A$681,0),8)</f>
        <v>שירותים ממלכתיים</v>
      </c>
      <c r="N279" s="18" t="str">
        <f t="shared" si="34"/>
        <v>82</v>
      </c>
      <c r="O279" s="18" t="str">
        <f>INDEX(Chapter,MATCH(N279,Chapter!$A$1:$A$681,0),8)</f>
        <v>תרבות</v>
      </c>
      <c r="P279" s="18" t="str">
        <f t="shared" si="35"/>
        <v>822</v>
      </c>
      <c r="Q279" s="18" t="str">
        <f>INDEX(Chapter,MATCH(P279,Chapter!$A$1:$A$681,0),8)</f>
        <v>פעולות תרבות</v>
      </c>
      <c r="R279" s="18" t="str">
        <f t="shared" si="36"/>
        <v>8222</v>
      </c>
      <c r="S279" s="18" t="e">
        <f>INDEX(Chapter,MATCH(R279,Chapter!$A$1:$A$681,0),8)</f>
        <v>#N/A</v>
      </c>
      <c r="T279" s="18"/>
      <c r="U279" s="18" t="str">
        <f t="shared" si="37"/>
        <v>7</v>
      </c>
      <c r="V279" s="18" t="str">
        <f>IF($L279&lt;"6",INDEX(Revenue_type,MATCH(U279*1,type!$A$118:$A$168,0),8),INDEX(Expenditure_type,MATCH(U279*1,type!$A$2:$A$117,0),8))</f>
        <v>הוצאות לפעולות</v>
      </c>
      <c r="W279" s="18" t="str">
        <f t="shared" si="38"/>
        <v>70</v>
      </c>
      <c r="X279" s="18" t="e">
        <f>IF($L279&lt;"6",INDEX(Revenue_type,MATCH(W279*1,type!$A$118:$A$168,0),8),INDEX(Expenditure_type,MATCH(W279*1,type!$A$2:$A$117,0),8))</f>
        <v>#N/A</v>
      </c>
      <c r="Y279" s="18" t="str">
        <f t="shared" si="39"/>
        <v>700</v>
      </c>
      <c r="Z279" s="18" t="e">
        <f>IF($L279&lt;"6",INDEX(Revenue_type,MATCH(Y279*1,type!$A$118:$A$168,0),8),INDEX(Expenditure_type,MATCH(Y279*1,type!$A$2:$A$117,0),8))</f>
        <v>#N/A</v>
      </c>
    </row>
    <row r="280" spans="1:26" ht="15.75" hidden="1" customHeight="1" outlineLevel="2">
      <c r="A280">
        <v>100</v>
      </c>
      <c r="B280" s="249">
        <v>823000</v>
      </c>
      <c r="C280">
        <v>1</v>
      </c>
      <c r="D280" t="str">
        <f t="shared" si="32"/>
        <v>1823000.100</v>
      </c>
      <c r="E280" s="444" t="s">
        <v>7963</v>
      </c>
      <c r="H280" s="470">
        <v>7116900</v>
      </c>
      <c r="I280" s="470">
        <v>7038900</v>
      </c>
      <c r="J280" s="470">
        <v>7485400</v>
      </c>
      <c r="K280" s="18"/>
      <c r="L280" s="18" t="str">
        <f t="shared" si="33"/>
        <v>8</v>
      </c>
      <c r="M280" s="18" t="str">
        <f>INDEX(Chapter,MATCH(L280,Chapter!$A$1:$A$681,0),8)</f>
        <v>שירותים ממלכתיים</v>
      </c>
      <c r="N280" s="18" t="str">
        <f t="shared" si="34"/>
        <v>82</v>
      </c>
      <c r="O280" s="18" t="str">
        <f>INDEX(Chapter,MATCH(N280,Chapter!$A$1:$A$681,0),8)</f>
        <v>תרבות</v>
      </c>
      <c r="P280" s="18" t="str">
        <f t="shared" si="35"/>
        <v>823</v>
      </c>
      <c r="Q280" s="18" t="str">
        <f>INDEX(Chapter,MATCH(P280,Chapter!$A$1:$A$681,0),8)</f>
        <v>ספריות עירוניות</v>
      </c>
      <c r="R280" s="18" t="str">
        <f t="shared" si="36"/>
        <v>8230</v>
      </c>
      <c r="S280" s="18" t="e">
        <f>INDEX(Chapter,MATCH(R280,Chapter!$A$1:$A$681,0),8)</f>
        <v>#N/A</v>
      </c>
      <c r="T280" s="18"/>
      <c r="U280" s="18" t="str">
        <f t="shared" si="37"/>
        <v>1</v>
      </c>
      <c r="V280" s="18" t="str">
        <f>IF($L280&lt;"6",INDEX(Revenue_type,MATCH(U280*1,type!$A$118:$A$168,0),8),INDEX(Expenditure_type,MATCH(U280*1,type!$A$2:$A$117,0),8))</f>
        <v>משכורות וש"ע לעובדים לפי תקן</v>
      </c>
      <c r="W280" s="18" t="str">
        <f t="shared" si="38"/>
        <v>10</v>
      </c>
      <c r="X280" s="18" t="e">
        <f>IF($L280&lt;"6",INDEX(Revenue_type,MATCH(W280*1,type!$A$118:$A$168,0),8),INDEX(Expenditure_type,MATCH(W280*1,type!$A$2:$A$117,0),8))</f>
        <v>#N/A</v>
      </c>
      <c r="Y280" s="18" t="str">
        <f t="shared" si="39"/>
        <v>100</v>
      </c>
      <c r="Z280" s="18" t="e">
        <f>IF($L280&lt;"6",INDEX(Revenue_type,MATCH(Y280*1,type!$A$118:$A$168,0),8),INDEX(Expenditure_type,MATCH(Y280*1,type!$A$2:$A$117,0),8))</f>
        <v>#N/A</v>
      </c>
    </row>
    <row r="281" spans="1:26" ht="15.75" hidden="1" customHeight="1" outlineLevel="2">
      <c r="A281">
        <v>120</v>
      </c>
      <c r="B281" s="249">
        <v>823000</v>
      </c>
      <c r="C281">
        <v>1</v>
      </c>
      <c r="D281" t="str">
        <f t="shared" si="32"/>
        <v>1823000.120</v>
      </c>
      <c r="E281" s="444" t="s">
        <v>7964</v>
      </c>
      <c r="H281" s="470">
        <v>26100</v>
      </c>
      <c r="I281" s="470">
        <v>26100</v>
      </c>
      <c r="J281" s="470">
        <v>37700</v>
      </c>
      <c r="K281" s="18"/>
      <c r="L281" s="18" t="str">
        <f t="shared" si="33"/>
        <v>8</v>
      </c>
      <c r="M281" s="18" t="str">
        <f>INDEX(Chapter,MATCH(L281,Chapter!$A$1:$A$681,0),8)</f>
        <v>שירותים ממלכתיים</v>
      </c>
      <c r="N281" s="18" t="str">
        <f t="shared" si="34"/>
        <v>82</v>
      </c>
      <c r="O281" s="18" t="str">
        <f>INDEX(Chapter,MATCH(N281,Chapter!$A$1:$A$681,0),8)</f>
        <v>תרבות</v>
      </c>
      <c r="P281" s="18" t="str">
        <f t="shared" si="35"/>
        <v>823</v>
      </c>
      <c r="Q281" s="18" t="str">
        <f>INDEX(Chapter,MATCH(P281,Chapter!$A$1:$A$681,0),8)</f>
        <v>ספריות עירוניות</v>
      </c>
      <c r="R281" s="18" t="str">
        <f t="shared" si="36"/>
        <v>8230</v>
      </c>
      <c r="S281" s="18" t="e">
        <f>INDEX(Chapter,MATCH(R281,Chapter!$A$1:$A$681,0),8)</f>
        <v>#N/A</v>
      </c>
      <c r="T281" s="18"/>
      <c r="U281" s="18" t="str">
        <f t="shared" si="37"/>
        <v>1</v>
      </c>
      <c r="V281" s="18" t="str">
        <f>IF($L281&lt;"6",INDEX(Revenue_type,MATCH(U281*1,type!$A$118:$A$168,0),8),INDEX(Expenditure_type,MATCH(U281*1,type!$A$2:$A$117,0),8))</f>
        <v>משכורות וש"ע לעובדים לפי תקן</v>
      </c>
      <c r="W281" s="18" t="str">
        <f t="shared" si="38"/>
        <v>12</v>
      </c>
      <c r="X281" s="18" t="str">
        <f>IF($L281&lt;"6",INDEX(Revenue_type,MATCH(W281*1,type!$A$118:$A$168,0),8),INDEX(Expenditure_type,MATCH(W281*1,type!$A$2:$A$117,0),8))</f>
        <v>תוספות שאינן נכללות בשכר הקובע</v>
      </c>
      <c r="Y281" s="18" t="str">
        <f t="shared" si="39"/>
        <v>120</v>
      </c>
      <c r="Z281" s="18" t="e">
        <f>IF($L281&lt;"6",INDEX(Revenue_type,MATCH(Y281*1,type!$A$118:$A$168,0),8),INDEX(Expenditure_type,MATCH(Y281*1,type!$A$2:$A$117,0),8))</f>
        <v>#N/A</v>
      </c>
    </row>
    <row r="282" spans="1:26" ht="15.75" hidden="1" customHeight="1" outlineLevel="2">
      <c r="A282">
        <v>400</v>
      </c>
      <c r="B282" s="249">
        <v>823000</v>
      </c>
      <c r="C282">
        <v>1</v>
      </c>
      <c r="D282" t="str">
        <f t="shared" si="32"/>
        <v>1823000.400</v>
      </c>
      <c r="E282" s="444" t="s">
        <v>7965</v>
      </c>
      <c r="H282" s="470">
        <v>300000</v>
      </c>
      <c r="I282" s="470">
        <v>319700</v>
      </c>
      <c r="J282" s="470">
        <v>354200</v>
      </c>
      <c r="K282" s="18"/>
      <c r="L282" s="18" t="str">
        <f t="shared" si="33"/>
        <v>8</v>
      </c>
      <c r="M282" s="18" t="str">
        <f>INDEX(Chapter,MATCH(L282,Chapter!$A$1:$A$681,0),8)</f>
        <v>שירותים ממלכתיים</v>
      </c>
      <c r="N282" s="18" t="str">
        <f t="shared" si="34"/>
        <v>82</v>
      </c>
      <c r="O282" s="18" t="str">
        <f>INDEX(Chapter,MATCH(N282,Chapter!$A$1:$A$681,0),8)</f>
        <v>תרבות</v>
      </c>
      <c r="P282" s="18" t="str">
        <f t="shared" si="35"/>
        <v>823</v>
      </c>
      <c r="Q282" s="18" t="str">
        <f>INDEX(Chapter,MATCH(P282,Chapter!$A$1:$A$681,0),8)</f>
        <v>ספריות עירוניות</v>
      </c>
      <c r="R282" s="18" t="str">
        <f t="shared" si="36"/>
        <v>8230</v>
      </c>
      <c r="S282" s="18" t="e">
        <f>INDEX(Chapter,MATCH(R282,Chapter!$A$1:$A$681,0),8)</f>
        <v>#N/A</v>
      </c>
      <c r="T282" s="18"/>
      <c r="U282" s="18" t="str">
        <f t="shared" si="37"/>
        <v>4</v>
      </c>
      <c r="V282" s="18" t="str">
        <f>IF($L282&lt;"6",INDEX(Revenue_type,MATCH(U282*1,type!$A$118:$A$168,0),8),INDEX(Expenditure_type,MATCH(U282*1,type!$A$2:$A$117,0),8))</f>
        <v>אחזקת בינים ואספקת ציוד</v>
      </c>
      <c r="W282" s="18" t="str">
        <f t="shared" si="38"/>
        <v>40</v>
      </c>
      <c r="X282" s="18" t="e">
        <f>IF($L282&lt;"6",INDEX(Revenue_type,MATCH(W282*1,type!$A$118:$A$168,0),8),INDEX(Expenditure_type,MATCH(W282*1,type!$A$2:$A$117,0),8))</f>
        <v>#N/A</v>
      </c>
      <c r="Y282" s="18" t="str">
        <f t="shared" si="39"/>
        <v>400</v>
      </c>
      <c r="Z282" s="18" t="e">
        <f>IF($L282&lt;"6",INDEX(Revenue_type,MATCH(Y282*1,type!$A$118:$A$168,0),8),INDEX(Expenditure_type,MATCH(Y282*1,type!$A$2:$A$117,0),8))</f>
        <v>#N/A</v>
      </c>
    </row>
    <row r="283" spans="1:26" ht="15.75" hidden="1" customHeight="1" outlineLevel="2">
      <c r="A283">
        <v>500</v>
      </c>
      <c r="B283" s="249">
        <v>823000</v>
      </c>
      <c r="C283">
        <v>1</v>
      </c>
      <c r="D283" t="str">
        <f t="shared" si="32"/>
        <v>1823000.500</v>
      </c>
      <c r="E283" s="444" t="s">
        <v>7966</v>
      </c>
      <c r="H283" s="470">
        <v>161000</v>
      </c>
      <c r="I283" s="470">
        <v>162000</v>
      </c>
      <c r="J283" s="470">
        <v>165700</v>
      </c>
      <c r="K283" s="18"/>
      <c r="L283" s="18" t="str">
        <f t="shared" si="33"/>
        <v>8</v>
      </c>
      <c r="M283" s="18" t="str">
        <f>INDEX(Chapter,MATCH(L283,Chapter!$A$1:$A$681,0),8)</f>
        <v>שירותים ממלכתיים</v>
      </c>
      <c r="N283" s="18" t="str">
        <f t="shared" si="34"/>
        <v>82</v>
      </c>
      <c r="O283" s="18" t="str">
        <f>INDEX(Chapter,MATCH(N283,Chapter!$A$1:$A$681,0),8)</f>
        <v>תרבות</v>
      </c>
      <c r="P283" s="18" t="str">
        <f t="shared" si="35"/>
        <v>823</v>
      </c>
      <c r="Q283" s="18" t="str">
        <f>INDEX(Chapter,MATCH(P283,Chapter!$A$1:$A$681,0),8)</f>
        <v>ספריות עירוניות</v>
      </c>
      <c r="R283" s="18" t="str">
        <f t="shared" si="36"/>
        <v>8230</v>
      </c>
      <c r="S283" s="18" t="e">
        <f>INDEX(Chapter,MATCH(R283,Chapter!$A$1:$A$681,0),8)</f>
        <v>#N/A</v>
      </c>
      <c r="T283" s="18"/>
      <c r="U283" s="18" t="str">
        <f t="shared" si="37"/>
        <v>5</v>
      </c>
      <c r="V283" s="18" t="str">
        <f>IF($L283&lt;"6",INDEX(Revenue_type,MATCH(U283*1,type!$A$118:$A$168,0),8),INDEX(Expenditure_type,MATCH(U283*1,type!$A$2:$A$117,0),8))</f>
        <v>הוצאות מנהליות</v>
      </c>
      <c r="W283" s="18" t="str">
        <f t="shared" si="38"/>
        <v>50</v>
      </c>
      <c r="X283" s="18" t="e">
        <f>IF($L283&lt;"6",INDEX(Revenue_type,MATCH(W283*1,type!$A$118:$A$168,0),8),INDEX(Expenditure_type,MATCH(W283*1,type!$A$2:$A$117,0),8))</f>
        <v>#N/A</v>
      </c>
      <c r="Y283" s="18" t="str">
        <f t="shared" si="39"/>
        <v>500</v>
      </c>
      <c r="Z283" s="18" t="e">
        <f>IF($L283&lt;"6",INDEX(Revenue_type,MATCH(Y283*1,type!$A$118:$A$168,0),8),INDEX(Expenditure_type,MATCH(Y283*1,type!$A$2:$A$117,0),8))</f>
        <v>#N/A</v>
      </c>
    </row>
    <row r="284" spans="1:26" ht="15.75" hidden="1" customHeight="1" outlineLevel="2">
      <c r="A284">
        <v>500</v>
      </c>
      <c r="B284" s="249">
        <v>823000</v>
      </c>
      <c r="C284">
        <v>1</v>
      </c>
      <c r="D284" t="str">
        <f t="shared" si="32"/>
        <v>1823000.500</v>
      </c>
      <c r="E284" s="444" t="s">
        <v>7967</v>
      </c>
      <c r="H284" s="470">
        <v>63000</v>
      </c>
      <c r="I284" s="470">
        <v>63000</v>
      </c>
      <c r="J284" s="470">
        <v>56200</v>
      </c>
      <c r="K284" s="18"/>
      <c r="L284" s="18" t="str">
        <f t="shared" si="33"/>
        <v>8</v>
      </c>
      <c r="M284" s="18" t="str">
        <f>INDEX(Chapter,MATCH(L284,Chapter!$A$1:$A$681,0),8)</f>
        <v>שירותים ממלכתיים</v>
      </c>
      <c r="N284" s="18" t="str">
        <f t="shared" si="34"/>
        <v>82</v>
      </c>
      <c r="O284" s="18" t="str">
        <f>INDEX(Chapter,MATCH(N284,Chapter!$A$1:$A$681,0),8)</f>
        <v>תרבות</v>
      </c>
      <c r="P284" s="18" t="str">
        <f t="shared" si="35"/>
        <v>823</v>
      </c>
      <c r="Q284" s="18" t="str">
        <f>INDEX(Chapter,MATCH(P284,Chapter!$A$1:$A$681,0),8)</f>
        <v>ספריות עירוניות</v>
      </c>
      <c r="R284" s="18" t="str">
        <f t="shared" si="36"/>
        <v>8230</v>
      </c>
      <c r="S284" s="18" t="e">
        <f>INDEX(Chapter,MATCH(R284,Chapter!$A$1:$A$681,0),8)</f>
        <v>#N/A</v>
      </c>
      <c r="T284" s="18"/>
      <c r="U284" s="18" t="str">
        <f t="shared" si="37"/>
        <v>5</v>
      </c>
      <c r="V284" s="18" t="str">
        <f>IF($L284&lt;"6",INDEX(Revenue_type,MATCH(U284*1,type!$A$118:$A$168,0),8),INDEX(Expenditure_type,MATCH(U284*1,type!$A$2:$A$117,0),8))</f>
        <v>הוצאות מנהליות</v>
      </c>
      <c r="W284" s="18" t="str">
        <f t="shared" si="38"/>
        <v>50</v>
      </c>
      <c r="X284" s="18" t="e">
        <f>IF($L284&lt;"6",INDEX(Revenue_type,MATCH(W284*1,type!$A$118:$A$168,0),8),INDEX(Expenditure_type,MATCH(W284*1,type!$A$2:$A$117,0),8))</f>
        <v>#N/A</v>
      </c>
      <c r="Y284" s="18" t="str">
        <f t="shared" si="39"/>
        <v>500</v>
      </c>
      <c r="Z284" s="18" t="e">
        <f>IF($L284&lt;"6",INDEX(Revenue_type,MATCH(Y284*1,type!$A$118:$A$168,0),8),INDEX(Expenditure_type,MATCH(Y284*1,type!$A$2:$A$117,0),8))</f>
        <v>#N/A</v>
      </c>
    </row>
    <row r="285" spans="1:26" ht="15.75" hidden="1" customHeight="1" outlineLevel="2">
      <c r="A285">
        <v>700</v>
      </c>
      <c r="B285" s="249">
        <v>823000</v>
      </c>
      <c r="C285">
        <v>1</v>
      </c>
      <c r="D285" t="str">
        <f t="shared" si="32"/>
        <v>1823000.700</v>
      </c>
      <c r="E285" s="444" t="s">
        <v>7968</v>
      </c>
      <c r="H285" s="470">
        <v>963100</v>
      </c>
      <c r="I285" s="470">
        <v>986100</v>
      </c>
      <c r="J285" s="470">
        <v>2636900</v>
      </c>
      <c r="K285" s="18"/>
      <c r="L285" s="18" t="str">
        <f t="shared" si="33"/>
        <v>8</v>
      </c>
      <c r="M285" s="18" t="str">
        <f>INDEX(Chapter,MATCH(L285,Chapter!$A$1:$A$681,0),8)</f>
        <v>שירותים ממלכתיים</v>
      </c>
      <c r="N285" s="18" t="str">
        <f t="shared" si="34"/>
        <v>82</v>
      </c>
      <c r="O285" s="18" t="str">
        <f>INDEX(Chapter,MATCH(N285,Chapter!$A$1:$A$681,0),8)</f>
        <v>תרבות</v>
      </c>
      <c r="P285" s="18" t="str">
        <f t="shared" si="35"/>
        <v>823</v>
      </c>
      <c r="Q285" s="18" t="str">
        <f>INDEX(Chapter,MATCH(P285,Chapter!$A$1:$A$681,0),8)</f>
        <v>ספריות עירוניות</v>
      </c>
      <c r="R285" s="18" t="str">
        <f t="shared" si="36"/>
        <v>8230</v>
      </c>
      <c r="S285" s="18" t="e">
        <f>INDEX(Chapter,MATCH(R285,Chapter!$A$1:$A$681,0),8)</f>
        <v>#N/A</v>
      </c>
      <c r="T285" s="18"/>
      <c r="U285" s="18" t="str">
        <f t="shared" si="37"/>
        <v>7</v>
      </c>
      <c r="V285" s="18" t="str">
        <f>IF($L285&lt;"6",INDEX(Revenue_type,MATCH(U285*1,type!$A$118:$A$168,0),8),INDEX(Expenditure_type,MATCH(U285*1,type!$A$2:$A$117,0),8))</f>
        <v>הוצאות לפעולות</v>
      </c>
      <c r="W285" s="18" t="str">
        <f t="shared" si="38"/>
        <v>70</v>
      </c>
      <c r="X285" s="18" t="e">
        <f>IF($L285&lt;"6",INDEX(Revenue_type,MATCH(W285*1,type!$A$118:$A$168,0),8),INDEX(Expenditure_type,MATCH(W285*1,type!$A$2:$A$117,0),8))</f>
        <v>#N/A</v>
      </c>
      <c r="Y285" s="18" t="str">
        <f t="shared" si="39"/>
        <v>700</v>
      </c>
      <c r="Z285" s="18" t="e">
        <f>IF($L285&lt;"6",INDEX(Revenue_type,MATCH(Y285*1,type!$A$118:$A$168,0),8),INDEX(Expenditure_type,MATCH(Y285*1,type!$A$2:$A$117,0),8))</f>
        <v>#N/A</v>
      </c>
    </row>
    <row r="286" spans="1:26" ht="15.75" hidden="1" customHeight="1" outlineLevel="2">
      <c r="A286">
        <v>700</v>
      </c>
      <c r="B286" s="249">
        <v>829500</v>
      </c>
      <c r="C286">
        <v>1</v>
      </c>
      <c r="D286" t="str">
        <f t="shared" si="32"/>
        <v>1829500.700</v>
      </c>
      <c r="E286" s="444" t="s">
        <v>7969</v>
      </c>
      <c r="H286" s="470">
        <v>388600</v>
      </c>
      <c r="I286" s="470">
        <v>400000</v>
      </c>
      <c r="J286" s="470">
        <v>0</v>
      </c>
      <c r="K286" s="18"/>
      <c r="L286" s="18" t="str">
        <f t="shared" si="33"/>
        <v>8</v>
      </c>
      <c r="M286" s="18" t="str">
        <f>INDEX(Chapter,MATCH(L286,Chapter!$A$1:$A$681,0),8)</f>
        <v>שירותים ממלכתיים</v>
      </c>
      <c r="N286" s="18" t="str">
        <f t="shared" si="34"/>
        <v>82</v>
      </c>
      <c r="O286" s="18" t="str">
        <f>INDEX(Chapter,MATCH(N286,Chapter!$A$1:$A$681,0),8)</f>
        <v>תרבות</v>
      </c>
      <c r="P286" s="18" t="str">
        <f t="shared" si="35"/>
        <v>829</v>
      </c>
      <c r="Q286" s="18" t="str">
        <f>INDEX(Chapter,MATCH(P286,Chapter!$A$1:$A$681,0),8)</f>
        <v>ספורט</v>
      </c>
      <c r="R286" s="18" t="str">
        <f t="shared" si="36"/>
        <v>8295</v>
      </c>
      <c r="S286" s="18" t="e">
        <f>INDEX(Chapter,MATCH(R286,Chapter!$A$1:$A$681,0),8)</f>
        <v>#N/A</v>
      </c>
      <c r="T286" s="18"/>
      <c r="U286" s="18" t="str">
        <f t="shared" si="37"/>
        <v>7</v>
      </c>
      <c r="V286" s="18" t="str">
        <f>IF($L286&lt;"6",INDEX(Revenue_type,MATCH(U286*1,type!$A$118:$A$168,0),8),INDEX(Expenditure_type,MATCH(U286*1,type!$A$2:$A$117,0),8))</f>
        <v>הוצאות לפעולות</v>
      </c>
      <c r="W286" s="18" t="str">
        <f t="shared" si="38"/>
        <v>70</v>
      </c>
      <c r="X286" s="18" t="e">
        <f>IF($L286&lt;"6",INDEX(Revenue_type,MATCH(W286*1,type!$A$118:$A$168,0),8),INDEX(Expenditure_type,MATCH(W286*1,type!$A$2:$A$117,0),8))</f>
        <v>#N/A</v>
      </c>
      <c r="Y286" s="18" t="str">
        <f t="shared" si="39"/>
        <v>700</v>
      </c>
      <c r="Z286" s="18" t="e">
        <f>IF($L286&lt;"6",INDEX(Revenue_type,MATCH(Y286*1,type!$A$118:$A$168,0),8),INDEX(Expenditure_type,MATCH(Y286*1,type!$A$2:$A$117,0),8))</f>
        <v>#N/A</v>
      </c>
    </row>
    <row r="287" spans="1:26" ht="15.75" hidden="1" customHeight="1" outlineLevel="2">
      <c r="A287">
        <v>200</v>
      </c>
      <c r="B287" s="249">
        <v>821140</v>
      </c>
      <c r="C287">
        <v>1</v>
      </c>
      <c r="D287" t="str">
        <f t="shared" si="32"/>
        <v>1821140.200</v>
      </c>
      <c r="E287" s="444" t="s">
        <v>7970</v>
      </c>
      <c r="H287" s="470">
        <v>1236500</v>
      </c>
      <c r="I287" s="470">
        <v>1350000</v>
      </c>
      <c r="J287" s="470">
        <v>1282700</v>
      </c>
      <c r="K287" s="18"/>
      <c r="L287" s="18" t="str">
        <f t="shared" si="33"/>
        <v>8</v>
      </c>
      <c r="M287" s="18" t="str">
        <f>INDEX(Chapter,MATCH(L287,Chapter!$A$1:$A$681,0),8)</f>
        <v>שירותים ממלכתיים</v>
      </c>
      <c r="N287" s="18" t="str">
        <f t="shared" si="34"/>
        <v>82</v>
      </c>
      <c r="O287" s="18" t="str">
        <f>INDEX(Chapter,MATCH(N287,Chapter!$A$1:$A$681,0),8)</f>
        <v>תרבות</v>
      </c>
      <c r="P287" s="18" t="str">
        <f t="shared" si="35"/>
        <v>821</v>
      </c>
      <c r="Q287" s="18" t="str">
        <f>INDEX(Chapter,MATCH(P287,Chapter!$A$1:$A$681,0),8)</f>
        <v>מינהל התרבות</v>
      </c>
      <c r="R287" s="18" t="str">
        <f t="shared" si="36"/>
        <v>8211</v>
      </c>
      <c r="S287" s="18" t="e">
        <f>INDEX(Chapter,MATCH(R287,Chapter!$A$1:$A$681,0),8)</f>
        <v>#N/A</v>
      </c>
      <c r="T287" s="18"/>
      <c r="U287" s="18" t="str">
        <f t="shared" si="37"/>
        <v>2</v>
      </c>
      <c r="V287" s="18" t="str">
        <f>IF($L287&lt;"6",INDEX(Revenue_type,MATCH(U287*1,type!$A$118:$A$168,0),8),INDEX(Expenditure_type,MATCH(U287*1,type!$A$2:$A$117,0),8))</f>
        <v>משכורות וש"ע לעובדים בלי תקן</v>
      </c>
      <c r="W287" s="18" t="str">
        <f t="shared" si="38"/>
        <v>20</v>
      </c>
      <c r="X287" s="18" t="e">
        <f>IF($L287&lt;"6",INDEX(Revenue_type,MATCH(W287*1,type!$A$118:$A$168,0),8),INDEX(Expenditure_type,MATCH(W287*1,type!$A$2:$A$117,0),8))</f>
        <v>#N/A</v>
      </c>
      <c r="Y287" s="18" t="str">
        <f t="shared" si="39"/>
        <v>200</v>
      </c>
      <c r="Z287" s="18" t="e">
        <f>IF($L287&lt;"6",INDEX(Revenue_type,MATCH(Y287*1,type!$A$118:$A$168,0),8),INDEX(Expenditure_type,MATCH(Y287*1,type!$A$2:$A$117,0),8))</f>
        <v>#N/A</v>
      </c>
    </row>
    <row r="288" spans="1:26" ht="15.75" hidden="1" customHeight="1" outlineLevel="2">
      <c r="A288">
        <v>120</v>
      </c>
      <c r="B288" s="249">
        <v>821140</v>
      </c>
      <c r="C288">
        <v>1</v>
      </c>
      <c r="D288" t="str">
        <f t="shared" si="32"/>
        <v>1821140.120</v>
      </c>
      <c r="E288" s="444" t="s">
        <v>7971</v>
      </c>
      <c r="H288" s="470">
        <v>63500</v>
      </c>
      <c r="I288" s="470">
        <v>63500</v>
      </c>
      <c r="J288" s="470">
        <v>54600</v>
      </c>
      <c r="K288" s="18"/>
      <c r="L288" s="18" t="str">
        <f t="shared" si="33"/>
        <v>8</v>
      </c>
      <c r="M288" s="18" t="str">
        <f>INDEX(Chapter,MATCH(L288,Chapter!$A$1:$A$681,0),8)</f>
        <v>שירותים ממלכתיים</v>
      </c>
      <c r="N288" s="18" t="str">
        <f t="shared" si="34"/>
        <v>82</v>
      </c>
      <c r="O288" s="18" t="str">
        <f>INDEX(Chapter,MATCH(N288,Chapter!$A$1:$A$681,0),8)</f>
        <v>תרבות</v>
      </c>
      <c r="P288" s="18" t="str">
        <f t="shared" si="35"/>
        <v>821</v>
      </c>
      <c r="Q288" s="18" t="str">
        <f>INDEX(Chapter,MATCH(P288,Chapter!$A$1:$A$681,0),8)</f>
        <v>מינהל התרבות</v>
      </c>
      <c r="R288" s="18" t="str">
        <f t="shared" si="36"/>
        <v>8211</v>
      </c>
      <c r="S288" s="18" t="e">
        <f>INDEX(Chapter,MATCH(R288,Chapter!$A$1:$A$681,0),8)</f>
        <v>#N/A</v>
      </c>
      <c r="T288" s="18"/>
      <c r="U288" s="18" t="str">
        <f t="shared" si="37"/>
        <v>1</v>
      </c>
      <c r="V288" s="18" t="str">
        <f>IF($L288&lt;"6",INDEX(Revenue_type,MATCH(U288*1,type!$A$118:$A$168,0),8),INDEX(Expenditure_type,MATCH(U288*1,type!$A$2:$A$117,0),8))</f>
        <v>משכורות וש"ע לעובדים לפי תקן</v>
      </c>
      <c r="W288" s="18" t="str">
        <f t="shared" si="38"/>
        <v>12</v>
      </c>
      <c r="X288" s="18" t="str">
        <f>IF($L288&lt;"6",INDEX(Revenue_type,MATCH(W288*1,type!$A$118:$A$168,0),8),INDEX(Expenditure_type,MATCH(W288*1,type!$A$2:$A$117,0),8))</f>
        <v>תוספות שאינן נכללות בשכר הקובע</v>
      </c>
      <c r="Y288" s="18" t="str">
        <f t="shared" si="39"/>
        <v>120</v>
      </c>
      <c r="Z288" s="18" t="e">
        <f>IF($L288&lt;"6",INDEX(Revenue_type,MATCH(Y288*1,type!$A$118:$A$168,0),8),INDEX(Expenditure_type,MATCH(Y288*1,type!$A$2:$A$117,0),8))</f>
        <v>#N/A</v>
      </c>
    </row>
    <row r="289" spans="1:26" ht="15.75" hidden="1" customHeight="1" outlineLevel="2">
      <c r="A289">
        <v>700</v>
      </c>
      <c r="B289" s="249">
        <v>821140</v>
      </c>
      <c r="C289">
        <v>1</v>
      </c>
      <c r="D289" t="str">
        <f t="shared" si="32"/>
        <v>1821140.700</v>
      </c>
      <c r="E289" s="444" t="s">
        <v>7972</v>
      </c>
      <c r="H289" s="470">
        <v>194300</v>
      </c>
      <c r="I289" s="470">
        <v>200000</v>
      </c>
      <c r="J289" s="470">
        <v>194000</v>
      </c>
      <c r="K289" s="18"/>
      <c r="L289" s="18" t="str">
        <f t="shared" si="33"/>
        <v>8</v>
      </c>
      <c r="M289" s="18" t="str">
        <f>INDEX(Chapter,MATCH(L289,Chapter!$A$1:$A$681,0),8)</f>
        <v>שירותים ממלכתיים</v>
      </c>
      <c r="N289" s="18" t="str">
        <f t="shared" si="34"/>
        <v>82</v>
      </c>
      <c r="O289" s="18" t="str">
        <f>INDEX(Chapter,MATCH(N289,Chapter!$A$1:$A$681,0),8)</f>
        <v>תרבות</v>
      </c>
      <c r="P289" s="18" t="str">
        <f t="shared" si="35"/>
        <v>821</v>
      </c>
      <c r="Q289" s="18" t="str">
        <f>INDEX(Chapter,MATCH(P289,Chapter!$A$1:$A$681,0),8)</f>
        <v>מינהל התרבות</v>
      </c>
      <c r="R289" s="18" t="str">
        <f t="shared" si="36"/>
        <v>8211</v>
      </c>
      <c r="S289" s="18" t="e">
        <f>INDEX(Chapter,MATCH(R289,Chapter!$A$1:$A$681,0),8)</f>
        <v>#N/A</v>
      </c>
      <c r="T289" s="18"/>
      <c r="U289" s="18" t="str">
        <f t="shared" si="37"/>
        <v>7</v>
      </c>
      <c r="V289" s="18" t="str">
        <f>IF($L289&lt;"6",INDEX(Revenue_type,MATCH(U289*1,type!$A$118:$A$168,0),8),INDEX(Expenditure_type,MATCH(U289*1,type!$A$2:$A$117,0),8))</f>
        <v>הוצאות לפעולות</v>
      </c>
      <c r="W289" s="18" t="str">
        <f t="shared" si="38"/>
        <v>70</v>
      </c>
      <c r="X289" s="18" t="e">
        <f>IF($L289&lt;"6",INDEX(Revenue_type,MATCH(W289*1,type!$A$118:$A$168,0),8),INDEX(Expenditure_type,MATCH(W289*1,type!$A$2:$A$117,0),8))</f>
        <v>#N/A</v>
      </c>
      <c r="Y289" s="18" t="str">
        <f t="shared" si="39"/>
        <v>700</v>
      </c>
      <c r="Z289" s="18" t="e">
        <f>IF($L289&lt;"6",INDEX(Revenue_type,MATCH(Y289*1,type!$A$118:$A$168,0),8),INDEX(Expenditure_type,MATCH(Y289*1,type!$A$2:$A$117,0),8))</f>
        <v>#N/A</v>
      </c>
    </row>
    <row r="290" spans="1:26" ht="15.75" hidden="1" customHeight="1" outlineLevel="2">
      <c r="A290">
        <v>100</v>
      </c>
      <c r="B290" s="249">
        <v>821303</v>
      </c>
      <c r="C290">
        <v>1</v>
      </c>
      <c r="D290" t="str">
        <f t="shared" si="32"/>
        <v>1821303.100</v>
      </c>
      <c r="E290" s="444" t="s">
        <v>7973</v>
      </c>
      <c r="H290" s="470">
        <v>569600</v>
      </c>
      <c r="I290" s="470">
        <v>563600</v>
      </c>
      <c r="J290" s="470">
        <v>514900</v>
      </c>
      <c r="K290" s="18"/>
      <c r="L290" s="18" t="str">
        <f t="shared" si="33"/>
        <v>8</v>
      </c>
      <c r="M290" s="18" t="str">
        <f>INDEX(Chapter,MATCH(L290,Chapter!$A$1:$A$681,0),8)</f>
        <v>שירותים ממלכתיים</v>
      </c>
      <c r="N290" s="18" t="str">
        <f t="shared" si="34"/>
        <v>82</v>
      </c>
      <c r="O290" s="18" t="str">
        <f>INDEX(Chapter,MATCH(N290,Chapter!$A$1:$A$681,0),8)</f>
        <v>תרבות</v>
      </c>
      <c r="P290" s="18" t="str">
        <f t="shared" si="35"/>
        <v>821</v>
      </c>
      <c r="Q290" s="18" t="str">
        <f>INDEX(Chapter,MATCH(P290,Chapter!$A$1:$A$681,0),8)</f>
        <v>מינהל התרבות</v>
      </c>
      <c r="R290" s="18" t="str">
        <f t="shared" si="36"/>
        <v>8213</v>
      </c>
      <c r="S290" s="18" t="e">
        <f>INDEX(Chapter,MATCH(R290,Chapter!$A$1:$A$681,0),8)</f>
        <v>#N/A</v>
      </c>
      <c r="T290" s="18"/>
      <c r="U290" s="18" t="str">
        <f t="shared" si="37"/>
        <v>1</v>
      </c>
      <c r="V290" s="18" t="str">
        <f>IF($L290&lt;"6",INDEX(Revenue_type,MATCH(U290*1,type!$A$118:$A$168,0),8),INDEX(Expenditure_type,MATCH(U290*1,type!$A$2:$A$117,0),8))</f>
        <v>משכורות וש"ע לעובדים לפי תקן</v>
      </c>
      <c r="W290" s="18" t="str">
        <f t="shared" si="38"/>
        <v>10</v>
      </c>
      <c r="X290" s="18" t="e">
        <f>IF($L290&lt;"6",INDEX(Revenue_type,MATCH(W290*1,type!$A$118:$A$168,0),8),INDEX(Expenditure_type,MATCH(W290*1,type!$A$2:$A$117,0),8))</f>
        <v>#N/A</v>
      </c>
      <c r="Y290" s="18" t="str">
        <f t="shared" si="39"/>
        <v>100</v>
      </c>
      <c r="Z290" s="18" t="e">
        <f>IF($L290&lt;"6",INDEX(Revenue_type,MATCH(Y290*1,type!$A$118:$A$168,0),8),INDEX(Expenditure_type,MATCH(Y290*1,type!$A$2:$A$117,0),8))</f>
        <v>#N/A</v>
      </c>
    </row>
    <row r="291" spans="1:26" ht="15.75" hidden="1" customHeight="1" outlineLevel="2">
      <c r="A291">
        <v>120</v>
      </c>
      <c r="B291" s="249">
        <v>821303</v>
      </c>
      <c r="C291">
        <v>1</v>
      </c>
      <c r="D291" t="str">
        <f t="shared" si="32"/>
        <v>1821303.120</v>
      </c>
      <c r="E291" s="444" t="s">
        <v>7974</v>
      </c>
      <c r="H291" s="470">
        <v>7400</v>
      </c>
      <c r="I291" s="470">
        <v>7400</v>
      </c>
      <c r="J291" s="470">
        <v>600</v>
      </c>
      <c r="K291" s="18"/>
      <c r="L291" s="18" t="str">
        <f t="shared" si="33"/>
        <v>8</v>
      </c>
      <c r="M291" s="18" t="str">
        <f>INDEX(Chapter,MATCH(L291,Chapter!$A$1:$A$681,0),8)</f>
        <v>שירותים ממלכתיים</v>
      </c>
      <c r="N291" s="18" t="str">
        <f t="shared" si="34"/>
        <v>82</v>
      </c>
      <c r="O291" s="18" t="str">
        <f>INDEX(Chapter,MATCH(N291,Chapter!$A$1:$A$681,0),8)</f>
        <v>תרבות</v>
      </c>
      <c r="P291" s="18" t="str">
        <f t="shared" si="35"/>
        <v>821</v>
      </c>
      <c r="Q291" s="18" t="str">
        <f>INDEX(Chapter,MATCH(P291,Chapter!$A$1:$A$681,0),8)</f>
        <v>מינהל התרבות</v>
      </c>
      <c r="R291" s="18" t="str">
        <f t="shared" si="36"/>
        <v>8213</v>
      </c>
      <c r="S291" s="18" t="e">
        <f>INDEX(Chapter,MATCH(R291,Chapter!$A$1:$A$681,0),8)</f>
        <v>#N/A</v>
      </c>
      <c r="T291" s="18"/>
      <c r="U291" s="18" t="str">
        <f t="shared" si="37"/>
        <v>1</v>
      </c>
      <c r="V291" s="18" t="str">
        <f>IF($L291&lt;"6",INDEX(Revenue_type,MATCH(U291*1,type!$A$118:$A$168,0),8),INDEX(Expenditure_type,MATCH(U291*1,type!$A$2:$A$117,0),8))</f>
        <v>משכורות וש"ע לעובדים לפי תקן</v>
      </c>
      <c r="W291" s="18" t="str">
        <f t="shared" si="38"/>
        <v>12</v>
      </c>
      <c r="X291" s="18" t="str">
        <f>IF($L291&lt;"6",INDEX(Revenue_type,MATCH(W291*1,type!$A$118:$A$168,0),8),INDEX(Expenditure_type,MATCH(W291*1,type!$A$2:$A$117,0),8))</f>
        <v>תוספות שאינן נכללות בשכר הקובע</v>
      </c>
      <c r="Y291" s="18" t="str">
        <f t="shared" si="39"/>
        <v>120</v>
      </c>
      <c r="Z291" s="18" t="e">
        <f>IF($L291&lt;"6",INDEX(Revenue_type,MATCH(Y291*1,type!$A$118:$A$168,0),8),INDEX(Expenditure_type,MATCH(Y291*1,type!$A$2:$A$117,0),8))</f>
        <v>#N/A</v>
      </c>
    </row>
    <row r="292" spans="1:26" ht="15.75" hidden="1" customHeight="1" outlineLevel="2">
      <c r="A292">
        <v>400</v>
      </c>
      <c r="B292" s="249">
        <v>821303</v>
      </c>
      <c r="C292">
        <v>1</v>
      </c>
      <c r="D292" t="str">
        <f t="shared" si="32"/>
        <v>1821303.400</v>
      </c>
      <c r="E292" s="444" t="s">
        <v>7975</v>
      </c>
      <c r="H292" s="470">
        <v>15500</v>
      </c>
      <c r="I292" s="470">
        <v>15500</v>
      </c>
      <c r="J292" s="470">
        <v>12800</v>
      </c>
      <c r="K292" s="18"/>
      <c r="L292" s="18" t="str">
        <f t="shared" si="33"/>
        <v>8</v>
      </c>
      <c r="M292" s="18" t="str">
        <f>INDEX(Chapter,MATCH(L292,Chapter!$A$1:$A$681,0),8)</f>
        <v>שירותים ממלכתיים</v>
      </c>
      <c r="N292" s="18" t="str">
        <f t="shared" si="34"/>
        <v>82</v>
      </c>
      <c r="O292" s="18" t="str">
        <f>INDEX(Chapter,MATCH(N292,Chapter!$A$1:$A$681,0),8)</f>
        <v>תרבות</v>
      </c>
      <c r="P292" s="18" t="str">
        <f t="shared" si="35"/>
        <v>821</v>
      </c>
      <c r="Q292" s="18" t="str">
        <f>INDEX(Chapter,MATCH(P292,Chapter!$A$1:$A$681,0),8)</f>
        <v>מינהל התרבות</v>
      </c>
      <c r="R292" s="18" t="str">
        <f t="shared" si="36"/>
        <v>8213</v>
      </c>
      <c r="S292" s="18" t="e">
        <f>INDEX(Chapter,MATCH(R292,Chapter!$A$1:$A$681,0),8)</f>
        <v>#N/A</v>
      </c>
      <c r="T292" s="18"/>
      <c r="U292" s="18" t="str">
        <f t="shared" si="37"/>
        <v>4</v>
      </c>
      <c r="V292" s="18" t="str">
        <f>IF($L292&lt;"6",INDEX(Revenue_type,MATCH(U292*1,type!$A$118:$A$168,0),8),INDEX(Expenditure_type,MATCH(U292*1,type!$A$2:$A$117,0),8))</f>
        <v>אחזקת בינים ואספקת ציוד</v>
      </c>
      <c r="W292" s="18" t="str">
        <f t="shared" si="38"/>
        <v>40</v>
      </c>
      <c r="X292" s="18" t="e">
        <f>IF($L292&lt;"6",INDEX(Revenue_type,MATCH(W292*1,type!$A$118:$A$168,0),8),INDEX(Expenditure_type,MATCH(W292*1,type!$A$2:$A$117,0),8))</f>
        <v>#N/A</v>
      </c>
      <c r="Y292" s="18" t="str">
        <f t="shared" si="39"/>
        <v>400</v>
      </c>
      <c r="Z292" s="18" t="e">
        <f>IF($L292&lt;"6",INDEX(Revenue_type,MATCH(Y292*1,type!$A$118:$A$168,0),8),INDEX(Expenditure_type,MATCH(Y292*1,type!$A$2:$A$117,0),8))</f>
        <v>#N/A</v>
      </c>
    </row>
    <row r="293" spans="1:26" ht="15.75" hidden="1" customHeight="1" outlineLevel="2">
      <c r="A293">
        <v>500</v>
      </c>
      <c r="B293" s="249">
        <v>821303</v>
      </c>
      <c r="C293">
        <v>1</v>
      </c>
      <c r="D293" t="str">
        <f t="shared" si="32"/>
        <v>1821303.500</v>
      </c>
      <c r="E293" s="444" t="s">
        <v>7976</v>
      </c>
      <c r="H293" s="470">
        <v>14100</v>
      </c>
      <c r="I293" s="470">
        <v>15000</v>
      </c>
      <c r="J293" s="470">
        <v>19300</v>
      </c>
      <c r="K293" s="18"/>
      <c r="L293" s="18" t="str">
        <f t="shared" si="33"/>
        <v>8</v>
      </c>
      <c r="M293" s="18" t="str">
        <f>INDEX(Chapter,MATCH(L293,Chapter!$A$1:$A$681,0),8)</f>
        <v>שירותים ממלכתיים</v>
      </c>
      <c r="N293" s="18" t="str">
        <f t="shared" si="34"/>
        <v>82</v>
      </c>
      <c r="O293" s="18" t="str">
        <f>INDEX(Chapter,MATCH(N293,Chapter!$A$1:$A$681,0),8)</f>
        <v>תרבות</v>
      </c>
      <c r="P293" s="18" t="str">
        <f t="shared" si="35"/>
        <v>821</v>
      </c>
      <c r="Q293" s="18" t="str">
        <f>INDEX(Chapter,MATCH(P293,Chapter!$A$1:$A$681,0),8)</f>
        <v>מינהל התרבות</v>
      </c>
      <c r="R293" s="18" t="str">
        <f t="shared" si="36"/>
        <v>8213</v>
      </c>
      <c r="S293" s="18" t="e">
        <f>INDEX(Chapter,MATCH(R293,Chapter!$A$1:$A$681,0),8)</f>
        <v>#N/A</v>
      </c>
      <c r="T293" s="18"/>
      <c r="U293" s="18" t="str">
        <f t="shared" si="37"/>
        <v>5</v>
      </c>
      <c r="V293" s="18" t="str">
        <f>IF($L293&lt;"6",INDEX(Revenue_type,MATCH(U293*1,type!$A$118:$A$168,0),8),INDEX(Expenditure_type,MATCH(U293*1,type!$A$2:$A$117,0),8))</f>
        <v>הוצאות מנהליות</v>
      </c>
      <c r="W293" s="18" t="str">
        <f t="shared" si="38"/>
        <v>50</v>
      </c>
      <c r="X293" s="18" t="e">
        <f>IF($L293&lt;"6",INDEX(Revenue_type,MATCH(W293*1,type!$A$118:$A$168,0),8),INDEX(Expenditure_type,MATCH(W293*1,type!$A$2:$A$117,0),8))</f>
        <v>#N/A</v>
      </c>
      <c r="Y293" s="18" t="str">
        <f t="shared" si="39"/>
        <v>500</v>
      </c>
      <c r="Z293" s="18" t="e">
        <f>IF($L293&lt;"6",INDEX(Revenue_type,MATCH(Y293*1,type!$A$118:$A$168,0),8),INDEX(Expenditure_type,MATCH(Y293*1,type!$A$2:$A$117,0),8))</f>
        <v>#N/A</v>
      </c>
    </row>
    <row r="294" spans="1:26" ht="15.75" hidden="1" customHeight="1" outlineLevel="2">
      <c r="A294">
        <v>700</v>
      </c>
      <c r="B294" s="249">
        <v>821303</v>
      </c>
      <c r="C294">
        <v>1</v>
      </c>
      <c r="D294" t="str">
        <f t="shared" si="32"/>
        <v>1821303.700</v>
      </c>
      <c r="E294" s="444" t="s">
        <v>7977</v>
      </c>
      <c r="H294" s="470">
        <v>600</v>
      </c>
      <c r="I294" s="470">
        <v>600</v>
      </c>
      <c r="J294" s="470">
        <v>100</v>
      </c>
      <c r="K294" s="18"/>
      <c r="L294" s="18" t="str">
        <f t="shared" si="33"/>
        <v>8</v>
      </c>
      <c r="M294" s="18" t="str">
        <f>INDEX(Chapter,MATCH(L294,Chapter!$A$1:$A$681,0),8)</f>
        <v>שירותים ממלכתיים</v>
      </c>
      <c r="N294" s="18" t="str">
        <f t="shared" si="34"/>
        <v>82</v>
      </c>
      <c r="O294" s="18" t="str">
        <f>INDEX(Chapter,MATCH(N294,Chapter!$A$1:$A$681,0),8)</f>
        <v>תרבות</v>
      </c>
      <c r="P294" s="18" t="str">
        <f t="shared" si="35"/>
        <v>821</v>
      </c>
      <c r="Q294" s="18" t="str">
        <f>INDEX(Chapter,MATCH(P294,Chapter!$A$1:$A$681,0),8)</f>
        <v>מינהל התרבות</v>
      </c>
      <c r="R294" s="18" t="str">
        <f t="shared" si="36"/>
        <v>8213</v>
      </c>
      <c r="S294" s="18" t="e">
        <f>INDEX(Chapter,MATCH(R294,Chapter!$A$1:$A$681,0),8)</f>
        <v>#N/A</v>
      </c>
      <c r="T294" s="18"/>
      <c r="U294" s="18" t="str">
        <f t="shared" si="37"/>
        <v>7</v>
      </c>
      <c r="V294" s="18" t="str">
        <f>IF($L294&lt;"6",INDEX(Revenue_type,MATCH(U294*1,type!$A$118:$A$168,0),8),INDEX(Expenditure_type,MATCH(U294*1,type!$A$2:$A$117,0),8))</f>
        <v>הוצאות לפעולות</v>
      </c>
      <c r="W294" s="18" t="str">
        <f t="shared" si="38"/>
        <v>70</v>
      </c>
      <c r="X294" s="18" t="e">
        <f>IF($L294&lt;"6",INDEX(Revenue_type,MATCH(W294*1,type!$A$118:$A$168,0),8),INDEX(Expenditure_type,MATCH(W294*1,type!$A$2:$A$117,0),8))</f>
        <v>#N/A</v>
      </c>
      <c r="Y294" s="18" t="str">
        <f t="shared" si="39"/>
        <v>700</v>
      </c>
      <c r="Z294" s="18" t="e">
        <f>IF($L294&lt;"6",INDEX(Revenue_type,MATCH(Y294*1,type!$A$118:$A$168,0),8),INDEX(Expenditure_type,MATCH(Y294*1,type!$A$2:$A$117,0),8))</f>
        <v>#N/A</v>
      </c>
    </row>
    <row r="295" spans="1:26" ht="15.75" hidden="1" customHeight="1" outlineLevel="2">
      <c r="A295">
        <v>100</v>
      </c>
      <c r="B295" s="249">
        <v>821607</v>
      </c>
      <c r="C295">
        <v>1</v>
      </c>
      <c r="D295" t="str">
        <f t="shared" si="32"/>
        <v>1821607.100</v>
      </c>
      <c r="E295" s="444" t="s">
        <v>7978</v>
      </c>
      <c r="H295" s="470">
        <v>2155000</v>
      </c>
      <c r="I295" s="470">
        <v>2130000</v>
      </c>
      <c r="J295" s="470">
        <v>2594200</v>
      </c>
      <c r="K295" s="18"/>
      <c r="L295" s="18" t="str">
        <f t="shared" si="33"/>
        <v>8</v>
      </c>
      <c r="M295" s="18" t="str">
        <f>INDEX(Chapter,MATCH(L295,Chapter!$A$1:$A$681,0),8)</f>
        <v>שירותים ממלכתיים</v>
      </c>
      <c r="N295" s="18" t="str">
        <f t="shared" si="34"/>
        <v>82</v>
      </c>
      <c r="O295" s="18" t="str">
        <f>INDEX(Chapter,MATCH(N295,Chapter!$A$1:$A$681,0),8)</f>
        <v>תרבות</v>
      </c>
      <c r="P295" s="18" t="str">
        <f t="shared" si="35"/>
        <v>821</v>
      </c>
      <c r="Q295" s="18" t="str">
        <f>INDEX(Chapter,MATCH(P295,Chapter!$A$1:$A$681,0),8)</f>
        <v>מינהל התרבות</v>
      </c>
      <c r="R295" s="18" t="str">
        <f t="shared" si="36"/>
        <v>8216</v>
      </c>
      <c r="S295" s="18" t="e">
        <f>INDEX(Chapter,MATCH(R295,Chapter!$A$1:$A$681,0),8)</f>
        <v>#N/A</v>
      </c>
      <c r="T295" s="18"/>
      <c r="U295" s="18" t="str">
        <f t="shared" si="37"/>
        <v>1</v>
      </c>
      <c r="V295" s="18" t="str">
        <f>IF($L295&lt;"6",INDEX(Revenue_type,MATCH(U295*1,type!$A$118:$A$168,0),8),INDEX(Expenditure_type,MATCH(U295*1,type!$A$2:$A$117,0),8))</f>
        <v>משכורות וש"ע לעובדים לפי תקן</v>
      </c>
      <c r="W295" s="18" t="str">
        <f t="shared" si="38"/>
        <v>10</v>
      </c>
      <c r="X295" s="18" t="e">
        <f>IF($L295&lt;"6",INDEX(Revenue_type,MATCH(W295*1,type!$A$118:$A$168,0),8),INDEX(Expenditure_type,MATCH(W295*1,type!$A$2:$A$117,0),8))</f>
        <v>#N/A</v>
      </c>
      <c r="Y295" s="18" t="str">
        <f t="shared" si="39"/>
        <v>100</v>
      </c>
      <c r="Z295" s="18" t="e">
        <f>IF($L295&lt;"6",INDEX(Revenue_type,MATCH(Y295*1,type!$A$118:$A$168,0),8),INDEX(Expenditure_type,MATCH(Y295*1,type!$A$2:$A$117,0),8))</f>
        <v>#N/A</v>
      </c>
    </row>
    <row r="296" spans="1:26" ht="15.75" hidden="1" customHeight="1" outlineLevel="2">
      <c r="A296">
        <v>120</v>
      </c>
      <c r="B296" s="249">
        <v>821607</v>
      </c>
      <c r="C296">
        <v>1</v>
      </c>
      <c r="D296" t="str">
        <f t="shared" si="32"/>
        <v>1821607.120</v>
      </c>
      <c r="E296" s="444" t="s">
        <v>7979</v>
      </c>
      <c r="H296" s="470">
        <v>118000</v>
      </c>
      <c r="I296" s="470">
        <v>118000</v>
      </c>
      <c r="J296" s="470">
        <v>120700</v>
      </c>
      <c r="K296" s="18"/>
      <c r="L296" s="18" t="str">
        <f t="shared" si="33"/>
        <v>8</v>
      </c>
      <c r="M296" s="18" t="str">
        <f>INDEX(Chapter,MATCH(L296,Chapter!$A$1:$A$681,0),8)</f>
        <v>שירותים ממלכתיים</v>
      </c>
      <c r="N296" s="18" t="str">
        <f t="shared" si="34"/>
        <v>82</v>
      </c>
      <c r="O296" s="18" t="str">
        <f>INDEX(Chapter,MATCH(N296,Chapter!$A$1:$A$681,0),8)</f>
        <v>תרבות</v>
      </c>
      <c r="P296" s="18" t="str">
        <f t="shared" si="35"/>
        <v>821</v>
      </c>
      <c r="Q296" s="18" t="str">
        <f>INDEX(Chapter,MATCH(P296,Chapter!$A$1:$A$681,0),8)</f>
        <v>מינהל התרבות</v>
      </c>
      <c r="R296" s="18" t="str">
        <f t="shared" si="36"/>
        <v>8216</v>
      </c>
      <c r="S296" s="18" t="e">
        <f>INDEX(Chapter,MATCH(R296,Chapter!$A$1:$A$681,0),8)</f>
        <v>#N/A</v>
      </c>
      <c r="T296" s="18"/>
      <c r="U296" s="18" t="str">
        <f t="shared" si="37"/>
        <v>1</v>
      </c>
      <c r="V296" s="18" t="str">
        <f>IF($L296&lt;"6",INDEX(Revenue_type,MATCH(U296*1,type!$A$118:$A$168,0),8),INDEX(Expenditure_type,MATCH(U296*1,type!$A$2:$A$117,0),8))</f>
        <v>משכורות וש"ע לעובדים לפי תקן</v>
      </c>
      <c r="W296" s="18" t="str">
        <f t="shared" si="38"/>
        <v>12</v>
      </c>
      <c r="X296" s="18" t="str">
        <f>IF($L296&lt;"6",INDEX(Revenue_type,MATCH(W296*1,type!$A$118:$A$168,0),8),INDEX(Expenditure_type,MATCH(W296*1,type!$A$2:$A$117,0),8))</f>
        <v>תוספות שאינן נכללות בשכר הקובע</v>
      </c>
      <c r="Y296" s="18" t="str">
        <f t="shared" si="39"/>
        <v>120</v>
      </c>
      <c r="Z296" s="18" t="e">
        <f>IF($L296&lt;"6",INDEX(Revenue_type,MATCH(Y296*1,type!$A$118:$A$168,0),8),INDEX(Expenditure_type,MATCH(Y296*1,type!$A$2:$A$117,0),8))</f>
        <v>#N/A</v>
      </c>
    </row>
    <row r="297" spans="1:26" ht="15.75" hidden="1" customHeight="1" outlineLevel="2">
      <c r="A297">
        <v>400</v>
      </c>
      <c r="B297" s="249">
        <v>821607</v>
      </c>
      <c r="C297">
        <v>1</v>
      </c>
      <c r="D297" t="str">
        <f t="shared" si="32"/>
        <v>1821607.400</v>
      </c>
      <c r="E297" s="444" t="s">
        <v>7980</v>
      </c>
      <c r="H297" s="470">
        <v>50000</v>
      </c>
      <c r="I297" s="470">
        <v>50000</v>
      </c>
      <c r="J297" s="470">
        <v>107000</v>
      </c>
      <c r="K297" s="18"/>
      <c r="L297" s="18" t="str">
        <f t="shared" si="33"/>
        <v>8</v>
      </c>
      <c r="M297" s="18" t="str">
        <f>INDEX(Chapter,MATCH(L297,Chapter!$A$1:$A$681,0),8)</f>
        <v>שירותים ממלכתיים</v>
      </c>
      <c r="N297" s="18" t="str">
        <f t="shared" si="34"/>
        <v>82</v>
      </c>
      <c r="O297" s="18" t="str">
        <f>INDEX(Chapter,MATCH(N297,Chapter!$A$1:$A$681,0),8)</f>
        <v>תרבות</v>
      </c>
      <c r="P297" s="18" t="str">
        <f t="shared" si="35"/>
        <v>821</v>
      </c>
      <c r="Q297" s="18" t="str">
        <f>INDEX(Chapter,MATCH(P297,Chapter!$A$1:$A$681,0),8)</f>
        <v>מינהל התרבות</v>
      </c>
      <c r="R297" s="18" t="str">
        <f t="shared" si="36"/>
        <v>8216</v>
      </c>
      <c r="S297" s="18" t="e">
        <f>INDEX(Chapter,MATCH(R297,Chapter!$A$1:$A$681,0),8)</f>
        <v>#N/A</v>
      </c>
      <c r="T297" s="18"/>
      <c r="U297" s="18" t="str">
        <f t="shared" si="37"/>
        <v>4</v>
      </c>
      <c r="V297" s="18" t="str">
        <f>IF($L297&lt;"6",INDEX(Revenue_type,MATCH(U297*1,type!$A$118:$A$168,0),8),INDEX(Expenditure_type,MATCH(U297*1,type!$A$2:$A$117,0),8))</f>
        <v>אחזקת בינים ואספקת ציוד</v>
      </c>
      <c r="W297" s="18" t="str">
        <f t="shared" si="38"/>
        <v>40</v>
      </c>
      <c r="X297" s="18" t="e">
        <f>IF($L297&lt;"6",INDEX(Revenue_type,MATCH(W297*1,type!$A$118:$A$168,0),8),INDEX(Expenditure_type,MATCH(W297*1,type!$A$2:$A$117,0),8))</f>
        <v>#N/A</v>
      </c>
      <c r="Y297" s="18" t="str">
        <f t="shared" si="39"/>
        <v>400</v>
      </c>
      <c r="Z297" s="18" t="e">
        <f>IF($L297&lt;"6",INDEX(Revenue_type,MATCH(Y297*1,type!$A$118:$A$168,0),8),INDEX(Expenditure_type,MATCH(Y297*1,type!$A$2:$A$117,0),8))</f>
        <v>#N/A</v>
      </c>
    </row>
    <row r="298" spans="1:26" ht="15.75" hidden="1" customHeight="1" outlineLevel="2">
      <c r="A298">
        <v>500</v>
      </c>
      <c r="B298" s="249">
        <v>821607</v>
      </c>
      <c r="C298">
        <v>1</v>
      </c>
      <c r="D298" t="str">
        <f t="shared" si="32"/>
        <v>1821607.500</v>
      </c>
      <c r="E298" s="444" t="s">
        <v>7981</v>
      </c>
      <c r="H298" s="470">
        <v>20200</v>
      </c>
      <c r="I298" s="470">
        <v>25000</v>
      </c>
      <c r="J298" s="470">
        <v>19300</v>
      </c>
      <c r="K298" s="18"/>
      <c r="L298" s="18" t="str">
        <f t="shared" si="33"/>
        <v>8</v>
      </c>
      <c r="M298" s="18" t="str">
        <f>INDEX(Chapter,MATCH(L298,Chapter!$A$1:$A$681,0),8)</f>
        <v>שירותים ממלכתיים</v>
      </c>
      <c r="N298" s="18" t="str">
        <f t="shared" si="34"/>
        <v>82</v>
      </c>
      <c r="O298" s="18" t="str">
        <f>INDEX(Chapter,MATCH(N298,Chapter!$A$1:$A$681,0),8)</f>
        <v>תרבות</v>
      </c>
      <c r="P298" s="18" t="str">
        <f t="shared" si="35"/>
        <v>821</v>
      </c>
      <c r="Q298" s="18" t="str">
        <f>INDEX(Chapter,MATCH(P298,Chapter!$A$1:$A$681,0),8)</f>
        <v>מינהל התרבות</v>
      </c>
      <c r="R298" s="18" t="str">
        <f t="shared" si="36"/>
        <v>8216</v>
      </c>
      <c r="S298" s="18" t="e">
        <f>INDEX(Chapter,MATCH(R298,Chapter!$A$1:$A$681,0),8)</f>
        <v>#N/A</v>
      </c>
      <c r="T298" s="18"/>
      <c r="U298" s="18" t="str">
        <f t="shared" si="37"/>
        <v>5</v>
      </c>
      <c r="V298" s="18" t="str">
        <f>IF($L298&lt;"6",INDEX(Revenue_type,MATCH(U298*1,type!$A$118:$A$168,0),8),INDEX(Expenditure_type,MATCH(U298*1,type!$A$2:$A$117,0),8))</f>
        <v>הוצאות מנהליות</v>
      </c>
      <c r="W298" s="18" t="str">
        <f t="shared" si="38"/>
        <v>50</v>
      </c>
      <c r="X298" s="18" t="e">
        <f>IF($L298&lt;"6",INDEX(Revenue_type,MATCH(W298*1,type!$A$118:$A$168,0),8),INDEX(Expenditure_type,MATCH(W298*1,type!$A$2:$A$117,0),8))</f>
        <v>#N/A</v>
      </c>
      <c r="Y298" s="18" t="str">
        <f t="shared" si="39"/>
        <v>500</v>
      </c>
      <c r="Z298" s="18" t="e">
        <f>IF($L298&lt;"6",INDEX(Revenue_type,MATCH(Y298*1,type!$A$118:$A$168,0),8),INDEX(Expenditure_type,MATCH(Y298*1,type!$A$2:$A$117,0),8))</f>
        <v>#N/A</v>
      </c>
    </row>
    <row r="299" spans="1:26" ht="15.75" hidden="1" customHeight="1" outlineLevel="2">
      <c r="A299">
        <v>500</v>
      </c>
      <c r="B299" s="249">
        <v>821607</v>
      </c>
      <c r="C299">
        <v>1</v>
      </c>
      <c r="D299" t="str">
        <f t="shared" si="32"/>
        <v>1821607.500</v>
      </c>
      <c r="E299" s="444" t="s">
        <v>7982</v>
      </c>
      <c r="H299" s="470">
        <v>9800</v>
      </c>
      <c r="I299" s="470">
        <v>13800</v>
      </c>
      <c r="J299" s="470">
        <v>17200</v>
      </c>
      <c r="K299" s="18"/>
      <c r="L299" s="18" t="str">
        <f t="shared" si="33"/>
        <v>8</v>
      </c>
      <c r="M299" s="18" t="str">
        <f>INDEX(Chapter,MATCH(L299,Chapter!$A$1:$A$681,0),8)</f>
        <v>שירותים ממלכתיים</v>
      </c>
      <c r="N299" s="18" t="str">
        <f t="shared" si="34"/>
        <v>82</v>
      </c>
      <c r="O299" s="18" t="str">
        <f>INDEX(Chapter,MATCH(N299,Chapter!$A$1:$A$681,0),8)</f>
        <v>תרבות</v>
      </c>
      <c r="P299" s="18" t="str">
        <f t="shared" si="35"/>
        <v>821</v>
      </c>
      <c r="Q299" s="18" t="str">
        <f>INDEX(Chapter,MATCH(P299,Chapter!$A$1:$A$681,0),8)</f>
        <v>מינהל התרבות</v>
      </c>
      <c r="R299" s="18" t="str">
        <f t="shared" si="36"/>
        <v>8216</v>
      </c>
      <c r="S299" s="18" t="e">
        <f>INDEX(Chapter,MATCH(R299,Chapter!$A$1:$A$681,0),8)</f>
        <v>#N/A</v>
      </c>
      <c r="T299" s="18"/>
      <c r="U299" s="18" t="str">
        <f t="shared" si="37"/>
        <v>5</v>
      </c>
      <c r="V299" s="18" t="str">
        <f>IF($L299&lt;"6",INDEX(Revenue_type,MATCH(U299*1,type!$A$118:$A$168,0),8),INDEX(Expenditure_type,MATCH(U299*1,type!$A$2:$A$117,0),8))</f>
        <v>הוצאות מנהליות</v>
      </c>
      <c r="W299" s="18" t="str">
        <f t="shared" si="38"/>
        <v>50</v>
      </c>
      <c r="X299" s="18" t="e">
        <f>IF($L299&lt;"6",INDEX(Revenue_type,MATCH(W299*1,type!$A$118:$A$168,0),8),INDEX(Expenditure_type,MATCH(W299*1,type!$A$2:$A$117,0),8))</f>
        <v>#N/A</v>
      </c>
      <c r="Y299" s="18" t="str">
        <f t="shared" si="39"/>
        <v>500</v>
      </c>
      <c r="Z299" s="18" t="e">
        <f>IF($L299&lt;"6",INDEX(Revenue_type,MATCH(Y299*1,type!$A$118:$A$168,0),8),INDEX(Expenditure_type,MATCH(Y299*1,type!$A$2:$A$117,0),8))</f>
        <v>#N/A</v>
      </c>
    </row>
    <row r="300" spans="1:26" ht="15.75" hidden="1" customHeight="1" outlineLevel="2">
      <c r="A300">
        <v>700</v>
      </c>
      <c r="B300" s="249">
        <v>821607</v>
      </c>
      <c r="C300">
        <v>1</v>
      </c>
      <c r="D300" t="str">
        <f t="shared" si="32"/>
        <v>1821607.700</v>
      </c>
      <c r="E300" s="444" t="s">
        <v>7983</v>
      </c>
      <c r="H300" s="470">
        <v>559600</v>
      </c>
      <c r="I300" s="470">
        <v>569600</v>
      </c>
      <c r="J300" s="470">
        <v>572800</v>
      </c>
      <c r="K300" s="18"/>
      <c r="L300" s="18" t="str">
        <f t="shared" si="33"/>
        <v>8</v>
      </c>
      <c r="M300" s="18" t="str">
        <f>INDEX(Chapter,MATCH(L300,Chapter!$A$1:$A$681,0),8)</f>
        <v>שירותים ממלכתיים</v>
      </c>
      <c r="N300" s="18" t="str">
        <f t="shared" si="34"/>
        <v>82</v>
      </c>
      <c r="O300" s="18" t="str">
        <f>INDEX(Chapter,MATCH(N300,Chapter!$A$1:$A$681,0),8)</f>
        <v>תרבות</v>
      </c>
      <c r="P300" s="18" t="str">
        <f t="shared" si="35"/>
        <v>821</v>
      </c>
      <c r="Q300" s="18" t="str">
        <f>INDEX(Chapter,MATCH(P300,Chapter!$A$1:$A$681,0),8)</f>
        <v>מינהל התרבות</v>
      </c>
      <c r="R300" s="18" t="str">
        <f t="shared" si="36"/>
        <v>8216</v>
      </c>
      <c r="S300" s="18" t="e">
        <f>INDEX(Chapter,MATCH(R300,Chapter!$A$1:$A$681,0),8)</f>
        <v>#N/A</v>
      </c>
      <c r="T300" s="18"/>
      <c r="U300" s="18" t="str">
        <f t="shared" si="37"/>
        <v>7</v>
      </c>
      <c r="V300" s="18" t="str">
        <f>IF($L300&lt;"6",INDEX(Revenue_type,MATCH(U300*1,type!$A$118:$A$168,0),8),INDEX(Expenditure_type,MATCH(U300*1,type!$A$2:$A$117,0),8))</f>
        <v>הוצאות לפעולות</v>
      </c>
      <c r="W300" s="18" t="str">
        <f t="shared" si="38"/>
        <v>70</v>
      </c>
      <c r="X300" s="18" t="e">
        <f>IF($L300&lt;"6",INDEX(Revenue_type,MATCH(W300*1,type!$A$118:$A$168,0),8),INDEX(Expenditure_type,MATCH(W300*1,type!$A$2:$A$117,0),8))</f>
        <v>#N/A</v>
      </c>
      <c r="Y300" s="18" t="str">
        <f t="shared" si="39"/>
        <v>700</v>
      </c>
      <c r="Z300" s="18" t="e">
        <f>IF($L300&lt;"6",INDEX(Revenue_type,MATCH(Y300*1,type!$A$118:$A$168,0),8),INDEX(Expenditure_type,MATCH(Y300*1,type!$A$2:$A$117,0),8))</f>
        <v>#N/A</v>
      </c>
    </row>
    <row r="301" spans="1:26" ht="15.75" hidden="1" customHeight="1" outlineLevel="2">
      <c r="A301">
        <v>700</v>
      </c>
      <c r="B301" s="249">
        <v>824300</v>
      </c>
      <c r="C301">
        <v>1</v>
      </c>
      <c r="D301" t="str">
        <f t="shared" si="32"/>
        <v>1824300.700</v>
      </c>
      <c r="E301" s="444" t="s">
        <v>7984</v>
      </c>
      <c r="H301" s="470">
        <v>242900</v>
      </c>
      <c r="I301" s="470">
        <v>250000</v>
      </c>
      <c r="J301" s="470">
        <v>160900</v>
      </c>
      <c r="K301" s="18"/>
      <c r="L301" s="18" t="str">
        <f t="shared" si="33"/>
        <v>8</v>
      </c>
      <c r="M301" s="18" t="str">
        <f>INDEX(Chapter,MATCH(L301,Chapter!$A$1:$A$681,0),8)</f>
        <v>שירותים ממלכתיים</v>
      </c>
      <c r="N301" s="18" t="str">
        <f t="shared" si="34"/>
        <v>82</v>
      </c>
      <c r="O301" s="18" t="str">
        <f>INDEX(Chapter,MATCH(N301,Chapter!$A$1:$A$681,0),8)</f>
        <v>תרבות</v>
      </c>
      <c r="P301" s="18" t="str">
        <f t="shared" si="35"/>
        <v>824</v>
      </c>
      <c r="Q301" s="18" t="str">
        <f>INDEX(Chapter,MATCH(P301,Chapter!$A$1:$A$681,0),8)</f>
        <v>מתנ״סים</v>
      </c>
      <c r="R301" s="18" t="str">
        <f t="shared" si="36"/>
        <v>8243</v>
      </c>
      <c r="S301" s="18" t="e">
        <f>INDEX(Chapter,MATCH(R301,Chapter!$A$1:$A$681,0),8)</f>
        <v>#N/A</v>
      </c>
      <c r="T301" s="18"/>
      <c r="U301" s="18" t="str">
        <f t="shared" si="37"/>
        <v>7</v>
      </c>
      <c r="V301" s="18" t="str">
        <f>IF($L301&lt;"6",INDEX(Revenue_type,MATCH(U301*1,type!$A$118:$A$168,0),8),INDEX(Expenditure_type,MATCH(U301*1,type!$A$2:$A$117,0),8))</f>
        <v>הוצאות לפעולות</v>
      </c>
      <c r="W301" s="18" t="str">
        <f t="shared" si="38"/>
        <v>70</v>
      </c>
      <c r="X301" s="18" t="e">
        <f>IF($L301&lt;"6",INDEX(Revenue_type,MATCH(W301*1,type!$A$118:$A$168,0),8),INDEX(Expenditure_type,MATCH(W301*1,type!$A$2:$A$117,0),8))</f>
        <v>#N/A</v>
      </c>
      <c r="Y301" s="18" t="str">
        <f t="shared" si="39"/>
        <v>700</v>
      </c>
      <c r="Z301" s="18" t="e">
        <f>IF($L301&lt;"6",INDEX(Revenue_type,MATCH(Y301*1,type!$A$118:$A$168,0),8),INDEX(Expenditure_type,MATCH(Y301*1,type!$A$2:$A$117,0),8))</f>
        <v>#N/A</v>
      </c>
    </row>
    <row r="302" spans="1:26" ht="15.75" hidden="1" customHeight="1" outlineLevel="2">
      <c r="A302">
        <v>200</v>
      </c>
      <c r="B302" s="249">
        <v>827000</v>
      </c>
      <c r="C302">
        <v>1</v>
      </c>
      <c r="D302" t="str">
        <f t="shared" si="32"/>
        <v>1827000.200</v>
      </c>
      <c r="E302" s="444" t="s">
        <v>7985</v>
      </c>
      <c r="H302" s="470">
        <v>983100</v>
      </c>
      <c r="I302" s="470">
        <v>983100</v>
      </c>
      <c r="J302" s="470">
        <v>1168800</v>
      </c>
      <c r="K302" s="18"/>
      <c r="L302" s="18" t="str">
        <f t="shared" si="33"/>
        <v>8</v>
      </c>
      <c r="M302" s="18" t="str">
        <f>INDEX(Chapter,MATCH(L302,Chapter!$A$1:$A$681,0),8)</f>
        <v>שירותים ממלכתיים</v>
      </c>
      <c r="N302" s="18" t="str">
        <f t="shared" si="34"/>
        <v>82</v>
      </c>
      <c r="O302" s="18" t="str">
        <f>INDEX(Chapter,MATCH(N302,Chapter!$A$1:$A$681,0),8)</f>
        <v>תרבות</v>
      </c>
      <c r="P302" s="18" t="str">
        <f t="shared" si="35"/>
        <v>827</v>
      </c>
      <c r="Q302" s="18" t="str">
        <f>INDEX(Chapter,MATCH(P302,Chapter!$A$1:$A$681,0),8)</f>
        <v>תרבות תורנית</v>
      </c>
      <c r="R302" s="18" t="str">
        <f t="shared" si="36"/>
        <v>8270</v>
      </c>
      <c r="S302" s="18" t="e">
        <f>INDEX(Chapter,MATCH(R302,Chapter!$A$1:$A$681,0),8)</f>
        <v>#N/A</v>
      </c>
      <c r="T302" s="18"/>
      <c r="U302" s="18" t="str">
        <f t="shared" si="37"/>
        <v>2</v>
      </c>
      <c r="V302" s="18" t="str">
        <f>IF($L302&lt;"6",INDEX(Revenue_type,MATCH(U302*1,type!$A$118:$A$168,0),8),INDEX(Expenditure_type,MATCH(U302*1,type!$A$2:$A$117,0),8))</f>
        <v>משכורות וש"ע לעובדים בלי תקן</v>
      </c>
      <c r="W302" s="18" t="str">
        <f t="shared" si="38"/>
        <v>20</v>
      </c>
      <c r="X302" s="18" t="e">
        <f>IF($L302&lt;"6",INDEX(Revenue_type,MATCH(W302*1,type!$A$118:$A$168,0),8),INDEX(Expenditure_type,MATCH(W302*1,type!$A$2:$A$117,0),8))</f>
        <v>#N/A</v>
      </c>
      <c r="Y302" s="18" t="str">
        <f t="shared" si="39"/>
        <v>200</v>
      </c>
      <c r="Z302" s="18" t="e">
        <f>IF($L302&lt;"6",INDEX(Revenue_type,MATCH(Y302*1,type!$A$118:$A$168,0),8),INDEX(Expenditure_type,MATCH(Y302*1,type!$A$2:$A$117,0),8))</f>
        <v>#N/A</v>
      </c>
    </row>
    <row r="303" spans="1:26" ht="15.75" hidden="1" customHeight="1" outlineLevel="2">
      <c r="A303">
        <v>120</v>
      </c>
      <c r="B303" s="249">
        <v>827000</v>
      </c>
      <c r="C303">
        <v>1</v>
      </c>
      <c r="D303" t="str">
        <f t="shared" si="32"/>
        <v>1827000.120</v>
      </c>
      <c r="E303" s="444" t="s">
        <v>7986</v>
      </c>
      <c r="H303" s="470">
        <v>71900</v>
      </c>
      <c r="I303" s="470">
        <v>71900</v>
      </c>
      <c r="J303" s="470">
        <v>81800</v>
      </c>
      <c r="K303" s="18"/>
      <c r="L303" s="18" t="str">
        <f t="shared" si="33"/>
        <v>8</v>
      </c>
      <c r="M303" s="18" t="str">
        <f>INDEX(Chapter,MATCH(L303,Chapter!$A$1:$A$681,0),8)</f>
        <v>שירותים ממלכתיים</v>
      </c>
      <c r="N303" s="18" t="str">
        <f t="shared" si="34"/>
        <v>82</v>
      </c>
      <c r="O303" s="18" t="str">
        <f>INDEX(Chapter,MATCH(N303,Chapter!$A$1:$A$681,0),8)</f>
        <v>תרבות</v>
      </c>
      <c r="P303" s="18" t="str">
        <f t="shared" si="35"/>
        <v>827</v>
      </c>
      <c r="Q303" s="18" t="str">
        <f>INDEX(Chapter,MATCH(P303,Chapter!$A$1:$A$681,0),8)</f>
        <v>תרבות תורנית</v>
      </c>
      <c r="R303" s="18" t="str">
        <f t="shared" si="36"/>
        <v>8270</v>
      </c>
      <c r="S303" s="18" t="e">
        <f>INDEX(Chapter,MATCH(R303,Chapter!$A$1:$A$681,0),8)</f>
        <v>#N/A</v>
      </c>
      <c r="T303" s="18"/>
      <c r="U303" s="18" t="str">
        <f t="shared" si="37"/>
        <v>1</v>
      </c>
      <c r="V303" s="18" t="str">
        <f>IF($L303&lt;"6",INDEX(Revenue_type,MATCH(U303*1,type!$A$118:$A$168,0),8),INDEX(Expenditure_type,MATCH(U303*1,type!$A$2:$A$117,0),8))</f>
        <v>משכורות וש"ע לעובדים לפי תקן</v>
      </c>
      <c r="W303" s="18" t="str">
        <f t="shared" si="38"/>
        <v>12</v>
      </c>
      <c r="X303" s="18" t="str">
        <f>IF($L303&lt;"6",INDEX(Revenue_type,MATCH(W303*1,type!$A$118:$A$168,0),8),INDEX(Expenditure_type,MATCH(W303*1,type!$A$2:$A$117,0),8))</f>
        <v>תוספות שאינן נכללות בשכר הקובע</v>
      </c>
      <c r="Y303" s="18" t="str">
        <f t="shared" si="39"/>
        <v>120</v>
      </c>
      <c r="Z303" s="18" t="e">
        <f>IF($L303&lt;"6",INDEX(Revenue_type,MATCH(Y303*1,type!$A$118:$A$168,0),8),INDEX(Expenditure_type,MATCH(Y303*1,type!$A$2:$A$117,0),8))</f>
        <v>#N/A</v>
      </c>
    </row>
    <row r="304" spans="1:26" ht="15.75" hidden="1" customHeight="1" outlineLevel="2">
      <c r="A304">
        <v>400</v>
      </c>
      <c r="B304" s="249">
        <v>827000</v>
      </c>
      <c r="C304">
        <v>1</v>
      </c>
      <c r="D304" t="str">
        <f t="shared" si="32"/>
        <v>1827000.400</v>
      </c>
      <c r="E304" s="444" t="s">
        <v>7987</v>
      </c>
      <c r="H304" s="470">
        <v>140000</v>
      </c>
      <c r="I304" s="470">
        <v>140000</v>
      </c>
      <c r="J304" s="470">
        <v>96000</v>
      </c>
      <c r="K304" s="18"/>
      <c r="L304" s="18" t="str">
        <f t="shared" si="33"/>
        <v>8</v>
      </c>
      <c r="M304" s="18" t="str">
        <f>INDEX(Chapter,MATCH(L304,Chapter!$A$1:$A$681,0),8)</f>
        <v>שירותים ממלכתיים</v>
      </c>
      <c r="N304" s="18" t="str">
        <f t="shared" si="34"/>
        <v>82</v>
      </c>
      <c r="O304" s="18" t="str">
        <f>INDEX(Chapter,MATCH(N304,Chapter!$A$1:$A$681,0),8)</f>
        <v>תרבות</v>
      </c>
      <c r="P304" s="18" t="str">
        <f t="shared" si="35"/>
        <v>827</v>
      </c>
      <c r="Q304" s="18" t="str">
        <f>INDEX(Chapter,MATCH(P304,Chapter!$A$1:$A$681,0),8)</f>
        <v>תרבות תורנית</v>
      </c>
      <c r="R304" s="18" t="str">
        <f t="shared" si="36"/>
        <v>8270</v>
      </c>
      <c r="S304" s="18" t="e">
        <f>INDEX(Chapter,MATCH(R304,Chapter!$A$1:$A$681,0),8)</f>
        <v>#N/A</v>
      </c>
      <c r="T304" s="18"/>
      <c r="U304" s="18" t="str">
        <f t="shared" si="37"/>
        <v>4</v>
      </c>
      <c r="V304" s="18" t="str">
        <f>IF($L304&lt;"6",INDEX(Revenue_type,MATCH(U304*1,type!$A$118:$A$168,0),8),INDEX(Expenditure_type,MATCH(U304*1,type!$A$2:$A$117,0),8))</f>
        <v>אחזקת בינים ואספקת ציוד</v>
      </c>
      <c r="W304" s="18" t="str">
        <f t="shared" si="38"/>
        <v>40</v>
      </c>
      <c r="X304" s="18" t="e">
        <f>IF($L304&lt;"6",INDEX(Revenue_type,MATCH(W304*1,type!$A$118:$A$168,0),8),INDEX(Expenditure_type,MATCH(W304*1,type!$A$2:$A$117,0),8))</f>
        <v>#N/A</v>
      </c>
      <c r="Y304" s="18" t="str">
        <f t="shared" si="39"/>
        <v>400</v>
      </c>
      <c r="Z304" s="18" t="e">
        <f>IF($L304&lt;"6",INDEX(Revenue_type,MATCH(Y304*1,type!$A$118:$A$168,0),8),INDEX(Expenditure_type,MATCH(Y304*1,type!$A$2:$A$117,0),8))</f>
        <v>#N/A</v>
      </c>
    </row>
    <row r="305" spans="1:26" ht="15.75" hidden="1" customHeight="1" outlineLevel="2">
      <c r="A305">
        <v>500</v>
      </c>
      <c r="B305" s="249">
        <v>827000</v>
      </c>
      <c r="C305">
        <v>1</v>
      </c>
      <c r="D305" t="str">
        <f t="shared" si="32"/>
        <v>1827000.500</v>
      </c>
      <c r="E305" s="444" t="s">
        <v>7988</v>
      </c>
      <c r="H305" s="470">
        <v>281000</v>
      </c>
      <c r="I305" s="470">
        <v>281000</v>
      </c>
      <c r="J305" s="470">
        <v>264800</v>
      </c>
      <c r="K305" s="18"/>
      <c r="L305" s="18" t="str">
        <f t="shared" si="33"/>
        <v>8</v>
      </c>
      <c r="M305" s="18" t="str">
        <f>INDEX(Chapter,MATCH(L305,Chapter!$A$1:$A$681,0),8)</f>
        <v>שירותים ממלכתיים</v>
      </c>
      <c r="N305" s="18" t="str">
        <f t="shared" si="34"/>
        <v>82</v>
      </c>
      <c r="O305" s="18" t="str">
        <f>INDEX(Chapter,MATCH(N305,Chapter!$A$1:$A$681,0),8)</f>
        <v>תרבות</v>
      </c>
      <c r="P305" s="18" t="str">
        <f t="shared" si="35"/>
        <v>827</v>
      </c>
      <c r="Q305" s="18" t="str">
        <f>INDEX(Chapter,MATCH(P305,Chapter!$A$1:$A$681,0),8)</f>
        <v>תרבות תורנית</v>
      </c>
      <c r="R305" s="18" t="str">
        <f t="shared" si="36"/>
        <v>8270</v>
      </c>
      <c r="S305" s="18" t="e">
        <f>INDEX(Chapter,MATCH(R305,Chapter!$A$1:$A$681,0),8)</f>
        <v>#N/A</v>
      </c>
      <c r="T305" s="18"/>
      <c r="U305" s="18" t="str">
        <f t="shared" si="37"/>
        <v>5</v>
      </c>
      <c r="V305" s="18" t="str">
        <f>IF($L305&lt;"6",INDEX(Revenue_type,MATCH(U305*1,type!$A$118:$A$168,0),8),INDEX(Expenditure_type,MATCH(U305*1,type!$A$2:$A$117,0),8))</f>
        <v>הוצאות מנהליות</v>
      </c>
      <c r="W305" s="18" t="str">
        <f t="shared" si="38"/>
        <v>50</v>
      </c>
      <c r="X305" s="18" t="e">
        <f>IF($L305&lt;"6",INDEX(Revenue_type,MATCH(W305*1,type!$A$118:$A$168,0),8),INDEX(Expenditure_type,MATCH(W305*1,type!$A$2:$A$117,0),8))</f>
        <v>#N/A</v>
      </c>
      <c r="Y305" s="18" t="str">
        <f t="shared" si="39"/>
        <v>500</v>
      </c>
      <c r="Z305" s="18" t="e">
        <f>IF($L305&lt;"6",INDEX(Revenue_type,MATCH(Y305*1,type!$A$118:$A$168,0),8),INDEX(Expenditure_type,MATCH(Y305*1,type!$A$2:$A$117,0),8))</f>
        <v>#N/A</v>
      </c>
    </row>
    <row r="306" spans="1:26" ht="15.75" hidden="1" customHeight="1" outlineLevel="2">
      <c r="A306">
        <v>700</v>
      </c>
      <c r="B306" s="249">
        <v>827000</v>
      </c>
      <c r="C306">
        <v>1</v>
      </c>
      <c r="D306" t="str">
        <f t="shared" si="32"/>
        <v>1827000.700</v>
      </c>
      <c r="E306" s="444" t="s">
        <v>7989</v>
      </c>
      <c r="H306" s="470">
        <v>5552000</v>
      </c>
      <c r="I306" s="470">
        <v>5606000</v>
      </c>
      <c r="J306" s="470">
        <v>3126800</v>
      </c>
      <c r="K306" s="18"/>
      <c r="L306" s="18" t="str">
        <f t="shared" si="33"/>
        <v>8</v>
      </c>
      <c r="M306" s="18" t="str">
        <f>INDEX(Chapter,MATCH(L306,Chapter!$A$1:$A$681,0),8)</f>
        <v>שירותים ממלכתיים</v>
      </c>
      <c r="N306" s="18" t="str">
        <f t="shared" si="34"/>
        <v>82</v>
      </c>
      <c r="O306" s="18" t="str">
        <f>INDEX(Chapter,MATCH(N306,Chapter!$A$1:$A$681,0),8)</f>
        <v>תרבות</v>
      </c>
      <c r="P306" s="18" t="str">
        <f t="shared" si="35"/>
        <v>827</v>
      </c>
      <c r="Q306" s="18" t="str">
        <f>INDEX(Chapter,MATCH(P306,Chapter!$A$1:$A$681,0),8)</f>
        <v>תרבות תורנית</v>
      </c>
      <c r="R306" s="18" t="str">
        <f t="shared" si="36"/>
        <v>8270</v>
      </c>
      <c r="S306" s="18" t="e">
        <f>INDEX(Chapter,MATCH(R306,Chapter!$A$1:$A$681,0),8)</f>
        <v>#N/A</v>
      </c>
      <c r="T306" s="18"/>
      <c r="U306" s="18" t="str">
        <f t="shared" si="37"/>
        <v>7</v>
      </c>
      <c r="V306" s="18" t="str">
        <f>IF($L306&lt;"6",INDEX(Revenue_type,MATCH(U306*1,type!$A$118:$A$168,0),8),INDEX(Expenditure_type,MATCH(U306*1,type!$A$2:$A$117,0),8))</f>
        <v>הוצאות לפעולות</v>
      </c>
      <c r="W306" s="18" t="str">
        <f t="shared" si="38"/>
        <v>70</v>
      </c>
      <c r="X306" s="18" t="e">
        <f>IF($L306&lt;"6",INDEX(Revenue_type,MATCH(W306*1,type!$A$118:$A$168,0),8),INDEX(Expenditure_type,MATCH(W306*1,type!$A$2:$A$117,0),8))</f>
        <v>#N/A</v>
      </c>
      <c r="Y306" s="18" t="str">
        <f t="shared" si="39"/>
        <v>700</v>
      </c>
      <c r="Z306" s="18" t="e">
        <f>IF($L306&lt;"6",INDEX(Revenue_type,MATCH(Y306*1,type!$A$118:$A$168,0),8),INDEX(Expenditure_type,MATCH(Y306*1,type!$A$2:$A$117,0),8))</f>
        <v>#N/A</v>
      </c>
    </row>
    <row r="307" spans="1:26" ht="15.75" hidden="1" customHeight="1" outlineLevel="2">
      <c r="A307">
        <v>100</v>
      </c>
      <c r="B307" s="249">
        <v>821100</v>
      </c>
      <c r="C307">
        <v>1</v>
      </c>
      <c r="D307" t="str">
        <f t="shared" si="32"/>
        <v>1821100.100</v>
      </c>
      <c r="E307" s="444" t="s">
        <v>7990</v>
      </c>
      <c r="H307" s="470">
        <v>84300</v>
      </c>
      <c r="I307" s="470">
        <v>82300</v>
      </c>
      <c r="J307" s="470">
        <v>247900</v>
      </c>
      <c r="K307" s="18"/>
      <c r="L307" s="18" t="str">
        <f t="shared" si="33"/>
        <v>8</v>
      </c>
      <c r="M307" s="18" t="str">
        <f>INDEX(Chapter,MATCH(L307,Chapter!$A$1:$A$681,0),8)</f>
        <v>שירותים ממלכתיים</v>
      </c>
      <c r="N307" s="18" t="str">
        <f t="shared" si="34"/>
        <v>82</v>
      </c>
      <c r="O307" s="18" t="str">
        <f>INDEX(Chapter,MATCH(N307,Chapter!$A$1:$A$681,0),8)</f>
        <v>תרבות</v>
      </c>
      <c r="P307" s="18" t="str">
        <f t="shared" si="35"/>
        <v>821</v>
      </c>
      <c r="Q307" s="18" t="str">
        <f>INDEX(Chapter,MATCH(P307,Chapter!$A$1:$A$681,0),8)</f>
        <v>מינהל התרבות</v>
      </c>
      <c r="R307" s="18" t="str">
        <f t="shared" si="36"/>
        <v>8211</v>
      </c>
      <c r="S307" s="18" t="e">
        <f>INDEX(Chapter,MATCH(R307,Chapter!$A$1:$A$681,0),8)</f>
        <v>#N/A</v>
      </c>
      <c r="T307" s="18"/>
      <c r="U307" s="18" t="str">
        <f t="shared" si="37"/>
        <v>1</v>
      </c>
      <c r="V307" s="18" t="str">
        <f>IF($L307&lt;"6",INDEX(Revenue_type,MATCH(U307*1,type!$A$118:$A$168,0),8),INDEX(Expenditure_type,MATCH(U307*1,type!$A$2:$A$117,0),8))</f>
        <v>משכורות וש"ע לעובדים לפי תקן</v>
      </c>
      <c r="W307" s="18" t="str">
        <f t="shared" si="38"/>
        <v>10</v>
      </c>
      <c r="X307" s="18" t="e">
        <f>IF($L307&lt;"6",INDEX(Revenue_type,MATCH(W307*1,type!$A$118:$A$168,0),8),INDEX(Expenditure_type,MATCH(W307*1,type!$A$2:$A$117,0),8))</f>
        <v>#N/A</v>
      </c>
      <c r="Y307" s="18" t="str">
        <f t="shared" si="39"/>
        <v>100</v>
      </c>
      <c r="Z307" s="18" t="e">
        <f>IF($L307&lt;"6",INDEX(Revenue_type,MATCH(Y307*1,type!$A$118:$A$168,0),8),INDEX(Expenditure_type,MATCH(Y307*1,type!$A$2:$A$117,0),8))</f>
        <v>#N/A</v>
      </c>
    </row>
    <row r="308" spans="1:26" ht="15.75" hidden="1" customHeight="1" outlineLevel="2">
      <c r="A308">
        <v>120</v>
      </c>
      <c r="B308" s="249">
        <v>821100</v>
      </c>
      <c r="C308">
        <v>1</v>
      </c>
      <c r="D308" t="str">
        <f t="shared" si="32"/>
        <v>1821100.120</v>
      </c>
      <c r="E308" s="444" t="s">
        <v>7991</v>
      </c>
      <c r="H308" s="470">
        <v>119700</v>
      </c>
      <c r="I308" s="470">
        <v>119700</v>
      </c>
      <c r="J308" s="470">
        <v>114200</v>
      </c>
      <c r="K308" s="18"/>
      <c r="L308" s="18" t="str">
        <f t="shared" si="33"/>
        <v>8</v>
      </c>
      <c r="M308" s="18" t="str">
        <f>INDEX(Chapter,MATCH(L308,Chapter!$A$1:$A$681,0),8)</f>
        <v>שירותים ממלכתיים</v>
      </c>
      <c r="N308" s="18" t="str">
        <f t="shared" si="34"/>
        <v>82</v>
      </c>
      <c r="O308" s="18" t="str">
        <f>INDEX(Chapter,MATCH(N308,Chapter!$A$1:$A$681,0),8)</f>
        <v>תרבות</v>
      </c>
      <c r="P308" s="18" t="str">
        <f t="shared" si="35"/>
        <v>821</v>
      </c>
      <c r="Q308" s="18" t="str">
        <f>INDEX(Chapter,MATCH(P308,Chapter!$A$1:$A$681,0),8)</f>
        <v>מינהל התרבות</v>
      </c>
      <c r="R308" s="18" t="str">
        <f t="shared" si="36"/>
        <v>8211</v>
      </c>
      <c r="S308" s="18" t="e">
        <f>INDEX(Chapter,MATCH(R308,Chapter!$A$1:$A$681,0),8)</f>
        <v>#N/A</v>
      </c>
      <c r="T308" s="18"/>
      <c r="U308" s="18" t="str">
        <f t="shared" si="37"/>
        <v>1</v>
      </c>
      <c r="V308" s="18" t="str">
        <f>IF($L308&lt;"6",INDEX(Revenue_type,MATCH(U308*1,type!$A$118:$A$168,0),8),INDEX(Expenditure_type,MATCH(U308*1,type!$A$2:$A$117,0),8))</f>
        <v>משכורות וש"ע לעובדים לפי תקן</v>
      </c>
      <c r="W308" s="18" t="str">
        <f t="shared" si="38"/>
        <v>12</v>
      </c>
      <c r="X308" s="18" t="str">
        <f>IF($L308&lt;"6",INDEX(Revenue_type,MATCH(W308*1,type!$A$118:$A$168,0),8),INDEX(Expenditure_type,MATCH(W308*1,type!$A$2:$A$117,0),8))</f>
        <v>תוספות שאינן נכללות בשכר הקובע</v>
      </c>
      <c r="Y308" s="18" t="str">
        <f t="shared" si="39"/>
        <v>120</v>
      </c>
      <c r="Z308" s="18" t="e">
        <f>IF($L308&lt;"6",INDEX(Revenue_type,MATCH(Y308*1,type!$A$118:$A$168,0),8),INDEX(Expenditure_type,MATCH(Y308*1,type!$A$2:$A$117,0),8))</f>
        <v>#N/A</v>
      </c>
    </row>
    <row r="309" spans="1:26" ht="15.75" hidden="1" customHeight="1" outlineLevel="2">
      <c r="A309">
        <v>400</v>
      </c>
      <c r="B309" s="249">
        <v>821100</v>
      </c>
      <c r="C309">
        <v>1</v>
      </c>
      <c r="D309" t="str">
        <f t="shared" si="32"/>
        <v>1821100.400</v>
      </c>
      <c r="E309" s="444" t="s">
        <v>7992</v>
      </c>
      <c r="H309" s="470">
        <v>2000</v>
      </c>
      <c r="I309" s="470">
        <v>2000</v>
      </c>
      <c r="J309" s="470">
        <v>800</v>
      </c>
      <c r="K309" s="18"/>
      <c r="L309" s="18" t="str">
        <f t="shared" si="33"/>
        <v>8</v>
      </c>
      <c r="M309" s="18" t="str">
        <f>INDEX(Chapter,MATCH(L309,Chapter!$A$1:$A$681,0),8)</f>
        <v>שירותים ממלכתיים</v>
      </c>
      <c r="N309" s="18" t="str">
        <f t="shared" si="34"/>
        <v>82</v>
      </c>
      <c r="O309" s="18" t="str">
        <f>INDEX(Chapter,MATCH(N309,Chapter!$A$1:$A$681,0),8)</f>
        <v>תרבות</v>
      </c>
      <c r="P309" s="18" t="str">
        <f t="shared" si="35"/>
        <v>821</v>
      </c>
      <c r="Q309" s="18" t="str">
        <f>INDEX(Chapter,MATCH(P309,Chapter!$A$1:$A$681,0),8)</f>
        <v>מינהל התרבות</v>
      </c>
      <c r="R309" s="18" t="str">
        <f t="shared" si="36"/>
        <v>8211</v>
      </c>
      <c r="S309" s="18" t="e">
        <f>INDEX(Chapter,MATCH(R309,Chapter!$A$1:$A$681,0),8)</f>
        <v>#N/A</v>
      </c>
      <c r="T309" s="18"/>
      <c r="U309" s="18" t="str">
        <f t="shared" si="37"/>
        <v>4</v>
      </c>
      <c r="V309" s="18" t="str">
        <f>IF($L309&lt;"6",INDEX(Revenue_type,MATCH(U309*1,type!$A$118:$A$168,0),8),INDEX(Expenditure_type,MATCH(U309*1,type!$A$2:$A$117,0),8))</f>
        <v>אחזקת בינים ואספקת ציוד</v>
      </c>
      <c r="W309" s="18" t="str">
        <f t="shared" si="38"/>
        <v>40</v>
      </c>
      <c r="X309" s="18" t="e">
        <f>IF($L309&lt;"6",INDEX(Revenue_type,MATCH(W309*1,type!$A$118:$A$168,0),8),INDEX(Expenditure_type,MATCH(W309*1,type!$A$2:$A$117,0),8))</f>
        <v>#N/A</v>
      </c>
      <c r="Y309" s="18" t="str">
        <f t="shared" si="39"/>
        <v>400</v>
      </c>
      <c r="Z309" s="18" t="e">
        <f>IF($L309&lt;"6",INDEX(Revenue_type,MATCH(Y309*1,type!$A$118:$A$168,0),8),INDEX(Expenditure_type,MATCH(Y309*1,type!$A$2:$A$117,0),8))</f>
        <v>#N/A</v>
      </c>
    </row>
    <row r="310" spans="1:26" ht="15.75" hidden="1" customHeight="1" outlineLevel="2">
      <c r="A310">
        <v>700</v>
      </c>
      <c r="B310" s="249">
        <v>821100</v>
      </c>
      <c r="C310">
        <v>1</v>
      </c>
      <c r="D310" t="str">
        <f t="shared" si="32"/>
        <v>1821100.700</v>
      </c>
      <c r="E310" s="444" t="s">
        <v>7993</v>
      </c>
      <c r="H310" s="470">
        <v>61400</v>
      </c>
      <c r="I310" s="470">
        <v>63300</v>
      </c>
      <c r="J310" s="470">
        <v>92800</v>
      </c>
      <c r="K310" s="18"/>
      <c r="L310" s="18" t="str">
        <f t="shared" si="33"/>
        <v>8</v>
      </c>
      <c r="M310" s="18" t="str">
        <f>INDEX(Chapter,MATCH(L310,Chapter!$A$1:$A$681,0),8)</f>
        <v>שירותים ממלכתיים</v>
      </c>
      <c r="N310" s="18" t="str">
        <f t="shared" si="34"/>
        <v>82</v>
      </c>
      <c r="O310" s="18" t="str">
        <f>INDEX(Chapter,MATCH(N310,Chapter!$A$1:$A$681,0),8)</f>
        <v>תרבות</v>
      </c>
      <c r="P310" s="18" t="str">
        <f t="shared" si="35"/>
        <v>821</v>
      </c>
      <c r="Q310" s="18" t="str">
        <f>INDEX(Chapter,MATCH(P310,Chapter!$A$1:$A$681,0),8)</f>
        <v>מינהל התרבות</v>
      </c>
      <c r="R310" s="18" t="str">
        <f t="shared" si="36"/>
        <v>8211</v>
      </c>
      <c r="S310" s="18" t="e">
        <f>INDEX(Chapter,MATCH(R310,Chapter!$A$1:$A$681,0),8)</f>
        <v>#N/A</v>
      </c>
      <c r="T310" s="18"/>
      <c r="U310" s="18" t="str">
        <f t="shared" si="37"/>
        <v>7</v>
      </c>
      <c r="V310" s="18" t="str">
        <f>IF($L310&lt;"6",INDEX(Revenue_type,MATCH(U310*1,type!$A$118:$A$168,0),8),INDEX(Expenditure_type,MATCH(U310*1,type!$A$2:$A$117,0),8))</f>
        <v>הוצאות לפעולות</v>
      </c>
      <c r="W310" s="18" t="str">
        <f t="shared" si="38"/>
        <v>70</v>
      </c>
      <c r="X310" s="18" t="e">
        <f>IF($L310&lt;"6",INDEX(Revenue_type,MATCH(W310*1,type!$A$118:$A$168,0),8),INDEX(Expenditure_type,MATCH(W310*1,type!$A$2:$A$117,0),8))</f>
        <v>#N/A</v>
      </c>
      <c r="Y310" s="18" t="str">
        <f t="shared" si="39"/>
        <v>700</v>
      </c>
      <c r="Z310" s="18" t="e">
        <f>IF($L310&lt;"6",INDEX(Revenue_type,MATCH(Y310*1,type!$A$118:$A$168,0),8),INDEX(Expenditure_type,MATCH(Y310*1,type!$A$2:$A$117,0),8))</f>
        <v>#N/A</v>
      </c>
    </row>
    <row r="311" spans="1:26" ht="15.75" hidden="1" customHeight="1" outlineLevel="2">
      <c r="A311">
        <v>100</v>
      </c>
      <c r="B311" s="249">
        <v>821604</v>
      </c>
      <c r="C311">
        <v>1</v>
      </c>
      <c r="D311" t="str">
        <f t="shared" si="32"/>
        <v>1821604.100</v>
      </c>
      <c r="E311" s="444" t="s">
        <v>7994</v>
      </c>
      <c r="H311" s="470">
        <v>810600</v>
      </c>
      <c r="I311" s="470">
        <v>801600</v>
      </c>
      <c r="J311" s="470">
        <v>852700</v>
      </c>
      <c r="K311" s="18"/>
      <c r="L311" s="18" t="str">
        <f t="shared" si="33"/>
        <v>8</v>
      </c>
      <c r="M311" s="18" t="str">
        <f>INDEX(Chapter,MATCH(L311,Chapter!$A$1:$A$681,0),8)</f>
        <v>שירותים ממלכתיים</v>
      </c>
      <c r="N311" s="18" t="str">
        <f t="shared" si="34"/>
        <v>82</v>
      </c>
      <c r="O311" s="18" t="str">
        <f>INDEX(Chapter,MATCH(N311,Chapter!$A$1:$A$681,0),8)</f>
        <v>תרבות</v>
      </c>
      <c r="P311" s="18" t="str">
        <f t="shared" si="35"/>
        <v>821</v>
      </c>
      <c r="Q311" s="18" t="str">
        <f>INDEX(Chapter,MATCH(P311,Chapter!$A$1:$A$681,0),8)</f>
        <v>מינהל התרבות</v>
      </c>
      <c r="R311" s="18" t="str">
        <f t="shared" si="36"/>
        <v>8216</v>
      </c>
      <c r="S311" s="18" t="e">
        <f>INDEX(Chapter,MATCH(R311,Chapter!$A$1:$A$681,0),8)</f>
        <v>#N/A</v>
      </c>
      <c r="T311" s="18"/>
      <c r="U311" s="18" t="str">
        <f t="shared" si="37"/>
        <v>1</v>
      </c>
      <c r="V311" s="18" t="str">
        <f>IF($L311&lt;"6",INDEX(Revenue_type,MATCH(U311*1,type!$A$118:$A$168,0),8),INDEX(Expenditure_type,MATCH(U311*1,type!$A$2:$A$117,0),8))</f>
        <v>משכורות וש"ע לעובדים לפי תקן</v>
      </c>
      <c r="W311" s="18" t="str">
        <f t="shared" si="38"/>
        <v>10</v>
      </c>
      <c r="X311" s="18" t="e">
        <f>IF($L311&lt;"6",INDEX(Revenue_type,MATCH(W311*1,type!$A$118:$A$168,0),8),INDEX(Expenditure_type,MATCH(W311*1,type!$A$2:$A$117,0),8))</f>
        <v>#N/A</v>
      </c>
      <c r="Y311" s="18" t="str">
        <f t="shared" si="39"/>
        <v>100</v>
      </c>
      <c r="Z311" s="18" t="e">
        <f>IF($L311&lt;"6",INDEX(Revenue_type,MATCH(Y311*1,type!$A$118:$A$168,0),8),INDEX(Expenditure_type,MATCH(Y311*1,type!$A$2:$A$117,0),8))</f>
        <v>#N/A</v>
      </c>
    </row>
    <row r="312" spans="1:26" ht="15.75" hidden="1" customHeight="1" outlineLevel="2">
      <c r="A312">
        <v>120</v>
      </c>
      <c r="B312" s="249">
        <v>821604</v>
      </c>
      <c r="C312">
        <v>1</v>
      </c>
      <c r="D312" t="str">
        <f t="shared" si="32"/>
        <v>1821604.120</v>
      </c>
      <c r="E312" s="446" t="s">
        <v>7995</v>
      </c>
      <c r="H312" s="470">
        <v>51400</v>
      </c>
      <c r="I312" s="470">
        <v>51400</v>
      </c>
      <c r="J312" s="470">
        <v>77400</v>
      </c>
      <c r="K312" s="18"/>
      <c r="L312" s="18" t="str">
        <f t="shared" si="33"/>
        <v>8</v>
      </c>
      <c r="M312" s="18" t="str">
        <f>INDEX(Chapter,MATCH(L312,Chapter!$A$1:$A$681,0),8)</f>
        <v>שירותים ממלכתיים</v>
      </c>
      <c r="N312" s="18" t="str">
        <f t="shared" si="34"/>
        <v>82</v>
      </c>
      <c r="O312" s="18" t="str">
        <f>INDEX(Chapter,MATCH(N312,Chapter!$A$1:$A$681,0),8)</f>
        <v>תרבות</v>
      </c>
      <c r="P312" s="18" t="str">
        <f t="shared" si="35"/>
        <v>821</v>
      </c>
      <c r="Q312" s="18" t="str">
        <f>INDEX(Chapter,MATCH(P312,Chapter!$A$1:$A$681,0),8)</f>
        <v>מינהל התרבות</v>
      </c>
      <c r="R312" s="18" t="str">
        <f t="shared" si="36"/>
        <v>8216</v>
      </c>
      <c r="S312" s="18" t="e">
        <f>INDEX(Chapter,MATCH(R312,Chapter!$A$1:$A$681,0),8)</f>
        <v>#N/A</v>
      </c>
      <c r="T312" s="18"/>
      <c r="U312" s="18" t="str">
        <f t="shared" si="37"/>
        <v>1</v>
      </c>
      <c r="V312" s="18" t="str">
        <f>IF($L312&lt;"6",INDEX(Revenue_type,MATCH(U312*1,type!$A$118:$A$168,0),8),INDEX(Expenditure_type,MATCH(U312*1,type!$A$2:$A$117,0),8))</f>
        <v>משכורות וש"ע לעובדים לפי תקן</v>
      </c>
      <c r="W312" s="18" t="str">
        <f t="shared" si="38"/>
        <v>12</v>
      </c>
      <c r="X312" s="18" t="str">
        <f>IF($L312&lt;"6",INDEX(Revenue_type,MATCH(W312*1,type!$A$118:$A$168,0),8),INDEX(Expenditure_type,MATCH(W312*1,type!$A$2:$A$117,0),8))</f>
        <v>תוספות שאינן נכללות בשכר הקובע</v>
      </c>
      <c r="Y312" s="18" t="str">
        <f t="shared" si="39"/>
        <v>120</v>
      </c>
      <c r="Z312" s="18" t="e">
        <f>IF($L312&lt;"6",INDEX(Revenue_type,MATCH(Y312*1,type!$A$118:$A$168,0),8),INDEX(Expenditure_type,MATCH(Y312*1,type!$A$2:$A$117,0),8))</f>
        <v>#N/A</v>
      </c>
    </row>
    <row r="313" spans="1:26" ht="15.75" hidden="1" customHeight="1" outlineLevel="2">
      <c r="A313">
        <v>400</v>
      </c>
      <c r="B313" s="249">
        <v>821604</v>
      </c>
      <c r="C313">
        <v>1</v>
      </c>
      <c r="D313" t="str">
        <f t="shared" si="32"/>
        <v>1821604.400</v>
      </c>
      <c r="E313" s="446" t="s">
        <v>7996</v>
      </c>
      <c r="H313" s="470">
        <v>38000</v>
      </c>
      <c r="I313" s="470">
        <v>39900</v>
      </c>
      <c r="J313" s="470">
        <v>53800</v>
      </c>
      <c r="K313" s="18"/>
      <c r="L313" s="18" t="str">
        <f t="shared" si="33"/>
        <v>8</v>
      </c>
      <c r="M313" s="18" t="str">
        <f>INDEX(Chapter,MATCH(L313,Chapter!$A$1:$A$681,0),8)</f>
        <v>שירותים ממלכתיים</v>
      </c>
      <c r="N313" s="18" t="str">
        <f t="shared" si="34"/>
        <v>82</v>
      </c>
      <c r="O313" s="18" t="str">
        <f>INDEX(Chapter,MATCH(N313,Chapter!$A$1:$A$681,0),8)</f>
        <v>תרבות</v>
      </c>
      <c r="P313" s="18" t="str">
        <f t="shared" si="35"/>
        <v>821</v>
      </c>
      <c r="Q313" s="18" t="str">
        <f>INDEX(Chapter,MATCH(P313,Chapter!$A$1:$A$681,0),8)</f>
        <v>מינהל התרבות</v>
      </c>
      <c r="R313" s="18" t="str">
        <f t="shared" si="36"/>
        <v>8216</v>
      </c>
      <c r="S313" s="18" t="e">
        <f>INDEX(Chapter,MATCH(R313,Chapter!$A$1:$A$681,0),8)</f>
        <v>#N/A</v>
      </c>
      <c r="T313" s="18"/>
      <c r="U313" s="18" t="str">
        <f t="shared" si="37"/>
        <v>4</v>
      </c>
      <c r="V313" s="18" t="str">
        <f>IF($L313&lt;"6",INDEX(Revenue_type,MATCH(U313*1,type!$A$118:$A$168,0),8),INDEX(Expenditure_type,MATCH(U313*1,type!$A$2:$A$117,0),8))</f>
        <v>אחזקת בינים ואספקת ציוד</v>
      </c>
      <c r="W313" s="18" t="str">
        <f t="shared" si="38"/>
        <v>40</v>
      </c>
      <c r="X313" s="18" t="e">
        <f>IF($L313&lt;"6",INDEX(Revenue_type,MATCH(W313*1,type!$A$118:$A$168,0),8),INDEX(Expenditure_type,MATCH(W313*1,type!$A$2:$A$117,0),8))</f>
        <v>#N/A</v>
      </c>
      <c r="Y313" s="18" t="str">
        <f t="shared" si="39"/>
        <v>400</v>
      </c>
      <c r="Z313" s="18" t="e">
        <f>IF($L313&lt;"6",INDEX(Revenue_type,MATCH(Y313*1,type!$A$118:$A$168,0),8),INDEX(Expenditure_type,MATCH(Y313*1,type!$A$2:$A$117,0),8))</f>
        <v>#N/A</v>
      </c>
    </row>
    <row r="314" spans="1:26" ht="15.75" hidden="1" customHeight="1" outlineLevel="2">
      <c r="A314">
        <v>500</v>
      </c>
      <c r="B314" s="249">
        <v>821604</v>
      </c>
      <c r="C314">
        <v>1</v>
      </c>
      <c r="D314" t="str">
        <f t="shared" si="32"/>
        <v>1821604.500</v>
      </c>
      <c r="E314" s="444" t="s">
        <v>7997</v>
      </c>
      <c r="H314" s="470">
        <v>11300</v>
      </c>
      <c r="I314" s="470">
        <v>11300</v>
      </c>
      <c r="J314" s="470">
        <v>13600</v>
      </c>
      <c r="K314" s="18"/>
      <c r="L314" s="18" t="str">
        <f t="shared" si="33"/>
        <v>8</v>
      </c>
      <c r="M314" s="18" t="str">
        <f>INDEX(Chapter,MATCH(L314,Chapter!$A$1:$A$681,0),8)</f>
        <v>שירותים ממלכתיים</v>
      </c>
      <c r="N314" s="18" t="str">
        <f t="shared" si="34"/>
        <v>82</v>
      </c>
      <c r="O314" s="18" t="str">
        <f>INDEX(Chapter,MATCH(N314,Chapter!$A$1:$A$681,0),8)</f>
        <v>תרבות</v>
      </c>
      <c r="P314" s="18" t="str">
        <f t="shared" si="35"/>
        <v>821</v>
      </c>
      <c r="Q314" s="18" t="str">
        <f>INDEX(Chapter,MATCH(P314,Chapter!$A$1:$A$681,0),8)</f>
        <v>מינהל התרבות</v>
      </c>
      <c r="R314" s="18" t="str">
        <f t="shared" si="36"/>
        <v>8216</v>
      </c>
      <c r="S314" s="18" t="e">
        <f>INDEX(Chapter,MATCH(R314,Chapter!$A$1:$A$681,0),8)</f>
        <v>#N/A</v>
      </c>
      <c r="T314" s="18"/>
      <c r="U314" s="18" t="str">
        <f t="shared" si="37"/>
        <v>5</v>
      </c>
      <c r="V314" s="18" t="str">
        <f>IF($L314&lt;"6",INDEX(Revenue_type,MATCH(U314*1,type!$A$118:$A$168,0),8),INDEX(Expenditure_type,MATCH(U314*1,type!$A$2:$A$117,0),8))</f>
        <v>הוצאות מנהליות</v>
      </c>
      <c r="W314" s="18" t="str">
        <f t="shared" si="38"/>
        <v>50</v>
      </c>
      <c r="X314" s="18" t="e">
        <f>IF($L314&lt;"6",INDEX(Revenue_type,MATCH(W314*1,type!$A$118:$A$168,0),8),INDEX(Expenditure_type,MATCH(W314*1,type!$A$2:$A$117,0),8))</f>
        <v>#N/A</v>
      </c>
      <c r="Y314" s="18" t="str">
        <f t="shared" si="39"/>
        <v>500</v>
      </c>
      <c r="Z314" s="18" t="e">
        <f>IF($L314&lt;"6",INDEX(Revenue_type,MATCH(Y314*1,type!$A$118:$A$168,0),8),INDEX(Expenditure_type,MATCH(Y314*1,type!$A$2:$A$117,0),8))</f>
        <v>#N/A</v>
      </c>
    </row>
    <row r="315" spans="1:26" ht="15.75" hidden="1" customHeight="1" outlineLevel="2">
      <c r="A315">
        <v>700</v>
      </c>
      <c r="B315" s="249">
        <v>821604</v>
      </c>
      <c r="C315">
        <v>1</v>
      </c>
      <c r="D315" t="str">
        <f t="shared" si="32"/>
        <v>1821604.700</v>
      </c>
      <c r="E315" s="444" t="s">
        <v>7998</v>
      </c>
      <c r="H315" s="470">
        <v>47800</v>
      </c>
      <c r="I315" s="470">
        <v>48800</v>
      </c>
      <c r="J315" s="470">
        <v>27400</v>
      </c>
      <c r="K315" s="18"/>
      <c r="L315" s="18" t="str">
        <f t="shared" si="33"/>
        <v>8</v>
      </c>
      <c r="M315" s="18" t="str">
        <f>INDEX(Chapter,MATCH(L315,Chapter!$A$1:$A$681,0),8)</f>
        <v>שירותים ממלכתיים</v>
      </c>
      <c r="N315" s="18" t="str">
        <f t="shared" si="34"/>
        <v>82</v>
      </c>
      <c r="O315" s="18" t="str">
        <f>INDEX(Chapter,MATCH(N315,Chapter!$A$1:$A$681,0),8)</f>
        <v>תרבות</v>
      </c>
      <c r="P315" s="18" t="str">
        <f t="shared" si="35"/>
        <v>821</v>
      </c>
      <c r="Q315" s="18" t="str">
        <f>INDEX(Chapter,MATCH(P315,Chapter!$A$1:$A$681,0),8)</f>
        <v>מינהל התרבות</v>
      </c>
      <c r="R315" s="18" t="str">
        <f t="shared" si="36"/>
        <v>8216</v>
      </c>
      <c r="S315" s="18" t="e">
        <f>INDEX(Chapter,MATCH(R315,Chapter!$A$1:$A$681,0),8)</f>
        <v>#N/A</v>
      </c>
      <c r="T315" s="18"/>
      <c r="U315" s="18" t="str">
        <f t="shared" si="37"/>
        <v>7</v>
      </c>
      <c r="V315" s="18" t="str">
        <f>IF($L315&lt;"6",INDEX(Revenue_type,MATCH(U315*1,type!$A$118:$A$168,0),8),INDEX(Expenditure_type,MATCH(U315*1,type!$A$2:$A$117,0),8))</f>
        <v>הוצאות לפעולות</v>
      </c>
      <c r="W315" s="18" t="str">
        <f t="shared" si="38"/>
        <v>70</v>
      </c>
      <c r="X315" s="18" t="e">
        <f>IF($L315&lt;"6",INDEX(Revenue_type,MATCH(W315*1,type!$A$118:$A$168,0),8),INDEX(Expenditure_type,MATCH(W315*1,type!$A$2:$A$117,0),8))</f>
        <v>#N/A</v>
      </c>
      <c r="Y315" s="18" t="str">
        <f t="shared" si="39"/>
        <v>700</v>
      </c>
      <c r="Z315" s="18" t="e">
        <f>IF($L315&lt;"6",INDEX(Revenue_type,MATCH(Y315*1,type!$A$118:$A$168,0),8),INDEX(Expenditure_type,MATCH(Y315*1,type!$A$2:$A$117,0),8))</f>
        <v>#N/A</v>
      </c>
    </row>
    <row r="316" spans="1:26" ht="15.75" hidden="1" customHeight="1" outlineLevel="2">
      <c r="A316">
        <v>100</v>
      </c>
      <c r="B316" s="249">
        <v>824370</v>
      </c>
      <c r="C316">
        <v>1</v>
      </c>
      <c r="D316" t="str">
        <f t="shared" si="32"/>
        <v>1824370.100</v>
      </c>
      <c r="E316" s="444" t="s">
        <v>7999</v>
      </c>
      <c r="H316" s="470">
        <v>748200</v>
      </c>
      <c r="I316" s="470">
        <v>740200</v>
      </c>
      <c r="J316" s="470">
        <v>1022700</v>
      </c>
      <c r="K316" s="18"/>
      <c r="L316" s="18" t="str">
        <f t="shared" si="33"/>
        <v>8</v>
      </c>
      <c r="M316" s="18" t="str">
        <f>INDEX(Chapter,MATCH(L316,Chapter!$A$1:$A$681,0),8)</f>
        <v>שירותים ממלכתיים</v>
      </c>
      <c r="N316" s="18" t="str">
        <f t="shared" si="34"/>
        <v>82</v>
      </c>
      <c r="O316" s="18" t="str">
        <f>INDEX(Chapter,MATCH(N316,Chapter!$A$1:$A$681,0),8)</f>
        <v>תרבות</v>
      </c>
      <c r="P316" s="18" t="str">
        <f t="shared" si="35"/>
        <v>824</v>
      </c>
      <c r="Q316" s="18" t="str">
        <f>INDEX(Chapter,MATCH(P316,Chapter!$A$1:$A$681,0),8)</f>
        <v>מתנ״סים</v>
      </c>
      <c r="R316" s="18" t="str">
        <f t="shared" si="36"/>
        <v>8243</v>
      </c>
      <c r="S316" s="18" t="e">
        <f>INDEX(Chapter,MATCH(R316,Chapter!$A$1:$A$681,0),8)</f>
        <v>#N/A</v>
      </c>
      <c r="T316" s="18"/>
      <c r="U316" s="18" t="str">
        <f t="shared" si="37"/>
        <v>1</v>
      </c>
      <c r="V316" s="18" t="str">
        <f>IF($L316&lt;"6",INDEX(Revenue_type,MATCH(U316*1,type!$A$118:$A$168,0),8),INDEX(Expenditure_type,MATCH(U316*1,type!$A$2:$A$117,0),8))</f>
        <v>משכורות וש"ע לעובדים לפי תקן</v>
      </c>
      <c r="W316" s="18" t="str">
        <f t="shared" si="38"/>
        <v>10</v>
      </c>
      <c r="X316" s="18" t="e">
        <f>IF($L316&lt;"6",INDEX(Revenue_type,MATCH(W316*1,type!$A$118:$A$168,0),8),INDEX(Expenditure_type,MATCH(W316*1,type!$A$2:$A$117,0),8))</f>
        <v>#N/A</v>
      </c>
      <c r="Y316" s="18" t="str">
        <f t="shared" si="39"/>
        <v>100</v>
      </c>
      <c r="Z316" s="18" t="e">
        <f>IF($L316&lt;"6",INDEX(Revenue_type,MATCH(Y316*1,type!$A$118:$A$168,0),8),INDEX(Expenditure_type,MATCH(Y316*1,type!$A$2:$A$117,0),8))</f>
        <v>#N/A</v>
      </c>
    </row>
    <row r="317" spans="1:26" ht="15.75" hidden="1" customHeight="1" outlineLevel="2">
      <c r="A317">
        <v>120</v>
      </c>
      <c r="B317" s="249">
        <v>824370</v>
      </c>
      <c r="C317">
        <v>1</v>
      </c>
      <c r="D317" t="str">
        <f t="shared" si="32"/>
        <v>1824370.120</v>
      </c>
      <c r="E317" s="444" t="s">
        <v>8000</v>
      </c>
      <c r="H317" s="470">
        <v>20800</v>
      </c>
      <c r="I317" s="470">
        <v>20800</v>
      </c>
      <c r="J317" s="470">
        <v>31700</v>
      </c>
      <c r="K317" s="18"/>
      <c r="L317" s="18" t="str">
        <f t="shared" si="33"/>
        <v>8</v>
      </c>
      <c r="M317" s="18" t="str">
        <f>INDEX(Chapter,MATCH(L317,Chapter!$A$1:$A$681,0),8)</f>
        <v>שירותים ממלכתיים</v>
      </c>
      <c r="N317" s="18" t="str">
        <f t="shared" si="34"/>
        <v>82</v>
      </c>
      <c r="O317" s="18" t="str">
        <f>INDEX(Chapter,MATCH(N317,Chapter!$A$1:$A$681,0),8)</f>
        <v>תרבות</v>
      </c>
      <c r="P317" s="18" t="str">
        <f t="shared" si="35"/>
        <v>824</v>
      </c>
      <c r="Q317" s="18" t="str">
        <f>INDEX(Chapter,MATCH(P317,Chapter!$A$1:$A$681,0),8)</f>
        <v>מתנ״סים</v>
      </c>
      <c r="R317" s="18" t="str">
        <f t="shared" si="36"/>
        <v>8243</v>
      </c>
      <c r="S317" s="18" t="e">
        <f>INDEX(Chapter,MATCH(R317,Chapter!$A$1:$A$681,0),8)</f>
        <v>#N/A</v>
      </c>
      <c r="T317" s="18"/>
      <c r="U317" s="18" t="str">
        <f t="shared" si="37"/>
        <v>1</v>
      </c>
      <c r="V317" s="18" t="str">
        <f>IF($L317&lt;"6",INDEX(Revenue_type,MATCH(U317*1,type!$A$118:$A$168,0),8),INDEX(Expenditure_type,MATCH(U317*1,type!$A$2:$A$117,0),8))</f>
        <v>משכורות וש"ע לעובדים לפי תקן</v>
      </c>
      <c r="W317" s="18" t="str">
        <f t="shared" si="38"/>
        <v>12</v>
      </c>
      <c r="X317" s="18" t="str">
        <f>IF($L317&lt;"6",INDEX(Revenue_type,MATCH(W317*1,type!$A$118:$A$168,0),8),INDEX(Expenditure_type,MATCH(W317*1,type!$A$2:$A$117,0),8))</f>
        <v>תוספות שאינן נכללות בשכר הקובע</v>
      </c>
      <c r="Y317" s="18" t="str">
        <f t="shared" si="39"/>
        <v>120</v>
      </c>
      <c r="Z317" s="18" t="e">
        <f>IF($L317&lt;"6",INDEX(Revenue_type,MATCH(Y317*1,type!$A$118:$A$168,0),8),INDEX(Expenditure_type,MATCH(Y317*1,type!$A$2:$A$117,0),8))</f>
        <v>#N/A</v>
      </c>
    </row>
    <row r="318" spans="1:26" ht="15.75" hidden="1" customHeight="1" outlineLevel="2">
      <c r="A318">
        <v>400</v>
      </c>
      <c r="B318" s="249">
        <v>824370</v>
      </c>
      <c r="C318">
        <v>1</v>
      </c>
      <c r="D318" t="str">
        <f t="shared" si="32"/>
        <v>1824370.400</v>
      </c>
      <c r="E318" s="444" t="s">
        <v>8001</v>
      </c>
      <c r="H318" s="470">
        <v>46700</v>
      </c>
      <c r="I318" s="470">
        <v>46700</v>
      </c>
      <c r="J318" s="470">
        <v>52500</v>
      </c>
      <c r="K318" s="18"/>
      <c r="L318" s="18" t="str">
        <f t="shared" si="33"/>
        <v>8</v>
      </c>
      <c r="M318" s="18" t="str">
        <f>INDEX(Chapter,MATCH(L318,Chapter!$A$1:$A$681,0),8)</f>
        <v>שירותים ממלכתיים</v>
      </c>
      <c r="N318" s="18" t="str">
        <f t="shared" si="34"/>
        <v>82</v>
      </c>
      <c r="O318" s="18" t="str">
        <f>INDEX(Chapter,MATCH(N318,Chapter!$A$1:$A$681,0),8)</f>
        <v>תרבות</v>
      </c>
      <c r="P318" s="18" t="str">
        <f t="shared" si="35"/>
        <v>824</v>
      </c>
      <c r="Q318" s="18" t="str">
        <f>INDEX(Chapter,MATCH(P318,Chapter!$A$1:$A$681,0),8)</f>
        <v>מתנ״סים</v>
      </c>
      <c r="R318" s="18" t="str">
        <f t="shared" si="36"/>
        <v>8243</v>
      </c>
      <c r="S318" s="18" t="e">
        <f>INDEX(Chapter,MATCH(R318,Chapter!$A$1:$A$681,0),8)</f>
        <v>#N/A</v>
      </c>
      <c r="T318" s="18"/>
      <c r="U318" s="18" t="str">
        <f t="shared" si="37"/>
        <v>4</v>
      </c>
      <c r="V318" s="18" t="str">
        <f>IF($L318&lt;"6",INDEX(Revenue_type,MATCH(U318*1,type!$A$118:$A$168,0),8),INDEX(Expenditure_type,MATCH(U318*1,type!$A$2:$A$117,0),8))</f>
        <v>אחזקת בינים ואספקת ציוד</v>
      </c>
      <c r="W318" s="18" t="str">
        <f t="shared" si="38"/>
        <v>40</v>
      </c>
      <c r="X318" s="18" t="e">
        <f>IF($L318&lt;"6",INDEX(Revenue_type,MATCH(W318*1,type!$A$118:$A$168,0),8),INDEX(Expenditure_type,MATCH(W318*1,type!$A$2:$A$117,0),8))</f>
        <v>#N/A</v>
      </c>
      <c r="Y318" s="18" t="str">
        <f t="shared" si="39"/>
        <v>400</v>
      </c>
      <c r="Z318" s="18" t="e">
        <f>IF($L318&lt;"6",INDEX(Revenue_type,MATCH(Y318*1,type!$A$118:$A$168,0),8),INDEX(Expenditure_type,MATCH(Y318*1,type!$A$2:$A$117,0),8))</f>
        <v>#N/A</v>
      </c>
    </row>
    <row r="319" spans="1:26" ht="15.75" hidden="1" customHeight="1" outlineLevel="2">
      <c r="A319">
        <v>500</v>
      </c>
      <c r="B319" s="249">
        <v>824370</v>
      </c>
      <c r="C319">
        <v>1</v>
      </c>
      <c r="D319" t="str">
        <f t="shared" ref="D319:D382" si="40">C319&amp;B319&amp;"."&amp;A319</f>
        <v>1824370.500</v>
      </c>
      <c r="E319" s="444" t="s">
        <v>8002</v>
      </c>
      <c r="H319" s="470">
        <v>18000</v>
      </c>
      <c r="I319" s="470">
        <v>18000</v>
      </c>
      <c r="J319" s="470">
        <v>14300</v>
      </c>
      <c r="K319" s="18"/>
      <c r="L319" s="18" t="str">
        <f t="shared" si="33"/>
        <v>8</v>
      </c>
      <c r="M319" s="18" t="str">
        <f>INDEX(Chapter,MATCH(L319,Chapter!$A$1:$A$681,0),8)</f>
        <v>שירותים ממלכתיים</v>
      </c>
      <c r="N319" s="18" t="str">
        <f t="shared" si="34"/>
        <v>82</v>
      </c>
      <c r="O319" s="18" t="str">
        <f>INDEX(Chapter,MATCH(N319,Chapter!$A$1:$A$681,0),8)</f>
        <v>תרבות</v>
      </c>
      <c r="P319" s="18" t="str">
        <f t="shared" si="35"/>
        <v>824</v>
      </c>
      <c r="Q319" s="18" t="str">
        <f>INDEX(Chapter,MATCH(P319,Chapter!$A$1:$A$681,0),8)</f>
        <v>מתנ״סים</v>
      </c>
      <c r="R319" s="18" t="str">
        <f t="shared" si="36"/>
        <v>8243</v>
      </c>
      <c r="S319" s="18" t="e">
        <f>INDEX(Chapter,MATCH(R319,Chapter!$A$1:$A$681,0),8)</f>
        <v>#N/A</v>
      </c>
      <c r="T319" s="18"/>
      <c r="U319" s="18" t="str">
        <f t="shared" si="37"/>
        <v>5</v>
      </c>
      <c r="V319" s="18" t="str">
        <f>IF($L319&lt;"6",INDEX(Revenue_type,MATCH(U319*1,type!$A$118:$A$168,0),8),INDEX(Expenditure_type,MATCH(U319*1,type!$A$2:$A$117,0),8))</f>
        <v>הוצאות מנהליות</v>
      </c>
      <c r="W319" s="18" t="str">
        <f t="shared" si="38"/>
        <v>50</v>
      </c>
      <c r="X319" s="18" t="e">
        <f>IF($L319&lt;"6",INDEX(Revenue_type,MATCH(W319*1,type!$A$118:$A$168,0),8),INDEX(Expenditure_type,MATCH(W319*1,type!$A$2:$A$117,0),8))</f>
        <v>#N/A</v>
      </c>
      <c r="Y319" s="18" t="str">
        <f t="shared" si="39"/>
        <v>500</v>
      </c>
      <c r="Z319" s="18" t="e">
        <f>IF($L319&lt;"6",INDEX(Revenue_type,MATCH(Y319*1,type!$A$118:$A$168,0),8),INDEX(Expenditure_type,MATCH(Y319*1,type!$A$2:$A$117,0),8))</f>
        <v>#N/A</v>
      </c>
    </row>
    <row r="320" spans="1:26" ht="15.75" hidden="1" customHeight="1" outlineLevel="2">
      <c r="A320">
        <v>500</v>
      </c>
      <c r="B320" s="249">
        <v>824370</v>
      </c>
      <c r="C320">
        <v>1</v>
      </c>
      <c r="D320" t="str">
        <f t="shared" si="40"/>
        <v>1824370.500</v>
      </c>
      <c r="E320" s="446" t="s">
        <v>8003</v>
      </c>
      <c r="H320" s="470">
        <v>26200</v>
      </c>
      <c r="I320" s="470">
        <v>26200</v>
      </c>
      <c r="J320" s="470">
        <v>19500</v>
      </c>
      <c r="K320" s="18"/>
      <c r="L320" s="18" t="str">
        <f t="shared" si="33"/>
        <v>8</v>
      </c>
      <c r="M320" s="18" t="str">
        <f>INDEX(Chapter,MATCH(L320,Chapter!$A$1:$A$681,0),8)</f>
        <v>שירותים ממלכתיים</v>
      </c>
      <c r="N320" s="18" t="str">
        <f t="shared" si="34"/>
        <v>82</v>
      </c>
      <c r="O320" s="18" t="str">
        <f>INDEX(Chapter,MATCH(N320,Chapter!$A$1:$A$681,0),8)</f>
        <v>תרבות</v>
      </c>
      <c r="P320" s="18" t="str">
        <f t="shared" si="35"/>
        <v>824</v>
      </c>
      <c r="Q320" s="18" t="str">
        <f>INDEX(Chapter,MATCH(P320,Chapter!$A$1:$A$681,0),8)</f>
        <v>מתנ״סים</v>
      </c>
      <c r="R320" s="18" t="str">
        <f t="shared" si="36"/>
        <v>8243</v>
      </c>
      <c r="S320" s="18" t="e">
        <f>INDEX(Chapter,MATCH(R320,Chapter!$A$1:$A$681,0),8)</f>
        <v>#N/A</v>
      </c>
      <c r="T320" s="18"/>
      <c r="U320" s="18" t="str">
        <f t="shared" si="37"/>
        <v>5</v>
      </c>
      <c r="V320" s="18" t="str">
        <f>IF($L320&lt;"6",INDEX(Revenue_type,MATCH(U320*1,type!$A$118:$A$168,0),8),INDEX(Expenditure_type,MATCH(U320*1,type!$A$2:$A$117,0),8))</f>
        <v>הוצאות מנהליות</v>
      </c>
      <c r="W320" s="18" t="str">
        <f t="shared" si="38"/>
        <v>50</v>
      </c>
      <c r="X320" s="18" t="e">
        <f>IF($L320&lt;"6",INDEX(Revenue_type,MATCH(W320*1,type!$A$118:$A$168,0),8),INDEX(Expenditure_type,MATCH(W320*1,type!$A$2:$A$117,0),8))</f>
        <v>#N/A</v>
      </c>
      <c r="Y320" s="18" t="str">
        <f t="shared" si="39"/>
        <v>500</v>
      </c>
      <c r="Z320" s="18" t="e">
        <f>IF($L320&lt;"6",INDEX(Revenue_type,MATCH(Y320*1,type!$A$118:$A$168,0),8),INDEX(Expenditure_type,MATCH(Y320*1,type!$A$2:$A$117,0),8))</f>
        <v>#N/A</v>
      </c>
    </row>
    <row r="321" spans="1:26" ht="15.75" hidden="1" customHeight="1" outlineLevel="2">
      <c r="A321">
        <v>700</v>
      </c>
      <c r="B321" s="249">
        <v>824370</v>
      </c>
      <c r="C321">
        <v>1</v>
      </c>
      <c r="D321" t="str">
        <f t="shared" si="40"/>
        <v>1824370.700</v>
      </c>
      <c r="E321" s="444" t="s">
        <v>8004</v>
      </c>
      <c r="H321" s="470">
        <v>77000</v>
      </c>
      <c r="I321" s="470">
        <v>81900</v>
      </c>
      <c r="J321" s="470">
        <v>78900</v>
      </c>
      <c r="K321" s="18"/>
      <c r="L321" s="18" t="str">
        <f t="shared" si="33"/>
        <v>8</v>
      </c>
      <c r="M321" s="18" t="str">
        <f>INDEX(Chapter,MATCH(L321,Chapter!$A$1:$A$681,0),8)</f>
        <v>שירותים ממלכתיים</v>
      </c>
      <c r="N321" s="18" t="str">
        <f t="shared" si="34"/>
        <v>82</v>
      </c>
      <c r="O321" s="18" t="str">
        <f>INDEX(Chapter,MATCH(N321,Chapter!$A$1:$A$681,0),8)</f>
        <v>תרבות</v>
      </c>
      <c r="P321" s="18" t="str">
        <f t="shared" si="35"/>
        <v>824</v>
      </c>
      <c r="Q321" s="18" t="str">
        <f>INDEX(Chapter,MATCH(P321,Chapter!$A$1:$A$681,0),8)</f>
        <v>מתנ״סים</v>
      </c>
      <c r="R321" s="18" t="str">
        <f t="shared" si="36"/>
        <v>8243</v>
      </c>
      <c r="S321" s="18" t="e">
        <f>INDEX(Chapter,MATCH(R321,Chapter!$A$1:$A$681,0),8)</f>
        <v>#N/A</v>
      </c>
      <c r="T321" s="18"/>
      <c r="U321" s="18" t="str">
        <f t="shared" si="37"/>
        <v>7</v>
      </c>
      <c r="V321" s="18" t="str">
        <f>IF($L321&lt;"6",INDEX(Revenue_type,MATCH(U321*1,type!$A$118:$A$168,0),8),INDEX(Expenditure_type,MATCH(U321*1,type!$A$2:$A$117,0),8))</f>
        <v>הוצאות לפעולות</v>
      </c>
      <c r="W321" s="18" t="str">
        <f t="shared" si="38"/>
        <v>70</v>
      </c>
      <c r="X321" s="18" t="e">
        <f>IF($L321&lt;"6",INDEX(Revenue_type,MATCH(W321*1,type!$A$118:$A$168,0),8),INDEX(Expenditure_type,MATCH(W321*1,type!$A$2:$A$117,0),8))</f>
        <v>#N/A</v>
      </c>
      <c r="Y321" s="18" t="str">
        <f t="shared" si="39"/>
        <v>700</v>
      </c>
      <c r="Z321" s="18" t="e">
        <f>IF($L321&lt;"6",INDEX(Revenue_type,MATCH(Y321*1,type!$A$118:$A$168,0),8),INDEX(Expenditure_type,MATCH(Y321*1,type!$A$2:$A$117,0),8))</f>
        <v>#N/A</v>
      </c>
    </row>
    <row r="322" spans="1:26" ht="15.75" hidden="1" customHeight="1" outlineLevel="2">
      <c r="A322">
        <v>100</v>
      </c>
      <c r="B322" s="249">
        <v>824392</v>
      </c>
      <c r="C322">
        <v>1</v>
      </c>
      <c r="D322" t="str">
        <f t="shared" si="40"/>
        <v>1824392.100</v>
      </c>
      <c r="E322" s="444" t="s">
        <v>8005</v>
      </c>
      <c r="H322" s="470">
        <v>244000</v>
      </c>
      <c r="I322" s="470">
        <v>241000</v>
      </c>
      <c r="J322" s="470">
        <v>194200</v>
      </c>
      <c r="K322" s="18"/>
      <c r="L322" s="18" t="str">
        <f t="shared" si="33"/>
        <v>8</v>
      </c>
      <c r="M322" s="18" t="str">
        <f>INDEX(Chapter,MATCH(L322,Chapter!$A$1:$A$681,0),8)</f>
        <v>שירותים ממלכתיים</v>
      </c>
      <c r="N322" s="18" t="str">
        <f t="shared" si="34"/>
        <v>82</v>
      </c>
      <c r="O322" s="18" t="str">
        <f>INDEX(Chapter,MATCH(N322,Chapter!$A$1:$A$681,0),8)</f>
        <v>תרבות</v>
      </c>
      <c r="P322" s="18" t="str">
        <f t="shared" si="35"/>
        <v>824</v>
      </c>
      <c r="Q322" s="18" t="str">
        <f>INDEX(Chapter,MATCH(P322,Chapter!$A$1:$A$681,0),8)</f>
        <v>מתנ״סים</v>
      </c>
      <c r="R322" s="18" t="str">
        <f t="shared" si="36"/>
        <v>8243</v>
      </c>
      <c r="S322" s="18" t="e">
        <f>INDEX(Chapter,MATCH(R322,Chapter!$A$1:$A$681,0),8)</f>
        <v>#N/A</v>
      </c>
      <c r="T322" s="18"/>
      <c r="U322" s="18" t="str">
        <f t="shared" si="37"/>
        <v>1</v>
      </c>
      <c r="V322" s="18" t="str">
        <f>IF($L322&lt;"6",INDEX(Revenue_type,MATCH(U322*1,type!$A$118:$A$168,0),8),INDEX(Expenditure_type,MATCH(U322*1,type!$A$2:$A$117,0),8))</f>
        <v>משכורות וש"ע לעובדים לפי תקן</v>
      </c>
      <c r="W322" s="18" t="str">
        <f t="shared" si="38"/>
        <v>10</v>
      </c>
      <c r="X322" s="18" t="e">
        <f>IF($L322&lt;"6",INDEX(Revenue_type,MATCH(W322*1,type!$A$118:$A$168,0),8),INDEX(Expenditure_type,MATCH(W322*1,type!$A$2:$A$117,0),8))</f>
        <v>#N/A</v>
      </c>
      <c r="Y322" s="18" t="str">
        <f t="shared" si="39"/>
        <v>100</v>
      </c>
      <c r="Z322" s="18" t="e">
        <f>IF($L322&lt;"6",INDEX(Revenue_type,MATCH(Y322*1,type!$A$118:$A$168,0),8),INDEX(Expenditure_type,MATCH(Y322*1,type!$A$2:$A$117,0),8))</f>
        <v>#N/A</v>
      </c>
    </row>
    <row r="323" spans="1:26" ht="15.75" hidden="1" customHeight="1" outlineLevel="2">
      <c r="A323">
        <v>120</v>
      </c>
      <c r="B323" s="249">
        <v>824392</v>
      </c>
      <c r="C323">
        <v>1</v>
      </c>
      <c r="D323" t="str">
        <f t="shared" si="40"/>
        <v>1824392.120</v>
      </c>
      <c r="E323" s="446" t="s">
        <v>8006</v>
      </c>
      <c r="H323" s="470">
        <v>2000</v>
      </c>
      <c r="I323" s="470">
        <v>2000</v>
      </c>
      <c r="J323" s="470">
        <v>6300</v>
      </c>
      <c r="K323" s="18"/>
      <c r="L323" s="18" t="str">
        <f t="shared" ref="L323:L386" si="41">IF(LEFT($B323,1)*1=0,LEFT($B323,2),LEFT($B323,1))</f>
        <v>8</v>
      </c>
      <c r="M323" s="18" t="str">
        <f>INDEX(Chapter,MATCH(L323,Chapter!$A$1:$A$681,0),8)</f>
        <v>שירותים ממלכתיים</v>
      </c>
      <c r="N323" s="18" t="str">
        <f t="shared" ref="N323:N386" si="42">IF(LEFT($B323,1)*1=0,LEFT($B323,3),LEFT($B323,2))</f>
        <v>82</v>
      </c>
      <c r="O323" s="18" t="str">
        <f>INDEX(Chapter,MATCH(N323,Chapter!$A$1:$A$681,0),8)</f>
        <v>תרבות</v>
      </c>
      <c r="P323" s="18" t="str">
        <f t="shared" ref="P323:P386" si="43">IF(LEFT($B323,1)*1=0,LEFT($B323,4),LEFT($B323,3))</f>
        <v>824</v>
      </c>
      <c r="Q323" s="18" t="str">
        <f>INDEX(Chapter,MATCH(P323,Chapter!$A$1:$A$681,0),8)</f>
        <v>מתנ״סים</v>
      </c>
      <c r="R323" s="18" t="str">
        <f t="shared" ref="R323:R386" si="44">LEFT($B323,4)</f>
        <v>8243</v>
      </c>
      <c r="S323" s="18" t="e">
        <f>INDEX(Chapter,MATCH(R323,Chapter!$A$1:$A$681,0),8)</f>
        <v>#N/A</v>
      </c>
      <c r="T323" s="18"/>
      <c r="U323" s="18" t="str">
        <f t="shared" ref="U323:U386" si="45">LEFT($A323,1)</f>
        <v>1</v>
      </c>
      <c r="V323" s="18" t="str">
        <f>IF($L323&lt;"6",INDEX(Revenue_type,MATCH(U323*1,type!$A$118:$A$168,0),8),INDEX(Expenditure_type,MATCH(U323*1,type!$A$2:$A$117,0),8))</f>
        <v>משכורות וש"ע לעובדים לפי תקן</v>
      </c>
      <c r="W323" s="18" t="str">
        <f t="shared" ref="W323:W386" si="46">LEFT($A323,2)</f>
        <v>12</v>
      </c>
      <c r="X323" s="18" t="str">
        <f>IF($L323&lt;"6",INDEX(Revenue_type,MATCH(W323*1,type!$A$118:$A$168,0),8),INDEX(Expenditure_type,MATCH(W323*1,type!$A$2:$A$117,0),8))</f>
        <v>תוספות שאינן נכללות בשכר הקובע</v>
      </c>
      <c r="Y323" s="18" t="str">
        <f t="shared" ref="Y323:Y386" si="47">LEFT($A323,3)</f>
        <v>120</v>
      </c>
      <c r="Z323" s="18" t="e">
        <f>IF($L323&lt;"6",INDEX(Revenue_type,MATCH(Y323*1,type!$A$118:$A$168,0),8),INDEX(Expenditure_type,MATCH(Y323*1,type!$A$2:$A$117,0),8))</f>
        <v>#N/A</v>
      </c>
    </row>
    <row r="324" spans="1:26" ht="15.75" hidden="1" customHeight="1" outlineLevel="2">
      <c r="A324">
        <v>800</v>
      </c>
      <c r="B324" s="249">
        <v>824392</v>
      </c>
      <c r="C324">
        <v>1</v>
      </c>
      <c r="D324" t="str">
        <f t="shared" si="40"/>
        <v>1824392.800</v>
      </c>
      <c r="E324" s="446" t="s">
        <v>8007</v>
      </c>
      <c r="H324" s="470">
        <v>947200</v>
      </c>
      <c r="I324" s="470">
        <v>975000</v>
      </c>
      <c r="J324" s="470">
        <v>975000</v>
      </c>
      <c r="K324" s="18"/>
      <c r="L324" s="18" t="str">
        <f t="shared" si="41"/>
        <v>8</v>
      </c>
      <c r="M324" s="18" t="str">
        <f>INDEX(Chapter,MATCH(L324,Chapter!$A$1:$A$681,0),8)</f>
        <v>שירותים ממלכתיים</v>
      </c>
      <c r="N324" s="18" t="str">
        <f t="shared" si="42"/>
        <v>82</v>
      </c>
      <c r="O324" s="18" t="str">
        <f>INDEX(Chapter,MATCH(N324,Chapter!$A$1:$A$681,0),8)</f>
        <v>תרבות</v>
      </c>
      <c r="P324" s="18" t="str">
        <f t="shared" si="43"/>
        <v>824</v>
      </c>
      <c r="Q324" s="18" t="str">
        <f>INDEX(Chapter,MATCH(P324,Chapter!$A$1:$A$681,0),8)</f>
        <v>מתנ״סים</v>
      </c>
      <c r="R324" s="18" t="str">
        <f t="shared" si="44"/>
        <v>8243</v>
      </c>
      <c r="S324" s="18" t="e">
        <f>INDEX(Chapter,MATCH(R324,Chapter!$A$1:$A$681,0),8)</f>
        <v>#N/A</v>
      </c>
      <c r="T324" s="18"/>
      <c r="U324" s="18" t="str">
        <f t="shared" si="45"/>
        <v>8</v>
      </c>
      <c r="V324" s="18" t="str">
        <f>IF($L324&lt;"6",INDEX(Revenue_type,MATCH(U324*1,type!$A$118:$A$168,0),8),INDEX(Expenditure_type,MATCH(U324*1,type!$A$2:$A$117,0),8))</f>
        <v>השתתפויות תמיכות ותרומות</v>
      </c>
      <c r="W324" s="18" t="str">
        <f t="shared" si="46"/>
        <v>80</v>
      </c>
      <c r="X324" s="18" t="e">
        <f>IF($L324&lt;"6",INDEX(Revenue_type,MATCH(W324*1,type!$A$118:$A$168,0),8),INDEX(Expenditure_type,MATCH(W324*1,type!$A$2:$A$117,0),8))</f>
        <v>#N/A</v>
      </c>
      <c r="Y324" s="18" t="str">
        <f t="shared" si="47"/>
        <v>800</v>
      </c>
      <c r="Z324" s="18" t="e">
        <f>IF($L324&lt;"6",INDEX(Revenue_type,MATCH(Y324*1,type!$A$118:$A$168,0),8),INDEX(Expenditure_type,MATCH(Y324*1,type!$A$2:$A$117,0),8))</f>
        <v>#N/A</v>
      </c>
    </row>
    <row r="325" spans="1:26" ht="15.75" hidden="1" customHeight="1" outlineLevel="2">
      <c r="A325">
        <v>800</v>
      </c>
      <c r="B325" s="249">
        <v>824396</v>
      </c>
      <c r="C325">
        <v>1</v>
      </c>
      <c r="D325" t="str">
        <f t="shared" si="40"/>
        <v>1824396.800</v>
      </c>
      <c r="E325" s="444" t="s">
        <v>8008</v>
      </c>
      <c r="H325" s="470">
        <v>291400</v>
      </c>
      <c r="I325" s="470">
        <v>300000</v>
      </c>
      <c r="J325" s="470">
        <v>300000</v>
      </c>
      <c r="K325" s="18"/>
      <c r="L325" s="18" t="str">
        <f t="shared" si="41"/>
        <v>8</v>
      </c>
      <c r="M325" s="18" t="str">
        <f>INDEX(Chapter,MATCH(L325,Chapter!$A$1:$A$681,0),8)</f>
        <v>שירותים ממלכתיים</v>
      </c>
      <c r="N325" s="18" t="str">
        <f t="shared" si="42"/>
        <v>82</v>
      </c>
      <c r="O325" s="18" t="str">
        <f>INDEX(Chapter,MATCH(N325,Chapter!$A$1:$A$681,0),8)</f>
        <v>תרבות</v>
      </c>
      <c r="P325" s="18" t="str">
        <f t="shared" si="43"/>
        <v>824</v>
      </c>
      <c r="Q325" s="18" t="str">
        <f>INDEX(Chapter,MATCH(P325,Chapter!$A$1:$A$681,0),8)</f>
        <v>מתנ״סים</v>
      </c>
      <c r="R325" s="18" t="str">
        <f t="shared" si="44"/>
        <v>8243</v>
      </c>
      <c r="S325" s="18" t="e">
        <f>INDEX(Chapter,MATCH(R325,Chapter!$A$1:$A$681,0),8)</f>
        <v>#N/A</v>
      </c>
      <c r="T325" s="18"/>
      <c r="U325" s="18" t="str">
        <f t="shared" si="45"/>
        <v>8</v>
      </c>
      <c r="V325" s="18" t="str">
        <f>IF($L325&lt;"6",INDEX(Revenue_type,MATCH(U325*1,type!$A$118:$A$168,0),8),INDEX(Expenditure_type,MATCH(U325*1,type!$A$2:$A$117,0),8))</f>
        <v>השתתפויות תמיכות ותרומות</v>
      </c>
      <c r="W325" s="18" t="str">
        <f t="shared" si="46"/>
        <v>80</v>
      </c>
      <c r="X325" s="18" t="e">
        <f>IF($L325&lt;"6",INDEX(Revenue_type,MATCH(W325*1,type!$A$118:$A$168,0),8),INDEX(Expenditure_type,MATCH(W325*1,type!$A$2:$A$117,0),8))</f>
        <v>#N/A</v>
      </c>
      <c r="Y325" s="18" t="str">
        <f t="shared" si="47"/>
        <v>800</v>
      </c>
      <c r="Z325" s="18" t="e">
        <f>IF($L325&lt;"6",INDEX(Revenue_type,MATCH(Y325*1,type!$A$118:$A$168,0),8),INDEX(Expenditure_type,MATCH(Y325*1,type!$A$2:$A$117,0),8))</f>
        <v>#N/A</v>
      </c>
    </row>
    <row r="326" spans="1:26" ht="15.75" hidden="1" customHeight="1" outlineLevel="2">
      <c r="A326">
        <v>800</v>
      </c>
      <c r="B326" s="249">
        <v>824400</v>
      </c>
      <c r="C326">
        <v>1</v>
      </c>
      <c r="D326" t="str">
        <f t="shared" si="40"/>
        <v>1824400.800</v>
      </c>
      <c r="E326" s="444" t="s">
        <v>8009</v>
      </c>
      <c r="H326" s="470">
        <v>194300</v>
      </c>
      <c r="I326" s="470">
        <v>200000</v>
      </c>
      <c r="J326" s="470">
        <v>200000</v>
      </c>
      <c r="K326" s="18"/>
      <c r="L326" s="18" t="str">
        <f t="shared" si="41"/>
        <v>8</v>
      </c>
      <c r="M326" s="18" t="str">
        <f>INDEX(Chapter,MATCH(L326,Chapter!$A$1:$A$681,0),8)</f>
        <v>שירותים ממלכתיים</v>
      </c>
      <c r="N326" s="18" t="str">
        <f t="shared" si="42"/>
        <v>82</v>
      </c>
      <c r="O326" s="18" t="str">
        <f>INDEX(Chapter,MATCH(N326,Chapter!$A$1:$A$681,0),8)</f>
        <v>תרבות</v>
      </c>
      <c r="P326" s="18" t="str">
        <f t="shared" si="43"/>
        <v>824</v>
      </c>
      <c r="Q326" s="18" t="str">
        <f>INDEX(Chapter,MATCH(P326,Chapter!$A$1:$A$681,0),8)</f>
        <v>מתנ״סים</v>
      </c>
      <c r="R326" s="18" t="str">
        <f t="shared" si="44"/>
        <v>8244</v>
      </c>
      <c r="S326" s="18" t="e">
        <f>INDEX(Chapter,MATCH(R326,Chapter!$A$1:$A$681,0),8)</f>
        <v>#N/A</v>
      </c>
      <c r="T326" s="18"/>
      <c r="U326" s="18" t="str">
        <f t="shared" si="45"/>
        <v>8</v>
      </c>
      <c r="V326" s="18" t="str">
        <f>IF($L326&lt;"6",INDEX(Revenue_type,MATCH(U326*1,type!$A$118:$A$168,0),8),INDEX(Expenditure_type,MATCH(U326*1,type!$A$2:$A$117,0),8))</f>
        <v>השתתפויות תמיכות ותרומות</v>
      </c>
      <c r="W326" s="18" t="str">
        <f t="shared" si="46"/>
        <v>80</v>
      </c>
      <c r="X326" s="18" t="e">
        <f>IF($L326&lt;"6",INDEX(Revenue_type,MATCH(W326*1,type!$A$118:$A$168,0),8),INDEX(Expenditure_type,MATCH(W326*1,type!$A$2:$A$117,0),8))</f>
        <v>#N/A</v>
      </c>
      <c r="Y326" s="18" t="str">
        <f t="shared" si="47"/>
        <v>800</v>
      </c>
      <c r="Z326" s="18" t="e">
        <f>IF($L326&lt;"6",INDEX(Revenue_type,MATCH(Y326*1,type!$A$118:$A$168,0),8),INDEX(Expenditure_type,MATCH(Y326*1,type!$A$2:$A$117,0),8))</f>
        <v>#N/A</v>
      </c>
    </row>
    <row r="327" spans="1:26" ht="15.75" hidden="1" customHeight="1" outlineLevel="2">
      <c r="A327">
        <v>700</v>
      </c>
      <c r="B327" s="249">
        <v>824500</v>
      </c>
      <c r="C327">
        <v>1</v>
      </c>
      <c r="D327" t="str">
        <f t="shared" si="40"/>
        <v>1824500.700</v>
      </c>
      <c r="E327" s="444" t="s">
        <v>8010</v>
      </c>
      <c r="H327" s="470">
        <v>90300</v>
      </c>
      <c r="I327" s="470">
        <v>93000</v>
      </c>
      <c r="J327" s="470">
        <v>77900</v>
      </c>
      <c r="K327" s="18"/>
      <c r="L327" s="18" t="str">
        <f t="shared" si="41"/>
        <v>8</v>
      </c>
      <c r="M327" s="18" t="str">
        <f>INDEX(Chapter,MATCH(L327,Chapter!$A$1:$A$681,0),8)</f>
        <v>שירותים ממלכתיים</v>
      </c>
      <c r="N327" s="18" t="str">
        <f t="shared" si="42"/>
        <v>82</v>
      </c>
      <c r="O327" s="18" t="str">
        <f>INDEX(Chapter,MATCH(N327,Chapter!$A$1:$A$681,0),8)</f>
        <v>תרבות</v>
      </c>
      <c r="P327" s="18" t="str">
        <f t="shared" si="43"/>
        <v>824</v>
      </c>
      <c r="Q327" s="18" t="str">
        <f>INDEX(Chapter,MATCH(P327,Chapter!$A$1:$A$681,0),8)</f>
        <v>מתנ״סים</v>
      </c>
      <c r="R327" s="18" t="str">
        <f t="shared" si="44"/>
        <v>8245</v>
      </c>
      <c r="S327" s="18" t="e">
        <f>INDEX(Chapter,MATCH(R327,Chapter!$A$1:$A$681,0),8)</f>
        <v>#N/A</v>
      </c>
      <c r="T327" s="18"/>
      <c r="U327" s="18" t="str">
        <f t="shared" si="45"/>
        <v>7</v>
      </c>
      <c r="V327" s="18" t="str">
        <f>IF($L327&lt;"6",INDEX(Revenue_type,MATCH(U327*1,type!$A$118:$A$168,0),8),INDEX(Expenditure_type,MATCH(U327*1,type!$A$2:$A$117,0),8))</f>
        <v>הוצאות לפעולות</v>
      </c>
      <c r="W327" s="18" t="str">
        <f t="shared" si="46"/>
        <v>70</v>
      </c>
      <c r="X327" s="18" t="e">
        <f>IF($L327&lt;"6",INDEX(Revenue_type,MATCH(W327*1,type!$A$118:$A$168,0),8),INDEX(Expenditure_type,MATCH(W327*1,type!$A$2:$A$117,0),8))</f>
        <v>#N/A</v>
      </c>
      <c r="Y327" s="18" t="str">
        <f t="shared" si="47"/>
        <v>700</v>
      </c>
      <c r="Z327" s="18" t="e">
        <f>IF($L327&lt;"6",INDEX(Revenue_type,MATCH(Y327*1,type!$A$118:$A$168,0),8),INDEX(Expenditure_type,MATCH(Y327*1,type!$A$2:$A$117,0),8))</f>
        <v>#N/A</v>
      </c>
    </row>
    <row r="328" spans="1:26" ht="15.75" hidden="1" customHeight="1" outlineLevel="2">
      <c r="A328">
        <v>700</v>
      </c>
      <c r="B328" s="249">
        <v>824100</v>
      </c>
      <c r="C328">
        <v>1</v>
      </c>
      <c r="D328" t="str">
        <f t="shared" si="40"/>
        <v>1824100.700</v>
      </c>
      <c r="E328" s="444" t="s">
        <v>8011</v>
      </c>
      <c r="H328" s="470">
        <v>48600</v>
      </c>
      <c r="I328" s="470">
        <v>50000</v>
      </c>
      <c r="J328" s="470">
        <v>33900</v>
      </c>
      <c r="K328" s="18"/>
      <c r="L328" s="18" t="str">
        <f t="shared" si="41"/>
        <v>8</v>
      </c>
      <c r="M328" s="18" t="str">
        <f>INDEX(Chapter,MATCH(L328,Chapter!$A$1:$A$681,0),8)</f>
        <v>שירותים ממלכתיים</v>
      </c>
      <c r="N328" s="18" t="str">
        <f t="shared" si="42"/>
        <v>82</v>
      </c>
      <c r="O328" s="18" t="str">
        <f>INDEX(Chapter,MATCH(N328,Chapter!$A$1:$A$681,0),8)</f>
        <v>תרבות</v>
      </c>
      <c r="P328" s="18" t="str">
        <f t="shared" si="43"/>
        <v>824</v>
      </c>
      <c r="Q328" s="18" t="str">
        <f>INDEX(Chapter,MATCH(P328,Chapter!$A$1:$A$681,0),8)</f>
        <v>מתנ״סים</v>
      </c>
      <c r="R328" s="18" t="str">
        <f t="shared" si="44"/>
        <v>8241</v>
      </c>
      <c r="S328" s="18" t="e">
        <f>INDEX(Chapter,MATCH(R328,Chapter!$A$1:$A$681,0),8)</f>
        <v>#N/A</v>
      </c>
      <c r="T328" s="18"/>
      <c r="U328" s="18" t="str">
        <f t="shared" si="45"/>
        <v>7</v>
      </c>
      <c r="V328" s="18" t="str">
        <f>IF($L328&lt;"6",INDEX(Revenue_type,MATCH(U328*1,type!$A$118:$A$168,0),8),INDEX(Expenditure_type,MATCH(U328*1,type!$A$2:$A$117,0),8))</f>
        <v>הוצאות לפעולות</v>
      </c>
      <c r="W328" s="18" t="str">
        <f t="shared" si="46"/>
        <v>70</v>
      </c>
      <c r="X328" s="18" t="e">
        <f>IF($L328&lt;"6",INDEX(Revenue_type,MATCH(W328*1,type!$A$118:$A$168,0),8),INDEX(Expenditure_type,MATCH(W328*1,type!$A$2:$A$117,0),8))</f>
        <v>#N/A</v>
      </c>
      <c r="Y328" s="18" t="str">
        <f t="shared" si="47"/>
        <v>700</v>
      </c>
      <c r="Z328" s="18" t="e">
        <f>IF($L328&lt;"6",INDEX(Revenue_type,MATCH(Y328*1,type!$A$118:$A$168,0),8),INDEX(Expenditure_type,MATCH(Y328*1,type!$A$2:$A$117,0),8))</f>
        <v>#N/A</v>
      </c>
    </row>
    <row r="329" spans="1:26" ht="15.75" hidden="1" customHeight="1" outlineLevel="2">
      <c r="A329">
        <v>700</v>
      </c>
      <c r="B329" s="249">
        <v>821705</v>
      </c>
      <c r="C329">
        <v>1</v>
      </c>
      <c r="D329" t="str">
        <f t="shared" si="40"/>
        <v>1821705.700</v>
      </c>
      <c r="E329" s="444" t="s">
        <v>8012</v>
      </c>
      <c r="H329" s="470">
        <v>777200</v>
      </c>
      <c r="I329" s="470">
        <v>900000</v>
      </c>
      <c r="J329" s="470">
        <v>800000</v>
      </c>
      <c r="K329" s="18"/>
      <c r="L329" s="18" t="str">
        <f t="shared" si="41"/>
        <v>8</v>
      </c>
      <c r="M329" s="18" t="str">
        <f>INDEX(Chapter,MATCH(L329,Chapter!$A$1:$A$681,0),8)</f>
        <v>שירותים ממלכתיים</v>
      </c>
      <c r="N329" s="18" t="str">
        <f t="shared" si="42"/>
        <v>82</v>
      </c>
      <c r="O329" s="18" t="str">
        <f>INDEX(Chapter,MATCH(N329,Chapter!$A$1:$A$681,0),8)</f>
        <v>תרבות</v>
      </c>
      <c r="P329" s="18" t="str">
        <f t="shared" si="43"/>
        <v>821</v>
      </c>
      <c r="Q329" s="18" t="str">
        <f>INDEX(Chapter,MATCH(P329,Chapter!$A$1:$A$681,0),8)</f>
        <v>מינהל התרבות</v>
      </c>
      <c r="R329" s="18" t="str">
        <f t="shared" si="44"/>
        <v>8217</v>
      </c>
      <c r="S329" s="18" t="e">
        <f>INDEX(Chapter,MATCH(R329,Chapter!$A$1:$A$681,0),8)</f>
        <v>#N/A</v>
      </c>
      <c r="T329" s="18"/>
      <c r="U329" s="18" t="str">
        <f t="shared" si="45"/>
        <v>7</v>
      </c>
      <c r="V329" s="18" t="str">
        <f>IF($L329&lt;"6",INDEX(Revenue_type,MATCH(U329*1,type!$A$118:$A$168,0),8),INDEX(Expenditure_type,MATCH(U329*1,type!$A$2:$A$117,0),8))</f>
        <v>הוצאות לפעולות</v>
      </c>
      <c r="W329" s="18" t="str">
        <f t="shared" si="46"/>
        <v>70</v>
      </c>
      <c r="X329" s="18" t="e">
        <f>IF($L329&lt;"6",INDEX(Revenue_type,MATCH(W329*1,type!$A$118:$A$168,0),8),INDEX(Expenditure_type,MATCH(W329*1,type!$A$2:$A$117,0),8))</f>
        <v>#N/A</v>
      </c>
      <c r="Y329" s="18" t="str">
        <f t="shared" si="47"/>
        <v>700</v>
      </c>
      <c r="Z329" s="18" t="e">
        <f>IF($L329&lt;"6",INDEX(Revenue_type,MATCH(Y329*1,type!$A$118:$A$168,0),8),INDEX(Expenditure_type,MATCH(Y329*1,type!$A$2:$A$117,0),8))</f>
        <v>#N/A</v>
      </c>
    </row>
    <row r="330" spans="1:26" ht="15.75" hidden="1" customHeight="1" outlineLevel="2">
      <c r="A330">
        <v>100</v>
      </c>
      <c r="B330" s="249">
        <v>824393</v>
      </c>
      <c r="C330">
        <v>1</v>
      </c>
      <c r="D330" t="str">
        <f t="shared" si="40"/>
        <v>1824393.100</v>
      </c>
      <c r="E330" s="444" t="s">
        <v>8013</v>
      </c>
      <c r="H330" s="470">
        <v>885600</v>
      </c>
      <c r="I330" s="470">
        <v>874600</v>
      </c>
      <c r="J330" s="470">
        <v>861300</v>
      </c>
      <c r="K330" s="18"/>
      <c r="L330" s="18" t="str">
        <f t="shared" si="41"/>
        <v>8</v>
      </c>
      <c r="M330" s="18" t="str">
        <f>INDEX(Chapter,MATCH(L330,Chapter!$A$1:$A$681,0),8)</f>
        <v>שירותים ממלכתיים</v>
      </c>
      <c r="N330" s="18" t="str">
        <f t="shared" si="42"/>
        <v>82</v>
      </c>
      <c r="O330" s="18" t="str">
        <f>INDEX(Chapter,MATCH(N330,Chapter!$A$1:$A$681,0),8)</f>
        <v>תרבות</v>
      </c>
      <c r="P330" s="18" t="str">
        <f t="shared" si="43"/>
        <v>824</v>
      </c>
      <c r="Q330" s="18" t="str">
        <f>INDEX(Chapter,MATCH(P330,Chapter!$A$1:$A$681,0),8)</f>
        <v>מתנ״סים</v>
      </c>
      <c r="R330" s="18" t="str">
        <f t="shared" si="44"/>
        <v>8243</v>
      </c>
      <c r="S330" s="18" t="e">
        <f>INDEX(Chapter,MATCH(R330,Chapter!$A$1:$A$681,0),8)</f>
        <v>#N/A</v>
      </c>
      <c r="T330" s="18"/>
      <c r="U330" s="18" t="str">
        <f t="shared" si="45"/>
        <v>1</v>
      </c>
      <c r="V330" s="18" t="str">
        <f>IF($L330&lt;"6",INDEX(Revenue_type,MATCH(U330*1,type!$A$118:$A$168,0),8),INDEX(Expenditure_type,MATCH(U330*1,type!$A$2:$A$117,0),8))</f>
        <v>משכורות וש"ע לעובדים לפי תקן</v>
      </c>
      <c r="W330" s="18" t="str">
        <f t="shared" si="46"/>
        <v>10</v>
      </c>
      <c r="X330" s="18" t="e">
        <f>IF($L330&lt;"6",INDEX(Revenue_type,MATCH(W330*1,type!$A$118:$A$168,0),8),INDEX(Expenditure_type,MATCH(W330*1,type!$A$2:$A$117,0),8))</f>
        <v>#N/A</v>
      </c>
      <c r="Y330" s="18" t="str">
        <f t="shared" si="47"/>
        <v>100</v>
      </c>
      <c r="Z330" s="18" t="e">
        <f>IF($L330&lt;"6",INDEX(Revenue_type,MATCH(Y330*1,type!$A$118:$A$168,0),8),INDEX(Expenditure_type,MATCH(Y330*1,type!$A$2:$A$117,0),8))</f>
        <v>#N/A</v>
      </c>
    </row>
    <row r="331" spans="1:26" ht="15.75" hidden="1" customHeight="1" outlineLevel="2">
      <c r="A331">
        <v>120</v>
      </c>
      <c r="B331" s="249">
        <v>824393</v>
      </c>
      <c r="C331">
        <v>1</v>
      </c>
      <c r="D331" t="str">
        <f t="shared" si="40"/>
        <v>1824393.120</v>
      </c>
      <c r="E331" s="444" t="s">
        <v>8014</v>
      </c>
      <c r="H331" s="470">
        <v>91400</v>
      </c>
      <c r="I331" s="470">
        <v>91400</v>
      </c>
      <c r="J331" s="470">
        <v>75800</v>
      </c>
      <c r="K331" s="18"/>
      <c r="L331" s="18" t="str">
        <f t="shared" si="41"/>
        <v>8</v>
      </c>
      <c r="M331" s="18" t="str">
        <f>INDEX(Chapter,MATCH(L331,Chapter!$A$1:$A$681,0),8)</f>
        <v>שירותים ממלכתיים</v>
      </c>
      <c r="N331" s="18" t="str">
        <f t="shared" si="42"/>
        <v>82</v>
      </c>
      <c r="O331" s="18" t="str">
        <f>INDEX(Chapter,MATCH(N331,Chapter!$A$1:$A$681,0),8)</f>
        <v>תרבות</v>
      </c>
      <c r="P331" s="18" t="str">
        <f t="shared" si="43"/>
        <v>824</v>
      </c>
      <c r="Q331" s="18" t="str">
        <f>INDEX(Chapter,MATCH(P331,Chapter!$A$1:$A$681,0),8)</f>
        <v>מתנ״סים</v>
      </c>
      <c r="R331" s="18" t="str">
        <f t="shared" si="44"/>
        <v>8243</v>
      </c>
      <c r="S331" s="18" t="e">
        <f>INDEX(Chapter,MATCH(R331,Chapter!$A$1:$A$681,0),8)</f>
        <v>#N/A</v>
      </c>
      <c r="T331" s="18"/>
      <c r="U331" s="18" t="str">
        <f t="shared" si="45"/>
        <v>1</v>
      </c>
      <c r="V331" s="18" t="str">
        <f>IF($L331&lt;"6",INDEX(Revenue_type,MATCH(U331*1,type!$A$118:$A$168,0),8),INDEX(Expenditure_type,MATCH(U331*1,type!$A$2:$A$117,0),8))</f>
        <v>משכורות וש"ע לעובדים לפי תקן</v>
      </c>
      <c r="W331" s="18" t="str">
        <f t="shared" si="46"/>
        <v>12</v>
      </c>
      <c r="X331" s="18" t="str">
        <f>IF($L331&lt;"6",INDEX(Revenue_type,MATCH(W331*1,type!$A$118:$A$168,0),8),INDEX(Expenditure_type,MATCH(W331*1,type!$A$2:$A$117,0),8))</f>
        <v>תוספות שאינן נכללות בשכר הקובע</v>
      </c>
      <c r="Y331" s="18" t="str">
        <f t="shared" si="47"/>
        <v>120</v>
      </c>
      <c r="Z331" s="18" t="e">
        <f>IF($L331&lt;"6",INDEX(Revenue_type,MATCH(Y331*1,type!$A$118:$A$168,0),8),INDEX(Expenditure_type,MATCH(Y331*1,type!$A$2:$A$117,0),8))</f>
        <v>#N/A</v>
      </c>
    </row>
    <row r="332" spans="1:26" ht="15.75" hidden="1" customHeight="1" outlineLevel="2">
      <c r="A332">
        <v>400</v>
      </c>
      <c r="B332" s="249">
        <v>824393</v>
      </c>
      <c r="C332">
        <v>1</v>
      </c>
      <c r="D332" t="str">
        <f t="shared" si="40"/>
        <v>1824393.400</v>
      </c>
      <c r="E332" s="444" t="s">
        <v>8015</v>
      </c>
      <c r="H332" s="470">
        <v>47000</v>
      </c>
      <c r="I332" s="470">
        <v>49000</v>
      </c>
      <c r="J332" s="470">
        <v>82100</v>
      </c>
      <c r="K332" s="18"/>
      <c r="L332" s="18" t="str">
        <f t="shared" si="41"/>
        <v>8</v>
      </c>
      <c r="M332" s="18" t="str">
        <f>INDEX(Chapter,MATCH(L332,Chapter!$A$1:$A$681,0),8)</f>
        <v>שירותים ממלכתיים</v>
      </c>
      <c r="N332" s="18" t="str">
        <f t="shared" si="42"/>
        <v>82</v>
      </c>
      <c r="O332" s="18" t="str">
        <f>INDEX(Chapter,MATCH(N332,Chapter!$A$1:$A$681,0),8)</f>
        <v>תרבות</v>
      </c>
      <c r="P332" s="18" t="str">
        <f t="shared" si="43"/>
        <v>824</v>
      </c>
      <c r="Q332" s="18" t="str">
        <f>INDEX(Chapter,MATCH(P332,Chapter!$A$1:$A$681,0),8)</f>
        <v>מתנ״סים</v>
      </c>
      <c r="R332" s="18" t="str">
        <f t="shared" si="44"/>
        <v>8243</v>
      </c>
      <c r="S332" s="18" t="e">
        <f>INDEX(Chapter,MATCH(R332,Chapter!$A$1:$A$681,0),8)</f>
        <v>#N/A</v>
      </c>
      <c r="T332" s="18"/>
      <c r="U332" s="18" t="str">
        <f t="shared" si="45"/>
        <v>4</v>
      </c>
      <c r="V332" s="18" t="str">
        <f>IF($L332&lt;"6",INDEX(Revenue_type,MATCH(U332*1,type!$A$118:$A$168,0),8),INDEX(Expenditure_type,MATCH(U332*1,type!$A$2:$A$117,0),8))</f>
        <v>אחזקת בינים ואספקת ציוד</v>
      </c>
      <c r="W332" s="18" t="str">
        <f t="shared" si="46"/>
        <v>40</v>
      </c>
      <c r="X332" s="18" t="e">
        <f>IF($L332&lt;"6",INDEX(Revenue_type,MATCH(W332*1,type!$A$118:$A$168,0),8),INDEX(Expenditure_type,MATCH(W332*1,type!$A$2:$A$117,0),8))</f>
        <v>#N/A</v>
      </c>
      <c r="Y332" s="18" t="str">
        <f t="shared" si="47"/>
        <v>400</v>
      </c>
      <c r="Z332" s="18" t="e">
        <f>IF($L332&lt;"6",INDEX(Revenue_type,MATCH(Y332*1,type!$A$118:$A$168,0),8),INDEX(Expenditure_type,MATCH(Y332*1,type!$A$2:$A$117,0),8))</f>
        <v>#N/A</v>
      </c>
    </row>
    <row r="333" spans="1:26" ht="15.75" hidden="1" customHeight="1" outlineLevel="2">
      <c r="A333">
        <v>500</v>
      </c>
      <c r="B333" s="249">
        <v>824393</v>
      </c>
      <c r="C333">
        <v>1</v>
      </c>
      <c r="D333" t="str">
        <f t="shared" si="40"/>
        <v>1824393.500</v>
      </c>
      <c r="E333" s="444" t="s">
        <v>8016</v>
      </c>
      <c r="H333" s="470">
        <v>6000</v>
      </c>
      <c r="I333" s="470">
        <v>6000</v>
      </c>
      <c r="J333" s="470">
        <v>8800</v>
      </c>
      <c r="K333" s="18"/>
      <c r="L333" s="18" t="str">
        <f t="shared" si="41"/>
        <v>8</v>
      </c>
      <c r="M333" s="18" t="str">
        <f>INDEX(Chapter,MATCH(L333,Chapter!$A$1:$A$681,0),8)</f>
        <v>שירותים ממלכתיים</v>
      </c>
      <c r="N333" s="18" t="str">
        <f t="shared" si="42"/>
        <v>82</v>
      </c>
      <c r="O333" s="18" t="str">
        <f>INDEX(Chapter,MATCH(N333,Chapter!$A$1:$A$681,0),8)</f>
        <v>תרבות</v>
      </c>
      <c r="P333" s="18" t="str">
        <f t="shared" si="43"/>
        <v>824</v>
      </c>
      <c r="Q333" s="18" t="str">
        <f>INDEX(Chapter,MATCH(P333,Chapter!$A$1:$A$681,0),8)</f>
        <v>מתנ״סים</v>
      </c>
      <c r="R333" s="18" t="str">
        <f t="shared" si="44"/>
        <v>8243</v>
      </c>
      <c r="S333" s="18" t="e">
        <f>INDEX(Chapter,MATCH(R333,Chapter!$A$1:$A$681,0),8)</f>
        <v>#N/A</v>
      </c>
      <c r="T333" s="18"/>
      <c r="U333" s="18" t="str">
        <f t="shared" si="45"/>
        <v>5</v>
      </c>
      <c r="V333" s="18" t="str">
        <f>IF($L333&lt;"6",INDEX(Revenue_type,MATCH(U333*1,type!$A$118:$A$168,0),8),INDEX(Expenditure_type,MATCH(U333*1,type!$A$2:$A$117,0),8))</f>
        <v>הוצאות מנהליות</v>
      </c>
      <c r="W333" s="18" t="str">
        <f t="shared" si="46"/>
        <v>50</v>
      </c>
      <c r="X333" s="18" t="e">
        <f>IF($L333&lt;"6",INDEX(Revenue_type,MATCH(W333*1,type!$A$118:$A$168,0),8),INDEX(Expenditure_type,MATCH(W333*1,type!$A$2:$A$117,0),8))</f>
        <v>#N/A</v>
      </c>
      <c r="Y333" s="18" t="str">
        <f t="shared" si="47"/>
        <v>500</v>
      </c>
      <c r="Z333" s="18" t="e">
        <f>IF($L333&lt;"6",INDEX(Revenue_type,MATCH(Y333*1,type!$A$118:$A$168,0),8),INDEX(Expenditure_type,MATCH(Y333*1,type!$A$2:$A$117,0),8))</f>
        <v>#N/A</v>
      </c>
    </row>
    <row r="334" spans="1:26" ht="15.75" hidden="1" customHeight="1" outlineLevel="2">
      <c r="A334">
        <v>500</v>
      </c>
      <c r="B334" s="249">
        <v>824393</v>
      </c>
      <c r="C334">
        <v>1</v>
      </c>
      <c r="D334" t="str">
        <f t="shared" si="40"/>
        <v>1824393.500</v>
      </c>
      <c r="E334" s="444" t="s">
        <v>8017</v>
      </c>
      <c r="H334" s="470">
        <v>92700</v>
      </c>
      <c r="I334" s="470">
        <v>95000</v>
      </c>
      <c r="J334" s="470">
        <v>9800</v>
      </c>
      <c r="K334" s="18"/>
      <c r="L334" s="18" t="str">
        <f t="shared" si="41"/>
        <v>8</v>
      </c>
      <c r="M334" s="18" t="str">
        <f>INDEX(Chapter,MATCH(L334,Chapter!$A$1:$A$681,0),8)</f>
        <v>שירותים ממלכתיים</v>
      </c>
      <c r="N334" s="18" t="str">
        <f t="shared" si="42"/>
        <v>82</v>
      </c>
      <c r="O334" s="18" t="str">
        <f>INDEX(Chapter,MATCH(N334,Chapter!$A$1:$A$681,0),8)</f>
        <v>תרבות</v>
      </c>
      <c r="P334" s="18" t="str">
        <f t="shared" si="43"/>
        <v>824</v>
      </c>
      <c r="Q334" s="18" t="str">
        <f>INDEX(Chapter,MATCH(P334,Chapter!$A$1:$A$681,0),8)</f>
        <v>מתנ״סים</v>
      </c>
      <c r="R334" s="18" t="str">
        <f t="shared" si="44"/>
        <v>8243</v>
      </c>
      <c r="S334" s="18" t="e">
        <f>INDEX(Chapter,MATCH(R334,Chapter!$A$1:$A$681,0),8)</f>
        <v>#N/A</v>
      </c>
      <c r="T334" s="18"/>
      <c r="U334" s="18" t="str">
        <f t="shared" si="45"/>
        <v>5</v>
      </c>
      <c r="V334" s="18" t="str">
        <f>IF($L334&lt;"6",INDEX(Revenue_type,MATCH(U334*1,type!$A$118:$A$168,0),8),INDEX(Expenditure_type,MATCH(U334*1,type!$A$2:$A$117,0),8))</f>
        <v>הוצאות מנהליות</v>
      </c>
      <c r="W334" s="18" t="str">
        <f t="shared" si="46"/>
        <v>50</v>
      </c>
      <c r="X334" s="18" t="e">
        <f>IF($L334&lt;"6",INDEX(Revenue_type,MATCH(W334*1,type!$A$118:$A$168,0),8),INDEX(Expenditure_type,MATCH(W334*1,type!$A$2:$A$117,0),8))</f>
        <v>#N/A</v>
      </c>
      <c r="Y334" s="18" t="str">
        <f t="shared" si="47"/>
        <v>500</v>
      </c>
      <c r="Z334" s="18" t="e">
        <f>IF($L334&lt;"6",INDEX(Revenue_type,MATCH(Y334*1,type!$A$118:$A$168,0),8),INDEX(Expenditure_type,MATCH(Y334*1,type!$A$2:$A$117,0),8))</f>
        <v>#N/A</v>
      </c>
    </row>
    <row r="335" spans="1:26" ht="15.75" hidden="1" customHeight="1" outlineLevel="2">
      <c r="A335">
        <v>800</v>
      </c>
      <c r="B335" s="249">
        <v>824510</v>
      </c>
      <c r="C335">
        <v>1</v>
      </c>
      <c r="D335" t="str">
        <f t="shared" si="40"/>
        <v>1824510.800</v>
      </c>
      <c r="E335" s="446" t="s">
        <v>8018</v>
      </c>
      <c r="H335" s="470">
        <v>194300</v>
      </c>
      <c r="I335" s="470">
        <v>200000</v>
      </c>
      <c r="J335" s="470">
        <v>200000</v>
      </c>
      <c r="K335" s="18"/>
      <c r="L335" s="18" t="str">
        <f t="shared" si="41"/>
        <v>8</v>
      </c>
      <c r="M335" s="18" t="str">
        <f>INDEX(Chapter,MATCH(L335,Chapter!$A$1:$A$681,0),8)</f>
        <v>שירותים ממלכתיים</v>
      </c>
      <c r="N335" s="18" t="str">
        <f t="shared" si="42"/>
        <v>82</v>
      </c>
      <c r="O335" s="18" t="str">
        <f>INDEX(Chapter,MATCH(N335,Chapter!$A$1:$A$681,0),8)</f>
        <v>תרבות</v>
      </c>
      <c r="P335" s="18" t="str">
        <f t="shared" si="43"/>
        <v>824</v>
      </c>
      <c r="Q335" s="18" t="str">
        <f>INDEX(Chapter,MATCH(P335,Chapter!$A$1:$A$681,0),8)</f>
        <v>מתנ״סים</v>
      </c>
      <c r="R335" s="18" t="str">
        <f t="shared" si="44"/>
        <v>8245</v>
      </c>
      <c r="S335" s="18" t="e">
        <f>INDEX(Chapter,MATCH(R335,Chapter!$A$1:$A$681,0),8)</f>
        <v>#N/A</v>
      </c>
      <c r="T335" s="18"/>
      <c r="U335" s="18" t="str">
        <f t="shared" si="45"/>
        <v>8</v>
      </c>
      <c r="V335" s="18" t="str">
        <f>IF($L335&lt;"6",INDEX(Revenue_type,MATCH(U335*1,type!$A$118:$A$168,0),8),INDEX(Expenditure_type,MATCH(U335*1,type!$A$2:$A$117,0),8))</f>
        <v>השתתפויות תמיכות ותרומות</v>
      </c>
      <c r="W335" s="18" t="str">
        <f t="shared" si="46"/>
        <v>80</v>
      </c>
      <c r="X335" s="18" t="e">
        <f>IF($L335&lt;"6",INDEX(Revenue_type,MATCH(W335*1,type!$A$118:$A$168,0),8),INDEX(Expenditure_type,MATCH(W335*1,type!$A$2:$A$117,0),8))</f>
        <v>#N/A</v>
      </c>
      <c r="Y335" s="18" t="str">
        <f t="shared" si="47"/>
        <v>800</v>
      </c>
      <c r="Z335" s="18" t="e">
        <f>IF($L335&lt;"6",INDEX(Revenue_type,MATCH(Y335*1,type!$A$118:$A$168,0),8),INDEX(Expenditure_type,MATCH(Y335*1,type!$A$2:$A$117,0),8))</f>
        <v>#N/A</v>
      </c>
    </row>
    <row r="336" spans="1:26" ht="15.75" hidden="1" customHeight="1" outlineLevel="2">
      <c r="A336">
        <v>100</v>
      </c>
      <c r="B336" s="249">
        <v>824540</v>
      </c>
      <c r="C336">
        <v>1</v>
      </c>
      <c r="D336" t="str">
        <f t="shared" si="40"/>
        <v>1824540.100</v>
      </c>
      <c r="E336" s="444" t="s">
        <v>8019</v>
      </c>
      <c r="H336" s="470">
        <v>136000</v>
      </c>
      <c r="I336" s="470">
        <v>135000</v>
      </c>
      <c r="J336" s="470">
        <v>117800</v>
      </c>
      <c r="K336" s="18"/>
      <c r="L336" s="18" t="str">
        <f t="shared" si="41"/>
        <v>8</v>
      </c>
      <c r="M336" s="18" t="str">
        <f>INDEX(Chapter,MATCH(L336,Chapter!$A$1:$A$681,0),8)</f>
        <v>שירותים ממלכתיים</v>
      </c>
      <c r="N336" s="18" t="str">
        <f t="shared" si="42"/>
        <v>82</v>
      </c>
      <c r="O336" s="18" t="str">
        <f>INDEX(Chapter,MATCH(N336,Chapter!$A$1:$A$681,0),8)</f>
        <v>תרבות</v>
      </c>
      <c r="P336" s="18" t="str">
        <f t="shared" si="43"/>
        <v>824</v>
      </c>
      <c r="Q336" s="18" t="str">
        <f>INDEX(Chapter,MATCH(P336,Chapter!$A$1:$A$681,0),8)</f>
        <v>מתנ״סים</v>
      </c>
      <c r="R336" s="18" t="str">
        <f t="shared" si="44"/>
        <v>8245</v>
      </c>
      <c r="S336" s="18" t="e">
        <f>INDEX(Chapter,MATCH(R336,Chapter!$A$1:$A$681,0),8)</f>
        <v>#N/A</v>
      </c>
      <c r="T336" s="18"/>
      <c r="U336" s="18" t="str">
        <f t="shared" si="45"/>
        <v>1</v>
      </c>
      <c r="V336" s="18" t="str">
        <f>IF($L336&lt;"6",INDEX(Revenue_type,MATCH(U336*1,type!$A$118:$A$168,0),8),INDEX(Expenditure_type,MATCH(U336*1,type!$A$2:$A$117,0),8))</f>
        <v>משכורות וש"ע לעובדים לפי תקן</v>
      </c>
      <c r="W336" s="18" t="str">
        <f t="shared" si="46"/>
        <v>10</v>
      </c>
      <c r="X336" s="18" t="e">
        <f>IF($L336&lt;"6",INDEX(Revenue_type,MATCH(W336*1,type!$A$118:$A$168,0),8),INDEX(Expenditure_type,MATCH(W336*1,type!$A$2:$A$117,0),8))</f>
        <v>#N/A</v>
      </c>
      <c r="Y336" s="18" t="str">
        <f t="shared" si="47"/>
        <v>100</v>
      </c>
      <c r="Z336" s="18" t="e">
        <f>IF($L336&lt;"6",INDEX(Revenue_type,MATCH(Y336*1,type!$A$118:$A$168,0),8),INDEX(Expenditure_type,MATCH(Y336*1,type!$A$2:$A$117,0),8))</f>
        <v>#N/A</v>
      </c>
    </row>
    <row r="337" spans="1:26" ht="15.75" hidden="1" customHeight="1" outlineLevel="2">
      <c r="A337">
        <v>120</v>
      </c>
      <c r="B337" s="249">
        <v>824540</v>
      </c>
      <c r="C337">
        <v>1</v>
      </c>
      <c r="D337" t="str">
        <f t="shared" si="40"/>
        <v>1824540.120</v>
      </c>
      <c r="E337" s="444" t="s">
        <v>8020</v>
      </c>
      <c r="H337" s="470">
        <v>0</v>
      </c>
      <c r="I337" s="470">
        <v>0</v>
      </c>
      <c r="J337" s="470">
        <v>7400</v>
      </c>
      <c r="K337" s="18"/>
      <c r="L337" s="18" t="str">
        <f t="shared" si="41"/>
        <v>8</v>
      </c>
      <c r="M337" s="18" t="str">
        <f>INDEX(Chapter,MATCH(L337,Chapter!$A$1:$A$681,0),8)</f>
        <v>שירותים ממלכתיים</v>
      </c>
      <c r="N337" s="18" t="str">
        <f t="shared" si="42"/>
        <v>82</v>
      </c>
      <c r="O337" s="18" t="str">
        <f>INDEX(Chapter,MATCH(N337,Chapter!$A$1:$A$681,0),8)</f>
        <v>תרבות</v>
      </c>
      <c r="P337" s="18" t="str">
        <f t="shared" si="43"/>
        <v>824</v>
      </c>
      <c r="Q337" s="18" t="str">
        <f>INDEX(Chapter,MATCH(P337,Chapter!$A$1:$A$681,0),8)</f>
        <v>מתנ״סים</v>
      </c>
      <c r="R337" s="18" t="str">
        <f t="shared" si="44"/>
        <v>8245</v>
      </c>
      <c r="S337" s="18" t="e">
        <f>INDEX(Chapter,MATCH(R337,Chapter!$A$1:$A$681,0),8)</f>
        <v>#N/A</v>
      </c>
      <c r="T337" s="18"/>
      <c r="U337" s="18" t="str">
        <f t="shared" si="45"/>
        <v>1</v>
      </c>
      <c r="V337" s="18" t="str">
        <f>IF($L337&lt;"6",INDEX(Revenue_type,MATCH(U337*1,type!$A$118:$A$168,0),8),INDEX(Expenditure_type,MATCH(U337*1,type!$A$2:$A$117,0),8))</f>
        <v>משכורות וש"ע לעובדים לפי תקן</v>
      </c>
      <c r="W337" s="18" t="str">
        <f t="shared" si="46"/>
        <v>12</v>
      </c>
      <c r="X337" s="18" t="str">
        <f>IF($L337&lt;"6",INDEX(Revenue_type,MATCH(W337*1,type!$A$118:$A$168,0),8),INDEX(Expenditure_type,MATCH(W337*1,type!$A$2:$A$117,0),8))</f>
        <v>תוספות שאינן נכללות בשכר הקובע</v>
      </c>
      <c r="Y337" s="18" t="str">
        <f t="shared" si="47"/>
        <v>120</v>
      </c>
      <c r="Z337" s="18" t="e">
        <f>IF($L337&lt;"6",INDEX(Revenue_type,MATCH(Y337*1,type!$A$118:$A$168,0),8),INDEX(Expenditure_type,MATCH(Y337*1,type!$A$2:$A$117,0),8))</f>
        <v>#N/A</v>
      </c>
    </row>
    <row r="338" spans="1:26" ht="15.75" hidden="1" customHeight="1" outlineLevel="2">
      <c r="A338">
        <v>700</v>
      </c>
      <c r="B338" s="249">
        <v>824540</v>
      </c>
      <c r="C338">
        <v>1</v>
      </c>
      <c r="D338" t="str">
        <f t="shared" si="40"/>
        <v>1824540.700</v>
      </c>
      <c r="E338" s="444" t="s">
        <v>8021</v>
      </c>
      <c r="H338" s="470">
        <v>340000</v>
      </c>
      <c r="I338" s="470">
        <v>350000</v>
      </c>
      <c r="J338" s="470">
        <v>350000</v>
      </c>
      <c r="K338" s="18"/>
      <c r="L338" s="18" t="str">
        <f t="shared" si="41"/>
        <v>8</v>
      </c>
      <c r="M338" s="18" t="str">
        <f>INDEX(Chapter,MATCH(L338,Chapter!$A$1:$A$681,0),8)</f>
        <v>שירותים ממלכתיים</v>
      </c>
      <c r="N338" s="18" t="str">
        <f t="shared" si="42"/>
        <v>82</v>
      </c>
      <c r="O338" s="18" t="str">
        <f>INDEX(Chapter,MATCH(N338,Chapter!$A$1:$A$681,0),8)</f>
        <v>תרבות</v>
      </c>
      <c r="P338" s="18" t="str">
        <f t="shared" si="43"/>
        <v>824</v>
      </c>
      <c r="Q338" s="18" t="str">
        <f>INDEX(Chapter,MATCH(P338,Chapter!$A$1:$A$681,0),8)</f>
        <v>מתנ״סים</v>
      </c>
      <c r="R338" s="18" t="str">
        <f t="shared" si="44"/>
        <v>8245</v>
      </c>
      <c r="S338" s="18" t="e">
        <f>INDEX(Chapter,MATCH(R338,Chapter!$A$1:$A$681,0),8)</f>
        <v>#N/A</v>
      </c>
      <c r="T338" s="18"/>
      <c r="U338" s="18" t="str">
        <f t="shared" si="45"/>
        <v>7</v>
      </c>
      <c r="V338" s="18" t="str">
        <f>IF($L338&lt;"6",INDEX(Revenue_type,MATCH(U338*1,type!$A$118:$A$168,0),8),INDEX(Expenditure_type,MATCH(U338*1,type!$A$2:$A$117,0),8))</f>
        <v>הוצאות לפעולות</v>
      </c>
      <c r="W338" s="18" t="str">
        <f t="shared" si="46"/>
        <v>70</v>
      </c>
      <c r="X338" s="18" t="e">
        <f>IF($L338&lt;"6",INDEX(Revenue_type,MATCH(W338*1,type!$A$118:$A$168,0),8),INDEX(Expenditure_type,MATCH(W338*1,type!$A$2:$A$117,0),8))</f>
        <v>#N/A</v>
      </c>
      <c r="Y338" s="18" t="str">
        <f t="shared" si="47"/>
        <v>700</v>
      </c>
      <c r="Z338" s="18" t="e">
        <f>IF($L338&lt;"6",INDEX(Revenue_type,MATCH(Y338*1,type!$A$118:$A$168,0),8),INDEX(Expenditure_type,MATCH(Y338*1,type!$A$2:$A$117,0),8))</f>
        <v>#N/A</v>
      </c>
    </row>
    <row r="339" spans="1:26" ht="15.75" hidden="1" customHeight="1" outlineLevel="2">
      <c r="A339">
        <v>100</v>
      </c>
      <c r="B339" s="249">
        <v>824340</v>
      </c>
      <c r="C339">
        <v>1</v>
      </c>
      <c r="D339" t="str">
        <f t="shared" si="40"/>
        <v>1824340.100</v>
      </c>
      <c r="E339" s="444" t="s">
        <v>8022</v>
      </c>
      <c r="H339" s="470">
        <v>1163400</v>
      </c>
      <c r="I339" s="470">
        <v>1149400</v>
      </c>
      <c r="J339" s="470">
        <v>1246100</v>
      </c>
      <c r="K339" s="18"/>
      <c r="L339" s="18" t="str">
        <f t="shared" si="41"/>
        <v>8</v>
      </c>
      <c r="M339" s="18" t="str">
        <f>INDEX(Chapter,MATCH(L339,Chapter!$A$1:$A$681,0),8)</f>
        <v>שירותים ממלכתיים</v>
      </c>
      <c r="N339" s="18" t="str">
        <f t="shared" si="42"/>
        <v>82</v>
      </c>
      <c r="O339" s="18" t="str">
        <f>INDEX(Chapter,MATCH(N339,Chapter!$A$1:$A$681,0),8)</f>
        <v>תרבות</v>
      </c>
      <c r="P339" s="18" t="str">
        <f t="shared" si="43"/>
        <v>824</v>
      </c>
      <c r="Q339" s="18" t="str">
        <f>INDEX(Chapter,MATCH(P339,Chapter!$A$1:$A$681,0),8)</f>
        <v>מתנ״סים</v>
      </c>
      <c r="R339" s="18" t="str">
        <f t="shared" si="44"/>
        <v>8243</v>
      </c>
      <c r="S339" s="18" t="e">
        <f>INDEX(Chapter,MATCH(R339,Chapter!$A$1:$A$681,0),8)</f>
        <v>#N/A</v>
      </c>
      <c r="T339" s="18"/>
      <c r="U339" s="18" t="str">
        <f t="shared" si="45"/>
        <v>1</v>
      </c>
      <c r="V339" s="18" t="str">
        <f>IF($L339&lt;"6",INDEX(Revenue_type,MATCH(U339*1,type!$A$118:$A$168,0),8),INDEX(Expenditure_type,MATCH(U339*1,type!$A$2:$A$117,0),8))</f>
        <v>משכורות וש"ע לעובדים לפי תקן</v>
      </c>
      <c r="W339" s="18" t="str">
        <f t="shared" si="46"/>
        <v>10</v>
      </c>
      <c r="X339" s="18" t="e">
        <f>IF($L339&lt;"6",INDEX(Revenue_type,MATCH(W339*1,type!$A$118:$A$168,0),8),INDEX(Expenditure_type,MATCH(W339*1,type!$A$2:$A$117,0),8))</f>
        <v>#N/A</v>
      </c>
      <c r="Y339" s="18" t="str">
        <f t="shared" si="47"/>
        <v>100</v>
      </c>
      <c r="Z339" s="18" t="e">
        <f>IF($L339&lt;"6",INDEX(Revenue_type,MATCH(Y339*1,type!$A$118:$A$168,0),8),INDEX(Expenditure_type,MATCH(Y339*1,type!$A$2:$A$117,0),8))</f>
        <v>#N/A</v>
      </c>
    </row>
    <row r="340" spans="1:26" ht="15.75" hidden="1" customHeight="1" outlineLevel="2">
      <c r="A340">
        <v>120</v>
      </c>
      <c r="B340" s="249">
        <v>824340</v>
      </c>
      <c r="C340">
        <v>1</v>
      </c>
      <c r="D340" t="str">
        <f t="shared" si="40"/>
        <v>1824340.120</v>
      </c>
      <c r="E340" s="444" t="s">
        <v>8023</v>
      </c>
      <c r="H340" s="470">
        <v>86600</v>
      </c>
      <c r="I340" s="470">
        <v>86600</v>
      </c>
      <c r="J340" s="470">
        <v>104600</v>
      </c>
      <c r="K340" s="18"/>
      <c r="L340" s="18" t="str">
        <f t="shared" si="41"/>
        <v>8</v>
      </c>
      <c r="M340" s="18" t="str">
        <f>INDEX(Chapter,MATCH(L340,Chapter!$A$1:$A$681,0),8)</f>
        <v>שירותים ממלכתיים</v>
      </c>
      <c r="N340" s="18" t="str">
        <f t="shared" si="42"/>
        <v>82</v>
      </c>
      <c r="O340" s="18" t="str">
        <f>INDEX(Chapter,MATCH(N340,Chapter!$A$1:$A$681,0),8)</f>
        <v>תרבות</v>
      </c>
      <c r="P340" s="18" t="str">
        <f t="shared" si="43"/>
        <v>824</v>
      </c>
      <c r="Q340" s="18" t="str">
        <f>INDEX(Chapter,MATCH(P340,Chapter!$A$1:$A$681,0),8)</f>
        <v>מתנ״סים</v>
      </c>
      <c r="R340" s="18" t="str">
        <f t="shared" si="44"/>
        <v>8243</v>
      </c>
      <c r="S340" s="18" t="e">
        <f>INDEX(Chapter,MATCH(R340,Chapter!$A$1:$A$681,0),8)</f>
        <v>#N/A</v>
      </c>
      <c r="T340" s="18"/>
      <c r="U340" s="18" t="str">
        <f t="shared" si="45"/>
        <v>1</v>
      </c>
      <c r="V340" s="18" t="str">
        <f>IF($L340&lt;"6",INDEX(Revenue_type,MATCH(U340*1,type!$A$118:$A$168,0),8),INDEX(Expenditure_type,MATCH(U340*1,type!$A$2:$A$117,0),8))</f>
        <v>משכורות וש"ע לעובדים לפי תקן</v>
      </c>
      <c r="W340" s="18" t="str">
        <f t="shared" si="46"/>
        <v>12</v>
      </c>
      <c r="X340" s="18" t="str">
        <f>IF($L340&lt;"6",INDEX(Revenue_type,MATCH(W340*1,type!$A$118:$A$168,0),8),INDEX(Expenditure_type,MATCH(W340*1,type!$A$2:$A$117,0),8))</f>
        <v>תוספות שאינן נכללות בשכר הקובע</v>
      </c>
      <c r="Y340" s="18" t="str">
        <f t="shared" si="47"/>
        <v>120</v>
      </c>
      <c r="Z340" s="18" t="e">
        <f>IF($L340&lt;"6",INDEX(Revenue_type,MATCH(Y340*1,type!$A$118:$A$168,0),8),INDEX(Expenditure_type,MATCH(Y340*1,type!$A$2:$A$117,0),8))</f>
        <v>#N/A</v>
      </c>
    </row>
    <row r="341" spans="1:26" ht="15.75" hidden="1" customHeight="1" outlineLevel="2">
      <c r="A341">
        <v>700</v>
      </c>
      <c r="B341" s="249">
        <v>824340</v>
      </c>
      <c r="C341">
        <v>1</v>
      </c>
      <c r="D341" t="str">
        <f t="shared" si="40"/>
        <v>1824340.700</v>
      </c>
      <c r="E341" s="444" t="s">
        <v>8024</v>
      </c>
      <c r="H341" s="470">
        <v>213700</v>
      </c>
      <c r="I341" s="470">
        <v>220000</v>
      </c>
      <c r="J341" s="470">
        <v>221100</v>
      </c>
      <c r="K341" s="18"/>
      <c r="L341" s="18" t="str">
        <f t="shared" si="41"/>
        <v>8</v>
      </c>
      <c r="M341" s="18" t="str">
        <f>INDEX(Chapter,MATCH(L341,Chapter!$A$1:$A$681,0),8)</f>
        <v>שירותים ממלכתיים</v>
      </c>
      <c r="N341" s="18" t="str">
        <f t="shared" si="42"/>
        <v>82</v>
      </c>
      <c r="O341" s="18" t="str">
        <f>INDEX(Chapter,MATCH(N341,Chapter!$A$1:$A$681,0),8)</f>
        <v>תרבות</v>
      </c>
      <c r="P341" s="18" t="str">
        <f t="shared" si="43"/>
        <v>824</v>
      </c>
      <c r="Q341" s="18" t="str">
        <f>INDEX(Chapter,MATCH(P341,Chapter!$A$1:$A$681,0),8)</f>
        <v>מתנ״סים</v>
      </c>
      <c r="R341" s="18" t="str">
        <f t="shared" si="44"/>
        <v>8243</v>
      </c>
      <c r="S341" s="18" t="e">
        <f>INDEX(Chapter,MATCH(R341,Chapter!$A$1:$A$681,0),8)</f>
        <v>#N/A</v>
      </c>
      <c r="T341" s="18"/>
      <c r="U341" s="18" t="str">
        <f t="shared" si="45"/>
        <v>7</v>
      </c>
      <c r="V341" s="18" t="str">
        <f>IF($L341&lt;"6",INDEX(Revenue_type,MATCH(U341*1,type!$A$118:$A$168,0),8),INDEX(Expenditure_type,MATCH(U341*1,type!$A$2:$A$117,0),8))</f>
        <v>הוצאות לפעולות</v>
      </c>
      <c r="W341" s="18" t="str">
        <f t="shared" si="46"/>
        <v>70</v>
      </c>
      <c r="X341" s="18" t="e">
        <f>IF($L341&lt;"6",INDEX(Revenue_type,MATCH(W341*1,type!$A$118:$A$168,0),8),INDEX(Expenditure_type,MATCH(W341*1,type!$A$2:$A$117,0),8))</f>
        <v>#N/A</v>
      </c>
      <c r="Y341" s="18" t="str">
        <f t="shared" si="47"/>
        <v>700</v>
      </c>
      <c r="Z341" s="18" t="e">
        <f>IF($L341&lt;"6",INDEX(Revenue_type,MATCH(Y341*1,type!$A$118:$A$168,0),8),INDEX(Expenditure_type,MATCH(Y341*1,type!$A$2:$A$117,0),8))</f>
        <v>#N/A</v>
      </c>
    </row>
    <row r="342" spans="1:26" ht="15.75" hidden="1" customHeight="1" outlineLevel="2">
      <c r="A342">
        <v>100</v>
      </c>
      <c r="B342" s="249">
        <v>824380</v>
      </c>
      <c r="C342">
        <v>1</v>
      </c>
      <c r="D342" t="str">
        <f t="shared" si="40"/>
        <v>1824380.100</v>
      </c>
      <c r="E342" s="444" t="s">
        <v>8025</v>
      </c>
      <c r="H342" s="470">
        <v>131700</v>
      </c>
      <c r="I342" s="470">
        <v>129700</v>
      </c>
      <c r="J342" s="470">
        <v>383000</v>
      </c>
      <c r="K342" s="18"/>
      <c r="L342" s="18" t="str">
        <f t="shared" si="41"/>
        <v>8</v>
      </c>
      <c r="M342" s="18" t="str">
        <f>INDEX(Chapter,MATCH(L342,Chapter!$A$1:$A$681,0),8)</f>
        <v>שירותים ממלכתיים</v>
      </c>
      <c r="N342" s="18" t="str">
        <f t="shared" si="42"/>
        <v>82</v>
      </c>
      <c r="O342" s="18" t="str">
        <f>INDEX(Chapter,MATCH(N342,Chapter!$A$1:$A$681,0),8)</f>
        <v>תרבות</v>
      </c>
      <c r="P342" s="18" t="str">
        <f t="shared" si="43"/>
        <v>824</v>
      </c>
      <c r="Q342" s="18" t="str">
        <f>INDEX(Chapter,MATCH(P342,Chapter!$A$1:$A$681,0),8)</f>
        <v>מתנ״סים</v>
      </c>
      <c r="R342" s="18" t="str">
        <f t="shared" si="44"/>
        <v>8243</v>
      </c>
      <c r="S342" s="18" t="e">
        <f>INDEX(Chapter,MATCH(R342,Chapter!$A$1:$A$681,0),8)</f>
        <v>#N/A</v>
      </c>
      <c r="T342" s="18"/>
      <c r="U342" s="18" t="str">
        <f t="shared" si="45"/>
        <v>1</v>
      </c>
      <c r="V342" s="18" t="str">
        <f>IF($L342&lt;"6",INDEX(Revenue_type,MATCH(U342*1,type!$A$118:$A$168,0),8),INDEX(Expenditure_type,MATCH(U342*1,type!$A$2:$A$117,0),8))</f>
        <v>משכורות וש"ע לעובדים לפי תקן</v>
      </c>
      <c r="W342" s="18" t="str">
        <f t="shared" si="46"/>
        <v>10</v>
      </c>
      <c r="X342" s="18" t="e">
        <f>IF($L342&lt;"6",INDEX(Revenue_type,MATCH(W342*1,type!$A$118:$A$168,0),8),INDEX(Expenditure_type,MATCH(W342*1,type!$A$2:$A$117,0),8))</f>
        <v>#N/A</v>
      </c>
      <c r="Y342" s="18" t="str">
        <f t="shared" si="47"/>
        <v>100</v>
      </c>
      <c r="Z342" s="18" t="e">
        <f>IF($L342&lt;"6",INDEX(Revenue_type,MATCH(Y342*1,type!$A$118:$A$168,0),8),INDEX(Expenditure_type,MATCH(Y342*1,type!$A$2:$A$117,0),8))</f>
        <v>#N/A</v>
      </c>
    </row>
    <row r="343" spans="1:26" ht="15.75" hidden="1" customHeight="1" outlineLevel="2">
      <c r="A343">
        <v>120</v>
      </c>
      <c r="B343" s="249">
        <v>824380</v>
      </c>
      <c r="C343">
        <v>1</v>
      </c>
      <c r="D343" t="str">
        <f t="shared" si="40"/>
        <v>1824380.120</v>
      </c>
      <c r="E343" s="444" t="s">
        <v>8026</v>
      </c>
      <c r="H343" s="470">
        <v>36300</v>
      </c>
      <c r="I343" s="470">
        <v>36300</v>
      </c>
      <c r="J343" s="470">
        <v>4500</v>
      </c>
      <c r="K343" s="18"/>
      <c r="L343" s="18" t="str">
        <f t="shared" si="41"/>
        <v>8</v>
      </c>
      <c r="M343" s="18" t="str">
        <f>INDEX(Chapter,MATCH(L343,Chapter!$A$1:$A$681,0),8)</f>
        <v>שירותים ממלכתיים</v>
      </c>
      <c r="N343" s="18" t="str">
        <f t="shared" si="42"/>
        <v>82</v>
      </c>
      <c r="O343" s="18" t="str">
        <f>INDEX(Chapter,MATCH(N343,Chapter!$A$1:$A$681,0),8)</f>
        <v>תרבות</v>
      </c>
      <c r="P343" s="18" t="str">
        <f t="shared" si="43"/>
        <v>824</v>
      </c>
      <c r="Q343" s="18" t="str">
        <f>INDEX(Chapter,MATCH(P343,Chapter!$A$1:$A$681,0),8)</f>
        <v>מתנ״סים</v>
      </c>
      <c r="R343" s="18" t="str">
        <f t="shared" si="44"/>
        <v>8243</v>
      </c>
      <c r="S343" s="18" t="e">
        <f>INDEX(Chapter,MATCH(R343,Chapter!$A$1:$A$681,0),8)</f>
        <v>#N/A</v>
      </c>
      <c r="T343" s="18"/>
      <c r="U343" s="18" t="str">
        <f t="shared" si="45"/>
        <v>1</v>
      </c>
      <c r="V343" s="18" t="str">
        <f>IF($L343&lt;"6",INDEX(Revenue_type,MATCH(U343*1,type!$A$118:$A$168,0),8),INDEX(Expenditure_type,MATCH(U343*1,type!$A$2:$A$117,0),8))</f>
        <v>משכורות וש"ע לעובדים לפי תקן</v>
      </c>
      <c r="W343" s="18" t="str">
        <f t="shared" si="46"/>
        <v>12</v>
      </c>
      <c r="X343" s="18" t="str">
        <f>IF($L343&lt;"6",INDEX(Revenue_type,MATCH(W343*1,type!$A$118:$A$168,0),8),INDEX(Expenditure_type,MATCH(W343*1,type!$A$2:$A$117,0),8))</f>
        <v>תוספות שאינן נכללות בשכר הקובע</v>
      </c>
      <c r="Y343" s="18" t="str">
        <f t="shared" si="47"/>
        <v>120</v>
      </c>
      <c r="Z343" s="18" t="e">
        <f>IF($L343&lt;"6",INDEX(Revenue_type,MATCH(Y343*1,type!$A$118:$A$168,0),8),INDEX(Expenditure_type,MATCH(Y343*1,type!$A$2:$A$117,0),8))</f>
        <v>#N/A</v>
      </c>
    </row>
    <row r="344" spans="1:26" ht="15.75" hidden="1" customHeight="1" outlineLevel="2">
      <c r="A344">
        <v>800</v>
      </c>
      <c r="B344" s="249">
        <v>824380</v>
      </c>
      <c r="C344">
        <v>1</v>
      </c>
      <c r="D344" t="str">
        <f t="shared" si="40"/>
        <v>1824380.800</v>
      </c>
      <c r="E344" s="444" t="s">
        <v>8027</v>
      </c>
      <c r="H344" s="470">
        <v>384700</v>
      </c>
      <c r="I344" s="470">
        <v>396000</v>
      </c>
      <c r="J344" s="470">
        <v>646000</v>
      </c>
      <c r="K344" s="18"/>
      <c r="L344" s="18" t="str">
        <f t="shared" si="41"/>
        <v>8</v>
      </c>
      <c r="M344" s="18" t="str">
        <f>INDEX(Chapter,MATCH(L344,Chapter!$A$1:$A$681,0),8)</f>
        <v>שירותים ממלכתיים</v>
      </c>
      <c r="N344" s="18" t="str">
        <f t="shared" si="42"/>
        <v>82</v>
      </c>
      <c r="O344" s="18" t="str">
        <f>INDEX(Chapter,MATCH(N344,Chapter!$A$1:$A$681,0),8)</f>
        <v>תרבות</v>
      </c>
      <c r="P344" s="18" t="str">
        <f t="shared" si="43"/>
        <v>824</v>
      </c>
      <c r="Q344" s="18" t="str">
        <f>INDEX(Chapter,MATCH(P344,Chapter!$A$1:$A$681,0),8)</f>
        <v>מתנ״סים</v>
      </c>
      <c r="R344" s="18" t="str">
        <f t="shared" si="44"/>
        <v>8243</v>
      </c>
      <c r="S344" s="18" t="e">
        <f>INDEX(Chapter,MATCH(R344,Chapter!$A$1:$A$681,0),8)</f>
        <v>#N/A</v>
      </c>
      <c r="T344" s="18"/>
      <c r="U344" s="18" t="str">
        <f t="shared" si="45"/>
        <v>8</v>
      </c>
      <c r="V344" s="18" t="str">
        <f>IF($L344&lt;"6",INDEX(Revenue_type,MATCH(U344*1,type!$A$118:$A$168,0),8),INDEX(Expenditure_type,MATCH(U344*1,type!$A$2:$A$117,0),8))</f>
        <v>השתתפויות תמיכות ותרומות</v>
      </c>
      <c r="W344" s="18" t="str">
        <f t="shared" si="46"/>
        <v>80</v>
      </c>
      <c r="X344" s="18" t="e">
        <f>IF($L344&lt;"6",INDEX(Revenue_type,MATCH(W344*1,type!$A$118:$A$168,0),8),INDEX(Expenditure_type,MATCH(W344*1,type!$A$2:$A$117,0),8))</f>
        <v>#N/A</v>
      </c>
      <c r="Y344" s="18" t="str">
        <f t="shared" si="47"/>
        <v>800</v>
      </c>
      <c r="Z344" s="18" t="e">
        <f>IF($L344&lt;"6",INDEX(Revenue_type,MATCH(Y344*1,type!$A$118:$A$168,0),8),INDEX(Expenditure_type,MATCH(Y344*1,type!$A$2:$A$117,0),8))</f>
        <v>#N/A</v>
      </c>
    </row>
    <row r="345" spans="1:26" ht="15.75" hidden="1" customHeight="1" outlineLevel="2">
      <c r="A345">
        <v>800</v>
      </c>
      <c r="B345" s="249">
        <v>824381</v>
      </c>
      <c r="C345">
        <v>1</v>
      </c>
      <c r="D345" t="str">
        <f t="shared" si="40"/>
        <v>1824381.800</v>
      </c>
      <c r="E345" s="444" t="s">
        <v>8028</v>
      </c>
      <c r="H345" s="470">
        <v>247500</v>
      </c>
      <c r="I345" s="470">
        <v>254800</v>
      </c>
      <c r="J345" s="470">
        <v>254800</v>
      </c>
      <c r="K345" s="18"/>
      <c r="L345" s="18" t="str">
        <f t="shared" si="41"/>
        <v>8</v>
      </c>
      <c r="M345" s="18" t="str">
        <f>INDEX(Chapter,MATCH(L345,Chapter!$A$1:$A$681,0),8)</f>
        <v>שירותים ממלכתיים</v>
      </c>
      <c r="N345" s="18" t="str">
        <f t="shared" si="42"/>
        <v>82</v>
      </c>
      <c r="O345" s="18" t="str">
        <f>INDEX(Chapter,MATCH(N345,Chapter!$A$1:$A$681,0),8)</f>
        <v>תרבות</v>
      </c>
      <c r="P345" s="18" t="str">
        <f t="shared" si="43"/>
        <v>824</v>
      </c>
      <c r="Q345" s="18" t="str">
        <f>INDEX(Chapter,MATCH(P345,Chapter!$A$1:$A$681,0),8)</f>
        <v>מתנ״סים</v>
      </c>
      <c r="R345" s="18" t="str">
        <f t="shared" si="44"/>
        <v>8243</v>
      </c>
      <c r="S345" s="18" t="e">
        <f>INDEX(Chapter,MATCH(R345,Chapter!$A$1:$A$681,0),8)</f>
        <v>#N/A</v>
      </c>
      <c r="T345" s="18"/>
      <c r="U345" s="18" t="str">
        <f t="shared" si="45"/>
        <v>8</v>
      </c>
      <c r="V345" s="18" t="str">
        <f>IF($L345&lt;"6",INDEX(Revenue_type,MATCH(U345*1,type!$A$118:$A$168,0),8),INDEX(Expenditure_type,MATCH(U345*1,type!$A$2:$A$117,0),8))</f>
        <v>השתתפויות תמיכות ותרומות</v>
      </c>
      <c r="W345" s="18" t="str">
        <f t="shared" si="46"/>
        <v>80</v>
      </c>
      <c r="X345" s="18" t="e">
        <f>IF($L345&lt;"6",INDEX(Revenue_type,MATCH(W345*1,type!$A$118:$A$168,0),8),INDEX(Expenditure_type,MATCH(W345*1,type!$A$2:$A$117,0),8))</f>
        <v>#N/A</v>
      </c>
      <c r="Y345" s="18" t="str">
        <f t="shared" si="47"/>
        <v>800</v>
      </c>
      <c r="Z345" s="18" t="e">
        <f>IF($L345&lt;"6",INDEX(Revenue_type,MATCH(Y345*1,type!$A$118:$A$168,0),8),INDEX(Expenditure_type,MATCH(Y345*1,type!$A$2:$A$117,0),8))</f>
        <v>#N/A</v>
      </c>
    </row>
    <row r="346" spans="1:26" ht="15.75" hidden="1" customHeight="1" outlineLevel="2">
      <c r="A346">
        <v>100</v>
      </c>
      <c r="B346" s="249">
        <v>824391</v>
      </c>
      <c r="C346">
        <v>1</v>
      </c>
      <c r="D346" t="str">
        <f t="shared" si="40"/>
        <v>1824391.100</v>
      </c>
      <c r="E346" s="444" t="s">
        <v>8029</v>
      </c>
      <c r="H346" s="470">
        <v>521800</v>
      </c>
      <c r="I346" s="470">
        <v>456800</v>
      </c>
      <c r="J346" s="470">
        <v>352800</v>
      </c>
      <c r="K346" s="18"/>
      <c r="L346" s="18" t="str">
        <f t="shared" si="41"/>
        <v>8</v>
      </c>
      <c r="M346" s="18" t="str">
        <f>INDEX(Chapter,MATCH(L346,Chapter!$A$1:$A$681,0),8)</f>
        <v>שירותים ממלכתיים</v>
      </c>
      <c r="N346" s="18" t="str">
        <f t="shared" si="42"/>
        <v>82</v>
      </c>
      <c r="O346" s="18" t="str">
        <f>INDEX(Chapter,MATCH(N346,Chapter!$A$1:$A$681,0),8)</f>
        <v>תרבות</v>
      </c>
      <c r="P346" s="18" t="str">
        <f t="shared" si="43"/>
        <v>824</v>
      </c>
      <c r="Q346" s="18" t="str">
        <f>INDEX(Chapter,MATCH(P346,Chapter!$A$1:$A$681,0),8)</f>
        <v>מתנ״סים</v>
      </c>
      <c r="R346" s="18" t="str">
        <f t="shared" si="44"/>
        <v>8243</v>
      </c>
      <c r="S346" s="18" t="e">
        <f>INDEX(Chapter,MATCH(R346,Chapter!$A$1:$A$681,0),8)</f>
        <v>#N/A</v>
      </c>
      <c r="T346" s="18"/>
      <c r="U346" s="18" t="str">
        <f t="shared" si="45"/>
        <v>1</v>
      </c>
      <c r="V346" s="18" t="str">
        <f>IF($L346&lt;"6",INDEX(Revenue_type,MATCH(U346*1,type!$A$118:$A$168,0),8),INDEX(Expenditure_type,MATCH(U346*1,type!$A$2:$A$117,0),8))</f>
        <v>משכורות וש"ע לעובדים לפי תקן</v>
      </c>
      <c r="W346" s="18" t="str">
        <f t="shared" si="46"/>
        <v>10</v>
      </c>
      <c r="X346" s="18" t="e">
        <f>IF($L346&lt;"6",INDEX(Revenue_type,MATCH(W346*1,type!$A$118:$A$168,0),8),INDEX(Expenditure_type,MATCH(W346*1,type!$A$2:$A$117,0),8))</f>
        <v>#N/A</v>
      </c>
      <c r="Y346" s="18" t="str">
        <f t="shared" si="47"/>
        <v>100</v>
      </c>
      <c r="Z346" s="18" t="e">
        <f>IF($L346&lt;"6",INDEX(Revenue_type,MATCH(Y346*1,type!$A$118:$A$168,0),8),INDEX(Expenditure_type,MATCH(Y346*1,type!$A$2:$A$117,0),8))</f>
        <v>#N/A</v>
      </c>
    </row>
    <row r="347" spans="1:26" ht="15.75" hidden="1" customHeight="1" outlineLevel="2">
      <c r="A347">
        <v>120</v>
      </c>
      <c r="B347" s="249">
        <v>824391</v>
      </c>
      <c r="C347">
        <v>1</v>
      </c>
      <c r="D347" t="str">
        <f t="shared" si="40"/>
        <v>1824391.120</v>
      </c>
      <c r="E347" s="444" t="s">
        <v>8030</v>
      </c>
      <c r="H347" s="470">
        <v>10200</v>
      </c>
      <c r="I347" s="470">
        <v>10200</v>
      </c>
      <c r="J347" s="470">
        <v>10100</v>
      </c>
      <c r="K347" s="18"/>
      <c r="L347" s="18" t="str">
        <f t="shared" si="41"/>
        <v>8</v>
      </c>
      <c r="M347" s="18" t="str">
        <f>INDEX(Chapter,MATCH(L347,Chapter!$A$1:$A$681,0),8)</f>
        <v>שירותים ממלכתיים</v>
      </c>
      <c r="N347" s="18" t="str">
        <f t="shared" si="42"/>
        <v>82</v>
      </c>
      <c r="O347" s="18" t="str">
        <f>INDEX(Chapter,MATCH(N347,Chapter!$A$1:$A$681,0),8)</f>
        <v>תרבות</v>
      </c>
      <c r="P347" s="18" t="str">
        <f t="shared" si="43"/>
        <v>824</v>
      </c>
      <c r="Q347" s="18" t="str">
        <f>INDEX(Chapter,MATCH(P347,Chapter!$A$1:$A$681,0),8)</f>
        <v>מתנ״סים</v>
      </c>
      <c r="R347" s="18" t="str">
        <f t="shared" si="44"/>
        <v>8243</v>
      </c>
      <c r="S347" s="18" t="e">
        <f>INDEX(Chapter,MATCH(R347,Chapter!$A$1:$A$681,0),8)</f>
        <v>#N/A</v>
      </c>
      <c r="T347" s="18"/>
      <c r="U347" s="18" t="str">
        <f t="shared" si="45"/>
        <v>1</v>
      </c>
      <c r="V347" s="18" t="str">
        <f>IF($L347&lt;"6",INDEX(Revenue_type,MATCH(U347*1,type!$A$118:$A$168,0),8),INDEX(Expenditure_type,MATCH(U347*1,type!$A$2:$A$117,0),8))</f>
        <v>משכורות וש"ע לעובדים לפי תקן</v>
      </c>
      <c r="W347" s="18" t="str">
        <f t="shared" si="46"/>
        <v>12</v>
      </c>
      <c r="X347" s="18" t="str">
        <f>IF($L347&lt;"6",INDEX(Revenue_type,MATCH(W347*1,type!$A$118:$A$168,0),8),INDEX(Expenditure_type,MATCH(W347*1,type!$A$2:$A$117,0),8))</f>
        <v>תוספות שאינן נכללות בשכר הקובע</v>
      </c>
      <c r="Y347" s="18" t="str">
        <f t="shared" si="47"/>
        <v>120</v>
      </c>
      <c r="Z347" s="18" t="e">
        <f>IF($L347&lt;"6",INDEX(Revenue_type,MATCH(Y347*1,type!$A$118:$A$168,0),8),INDEX(Expenditure_type,MATCH(Y347*1,type!$A$2:$A$117,0),8))</f>
        <v>#N/A</v>
      </c>
    </row>
    <row r="348" spans="1:26" ht="15.75" hidden="1" customHeight="1" outlineLevel="2">
      <c r="A348">
        <v>800</v>
      </c>
      <c r="B348" s="249">
        <v>824391</v>
      </c>
      <c r="C348">
        <v>1</v>
      </c>
      <c r="D348" t="str">
        <f t="shared" si="40"/>
        <v>1824391.800</v>
      </c>
      <c r="E348" s="444" t="s">
        <v>8031</v>
      </c>
      <c r="H348" s="470">
        <v>1466900</v>
      </c>
      <c r="I348" s="470">
        <v>1510000</v>
      </c>
      <c r="J348" s="470">
        <v>1960000</v>
      </c>
      <c r="K348" s="18"/>
      <c r="L348" s="18" t="str">
        <f t="shared" si="41"/>
        <v>8</v>
      </c>
      <c r="M348" s="18" t="str">
        <f>INDEX(Chapter,MATCH(L348,Chapter!$A$1:$A$681,0),8)</f>
        <v>שירותים ממלכתיים</v>
      </c>
      <c r="N348" s="18" t="str">
        <f t="shared" si="42"/>
        <v>82</v>
      </c>
      <c r="O348" s="18" t="str">
        <f>INDEX(Chapter,MATCH(N348,Chapter!$A$1:$A$681,0),8)</f>
        <v>תרבות</v>
      </c>
      <c r="P348" s="18" t="str">
        <f t="shared" si="43"/>
        <v>824</v>
      </c>
      <c r="Q348" s="18" t="str">
        <f>INDEX(Chapter,MATCH(P348,Chapter!$A$1:$A$681,0),8)</f>
        <v>מתנ״סים</v>
      </c>
      <c r="R348" s="18" t="str">
        <f t="shared" si="44"/>
        <v>8243</v>
      </c>
      <c r="S348" s="18" t="e">
        <f>INDEX(Chapter,MATCH(R348,Chapter!$A$1:$A$681,0),8)</f>
        <v>#N/A</v>
      </c>
      <c r="T348" s="18"/>
      <c r="U348" s="18" t="str">
        <f t="shared" si="45"/>
        <v>8</v>
      </c>
      <c r="V348" s="18" t="str">
        <f>IF($L348&lt;"6",INDEX(Revenue_type,MATCH(U348*1,type!$A$118:$A$168,0),8),INDEX(Expenditure_type,MATCH(U348*1,type!$A$2:$A$117,0),8))</f>
        <v>השתתפויות תמיכות ותרומות</v>
      </c>
      <c r="W348" s="18" t="str">
        <f t="shared" si="46"/>
        <v>80</v>
      </c>
      <c r="X348" s="18" t="e">
        <f>IF($L348&lt;"6",INDEX(Revenue_type,MATCH(W348*1,type!$A$118:$A$168,0),8),INDEX(Expenditure_type,MATCH(W348*1,type!$A$2:$A$117,0),8))</f>
        <v>#N/A</v>
      </c>
      <c r="Y348" s="18" t="str">
        <f t="shared" si="47"/>
        <v>800</v>
      </c>
      <c r="Z348" s="18" t="e">
        <f>IF($L348&lt;"6",INDEX(Revenue_type,MATCH(Y348*1,type!$A$118:$A$168,0),8),INDEX(Expenditure_type,MATCH(Y348*1,type!$A$2:$A$117,0),8))</f>
        <v>#N/A</v>
      </c>
    </row>
    <row r="349" spans="1:26" ht="15.75" hidden="1" customHeight="1" outlineLevel="2">
      <c r="A349">
        <v>700</v>
      </c>
      <c r="B349" s="249" t="e">
        <v>#N/A</v>
      </c>
      <c r="C349">
        <v>1</v>
      </c>
      <c r="D349" t="e">
        <f t="shared" si="40"/>
        <v>#N/A</v>
      </c>
      <c r="E349" s="444" t="s">
        <v>8032</v>
      </c>
      <c r="H349" s="470">
        <v>0</v>
      </c>
      <c r="I349" s="470">
        <v>800000</v>
      </c>
      <c r="J349" s="470">
        <v>0</v>
      </c>
      <c r="K349" s="18"/>
      <c r="L349" s="18" t="e">
        <f t="shared" si="41"/>
        <v>#N/A</v>
      </c>
      <c r="M349" s="18" t="e">
        <f>INDEX(Chapter,MATCH(L349,Chapter!$A$1:$A$681,0),8)</f>
        <v>#N/A</v>
      </c>
      <c r="N349" s="18" t="e">
        <f t="shared" si="42"/>
        <v>#N/A</v>
      </c>
      <c r="O349" s="18" t="e">
        <f>INDEX(Chapter,MATCH(N349,Chapter!$A$1:$A$681,0),8)</f>
        <v>#N/A</v>
      </c>
      <c r="P349" s="18" t="e">
        <f t="shared" si="43"/>
        <v>#N/A</v>
      </c>
      <c r="Q349" s="18" t="e">
        <f>INDEX(Chapter,MATCH(P349,Chapter!$A$1:$A$681,0),8)</f>
        <v>#N/A</v>
      </c>
      <c r="R349" s="18" t="e">
        <f t="shared" si="44"/>
        <v>#N/A</v>
      </c>
      <c r="S349" s="18" t="e">
        <f>INDEX(Chapter,MATCH(R349,Chapter!$A$1:$A$681,0),8)</f>
        <v>#N/A</v>
      </c>
      <c r="T349" s="18"/>
      <c r="U349" s="18" t="str">
        <f t="shared" si="45"/>
        <v>7</v>
      </c>
      <c r="V349" s="18" t="e">
        <f>IF($L349&lt;"6",INDEX(Revenue_type,MATCH(U349*1,type!$A$118:$A$168,0),8),INDEX(Expenditure_type,MATCH(U349*1,type!$A$2:$A$117,0),8))</f>
        <v>#N/A</v>
      </c>
      <c r="W349" s="18" t="str">
        <f t="shared" si="46"/>
        <v>70</v>
      </c>
      <c r="X349" s="18" t="e">
        <f>IF($L349&lt;"6",INDEX(Revenue_type,MATCH(W349*1,type!$A$118:$A$168,0),8),INDEX(Expenditure_type,MATCH(W349*1,type!$A$2:$A$117,0),8))</f>
        <v>#N/A</v>
      </c>
      <c r="Y349" s="18" t="str">
        <f t="shared" si="47"/>
        <v>700</v>
      </c>
      <c r="Z349" s="18" t="e">
        <f>IF($L349&lt;"6",INDEX(Revenue_type,MATCH(Y349*1,type!$A$118:$A$168,0),8),INDEX(Expenditure_type,MATCH(Y349*1,type!$A$2:$A$117,0),8))</f>
        <v>#N/A</v>
      </c>
    </row>
    <row r="350" spans="1:26" ht="15.75" hidden="1" customHeight="1" outlineLevel="2">
      <c r="A350">
        <v>800</v>
      </c>
      <c r="B350" s="249" t="e">
        <v>#N/A</v>
      </c>
      <c r="C350">
        <v>1</v>
      </c>
      <c r="D350" t="e">
        <f t="shared" si="40"/>
        <v>#N/A</v>
      </c>
      <c r="E350" s="444" t="s">
        <v>8033</v>
      </c>
      <c r="H350" s="470">
        <v>1165700</v>
      </c>
      <c r="I350" s="470">
        <v>1200000</v>
      </c>
      <c r="J350" s="470">
        <v>0</v>
      </c>
      <c r="K350" s="18"/>
      <c r="L350" s="18" t="e">
        <f t="shared" si="41"/>
        <v>#N/A</v>
      </c>
      <c r="M350" s="18" t="e">
        <f>INDEX(Chapter,MATCH(L350,Chapter!$A$1:$A$681,0),8)</f>
        <v>#N/A</v>
      </c>
      <c r="N350" s="18" t="e">
        <f t="shared" si="42"/>
        <v>#N/A</v>
      </c>
      <c r="O350" s="18" t="e">
        <f>INDEX(Chapter,MATCH(N350,Chapter!$A$1:$A$681,0),8)</f>
        <v>#N/A</v>
      </c>
      <c r="P350" s="18" t="e">
        <f t="shared" si="43"/>
        <v>#N/A</v>
      </c>
      <c r="Q350" s="18" t="e">
        <f>INDEX(Chapter,MATCH(P350,Chapter!$A$1:$A$681,0),8)</f>
        <v>#N/A</v>
      </c>
      <c r="R350" s="18" t="e">
        <f t="shared" si="44"/>
        <v>#N/A</v>
      </c>
      <c r="S350" s="18" t="e">
        <f>INDEX(Chapter,MATCH(R350,Chapter!$A$1:$A$681,0),8)</f>
        <v>#N/A</v>
      </c>
      <c r="T350" s="18"/>
      <c r="U350" s="18" t="str">
        <f t="shared" si="45"/>
        <v>8</v>
      </c>
      <c r="V350" s="18" t="e">
        <f>IF($L350&lt;"6",INDEX(Revenue_type,MATCH(U350*1,type!$A$118:$A$168,0),8),INDEX(Expenditure_type,MATCH(U350*1,type!$A$2:$A$117,0),8))</f>
        <v>#N/A</v>
      </c>
      <c r="W350" s="18" t="str">
        <f t="shared" si="46"/>
        <v>80</v>
      </c>
      <c r="X350" s="18" t="e">
        <f>IF($L350&lt;"6",INDEX(Revenue_type,MATCH(W350*1,type!$A$118:$A$168,0),8),INDEX(Expenditure_type,MATCH(W350*1,type!$A$2:$A$117,0),8))</f>
        <v>#N/A</v>
      </c>
      <c r="Y350" s="18" t="str">
        <f t="shared" si="47"/>
        <v>800</v>
      </c>
      <c r="Z350" s="18" t="e">
        <f>IF($L350&lt;"6",INDEX(Revenue_type,MATCH(Y350*1,type!$A$118:$A$168,0),8),INDEX(Expenditure_type,MATCH(Y350*1,type!$A$2:$A$117,0),8))</f>
        <v>#N/A</v>
      </c>
    </row>
    <row r="351" spans="1:26" ht="15.75" hidden="1" customHeight="1" outlineLevel="2">
      <c r="A351">
        <v>700</v>
      </c>
      <c r="B351" s="249">
        <v>824200</v>
      </c>
      <c r="C351">
        <v>1</v>
      </c>
      <c r="D351" t="str">
        <f t="shared" si="40"/>
        <v>1824200.700</v>
      </c>
      <c r="E351" s="444" t="s">
        <v>8034</v>
      </c>
      <c r="H351" s="470">
        <v>97100</v>
      </c>
      <c r="I351" s="470">
        <v>100000</v>
      </c>
      <c r="J351" s="470">
        <v>93800</v>
      </c>
      <c r="K351" s="18"/>
      <c r="L351" s="18" t="str">
        <f t="shared" si="41"/>
        <v>8</v>
      </c>
      <c r="M351" s="18" t="str">
        <f>INDEX(Chapter,MATCH(L351,Chapter!$A$1:$A$681,0),8)</f>
        <v>שירותים ממלכתיים</v>
      </c>
      <c r="N351" s="18" t="str">
        <f t="shared" si="42"/>
        <v>82</v>
      </c>
      <c r="O351" s="18" t="str">
        <f>INDEX(Chapter,MATCH(N351,Chapter!$A$1:$A$681,0),8)</f>
        <v>תרבות</v>
      </c>
      <c r="P351" s="18" t="str">
        <f t="shared" si="43"/>
        <v>824</v>
      </c>
      <c r="Q351" s="18" t="str">
        <f>INDEX(Chapter,MATCH(P351,Chapter!$A$1:$A$681,0),8)</f>
        <v>מתנ״סים</v>
      </c>
      <c r="R351" s="18" t="str">
        <f t="shared" si="44"/>
        <v>8242</v>
      </c>
      <c r="S351" s="18" t="e">
        <f>INDEX(Chapter,MATCH(R351,Chapter!$A$1:$A$681,0),8)</f>
        <v>#N/A</v>
      </c>
      <c r="T351" s="18"/>
      <c r="U351" s="18" t="str">
        <f t="shared" si="45"/>
        <v>7</v>
      </c>
      <c r="V351" s="18" t="str">
        <f>IF($L351&lt;"6",INDEX(Revenue_type,MATCH(U351*1,type!$A$118:$A$168,0),8),INDEX(Expenditure_type,MATCH(U351*1,type!$A$2:$A$117,0),8))</f>
        <v>הוצאות לפעולות</v>
      </c>
      <c r="W351" s="18" t="str">
        <f t="shared" si="46"/>
        <v>70</v>
      </c>
      <c r="X351" s="18" t="e">
        <f>IF($L351&lt;"6",INDEX(Revenue_type,MATCH(W351*1,type!$A$118:$A$168,0),8),INDEX(Expenditure_type,MATCH(W351*1,type!$A$2:$A$117,0),8))</f>
        <v>#N/A</v>
      </c>
      <c r="Y351" s="18" t="str">
        <f t="shared" si="47"/>
        <v>700</v>
      </c>
      <c r="Z351" s="18" t="e">
        <f>IF($L351&lt;"6",INDEX(Revenue_type,MATCH(Y351*1,type!$A$118:$A$168,0),8),INDEX(Expenditure_type,MATCH(Y351*1,type!$A$2:$A$117,0),8))</f>
        <v>#N/A</v>
      </c>
    </row>
    <row r="352" spans="1:26" ht="15.75" hidden="1" customHeight="1" outlineLevel="2">
      <c r="A352">
        <v>700</v>
      </c>
      <c r="B352" s="249">
        <v>824320</v>
      </c>
      <c r="C352">
        <v>1</v>
      </c>
      <c r="D352" t="str">
        <f t="shared" si="40"/>
        <v>1824320.700</v>
      </c>
      <c r="E352" s="444" t="s">
        <v>8035</v>
      </c>
      <c r="H352" s="470">
        <v>0</v>
      </c>
      <c r="I352" s="470">
        <v>0</v>
      </c>
      <c r="J352" s="470">
        <v>100000</v>
      </c>
      <c r="K352" s="18"/>
      <c r="L352" s="18" t="str">
        <f t="shared" si="41"/>
        <v>8</v>
      </c>
      <c r="M352" s="18" t="str">
        <f>INDEX(Chapter,MATCH(L352,Chapter!$A$1:$A$681,0),8)</f>
        <v>שירותים ממלכתיים</v>
      </c>
      <c r="N352" s="18" t="str">
        <f t="shared" si="42"/>
        <v>82</v>
      </c>
      <c r="O352" s="18" t="str">
        <f>INDEX(Chapter,MATCH(N352,Chapter!$A$1:$A$681,0),8)</f>
        <v>תרבות</v>
      </c>
      <c r="P352" s="18" t="str">
        <f t="shared" si="43"/>
        <v>824</v>
      </c>
      <c r="Q352" s="18" t="str">
        <f>INDEX(Chapter,MATCH(P352,Chapter!$A$1:$A$681,0),8)</f>
        <v>מתנ״סים</v>
      </c>
      <c r="R352" s="18" t="str">
        <f t="shared" si="44"/>
        <v>8243</v>
      </c>
      <c r="S352" s="18" t="e">
        <f>INDEX(Chapter,MATCH(R352,Chapter!$A$1:$A$681,0),8)</f>
        <v>#N/A</v>
      </c>
      <c r="T352" s="18"/>
      <c r="U352" s="18" t="str">
        <f t="shared" si="45"/>
        <v>7</v>
      </c>
      <c r="V352" s="18" t="str">
        <f>IF($L352&lt;"6",INDEX(Revenue_type,MATCH(U352*1,type!$A$118:$A$168,0),8),INDEX(Expenditure_type,MATCH(U352*1,type!$A$2:$A$117,0),8))</f>
        <v>הוצאות לפעולות</v>
      </c>
      <c r="W352" s="18" t="str">
        <f t="shared" si="46"/>
        <v>70</v>
      </c>
      <c r="X352" s="18" t="e">
        <f>IF($L352&lt;"6",INDEX(Revenue_type,MATCH(W352*1,type!$A$118:$A$168,0),8),INDEX(Expenditure_type,MATCH(W352*1,type!$A$2:$A$117,0),8))</f>
        <v>#N/A</v>
      </c>
      <c r="Y352" s="18" t="str">
        <f t="shared" si="47"/>
        <v>700</v>
      </c>
      <c r="Z352" s="18" t="e">
        <f>IF($L352&lt;"6",INDEX(Revenue_type,MATCH(Y352*1,type!$A$118:$A$168,0),8),INDEX(Expenditure_type,MATCH(Y352*1,type!$A$2:$A$117,0),8))</f>
        <v>#N/A</v>
      </c>
    </row>
    <row r="353" spans="1:26" ht="15.75" hidden="1" customHeight="1" outlineLevel="2">
      <c r="A353">
        <v>800</v>
      </c>
      <c r="B353" s="249">
        <v>824320</v>
      </c>
      <c r="C353">
        <v>1</v>
      </c>
      <c r="D353" t="str">
        <f t="shared" si="40"/>
        <v>1824320.800</v>
      </c>
      <c r="E353" s="444" t="s">
        <v>8036</v>
      </c>
      <c r="H353" s="470">
        <v>3536700</v>
      </c>
      <c r="I353" s="470">
        <v>3640700</v>
      </c>
      <c r="J353" s="470">
        <v>3639400</v>
      </c>
      <c r="K353" s="18"/>
      <c r="L353" s="18" t="str">
        <f t="shared" si="41"/>
        <v>8</v>
      </c>
      <c r="M353" s="18" t="str">
        <f>INDEX(Chapter,MATCH(L353,Chapter!$A$1:$A$681,0),8)</f>
        <v>שירותים ממלכתיים</v>
      </c>
      <c r="N353" s="18" t="str">
        <f t="shared" si="42"/>
        <v>82</v>
      </c>
      <c r="O353" s="18" t="str">
        <f>INDEX(Chapter,MATCH(N353,Chapter!$A$1:$A$681,0),8)</f>
        <v>תרבות</v>
      </c>
      <c r="P353" s="18" t="str">
        <f t="shared" si="43"/>
        <v>824</v>
      </c>
      <c r="Q353" s="18" t="str">
        <f>INDEX(Chapter,MATCH(P353,Chapter!$A$1:$A$681,0),8)</f>
        <v>מתנ״סים</v>
      </c>
      <c r="R353" s="18" t="str">
        <f t="shared" si="44"/>
        <v>8243</v>
      </c>
      <c r="S353" s="18" t="e">
        <f>INDEX(Chapter,MATCH(R353,Chapter!$A$1:$A$681,0),8)</f>
        <v>#N/A</v>
      </c>
      <c r="T353" s="18"/>
      <c r="U353" s="18" t="str">
        <f t="shared" si="45"/>
        <v>8</v>
      </c>
      <c r="V353" s="18" t="str">
        <f>IF($L353&lt;"6",INDEX(Revenue_type,MATCH(U353*1,type!$A$118:$A$168,0),8),INDEX(Expenditure_type,MATCH(U353*1,type!$A$2:$A$117,0),8))</f>
        <v>השתתפויות תמיכות ותרומות</v>
      </c>
      <c r="W353" s="18" t="str">
        <f t="shared" si="46"/>
        <v>80</v>
      </c>
      <c r="X353" s="18" t="e">
        <f>IF($L353&lt;"6",INDEX(Revenue_type,MATCH(W353*1,type!$A$118:$A$168,0),8),INDEX(Expenditure_type,MATCH(W353*1,type!$A$2:$A$117,0),8))</f>
        <v>#N/A</v>
      </c>
      <c r="Y353" s="18" t="str">
        <f t="shared" si="47"/>
        <v>800</v>
      </c>
      <c r="Z353" s="18" t="e">
        <f>IF($L353&lt;"6",INDEX(Revenue_type,MATCH(Y353*1,type!$A$118:$A$168,0),8),INDEX(Expenditure_type,MATCH(Y353*1,type!$A$2:$A$117,0),8))</f>
        <v>#N/A</v>
      </c>
    </row>
    <row r="354" spans="1:26" ht="15.75" hidden="1" customHeight="1" outlineLevel="2">
      <c r="A354">
        <v>100</v>
      </c>
      <c r="B354" s="249">
        <v>824395</v>
      </c>
      <c r="C354">
        <v>1</v>
      </c>
      <c r="D354" t="str">
        <f t="shared" si="40"/>
        <v>1824395.100</v>
      </c>
      <c r="E354" s="444" t="s">
        <v>8037</v>
      </c>
      <c r="H354" s="470">
        <v>176500</v>
      </c>
      <c r="I354" s="470">
        <v>174500</v>
      </c>
      <c r="J354" s="470">
        <v>160300</v>
      </c>
      <c r="K354" s="18"/>
      <c r="L354" s="18" t="str">
        <f t="shared" si="41"/>
        <v>8</v>
      </c>
      <c r="M354" s="18" t="str">
        <f>INDEX(Chapter,MATCH(L354,Chapter!$A$1:$A$681,0),8)</f>
        <v>שירותים ממלכתיים</v>
      </c>
      <c r="N354" s="18" t="str">
        <f t="shared" si="42"/>
        <v>82</v>
      </c>
      <c r="O354" s="18" t="str">
        <f>INDEX(Chapter,MATCH(N354,Chapter!$A$1:$A$681,0),8)</f>
        <v>תרבות</v>
      </c>
      <c r="P354" s="18" t="str">
        <f t="shared" si="43"/>
        <v>824</v>
      </c>
      <c r="Q354" s="18" t="str">
        <f>INDEX(Chapter,MATCH(P354,Chapter!$A$1:$A$681,0),8)</f>
        <v>מתנ״סים</v>
      </c>
      <c r="R354" s="18" t="str">
        <f t="shared" si="44"/>
        <v>8243</v>
      </c>
      <c r="S354" s="18" t="e">
        <f>INDEX(Chapter,MATCH(R354,Chapter!$A$1:$A$681,0),8)</f>
        <v>#N/A</v>
      </c>
      <c r="T354" s="18"/>
      <c r="U354" s="18" t="str">
        <f t="shared" si="45"/>
        <v>1</v>
      </c>
      <c r="V354" s="18" t="str">
        <f>IF($L354&lt;"6",INDEX(Revenue_type,MATCH(U354*1,type!$A$118:$A$168,0),8),INDEX(Expenditure_type,MATCH(U354*1,type!$A$2:$A$117,0),8))</f>
        <v>משכורות וש"ע לעובדים לפי תקן</v>
      </c>
      <c r="W354" s="18" t="str">
        <f t="shared" si="46"/>
        <v>10</v>
      </c>
      <c r="X354" s="18" t="e">
        <f>IF($L354&lt;"6",INDEX(Revenue_type,MATCH(W354*1,type!$A$118:$A$168,0),8),INDEX(Expenditure_type,MATCH(W354*1,type!$A$2:$A$117,0),8))</f>
        <v>#N/A</v>
      </c>
      <c r="Y354" s="18" t="str">
        <f t="shared" si="47"/>
        <v>100</v>
      </c>
      <c r="Z354" s="18" t="e">
        <f>IF($L354&lt;"6",INDEX(Revenue_type,MATCH(Y354*1,type!$A$118:$A$168,0),8),INDEX(Expenditure_type,MATCH(Y354*1,type!$A$2:$A$117,0),8))</f>
        <v>#N/A</v>
      </c>
    </row>
    <row r="355" spans="1:26" ht="15.75" hidden="1" customHeight="1" outlineLevel="2">
      <c r="A355">
        <v>120</v>
      </c>
      <c r="B355" s="249">
        <v>824395</v>
      </c>
      <c r="C355">
        <v>1</v>
      </c>
      <c r="D355" t="str">
        <f t="shared" si="40"/>
        <v>1824395.120</v>
      </c>
      <c r="E355" s="348" t="s">
        <v>8038</v>
      </c>
      <c r="F355" s="242"/>
      <c r="G355"/>
      <c r="H355" s="322">
        <v>11500</v>
      </c>
      <c r="I355" s="322">
        <v>11500</v>
      </c>
      <c r="J355" s="242">
        <v>16900</v>
      </c>
      <c r="K355" s="18" t="e">
        <f>INDEX(תקציב_2013,MATCH(D355,'תקציב 2015'!$D$3:$D$5960,0),8)</f>
        <v>#N/A</v>
      </c>
      <c r="L355" s="18" t="str">
        <f t="shared" si="41"/>
        <v>8</v>
      </c>
      <c r="M355" s="18" t="str">
        <f>INDEX(Chapter,MATCH(L355,Chapter!$A$1:$A$681,0),8)</f>
        <v>שירותים ממלכתיים</v>
      </c>
      <c r="N355" s="18" t="str">
        <f t="shared" si="42"/>
        <v>82</v>
      </c>
      <c r="O355" s="18" t="str">
        <f>INDEX(Chapter,MATCH(N355,Chapter!$A$1:$A$681,0),8)</f>
        <v>תרבות</v>
      </c>
      <c r="P355" s="18" t="str">
        <f t="shared" si="43"/>
        <v>824</v>
      </c>
      <c r="Q355" s="18" t="str">
        <f>INDEX(Chapter,MATCH(P355,Chapter!$A$1:$A$681,0),8)</f>
        <v>מתנ״סים</v>
      </c>
      <c r="R355" s="18" t="str">
        <f t="shared" si="44"/>
        <v>8243</v>
      </c>
      <c r="S355" s="18" t="e">
        <f>INDEX(Chapter,MATCH(R355,Chapter!$A$1:$A$681,0),8)</f>
        <v>#N/A</v>
      </c>
      <c r="T355" s="18"/>
      <c r="U355" s="18" t="str">
        <f t="shared" si="45"/>
        <v>1</v>
      </c>
      <c r="V355" s="18" t="str">
        <f>IF($L355&lt;"6",INDEX(Revenue_type,MATCH(U355*1,type!$A$118:$A$168,0),8),INDEX(Expenditure_type,MATCH(U355*1,type!$A$2:$A$117,0),8))</f>
        <v>משכורות וש"ע לעובדים לפי תקן</v>
      </c>
      <c r="W355" s="18" t="str">
        <f t="shared" si="46"/>
        <v>12</v>
      </c>
      <c r="X355" s="18" t="str">
        <f>IF($L355&lt;"6",INDEX(Revenue_type,MATCH(W355*1,type!$A$118:$A$168,0),8),INDEX(Expenditure_type,MATCH(W355*1,type!$A$2:$A$117,0),8))</f>
        <v>תוספות שאינן נכללות בשכר הקובע</v>
      </c>
      <c r="Y355" s="18" t="str">
        <f t="shared" si="47"/>
        <v>120</v>
      </c>
      <c r="Z355" s="18" t="e">
        <f>IF($L355&lt;"6",INDEX(Revenue_type,MATCH(Y355*1,type!$A$118:$A$168,0),8),INDEX(Expenditure_type,MATCH(Y355*1,type!$A$2:$A$117,0),8))</f>
        <v>#N/A</v>
      </c>
    </row>
    <row r="356" spans="1:26" ht="15.75" hidden="1" customHeight="1" outlineLevel="2">
      <c r="A356">
        <v>800</v>
      </c>
      <c r="B356" s="249">
        <v>824395</v>
      </c>
      <c r="C356">
        <v>1</v>
      </c>
      <c r="D356" t="str">
        <f t="shared" si="40"/>
        <v>1824395.800</v>
      </c>
      <c r="E356" s="348" t="s">
        <v>8039</v>
      </c>
      <c r="F356" s="242"/>
      <c r="G356"/>
      <c r="H356" s="322">
        <v>3988600</v>
      </c>
      <c r="I356" s="322">
        <v>3900000</v>
      </c>
      <c r="J356" s="242">
        <v>3228800</v>
      </c>
      <c r="K356" s="18" t="e">
        <f>INDEX(תקציב_2013,MATCH(D356,'תקציב 2015'!$D$3:$D$5960,0),8)</f>
        <v>#N/A</v>
      </c>
      <c r="L356" s="18" t="str">
        <f t="shared" si="41"/>
        <v>8</v>
      </c>
      <c r="M356" s="18" t="str">
        <f>INDEX(Chapter,MATCH(L356,Chapter!$A$1:$A$681,0),8)</f>
        <v>שירותים ממלכתיים</v>
      </c>
      <c r="N356" s="18" t="str">
        <f t="shared" si="42"/>
        <v>82</v>
      </c>
      <c r="O356" s="18" t="str">
        <f>INDEX(Chapter,MATCH(N356,Chapter!$A$1:$A$681,0),8)</f>
        <v>תרבות</v>
      </c>
      <c r="P356" s="18" t="str">
        <f t="shared" si="43"/>
        <v>824</v>
      </c>
      <c r="Q356" s="18" t="str">
        <f>INDEX(Chapter,MATCH(P356,Chapter!$A$1:$A$681,0),8)</f>
        <v>מתנ״סים</v>
      </c>
      <c r="R356" s="18" t="str">
        <f t="shared" si="44"/>
        <v>8243</v>
      </c>
      <c r="S356" s="18" t="e">
        <f>INDEX(Chapter,MATCH(R356,Chapter!$A$1:$A$681,0),8)</f>
        <v>#N/A</v>
      </c>
      <c r="T356" s="18"/>
      <c r="U356" s="18" t="str">
        <f t="shared" si="45"/>
        <v>8</v>
      </c>
      <c r="V356" s="18" t="str">
        <f>IF($L356&lt;"6",INDEX(Revenue_type,MATCH(U356*1,type!$A$118:$A$168,0),8),INDEX(Expenditure_type,MATCH(U356*1,type!$A$2:$A$117,0),8))</f>
        <v>השתתפויות תמיכות ותרומות</v>
      </c>
      <c r="W356" s="18" t="str">
        <f t="shared" si="46"/>
        <v>80</v>
      </c>
      <c r="X356" s="18" t="e">
        <f>IF($L356&lt;"6",INDEX(Revenue_type,MATCH(W356*1,type!$A$118:$A$168,0),8),INDEX(Expenditure_type,MATCH(W356*1,type!$A$2:$A$117,0),8))</f>
        <v>#N/A</v>
      </c>
      <c r="Y356" s="18" t="str">
        <f t="shared" si="47"/>
        <v>800</v>
      </c>
      <c r="Z356" s="18" t="e">
        <f>IF($L356&lt;"6",INDEX(Revenue_type,MATCH(Y356*1,type!$A$118:$A$168,0),8),INDEX(Expenditure_type,MATCH(Y356*1,type!$A$2:$A$117,0),8))</f>
        <v>#N/A</v>
      </c>
    </row>
    <row r="357" spans="1:26" ht="15.75" hidden="1" customHeight="1" outlineLevel="2">
      <c r="A357">
        <v>100</v>
      </c>
      <c r="B357" s="249">
        <v>824330</v>
      </c>
      <c r="C357">
        <v>1</v>
      </c>
      <c r="D357" t="str">
        <f t="shared" si="40"/>
        <v>1824330.100</v>
      </c>
      <c r="E357" s="348" t="s">
        <v>8040</v>
      </c>
      <c r="F357" s="242"/>
      <c r="G357"/>
      <c r="H357" s="322">
        <v>1157000</v>
      </c>
      <c r="I357" s="322">
        <v>1143000</v>
      </c>
      <c r="J357" s="242">
        <v>1055500</v>
      </c>
      <c r="K357" s="18" t="e">
        <f>INDEX(תקציב_2013,MATCH(D357,'תקציב 2015'!$D$3:$D$5960,0),8)</f>
        <v>#N/A</v>
      </c>
      <c r="L357" s="18" t="str">
        <f t="shared" si="41"/>
        <v>8</v>
      </c>
      <c r="M357" s="18" t="str">
        <f>INDEX(Chapter,MATCH(L357,Chapter!$A$1:$A$681,0),8)</f>
        <v>שירותים ממלכתיים</v>
      </c>
      <c r="N357" s="18" t="str">
        <f t="shared" si="42"/>
        <v>82</v>
      </c>
      <c r="O357" s="18" t="str">
        <f>INDEX(Chapter,MATCH(N357,Chapter!$A$1:$A$681,0),8)</f>
        <v>תרבות</v>
      </c>
      <c r="P357" s="18" t="str">
        <f t="shared" si="43"/>
        <v>824</v>
      </c>
      <c r="Q357" s="18" t="str">
        <f>INDEX(Chapter,MATCH(P357,Chapter!$A$1:$A$681,0),8)</f>
        <v>מתנ״סים</v>
      </c>
      <c r="R357" s="18" t="str">
        <f t="shared" si="44"/>
        <v>8243</v>
      </c>
      <c r="S357" s="18" t="e">
        <f>INDEX(Chapter,MATCH(R357,Chapter!$A$1:$A$681,0),8)</f>
        <v>#N/A</v>
      </c>
      <c r="T357" s="18"/>
      <c r="U357" s="18" t="str">
        <f t="shared" si="45"/>
        <v>1</v>
      </c>
      <c r="V357" s="18" t="str">
        <f>IF($L357&lt;"6",INDEX(Revenue_type,MATCH(U357*1,type!$A$118:$A$168,0),8),INDEX(Expenditure_type,MATCH(U357*1,type!$A$2:$A$117,0),8))</f>
        <v>משכורות וש"ע לעובדים לפי תקן</v>
      </c>
      <c r="W357" s="18" t="str">
        <f t="shared" si="46"/>
        <v>10</v>
      </c>
      <c r="X357" s="18" t="e">
        <f>IF($L357&lt;"6",INDEX(Revenue_type,MATCH(W357*1,type!$A$118:$A$168,0),8),INDEX(Expenditure_type,MATCH(W357*1,type!$A$2:$A$117,0),8))</f>
        <v>#N/A</v>
      </c>
      <c r="Y357" s="18" t="str">
        <f t="shared" si="47"/>
        <v>100</v>
      </c>
      <c r="Z357" s="18" t="e">
        <f>IF($L357&lt;"6",INDEX(Revenue_type,MATCH(Y357*1,type!$A$118:$A$168,0),8),INDEX(Expenditure_type,MATCH(Y357*1,type!$A$2:$A$117,0),8))</f>
        <v>#N/A</v>
      </c>
    </row>
    <row r="358" spans="1:26" ht="15.75" hidden="1" customHeight="1" outlineLevel="2">
      <c r="A358">
        <v>120</v>
      </c>
      <c r="B358" s="249">
        <v>824330</v>
      </c>
      <c r="C358">
        <v>1</v>
      </c>
      <c r="D358" t="str">
        <f t="shared" si="40"/>
        <v>1824330.120</v>
      </c>
      <c r="E358" s="348" t="s">
        <v>8041</v>
      </c>
      <c r="F358" s="242"/>
      <c r="G358"/>
      <c r="H358" s="322">
        <v>133000</v>
      </c>
      <c r="I358" s="322">
        <v>133000</v>
      </c>
      <c r="J358" s="242">
        <v>169000</v>
      </c>
      <c r="K358" s="18" t="e">
        <f>INDEX(תקציב_2013,MATCH(D358,'תקציב 2015'!$D$3:$D$5960,0),8)</f>
        <v>#N/A</v>
      </c>
      <c r="L358" s="18" t="str">
        <f t="shared" si="41"/>
        <v>8</v>
      </c>
      <c r="M358" s="18" t="str">
        <f>INDEX(Chapter,MATCH(L358,Chapter!$A$1:$A$681,0),8)</f>
        <v>שירותים ממלכתיים</v>
      </c>
      <c r="N358" s="18" t="str">
        <f t="shared" si="42"/>
        <v>82</v>
      </c>
      <c r="O358" s="18" t="str">
        <f>INDEX(Chapter,MATCH(N358,Chapter!$A$1:$A$681,0),8)</f>
        <v>תרבות</v>
      </c>
      <c r="P358" s="18" t="str">
        <f t="shared" si="43"/>
        <v>824</v>
      </c>
      <c r="Q358" s="18" t="str">
        <f>INDEX(Chapter,MATCH(P358,Chapter!$A$1:$A$681,0),8)</f>
        <v>מתנ״סים</v>
      </c>
      <c r="R358" s="18" t="str">
        <f t="shared" si="44"/>
        <v>8243</v>
      </c>
      <c r="S358" s="18" t="e">
        <f>INDEX(Chapter,MATCH(R358,Chapter!$A$1:$A$681,0),8)</f>
        <v>#N/A</v>
      </c>
      <c r="T358" s="18"/>
      <c r="U358" s="18" t="str">
        <f t="shared" si="45"/>
        <v>1</v>
      </c>
      <c r="V358" s="18" t="str">
        <f>IF($L358&lt;"6",INDEX(Revenue_type,MATCH(U358*1,type!$A$118:$A$168,0),8),INDEX(Expenditure_type,MATCH(U358*1,type!$A$2:$A$117,0),8))</f>
        <v>משכורות וש"ע לעובדים לפי תקן</v>
      </c>
      <c r="W358" s="18" t="str">
        <f t="shared" si="46"/>
        <v>12</v>
      </c>
      <c r="X358" s="18" t="str">
        <f>IF($L358&lt;"6",INDEX(Revenue_type,MATCH(W358*1,type!$A$118:$A$168,0),8),INDEX(Expenditure_type,MATCH(W358*1,type!$A$2:$A$117,0),8))</f>
        <v>תוספות שאינן נכללות בשכר הקובע</v>
      </c>
      <c r="Y358" s="18" t="str">
        <f t="shared" si="47"/>
        <v>120</v>
      </c>
      <c r="Z358" s="18" t="e">
        <f>IF($L358&lt;"6",INDEX(Revenue_type,MATCH(Y358*1,type!$A$118:$A$168,0),8),INDEX(Expenditure_type,MATCH(Y358*1,type!$A$2:$A$117,0),8))</f>
        <v>#N/A</v>
      </c>
    </row>
    <row r="359" spans="1:26" ht="15.75" hidden="1" customHeight="1" outlineLevel="2">
      <c r="A359">
        <v>700</v>
      </c>
      <c r="B359" s="249">
        <v>824330</v>
      </c>
      <c r="C359">
        <v>1</v>
      </c>
      <c r="D359" t="str">
        <f t="shared" si="40"/>
        <v>1824330.700</v>
      </c>
      <c r="E359" s="348" t="s">
        <v>8042</v>
      </c>
      <c r="F359" s="242"/>
      <c r="G359"/>
      <c r="H359" s="322">
        <v>213700</v>
      </c>
      <c r="I359" s="322">
        <v>220000</v>
      </c>
      <c r="J359" s="242">
        <v>217900</v>
      </c>
      <c r="K359" s="18" t="e">
        <f>INDEX(תקציב_2013,MATCH(D359,'תקציב 2015'!$D$3:$D$5960,0),8)</f>
        <v>#N/A</v>
      </c>
      <c r="L359" s="18" t="str">
        <f t="shared" si="41"/>
        <v>8</v>
      </c>
      <c r="M359" s="18" t="str">
        <f>INDEX(Chapter,MATCH(L359,Chapter!$A$1:$A$681,0),8)</f>
        <v>שירותים ממלכתיים</v>
      </c>
      <c r="N359" s="18" t="str">
        <f t="shared" si="42"/>
        <v>82</v>
      </c>
      <c r="O359" s="18" t="str">
        <f>INDEX(Chapter,MATCH(N359,Chapter!$A$1:$A$681,0),8)</f>
        <v>תרבות</v>
      </c>
      <c r="P359" s="18" t="str">
        <f t="shared" si="43"/>
        <v>824</v>
      </c>
      <c r="Q359" s="18" t="str">
        <f>INDEX(Chapter,MATCH(P359,Chapter!$A$1:$A$681,0),8)</f>
        <v>מתנ״סים</v>
      </c>
      <c r="R359" s="18" t="str">
        <f t="shared" si="44"/>
        <v>8243</v>
      </c>
      <c r="S359" s="18" t="e">
        <f>INDEX(Chapter,MATCH(R359,Chapter!$A$1:$A$681,0),8)</f>
        <v>#N/A</v>
      </c>
      <c r="T359" s="18"/>
      <c r="U359" s="18" t="str">
        <f t="shared" si="45"/>
        <v>7</v>
      </c>
      <c r="V359" s="18" t="str">
        <f>IF($L359&lt;"6",INDEX(Revenue_type,MATCH(U359*1,type!$A$118:$A$168,0),8),INDEX(Expenditure_type,MATCH(U359*1,type!$A$2:$A$117,0),8))</f>
        <v>הוצאות לפעולות</v>
      </c>
      <c r="W359" s="18" t="str">
        <f t="shared" si="46"/>
        <v>70</v>
      </c>
      <c r="X359" s="18" t="e">
        <f>IF($L359&lt;"6",INDEX(Revenue_type,MATCH(W359*1,type!$A$118:$A$168,0),8),INDEX(Expenditure_type,MATCH(W359*1,type!$A$2:$A$117,0),8))</f>
        <v>#N/A</v>
      </c>
      <c r="Y359" s="18" t="str">
        <f t="shared" si="47"/>
        <v>700</v>
      </c>
      <c r="Z359" s="18" t="e">
        <f>IF($L359&lt;"6",INDEX(Revenue_type,MATCH(Y359*1,type!$A$118:$A$168,0),8),INDEX(Expenditure_type,MATCH(Y359*1,type!$A$2:$A$117,0),8))</f>
        <v>#N/A</v>
      </c>
    </row>
    <row r="360" spans="1:26" ht="15.75" hidden="1" customHeight="1" outlineLevel="2">
      <c r="A360">
        <v>100</v>
      </c>
      <c r="B360" s="249">
        <v>824332</v>
      </c>
      <c r="C360">
        <v>1</v>
      </c>
      <c r="D360" t="str">
        <f t="shared" si="40"/>
        <v>1824332.100</v>
      </c>
      <c r="E360" s="348" t="s">
        <v>8043</v>
      </c>
      <c r="F360" s="242"/>
      <c r="G360"/>
      <c r="H360" s="322">
        <v>1147100</v>
      </c>
      <c r="I360" s="322">
        <v>1133100</v>
      </c>
      <c r="J360" s="242">
        <v>1025600</v>
      </c>
      <c r="K360" s="18" t="e">
        <f>INDEX(תקציב_2013,MATCH(D360,'תקציב 2015'!$D$3:$D$5960,0),8)</f>
        <v>#N/A</v>
      </c>
      <c r="L360" s="18" t="str">
        <f t="shared" si="41"/>
        <v>8</v>
      </c>
      <c r="M360" s="18" t="str">
        <f>INDEX(Chapter,MATCH(L360,Chapter!$A$1:$A$681,0),8)</f>
        <v>שירותים ממלכתיים</v>
      </c>
      <c r="N360" s="18" t="str">
        <f t="shared" si="42"/>
        <v>82</v>
      </c>
      <c r="O360" s="18" t="str">
        <f>INDEX(Chapter,MATCH(N360,Chapter!$A$1:$A$681,0),8)</f>
        <v>תרבות</v>
      </c>
      <c r="P360" s="18" t="str">
        <f t="shared" si="43"/>
        <v>824</v>
      </c>
      <c r="Q360" s="18" t="str">
        <f>INDEX(Chapter,MATCH(P360,Chapter!$A$1:$A$681,0),8)</f>
        <v>מתנ״סים</v>
      </c>
      <c r="R360" s="18" t="str">
        <f t="shared" si="44"/>
        <v>8243</v>
      </c>
      <c r="S360" s="18" t="e">
        <f>INDEX(Chapter,MATCH(R360,Chapter!$A$1:$A$681,0),8)</f>
        <v>#N/A</v>
      </c>
      <c r="T360" s="18"/>
      <c r="U360" s="18" t="str">
        <f t="shared" si="45"/>
        <v>1</v>
      </c>
      <c r="V360" s="18" t="str">
        <f>IF($L360&lt;"6",INDEX(Revenue_type,MATCH(U360*1,type!$A$118:$A$168,0),8),INDEX(Expenditure_type,MATCH(U360*1,type!$A$2:$A$117,0),8))</f>
        <v>משכורות וש"ע לעובדים לפי תקן</v>
      </c>
      <c r="W360" s="18" t="str">
        <f t="shared" si="46"/>
        <v>10</v>
      </c>
      <c r="X360" s="18" t="e">
        <f>IF($L360&lt;"6",INDEX(Revenue_type,MATCH(W360*1,type!$A$118:$A$168,0),8),INDEX(Expenditure_type,MATCH(W360*1,type!$A$2:$A$117,0),8))</f>
        <v>#N/A</v>
      </c>
      <c r="Y360" s="18" t="str">
        <f t="shared" si="47"/>
        <v>100</v>
      </c>
      <c r="Z360" s="18" t="e">
        <f>IF($L360&lt;"6",INDEX(Revenue_type,MATCH(Y360*1,type!$A$118:$A$168,0),8),INDEX(Expenditure_type,MATCH(Y360*1,type!$A$2:$A$117,0),8))</f>
        <v>#N/A</v>
      </c>
    </row>
    <row r="361" spans="1:26" ht="15.75" hidden="1" customHeight="1" outlineLevel="2">
      <c r="A361">
        <v>120</v>
      </c>
      <c r="B361" s="249">
        <v>824332</v>
      </c>
      <c r="C361">
        <v>1</v>
      </c>
      <c r="D361" t="str">
        <f t="shared" si="40"/>
        <v>1824332.120</v>
      </c>
      <c r="E361" s="352" t="s">
        <v>8044</v>
      </c>
      <c r="F361" s="242"/>
      <c r="G361"/>
      <c r="H361" s="322">
        <v>89900</v>
      </c>
      <c r="I361" s="322">
        <v>89900</v>
      </c>
      <c r="J361" s="242">
        <v>114800</v>
      </c>
      <c r="K361" s="18" t="e">
        <f>INDEX(תקציב_2013,MATCH(D361,'תקציב 2015'!$D$3:$D$5960,0),8)</f>
        <v>#N/A</v>
      </c>
      <c r="L361" s="18" t="str">
        <f t="shared" si="41"/>
        <v>8</v>
      </c>
      <c r="M361" s="18" t="str">
        <f>INDEX(Chapter,MATCH(L361,Chapter!$A$1:$A$681,0),8)</f>
        <v>שירותים ממלכתיים</v>
      </c>
      <c r="N361" s="18" t="str">
        <f t="shared" si="42"/>
        <v>82</v>
      </c>
      <c r="O361" s="18" t="str">
        <f>INDEX(Chapter,MATCH(N361,Chapter!$A$1:$A$681,0),8)</f>
        <v>תרבות</v>
      </c>
      <c r="P361" s="18" t="str">
        <f t="shared" si="43"/>
        <v>824</v>
      </c>
      <c r="Q361" s="18" t="str">
        <f>INDEX(Chapter,MATCH(P361,Chapter!$A$1:$A$681,0),8)</f>
        <v>מתנ״סים</v>
      </c>
      <c r="R361" s="18" t="str">
        <f t="shared" si="44"/>
        <v>8243</v>
      </c>
      <c r="S361" s="18" t="e">
        <f>INDEX(Chapter,MATCH(R361,Chapter!$A$1:$A$681,0),8)</f>
        <v>#N/A</v>
      </c>
      <c r="T361" s="18"/>
      <c r="U361" s="18" t="str">
        <f t="shared" si="45"/>
        <v>1</v>
      </c>
      <c r="V361" s="18" t="str">
        <f>IF($L361&lt;"6",INDEX(Revenue_type,MATCH(U361*1,type!$A$118:$A$168,0),8),INDEX(Expenditure_type,MATCH(U361*1,type!$A$2:$A$117,0),8))</f>
        <v>משכורות וש"ע לעובדים לפי תקן</v>
      </c>
      <c r="W361" s="18" t="str">
        <f t="shared" si="46"/>
        <v>12</v>
      </c>
      <c r="X361" s="18" t="str">
        <f>IF($L361&lt;"6",INDEX(Revenue_type,MATCH(W361*1,type!$A$118:$A$168,0),8),INDEX(Expenditure_type,MATCH(W361*1,type!$A$2:$A$117,0),8))</f>
        <v>תוספות שאינן נכללות בשכר הקובע</v>
      </c>
      <c r="Y361" s="18" t="str">
        <f t="shared" si="47"/>
        <v>120</v>
      </c>
      <c r="Z361" s="18" t="e">
        <f>IF($L361&lt;"6",INDEX(Revenue_type,MATCH(Y361*1,type!$A$118:$A$168,0),8),INDEX(Expenditure_type,MATCH(Y361*1,type!$A$2:$A$117,0),8))</f>
        <v>#N/A</v>
      </c>
    </row>
    <row r="362" spans="1:26" ht="15.75" hidden="1" customHeight="1" outlineLevel="2">
      <c r="A362">
        <v>400</v>
      </c>
      <c r="B362" s="249">
        <v>824332</v>
      </c>
      <c r="C362">
        <v>1</v>
      </c>
      <c r="D362" t="str">
        <f t="shared" si="40"/>
        <v>1824332.400</v>
      </c>
      <c r="E362" s="348" t="s">
        <v>8045</v>
      </c>
      <c r="F362" s="242"/>
      <c r="G362"/>
      <c r="H362" s="322">
        <v>68200</v>
      </c>
      <c r="I362" s="322">
        <v>68200</v>
      </c>
      <c r="J362" s="242">
        <v>86000</v>
      </c>
      <c r="K362" s="18" t="e">
        <f>INDEX(תקציב_2013,MATCH(D362,'תקציב 2015'!$D$3:$D$5960,0),8)</f>
        <v>#N/A</v>
      </c>
      <c r="L362" s="18" t="str">
        <f t="shared" si="41"/>
        <v>8</v>
      </c>
      <c r="M362" s="18" t="str">
        <f>INDEX(Chapter,MATCH(L362,Chapter!$A$1:$A$681,0),8)</f>
        <v>שירותים ממלכתיים</v>
      </c>
      <c r="N362" s="18" t="str">
        <f t="shared" si="42"/>
        <v>82</v>
      </c>
      <c r="O362" s="18" t="str">
        <f>INDEX(Chapter,MATCH(N362,Chapter!$A$1:$A$681,0),8)</f>
        <v>תרבות</v>
      </c>
      <c r="P362" s="18" t="str">
        <f t="shared" si="43"/>
        <v>824</v>
      </c>
      <c r="Q362" s="18" t="str">
        <f>INDEX(Chapter,MATCH(P362,Chapter!$A$1:$A$681,0),8)</f>
        <v>מתנ״סים</v>
      </c>
      <c r="R362" s="18" t="str">
        <f t="shared" si="44"/>
        <v>8243</v>
      </c>
      <c r="S362" s="18" t="e">
        <f>INDEX(Chapter,MATCH(R362,Chapter!$A$1:$A$681,0),8)</f>
        <v>#N/A</v>
      </c>
      <c r="T362" s="18"/>
      <c r="U362" s="18" t="str">
        <f t="shared" si="45"/>
        <v>4</v>
      </c>
      <c r="V362" s="18" t="str">
        <f>IF($L362&lt;"6",INDEX(Revenue_type,MATCH(U362*1,type!$A$118:$A$168,0),8),INDEX(Expenditure_type,MATCH(U362*1,type!$A$2:$A$117,0),8))</f>
        <v>אחזקת בינים ואספקת ציוד</v>
      </c>
      <c r="W362" s="18" t="str">
        <f t="shared" si="46"/>
        <v>40</v>
      </c>
      <c r="X362" s="18" t="e">
        <f>IF($L362&lt;"6",INDEX(Revenue_type,MATCH(W362*1,type!$A$118:$A$168,0),8),INDEX(Expenditure_type,MATCH(W362*1,type!$A$2:$A$117,0),8))</f>
        <v>#N/A</v>
      </c>
      <c r="Y362" s="18" t="str">
        <f t="shared" si="47"/>
        <v>400</v>
      </c>
      <c r="Z362" s="18" t="e">
        <f>IF($L362&lt;"6",INDEX(Revenue_type,MATCH(Y362*1,type!$A$118:$A$168,0),8),INDEX(Expenditure_type,MATCH(Y362*1,type!$A$2:$A$117,0),8))</f>
        <v>#N/A</v>
      </c>
    </row>
    <row r="363" spans="1:26" ht="15.75" hidden="1" customHeight="1" outlineLevel="2">
      <c r="A363">
        <v>500</v>
      </c>
      <c r="B363" s="249">
        <v>824332</v>
      </c>
      <c r="C363">
        <v>1</v>
      </c>
      <c r="D363" t="str">
        <f t="shared" si="40"/>
        <v>1824332.500</v>
      </c>
      <c r="E363" s="348" t="s">
        <v>8046</v>
      </c>
      <c r="F363" s="242"/>
      <c r="G363"/>
      <c r="H363" s="322">
        <v>13400</v>
      </c>
      <c r="I363" s="322">
        <v>13400</v>
      </c>
      <c r="J363" s="242">
        <v>13600</v>
      </c>
      <c r="K363" s="18" t="e">
        <f>INDEX(תקציב_2013,MATCH(D363,'תקציב 2015'!$D$3:$D$5960,0),8)</f>
        <v>#N/A</v>
      </c>
      <c r="L363" s="18" t="str">
        <f t="shared" si="41"/>
        <v>8</v>
      </c>
      <c r="M363" s="18" t="str">
        <f>INDEX(Chapter,MATCH(L363,Chapter!$A$1:$A$681,0),8)</f>
        <v>שירותים ממלכתיים</v>
      </c>
      <c r="N363" s="18" t="str">
        <f t="shared" si="42"/>
        <v>82</v>
      </c>
      <c r="O363" s="18" t="str">
        <f>INDEX(Chapter,MATCH(N363,Chapter!$A$1:$A$681,0),8)</f>
        <v>תרבות</v>
      </c>
      <c r="P363" s="18" t="str">
        <f t="shared" si="43"/>
        <v>824</v>
      </c>
      <c r="Q363" s="18" t="str">
        <f>INDEX(Chapter,MATCH(P363,Chapter!$A$1:$A$681,0),8)</f>
        <v>מתנ״סים</v>
      </c>
      <c r="R363" s="18" t="str">
        <f t="shared" si="44"/>
        <v>8243</v>
      </c>
      <c r="S363" s="18" t="e">
        <f>INDEX(Chapter,MATCH(R363,Chapter!$A$1:$A$681,0),8)</f>
        <v>#N/A</v>
      </c>
      <c r="T363" s="18"/>
      <c r="U363" s="18" t="str">
        <f t="shared" si="45"/>
        <v>5</v>
      </c>
      <c r="V363" s="18" t="str">
        <f>IF($L363&lt;"6",INDEX(Revenue_type,MATCH(U363*1,type!$A$118:$A$168,0),8),INDEX(Expenditure_type,MATCH(U363*1,type!$A$2:$A$117,0),8))</f>
        <v>הוצאות מנהליות</v>
      </c>
      <c r="W363" s="18" t="str">
        <f t="shared" si="46"/>
        <v>50</v>
      </c>
      <c r="X363" s="18" t="e">
        <f>IF($L363&lt;"6",INDEX(Revenue_type,MATCH(W363*1,type!$A$118:$A$168,0),8),INDEX(Expenditure_type,MATCH(W363*1,type!$A$2:$A$117,0),8))</f>
        <v>#N/A</v>
      </c>
      <c r="Y363" s="18" t="str">
        <f t="shared" si="47"/>
        <v>500</v>
      </c>
      <c r="Z363" s="18" t="e">
        <f>IF($L363&lt;"6",INDEX(Revenue_type,MATCH(Y363*1,type!$A$118:$A$168,0),8),INDEX(Expenditure_type,MATCH(Y363*1,type!$A$2:$A$117,0),8))</f>
        <v>#N/A</v>
      </c>
    </row>
    <row r="364" spans="1:26" ht="15.75" hidden="1" customHeight="1" outlineLevel="2">
      <c r="A364">
        <v>700</v>
      </c>
      <c r="B364" s="249">
        <v>824332</v>
      </c>
      <c r="C364">
        <v>1</v>
      </c>
      <c r="D364" t="str">
        <f t="shared" si="40"/>
        <v>1824332.700</v>
      </c>
      <c r="E364" s="348" t="s">
        <v>8047</v>
      </c>
      <c r="F364" s="242"/>
      <c r="G364"/>
      <c r="H364" s="322">
        <v>35000</v>
      </c>
      <c r="I364" s="322">
        <v>38400</v>
      </c>
      <c r="J364" s="242">
        <v>38300</v>
      </c>
      <c r="K364" s="18" t="e">
        <f>INDEX(תקציב_2013,MATCH(D364,'תקציב 2015'!$D$3:$D$5960,0),8)</f>
        <v>#N/A</v>
      </c>
      <c r="L364" s="18" t="str">
        <f t="shared" si="41"/>
        <v>8</v>
      </c>
      <c r="M364" s="18" t="str">
        <f>INDEX(Chapter,MATCH(L364,Chapter!$A$1:$A$681,0),8)</f>
        <v>שירותים ממלכתיים</v>
      </c>
      <c r="N364" s="18" t="str">
        <f t="shared" si="42"/>
        <v>82</v>
      </c>
      <c r="O364" s="18" t="str">
        <f>INDEX(Chapter,MATCH(N364,Chapter!$A$1:$A$681,0),8)</f>
        <v>תרבות</v>
      </c>
      <c r="P364" s="18" t="str">
        <f t="shared" si="43"/>
        <v>824</v>
      </c>
      <c r="Q364" s="18" t="str">
        <f>INDEX(Chapter,MATCH(P364,Chapter!$A$1:$A$681,0),8)</f>
        <v>מתנ״סים</v>
      </c>
      <c r="R364" s="18" t="str">
        <f t="shared" si="44"/>
        <v>8243</v>
      </c>
      <c r="S364" s="18" t="e">
        <f>INDEX(Chapter,MATCH(R364,Chapter!$A$1:$A$681,0),8)</f>
        <v>#N/A</v>
      </c>
      <c r="T364" s="18"/>
      <c r="U364" s="18" t="str">
        <f t="shared" si="45"/>
        <v>7</v>
      </c>
      <c r="V364" s="18" t="str">
        <f>IF($L364&lt;"6",INDEX(Revenue_type,MATCH(U364*1,type!$A$118:$A$168,0),8),INDEX(Expenditure_type,MATCH(U364*1,type!$A$2:$A$117,0),8))</f>
        <v>הוצאות לפעולות</v>
      </c>
      <c r="W364" s="18" t="str">
        <f t="shared" si="46"/>
        <v>70</v>
      </c>
      <c r="X364" s="18" t="e">
        <f>IF($L364&lt;"6",INDEX(Revenue_type,MATCH(W364*1,type!$A$118:$A$168,0),8),INDEX(Expenditure_type,MATCH(W364*1,type!$A$2:$A$117,0),8))</f>
        <v>#N/A</v>
      </c>
      <c r="Y364" s="18" t="str">
        <f t="shared" si="47"/>
        <v>700</v>
      </c>
      <c r="Z364" s="18" t="e">
        <f>IF($L364&lt;"6",INDEX(Revenue_type,MATCH(Y364*1,type!$A$118:$A$168,0),8),INDEX(Expenditure_type,MATCH(Y364*1,type!$A$2:$A$117,0),8))</f>
        <v>#N/A</v>
      </c>
    </row>
    <row r="365" spans="1:26" ht="15.75" hidden="1" customHeight="1" outlineLevel="2">
      <c r="A365">
        <v>100</v>
      </c>
      <c r="B365" s="249">
        <v>824520</v>
      </c>
      <c r="C365">
        <v>1</v>
      </c>
      <c r="D365" t="str">
        <f t="shared" si="40"/>
        <v>1824520.100</v>
      </c>
      <c r="E365" s="348" t="s">
        <v>8048</v>
      </c>
      <c r="F365" s="242"/>
      <c r="G365"/>
      <c r="H365" s="322">
        <v>671000</v>
      </c>
      <c r="I365" s="322">
        <v>664000</v>
      </c>
      <c r="J365" s="242">
        <v>624800</v>
      </c>
      <c r="K365" s="18" t="e">
        <f>INDEX(תקציב_2013,MATCH(D365,'תקציב 2015'!$D$3:$D$5960,0),8)</f>
        <v>#N/A</v>
      </c>
      <c r="L365" s="18" t="str">
        <f t="shared" si="41"/>
        <v>8</v>
      </c>
      <c r="M365" s="18" t="str">
        <f>INDEX(Chapter,MATCH(L365,Chapter!$A$1:$A$681,0),8)</f>
        <v>שירותים ממלכתיים</v>
      </c>
      <c r="N365" s="18" t="str">
        <f t="shared" si="42"/>
        <v>82</v>
      </c>
      <c r="O365" s="18" t="str">
        <f>INDEX(Chapter,MATCH(N365,Chapter!$A$1:$A$681,0),8)</f>
        <v>תרבות</v>
      </c>
      <c r="P365" s="18" t="str">
        <f t="shared" si="43"/>
        <v>824</v>
      </c>
      <c r="Q365" s="18" t="str">
        <f>INDEX(Chapter,MATCH(P365,Chapter!$A$1:$A$681,0),8)</f>
        <v>מתנ״סים</v>
      </c>
      <c r="R365" s="18" t="str">
        <f t="shared" si="44"/>
        <v>8245</v>
      </c>
      <c r="S365" s="18" t="e">
        <f>INDEX(Chapter,MATCH(R365,Chapter!$A$1:$A$681,0),8)</f>
        <v>#N/A</v>
      </c>
      <c r="T365" s="18"/>
      <c r="U365" s="18" t="str">
        <f t="shared" si="45"/>
        <v>1</v>
      </c>
      <c r="V365" s="18" t="str">
        <f>IF($L365&lt;"6",INDEX(Revenue_type,MATCH(U365*1,type!$A$118:$A$168,0),8),INDEX(Expenditure_type,MATCH(U365*1,type!$A$2:$A$117,0),8))</f>
        <v>משכורות וש"ע לעובדים לפי תקן</v>
      </c>
      <c r="W365" s="18" t="str">
        <f t="shared" si="46"/>
        <v>10</v>
      </c>
      <c r="X365" s="18" t="e">
        <f>IF($L365&lt;"6",INDEX(Revenue_type,MATCH(W365*1,type!$A$118:$A$168,0),8),INDEX(Expenditure_type,MATCH(W365*1,type!$A$2:$A$117,0),8))</f>
        <v>#N/A</v>
      </c>
      <c r="Y365" s="18" t="str">
        <f t="shared" si="47"/>
        <v>100</v>
      </c>
      <c r="Z365" s="18" t="e">
        <f>IF($L365&lt;"6",INDEX(Revenue_type,MATCH(Y365*1,type!$A$118:$A$168,0),8),INDEX(Expenditure_type,MATCH(Y365*1,type!$A$2:$A$117,0),8))</f>
        <v>#N/A</v>
      </c>
    </row>
    <row r="366" spans="1:26" ht="15.75" hidden="1" customHeight="1" outlineLevel="2">
      <c r="A366">
        <v>120</v>
      </c>
      <c r="B366" s="249">
        <v>824520</v>
      </c>
      <c r="C366">
        <v>1</v>
      </c>
      <c r="D366" t="str">
        <f t="shared" si="40"/>
        <v>1824520.120</v>
      </c>
      <c r="E366" s="348" t="s">
        <v>8049</v>
      </c>
      <c r="F366" s="242"/>
      <c r="G366"/>
      <c r="H366" s="322">
        <v>0</v>
      </c>
      <c r="I366" s="322">
        <v>0</v>
      </c>
      <c r="J366" s="242">
        <v>56600</v>
      </c>
      <c r="K366" s="18" t="e">
        <f>INDEX(תקציב_2013,MATCH(D366,'תקציב 2015'!$D$3:$D$5960,0),8)</f>
        <v>#N/A</v>
      </c>
      <c r="L366" s="18" t="str">
        <f t="shared" si="41"/>
        <v>8</v>
      </c>
      <c r="M366" s="18" t="str">
        <f>INDEX(Chapter,MATCH(L366,Chapter!$A$1:$A$681,0),8)</f>
        <v>שירותים ממלכתיים</v>
      </c>
      <c r="N366" s="18" t="str">
        <f t="shared" si="42"/>
        <v>82</v>
      </c>
      <c r="O366" s="18" t="str">
        <f>INDEX(Chapter,MATCH(N366,Chapter!$A$1:$A$681,0),8)</f>
        <v>תרבות</v>
      </c>
      <c r="P366" s="18" t="str">
        <f t="shared" si="43"/>
        <v>824</v>
      </c>
      <c r="Q366" s="18" t="str">
        <f>INDEX(Chapter,MATCH(P366,Chapter!$A$1:$A$681,0),8)</f>
        <v>מתנ״סים</v>
      </c>
      <c r="R366" s="18" t="str">
        <f t="shared" si="44"/>
        <v>8245</v>
      </c>
      <c r="S366" s="18" t="e">
        <f>INDEX(Chapter,MATCH(R366,Chapter!$A$1:$A$681,0),8)</f>
        <v>#N/A</v>
      </c>
      <c r="T366" s="18"/>
      <c r="U366" s="18" t="str">
        <f t="shared" si="45"/>
        <v>1</v>
      </c>
      <c r="V366" s="18" t="str">
        <f>IF($L366&lt;"6",INDEX(Revenue_type,MATCH(U366*1,type!$A$118:$A$168,0),8),INDEX(Expenditure_type,MATCH(U366*1,type!$A$2:$A$117,0),8))</f>
        <v>משכורות וש"ע לעובדים לפי תקן</v>
      </c>
      <c r="W366" s="18" t="str">
        <f t="shared" si="46"/>
        <v>12</v>
      </c>
      <c r="X366" s="18" t="str">
        <f>IF($L366&lt;"6",INDEX(Revenue_type,MATCH(W366*1,type!$A$118:$A$168,0),8),INDEX(Expenditure_type,MATCH(W366*1,type!$A$2:$A$117,0),8))</f>
        <v>תוספות שאינן נכללות בשכר הקובע</v>
      </c>
      <c r="Y366" s="18" t="str">
        <f t="shared" si="47"/>
        <v>120</v>
      </c>
      <c r="Z366" s="18" t="e">
        <f>IF($L366&lt;"6",INDEX(Revenue_type,MATCH(Y366*1,type!$A$118:$A$168,0),8),INDEX(Expenditure_type,MATCH(Y366*1,type!$A$2:$A$117,0),8))</f>
        <v>#N/A</v>
      </c>
    </row>
    <row r="367" spans="1:26" ht="15.75" hidden="1" customHeight="1" outlineLevel="2">
      <c r="A367">
        <v>700</v>
      </c>
      <c r="B367" s="249">
        <v>824520</v>
      </c>
      <c r="C367">
        <v>1</v>
      </c>
      <c r="D367" t="str">
        <f t="shared" si="40"/>
        <v>1824520.700</v>
      </c>
      <c r="E367" s="348" t="s">
        <v>8050</v>
      </c>
      <c r="F367" s="242"/>
      <c r="G367"/>
      <c r="H367" s="322">
        <v>97100</v>
      </c>
      <c r="I367" s="322">
        <v>100000</v>
      </c>
      <c r="J367" s="242">
        <v>96100</v>
      </c>
      <c r="K367" s="18" t="e">
        <f>INDEX(תקציב_2013,MATCH(D367,'תקציב 2015'!$D$3:$D$5960,0),8)</f>
        <v>#N/A</v>
      </c>
      <c r="L367" s="18" t="str">
        <f t="shared" si="41"/>
        <v>8</v>
      </c>
      <c r="M367" s="18" t="str">
        <f>INDEX(Chapter,MATCH(L367,Chapter!$A$1:$A$681,0),8)</f>
        <v>שירותים ממלכתיים</v>
      </c>
      <c r="N367" s="18" t="str">
        <f t="shared" si="42"/>
        <v>82</v>
      </c>
      <c r="O367" s="18" t="str">
        <f>INDEX(Chapter,MATCH(N367,Chapter!$A$1:$A$681,0),8)</f>
        <v>תרבות</v>
      </c>
      <c r="P367" s="18" t="str">
        <f t="shared" si="43"/>
        <v>824</v>
      </c>
      <c r="Q367" s="18" t="str">
        <f>INDEX(Chapter,MATCH(P367,Chapter!$A$1:$A$681,0),8)</f>
        <v>מתנ״סים</v>
      </c>
      <c r="R367" s="18" t="str">
        <f t="shared" si="44"/>
        <v>8245</v>
      </c>
      <c r="S367" s="18" t="e">
        <f>INDEX(Chapter,MATCH(R367,Chapter!$A$1:$A$681,0),8)</f>
        <v>#N/A</v>
      </c>
      <c r="T367" s="18"/>
      <c r="U367" s="18" t="str">
        <f t="shared" si="45"/>
        <v>7</v>
      </c>
      <c r="V367" s="18" t="str">
        <f>IF($L367&lt;"6",INDEX(Revenue_type,MATCH(U367*1,type!$A$118:$A$168,0),8),INDEX(Expenditure_type,MATCH(U367*1,type!$A$2:$A$117,0),8))</f>
        <v>הוצאות לפעולות</v>
      </c>
      <c r="W367" s="18" t="str">
        <f t="shared" si="46"/>
        <v>70</v>
      </c>
      <c r="X367" s="18" t="e">
        <f>IF($L367&lt;"6",INDEX(Revenue_type,MATCH(W367*1,type!$A$118:$A$168,0),8),INDEX(Expenditure_type,MATCH(W367*1,type!$A$2:$A$117,0),8))</f>
        <v>#N/A</v>
      </c>
      <c r="Y367" s="18" t="str">
        <f t="shared" si="47"/>
        <v>700</v>
      </c>
      <c r="Z367" s="18" t="e">
        <f>IF($L367&lt;"6",INDEX(Revenue_type,MATCH(Y367*1,type!$A$118:$A$168,0),8),INDEX(Expenditure_type,MATCH(Y367*1,type!$A$2:$A$117,0),8))</f>
        <v>#N/A</v>
      </c>
    </row>
    <row r="368" spans="1:26" ht="15.75" hidden="1" customHeight="1" outlineLevel="2">
      <c r="A368">
        <v>100</v>
      </c>
      <c r="B368" s="249">
        <v>824390</v>
      </c>
      <c r="C368">
        <v>1</v>
      </c>
      <c r="D368" t="str">
        <f t="shared" si="40"/>
        <v>1824390.100</v>
      </c>
      <c r="E368" s="353" t="s">
        <v>8051</v>
      </c>
      <c r="F368" s="242"/>
      <c r="G368"/>
      <c r="H368" s="322">
        <v>597500</v>
      </c>
      <c r="I368" s="322">
        <v>590500</v>
      </c>
      <c r="J368" s="242">
        <v>510700</v>
      </c>
      <c r="K368" s="18"/>
      <c r="L368" s="18" t="str">
        <f t="shared" si="41"/>
        <v>8</v>
      </c>
      <c r="M368" s="18" t="str">
        <f>INDEX(Chapter,MATCH(L368,Chapter!$A$1:$A$681,0),8)</f>
        <v>שירותים ממלכתיים</v>
      </c>
      <c r="N368" s="18" t="str">
        <f t="shared" si="42"/>
        <v>82</v>
      </c>
      <c r="O368" s="18" t="str">
        <f>INDEX(Chapter,MATCH(N368,Chapter!$A$1:$A$681,0),8)</f>
        <v>תרבות</v>
      </c>
      <c r="P368" s="18" t="str">
        <f t="shared" si="43"/>
        <v>824</v>
      </c>
      <c r="Q368" s="18" t="str">
        <f>INDEX(Chapter,MATCH(P368,Chapter!$A$1:$A$681,0),8)</f>
        <v>מתנ״סים</v>
      </c>
      <c r="R368" s="18" t="str">
        <f t="shared" si="44"/>
        <v>8243</v>
      </c>
      <c r="S368" s="18" t="e">
        <f>INDEX(Chapter,MATCH(R368,Chapter!$A$1:$A$681,0),8)</f>
        <v>#N/A</v>
      </c>
      <c r="T368" s="18"/>
      <c r="U368" s="18" t="str">
        <f t="shared" si="45"/>
        <v>1</v>
      </c>
      <c r="V368" s="18" t="str">
        <f>IF($L368&lt;"6",INDEX(Revenue_type,MATCH(U368*1,type!$A$118:$A$168,0),8),INDEX(Expenditure_type,MATCH(U368*1,type!$A$2:$A$117,0),8))</f>
        <v>משכורות וש"ע לעובדים לפי תקן</v>
      </c>
      <c r="W368" s="18" t="str">
        <f t="shared" si="46"/>
        <v>10</v>
      </c>
      <c r="X368" s="18" t="e">
        <f>IF($L368&lt;"6",INDEX(Revenue_type,MATCH(W368*1,type!$A$118:$A$168,0),8),INDEX(Expenditure_type,MATCH(W368*1,type!$A$2:$A$117,0),8))</f>
        <v>#N/A</v>
      </c>
      <c r="Y368" s="18" t="str">
        <f t="shared" si="47"/>
        <v>100</v>
      </c>
      <c r="Z368" s="18" t="e">
        <f>IF($L368&lt;"6",INDEX(Revenue_type,MATCH(Y368*1,type!$A$118:$A$168,0),8),INDEX(Expenditure_type,MATCH(Y368*1,type!$A$2:$A$117,0),8))</f>
        <v>#N/A</v>
      </c>
    </row>
    <row r="369" spans="1:26" ht="15.75" hidden="1" customHeight="1" outlineLevel="2">
      <c r="A369">
        <v>120</v>
      </c>
      <c r="B369" s="249">
        <v>824390</v>
      </c>
      <c r="C369">
        <v>1</v>
      </c>
      <c r="D369" t="str">
        <f t="shared" si="40"/>
        <v>1824390.120</v>
      </c>
      <c r="E369" s="348" t="s">
        <v>8052</v>
      </c>
      <c r="F369" s="242"/>
      <c r="G369"/>
      <c r="H369" s="322">
        <v>46500</v>
      </c>
      <c r="I369" s="322">
        <v>46500</v>
      </c>
      <c r="J369" s="242">
        <v>82200</v>
      </c>
      <c r="K369" s="18" t="e">
        <f>INDEX(תקציב_2013,MATCH(D369,'תקציב 2015'!$D$3:$D$5960,0),8)</f>
        <v>#N/A</v>
      </c>
      <c r="L369" s="18" t="str">
        <f t="shared" si="41"/>
        <v>8</v>
      </c>
      <c r="M369" s="18" t="str">
        <f>INDEX(Chapter,MATCH(L369,Chapter!$A$1:$A$681,0),8)</f>
        <v>שירותים ממלכתיים</v>
      </c>
      <c r="N369" s="18" t="str">
        <f t="shared" si="42"/>
        <v>82</v>
      </c>
      <c r="O369" s="18" t="str">
        <f>INDEX(Chapter,MATCH(N369,Chapter!$A$1:$A$681,0),8)</f>
        <v>תרבות</v>
      </c>
      <c r="P369" s="18" t="str">
        <f t="shared" si="43"/>
        <v>824</v>
      </c>
      <c r="Q369" s="18" t="str">
        <f>INDEX(Chapter,MATCH(P369,Chapter!$A$1:$A$681,0),8)</f>
        <v>מתנ״סים</v>
      </c>
      <c r="R369" s="18" t="str">
        <f t="shared" si="44"/>
        <v>8243</v>
      </c>
      <c r="S369" s="18" t="e">
        <f>INDEX(Chapter,MATCH(R369,Chapter!$A$1:$A$681,0),8)</f>
        <v>#N/A</v>
      </c>
      <c r="T369" s="18"/>
      <c r="U369" s="18" t="str">
        <f t="shared" si="45"/>
        <v>1</v>
      </c>
      <c r="V369" s="18" t="str">
        <f>IF($L369&lt;"6",INDEX(Revenue_type,MATCH(U369*1,type!$A$118:$A$168,0),8),INDEX(Expenditure_type,MATCH(U369*1,type!$A$2:$A$117,0),8))</f>
        <v>משכורות וש"ע לעובדים לפי תקן</v>
      </c>
      <c r="W369" s="18" t="str">
        <f t="shared" si="46"/>
        <v>12</v>
      </c>
      <c r="X369" s="18" t="str">
        <f>IF($L369&lt;"6",INDEX(Revenue_type,MATCH(W369*1,type!$A$118:$A$168,0),8),INDEX(Expenditure_type,MATCH(W369*1,type!$A$2:$A$117,0),8))</f>
        <v>תוספות שאינן נכללות בשכר הקובע</v>
      </c>
      <c r="Y369" s="18" t="str">
        <f t="shared" si="47"/>
        <v>120</v>
      </c>
      <c r="Z369" s="18" t="e">
        <f>IF($L369&lt;"6",INDEX(Revenue_type,MATCH(Y369*1,type!$A$118:$A$168,0),8),INDEX(Expenditure_type,MATCH(Y369*1,type!$A$2:$A$117,0),8))</f>
        <v>#N/A</v>
      </c>
    </row>
    <row r="370" spans="1:26" ht="15.75" hidden="1" customHeight="1" outlineLevel="2">
      <c r="A370">
        <v>400</v>
      </c>
      <c r="B370" s="249">
        <v>824390</v>
      </c>
      <c r="C370">
        <v>1</v>
      </c>
      <c r="D370" t="str">
        <f t="shared" si="40"/>
        <v>1824390.400</v>
      </c>
      <c r="E370" s="348" t="s">
        <v>8053</v>
      </c>
      <c r="F370" s="242"/>
      <c r="G370"/>
      <c r="H370" s="322">
        <v>4000</v>
      </c>
      <c r="I370" s="322">
        <v>4000</v>
      </c>
      <c r="J370" s="242">
        <v>5200</v>
      </c>
      <c r="K370" s="18" t="e">
        <f>INDEX(תקציב_2013,MATCH(D370,'תקציב 2015'!$D$3:$D$5960,0),8)</f>
        <v>#N/A</v>
      </c>
      <c r="L370" s="18" t="str">
        <f t="shared" si="41"/>
        <v>8</v>
      </c>
      <c r="M370" s="18" t="str">
        <f>INDEX(Chapter,MATCH(L370,Chapter!$A$1:$A$681,0),8)</f>
        <v>שירותים ממלכתיים</v>
      </c>
      <c r="N370" s="18" t="str">
        <f t="shared" si="42"/>
        <v>82</v>
      </c>
      <c r="O370" s="18" t="str">
        <f>INDEX(Chapter,MATCH(N370,Chapter!$A$1:$A$681,0),8)</f>
        <v>תרבות</v>
      </c>
      <c r="P370" s="18" t="str">
        <f t="shared" si="43"/>
        <v>824</v>
      </c>
      <c r="Q370" s="18" t="str">
        <f>INDEX(Chapter,MATCH(P370,Chapter!$A$1:$A$681,0),8)</f>
        <v>מתנ״סים</v>
      </c>
      <c r="R370" s="18" t="str">
        <f t="shared" si="44"/>
        <v>8243</v>
      </c>
      <c r="S370" s="18" t="e">
        <f>INDEX(Chapter,MATCH(R370,Chapter!$A$1:$A$681,0),8)</f>
        <v>#N/A</v>
      </c>
      <c r="T370" s="18"/>
      <c r="U370" s="18" t="str">
        <f t="shared" si="45"/>
        <v>4</v>
      </c>
      <c r="V370" s="18" t="str">
        <f>IF($L370&lt;"6",INDEX(Revenue_type,MATCH(U370*1,type!$A$118:$A$168,0),8),INDEX(Expenditure_type,MATCH(U370*1,type!$A$2:$A$117,0),8))</f>
        <v>אחזקת בינים ואספקת ציוד</v>
      </c>
      <c r="W370" s="18" t="str">
        <f t="shared" si="46"/>
        <v>40</v>
      </c>
      <c r="X370" s="18" t="e">
        <f>IF($L370&lt;"6",INDEX(Revenue_type,MATCH(W370*1,type!$A$118:$A$168,0),8),INDEX(Expenditure_type,MATCH(W370*1,type!$A$2:$A$117,0),8))</f>
        <v>#N/A</v>
      </c>
      <c r="Y370" s="18" t="str">
        <f t="shared" si="47"/>
        <v>400</v>
      </c>
      <c r="Z370" s="18" t="e">
        <f>IF($L370&lt;"6",INDEX(Revenue_type,MATCH(Y370*1,type!$A$118:$A$168,0),8),INDEX(Expenditure_type,MATCH(Y370*1,type!$A$2:$A$117,0),8))</f>
        <v>#N/A</v>
      </c>
    </row>
    <row r="371" spans="1:26" ht="15.75" hidden="1" customHeight="1" outlineLevel="2">
      <c r="A371">
        <v>500</v>
      </c>
      <c r="B371" s="249">
        <v>824390</v>
      </c>
      <c r="C371">
        <v>1</v>
      </c>
      <c r="D371" t="str">
        <f t="shared" si="40"/>
        <v>1824390.500</v>
      </c>
      <c r="E371" s="348" t="s">
        <v>8054</v>
      </c>
      <c r="F371" s="242"/>
      <c r="G371"/>
      <c r="H371" s="322">
        <v>10200</v>
      </c>
      <c r="I371" s="322">
        <v>10200</v>
      </c>
      <c r="J371" s="242">
        <v>2500</v>
      </c>
      <c r="K371" s="18" t="e">
        <f>INDEX(תקציב_2013,MATCH(D371,'תקציב 2015'!$D$3:$D$5960,0),8)</f>
        <v>#N/A</v>
      </c>
      <c r="L371" s="18" t="str">
        <f t="shared" si="41"/>
        <v>8</v>
      </c>
      <c r="M371" s="18" t="str">
        <f>INDEX(Chapter,MATCH(L371,Chapter!$A$1:$A$681,0),8)</f>
        <v>שירותים ממלכתיים</v>
      </c>
      <c r="N371" s="18" t="str">
        <f t="shared" si="42"/>
        <v>82</v>
      </c>
      <c r="O371" s="18" t="str">
        <f>INDEX(Chapter,MATCH(N371,Chapter!$A$1:$A$681,0),8)</f>
        <v>תרבות</v>
      </c>
      <c r="P371" s="18" t="str">
        <f t="shared" si="43"/>
        <v>824</v>
      </c>
      <c r="Q371" s="18" t="str">
        <f>INDEX(Chapter,MATCH(P371,Chapter!$A$1:$A$681,0),8)</f>
        <v>מתנ״סים</v>
      </c>
      <c r="R371" s="18" t="str">
        <f t="shared" si="44"/>
        <v>8243</v>
      </c>
      <c r="S371" s="18" t="e">
        <f>INDEX(Chapter,MATCH(R371,Chapter!$A$1:$A$681,0),8)</f>
        <v>#N/A</v>
      </c>
      <c r="T371" s="18"/>
      <c r="U371" s="18" t="str">
        <f t="shared" si="45"/>
        <v>5</v>
      </c>
      <c r="V371" s="18" t="str">
        <f>IF($L371&lt;"6",INDEX(Revenue_type,MATCH(U371*1,type!$A$118:$A$168,0),8),INDEX(Expenditure_type,MATCH(U371*1,type!$A$2:$A$117,0),8))</f>
        <v>הוצאות מנהליות</v>
      </c>
      <c r="W371" s="18" t="str">
        <f t="shared" si="46"/>
        <v>50</v>
      </c>
      <c r="X371" s="18" t="e">
        <f>IF($L371&lt;"6",INDEX(Revenue_type,MATCH(W371*1,type!$A$118:$A$168,0),8),INDEX(Expenditure_type,MATCH(W371*1,type!$A$2:$A$117,0),8))</f>
        <v>#N/A</v>
      </c>
      <c r="Y371" s="18" t="str">
        <f t="shared" si="47"/>
        <v>500</v>
      </c>
      <c r="Z371" s="18" t="e">
        <f>IF($L371&lt;"6",INDEX(Revenue_type,MATCH(Y371*1,type!$A$118:$A$168,0),8),INDEX(Expenditure_type,MATCH(Y371*1,type!$A$2:$A$117,0),8))</f>
        <v>#N/A</v>
      </c>
    </row>
    <row r="372" spans="1:26" ht="15.75" hidden="1" customHeight="1" outlineLevel="2">
      <c r="A372">
        <v>500</v>
      </c>
      <c r="B372" s="249">
        <v>824390</v>
      </c>
      <c r="C372">
        <v>1</v>
      </c>
      <c r="D372" t="str">
        <f t="shared" si="40"/>
        <v>1824390.500</v>
      </c>
      <c r="E372" s="348" t="s">
        <v>8055</v>
      </c>
      <c r="F372" s="242"/>
      <c r="G372"/>
      <c r="H372" s="322">
        <v>104300</v>
      </c>
      <c r="I372" s="322">
        <v>108600</v>
      </c>
      <c r="J372" s="242">
        <v>108000</v>
      </c>
      <c r="K372" s="18" t="e">
        <f>INDEX(תקציב_2013,MATCH(D372,'תקציב 2015'!$D$3:$D$5960,0),8)</f>
        <v>#N/A</v>
      </c>
      <c r="L372" s="18" t="str">
        <f t="shared" si="41"/>
        <v>8</v>
      </c>
      <c r="M372" s="18" t="str">
        <f>INDEX(Chapter,MATCH(L372,Chapter!$A$1:$A$681,0),8)</f>
        <v>שירותים ממלכתיים</v>
      </c>
      <c r="N372" s="18" t="str">
        <f t="shared" si="42"/>
        <v>82</v>
      </c>
      <c r="O372" s="18" t="str">
        <f>INDEX(Chapter,MATCH(N372,Chapter!$A$1:$A$681,0),8)</f>
        <v>תרבות</v>
      </c>
      <c r="P372" s="18" t="str">
        <f t="shared" si="43"/>
        <v>824</v>
      </c>
      <c r="Q372" s="18" t="str">
        <f>INDEX(Chapter,MATCH(P372,Chapter!$A$1:$A$681,0),8)</f>
        <v>מתנ״סים</v>
      </c>
      <c r="R372" s="18" t="str">
        <f t="shared" si="44"/>
        <v>8243</v>
      </c>
      <c r="S372" s="18" t="e">
        <f>INDEX(Chapter,MATCH(R372,Chapter!$A$1:$A$681,0),8)</f>
        <v>#N/A</v>
      </c>
      <c r="T372" s="18"/>
      <c r="U372" s="18" t="str">
        <f t="shared" si="45"/>
        <v>5</v>
      </c>
      <c r="V372" s="18" t="str">
        <f>IF($L372&lt;"6",INDEX(Revenue_type,MATCH(U372*1,type!$A$118:$A$168,0),8),INDEX(Expenditure_type,MATCH(U372*1,type!$A$2:$A$117,0),8))</f>
        <v>הוצאות מנהליות</v>
      </c>
      <c r="W372" s="18" t="str">
        <f t="shared" si="46"/>
        <v>50</v>
      </c>
      <c r="X372" s="18" t="e">
        <f>IF($L372&lt;"6",INDEX(Revenue_type,MATCH(W372*1,type!$A$118:$A$168,0),8),INDEX(Expenditure_type,MATCH(W372*1,type!$A$2:$A$117,0),8))</f>
        <v>#N/A</v>
      </c>
      <c r="Y372" s="18" t="str">
        <f t="shared" si="47"/>
        <v>500</v>
      </c>
      <c r="Z372" s="18" t="e">
        <f>IF($L372&lt;"6",INDEX(Revenue_type,MATCH(Y372*1,type!$A$118:$A$168,0),8),INDEX(Expenditure_type,MATCH(Y372*1,type!$A$2:$A$117,0),8))</f>
        <v>#N/A</v>
      </c>
    </row>
    <row r="373" spans="1:26" ht="15.75" hidden="1" customHeight="1" outlineLevel="2">
      <c r="A373">
        <v>700</v>
      </c>
      <c r="B373" s="249">
        <v>824390</v>
      </c>
      <c r="C373">
        <v>1</v>
      </c>
      <c r="D373" t="str">
        <f t="shared" si="40"/>
        <v>1824390.700</v>
      </c>
      <c r="E373" s="348" t="s">
        <v>8056</v>
      </c>
      <c r="F373" s="242"/>
      <c r="G373"/>
      <c r="H373" s="322">
        <v>27200</v>
      </c>
      <c r="I373" s="322">
        <v>27200</v>
      </c>
      <c r="J373" s="242">
        <v>27100</v>
      </c>
      <c r="K373" s="18" t="e">
        <f>INDEX(תקציב_2013,MATCH(D373,'תקציב 2015'!$D$3:$D$5960,0),8)</f>
        <v>#N/A</v>
      </c>
      <c r="L373" s="18" t="str">
        <f t="shared" si="41"/>
        <v>8</v>
      </c>
      <c r="M373" s="18" t="str">
        <f>INDEX(Chapter,MATCH(L373,Chapter!$A$1:$A$681,0),8)</f>
        <v>שירותים ממלכתיים</v>
      </c>
      <c r="N373" s="18" t="str">
        <f t="shared" si="42"/>
        <v>82</v>
      </c>
      <c r="O373" s="18" t="str">
        <f>INDEX(Chapter,MATCH(N373,Chapter!$A$1:$A$681,0),8)</f>
        <v>תרבות</v>
      </c>
      <c r="P373" s="18" t="str">
        <f t="shared" si="43"/>
        <v>824</v>
      </c>
      <c r="Q373" s="18" t="str">
        <f>INDEX(Chapter,MATCH(P373,Chapter!$A$1:$A$681,0),8)</f>
        <v>מתנ״סים</v>
      </c>
      <c r="R373" s="18" t="str">
        <f t="shared" si="44"/>
        <v>8243</v>
      </c>
      <c r="S373" s="18" t="e">
        <f>INDEX(Chapter,MATCH(R373,Chapter!$A$1:$A$681,0),8)</f>
        <v>#N/A</v>
      </c>
      <c r="T373" s="18"/>
      <c r="U373" s="18" t="str">
        <f t="shared" si="45"/>
        <v>7</v>
      </c>
      <c r="V373" s="18" t="str">
        <f>IF($L373&lt;"6",INDEX(Revenue_type,MATCH(U373*1,type!$A$118:$A$168,0),8),INDEX(Expenditure_type,MATCH(U373*1,type!$A$2:$A$117,0),8))</f>
        <v>הוצאות לפעולות</v>
      </c>
      <c r="W373" s="18" t="str">
        <f t="shared" si="46"/>
        <v>70</v>
      </c>
      <c r="X373" s="18" t="e">
        <f>IF($L373&lt;"6",INDEX(Revenue_type,MATCH(W373*1,type!$A$118:$A$168,0),8),INDEX(Expenditure_type,MATCH(W373*1,type!$A$2:$A$117,0),8))</f>
        <v>#N/A</v>
      </c>
      <c r="Y373" s="18" t="str">
        <f t="shared" si="47"/>
        <v>700</v>
      </c>
      <c r="Z373" s="18" t="e">
        <f>IF($L373&lt;"6",INDEX(Revenue_type,MATCH(Y373*1,type!$A$118:$A$168,0),8),INDEX(Expenditure_type,MATCH(Y373*1,type!$A$2:$A$117,0),8))</f>
        <v>#N/A</v>
      </c>
    </row>
    <row r="374" spans="1:26" ht="15.75" hidden="1" customHeight="1" outlineLevel="2">
      <c r="A374">
        <v>400</v>
      </c>
      <c r="B374" s="249">
        <v>824397</v>
      </c>
      <c r="C374">
        <v>1</v>
      </c>
      <c r="D374" t="str">
        <f t="shared" si="40"/>
        <v>1824397.400</v>
      </c>
      <c r="E374" s="348" t="s">
        <v>8057</v>
      </c>
      <c r="F374" s="242"/>
      <c r="G374"/>
      <c r="H374" s="322">
        <v>55000</v>
      </c>
      <c r="I374" s="322">
        <v>55000</v>
      </c>
      <c r="J374" s="242">
        <v>20900</v>
      </c>
      <c r="K374" s="18" t="e">
        <f>INDEX(תקציב_2013,MATCH(D374,'תקציב 2015'!$D$3:$D$5960,0),8)</f>
        <v>#N/A</v>
      </c>
      <c r="L374" s="18" t="str">
        <f t="shared" si="41"/>
        <v>8</v>
      </c>
      <c r="M374" s="18" t="str">
        <f>INDEX(Chapter,MATCH(L374,Chapter!$A$1:$A$681,0),8)</f>
        <v>שירותים ממלכתיים</v>
      </c>
      <c r="N374" s="18" t="str">
        <f t="shared" si="42"/>
        <v>82</v>
      </c>
      <c r="O374" s="18" t="str">
        <f>INDEX(Chapter,MATCH(N374,Chapter!$A$1:$A$681,0),8)</f>
        <v>תרבות</v>
      </c>
      <c r="P374" s="18" t="str">
        <f t="shared" si="43"/>
        <v>824</v>
      </c>
      <c r="Q374" s="18" t="str">
        <f>INDEX(Chapter,MATCH(P374,Chapter!$A$1:$A$681,0),8)</f>
        <v>מתנ״סים</v>
      </c>
      <c r="R374" s="18" t="str">
        <f t="shared" si="44"/>
        <v>8243</v>
      </c>
      <c r="S374" s="18" t="e">
        <f>INDEX(Chapter,MATCH(R374,Chapter!$A$1:$A$681,0),8)</f>
        <v>#N/A</v>
      </c>
      <c r="T374" s="18"/>
      <c r="U374" s="18" t="str">
        <f t="shared" si="45"/>
        <v>4</v>
      </c>
      <c r="V374" s="18" t="str">
        <f>IF($L374&lt;"6",INDEX(Revenue_type,MATCH(U374*1,type!$A$118:$A$168,0),8),INDEX(Expenditure_type,MATCH(U374*1,type!$A$2:$A$117,0),8))</f>
        <v>אחזקת בינים ואספקת ציוד</v>
      </c>
      <c r="W374" s="18" t="str">
        <f t="shared" si="46"/>
        <v>40</v>
      </c>
      <c r="X374" s="18" t="e">
        <f>IF($L374&lt;"6",INDEX(Revenue_type,MATCH(W374*1,type!$A$118:$A$168,0),8),INDEX(Expenditure_type,MATCH(W374*1,type!$A$2:$A$117,0),8))</f>
        <v>#N/A</v>
      </c>
      <c r="Y374" s="18" t="str">
        <f t="shared" si="47"/>
        <v>400</v>
      </c>
      <c r="Z374" s="18" t="e">
        <f>IF($L374&lt;"6",INDEX(Revenue_type,MATCH(Y374*1,type!$A$118:$A$168,0),8),INDEX(Expenditure_type,MATCH(Y374*1,type!$A$2:$A$117,0),8))</f>
        <v>#N/A</v>
      </c>
    </row>
    <row r="375" spans="1:26" ht="15.75" hidden="1" customHeight="1" outlineLevel="2">
      <c r="A375">
        <v>700</v>
      </c>
      <c r="B375" s="249">
        <v>824397</v>
      </c>
      <c r="C375">
        <v>1</v>
      </c>
      <c r="D375" t="str">
        <f t="shared" si="40"/>
        <v>1824397.700</v>
      </c>
      <c r="E375" s="348" t="s">
        <v>8058</v>
      </c>
      <c r="F375" s="242"/>
      <c r="G375"/>
      <c r="H375" s="322">
        <v>187900</v>
      </c>
      <c r="I375" s="322">
        <v>195000</v>
      </c>
      <c r="J375" s="242">
        <v>143800</v>
      </c>
      <c r="K375" s="18" t="e">
        <f>INDEX(תקציב_2013,MATCH(D375,'תקציב 2015'!$D$3:$D$5960,0),8)</f>
        <v>#N/A</v>
      </c>
      <c r="L375" s="18" t="str">
        <f t="shared" si="41"/>
        <v>8</v>
      </c>
      <c r="M375" s="18" t="str">
        <f>INDEX(Chapter,MATCH(L375,Chapter!$A$1:$A$681,0),8)</f>
        <v>שירותים ממלכתיים</v>
      </c>
      <c r="N375" s="18" t="str">
        <f t="shared" si="42"/>
        <v>82</v>
      </c>
      <c r="O375" s="18" t="str">
        <f>INDEX(Chapter,MATCH(N375,Chapter!$A$1:$A$681,0),8)</f>
        <v>תרבות</v>
      </c>
      <c r="P375" s="18" t="str">
        <f t="shared" si="43"/>
        <v>824</v>
      </c>
      <c r="Q375" s="18" t="str">
        <f>INDEX(Chapter,MATCH(P375,Chapter!$A$1:$A$681,0),8)</f>
        <v>מתנ״סים</v>
      </c>
      <c r="R375" s="18" t="str">
        <f t="shared" si="44"/>
        <v>8243</v>
      </c>
      <c r="S375" s="18" t="e">
        <f>INDEX(Chapter,MATCH(R375,Chapter!$A$1:$A$681,0),8)</f>
        <v>#N/A</v>
      </c>
      <c r="T375" s="18"/>
      <c r="U375" s="18" t="str">
        <f t="shared" si="45"/>
        <v>7</v>
      </c>
      <c r="V375" s="18" t="str">
        <f>IF($L375&lt;"6",INDEX(Revenue_type,MATCH(U375*1,type!$A$118:$A$168,0),8),INDEX(Expenditure_type,MATCH(U375*1,type!$A$2:$A$117,0),8))</f>
        <v>הוצאות לפעולות</v>
      </c>
      <c r="W375" s="18" t="str">
        <f t="shared" si="46"/>
        <v>70</v>
      </c>
      <c r="X375" s="18" t="e">
        <f>IF($L375&lt;"6",INDEX(Revenue_type,MATCH(W375*1,type!$A$118:$A$168,0),8),INDEX(Expenditure_type,MATCH(W375*1,type!$A$2:$A$117,0),8))</f>
        <v>#N/A</v>
      </c>
      <c r="Y375" s="18" t="str">
        <f t="shared" si="47"/>
        <v>700</v>
      </c>
      <c r="Z375" s="18" t="e">
        <f>IF($L375&lt;"6",INDEX(Revenue_type,MATCH(Y375*1,type!$A$118:$A$168,0),8),INDEX(Expenditure_type,MATCH(Y375*1,type!$A$2:$A$117,0),8))</f>
        <v>#N/A</v>
      </c>
    </row>
    <row r="376" spans="1:26" ht="15.75" hidden="1" customHeight="1" outlineLevel="2">
      <c r="A376">
        <v>100</v>
      </c>
      <c r="B376" s="249">
        <v>824394</v>
      </c>
      <c r="C376">
        <v>1</v>
      </c>
      <c r="D376" t="str">
        <f t="shared" si="40"/>
        <v>1824394.100</v>
      </c>
      <c r="E376" s="348" t="s">
        <v>8059</v>
      </c>
      <c r="F376" s="242"/>
      <c r="G376"/>
      <c r="H376" s="322">
        <v>192700</v>
      </c>
      <c r="I376" s="322">
        <v>190700</v>
      </c>
      <c r="J376" s="242">
        <v>157600</v>
      </c>
      <c r="K376" s="18" t="e">
        <f>INDEX(תקציב_2013,MATCH(D376,'תקציב 2015'!$D$3:$D$5960,0),8)</f>
        <v>#N/A</v>
      </c>
      <c r="L376" s="18" t="str">
        <f t="shared" si="41"/>
        <v>8</v>
      </c>
      <c r="M376" s="18" t="str">
        <f>INDEX(Chapter,MATCH(L376,Chapter!$A$1:$A$681,0),8)</f>
        <v>שירותים ממלכתיים</v>
      </c>
      <c r="N376" s="18" t="str">
        <f t="shared" si="42"/>
        <v>82</v>
      </c>
      <c r="O376" s="18" t="str">
        <f>INDEX(Chapter,MATCH(N376,Chapter!$A$1:$A$681,0),8)</f>
        <v>תרבות</v>
      </c>
      <c r="P376" s="18" t="str">
        <f t="shared" si="43"/>
        <v>824</v>
      </c>
      <c r="Q376" s="18" t="str">
        <f>INDEX(Chapter,MATCH(P376,Chapter!$A$1:$A$681,0),8)</f>
        <v>מתנ״סים</v>
      </c>
      <c r="R376" s="18" t="str">
        <f t="shared" si="44"/>
        <v>8243</v>
      </c>
      <c r="S376" s="18" t="e">
        <f>INDEX(Chapter,MATCH(R376,Chapter!$A$1:$A$681,0),8)</f>
        <v>#N/A</v>
      </c>
      <c r="T376" s="18"/>
      <c r="U376" s="18" t="str">
        <f t="shared" si="45"/>
        <v>1</v>
      </c>
      <c r="V376" s="18" t="str">
        <f>IF($L376&lt;"6",INDEX(Revenue_type,MATCH(U376*1,type!$A$118:$A$168,0),8),INDEX(Expenditure_type,MATCH(U376*1,type!$A$2:$A$117,0),8))</f>
        <v>משכורות וש"ע לעובדים לפי תקן</v>
      </c>
      <c r="W376" s="18" t="str">
        <f t="shared" si="46"/>
        <v>10</v>
      </c>
      <c r="X376" s="18" t="e">
        <f>IF($L376&lt;"6",INDEX(Revenue_type,MATCH(W376*1,type!$A$118:$A$168,0),8),INDEX(Expenditure_type,MATCH(W376*1,type!$A$2:$A$117,0),8))</f>
        <v>#N/A</v>
      </c>
      <c r="Y376" s="18" t="str">
        <f t="shared" si="47"/>
        <v>100</v>
      </c>
      <c r="Z376" s="18" t="e">
        <f>IF($L376&lt;"6",INDEX(Revenue_type,MATCH(Y376*1,type!$A$118:$A$168,0),8),INDEX(Expenditure_type,MATCH(Y376*1,type!$A$2:$A$117,0),8))</f>
        <v>#N/A</v>
      </c>
    </row>
    <row r="377" spans="1:26" ht="15.75" hidden="1" customHeight="1" outlineLevel="2">
      <c r="A377">
        <v>120</v>
      </c>
      <c r="B377" s="249">
        <v>824394</v>
      </c>
      <c r="C377">
        <v>1</v>
      </c>
      <c r="D377" t="str">
        <f t="shared" si="40"/>
        <v>1824394.120</v>
      </c>
      <c r="E377" s="348" t="s">
        <v>8060</v>
      </c>
      <c r="F377" s="242"/>
      <c r="G377"/>
      <c r="H377" s="322">
        <v>9300</v>
      </c>
      <c r="I377" s="322">
        <v>9300</v>
      </c>
      <c r="J377" s="242">
        <v>9700</v>
      </c>
      <c r="K377" s="18" t="e">
        <f>INDEX(תקציב_2013,MATCH(D377,'תקציב 2015'!$D$3:$D$5960,0),8)</f>
        <v>#N/A</v>
      </c>
      <c r="L377" s="18" t="str">
        <f t="shared" si="41"/>
        <v>8</v>
      </c>
      <c r="M377" s="18" t="str">
        <f>INDEX(Chapter,MATCH(L377,Chapter!$A$1:$A$681,0),8)</f>
        <v>שירותים ממלכתיים</v>
      </c>
      <c r="N377" s="18" t="str">
        <f t="shared" si="42"/>
        <v>82</v>
      </c>
      <c r="O377" s="18" t="str">
        <f>INDEX(Chapter,MATCH(N377,Chapter!$A$1:$A$681,0),8)</f>
        <v>תרבות</v>
      </c>
      <c r="P377" s="18" t="str">
        <f t="shared" si="43"/>
        <v>824</v>
      </c>
      <c r="Q377" s="18" t="str">
        <f>INDEX(Chapter,MATCH(P377,Chapter!$A$1:$A$681,0),8)</f>
        <v>מתנ״סים</v>
      </c>
      <c r="R377" s="18" t="str">
        <f t="shared" si="44"/>
        <v>8243</v>
      </c>
      <c r="S377" s="18" t="e">
        <f>INDEX(Chapter,MATCH(R377,Chapter!$A$1:$A$681,0),8)</f>
        <v>#N/A</v>
      </c>
      <c r="T377" s="18"/>
      <c r="U377" s="18" t="str">
        <f t="shared" si="45"/>
        <v>1</v>
      </c>
      <c r="V377" s="18" t="str">
        <f>IF($L377&lt;"6",INDEX(Revenue_type,MATCH(U377*1,type!$A$118:$A$168,0),8),INDEX(Expenditure_type,MATCH(U377*1,type!$A$2:$A$117,0),8))</f>
        <v>משכורות וש"ע לעובדים לפי תקן</v>
      </c>
      <c r="W377" s="18" t="str">
        <f t="shared" si="46"/>
        <v>12</v>
      </c>
      <c r="X377" s="18" t="str">
        <f>IF($L377&lt;"6",INDEX(Revenue_type,MATCH(W377*1,type!$A$118:$A$168,0),8),INDEX(Expenditure_type,MATCH(W377*1,type!$A$2:$A$117,0),8))</f>
        <v>תוספות שאינן נכללות בשכר הקובע</v>
      </c>
      <c r="Y377" s="18" t="str">
        <f t="shared" si="47"/>
        <v>120</v>
      </c>
      <c r="Z377" s="18" t="e">
        <f>IF($L377&lt;"6",INDEX(Revenue_type,MATCH(Y377*1,type!$A$118:$A$168,0),8),INDEX(Expenditure_type,MATCH(Y377*1,type!$A$2:$A$117,0),8))</f>
        <v>#N/A</v>
      </c>
    </row>
    <row r="378" spans="1:26" ht="15.75" hidden="1" customHeight="1" outlineLevel="2">
      <c r="A378">
        <v>400</v>
      </c>
      <c r="B378" s="249">
        <v>824394</v>
      </c>
      <c r="C378">
        <v>1</v>
      </c>
      <c r="D378" t="str">
        <f t="shared" si="40"/>
        <v>1824394.400</v>
      </c>
      <c r="E378" s="348" t="s">
        <v>8061</v>
      </c>
      <c r="F378" s="242"/>
      <c r="G378"/>
      <c r="H378" s="322">
        <v>11900</v>
      </c>
      <c r="I378" s="322">
        <v>11900</v>
      </c>
      <c r="J378" s="242">
        <v>11300</v>
      </c>
      <c r="K378" s="18" t="e">
        <f>INDEX(תקציב_2013,MATCH(D378,'תקציב 2015'!$D$3:$D$5960,0),8)</f>
        <v>#N/A</v>
      </c>
      <c r="L378" s="18" t="str">
        <f t="shared" si="41"/>
        <v>8</v>
      </c>
      <c r="M378" s="18" t="str">
        <f>INDEX(Chapter,MATCH(L378,Chapter!$A$1:$A$681,0),8)</f>
        <v>שירותים ממלכתיים</v>
      </c>
      <c r="N378" s="18" t="str">
        <f t="shared" si="42"/>
        <v>82</v>
      </c>
      <c r="O378" s="18" t="str">
        <f>INDEX(Chapter,MATCH(N378,Chapter!$A$1:$A$681,0),8)</f>
        <v>תרבות</v>
      </c>
      <c r="P378" s="18" t="str">
        <f t="shared" si="43"/>
        <v>824</v>
      </c>
      <c r="Q378" s="18" t="str">
        <f>INDEX(Chapter,MATCH(P378,Chapter!$A$1:$A$681,0),8)</f>
        <v>מתנ״סים</v>
      </c>
      <c r="R378" s="18" t="str">
        <f t="shared" si="44"/>
        <v>8243</v>
      </c>
      <c r="S378" s="18" t="e">
        <f>INDEX(Chapter,MATCH(R378,Chapter!$A$1:$A$681,0),8)</f>
        <v>#N/A</v>
      </c>
      <c r="T378" s="18"/>
      <c r="U378" s="18" t="str">
        <f t="shared" si="45"/>
        <v>4</v>
      </c>
      <c r="V378" s="18" t="str">
        <f>IF($L378&lt;"6",INDEX(Revenue_type,MATCH(U378*1,type!$A$118:$A$168,0),8),INDEX(Expenditure_type,MATCH(U378*1,type!$A$2:$A$117,0),8))</f>
        <v>אחזקת בינים ואספקת ציוד</v>
      </c>
      <c r="W378" s="18" t="str">
        <f t="shared" si="46"/>
        <v>40</v>
      </c>
      <c r="X378" s="18" t="e">
        <f>IF($L378&lt;"6",INDEX(Revenue_type,MATCH(W378*1,type!$A$118:$A$168,0),8),INDEX(Expenditure_type,MATCH(W378*1,type!$A$2:$A$117,0),8))</f>
        <v>#N/A</v>
      </c>
      <c r="Y378" s="18" t="str">
        <f t="shared" si="47"/>
        <v>400</v>
      </c>
      <c r="Z378" s="18" t="e">
        <f>IF($L378&lt;"6",INDEX(Revenue_type,MATCH(Y378*1,type!$A$118:$A$168,0),8),INDEX(Expenditure_type,MATCH(Y378*1,type!$A$2:$A$117,0),8))</f>
        <v>#N/A</v>
      </c>
    </row>
    <row r="379" spans="1:26" ht="15.75" hidden="1" customHeight="1" outlineLevel="2">
      <c r="A379">
        <v>500</v>
      </c>
      <c r="B379" s="249">
        <v>824394</v>
      </c>
      <c r="C379">
        <v>1</v>
      </c>
      <c r="D379" t="str">
        <f t="shared" si="40"/>
        <v>1824394.500</v>
      </c>
      <c r="E379" s="348" t="s">
        <v>8062</v>
      </c>
      <c r="F379" s="242"/>
      <c r="G379"/>
      <c r="H379" s="322">
        <v>47100</v>
      </c>
      <c r="I379" s="322">
        <v>48100</v>
      </c>
      <c r="J379" s="242">
        <v>46000</v>
      </c>
      <c r="K379" s="18" t="e">
        <f>INDEX(תקציב_2013,MATCH(D379,'תקציב 2015'!$D$3:$D$5960,0),8)</f>
        <v>#N/A</v>
      </c>
      <c r="L379" s="18" t="str">
        <f t="shared" si="41"/>
        <v>8</v>
      </c>
      <c r="M379" s="18" t="str">
        <f>INDEX(Chapter,MATCH(L379,Chapter!$A$1:$A$681,0),8)</f>
        <v>שירותים ממלכתיים</v>
      </c>
      <c r="N379" s="18" t="str">
        <f t="shared" si="42"/>
        <v>82</v>
      </c>
      <c r="O379" s="18" t="str">
        <f>INDEX(Chapter,MATCH(N379,Chapter!$A$1:$A$681,0),8)</f>
        <v>תרבות</v>
      </c>
      <c r="P379" s="18" t="str">
        <f t="shared" si="43"/>
        <v>824</v>
      </c>
      <c r="Q379" s="18" t="str">
        <f>INDEX(Chapter,MATCH(P379,Chapter!$A$1:$A$681,0),8)</f>
        <v>מתנ״סים</v>
      </c>
      <c r="R379" s="18" t="str">
        <f t="shared" si="44"/>
        <v>8243</v>
      </c>
      <c r="S379" s="18" t="e">
        <f>INDEX(Chapter,MATCH(R379,Chapter!$A$1:$A$681,0),8)</f>
        <v>#N/A</v>
      </c>
      <c r="T379" s="18"/>
      <c r="U379" s="18" t="str">
        <f t="shared" si="45"/>
        <v>5</v>
      </c>
      <c r="V379" s="18" t="str">
        <f>IF($L379&lt;"6",INDEX(Revenue_type,MATCH(U379*1,type!$A$118:$A$168,0),8),INDEX(Expenditure_type,MATCH(U379*1,type!$A$2:$A$117,0),8))</f>
        <v>הוצאות מנהליות</v>
      </c>
      <c r="W379" s="18" t="str">
        <f t="shared" si="46"/>
        <v>50</v>
      </c>
      <c r="X379" s="18" t="e">
        <f>IF($L379&lt;"6",INDEX(Revenue_type,MATCH(W379*1,type!$A$118:$A$168,0),8),INDEX(Expenditure_type,MATCH(W379*1,type!$A$2:$A$117,0),8))</f>
        <v>#N/A</v>
      </c>
      <c r="Y379" s="18" t="str">
        <f t="shared" si="47"/>
        <v>500</v>
      </c>
      <c r="Z379" s="18" t="e">
        <f>IF($L379&lt;"6",INDEX(Revenue_type,MATCH(Y379*1,type!$A$118:$A$168,0),8),INDEX(Expenditure_type,MATCH(Y379*1,type!$A$2:$A$117,0),8))</f>
        <v>#N/A</v>
      </c>
    </row>
    <row r="380" spans="1:26" ht="15.75" hidden="1" customHeight="1" outlineLevel="2">
      <c r="A380">
        <v>700</v>
      </c>
      <c r="B380" s="249">
        <v>824394</v>
      </c>
      <c r="C380">
        <v>1</v>
      </c>
      <c r="D380" t="str">
        <f t="shared" si="40"/>
        <v>1824394.700</v>
      </c>
      <c r="E380" s="348" t="s">
        <v>8063</v>
      </c>
      <c r="F380" s="242"/>
      <c r="G380"/>
      <c r="H380" s="322">
        <v>29500</v>
      </c>
      <c r="I380" s="322">
        <v>31100</v>
      </c>
      <c r="J380" s="242">
        <v>19300</v>
      </c>
      <c r="K380" s="18" t="e">
        <f>INDEX(תקציב_2013,MATCH(D380,'תקציב 2015'!$D$3:$D$5960,0),8)</f>
        <v>#N/A</v>
      </c>
      <c r="L380" s="18" t="str">
        <f t="shared" si="41"/>
        <v>8</v>
      </c>
      <c r="M380" s="18" t="str">
        <f>INDEX(Chapter,MATCH(L380,Chapter!$A$1:$A$681,0),8)</f>
        <v>שירותים ממלכתיים</v>
      </c>
      <c r="N380" s="18" t="str">
        <f t="shared" si="42"/>
        <v>82</v>
      </c>
      <c r="O380" s="18" t="str">
        <f>INDEX(Chapter,MATCH(N380,Chapter!$A$1:$A$681,0),8)</f>
        <v>תרבות</v>
      </c>
      <c r="P380" s="18" t="str">
        <f t="shared" si="43"/>
        <v>824</v>
      </c>
      <c r="Q380" s="18" t="str">
        <f>INDEX(Chapter,MATCH(P380,Chapter!$A$1:$A$681,0),8)</f>
        <v>מתנ״סים</v>
      </c>
      <c r="R380" s="18" t="str">
        <f t="shared" si="44"/>
        <v>8243</v>
      </c>
      <c r="S380" s="18" t="e">
        <f>INDEX(Chapter,MATCH(R380,Chapter!$A$1:$A$681,0),8)</f>
        <v>#N/A</v>
      </c>
      <c r="T380" s="18"/>
      <c r="U380" s="18" t="str">
        <f t="shared" si="45"/>
        <v>7</v>
      </c>
      <c r="V380" s="18" t="str">
        <f>IF($L380&lt;"6",INDEX(Revenue_type,MATCH(U380*1,type!$A$118:$A$168,0),8),INDEX(Expenditure_type,MATCH(U380*1,type!$A$2:$A$117,0),8))</f>
        <v>הוצאות לפעולות</v>
      </c>
      <c r="W380" s="18" t="str">
        <f t="shared" si="46"/>
        <v>70</v>
      </c>
      <c r="X380" s="18" t="e">
        <f>IF($L380&lt;"6",INDEX(Revenue_type,MATCH(W380*1,type!$A$118:$A$168,0),8),INDEX(Expenditure_type,MATCH(W380*1,type!$A$2:$A$117,0),8))</f>
        <v>#N/A</v>
      </c>
      <c r="Y380" s="18" t="str">
        <f t="shared" si="47"/>
        <v>700</v>
      </c>
      <c r="Z380" s="18" t="e">
        <f>IF($L380&lt;"6",INDEX(Revenue_type,MATCH(Y380*1,type!$A$118:$A$168,0),8),INDEX(Expenditure_type,MATCH(Y380*1,type!$A$2:$A$117,0),8))</f>
        <v>#N/A</v>
      </c>
    </row>
    <row r="381" spans="1:26" ht="15.75" hidden="1" customHeight="1" outlineLevel="2">
      <c r="A381">
        <v>600</v>
      </c>
      <c r="B381" s="249">
        <v>824394</v>
      </c>
      <c r="C381">
        <v>1</v>
      </c>
      <c r="D381" t="str">
        <f t="shared" si="40"/>
        <v>1824394.600</v>
      </c>
      <c r="E381" s="348" t="s">
        <v>8064</v>
      </c>
      <c r="F381" s="242"/>
      <c r="G381"/>
      <c r="H381" s="322"/>
      <c r="I381" s="322">
        <v>0</v>
      </c>
      <c r="J381" s="242">
        <v>0</v>
      </c>
      <c r="K381" s="18" t="e">
        <f>INDEX(תקציב_2013,MATCH(D381,'תקציב 2015'!$D$3:$D$5960,0),8)</f>
        <v>#N/A</v>
      </c>
      <c r="L381" s="18" t="str">
        <f t="shared" si="41"/>
        <v>8</v>
      </c>
      <c r="M381" s="18" t="str">
        <f>INDEX(Chapter,MATCH(L381,Chapter!$A$1:$A$681,0),8)</f>
        <v>שירותים ממלכתיים</v>
      </c>
      <c r="N381" s="18" t="str">
        <f t="shared" si="42"/>
        <v>82</v>
      </c>
      <c r="O381" s="18" t="str">
        <f>INDEX(Chapter,MATCH(N381,Chapter!$A$1:$A$681,0),8)</f>
        <v>תרבות</v>
      </c>
      <c r="P381" s="18" t="str">
        <f t="shared" si="43"/>
        <v>824</v>
      </c>
      <c r="Q381" s="18" t="str">
        <f>INDEX(Chapter,MATCH(P381,Chapter!$A$1:$A$681,0),8)</f>
        <v>מתנ״סים</v>
      </c>
      <c r="R381" s="18" t="str">
        <f t="shared" si="44"/>
        <v>8243</v>
      </c>
      <c r="S381" s="18" t="e">
        <f>INDEX(Chapter,MATCH(R381,Chapter!$A$1:$A$681,0),8)</f>
        <v>#N/A</v>
      </c>
      <c r="T381" s="18"/>
      <c r="U381" s="18" t="str">
        <f t="shared" si="45"/>
        <v>6</v>
      </c>
      <c r="V381" s="18" t="str">
        <f>IF($L381&lt;"6",INDEX(Revenue_type,MATCH(U381*1,type!$A$118:$A$168,0),8),INDEX(Expenditure_type,MATCH(U381*1,type!$A$2:$A$117,0),8))</f>
        <v>מימון ופירעון מלוות</v>
      </c>
      <c r="W381" s="18" t="str">
        <f t="shared" si="46"/>
        <v>60</v>
      </c>
      <c r="X381" s="18" t="e">
        <f>IF($L381&lt;"6",INDEX(Revenue_type,MATCH(W381*1,type!$A$118:$A$168,0),8),INDEX(Expenditure_type,MATCH(W381*1,type!$A$2:$A$117,0),8))</f>
        <v>#N/A</v>
      </c>
      <c r="Y381" s="18" t="str">
        <f t="shared" si="47"/>
        <v>600</v>
      </c>
      <c r="Z381" s="18" t="e">
        <f>IF($L381&lt;"6",INDEX(Revenue_type,MATCH(Y381*1,type!$A$118:$A$168,0),8),INDEX(Expenditure_type,MATCH(Y381*1,type!$A$2:$A$117,0),8))</f>
        <v>#N/A</v>
      </c>
    </row>
    <row r="382" spans="1:26" ht="15.75" hidden="1" customHeight="1" outlineLevel="2">
      <c r="A382">
        <v>100</v>
      </c>
      <c r="B382" s="249">
        <v>731110</v>
      </c>
      <c r="C382">
        <v>1</v>
      </c>
      <c r="D382" t="str">
        <f t="shared" si="40"/>
        <v>1731110.100</v>
      </c>
      <c r="E382" s="348" t="s">
        <v>8065</v>
      </c>
      <c r="F382" s="242"/>
      <c r="G382"/>
      <c r="H382" s="322">
        <v>2607200</v>
      </c>
      <c r="I382" s="322">
        <v>2400200</v>
      </c>
      <c r="J382" s="242">
        <v>3082600</v>
      </c>
      <c r="K382" s="18"/>
      <c r="L382" s="18" t="str">
        <f t="shared" si="41"/>
        <v>7</v>
      </c>
      <c r="M382" s="18" t="str">
        <f>INDEX(Chapter,MATCH(L382,Chapter!$A$1:$A$681,0),8)</f>
        <v>שירותים מקומיים</v>
      </c>
      <c r="N382" s="18" t="str">
        <f t="shared" si="42"/>
        <v>73</v>
      </c>
      <c r="O382" s="18" t="str">
        <f>INDEX(Chapter,MATCH(N382,Chapter!$A$1:$A$681,0),8)</f>
        <v>תכנון ובנין עיר</v>
      </c>
      <c r="P382" s="18" t="str">
        <f t="shared" si="43"/>
        <v>731</v>
      </c>
      <c r="Q382" s="18" t="str">
        <f>INDEX(Chapter,MATCH(P382,Chapter!$A$1:$A$681,0),8)</f>
        <v>משרד מהנדס הרשות</v>
      </c>
      <c r="R382" s="18" t="str">
        <f t="shared" si="44"/>
        <v>7311</v>
      </c>
      <c r="S382" s="18" t="e">
        <f>INDEX(Chapter,MATCH(R382,Chapter!$A$1:$A$681,0),8)</f>
        <v>#N/A</v>
      </c>
      <c r="T382" s="18"/>
      <c r="U382" s="18" t="str">
        <f t="shared" si="45"/>
        <v>1</v>
      </c>
      <c r="V382" s="18" t="str">
        <f>IF($L382&lt;"6",INDEX(Revenue_type,MATCH(U382*1,type!$A$118:$A$168,0),8),INDEX(Expenditure_type,MATCH(U382*1,type!$A$2:$A$117,0),8))</f>
        <v>משכורות וש"ע לעובדים לפי תקן</v>
      </c>
      <c r="W382" s="18" t="str">
        <f t="shared" si="46"/>
        <v>10</v>
      </c>
      <c r="X382" s="18" t="e">
        <f>IF($L382&lt;"6",INDEX(Revenue_type,MATCH(W382*1,type!$A$118:$A$168,0),8),INDEX(Expenditure_type,MATCH(W382*1,type!$A$2:$A$117,0),8))</f>
        <v>#N/A</v>
      </c>
      <c r="Y382" s="18" t="str">
        <f t="shared" si="47"/>
        <v>100</v>
      </c>
      <c r="Z382" s="18" t="e">
        <f>IF($L382&lt;"6",INDEX(Revenue_type,MATCH(Y382*1,type!$A$118:$A$168,0),8),INDEX(Expenditure_type,MATCH(Y382*1,type!$A$2:$A$117,0),8))</f>
        <v>#N/A</v>
      </c>
    </row>
    <row r="383" spans="1:26" ht="15.75" hidden="1" customHeight="1" outlineLevel="2">
      <c r="A383">
        <v>120</v>
      </c>
      <c r="B383" s="249">
        <v>731110</v>
      </c>
      <c r="C383">
        <v>1</v>
      </c>
      <c r="D383" t="str">
        <f t="shared" ref="D383:D446" si="48">C383&amp;B383&amp;"."&amp;A383</f>
        <v>1731110.120</v>
      </c>
      <c r="E383" s="348" t="s">
        <v>8066</v>
      </c>
      <c r="F383" s="242"/>
      <c r="G383"/>
      <c r="H383" s="322">
        <v>48800</v>
      </c>
      <c r="I383" s="322">
        <v>48800</v>
      </c>
      <c r="J383" s="242">
        <v>37600</v>
      </c>
      <c r="K383" s="18" t="e">
        <f>INDEX(תקציב_2013,MATCH(D383,'תקציב 2015'!$D$3:$D$5960,0),8)</f>
        <v>#N/A</v>
      </c>
      <c r="L383" s="18" t="str">
        <f t="shared" si="41"/>
        <v>7</v>
      </c>
      <c r="M383" s="18" t="str">
        <f>INDEX(Chapter,MATCH(L383,Chapter!$A$1:$A$681,0),8)</f>
        <v>שירותים מקומיים</v>
      </c>
      <c r="N383" s="18" t="str">
        <f t="shared" si="42"/>
        <v>73</v>
      </c>
      <c r="O383" s="18" t="str">
        <f>INDEX(Chapter,MATCH(N383,Chapter!$A$1:$A$681,0),8)</f>
        <v>תכנון ובנין עיר</v>
      </c>
      <c r="P383" s="18" t="str">
        <f t="shared" si="43"/>
        <v>731</v>
      </c>
      <c r="Q383" s="18" t="str">
        <f>INDEX(Chapter,MATCH(P383,Chapter!$A$1:$A$681,0),8)</f>
        <v>משרד מהנדס הרשות</v>
      </c>
      <c r="R383" s="18" t="str">
        <f t="shared" si="44"/>
        <v>7311</v>
      </c>
      <c r="S383" s="18" t="e">
        <f>INDEX(Chapter,MATCH(R383,Chapter!$A$1:$A$681,0),8)</f>
        <v>#N/A</v>
      </c>
      <c r="T383" s="18"/>
      <c r="U383" s="18" t="str">
        <f t="shared" si="45"/>
        <v>1</v>
      </c>
      <c r="V383" s="18" t="str">
        <f>IF($L383&lt;"6",INDEX(Revenue_type,MATCH(U383*1,type!$A$118:$A$168,0),8),INDEX(Expenditure_type,MATCH(U383*1,type!$A$2:$A$117,0),8))</f>
        <v>משכורות וש"ע לעובדים לפי תקן</v>
      </c>
      <c r="W383" s="18" t="str">
        <f t="shared" si="46"/>
        <v>12</v>
      </c>
      <c r="X383" s="18" t="str">
        <f>IF($L383&lt;"6",INDEX(Revenue_type,MATCH(W383*1,type!$A$118:$A$168,0),8),INDEX(Expenditure_type,MATCH(W383*1,type!$A$2:$A$117,0),8))</f>
        <v>תוספות שאינן נכללות בשכר הקובע</v>
      </c>
      <c r="Y383" s="18" t="str">
        <f t="shared" si="47"/>
        <v>120</v>
      </c>
      <c r="Z383" s="18" t="e">
        <f>IF($L383&lt;"6",INDEX(Revenue_type,MATCH(Y383*1,type!$A$118:$A$168,0),8),INDEX(Expenditure_type,MATCH(Y383*1,type!$A$2:$A$117,0),8))</f>
        <v>#N/A</v>
      </c>
    </row>
    <row r="384" spans="1:26" ht="15.75" hidden="1" customHeight="1" outlineLevel="2">
      <c r="A384">
        <v>400</v>
      </c>
      <c r="B384" s="249">
        <v>731110</v>
      </c>
      <c r="C384">
        <v>1</v>
      </c>
      <c r="D384" t="str">
        <f t="shared" si="48"/>
        <v>1731110.400</v>
      </c>
      <c r="E384" s="348" t="s">
        <v>8067</v>
      </c>
      <c r="F384" s="242"/>
      <c r="G384"/>
      <c r="H384" s="322">
        <v>194300</v>
      </c>
      <c r="I384" s="322">
        <v>206300</v>
      </c>
      <c r="J384" s="242">
        <v>166200</v>
      </c>
      <c r="K384" s="18" t="e">
        <f>INDEX(תקציב_2013,MATCH(D384,'תקציב 2015'!$D$3:$D$5960,0),8)</f>
        <v>#N/A</v>
      </c>
      <c r="L384" s="18" t="str">
        <f t="shared" si="41"/>
        <v>7</v>
      </c>
      <c r="M384" s="18" t="str">
        <f>INDEX(Chapter,MATCH(L384,Chapter!$A$1:$A$681,0),8)</f>
        <v>שירותים מקומיים</v>
      </c>
      <c r="N384" s="18" t="str">
        <f t="shared" si="42"/>
        <v>73</v>
      </c>
      <c r="O384" s="18" t="str">
        <f>INDEX(Chapter,MATCH(N384,Chapter!$A$1:$A$681,0),8)</f>
        <v>תכנון ובנין עיר</v>
      </c>
      <c r="P384" s="18" t="str">
        <f t="shared" si="43"/>
        <v>731</v>
      </c>
      <c r="Q384" s="18" t="str">
        <f>INDEX(Chapter,MATCH(P384,Chapter!$A$1:$A$681,0),8)</f>
        <v>משרד מהנדס הרשות</v>
      </c>
      <c r="R384" s="18" t="str">
        <f t="shared" si="44"/>
        <v>7311</v>
      </c>
      <c r="S384" s="18" t="e">
        <f>INDEX(Chapter,MATCH(R384,Chapter!$A$1:$A$681,0),8)</f>
        <v>#N/A</v>
      </c>
      <c r="T384" s="18"/>
      <c r="U384" s="18" t="str">
        <f t="shared" si="45"/>
        <v>4</v>
      </c>
      <c r="V384" s="18" t="str">
        <f>IF($L384&lt;"6",INDEX(Revenue_type,MATCH(U384*1,type!$A$118:$A$168,0),8),INDEX(Expenditure_type,MATCH(U384*1,type!$A$2:$A$117,0),8))</f>
        <v>אחזקת בינים ואספקת ציוד</v>
      </c>
      <c r="W384" s="18" t="str">
        <f t="shared" si="46"/>
        <v>40</v>
      </c>
      <c r="X384" s="18" t="e">
        <f>IF($L384&lt;"6",INDEX(Revenue_type,MATCH(W384*1,type!$A$118:$A$168,0),8),INDEX(Expenditure_type,MATCH(W384*1,type!$A$2:$A$117,0),8))</f>
        <v>#N/A</v>
      </c>
      <c r="Y384" s="18" t="str">
        <f t="shared" si="47"/>
        <v>400</v>
      </c>
      <c r="Z384" s="18" t="e">
        <f>IF($L384&lt;"6",INDEX(Revenue_type,MATCH(Y384*1,type!$A$118:$A$168,0),8),INDEX(Expenditure_type,MATCH(Y384*1,type!$A$2:$A$117,0),8))</f>
        <v>#N/A</v>
      </c>
    </row>
    <row r="385" spans="1:26" ht="15.75" hidden="1" customHeight="1" outlineLevel="2">
      <c r="A385">
        <v>500</v>
      </c>
      <c r="B385" s="249">
        <v>731110</v>
      </c>
      <c r="C385">
        <v>1</v>
      </c>
      <c r="D385" t="str">
        <f t="shared" si="48"/>
        <v>1731110.500</v>
      </c>
      <c r="E385" s="348" t="s">
        <v>8068</v>
      </c>
      <c r="F385" s="242"/>
      <c r="G385"/>
      <c r="H385" s="322">
        <v>160900</v>
      </c>
      <c r="I385" s="322">
        <v>164200</v>
      </c>
      <c r="J385" s="242">
        <v>141400</v>
      </c>
      <c r="K385" s="18" t="e">
        <f>INDEX(תקציב_2013,MATCH(D385,'תקציב 2015'!$D$3:$D$5960,0),8)</f>
        <v>#N/A</v>
      </c>
      <c r="L385" s="18" t="str">
        <f t="shared" si="41"/>
        <v>7</v>
      </c>
      <c r="M385" s="18" t="str">
        <f>INDEX(Chapter,MATCH(L385,Chapter!$A$1:$A$681,0),8)</f>
        <v>שירותים מקומיים</v>
      </c>
      <c r="N385" s="18" t="str">
        <f t="shared" si="42"/>
        <v>73</v>
      </c>
      <c r="O385" s="18" t="str">
        <f>INDEX(Chapter,MATCH(N385,Chapter!$A$1:$A$681,0),8)</f>
        <v>תכנון ובנין עיר</v>
      </c>
      <c r="P385" s="18" t="str">
        <f t="shared" si="43"/>
        <v>731</v>
      </c>
      <c r="Q385" s="18" t="str">
        <f>INDEX(Chapter,MATCH(P385,Chapter!$A$1:$A$681,0),8)</f>
        <v>משרד מהנדס הרשות</v>
      </c>
      <c r="R385" s="18" t="str">
        <f t="shared" si="44"/>
        <v>7311</v>
      </c>
      <c r="S385" s="18" t="e">
        <f>INDEX(Chapter,MATCH(R385,Chapter!$A$1:$A$681,0),8)</f>
        <v>#N/A</v>
      </c>
      <c r="T385" s="18"/>
      <c r="U385" s="18" t="str">
        <f t="shared" si="45"/>
        <v>5</v>
      </c>
      <c r="V385" s="18" t="str">
        <f>IF($L385&lt;"6",INDEX(Revenue_type,MATCH(U385*1,type!$A$118:$A$168,0),8),INDEX(Expenditure_type,MATCH(U385*1,type!$A$2:$A$117,0),8))</f>
        <v>הוצאות מנהליות</v>
      </c>
      <c r="W385" s="18" t="str">
        <f t="shared" si="46"/>
        <v>50</v>
      </c>
      <c r="X385" s="18" t="e">
        <f>IF($L385&lt;"6",INDEX(Revenue_type,MATCH(W385*1,type!$A$118:$A$168,0),8),INDEX(Expenditure_type,MATCH(W385*1,type!$A$2:$A$117,0),8))</f>
        <v>#N/A</v>
      </c>
      <c r="Y385" s="18" t="str">
        <f t="shared" si="47"/>
        <v>500</v>
      </c>
      <c r="Z385" s="18" t="e">
        <f>IF($L385&lt;"6",INDEX(Revenue_type,MATCH(Y385*1,type!$A$118:$A$168,0),8),INDEX(Expenditure_type,MATCH(Y385*1,type!$A$2:$A$117,0),8))</f>
        <v>#N/A</v>
      </c>
    </row>
    <row r="386" spans="1:26" ht="15.75" hidden="1" customHeight="1" outlineLevel="2">
      <c r="A386">
        <v>500</v>
      </c>
      <c r="B386" s="249">
        <v>731110</v>
      </c>
      <c r="C386">
        <v>1</v>
      </c>
      <c r="D386" t="str">
        <f t="shared" si="48"/>
        <v>1731110.500</v>
      </c>
      <c r="E386" s="348" t="s">
        <v>8069</v>
      </c>
      <c r="F386" s="242"/>
      <c r="G386"/>
      <c r="H386" s="322">
        <v>26800</v>
      </c>
      <c r="I386" s="322">
        <v>27300</v>
      </c>
      <c r="J386" s="242">
        <v>15600</v>
      </c>
      <c r="K386" s="18" t="e">
        <f>INDEX(תקציב_2013,MATCH(D386,'תקציב 2015'!$D$3:$D$5960,0),8)</f>
        <v>#N/A</v>
      </c>
      <c r="L386" s="18" t="str">
        <f t="shared" si="41"/>
        <v>7</v>
      </c>
      <c r="M386" s="18" t="str">
        <f>INDEX(Chapter,MATCH(L386,Chapter!$A$1:$A$681,0),8)</f>
        <v>שירותים מקומיים</v>
      </c>
      <c r="N386" s="18" t="str">
        <f t="shared" si="42"/>
        <v>73</v>
      </c>
      <c r="O386" s="18" t="str">
        <f>INDEX(Chapter,MATCH(N386,Chapter!$A$1:$A$681,0),8)</f>
        <v>תכנון ובנין עיר</v>
      </c>
      <c r="P386" s="18" t="str">
        <f t="shared" si="43"/>
        <v>731</v>
      </c>
      <c r="Q386" s="18" t="str">
        <f>INDEX(Chapter,MATCH(P386,Chapter!$A$1:$A$681,0),8)</f>
        <v>משרד מהנדס הרשות</v>
      </c>
      <c r="R386" s="18" t="str">
        <f t="shared" si="44"/>
        <v>7311</v>
      </c>
      <c r="S386" s="18" t="e">
        <f>INDEX(Chapter,MATCH(R386,Chapter!$A$1:$A$681,0),8)</f>
        <v>#N/A</v>
      </c>
      <c r="T386" s="18"/>
      <c r="U386" s="18" t="str">
        <f t="shared" si="45"/>
        <v>5</v>
      </c>
      <c r="V386" s="18" t="str">
        <f>IF($L386&lt;"6",INDEX(Revenue_type,MATCH(U386*1,type!$A$118:$A$168,0),8),INDEX(Expenditure_type,MATCH(U386*1,type!$A$2:$A$117,0),8))</f>
        <v>הוצאות מנהליות</v>
      </c>
      <c r="W386" s="18" t="str">
        <f t="shared" si="46"/>
        <v>50</v>
      </c>
      <c r="X386" s="18" t="e">
        <f>IF($L386&lt;"6",INDEX(Revenue_type,MATCH(W386*1,type!$A$118:$A$168,0),8),INDEX(Expenditure_type,MATCH(W386*1,type!$A$2:$A$117,0),8))</f>
        <v>#N/A</v>
      </c>
      <c r="Y386" s="18" t="str">
        <f t="shared" si="47"/>
        <v>500</v>
      </c>
      <c r="Z386" s="18" t="e">
        <f>IF($L386&lt;"6",INDEX(Revenue_type,MATCH(Y386*1,type!$A$118:$A$168,0),8),INDEX(Expenditure_type,MATCH(Y386*1,type!$A$2:$A$117,0),8))</f>
        <v>#N/A</v>
      </c>
    </row>
    <row r="387" spans="1:26" ht="15.75" hidden="1" customHeight="1" outlineLevel="2">
      <c r="A387">
        <v>700</v>
      </c>
      <c r="B387" s="249">
        <v>731110</v>
      </c>
      <c r="C387">
        <v>1</v>
      </c>
      <c r="D387" t="str">
        <f t="shared" si="48"/>
        <v>1731110.700</v>
      </c>
      <c r="E387" s="348" t="s">
        <v>8070</v>
      </c>
      <c r="F387" s="242"/>
      <c r="G387"/>
      <c r="H387" s="322">
        <v>70800</v>
      </c>
      <c r="I387" s="322">
        <v>68300</v>
      </c>
      <c r="J387" s="242">
        <v>58700</v>
      </c>
      <c r="K387" s="18" t="e">
        <f>INDEX(תקציב_2013,MATCH(D387,'תקציב 2015'!$D$3:$D$5960,0),8)</f>
        <v>#N/A</v>
      </c>
      <c r="L387" s="18" t="str">
        <f t="shared" ref="L387:L450" si="49">IF(LEFT($B387,1)*1=0,LEFT($B387,2),LEFT($B387,1))</f>
        <v>7</v>
      </c>
      <c r="M387" s="18" t="str">
        <f>INDEX(Chapter,MATCH(L387,Chapter!$A$1:$A$681,0),8)</f>
        <v>שירותים מקומיים</v>
      </c>
      <c r="N387" s="18" t="str">
        <f t="shared" ref="N387:N450" si="50">IF(LEFT($B387,1)*1=0,LEFT($B387,3),LEFT($B387,2))</f>
        <v>73</v>
      </c>
      <c r="O387" s="18" t="str">
        <f>INDEX(Chapter,MATCH(N387,Chapter!$A$1:$A$681,0),8)</f>
        <v>תכנון ובנין עיר</v>
      </c>
      <c r="P387" s="18" t="str">
        <f t="shared" ref="P387:P450" si="51">IF(LEFT($B387,1)*1=0,LEFT($B387,4),LEFT($B387,3))</f>
        <v>731</v>
      </c>
      <c r="Q387" s="18" t="str">
        <f>INDEX(Chapter,MATCH(P387,Chapter!$A$1:$A$681,0),8)</f>
        <v>משרד מהנדס הרשות</v>
      </c>
      <c r="R387" s="18" t="str">
        <f t="shared" ref="R387:R450" si="52">LEFT($B387,4)</f>
        <v>7311</v>
      </c>
      <c r="S387" s="18" t="e">
        <f>INDEX(Chapter,MATCH(R387,Chapter!$A$1:$A$681,0),8)</f>
        <v>#N/A</v>
      </c>
      <c r="T387" s="18"/>
      <c r="U387" s="18" t="str">
        <f t="shared" ref="U387:U450" si="53">LEFT($A387,1)</f>
        <v>7</v>
      </c>
      <c r="V387" s="18" t="str">
        <f>IF($L387&lt;"6",INDEX(Revenue_type,MATCH(U387*1,type!$A$118:$A$168,0),8),INDEX(Expenditure_type,MATCH(U387*1,type!$A$2:$A$117,0),8))</f>
        <v>הוצאות לפעולות</v>
      </c>
      <c r="W387" s="18" t="str">
        <f t="shared" ref="W387:W450" si="54">LEFT($A387,2)</f>
        <v>70</v>
      </c>
      <c r="X387" s="18" t="e">
        <f>IF($L387&lt;"6",INDEX(Revenue_type,MATCH(W387*1,type!$A$118:$A$168,0),8),INDEX(Expenditure_type,MATCH(W387*1,type!$A$2:$A$117,0),8))</f>
        <v>#N/A</v>
      </c>
      <c r="Y387" s="18" t="str">
        <f t="shared" ref="Y387:Y450" si="55">LEFT($A387,3)</f>
        <v>700</v>
      </c>
      <c r="Z387" s="18" t="e">
        <f>IF($L387&lt;"6",INDEX(Revenue_type,MATCH(Y387*1,type!$A$118:$A$168,0),8),INDEX(Expenditure_type,MATCH(Y387*1,type!$A$2:$A$117,0),8))</f>
        <v>#N/A</v>
      </c>
    </row>
    <row r="388" spans="1:26" ht="15.75" hidden="1" customHeight="1" outlineLevel="2">
      <c r="A388">
        <v>100</v>
      </c>
      <c r="B388" s="249">
        <v>731112</v>
      </c>
      <c r="C388">
        <v>1</v>
      </c>
      <c r="D388" t="str">
        <f t="shared" si="48"/>
        <v>1731112.100</v>
      </c>
      <c r="E388" s="348" t="s">
        <v>8071</v>
      </c>
      <c r="F388" s="242"/>
      <c r="G388"/>
      <c r="H388" s="322">
        <v>1269600</v>
      </c>
      <c r="I388" s="322">
        <v>1254600</v>
      </c>
      <c r="J388" s="242">
        <v>1171100</v>
      </c>
      <c r="K388" s="18" t="e">
        <f>INDEX(תקציב_2013,MATCH(D388,'תקציב 2015'!$D$3:$D$5960,0),8)</f>
        <v>#N/A</v>
      </c>
      <c r="L388" s="18" t="str">
        <f t="shared" si="49"/>
        <v>7</v>
      </c>
      <c r="M388" s="18" t="str">
        <f>INDEX(Chapter,MATCH(L388,Chapter!$A$1:$A$681,0),8)</f>
        <v>שירותים מקומיים</v>
      </c>
      <c r="N388" s="18" t="str">
        <f t="shared" si="50"/>
        <v>73</v>
      </c>
      <c r="O388" s="18" t="str">
        <f>INDEX(Chapter,MATCH(N388,Chapter!$A$1:$A$681,0),8)</f>
        <v>תכנון ובנין עיר</v>
      </c>
      <c r="P388" s="18" t="str">
        <f t="shared" si="51"/>
        <v>731</v>
      </c>
      <c r="Q388" s="18" t="str">
        <f>INDEX(Chapter,MATCH(P388,Chapter!$A$1:$A$681,0),8)</f>
        <v>משרד מהנדס הרשות</v>
      </c>
      <c r="R388" s="18" t="str">
        <f t="shared" si="52"/>
        <v>7311</v>
      </c>
      <c r="S388" s="18" t="e">
        <f>INDEX(Chapter,MATCH(R388,Chapter!$A$1:$A$681,0),8)</f>
        <v>#N/A</v>
      </c>
      <c r="T388" s="18"/>
      <c r="U388" s="18" t="str">
        <f t="shared" si="53"/>
        <v>1</v>
      </c>
      <c r="V388" s="18" t="str">
        <f>IF($L388&lt;"6",INDEX(Revenue_type,MATCH(U388*1,type!$A$118:$A$168,0),8),INDEX(Expenditure_type,MATCH(U388*1,type!$A$2:$A$117,0),8))</f>
        <v>משכורות וש"ע לעובדים לפי תקן</v>
      </c>
      <c r="W388" s="18" t="str">
        <f t="shared" si="54"/>
        <v>10</v>
      </c>
      <c r="X388" s="18" t="e">
        <f>IF($L388&lt;"6",INDEX(Revenue_type,MATCH(W388*1,type!$A$118:$A$168,0),8),INDEX(Expenditure_type,MATCH(W388*1,type!$A$2:$A$117,0),8))</f>
        <v>#N/A</v>
      </c>
      <c r="Y388" s="18" t="str">
        <f t="shared" si="55"/>
        <v>100</v>
      </c>
      <c r="Z388" s="18" t="e">
        <f>IF($L388&lt;"6",INDEX(Revenue_type,MATCH(Y388*1,type!$A$118:$A$168,0),8),INDEX(Expenditure_type,MATCH(Y388*1,type!$A$2:$A$117,0),8))</f>
        <v>#N/A</v>
      </c>
    </row>
    <row r="389" spans="1:26" ht="15.75" hidden="1" customHeight="1" outlineLevel="2">
      <c r="A389">
        <v>120</v>
      </c>
      <c r="B389" s="249">
        <v>731112</v>
      </c>
      <c r="C389">
        <v>1</v>
      </c>
      <c r="D389" t="str">
        <f t="shared" si="48"/>
        <v>1731112.120</v>
      </c>
      <c r="E389" s="354" t="s">
        <v>8072</v>
      </c>
      <c r="F389" s="242"/>
      <c r="G389"/>
      <c r="H389" s="322">
        <v>57400</v>
      </c>
      <c r="I389" s="322">
        <v>57400</v>
      </c>
      <c r="J389" s="242">
        <v>60600</v>
      </c>
      <c r="K389" s="18" t="e">
        <f>INDEX(תקציב_2013,MATCH(D389,'תקציב 2015'!$D$3:$D$5960,0),8)</f>
        <v>#N/A</v>
      </c>
      <c r="L389" s="18" t="str">
        <f t="shared" si="49"/>
        <v>7</v>
      </c>
      <c r="M389" s="18" t="str">
        <f>INDEX(Chapter,MATCH(L389,Chapter!$A$1:$A$681,0),8)</f>
        <v>שירותים מקומיים</v>
      </c>
      <c r="N389" s="18" t="str">
        <f t="shared" si="50"/>
        <v>73</v>
      </c>
      <c r="O389" s="18" t="str">
        <f>INDEX(Chapter,MATCH(N389,Chapter!$A$1:$A$681,0),8)</f>
        <v>תכנון ובנין עיר</v>
      </c>
      <c r="P389" s="18" t="str">
        <f t="shared" si="51"/>
        <v>731</v>
      </c>
      <c r="Q389" s="18" t="str">
        <f>INDEX(Chapter,MATCH(P389,Chapter!$A$1:$A$681,0),8)</f>
        <v>משרד מהנדס הרשות</v>
      </c>
      <c r="R389" s="18" t="str">
        <f t="shared" si="52"/>
        <v>7311</v>
      </c>
      <c r="S389" s="18" t="e">
        <f>INDEX(Chapter,MATCH(R389,Chapter!$A$1:$A$681,0),8)</f>
        <v>#N/A</v>
      </c>
      <c r="T389" s="18"/>
      <c r="U389" s="18" t="str">
        <f t="shared" si="53"/>
        <v>1</v>
      </c>
      <c r="V389" s="18" t="str">
        <f>IF($L389&lt;"6",INDEX(Revenue_type,MATCH(U389*1,type!$A$118:$A$168,0),8),INDEX(Expenditure_type,MATCH(U389*1,type!$A$2:$A$117,0),8))</f>
        <v>משכורות וש"ע לעובדים לפי תקן</v>
      </c>
      <c r="W389" s="18" t="str">
        <f t="shared" si="54"/>
        <v>12</v>
      </c>
      <c r="X389" s="18" t="str">
        <f>IF($L389&lt;"6",INDEX(Revenue_type,MATCH(W389*1,type!$A$118:$A$168,0),8),INDEX(Expenditure_type,MATCH(W389*1,type!$A$2:$A$117,0),8))</f>
        <v>תוספות שאינן נכללות בשכר הקובע</v>
      </c>
      <c r="Y389" s="18" t="str">
        <f t="shared" si="55"/>
        <v>120</v>
      </c>
      <c r="Z389" s="18" t="e">
        <f>IF($L389&lt;"6",INDEX(Revenue_type,MATCH(Y389*1,type!$A$118:$A$168,0),8),INDEX(Expenditure_type,MATCH(Y389*1,type!$A$2:$A$117,0),8))</f>
        <v>#N/A</v>
      </c>
    </row>
    <row r="390" spans="1:26" ht="15.75" hidden="1" customHeight="1" outlineLevel="2">
      <c r="A390">
        <v>700</v>
      </c>
      <c r="B390" s="249">
        <v>731112</v>
      </c>
      <c r="C390">
        <v>1</v>
      </c>
      <c r="D390" t="str">
        <f t="shared" si="48"/>
        <v>1731112.700</v>
      </c>
      <c r="E390" s="354" t="s">
        <v>8073</v>
      </c>
      <c r="F390" s="242"/>
      <c r="G390"/>
      <c r="H390" s="322">
        <v>50000</v>
      </c>
      <c r="I390" s="322">
        <v>10000</v>
      </c>
      <c r="J390" s="242">
        <v>0</v>
      </c>
      <c r="K390" s="18" t="e">
        <f>INDEX(תקציב_2013,MATCH(D390,'תקציב 2015'!$D$3:$D$5960,0),8)</f>
        <v>#N/A</v>
      </c>
      <c r="L390" s="18" t="str">
        <f t="shared" si="49"/>
        <v>7</v>
      </c>
      <c r="M390" s="18" t="str">
        <f>INDEX(Chapter,MATCH(L390,Chapter!$A$1:$A$681,0),8)</f>
        <v>שירותים מקומיים</v>
      </c>
      <c r="N390" s="18" t="str">
        <f t="shared" si="50"/>
        <v>73</v>
      </c>
      <c r="O390" s="18" t="str">
        <f>INDEX(Chapter,MATCH(N390,Chapter!$A$1:$A$681,0),8)</f>
        <v>תכנון ובנין עיר</v>
      </c>
      <c r="P390" s="18" t="str">
        <f t="shared" si="51"/>
        <v>731</v>
      </c>
      <c r="Q390" s="18" t="str">
        <f>INDEX(Chapter,MATCH(P390,Chapter!$A$1:$A$681,0),8)</f>
        <v>משרד מהנדס הרשות</v>
      </c>
      <c r="R390" s="18" t="str">
        <f t="shared" si="52"/>
        <v>7311</v>
      </c>
      <c r="S390" s="18" t="e">
        <f>INDEX(Chapter,MATCH(R390,Chapter!$A$1:$A$681,0),8)</f>
        <v>#N/A</v>
      </c>
      <c r="T390" s="18"/>
      <c r="U390" s="18" t="str">
        <f t="shared" si="53"/>
        <v>7</v>
      </c>
      <c r="V390" s="18" t="str">
        <f>IF($L390&lt;"6",INDEX(Revenue_type,MATCH(U390*1,type!$A$118:$A$168,0),8),INDEX(Expenditure_type,MATCH(U390*1,type!$A$2:$A$117,0),8))</f>
        <v>הוצאות לפעולות</v>
      </c>
      <c r="W390" s="18" t="str">
        <f t="shared" si="54"/>
        <v>70</v>
      </c>
      <c r="X390" s="18" t="e">
        <f>IF($L390&lt;"6",INDEX(Revenue_type,MATCH(W390*1,type!$A$118:$A$168,0),8),INDEX(Expenditure_type,MATCH(W390*1,type!$A$2:$A$117,0),8))</f>
        <v>#N/A</v>
      </c>
      <c r="Y390" s="18" t="str">
        <f t="shared" si="55"/>
        <v>700</v>
      </c>
      <c r="Z390" s="18" t="e">
        <f>IF($L390&lt;"6",INDEX(Revenue_type,MATCH(Y390*1,type!$A$118:$A$168,0),8),INDEX(Expenditure_type,MATCH(Y390*1,type!$A$2:$A$117,0),8))</f>
        <v>#N/A</v>
      </c>
    </row>
    <row r="391" spans="1:26" ht="15.75" hidden="1" customHeight="1" outlineLevel="2">
      <c r="A391">
        <v>700</v>
      </c>
      <c r="B391" s="249">
        <v>731116</v>
      </c>
      <c r="C391">
        <v>1</v>
      </c>
      <c r="D391" t="str">
        <f t="shared" si="48"/>
        <v>1731116.700</v>
      </c>
      <c r="E391" s="354" t="s">
        <v>8074</v>
      </c>
      <c r="F391" s="242"/>
      <c r="G391"/>
      <c r="H391" s="322">
        <v>582900</v>
      </c>
      <c r="I391" s="322">
        <v>600000</v>
      </c>
      <c r="J391" s="242">
        <v>60500</v>
      </c>
      <c r="K391" s="18" t="e">
        <f>INDEX(תקציב_2013,MATCH(D391,'תקציב 2015'!$D$3:$D$5960,0),8)</f>
        <v>#N/A</v>
      </c>
      <c r="L391" s="18" t="str">
        <f t="shared" si="49"/>
        <v>7</v>
      </c>
      <c r="M391" s="18" t="str">
        <f>INDEX(Chapter,MATCH(L391,Chapter!$A$1:$A$681,0),8)</f>
        <v>שירותים מקומיים</v>
      </c>
      <c r="N391" s="18" t="str">
        <f t="shared" si="50"/>
        <v>73</v>
      </c>
      <c r="O391" s="18" t="str">
        <f>INDEX(Chapter,MATCH(N391,Chapter!$A$1:$A$681,0),8)</f>
        <v>תכנון ובנין עיר</v>
      </c>
      <c r="P391" s="18" t="str">
        <f t="shared" si="51"/>
        <v>731</v>
      </c>
      <c r="Q391" s="18" t="str">
        <f>INDEX(Chapter,MATCH(P391,Chapter!$A$1:$A$681,0),8)</f>
        <v>משרד מהנדס הרשות</v>
      </c>
      <c r="R391" s="18" t="str">
        <f t="shared" si="52"/>
        <v>7311</v>
      </c>
      <c r="S391" s="18" t="e">
        <f>INDEX(Chapter,MATCH(R391,Chapter!$A$1:$A$681,0),8)</f>
        <v>#N/A</v>
      </c>
      <c r="T391" s="18"/>
      <c r="U391" s="18" t="str">
        <f t="shared" si="53"/>
        <v>7</v>
      </c>
      <c r="V391" s="18" t="str">
        <f>IF($L391&lt;"6",INDEX(Revenue_type,MATCH(U391*1,type!$A$118:$A$168,0),8),INDEX(Expenditure_type,MATCH(U391*1,type!$A$2:$A$117,0),8))</f>
        <v>הוצאות לפעולות</v>
      </c>
      <c r="W391" s="18" t="str">
        <f t="shared" si="54"/>
        <v>70</v>
      </c>
      <c r="X391" s="18" t="e">
        <f>IF($L391&lt;"6",INDEX(Revenue_type,MATCH(W391*1,type!$A$118:$A$168,0),8),INDEX(Expenditure_type,MATCH(W391*1,type!$A$2:$A$117,0),8))</f>
        <v>#N/A</v>
      </c>
      <c r="Y391" s="18" t="str">
        <f t="shared" si="55"/>
        <v>700</v>
      </c>
      <c r="Z391" s="18" t="e">
        <f>IF($L391&lt;"6",INDEX(Revenue_type,MATCH(Y391*1,type!$A$118:$A$168,0),8),INDEX(Expenditure_type,MATCH(Y391*1,type!$A$2:$A$117,0),8))</f>
        <v>#N/A</v>
      </c>
    </row>
    <row r="392" spans="1:26" ht="15.75" hidden="1" customHeight="1" outlineLevel="2">
      <c r="A392">
        <v>100</v>
      </c>
      <c r="B392" s="249">
        <v>731113</v>
      </c>
      <c r="C392">
        <v>1</v>
      </c>
      <c r="D392" t="str">
        <f t="shared" si="48"/>
        <v>1731113.100</v>
      </c>
      <c r="E392" s="354" t="s">
        <v>8075</v>
      </c>
      <c r="F392" s="242"/>
      <c r="G392"/>
      <c r="H392" s="322">
        <v>662600</v>
      </c>
      <c r="I392" s="322">
        <v>654600</v>
      </c>
      <c r="J392" s="242">
        <v>860100</v>
      </c>
      <c r="K392" s="18"/>
      <c r="L392" s="18" t="str">
        <f t="shared" si="49"/>
        <v>7</v>
      </c>
      <c r="M392" s="18" t="str">
        <f>INDEX(Chapter,MATCH(L392,Chapter!$A$1:$A$681,0),8)</f>
        <v>שירותים מקומיים</v>
      </c>
      <c r="N392" s="18" t="str">
        <f t="shared" si="50"/>
        <v>73</v>
      </c>
      <c r="O392" s="18" t="str">
        <f>INDEX(Chapter,MATCH(N392,Chapter!$A$1:$A$681,0),8)</f>
        <v>תכנון ובנין עיר</v>
      </c>
      <c r="P392" s="18" t="str">
        <f t="shared" si="51"/>
        <v>731</v>
      </c>
      <c r="Q392" s="18" t="str">
        <f>INDEX(Chapter,MATCH(P392,Chapter!$A$1:$A$681,0),8)</f>
        <v>משרד מהנדס הרשות</v>
      </c>
      <c r="R392" s="18" t="str">
        <f t="shared" si="52"/>
        <v>7311</v>
      </c>
      <c r="S392" s="18" t="e">
        <f>INDEX(Chapter,MATCH(R392,Chapter!$A$1:$A$681,0),8)</f>
        <v>#N/A</v>
      </c>
      <c r="T392" s="18"/>
      <c r="U392" s="18" t="str">
        <f t="shared" si="53"/>
        <v>1</v>
      </c>
      <c r="V392" s="18" t="str">
        <f>IF($L392&lt;"6",INDEX(Revenue_type,MATCH(U392*1,type!$A$118:$A$168,0),8),INDEX(Expenditure_type,MATCH(U392*1,type!$A$2:$A$117,0),8))</f>
        <v>משכורות וש"ע לעובדים לפי תקן</v>
      </c>
      <c r="W392" s="18" t="str">
        <f t="shared" si="54"/>
        <v>10</v>
      </c>
      <c r="X392" s="18" t="e">
        <f>IF($L392&lt;"6",INDEX(Revenue_type,MATCH(W392*1,type!$A$118:$A$168,0),8),INDEX(Expenditure_type,MATCH(W392*1,type!$A$2:$A$117,0),8))</f>
        <v>#N/A</v>
      </c>
      <c r="Y392" s="18" t="str">
        <f t="shared" si="55"/>
        <v>100</v>
      </c>
      <c r="Z392" s="18" t="e">
        <f>IF($L392&lt;"6",INDEX(Revenue_type,MATCH(Y392*1,type!$A$118:$A$168,0),8),INDEX(Expenditure_type,MATCH(Y392*1,type!$A$2:$A$117,0),8))</f>
        <v>#N/A</v>
      </c>
    </row>
    <row r="393" spans="1:26" ht="15.75" hidden="1" customHeight="1" outlineLevel="2">
      <c r="A393">
        <v>120</v>
      </c>
      <c r="B393" s="249">
        <v>731113</v>
      </c>
      <c r="C393">
        <v>1</v>
      </c>
      <c r="D393" t="str">
        <f t="shared" si="48"/>
        <v>1731113.120</v>
      </c>
      <c r="E393" s="348" t="s">
        <v>8076</v>
      </c>
      <c r="F393" s="242"/>
      <c r="G393"/>
      <c r="H393" s="322">
        <v>32400</v>
      </c>
      <c r="I393" s="322">
        <v>32400</v>
      </c>
      <c r="J393" s="242">
        <v>32900</v>
      </c>
      <c r="K393" s="18" t="e">
        <f>INDEX(תקציב_2013,MATCH(D393,'תקציב 2015'!$D$3:$D$5960,0),8)</f>
        <v>#N/A</v>
      </c>
      <c r="L393" s="18" t="str">
        <f t="shared" si="49"/>
        <v>7</v>
      </c>
      <c r="M393" s="18" t="str">
        <f>INDEX(Chapter,MATCH(L393,Chapter!$A$1:$A$681,0),8)</f>
        <v>שירותים מקומיים</v>
      </c>
      <c r="N393" s="18" t="str">
        <f t="shared" si="50"/>
        <v>73</v>
      </c>
      <c r="O393" s="18" t="str">
        <f>INDEX(Chapter,MATCH(N393,Chapter!$A$1:$A$681,0),8)</f>
        <v>תכנון ובנין עיר</v>
      </c>
      <c r="P393" s="18" t="str">
        <f t="shared" si="51"/>
        <v>731</v>
      </c>
      <c r="Q393" s="18" t="str">
        <f>INDEX(Chapter,MATCH(P393,Chapter!$A$1:$A$681,0),8)</f>
        <v>משרד מהנדס הרשות</v>
      </c>
      <c r="R393" s="18" t="str">
        <f t="shared" si="52"/>
        <v>7311</v>
      </c>
      <c r="S393" s="18" t="e">
        <f>INDEX(Chapter,MATCH(R393,Chapter!$A$1:$A$681,0),8)</f>
        <v>#N/A</v>
      </c>
      <c r="T393" s="18"/>
      <c r="U393" s="18" t="str">
        <f t="shared" si="53"/>
        <v>1</v>
      </c>
      <c r="V393" s="18" t="str">
        <f>IF($L393&lt;"6",INDEX(Revenue_type,MATCH(U393*1,type!$A$118:$A$168,0),8),INDEX(Expenditure_type,MATCH(U393*1,type!$A$2:$A$117,0),8))</f>
        <v>משכורות וש"ע לעובדים לפי תקן</v>
      </c>
      <c r="W393" s="18" t="str">
        <f t="shared" si="54"/>
        <v>12</v>
      </c>
      <c r="X393" s="18" t="str">
        <f>IF($L393&lt;"6",INDEX(Revenue_type,MATCH(W393*1,type!$A$118:$A$168,0),8),INDEX(Expenditure_type,MATCH(W393*1,type!$A$2:$A$117,0),8))</f>
        <v>תוספות שאינן נכללות בשכר הקובע</v>
      </c>
      <c r="Y393" s="18" t="str">
        <f t="shared" si="55"/>
        <v>120</v>
      </c>
      <c r="Z393" s="18" t="e">
        <f>IF($L393&lt;"6",INDEX(Revenue_type,MATCH(Y393*1,type!$A$118:$A$168,0),8),INDEX(Expenditure_type,MATCH(Y393*1,type!$A$2:$A$117,0),8))</f>
        <v>#N/A</v>
      </c>
    </row>
    <row r="394" spans="1:26" ht="15.75" hidden="1" customHeight="1" outlineLevel="2">
      <c r="A394">
        <v>100</v>
      </c>
      <c r="B394" s="249">
        <v>732110</v>
      </c>
      <c r="C394">
        <v>1</v>
      </c>
      <c r="D394" t="str">
        <f t="shared" si="48"/>
        <v>1732110.100</v>
      </c>
      <c r="E394" s="348" t="s">
        <v>8077</v>
      </c>
      <c r="F394" s="242"/>
      <c r="G394"/>
      <c r="H394" s="322">
        <v>146400</v>
      </c>
      <c r="I394" s="322">
        <v>36400</v>
      </c>
      <c r="J394" s="242">
        <v>150100</v>
      </c>
      <c r="K394" s="18"/>
      <c r="L394" s="18" t="str">
        <f t="shared" si="49"/>
        <v>7</v>
      </c>
      <c r="M394" s="18" t="str">
        <f>INDEX(Chapter,MATCH(L394,Chapter!$A$1:$A$681,0),8)</f>
        <v>שירותים מקומיים</v>
      </c>
      <c r="N394" s="18" t="str">
        <f t="shared" si="50"/>
        <v>73</v>
      </c>
      <c r="O394" s="18" t="str">
        <f>INDEX(Chapter,MATCH(N394,Chapter!$A$1:$A$681,0),8)</f>
        <v>תכנון ובנין עיר</v>
      </c>
      <c r="P394" s="18" t="str">
        <f t="shared" si="51"/>
        <v>732</v>
      </c>
      <c r="Q394" s="18" t="str">
        <f>INDEX(Chapter,MATCH(P394,Chapter!$A$1:$A$681,0),8)</f>
        <v>תכנון עיר</v>
      </c>
      <c r="R394" s="18" t="str">
        <f t="shared" si="52"/>
        <v>7321</v>
      </c>
      <c r="S394" s="18" t="str">
        <f>INDEX(Chapter,MATCH(R394,Chapter!$A$1:$A$681,0),8)</f>
        <v>תכנון כללי</v>
      </c>
      <c r="T394" s="18"/>
      <c r="U394" s="18" t="str">
        <f t="shared" si="53"/>
        <v>1</v>
      </c>
      <c r="V394" s="18" t="str">
        <f>IF($L394&lt;"6",INDEX(Revenue_type,MATCH(U394*1,type!$A$118:$A$168,0),8),INDEX(Expenditure_type,MATCH(U394*1,type!$A$2:$A$117,0),8))</f>
        <v>משכורות וש"ע לעובדים לפי תקן</v>
      </c>
      <c r="W394" s="18" t="str">
        <f t="shared" si="54"/>
        <v>10</v>
      </c>
      <c r="X394" s="18" t="e">
        <f>IF($L394&lt;"6",INDEX(Revenue_type,MATCH(W394*1,type!$A$118:$A$168,0),8),INDEX(Expenditure_type,MATCH(W394*1,type!$A$2:$A$117,0),8))</f>
        <v>#N/A</v>
      </c>
      <c r="Y394" s="18" t="str">
        <f t="shared" si="55"/>
        <v>100</v>
      </c>
      <c r="Z394" s="18" t="e">
        <f>IF($L394&lt;"6",INDEX(Revenue_type,MATCH(Y394*1,type!$A$118:$A$168,0),8),INDEX(Expenditure_type,MATCH(Y394*1,type!$A$2:$A$117,0),8))</f>
        <v>#N/A</v>
      </c>
    </row>
    <row r="395" spans="1:26" ht="15.75" hidden="1" customHeight="1" outlineLevel="2">
      <c r="A395">
        <v>120</v>
      </c>
      <c r="B395" s="249">
        <v>732110</v>
      </c>
      <c r="C395">
        <v>1</v>
      </c>
      <c r="D395" t="str">
        <f t="shared" si="48"/>
        <v>1732110.120</v>
      </c>
      <c r="E395" s="348" t="s">
        <v>8078</v>
      </c>
      <c r="F395" s="242"/>
      <c r="G395"/>
      <c r="H395" s="322">
        <v>3600</v>
      </c>
      <c r="I395" s="322">
        <v>3600</v>
      </c>
      <c r="J395" s="242">
        <v>2200</v>
      </c>
      <c r="K395" s="18" t="e">
        <f>INDEX(תקציב_2013,MATCH(D395,'תקציב 2015'!$D$3:$D$5960,0),8)</f>
        <v>#N/A</v>
      </c>
      <c r="L395" s="18" t="str">
        <f t="shared" si="49"/>
        <v>7</v>
      </c>
      <c r="M395" s="18" t="str">
        <f>INDEX(Chapter,MATCH(L395,Chapter!$A$1:$A$681,0),8)</f>
        <v>שירותים מקומיים</v>
      </c>
      <c r="N395" s="18" t="str">
        <f t="shared" si="50"/>
        <v>73</v>
      </c>
      <c r="O395" s="18" t="str">
        <f>INDEX(Chapter,MATCH(N395,Chapter!$A$1:$A$681,0),8)</f>
        <v>תכנון ובנין עיר</v>
      </c>
      <c r="P395" s="18" t="str">
        <f t="shared" si="51"/>
        <v>732</v>
      </c>
      <c r="Q395" s="18" t="str">
        <f>INDEX(Chapter,MATCH(P395,Chapter!$A$1:$A$681,0),8)</f>
        <v>תכנון עיר</v>
      </c>
      <c r="R395" s="18" t="str">
        <f t="shared" si="52"/>
        <v>7321</v>
      </c>
      <c r="S395" s="18" t="str">
        <f>INDEX(Chapter,MATCH(R395,Chapter!$A$1:$A$681,0),8)</f>
        <v>תכנון כללי</v>
      </c>
      <c r="T395" s="18"/>
      <c r="U395" s="18" t="str">
        <f t="shared" si="53"/>
        <v>1</v>
      </c>
      <c r="V395" s="18" t="str">
        <f>IF($L395&lt;"6",INDEX(Revenue_type,MATCH(U395*1,type!$A$118:$A$168,0),8),INDEX(Expenditure_type,MATCH(U395*1,type!$A$2:$A$117,0),8))</f>
        <v>משכורות וש"ע לעובדים לפי תקן</v>
      </c>
      <c r="W395" s="18" t="str">
        <f t="shared" si="54"/>
        <v>12</v>
      </c>
      <c r="X395" s="18" t="str">
        <f>IF($L395&lt;"6",INDEX(Revenue_type,MATCH(W395*1,type!$A$118:$A$168,0),8),INDEX(Expenditure_type,MATCH(W395*1,type!$A$2:$A$117,0),8))</f>
        <v>תוספות שאינן נכללות בשכר הקובע</v>
      </c>
      <c r="Y395" s="18" t="str">
        <f t="shared" si="55"/>
        <v>120</v>
      </c>
      <c r="Z395" s="18" t="e">
        <f>IF($L395&lt;"6",INDEX(Revenue_type,MATCH(Y395*1,type!$A$118:$A$168,0),8),INDEX(Expenditure_type,MATCH(Y395*1,type!$A$2:$A$117,0),8))</f>
        <v>#N/A</v>
      </c>
    </row>
    <row r="396" spans="1:26" ht="15.75" hidden="1" customHeight="1" outlineLevel="2">
      <c r="A396">
        <v>100</v>
      </c>
      <c r="B396" s="249">
        <v>732100</v>
      </c>
      <c r="C396">
        <v>1</v>
      </c>
      <c r="D396" t="str">
        <f t="shared" si="48"/>
        <v>1732100.100</v>
      </c>
      <c r="E396" s="348" t="s">
        <v>8079</v>
      </c>
      <c r="F396" s="242"/>
      <c r="G396"/>
      <c r="H396" s="322">
        <v>3346200</v>
      </c>
      <c r="I396" s="322">
        <v>3309200</v>
      </c>
      <c r="J396" s="242">
        <v>3241600</v>
      </c>
      <c r="K396" s="18" t="e">
        <f>INDEX(תקציב_2013,MATCH(D396,'תקציב 2015'!$D$3:$D$5960,0),8)</f>
        <v>#N/A</v>
      </c>
      <c r="L396" s="18" t="str">
        <f t="shared" si="49"/>
        <v>7</v>
      </c>
      <c r="M396" s="18" t="str">
        <f>INDEX(Chapter,MATCH(L396,Chapter!$A$1:$A$681,0),8)</f>
        <v>שירותים מקומיים</v>
      </c>
      <c r="N396" s="18" t="str">
        <f t="shared" si="50"/>
        <v>73</v>
      </c>
      <c r="O396" s="18" t="str">
        <f>INDEX(Chapter,MATCH(N396,Chapter!$A$1:$A$681,0),8)</f>
        <v>תכנון ובנין עיר</v>
      </c>
      <c r="P396" s="18" t="str">
        <f t="shared" si="51"/>
        <v>732</v>
      </c>
      <c r="Q396" s="18" t="str">
        <f>INDEX(Chapter,MATCH(P396,Chapter!$A$1:$A$681,0),8)</f>
        <v>תכנון עיר</v>
      </c>
      <c r="R396" s="18" t="str">
        <f t="shared" si="52"/>
        <v>7321</v>
      </c>
      <c r="S396" s="18" t="str">
        <f>INDEX(Chapter,MATCH(R396,Chapter!$A$1:$A$681,0),8)</f>
        <v>תכנון כללי</v>
      </c>
      <c r="T396" s="18"/>
      <c r="U396" s="18" t="str">
        <f t="shared" si="53"/>
        <v>1</v>
      </c>
      <c r="V396" s="18" t="str">
        <f>IF($L396&lt;"6",INDEX(Revenue_type,MATCH(U396*1,type!$A$118:$A$168,0),8),INDEX(Expenditure_type,MATCH(U396*1,type!$A$2:$A$117,0),8))</f>
        <v>משכורות וש"ע לעובדים לפי תקן</v>
      </c>
      <c r="W396" s="18" t="str">
        <f t="shared" si="54"/>
        <v>10</v>
      </c>
      <c r="X396" s="18" t="e">
        <f>IF($L396&lt;"6",INDEX(Revenue_type,MATCH(W396*1,type!$A$118:$A$168,0),8),INDEX(Expenditure_type,MATCH(W396*1,type!$A$2:$A$117,0),8))</f>
        <v>#N/A</v>
      </c>
      <c r="Y396" s="18" t="str">
        <f t="shared" si="55"/>
        <v>100</v>
      </c>
      <c r="Z396" s="18" t="e">
        <f>IF($L396&lt;"6",INDEX(Revenue_type,MATCH(Y396*1,type!$A$118:$A$168,0),8),INDEX(Expenditure_type,MATCH(Y396*1,type!$A$2:$A$117,0),8))</f>
        <v>#N/A</v>
      </c>
    </row>
    <row r="397" spans="1:26" ht="15.75" hidden="1" customHeight="1" outlineLevel="2">
      <c r="A397">
        <v>120</v>
      </c>
      <c r="B397" s="249">
        <v>732100</v>
      </c>
      <c r="C397">
        <v>1</v>
      </c>
      <c r="D397" t="str">
        <f t="shared" si="48"/>
        <v>1732100.120</v>
      </c>
      <c r="E397" s="355" t="s">
        <v>8080</v>
      </c>
      <c r="F397" s="242"/>
      <c r="G397"/>
      <c r="H397" s="322">
        <v>57800</v>
      </c>
      <c r="I397" s="322">
        <v>57800</v>
      </c>
      <c r="J397" s="242">
        <v>68000</v>
      </c>
      <c r="K397" s="18" t="e">
        <f>INDEX(תקציב_2013,MATCH(D397,'תקציב 2015'!$D$3:$D$5960,0),8)</f>
        <v>#N/A</v>
      </c>
      <c r="L397" s="18" t="str">
        <f t="shared" si="49"/>
        <v>7</v>
      </c>
      <c r="M397" s="18" t="str">
        <f>INDEX(Chapter,MATCH(L397,Chapter!$A$1:$A$681,0),8)</f>
        <v>שירותים מקומיים</v>
      </c>
      <c r="N397" s="18" t="str">
        <f t="shared" si="50"/>
        <v>73</v>
      </c>
      <c r="O397" s="18" t="str">
        <f>INDEX(Chapter,MATCH(N397,Chapter!$A$1:$A$681,0),8)</f>
        <v>תכנון ובנין עיר</v>
      </c>
      <c r="P397" s="18" t="str">
        <f t="shared" si="51"/>
        <v>732</v>
      </c>
      <c r="Q397" s="18" t="str">
        <f>INDEX(Chapter,MATCH(P397,Chapter!$A$1:$A$681,0),8)</f>
        <v>תכנון עיר</v>
      </c>
      <c r="R397" s="18" t="str">
        <f t="shared" si="52"/>
        <v>7321</v>
      </c>
      <c r="S397" s="18" t="str">
        <f>INDEX(Chapter,MATCH(R397,Chapter!$A$1:$A$681,0),8)</f>
        <v>תכנון כללי</v>
      </c>
      <c r="T397" s="18"/>
      <c r="U397" s="18" t="str">
        <f t="shared" si="53"/>
        <v>1</v>
      </c>
      <c r="V397" s="18" t="str">
        <f>IF($L397&lt;"6",INDEX(Revenue_type,MATCH(U397*1,type!$A$118:$A$168,0),8),INDEX(Expenditure_type,MATCH(U397*1,type!$A$2:$A$117,0),8))</f>
        <v>משכורות וש"ע לעובדים לפי תקן</v>
      </c>
      <c r="W397" s="18" t="str">
        <f t="shared" si="54"/>
        <v>12</v>
      </c>
      <c r="X397" s="18" t="str">
        <f>IF($L397&lt;"6",INDEX(Revenue_type,MATCH(W397*1,type!$A$118:$A$168,0),8),INDEX(Expenditure_type,MATCH(W397*1,type!$A$2:$A$117,0),8))</f>
        <v>תוספות שאינן נכללות בשכר הקובע</v>
      </c>
      <c r="Y397" s="18" t="str">
        <f t="shared" si="55"/>
        <v>120</v>
      </c>
      <c r="Z397" s="18" t="e">
        <f>IF($L397&lt;"6",INDEX(Revenue_type,MATCH(Y397*1,type!$A$118:$A$168,0),8),INDEX(Expenditure_type,MATCH(Y397*1,type!$A$2:$A$117,0),8))</f>
        <v>#N/A</v>
      </c>
    </row>
    <row r="398" spans="1:26" ht="15.75" hidden="1" customHeight="1" outlineLevel="2">
      <c r="A398">
        <v>400</v>
      </c>
      <c r="B398" s="249">
        <v>732100</v>
      </c>
      <c r="C398">
        <v>1</v>
      </c>
      <c r="D398" t="str">
        <f t="shared" si="48"/>
        <v>1732100.400</v>
      </c>
      <c r="E398" s="348" t="s">
        <v>8081</v>
      </c>
      <c r="F398" s="242"/>
      <c r="G398"/>
      <c r="H398" s="322">
        <v>20800</v>
      </c>
      <c r="I398" s="322">
        <v>20800</v>
      </c>
      <c r="J398" s="242">
        <v>13800</v>
      </c>
      <c r="K398" s="18"/>
      <c r="L398" s="18" t="str">
        <f t="shared" si="49"/>
        <v>7</v>
      </c>
      <c r="M398" s="18" t="str">
        <f>INDEX(Chapter,MATCH(L398,Chapter!$A$1:$A$681,0),8)</f>
        <v>שירותים מקומיים</v>
      </c>
      <c r="N398" s="18" t="str">
        <f t="shared" si="50"/>
        <v>73</v>
      </c>
      <c r="O398" s="18" t="str">
        <f>INDEX(Chapter,MATCH(N398,Chapter!$A$1:$A$681,0),8)</f>
        <v>תכנון ובנין עיר</v>
      </c>
      <c r="P398" s="18" t="str">
        <f t="shared" si="51"/>
        <v>732</v>
      </c>
      <c r="Q398" s="18" t="str">
        <f>INDEX(Chapter,MATCH(P398,Chapter!$A$1:$A$681,0),8)</f>
        <v>תכנון עיר</v>
      </c>
      <c r="R398" s="18" t="str">
        <f t="shared" si="52"/>
        <v>7321</v>
      </c>
      <c r="S398" s="18" t="str">
        <f>INDEX(Chapter,MATCH(R398,Chapter!$A$1:$A$681,0),8)</f>
        <v>תכנון כללי</v>
      </c>
      <c r="T398" s="18"/>
      <c r="U398" s="18" t="str">
        <f t="shared" si="53"/>
        <v>4</v>
      </c>
      <c r="V398" s="18" t="str">
        <f>IF($L398&lt;"6",INDEX(Revenue_type,MATCH(U398*1,type!$A$118:$A$168,0),8),INDEX(Expenditure_type,MATCH(U398*1,type!$A$2:$A$117,0),8))</f>
        <v>אחזקת בינים ואספקת ציוד</v>
      </c>
      <c r="W398" s="18" t="str">
        <f t="shared" si="54"/>
        <v>40</v>
      </c>
      <c r="X398" s="18" t="e">
        <f>IF($L398&lt;"6",INDEX(Revenue_type,MATCH(W398*1,type!$A$118:$A$168,0),8),INDEX(Expenditure_type,MATCH(W398*1,type!$A$2:$A$117,0),8))</f>
        <v>#N/A</v>
      </c>
      <c r="Y398" s="18" t="str">
        <f t="shared" si="55"/>
        <v>400</v>
      </c>
      <c r="Z398" s="18" t="e">
        <f>IF($L398&lt;"6",INDEX(Revenue_type,MATCH(Y398*1,type!$A$118:$A$168,0),8),INDEX(Expenditure_type,MATCH(Y398*1,type!$A$2:$A$117,0),8))</f>
        <v>#N/A</v>
      </c>
    </row>
    <row r="399" spans="1:26" ht="15.75" hidden="1" customHeight="1" outlineLevel="2">
      <c r="A399">
        <v>500</v>
      </c>
      <c r="B399" s="249">
        <v>732100</v>
      </c>
      <c r="C399">
        <v>1</v>
      </c>
      <c r="D399" t="str">
        <f t="shared" si="48"/>
        <v>1732100.500</v>
      </c>
      <c r="E399" s="348" t="s">
        <v>8082</v>
      </c>
      <c r="F399" s="242"/>
      <c r="G399"/>
      <c r="H399" s="322">
        <v>37200</v>
      </c>
      <c r="I399" s="322">
        <v>40700</v>
      </c>
      <c r="J399" s="242">
        <v>45300</v>
      </c>
      <c r="K399" s="18"/>
      <c r="L399" s="18" t="str">
        <f t="shared" si="49"/>
        <v>7</v>
      </c>
      <c r="M399" s="18" t="str">
        <f>INDEX(Chapter,MATCH(L399,Chapter!$A$1:$A$681,0),8)</f>
        <v>שירותים מקומיים</v>
      </c>
      <c r="N399" s="18" t="str">
        <f t="shared" si="50"/>
        <v>73</v>
      </c>
      <c r="O399" s="18" t="str">
        <f>INDEX(Chapter,MATCH(N399,Chapter!$A$1:$A$681,0),8)</f>
        <v>תכנון ובנין עיר</v>
      </c>
      <c r="P399" s="18" t="str">
        <f t="shared" si="51"/>
        <v>732</v>
      </c>
      <c r="Q399" s="18" t="str">
        <f>INDEX(Chapter,MATCH(P399,Chapter!$A$1:$A$681,0),8)</f>
        <v>תכנון עיר</v>
      </c>
      <c r="R399" s="18" t="str">
        <f t="shared" si="52"/>
        <v>7321</v>
      </c>
      <c r="S399" s="18" t="str">
        <f>INDEX(Chapter,MATCH(R399,Chapter!$A$1:$A$681,0),8)</f>
        <v>תכנון כללי</v>
      </c>
      <c r="T399" s="18"/>
      <c r="U399" s="18" t="str">
        <f t="shared" si="53"/>
        <v>5</v>
      </c>
      <c r="V399" s="18" t="str">
        <f>IF($L399&lt;"6",INDEX(Revenue_type,MATCH(U399*1,type!$A$118:$A$168,0),8),INDEX(Expenditure_type,MATCH(U399*1,type!$A$2:$A$117,0),8))</f>
        <v>הוצאות מנהליות</v>
      </c>
      <c r="W399" s="18" t="str">
        <f t="shared" si="54"/>
        <v>50</v>
      </c>
      <c r="X399" s="18" t="e">
        <f>IF($L399&lt;"6",INDEX(Revenue_type,MATCH(W399*1,type!$A$118:$A$168,0),8),INDEX(Expenditure_type,MATCH(W399*1,type!$A$2:$A$117,0),8))</f>
        <v>#N/A</v>
      </c>
      <c r="Y399" s="18" t="str">
        <f t="shared" si="55"/>
        <v>500</v>
      </c>
      <c r="Z399" s="18" t="e">
        <f>IF($L399&lt;"6",INDEX(Revenue_type,MATCH(Y399*1,type!$A$118:$A$168,0),8),INDEX(Expenditure_type,MATCH(Y399*1,type!$A$2:$A$117,0),8))</f>
        <v>#N/A</v>
      </c>
    </row>
    <row r="400" spans="1:26" ht="15.75" hidden="1" customHeight="1" outlineLevel="2">
      <c r="A400">
        <v>500</v>
      </c>
      <c r="B400" s="249">
        <v>732100</v>
      </c>
      <c r="C400">
        <v>1</v>
      </c>
      <c r="D400" t="str">
        <f t="shared" si="48"/>
        <v>1732100.500</v>
      </c>
      <c r="E400" s="348" t="s">
        <v>8083</v>
      </c>
      <c r="F400" s="242"/>
      <c r="G400"/>
      <c r="H400" s="322">
        <v>90700</v>
      </c>
      <c r="I400" s="322">
        <v>91700</v>
      </c>
      <c r="J400" s="242">
        <v>68800</v>
      </c>
      <c r="K400" s="18" t="e">
        <f>INDEX(תקציב_2013,MATCH(D400,'תקציב 2015'!$D$3:$D$5960,0),8)</f>
        <v>#N/A</v>
      </c>
      <c r="L400" s="18" t="str">
        <f t="shared" si="49"/>
        <v>7</v>
      </c>
      <c r="M400" s="18" t="str">
        <f>INDEX(Chapter,MATCH(L400,Chapter!$A$1:$A$681,0),8)</f>
        <v>שירותים מקומיים</v>
      </c>
      <c r="N400" s="18" t="str">
        <f t="shared" si="50"/>
        <v>73</v>
      </c>
      <c r="O400" s="18" t="str">
        <f>INDEX(Chapter,MATCH(N400,Chapter!$A$1:$A$681,0),8)</f>
        <v>תכנון ובנין עיר</v>
      </c>
      <c r="P400" s="18" t="str">
        <f t="shared" si="51"/>
        <v>732</v>
      </c>
      <c r="Q400" s="18" t="str">
        <f>INDEX(Chapter,MATCH(P400,Chapter!$A$1:$A$681,0),8)</f>
        <v>תכנון עיר</v>
      </c>
      <c r="R400" s="18" t="str">
        <f t="shared" si="52"/>
        <v>7321</v>
      </c>
      <c r="S400" s="18" t="str">
        <f>INDEX(Chapter,MATCH(R400,Chapter!$A$1:$A$681,0),8)</f>
        <v>תכנון כללי</v>
      </c>
      <c r="T400" s="18"/>
      <c r="U400" s="18" t="str">
        <f t="shared" si="53"/>
        <v>5</v>
      </c>
      <c r="V400" s="18" t="str">
        <f>IF($L400&lt;"6",INDEX(Revenue_type,MATCH(U400*1,type!$A$118:$A$168,0),8),INDEX(Expenditure_type,MATCH(U400*1,type!$A$2:$A$117,0),8))</f>
        <v>הוצאות מנהליות</v>
      </c>
      <c r="W400" s="18" t="str">
        <f t="shared" si="54"/>
        <v>50</v>
      </c>
      <c r="X400" s="18" t="e">
        <f>IF($L400&lt;"6",INDEX(Revenue_type,MATCH(W400*1,type!$A$118:$A$168,0),8),INDEX(Expenditure_type,MATCH(W400*1,type!$A$2:$A$117,0),8))</f>
        <v>#N/A</v>
      </c>
      <c r="Y400" s="18" t="str">
        <f t="shared" si="55"/>
        <v>500</v>
      </c>
      <c r="Z400" s="18" t="e">
        <f>IF($L400&lt;"6",INDEX(Revenue_type,MATCH(Y400*1,type!$A$118:$A$168,0),8),INDEX(Expenditure_type,MATCH(Y400*1,type!$A$2:$A$117,0),8))</f>
        <v>#N/A</v>
      </c>
    </row>
    <row r="401" spans="1:26" ht="15.75" hidden="1" customHeight="1" outlineLevel="2">
      <c r="A401">
        <v>700</v>
      </c>
      <c r="B401" s="249">
        <v>732100</v>
      </c>
      <c r="C401">
        <v>1</v>
      </c>
      <c r="D401" t="str">
        <f t="shared" si="48"/>
        <v>1732100.700</v>
      </c>
      <c r="E401" s="348" t="s">
        <v>8084</v>
      </c>
      <c r="F401" s="242"/>
      <c r="G401"/>
      <c r="H401" s="322">
        <v>11900</v>
      </c>
      <c r="I401" s="322">
        <v>12100</v>
      </c>
      <c r="J401" s="242">
        <v>21200</v>
      </c>
      <c r="K401" s="18" t="e">
        <f>INDEX(תקציב_2013,MATCH(D401,'תקציב 2015'!$D$3:$D$5960,0),8)</f>
        <v>#N/A</v>
      </c>
      <c r="L401" s="18" t="str">
        <f t="shared" si="49"/>
        <v>7</v>
      </c>
      <c r="M401" s="18" t="str">
        <f>INDEX(Chapter,MATCH(L401,Chapter!$A$1:$A$681,0),8)</f>
        <v>שירותים מקומיים</v>
      </c>
      <c r="N401" s="18" t="str">
        <f t="shared" si="50"/>
        <v>73</v>
      </c>
      <c r="O401" s="18" t="str">
        <f>INDEX(Chapter,MATCH(N401,Chapter!$A$1:$A$681,0),8)</f>
        <v>תכנון ובנין עיר</v>
      </c>
      <c r="P401" s="18" t="str">
        <f t="shared" si="51"/>
        <v>732</v>
      </c>
      <c r="Q401" s="18" t="str">
        <f>INDEX(Chapter,MATCH(P401,Chapter!$A$1:$A$681,0),8)</f>
        <v>תכנון עיר</v>
      </c>
      <c r="R401" s="18" t="str">
        <f t="shared" si="52"/>
        <v>7321</v>
      </c>
      <c r="S401" s="18" t="str">
        <f>INDEX(Chapter,MATCH(R401,Chapter!$A$1:$A$681,0),8)</f>
        <v>תכנון כללי</v>
      </c>
      <c r="T401" s="18"/>
      <c r="U401" s="18" t="str">
        <f t="shared" si="53"/>
        <v>7</v>
      </c>
      <c r="V401" s="18" t="str">
        <f>IF($L401&lt;"6",INDEX(Revenue_type,MATCH(U401*1,type!$A$118:$A$168,0),8),INDEX(Expenditure_type,MATCH(U401*1,type!$A$2:$A$117,0),8))</f>
        <v>הוצאות לפעולות</v>
      </c>
      <c r="W401" s="18" t="str">
        <f t="shared" si="54"/>
        <v>70</v>
      </c>
      <c r="X401" s="18" t="e">
        <f>IF($L401&lt;"6",INDEX(Revenue_type,MATCH(W401*1,type!$A$118:$A$168,0),8),INDEX(Expenditure_type,MATCH(W401*1,type!$A$2:$A$117,0),8))</f>
        <v>#N/A</v>
      </c>
      <c r="Y401" s="18" t="str">
        <f t="shared" si="55"/>
        <v>700</v>
      </c>
      <c r="Z401" s="18" t="e">
        <f>IF($L401&lt;"6",INDEX(Revenue_type,MATCH(Y401*1,type!$A$118:$A$168,0),8),INDEX(Expenditure_type,MATCH(Y401*1,type!$A$2:$A$117,0),8))</f>
        <v>#N/A</v>
      </c>
    </row>
    <row r="402" spans="1:26" ht="15.75" hidden="1" customHeight="1" outlineLevel="2">
      <c r="A402">
        <v>100</v>
      </c>
      <c r="B402" s="249">
        <v>771500</v>
      </c>
      <c r="C402">
        <v>1</v>
      </c>
      <c r="D402" t="str">
        <f t="shared" si="48"/>
        <v>1771500.100</v>
      </c>
      <c r="E402" s="348" t="s">
        <v>8085</v>
      </c>
      <c r="F402" s="242"/>
      <c r="G402"/>
      <c r="H402" s="322">
        <v>1021400</v>
      </c>
      <c r="I402" s="322">
        <v>713400</v>
      </c>
      <c r="J402" s="242">
        <v>882200</v>
      </c>
      <c r="K402" s="18" t="e">
        <f>INDEX(תקציב_2013,MATCH(D402,'תקציב 2015'!$D$3:$D$5960,0),8)</f>
        <v>#N/A</v>
      </c>
      <c r="L402" s="18" t="str">
        <f t="shared" si="49"/>
        <v>7</v>
      </c>
      <c r="M402" s="18" t="str">
        <f>INDEX(Chapter,MATCH(L402,Chapter!$A$1:$A$681,0),8)</f>
        <v>שירותים מקומיים</v>
      </c>
      <c r="N402" s="18" t="str">
        <f t="shared" si="50"/>
        <v>77</v>
      </c>
      <c r="O402" s="18" t="str">
        <f>INDEX(Chapter,MATCH(N402,Chapter!$A$1:$A$681,0),8)</f>
        <v>פיתוח כלכלי</v>
      </c>
      <c r="P402" s="18" t="str">
        <f t="shared" si="51"/>
        <v>771</v>
      </c>
      <c r="Q402" s="18" t="str">
        <f>INDEX(Chapter,MATCH(P402,Chapter!$A$1:$A$681,0),8)</f>
        <v>עידוד קייט ותיירות</v>
      </c>
      <c r="R402" s="18" t="str">
        <f t="shared" si="52"/>
        <v>7715</v>
      </c>
      <c r="S402" s="18" t="e">
        <f>INDEX(Chapter,MATCH(R402,Chapter!$A$1:$A$681,0),8)</f>
        <v>#N/A</v>
      </c>
      <c r="T402" s="18"/>
      <c r="U402" s="18" t="str">
        <f t="shared" si="53"/>
        <v>1</v>
      </c>
      <c r="V402" s="18" t="str">
        <f>IF($L402&lt;"6",INDEX(Revenue_type,MATCH(U402*1,type!$A$118:$A$168,0),8),INDEX(Expenditure_type,MATCH(U402*1,type!$A$2:$A$117,0),8))</f>
        <v>משכורות וש"ע לעובדים לפי תקן</v>
      </c>
      <c r="W402" s="18" t="str">
        <f t="shared" si="54"/>
        <v>10</v>
      </c>
      <c r="X402" s="18" t="e">
        <f>IF($L402&lt;"6",INDEX(Revenue_type,MATCH(W402*1,type!$A$118:$A$168,0),8),INDEX(Expenditure_type,MATCH(W402*1,type!$A$2:$A$117,0),8))</f>
        <v>#N/A</v>
      </c>
      <c r="Y402" s="18" t="str">
        <f t="shared" si="55"/>
        <v>100</v>
      </c>
      <c r="Z402" s="18" t="e">
        <f>IF($L402&lt;"6",INDEX(Revenue_type,MATCH(Y402*1,type!$A$118:$A$168,0),8),INDEX(Expenditure_type,MATCH(Y402*1,type!$A$2:$A$117,0),8))</f>
        <v>#N/A</v>
      </c>
    </row>
    <row r="403" spans="1:26" ht="15.75" hidden="1" customHeight="1" outlineLevel="2">
      <c r="A403">
        <v>120</v>
      </c>
      <c r="B403" s="249">
        <v>771500</v>
      </c>
      <c r="C403">
        <v>1</v>
      </c>
      <c r="D403" t="str">
        <f t="shared" si="48"/>
        <v>1771500.120</v>
      </c>
      <c r="E403" s="348" t="s">
        <v>8086</v>
      </c>
      <c r="F403" s="242"/>
      <c r="G403"/>
      <c r="H403" s="322">
        <v>35600</v>
      </c>
      <c r="I403" s="322">
        <v>35600</v>
      </c>
      <c r="J403" s="242">
        <v>34400</v>
      </c>
      <c r="K403" s="18" t="e">
        <f>INDEX(תקציב_2013,MATCH(D403,'תקציב 2015'!$D$3:$D$5960,0),8)</f>
        <v>#N/A</v>
      </c>
      <c r="L403" s="18" t="str">
        <f t="shared" si="49"/>
        <v>7</v>
      </c>
      <c r="M403" s="18" t="str">
        <f>INDEX(Chapter,MATCH(L403,Chapter!$A$1:$A$681,0),8)</f>
        <v>שירותים מקומיים</v>
      </c>
      <c r="N403" s="18" t="str">
        <f t="shared" si="50"/>
        <v>77</v>
      </c>
      <c r="O403" s="18" t="str">
        <f>INDEX(Chapter,MATCH(N403,Chapter!$A$1:$A$681,0),8)</f>
        <v>פיתוח כלכלי</v>
      </c>
      <c r="P403" s="18" t="str">
        <f t="shared" si="51"/>
        <v>771</v>
      </c>
      <c r="Q403" s="18" t="str">
        <f>INDEX(Chapter,MATCH(P403,Chapter!$A$1:$A$681,0),8)</f>
        <v>עידוד קייט ותיירות</v>
      </c>
      <c r="R403" s="18" t="str">
        <f t="shared" si="52"/>
        <v>7715</v>
      </c>
      <c r="S403" s="18" t="e">
        <f>INDEX(Chapter,MATCH(R403,Chapter!$A$1:$A$681,0),8)</f>
        <v>#N/A</v>
      </c>
      <c r="T403" s="18"/>
      <c r="U403" s="18" t="str">
        <f t="shared" si="53"/>
        <v>1</v>
      </c>
      <c r="V403" s="18" t="str">
        <f>IF($L403&lt;"6",INDEX(Revenue_type,MATCH(U403*1,type!$A$118:$A$168,0),8),INDEX(Expenditure_type,MATCH(U403*1,type!$A$2:$A$117,0),8))</f>
        <v>משכורות וש"ע לעובדים לפי תקן</v>
      </c>
      <c r="W403" s="18" t="str">
        <f t="shared" si="54"/>
        <v>12</v>
      </c>
      <c r="X403" s="18" t="str">
        <f>IF($L403&lt;"6",INDEX(Revenue_type,MATCH(W403*1,type!$A$118:$A$168,0),8),INDEX(Expenditure_type,MATCH(W403*1,type!$A$2:$A$117,0),8))</f>
        <v>תוספות שאינן נכללות בשכר הקובע</v>
      </c>
      <c r="Y403" s="18" t="str">
        <f t="shared" si="55"/>
        <v>120</v>
      </c>
      <c r="Z403" s="18" t="e">
        <f>IF($L403&lt;"6",INDEX(Revenue_type,MATCH(Y403*1,type!$A$118:$A$168,0),8),INDEX(Expenditure_type,MATCH(Y403*1,type!$A$2:$A$117,0),8))</f>
        <v>#N/A</v>
      </c>
    </row>
    <row r="404" spans="1:26" ht="15.75" hidden="1" customHeight="1" outlineLevel="2">
      <c r="A404">
        <v>400</v>
      </c>
      <c r="B404" s="249">
        <v>771500</v>
      </c>
      <c r="C404">
        <v>1</v>
      </c>
      <c r="D404" t="str">
        <f t="shared" si="48"/>
        <v>1771500.400</v>
      </c>
      <c r="E404" s="348" t="s">
        <v>8087</v>
      </c>
      <c r="F404" s="242"/>
      <c r="G404"/>
      <c r="H404" s="322">
        <v>4000</v>
      </c>
      <c r="I404" s="322">
        <v>4200</v>
      </c>
      <c r="J404" s="242">
        <v>4400</v>
      </c>
      <c r="K404" s="18" t="e">
        <f>INDEX(תקציב_2013,MATCH(D404,'תקציב 2015'!$D$3:$D$5960,0),8)</f>
        <v>#N/A</v>
      </c>
      <c r="L404" s="18" t="str">
        <f t="shared" si="49"/>
        <v>7</v>
      </c>
      <c r="M404" s="18" t="str">
        <f>INDEX(Chapter,MATCH(L404,Chapter!$A$1:$A$681,0),8)</f>
        <v>שירותים מקומיים</v>
      </c>
      <c r="N404" s="18" t="str">
        <f t="shared" si="50"/>
        <v>77</v>
      </c>
      <c r="O404" s="18" t="str">
        <f>INDEX(Chapter,MATCH(N404,Chapter!$A$1:$A$681,0),8)</f>
        <v>פיתוח כלכלי</v>
      </c>
      <c r="P404" s="18" t="str">
        <f t="shared" si="51"/>
        <v>771</v>
      </c>
      <c r="Q404" s="18" t="str">
        <f>INDEX(Chapter,MATCH(P404,Chapter!$A$1:$A$681,0),8)</f>
        <v>עידוד קייט ותיירות</v>
      </c>
      <c r="R404" s="18" t="str">
        <f t="shared" si="52"/>
        <v>7715</v>
      </c>
      <c r="S404" s="18" t="e">
        <f>INDEX(Chapter,MATCH(R404,Chapter!$A$1:$A$681,0),8)</f>
        <v>#N/A</v>
      </c>
      <c r="T404" s="18"/>
      <c r="U404" s="18" t="str">
        <f t="shared" si="53"/>
        <v>4</v>
      </c>
      <c r="V404" s="18" t="str">
        <f>IF($L404&lt;"6",INDEX(Revenue_type,MATCH(U404*1,type!$A$118:$A$168,0),8),INDEX(Expenditure_type,MATCH(U404*1,type!$A$2:$A$117,0),8))</f>
        <v>אחזקת בינים ואספקת ציוד</v>
      </c>
      <c r="W404" s="18" t="str">
        <f t="shared" si="54"/>
        <v>40</v>
      </c>
      <c r="X404" s="18" t="e">
        <f>IF($L404&lt;"6",INDEX(Revenue_type,MATCH(W404*1,type!$A$118:$A$168,0),8),INDEX(Expenditure_type,MATCH(W404*1,type!$A$2:$A$117,0),8))</f>
        <v>#N/A</v>
      </c>
      <c r="Y404" s="18" t="str">
        <f t="shared" si="55"/>
        <v>400</v>
      </c>
      <c r="Z404" s="18" t="e">
        <f>IF($L404&lt;"6",INDEX(Revenue_type,MATCH(Y404*1,type!$A$118:$A$168,0),8),INDEX(Expenditure_type,MATCH(Y404*1,type!$A$2:$A$117,0),8))</f>
        <v>#N/A</v>
      </c>
    </row>
    <row r="405" spans="1:26" ht="15.75" hidden="1" customHeight="1" outlineLevel="2">
      <c r="A405">
        <v>500</v>
      </c>
      <c r="B405" s="249">
        <v>771500</v>
      </c>
      <c r="C405">
        <v>1</v>
      </c>
      <c r="D405" t="str">
        <f t="shared" si="48"/>
        <v>1771500.500</v>
      </c>
      <c r="E405" s="348" t="s">
        <v>8088</v>
      </c>
      <c r="F405" s="242"/>
      <c r="G405"/>
      <c r="H405" s="322">
        <v>15700</v>
      </c>
      <c r="I405" s="322">
        <v>15800</v>
      </c>
      <c r="J405" s="242">
        <v>9300</v>
      </c>
      <c r="K405" s="18" t="e">
        <f>INDEX(תקציב_2013,MATCH(D405,'תקציב 2015'!$D$3:$D$5960,0),8)</f>
        <v>#N/A</v>
      </c>
      <c r="L405" s="18" t="str">
        <f t="shared" si="49"/>
        <v>7</v>
      </c>
      <c r="M405" s="18" t="str">
        <f>INDEX(Chapter,MATCH(L405,Chapter!$A$1:$A$681,0),8)</f>
        <v>שירותים מקומיים</v>
      </c>
      <c r="N405" s="18" t="str">
        <f t="shared" si="50"/>
        <v>77</v>
      </c>
      <c r="O405" s="18" t="str">
        <f>INDEX(Chapter,MATCH(N405,Chapter!$A$1:$A$681,0),8)</f>
        <v>פיתוח כלכלי</v>
      </c>
      <c r="P405" s="18" t="str">
        <f t="shared" si="51"/>
        <v>771</v>
      </c>
      <c r="Q405" s="18" t="str">
        <f>INDEX(Chapter,MATCH(P405,Chapter!$A$1:$A$681,0),8)</f>
        <v>עידוד קייט ותיירות</v>
      </c>
      <c r="R405" s="18" t="str">
        <f t="shared" si="52"/>
        <v>7715</v>
      </c>
      <c r="S405" s="18" t="e">
        <f>INDEX(Chapter,MATCH(R405,Chapter!$A$1:$A$681,0),8)</f>
        <v>#N/A</v>
      </c>
      <c r="T405" s="18"/>
      <c r="U405" s="18" t="str">
        <f t="shared" si="53"/>
        <v>5</v>
      </c>
      <c r="V405" s="18" t="str">
        <f>IF($L405&lt;"6",INDEX(Revenue_type,MATCH(U405*1,type!$A$118:$A$168,0),8),INDEX(Expenditure_type,MATCH(U405*1,type!$A$2:$A$117,0),8))</f>
        <v>הוצאות מנהליות</v>
      </c>
      <c r="W405" s="18" t="str">
        <f t="shared" si="54"/>
        <v>50</v>
      </c>
      <c r="X405" s="18" t="e">
        <f>IF($L405&lt;"6",INDEX(Revenue_type,MATCH(W405*1,type!$A$118:$A$168,0),8),INDEX(Expenditure_type,MATCH(W405*1,type!$A$2:$A$117,0),8))</f>
        <v>#N/A</v>
      </c>
      <c r="Y405" s="18" t="str">
        <f t="shared" si="55"/>
        <v>500</v>
      </c>
      <c r="Z405" s="18" t="e">
        <f>IF($L405&lt;"6",INDEX(Revenue_type,MATCH(Y405*1,type!$A$118:$A$168,0),8),INDEX(Expenditure_type,MATCH(Y405*1,type!$A$2:$A$117,0),8))</f>
        <v>#N/A</v>
      </c>
    </row>
    <row r="406" spans="1:26" ht="15.75" hidden="1" customHeight="1" outlineLevel="2">
      <c r="A406">
        <v>500</v>
      </c>
      <c r="B406" s="249">
        <v>771500</v>
      </c>
      <c r="C406">
        <v>1</v>
      </c>
      <c r="D406" t="str">
        <f t="shared" si="48"/>
        <v>1771500.500</v>
      </c>
      <c r="E406" s="348" t="s">
        <v>8089</v>
      </c>
      <c r="F406" s="242"/>
      <c r="G406"/>
      <c r="H406" s="322">
        <v>10000</v>
      </c>
      <c r="I406" s="322">
        <v>10400</v>
      </c>
      <c r="J406" s="242">
        <v>300</v>
      </c>
      <c r="K406" s="18" t="e">
        <f>INDEX(תקציב_2013,MATCH(D406,'תקציב 2015'!$D$3:$D$5960,0),8)</f>
        <v>#N/A</v>
      </c>
      <c r="L406" s="18" t="str">
        <f t="shared" si="49"/>
        <v>7</v>
      </c>
      <c r="M406" s="18" t="str">
        <f>INDEX(Chapter,MATCH(L406,Chapter!$A$1:$A$681,0),8)</f>
        <v>שירותים מקומיים</v>
      </c>
      <c r="N406" s="18" t="str">
        <f t="shared" si="50"/>
        <v>77</v>
      </c>
      <c r="O406" s="18" t="str">
        <f>INDEX(Chapter,MATCH(N406,Chapter!$A$1:$A$681,0),8)</f>
        <v>פיתוח כלכלי</v>
      </c>
      <c r="P406" s="18" t="str">
        <f t="shared" si="51"/>
        <v>771</v>
      </c>
      <c r="Q406" s="18" t="str">
        <f>INDEX(Chapter,MATCH(P406,Chapter!$A$1:$A$681,0),8)</f>
        <v>עידוד קייט ותיירות</v>
      </c>
      <c r="R406" s="18" t="str">
        <f t="shared" si="52"/>
        <v>7715</v>
      </c>
      <c r="S406" s="18" t="e">
        <f>INDEX(Chapter,MATCH(R406,Chapter!$A$1:$A$681,0),8)</f>
        <v>#N/A</v>
      </c>
      <c r="T406" s="18"/>
      <c r="U406" s="18" t="str">
        <f t="shared" si="53"/>
        <v>5</v>
      </c>
      <c r="V406" s="18" t="str">
        <f>IF($L406&lt;"6",INDEX(Revenue_type,MATCH(U406*1,type!$A$118:$A$168,0),8),INDEX(Expenditure_type,MATCH(U406*1,type!$A$2:$A$117,0),8))</f>
        <v>הוצאות מנהליות</v>
      </c>
      <c r="W406" s="18" t="str">
        <f t="shared" si="54"/>
        <v>50</v>
      </c>
      <c r="X406" s="18" t="e">
        <f>IF($L406&lt;"6",INDEX(Revenue_type,MATCH(W406*1,type!$A$118:$A$168,0),8),INDEX(Expenditure_type,MATCH(W406*1,type!$A$2:$A$117,0),8))</f>
        <v>#N/A</v>
      </c>
      <c r="Y406" s="18" t="str">
        <f t="shared" si="55"/>
        <v>500</v>
      </c>
      <c r="Z406" s="18" t="e">
        <f>IF($L406&lt;"6",INDEX(Revenue_type,MATCH(Y406*1,type!$A$118:$A$168,0),8),INDEX(Expenditure_type,MATCH(Y406*1,type!$A$2:$A$117,0),8))</f>
        <v>#N/A</v>
      </c>
    </row>
    <row r="407" spans="1:26" ht="15.75" hidden="1" customHeight="1" outlineLevel="2">
      <c r="A407">
        <v>700</v>
      </c>
      <c r="B407" s="249">
        <v>771500</v>
      </c>
      <c r="C407">
        <v>1</v>
      </c>
      <c r="D407" t="str">
        <f t="shared" si="48"/>
        <v>1771500.700</v>
      </c>
      <c r="E407" s="348" t="s">
        <v>8090</v>
      </c>
      <c r="F407" s="242"/>
      <c r="G407"/>
      <c r="H407" s="322">
        <v>11000</v>
      </c>
      <c r="I407" s="322">
        <v>11500</v>
      </c>
      <c r="J407" s="242">
        <v>2000</v>
      </c>
      <c r="K407" s="18" t="e">
        <f>INDEX(תקציב_2013,MATCH(D407,'תקציב 2015'!$D$3:$D$5960,0),8)</f>
        <v>#N/A</v>
      </c>
      <c r="L407" s="18" t="str">
        <f t="shared" si="49"/>
        <v>7</v>
      </c>
      <c r="M407" s="18" t="str">
        <f>INDEX(Chapter,MATCH(L407,Chapter!$A$1:$A$681,0),8)</f>
        <v>שירותים מקומיים</v>
      </c>
      <c r="N407" s="18" t="str">
        <f t="shared" si="50"/>
        <v>77</v>
      </c>
      <c r="O407" s="18" t="str">
        <f>INDEX(Chapter,MATCH(N407,Chapter!$A$1:$A$681,0),8)</f>
        <v>פיתוח כלכלי</v>
      </c>
      <c r="P407" s="18" t="str">
        <f t="shared" si="51"/>
        <v>771</v>
      </c>
      <c r="Q407" s="18" t="str">
        <f>INDEX(Chapter,MATCH(P407,Chapter!$A$1:$A$681,0),8)</f>
        <v>עידוד קייט ותיירות</v>
      </c>
      <c r="R407" s="18" t="str">
        <f t="shared" si="52"/>
        <v>7715</v>
      </c>
      <c r="S407" s="18" t="e">
        <f>INDEX(Chapter,MATCH(R407,Chapter!$A$1:$A$681,0),8)</f>
        <v>#N/A</v>
      </c>
      <c r="T407" s="18"/>
      <c r="U407" s="18" t="str">
        <f t="shared" si="53"/>
        <v>7</v>
      </c>
      <c r="V407" s="18" t="str">
        <f>IF($L407&lt;"6",INDEX(Revenue_type,MATCH(U407*1,type!$A$118:$A$168,0),8),INDEX(Expenditure_type,MATCH(U407*1,type!$A$2:$A$117,0),8))</f>
        <v>הוצאות לפעולות</v>
      </c>
      <c r="W407" s="18" t="str">
        <f t="shared" si="54"/>
        <v>70</v>
      </c>
      <c r="X407" s="18" t="e">
        <f>IF($L407&lt;"6",INDEX(Revenue_type,MATCH(W407*1,type!$A$118:$A$168,0),8),INDEX(Expenditure_type,MATCH(W407*1,type!$A$2:$A$117,0),8))</f>
        <v>#N/A</v>
      </c>
      <c r="Y407" s="18" t="str">
        <f t="shared" si="55"/>
        <v>700</v>
      </c>
      <c r="Z407" s="18" t="e">
        <f>IF($L407&lt;"6",INDEX(Revenue_type,MATCH(Y407*1,type!$A$118:$A$168,0),8),INDEX(Expenditure_type,MATCH(Y407*1,type!$A$2:$A$117,0),8))</f>
        <v>#N/A</v>
      </c>
    </row>
    <row r="408" spans="1:26" ht="15.75" hidden="1" customHeight="1" outlineLevel="2">
      <c r="A408">
        <v>100</v>
      </c>
      <c r="B408" s="249">
        <v>771510</v>
      </c>
      <c r="C408">
        <v>1</v>
      </c>
      <c r="D408" t="str">
        <f t="shared" si="48"/>
        <v>1771510.100</v>
      </c>
      <c r="E408" s="348" t="s">
        <v>8091</v>
      </c>
      <c r="F408" s="242"/>
      <c r="G408"/>
      <c r="H408" s="322">
        <v>2207600</v>
      </c>
      <c r="I408" s="322">
        <v>1836600</v>
      </c>
      <c r="J408" s="242">
        <v>2155100</v>
      </c>
      <c r="K408" s="18" t="e">
        <f>INDEX(תקציב_2013,MATCH(D408,'תקציב 2015'!$D$3:$D$5960,0),8)</f>
        <v>#N/A</v>
      </c>
      <c r="L408" s="18" t="str">
        <f t="shared" si="49"/>
        <v>7</v>
      </c>
      <c r="M408" s="18" t="str">
        <f>INDEX(Chapter,MATCH(L408,Chapter!$A$1:$A$681,0),8)</f>
        <v>שירותים מקומיים</v>
      </c>
      <c r="N408" s="18" t="str">
        <f t="shared" si="50"/>
        <v>77</v>
      </c>
      <c r="O408" s="18" t="str">
        <f>INDEX(Chapter,MATCH(N408,Chapter!$A$1:$A$681,0),8)</f>
        <v>פיתוח כלכלי</v>
      </c>
      <c r="P408" s="18" t="str">
        <f t="shared" si="51"/>
        <v>771</v>
      </c>
      <c r="Q408" s="18" t="str">
        <f>INDEX(Chapter,MATCH(P408,Chapter!$A$1:$A$681,0),8)</f>
        <v>עידוד קייט ותיירות</v>
      </c>
      <c r="R408" s="18" t="str">
        <f t="shared" si="52"/>
        <v>7715</v>
      </c>
      <c r="S408" s="18" t="e">
        <f>INDEX(Chapter,MATCH(R408,Chapter!$A$1:$A$681,0),8)</f>
        <v>#N/A</v>
      </c>
      <c r="T408" s="18"/>
      <c r="U408" s="18" t="str">
        <f t="shared" si="53"/>
        <v>1</v>
      </c>
      <c r="V408" s="18" t="str">
        <f>IF($L408&lt;"6",INDEX(Revenue_type,MATCH(U408*1,type!$A$118:$A$168,0),8),INDEX(Expenditure_type,MATCH(U408*1,type!$A$2:$A$117,0),8))</f>
        <v>משכורות וש"ע לעובדים לפי תקן</v>
      </c>
      <c r="W408" s="18" t="str">
        <f t="shared" si="54"/>
        <v>10</v>
      </c>
      <c r="X408" s="18" t="e">
        <f>IF($L408&lt;"6",INDEX(Revenue_type,MATCH(W408*1,type!$A$118:$A$168,0),8),INDEX(Expenditure_type,MATCH(W408*1,type!$A$2:$A$117,0),8))</f>
        <v>#N/A</v>
      </c>
      <c r="Y408" s="18" t="str">
        <f t="shared" si="55"/>
        <v>100</v>
      </c>
      <c r="Z408" s="18" t="e">
        <f>IF($L408&lt;"6",INDEX(Revenue_type,MATCH(Y408*1,type!$A$118:$A$168,0),8),INDEX(Expenditure_type,MATCH(Y408*1,type!$A$2:$A$117,0),8))</f>
        <v>#N/A</v>
      </c>
    </row>
    <row r="409" spans="1:26" ht="15.75" hidden="1" customHeight="1" outlineLevel="2">
      <c r="A409">
        <v>120</v>
      </c>
      <c r="B409" s="249">
        <v>771510</v>
      </c>
      <c r="C409">
        <v>1</v>
      </c>
      <c r="D409" t="str">
        <f t="shared" si="48"/>
        <v>1771510.120</v>
      </c>
      <c r="E409" s="348" t="s">
        <v>8092</v>
      </c>
      <c r="F409" s="242"/>
      <c r="G409"/>
      <c r="H409" s="322">
        <v>54400</v>
      </c>
      <c r="I409" s="322">
        <v>54400</v>
      </c>
      <c r="J409" s="242">
        <v>46100</v>
      </c>
      <c r="K409" s="18" t="e">
        <f>INDEX(תקציב_2013,MATCH(D409,'תקציב 2015'!$D$3:$D$5960,0),8)</f>
        <v>#N/A</v>
      </c>
      <c r="L409" s="18" t="str">
        <f t="shared" si="49"/>
        <v>7</v>
      </c>
      <c r="M409" s="18" t="str">
        <f>INDEX(Chapter,MATCH(L409,Chapter!$A$1:$A$681,0),8)</f>
        <v>שירותים מקומיים</v>
      </c>
      <c r="N409" s="18" t="str">
        <f t="shared" si="50"/>
        <v>77</v>
      </c>
      <c r="O409" s="18" t="str">
        <f>INDEX(Chapter,MATCH(N409,Chapter!$A$1:$A$681,0),8)</f>
        <v>פיתוח כלכלי</v>
      </c>
      <c r="P409" s="18" t="str">
        <f t="shared" si="51"/>
        <v>771</v>
      </c>
      <c r="Q409" s="18" t="str">
        <f>INDEX(Chapter,MATCH(P409,Chapter!$A$1:$A$681,0),8)</f>
        <v>עידוד קייט ותיירות</v>
      </c>
      <c r="R409" s="18" t="str">
        <f t="shared" si="52"/>
        <v>7715</v>
      </c>
      <c r="S409" s="18" t="e">
        <f>INDEX(Chapter,MATCH(R409,Chapter!$A$1:$A$681,0),8)</f>
        <v>#N/A</v>
      </c>
      <c r="T409" s="18"/>
      <c r="U409" s="18" t="str">
        <f t="shared" si="53"/>
        <v>1</v>
      </c>
      <c r="V409" s="18" t="str">
        <f>IF($L409&lt;"6",INDEX(Revenue_type,MATCH(U409*1,type!$A$118:$A$168,0),8),INDEX(Expenditure_type,MATCH(U409*1,type!$A$2:$A$117,0),8))</f>
        <v>משכורות וש"ע לעובדים לפי תקן</v>
      </c>
      <c r="W409" s="18" t="str">
        <f t="shared" si="54"/>
        <v>12</v>
      </c>
      <c r="X409" s="18" t="str">
        <f>IF($L409&lt;"6",INDEX(Revenue_type,MATCH(W409*1,type!$A$118:$A$168,0),8),INDEX(Expenditure_type,MATCH(W409*1,type!$A$2:$A$117,0),8))</f>
        <v>תוספות שאינן נכללות בשכר הקובע</v>
      </c>
      <c r="Y409" s="18" t="str">
        <f t="shared" si="55"/>
        <v>120</v>
      </c>
      <c r="Z409" s="18" t="e">
        <f>IF($L409&lt;"6",INDEX(Revenue_type,MATCH(Y409*1,type!$A$118:$A$168,0),8),INDEX(Expenditure_type,MATCH(Y409*1,type!$A$2:$A$117,0),8))</f>
        <v>#N/A</v>
      </c>
    </row>
    <row r="410" spans="1:26" ht="15.75" hidden="1" customHeight="1" outlineLevel="2">
      <c r="A410">
        <v>100</v>
      </c>
      <c r="B410" s="249">
        <v>732040</v>
      </c>
      <c r="C410">
        <v>1</v>
      </c>
      <c r="D410" t="str">
        <f t="shared" si="48"/>
        <v>1732040.100</v>
      </c>
      <c r="E410" s="348" t="s">
        <v>8093</v>
      </c>
      <c r="F410" s="242"/>
      <c r="G410"/>
      <c r="H410" s="322">
        <v>1805700</v>
      </c>
      <c r="I410" s="322">
        <v>1785700</v>
      </c>
      <c r="J410" s="242">
        <v>1634900</v>
      </c>
      <c r="K410" s="18" t="e">
        <f>INDEX(תקציב_2013,MATCH(D410,'תקציב 2015'!$D$3:$D$5960,0),8)</f>
        <v>#N/A</v>
      </c>
      <c r="L410" s="18" t="str">
        <f t="shared" si="49"/>
        <v>7</v>
      </c>
      <c r="M410" s="18" t="str">
        <f>INDEX(Chapter,MATCH(L410,Chapter!$A$1:$A$681,0),8)</f>
        <v>שירותים מקומיים</v>
      </c>
      <c r="N410" s="18" t="str">
        <f t="shared" si="50"/>
        <v>73</v>
      </c>
      <c r="O410" s="18" t="str">
        <f>INDEX(Chapter,MATCH(N410,Chapter!$A$1:$A$681,0),8)</f>
        <v>תכנון ובנין עיר</v>
      </c>
      <c r="P410" s="18" t="str">
        <f t="shared" si="51"/>
        <v>732</v>
      </c>
      <c r="Q410" s="18" t="str">
        <f>INDEX(Chapter,MATCH(P410,Chapter!$A$1:$A$681,0),8)</f>
        <v>תכנון עיר</v>
      </c>
      <c r="R410" s="18" t="str">
        <f t="shared" si="52"/>
        <v>7320</v>
      </c>
      <c r="S410" s="18" t="e">
        <f>INDEX(Chapter,MATCH(R410,Chapter!$A$1:$A$681,0),8)</f>
        <v>#N/A</v>
      </c>
      <c r="T410" s="18"/>
      <c r="U410" s="18" t="str">
        <f t="shared" si="53"/>
        <v>1</v>
      </c>
      <c r="V410" s="18" t="str">
        <f>IF($L410&lt;"6",INDEX(Revenue_type,MATCH(U410*1,type!$A$118:$A$168,0),8),INDEX(Expenditure_type,MATCH(U410*1,type!$A$2:$A$117,0),8))</f>
        <v>משכורות וש"ע לעובדים לפי תקן</v>
      </c>
      <c r="W410" s="18" t="str">
        <f t="shared" si="54"/>
        <v>10</v>
      </c>
      <c r="X410" s="18" t="e">
        <f>IF($L410&lt;"6",INDEX(Revenue_type,MATCH(W410*1,type!$A$118:$A$168,0),8),INDEX(Expenditure_type,MATCH(W410*1,type!$A$2:$A$117,0),8))</f>
        <v>#N/A</v>
      </c>
      <c r="Y410" s="18" t="str">
        <f t="shared" si="55"/>
        <v>100</v>
      </c>
      <c r="Z410" s="18" t="e">
        <f>IF($L410&lt;"6",INDEX(Revenue_type,MATCH(Y410*1,type!$A$118:$A$168,0),8),INDEX(Expenditure_type,MATCH(Y410*1,type!$A$2:$A$117,0),8))</f>
        <v>#N/A</v>
      </c>
    </row>
    <row r="411" spans="1:26" ht="15.75" hidden="1" customHeight="1" outlineLevel="2">
      <c r="A411">
        <v>120</v>
      </c>
      <c r="B411" s="249">
        <v>732040</v>
      </c>
      <c r="C411">
        <v>1</v>
      </c>
      <c r="D411" t="str">
        <f t="shared" si="48"/>
        <v>1732040.120</v>
      </c>
      <c r="E411" s="348" t="s">
        <v>8094</v>
      </c>
      <c r="F411" s="242"/>
      <c r="G411"/>
      <c r="H411" s="322">
        <v>28300</v>
      </c>
      <c r="I411" s="322">
        <v>28300</v>
      </c>
      <c r="J411" s="242">
        <v>30900</v>
      </c>
      <c r="K411" s="18" t="e">
        <f>INDEX(תקציב_2013,MATCH(D411,'תקציב 2015'!$D$3:$D$5960,0),8)</f>
        <v>#N/A</v>
      </c>
      <c r="L411" s="18" t="str">
        <f t="shared" si="49"/>
        <v>7</v>
      </c>
      <c r="M411" s="18" t="str">
        <f>INDEX(Chapter,MATCH(L411,Chapter!$A$1:$A$681,0),8)</f>
        <v>שירותים מקומיים</v>
      </c>
      <c r="N411" s="18" t="str">
        <f t="shared" si="50"/>
        <v>73</v>
      </c>
      <c r="O411" s="18" t="str">
        <f>INDEX(Chapter,MATCH(N411,Chapter!$A$1:$A$681,0),8)</f>
        <v>תכנון ובנין עיר</v>
      </c>
      <c r="P411" s="18" t="str">
        <f t="shared" si="51"/>
        <v>732</v>
      </c>
      <c r="Q411" s="18" t="str">
        <f>INDEX(Chapter,MATCH(P411,Chapter!$A$1:$A$681,0),8)</f>
        <v>תכנון עיר</v>
      </c>
      <c r="R411" s="18" t="str">
        <f t="shared" si="52"/>
        <v>7320</v>
      </c>
      <c r="S411" s="18" t="e">
        <f>INDEX(Chapter,MATCH(R411,Chapter!$A$1:$A$681,0),8)</f>
        <v>#N/A</v>
      </c>
      <c r="T411" s="18"/>
      <c r="U411" s="18" t="str">
        <f t="shared" si="53"/>
        <v>1</v>
      </c>
      <c r="V411" s="18" t="str">
        <f>IF($L411&lt;"6",INDEX(Revenue_type,MATCH(U411*1,type!$A$118:$A$168,0),8),INDEX(Expenditure_type,MATCH(U411*1,type!$A$2:$A$117,0),8))</f>
        <v>משכורות וש"ע לעובדים לפי תקן</v>
      </c>
      <c r="W411" s="18" t="str">
        <f t="shared" si="54"/>
        <v>12</v>
      </c>
      <c r="X411" s="18" t="str">
        <f>IF($L411&lt;"6",INDEX(Revenue_type,MATCH(W411*1,type!$A$118:$A$168,0),8),INDEX(Expenditure_type,MATCH(W411*1,type!$A$2:$A$117,0),8))</f>
        <v>תוספות שאינן נכללות בשכר הקובע</v>
      </c>
      <c r="Y411" s="18" t="str">
        <f t="shared" si="55"/>
        <v>120</v>
      </c>
      <c r="Z411" s="18" t="e">
        <f>IF($L411&lt;"6",INDEX(Revenue_type,MATCH(Y411*1,type!$A$118:$A$168,0),8),INDEX(Expenditure_type,MATCH(Y411*1,type!$A$2:$A$117,0),8))</f>
        <v>#N/A</v>
      </c>
    </row>
    <row r="412" spans="1:26" ht="15.75" hidden="1" customHeight="1" outlineLevel="2">
      <c r="A412">
        <v>400</v>
      </c>
      <c r="B412" s="249">
        <v>732040</v>
      </c>
      <c r="C412">
        <v>1</v>
      </c>
      <c r="D412" t="str">
        <f t="shared" si="48"/>
        <v>1732040.400</v>
      </c>
      <c r="E412" s="348" t="s">
        <v>8095</v>
      </c>
      <c r="F412" s="242"/>
      <c r="G412"/>
      <c r="H412" s="322">
        <v>8500</v>
      </c>
      <c r="I412" s="322">
        <v>8600</v>
      </c>
      <c r="J412" s="242">
        <v>6100</v>
      </c>
      <c r="K412" s="18" t="e">
        <f>INDEX(תקציב_2013,MATCH(D412,'תקציב 2015'!$D$3:$D$5960,0),8)</f>
        <v>#N/A</v>
      </c>
      <c r="L412" s="18" t="str">
        <f t="shared" si="49"/>
        <v>7</v>
      </c>
      <c r="M412" s="18" t="str">
        <f>INDEX(Chapter,MATCH(L412,Chapter!$A$1:$A$681,0),8)</f>
        <v>שירותים מקומיים</v>
      </c>
      <c r="N412" s="18" t="str">
        <f t="shared" si="50"/>
        <v>73</v>
      </c>
      <c r="O412" s="18" t="str">
        <f>INDEX(Chapter,MATCH(N412,Chapter!$A$1:$A$681,0),8)</f>
        <v>תכנון ובנין עיר</v>
      </c>
      <c r="P412" s="18" t="str">
        <f t="shared" si="51"/>
        <v>732</v>
      </c>
      <c r="Q412" s="18" t="str">
        <f>INDEX(Chapter,MATCH(P412,Chapter!$A$1:$A$681,0),8)</f>
        <v>תכנון עיר</v>
      </c>
      <c r="R412" s="18" t="str">
        <f t="shared" si="52"/>
        <v>7320</v>
      </c>
      <c r="S412" s="18" t="e">
        <f>INDEX(Chapter,MATCH(R412,Chapter!$A$1:$A$681,0),8)</f>
        <v>#N/A</v>
      </c>
      <c r="T412" s="18"/>
      <c r="U412" s="18" t="str">
        <f t="shared" si="53"/>
        <v>4</v>
      </c>
      <c r="V412" s="18" t="str">
        <f>IF($L412&lt;"6",INDEX(Revenue_type,MATCH(U412*1,type!$A$118:$A$168,0),8),INDEX(Expenditure_type,MATCH(U412*1,type!$A$2:$A$117,0),8))</f>
        <v>אחזקת בינים ואספקת ציוד</v>
      </c>
      <c r="W412" s="18" t="str">
        <f t="shared" si="54"/>
        <v>40</v>
      </c>
      <c r="X412" s="18" t="e">
        <f>IF($L412&lt;"6",INDEX(Revenue_type,MATCH(W412*1,type!$A$118:$A$168,0),8),INDEX(Expenditure_type,MATCH(W412*1,type!$A$2:$A$117,0),8))</f>
        <v>#N/A</v>
      </c>
      <c r="Y412" s="18" t="str">
        <f t="shared" si="55"/>
        <v>400</v>
      </c>
      <c r="Z412" s="18" t="e">
        <f>IF($L412&lt;"6",INDEX(Revenue_type,MATCH(Y412*1,type!$A$118:$A$168,0),8),INDEX(Expenditure_type,MATCH(Y412*1,type!$A$2:$A$117,0),8))</f>
        <v>#N/A</v>
      </c>
    </row>
    <row r="413" spans="1:26" ht="15.75" hidden="1" customHeight="1" outlineLevel="2">
      <c r="A413">
        <v>500</v>
      </c>
      <c r="B413" s="249">
        <v>732040</v>
      </c>
      <c r="C413">
        <v>1</v>
      </c>
      <c r="D413" t="str">
        <f t="shared" si="48"/>
        <v>1732040.500</v>
      </c>
      <c r="E413" s="355" t="s">
        <v>8096</v>
      </c>
      <c r="F413" s="242"/>
      <c r="G413"/>
      <c r="H413" s="322">
        <v>5000</v>
      </c>
      <c r="I413" s="322">
        <v>5100</v>
      </c>
      <c r="J413" s="242">
        <v>400</v>
      </c>
      <c r="K413" s="18" t="e">
        <f>INDEX(תקציב_2013,MATCH(D413,'תקציב 2015'!$D$3:$D$5960,0),8)</f>
        <v>#N/A</v>
      </c>
      <c r="L413" s="18" t="str">
        <f t="shared" si="49"/>
        <v>7</v>
      </c>
      <c r="M413" s="18" t="str">
        <f>INDEX(Chapter,MATCH(L413,Chapter!$A$1:$A$681,0),8)</f>
        <v>שירותים מקומיים</v>
      </c>
      <c r="N413" s="18" t="str">
        <f t="shared" si="50"/>
        <v>73</v>
      </c>
      <c r="O413" s="18" t="str">
        <f>INDEX(Chapter,MATCH(N413,Chapter!$A$1:$A$681,0),8)</f>
        <v>תכנון ובנין עיר</v>
      </c>
      <c r="P413" s="18" t="str">
        <f t="shared" si="51"/>
        <v>732</v>
      </c>
      <c r="Q413" s="18" t="str">
        <f>INDEX(Chapter,MATCH(P413,Chapter!$A$1:$A$681,0),8)</f>
        <v>תכנון עיר</v>
      </c>
      <c r="R413" s="18" t="str">
        <f t="shared" si="52"/>
        <v>7320</v>
      </c>
      <c r="S413" s="18" t="e">
        <f>INDEX(Chapter,MATCH(R413,Chapter!$A$1:$A$681,0),8)</f>
        <v>#N/A</v>
      </c>
      <c r="T413" s="18"/>
      <c r="U413" s="18" t="str">
        <f t="shared" si="53"/>
        <v>5</v>
      </c>
      <c r="V413" s="18" t="str">
        <f>IF($L413&lt;"6",INDEX(Revenue_type,MATCH(U413*1,type!$A$118:$A$168,0),8),INDEX(Expenditure_type,MATCH(U413*1,type!$A$2:$A$117,0),8))</f>
        <v>הוצאות מנהליות</v>
      </c>
      <c r="W413" s="18" t="str">
        <f t="shared" si="54"/>
        <v>50</v>
      </c>
      <c r="X413" s="18" t="e">
        <f>IF($L413&lt;"6",INDEX(Revenue_type,MATCH(W413*1,type!$A$118:$A$168,0),8),INDEX(Expenditure_type,MATCH(W413*1,type!$A$2:$A$117,0),8))</f>
        <v>#N/A</v>
      </c>
      <c r="Y413" s="18" t="str">
        <f t="shared" si="55"/>
        <v>500</v>
      </c>
      <c r="Z413" s="18" t="e">
        <f>IF($L413&lt;"6",INDEX(Revenue_type,MATCH(Y413*1,type!$A$118:$A$168,0),8),INDEX(Expenditure_type,MATCH(Y413*1,type!$A$2:$A$117,0),8))</f>
        <v>#N/A</v>
      </c>
    </row>
    <row r="414" spans="1:26" ht="15.75" hidden="1" customHeight="1" outlineLevel="2">
      <c r="A414">
        <v>500</v>
      </c>
      <c r="B414" s="249">
        <v>732040</v>
      </c>
      <c r="C414">
        <v>1</v>
      </c>
      <c r="D414" t="str">
        <f t="shared" si="48"/>
        <v>1732040.500</v>
      </c>
      <c r="E414" s="355" t="s">
        <v>8097</v>
      </c>
      <c r="F414" s="242"/>
      <c r="G414"/>
      <c r="H414" s="322">
        <v>2000</v>
      </c>
      <c r="I414" s="322">
        <v>2400</v>
      </c>
      <c r="J414" s="242">
        <v>1300</v>
      </c>
      <c r="K414" s="18" t="e">
        <f>INDEX(תקציב_2013,MATCH(D414,'תקציב 2015'!$D$3:$D$5960,0),8)</f>
        <v>#N/A</v>
      </c>
      <c r="L414" s="18" t="str">
        <f t="shared" si="49"/>
        <v>7</v>
      </c>
      <c r="M414" s="18" t="str">
        <f>INDEX(Chapter,MATCH(L414,Chapter!$A$1:$A$681,0),8)</f>
        <v>שירותים מקומיים</v>
      </c>
      <c r="N414" s="18" t="str">
        <f t="shared" si="50"/>
        <v>73</v>
      </c>
      <c r="O414" s="18" t="str">
        <f>INDEX(Chapter,MATCH(N414,Chapter!$A$1:$A$681,0),8)</f>
        <v>תכנון ובנין עיר</v>
      </c>
      <c r="P414" s="18" t="str">
        <f t="shared" si="51"/>
        <v>732</v>
      </c>
      <c r="Q414" s="18" t="str">
        <f>INDEX(Chapter,MATCH(P414,Chapter!$A$1:$A$681,0),8)</f>
        <v>תכנון עיר</v>
      </c>
      <c r="R414" s="18" t="str">
        <f t="shared" si="52"/>
        <v>7320</v>
      </c>
      <c r="S414" s="18" t="e">
        <f>INDEX(Chapter,MATCH(R414,Chapter!$A$1:$A$681,0),8)</f>
        <v>#N/A</v>
      </c>
      <c r="T414" s="18"/>
      <c r="U414" s="18" t="str">
        <f t="shared" si="53"/>
        <v>5</v>
      </c>
      <c r="V414" s="18" t="str">
        <f>IF($L414&lt;"6",INDEX(Revenue_type,MATCH(U414*1,type!$A$118:$A$168,0),8),INDEX(Expenditure_type,MATCH(U414*1,type!$A$2:$A$117,0),8))</f>
        <v>הוצאות מנהליות</v>
      </c>
      <c r="W414" s="18" t="str">
        <f t="shared" si="54"/>
        <v>50</v>
      </c>
      <c r="X414" s="18" t="e">
        <f>IF($L414&lt;"6",INDEX(Revenue_type,MATCH(W414*1,type!$A$118:$A$168,0),8),INDEX(Expenditure_type,MATCH(W414*1,type!$A$2:$A$117,0),8))</f>
        <v>#N/A</v>
      </c>
      <c r="Y414" s="18" t="str">
        <f t="shared" si="55"/>
        <v>500</v>
      </c>
      <c r="Z414" s="18" t="e">
        <f>IF($L414&lt;"6",INDEX(Revenue_type,MATCH(Y414*1,type!$A$118:$A$168,0),8),INDEX(Expenditure_type,MATCH(Y414*1,type!$A$2:$A$117,0),8))</f>
        <v>#N/A</v>
      </c>
    </row>
    <row r="415" spans="1:26" ht="15.75" hidden="1" customHeight="1" outlineLevel="2">
      <c r="A415">
        <v>700</v>
      </c>
      <c r="B415" s="249">
        <v>732040</v>
      </c>
      <c r="C415">
        <v>1</v>
      </c>
      <c r="D415" t="str">
        <f t="shared" si="48"/>
        <v>1732040.700</v>
      </c>
      <c r="E415" s="355" t="s">
        <v>8098</v>
      </c>
      <c r="F415" s="242"/>
      <c r="G415"/>
      <c r="H415" s="322">
        <v>17600</v>
      </c>
      <c r="I415" s="322">
        <v>18000</v>
      </c>
      <c r="J415" s="242">
        <v>15200</v>
      </c>
      <c r="K415" s="18" t="e">
        <f>INDEX(תקציב_2013,MATCH(D415,'תקציב 2015'!$D$3:$D$5960,0),8)</f>
        <v>#N/A</v>
      </c>
      <c r="L415" s="18" t="str">
        <f t="shared" si="49"/>
        <v>7</v>
      </c>
      <c r="M415" s="18" t="str">
        <f>INDEX(Chapter,MATCH(L415,Chapter!$A$1:$A$681,0),8)</f>
        <v>שירותים מקומיים</v>
      </c>
      <c r="N415" s="18" t="str">
        <f t="shared" si="50"/>
        <v>73</v>
      </c>
      <c r="O415" s="18" t="str">
        <f>INDEX(Chapter,MATCH(N415,Chapter!$A$1:$A$681,0),8)</f>
        <v>תכנון ובנין עיר</v>
      </c>
      <c r="P415" s="18" t="str">
        <f t="shared" si="51"/>
        <v>732</v>
      </c>
      <c r="Q415" s="18" t="str">
        <f>INDEX(Chapter,MATCH(P415,Chapter!$A$1:$A$681,0),8)</f>
        <v>תכנון עיר</v>
      </c>
      <c r="R415" s="18" t="str">
        <f t="shared" si="52"/>
        <v>7320</v>
      </c>
      <c r="S415" s="18" t="e">
        <f>INDEX(Chapter,MATCH(R415,Chapter!$A$1:$A$681,0),8)</f>
        <v>#N/A</v>
      </c>
      <c r="T415" s="18"/>
      <c r="U415" s="18" t="str">
        <f t="shared" si="53"/>
        <v>7</v>
      </c>
      <c r="V415" s="18" t="str">
        <f>IF($L415&lt;"6",INDEX(Revenue_type,MATCH(U415*1,type!$A$118:$A$168,0),8),INDEX(Expenditure_type,MATCH(U415*1,type!$A$2:$A$117,0),8))</f>
        <v>הוצאות לפעולות</v>
      </c>
      <c r="W415" s="18" t="str">
        <f t="shared" si="54"/>
        <v>70</v>
      </c>
      <c r="X415" s="18" t="e">
        <f>IF($L415&lt;"6",INDEX(Revenue_type,MATCH(W415*1,type!$A$118:$A$168,0),8),INDEX(Expenditure_type,MATCH(W415*1,type!$A$2:$A$117,0),8))</f>
        <v>#N/A</v>
      </c>
      <c r="Y415" s="18" t="str">
        <f t="shared" si="55"/>
        <v>700</v>
      </c>
      <c r="Z415" s="18" t="e">
        <f>IF($L415&lt;"6",INDEX(Revenue_type,MATCH(Y415*1,type!$A$118:$A$168,0),8),INDEX(Expenditure_type,MATCH(Y415*1,type!$A$2:$A$117,0),8))</f>
        <v>#N/A</v>
      </c>
    </row>
    <row r="416" spans="1:26" ht="15.75" hidden="1" customHeight="1" outlineLevel="2">
      <c r="A416">
        <v>100</v>
      </c>
      <c r="B416" s="249">
        <v>733000</v>
      </c>
      <c r="C416">
        <v>1</v>
      </c>
      <c r="D416" t="str">
        <f t="shared" si="48"/>
        <v>1733000.100</v>
      </c>
      <c r="E416" s="348" t="s">
        <v>8099</v>
      </c>
      <c r="F416" s="242"/>
      <c r="G416"/>
      <c r="H416" s="322">
        <v>10784700</v>
      </c>
      <c r="I416" s="322">
        <v>9672700</v>
      </c>
      <c r="J416" s="242">
        <v>9692800</v>
      </c>
      <c r="K416" s="18" t="e">
        <f>INDEX(תקציב_2013,MATCH(D416,'תקציב 2015'!$D$3:$D$5960,0),8)</f>
        <v>#N/A</v>
      </c>
      <c r="L416" s="18" t="str">
        <f t="shared" si="49"/>
        <v>7</v>
      </c>
      <c r="M416" s="18" t="str">
        <f>INDEX(Chapter,MATCH(L416,Chapter!$A$1:$A$681,0),8)</f>
        <v>שירותים מקומיים</v>
      </c>
      <c r="N416" s="18" t="str">
        <f t="shared" si="50"/>
        <v>73</v>
      </c>
      <c r="O416" s="18" t="str">
        <f>INDEX(Chapter,MATCH(N416,Chapter!$A$1:$A$681,0),8)</f>
        <v>תכנון ובנין עיר</v>
      </c>
      <c r="P416" s="18" t="str">
        <f t="shared" si="51"/>
        <v>733</v>
      </c>
      <c r="Q416" s="18" t="str">
        <f>INDEX(Chapter,MATCH(P416,Chapter!$A$1:$A$681,0),8)</f>
        <v>רישוי ופיקוח על הבניה</v>
      </c>
      <c r="R416" s="18" t="str">
        <f t="shared" si="52"/>
        <v>7330</v>
      </c>
      <c r="S416" s="18" t="e">
        <f>INDEX(Chapter,MATCH(R416,Chapter!$A$1:$A$681,0),8)</f>
        <v>#N/A</v>
      </c>
      <c r="T416" s="18"/>
      <c r="U416" s="18" t="str">
        <f t="shared" si="53"/>
        <v>1</v>
      </c>
      <c r="V416" s="18" t="str">
        <f>IF($L416&lt;"6",INDEX(Revenue_type,MATCH(U416*1,type!$A$118:$A$168,0),8),INDEX(Expenditure_type,MATCH(U416*1,type!$A$2:$A$117,0),8))</f>
        <v>משכורות וש"ע לעובדים לפי תקן</v>
      </c>
      <c r="W416" s="18" t="str">
        <f t="shared" si="54"/>
        <v>10</v>
      </c>
      <c r="X416" s="18" t="e">
        <f>IF($L416&lt;"6",INDEX(Revenue_type,MATCH(W416*1,type!$A$118:$A$168,0),8),INDEX(Expenditure_type,MATCH(W416*1,type!$A$2:$A$117,0),8))</f>
        <v>#N/A</v>
      </c>
      <c r="Y416" s="18" t="str">
        <f t="shared" si="55"/>
        <v>100</v>
      </c>
      <c r="Z416" s="18" t="e">
        <f>IF($L416&lt;"6",INDEX(Revenue_type,MATCH(Y416*1,type!$A$118:$A$168,0),8),INDEX(Expenditure_type,MATCH(Y416*1,type!$A$2:$A$117,0),8))</f>
        <v>#N/A</v>
      </c>
    </row>
    <row r="417" spans="1:26" ht="15.75" hidden="1" customHeight="1" outlineLevel="2">
      <c r="A417">
        <v>120</v>
      </c>
      <c r="B417" s="249">
        <v>733000</v>
      </c>
      <c r="C417">
        <v>1</v>
      </c>
      <c r="D417" t="str">
        <f t="shared" si="48"/>
        <v>1733000.120</v>
      </c>
      <c r="E417" s="348" t="s">
        <v>8100</v>
      </c>
      <c r="F417" s="242"/>
      <c r="G417"/>
      <c r="H417" s="322">
        <v>415300</v>
      </c>
      <c r="I417" s="322">
        <v>415300</v>
      </c>
      <c r="J417" s="242">
        <v>456900</v>
      </c>
      <c r="K417" s="18" t="e">
        <f>INDEX(תקציב_2013,MATCH(D417,'תקציב 2015'!$D$3:$D$5960,0),8)</f>
        <v>#N/A</v>
      </c>
      <c r="L417" s="18" t="str">
        <f t="shared" si="49"/>
        <v>7</v>
      </c>
      <c r="M417" s="18" t="str">
        <f>INDEX(Chapter,MATCH(L417,Chapter!$A$1:$A$681,0),8)</f>
        <v>שירותים מקומיים</v>
      </c>
      <c r="N417" s="18" t="str">
        <f t="shared" si="50"/>
        <v>73</v>
      </c>
      <c r="O417" s="18" t="str">
        <f>INDEX(Chapter,MATCH(N417,Chapter!$A$1:$A$681,0),8)</f>
        <v>תכנון ובנין עיר</v>
      </c>
      <c r="P417" s="18" t="str">
        <f t="shared" si="51"/>
        <v>733</v>
      </c>
      <c r="Q417" s="18" t="str">
        <f>INDEX(Chapter,MATCH(P417,Chapter!$A$1:$A$681,0),8)</f>
        <v>רישוי ופיקוח על הבניה</v>
      </c>
      <c r="R417" s="18" t="str">
        <f t="shared" si="52"/>
        <v>7330</v>
      </c>
      <c r="S417" s="18" t="e">
        <f>INDEX(Chapter,MATCH(R417,Chapter!$A$1:$A$681,0),8)</f>
        <v>#N/A</v>
      </c>
      <c r="T417" s="18"/>
      <c r="U417" s="18" t="str">
        <f t="shared" si="53"/>
        <v>1</v>
      </c>
      <c r="V417" s="18" t="str">
        <f>IF($L417&lt;"6",INDEX(Revenue_type,MATCH(U417*1,type!$A$118:$A$168,0),8),INDEX(Expenditure_type,MATCH(U417*1,type!$A$2:$A$117,0),8))</f>
        <v>משכורות וש"ע לעובדים לפי תקן</v>
      </c>
      <c r="W417" s="18" t="str">
        <f t="shared" si="54"/>
        <v>12</v>
      </c>
      <c r="X417" s="18" t="str">
        <f>IF($L417&lt;"6",INDEX(Revenue_type,MATCH(W417*1,type!$A$118:$A$168,0),8),INDEX(Expenditure_type,MATCH(W417*1,type!$A$2:$A$117,0),8))</f>
        <v>תוספות שאינן נכללות בשכר הקובע</v>
      </c>
      <c r="Y417" s="18" t="str">
        <f t="shared" si="55"/>
        <v>120</v>
      </c>
      <c r="Z417" s="18" t="e">
        <f>IF($L417&lt;"6",INDEX(Revenue_type,MATCH(Y417*1,type!$A$118:$A$168,0),8),INDEX(Expenditure_type,MATCH(Y417*1,type!$A$2:$A$117,0),8))</f>
        <v>#N/A</v>
      </c>
    </row>
    <row r="418" spans="1:26" ht="15.75" hidden="1" customHeight="1" outlineLevel="2">
      <c r="A418">
        <v>400</v>
      </c>
      <c r="B418" s="249">
        <v>733000</v>
      </c>
      <c r="C418">
        <v>1</v>
      </c>
      <c r="D418" t="str">
        <f t="shared" si="48"/>
        <v>1733000.400</v>
      </c>
      <c r="E418" s="355" t="s">
        <v>8101</v>
      </c>
      <c r="F418" s="242"/>
      <c r="G418"/>
      <c r="H418" s="322">
        <v>55000</v>
      </c>
      <c r="I418" s="322">
        <v>59600</v>
      </c>
      <c r="J418" s="242">
        <v>57000</v>
      </c>
      <c r="K418" s="18" t="e">
        <f>INDEX(תקציב_2013,MATCH(D418,'תקציב 2015'!$D$3:$D$5960,0),8)</f>
        <v>#N/A</v>
      </c>
      <c r="L418" s="18" t="str">
        <f t="shared" si="49"/>
        <v>7</v>
      </c>
      <c r="M418" s="18" t="str">
        <f>INDEX(Chapter,MATCH(L418,Chapter!$A$1:$A$681,0),8)</f>
        <v>שירותים מקומיים</v>
      </c>
      <c r="N418" s="18" t="str">
        <f t="shared" si="50"/>
        <v>73</v>
      </c>
      <c r="O418" s="18" t="str">
        <f>INDEX(Chapter,MATCH(N418,Chapter!$A$1:$A$681,0),8)</f>
        <v>תכנון ובנין עיר</v>
      </c>
      <c r="P418" s="18" t="str">
        <f t="shared" si="51"/>
        <v>733</v>
      </c>
      <c r="Q418" s="18" t="str">
        <f>INDEX(Chapter,MATCH(P418,Chapter!$A$1:$A$681,0),8)</f>
        <v>רישוי ופיקוח על הבניה</v>
      </c>
      <c r="R418" s="18" t="str">
        <f t="shared" si="52"/>
        <v>7330</v>
      </c>
      <c r="S418" s="18" t="e">
        <f>INDEX(Chapter,MATCH(R418,Chapter!$A$1:$A$681,0),8)</f>
        <v>#N/A</v>
      </c>
      <c r="T418" s="18"/>
      <c r="U418" s="18" t="str">
        <f t="shared" si="53"/>
        <v>4</v>
      </c>
      <c r="V418" s="18" t="str">
        <f>IF($L418&lt;"6",INDEX(Revenue_type,MATCH(U418*1,type!$A$118:$A$168,0),8),INDEX(Expenditure_type,MATCH(U418*1,type!$A$2:$A$117,0),8))</f>
        <v>אחזקת בינים ואספקת ציוד</v>
      </c>
      <c r="W418" s="18" t="str">
        <f t="shared" si="54"/>
        <v>40</v>
      </c>
      <c r="X418" s="18" t="e">
        <f>IF($L418&lt;"6",INDEX(Revenue_type,MATCH(W418*1,type!$A$118:$A$168,0),8),INDEX(Expenditure_type,MATCH(W418*1,type!$A$2:$A$117,0),8))</f>
        <v>#N/A</v>
      </c>
      <c r="Y418" s="18" t="str">
        <f t="shared" si="55"/>
        <v>400</v>
      </c>
      <c r="Z418" s="18" t="e">
        <f>IF($L418&lt;"6",INDEX(Revenue_type,MATCH(Y418*1,type!$A$118:$A$168,0),8),INDEX(Expenditure_type,MATCH(Y418*1,type!$A$2:$A$117,0),8))</f>
        <v>#N/A</v>
      </c>
    </row>
    <row r="419" spans="1:26" ht="15.75" hidden="1" customHeight="1" outlineLevel="2">
      <c r="A419">
        <v>500</v>
      </c>
      <c r="B419" s="249">
        <v>733000</v>
      </c>
      <c r="C419">
        <v>1</v>
      </c>
      <c r="D419" t="str">
        <f t="shared" si="48"/>
        <v>1733000.500</v>
      </c>
      <c r="E419" s="355" t="s">
        <v>8102</v>
      </c>
      <c r="F419" s="242"/>
      <c r="G419"/>
      <c r="H419" s="322">
        <v>186300</v>
      </c>
      <c r="I419" s="322">
        <v>186300</v>
      </c>
      <c r="J419" s="242">
        <v>168800</v>
      </c>
      <c r="K419" s="18" t="e">
        <f>INDEX(תקציב_2013,MATCH(D419,'תקציב 2015'!$D$3:$D$5960,0),8)</f>
        <v>#N/A</v>
      </c>
      <c r="L419" s="18" t="str">
        <f t="shared" si="49"/>
        <v>7</v>
      </c>
      <c r="M419" s="18" t="str">
        <f>INDEX(Chapter,MATCH(L419,Chapter!$A$1:$A$681,0),8)</f>
        <v>שירותים מקומיים</v>
      </c>
      <c r="N419" s="18" t="str">
        <f t="shared" si="50"/>
        <v>73</v>
      </c>
      <c r="O419" s="18" t="str">
        <f>INDEX(Chapter,MATCH(N419,Chapter!$A$1:$A$681,0),8)</f>
        <v>תכנון ובנין עיר</v>
      </c>
      <c r="P419" s="18" t="str">
        <f t="shared" si="51"/>
        <v>733</v>
      </c>
      <c r="Q419" s="18" t="str">
        <f>INDEX(Chapter,MATCH(P419,Chapter!$A$1:$A$681,0),8)</f>
        <v>רישוי ופיקוח על הבניה</v>
      </c>
      <c r="R419" s="18" t="str">
        <f t="shared" si="52"/>
        <v>7330</v>
      </c>
      <c r="S419" s="18" t="e">
        <f>INDEX(Chapter,MATCH(R419,Chapter!$A$1:$A$681,0),8)</f>
        <v>#N/A</v>
      </c>
      <c r="T419" s="18"/>
      <c r="U419" s="18" t="str">
        <f t="shared" si="53"/>
        <v>5</v>
      </c>
      <c r="V419" s="18" t="str">
        <f>IF($L419&lt;"6",INDEX(Revenue_type,MATCH(U419*1,type!$A$118:$A$168,0),8),INDEX(Expenditure_type,MATCH(U419*1,type!$A$2:$A$117,0),8))</f>
        <v>הוצאות מנהליות</v>
      </c>
      <c r="W419" s="18" t="str">
        <f t="shared" si="54"/>
        <v>50</v>
      </c>
      <c r="X419" s="18" t="e">
        <f>IF($L419&lt;"6",INDEX(Revenue_type,MATCH(W419*1,type!$A$118:$A$168,0),8),INDEX(Expenditure_type,MATCH(W419*1,type!$A$2:$A$117,0),8))</f>
        <v>#N/A</v>
      </c>
      <c r="Y419" s="18" t="str">
        <f t="shared" si="55"/>
        <v>500</v>
      </c>
      <c r="Z419" s="18" t="e">
        <f>IF($L419&lt;"6",INDEX(Revenue_type,MATCH(Y419*1,type!$A$118:$A$168,0),8),INDEX(Expenditure_type,MATCH(Y419*1,type!$A$2:$A$117,0),8))</f>
        <v>#N/A</v>
      </c>
    </row>
    <row r="420" spans="1:26" ht="15.75" hidden="1" customHeight="1" outlineLevel="2">
      <c r="A420">
        <v>500</v>
      </c>
      <c r="B420" s="249">
        <v>733000</v>
      </c>
      <c r="C420">
        <v>1</v>
      </c>
      <c r="D420" t="str">
        <f t="shared" si="48"/>
        <v>1733000.500</v>
      </c>
      <c r="E420" s="348" t="s">
        <v>8103</v>
      </c>
      <c r="F420" s="242"/>
      <c r="G420"/>
      <c r="H420" s="322">
        <v>17900</v>
      </c>
      <c r="I420" s="322">
        <v>22400</v>
      </c>
      <c r="J420" s="242">
        <v>7300</v>
      </c>
      <c r="K420" s="18" t="e">
        <f>INDEX(תקציב_2013,MATCH(D420,'תקציב 2015'!$D$3:$D$5960,0),8)</f>
        <v>#N/A</v>
      </c>
      <c r="L420" s="18" t="str">
        <f t="shared" si="49"/>
        <v>7</v>
      </c>
      <c r="M420" s="18" t="str">
        <f>INDEX(Chapter,MATCH(L420,Chapter!$A$1:$A$681,0),8)</f>
        <v>שירותים מקומיים</v>
      </c>
      <c r="N420" s="18" t="str">
        <f t="shared" si="50"/>
        <v>73</v>
      </c>
      <c r="O420" s="18" t="str">
        <f>INDEX(Chapter,MATCH(N420,Chapter!$A$1:$A$681,0),8)</f>
        <v>תכנון ובנין עיר</v>
      </c>
      <c r="P420" s="18" t="str">
        <f t="shared" si="51"/>
        <v>733</v>
      </c>
      <c r="Q420" s="18" t="str">
        <f>INDEX(Chapter,MATCH(P420,Chapter!$A$1:$A$681,0),8)</f>
        <v>רישוי ופיקוח על הבניה</v>
      </c>
      <c r="R420" s="18" t="str">
        <f t="shared" si="52"/>
        <v>7330</v>
      </c>
      <c r="S420" s="18" t="e">
        <f>INDEX(Chapter,MATCH(R420,Chapter!$A$1:$A$681,0),8)</f>
        <v>#N/A</v>
      </c>
      <c r="T420" s="18"/>
      <c r="U420" s="18" t="str">
        <f t="shared" si="53"/>
        <v>5</v>
      </c>
      <c r="V420" s="18" t="str">
        <f>IF($L420&lt;"6",INDEX(Revenue_type,MATCH(U420*1,type!$A$118:$A$168,0),8),INDEX(Expenditure_type,MATCH(U420*1,type!$A$2:$A$117,0),8))</f>
        <v>הוצאות מנהליות</v>
      </c>
      <c r="W420" s="18" t="str">
        <f t="shared" si="54"/>
        <v>50</v>
      </c>
      <c r="X420" s="18" t="e">
        <f>IF($L420&lt;"6",INDEX(Revenue_type,MATCH(W420*1,type!$A$118:$A$168,0),8),INDEX(Expenditure_type,MATCH(W420*1,type!$A$2:$A$117,0),8))</f>
        <v>#N/A</v>
      </c>
      <c r="Y420" s="18" t="str">
        <f t="shared" si="55"/>
        <v>500</v>
      </c>
      <c r="Z420" s="18" t="e">
        <f>IF($L420&lt;"6",INDEX(Revenue_type,MATCH(Y420*1,type!$A$118:$A$168,0),8),INDEX(Expenditure_type,MATCH(Y420*1,type!$A$2:$A$117,0),8))</f>
        <v>#N/A</v>
      </c>
    </row>
    <row r="421" spans="1:26" ht="15.75" hidden="1" customHeight="1" outlineLevel="2">
      <c r="A421">
        <v>700</v>
      </c>
      <c r="B421" s="249">
        <v>733000</v>
      </c>
      <c r="C421">
        <v>1</v>
      </c>
      <c r="D421" t="str">
        <f t="shared" si="48"/>
        <v>1733000.700</v>
      </c>
      <c r="E421" s="348" t="s">
        <v>8104</v>
      </c>
      <c r="F421" s="242"/>
      <c r="G421"/>
      <c r="H421" s="322">
        <v>90000</v>
      </c>
      <c r="I421" s="322">
        <v>91200</v>
      </c>
      <c r="J421" s="242">
        <v>101500</v>
      </c>
      <c r="K421" s="18" t="e">
        <f>INDEX(תקציב_2013,MATCH(D421,'תקציב 2015'!$D$3:$D$5960,0),8)</f>
        <v>#N/A</v>
      </c>
      <c r="L421" s="18" t="str">
        <f t="shared" si="49"/>
        <v>7</v>
      </c>
      <c r="M421" s="18" t="str">
        <f>INDEX(Chapter,MATCH(L421,Chapter!$A$1:$A$681,0),8)</f>
        <v>שירותים מקומיים</v>
      </c>
      <c r="N421" s="18" t="str">
        <f t="shared" si="50"/>
        <v>73</v>
      </c>
      <c r="O421" s="18" t="str">
        <f>INDEX(Chapter,MATCH(N421,Chapter!$A$1:$A$681,0),8)</f>
        <v>תכנון ובנין עיר</v>
      </c>
      <c r="P421" s="18" t="str">
        <f t="shared" si="51"/>
        <v>733</v>
      </c>
      <c r="Q421" s="18" t="str">
        <f>INDEX(Chapter,MATCH(P421,Chapter!$A$1:$A$681,0),8)</f>
        <v>רישוי ופיקוח על הבניה</v>
      </c>
      <c r="R421" s="18" t="str">
        <f t="shared" si="52"/>
        <v>7330</v>
      </c>
      <c r="S421" s="18" t="e">
        <f>INDEX(Chapter,MATCH(R421,Chapter!$A$1:$A$681,0),8)</f>
        <v>#N/A</v>
      </c>
      <c r="T421" s="18"/>
      <c r="U421" s="18" t="str">
        <f t="shared" si="53"/>
        <v>7</v>
      </c>
      <c r="V421" s="18" t="str">
        <f>IF($L421&lt;"6",INDEX(Revenue_type,MATCH(U421*1,type!$A$118:$A$168,0),8),INDEX(Expenditure_type,MATCH(U421*1,type!$A$2:$A$117,0),8))</f>
        <v>הוצאות לפעולות</v>
      </c>
      <c r="W421" s="18" t="str">
        <f t="shared" si="54"/>
        <v>70</v>
      </c>
      <c r="X421" s="18" t="e">
        <f>IF($L421&lt;"6",INDEX(Revenue_type,MATCH(W421*1,type!$A$118:$A$168,0),8),INDEX(Expenditure_type,MATCH(W421*1,type!$A$2:$A$117,0),8))</f>
        <v>#N/A</v>
      </c>
      <c r="Y421" s="18" t="str">
        <f t="shared" si="55"/>
        <v>700</v>
      </c>
      <c r="Z421" s="18" t="e">
        <f>IF($L421&lt;"6",INDEX(Revenue_type,MATCH(Y421*1,type!$A$118:$A$168,0),8),INDEX(Expenditure_type,MATCH(Y421*1,type!$A$2:$A$117,0),8))</f>
        <v>#N/A</v>
      </c>
    </row>
    <row r="422" spans="1:26" ht="15.75" hidden="1" customHeight="1" outlineLevel="2">
      <c r="A422">
        <v>100</v>
      </c>
      <c r="B422" s="258">
        <v>732060</v>
      </c>
      <c r="C422">
        <v>1</v>
      </c>
      <c r="D422" t="str">
        <f t="shared" si="48"/>
        <v>1732060.100</v>
      </c>
      <c r="E422" s="355" t="s">
        <v>8105</v>
      </c>
      <c r="F422" s="242"/>
      <c r="G422"/>
      <c r="H422" s="322">
        <v>6279600</v>
      </c>
      <c r="I422" s="322">
        <v>6208600</v>
      </c>
      <c r="J422" s="242">
        <v>6388600</v>
      </c>
      <c r="K422" s="18" t="e">
        <f>INDEX(תקציב_2013,MATCH(D422,'תקציב 2015'!$D$3:$D$5960,0),8)</f>
        <v>#N/A</v>
      </c>
      <c r="L422" s="18" t="str">
        <f t="shared" si="49"/>
        <v>7</v>
      </c>
      <c r="M422" s="18" t="str">
        <f>INDEX(Chapter,MATCH(L422,Chapter!$A$1:$A$681,0),8)</f>
        <v>שירותים מקומיים</v>
      </c>
      <c r="N422" s="18" t="str">
        <f t="shared" si="50"/>
        <v>73</v>
      </c>
      <c r="O422" s="18" t="str">
        <f>INDEX(Chapter,MATCH(N422,Chapter!$A$1:$A$681,0),8)</f>
        <v>תכנון ובנין עיר</v>
      </c>
      <c r="P422" s="18" t="str">
        <f t="shared" si="51"/>
        <v>732</v>
      </c>
      <c r="Q422" s="18" t="str">
        <f>INDEX(Chapter,MATCH(P422,Chapter!$A$1:$A$681,0),8)</f>
        <v>תכנון עיר</v>
      </c>
      <c r="R422" s="18" t="str">
        <f t="shared" si="52"/>
        <v>7320</v>
      </c>
      <c r="S422" s="18" t="e">
        <f>INDEX(Chapter,MATCH(R422,Chapter!$A$1:$A$681,0),8)</f>
        <v>#N/A</v>
      </c>
      <c r="T422" s="18"/>
      <c r="U422" s="18" t="str">
        <f t="shared" si="53"/>
        <v>1</v>
      </c>
      <c r="V422" s="18" t="str">
        <f>IF($L422&lt;"6",INDEX(Revenue_type,MATCH(U422*1,type!$A$118:$A$168,0),8),INDEX(Expenditure_type,MATCH(U422*1,type!$A$2:$A$117,0),8))</f>
        <v>משכורות וש"ע לעובדים לפי תקן</v>
      </c>
      <c r="W422" s="18" t="str">
        <f t="shared" si="54"/>
        <v>10</v>
      </c>
      <c r="X422" s="18" t="e">
        <f>IF($L422&lt;"6",INDEX(Revenue_type,MATCH(W422*1,type!$A$118:$A$168,0),8),INDEX(Expenditure_type,MATCH(W422*1,type!$A$2:$A$117,0),8))</f>
        <v>#N/A</v>
      </c>
      <c r="Y422" s="18" t="str">
        <f t="shared" si="55"/>
        <v>100</v>
      </c>
      <c r="Z422" s="18" t="e">
        <f>IF($L422&lt;"6",INDEX(Revenue_type,MATCH(Y422*1,type!$A$118:$A$168,0),8),INDEX(Expenditure_type,MATCH(Y422*1,type!$A$2:$A$117,0),8))</f>
        <v>#N/A</v>
      </c>
    </row>
    <row r="423" spans="1:26" ht="15.75" hidden="1" customHeight="1" outlineLevel="2">
      <c r="A423">
        <v>120</v>
      </c>
      <c r="B423" s="258">
        <v>732060</v>
      </c>
      <c r="C423">
        <v>1</v>
      </c>
      <c r="D423" t="str">
        <f t="shared" si="48"/>
        <v>1732060.120</v>
      </c>
      <c r="E423" s="355" t="s">
        <v>8106</v>
      </c>
      <c r="F423" s="242"/>
      <c r="G423"/>
      <c r="H423" s="322">
        <v>229400</v>
      </c>
      <c r="I423" s="322">
        <v>229400</v>
      </c>
      <c r="J423" s="242">
        <v>246000</v>
      </c>
      <c r="K423" s="18" t="e">
        <f>INDEX(תקציב_2013,MATCH(D423,'תקציב 2015'!$D$3:$D$5960,0),8)</f>
        <v>#N/A</v>
      </c>
      <c r="L423" s="18" t="str">
        <f t="shared" si="49"/>
        <v>7</v>
      </c>
      <c r="M423" s="18" t="str">
        <f>INDEX(Chapter,MATCH(L423,Chapter!$A$1:$A$681,0),8)</f>
        <v>שירותים מקומיים</v>
      </c>
      <c r="N423" s="18" t="str">
        <f t="shared" si="50"/>
        <v>73</v>
      </c>
      <c r="O423" s="18" t="str">
        <f>INDEX(Chapter,MATCH(N423,Chapter!$A$1:$A$681,0),8)</f>
        <v>תכנון ובנין עיר</v>
      </c>
      <c r="P423" s="18" t="str">
        <f t="shared" si="51"/>
        <v>732</v>
      </c>
      <c r="Q423" s="18" t="str">
        <f>INDEX(Chapter,MATCH(P423,Chapter!$A$1:$A$681,0),8)</f>
        <v>תכנון עיר</v>
      </c>
      <c r="R423" s="18" t="str">
        <f t="shared" si="52"/>
        <v>7320</v>
      </c>
      <c r="S423" s="18" t="e">
        <f>INDEX(Chapter,MATCH(R423,Chapter!$A$1:$A$681,0),8)</f>
        <v>#N/A</v>
      </c>
      <c r="T423" s="18"/>
      <c r="U423" s="18" t="str">
        <f t="shared" si="53"/>
        <v>1</v>
      </c>
      <c r="V423" s="18" t="str">
        <f>IF($L423&lt;"6",INDEX(Revenue_type,MATCH(U423*1,type!$A$118:$A$168,0),8),INDEX(Expenditure_type,MATCH(U423*1,type!$A$2:$A$117,0),8))</f>
        <v>משכורות וש"ע לעובדים לפי תקן</v>
      </c>
      <c r="W423" s="18" t="str">
        <f t="shared" si="54"/>
        <v>12</v>
      </c>
      <c r="X423" s="18" t="str">
        <f>IF($L423&lt;"6",INDEX(Revenue_type,MATCH(W423*1,type!$A$118:$A$168,0),8),INDEX(Expenditure_type,MATCH(W423*1,type!$A$2:$A$117,0),8))</f>
        <v>תוספות שאינן נכללות בשכר הקובע</v>
      </c>
      <c r="Y423" s="18" t="str">
        <f t="shared" si="55"/>
        <v>120</v>
      </c>
      <c r="Z423" s="18" t="e">
        <f>IF($L423&lt;"6",INDEX(Revenue_type,MATCH(Y423*1,type!$A$118:$A$168,0),8),INDEX(Expenditure_type,MATCH(Y423*1,type!$A$2:$A$117,0),8))</f>
        <v>#N/A</v>
      </c>
    </row>
    <row r="424" spans="1:26" ht="15.75" hidden="1" customHeight="1" outlineLevel="2">
      <c r="A424">
        <v>400</v>
      </c>
      <c r="B424" s="258">
        <v>732060</v>
      </c>
      <c r="C424">
        <v>1</v>
      </c>
      <c r="D424" t="str">
        <f t="shared" si="48"/>
        <v>1732060.400</v>
      </c>
      <c r="E424" s="348" t="s">
        <v>8107</v>
      </c>
      <c r="F424" s="242"/>
      <c r="G424"/>
      <c r="H424" s="322">
        <v>46500</v>
      </c>
      <c r="I424" s="322">
        <v>48100</v>
      </c>
      <c r="J424" s="242">
        <v>36800</v>
      </c>
      <c r="K424" s="18" t="e">
        <f>INDEX(תקציב_2013,MATCH(D424,'תקציב 2015'!$D$3:$D$5960,0),8)</f>
        <v>#N/A</v>
      </c>
      <c r="L424" s="18" t="str">
        <f t="shared" si="49"/>
        <v>7</v>
      </c>
      <c r="M424" s="18" t="str">
        <f>INDEX(Chapter,MATCH(L424,Chapter!$A$1:$A$681,0),8)</f>
        <v>שירותים מקומיים</v>
      </c>
      <c r="N424" s="18" t="str">
        <f t="shared" si="50"/>
        <v>73</v>
      </c>
      <c r="O424" s="18" t="str">
        <f>INDEX(Chapter,MATCH(N424,Chapter!$A$1:$A$681,0),8)</f>
        <v>תכנון ובנין עיר</v>
      </c>
      <c r="P424" s="18" t="str">
        <f t="shared" si="51"/>
        <v>732</v>
      </c>
      <c r="Q424" s="18" t="str">
        <f>INDEX(Chapter,MATCH(P424,Chapter!$A$1:$A$681,0),8)</f>
        <v>תכנון עיר</v>
      </c>
      <c r="R424" s="18" t="str">
        <f t="shared" si="52"/>
        <v>7320</v>
      </c>
      <c r="S424" s="18" t="e">
        <f>INDEX(Chapter,MATCH(R424,Chapter!$A$1:$A$681,0),8)</f>
        <v>#N/A</v>
      </c>
      <c r="T424" s="18"/>
      <c r="U424" s="18" t="str">
        <f t="shared" si="53"/>
        <v>4</v>
      </c>
      <c r="V424" s="18" t="str">
        <f>IF($L424&lt;"6",INDEX(Revenue_type,MATCH(U424*1,type!$A$118:$A$168,0),8),INDEX(Expenditure_type,MATCH(U424*1,type!$A$2:$A$117,0),8))</f>
        <v>אחזקת בינים ואספקת ציוד</v>
      </c>
      <c r="W424" s="18" t="str">
        <f t="shared" si="54"/>
        <v>40</v>
      </c>
      <c r="X424" s="18" t="e">
        <f>IF($L424&lt;"6",INDEX(Revenue_type,MATCH(W424*1,type!$A$118:$A$168,0),8),INDEX(Expenditure_type,MATCH(W424*1,type!$A$2:$A$117,0),8))</f>
        <v>#N/A</v>
      </c>
      <c r="Y424" s="18" t="str">
        <f t="shared" si="55"/>
        <v>400</v>
      </c>
      <c r="Z424" s="18" t="e">
        <f>IF($L424&lt;"6",INDEX(Revenue_type,MATCH(Y424*1,type!$A$118:$A$168,0),8),INDEX(Expenditure_type,MATCH(Y424*1,type!$A$2:$A$117,0),8))</f>
        <v>#N/A</v>
      </c>
    </row>
    <row r="425" spans="1:26" ht="15.75" hidden="1" customHeight="1" outlineLevel="2">
      <c r="A425">
        <v>500</v>
      </c>
      <c r="B425" s="258">
        <v>732060</v>
      </c>
      <c r="C425">
        <v>1</v>
      </c>
      <c r="D425" t="str">
        <f t="shared" si="48"/>
        <v>1732060.500</v>
      </c>
      <c r="E425" s="348" t="s">
        <v>8108</v>
      </c>
      <c r="F425" s="242"/>
      <c r="G425"/>
      <c r="H425" s="322">
        <v>51000</v>
      </c>
      <c r="I425" s="322">
        <v>51900</v>
      </c>
      <c r="J425" s="242">
        <v>42600</v>
      </c>
      <c r="K425" s="18" t="e">
        <f>INDEX(תקציב_2013,MATCH(D425,'תקציב 2015'!$D$3:$D$5960,0),8)</f>
        <v>#N/A</v>
      </c>
      <c r="L425" s="18" t="str">
        <f t="shared" si="49"/>
        <v>7</v>
      </c>
      <c r="M425" s="18" t="str">
        <f>INDEX(Chapter,MATCH(L425,Chapter!$A$1:$A$681,0),8)</f>
        <v>שירותים מקומיים</v>
      </c>
      <c r="N425" s="18" t="str">
        <f t="shared" si="50"/>
        <v>73</v>
      </c>
      <c r="O425" s="18" t="str">
        <f>INDEX(Chapter,MATCH(N425,Chapter!$A$1:$A$681,0),8)</f>
        <v>תכנון ובנין עיר</v>
      </c>
      <c r="P425" s="18" t="str">
        <f t="shared" si="51"/>
        <v>732</v>
      </c>
      <c r="Q425" s="18" t="str">
        <f>INDEX(Chapter,MATCH(P425,Chapter!$A$1:$A$681,0),8)</f>
        <v>תכנון עיר</v>
      </c>
      <c r="R425" s="18" t="str">
        <f t="shared" si="52"/>
        <v>7320</v>
      </c>
      <c r="S425" s="18" t="e">
        <f>INDEX(Chapter,MATCH(R425,Chapter!$A$1:$A$681,0),8)</f>
        <v>#N/A</v>
      </c>
      <c r="T425" s="18"/>
      <c r="U425" s="18" t="str">
        <f t="shared" si="53"/>
        <v>5</v>
      </c>
      <c r="V425" s="18" t="str">
        <f>IF($L425&lt;"6",INDEX(Revenue_type,MATCH(U425*1,type!$A$118:$A$168,0),8),INDEX(Expenditure_type,MATCH(U425*1,type!$A$2:$A$117,0),8))</f>
        <v>הוצאות מנהליות</v>
      </c>
      <c r="W425" s="18" t="str">
        <f t="shared" si="54"/>
        <v>50</v>
      </c>
      <c r="X425" s="18" t="e">
        <f>IF($L425&lt;"6",INDEX(Revenue_type,MATCH(W425*1,type!$A$118:$A$168,0),8),INDEX(Expenditure_type,MATCH(W425*1,type!$A$2:$A$117,0),8))</f>
        <v>#N/A</v>
      </c>
      <c r="Y425" s="18" t="str">
        <f t="shared" si="55"/>
        <v>500</v>
      </c>
      <c r="Z425" s="18" t="e">
        <f>IF($L425&lt;"6",INDEX(Revenue_type,MATCH(Y425*1,type!$A$118:$A$168,0),8),INDEX(Expenditure_type,MATCH(Y425*1,type!$A$2:$A$117,0),8))</f>
        <v>#N/A</v>
      </c>
    </row>
    <row r="426" spans="1:26" ht="15.75" hidden="1" customHeight="1" outlineLevel="2">
      <c r="A426">
        <v>500</v>
      </c>
      <c r="B426" s="258">
        <v>732060</v>
      </c>
      <c r="C426">
        <v>1</v>
      </c>
      <c r="D426" t="str">
        <f t="shared" si="48"/>
        <v>1732060.500</v>
      </c>
      <c r="E426" s="348" t="s">
        <v>8109</v>
      </c>
      <c r="F426" s="242"/>
      <c r="G426"/>
      <c r="H426" s="322">
        <v>22000</v>
      </c>
      <c r="I426" s="322">
        <v>22700</v>
      </c>
      <c r="J426" s="242">
        <v>1100</v>
      </c>
      <c r="K426" s="18" t="e">
        <f>INDEX(תקציב_2013,MATCH(D426,'תקציב 2015'!$D$3:$D$5960,0),8)</f>
        <v>#N/A</v>
      </c>
      <c r="L426" s="18" t="str">
        <f t="shared" si="49"/>
        <v>7</v>
      </c>
      <c r="M426" s="18" t="str">
        <f>INDEX(Chapter,MATCH(L426,Chapter!$A$1:$A$681,0),8)</f>
        <v>שירותים מקומיים</v>
      </c>
      <c r="N426" s="18" t="str">
        <f t="shared" si="50"/>
        <v>73</v>
      </c>
      <c r="O426" s="18" t="str">
        <f>INDEX(Chapter,MATCH(N426,Chapter!$A$1:$A$681,0),8)</f>
        <v>תכנון ובנין עיר</v>
      </c>
      <c r="P426" s="18" t="str">
        <f t="shared" si="51"/>
        <v>732</v>
      </c>
      <c r="Q426" s="18" t="str">
        <f>INDEX(Chapter,MATCH(P426,Chapter!$A$1:$A$681,0),8)</f>
        <v>תכנון עיר</v>
      </c>
      <c r="R426" s="18" t="str">
        <f t="shared" si="52"/>
        <v>7320</v>
      </c>
      <c r="S426" s="18" t="e">
        <f>INDEX(Chapter,MATCH(R426,Chapter!$A$1:$A$681,0),8)</f>
        <v>#N/A</v>
      </c>
      <c r="T426" s="18"/>
      <c r="U426" s="18" t="str">
        <f t="shared" si="53"/>
        <v>5</v>
      </c>
      <c r="V426" s="18" t="str">
        <f>IF($L426&lt;"6",INDEX(Revenue_type,MATCH(U426*1,type!$A$118:$A$168,0),8),INDEX(Expenditure_type,MATCH(U426*1,type!$A$2:$A$117,0),8))</f>
        <v>הוצאות מנהליות</v>
      </c>
      <c r="W426" s="18" t="str">
        <f t="shared" si="54"/>
        <v>50</v>
      </c>
      <c r="X426" s="18" t="e">
        <f>IF($L426&lt;"6",INDEX(Revenue_type,MATCH(W426*1,type!$A$118:$A$168,0),8),INDEX(Expenditure_type,MATCH(W426*1,type!$A$2:$A$117,0),8))</f>
        <v>#N/A</v>
      </c>
      <c r="Y426" s="18" t="str">
        <f t="shared" si="55"/>
        <v>500</v>
      </c>
      <c r="Z426" s="18" t="e">
        <f>IF($L426&lt;"6",INDEX(Revenue_type,MATCH(Y426*1,type!$A$118:$A$168,0),8),INDEX(Expenditure_type,MATCH(Y426*1,type!$A$2:$A$117,0),8))</f>
        <v>#N/A</v>
      </c>
    </row>
    <row r="427" spans="1:26" ht="15.75" hidden="1" customHeight="1" outlineLevel="2">
      <c r="A427">
        <v>700</v>
      </c>
      <c r="B427" s="258">
        <v>732060</v>
      </c>
      <c r="C427">
        <v>1</v>
      </c>
      <c r="D427" t="str">
        <f t="shared" si="48"/>
        <v>1732060.700</v>
      </c>
      <c r="E427" s="348" t="s">
        <v>8110</v>
      </c>
      <c r="F427" s="242"/>
      <c r="G427"/>
      <c r="H427" s="322">
        <v>27000</v>
      </c>
      <c r="I427" s="322">
        <v>27800</v>
      </c>
      <c r="J427" s="242">
        <v>15400</v>
      </c>
      <c r="K427" s="18" t="e">
        <f>INDEX(תקציב_2013,MATCH(D427,'תקציב 2015'!$D$3:$D$5960,0),8)</f>
        <v>#N/A</v>
      </c>
      <c r="L427" s="18" t="str">
        <f t="shared" si="49"/>
        <v>7</v>
      </c>
      <c r="M427" s="18" t="str">
        <f>INDEX(Chapter,MATCH(L427,Chapter!$A$1:$A$681,0),8)</f>
        <v>שירותים מקומיים</v>
      </c>
      <c r="N427" s="18" t="str">
        <f t="shared" si="50"/>
        <v>73</v>
      </c>
      <c r="O427" s="18" t="str">
        <f>INDEX(Chapter,MATCH(N427,Chapter!$A$1:$A$681,0),8)</f>
        <v>תכנון ובנין עיר</v>
      </c>
      <c r="P427" s="18" t="str">
        <f t="shared" si="51"/>
        <v>732</v>
      </c>
      <c r="Q427" s="18" t="str">
        <f>INDEX(Chapter,MATCH(P427,Chapter!$A$1:$A$681,0),8)</f>
        <v>תכנון עיר</v>
      </c>
      <c r="R427" s="18" t="str">
        <f t="shared" si="52"/>
        <v>7320</v>
      </c>
      <c r="S427" s="18" t="e">
        <f>INDEX(Chapter,MATCH(R427,Chapter!$A$1:$A$681,0),8)</f>
        <v>#N/A</v>
      </c>
      <c r="T427" s="18"/>
      <c r="U427" s="18" t="str">
        <f t="shared" si="53"/>
        <v>7</v>
      </c>
      <c r="V427" s="18" t="str">
        <f>IF($L427&lt;"6",INDEX(Revenue_type,MATCH(U427*1,type!$A$118:$A$168,0),8),INDEX(Expenditure_type,MATCH(U427*1,type!$A$2:$A$117,0),8))</f>
        <v>הוצאות לפעולות</v>
      </c>
      <c r="W427" s="18" t="str">
        <f t="shared" si="54"/>
        <v>70</v>
      </c>
      <c r="X427" s="18" t="e">
        <f>IF($L427&lt;"6",INDEX(Revenue_type,MATCH(W427*1,type!$A$118:$A$168,0),8),INDEX(Expenditure_type,MATCH(W427*1,type!$A$2:$A$117,0),8))</f>
        <v>#N/A</v>
      </c>
      <c r="Y427" s="18" t="str">
        <f t="shared" si="55"/>
        <v>700</v>
      </c>
      <c r="Z427" s="18" t="e">
        <f>IF($L427&lt;"6",INDEX(Revenue_type,MATCH(Y427*1,type!$A$118:$A$168,0),8),INDEX(Expenditure_type,MATCH(Y427*1,type!$A$2:$A$117,0),8))</f>
        <v>#N/A</v>
      </c>
    </row>
    <row r="428" spans="1:26" ht="15.75" hidden="1" customHeight="1" outlineLevel="2">
      <c r="A428">
        <v>100</v>
      </c>
      <c r="B428" s="249">
        <v>732091</v>
      </c>
      <c r="C428">
        <v>1</v>
      </c>
      <c r="D428" t="str">
        <f t="shared" si="48"/>
        <v>1732091.100</v>
      </c>
      <c r="E428" s="348" t="s">
        <v>8111</v>
      </c>
      <c r="F428" s="242"/>
      <c r="G428"/>
      <c r="H428" s="322">
        <v>1580600</v>
      </c>
      <c r="I428" s="322">
        <v>1562600</v>
      </c>
      <c r="J428" s="242">
        <v>1315300</v>
      </c>
      <c r="K428" s="18" t="e">
        <f>INDEX(תקציב_2013,MATCH(D428,'תקציב 2015'!$D$3:$D$5960,0),8)</f>
        <v>#N/A</v>
      </c>
      <c r="L428" s="18" t="str">
        <f t="shared" si="49"/>
        <v>7</v>
      </c>
      <c r="M428" s="18" t="str">
        <f>INDEX(Chapter,MATCH(L428,Chapter!$A$1:$A$681,0),8)</f>
        <v>שירותים מקומיים</v>
      </c>
      <c r="N428" s="18" t="str">
        <f t="shared" si="50"/>
        <v>73</v>
      </c>
      <c r="O428" s="18" t="str">
        <f>INDEX(Chapter,MATCH(N428,Chapter!$A$1:$A$681,0),8)</f>
        <v>תכנון ובנין עיר</v>
      </c>
      <c r="P428" s="18" t="str">
        <f t="shared" si="51"/>
        <v>732</v>
      </c>
      <c r="Q428" s="18" t="str">
        <f>INDEX(Chapter,MATCH(P428,Chapter!$A$1:$A$681,0),8)</f>
        <v>תכנון עיר</v>
      </c>
      <c r="R428" s="18" t="str">
        <f t="shared" si="52"/>
        <v>7320</v>
      </c>
      <c r="S428" s="18" t="e">
        <f>INDEX(Chapter,MATCH(R428,Chapter!$A$1:$A$681,0),8)</f>
        <v>#N/A</v>
      </c>
      <c r="T428" s="18"/>
      <c r="U428" s="18" t="str">
        <f t="shared" si="53"/>
        <v>1</v>
      </c>
      <c r="V428" s="18" t="str">
        <f>IF($L428&lt;"6",INDEX(Revenue_type,MATCH(U428*1,type!$A$118:$A$168,0),8),INDEX(Expenditure_type,MATCH(U428*1,type!$A$2:$A$117,0),8))</f>
        <v>משכורות וש"ע לעובדים לפי תקן</v>
      </c>
      <c r="W428" s="18" t="str">
        <f t="shared" si="54"/>
        <v>10</v>
      </c>
      <c r="X428" s="18" t="e">
        <f>IF($L428&lt;"6",INDEX(Revenue_type,MATCH(W428*1,type!$A$118:$A$168,0),8),INDEX(Expenditure_type,MATCH(W428*1,type!$A$2:$A$117,0),8))</f>
        <v>#N/A</v>
      </c>
      <c r="Y428" s="18" t="str">
        <f t="shared" si="55"/>
        <v>100</v>
      </c>
      <c r="Z428" s="18" t="e">
        <f>IF($L428&lt;"6",INDEX(Revenue_type,MATCH(Y428*1,type!$A$118:$A$168,0),8),INDEX(Expenditure_type,MATCH(Y428*1,type!$A$2:$A$117,0),8))</f>
        <v>#N/A</v>
      </c>
    </row>
    <row r="429" spans="1:26" ht="15.75" hidden="1" customHeight="1" outlineLevel="2">
      <c r="A429">
        <v>120</v>
      </c>
      <c r="B429" s="249">
        <v>732091</v>
      </c>
      <c r="C429">
        <v>1</v>
      </c>
      <c r="D429" t="str">
        <f t="shared" si="48"/>
        <v>1732091.120</v>
      </c>
      <c r="E429" s="352" t="s">
        <v>8112</v>
      </c>
      <c r="F429" s="242"/>
      <c r="G429"/>
      <c r="H429" s="322">
        <v>38400</v>
      </c>
      <c r="I429" s="322">
        <v>38400</v>
      </c>
      <c r="J429" s="242">
        <v>31400</v>
      </c>
      <c r="K429" s="18" t="e">
        <f>INDEX(תקציב_2013,MATCH(D429,'תקציב 2015'!$D$3:$D$5960,0),8)</f>
        <v>#N/A</v>
      </c>
      <c r="L429" s="18" t="str">
        <f t="shared" si="49"/>
        <v>7</v>
      </c>
      <c r="M429" s="18" t="str">
        <f>INDEX(Chapter,MATCH(L429,Chapter!$A$1:$A$681,0),8)</f>
        <v>שירותים מקומיים</v>
      </c>
      <c r="N429" s="18" t="str">
        <f t="shared" si="50"/>
        <v>73</v>
      </c>
      <c r="O429" s="18" t="str">
        <f>INDEX(Chapter,MATCH(N429,Chapter!$A$1:$A$681,0),8)</f>
        <v>תכנון ובנין עיר</v>
      </c>
      <c r="P429" s="18" t="str">
        <f t="shared" si="51"/>
        <v>732</v>
      </c>
      <c r="Q429" s="18" t="str">
        <f>INDEX(Chapter,MATCH(P429,Chapter!$A$1:$A$681,0),8)</f>
        <v>תכנון עיר</v>
      </c>
      <c r="R429" s="18" t="str">
        <f t="shared" si="52"/>
        <v>7320</v>
      </c>
      <c r="S429" s="18" t="e">
        <f>INDEX(Chapter,MATCH(R429,Chapter!$A$1:$A$681,0),8)</f>
        <v>#N/A</v>
      </c>
      <c r="T429" s="18"/>
      <c r="U429" s="18" t="str">
        <f t="shared" si="53"/>
        <v>1</v>
      </c>
      <c r="V429" s="18" t="str">
        <f>IF($L429&lt;"6",INDEX(Revenue_type,MATCH(U429*1,type!$A$118:$A$168,0),8),INDEX(Expenditure_type,MATCH(U429*1,type!$A$2:$A$117,0),8))</f>
        <v>משכורות וש"ע לעובדים לפי תקן</v>
      </c>
      <c r="W429" s="18" t="str">
        <f t="shared" si="54"/>
        <v>12</v>
      </c>
      <c r="X429" s="18" t="str">
        <f>IF($L429&lt;"6",INDEX(Revenue_type,MATCH(W429*1,type!$A$118:$A$168,0),8),INDEX(Expenditure_type,MATCH(W429*1,type!$A$2:$A$117,0),8))</f>
        <v>תוספות שאינן נכללות בשכר הקובע</v>
      </c>
      <c r="Y429" s="18" t="str">
        <f t="shared" si="55"/>
        <v>120</v>
      </c>
      <c r="Z429" s="18" t="e">
        <f>IF($L429&lt;"6",INDEX(Revenue_type,MATCH(Y429*1,type!$A$118:$A$168,0),8),INDEX(Expenditure_type,MATCH(Y429*1,type!$A$2:$A$117,0),8))</f>
        <v>#N/A</v>
      </c>
    </row>
    <row r="430" spans="1:26" ht="15.75" hidden="1" customHeight="1" outlineLevel="2">
      <c r="A430">
        <v>100</v>
      </c>
      <c r="B430" s="249">
        <v>732092</v>
      </c>
      <c r="C430">
        <v>1</v>
      </c>
      <c r="D430" t="str">
        <f t="shared" si="48"/>
        <v>1732092.100</v>
      </c>
      <c r="E430" s="348" t="s">
        <v>8113</v>
      </c>
      <c r="F430" s="242"/>
      <c r="G430"/>
      <c r="H430" s="322">
        <v>588700</v>
      </c>
      <c r="I430" s="322">
        <v>581700</v>
      </c>
      <c r="J430" s="242">
        <v>544600</v>
      </c>
      <c r="K430" s="18" t="e">
        <f>INDEX(תקציב_2013,MATCH(D430,'תקציב 2015'!$D$3:$D$5960,0),8)</f>
        <v>#N/A</v>
      </c>
      <c r="L430" s="18" t="str">
        <f t="shared" si="49"/>
        <v>7</v>
      </c>
      <c r="M430" s="18" t="str">
        <f>INDEX(Chapter,MATCH(L430,Chapter!$A$1:$A$681,0),8)</f>
        <v>שירותים מקומיים</v>
      </c>
      <c r="N430" s="18" t="str">
        <f t="shared" si="50"/>
        <v>73</v>
      </c>
      <c r="O430" s="18" t="str">
        <f>INDEX(Chapter,MATCH(N430,Chapter!$A$1:$A$681,0),8)</f>
        <v>תכנון ובנין עיר</v>
      </c>
      <c r="P430" s="18" t="str">
        <f t="shared" si="51"/>
        <v>732</v>
      </c>
      <c r="Q430" s="18" t="str">
        <f>INDEX(Chapter,MATCH(P430,Chapter!$A$1:$A$681,0),8)</f>
        <v>תכנון עיר</v>
      </c>
      <c r="R430" s="18" t="str">
        <f t="shared" si="52"/>
        <v>7320</v>
      </c>
      <c r="S430" s="18" t="e">
        <f>INDEX(Chapter,MATCH(R430,Chapter!$A$1:$A$681,0),8)</f>
        <v>#N/A</v>
      </c>
      <c r="T430" s="18"/>
      <c r="U430" s="18" t="str">
        <f t="shared" si="53"/>
        <v>1</v>
      </c>
      <c r="V430" s="18" t="str">
        <f>IF($L430&lt;"6",INDEX(Revenue_type,MATCH(U430*1,type!$A$118:$A$168,0),8),INDEX(Expenditure_type,MATCH(U430*1,type!$A$2:$A$117,0),8))</f>
        <v>משכורות וש"ע לעובדים לפי תקן</v>
      </c>
      <c r="W430" s="18" t="str">
        <f t="shared" si="54"/>
        <v>10</v>
      </c>
      <c r="X430" s="18" t="e">
        <f>IF($L430&lt;"6",INDEX(Revenue_type,MATCH(W430*1,type!$A$118:$A$168,0),8),INDEX(Expenditure_type,MATCH(W430*1,type!$A$2:$A$117,0),8))</f>
        <v>#N/A</v>
      </c>
      <c r="Y430" s="18" t="str">
        <f t="shared" si="55"/>
        <v>100</v>
      </c>
      <c r="Z430" s="18" t="e">
        <f>IF($L430&lt;"6",INDEX(Revenue_type,MATCH(Y430*1,type!$A$118:$A$168,0),8),INDEX(Expenditure_type,MATCH(Y430*1,type!$A$2:$A$117,0),8))</f>
        <v>#N/A</v>
      </c>
    </row>
    <row r="431" spans="1:26" ht="15.75" hidden="1" customHeight="1" outlineLevel="2">
      <c r="A431">
        <v>120</v>
      </c>
      <c r="B431" s="249">
        <v>732092</v>
      </c>
      <c r="C431">
        <v>1</v>
      </c>
      <c r="D431" t="str">
        <f t="shared" si="48"/>
        <v>1732092.120</v>
      </c>
      <c r="E431" s="355" t="s">
        <v>8114</v>
      </c>
      <c r="F431" s="242"/>
      <c r="G431"/>
      <c r="H431" s="322">
        <v>27300</v>
      </c>
      <c r="I431" s="322">
        <v>27300</v>
      </c>
      <c r="J431" s="242">
        <v>34500</v>
      </c>
      <c r="K431" s="18" t="e">
        <f>INDEX(תקציב_2013,MATCH(D431,'תקציב 2015'!$D$3:$D$5960,0),8)</f>
        <v>#N/A</v>
      </c>
      <c r="L431" s="18" t="str">
        <f t="shared" si="49"/>
        <v>7</v>
      </c>
      <c r="M431" s="18" t="str">
        <f>INDEX(Chapter,MATCH(L431,Chapter!$A$1:$A$681,0),8)</f>
        <v>שירותים מקומיים</v>
      </c>
      <c r="N431" s="18" t="str">
        <f t="shared" si="50"/>
        <v>73</v>
      </c>
      <c r="O431" s="18" t="str">
        <f>INDEX(Chapter,MATCH(N431,Chapter!$A$1:$A$681,0),8)</f>
        <v>תכנון ובנין עיר</v>
      </c>
      <c r="P431" s="18" t="str">
        <f t="shared" si="51"/>
        <v>732</v>
      </c>
      <c r="Q431" s="18" t="str">
        <f>INDEX(Chapter,MATCH(P431,Chapter!$A$1:$A$681,0),8)</f>
        <v>תכנון עיר</v>
      </c>
      <c r="R431" s="18" t="str">
        <f t="shared" si="52"/>
        <v>7320</v>
      </c>
      <c r="S431" s="18" t="e">
        <f>INDEX(Chapter,MATCH(R431,Chapter!$A$1:$A$681,0),8)</f>
        <v>#N/A</v>
      </c>
      <c r="T431" s="18"/>
      <c r="U431" s="18" t="str">
        <f t="shared" si="53"/>
        <v>1</v>
      </c>
      <c r="V431" s="18" t="str">
        <f>IF($L431&lt;"6",INDEX(Revenue_type,MATCH(U431*1,type!$A$118:$A$168,0),8),INDEX(Expenditure_type,MATCH(U431*1,type!$A$2:$A$117,0),8))</f>
        <v>משכורות וש"ע לעובדים לפי תקן</v>
      </c>
      <c r="W431" s="18" t="str">
        <f t="shared" si="54"/>
        <v>12</v>
      </c>
      <c r="X431" s="18" t="str">
        <f>IF($L431&lt;"6",INDEX(Revenue_type,MATCH(W431*1,type!$A$118:$A$168,0),8),INDEX(Expenditure_type,MATCH(W431*1,type!$A$2:$A$117,0),8))</f>
        <v>תוספות שאינן נכללות בשכר הקובע</v>
      </c>
      <c r="Y431" s="18" t="str">
        <f t="shared" si="55"/>
        <v>120</v>
      </c>
      <c r="Z431" s="18" t="e">
        <f>IF($L431&lt;"6",INDEX(Revenue_type,MATCH(Y431*1,type!$A$118:$A$168,0),8),INDEX(Expenditure_type,MATCH(Y431*1,type!$A$2:$A$117,0),8))</f>
        <v>#N/A</v>
      </c>
    </row>
    <row r="432" spans="1:26" ht="15.75" hidden="1" customHeight="1" outlineLevel="2">
      <c r="A432">
        <v>100</v>
      </c>
      <c r="B432" s="249">
        <v>732090</v>
      </c>
      <c r="C432">
        <v>1</v>
      </c>
      <c r="D432" t="str">
        <f t="shared" si="48"/>
        <v>1732090.100</v>
      </c>
      <c r="E432" s="348" t="s">
        <v>8115</v>
      </c>
      <c r="F432" s="242"/>
      <c r="G432"/>
      <c r="H432" s="322">
        <v>1309500</v>
      </c>
      <c r="I432" s="322">
        <v>1294500</v>
      </c>
      <c r="J432" s="242">
        <v>1245500</v>
      </c>
      <c r="K432" s="18" t="e">
        <f>INDEX(תקציב_2013,MATCH(D432,'תקציב 2015'!$D$3:$D$5960,0),8)</f>
        <v>#N/A</v>
      </c>
      <c r="L432" s="18" t="str">
        <f t="shared" si="49"/>
        <v>7</v>
      </c>
      <c r="M432" s="18" t="str">
        <f>INDEX(Chapter,MATCH(L432,Chapter!$A$1:$A$681,0),8)</f>
        <v>שירותים מקומיים</v>
      </c>
      <c r="N432" s="18" t="str">
        <f t="shared" si="50"/>
        <v>73</v>
      </c>
      <c r="O432" s="18" t="str">
        <f>INDEX(Chapter,MATCH(N432,Chapter!$A$1:$A$681,0),8)</f>
        <v>תכנון ובנין עיר</v>
      </c>
      <c r="P432" s="18" t="str">
        <f t="shared" si="51"/>
        <v>732</v>
      </c>
      <c r="Q432" s="18" t="str">
        <f>INDEX(Chapter,MATCH(P432,Chapter!$A$1:$A$681,0),8)</f>
        <v>תכנון עיר</v>
      </c>
      <c r="R432" s="18" t="str">
        <f t="shared" si="52"/>
        <v>7320</v>
      </c>
      <c r="S432" s="18" t="e">
        <f>INDEX(Chapter,MATCH(R432,Chapter!$A$1:$A$681,0),8)</f>
        <v>#N/A</v>
      </c>
      <c r="T432" s="18"/>
      <c r="U432" s="18" t="str">
        <f t="shared" si="53"/>
        <v>1</v>
      </c>
      <c r="V432" s="18" t="str">
        <f>IF($L432&lt;"6",INDEX(Revenue_type,MATCH(U432*1,type!$A$118:$A$168,0),8),INDEX(Expenditure_type,MATCH(U432*1,type!$A$2:$A$117,0),8))</f>
        <v>משכורות וש"ע לעובדים לפי תקן</v>
      </c>
      <c r="W432" s="18" t="str">
        <f t="shared" si="54"/>
        <v>10</v>
      </c>
      <c r="X432" s="18" t="e">
        <f>IF($L432&lt;"6",INDEX(Revenue_type,MATCH(W432*1,type!$A$118:$A$168,0),8),INDEX(Expenditure_type,MATCH(W432*1,type!$A$2:$A$117,0),8))</f>
        <v>#N/A</v>
      </c>
      <c r="Y432" s="18" t="str">
        <f t="shared" si="55"/>
        <v>100</v>
      </c>
      <c r="Z432" s="18" t="e">
        <f>IF($L432&lt;"6",INDEX(Revenue_type,MATCH(Y432*1,type!$A$118:$A$168,0),8),INDEX(Expenditure_type,MATCH(Y432*1,type!$A$2:$A$117,0),8))</f>
        <v>#N/A</v>
      </c>
    </row>
    <row r="433" spans="1:26" ht="15.75" hidden="1" customHeight="1" outlineLevel="2">
      <c r="A433">
        <v>120</v>
      </c>
      <c r="B433" s="249">
        <v>732090</v>
      </c>
      <c r="C433">
        <v>1</v>
      </c>
      <c r="D433" t="str">
        <f t="shared" si="48"/>
        <v>1732090.120</v>
      </c>
      <c r="E433" s="348" t="s">
        <v>8116</v>
      </c>
      <c r="F433" s="242"/>
      <c r="G433"/>
      <c r="H433" s="322">
        <v>30500</v>
      </c>
      <c r="I433" s="322">
        <v>30500</v>
      </c>
      <c r="J433" s="242">
        <v>33600</v>
      </c>
      <c r="K433" s="18" t="e">
        <f>INDEX(תקציב_2013,MATCH(D433,'תקציב 2015'!$D$3:$D$5960,0),8)</f>
        <v>#N/A</v>
      </c>
      <c r="L433" s="18" t="str">
        <f t="shared" si="49"/>
        <v>7</v>
      </c>
      <c r="M433" s="18" t="str">
        <f>INDEX(Chapter,MATCH(L433,Chapter!$A$1:$A$681,0),8)</f>
        <v>שירותים מקומיים</v>
      </c>
      <c r="N433" s="18" t="str">
        <f t="shared" si="50"/>
        <v>73</v>
      </c>
      <c r="O433" s="18" t="str">
        <f>INDEX(Chapter,MATCH(N433,Chapter!$A$1:$A$681,0),8)</f>
        <v>תכנון ובנין עיר</v>
      </c>
      <c r="P433" s="18" t="str">
        <f t="shared" si="51"/>
        <v>732</v>
      </c>
      <c r="Q433" s="18" t="str">
        <f>INDEX(Chapter,MATCH(P433,Chapter!$A$1:$A$681,0),8)</f>
        <v>תכנון עיר</v>
      </c>
      <c r="R433" s="18" t="str">
        <f t="shared" si="52"/>
        <v>7320</v>
      </c>
      <c r="S433" s="18" t="e">
        <f>INDEX(Chapter,MATCH(R433,Chapter!$A$1:$A$681,0),8)</f>
        <v>#N/A</v>
      </c>
      <c r="T433" s="18"/>
      <c r="U433" s="18" t="str">
        <f t="shared" si="53"/>
        <v>1</v>
      </c>
      <c r="V433" s="18" t="str">
        <f>IF($L433&lt;"6",INDEX(Revenue_type,MATCH(U433*1,type!$A$118:$A$168,0),8),INDEX(Expenditure_type,MATCH(U433*1,type!$A$2:$A$117,0),8))</f>
        <v>משכורות וש"ע לעובדים לפי תקן</v>
      </c>
      <c r="W433" s="18" t="str">
        <f t="shared" si="54"/>
        <v>12</v>
      </c>
      <c r="X433" s="18" t="str">
        <f>IF($L433&lt;"6",INDEX(Revenue_type,MATCH(W433*1,type!$A$118:$A$168,0),8),INDEX(Expenditure_type,MATCH(W433*1,type!$A$2:$A$117,0),8))</f>
        <v>תוספות שאינן נכללות בשכר הקובע</v>
      </c>
      <c r="Y433" s="18" t="str">
        <f t="shared" si="55"/>
        <v>120</v>
      </c>
      <c r="Z433" s="18" t="e">
        <f>IF($L433&lt;"6",INDEX(Revenue_type,MATCH(Y433*1,type!$A$118:$A$168,0),8),INDEX(Expenditure_type,MATCH(Y433*1,type!$A$2:$A$117,0),8))</f>
        <v>#N/A</v>
      </c>
    </row>
    <row r="434" spans="1:26" ht="15.75" hidden="1" customHeight="1" outlineLevel="2">
      <c r="A434">
        <v>400</v>
      </c>
      <c r="B434" s="249">
        <v>732090</v>
      </c>
      <c r="C434">
        <v>1</v>
      </c>
      <c r="D434" t="str">
        <f t="shared" si="48"/>
        <v>1732090.400</v>
      </c>
      <c r="E434" s="348" t="s">
        <v>8117</v>
      </c>
      <c r="F434" s="242"/>
      <c r="G434"/>
      <c r="H434" s="322">
        <v>40000</v>
      </c>
      <c r="I434" s="322">
        <v>42000</v>
      </c>
      <c r="J434" s="242">
        <v>17000</v>
      </c>
      <c r="K434" s="18"/>
      <c r="L434" s="18" t="str">
        <f t="shared" si="49"/>
        <v>7</v>
      </c>
      <c r="M434" s="18" t="str">
        <f>INDEX(Chapter,MATCH(L434,Chapter!$A$1:$A$681,0),8)</f>
        <v>שירותים מקומיים</v>
      </c>
      <c r="N434" s="18" t="str">
        <f t="shared" si="50"/>
        <v>73</v>
      </c>
      <c r="O434" s="18" t="str">
        <f>INDEX(Chapter,MATCH(N434,Chapter!$A$1:$A$681,0),8)</f>
        <v>תכנון ובנין עיר</v>
      </c>
      <c r="P434" s="18" t="str">
        <f t="shared" si="51"/>
        <v>732</v>
      </c>
      <c r="Q434" s="18" t="str">
        <f>INDEX(Chapter,MATCH(P434,Chapter!$A$1:$A$681,0),8)</f>
        <v>תכנון עיר</v>
      </c>
      <c r="R434" s="18" t="str">
        <f t="shared" si="52"/>
        <v>7320</v>
      </c>
      <c r="S434" s="18" t="e">
        <f>INDEX(Chapter,MATCH(R434,Chapter!$A$1:$A$681,0),8)</f>
        <v>#N/A</v>
      </c>
      <c r="T434" s="18"/>
      <c r="U434" s="18" t="str">
        <f t="shared" si="53"/>
        <v>4</v>
      </c>
      <c r="V434" s="18" t="str">
        <f>IF($L434&lt;"6",INDEX(Revenue_type,MATCH(U434*1,type!$A$118:$A$168,0),8),INDEX(Expenditure_type,MATCH(U434*1,type!$A$2:$A$117,0),8))</f>
        <v>אחזקת בינים ואספקת ציוד</v>
      </c>
      <c r="W434" s="18" t="str">
        <f t="shared" si="54"/>
        <v>40</v>
      </c>
      <c r="X434" s="18" t="e">
        <f>IF($L434&lt;"6",INDEX(Revenue_type,MATCH(W434*1,type!$A$118:$A$168,0),8),INDEX(Expenditure_type,MATCH(W434*1,type!$A$2:$A$117,0),8))</f>
        <v>#N/A</v>
      </c>
      <c r="Y434" s="18" t="str">
        <f t="shared" si="55"/>
        <v>400</v>
      </c>
      <c r="Z434" s="18" t="e">
        <f>IF($L434&lt;"6",INDEX(Revenue_type,MATCH(Y434*1,type!$A$118:$A$168,0),8),INDEX(Expenditure_type,MATCH(Y434*1,type!$A$2:$A$117,0),8))</f>
        <v>#N/A</v>
      </c>
    </row>
    <row r="435" spans="1:26" ht="15.75" hidden="1" customHeight="1" outlineLevel="2">
      <c r="A435">
        <v>500</v>
      </c>
      <c r="B435" s="249">
        <v>732090</v>
      </c>
      <c r="C435">
        <v>1</v>
      </c>
      <c r="D435" t="str">
        <f t="shared" si="48"/>
        <v>1732090.500</v>
      </c>
      <c r="E435" s="354" t="s">
        <v>8118</v>
      </c>
      <c r="F435" s="242"/>
      <c r="G435"/>
      <c r="H435" s="322">
        <v>3000</v>
      </c>
      <c r="I435" s="322">
        <v>3000</v>
      </c>
      <c r="J435" s="242">
        <v>0</v>
      </c>
      <c r="K435" s="18" t="e">
        <f>INDEX(תקציב_2013,MATCH(D435,'תקציב 2015'!$D$3:$D$5960,0),8)</f>
        <v>#N/A</v>
      </c>
      <c r="L435" s="18" t="str">
        <f t="shared" si="49"/>
        <v>7</v>
      </c>
      <c r="M435" s="18" t="str">
        <f>INDEX(Chapter,MATCH(L435,Chapter!$A$1:$A$681,0),8)</f>
        <v>שירותים מקומיים</v>
      </c>
      <c r="N435" s="18" t="str">
        <f t="shared" si="50"/>
        <v>73</v>
      </c>
      <c r="O435" s="18" t="str">
        <f>INDEX(Chapter,MATCH(N435,Chapter!$A$1:$A$681,0),8)</f>
        <v>תכנון ובנין עיר</v>
      </c>
      <c r="P435" s="18" t="str">
        <f t="shared" si="51"/>
        <v>732</v>
      </c>
      <c r="Q435" s="18" t="str">
        <f>INDEX(Chapter,MATCH(P435,Chapter!$A$1:$A$681,0),8)</f>
        <v>תכנון עיר</v>
      </c>
      <c r="R435" s="18" t="str">
        <f t="shared" si="52"/>
        <v>7320</v>
      </c>
      <c r="S435" s="18" t="e">
        <f>INDEX(Chapter,MATCH(R435,Chapter!$A$1:$A$681,0),8)</f>
        <v>#N/A</v>
      </c>
      <c r="T435" s="18"/>
      <c r="U435" s="18" t="str">
        <f t="shared" si="53"/>
        <v>5</v>
      </c>
      <c r="V435" s="18" t="str">
        <f>IF($L435&lt;"6",INDEX(Revenue_type,MATCH(U435*1,type!$A$118:$A$168,0),8),INDEX(Expenditure_type,MATCH(U435*1,type!$A$2:$A$117,0),8))</f>
        <v>הוצאות מנהליות</v>
      </c>
      <c r="W435" s="18" t="str">
        <f t="shared" si="54"/>
        <v>50</v>
      </c>
      <c r="X435" s="18" t="e">
        <f>IF($L435&lt;"6",INDEX(Revenue_type,MATCH(W435*1,type!$A$118:$A$168,0),8),INDEX(Expenditure_type,MATCH(W435*1,type!$A$2:$A$117,0),8))</f>
        <v>#N/A</v>
      </c>
      <c r="Y435" s="18" t="str">
        <f t="shared" si="55"/>
        <v>500</v>
      </c>
      <c r="Z435" s="18" t="e">
        <f>IF($L435&lt;"6",INDEX(Revenue_type,MATCH(Y435*1,type!$A$118:$A$168,0),8),INDEX(Expenditure_type,MATCH(Y435*1,type!$A$2:$A$117,0),8))</f>
        <v>#N/A</v>
      </c>
    </row>
    <row r="436" spans="1:26" ht="15.75" hidden="1" customHeight="1" outlineLevel="2">
      <c r="A436">
        <v>500</v>
      </c>
      <c r="B436" s="249">
        <v>732090</v>
      </c>
      <c r="C436">
        <v>1</v>
      </c>
      <c r="D436" t="str">
        <f t="shared" si="48"/>
        <v>1732090.500</v>
      </c>
      <c r="E436" s="367" t="s">
        <v>8119</v>
      </c>
      <c r="F436" s="242"/>
      <c r="G436"/>
      <c r="H436" s="322">
        <v>34600</v>
      </c>
      <c r="I436" s="322">
        <v>36500</v>
      </c>
      <c r="J436" s="242">
        <v>9000</v>
      </c>
      <c r="K436" s="18"/>
      <c r="L436" s="18" t="str">
        <f t="shared" si="49"/>
        <v>7</v>
      </c>
      <c r="M436" s="18" t="str">
        <f>INDEX(Chapter,MATCH(L436,Chapter!$A$1:$A$681,0),8)</f>
        <v>שירותים מקומיים</v>
      </c>
      <c r="N436" s="18" t="str">
        <f t="shared" si="50"/>
        <v>73</v>
      </c>
      <c r="O436" s="18" t="str">
        <f>INDEX(Chapter,MATCH(N436,Chapter!$A$1:$A$681,0),8)</f>
        <v>תכנון ובנין עיר</v>
      </c>
      <c r="P436" s="18" t="str">
        <f t="shared" si="51"/>
        <v>732</v>
      </c>
      <c r="Q436" s="18" t="str">
        <f>INDEX(Chapter,MATCH(P436,Chapter!$A$1:$A$681,0),8)</f>
        <v>תכנון עיר</v>
      </c>
      <c r="R436" s="18" t="str">
        <f t="shared" si="52"/>
        <v>7320</v>
      </c>
      <c r="S436" s="18" t="e">
        <f>INDEX(Chapter,MATCH(R436,Chapter!$A$1:$A$681,0),8)</f>
        <v>#N/A</v>
      </c>
      <c r="T436" s="18"/>
      <c r="U436" s="18" t="str">
        <f t="shared" si="53"/>
        <v>5</v>
      </c>
      <c r="V436" s="18" t="str">
        <f>IF($L436&lt;"6",INDEX(Revenue_type,MATCH(U436*1,type!$A$118:$A$168,0),8),INDEX(Expenditure_type,MATCH(U436*1,type!$A$2:$A$117,0),8))</f>
        <v>הוצאות מנהליות</v>
      </c>
      <c r="W436" s="18" t="str">
        <f t="shared" si="54"/>
        <v>50</v>
      </c>
      <c r="X436" s="18" t="e">
        <f>IF($L436&lt;"6",INDEX(Revenue_type,MATCH(W436*1,type!$A$118:$A$168,0),8),INDEX(Expenditure_type,MATCH(W436*1,type!$A$2:$A$117,0),8))</f>
        <v>#N/A</v>
      </c>
      <c r="Y436" s="18" t="str">
        <f t="shared" si="55"/>
        <v>500</v>
      </c>
      <c r="Z436" s="18" t="e">
        <f>IF($L436&lt;"6",INDEX(Revenue_type,MATCH(Y436*1,type!$A$118:$A$168,0),8),INDEX(Expenditure_type,MATCH(Y436*1,type!$A$2:$A$117,0),8))</f>
        <v>#N/A</v>
      </c>
    </row>
    <row r="437" spans="1:26" ht="15.75" hidden="1" customHeight="1" outlineLevel="2">
      <c r="A437">
        <v>700</v>
      </c>
      <c r="B437" s="249">
        <v>732090</v>
      </c>
      <c r="C437">
        <v>1</v>
      </c>
      <c r="D437" t="str">
        <f t="shared" si="48"/>
        <v>1732090.700</v>
      </c>
      <c r="E437" s="348" t="s">
        <v>8120</v>
      </c>
      <c r="F437" s="242"/>
      <c r="G437"/>
      <c r="H437" s="322">
        <v>55800</v>
      </c>
      <c r="I437" s="322">
        <v>55800</v>
      </c>
      <c r="J437" s="242">
        <v>25200</v>
      </c>
      <c r="K437" s="18" t="e">
        <f>INDEX(תקציב_2013,MATCH(D437,'תקציב 2015'!$D$3:$D$5960,0),8)</f>
        <v>#N/A</v>
      </c>
      <c r="L437" s="18" t="str">
        <f t="shared" si="49"/>
        <v>7</v>
      </c>
      <c r="M437" s="18" t="str">
        <f>INDEX(Chapter,MATCH(L437,Chapter!$A$1:$A$681,0),8)</f>
        <v>שירותים מקומיים</v>
      </c>
      <c r="N437" s="18" t="str">
        <f t="shared" si="50"/>
        <v>73</v>
      </c>
      <c r="O437" s="18" t="str">
        <f>INDEX(Chapter,MATCH(N437,Chapter!$A$1:$A$681,0),8)</f>
        <v>תכנון ובנין עיר</v>
      </c>
      <c r="P437" s="18" t="str">
        <f t="shared" si="51"/>
        <v>732</v>
      </c>
      <c r="Q437" s="18" t="str">
        <f>INDEX(Chapter,MATCH(P437,Chapter!$A$1:$A$681,0),8)</f>
        <v>תכנון עיר</v>
      </c>
      <c r="R437" s="18" t="str">
        <f t="shared" si="52"/>
        <v>7320</v>
      </c>
      <c r="S437" s="18" t="e">
        <f>INDEX(Chapter,MATCH(R437,Chapter!$A$1:$A$681,0),8)</f>
        <v>#N/A</v>
      </c>
      <c r="T437" s="18"/>
      <c r="U437" s="18" t="str">
        <f t="shared" si="53"/>
        <v>7</v>
      </c>
      <c r="V437" s="18" t="str">
        <f>IF($L437&lt;"6",INDEX(Revenue_type,MATCH(U437*1,type!$A$118:$A$168,0),8),INDEX(Expenditure_type,MATCH(U437*1,type!$A$2:$A$117,0),8))</f>
        <v>הוצאות לפעולות</v>
      </c>
      <c r="W437" s="18" t="str">
        <f t="shared" si="54"/>
        <v>70</v>
      </c>
      <c r="X437" s="18" t="e">
        <f>IF($L437&lt;"6",INDEX(Revenue_type,MATCH(W437*1,type!$A$118:$A$168,0),8),INDEX(Expenditure_type,MATCH(W437*1,type!$A$2:$A$117,0),8))</f>
        <v>#N/A</v>
      </c>
      <c r="Y437" s="18" t="str">
        <f t="shared" si="55"/>
        <v>700</v>
      </c>
      <c r="Z437" s="18" t="e">
        <f>IF($L437&lt;"6",INDEX(Revenue_type,MATCH(Y437*1,type!$A$118:$A$168,0),8),INDEX(Expenditure_type,MATCH(Y437*1,type!$A$2:$A$117,0),8))</f>
        <v>#N/A</v>
      </c>
    </row>
    <row r="438" spans="1:26" ht="15.75" customHeight="1" outlineLevel="2">
      <c r="A438">
        <v>100</v>
      </c>
      <c r="B438" s="249">
        <v>931000</v>
      </c>
      <c r="C438">
        <v>1</v>
      </c>
      <c r="D438" t="str">
        <f t="shared" si="48"/>
        <v>1931000.100</v>
      </c>
      <c r="E438" s="348" t="s">
        <v>8121</v>
      </c>
      <c r="F438" s="242"/>
      <c r="G438"/>
      <c r="H438" s="322">
        <v>983300</v>
      </c>
      <c r="I438" s="322">
        <v>1219300</v>
      </c>
      <c r="J438" s="242">
        <v>821200</v>
      </c>
      <c r="K438" s="18" t="e">
        <f>INDEX(תקציב_2013,MATCH(D438,'תקציב 2015'!$D$3:$D$5960,0),8)</f>
        <v>#N/A</v>
      </c>
      <c r="L438" s="18" t="str">
        <f t="shared" si="49"/>
        <v>9</v>
      </c>
      <c r="M438" s="18" t="str">
        <f>INDEX(Chapter,MATCH(L438,Chapter!$A$1:$A$681,0),8)</f>
        <v>מפעלים</v>
      </c>
      <c r="N438" s="18" t="str">
        <f t="shared" si="50"/>
        <v>93</v>
      </c>
      <c r="O438" s="18" t="str">
        <f>INDEX(Chapter,MATCH(N438,Chapter!$A$1:$A$681,0),8)</f>
        <v>נכסים</v>
      </c>
      <c r="P438" s="18" t="str">
        <f t="shared" si="51"/>
        <v>931</v>
      </c>
      <c r="Q438" s="18" t="str">
        <f>INDEX(Chapter,MATCH(P438,Chapter!$A$1:$A$681,0),8)</f>
        <v>מינהל הנכסים</v>
      </c>
      <c r="R438" s="18" t="str">
        <f t="shared" si="52"/>
        <v>9310</v>
      </c>
      <c r="S438" s="18" t="e">
        <f>INDEX(Chapter,MATCH(R438,Chapter!$A$1:$A$681,0),8)</f>
        <v>#N/A</v>
      </c>
      <c r="T438" s="18"/>
      <c r="U438" s="18" t="str">
        <f t="shared" si="53"/>
        <v>1</v>
      </c>
      <c r="V438" s="18" t="str">
        <f>IF($L438&lt;"6",INDEX(Revenue_type,MATCH(U438*1,type!$A$118:$A$168,0),8),INDEX(Expenditure_type,MATCH(U438*1,type!$A$2:$A$117,0),8))</f>
        <v>משכורות וש"ע לעובדים לפי תקן</v>
      </c>
      <c r="W438" s="18" t="str">
        <f t="shared" si="54"/>
        <v>10</v>
      </c>
      <c r="X438" s="18" t="e">
        <f>IF($L438&lt;"6",INDEX(Revenue_type,MATCH(W438*1,type!$A$118:$A$168,0),8),INDEX(Expenditure_type,MATCH(W438*1,type!$A$2:$A$117,0),8))</f>
        <v>#N/A</v>
      </c>
      <c r="Y438" s="18" t="str">
        <f t="shared" si="55"/>
        <v>100</v>
      </c>
      <c r="Z438" s="18" t="e">
        <f>IF($L438&lt;"6",INDEX(Revenue_type,MATCH(Y438*1,type!$A$118:$A$168,0),8),INDEX(Expenditure_type,MATCH(Y438*1,type!$A$2:$A$117,0),8))</f>
        <v>#N/A</v>
      </c>
    </row>
    <row r="439" spans="1:26" ht="15.75" customHeight="1" outlineLevel="2">
      <c r="A439">
        <v>120</v>
      </c>
      <c r="B439" s="249">
        <v>931000</v>
      </c>
      <c r="C439">
        <v>1</v>
      </c>
      <c r="D439" t="str">
        <f t="shared" si="48"/>
        <v>1931000.120</v>
      </c>
      <c r="E439" s="352" t="s">
        <v>8122</v>
      </c>
      <c r="F439" s="242"/>
      <c r="G439"/>
      <c r="H439" s="322">
        <v>39700</v>
      </c>
      <c r="I439" s="322">
        <v>39700</v>
      </c>
      <c r="J439" s="242">
        <v>27900</v>
      </c>
      <c r="K439" s="18">
        <f>INDEX(תקציב_2013,MATCH(D439,'תקציב 2015'!$D$3:$D$5960,0),8)</f>
        <v>69147</v>
      </c>
      <c r="L439" s="18" t="str">
        <f t="shared" si="49"/>
        <v>9</v>
      </c>
      <c r="M439" s="18" t="str">
        <f>INDEX(Chapter,MATCH(L439,Chapter!$A$1:$A$681,0),8)</f>
        <v>מפעלים</v>
      </c>
      <c r="N439" s="18" t="str">
        <f t="shared" si="50"/>
        <v>93</v>
      </c>
      <c r="O439" s="18" t="str">
        <f>INDEX(Chapter,MATCH(N439,Chapter!$A$1:$A$681,0),8)</f>
        <v>נכסים</v>
      </c>
      <c r="P439" s="18" t="str">
        <f t="shared" si="51"/>
        <v>931</v>
      </c>
      <c r="Q439" s="18" t="str">
        <f>INDEX(Chapter,MATCH(P439,Chapter!$A$1:$A$681,0),8)</f>
        <v>מינהל הנכסים</v>
      </c>
      <c r="R439" s="18" t="str">
        <f t="shared" si="52"/>
        <v>9310</v>
      </c>
      <c r="S439" s="18" t="e">
        <f>INDEX(Chapter,MATCH(R439,Chapter!$A$1:$A$681,0),8)</f>
        <v>#N/A</v>
      </c>
      <c r="T439" s="18"/>
      <c r="U439" s="18" t="str">
        <f t="shared" si="53"/>
        <v>1</v>
      </c>
      <c r="V439" s="18" t="str">
        <f>IF($L439&lt;"6",INDEX(Revenue_type,MATCH(U439*1,type!$A$118:$A$168,0),8),INDEX(Expenditure_type,MATCH(U439*1,type!$A$2:$A$117,0),8))</f>
        <v>משכורות וש"ע לעובדים לפי תקן</v>
      </c>
      <c r="W439" s="18" t="str">
        <f t="shared" si="54"/>
        <v>12</v>
      </c>
      <c r="X439" s="18" t="str">
        <f>IF($L439&lt;"6",INDEX(Revenue_type,MATCH(W439*1,type!$A$118:$A$168,0),8),INDEX(Expenditure_type,MATCH(W439*1,type!$A$2:$A$117,0),8))</f>
        <v>תוספות שאינן נכללות בשכר הקובע</v>
      </c>
      <c r="Y439" s="18" t="str">
        <f t="shared" si="55"/>
        <v>120</v>
      </c>
      <c r="Z439" s="18" t="e">
        <f>IF($L439&lt;"6",INDEX(Revenue_type,MATCH(Y439*1,type!$A$118:$A$168,0),8),INDEX(Expenditure_type,MATCH(Y439*1,type!$A$2:$A$117,0),8))</f>
        <v>#N/A</v>
      </c>
    </row>
    <row r="440" spans="1:26" ht="15.75" customHeight="1" outlineLevel="2">
      <c r="A440">
        <v>400</v>
      </c>
      <c r="B440" s="249">
        <v>931000</v>
      </c>
      <c r="C440">
        <v>1</v>
      </c>
      <c r="D440" t="str">
        <f t="shared" si="48"/>
        <v>1931000.400</v>
      </c>
      <c r="E440" s="348" t="s">
        <v>8123</v>
      </c>
      <c r="F440" s="242"/>
      <c r="G440"/>
      <c r="H440" s="322">
        <v>2106900</v>
      </c>
      <c r="I440" s="322">
        <v>2168400</v>
      </c>
      <c r="J440" s="242">
        <v>2056800</v>
      </c>
      <c r="K440" s="18" t="e">
        <f>INDEX(תקציב_2013,MATCH(D440,'תקציב 2015'!$D$3:$D$5960,0),8)</f>
        <v>#N/A</v>
      </c>
      <c r="L440" s="18" t="str">
        <f t="shared" si="49"/>
        <v>9</v>
      </c>
      <c r="M440" s="18" t="str">
        <f>INDEX(Chapter,MATCH(L440,Chapter!$A$1:$A$681,0),8)</f>
        <v>מפעלים</v>
      </c>
      <c r="N440" s="18" t="str">
        <f t="shared" si="50"/>
        <v>93</v>
      </c>
      <c r="O440" s="18" t="str">
        <f>INDEX(Chapter,MATCH(N440,Chapter!$A$1:$A$681,0),8)</f>
        <v>נכסים</v>
      </c>
      <c r="P440" s="18" t="str">
        <f t="shared" si="51"/>
        <v>931</v>
      </c>
      <c r="Q440" s="18" t="str">
        <f>INDEX(Chapter,MATCH(P440,Chapter!$A$1:$A$681,0),8)</f>
        <v>מינהל הנכסים</v>
      </c>
      <c r="R440" s="18" t="str">
        <f t="shared" si="52"/>
        <v>9310</v>
      </c>
      <c r="S440" s="18" t="e">
        <f>INDEX(Chapter,MATCH(R440,Chapter!$A$1:$A$681,0),8)</f>
        <v>#N/A</v>
      </c>
      <c r="T440" s="18"/>
      <c r="U440" s="18" t="str">
        <f t="shared" si="53"/>
        <v>4</v>
      </c>
      <c r="V440" s="18" t="str">
        <f>IF($L440&lt;"6",INDEX(Revenue_type,MATCH(U440*1,type!$A$118:$A$168,0),8),INDEX(Expenditure_type,MATCH(U440*1,type!$A$2:$A$117,0),8))</f>
        <v>אחזקת בינים ואספקת ציוד</v>
      </c>
      <c r="W440" s="18" t="str">
        <f t="shared" si="54"/>
        <v>40</v>
      </c>
      <c r="X440" s="18" t="e">
        <f>IF($L440&lt;"6",INDEX(Revenue_type,MATCH(W440*1,type!$A$118:$A$168,0),8),INDEX(Expenditure_type,MATCH(W440*1,type!$A$2:$A$117,0),8))</f>
        <v>#N/A</v>
      </c>
      <c r="Y440" s="18" t="str">
        <f t="shared" si="55"/>
        <v>400</v>
      </c>
      <c r="Z440" s="18" t="e">
        <f>IF($L440&lt;"6",INDEX(Revenue_type,MATCH(Y440*1,type!$A$118:$A$168,0),8),INDEX(Expenditure_type,MATCH(Y440*1,type!$A$2:$A$117,0),8))</f>
        <v>#N/A</v>
      </c>
    </row>
    <row r="441" spans="1:26" ht="15.75" customHeight="1" outlineLevel="2">
      <c r="A441">
        <v>500</v>
      </c>
      <c r="B441" s="249">
        <v>931000</v>
      </c>
      <c r="C441">
        <v>1</v>
      </c>
      <c r="D441" t="str">
        <f t="shared" si="48"/>
        <v>1931000.500</v>
      </c>
      <c r="E441" s="348" t="s">
        <v>8124</v>
      </c>
      <c r="F441" s="242"/>
      <c r="G441"/>
      <c r="H441" s="322">
        <v>62100</v>
      </c>
      <c r="I441" s="322">
        <v>64000</v>
      </c>
      <c r="J441" s="242">
        <v>53900</v>
      </c>
      <c r="K441" s="18" t="e">
        <f>INDEX(תקציב_2013,MATCH(D441,'תקציב 2015'!$D$3:$D$5960,0),8)</f>
        <v>#N/A</v>
      </c>
      <c r="L441" s="18" t="str">
        <f t="shared" si="49"/>
        <v>9</v>
      </c>
      <c r="M441" s="18" t="str">
        <f>INDEX(Chapter,MATCH(L441,Chapter!$A$1:$A$681,0),8)</f>
        <v>מפעלים</v>
      </c>
      <c r="N441" s="18" t="str">
        <f t="shared" si="50"/>
        <v>93</v>
      </c>
      <c r="O441" s="18" t="str">
        <f>INDEX(Chapter,MATCH(N441,Chapter!$A$1:$A$681,0),8)</f>
        <v>נכסים</v>
      </c>
      <c r="P441" s="18" t="str">
        <f t="shared" si="51"/>
        <v>931</v>
      </c>
      <c r="Q441" s="18" t="str">
        <f>INDEX(Chapter,MATCH(P441,Chapter!$A$1:$A$681,0),8)</f>
        <v>מינהל הנכסים</v>
      </c>
      <c r="R441" s="18" t="str">
        <f t="shared" si="52"/>
        <v>9310</v>
      </c>
      <c r="S441" s="18" t="e">
        <f>INDEX(Chapter,MATCH(R441,Chapter!$A$1:$A$681,0),8)</f>
        <v>#N/A</v>
      </c>
      <c r="T441" s="18"/>
      <c r="U441" s="18" t="str">
        <f t="shared" si="53"/>
        <v>5</v>
      </c>
      <c r="V441" s="18" t="str">
        <f>IF($L441&lt;"6",INDEX(Revenue_type,MATCH(U441*1,type!$A$118:$A$168,0),8),INDEX(Expenditure_type,MATCH(U441*1,type!$A$2:$A$117,0),8))</f>
        <v>הוצאות מנהליות</v>
      </c>
      <c r="W441" s="18" t="str">
        <f t="shared" si="54"/>
        <v>50</v>
      </c>
      <c r="X441" s="18" t="e">
        <f>IF($L441&lt;"6",INDEX(Revenue_type,MATCH(W441*1,type!$A$118:$A$168,0),8),INDEX(Expenditure_type,MATCH(W441*1,type!$A$2:$A$117,0),8))</f>
        <v>#N/A</v>
      </c>
      <c r="Y441" s="18" t="str">
        <f t="shared" si="55"/>
        <v>500</v>
      </c>
      <c r="Z441" s="18" t="e">
        <f>IF($L441&lt;"6",INDEX(Revenue_type,MATCH(Y441*1,type!$A$118:$A$168,0),8),INDEX(Expenditure_type,MATCH(Y441*1,type!$A$2:$A$117,0),8))</f>
        <v>#N/A</v>
      </c>
    </row>
    <row r="442" spans="1:26" ht="15.75" customHeight="1" outlineLevel="2">
      <c r="A442">
        <v>500</v>
      </c>
      <c r="B442" s="249">
        <v>931000</v>
      </c>
      <c r="C442">
        <v>1</v>
      </c>
      <c r="D442" t="str">
        <f t="shared" si="48"/>
        <v>1931000.500</v>
      </c>
      <c r="E442" s="348" t="s">
        <v>8125</v>
      </c>
      <c r="F442" s="242"/>
      <c r="G442"/>
      <c r="H442" s="322">
        <v>56200</v>
      </c>
      <c r="I442" s="322">
        <v>57900</v>
      </c>
      <c r="J442" s="242">
        <v>37700</v>
      </c>
      <c r="K442" s="18" t="e">
        <f>INDEX(תקציב_2013,MATCH(D442,'תקציב 2015'!$D$3:$D$5960,0),8)</f>
        <v>#N/A</v>
      </c>
      <c r="L442" s="18" t="str">
        <f t="shared" si="49"/>
        <v>9</v>
      </c>
      <c r="M442" s="18" t="str">
        <f>INDEX(Chapter,MATCH(L442,Chapter!$A$1:$A$681,0),8)</f>
        <v>מפעלים</v>
      </c>
      <c r="N442" s="18" t="str">
        <f t="shared" si="50"/>
        <v>93</v>
      </c>
      <c r="O442" s="18" t="str">
        <f>INDEX(Chapter,MATCH(N442,Chapter!$A$1:$A$681,0),8)</f>
        <v>נכסים</v>
      </c>
      <c r="P442" s="18" t="str">
        <f t="shared" si="51"/>
        <v>931</v>
      </c>
      <c r="Q442" s="18" t="str">
        <f>INDEX(Chapter,MATCH(P442,Chapter!$A$1:$A$681,0),8)</f>
        <v>מינהל הנכסים</v>
      </c>
      <c r="R442" s="18" t="str">
        <f t="shared" si="52"/>
        <v>9310</v>
      </c>
      <c r="S442" s="18" t="e">
        <f>INDEX(Chapter,MATCH(R442,Chapter!$A$1:$A$681,0),8)</f>
        <v>#N/A</v>
      </c>
      <c r="T442" s="18"/>
      <c r="U442" s="18" t="str">
        <f t="shared" si="53"/>
        <v>5</v>
      </c>
      <c r="V442" s="18" t="str">
        <f>IF($L442&lt;"6",INDEX(Revenue_type,MATCH(U442*1,type!$A$118:$A$168,0),8),INDEX(Expenditure_type,MATCH(U442*1,type!$A$2:$A$117,0),8))</f>
        <v>הוצאות מנהליות</v>
      </c>
      <c r="W442" s="18" t="str">
        <f t="shared" si="54"/>
        <v>50</v>
      </c>
      <c r="X442" s="18" t="e">
        <f>IF($L442&lt;"6",INDEX(Revenue_type,MATCH(W442*1,type!$A$118:$A$168,0),8),INDEX(Expenditure_type,MATCH(W442*1,type!$A$2:$A$117,0),8))</f>
        <v>#N/A</v>
      </c>
      <c r="Y442" s="18" t="str">
        <f t="shared" si="55"/>
        <v>500</v>
      </c>
      <c r="Z442" s="18" t="e">
        <f>IF($L442&lt;"6",INDEX(Revenue_type,MATCH(Y442*1,type!$A$118:$A$168,0),8),INDEX(Expenditure_type,MATCH(Y442*1,type!$A$2:$A$117,0),8))</f>
        <v>#N/A</v>
      </c>
    </row>
    <row r="443" spans="1:26" ht="15.75" customHeight="1" outlineLevel="2">
      <c r="A443">
        <v>700</v>
      </c>
      <c r="B443" s="249">
        <v>931000</v>
      </c>
      <c r="C443">
        <v>1</v>
      </c>
      <c r="D443" t="str">
        <f t="shared" si="48"/>
        <v>1931000.700</v>
      </c>
      <c r="E443" s="348" t="s">
        <v>8126</v>
      </c>
      <c r="F443" s="242"/>
      <c r="G443"/>
      <c r="H443" s="322">
        <v>217300</v>
      </c>
      <c r="I443" s="322">
        <v>224000</v>
      </c>
      <c r="J443" s="242">
        <v>176500</v>
      </c>
      <c r="K443" s="18" t="e">
        <f>INDEX(תקציב_2013,MATCH(D443,'תקציב 2015'!$D$3:$D$5960,0),8)</f>
        <v>#N/A</v>
      </c>
      <c r="L443" s="18" t="str">
        <f t="shared" si="49"/>
        <v>9</v>
      </c>
      <c r="M443" s="18" t="str">
        <f>INDEX(Chapter,MATCH(L443,Chapter!$A$1:$A$681,0),8)</f>
        <v>מפעלים</v>
      </c>
      <c r="N443" s="18" t="str">
        <f t="shared" si="50"/>
        <v>93</v>
      </c>
      <c r="O443" s="18" t="str">
        <f>INDEX(Chapter,MATCH(N443,Chapter!$A$1:$A$681,0),8)</f>
        <v>נכסים</v>
      </c>
      <c r="P443" s="18" t="str">
        <f t="shared" si="51"/>
        <v>931</v>
      </c>
      <c r="Q443" s="18" t="str">
        <f>INDEX(Chapter,MATCH(P443,Chapter!$A$1:$A$681,0),8)</f>
        <v>מינהל הנכסים</v>
      </c>
      <c r="R443" s="18" t="str">
        <f t="shared" si="52"/>
        <v>9310</v>
      </c>
      <c r="S443" s="18" t="e">
        <f>INDEX(Chapter,MATCH(R443,Chapter!$A$1:$A$681,0),8)</f>
        <v>#N/A</v>
      </c>
      <c r="T443" s="18"/>
      <c r="U443" s="18" t="str">
        <f t="shared" si="53"/>
        <v>7</v>
      </c>
      <c r="V443" s="18" t="str">
        <f>IF($L443&lt;"6",INDEX(Revenue_type,MATCH(U443*1,type!$A$118:$A$168,0),8),INDEX(Expenditure_type,MATCH(U443*1,type!$A$2:$A$117,0),8))</f>
        <v>הוצאות לפעולות</v>
      </c>
      <c r="W443" s="18" t="str">
        <f t="shared" si="54"/>
        <v>70</v>
      </c>
      <c r="X443" s="18" t="e">
        <f>IF($L443&lt;"6",INDEX(Revenue_type,MATCH(W443*1,type!$A$118:$A$168,0),8),INDEX(Expenditure_type,MATCH(W443*1,type!$A$2:$A$117,0),8))</f>
        <v>#N/A</v>
      </c>
      <c r="Y443" s="18" t="str">
        <f t="shared" si="55"/>
        <v>700</v>
      </c>
      <c r="Z443" s="18" t="e">
        <f>IF($L443&lt;"6",INDEX(Revenue_type,MATCH(Y443*1,type!$A$118:$A$168,0),8),INDEX(Expenditure_type,MATCH(Y443*1,type!$A$2:$A$117,0),8))</f>
        <v>#N/A</v>
      </c>
    </row>
    <row r="444" spans="1:26" ht="15.75" hidden="1" customHeight="1" outlineLevel="2">
      <c r="A444">
        <v>100</v>
      </c>
      <c r="B444" s="249">
        <v>732093</v>
      </c>
      <c r="C444">
        <v>1</v>
      </c>
      <c r="D444" t="str">
        <f t="shared" si="48"/>
        <v>1732093.100</v>
      </c>
      <c r="E444" s="348" t="s">
        <v>8127</v>
      </c>
      <c r="F444" s="242"/>
      <c r="G444"/>
      <c r="H444" s="322">
        <v>774400</v>
      </c>
      <c r="I444" s="322">
        <v>765400</v>
      </c>
      <c r="J444" s="242">
        <v>785100</v>
      </c>
      <c r="K444" s="18" t="e">
        <f>INDEX(תקציב_2013,MATCH(D444,'תקציב 2015'!$D$3:$D$5960,0),8)</f>
        <v>#N/A</v>
      </c>
      <c r="L444" s="18" t="str">
        <f t="shared" si="49"/>
        <v>7</v>
      </c>
      <c r="M444" s="18" t="str">
        <f>INDEX(Chapter,MATCH(L444,Chapter!$A$1:$A$681,0),8)</f>
        <v>שירותים מקומיים</v>
      </c>
      <c r="N444" s="18" t="str">
        <f t="shared" si="50"/>
        <v>73</v>
      </c>
      <c r="O444" s="18" t="str">
        <f>INDEX(Chapter,MATCH(N444,Chapter!$A$1:$A$681,0),8)</f>
        <v>תכנון ובנין עיר</v>
      </c>
      <c r="P444" s="18" t="str">
        <f t="shared" si="51"/>
        <v>732</v>
      </c>
      <c r="Q444" s="18" t="str">
        <f>INDEX(Chapter,MATCH(P444,Chapter!$A$1:$A$681,0),8)</f>
        <v>תכנון עיר</v>
      </c>
      <c r="R444" s="18" t="str">
        <f t="shared" si="52"/>
        <v>7320</v>
      </c>
      <c r="S444" s="18" t="e">
        <f>INDEX(Chapter,MATCH(R444,Chapter!$A$1:$A$681,0),8)</f>
        <v>#N/A</v>
      </c>
      <c r="T444" s="18"/>
      <c r="U444" s="18" t="str">
        <f t="shared" si="53"/>
        <v>1</v>
      </c>
      <c r="V444" s="18" t="str">
        <f>IF($L444&lt;"6",INDEX(Revenue_type,MATCH(U444*1,type!$A$118:$A$168,0),8),INDEX(Expenditure_type,MATCH(U444*1,type!$A$2:$A$117,0),8))</f>
        <v>משכורות וש"ע לעובדים לפי תקן</v>
      </c>
      <c r="W444" s="18" t="str">
        <f t="shared" si="54"/>
        <v>10</v>
      </c>
      <c r="X444" s="18" t="e">
        <f>IF($L444&lt;"6",INDEX(Revenue_type,MATCH(W444*1,type!$A$118:$A$168,0),8),INDEX(Expenditure_type,MATCH(W444*1,type!$A$2:$A$117,0),8))</f>
        <v>#N/A</v>
      </c>
      <c r="Y444" s="18" t="str">
        <f t="shared" si="55"/>
        <v>100</v>
      </c>
      <c r="Z444" s="18" t="e">
        <f>IF($L444&lt;"6",INDEX(Revenue_type,MATCH(Y444*1,type!$A$118:$A$168,0),8),INDEX(Expenditure_type,MATCH(Y444*1,type!$A$2:$A$117,0),8))</f>
        <v>#N/A</v>
      </c>
    </row>
    <row r="445" spans="1:26" ht="15.75" hidden="1" customHeight="1" outlineLevel="2">
      <c r="A445">
        <v>120</v>
      </c>
      <c r="B445" s="249">
        <v>732093</v>
      </c>
      <c r="C445">
        <v>1</v>
      </c>
      <c r="D445" t="str">
        <f t="shared" si="48"/>
        <v>1732093.120</v>
      </c>
      <c r="E445" s="348" t="s">
        <v>8128</v>
      </c>
      <c r="F445" s="242"/>
      <c r="G445"/>
      <c r="H445" s="322">
        <v>16600</v>
      </c>
      <c r="I445" s="322">
        <v>16600</v>
      </c>
      <c r="J445" s="242">
        <v>9000</v>
      </c>
      <c r="K445" s="18" t="e">
        <f>INDEX(תקציב_2013,MATCH(D445,'תקציב 2015'!$D$3:$D$5960,0),8)</f>
        <v>#N/A</v>
      </c>
      <c r="L445" s="18" t="str">
        <f t="shared" si="49"/>
        <v>7</v>
      </c>
      <c r="M445" s="18" t="str">
        <f>INDEX(Chapter,MATCH(L445,Chapter!$A$1:$A$681,0),8)</f>
        <v>שירותים מקומיים</v>
      </c>
      <c r="N445" s="18" t="str">
        <f t="shared" si="50"/>
        <v>73</v>
      </c>
      <c r="O445" s="18" t="str">
        <f>INDEX(Chapter,MATCH(N445,Chapter!$A$1:$A$681,0),8)</f>
        <v>תכנון ובנין עיר</v>
      </c>
      <c r="P445" s="18" t="str">
        <f t="shared" si="51"/>
        <v>732</v>
      </c>
      <c r="Q445" s="18" t="str">
        <f>INDEX(Chapter,MATCH(P445,Chapter!$A$1:$A$681,0),8)</f>
        <v>תכנון עיר</v>
      </c>
      <c r="R445" s="18" t="str">
        <f t="shared" si="52"/>
        <v>7320</v>
      </c>
      <c r="S445" s="18" t="e">
        <f>INDEX(Chapter,MATCH(R445,Chapter!$A$1:$A$681,0),8)</f>
        <v>#N/A</v>
      </c>
      <c r="T445" s="18"/>
      <c r="U445" s="18" t="str">
        <f t="shared" si="53"/>
        <v>1</v>
      </c>
      <c r="V445" s="18" t="str">
        <f>IF($L445&lt;"6",INDEX(Revenue_type,MATCH(U445*1,type!$A$118:$A$168,0),8),INDEX(Expenditure_type,MATCH(U445*1,type!$A$2:$A$117,0),8))</f>
        <v>משכורות וש"ע לעובדים לפי תקן</v>
      </c>
      <c r="W445" s="18" t="str">
        <f t="shared" si="54"/>
        <v>12</v>
      </c>
      <c r="X445" s="18" t="str">
        <f>IF($L445&lt;"6",INDEX(Revenue_type,MATCH(W445*1,type!$A$118:$A$168,0),8),INDEX(Expenditure_type,MATCH(W445*1,type!$A$2:$A$117,0),8))</f>
        <v>תוספות שאינן נכללות בשכר הקובע</v>
      </c>
      <c r="Y445" s="18" t="str">
        <f t="shared" si="55"/>
        <v>120</v>
      </c>
      <c r="Z445" s="18" t="e">
        <f>IF($L445&lt;"6",INDEX(Revenue_type,MATCH(Y445*1,type!$A$118:$A$168,0),8),INDEX(Expenditure_type,MATCH(Y445*1,type!$A$2:$A$117,0),8))</f>
        <v>#N/A</v>
      </c>
    </row>
    <row r="446" spans="1:26" ht="15.75" hidden="1" customHeight="1" outlineLevel="2">
      <c r="A446">
        <v>100</v>
      </c>
      <c r="B446" s="249">
        <v>711200</v>
      </c>
      <c r="C446">
        <v>1</v>
      </c>
      <c r="D446" t="str">
        <f t="shared" si="48"/>
        <v>1711200.100</v>
      </c>
      <c r="E446" s="348" t="s">
        <v>8129</v>
      </c>
      <c r="F446" s="242"/>
      <c r="G446"/>
      <c r="H446" s="322">
        <v>1756800</v>
      </c>
      <c r="I446" s="322">
        <v>1736800</v>
      </c>
      <c r="J446" s="242">
        <v>1654200</v>
      </c>
      <c r="K446" s="18" t="e">
        <f>INDEX(תקציב_2013,MATCH(D446,'תקציב 2015'!$D$3:$D$5960,0),8)</f>
        <v>#N/A</v>
      </c>
      <c r="L446" s="18" t="str">
        <f t="shared" si="49"/>
        <v>7</v>
      </c>
      <c r="M446" s="18" t="str">
        <f>INDEX(Chapter,MATCH(L446,Chapter!$A$1:$A$681,0),8)</f>
        <v>שירותים מקומיים</v>
      </c>
      <c r="N446" s="18" t="str">
        <f t="shared" si="50"/>
        <v>71</v>
      </c>
      <c r="O446" s="18" t="str">
        <f>INDEX(Chapter,MATCH(N446,Chapter!$A$1:$A$681,0),8)</f>
        <v>תברואה</v>
      </c>
      <c r="P446" s="18" t="str">
        <f t="shared" si="51"/>
        <v>711</v>
      </c>
      <c r="Q446" s="18" t="str">
        <f>INDEX(Chapter,MATCH(P446,Chapter!$A$1:$A$681,0),8)</f>
        <v>מינהל תברואה</v>
      </c>
      <c r="R446" s="18" t="str">
        <f t="shared" si="52"/>
        <v>7112</v>
      </c>
      <c r="S446" s="18" t="e">
        <f>INDEX(Chapter,MATCH(R446,Chapter!$A$1:$A$681,0),8)</f>
        <v>#N/A</v>
      </c>
      <c r="T446" s="18"/>
      <c r="U446" s="18" t="str">
        <f t="shared" si="53"/>
        <v>1</v>
      </c>
      <c r="V446" s="18" t="str">
        <f>IF($L446&lt;"6",INDEX(Revenue_type,MATCH(U446*1,type!$A$118:$A$168,0),8),INDEX(Expenditure_type,MATCH(U446*1,type!$A$2:$A$117,0),8))</f>
        <v>משכורות וש"ע לעובדים לפי תקן</v>
      </c>
      <c r="W446" s="18" t="str">
        <f t="shared" si="54"/>
        <v>10</v>
      </c>
      <c r="X446" s="18" t="e">
        <f>IF($L446&lt;"6",INDEX(Revenue_type,MATCH(W446*1,type!$A$118:$A$168,0),8),INDEX(Expenditure_type,MATCH(W446*1,type!$A$2:$A$117,0),8))</f>
        <v>#N/A</v>
      </c>
      <c r="Y446" s="18" t="str">
        <f t="shared" si="55"/>
        <v>100</v>
      </c>
      <c r="Z446" s="18" t="e">
        <f>IF($L446&lt;"6",INDEX(Revenue_type,MATCH(Y446*1,type!$A$118:$A$168,0),8),INDEX(Expenditure_type,MATCH(Y446*1,type!$A$2:$A$117,0),8))</f>
        <v>#N/A</v>
      </c>
    </row>
    <row r="447" spans="1:26" ht="15.75" hidden="1" customHeight="1" outlineLevel="2">
      <c r="A447">
        <v>120</v>
      </c>
      <c r="B447" s="249">
        <v>711200</v>
      </c>
      <c r="C447">
        <v>1</v>
      </c>
      <c r="D447" t="str">
        <f t="shared" ref="D447:D510" si="56">C447&amp;B447&amp;"."&amp;A447</f>
        <v>1711200.120</v>
      </c>
      <c r="E447" s="348" t="s">
        <v>8130</v>
      </c>
      <c r="F447" s="242"/>
      <c r="G447"/>
      <c r="H447" s="322">
        <v>81200</v>
      </c>
      <c r="I447" s="322">
        <v>81200</v>
      </c>
      <c r="J447" s="242">
        <v>103200</v>
      </c>
      <c r="K447" s="18" t="e">
        <f>INDEX(תקציב_2013,MATCH(D447,'תקציב 2015'!$D$3:$D$5960,0),8)</f>
        <v>#N/A</v>
      </c>
      <c r="L447" s="18" t="str">
        <f t="shared" si="49"/>
        <v>7</v>
      </c>
      <c r="M447" s="18" t="str">
        <f>INDEX(Chapter,MATCH(L447,Chapter!$A$1:$A$681,0),8)</f>
        <v>שירותים מקומיים</v>
      </c>
      <c r="N447" s="18" t="str">
        <f t="shared" si="50"/>
        <v>71</v>
      </c>
      <c r="O447" s="18" t="str">
        <f>INDEX(Chapter,MATCH(N447,Chapter!$A$1:$A$681,0),8)</f>
        <v>תברואה</v>
      </c>
      <c r="P447" s="18" t="str">
        <f t="shared" si="51"/>
        <v>711</v>
      </c>
      <c r="Q447" s="18" t="str">
        <f>INDEX(Chapter,MATCH(P447,Chapter!$A$1:$A$681,0),8)</f>
        <v>מינהל תברואה</v>
      </c>
      <c r="R447" s="18" t="str">
        <f t="shared" si="52"/>
        <v>7112</v>
      </c>
      <c r="S447" s="18" t="e">
        <f>INDEX(Chapter,MATCH(R447,Chapter!$A$1:$A$681,0),8)</f>
        <v>#N/A</v>
      </c>
      <c r="T447" s="18"/>
      <c r="U447" s="18" t="str">
        <f t="shared" si="53"/>
        <v>1</v>
      </c>
      <c r="V447" s="18" t="str">
        <f>IF($L447&lt;"6",INDEX(Revenue_type,MATCH(U447*1,type!$A$118:$A$168,0),8),INDEX(Expenditure_type,MATCH(U447*1,type!$A$2:$A$117,0),8))</f>
        <v>משכורות וש"ע לעובדים לפי תקן</v>
      </c>
      <c r="W447" s="18" t="str">
        <f t="shared" si="54"/>
        <v>12</v>
      </c>
      <c r="X447" s="18" t="str">
        <f>IF($L447&lt;"6",INDEX(Revenue_type,MATCH(W447*1,type!$A$118:$A$168,0),8),INDEX(Expenditure_type,MATCH(W447*1,type!$A$2:$A$117,0),8))</f>
        <v>תוספות שאינן נכללות בשכר הקובע</v>
      </c>
      <c r="Y447" s="18" t="str">
        <f t="shared" si="55"/>
        <v>120</v>
      </c>
      <c r="Z447" s="18" t="e">
        <f>IF($L447&lt;"6",INDEX(Revenue_type,MATCH(Y447*1,type!$A$118:$A$168,0),8),INDEX(Expenditure_type,MATCH(Y447*1,type!$A$2:$A$117,0),8))</f>
        <v>#N/A</v>
      </c>
    </row>
    <row r="448" spans="1:26" ht="15.75" hidden="1" customHeight="1" outlineLevel="2">
      <c r="A448">
        <v>400</v>
      </c>
      <c r="B448" s="249">
        <v>711200</v>
      </c>
      <c r="C448">
        <v>1</v>
      </c>
      <c r="D448" t="str">
        <f t="shared" si="56"/>
        <v>1711200.400</v>
      </c>
      <c r="E448" s="348" t="s">
        <v>8131</v>
      </c>
      <c r="F448" s="242"/>
      <c r="G448"/>
      <c r="H448" s="322">
        <v>8000</v>
      </c>
      <c r="I448" s="322">
        <v>8700</v>
      </c>
      <c r="J448" s="242">
        <v>9800</v>
      </c>
      <c r="K448" s="18" t="e">
        <f>INDEX(תקציב_2013,MATCH(D448,'תקציב 2015'!$D$3:$D$5960,0),8)</f>
        <v>#N/A</v>
      </c>
      <c r="L448" s="18" t="str">
        <f t="shared" si="49"/>
        <v>7</v>
      </c>
      <c r="M448" s="18" t="str">
        <f>INDEX(Chapter,MATCH(L448,Chapter!$A$1:$A$681,0),8)</f>
        <v>שירותים מקומיים</v>
      </c>
      <c r="N448" s="18" t="str">
        <f t="shared" si="50"/>
        <v>71</v>
      </c>
      <c r="O448" s="18" t="str">
        <f>INDEX(Chapter,MATCH(N448,Chapter!$A$1:$A$681,0),8)</f>
        <v>תברואה</v>
      </c>
      <c r="P448" s="18" t="str">
        <f t="shared" si="51"/>
        <v>711</v>
      </c>
      <c r="Q448" s="18" t="str">
        <f>INDEX(Chapter,MATCH(P448,Chapter!$A$1:$A$681,0),8)</f>
        <v>מינהל תברואה</v>
      </c>
      <c r="R448" s="18" t="str">
        <f t="shared" si="52"/>
        <v>7112</v>
      </c>
      <c r="S448" s="18" t="e">
        <f>INDEX(Chapter,MATCH(R448,Chapter!$A$1:$A$681,0),8)</f>
        <v>#N/A</v>
      </c>
      <c r="T448" s="18"/>
      <c r="U448" s="18" t="str">
        <f t="shared" si="53"/>
        <v>4</v>
      </c>
      <c r="V448" s="18" t="str">
        <f>IF($L448&lt;"6",INDEX(Revenue_type,MATCH(U448*1,type!$A$118:$A$168,0),8),INDEX(Expenditure_type,MATCH(U448*1,type!$A$2:$A$117,0),8))</f>
        <v>אחזקת בינים ואספקת ציוד</v>
      </c>
      <c r="W448" s="18" t="str">
        <f t="shared" si="54"/>
        <v>40</v>
      </c>
      <c r="X448" s="18" t="e">
        <f>IF($L448&lt;"6",INDEX(Revenue_type,MATCH(W448*1,type!$A$118:$A$168,0),8),INDEX(Expenditure_type,MATCH(W448*1,type!$A$2:$A$117,0),8))</f>
        <v>#N/A</v>
      </c>
      <c r="Y448" s="18" t="str">
        <f t="shared" si="55"/>
        <v>400</v>
      </c>
      <c r="Z448" s="18" t="e">
        <f>IF($L448&lt;"6",INDEX(Revenue_type,MATCH(Y448*1,type!$A$118:$A$168,0),8),INDEX(Expenditure_type,MATCH(Y448*1,type!$A$2:$A$117,0),8))</f>
        <v>#N/A</v>
      </c>
    </row>
    <row r="449" spans="1:26" ht="15.75" hidden="1" customHeight="1" outlineLevel="2">
      <c r="A449">
        <v>500</v>
      </c>
      <c r="B449" s="249">
        <v>711200</v>
      </c>
      <c r="C449">
        <v>1</v>
      </c>
      <c r="D449" t="str">
        <f t="shared" si="56"/>
        <v>1711200.500</v>
      </c>
      <c r="E449" s="348" t="s">
        <v>8132</v>
      </c>
      <c r="F449" s="242"/>
      <c r="G449"/>
      <c r="H449" s="322">
        <v>40800</v>
      </c>
      <c r="I449" s="322">
        <v>41300</v>
      </c>
      <c r="J449" s="242">
        <v>28300</v>
      </c>
      <c r="K449" s="18" t="e">
        <f>INDEX(תקציב_2013,MATCH(D449,'תקציב 2015'!$D$3:$D$5960,0),8)</f>
        <v>#N/A</v>
      </c>
      <c r="L449" s="18" t="str">
        <f t="shared" si="49"/>
        <v>7</v>
      </c>
      <c r="M449" s="18" t="str">
        <f>INDEX(Chapter,MATCH(L449,Chapter!$A$1:$A$681,0),8)</f>
        <v>שירותים מקומיים</v>
      </c>
      <c r="N449" s="18" t="str">
        <f t="shared" si="50"/>
        <v>71</v>
      </c>
      <c r="O449" s="18" t="str">
        <f>INDEX(Chapter,MATCH(N449,Chapter!$A$1:$A$681,0),8)</f>
        <v>תברואה</v>
      </c>
      <c r="P449" s="18" t="str">
        <f t="shared" si="51"/>
        <v>711</v>
      </c>
      <c r="Q449" s="18" t="str">
        <f>INDEX(Chapter,MATCH(P449,Chapter!$A$1:$A$681,0),8)</f>
        <v>מינהל תברואה</v>
      </c>
      <c r="R449" s="18" t="str">
        <f t="shared" si="52"/>
        <v>7112</v>
      </c>
      <c r="S449" s="18" t="e">
        <f>INDEX(Chapter,MATCH(R449,Chapter!$A$1:$A$681,0),8)</f>
        <v>#N/A</v>
      </c>
      <c r="T449" s="18"/>
      <c r="U449" s="18" t="str">
        <f t="shared" si="53"/>
        <v>5</v>
      </c>
      <c r="V449" s="18" t="str">
        <f>IF($L449&lt;"6",INDEX(Revenue_type,MATCH(U449*1,type!$A$118:$A$168,0),8),INDEX(Expenditure_type,MATCH(U449*1,type!$A$2:$A$117,0),8))</f>
        <v>הוצאות מנהליות</v>
      </c>
      <c r="W449" s="18" t="str">
        <f t="shared" si="54"/>
        <v>50</v>
      </c>
      <c r="X449" s="18" t="e">
        <f>IF($L449&lt;"6",INDEX(Revenue_type,MATCH(W449*1,type!$A$118:$A$168,0),8),INDEX(Expenditure_type,MATCH(W449*1,type!$A$2:$A$117,0),8))</f>
        <v>#N/A</v>
      </c>
      <c r="Y449" s="18" t="str">
        <f t="shared" si="55"/>
        <v>500</v>
      </c>
      <c r="Z449" s="18" t="e">
        <f>IF($L449&lt;"6",INDEX(Revenue_type,MATCH(Y449*1,type!$A$118:$A$168,0),8),INDEX(Expenditure_type,MATCH(Y449*1,type!$A$2:$A$117,0),8))</f>
        <v>#N/A</v>
      </c>
    </row>
    <row r="450" spans="1:26" ht="15.75" hidden="1" customHeight="1" outlineLevel="2">
      <c r="A450">
        <v>500</v>
      </c>
      <c r="B450" s="249">
        <v>711200</v>
      </c>
      <c r="C450">
        <v>1</v>
      </c>
      <c r="D450" t="str">
        <f t="shared" si="56"/>
        <v>1711200.500</v>
      </c>
      <c r="E450" s="348" t="s">
        <v>8133</v>
      </c>
      <c r="F450" s="242"/>
      <c r="G450"/>
      <c r="H450" s="322">
        <v>800</v>
      </c>
      <c r="I450" s="322">
        <v>800</v>
      </c>
      <c r="J450" s="242">
        <v>400</v>
      </c>
      <c r="K450" s="18" t="e">
        <f>INDEX(תקציב_2013,MATCH(D450,'תקציב 2015'!$D$3:$D$5960,0),8)</f>
        <v>#N/A</v>
      </c>
      <c r="L450" s="18" t="str">
        <f t="shared" si="49"/>
        <v>7</v>
      </c>
      <c r="M450" s="18" t="str">
        <f>INDEX(Chapter,MATCH(L450,Chapter!$A$1:$A$681,0),8)</f>
        <v>שירותים מקומיים</v>
      </c>
      <c r="N450" s="18" t="str">
        <f t="shared" si="50"/>
        <v>71</v>
      </c>
      <c r="O450" s="18" t="str">
        <f>INDEX(Chapter,MATCH(N450,Chapter!$A$1:$A$681,0),8)</f>
        <v>תברואה</v>
      </c>
      <c r="P450" s="18" t="str">
        <f t="shared" si="51"/>
        <v>711</v>
      </c>
      <c r="Q450" s="18" t="str">
        <f>INDEX(Chapter,MATCH(P450,Chapter!$A$1:$A$681,0),8)</f>
        <v>מינהל תברואה</v>
      </c>
      <c r="R450" s="18" t="str">
        <f t="shared" si="52"/>
        <v>7112</v>
      </c>
      <c r="S450" s="18" t="e">
        <f>INDEX(Chapter,MATCH(R450,Chapter!$A$1:$A$681,0),8)</f>
        <v>#N/A</v>
      </c>
      <c r="T450" s="18"/>
      <c r="U450" s="18" t="str">
        <f t="shared" si="53"/>
        <v>5</v>
      </c>
      <c r="V450" s="18" t="str">
        <f>IF($L450&lt;"6",INDEX(Revenue_type,MATCH(U450*1,type!$A$118:$A$168,0),8),INDEX(Expenditure_type,MATCH(U450*1,type!$A$2:$A$117,0),8))</f>
        <v>הוצאות מנהליות</v>
      </c>
      <c r="W450" s="18" t="str">
        <f t="shared" si="54"/>
        <v>50</v>
      </c>
      <c r="X450" s="18" t="e">
        <f>IF($L450&lt;"6",INDEX(Revenue_type,MATCH(W450*1,type!$A$118:$A$168,0),8),INDEX(Expenditure_type,MATCH(W450*1,type!$A$2:$A$117,0),8))</f>
        <v>#N/A</v>
      </c>
      <c r="Y450" s="18" t="str">
        <f t="shared" si="55"/>
        <v>500</v>
      </c>
      <c r="Z450" s="18" t="e">
        <f>IF($L450&lt;"6",INDEX(Revenue_type,MATCH(Y450*1,type!$A$118:$A$168,0),8),INDEX(Expenditure_type,MATCH(Y450*1,type!$A$2:$A$117,0),8))</f>
        <v>#N/A</v>
      </c>
    </row>
    <row r="451" spans="1:26" ht="15.75" hidden="1" customHeight="1" outlineLevel="2">
      <c r="A451">
        <v>700</v>
      </c>
      <c r="B451" s="249">
        <v>711200</v>
      </c>
      <c r="C451">
        <v>1</v>
      </c>
      <c r="D451" t="str">
        <f t="shared" si="56"/>
        <v>1711200.700</v>
      </c>
      <c r="E451" s="348" t="s">
        <v>8134</v>
      </c>
      <c r="F451" s="242"/>
      <c r="G451"/>
      <c r="H451" s="322">
        <v>8000</v>
      </c>
      <c r="I451" s="322">
        <v>8500</v>
      </c>
      <c r="J451" s="242">
        <v>5600</v>
      </c>
      <c r="K451" s="18" t="e">
        <f>INDEX(תקציב_2013,MATCH(D451,'תקציב 2015'!$D$3:$D$5960,0),8)</f>
        <v>#N/A</v>
      </c>
      <c r="L451" s="18" t="str">
        <f t="shared" ref="L451:L514" si="57">IF(LEFT($B451,1)*1=0,LEFT($B451,2),LEFT($B451,1))</f>
        <v>7</v>
      </c>
      <c r="M451" s="18" t="str">
        <f>INDEX(Chapter,MATCH(L451,Chapter!$A$1:$A$681,0),8)</f>
        <v>שירותים מקומיים</v>
      </c>
      <c r="N451" s="18" t="str">
        <f t="shared" ref="N451:N514" si="58">IF(LEFT($B451,1)*1=0,LEFT($B451,3),LEFT($B451,2))</f>
        <v>71</v>
      </c>
      <c r="O451" s="18" t="str">
        <f>INDEX(Chapter,MATCH(N451,Chapter!$A$1:$A$681,0),8)</f>
        <v>תברואה</v>
      </c>
      <c r="P451" s="18" t="str">
        <f t="shared" ref="P451:P514" si="59">IF(LEFT($B451,1)*1=0,LEFT($B451,4),LEFT($B451,3))</f>
        <v>711</v>
      </c>
      <c r="Q451" s="18" t="str">
        <f>INDEX(Chapter,MATCH(P451,Chapter!$A$1:$A$681,0),8)</f>
        <v>מינהל תברואה</v>
      </c>
      <c r="R451" s="18" t="str">
        <f t="shared" ref="R451:R514" si="60">LEFT($B451,4)</f>
        <v>7112</v>
      </c>
      <c r="S451" s="18" t="e">
        <f>INDEX(Chapter,MATCH(R451,Chapter!$A$1:$A$681,0),8)</f>
        <v>#N/A</v>
      </c>
      <c r="T451" s="18"/>
      <c r="U451" s="18" t="str">
        <f t="shared" ref="U451:U514" si="61">LEFT($A451,1)</f>
        <v>7</v>
      </c>
      <c r="V451" s="18" t="str">
        <f>IF($L451&lt;"6",INDEX(Revenue_type,MATCH(U451*1,type!$A$118:$A$168,0),8),INDEX(Expenditure_type,MATCH(U451*1,type!$A$2:$A$117,0),8))</f>
        <v>הוצאות לפעולות</v>
      </c>
      <c r="W451" s="18" t="str">
        <f t="shared" ref="W451:W514" si="62">LEFT($A451,2)</f>
        <v>70</v>
      </c>
      <c r="X451" s="18" t="e">
        <f>IF($L451&lt;"6",INDEX(Revenue_type,MATCH(W451*1,type!$A$118:$A$168,0),8),INDEX(Expenditure_type,MATCH(W451*1,type!$A$2:$A$117,0),8))</f>
        <v>#N/A</v>
      </c>
      <c r="Y451" s="18" t="str">
        <f t="shared" ref="Y451:Y514" si="63">LEFT($A451,3)</f>
        <v>700</v>
      </c>
      <c r="Z451" s="18" t="e">
        <f>IF($L451&lt;"6",INDEX(Revenue_type,MATCH(Y451*1,type!$A$118:$A$168,0),8),INDEX(Expenditure_type,MATCH(Y451*1,type!$A$2:$A$117,0),8))</f>
        <v>#N/A</v>
      </c>
    </row>
    <row r="452" spans="1:26" ht="15.75" hidden="1" customHeight="1" outlineLevel="2">
      <c r="A452">
        <v>700</v>
      </c>
      <c r="B452" s="249">
        <v>731115</v>
      </c>
      <c r="C452">
        <v>1</v>
      </c>
      <c r="D452" t="str">
        <f t="shared" si="56"/>
        <v>1731115.700</v>
      </c>
      <c r="E452" s="348" t="s">
        <v>8135</v>
      </c>
      <c r="F452" s="242"/>
      <c r="G452"/>
      <c r="H452" s="322">
        <v>307700</v>
      </c>
      <c r="I452" s="322">
        <v>307700</v>
      </c>
      <c r="J452" s="242">
        <v>227700</v>
      </c>
      <c r="K452" s="18" t="e">
        <f>INDEX(תקציב_2013,MATCH(D452,'תקציב 2015'!$D$3:$D$5960,0),8)</f>
        <v>#N/A</v>
      </c>
      <c r="L452" s="18" t="str">
        <f t="shared" si="57"/>
        <v>7</v>
      </c>
      <c r="M452" s="18" t="str">
        <f>INDEX(Chapter,MATCH(L452,Chapter!$A$1:$A$681,0),8)</f>
        <v>שירותים מקומיים</v>
      </c>
      <c r="N452" s="18" t="str">
        <f t="shared" si="58"/>
        <v>73</v>
      </c>
      <c r="O452" s="18" t="str">
        <f>INDEX(Chapter,MATCH(N452,Chapter!$A$1:$A$681,0),8)</f>
        <v>תכנון ובנין עיר</v>
      </c>
      <c r="P452" s="18" t="str">
        <f t="shared" si="59"/>
        <v>731</v>
      </c>
      <c r="Q452" s="18" t="str">
        <f>INDEX(Chapter,MATCH(P452,Chapter!$A$1:$A$681,0),8)</f>
        <v>משרד מהנדס הרשות</v>
      </c>
      <c r="R452" s="18" t="str">
        <f t="shared" si="60"/>
        <v>7311</v>
      </c>
      <c r="S452" s="18" t="e">
        <f>INDEX(Chapter,MATCH(R452,Chapter!$A$1:$A$681,0),8)</f>
        <v>#N/A</v>
      </c>
      <c r="T452" s="18"/>
      <c r="U452" s="18" t="str">
        <f t="shared" si="61"/>
        <v>7</v>
      </c>
      <c r="V452" s="18" t="str">
        <f>IF($L452&lt;"6",INDEX(Revenue_type,MATCH(U452*1,type!$A$118:$A$168,0),8),INDEX(Expenditure_type,MATCH(U452*1,type!$A$2:$A$117,0),8))</f>
        <v>הוצאות לפעולות</v>
      </c>
      <c r="W452" s="18" t="str">
        <f t="shared" si="62"/>
        <v>70</v>
      </c>
      <c r="X452" s="18" t="e">
        <f>IF($L452&lt;"6",INDEX(Revenue_type,MATCH(W452*1,type!$A$118:$A$168,0),8),INDEX(Expenditure_type,MATCH(W452*1,type!$A$2:$A$117,0),8))</f>
        <v>#N/A</v>
      </c>
      <c r="Y452" s="18" t="str">
        <f t="shared" si="63"/>
        <v>700</v>
      </c>
      <c r="Z452" s="18" t="e">
        <f>IF($L452&lt;"6",INDEX(Revenue_type,MATCH(Y452*1,type!$A$118:$A$168,0),8),INDEX(Expenditure_type,MATCH(Y452*1,type!$A$2:$A$117,0),8))</f>
        <v>#N/A</v>
      </c>
    </row>
    <row r="453" spans="1:26" ht="15.75" hidden="1" customHeight="1" outlineLevel="2">
      <c r="A453">
        <v>100</v>
      </c>
      <c r="B453" s="249">
        <v>611000</v>
      </c>
      <c r="C453">
        <v>1</v>
      </c>
      <c r="D453" t="str">
        <f t="shared" si="56"/>
        <v>1611000.100</v>
      </c>
      <c r="E453" s="348" t="s">
        <v>8136</v>
      </c>
      <c r="F453" s="242"/>
      <c r="G453"/>
      <c r="H453" s="322">
        <v>2762000</v>
      </c>
      <c r="I453" s="322">
        <v>2731000</v>
      </c>
      <c r="J453" s="242">
        <v>2595800</v>
      </c>
      <c r="K453" s="18" t="e">
        <f>INDEX(תקציב_2013,MATCH(D453,'תקציב 2015'!$D$3:$D$5960,0),8)</f>
        <v>#N/A</v>
      </c>
      <c r="L453" s="18" t="str">
        <f t="shared" si="57"/>
        <v>6</v>
      </c>
      <c r="M453" s="18" t="str">
        <f>INDEX(Chapter,MATCH(L453,Chapter!$A$1:$A$681,0),8)</f>
        <v>הנהלה כללית</v>
      </c>
      <c r="N453" s="18" t="str">
        <f t="shared" si="58"/>
        <v>61</v>
      </c>
      <c r="O453" s="18" t="str">
        <f>INDEX(Chapter,MATCH(N453,Chapter!$A$1:$A$681,0),8)</f>
        <v>מינהל כללי</v>
      </c>
      <c r="P453" s="18" t="str">
        <f t="shared" si="59"/>
        <v>611</v>
      </c>
      <c r="Q453" s="18" t="str">
        <f>INDEX(Chapter,MATCH(P453,Chapter!$A$1:$A$681,0),8)</f>
        <v>הנהלה ורשות</v>
      </c>
      <c r="R453" s="18" t="str">
        <f t="shared" si="60"/>
        <v>6110</v>
      </c>
      <c r="S453" s="18" t="e">
        <f>INDEX(Chapter,MATCH(R453,Chapter!$A$1:$A$681,0),8)</f>
        <v>#N/A</v>
      </c>
      <c r="T453" s="18"/>
      <c r="U453" s="18" t="str">
        <f t="shared" si="61"/>
        <v>1</v>
      </c>
      <c r="V453" s="18" t="str">
        <f>IF($L453&lt;"6",INDEX(Revenue_type,MATCH(U453*1,type!$A$118:$A$168,0),8),INDEX(Expenditure_type,MATCH(U453*1,type!$A$2:$A$117,0),8))</f>
        <v>משכורות וש"ע לעובדים לפי תקן</v>
      </c>
      <c r="W453" s="18" t="str">
        <f t="shared" si="62"/>
        <v>10</v>
      </c>
      <c r="X453" s="18" t="e">
        <f>IF($L453&lt;"6",INDEX(Revenue_type,MATCH(W453*1,type!$A$118:$A$168,0),8),INDEX(Expenditure_type,MATCH(W453*1,type!$A$2:$A$117,0),8))</f>
        <v>#N/A</v>
      </c>
      <c r="Y453" s="18" t="str">
        <f t="shared" si="63"/>
        <v>100</v>
      </c>
      <c r="Z453" s="18" t="e">
        <f>IF($L453&lt;"6",INDEX(Revenue_type,MATCH(Y453*1,type!$A$118:$A$168,0),8),INDEX(Expenditure_type,MATCH(Y453*1,type!$A$2:$A$117,0),8))</f>
        <v>#N/A</v>
      </c>
    </row>
    <row r="454" spans="1:26" ht="15.75" hidden="1" customHeight="1" outlineLevel="2">
      <c r="A454">
        <v>120</v>
      </c>
      <c r="B454" s="249">
        <v>611000</v>
      </c>
      <c r="C454">
        <v>1</v>
      </c>
      <c r="D454" t="str">
        <f t="shared" si="56"/>
        <v>1611000.120</v>
      </c>
      <c r="E454" s="348" t="s">
        <v>8137</v>
      </c>
      <c r="F454" s="242"/>
      <c r="G454"/>
      <c r="H454" s="322">
        <v>70000</v>
      </c>
      <c r="I454" s="322">
        <v>70000</v>
      </c>
      <c r="J454" s="242">
        <v>65400</v>
      </c>
      <c r="K454" s="18" t="e">
        <f>INDEX(תקציב_2013,MATCH(D454,'תקציב 2015'!$D$3:$D$5960,0),8)</f>
        <v>#N/A</v>
      </c>
      <c r="L454" s="18" t="str">
        <f t="shared" si="57"/>
        <v>6</v>
      </c>
      <c r="M454" s="18" t="str">
        <f>INDEX(Chapter,MATCH(L454,Chapter!$A$1:$A$681,0),8)</f>
        <v>הנהלה כללית</v>
      </c>
      <c r="N454" s="18" t="str">
        <f t="shared" si="58"/>
        <v>61</v>
      </c>
      <c r="O454" s="18" t="str">
        <f>INDEX(Chapter,MATCH(N454,Chapter!$A$1:$A$681,0),8)</f>
        <v>מינהל כללי</v>
      </c>
      <c r="P454" s="18" t="str">
        <f t="shared" si="59"/>
        <v>611</v>
      </c>
      <c r="Q454" s="18" t="str">
        <f>INDEX(Chapter,MATCH(P454,Chapter!$A$1:$A$681,0),8)</f>
        <v>הנהלה ורשות</v>
      </c>
      <c r="R454" s="18" t="str">
        <f t="shared" si="60"/>
        <v>6110</v>
      </c>
      <c r="S454" s="18" t="e">
        <f>INDEX(Chapter,MATCH(R454,Chapter!$A$1:$A$681,0),8)</f>
        <v>#N/A</v>
      </c>
      <c r="T454" s="18"/>
      <c r="U454" s="18" t="str">
        <f t="shared" si="61"/>
        <v>1</v>
      </c>
      <c r="V454" s="18" t="str">
        <f>IF($L454&lt;"6",INDEX(Revenue_type,MATCH(U454*1,type!$A$118:$A$168,0),8),INDEX(Expenditure_type,MATCH(U454*1,type!$A$2:$A$117,0),8))</f>
        <v>משכורות וש"ע לעובדים לפי תקן</v>
      </c>
      <c r="W454" s="18" t="str">
        <f t="shared" si="62"/>
        <v>12</v>
      </c>
      <c r="X454" s="18" t="str">
        <f>IF($L454&lt;"6",INDEX(Revenue_type,MATCH(W454*1,type!$A$118:$A$168,0),8),INDEX(Expenditure_type,MATCH(W454*1,type!$A$2:$A$117,0),8))</f>
        <v>תוספות שאינן נכללות בשכר הקובע</v>
      </c>
      <c r="Y454" s="18" t="str">
        <f t="shared" si="63"/>
        <v>120</v>
      </c>
      <c r="Z454" s="18" t="e">
        <f>IF($L454&lt;"6",INDEX(Revenue_type,MATCH(Y454*1,type!$A$118:$A$168,0),8),INDEX(Expenditure_type,MATCH(Y454*1,type!$A$2:$A$117,0),8))</f>
        <v>#N/A</v>
      </c>
    </row>
    <row r="455" spans="1:26" ht="15.75" hidden="1" customHeight="1" outlineLevel="2">
      <c r="A455">
        <v>400</v>
      </c>
      <c r="B455" s="249">
        <v>611000</v>
      </c>
      <c r="C455">
        <v>1</v>
      </c>
      <c r="D455" t="str">
        <f t="shared" si="56"/>
        <v>1611000.400</v>
      </c>
      <c r="E455" s="352" t="s">
        <v>8138</v>
      </c>
      <c r="F455" s="242"/>
      <c r="G455"/>
      <c r="H455" s="322">
        <v>95200</v>
      </c>
      <c r="I455" s="322">
        <v>103700</v>
      </c>
      <c r="J455" s="242">
        <v>82600</v>
      </c>
      <c r="K455" s="18" t="e">
        <f>INDEX(תקציב_2013,MATCH(D455,'תקציב 2015'!$D$3:$D$5960,0),8)</f>
        <v>#N/A</v>
      </c>
      <c r="L455" s="18" t="str">
        <f t="shared" si="57"/>
        <v>6</v>
      </c>
      <c r="M455" s="18" t="str">
        <f>INDEX(Chapter,MATCH(L455,Chapter!$A$1:$A$681,0),8)</f>
        <v>הנהלה כללית</v>
      </c>
      <c r="N455" s="18" t="str">
        <f t="shared" si="58"/>
        <v>61</v>
      </c>
      <c r="O455" s="18" t="str">
        <f>INDEX(Chapter,MATCH(N455,Chapter!$A$1:$A$681,0),8)</f>
        <v>מינהל כללי</v>
      </c>
      <c r="P455" s="18" t="str">
        <f t="shared" si="59"/>
        <v>611</v>
      </c>
      <c r="Q455" s="18" t="str">
        <f>INDEX(Chapter,MATCH(P455,Chapter!$A$1:$A$681,0),8)</f>
        <v>הנהלה ורשות</v>
      </c>
      <c r="R455" s="18" t="str">
        <f t="shared" si="60"/>
        <v>6110</v>
      </c>
      <c r="S455" s="18" t="e">
        <f>INDEX(Chapter,MATCH(R455,Chapter!$A$1:$A$681,0),8)</f>
        <v>#N/A</v>
      </c>
      <c r="T455" s="18"/>
      <c r="U455" s="18" t="str">
        <f t="shared" si="61"/>
        <v>4</v>
      </c>
      <c r="V455" s="18" t="str">
        <f>IF($L455&lt;"6",INDEX(Revenue_type,MATCH(U455*1,type!$A$118:$A$168,0),8),INDEX(Expenditure_type,MATCH(U455*1,type!$A$2:$A$117,0),8))</f>
        <v>אחזקת בינים ואספקת ציוד</v>
      </c>
      <c r="W455" s="18" t="str">
        <f t="shared" si="62"/>
        <v>40</v>
      </c>
      <c r="X455" s="18" t="e">
        <f>IF($L455&lt;"6",INDEX(Revenue_type,MATCH(W455*1,type!$A$118:$A$168,0),8),INDEX(Expenditure_type,MATCH(W455*1,type!$A$2:$A$117,0),8))</f>
        <v>#N/A</v>
      </c>
      <c r="Y455" s="18" t="str">
        <f t="shared" si="63"/>
        <v>400</v>
      </c>
      <c r="Z455" s="18" t="e">
        <f>IF($L455&lt;"6",INDEX(Revenue_type,MATCH(Y455*1,type!$A$118:$A$168,0),8),INDEX(Expenditure_type,MATCH(Y455*1,type!$A$2:$A$117,0),8))</f>
        <v>#N/A</v>
      </c>
    </row>
    <row r="456" spans="1:26" ht="15.75" hidden="1" customHeight="1" outlineLevel="2">
      <c r="A456">
        <v>500</v>
      </c>
      <c r="B456" s="249">
        <v>611000</v>
      </c>
      <c r="C456">
        <v>1</v>
      </c>
      <c r="D456" t="str">
        <f t="shared" si="56"/>
        <v>1611000.500</v>
      </c>
      <c r="E456" s="348" t="s">
        <v>8139</v>
      </c>
      <c r="F456" s="242"/>
      <c r="G456"/>
      <c r="H456" s="322">
        <v>166200</v>
      </c>
      <c r="I456" s="322">
        <v>166200</v>
      </c>
      <c r="J456" s="242">
        <v>111700</v>
      </c>
      <c r="K456" s="18"/>
      <c r="L456" s="18" t="str">
        <f t="shared" si="57"/>
        <v>6</v>
      </c>
      <c r="M456" s="18" t="str">
        <f>INDEX(Chapter,MATCH(L456,Chapter!$A$1:$A$681,0),8)</f>
        <v>הנהלה כללית</v>
      </c>
      <c r="N456" s="18" t="str">
        <f t="shared" si="58"/>
        <v>61</v>
      </c>
      <c r="O456" s="18" t="str">
        <f>INDEX(Chapter,MATCH(N456,Chapter!$A$1:$A$681,0),8)</f>
        <v>מינהל כללי</v>
      </c>
      <c r="P456" s="18" t="str">
        <f t="shared" si="59"/>
        <v>611</v>
      </c>
      <c r="Q456" s="18" t="str">
        <f>INDEX(Chapter,MATCH(P456,Chapter!$A$1:$A$681,0),8)</f>
        <v>הנהלה ורשות</v>
      </c>
      <c r="R456" s="18" t="str">
        <f t="shared" si="60"/>
        <v>6110</v>
      </c>
      <c r="S456" s="18" t="e">
        <f>INDEX(Chapter,MATCH(R456,Chapter!$A$1:$A$681,0),8)</f>
        <v>#N/A</v>
      </c>
      <c r="T456" s="18"/>
      <c r="U456" s="18" t="str">
        <f t="shared" si="61"/>
        <v>5</v>
      </c>
      <c r="V456" s="18" t="str">
        <f>IF($L456&lt;"6",INDEX(Revenue_type,MATCH(U456*1,type!$A$118:$A$168,0),8),INDEX(Expenditure_type,MATCH(U456*1,type!$A$2:$A$117,0),8))</f>
        <v>הוצאות מנהליות</v>
      </c>
      <c r="W456" s="18" t="str">
        <f t="shared" si="62"/>
        <v>50</v>
      </c>
      <c r="X456" s="18" t="e">
        <f>IF($L456&lt;"6",INDEX(Revenue_type,MATCH(W456*1,type!$A$118:$A$168,0),8),INDEX(Expenditure_type,MATCH(W456*1,type!$A$2:$A$117,0),8))</f>
        <v>#N/A</v>
      </c>
      <c r="Y456" s="18" t="str">
        <f t="shared" si="63"/>
        <v>500</v>
      </c>
      <c r="Z456" s="18" t="e">
        <f>IF($L456&lt;"6",INDEX(Revenue_type,MATCH(Y456*1,type!$A$118:$A$168,0),8),INDEX(Expenditure_type,MATCH(Y456*1,type!$A$2:$A$117,0),8))</f>
        <v>#N/A</v>
      </c>
    </row>
    <row r="457" spans="1:26" ht="15.75" hidden="1" customHeight="1" outlineLevel="2">
      <c r="A457">
        <v>500</v>
      </c>
      <c r="B457" s="249">
        <v>611000</v>
      </c>
      <c r="C457">
        <v>1</v>
      </c>
      <c r="D457" t="str">
        <f t="shared" si="56"/>
        <v>1611000.500</v>
      </c>
      <c r="E457" s="348" t="s">
        <v>8140</v>
      </c>
      <c r="F457" s="242"/>
      <c r="G457"/>
      <c r="H457" s="322">
        <v>14000</v>
      </c>
      <c r="I457" s="322">
        <v>14000</v>
      </c>
      <c r="J457" s="242">
        <v>5800</v>
      </c>
      <c r="K457" s="18" t="e">
        <f>INDEX(תקציב_2013,MATCH(D457,'תקציב 2015'!$D$3:$D$5960,0),8)</f>
        <v>#N/A</v>
      </c>
      <c r="L457" s="18" t="str">
        <f t="shared" si="57"/>
        <v>6</v>
      </c>
      <c r="M457" s="18" t="str">
        <f>INDEX(Chapter,MATCH(L457,Chapter!$A$1:$A$681,0),8)</f>
        <v>הנהלה כללית</v>
      </c>
      <c r="N457" s="18" t="str">
        <f t="shared" si="58"/>
        <v>61</v>
      </c>
      <c r="O457" s="18" t="str">
        <f>INDEX(Chapter,MATCH(N457,Chapter!$A$1:$A$681,0),8)</f>
        <v>מינהל כללי</v>
      </c>
      <c r="P457" s="18" t="str">
        <f t="shared" si="59"/>
        <v>611</v>
      </c>
      <c r="Q457" s="18" t="str">
        <f>INDEX(Chapter,MATCH(P457,Chapter!$A$1:$A$681,0),8)</f>
        <v>הנהלה ורשות</v>
      </c>
      <c r="R457" s="18" t="str">
        <f t="shared" si="60"/>
        <v>6110</v>
      </c>
      <c r="S457" s="18" t="e">
        <f>INDEX(Chapter,MATCH(R457,Chapter!$A$1:$A$681,0),8)</f>
        <v>#N/A</v>
      </c>
      <c r="T457" s="18"/>
      <c r="U457" s="18" t="str">
        <f t="shared" si="61"/>
        <v>5</v>
      </c>
      <c r="V457" s="18" t="str">
        <f>IF($L457&lt;"6",INDEX(Revenue_type,MATCH(U457*1,type!$A$118:$A$168,0),8),INDEX(Expenditure_type,MATCH(U457*1,type!$A$2:$A$117,0),8))</f>
        <v>הוצאות מנהליות</v>
      </c>
      <c r="W457" s="18" t="str">
        <f t="shared" si="62"/>
        <v>50</v>
      </c>
      <c r="X457" s="18" t="e">
        <f>IF($L457&lt;"6",INDEX(Revenue_type,MATCH(W457*1,type!$A$118:$A$168,0),8),INDEX(Expenditure_type,MATCH(W457*1,type!$A$2:$A$117,0),8))</f>
        <v>#N/A</v>
      </c>
      <c r="Y457" s="18" t="str">
        <f t="shared" si="63"/>
        <v>500</v>
      </c>
      <c r="Z457" s="18" t="e">
        <f>IF($L457&lt;"6",INDEX(Revenue_type,MATCH(Y457*1,type!$A$118:$A$168,0),8),INDEX(Expenditure_type,MATCH(Y457*1,type!$A$2:$A$117,0),8))</f>
        <v>#N/A</v>
      </c>
    </row>
    <row r="458" spans="1:26" ht="15.75" hidden="1" customHeight="1" outlineLevel="2">
      <c r="A458">
        <v>700</v>
      </c>
      <c r="B458" s="249">
        <v>611000</v>
      </c>
      <c r="C458">
        <v>1</v>
      </c>
      <c r="D458" t="str">
        <f t="shared" si="56"/>
        <v>1611000.700</v>
      </c>
      <c r="E458" s="348" t="s">
        <v>8141</v>
      </c>
      <c r="F458" s="242"/>
      <c r="G458"/>
      <c r="H458" s="322">
        <v>12000</v>
      </c>
      <c r="I458" s="322">
        <v>12000</v>
      </c>
      <c r="J458" s="242">
        <v>1600</v>
      </c>
      <c r="K458" s="18"/>
      <c r="L458" s="18" t="str">
        <f t="shared" si="57"/>
        <v>6</v>
      </c>
      <c r="M458" s="18" t="str">
        <f>INDEX(Chapter,MATCH(L458,Chapter!$A$1:$A$681,0),8)</f>
        <v>הנהלה כללית</v>
      </c>
      <c r="N458" s="18" t="str">
        <f t="shared" si="58"/>
        <v>61</v>
      </c>
      <c r="O458" s="18" t="str">
        <f>INDEX(Chapter,MATCH(N458,Chapter!$A$1:$A$681,0),8)</f>
        <v>מינהל כללי</v>
      </c>
      <c r="P458" s="18" t="str">
        <f t="shared" si="59"/>
        <v>611</v>
      </c>
      <c r="Q458" s="18" t="str">
        <f>INDEX(Chapter,MATCH(P458,Chapter!$A$1:$A$681,0),8)</f>
        <v>הנהלה ורשות</v>
      </c>
      <c r="R458" s="18" t="str">
        <f t="shared" si="60"/>
        <v>6110</v>
      </c>
      <c r="S458" s="18" t="e">
        <f>INDEX(Chapter,MATCH(R458,Chapter!$A$1:$A$681,0),8)</f>
        <v>#N/A</v>
      </c>
      <c r="T458" s="18"/>
      <c r="U458" s="18" t="str">
        <f t="shared" si="61"/>
        <v>7</v>
      </c>
      <c r="V458" s="18" t="str">
        <f>IF($L458&lt;"6",INDEX(Revenue_type,MATCH(U458*1,type!$A$118:$A$168,0),8),INDEX(Expenditure_type,MATCH(U458*1,type!$A$2:$A$117,0),8))</f>
        <v>הוצאות לפעולות</v>
      </c>
      <c r="W458" s="18" t="str">
        <f t="shared" si="62"/>
        <v>70</v>
      </c>
      <c r="X458" s="18" t="e">
        <f>IF($L458&lt;"6",INDEX(Revenue_type,MATCH(W458*1,type!$A$118:$A$168,0),8),INDEX(Expenditure_type,MATCH(W458*1,type!$A$2:$A$117,0),8))</f>
        <v>#N/A</v>
      </c>
      <c r="Y458" s="18" t="str">
        <f t="shared" si="63"/>
        <v>700</v>
      </c>
      <c r="Z458" s="18" t="e">
        <f>IF($L458&lt;"6",INDEX(Revenue_type,MATCH(Y458*1,type!$A$118:$A$168,0),8),INDEX(Expenditure_type,MATCH(Y458*1,type!$A$2:$A$117,0),8))</f>
        <v>#N/A</v>
      </c>
    </row>
    <row r="459" spans="1:26" ht="15.75" hidden="1" customHeight="1" outlineLevel="2">
      <c r="A459">
        <v>100</v>
      </c>
      <c r="B459" s="249">
        <v>612200</v>
      </c>
      <c r="C459">
        <v>1</v>
      </c>
      <c r="D459" t="str">
        <f t="shared" si="56"/>
        <v>1612200.100</v>
      </c>
      <c r="E459" s="353" t="s">
        <v>8142</v>
      </c>
      <c r="F459" s="242"/>
      <c r="G459"/>
      <c r="H459" s="322">
        <v>3538500</v>
      </c>
      <c r="I459" s="322">
        <v>3498500</v>
      </c>
      <c r="J459" s="242">
        <v>3473900</v>
      </c>
      <c r="K459" s="18" t="e">
        <f>INDEX(תקציב_2013,MATCH(D459,'תקציב 2015'!$D$3:$D$5960,0),8)</f>
        <v>#N/A</v>
      </c>
      <c r="L459" s="18" t="str">
        <f t="shared" si="57"/>
        <v>6</v>
      </c>
      <c r="M459" s="18" t="str">
        <f>INDEX(Chapter,MATCH(L459,Chapter!$A$1:$A$681,0),8)</f>
        <v>הנהלה כללית</v>
      </c>
      <c r="N459" s="18" t="str">
        <f t="shared" si="58"/>
        <v>61</v>
      </c>
      <c r="O459" s="18" t="str">
        <f>INDEX(Chapter,MATCH(N459,Chapter!$A$1:$A$681,0),8)</f>
        <v>מינהל כללי</v>
      </c>
      <c r="P459" s="18" t="str">
        <f t="shared" si="59"/>
        <v>612</v>
      </c>
      <c r="Q459" s="18" t="str">
        <f>INDEX(Chapter,MATCH(P459,Chapter!$A$1:$A$681,0),8)</f>
        <v>מבקר הרשות</v>
      </c>
      <c r="R459" s="18" t="str">
        <f t="shared" si="60"/>
        <v>6122</v>
      </c>
      <c r="S459" s="18" t="e">
        <f>INDEX(Chapter,MATCH(R459,Chapter!$A$1:$A$681,0),8)</f>
        <v>#N/A</v>
      </c>
      <c r="T459" s="18"/>
      <c r="U459" s="18" t="str">
        <f t="shared" si="61"/>
        <v>1</v>
      </c>
      <c r="V459" s="18" t="str">
        <f>IF($L459&lt;"6",INDEX(Revenue_type,MATCH(U459*1,type!$A$118:$A$168,0),8),INDEX(Expenditure_type,MATCH(U459*1,type!$A$2:$A$117,0),8))</f>
        <v>משכורות וש"ע לעובדים לפי תקן</v>
      </c>
      <c r="W459" s="18" t="str">
        <f t="shared" si="62"/>
        <v>10</v>
      </c>
      <c r="X459" s="18" t="e">
        <f>IF($L459&lt;"6",INDEX(Revenue_type,MATCH(W459*1,type!$A$118:$A$168,0),8),INDEX(Expenditure_type,MATCH(W459*1,type!$A$2:$A$117,0),8))</f>
        <v>#N/A</v>
      </c>
      <c r="Y459" s="18" t="str">
        <f t="shared" si="63"/>
        <v>100</v>
      </c>
      <c r="Z459" s="18" t="e">
        <f>IF($L459&lt;"6",INDEX(Revenue_type,MATCH(Y459*1,type!$A$118:$A$168,0),8),INDEX(Expenditure_type,MATCH(Y459*1,type!$A$2:$A$117,0),8))</f>
        <v>#N/A</v>
      </c>
    </row>
    <row r="460" spans="1:26" ht="15.75" hidden="1" customHeight="1" outlineLevel="2">
      <c r="A460">
        <v>120</v>
      </c>
      <c r="B460" s="249">
        <v>612200</v>
      </c>
      <c r="C460">
        <v>1</v>
      </c>
      <c r="D460" t="str">
        <f t="shared" si="56"/>
        <v>1612200.120</v>
      </c>
      <c r="E460" s="353" t="s">
        <v>8143</v>
      </c>
      <c r="F460" s="242"/>
      <c r="G460"/>
      <c r="H460" s="322">
        <v>108500</v>
      </c>
      <c r="I460" s="322">
        <v>108500</v>
      </c>
      <c r="J460" s="242">
        <v>76600</v>
      </c>
      <c r="K460" s="18" t="e">
        <f>INDEX(תקציב_2013,MATCH(D460,'תקציב 2015'!$D$3:$D$5960,0),8)</f>
        <v>#N/A</v>
      </c>
      <c r="L460" s="18" t="str">
        <f t="shared" si="57"/>
        <v>6</v>
      </c>
      <c r="M460" s="18" t="str">
        <f>INDEX(Chapter,MATCH(L460,Chapter!$A$1:$A$681,0),8)</f>
        <v>הנהלה כללית</v>
      </c>
      <c r="N460" s="18" t="str">
        <f t="shared" si="58"/>
        <v>61</v>
      </c>
      <c r="O460" s="18" t="str">
        <f>INDEX(Chapter,MATCH(N460,Chapter!$A$1:$A$681,0),8)</f>
        <v>מינהל כללי</v>
      </c>
      <c r="P460" s="18" t="str">
        <f t="shared" si="59"/>
        <v>612</v>
      </c>
      <c r="Q460" s="18" t="str">
        <f>INDEX(Chapter,MATCH(P460,Chapter!$A$1:$A$681,0),8)</f>
        <v>מבקר הרשות</v>
      </c>
      <c r="R460" s="18" t="str">
        <f t="shared" si="60"/>
        <v>6122</v>
      </c>
      <c r="S460" s="18" t="e">
        <f>INDEX(Chapter,MATCH(R460,Chapter!$A$1:$A$681,0),8)</f>
        <v>#N/A</v>
      </c>
      <c r="T460" s="18"/>
      <c r="U460" s="18" t="str">
        <f t="shared" si="61"/>
        <v>1</v>
      </c>
      <c r="V460" s="18" t="str">
        <f>IF($L460&lt;"6",INDEX(Revenue_type,MATCH(U460*1,type!$A$118:$A$168,0),8),INDEX(Expenditure_type,MATCH(U460*1,type!$A$2:$A$117,0),8))</f>
        <v>משכורות וש"ע לעובדים לפי תקן</v>
      </c>
      <c r="W460" s="18" t="str">
        <f t="shared" si="62"/>
        <v>12</v>
      </c>
      <c r="X460" s="18" t="str">
        <f>IF($L460&lt;"6",INDEX(Revenue_type,MATCH(W460*1,type!$A$118:$A$168,0),8),INDEX(Expenditure_type,MATCH(W460*1,type!$A$2:$A$117,0),8))</f>
        <v>תוספות שאינן נכללות בשכר הקובע</v>
      </c>
      <c r="Y460" s="18" t="str">
        <f t="shared" si="63"/>
        <v>120</v>
      </c>
      <c r="Z460" s="18" t="e">
        <f>IF($L460&lt;"6",INDEX(Revenue_type,MATCH(Y460*1,type!$A$118:$A$168,0),8),INDEX(Expenditure_type,MATCH(Y460*1,type!$A$2:$A$117,0),8))</f>
        <v>#N/A</v>
      </c>
    </row>
    <row r="461" spans="1:26" ht="15.75" hidden="1" customHeight="1" outlineLevel="2">
      <c r="A461">
        <v>400</v>
      </c>
      <c r="B461" s="249">
        <v>612200</v>
      </c>
      <c r="C461">
        <v>1</v>
      </c>
      <c r="D461" t="str">
        <f t="shared" si="56"/>
        <v>1612200.400</v>
      </c>
      <c r="E461" s="353" t="s">
        <v>8144</v>
      </c>
      <c r="F461" s="242"/>
      <c r="G461"/>
      <c r="H461" s="322">
        <v>29600</v>
      </c>
      <c r="I461" s="322">
        <v>29600</v>
      </c>
      <c r="J461" s="242">
        <v>29000</v>
      </c>
      <c r="K461" s="18"/>
      <c r="L461" s="18" t="str">
        <f t="shared" si="57"/>
        <v>6</v>
      </c>
      <c r="M461" s="18" t="str">
        <f>INDEX(Chapter,MATCH(L461,Chapter!$A$1:$A$681,0),8)</f>
        <v>הנהלה כללית</v>
      </c>
      <c r="N461" s="18" t="str">
        <f t="shared" si="58"/>
        <v>61</v>
      </c>
      <c r="O461" s="18" t="str">
        <f>INDEX(Chapter,MATCH(N461,Chapter!$A$1:$A$681,0),8)</f>
        <v>מינהל כללי</v>
      </c>
      <c r="P461" s="18" t="str">
        <f t="shared" si="59"/>
        <v>612</v>
      </c>
      <c r="Q461" s="18" t="str">
        <f>INDEX(Chapter,MATCH(P461,Chapter!$A$1:$A$681,0),8)</f>
        <v>מבקר הרשות</v>
      </c>
      <c r="R461" s="18" t="str">
        <f t="shared" si="60"/>
        <v>6122</v>
      </c>
      <c r="S461" s="18" t="e">
        <f>INDEX(Chapter,MATCH(R461,Chapter!$A$1:$A$681,0),8)</f>
        <v>#N/A</v>
      </c>
      <c r="T461" s="18"/>
      <c r="U461" s="18" t="str">
        <f t="shared" si="61"/>
        <v>4</v>
      </c>
      <c r="V461" s="18" t="str">
        <f>IF($L461&lt;"6",INDEX(Revenue_type,MATCH(U461*1,type!$A$118:$A$168,0),8),INDEX(Expenditure_type,MATCH(U461*1,type!$A$2:$A$117,0),8))</f>
        <v>אחזקת בינים ואספקת ציוד</v>
      </c>
      <c r="W461" s="18" t="str">
        <f t="shared" si="62"/>
        <v>40</v>
      </c>
      <c r="X461" s="18" t="e">
        <f>IF($L461&lt;"6",INDEX(Revenue_type,MATCH(W461*1,type!$A$118:$A$168,0),8),INDEX(Expenditure_type,MATCH(W461*1,type!$A$2:$A$117,0),8))</f>
        <v>#N/A</v>
      </c>
      <c r="Y461" s="18" t="str">
        <f t="shared" si="63"/>
        <v>400</v>
      </c>
      <c r="Z461" s="18" t="e">
        <f>IF($L461&lt;"6",INDEX(Revenue_type,MATCH(Y461*1,type!$A$118:$A$168,0),8),INDEX(Expenditure_type,MATCH(Y461*1,type!$A$2:$A$117,0),8))</f>
        <v>#N/A</v>
      </c>
    </row>
    <row r="462" spans="1:26" ht="15.75" hidden="1" customHeight="1" outlineLevel="2">
      <c r="A462">
        <v>500</v>
      </c>
      <c r="B462" s="249">
        <v>612200</v>
      </c>
      <c r="C462">
        <v>1</v>
      </c>
      <c r="D462" t="str">
        <f t="shared" si="56"/>
        <v>1612200.500</v>
      </c>
      <c r="E462" s="348" t="s">
        <v>8145</v>
      </c>
      <c r="F462" s="242"/>
      <c r="G462"/>
      <c r="H462" s="322">
        <v>79000</v>
      </c>
      <c r="I462" s="322">
        <v>79000</v>
      </c>
      <c r="J462" s="242">
        <v>67700</v>
      </c>
      <c r="K462" s="18" t="e">
        <f>INDEX(תקציב_2013,MATCH(D462,'תקציב 2015'!$D$3:$D$5960,0),8)</f>
        <v>#N/A</v>
      </c>
      <c r="L462" s="18" t="str">
        <f t="shared" si="57"/>
        <v>6</v>
      </c>
      <c r="M462" s="18" t="str">
        <f>INDEX(Chapter,MATCH(L462,Chapter!$A$1:$A$681,0),8)</f>
        <v>הנהלה כללית</v>
      </c>
      <c r="N462" s="18" t="str">
        <f t="shared" si="58"/>
        <v>61</v>
      </c>
      <c r="O462" s="18" t="str">
        <f>INDEX(Chapter,MATCH(N462,Chapter!$A$1:$A$681,0),8)</f>
        <v>מינהל כללי</v>
      </c>
      <c r="P462" s="18" t="str">
        <f t="shared" si="59"/>
        <v>612</v>
      </c>
      <c r="Q462" s="18" t="str">
        <f>INDEX(Chapter,MATCH(P462,Chapter!$A$1:$A$681,0),8)</f>
        <v>מבקר הרשות</v>
      </c>
      <c r="R462" s="18" t="str">
        <f t="shared" si="60"/>
        <v>6122</v>
      </c>
      <c r="S462" s="18" t="e">
        <f>INDEX(Chapter,MATCH(R462,Chapter!$A$1:$A$681,0),8)</f>
        <v>#N/A</v>
      </c>
      <c r="T462" s="18"/>
      <c r="U462" s="18" t="str">
        <f t="shared" si="61"/>
        <v>5</v>
      </c>
      <c r="V462" s="18" t="str">
        <f>IF($L462&lt;"6",INDEX(Revenue_type,MATCH(U462*1,type!$A$118:$A$168,0),8),INDEX(Expenditure_type,MATCH(U462*1,type!$A$2:$A$117,0),8))</f>
        <v>הוצאות מנהליות</v>
      </c>
      <c r="W462" s="18" t="str">
        <f t="shared" si="62"/>
        <v>50</v>
      </c>
      <c r="X462" s="18" t="e">
        <f>IF($L462&lt;"6",INDEX(Revenue_type,MATCH(W462*1,type!$A$118:$A$168,0),8),INDEX(Expenditure_type,MATCH(W462*1,type!$A$2:$A$117,0),8))</f>
        <v>#N/A</v>
      </c>
      <c r="Y462" s="18" t="str">
        <f t="shared" si="63"/>
        <v>500</v>
      </c>
      <c r="Z462" s="18" t="e">
        <f>IF($L462&lt;"6",INDEX(Revenue_type,MATCH(Y462*1,type!$A$118:$A$168,0),8),INDEX(Expenditure_type,MATCH(Y462*1,type!$A$2:$A$117,0),8))</f>
        <v>#N/A</v>
      </c>
    </row>
    <row r="463" spans="1:26" ht="15.75" hidden="1" customHeight="1" outlineLevel="2">
      <c r="A463">
        <v>500</v>
      </c>
      <c r="B463" s="249">
        <v>612200</v>
      </c>
      <c r="C463">
        <v>1</v>
      </c>
      <c r="D463" t="str">
        <f t="shared" si="56"/>
        <v>1612200.500</v>
      </c>
      <c r="E463" s="348" t="s">
        <v>8146</v>
      </c>
      <c r="F463" s="242"/>
      <c r="G463"/>
      <c r="H463" s="322">
        <v>24400</v>
      </c>
      <c r="I463" s="322">
        <v>24400</v>
      </c>
      <c r="J463" s="242">
        <v>24700</v>
      </c>
      <c r="K463" s="18" t="e">
        <f>INDEX(תקציב_2013,MATCH(D463,'תקציב 2015'!$D$3:$D$5960,0),8)</f>
        <v>#N/A</v>
      </c>
      <c r="L463" s="18" t="str">
        <f t="shared" si="57"/>
        <v>6</v>
      </c>
      <c r="M463" s="18" t="str">
        <f>INDEX(Chapter,MATCH(L463,Chapter!$A$1:$A$681,0),8)</f>
        <v>הנהלה כללית</v>
      </c>
      <c r="N463" s="18" t="str">
        <f t="shared" si="58"/>
        <v>61</v>
      </c>
      <c r="O463" s="18" t="str">
        <f>INDEX(Chapter,MATCH(N463,Chapter!$A$1:$A$681,0),8)</f>
        <v>מינהל כללי</v>
      </c>
      <c r="P463" s="18" t="str">
        <f t="shared" si="59"/>
        <v>612</v>
      </c>
      <c r="Q463" s="18" t="str">
        <f>INDEX(Chapter,MATCH(P463,Chapter!$A$1:$A$681,0),8)</f>
        <v>מבקר הרשות</v>
      </c>
      <c r="R463" s="18" t="str">
        <f t="shared" si="60"/>
        <v>6122</v>
      </c>
      <c r="S463" s="18" t="e">
        <f>INDEX(Chapter,MATCH(R463,Chapter!$A$1:$A$681,0),8)</f>
        <v>#N/A</v>
      </c>
      <c r="T463" s="18"/>
      <c r="U463" s="18" t="str">
        <f t="shared" si="61"/>
        <v>5</v>
      </c>
      <c r="V463" s="18" t="str">
        <f>IF($L463&lt;"6",INDEX(Revenue_type,MATCH(U463*1,type!$A$118:$A$168,0),8),INDEX(Expenditure_type,MATCH(U463*1,type!$A$2:$A$117,0),8))</f>
        <v>הוצאות מנהליות</v>
      </c>
      <c r="W463" s="18" t="str">
        <f t="shared" si="62"/>
        <v>50</v>
      </c>
      <c r="X463" s="18" t="e">
        <f>IF($L463&lt;"6",INDEX(Revenue_type,MATCH(W463*1,type!$A$118:$A$168,0),8),INDEX(Expenditure_type,MATCH(W463*1,type!$A$2:$A$117,0),8))</f>
        <v>#N/A</v>
      </c>
      <c r="Y463" s="18" t="str">
        <f t="shared" si="63"/>
        <v>500</v>
      </c>
      <c r="Z463" s="18" t="e">
        <f>IF($L463&lt;"6",INDEX(Revenue_type,MATCH(Y463*1,type!$A$118:$A$168,0),8),INDEX(Expenditure_type,MATCH(Y463*1,type!$A$2:$A$117,0),8))</f>
        <v>#N/A</v>
      </c>
    </row>
    <row r="464" spans="1:26" ht="15.75" hidden="1" customHeight="1" outlineLevel="2">
      <c r="A464">
        <v>700</v>
      </c>
      <c r="B464" s="249">
        <v>612200</v>
      </c>
      <c r="C464">
        <v>1</v>
      </c>
      <c r="D464" t="str">
        <f t="shared" si="56"/>
        <v>1612200.700</v>
      </c>
      <c r="E464" s="355" t="s">
        <v>8147</v>
      </c>
      <c r="F464" s="242"/>
      <c r="G464"/>
      <c r="H464" s="322">
        <v>85000</v>
      </c>
      <c r="I464" s="322">
        <v>89300</v>
      </c>
      <c r="J464" s="242">
        <v>55800</v>
      </c>
      <c r="K464" s="18" t="e">
        <f>INDEX(תקציב_2013,MATCH(D464,'תקציב 2015'!$D$3:$D$5960,0),8)</f>
        <v>#N/A</v>
      </c>
      <c r="L464" s="18" t="str">
        <f t="shared" si="57"/>
        <v>6</v>
      </c>
      <c r="M464" s="18" t="str">
        <f>INDEX(Chapter,MATCH(L464,Chapter!$A$1:$A$681,0),8)</f>
        <v>הנהלה כללית</v>
      </c>
      <c r="N464" s="18" t="str">
        <f t="shared" si="58"/>
        <v>61</v>
      </c>
      <c r="O464" s="18" t="str">
        <f>INDEX(Chapter,MATCH(N464,Chapter!$A$1:$A$681,0),8)</f>
        <v>מינהל כללי</v>
      </c>
      <c r="P464" s="18" t="str">
        <f t="shared" si="59"/>
        <v>612</v>
      </c>
      <c r="Q464" s="18" t="str">
        <f>INDEX(Chapter,MATCH(P464,Chapter!$A$1:$A$681,0),8)</f>
        <v>מבקר הרשות</v>
      </c>
      <c r="R464" s="18" t="str">
        <f t="shared" si="60"/>
        <v>6122</v>
      </c>
      <c r="S464" s="18" t="e">
        <f>INDEX(Chapter,MATCH(R464,Chapter!$A$1:$A$681,0),8)</f>
        <v>#N/A</v>
      </c>
      <c r="T464" s="18"/>
      <c r="U464" s="18" t="str">
        <f t="shared" si="61"/>
        <v>7</v>
      </c>
      <c r="V464" s="18" t="str">
        <f>IF($L464&lt;"6",INDEX(Revenue_type,MATCH(U464*1,type!$A$118:$A$168,0),8),INDEX(Expenditure_type,MATCH(U464*1,type!$A$2:$A$117,0),8))</f>
        <v>הוצאות לפעולות</v>
      </c>
      <c r="W464" s="18" t="str">
        <f t="shared" si="62"/>
        <v>70</v>
      </c>
      <c r="X464" s="18" t="e">
        <f>IF($L464&lt;"6",INDEX(Revenue_type,MATCH(W464*1,type!$A$118:$A$168,0),8),INDEX(Expenditure_type,MATCH(W464*1,type!$A$2:$A$117,0),8))</f>
        <v>#N/A</v>
      </c>
      <c r="Y464" s="18" t="str">
        <f t="shared" si="63"/>
        <v>700</v>
      </c>
      <c r="Z464" s="18" t="e">
        <f>IF($L464&lt;"6",INDEX(Revenue_type,MATCH(Y464*1,type!$A$118:$A$168,0),8),INDEX(Expenditure_type,MATCH(Y464*1,type!$A$2:$A$117,0),8))</f>
        <v>#N/A</v>
      </c>
    </row>
    <row r="465" spans="1:26" ht="15.75" hidden="1" customHeight="1" outlineLevel="2">
      <c r="A465">
        <v>800</v>
      </c>
      <c r="B465" s="249">
        <v>612200</v>
      </c>
      <c r="C465">
        <v>1</v>
      </c>
      <c r="D465" t="str">
        <f t="shared" si="56"/>
        <v>1612200.800</v>
      </c>
      <c r="E465" s="355" t="s">
        <v>8148</v>
      </c>
      <c r="F465" s="242"/>
      <c r="G465"/>
      <c r="H465" s="322">
        <v>0</v>
      </c>
      <c r="I465" s="322">
        <v>2100</v>
      </c>
      <c r="J465" s="242">
        <v>900</v>
      </c>
      <c r="K465" s="18" t="e">
        <f>INDEX(תקציב_2013,MATCH(D465,'תקציב 2015'!$D$3:$D$5960,0),8)</f>
        <v>#N/A</v>
      </c>
      <c r="L465" s="18" t="str">
        <f t="shared" si="57"/>
        <v>6</v>
      </c>
      <c r="M465" s="18" t="str">
        <f>INDEX(Chapter,MATCH(L465,Chapter!$A$1:$A$681,0),8)</f>
        <v>הנהלה כללית</v>
      </c>
      <c r="N465" s="18" t="str">
        <f t="shared" si="58"/>
        <v>61</v>
      </c>
      <c r="O465" s="18" t="str">
        <f>INDEX(Chapter,MATCH(N465,Chapter!$A$1:$A$681,0),8)</f>
        <v>מינהל כללי</v>
      </c>
      <c r="P465" s="18" t="str">
        <f t="shared" si="59"/>
        <v>612</v>
      </c>
      <c r="Q465" s="18" t="str">
        <f>INDEX(Chapter,MATCH(P465,Chapter!$A$1:$A$681,0),8)</f>
        <v>מבקר הרשות</v>
      </c>
      <c r="R465" s="18" t="str">
        <f t="shared" si="60"/>
        <v>6122</v>
      </c>
      <c r="S465" s="18" t="e">
        <f>INDEX(Chapter,MATCH(R465,Chapter!$A$1:$A$681,0),8)</f>
        <v>#N/A</v>
      </c>
      <c r="T465" s="18"/>
      <c r="U465" s="18" t="str">
        <f t="shared" si="61"/>
        <v>8</v>
      </c>
      <c r="V465" s="18" t="str">
        <f>IF($L465&lt;"6",INDEX(Revenue_type,MATCH(U465*1,type!$A$118:$A$168,0),8),INDEX(Expenditure_type,MATCH(U465*1,type!$A$2:$A$117,0),8))</f>
        <v>השתתפויות תמיכות ותרומות</v>
      </c>
      <c r="W465" s="18" t="str">
        <f t="shared" si="62"/>
        <v>80</v>
      </c>
      <c r="X465" s="18" t="e">
        <f>IF($L465&lt;"6",INDEX(Revenue_type,MATCH(W465*1,type!$A$118:$A$168,0),8),INDEX(Expenditure_type,MATCH(W465*1,type!$A$2:$A$117,0),8))</f>
        <v>#N/A</v>
      </c>
      <c r="Y465" s="18" t="str">
        <f t="shared" si="63"/>
        <v>800</v>
      </c>
      <c r="Z465" s="18" t="e">
        <f>IF($L465&lt;"6",INDEX(Revenue_type,MATCH(Y465*1,type!$A$118:$A$168,0),8),INDEX(Expenditure_type,MATCH(Y465*1,type!$A$2:$A$117,0),8))</f>
        <v>#N/A</v>
      </c>
    </row>
    <row r="466" spans="1:26" ht="15.75" hidden="1" customHeight="1" outlineLevel="2">
      <c r="A466">
        <v>100</v>
      </c>
      <c r="B466" s="249">
        <v>761000</v>
      </c>
      <c r="C466">
        <v>1</v>
      </c>
      <c r="D466" t="str">
        <f t="shared" si="56"/>
        <v>1761000.100</v>
      </c>
      <c r="E466" s="355" t="s">
        <v>8149</v>
      </c>
      <c r="F466" s="242"/>
      <c r="G466"/>
      <c r="H466" s="322">
        <v>2711200</v>
      </c>
      <c r="I466" s="322">
        <v>2679200</v>
      </c>
      <c r="J466" s="242">
        <v>2319100</v>
      </c>
      <c r="K466" s="18" t="e">
        <f>INDEX(תקציב_2013,MATCH(D466,'תקציב 2015'!$D$3:$D$5960,0),8)</f>
        <v>#N/A</v>
      </c>
      <c r="L466" s="18" t="str">
        <f t="shared" si="57"/>
        <v>7</v>
      </c>
      <c r="M466" s="18" t="str">
        <f>INDEX(Chapter,MATCH(L466,Chapter!$A$1:$A$681,0),8)</f>
        <v>שירותים מקומיים</v>
      </c>
      <c r="N466" s="18" t="str">
        <f t="shared" si="58"/>
        <v>76</v>
      </c>
      <c r="O466" s="18" t="str">
        <f>INDEX(Chapter,MATCH(N466,Chapter!$A$1:$A$681,0),8)</f>
        <v>שירותים עירוניים שונים</v>
      </c>
      <c r="P466" s="18" t="str">
        <f t="shared" si="59"/>
        <v>761</v>
      </c>
      <c r="Q466" s="18" t="str">
        <f>INDEX(Chapter,MATCH(P466,Chapter!$A$1:$A$681,0),8)</f>
        <v>מוקד עירוני</v>
      </c>
      <c r="R466" s="18" t="str">
        <f t="shared" si="60"/>
        <v>7610</v>
      </c>
      <c r="S466" s="18" t="e">
        <f>INDEX(Chapter,MATCH(R466,Chapter!$A$1:$A$681,0),8)</f>
        <v>#N/A</v>
      </c>
      <c r="T466" s="18"/>
      <c r="U466" s="18" t="str">
        <f t="shared" si="61"/>
        <v>1</v>
      </c>
      <c r="V466" s="18" t="str">
        <f>IF($L466&lt;"6",INDEX(Revenue_type,MATCH(U466*1,type!$A$118:$A$168,0),8),INDEX(Expenditure_type,MATCH(U466*1,type!$A$2:$A$117,0),8))</f>
        <v>משכורות וש"ע לעובדים לפי תקן</v>
      </c>
      <c r="W466" s="18" t="str">
        <f t="shared" si="62"/>
        <v>10</v>
      </c>
      <c r="X466" s="18" t="e">
        <f>IF($L466&lt;"6",INDEX(Revenue_type,MATCH(W466*1,type!$A$118:$A$168,0),8),INDEX(Expenditure_type,MATCH(W466*1,type!$A$2:$A$117,0),8))</f>
        <v>#N/A</v>
      </c>
      <c r="Y466" s="18" t="str">
        <f t="shared" si="63"/>
        <v>100</v>
      </c>
      <c r="Z466" s="18" t="e">
        <f>IF($L466&lt;"6",INDEX(Revenue_type,MATCH(Y466*1,type!$A$118:$A$168,0),8),INDEX(Expenditure_type,MATCH(Y466*1,type!$A$2:$A$117,0),8))</f>
        <v>#N/A</v>
      </c>
    </row>
    <row r="467" spans="1:26" ht="15.75" hidden="1" customHeight="1" outlineLevel="2">
      <c r="A467">
        <v>120</v>
      </c>
      <c r="B467" s="249">
        <v>761000</v>
      </c>
      <c r="C467">
        <v>1</v>
      </c>
      <c r="D467" t="str">
        <f t="shared" si="56"/>
        <v>1761000.120</v>
      </c>
      <c r="E467" s="355" t="s">
        <v>8150</v>
      </c>
      <c r="F467" s="242"/>
      <c r="G467"/>
      <c r="H467" s="322">
        <v>201800</v>
      </c>
      <c r="I467" s="322">
        <v>201800</v>
      </c>
      <c r="J467" s="242">
        <v>237500</v>
      </c>
      <c r="K467" s="18">
        <f>INDEX(תקציב_2013,MATCH(D467,'תקציב 2015'!$D$3:$D$5960,0),8)</f>
        <v>545442</v>
      </c>
      <c r="L467" s="18" t="str">
        <f t="shared" si="57"/>
        <v>7</v>
      </c>
      <c r="M467" s="18" t="str">
        <f>INDEX(Chapter,MATCH(L467,Chapter!$A$1:$A$681,0),8)</f>
        <v>שירותים מקומיים</v>
      </c>
      <c r="N467" s="18" t="str">
        <f t="shared" si="58"/>
        <v>76</v>
      </c>
      <c r="O467" s="18" t="str">
        <f>INDEX(Chapter,MATCH(N467,Chapter!$A$1:$A$681,0),8)</f>
        <v>שירותים עירוניים שונים</v>
      </c>
      <c r="P467" s="18" t="str">
        <f t="shared" si="59"/>
        <v>761</v>
      </c>
      <c r="Q467" s="18" t="str">
        <f>INDEX(Chapter,MATCH(P467,Chapter!$A$1:$A$681,0),8)</f>
        <v>מוקד עירוני</v>
      </c>
      <c r="R467" s="18" t="str">
        <f t="shared" si="60"/>
        <v>7610</v>
      </c>
      <c r="S467" s="18" t="e">
        <f>INDEX(Chapter,MATCH(R467,Chapter!$A$1:$A$681,0),8)</f>
        <v>#N/A</v>
      </c>
      <c r="T467" s="18"/>
      <c r="U467" s="18" t="str">
        <f t="shared" si="61"/>
        <v>1</v>
      </c>
      <c r="V467" s="18" t="str">
        <f>IF($L467&lt;"6",INDEX(Revenue_type,MATCH(U467*1,type!$A$118:$A$168,0),8),INDEX(Expenditure_type,MATCH(U467*1,type!$A$2:$A$117,0),8))</f>
        <v>משכורות וש"ע לעובדים לפי תקן</v>
      </c>
      <c r="W467" s="18" t="str">
        <f t="shared" si="62"/>
        <v>12</v>
      </c>
      <c r="X467" s="18" t="str">
        <f>IF($L467&lt;"6",INDEX(Revenue_type,MATCH(W467*1,type!$A$118:$A$168,0),8),INDEX(Expenditure_type,MATCH(W467*1,type!$A$2:$A$117,0),8))</f>
        <v>תוספות שאינן נכללות בשכר הקובע</v>
      </c>
      <c r="Y467" s="18" t="str">
        <f t="shared" si="63"/>
        <v>120</v>
      </c>
      <c r="Z467" s="18" t="e">
        <f>IF($L467&lt;"6",INDEX(Revenue_type,MATCH(Y467*1,type!$A$118:$A$168,0),8),INDEX(Expenditure_type,MATCH(Y467*1,type!$A$2:$A$117,0),8))</f>
        <v>#N/A</v>
      </c>
    </row>
    <row r="468" spans="1:26" ht="15.75" hidden="1" customHeight="1" outlineLevel="2">
      <c r="A468">
        <v>400</v>
      </c>
      <c r="B468" s="249">
        <v>761000</v>
      </c>
      <c r="C468">
        <v>1</v>
      </c>
      <c r="D468" t="str">
        <f t="shared" si="56"/>
        <v>1761000.400</v>
      </c>
      <c r="E468" s="355" t="s">
        <v>8151</v>
      </c>
      <c r="F468" s="242"/>
      <c r="G468"/>
      <c r="H468" s="322">
        <v>6900</v>
      </c>
      <c r="I468" s="322">
        <v>6900</v>
      </c>
      <c r="J468" s="242">
        <v>4700</v>
      </c>
      <c r="K468" s="18" t="e">
        <f>INDEX(תקציב_2013,MATCH(D468,'תקציב 2015'!$D$3:$D$5960,0),8)</f>
        <v>#N/A</v>
      </c>
      <c r="L468" s="18" t="str">
        <f t="shared" si="57"/>
        <v>7</v>
      </c>
      <c r="M468" s="18" t="str">
        <f>INDEX(Chapter,MATCH(L468,Chapter!$A$1:$A$681,0),8)</f>
        <v>שירותים מקומיים</v>
      </c>
      <c r="N468" s="18" t="str">
        <f t="shared" si="58"/>
        <v>76</v>
      </c>
      <c r="O468" s="18" t="str">
        <f>INDEX(Chapter,MATCH(N468,Chapter!$A$1:$A$681,0),8)</f>
        <v>שירותים עירוניים שונים</v>
      </c>
      <c r="P468" s="18" t="str">
        <f t="shared" si="59"/>
        <v>761</v>
      </c>
      <c r="Q468" s="18" t="str">
        <f>INDEX(Chapter,MATCH(P468,Chapter!$A$1:$A$681,0),8)</f>
        <v>מוקד עירוני</v>
      </c>
      <c r="R468" s="18" t="str">
        <f t="shared" si="60"/>
        <v>7610</v>
      </c>
      <c r="S468" s="18" t="e">
        <f>INDEX(Chapter,MATCH(R468,Chapter!$A$1:$A$681,0),8)</f>
        <v>#N/A</v>
      </c>
      <c r="T468" s="18"/>
      <c r="U468" s="18" t="str">
        <f t="shared" si="61"/>
        <v>4</v>
      </c>
      <c r="V468" s="18" t="str">
        <f>IF($L468&lt;"6",INDEX(Revenue_type,MATCH(U468*1,type!$A$118:$A$168,0),8),INDEX(Expenditure_type,MATCH(U468*1,type!$A$2:$A$117,0),8))</f>
        <v>אחזקת בינים ואספקת ציוד</v>
      </c>
      <c r="W468" s="18" t="str">
        <f t="shared" si="62"/>
        <v>40</v>
      </c>
      <c r="X468" s="18" t="e">
        <f>IF($L468&lt;"6",INDEX(Revenue_type,MATCH(W468*1,type!$A$118:$A$168,0),8),INDEX(Expenditure_type,MATCH(W468*1,type!$A$2:$A$117,0),8))</f>
        <v>#N/A</v>
      </c>
      <c r="Y468" s="18" t="str">
        <f t="shared" si="63"/>
        <v>400</v>
      </c>
      <c r="Z468" s="18" t="e">
        <f>IF($L468&lt;"6",INDEX(Revenue_type,MATCH(Y468*1,type!$A$118:$A$168,0),8),INDEX(Expenditure_type,MATCH(Y468*1,type!$A$2:$A$117,0),8))</f>
        <v>#N/A</v>
      </c>
    </row>
    <row r="469" spans="1:26" ht="15.75" hidden="1" customHeight="1" outlineLevel="2">
      <c r="A469">
        <v>500</v>
      </c>
      <c r="B469" s="249">
        <v>761000</v>
      </c>
      <c r="C469">
        <v>1</v>
      </c>
      <c r="D469" t="str">
        <f t="shared" si="56"/>
        <v>1761000.500</v>
      </c>
      <c r="E469" s="368" t="s">
        <v>8152</v>
      </c>
      <c r="F469" s="242"/>
      <c r="G469"/>
      <c r="H469" s="322">
        <v>157800</v>
      </c>
      <c r="I469" s="322">
        <v>160800</v>
      </c>
      <c r="J469" s="242">
        <v>112900</v>
      </c>
      <c r="K469" s="18" t="e">
        <f>INDEX(תקציב_2013,MATCH(D469,'תקציב 2015'!$D$3:$D$5960,0),8)</f>
        <v>#N/A</v>
      </c>
      <c r="L469" s="18" t="str">
        <f t="shared" si="57"/>
        <v>7</v>
      </c>
      <c r="M469" s="18" t="str">
        <f>INDEX(Chapter,MATCH(L469,Chapter!$A$1:$A$681,0),8)</f>
        <v>שירותים מקומיים</v>
      </c>
      <c r="N469" s="18" t="str">
        <f t="shared" si="58"/>
        <v>76</v>
      </c>
      <c r="O469" s="18" t="str">
        <f>INDEX(Chapter,MATCH(N469,Chapter!$A$1:$A$681,0),8)</f>
        <v>שירותים עירוניים שונים</v>
      </c>
      <c r="P469" s="18" t="str">
        <f t="shared" si="59"/>
        <v>761</v>
      </c>
      <c r="Q469" s="18" t="str">
        <f>INDEX(Chapter,MATCH(P469,Chapter!$A$1:$A$681,0),8)</f>
        <v>מוקד עירוני</v>
      </c>
      <c r="R469" s="18" t="str">
        <f t="shared" si="60"/>
        <v>7610</v>
      </c>
      <c r="S469" s="18" t="e">
        <f>INDEX(Chapter,MATCH(R469,Chapter!$A$1:$A$681,0),8)</f>
        <v>#N/A</v>
      </c>
      <c r="T469" s="18"/>
      <c r="U469" s="18" t="str">
        <f t="shared" si="61"/>
        <v>5</v>
      </c>
      <c r="V469" s="18" t="str">
        <f>IF($L469&lt;"6",INDEX(Revenue_type,MATCH(U469*1,type!$A$118:$A$168,0),8),INDEX(Expenditure_type,MATCH(U469*1,type!$A$2:$A$117,0),8))</f>
        <v>הוצאות מנהליות</v>
      </c>
      <c r="W469" s="18" t="str">
        <f t="shared" si="62"/>
        <v>50</v>
      </c>
      <c r="X469" s="18" t="e">
        <f>IF($L469&lt;"6",INDEX(Revenue_type,MATCH(W469*1,type!$A$118:$A$168,0),8),INDEX(Expenditure_type,MATCH(W469*1,type!$A$2:$A$117,0),8))</f>
        <v>#N/A</v>
      </c>
      <c r="Y469" s="18" t="str">
        <f t="shared" si="63"/>
        <v>500</v>
      </c>
      <c r="Z469" s="18" t="e">
        <f>IF($L469&lt;"6",INDEX(Revenue_type,MATCH(Y469*1,type!$A$118:$A$168,0),8),INDEX(Expenditure_type,MATCH(Y469*1,type!$A$2:$A$117,0),8))</f>
        <v>#N/A</v>
      </c>
    </row>
    <row r="470" spans="1:26" ht="15.75" hidden="1" customHeight="1" outlineLevel="2">
      <c r="A470">
        <v>700</v>
      </c>
      <c r="B470" s="249">
        <v>761000</v>
      </c>
      <c r="C470">
        <v>1</v>
      </c>
      <c r="D470" t="str">
        <f t="shared" si="56"/>
        <v>1761000.700</v>
      </c>
      <c r="E470" s="368" t="s">
        <v>8153</v>
      </c>
      <c r="F470" s="242"/>
      <c r="G470"/>
      <c r="H470" s="322">
        <v>5600</v>
      </c>
      <c r="I470" s="322">
        <v>7600</v>
      </c>
      <c r="J470" s="242">
        <v>7500</v>
      </c>
      <c r="K470" s="18" t="e">
        <f>INDEX(תקציב_2013,MATCH(D470,'תקציב 2015'!$D$3:$D$5960,0),8)</f>
        <v>#N/A</v>
      </c>
      <c r="L470" s="18" t="str">
        <f t="shared" si="57"/>
        <v>7</v>
      </c>
      <c r="M470" s="18" t="str">
        <f>INDEX(Chapter,MATCH(L470,Chapter!$A$1:$A$681,0),8)</f>
        <v>שירותים מקומיים</v>
      </c>
      <c r="N470" s="18" t="str">
        <f t="shared" si="58"/>
        <v>76</v>
      </c>
      <c r="O470" s="18" t="str">
        <f>INDEX(Chapter,MATCH(N470,Chapter!$A$1:$A$681,0),8)</f>
        <v>שירותים עירוניים שונים</v>
      </c>
      <c r="P470" s="18" t="str">
        <f t="shared" si="59"/>
        <v>761</v>
      </c>
      <c r="Q470" s="18" t="str">
        <f>INDEX(Chapter,MATCH(P470,Chapter!$A$1:$A$681,0),8)</f>
        <v>מוקד עירוני</v>
      </c>
      <c r="R470" s="18" t="str">
        <f t="shared" si="60"/>
        <v>7610</v>
      </c>
      <c r="S470" s="18" t="e">
        <f>INDEX(Chapter,MATCH(R470,Chapter!$A$1:$A$681,0),8)</f>
        <v>#N/A</v>
      </c>
      <c r="T470" s="18"/>
      <c r="U470" s="18" t="str">
        <f t="shared" si="61"/>
        <v>7</v>
      </c>
      <c r="V470" s="18" t="str">
        <f>IF($L470&lt;"6",INDEX(Revenue_type,MATCH(U470*1,type!$A$118:$A$168,0),8),INDEX(Expenditure_type,MATCH(U470*1,type!$A$2:$A$117,0),8))</f>
        <v>הוצאות לפעולות</v>
      </c>
      <c r="W470" s="18" t="str">
        <f t="shared" si="62"/>
        <v>70</v>
      </c>
      <c r="X470" s="18" t="e">
        <f>IF($L470&lt;"6",INDEX(Revenue_type,MATCH(W470*1,type!$A$118:$A$168,0),8),INDEX(Expenditure_type,MATCH(W470*1,type!$A$2:$A$117,0),8))</f>
        <v>#N/A</v>
      </c>
      <c r="Y470" s="18" t="str">
        <f t="shared" si="63"/>
        <v>700</v>
      </c>
      <c r="Z470" s="18" t="e">
        <f>IF($L470&lt;"6",INDEX(Revenue_type,MATCH(Y470*1,type!$A$118:$A$168,0),8),INDEX(Expenditure_type,MATCH(Y470*1,type!$A$2:$A$117,0),8))</f>
        <v>#N/A</v>
      </c>
    </row>
    <row r="471" spans="1:26" ht="15" hidden="1" customHeight="1" outlineLevel="2">
      <c r="A471">
        <v>100</v>
      </c>
      <c r="B471" s="249">
        <v>612400</v>
      </c>
      <c r="C471">
        <v>1</v>
      </c>
      <c r="D471" t="str">
        <f t="shared" si="56"/>
        <v>1612400.100</v>
      </c>
      <c r="E471" s="368" t="s">
        <v>8154</v>
      </c>
      <c r="F471" s="242"/>
      <c r="G471"/>
      <c r="H471" s="322">
        <v>264000</v>
      </c>
      <c r="I471" s="322">
        <v>261000</v>
      </c>
      <c r="J471" s="242">
        <v>248100</v>
      </c>
      <c r="K471" s="18" t="e">
        <f>INDEX(תקציב_2013,MATCH(D471,'תקציב 2015'!$D$3:$D$5960,0),8)</f>
        <v>#N/A</v>
      </c>
      <c r="L471" s="18" t="str">
        <f t="shared" si="57"/>
        <v>6</v>
      </c>
      <c r="M471" s="18" t="str">
        <f>INDEX(Chapter,MATCH(L471,Chapter!$A$1:$A$681,0),8)</f>
        <v>הנהלה כללית</v>
      </c>
      <c r="N471" s="18" t="str">
        <f t="shared" si="58"/>
        <v>61</v>
      </c>
      <c r="O471" s="18" t="str">
        <f>INDEX(Chapter,MATCH(N471,Chapter!$A$1:$A$681,0),8)</f>
        <v>מינהל כללי</v>
      </c>
      <c r="P471" s="18" t="str">
        <f t="shared" si="59"/>
        <v>612</v>
      </c>
      <c r="Q471" s="18" t="str">
        <f>INDEX(Chapter,MATCH(P471,Chapter!$A$1:$A$681,0),8)</f>
        <v>מבקר הרשות</v>
      </c>
      <c r="R471" s="18" t="str">
        <f t="shared" si="60"/>
        <v>6124</v>
      </c>
      <c r="S471" s="18" t="e">
        <f>INDEX(Chapter,MATCH(R471,Chapter!$A$1:$A$681,0),8)</f>
        <v>#N/A</v>
      </c>
      <c r="T471" s="18"/>
      <c r="U471" s="18" t="str">
        <f t="shared" si="61"/>
        <v>1</v>
      </c>
      <c r="V471" s="18" t="str">
        <f>IF($L471&lt;"6",INDEX(Revenue_type,MATCH(U471*1,type!$A$118:$A$168,0),8),INDEX(Expenditure_type,MATCH(U471*1,type!$A$2:$A$117,0),8))</f>
        <v>משכורות וש"ע לעובדים לפי תקן</v>
      </c>
      <c r="W471" s="18" t="str">
        <f t="shared" si="62"/>
        <v>10</v>
      </c>
      <c r="X471" s="18" t="e">
        <f>IF($L471&lt;"6",INDEX(Revenue_type,MATCH(W471*1,type!$A$118:$A$168,0),8),INDEX(Expenditure_type,MATCH(W471*1,type!$A$2:$A$117,0),8))</f>
        <v>#N/A</v>
      </c>
      <c r="Y471" s="18" t="str">
        <f t="shared" si="63"/>
        <v>100</v>
      </c>
      <c r="Z471" s="18" t="e">
        <f>IF($L471&lt;"6",INDEX(Revenue_type,MATCH(Y471*1,type!$A$118:$A$168,0),8),INDEX(Expenditure_type,MATCH(Y471*1,type!$A$2:$A$117,0),8))</f>
        <v>#N/A</v>
      </c>
    </row>
    <row r="472" spans="1:26" ht="15.75" hidden="1" customHeight="1" outlineLevel="2">
      <c r="A472">
        <v>120</v>
      </c>
      <c r="B472" s="249">
        <v>612400</v>
      </c>
      <c r="C472">
        <v>1</v>
      </c>
      <c r="D472" t="str">
        <f t="shared" si="56"/>
        <v>1612400.120</v>
      </c>
      <c r="E472" s="354" t="s">
        <v>8155</v>
      </c>
      <c r="F472" s="242"/>
      <c r="G472"/>
      <c r="H472" s="322">
        <v>20000</v>
      </c>
      <c r="I472" s="322">
        <v>20000</v>
      </c>
      <c r="J472" s="242">
        <v>0</v>
      </c>
      <c r="K472" s="18" t="e">
        <f>INDEX(תקציב_2013,MATCH(D472,'תקציב 2015'!$D$3:$D$5960,0),8)</f>
        <v>#N/A</v>
      </c>
      <c r="L472" s="18" t="str">
        <f t="shared" si="57"/>
        <v>6</v>
      </c>
      <c r="M472" s="18" t="str">
        <f>INDEX(Chapter,MATCH(L472,Chapter!$A$1:$A$681,0),8)</f>
        <v>הנהלה כללית</v>
      </c>
      <c r="N472" s="18" t="str">
        <f t="shared" si="58"/>
        <v>61</v>
      </c>
      <c r="O472" s="18" t="str">
        <f>INDEX(Chapter,MATCH(N472,Chapter!$A$1:$A$681,0),8)</f>
        <v>מינהל כללי</v>
      </c>
      <c r="P472" s="18" t="str">
        <f t="shared" si="59"/>
        <v>612</v>
      </c>
      <c r="Q472" s="18" t="str">
        <f>INDEX(Chapter,MATCH(P472,Chapter!$A$1:$A$681,0),8)</f>
        <v>מבקר הרשות</v>
      </c>
      <c r="R472" s="18" t="str">
        <f t="shared" si="60"/>
        <v>6124</v>
      </c>
      <c r="S472" s="18" t="e">
        <f>INDEX(Chapter,MATCH(R472,Chapter!$A$1:$A$681,0),8)</f>
        <v>#N/A</v>
      </c>
      <c r="T472" s="18"/>
      <c r="U472" s="18" t="str">
        <f t="shared" si="61"/>
        <v>1</v>
      </c>
      <c r="V472" s="18" t="str">
        <f>IF($L472&lt;"6",INDEX(Revenue_type,MATCH(U472*1,type!$A$118:$A$168,0),8),INDEX(Expenditure_type,MATCH(U472*1,type!$A$2:$A$117,0),8))</f>
        <v>משכורות וש"ע לעובדים לפי תקן</v>
      </c>
      <c r="W472" s="18" t="str">
        <f t="shared" si="62"/>
        <v>12</v>
      </c>
      <c r="X472" s="18" t="str">
        <f>IF($L472&lt;"6",INDEX(Revenue_type,MATCH(W472*1,type!$A$118:$A$168,0),8),INDEX(Expenditure_type,MATCH(W472*1,type!$A$2:$A$117,0),8))</f>
        <v>תוספות שאינן נכללות בשכר הקובע</v>
      </c>
      <c r="Y472" s="18" t="str">
        <f t="shared" si="63"/>
        <v>120</v>
      </c>
      <c r="Z472" s="18" t="e">
        <f>IF($L472&lt;"6",INDEX(Revenue_type,MATCH(Y472*1,type!$A$118:$A$168,0),8),INDEX(Expenditure_type,MATCH(Y472*1,type!$A$2:$A$117,0),8))</f>
        <v>#N/A</v>
      </c>
    </row>
    <row r="473" spans="1:26" ht="15.75" hidden="1" customHeight="1" outlineLevel="2">
      <c r="A473">
        <v>400</v>
      </c>
      <c r="B473" s="249">
        <v>612400</v>
      </c>
      <c r="C473">
        <v>1</v>
      </c>
      <c r="D473" t="str">
        <f t="shared" si="56"/>
        <v>1612400.400</v>
      </c>
      <c r="E473" s="354" t="s">
        <v>8156</v>
      </c>
      <c r="F473" s="242"/>
      <c r="G473"/>
      <c r="H473" s="322">
        <v>2000</v>
      </c>
      <c r="I473" s="322">
        <v>2000</v>
      </c>
      <c r="J473" s="242">
        <v>0</v>
      </c>
      <c r="K473" s="18" t="e">
        <f>INDEX(תקציב_2013,MATCH(D473,'תקציב 2015'!$D$3:$D$5960,0),8)</f>
        <v>#N/A</v>
      </c>
      <c r="L473" s="18" t="str">
        <f t="shared" si="57"/>
        <v>6</v>
      </c>
      <c r="M473" s="18" t="str">
        <f>INDEX(Chapter,MATCH(L473,Chapter!$A$1:$A$681,0),8)</f>
        <v>הנהלה כללית</v>
      </c>
      <c r="N473" s="18" t="str">
        <f t="shared" si="58"/>
        <v>61</v>
      </c>
      <c r="O473" s="18" t="str">
        <f>INDEX(Chapter,MATCH(N473,Chapter!$A$1:$A$681,0),8)</f>
        <v>מינהל כללי</v>
      </c>
      <c r="P473" s="18" t="str">
        <f t="shared" si="59"/>
        <v>612</v>
      </c>
      <c r="Q473" s="18" t="str">
        <f>INDEX(Chapter,MATCH(P473,Chapter!$A$1:$A$681,0),8)</f>
        <v>מבקר הרשות</v>
      </c>
      <c r="R473" s="18" t="str">
        <f t="shared" si="60"/>
        <v>6124</v>
      </c>
      <c r="S473" s="18" t="e">
        <f>INDEX(Chapter,MATCH(R473,Chapter!$A$1:$A$681,0),8)</f>
        <v>#N/A</v>
      </c>
      <c r="T473" s="18"/>
      <c r="U473" s="18" t="str">
        <f t="shared" si="61"/>
        <v>4</v>
      </c>
      <c r="V473" s="18" t="str">
        <f>IF($L473&lt;"6",INDEX(Revenue_type,MATCH(U473*1,type!$A$118:$A$168,0),8),INDEX(Expenditure_type,MATCH(U473*1,type!$A$2:$A$117,0),8))</f>
        <v>אחזקת בינים ואספקת ציוד</v>
      </c>
      <c r="W473" s="18" t="str">
        <f t="shared" si="62"/>
        <v>40</v>
      </c>
      <c r="X473" s="18" t="e">
        <f>IF($L473&lt;"6",INDEX(Revenue_type,MATCH(W473*1,type!$A$118:$A$168,0),8),INDEX(Expenditure_type,MATCH(W473*1,type!$A$2:$A$117,0),8))</f>
        <v>#N/A</v>
      </c>
      <c r="Y473" s="18" t="str">
        <f t="shared" si="63"/>
        <v>400</v>
      </c>
      <c r="Z473" s="18" t="e">
        <f>IF($L473&lt;"6",INDEX(Revenue_type,MATCH(Y473*1,type!$A$118:$A$168,0),8),INDEX(Expenditure_type,MATCH(Y473*1,type!$A$2:$A$117,0),8))</f>
        <v>#N/A</v>
      </c>
    </row>
    <row r="474" spans="1:26" ht="15.75" hidden="1" customHeight="1" outlineLevel="2">
      <c r="A474">
        <v>500</v>
      </c>
      <c r="B474" s="249">
        <v>612400</v>
      </c>
      <c r="C474">
        <v>1</v>
      </c>
      <c r="D474" t="str">
        <f t="shared" si="56"/>
        <v>1612400.500</v>
      </c>
      <c r="E474" s="354" t="s">
        <v>8157</v>
      </c>
      <c r="F474" s="242"/>
      <c r="G474"/>
      <c r="H474" s="322">
        <v>13600</v>
      </c>
      <c r="I474" s="322">
        <v>13600</v>
      </c>
      <c r="J474" s="242">
        <v>1400</v>
      </c>
      <c r="K474" s="18" t="e">
        <f>INDEX(תקציב_2013,MATCH(D474,'תקציב 2015'!$D$3:$D$5960,0),8)</f>
        <v>#N/A</v>
      </c>
      <c r="L474" s="18" t="str">
        <f t="shared" si="57"/>
        <v>6</v>
      </c>
      <c r="M474" s="18" t="str">
        <f>INDEX(Chapter,MATCH(L474,Chapter!$A$1:$A$681,0),8)</f>
        <v>הנהלה כללית</v>
      </c>
      <c r="N474" s="18" t="str">
        <f t="shared" si="58"/>
        <v>61</v>
      </c>
      <c r="O474" s="18" t="str">
        <f>INDEX(Chapter,MATCH(N474,Chapter!$A$1:$A$681,0),8)</f>
        <v>מינהל כללי</v>
      </c>
      <c r="P474" s="18" t="str">
        <f t="shared" si="59"/>
        <v>612</v>
      </c>
      <c r="Q474" s="18" t="str">
        <f>INDEX(Chapter,MATCH(P474,Chapter!$A$1:$A$681,0),8)</f>
        <v>מבקר הרשות</v>
      </c>
      <c r="R474" s="18" t="str">
        <f t="shared" si="60"/>
        <v>6124</v>
      </c>
      <c r="S474" s="18" t="e">
        <f>INDEX(Chapter,MATCH(R474,Chapter!$A$1:$A$681,0),8)</f>
        <v>#N/A</v>
      </c>
      <c r="T474" s="18"/>
      <c r="U474" s="18" t="str">
        <f t="shared" si="61"/>
        <v>5</v>
      </c>
      <c r="V474" s="18" t="str">
        <f>IF($L474&lt;"6",INDEX(Revenue_type,MATCH(U474*1,type!$A$118:$A$168,0),8),INDEX(Expenditure_type,MATCH(U474*1,type!$A$2:$A$117,0),8))</f>
        <v>הוצאות מנהליות</v>
      </c>
      <c r="W474" s="18" t="str">
        <f t="shared" si="62"/>
        <v>50</v>
      </c>
      <c r="X474" s="18" t="e">
        <f>IF($L474&lt;"6",INDEX(Revenue_type,MATCH(W474*1,type!$A$118:$A$168,0),8),INDEX(Expenditure_type,MATCH(W474*1,type!$A$2:$A$117,0),8))</f>
        <v>#N/A</v>
      </c>
      <c r="Y474" s="18" t="str">
        <f t="shared" si="63"/>
        <v>500</v>
      </c>
      <c r="Z474" s="18" t="e">
        <f>IF($L474&lt;"6",INDEX(Revenue_type,MATCH(Y474*1,type!$A$118:$A$168,0),8),INDEX(Expenditure_type,MATCH(Y474*1,type!$A$2:$A$117,0),8))</f>
        <v>#N/A</v>
      </c>
    </row>
    <row r="475" spans="1:26" ht="15.75" hidden="1" customHeight="1" outlineLevel="2">
      <c r="A475">
        <v>500</v>
      </c>
      <c r="B475" s="249">
        <v>612400</v>
      </c>
      <c r="C475">
        <v>1</v>
      </c>
      <c r="D475" t="str">
        <f t="shared" si="56"/>
        <v>1612400.500</v>
      </c>
      <c r="E475" s="354" t="s">
        <v>8158</v>
      </c>
      <c r="F475" s="242"/>
      <c r="G475"/>
      <c r="H475" s="322">
        <v>1000</v>
      </c>
      <c r="I475" s="322">
        <v>1000</v>
      </c>
      <c r="J475" s="242">
        <v>0</v>
      </c>
      <c r="K475" s="18" t="e">
        <f>INDEX(תקציב_2013,MATCH(D475,'תקציב 2015'!$D$3:$D$5960,0),8)</f>
        <v>#N/A</v>
      </c>
      <c r="L475" s="18" t="str">
        <f t="shared" si="57"/>
        <v>6</v>
      </c>
      <c r="M475" s="18" t="str">
        <f>INDEX(Chapter,MATCH(L475,Chapter!$A$1:$A$681,0),8)</f>
        <v>הנהלה כללית</v>
      </c>
      <c r="N475" s="18" t="str">
        <f t="shared" si="58"/>
        <v>61</v>
      </c>
      <c r="O475" s="18" t="str">
        <f>INDEX(Chapter,MATCH(N475,Chapter!$A$1:$A$681,0),8)</f>
        <v>מינהל כללי</v>
      </c>
      <c r="P475" s="18" t="str">
        <f t="shared" si="59"/>
        <v>612</v>
      </c>
      <c r="Q475" s="18" t="str">
        <f>INDEX(Chapter,MATCH(P475,Chapter!$A$1:$A$681,0),8)</f>
        <v>מבקר הרשות</v>
      </c>
      <c r="R475" s="18" t="str">
        <f t="shared" si="60"/>
        <v>6124</v>
      </c>
      <c r="S475" s="18" t="e">
        <f>INDEX(Chapter,MATCH(R475,Chapter!$A$1:$A$681,0),8)</f>
        <v>#N/A</v>
      </c>
      <c r="T475" s="18"/>
      <c r="U475" s="18" t="str">
        <f t="shared" si="61"/>
        <v>5</v>
      </c>
      <c r="V475" s="18" t="str">
        <f>IF($L475&lt;"6",INDEX(Revenue_type,MATCH(U475*1,type!$A$118:$A$168,0),8),INDEX(Expenditure_type,MATCH(U475*1,type!$A$2:$A$117,0),8))</f>
        <v>הוצאות מנהליות</v>
      </c>
      <c r="W475" s="18" t="str">
        <f t="shared" si="62"/>
        <v>50</v>
      </c>
      <c r="X475" s="18" t="e">
        <f>IF($L475&lt;"6",INDEX(Revenue_type,MATCH(W475*1,type!$A$118:$A$168,0),8),INDEX(Expenditure_type,MATCH(W475*1,type!$A$2:$A$117,0),8))</f>
        <v>#N/A</v>
      </c>
      <c r="Y475" s="18" t="str">
        <f t="shared" si="63"/>
        <v>500</v>
      </c>
      <c r="Z475" s="18" t="e">
        <f>IF($L475&lt;"6",INDEX(Revenue_type,MATCH(Y475*1,type!$A$118:$A$168,0),8),INDEX(Expenditure_type,MATCH(Y475*1,type!$A$2:$A$117,0),8))</f>
        <v>#N/A</v>
      </c>
    </row>
    <row r="476" spans="1:26" ht="15.75" hidden="1" customHeight="1" outlineLevel="2">
      <c r="A476">
        <v>700</v>
      </c>
      <c r="B476" s="249">
        <v>612400</v>
      </c>
      <c r="C476">
        <v>1</v>
      </c>
      <c r="D476" t="str">
        <f t="shared" si="56"/>
        <v>1612400.700</v>
      </c>
      <c r="E476" s="348" t="s">
        <v>8159</v>
      </c>
      <c r="F476" s="242"/>
      <c r="G476"/>
      <c r="H476" s="322">
        <v>107200</v>
      </c>
      <c r="I476" s="322">
        <v>110800</v>
      </c>
      <c r="J476" s="242">
        <v>0</v>
      </c>
      <c r="K476" s="18" t="e">
        <f>INDEX(תקציב_2013,MATCH(D476,'תקציב 2015'!$D$3:$D$5960,0),8)</f>
        <v>#N/A</v>
      </c>
      <c r="L476" s="18" t="str">
        <f t="shared" si="57"/>
        <v>6</v>
      </c>
      <c r="M476" s="18" t="str">
        <f>INDEX(Chapter,MATCH(L476,Chapter!$A$1:$A$681,0),8)</f>
        <v>הנהלה כללית</v>
      </c>
      <c r="N476" s="18" t="str">
        <f t="shared" si="58"/>
        <v>61</v>
      </c>
      <c r="O476" s="18" t="str">
        <f>INDEX(Chapter,MATCH(N476,Chapter!$A$1:$A$681,0),8)</f>
        <v>מינהל כללי</v>
      </c>
      <c r="P476" s="18" t="str">
        <f t="shared" si="59"/>
        <v>612</v>
      </c>
      <c r="Q476" s="18" t="str">
        <f>INDEX(Chapter,MATCH(P476,Chapter!$A$1:$A$681,0),8)</f>
        <v>מבקר הרשות</v>
      </c>
      <c r="R476" s="18" t="str">
        <f t="shared" si="60"/>
        <v>6124</v>
      </c>
      <c r="S476" s="18" t="e">
        <f>INDEX(Chapter,MATCH(R476,Chapter!$A$1:$A$681,0),8)</f>
        <v>#N/A</v>
      </c>
      <c r="T476" s="18"/>
      <c r="U476" s="18" t="str">
        <f t="shared" si="61"/>
        <v>7</v>
      </c>
      <c r="V476" s="18" t="str">
        <f>IF($L476&lt;"6",INDEX(Revenue_type,MATCH(U476*1,type!$A$118:$A$168,0),8),INDEX(Expenditure_type,MATCH(U476*1,type!$A$2:$A$117,0),8))</f>
        <v>הוצאות לפעולות</v>
      </c>
      <c r="W476" s="18" t="str">
        <f t="shared" si="62"/>
        <v>70</v>
      </c>
      <c r="X476" s="18" t="e">
        <f>IF($L476&lt;"6",INDEX(Revenue_type,MATCH(W476*1,type!$A$118:$A$168,0),8),INDEX(Expenditure_type,MATCH(W476*1,type!$A$2:$A$117,0),8))</f>
        <v>#N/A</v>
      </c>
      <c r="Y476" s="18" t="str">
        <f t="shared" si="63"/>
        <v>700</v>
      </c>
      <c r="Z476" s="18" t="e">
        <f>IF($L476&lt;"6",INDEX(Revenue_type,MATCH(Y476*1,type!$A$118:$A$168,0),8),INDEX(Expenditure_type,MATCH(Y476*1,type!$A$2:$A$117,0),8))</f>
        <v>#N/A</v>
      </c>
    </row>
    <row r="477" spans="1:26" ht="15.75" hidden="1" customHeight="1" outlineLevel="2">
      <c r="A477">
        <v>100</v>
      </c>
      <c r="B477" s="249">
        <v>611100</v>
      </c>
      <c r="C477">
        <v>1</v>
      </c>
      <c r="D477" t="str">
        <f t="shared" si="56"/>
        <v>1611100.100</v>
      </c>
      <c r="E477" s="348" t="s">
        <v>8160</v>
      </c>
      <c r="F477" s="242"/>
      <c r="G477"/>
      <c r="H477" s="322">
        <v>2438000</v>
      </c>
      <c r="I477" s="322">
        <v>2417100</v>
      </c>
      <c r="J477" s="242">
        <v>2365100</v>
      </c>
      <c r="K477" s="18" t="e">
        <f>INDEX(תקציב_2013,MATCH(D477,'תקציב 2015'!$D$3:$D$5960,0),8)</f>
        <v>#N/A</v>
      </c>
      <c r="L477" s="18" t="str">
        <f t="shared" si="57"/>
        <v>6</v>
      </c>
      <c r="M477" s="18" t="str">
        <f>INDEX(Chapter,MATCH(L477,Chapter!$A$1:$A$681,0),8)</f>
        <v>הנהלה כללית</v>
      </c>
      <c r="N477" s="18" t="str">
        <f t="shared" si="58"/>
        <v>61</v>
      </c>
      <c r="O477" s="18" t="str">
        <f>INDEX(Chapter,MATCH(N477,Chapter!$A$1:$A$681,0),8)</f>
        <v>מינהל כללי</v>
      </c>
      <c r="P477" s="18" t="str">
        <f t="shared" si="59"/>
        <v>611</v>
      </c>
      <c r="Q477" s="18" t="str">
        <f>INDEX(Chapter,MATCH(P477,Chapter!$A$1:$A$681,0),8)</f>
        <v>הנהלה ורשות</v>
      </c>
      <c r="R477" s="18" t="str">
        <f t="shared" si="60"/>
        <v>6111</v>
      </c>
      <c r="S477" s="18" t="str">
        <f>INDEX(Chapter,MATCH(R477,Chapter!$A$1:$A$681,0),8)</f>
        <v>ראש הרשות המקומית וסגניו</v>
      </c>
      <c r="T477" s="18"/>
      <c r="U477" s="18" t="str">
        <f t="shared" si="61"/>
        <v>1</v>
      </c>
      <c r="V477" s="18" t="str">
        <f>IF($L477&lt;"6",INDEX(Revenue_type,MATCH(U477*1,type!$A$118:$A$168,0),8),INDEX(Expenditure_type,MATCH(U477*1,type!$A$2:$A$117,0),8))</f>
        <v>משכורות וש"ע לעובדים לפי תקן</v>
      </c>
      <c r="W477" s="18" t="str">
        <f t="shared" si="62"/>
        <v>10</v>
      </c>
      <c r="X477" s="18" t="e">
        <f>IF($L477&lt;"6",INDEX(Revenue_type,MATCH(W477*1,type!$A$118:$A$168,0),8),INDEX(Expenditure_type,MATCH(W477*1,type!$A$2:$A$117,0),8))</f>
        <v>#N/A</v>
      </c>
      <c r="Y477" s="18" t="str">
        <f t="shared" si="63"/>
        <v>100</v>
      </c>
      <c r="Z477" s="18" t="e">
        <f>IF($L477&lt;"6",INDEX(Revenue_type,MATCH(Y477*1,type!$A$118:$A$168,0),8),INDEX(Expenditure_type,MATCH(Y477*1,type!$A$2:$A$117,0),8))</f>
        <v>#N/A</v>
      </c>
    </row>
    <row r="478" spans="1:26" ht="15.75" hidden="1" customHeight="1" outlineLevel="2">
      <c r="A478">
        <v>120</v>
      </c>
      <c r="B478" s="249">
        <v>611100</v>
      </c>
      <c r="C478">
        <v>1</v>
      </c>
      <c r="D478" t="str">
        <f t="shared" si="56"/>
        <v>1611100.120</v>
      </c>
      <c r="E478" s="348" t="s">
        <v>8161</v>
      </c>
      <c r="F478" s="242"/>
      <c r="G478"/>
      <c r="H478" s="322">
        <v>44000</v>
      </c>
      <c r="I478" s="322">
        <v>44000</v>
      </c>
      <c r="J478" s="242">
        <v>47700</v>
      </c>
      <c r="K478" s="18">
        <f>INDEX(תקציב_2013,MATCH(D478,'תקציב 2015'!$D$3:$D$5960,0),8)</f>
        <v>229250</v>
      </c>
      <c r="L478" s="18" t="str">
        <f t="shared" si="57"/>
        <v>6</v>
      </c>
      <c r="M478" s="18" t="str">
        <f>INDEX(Chapter,MATCH(L478,Chapter!$A$1:$A$681,0),8)</f>
        <v>הנהלה כללית</v>
      </c>
      <c r="N478" s="18" t="str">
        <f t="shared" si="58"/>
        <v>61</v>
      </c>
      <c r="O478" s="18" t="str">
        <f>INDEX(Chapter,MATCH(N478,Chapter!$A$1:$A$681,0),8)</f>
        <v>מינהל כללי</v>
      </c>
      <c r="P478" s="18" t="str">
        <f t="shared" si="59"/>
        <v>611</v>
      </c>
      <c r="Q478" s="18" t="str">
        <f>INDEX(Chapter,MATCH(P478,Chapter!$A$1:$A$681,0),8)</f>
        <v>הנהלה ורשות</v>
      </c>
      <c r="R478" s="18" t="str">
        <f t="shared" si="60"/>
        <v>6111</v>
      </c>
      <c r="S478" s="18" t="str">
        <f>INDEX(Chapter,MATCH(R478,Chapter!$A$1:$A$681,0),8)</f>
        <v>ראש הרשות המקומית וסגניו</v>
      </c>
      <c r="T478" s="18"/>
      <c r="U478" s="18" t="str">
        <f t="shared" si="61"/>
        <v>1</v>
      </c>
      <c r="V478" s="18" t="str">
        <f>IF($L478&lt;"6",INDEX(Revenue_type,MATCH(U478*1,type!$A$118:$A$168,0),8),INDEX(Expenditure_type,MATCH(U478*1,type!$A$2:$A$117,0),8))</f>
        <v>משכורות וש"ע לעובדים לפי תקן</v>
      </c>
      <c r="W478" s="18" t="str">
        <f t="shared" si="62"/>
        <v>12</v>
      </c>
      <c r="X478" s="18" t="str">
        <f>IF($L478&lt;"6",INDEX(Revenue_type,MATCH(W478*1,type!$A$118:$A$168,0),8),INDEX(Expenditure_type,MATCH(W478*1,type!$A$2:$A$117,0),8))</f>
        <v>תוספות שאינן נכללות בשכר הקובע</v>
      </c>
      <c r="Y478" s="18" t="str">
        <f t="shared" si="63"/>
        <v>120</v>
      </c>
      <c r="Z478" s="18" t="e">
        <f>IF($L478&lt;"6",INDEX(Revenue_type,MATCH(Y478*1,type!$A$118:$A$168,0),8),INDEX(Expenditure_type,MATCH(Y478*1,type!$A$2:$A$117,0),8))</f>
        <v>#N/A</v>
      </c>
    </row>
    <row r="479" spans="1:26" ht="15.75" hidden="1" customHeight="1" outlineLevel="2">
      <c r="A479">
        <v>400</v>
      </c>
      <c r="B479" s="249">
        <v>611100</v>
      </c>
      <c r="C479">
        <v>1</v>
      </c>
      <c r="D479" t="str">
        <f t="shared" si="56"/>
        <v>1611100.400</v>
      </c>
      <c r="E479" s="348" t="s">
        <v>8162</v>
      </c>
      <c r="F479" s="242"/>
      <c r="G479"/>
      <c r="H479" s="322">
        <v>26900</v>
      </c>
      <c r="I479" s="322">
        <v>26900</v>
      </c>
      <c r="J479" s="242">
        <v>22500</v>
      </c>
      <c r="K479" s="18" t="e">
        <f>INDEX(תקציב_2013,MATCH(D479,'תקציב 2015'!$D$3:$D$5960,0),8)</f>
        <v>#N/A</v>
      </c>
      <c r="L479" s="18" t="str">
        <f t="shared" si="57"/>
        <v>6</v>
      </c>
      <c r="M479" s="18" t="str">
        <f>INDEX(Chapter,MATCH(L479,Chapter!$A$1:$A$681,0),8)</f>
        <v>הנהלה כללית</v>
      </c>
      <c r="N479" s="18" t="str">
        <f t="shared" si="58"/>
        <v>61</v>
      </c>
      <c r="O479" s="18" t="str">
        <f>INDEX(Chapter,MATCH(N479,Chapter!$A$1:$A$681,0),8)</f>
        <v>מינהל כללי</v>
      </c>
      <c r="P479" s="18" t="str">
        <f t="shared" si="59"/>
        <v>611</v>
      </c>
      <c r="Q479" s="18" t="str">
        <f>INDEX(Chapter,MATCH(P479,Chapter!$A$1:$A$681,0),8)</f>
        <v>הנהלה ורשות</v>
      </c>
      <c r="R479" s="18" t="str">
        <f t="shared" si="60"/>
        <v>6111</v>
      </c>
      <c r="S479" s="18" t="str">
        <f>INDEX(Chapter,MATCH(R479,Chapter!$A$1:$A$681,0),8)</f>
        <v>ראש הרשות המקומית וסגניו</v>
      </c>
      <c r="T479" s="18"/>
      <c r="U479" s="18" t="str">
        <f t="shared" si="61"/>
        <v>4</v>
      </c>
      <c r="V479" s="18" t="str">
        <f>IF($L479&lt;"6",INDEX(Revenue_type,MATCH(U479*1,type!$A$118:$A$168,0),8),INDEX(Expenditure_type,MATCH(U479*1,type!$A$2:$A$117,0),8))</f>
        <v>אחזקת בינים ואספקת ציוד</v>
      </c>
      <c r="W479" s="18" t="str">
        <f t="shared" si="62"/>
        <v>40</v>
      </c>
      <c r="X479" s="18" t="e">
        <f>IF($L479&lt;"6",INDEX(Revenue_type,MATCH(W479*1,type!$A$118:$A$168,0),8),INDEX(Expenditure_type,MATCH(W479*1,type!$A$2:$A$117,0),8))</f>
        <v>#N/A</v>
      </c>
      <c r="Y479" s="18" t="str">
        <f t="shared" si="63"/>
        <v>400</v>
      </c>
      <c r="Z479" s="18" t="e">
        <f>IF($L479&lt;"6",INDEX(Revenue_type,MATCH(Y479*1,type!$A$118:$A$168,0),8),INDEX(Expenditure_type,MATCH(Y479*1,type!$A$2:$A$117,0),8))</f>
        <v>#N/A</v>
      </c>
    </row>
    <row r="480" spans="1:26" ht="15.75" hidden="1" customHeight="1" outlineLevel="2">
      <c r="A480">
        <v>500</v>
      </c>
      <c r="B480" s="249">
        <v>611100</v>
      </c>
      <c r="C480">
        <v>1</v>
      </c>
      <c r="D480" t="str">
        <f t="shared" si="56"/>
        <v>1611100.500</v>
      </c>
      <c r="E480" s="348" t="s">
        <v>8163</v>
      </c>
      <c r="F480" s="242"/>
      <c r="G480"/>
      <c r="H480" s="322">
        <v>76200</v>
      </c>
      <c r="I480" s="322">
        <v>77500</v>
      </c>
      <c r="J480" s="242">
        <v>60500</v>
      </c>
      <c r="K480" s="18" t="e">
        <f>INDEX(תקציב_2013,MATCH(D480,'תקציב 2015'!$D$3:$D$5960,0),8)</f>
        <v>#N/A</v>
      </c>
      <c r="L480" s="18" t="str">
        <f t="shared" si="57"/>
        <v>6</v>
      </c>
      <c r="M480" s="18" t="str">
        <f>INDEX(Chapter,MATCH(L480,Chapter!$A$1:$A$681,0),8)</f>
        <v>הנהלה כללית</v>
      </c>
      <c r="N480" s="18" t="str">
        <f t="shared" si="58"/>
        <v>61</v>
      </c>
      <c r="O480" s="18" t="str">
        <f>INDEX(Chapter,MATCH(N480,Chapter!$A$1:$A$681,0),8)</f>
        <v>מינהל כללי</v>
      </c>
      <c r="P480" s="18" t="str">
        <f t="shared" si="59"/>
        <v>611</v>
      </c>
      <c r="Q480" s="18" t="str">
        <f>INDEX(Chapter,MATCH(P480,Chapter!$A$1:$A$681,0),8)</f>
        <v>הנהלה ורשות</v>
      </c>
      <c r="R480" s="18" t="str">
        <f t="shared" si="60"/>
        <v>6111</v>
      </c>
      <c r="S480" s="18" t="str">
        <f>INDEX(Chapter,MATCH(R480,Chapter!$A$1:$A$681,0),8)</f>
        <v>ראש הרשות המקומית וסגניו</v>
      </c>
      <c r="T480" s="18"/>
      <c r="U480" s="18" t="str">
        <f t="shared" si="61"/>
        <v>5</v>
      </c>
      <c r="V480" s="18" t="str">
        <f>IF($L480&lt;"6",INDEX(Revenue_type,MATCH(U480*1,type!$A$118:$A$168,0),8),INDEX(Expenditure_type,MATCH(U480*1,type!$A$2:$A$117,0),8))</f>
        <v>הוצאות מנהליות</v>
      </c>
      <c r="W480" s="18" t="str">
        <f t="shared" si="62"/>
        <v>50</v>
      </c>
      <c r="X480" s="18" t="e">
        <f>IF($L480&lt;"6",INDEX(Revenue_type,MATCH(W480*1,type!$A$118:$A$168,0),8),INDEX(Expenditure_type,MATCH(W480*1,type!$A$2:$A$117,0),8))</f>
        <v>#N/A</v>
      </c>
      <c r="Y480" s="18" t="str">
        <f t="shared" si="63"/>
        <v>500</v>
      </c>
      <c r="Z480" s="18" t="e">
        <f>IF($L480&lt;"6",INDEX(Revenue_type,MATCH(Y480*1,type!$A$118:$A$168,0),8),INDEX(Expenditure_type,MATCH(Y480*1,type!$A$2:$A$117,0),8))</f>
        <v>#N/A</v>
      </c>
    </row>
    <row r="481" spans="1:26" ht="15.75" hidden="1" customHeight="1" outlineLevel="2">
      <c r="A481">
        <v>500</v>
      </c>
      <c r="B481" s="249">
        <v>611100</v>
      </c>
      <c r="C481">
        <v>1</v>
      </c>
      <c r="D481" t="str">
        <f t="shared" si="56"/>
        <v>1611100.500</v>
      </c>
      <c r="E481" s="348" t="s">
        <v>8164</v>
      </c>
      <c r="F481" s="242"/>
      <c r="G481"/>
      <c r="H481" s="322">
        <v>11200</v>
      </c>
      <c r="I481" s="322">
        <v>11200</v>
      </c>
      <c r="J481" s="242">
        <v>7100</v>
      </c>
      <c r="K481" s="18" t="e">
        <f>INDEX(תקציב_2013,MATCH(D481,'תקציב 2015'!$D$3:$D$5960,0),8)</f>
        <v>#N/A</v>
      </c>
      <c r="L481" s="18" t="str">
        <f t="shared" si="57"/>
        <v>6</v>
      </c>
      <c r="M481" s="18" t="str">
        <f>INDEX(Chapter,MATCH(L481,Chapter!$A$1:$A$681,0),8)</f>
        <v>הנהלה כללית</v>
      </c>
      <c r="N481" s="18" t="str">
        <f t="shared" si="58"/>
        <v>61</v>
      </c>
      <c r="O481" s="18" t="str">
        <f>INDEX(Chapter,MATCH(N481,Chapter!$A$1:$A$681,0),8)</f>
        <v>מינהל כללי</v>
      </c>
      <c r="P481" s="18" t="str">
        <f t="shared" si="59"/>
        <v>611</v>
      </c>
      <c r="Q481" s="18" t="str">
        <f>INDEX(Chapter,MATCH(P481,Chapter!$A$1:$A$681,0),8)</f>
        <v>הנהלה ורשות</v>
      </c>
      <c r="R481" s="18" t="str">
        <f t="shared" si="60"/>
        <v>6111</v>
      </c>
      <c r="S481" s="18" t="str">
        <f>INDEX(Chapter,MATCH(R481,Chapter!$A$1:$A$681,0),8)</f>
        <v>ראש הרשות המקומית וסגניו</v>
      </c>
      <c r="T481" s="18"/>
      <c r="U481" s="18" t="str">
        <f t="shared" si="61"/>
        <v>5</v>
      </c>
      <c r="V481" s="18" t="str">
        <f>IF($L481&lt;"6",INDEX(Revenue_type,MATCH(U481*1,type!$A$118:$A$168,0),8),INDEX(Expenditure_type,MATCH(U481*1,type!$A$2:$A$117,0),8))</f>
        <v>הוצאות מנהליות</v>
      </c>
      <c r="W481" s="18" t="str">
        <f t="shared" si="62"/>
        <v>50</v>
      </c>
      <c r="X481" s="18" t="e">
        <f>IF($L481&lt;"6",INDEX(Revenue_type,MATCH(W481*1,type!$A$118:$A$168,0),8),INDEX(Expenditure_type,MATCH(W481*1,type!$A$2:$A$117,0),8))</f>
        <v>#N/A</v>
      </c>
      <c r="Y481" s="18" t="str">
        <f t="shared" si="63"/>
        <v>500</v>
      </c>
      <c r="Z481" s="18" t="e">
        <f>IF($L481&lt;"6",INDEX(Revenue_type,MATCH(Y481*1,type!$A$118:$A$168,0),8),INDEX(Expenditure_type,MATCH(Y481*1,type!$A$2:$A$117,0),8))</f>
        <v>#N/A</v>
      </c>
    </row>
    <row r="482" spans="1:26" ht="15.75" hidden="1" customHeight="1" outlineLevel="2">
      <c r="A482">
        <v>700</v>
      </c>
      <c r="B482" s="249">
        <v>611100</v>
      </c>
      <c r="C482">
        <v>1</v>
      </c>
      <c r="D482" t="str">
        <f t="shared" si="56"/>
        <v>1611100.700</v>
      </c>
      <c r="E482" s="348" t="s">
        <v>8165</v>
      </c>
      <c r="F482" s="242"/>
      <c r="G482"/>
      <c r="H482" s="322">
        <v>31000</v>
      </c>
      <c r="I482" s="322">
        <v>34000</v>
      </c>
      <c r="J482" s="242">
        <v>30500</v>
      </c>
      <c r="K482" s="18"/>
      <c r="L482" s="18" t="str">
        <f t="shared" si="57"/>
        <v>6</v>
      </c>
      <c r="M482" s="18" t="str">
        <f>INDEX(Chapter,MATCH(L482,Chapter!$A$1:$A$681,0),8)</f>
        <v>הנהלה כללית</v>
      </c>
      <c r="N482" s="18" t="str">
        <f t="shared" si="58"/>
        <v>61</v>
      </c>
      <c r="O482" s="18" t="str">
        <f>INDEX(Chapter,MATCH(N482,Chapter!$A$1:$A$681,0),8)</f>
        <v>מינהל כללי</v>
      </c>
      <c r="P482" s="18" t="str">
        <f t="shared" si="59"/>
        <v>611</v>
      </c>
      <c r="Q482" s="18" t="str">
        <f>INDEX(Chapter,MATCH(P482,Chapter!$A$1:$A$681,0),8)</f>
        <v>הנהלה ורשות</v>
      </c>
      <c r="R482" s="18" t="str">
        <f t="shared" si="60"/>
        <v>6111</v>
      </c>
      <c r="S482" s="18" t="str">
        <f>INDEX(Chapter,MATCH(R482,Chapter!$A$1:$A$681,0),8)</f>
        <v>ראש הרשות המקומית וסגניו</v>
      </c>
      <c r="T482" s="18"/>
      <c r="U482" s="18" t="str">
        <f t="shared" si="61"/>
        <v>7</v>
      </c>
      <c r="V482" s="18" t="str">
        <f>IF($L482&lt;"6",INDEX(Revenue_type,MATCH(U482*1,type!$A$118:$A$168,0),8),INDEX(Expenditure_type,MATCH(U482*1,type!$A$2:$A$117,0),8))</f>
        <v>הוצאות לפעולות</v>
      </c>
      <c r="W482" s="18" t="str">
        <f t="shared" si="62"/>
        <v>70</v>
      </c>
      <c r="X482" s="18" t="e">
        <f>IF($L482&lt;"6",INDEX(Revenue_type,MATCH(W482*1,type!$A$118:$A$168,0),8),INDEX(Expenditure_type,MATCH(W482*1,type!$A$2:$A$117,0),8))</f>
        <v>#N/A</v>
      </c>
      <c r="Y482" s="18" t="str">
        <f t="shared" si="63"/>
        <v>700</v>
      </c>
      <c r="Z482" s="18" t="e">
        <f>IF($L482&lt;"6",INDEX(Revenue_type,MATCH(Y482*1,type!$A$118:$A$168,0),8),INDEX(Expenditure_type,MATCH(Y482*1,type!$A$2:$A$117,0),8))</f>
        <v>#N/A</v>
      </c>
    </row>
    <row r="483" spans="1:26" ht="15.75" hidden="1" customHeight="1" outlineLevel="2">
      <c r="A483">
        <v>100</v>
      </c>
      <c r="B483" s="249">
        <v>611110</v>
      </c>
      <c r="C483">
        <v>1</v>
      </c>
      <c r="D483" t="str">
        <f t="shared" si="56"/>
        <v>1611110.100</v>
      </c>
      <c r="E483" s="348" t="s">
        <v>8166</v>
      </c>
      <c r="F483" s="242"/>
      <c r="G483"/>
      <c r="H483" s="322">
        <v>0</v>
      </c>
      <c r="I483" s="322">
        <v>0</v>
      </c>
      <c r="J483" s="242">
        <v>38200</v>
      </c>
      <c r="K483" s="18" t="e">
        <f>INDEX(תקציב_2013,MATCH(D483,'תקציב 2015'!$D$3:$D$5960,0),8)</f>
        <v>#N/A</v>
      </c>
      <c r="L483" s="18" t="str">
        <f t="shared" si="57"/>
        <v>6</v>
      </c>
      <c r="M483" s="18" t="str">
        <f>INDEX(Chapter,MATCH(L483,Chapter!$A$1:$A$681,0),8)</f>
        <v>הנהלה כללית</v>
      </c>
      <c r="N483" s="18" t="str">
        <f t="shared" si="58"/>
        <v>61</v>
      </c>
      <c r="O483" s="18" t="str">
        <f>INDEX(Chapter,MATCH(N483,Chapter!$A$1:$A$681,0),8)</f>
        <v>מינהל כללי</v>
      </c>
      <c r="P483" s="18" t="str">
        <f t="shared" si="59"/>
        <v>611</v>
      </c>
      <c r="Q483" s="18" t="str">
        <f>INDEX(Chapter,MATCH(P483,Chapter!$A$1:$A$681,0),8)</f>
        <v>הנהלה ורשות</v>
      </c>
      <c r="R483" s="18" t="str">
        <f t="shared" si="60"/>
        <v>6111</v>
      </c>
      <c r="S483" s="18" t="str">
        <f>INDEX(Chapter,MATCH(R483,Chapter!$A$1:$A$681,0),8)</f>
        <v>ראש הרשות המקומית וסגניו</v>
      </c>
      <c r="T483" s="18"/>
      <c r="U483" s="18" t="str">
        <f t="shared" si="61"/>
        <v>1</v>
      </c>
      <c r="V483" s="18" t="str">
        <f>IF($L483&lt;"6",INDEX(Revenue_type,MATCH(U483*1,type!$A$118:$A$168,0),8),INDEX(Expenditure_type,MATCH(U483*1,type!$A$2:$A$117,0),8))</f>
        <v>משכורות וש"ע לעובדים לפי תקן</v>
      </c>
      <c r="W483" s="18" t="str">
        <f t="shared" si="62"/>
        <v>10</v>
      </c>
      <c r="X483" s="18" t="e">
        <f>IF($L483&lt;"6",INDEX(Revenue_type,MATCH(W483*1,type!$A$118:$A$168,0),8),INDEX(Expenditure_type,MATCH(W483*1,type!$A$2:$A$117,0),8))</f>
        <v>#N/A</v>
      </c>
      <c r="Y483" s="18" t="str">
        <f t="shared" si="63"/>
        <v>100</v>
      </c>
      <c r="Z483" s="18" t="e">
        <f>IF($L483&lt;"6",INDEX(Revenue_type,MATCH(Y483*1,type!$A$118:$A$168,0),8),INDEX(Expenditure_type,MATCH(Y483*1,type!$A$2:$A$117,0),8))</f>
        <v>#N/A</v>
      </c>
    </row>
    <row r="484" spans="1:26" ht="15.75" hidden="1" customHeight="1" outlineLevel="2">
      <c r="A484">
        <v>120</v>
      </c>
      <c r="B484" s="249">
        <v>611110</v>
      </c>
      <c r="C484">
        <v>1</v>
      </c>
      <c r="D484" t="str">
        <f t="shared" si="56"/>
        <v>1611110.120</v>
      </c>
      <c r="E484" s="348" t="s">
        <v>8167</v>
      </c>
      <c r="F484" s="242"/>
      <c r="G484"/>
      <c r="H484" s="322">
        <v>0</v>
      </c>
      <c r="I484" s="322">
        <v>0</v>
      </c>
      <c r="J484" s="242">
        <v>6800</v>
      </c>
      <c r="K484" s="18" t="e">
        <f>INDEX(תקציב_2013,MATCH(D484,'תקציב 2015'!$D$3:$D$5960,0),8)</f>
        <v>#N/A</v>
      </c>
      <c r="L484" s="18" t="str">
        <f t="shared" si="57"/>
        <v>6</v>
      </c>
      <c r="M484" s="18" t="str">
        <f>INDEX(Chapter,MATCH(L484,Chapter!$A$1:$A$681,0),8)</f>
        <v>הנהלה כללית</v>
      </c>
      <c r="N484" s="18" t="str">
        <f t="shared" si="58"/>
        <v>61</v>
      </c>
      <c r="O484" s="18" t="str">
        <f>INDEX(Chapter,MATCH(N484,Chapter!$A$1:$A$681,0),8)</f>
        <v>מינהל כללי</v>
      </c>
      <c r="P484" s="18" t="str">
        <f t="shared" si="59"/>
        <v>611</v>
      </c>
      <c r="Q484" s="18" t="str">
        <f>INDEX(Chapter,MATCH(P484,Chapter!$A$1:$A$681,0),8)</f>
        <v>הנהלה ורשות</v>
      </c>
      <c r="R484" s="18" t="str">
        <f t="shared" si="60"/>
        <v>6111</v>
      </c>
      <c r="S484" s="18" t="str">
        <f>INDEX(Chapter,MATCH(R484,Chapter!$A$1:$A$681,0),8)</f>
        <v>ראש הרשות המקומית וסגניו</v>
      </c>
      <c r="T484" s="18"/>
      <c r="U484" s="18" t="str">
        <f t="shared" si="61"/>
        <v>1</v>
      </c>
      <c r="V484" s="18" t="str">
        <f>IF($L484&lt;"6",INDEX(Revenue_type,MATCH(U484*1,type!$A$118:$A$168,0),8),INDEX(Expenditure_type,MATCH(U484*1,type!$A$2:$A$117,0),8))</f>
        <v>משכורות וש"ע לעובדים לפי תקן</v>
      </c>
      <c r="W484" s="18" t="str">
        <f t="shared" si="62"/>
        <v>12</v>
      </c>
      <c r="X484" s="18" t="str">
        <f>IF($L484&lt;"6",INDEX(Revenue_type,MATCH(W484*1,type!$A$118:$A$168,0),8),INDEX(Expenditure_type,MATCH(W484*1,type!$A$2:$A$117,0),8))</f>
        <v>תוספות שאינן נכללות בשכר הקובע</v>
      </c>
      <c r="Y484" s="18" t="str">
        <f t="shared" si="63"/>
        <v>120</v>
      </c>
      <c r="Z484" s="18" t="e">
        <f>IF($L484&lt;"6",INDEX(Revenue_type,MATCH(Y484*1,type!$A$118:$A$168,0),8),INDEX(Expenditure_type,MATCH(Y484*1,type!$A$2:$A$117,0),8))</f>
        <v>#N/A</v>
      </c>
    </row>
    <row r="485" spans="1:26" ht="15.75" hidden="1" customHeight="1" outlineLevel="2">
      <c r="A485">
        <v>400</v>
      </c>
      <c r="B485" s="249">
        <v>611110</v>
      </c>
      <c r="C485">
        <v>1</v>
      </c>
      <c r="D485" t="str">
        <f t="shared" si="56"/>
        <v>1611110.400</v>
      </c>
      <c r="E485" s="348" t="s">
        <v>8168</v>
      </c>
      <c r="F485" s="242"/>
      <c r="G485"/>
      <c r="H485" s="322">
        <v>6500</v>
      </c>
      <c r="I485" s="322">
        <v>6500</v>
      </c>
      <c r="J485" s="242">
        <v>3800</v>
      </c>
      <c r="K485" s="18" t="e">
        <f>INDEX(תקציב_2013,MATCH(D485,'תקציב 2015'!$D$3:$D$5960,0),8)</f>
        <v>#N/A</v>
      </c>
      <c r="L485" s="18" t="str">
        <f t="shared" si="57"/>
        <v>6</v>
      </c>
      <c r="M485" s="18" t="str">
        <f>INDEX(Chapter,MATCH(L485,Chapter!$A$1:$A$681,0),8)</f>
        <v>הנהלה כללית</v>
      </c>
      <c r="N485" s="18" t="str">
        <f t="shared" si="58"/>
        <v>61</v>
      </c>
      <c r="O485" s="18" t="str">
        <f>INDEX(Chapter,MATCH(N485,Chapter!$A$1:$A$681,0),8)</f>
        <v>מינהל כללי</v>
      </c>
      <c r="P485" s="18" t="str">
        <f t="shared" si="59"/>
        <v>611</v>
      </c>
      <c r="Q485" s="18" t="str">
        <f>INDEX(Chapter,MATCH(P485,Chapter!$A$1:$A$681,0),8)</f>
        <v>הנהלה ורשות</v>
      </c>
      <c r="R485" s="18" t="str">
        <f t="shared" si="60"/>
        <v>6111</v>
      </c>
      <c r="S485" s="18" t="str">
        <f>INDEX(Chapter,MATCH(R485,Chapter!$A$1:$A$681,0),8)</f>
        <v>ראש הרשות המקומית וסגניו</v>
      </c>
      <c r="T485" s="18"/>
      <c r="U485" s="18" t="str">
        <f t="shared" si="61"/>
        <v>4</v>
      </c>
      <c r="V485" s="18" t="str">
        <f>IF($L485&lt;"6",INDEX(Revenue_type,MATCH(U485*1,type!$A$118:$A$168,0),8),INDEX(Expenditure_type,MATCH(U485*1,type!$A$2:$A$117,0),8))</f>
        <v>אחזקת בינים ואספקת ציוד</v>
      </c>
      <c r="W485" s="18" t="str">
        <f t="shared" si="62"/>
        <v>40</v>
      </c>
      <c r="X485" s="18" t="e">
        <f>IF($L485&lt;"6",INDEX(Revenue_type,MATCH(W485*1,type!$A$118:$A$168,0),8),INDEX(Expenditure_type,MATCH(W485*1,type!$A$2:$A$117,0),8))</f>
        <v>#N/A</v>
      </c>
      <c r="Y485" s="18" t="str">
        <f t="shared" si="63"/>
        <v>400</v>
      </c>
      <c r="Z485" s="18" t="e">
        <f>IF($L485&lt;"6",INDEX(Revenue_type,MATCH(Y485*1,type!$A$118:$A$168,0),8),INDEX(Expenditure_type,MATCH(Y485*1,type!$A$2:$A$117,0),8))</f>
        <v>#N/A</v>
      </c>
    </row>
    <row r="486" spans="1:26" ht="15.75" hidden="1" customHeight="1" outlineLevel="2">
      <c r="A486">
        <v>500</v>
      </c>
      <c r="B486" s="249">
        <v>611110</v>
      </c>
      <c r="C486">
        <v>1</v>
      </c>
      <c r="D486" t="str">
        <f t="shared" si="56"/>
        <v>1611110.500</v>
      </c>
      <c r="E486" s="352" t="s">
        <v>8169</v>
      </c>
      <c r="F486" s="242"/>
      <c r="G486"/>
      <c r="H486" s="322">
        <v>28000</v>
      </c>
      <c r="I486" s="322">
        <v>28000</v>
      </c>
      <c r="J486" s="242">
        <v>0</v>
      </c>
      <c r="K486" s="18" t="e">
        <f>INDEX(תקציב_2013,MATCH(D486,'תקציב 2015'!$D$3:$D$5960,0),8)</f>
        <v>#N/A</v>
      </c>
      <c r="L486" s="18" t="str">
        <f t="shared" si="57"/>
        <v>6</v>
      </c>
      <c r="M486" s="18" t="str">
        <f>INDEX(Chapter,MATCH(L486,Chapter!$A$1:$A$681,0),8)</f>
        <v>הנהלה כללית</v>
      </c>
      <c r="N486" s="18" t="str">
        <f t="shared" si="58"/>
        <v>61</v>
      </c>
      <c r="O486" s="18" t="str">
        <f>INDEX(Chapter,MATCH(N486,Chapter!$A$1:$A$681,0),8)</f>
        <v>מינהל כללי</v>
      </c>
      <c r="P486" s="18" t="str">
        <f t="shared" si="59"/>
        <v>611</v>
      </c>
      <c r="Q486" s="18" t="str">
        <f>INDEX(Chapter,MATCH(P486,Chapter!$A$1:$A$681,0),8)</f>
        <v>הנהלה ורשות</v>
      </c>
      <c r="R486" s="18" t="str">
        <f t="shared" si="60"/>
        <v>6111</v>
      </c>
      <c r="S486" s="18" t="str">
        <f>INDEX(Chapter,MATCH(R486,Chapter!$A$1:$A$681,0),8)</f>
        <v>ראש הרשות המקומית וסגניו</v>
      </c>
      <c r="T486" s="18"/>
      <c r="U486" s="18" t="str">
        <f t="shared" si="61"/>
        <v>5</v>
      </c>
      <c r="V486" s="18" t="str">
        <f>IF($L486&lt;"6",INDEX(Revenue_type,MATCH(U486*1,type!$A$118:$A$168,0),8),INDEX(Expenditure_type,MATCH(U486*1,type!$A$2:$A$117,0),8))</f>
        <v>הוצאות מנהליות</v>
      </c>
      <c r="W486" s="18" t="str">
        <f t="shared" si="62"/>
        <v>50</v>
      </c>
      <c r="X486" s="18" t="e">
        <f>IF($L486&lt;"6",INDEX(Revenue_type,MATCH(W486*1,type!$A$118:$A$168,0),8),INDEX(Expenditure_type,MATCH(W486*1,type!$A$2:$A$117,0),8))</f>
        <v>#N/A</v>
      </c>
      <c r="Y486" s="18" t="str">
        <f t="shared" si="63"/>
        <v>500</v>
      </c>
      <c r="Z486" s="18" t="e">
        <f>IF($L486&lt;"6",INDEX(Revenue_type,MATCH(Y486*1,type!$A$118:$A$168,0),8),INDEX(Expenditure_type,MATCH(Y486*1,type!$A$2:$A$117,0),8))</f>
        <v>#N/A</v>
      </c>
    </row>
    <row r="487" spans="1:26" ht="15.75" hidden="1" customHeight="1" outlineLevel="2">
      <c r="A487">
        <v>500</v>
      </c>
      <c r="B487" s="249">
        <v>611110</v>
      </c>
      <c r="C487">
        <v>1</v>
      </c>
      <c r="D487" t="str">
        <f t="shared" si="56"/>
        <v>1611110.500</v>
      </c>
      <c r="E487" s="352" t="s">
        <v>8170</v>
      </c>
      <c r="F487" s="242"/>
      <c r="G487"/>
      <c r="H487" s="322">
        <v>3000</v>
      </c>
      <c r="I487" s="322">
        <v>3000</v>
      </c>
      <c r="J487" s="242">
        <v>0</v>
      </c>
      <c r="K487" s="18" t="e">
        <f>INDEX(תקציב_2013,MATCH(D487,'תקציב 2015'!$D$3:$D$5960,0),8)</f>
        <v>#N/A</v>
      </c>
      <c r="L487" s="18" t="str">
        <f t="shared" si="57"/>
        <v>6</v>
      </c>
      <c r="M487" s="18" t="str">
        <f>INDEX(Chapter,MATCH(L487,Chapter!$A$1:$A$681,0),8)</f>
        <v>הנהלה כללית</v>
      </c>
      <c r="N487" s="18" t="str">
        <f t="shared" si="58"/>
        <v>61</v>
      </c>
      <c r="O487" s="18" t="str">
        <f>INDEX(Chapter,MATCH(N487,Chapter!$A$1:$A$681,0),8)</f>
        <v>מינהל כללי</v>
      </c>
      <c r="P487" s="18" t="str">
        <f t="shared" si="59"/>
        <v>611</v>
      </c>
      <c r="Q487" s="18" t="str">
        <f>INDEX(Chapter,MATCH(P487,Chapter!$A$1:$A$681,0),8)</f>
        <v>הנהלה ורשות</v>
      </c>
      <c r="R487" s="18" t="str">
        <f t="shared" si="60"/>
        <v>6111</v>
      </c>
      <c r="S487" s="18" t="str">
        <f>INDEX(Chapter,MATCH(R487,Chapter!$A$1:$A$681,0),8)</f>
        <v>ראש הרשות המקומית וסגניו</v>
      </c>
      <c r="T487" s="18"/>
      <c r="U487" s="18" t="str">
        <f t="shared" si="61"/>
        <v>5</v>
      </c>
      <c r="V487" s="18" t="str">
        <f>IF($L487&lt;"6",INDEX(Revenue_type,MATCH(U487*1,type!$A$118:$A$168,0),8),INDEX(Expenditure_type,MATCH(U487*1,type!$A$2:$A$117,0),8))</f>
        <v>הוצאות מנהליות</v>
      </c>
      <c r="W487" s="18" t="str">
        <f t="shared" si="62"/>
        <v>50</v>
      </c>
      <c r="X487" s="18" t="e">
        <f>IF($L487&lt;"6",INDEX(Revenue_type,MATCH(W487*1,type!$A$118:$A$168,0),8),INDEX(Expenditure_type,MATCH(W487*1,type!$A$2:$A$117,0),8))</f>
        <v>#N/A</v>
      </c>
      <c r="Y487" s="18" t="str">
        <f t="shared" si="63"/>
        <v>500</v>
      </c>
      <c r="Z487" s="18" t="e">
        <f>IF($L487&lt;"6",INDEX(Revenue_type,MATCH(Y487*1,type!$A$118:$A$168,0),8),INDEX(Expenditure_type,MATCH(Y487*1,type!$A$2:$A$117,0),8))</f>
        <v>#N/A</v>
      </c>
    </row>
    <row r="488" spans="1:26" ht="15.75" hidden="1" customHeight="1" outlineLevel="2">
      <c r="A488">
        <v>700</v>
      </c>
      <c r="B488" s="249">
        <v>611110</v>
      </c>
      <c r="C488">
        <v>1</v>
      </c>
      <c r="D488" t="str">
        <f t="shared" si="56"/>
        <v>1611110.700</v>
      </c>
      <c r="E488" s="352" t="s">
        <v>8171</v>
      </c>
      <c r="F488" s="242"/>
      <c r="G488"/>
      <c r="H488" s="322">
        <v>179100</v>
      </c>
      <c r="I488" s="322">
        <v>185500</v>
      </c>
      <c r="J488" s="242">
        <v>102100</v>
      </c>
      <c r="K488" s="18" t="e">
        <f>INDEX(תקציב_2013,MATCH(D488,'תקציב 2015'!$D$3:$D$5960,0),8)</f>
        <v>#N/A</v>
      </c>
      <c r="L488" s="18" t="str">
        <f t="shared" si="57"/>
        <v>6</v>
      </c>
      <c r="M488" s="18" t="str">
        <f>INDEX(Chapter,MATCH(L488,Chapter!$A$1:$A$681,0),8)</f>
        <v>הנהלה כללית</v>
      </c>
      <c r="N488" s="18" t="str">
        <f t="shared" si="58"/>
        <v>61</v>
      </c>
      <c r="O488" s="18" t="str">
        <f>INDEX(Chapter,MATCH(N488,Chapter!$A$1:$A$681,0),8)</f>
        <v>מינהל כללי</v>
      </c>
      <c r="P488" s="18" t="str">
        <f t="shared" si="59"/>
        <v>611</v>
      </c>
      <c r="Q488" s="18" t="str">
        <f>INDEX(Chapter,MATCH(P488,Chapter!$A$1:$A$681,0),8)</f>
        <v>הנהלה ורשות</v>
      </c>
      <c r="R488" s="18" t="str">
        <f t="shared" si="60"/>
        <v>6111</v>
      </c>
      <c r="S488" s="18" t="str">
        <f>INDEX(Chapter,MATCH(R488,Chapter!$A$1:$A$681,0),8)</f>
        <v>ראש הרשות המקומית וסגניו</v>
      </c>
      <c r="T488" s="18"/>
      <c r="U488" s="18" t="str">
        <f t="shared" si="61"/>
        <v>7</v>
      </c>
      <c r="V488" s="18" t="str">
        <f>IF($L488&lt;"6",INDEX(Revenue_type,MATCH(U488*1,type!$A$118:$A$168,0),8),INDEX(Expenditure_type,MATCH(U488*1,type!$A$2:$A$117,0),8))</f>
        <v>הוצאות לפעולות</v>
      </c>
      <c r="W488" s="18" t="str">
        <f t="shared" si="62"/>
        <v>70</v>
      </c>
      <c r="X488" s="18" t="e">
        <f>IF($L488&lt;"6",INDEX(Revenue_type,MATCH(W488*1,type!$A$118:$A$168,0),8),INDEX(Expenditure_type,MATCH(W488*1,type!$A$2:$A$117,0),8))</f>
        <v>#N/A</v>
      </c>
      <c r="Y488" s="18" t="str">
        <f t="shared" si="63"/>
        <v>700</v>
      </c>
      <c r="Z488" s="18" t="e">
        <f>IF($L488&lt;"6",INDEX(Revenue_type,MATCH(Y488*1,type!$A$118:$A$168,0),8),INDEX(Expenditure_type,MATCH(Y488*1,type!$A$2:$A$117,0),8))</f>
        <v>#N/A</v>
      </c>
    </row>
    <row r="489" spans="1:26" ht="15.75" hidden="1" customHeight="1" outlineLevel="2">
      <c r="A489">
        <v>100</v>
      </c>
      <c r="B489" s="249">
        <v>612100</v>
      </c>
      <c r="C489">
        <v>1</v>
      </c>
      <c r="D489" t="str">
        <f t="shared" si="56"/>
        <v>1612100.100</v>
      </c>
      <c r="E489" s="352" t="s">
        <v>8172</v>
      </c>
      <c r="F489" s="242"/>
      <c r="G489"/>
      <c r="H489" s="322">
        <v>2592000</v>
      </c>
      <c r="I489" s="322">
        <v>2564000</v>
      </c>
      <c r="J489" s="242">
        <v>2458500</v>
      </c>
      <c r="K489" s="18" t="e">
        <f>INDEX(תקציב_2013,MATCH(D489,'תקציב 2015'!$D$3:$D$5960,0),8)</f>
        <v>#N/A</v>
      </c>
      <c r="L489" s="18" t="str">
        <f t="shared" si="57"/>
        <v>6</v>
      </c>
      <c r="M489" s="18" t="str">
        <f>INDEX(Chapter,MATCH(L489,Chapter!$A$1:$A$681,0),8)</f>
        <v>הנהלה כללית</v>
      </c>
      <c r="N489" s="18" t="str">
        <f t="shared" si="58"/>
        <v>61</v>
      </c>
      <c r="O489" s="18" t="str">
        <f>INDEX(Chapter,MATCH(N489,Chapter!$A$1:$A$681,0),8)</f>
        <v>מינהל כללי</v>
      </c>
      <c r="P489" s="18" t="str">
        <f t="shared" si="59"/>
        <v>612</v>
      </c>
      <c r="Q489" s="18" t="str">
        <f>INDEX(Chapter,MATCH(P489,Chapter!$A$1:$A$681,0),8)</f>
        <v>מבקר הרשות</v>
      </c>
      <c r="R489" s="18" t="str">
        <f t="shared" si="60"/>
        <v>6121</v>
      </c>
      <c r="S489" s="18" t="e">
        <f>INDEX(Chapter,MATCH(R489,Chapter!$A$1:$A$681,0),8)</f>
        <v>#N/A</v>
      </c>
      <c r="T489" s="18"/>
      <c r="U489" s="18" t="str">
        <f t="shared" si="61"/>
        <v>1</v>
      </c>
      <c r="V489" s="18" t="str">
        <f>IF($L489&lt;"6",INDEX(Revenue_type,MATCH(U489*1,type!$A$118:$A$168,0),8),INDEX(Expenditure_type,MATCH(U489*1,type!$A$2:$A$117,0),8))</f>
        <v>משכורות וש"ע לעובדים לפי תקן</v>
      </c>
      <c r="W489" s="18" t="str">
        <f t="shared" si="62"/>
        <v>10</v>
      </c>
      <c r="X489" s="18" t="e">
        <f>IF($L489&lt;"6",INDEX(Revenue_type,MATCH(W489*1,type!$A$118:$A$168,0),8),INDEX(Expenditure_type,MATCH(W489*1,type!$A$2:$A$117,0),8))</f>
        <v>#N/A</v>
      </c>
      <c r="Y489" s="18" t="str">
        <f t="shared" si="63"/>
        <v>100</v>
      </c>
      <c r="Z489" s="18" t="e">
        <f>IF($L489&lt;"6",INDEX(Revenue_type,MATCH(Y489*1,type!$A$118:$A$168,0),8),INDEX(Expenditure_type,MATCH(Y489*1,type!$A$2:$A$117,0),8))</f>
        <v>#N/A</v>
      </c>
    </row>
    <row r="490" spans="1:26" ht="15.75" hidden="1" customHeight="1" outlineLevel="2">
      <c r="A490">
        <v>120</v>
      </c>
      <c r="B490" s="249">
        <v>612100</v>
      </c>
      <c r="C490">
        <v>1</v>
      </c>
      <c r="D490" t="str">
        <f t="shared" si="56"/>
        <v>1612100.120</v>
      </c>
      <c r="E490" s="352" t="s">
        <v>8173</v>
      </c>
      <c r="F490" s="242"/>
      <c r="G490"/>
      <c r="H490" s="322">
        <v>8000</v>
      </c>
      <c r="I490" s="322">
        <v>8000</v>
      </c>
      <c r="J490" s="242">
        <v>2900</v>
      </c>
      <c r="K490" s="18" t="e">
        <f>INDEX(תקציב_2013,MATCH(D490,'תקציב 2015'!$D$3:$D$5960,0),8)</f>
        <v>#N/A</v>
      </c>
      <c r="L490" s="18" t="str">
        <f t="shared" si="57"/>
        <v>6</v>
      </c>
      <c r="M490" s="18" t="str">
        <f>INDEX(Chapter,MATCH(L490,Chapter!$A$1:$A$681,0),8)</f>
        <v>הנהלה כללית</v>
      </c>
      <c r="N490" s="18" t="str">
        <f t="shared" si="58"/>
        <v>61</v>
      </c>
      <c r="O490" s="18" t="str">
        <f>INDEX(Chapter,MATCH(N490,Chapter!$A$1:$A$681,0),8)</f>
        <v>מינהל כללי</v>
      </c>
      <c r="P490" s="18" t="str">
        <f t="shared" si="59"/>
        <v>612</v>
      </c>
      <c r="Q490" s="18" t="str">
        <f>INDEX(Chapter,MATCH(P490,Chapter!$A$1:$A$681,0),8)</f>
        <v>מבקר הרשות</v>
      </c>
      <c r="R490" s="18" t="str">
        <f t="shared" si="60"/>
        <v>6121</v>
      </c>
      <c r="S490" s="18" t="e">
        <f>INDEX(Chapter,MATCH(R490,Chapter!$A$1:$A$681,0),8)</f>
        <v>#N/A</v>
      </c>
      <c r="T490" s="18"/>
      <c r="U490" s="18" t="str">
        <f t="shared" si="61"/>
        <v>1</v>
      </c>
      <c r="V490" s="18" t="str">
        <f>IF($L490&lt;"6",INDEX(Revenue_type,MATCH(U490*1,type!$A$118:$A$168,0),8),INDEX(Expenditure_type,MATCH(U490*1,type!$A$2:$A$117,0),8))</f>
        <v>משכורות וש"ע לעובדים לפי תקן</v>
      </c>
      <c r="W490" s="18" t="str">
        <f t="shared" si="62"/>
        <v>12</v>
      </c>
      <c r="X490" s="18" t="str">
        <f>IF($L490&lt;"6",INDEX(Revenue_type,MATCH(W490*1,type!$A$118:$A$168,0),8),INDEX(Expenditure_type,MATCH(W490*1,type!$A$2:$A$117,0),8))</f>
        <v>תוספות שאינן נכללות בשכר הקובע</v>
      </c>
      <c r="Y490" s="18" t="str">
        <f t="shared" si="63"/>
        <v>120</v>
      </c>
      <c r="Z490" s="18" t="e">
        <f>IF($L490&lt;"6",INDEX(Revenue_type,MATCH(Y490*1,type!$A$118:$A$168,0),8),INDEX(Expenditure_type,MATCH(Y490*1,type!$A$2:$A$117,0),8))</f>
        <v>#N/A</v>
      </c>
    </row>
    <row r="491" spans="1:26" ht="15.75" hidden="1" customHeight="1" outlineLevel="2">
      <c r="A491">
        <v>400</v>
      </c>
      <c r="B491" s="249">
        <v>612100</v>
      </c>
      <c r="C491">
        <v>1</v>
      </c>
      <c r="D491" t="str">
        <f t="shared" si="56"/>
        <v>1612100.400</v>
      </c>
      <c r="E491" s="352" t="s">
        <v>8174</v>
      </c>
      <c r="F491" s="242"/>
      <c r="G491"/>
      <c r="H491" s="322">
        <v>16600</v>
      </c>
      <c r="I491" s="322">
        <v>16600</v>
      </c>
      <c r="J491" s="242">
        <v>13400</v>
      </c>
      <c r="K491" s="18"/>
      <c r="L491" s="18" t="str">
        <f t="shared" si="57"/>
        <v>6</v>
      </c>
      <c r="M491" s="18" t="str">
        <f>INDEX(Chapter,MATCH(L491,Chapter!$A$1:$A$681,0),8)</f>
        <v>הנהלה כללית</v>
      </c>
      <c r="N491" s="18" t="str">
        <f t="shared" si="58"/>
        <v>61</v>
      </c>
      <c r="O491" s="18" t="str">
        <f>INDEX(Chapter,MATCH(N491,Chapter!$A$1:$A$681,0),8)</f>
        <v>מינהל כללי</v>
      </c>
      <c r="P491" s="18" t="str">
        <f t="shared" si="59"/>
        <v>612</v>
      </c>
      <c r="Q491" s="18" t="str">
        <f>INDEX(Chapter,MATCH(P491,Chapter!$A$1:$A$681,0),8)</f>
        <v>מבקר הרשות</v>
      </c>
      <c r="R491" s="18" t="str">
        <f t="shared" si="60"/>
        <v>6121</v>
      </c>
      <c r="S491" s="18" t="e">
        <f>INDEX(Chapter,MATCH(R491,Chapter!$A$1:$A$681,0),8)</f>
        <v>#N/A</v>
      </c>
      <c r="T491" s="18"/>
      <c r="U491" s="18" t="str">
        <f t="shared" si="61"/>
        <v>4</v>
      </c>
      <c r="V491" s="18" t="str">
        <f>IF($L491&lt;"6",INDEX(Revenue_type,MATCH(U491*1,type!$A$118:$A$168,0),8),INDEX(Expenditure_type,MATCH(U491*1,type!$A$2:$A$117,0),8))</f>
        <v>אחזקת בינים ואספקת ציוד</v>
      </c>
      <c r="W491" s="18" t="str">
        <f t="shared" si="62"/>
        <v>40</v>
      </c>
      <c r="X491" s="18" t="e">
        <f>IF($L491&lt;"6",INDEX(Revenue_type,MATCH(W491*1,type!$A$118:$A$168,0),8),INDEX(Expenditure_type,MATCH(W491*1,type!$A$2:$A$117,0),8))</f>
        <v>#N/A</v>
      </c>
      <c r="Y491" s="18" t="str">
        <f t="shared" si="63"/>
        <v>400</v>
      </c>
      <c r="Z491" s="18" t="e">
        <f>IF($L491&lt;"6",INDEX(Revenue_type,MATCH(Y491*1,type!$A$118:$A$168,0),8),INDEX(Expenditure_type,MATCH(Y491*1,type!$A$2:$A$117,0),8))</f>
        <v>#N/A</v>
      </c>
    </row>
    <row r="492" spans="1:26" ht="15.75" hidden="1" customHeight="1" outlineLevel="2">
      <c r="A492">
        <v>500</v>
      </c>
      <c r="B492" s="249">
        <v>612100</v>
      </c>
      <c r="C492">
        <v>1</v>
      </c>
      <c r="D492" t="str">
        <f t="shared" si="56"/>
        <v>1612100.500</v>
      </c>
      <c r="E492" s="352" t="s">
        <v>8175</v>
      </c>
      <c r="F492" s="242"/>
      <c r="G492"/>
      <c r="H492" s="322">
        <v>37800</v>
      </c>
      <c r="I492" s="322">
        <v>37800</v>
      </c>
      <c r="J492" s="242">
        <v>34600</v>
      </c>
      <c r="K492" s="18" t="e">
        <f>INDEX(תקציב_2013,MATCH(D492,'תקציב 2015'!$D$3:$D$5960,0),8)</f>
        <v>#N/A</v>
      </c>
      <c r="L492" s="18" t="str">
        <f t="shared" si="57"/>
        <v>6</v>
      </c>
      <c r="M492" s="18" t="str">
        <f>INDEX(Chapter,MATCH(L492,Chapter!$A$1:$A$681,0),8)</f>
        <v>הנהלה כללית</v>
      </c>
      <c r="N492" s="18" t="str">
        <f t="shared" si="58"/>
        <v>61</v>
      </c>
      <c r="O492" s="18" t="str">
        <f>INDEX(Chapter,MATCH(N492,Chapter!$A$1:$A$681,0),8)</f>
        <v>מינהל כללי</v>
      </c>
      <c r="P492" s="18" t="str">
        <f t="shared" si="59"/>
        <v>612</v>
      </c>
      <c r="Q492" s="18" t="str">
        <f>INDEX(Chapter,MATCH(P492,Chapter!$A$1:$A$681,0),8)</f>
        <v>מבקר הרשות</v>
      </c>
      <c r="R492" s="18" t="str">
        <f t="shared" si="60"/>
        <v>6121</v>
      </c>
      <c r="S492" s="18" t="e">
        <f>INDEX(Chapter,MATCH(R492,Chapter!$A$1:$A$681,0),8)</f>
        <v>#N/A</v>
      </c>
      <c r="T492" s="18"/>
      <c r="U492" s="18" t="str">
        <f t="shared" si="61"/>
        <v>5</v>
      </c>
      <c r="V492" s="18" t="str">
        <f>IF($L492&lt;"6",INDEX(Revenue_type,MATCH(U492*1,type!$A$118:$A$168,0),8),INDEX(Expenditure_type,MATCH(U492*1,type!$A$2:$A$117,0),8))</f>
        <v>הוצאות מנהליות</v>
      </c>
      <c r="W492" s="18" t="str">
        <f t="shared" si="62"/>
        <v>50</v>
      </c>
      <c r="X492" s="18" t="e">
        <f>IF($L492&lt;"6",INDEX(Revenue_type,MATCH(W492*1,type!$A$118:$A$168,0),8),INDEX(Expenditure_type,MATCH(W492*1,type!$A$2:$A$117,0),8))</f>
        <v>#N/A</v>
      </c>
      <c r="Y492" s="18" t="str">
        <f t="shared" si="63"/>
        <v>500</v>
      </c>
      <c r="Z492" s="18" t="e">
        <f>IF($L492&lt;"6",INDEX(Revenue_type,MATCH(Y492*1,type!$A$118:$A$168,0),8),INDEX(Expenditure_type,MATCH(Y492*1,type!$A$2:$A$117,0),8))</f>
        <v>#N/A</v>
      </c>
    </row>
    <row r="493" spans="1:26" ht="15.75" hidden="1" customHeight="1" outlineLevel="2">
      <c r="A493">
        <v>500</v>
      </c>
      <c r="B493" s="249">
        <v>612100</v>
      </c>
      <c r="C493">
        <v>1</v>
      </c>
      <c r="D493" t="str">
        <f t="shared" si="56"/>
        <v>1612100.500</v>
      </c>
      <c r="E493" s="352" t="s">
        <v>8176</v>
      </c>
      <c r="F493" s="242"/>
      <c r="G493"/>
      <c r="H493" s="322">
        <v>3200</v>
      </c>
      <c r="I493" s="322">
        <v>3200</v>
      </c>
      <c r="J493" s="242">
        <v>1200</v>
      </c>
      <c r="K493" s="18" t="e">
        <f>INDEX(תקציב_2013,MATCH(D493,'תקציב 2015'!$D$3:$D$5960,0),8)</f>
        <v>#N/A</v>
      </c>
      <c r="L493" s="18" t="str">
        <f t="shared" si="57"/>
        <v>6</v>
      </c>
      <c r="M493" s="18" t="str">
        <f>INDEX(Chapter,MATCH(L493,Chapter!$A$1:$A$681,0),8)</f>
        <v>הנהלה כללית</v>
      </c>
      <c r="N493" s="18" t="str">
        <f t="shared" si="58"/>
        <v>61</v>
      </c>
      <c r="O493" s="18" t="str">
        <f>INDEX(Chapter,MATCH(N493,Chapter!$A$1:$A$681,0),8)</f>
        <v>מינהל כללי</v>
      </c>
      <c r="P493" s="18" t="str">
        <f t="shared" si="59"/>
        <v>612</v>
      </c>
      <c r="Q493" s="18" t="str">
        <f>INDEX(Chapter,MATCH(P493,Chapter!$A$1:$A$681,0),8)</f>
        <v>מבקר הרשות</v>
      </c>
      <c r="R493" s="18" t="str">
        <f t="shared" si="60"/>
        <v>6121</v>
      </c>
      <c r="S493" s="18" t="e">
        <f>INDEX(Chapter,MATCH(R493,Chapter!$A$1:$A$681,0),8)</f>
        <v>#N/A</v>
      </c>
      <c r="T493" s="18"/>
      <c r="U493" s="18" t="str">
        <f t="shared" si="61"/>
        <v>5</v>
      </c>
      <c r="V493" s="18" t="str">
        <f>IF($L493&lt;"6",INDEX(Revenue_type,MATCH(U493*1,type!$A$118:$A$168,0),8),INDEX(Expenditure_type,MATCH(U493*1,type!$A$2:$A$117,0),8))</f>
        <v>הוצאות מנהליות</v>
      </c>
      <c r="W493" s="18" t="str">
        <f t="shared" si="62"/>
        <v>50</v>
      </c>
      <c r="X493" s="18" t="e">
        <f>IF($L493&lt;"6",INDEX(Revenue_type,MATCH(W493*1,type!$A$118:$A$168,0),8),INDEX(Expenditure_type,MATCH(W493*1,type!$A$2:$A$117,0),8))</f>
        <v>#N/A</v>
      </c>
      <c r="Y493" s="18" t="str">
        <f t="shared" si="63"/>
        <v>500</v>
      </c>
      <c r="Z493" s="18" t="e">
        <f>IF($L493&lt;"6",INDEX(Revenue_type,MATCH(Y493*1,type!$A$118:$A$168,0),8),INDEX(Expenditure_type,MATCH(Y493*1,type!$A$2:$A$117,0),8))</f>
        <v>#N/A</v>
      </c>
    </row>
    <row r="494" spans="1:26" ht="15.75" hidden="1" customHeight="1" outlineLevel="2">
      <c r="A494">
        <v>700</v>
      </c>
      <c r="B494" s="249">
        <v>612100</v>
      </c>
      <c r="C494">
        <v>1</v>
      </c>
      <c r="D494" t="str">
        <f t="shared" si="56"/>
        <v>1612100.700</v>
      </c>
      <c r="E494" s="352" t="s">
        <v>8177</v>
      </c>
      <c r="F494" s="242"/>
      <c r="G494"/>
      <c r="H494" s="322">
        <v>15700</v>
      </c>
      <c r="I494" s="322">
        <v>17900</v>
      </c>
      <c r="J494" s="242">
        <v>6200</v>
      </c>
      <c r="K494" s="18" t="e">
        <f>INDEX(תקציב_2013,MATCH(D494,'תקציב 2015'!$D$3:$D$5960,0),8)</f>
        <v>#N/A</v>
      </c>
      <c r="L494" s="18" t="str">
        <f t="shared" si="57"/>
        <v>6</v>
      </c>
      <c r="M494" s="18" t="str">
        <f>INDEX(Chapter,MATCH(L494,Chapter!$A$1:$A$681,0),8)</f>
        <v>הנהלה כללית</v>
      </c>
      <c r="N494" s="18" t="str">
        <f t="shared" si="58"/>
        <v>61</v>
      </c>
      <c r="O494" s="18" t="str">
        <f>INDEX(Chapter,MATCH(N494,Chapter!$A$1:$A$681,0),8)</f>
        <v>מינהל כללי</v>
      </c>
      <c r="P494" s="18" t="str">
        <f t="shared" si="59"/>
        <v>612</v>
      </c>
      <c r="Q494" s="18" t="str">
        <f>INDEX(Chapter,MATCH(P494,Chapter!$A$1:$A$681,0),8)</f>
        <v>מבקר הרשות</v>
      </c>
      <c r="R494" s="18" t="str">
        <f t="shared" si="60"/>
        <v>6121</v>
      </c>
      <c r="S494" s="18" t="e">
        <f>INDEX(Chapter,MATCH(R494,Chapter!$A$1:$A$681,0),8)</f>
        <v>#N/A</v>
      </c>
      <c r="T494" s="18"/>
      <c r="U494" s="18" t="str">
        <f t="shared" si="61"/>
        <v>7</v>
      </c>
      <c r="V494" s="18" t="str">
        <f>IF($L494&lt;"6",INDEX(Revenue_type,MATCH(U494*1,type!$A$118:$A$168,0),8),INDEX(Expenditure_type,MATCH(U494*1,type!$A$2:$A$117,0),8))</f>
        <v>הוצאות לפעולות</v>
      </c>
      <c r="W494" s="18" t="str">
        <f t="shared" si="62"/>
        <v>70</v>
      </c>
      <c r="X494" s="18" t="e">
        <f>IF($L494&lt;"6",INDEX(Revenue_type,MATCH(W494*1,type!$A$118:$A$168,0),8),INDEX(Expenditure_type,MATCH(W494*1,type!$A$2:$A$117,0),8))</f>
        <v>#N/A</v>
      </c>
      <c r="Y494" s="18" t="str">
        <f t="shared" si="63"/>
        <v>700</v>
      </c>
      <c r="Z494" s="18" t="e">
        <f>IF($L494&lt;"6",INDEX(Revenue_type,MATCH(Y494*1,type!$A$118:$A$168,0),8),INDEX(Expenditure_type,MATCH(Y494*1,type!$A$2:$A$117,0),8))</f>
        <v>#N/A</v>
      </c>
    </row>
    <row r="495" spans="1:26" ht="15.75" hidden="1" customHeight="1" outlineLevel="2">
      <c r="A495">
        <v>100</v>
      </c>
      <c r="B495" s="249">
        <v>614000</v>
      </c>
      <c r="C495">
        <v>1</v>
      </c>
      <c r="D495" t="str">
        <f t="shared" si="56"/>
        <v>1614000.100</v>
      </c>
      <c r="E495" s="352" t="s">
        <v>8178</v>
      </c>
      <c r="F495" s="242"/>
      <c r="G495"/>
      <c r="H495" s="322">
        <v>2225200</v>
      </c>
      <c r="I495" s="322">
        <v>2198200</v>
      </c>
      <c r="J495" s="242">
        <v>2018600</v>
      </c>
      <c r="K495" s="18" t="e">
        <f>INDEX(תקציב_2013,MATCH(D495,'תקציב 2015'!$D$3:$D$5960,0),8)</f>
        <v>#N/A</v>
      </c>
      <c r="L495" s="18" t="str">
        <f t="shared" si="57"/>
        <v>6</v>
      </c>
      <c r="M495" s="18" t="str">
        <f>INDEX(Chapter,MATCH(L495,Chapter!$A$1:$A$681,0),8)</f>
        <v>הנהלה כללית</v>
      </c>
      <c r="N495" s="18" t="str">
        <f t="shared" si="58"/>
        <v>61</v>
      </c>
      <c r="O495" s="18" t="str">
        <f>INDEX(Chapter,MATCH(N495,Chapter!$A$1:$A$681,0),8)</f>
        <v>מינהל כללי</v>
      </c>
      <c r="P495" s="18" t="str">
        <f t="shared" si="59"/>
        <v>614</v>
      </c>
      <c r="Q495" s="18" t="str">
        <f>INDEX(Chapter,MATCH(P495,Chapter!$A$1:$A$681,0),8)</f>
        <v>הסברה ויחסי ציבור</v>
      </c>
      <c r="R495" s="18" t="str">
        <f t="shared" si="60"/>
        <v>6140</v>
      </c>
      <c r="S495" s="18" t="e">
        <f>INDEX(Chapter,MATCH(R495,Chapter!$A$1:$A$681,0),8)</f>
        <v>#N/A</v>
      </c>
      <c r="T495" s="18"/>
      <c r="U495" s="18" t="str">
        <f t="shared" si="61"/>
        <v>1</v>
      </c>
      <c r="V495" s="18" t="str">
        <f>IF($L495&lt;"6",INDEX(Revenue_type,MATCH(U495*1,type!$A$118:$A$168,0),8),INDEX(Expenditure_type,MATCH(U495*1,type!$A$2:$A$117,0),8))</f>
        <v>משכורות וש"ע לעובדים לפי תקן</v>
      </c>
      <c r="W495" s="18" t="str">
        <f t="shared" si="62"/>
        <v>10</v>
      </c>
      <c r="X495" s="18" t="e">
        <f>IF($L495&lt;"6",INDEX(Revenue_type,MATCH(W495*1,type!$A$118:$A$168,0),8),INDEX(Expenditure_type,MATCH(W495*1,type!$A$2:$A$117,0),8))</f>
        <v>#N/A</v>
      </c>
      <c r="Y495" s="18" t="str">
        <f t="shared" si="63"/>
        <v>100</v>
      </c>
      <c r="Z495" s="18" t="e">
        <f>IF($L495&lt;"6",INDEX(Revenue_type,MATCH(Y495*1,type!$A$118:$A$168,0),8),INDEX(Expenditure_type,MATCH(Y495*1,type!$A$2:$A$117,0),8))</f>
        <v>#N/A</v>
      </c>
    </row>
    <row r="496" spans="1:26" ht="15.75" hidden="1" customHeight="1" outlineLevel="2">
      <c r="A496">
        <v>120</v>
      </c>
      <c r="B496" s="249">
        <v>614000</v>
      </c>
      <c r="C496">
        <v>1</v>
      </c>
      <c r="D496" t="str">
        <f t="shared" si="56"/>
        <v>1614000.120</v>
      </c>
      <c r="E496" s="352" t="s">
        <v>8179</v>
      </c>
      <c r="F496" s="242"/>
      <c r="G496"/>
      <c r="H496" s="322">
        <v>203800</v>
      </c>
      <c r="I496" s="322">
        <v>203800</v>
      </c>
      <c r="J496" s="242">
        <v>237900</v>
      </c>
      <c r="K496" s="18">
        <f>INDEX(תקציב_2013,MATCH(D496,'תקציב 2015'!$D$3:$D$5960,0),8)</f>
        <v>63404</v>
      </c>
      <c r="L496" s="18" t="str">
        <f t="shared" si="57"/>
        <v>6</v>
      </c>
      <c r="M496" s="18" t="str">
        <f>INDEX(Chapter,MATCH(L496,Chapter!$A$1:$A$681,0),8)</f>
        <v>הנהלה כללית</v>
      </c>
      <c r="N496" s="18" t="str">
        <f t="shared" si="58"/>
        <v>61</v>
      </c>
      <c r="O496" s="18" t="str">
        <f>INDEX(Chapter,MATCH(N496,Chapter!$A$1:$A$681,0),8)</f>
        <v>מינהל כללי</v>
      </c>
      <c r="P496" s="18" t="str">
        <f t="shared" si="59"/>
        <v>614</v>
      </c>
      <c r="Q496" s="18" t="str">
        <f>INDEX(Chapter,MATCH(P496,Chapter!$A$1:$A$681,0),8)</f>
        <v>הסברה ויחסי ציבור</v>
      </c>
      <c r="R496" s="18" t="str">
        <f t="shared" si="60"/>
        <v>6140</v>
      </c>
      <c r="S496" s="18" t="e">
        <f>INDEX(Chapter,MATCH(R496,Chapter!$A$1:$A$681,0),8)</f>
        <v>#N/A</v>
      </c>
      <c r="T496" s="18"/>
      <c r="U496" s="18" t="str">
        <f t="shared" si="61"/>
        <v>1</v>
      </c>
      <c r="V496" s="18" t="str">
        <f>IF($L496&lt;"6",INDEX(Revenue_type,MATCH(U496*1,type!$A$118:$A$168,0),8),INDEX(Expenditure_type,MATCH(U496*1,type!$A$2:$A$117,0),8))</f>
        <v>משכורות וש"ע לעובדים לפי תקן</v>
      </c>
      <c r="W496" s="18" t="str">
        <f t="shared" si="62"/>
        <v>12</v>
      </c>
      <c r="X496" s="18" t="str">
        <f>IF($L496&lt;"6",INDEX(Revenue_type,MATCH(W496*1,type!$A$118:$A$168,0),8),INDEX(Expenditure_type,MATCH(W496*1,type!$A$2:$A$117,0),8))</f>
        <v>תוספות שאינן נכללות בשכר הקובע</v>
      </c>
      <c r="Y496" s="18" t="str">
        <f t="shared" si="63"/>
        <v>120</v>
      </c>
      <c r="Z496" s="18" t="e">
        <f>IF($L496&lt;"6",INDEX(Revenue_type,MATCH(Y496*1,type!$A$118:$A$168,0),8),INDEX(Expenditure_type,MATCH(Y496*1,type!$A$2:$A$117,0),8))</f>
        <v>#N/A</v>
      </c>
    </row>
    <row r="497" spans="1:26" ht="15.75" hidden="1" customHeight="1" outlineLevel="2">
      <c r="A497">
        <v>400</v>
      </c>
      <c r="B497" s="249">
        <v>614000</v>
      </c>
      <c r="C497">
        <v>1</v>
      </c>
      <c r="D497" t="str">
        <f t="shared" si="56"/>
        <v>1614000.400</v>
      </c>
      <c r="E497" s="352" t="s">
        <v>8180</v>
      </c>
      <c r="F497" s="242"/>
      <c r="G497"/>
      <c r="H497" s="322">
        <v>70900</v>
      </c>
      <c r="I497" s="322">
        <v>70900</v>
      </c>
      <c r="J497" s="242">
        <v>64900</v>
      </c>
      <c r="K497" s="18" t="e">
        <f>INDEX(תקציב_2013,MATCH(D497,'תקציב 2015'!$D$3:$D$5960,0),8)</f>
        <v>#N/A</v>
      </c>
      <c r="L497" s="18" t="str">
        <f t="shared" si="57"/>
        <v>6</v>
      </c>
      <c r="M497" s="18" t="str">
        <f>INDEX(Chapter,MATCH(L497,Chapter!$A$1:$A$681,0),8)</f>
        <v>הנהלה כללית</v>
      </c>
      <c r="N497" s="18" t="str">
        <f t="shared" si="58"/>
        <v>61</v>
      </c>
      <c r="O497" s="18" t="str">
        <f>INDEX(Chapter,MATCH(N497,Chapter!$A$1:$A$681,0),8)</f>
        <v>מינהל כללי</v>
      </c>
      <c r="P497" s="18" t="str">
        <f t="shared" si="59"/>
        <v>614</v>
      </c>
      <c r="Q497" s="18" t="str">
        <f>INDEX(Chapter,MATCH(P497,Chapter!$A$1:$A$681,0),8)</f>
        <v>הסברה ויחסי ציבור</v>
      </c>
      <c r="R497" s="18" t="str">
        <f t="shared" si="60"/>
        <v>6140</v>
      </c>
      <c r="S497" s="18" t="e">
        <f>INDEX(Chapter,MATCH(R497,Chapter!$A$1:$A$681,0),8)</f>
        <v>#N/A</v>
      </c>
      <c r="T497" s="18"/>
      <c r="U497" s="18" t="str">
        <f t="shared" si="61"/>
        <v>4</v>
      </c>
      <c r="V497" s="18" t="str">
        <f>IF($L497&lt;"6",INDEX(Revenue_type,MATCH(U497*1,type!$A$118:$A$168,0),8),INDEX(Expenditure_type,MATCH(U497*1,type!$A$2:$A$117,0),8))</f>
        <v>אחזקת בינים ואספקת ציוד</v>
      </c>
      <c r="W497" s="18" t="str">
        <f t="shared" si="62"/>
        <v>40</v>
      </c>
      <c r="X497" s="18" t="e">
        <f>IF($L497&lt;"6",INDEX(Revenue_type,MATCH(W497*1,type!$A$118:$A$168,0),8),INDEX(Expenditure_type,MATCH(W497*1,type!$A$2:$A$117,0),8))</f>
        <v>#N/A</v>
      </c>
      <c r="Y497" s="18" t="str">
        <f t="shared" si="63"/>
        <v>400</v>
      </c>
      <c r="Z497" s="18" t="e">
        <f>IF($L497&lt;"6",INDEX(Revenue_type,MATCH(Y497*1,type!$A$118:$A$168,0),8),INDEX(Expenditure_type,MATCH(Y497*1,type!$A$2:$A$117,0),8))</f>
        <v>#N/A</v>
      </c>
    </row>
    <row r="498" spans="1:26" ht="15.75" hidden="1" customHeight="1" outlineLevel="2">
      <c r="A498">
        <v>500</v>
      </c>
      <c r="B498" s="249">
        <v>614000</v>
      </c>
      <c r="C498">
        <v>1</v>
      </c>
      <c r="D498" t="str">
        <f t="shared" si="56"/>
        <v>1614000.500</v>
      </c>
      <c r="E498" s="348" t="s">
        <v>8181</v>
      </c>
      <c r="F498" s="242"/>
      <c r="G498"/>
      <c r="H498" s="322">
        <v>181600</v>
      </c>
      <c r="I498" s="322">
        <v>181600</v>
      </c>
      <c r="J498" s="242">
        <v>92400</v>
      </c>
      <c r="K498" s="18" t="e">
        <f>INDEX(תקציב_2013,MATCH(D498,'תקציב 2015'!$D$3:$D$5960,0),8)</f>
        <v>#N/A</v>
      </c>
      <c r="L498" s="18" t="str">
        <f t="shared" si="57"/>
        <v>6</v>
      </c>
      <c r="M498" s="18" t="str">
        <f>INDEX(Chapter,MATCH(L498,Chapter!$A$1:$A$681,0),8)</f>
        <v>הנהלה כללית</v>
      </c>
      <c r="N498" s="18" t="str">
        <f t="shared" si="58"/>
        <v>61</v>
      </c>
      <c r="O498" s="18" t="str">
        <f>INDEX(Chapter,MATCH(N498,Chapter!$A$1:$A$681,0),8)</f>
        <v>מינהל כללי</v>
      </c>
      <c r="P498" s="18" t="str">
        <f t="shared" si="59"/>
        <v>614</v>
      </c>
      <c r="Q498" s="18" t="str">
        <f>INDEX(Chapter,MATCH(P498,Chapter!$A$1:$A$681,0),8)</f>
        <v>הסברה ויחסי ציבור</v>
      </c>
      <c r="R498" s="18" t="str">
        <f t="shared" si="60"/>
        <v>6140</v>
      </c>
      <c r="S498" s="18" t="e">
        <f>INDEX(Chapter,MATCH(R498,Chapter!$A$1:$A$681,0),8)</f>
        <v>#N/A</v>
      </c>
      <c r="T498" s="18"/>
      <c r="U498" s="18" t="str">
        <f t="shared" si="61"/>
        <v>5</v>
      </c>
      <c r="V498" s="18" t="str">
        <f>IF($L498&lt;"6",INDEX(Revenue_type,MATCH(U498*1,type!$A$118:$A$168,0),8),INDEX(Expenditure_type,MATCH(U498*1,type!$A$2:$A$117,0),8))</f>
        <v>הוצאות מנהליות</v>
      </c>
      <c r="W498" s="18" t="str">
        <f t="shared" si="62"/>
        <v>50</v>
      </c>
      <c r="X498" s="18" t="e">
        <f>IF($L498&lt;"6",INDEX(Revenue_type,MATCH(W498*1,type!$A$118:$A$168,0),8),INDEX(Expenditure_type,MATCH(W498*1,type!$A$2:$A$117,0),8))</f>
        <v>#N/A</v>
      </c>
      <c r="Y498" s="18" t="str">
        <f t="shared" si="63"/>
        <v>500</v>
      </c>
      <c r="Z498" s="18" t="e">
        <f>IF($L498&lt;"6",INDEX(Revenue_type,MATCH(Y498*1,type!$A$118:$A$168,0),8),INDEX(Expenditure_type,MATCH(Y498*1,type!$A$2:$A$117,0),8))</f>
        <v>#N/A</v>
      </c>
    </row>
    <row r="499" spans="1:26" ht="15.75" hidden="1" customHeight="1" outlineLevel="2">
      <c r="A499">
        <v>500</v>
      </c>
      <c r="B499" s="249">
        <v>614000</v>
      </c>
      <c r="C499">
        <v>1</v>
      </c>
      <c r="D499" t="str">
        <f t="shared" si="56"/>
        <v>1614000.500</v>
      </c>
      <c r="E499" s="352" t="s">
        <v>8182</v>
      </c>
      <c r="F499" s="242"/>
      <c r="G499"/>
      <c r="H499" s="322">
        <v>3553100</v>
      </c>
      <c r="I499" s="322">
        <v>3667300</v>
      </c>
      <c r="J499" s="242">
        <v>2700200</v>
      </c>
      <c r="K499" s="18" t="e">
        <f>INDEX(תקציב_2013,MATCH(D499,'תקציב 2015'!$D$3:$D$5960,0),8)</f>
        <v>#N/A</v>
      </c>
      <c r="L499" s="18" t="str">
        <f t="shared" si="57"/>
        <v>6</v>
      </c>
      <c r="M499" s="18" t="str">
        <f>INDEX(Chapter,MATCH(L499,Chapter!$A$1:$A$681,0),8)</f>
        <v>הנהלה כללית</v>
      </c>
      <c r="N499" s="18" t="str">
        <f t="shared" si="58"/>
        <v>61</v>
      </c>
      <c r="O499" s="18" t="str">
        <f>INDEX(Chapter,MATCH(N499,Chapter!$A$1:$A$681,0),8)</f>
        <v>מינהל כללי</v>
      </c>
      <c r="P499" s="18" t="str">
        <f t="shared" si="59"/>
        <v>614</v>
      </c>
      <c r="Q499" s="18" t="str">
        <f>INDEX(Chapter,MATCH(P499,Chapter!$A$1:$A$681,0),8)</f>
        <v>הסברה ויחסי ציבור</v>
      </c>
      <c r="R499" s="18" t="str">
        <f t="shared" si="60"/>
        <v>6140</v>
      </c>
      <c r="S499" s="18" t="e">
        <f>INDEX(Chapter,MATCH(R499,Chapter!$A$1:$A$681,0),8)</f>
        <v>#N/A</v>
      </c>
      <c r="T499" s="18"/>
      <c r="U499" s="18" t="str">
        <f t="shared" si="61"/>
        <v>5</v>
      </c>
      <c r="V499" s="18" t="str">
        <f>IF($L499&lt;"6",INDEX(Revenue_type,MATCH(U499*1,type!$A$118:$A$168,0),8),INDEX(Expenditure_type,MATCH(U499*1,type!$A$2:$A$117,0),8))</f>
        <v>הוצאות מנהליות</v>
      </c>
      <c r="W499" s="18" t="str">
        <f t="shared" si="62"/>
        <v>50</v>
      </c>
      <c r="X499" s="18" t="e">
        <f>IF($L499&lt;"6",INDEX(Revenue_type,MATCH(W499*1,type!$A$118:$A$168,0),8),INDEX(Expenditure_type,MATCH(W499*1,type!$A$2:$A$117,0),8))</f>
        <v>#N/A</v>
      </c>
      <c r="Y499" s="18" t="str">
        <f t="shared" si="63"/>
        <v>500</v>
      </c>
      <c r="Z499" s="18" t="e">
        <f>IF($L499&lt;"6",INDEX(Revenue_type,MATCH(Y499*1,type!$A$118:$A$168,0),8),INDEX(Expenditure_type,MATCH(Y499*1,type!$A$2:$A$117,0),8))</f>
        <v>#N/A</v>
      </c>
    </row>
    <row r="500" spans="1:26" ht="15.75" hidden="1" customHeight="1" outlineLevel="2">
      <c r="A500">
        <v>700</v>
      </c>
      <c r="B500" s="249">
        <v>614000</v>
      </c>
      <c r="C500">
        <v>1</v>
      </c>
      <c r="D500" t="str">
        <f t="shared" si="56"/>
        <v>1614000.700</v>
      </c>
      <c r="E500" s="352" t="s">
        <v>8183</v>
      </c>
      <c r="F500" s="242"/>
      <c r="G500"/>
      <c r="H500" s="322">
        <v>80200</v>
      </c>
      <c r="I500" s="322">
        <v>80200</v>
      </c>
      <c r="J500" s="242">
        <v>78100</v>
      </c>
      <c r="K500" s="18" t="e">
        <f>INDEX(תקציב_2013,MATCH(D500,'תקציב 2015'!$D$3:$D$5960,0),8)</f>
        <v>#N/A</v>
      </c>
      <c r="L500" s="18" t="str">
        <f t="shared" si="57"/>
        <v>6</v>
      </c>
      <c r="M500" s="18" t="str">
        <f>INDEX(Chapter,MATCH(L500,Chapter!$A$1:$A$681,0),8)</f>
        <v>הנהלה כללית</v>
      </c>
      <c r="N500" s="18" t="str">
        <f t="shared" si="58"/>
        <v>61</v>
      </c>
      <c r="O500" s="18" t="str">
        <f>INDEX(Chapter,MATCH(N500,Chapter!$A$1:$A$681,0),8)</f>
        <v>מינהל כללי</v>
      </c>
      <c r="P500" s="18" t="str">
        <f t="shared" si="59"/>
        <v>614</v>
      </c>
      <c r="Q500" s="18" t="str">
        <f>INDEX(Chapter,MATCH(P500,Chapter!$A$1:$A$681,0),8)</f>
        <v>הסברה ויחסי ציבור</v>
      </c>
      <c r="R500" s="18" t="str">
        <f t="shared" si="60"/>
        <v>6140</v>
      </c>
      <c r="S500" s="18" t="e">
        <f>INDEX(Chapter,MATCH(R500,Chapter!$A$1:$A$681,0),8)</f>
        <v>#N/A</v>
      </c>
      <c r="T500" s="18"/>
      <c r="U500" s="18" t="str">
        <f t="shared" si="61"/>
        <v>7</v>
      </c>
      <c r="V500" s="18" t="str">
        <f>IF($L500&lt;"6",INDEX(Revenue_type,MATCH(U500*1,type!$A$118:$A$168,0),8),INDEX(Expenditure_type,MATCH(U500*1,type!$A$2:$A$117,0),8))</f>
        <v>הוצאות לפעולות</v>
      </c>
      <c r="W500" s="18" t="str">
        <f t="shared" si="62"/>
        <v>70</v>
      </c>
      <c r="X500" s="18" t="e">
        <f>IF($L500&lt;"6",INDEX(Revenue_type,MATCH(W500*1,type!$A$118:$A$168,0),8),INDEX(Expenditure_type,MATCH(W500*1,type!$A$2:$A$117,0),8))</f>
        <v>#N/A</v>
      </c>
      <c r="Y500" s="18" t="str">
        <f t="shared" si="63"/>
        <v>700</v>
      </c>
      <c r="Z500" s="18" t="e">
        <f>IF($L500&lt;"6",INDEX(Revenue_type,MATCH(Y500*1,type!$A$118:$A$168,0),8),INDEX(Expenditure_type,MATCH(Y500*1,type!$A$2:$A$117,0),8))</f>
        <v>#N/A</v>
      </c>
    </row>
    <row r="501" spans="1:26" ht="15.75" hidden="1" customHeight="1" outlineLevel="2">
      <c r="A501">
        <v>100</v>
      </c>
      <c r="B501" s="249">
        <v>617110</v>
      </c>
      <c r="C501">
        <v>1</v>
      </c>
      <c r="D501" t="str">
        <f t="shared" si="56"/>
        <v>1617110.100</v>
      </c>
      <c r="E501" s="352" t="s">
        <v>8184</v>
      </c>
      <c r="F501" s="242"/>
      <c r="G501"/>
      <c r="H501" s="322">
        <v>10359200</v>
      </c>
      <c r="I501" s="322">
        <v>10237100</v>
      </c>
      <c r="J501" s="242">
        <v>10294300</v>
      </c>
      <c r="K501" s="18" t="e">
        <f>INDEX(תקציב_2013,MATCH(D501,'תקציב 2015'!$D$3:$D$5960,0),8)</f>
        <v>#N/A</v>
      </c>
      <c r="L501" s="18" t="str">
        <f t="shared" si="57"/>
        <v>6</v>
      </c>
      <c r="M501" s="18" t="str">
        <f>INDEX(Chapter,MATCH(L501,Chapter!$A$1:$A$681,0),8)</f>
        <v>הנהלה כללית</v>
      </c>
      <c r="N501" s="18" t="str">
        <f t="shared" si="58"/>
        <v>61</v>
      </c>
      <c r="O501" s="18" t="str">
        <f>INDEX(Chapter,MATCH(N501,Chapter!$A$1:$A$681,0),8)</f>
        <v>מינהל כללי</v>
      </c>
      <c r="P501" s="18" t="str">
        <f t="shared" si="59"/>
        <v>617</v>
      </c>
      <c r="Q501" s="18" t="str">
        <f>INDEX(Chapter,MATCH(P501,Chapter!$A$1:$A$681,0),8)</f>
        <v>שרות משפטי</v>
      </c>
      <c r="R501" s="18" t="str">
        <f t="shared" si="60"/>
        <v>6171</v>
      </c>
      <c r="S501" s="18" t="e">
        <f>INDEX(Chapter,MATCH(R501,Chapter!$A$1:$A$681,0),8)</f>
        <v>#N/A</v>
      </c>
      <c r="T501" s="18"/>
      <c r="U501" s="18" t="str">
        <f t="shared" si="61"/>
        <v>1</v>
      </c>
      <c r="V501" s="18" t="str">
        <f>IF($L501&lt;"6",INDEX(Revenue_type,MATCH(U501*1,type!$A$118:$A$168,0),8),INDEX(Expenditure_type,MATCH(U501*1,type!$A$2:$A$117,0),8))</f>
        <v>משכורות וש"ע לעובדים לפי תקן</v>
      </c>
      <c r="W501" s="18" t="str">
        <f t="shared" si="62"/>
        <v>10</v>
      </c>
      <c r="X501" s="18" t="e">
        <f>IF($L501&lt;"6",INDEX(Revenue_type,MATCH(W501*1,type!$A$118:$A$168,0),8),INDEX(Expenditure_type,MATCH(W501*1,type!$A$2:$A$117,0),8))</f>
        <v>#N/A</v>
      </c>
      <c r="Y501" s="18" t="str">
        <f t="shared" si="63"/>
        <v>100</v>
      </c>
      <c r="Z501" s="18" t="e">
        <f>IF($L501&lt;"6",INDEX(Revenue_type,MATCH(Y501*1,type!$A$118:$A$168,0),8),INDEX(Expenditure_type,MATCH(Y501*1,type!$A$2:$A$117,0),8))</f>
        <v>#N/A</v>
      </c>
    </row>
    <row r="502" spans="1:26" ht="15.75" hidden="1" customHeight="1" outlineLevel="2">
      <c r="A502">
        <v>120</v>
      </c>
      <c r="B502" s="249">
        <v>617110</v>
      </c>
      <c r="C502">
        <v>1</v>
      </c>
      <c r="D502" t="str">
        <f t="shared" si="56"/>
        <v>1617110.120</v>
      </c>
      <c r="E502" s="352" t="s">
        <v>8185</v>
      </c>
      <c r="F502" s="242"/>
      <c r="G502"/>
      <c r="H502" s="322">
        <v>273800</v>
      </c>
      <c r="I502" s="322">
        <v>273800</v>
      </c>
      <c r="J502" s="242">
        <v>246800</v>
      </c>
      <c r="K502" s="18" t="e">
        <f>INDEX(תקציב_2013,MATCH(D502,'תקציב 2015'!$D$3:$D$5960,0),8)</f>
        <v>#N/A</v>
      </c>
      <c r="L502" s="18" t="str">
        <f t="shared" si="57"/>
        <v>6</v>
      </c>
      <c r="M502" s="18" t="str">
        <f>INDEX(Chapter,MATCH(L502,Chapter!$A$1:$A$681,0),8)</f>
        <v>הנהלה כללית</v>
      </c>
      <c r="N502" s="18" t="str">
        <f t="shared" si="58"/>
        <v>61</v>
      </c>
      <c r="O502" s="18" t="str">
        <f>INDEX(Chapter,MATCH(N502,Chapter!$A$1:$A$681,0),8)</f>
        <v>מינהל כללי</v>
      </c>
      <c r="P502" s="18" t="str">
        <f t="shared" si="59"/>
        <v>617</v>
      </c>
      <c r="Q502" s="18" t="str">
        <f>INDEX(Chapter,MATCH(P502,Chapter!$A$1:$A$681,0),8)</f>
        <v>שרות משפטי</v>
      </c>
      <c r="R502" s="18" t="str">
        <f t="shared" si="60"/>
        <v>6171</v>
      </c>
      <c r="S502" s="18" t="e">
        <f>INDEX(Chapter,MATCH(R502,Chapter!$A$1:$A$681,0),8)</f>
        <v>#N/A</v>
      </c>
      <c r="T502" s="18"/>
      <c r="U502" s="18" t="str">
        <f t="shared" si="61"/>
        <v>1</v>
      </c>
      <c r="V502" s="18" t="str">
        <f>IF($L502&lt;"6",INDEX(Revenue_type,MATCH(U502*1,type!$A$118:$A$168,0),8),INDEX(Expenditure_type,MATCH(U502*1,type!$A$2:$A$117,0),8))</f>
        <v>משכורות וש"ע לעובדים לפי תקן</v>
      </c>
      <c r="W502" s="18" t="str">
        <f t="shared" si="62"/>
        <v>12</v>
      </c>
      <c r="X502" s="18" t="str">
        <f>IF($L502&lt;"6",INDEX(Revenue_type,MATCH(W502*1,type!$A$118:$A$168,0),8),INDEX(Expenditure_type,MATCH(W502*1,type!$A$2:$A$117,0),8))</f>
        <v>תוספות שאינן נכללות בשכר הקובע</v>
      </c>
      <c r="Y502" s="18" t="str">
        <f t="shared" si="63"/>
        <v>120</v>
      </c>
      <c r="Z502" s="18" t="e">
        <f>IF($L502&lt;"6",INDEX(Revenue_type,MATCH(Y502*1,type!$A$118:$A$168,0),8),INDEX(Expenditure_type,MATCH(Y502*1,type!$A$2:$A$117,0),8))</f>
        <v>#N/A</v>
      </c>
    </row>
    <row r="503" spans="1:26" ht="15.75" hidden="1" customHeight="1" outlineLevel="2">
      <c r="A503">
        <v>400</v>
      </c>
      <c r="B503" s="249">
        <v>617110</v>
      </c>
      <c r="C503">
        <v>1</v>
      </c>
      <c r="D503" t="str">
        <f t="shared" si="56"/>
        <v>1617110.400</v>
      </c>
      <c r="E503" s="352" t="s">
        <v>8186</v>
      </c>
      <c r="F503" s="242"/>
      <c r="G503"/>
      <c r="H503" s="322">
        <v>100800</v>
      </c>
      <c r="I503" s="322">
        <v>109000</v>
      </c>
      <c r="J503" s="242">
        <v>77800</v>
      </c>
      <c r="K503" s="18" t="e">
        <f>INDEX(תקציב_2013,MATCH(D503,'תקציב 2015'!$D$3:$D$5960,0),8)</f>
        <v>#N/A</v>
      </c>
      <c r="L503" s="18" t="str">
        <f t="shared" si="57"/>
        <v>6</v>
      </c>
      <c r="M503" s="18" t="str">
        <f>INDEX(Chapter,MATCH(L503,Chapter!$A$1:$A$681,0),8)</f>
        <v>הנהלה כללית</v>
      </c>
      <c r="N503" s="18" t="str">
        <f t="shared" si="58"/>
        <v>61</v>
      </c>
      <c r="O503" s="18" t="str">
        <f>INDEX(Chapter,MATCH(N503,Chapter!$A$1:$A$681,0),8)</f>
        <v>מינהל כללי</v>
      </c>
      <c r="P503" s="18" t="str">
        <f t="shared" si="59"/>
        <v>617</v>
      </c>
      <c r="Q503" s="18" t="str">
        <f>INDEX(Chapter,MATCH(P503,Chapter!$A$1:$A$681,0),8)</f>
        <v>שרות משפטי</v>
      </c>
      <c r="R503" s="18" t="str">
        <f t="shared" si="60"/>
        <v>6171</v>
      </c>
      <c r="S503" s="18" t="e">
        <f>INDEX(Chapter,MATCH(R503,Chapter!$A$1:$A$681,0),8)</f>
        <v>#N/A</v>
      </c>
      <c r="T503" s="18"/>
      <c r="U503" s="18" t="str">
        <f t="shared" si="61"/>
        <v>4</v>
      </c>
      <c r="V503" s="18" t="str">
        <f>IF($L503&lt;"6",INDEX(Revenue_type,MATCH(U503*1,type!$A$118:$A$168,0),8),INDEX(Expenditure_type,MATCH(U503*1,type!$A$2:$A$117,0),8))</f>
        <v>אחזקת בינים ואספקת ציוד</v>
      </c>
      <c r="W503" s="18" t="str">
        <f t="shared" si="62"/>
        <v>40</v>
      </c>
      <c r="X503" s="18" t="e">
        <f>IF($L503&lt;"6",INDEX(Revenue_type,MATCH(W503*1,type!$A$118:$A$168,0),8),INDEX(Expenditure_type,MATCH(W503*1,type!$A$2:$A$117,0),8))</f>
        <v>#N/A</v>
      </c>
      <c r="Y503" s="18" t="str">
        <f t="shared" si="63"/>
        <v>400</v>
      </c>
      <c r="Z503" s="18" t="e">
        <f>IF($L503&lt;"6",INDEX(Revenue_type,MATCH(Y503*1,type!$A$118:$A$168,0),8),INDEX(Expenditure_type,MATCH(Y503*1,type!$A$2:$A$117,0),8))</f>
        <v>#N/A</v>
      </c>
    </row>
    <row r="504" spans="1:26" ht="15.75" hidden="1" customHeight="1" outlineLevel="2">
      <c r="A504">
        <v>500</v>
      </c>
      <c r="B504" s="249">
        <v>617110</v>
      </c>
      <c r="C504">
        <v>1</v>
      </c>
      <c r="D504" t="str">
        <f t="shared" si="56"/>
        <v>1617110.500</v>
      </c>
      <c r="E504" s="352" t="s">
        <v>8187</v>
      </c>
      <c r="F504" s="242"/>
      <c r="G504"/>
      <c r="H504" s="322">
        <v>139300</v>
      </c>
      <c r="I504" s="322">
        <v>139300</v>
      </c>
      <c r="J504" s="242">
        <v>111800</v>
      </c>
      <c r="K504" s="18" t="e">
        <f>INDEX(תקציב_2013,MATCH(D504,'תקציב 2015'!$D$3:$D$5960,0),8)</f>
        <v>#N/A</v>
      </c>
      <c r="L504" s="18" t="str">
        <f t="shared" si="57"/>
        <v>6</v>
      </c>
      <c r="M504" s="18" t="str">
        <f>INDEX(Chapter,MATCH(L504,Chapter!$A$1:$A$681,0),8)</f>
        <v>הנהלה כללית</v>
      </c>
      <c r="N504" s="18" t="str">
        <f t="shared" si="58"/>
        <v>61</v>
      </c>
      <c r="O504" s="18" t="str">
        <f>INDEX(Chapter,MATCH(N504,Chapter!$A$1:$A$681,0),8)</f>
        <v>מינהל כללי</v>
      </c>
      <c r="P504" s="18" t="str">
        <f t="shared" si="59"/>
        <v>617</v>
      </c>
      <c r="Q504" s="18" t="str">
        <f>INDEX(Chapter,MATCH(P504,Chapter!$A$1:$A$681,0),8)</f>
        <v>שרות משפטי</v>
      </c>
      <c r="R504" s="18" t="str">
        <f t="shared" si="60"/>
        <v>6171</v>
      </c>
      <c r="S504" s="18" t="e">
        <f>INDEX(Chapter,MATCH(R504,Chapter!$A$1:$A$681,0),8)</f>
        <v>#N/A</v>
      </c>
      <c r="T504" s="18"/>
      <c r="U504" s="18" t="str">
        <f t="shared" si="61"/>
        <v>5</v>
      </c>
      <c r="V504" s="18" t="str">
        <f>IF($L504&lt;"6",INDEX(Revenue_type,MATCH(U504*1,type!$A$118:$A$168,0),8),INDEX(Expenditure_type,MATCH(U504*1,type!$A$2:$A$117,0),8))</f>
        <v>הוצאות מנהליות</v>
      </c>
      <c r="W504" s="18" t="str">
        <f t="shared" si="62"/>
        <v>50</v>
      </c>
      <c r="X504" s="18" t="e">
        <f>IF($L504&lt;"6",INDEX(Revenue_type,MATCH(W504*1,type!$A$118:$A$168,0),8),INDEX(Expenditure_type,MATCH(W504*1,type!$A$2:$A$117,0),8))</f>
        <v>#N/A</v>
      </c>
      <c r="Y504" s="18" t="str">
        <f t="shared" si="63"/>
        <v>500</v>
      </c>
      <c r="Z504" s="18" t="e">
        <f>IF($L504&lt;"6",INDEX(Revenue_type,MATCH(Y504*1,type!$A$118:$A$168,0),8),INDEX(Expenditure_type,MATCH(Y504*1,type!$A$2:$A$117,0),8))</f>
        <v>#N/A</v>
      </c>
    </row>
    <row r="505" spans="1:26" ht="15.75" hidden="1" customHeight="1" outlineLevel="2">
      <c r="A505">
        <v>500</v>
      </c>
      <c r="B505" s="249">
        <v>617110</v>
      </c>
      <c r="C505">
        <v>1</v>
      </c>
      <c r="D505" t="str">
        <f t="shared" si="56"/>
        <v>1617110.500</v>
      </c>
      <c r="E505" s="352" t="s">
        <v>8188</v>
      </c>
      <c r="F505" s="242"/>
      <c r="G505"/>
      <c r="H505" s="322">
        <v>7000</v>
      </c>
      <c r="I505" s="322">
        <v>7000</v>
      </c>
      <c r="J505" s="242">
        <v>4200</v>
      </c>
      <c r="K505" s="18" t="e">
        <f>INDEX(תקציב_2013,MATCH(D505,'תקציב 2015'!$D$3:$D$5960,0),8)</f>
        <v>#N/A</v>
      </c>
      <c r="L505" s="18" t="str">
        <f t="shared" si="57"/>
        <v>6</v>
      </c>
      <c r="M505" s="18" t="str">
        <f>INDEX(Chapter,MATCH(L505,Chapter!$A$1:$A$681,0),8)</f>
        <v>הנהלה כללית</v>
      </c>
      <c r="N505" s="18" t="str">
        <f t="shared" si="58"/>
        <v>61</v>
      </c>
      <c r="O505" s="18" t="str">
        <f>INDEX(Chapter,MATCH(N505,Chapter!$A$1:$A$681,0),8)</f>
        <v>מינהל כללי</v>
      </c>
      <c r="P505" s="18" t="str">
        <f t="shared" si="59"/>
        <v>617</v>
      </c>
      <c r="Q505" s="18" t="str">
        <f>INDEX(Chapter,MATCH(P505,Chapter!$A$1:$A$681,0),8)</f>
        <v>שרות משפטי</v>
      </c>
      <c r="R505" s="18" t="str">
        <f t="shared" si="60"/>
        <v>6171</v>
      </c>
      <c r="S505" s="18" t="e">
        <f>INDEX(Chapter,MATCH(R505,Chapter!$A$1:$A$681,0),8)</f>
        <v>#N/A</v>
      </c>
      <c r="T505" s="18"/>
      <c r="U505" s="18" t="str">
        <f t="shared" si="61"/>
        <v>5</v>
      </c>
      <c r="V505" s="18" t="str">
        <f>IF($L505&lt;"6",INDEX(Revenue_type,MATCH(U505*1,type!$A$118:$A$168,0),8),INDEX(Expenditure_type,MATCH(U505*1,type!$A$2:$A$117,0),8))</f>
        <v>הוצאות מנהליות</v>
      </c>
      <c r="W505" s="18" t="str">
        <f t="shared" si="62"/>
        <v>50</v>
      </c>
      <c r="X505" s="18" t="e">
        <f>IF($L505&lt;"6",INDEX(Revenue_type,MATCH(W505*1,type!$A$118:$A$168,0),8),INDEX(Expenditure_type,MATCH(W505*1,type!$A$2:$A$117,0),8))</f>
        <v>#N/A</v>
      </c>
      <c r="Y505" s="18" t="str">
        <f t="shared" si="63"/>
        <v>500</v>
      </c>
      <c r="Z505" s="18" t="e">
        <f>IF($L505&lt;"6",INDEX(Revenue_type,MATCH(Y505*1,type!$A$118:$A$168,0),8),INDEX(Expenditure_type,MATCH(Y505*1,type!$A$2:$A$117,0),8))</f>
        <v>#N/A</v>
      </c>
    </row>
    <row r="506" spans="1:26" ht="15.75" hidden="1" customHeight="1" outlineLevel="2">
      <c r="A506">
        <v>700</v>
      </c>
      <c r="B506" s="249">
        <v>617110</v>
      </c>
      <c r="C506">
        <v>1</v>
      </c>
      <c r="D506" t="str">
        <f t="shared" si="56"/>
        <v>1617110.700</v>
      </c>
      <c r="E506" s="352" t="s">
        <v>8189</v>
      </c>
      <c r="F506" s="242"/>
      <c r="G506"/>
      <c r="H506" s="322">
        <v>58600</v>
      </c>
      <c r="I506" s="322">
        <v>59400</v>
      </c>
      <c r="J506" s="242">
        <v>97700</v>
      </c>
      <c r="K506" s="18" t="e">
        <f>INDEX(תקציב_2013,MATCH(D506,'תקציב 2015'!$D$3:$D$5960,0),8)</f>
        <v>#N/A</v>
      </c>
      <c r="L506" s="18" t="str">
        <f t="shared" si="57"/>
        <v>6</v>
      </c>
      <c r="M506" s="18" t="str">
        <f>INDEX(Chapter,MATCH(L506,Chapter!$A$1:$A$681,0),8)</f>
        <v>הנהלה כללית</v>
      </c>
      <c r="N506" s="18" t="str">
        <f t="shared" si="58"/>
        <v>61</v>
      </c>
      <c r="O506" s="18" t="str">
        <f>INDEX(Chapter,MATCH(N506,Chapter!$A$1:$A$681,0),8)</f>
        <v>מינהל כללי</v>
      </c>
      <c r="P506" s="18" t="str">
        <f t="shared" si="59"/>
        <v>617</v>
      </c>
      <c r="Q506" s="18" t="str">
        <f>INDEX(Chapter,MATCH(P506,Chapter!$A$1:$A$681,0),8)</f>
        <v>שרות משפטי</v>
      </c>
      <c r="R506" s="18" t="str">
        <f t="shared" si="60"/>
        <v>6171</v>
      </c>
      <c r="S506" s="18" t="e">
        <f>INDEX(Chapter,MATCH(R506,Chapter!$A$1:$A$681,0),8)</f>
        <v>#N/A</v>
      </c>
      <c r="T506" s="18"/>
      <c r="U506" s="18" t="str">
        <f t="shared" si="61"/>
        <v>7</v>
      </c>
      <c r="V506" s="18" t="str">
        <f>IF($L506&lt;"6",INDEX(Revenue_type,MATCH(U506*1,type!$A$118:$A$168,0),8),INDEX(Expenditure_type,MATCH(U506*1,type!$A$2:$A$117,0),8))</f>
        <v>הוצאות לפעולות</v>
      </c>
      <c r="W506" s="18" t="str">
        <f t="shared" si="62"/>
        <v>70</v>
      </c>
      <c r="X506" s="18" t="e">
        <f>IF($L506&lt;"6",INDEX(Revenue_type,MATCH(W506*1,type!$A$118:$A$168,0),8),INDEX(Expenditure_type,MATCH(W506*1,type!$A$2:$A$117,0),8))</f>
        <v>#N/A</v>
      </c>
      <c r="Y506" s="18" t="str">
        <f t="shared" si="63"/>
        <v>700</v>
      </c>
      <c r="Z506" s="18" t="e">
        <f>IF($L506&lt;"6",INDEX(Revenue_type,MATCH(Y506*1,type!$A$118:$A$168,0),8),INDEX(Expenditure_type,MATCH(Y506*1,type!$A$2:$A$117,0),8))</f>
        <v>#N/A</v>
      </c>
    </row>
    <row r="507" spans="1:26" ht="15.75" hidden="1" customHeight="1" outlineLevel="2">
      <c r="A507">
        <v>100</v>
      </c>
      <c r="B507" s="249">
        <v>731120</v>
      </c>
      <c r="C507">
        <v>1</v>
      </c>
      <c r="D507" t="str">
        <f t="shared" si="56"/>
        <v>1731120.100</v>
      </c>
      <c r="E507" s="352" t="s">
        <v>8190</v>
      </c>
      <c r="F507" s="242"/>
      <c r="G507"/>
      <c r="H507" s="322">
        <v>2393200</v>
      </c>
      <c r="I507" s="322">
        <v>2366200</v>
      </c>
      <c r="J507" s="242">
        <v>2652300</v>
      </c>
      <c r="K507" s="18"/>
      <c r="L507" s="18" t="str">
        <f t="shared" si="57"/>
        <v>7</v>
      </c>
      <c r="M507" s="18" t="str">
        <f>INDEX(Chapter,MATCH(L507,Chapter!$A$1:$A$681,0),8)</f>
        <v>שירותים מקומיים</v>
      </c>
      <c r="N507" s="18" t="str">
        <f t="shared" si="58"/>
        <v>73</v>
      </c>
      <c r="O507" s="18" t="str">
        <f>INDEX(Chapter,MATCH(N507,Chapter!$A$1:$A$681,0),8)</f>
        <v>תכנון ובנין עיר</v>
      </c>
      <c r="P507" s="18" t="str">
        <f t="shared" si="59"/>
        <v>731</v>
      </c>
      <c r="Q507" s="18" t="str">
        <f>INDEX(Chapter,MATCH(P507,Chapter!$A$1:$A$681,0),8)</f>
        <v>משרד מהנדס הרשות</v>
      </c>
      <c r="R507" s="18" t="str">
        <f t="shared" si="60"/>
        <v>7311</v>
      </c>
      <c r="S507" s="18" t="e">
        <f>INDEX(Chapter,MATCH(R507,Chapter!$A$1:$A$681,0),8)</f>
        <v>#N/A</v>
      </c>
      <c r="T507" s="18"/>
      <c r="U507" s="18" t="str">
        <f t="shared" si="61"/>
        <v>1</v>
      </c>
      <c r="V507" s="18" t="str">
        <f>IF($L507&lt;"6",INDEX(Revenue_type,MATCH(U507*1,type!$A$118:$A$168,0),8),INDEX(Expenditure_type,MATCH(U507*1,type!$A$2:$A$117,0),8))</f>
        <v>משכורות וש"ע לעובדים לפי תקן</v>
      </c>
      <c r="W507" s="18" t="str">
        <f t="shared" si="62"/>
        <v>10</v>
      </c>
      <c r="X507" s="18" t="e">
        <f>IF($L507&lt;"6",INDEX(Revenue_type,MATCH(W507*1,type!$A$118:$A$168,0),8),INDEX(Expenditure_type,MATCH(W507*1,type!$A$2:$A$117,0),8))</f>
        <v>#N/A</v>
      </c>
      <c r="Y507" s="18" t="str">
        <f t="shared" si="63"/>
        <v>100</v>
      </c>
      <c r="Z507" s="18" t="e">
        <f>IF($L507&lt;"6",INDEX(Revenue_type,MATCH(Y507*1,type!$A$118:$A$168,0),8),INDEX(Expenditure_type,MATCH(Y507*1,type!$A$2:$A$117,0),8))</f>
        <v>#N/A</v>
      </c>
    </row>
    <row r="508" spans="1:26" ht="15.75" hidden="1" customHeight="1" outlineLevel="2">
      <c r="A508">
        <v>120</v>
      </c>
      <c r="B508" s="249">
        <v>731120</v>
      </c>
      <c r="C508">
        <v>1</v>
      </c>
      <c r="D508" t="str">
        <f t="shared" si="56"/>
        <v>1731120.120</v>
      </c>
      <c r="E508" s="352" t="s">
        <v>8191</v>
      </c>
      <c r="F508" s="242"/>
      <c r="G508"/>
      <c r="H508" s="322">
        <v>105800</v>
      </c>
      <c r="I508" s="322">
        <v>105800</v>
      </c>
      <c r="J508" s="242">
        <v>96400</v>
      </c>
      <c r="K508" s="18"/>
      <c r="L508" s="18" t="str">
        <f t="shared" si="57"/>
        <v>7</v>
      </c>
      <c r="M508" s="18" t="str">
        <f>INDEX(Chapter,MATCH(L508,Chapter!$A$1:$A$681,0),8)</f>
        <v>שירותים מקומיים</v>
      </c>
      <c r="N508" s="18" t="str">
        <f t="shared" si="58"/>
        <v>73</v>
      </c>
      <c r="O508" s="18" t="str">
        <f>INDEX(Chapter,MATCH(N508,Chapter!$A$1:$A$681,0),8)</f>
        <v>תכנון ובנין עיר</v>
      </c>
      <c r="P508" s="18" t="str">
        <f t="shared" si="59"/>
        <v>731</v>
      </c>
      <c r="Q508" s="18" t="str">
        <f>INDEX(Chapter,MATCH(P508,Chapter!$A$1:$A$681,0),8)</f>
        <v>משרד מהנדס הרשות</v>
      </c>
      <c r="R508" s="18" t="str">
        <f t="shared" si="60"/>
        <v>7311</v>
      </c>
      <c r="S508" s="18" t="e">
        <f>INDEX(Chapter,MATCH(R508,Chapter!$A$1:$A$681,0),8)</f>
        <v>#N/A</v>
      </c>
      <c r="T508" s="18"/>
      <c r="U508" s="18" t="str">
        <f t="shared" si="61"/>
        <v>1</v>
      </c>
      <c r="V508" s="18" t="str">
        <f>IF($L508&lt;"6",INDEX(Revenue_type,MATCH(U508*1,type!$A$118:$A$168,0),8),INDEX(Expenditure_type,MATCH(U508*1,type!$A$2:$A$117,0),8))</f>
        <v>משכורות וש"ע לעובדים לפי תקן</v>
      </c>
      <c r="W508" s="18" t="str">
        <f t="shared" si="62"/>
        <v>12</v>
      </c>
      <c r="X508" s="18" t="str">
        <f>IF($L508&lt;"6",INDEX(Revenue_type,MATCH(W508*1,type!$A$118:$A$168,0),8),INDEX(Expenditure_type,MATCH(W508*1,type!$A$2:$A$117,0),8))</f>
        <v>תוספות שאינן נכללות בשכר הקובע</v>
      </c>
      <c r="Y508" s="18" t="str">
        <f t="shared" si="63"/>
        <v>120</v>
      </c>
      <c r="Z508" s="18" t="e">
        <f>IF($L508&lt;"6",INDEX(Revenue_type,MATCH(Y508*1,type!$A$118:$A$168,0),8),INDEX(Expenditure_type,MATCH(Y508*1,type!$A$2:$A$117,0),8))</f>
        <v>#N/A</v>
      </c>
    </row>
    <row r="509" spans="1:26" ht="15.75" hidden="1" customHeight="1" outlineLevel="2">
      <c r="A509">
        <v>400</v>
      </c>
      <c r="B509" s="249">
        <v>731120</v>
      </c>
      <c r="C509">
        <v>1</v>
      </c>
      <c r="D509" t="str">
        <f t="shared" si="56"/>
        <v>1731120.400</v>
      </c>
      <c r="E509" s="352" t="s">
        <v>8192</v>
      </c>
      <c r="F509" s="242"/>
      <c r="G509"/>
      <c r="H509" s="322">
        <v>72000</v>
      </c>
      <c r="I509" s="322">
        <v>72000</v>
      </c>
      <c r="J509" s="242">
        <v>69900</v>
      </c>
      <c r="K509" s="18"/>
      <c r="L509" s="18" t="str">
        <f t="shared" si="57"/>
        <v>7</v>
      </c>
      <c r="M509" s="18" t="str">
        <f>INDEX(Chapter,MATCH(L509,Chapter!$A$1:$A$681,0),8)</f>
        <v>שירותים מקומיים</v>
      </c>
      <c r="N509" s="18" t="str">
        <f t="shared" si="58"/>
        <v>73</v>
      </c>
      <c r="O509" s="18" t="str">
        <f>INDEX(Chapter,MATCH(N509,Chapter!$A$1:$A$681,0),8)</f>
        <v>תכנון ובנין עיר</v>
      </c>
      <c r="P509" s="18" t="str">
        <f t="shared" si="59"/>
        <v>731</v>
      </c>
      <c r="Q509" s="18" t="str">
        <f>INDEX(Chapter,MATCH(P509,Chapter!$A$1:$A$681,0),8)</f>
        <v>משרד מהנדס הרשות</v>
      </c>
      <c r="R509" s="18" t="str">
        <f t="shared" si="60"/>
        <v>7311</v>
      </c>
      <c r="S509" s="18" t="e">
        <f>INDEX(Chapter,MATCH(R509,Chapter!$A$1:$A$681,0),8)</f>
        <v>#N/A</v>
      </c>
      <c r="T509" s="18"/>
      <c r="U509" s="18" t="str">
        <f t="shared" si="61"/>
        <v>4</v>
      </c>
      <c r="V509" s="18" t="str">
        <f>IF($L509&lt;"6",INDEX(Revenue_type,MATCH(U509*1,type!$A$118:$A$168,0),8),INDEX(Expenditure_type,MATCH(U509*1,type!$A$2:$A$117,0),8))</f>
        <v>אחזקת בינים ואספקת ציוד</v>
      </c>
      <c r="W509" s="18" t="str">
        <f t="shared" si="62"/>
        <v>40</v>
      </c>
      <c r="X509" s="18" t="e">
        <f>IF($L509&lt;"6",INDEX(Revenue_type,MATCH(W509*1,type!$A$118:$A$168,0),8),INDEX(Expenditure_type,MATCH(W509*1,type!$A$2:$A$117,0),8))</f>
        <v>#N/A</v>
      </c>
      <c r="Y509" s="18" t="str">
        <f t="shared" si="63"/>
        <v>400</v>
      </c>
      <c r="Z509" s="18" t="e">
        <f>IF($L509&lt;"6",INDEX(Revenue_type,MATCH(Y509*1,type!$A$118:$A$168,0),8),INDEX(Expenditure_type,MATCH(Y509*1,type!$A$2:$A$117,0),8))</f>
        <v>#N/A</v>
      </c>
    </row>
    <row r="510" spans="1:26" ht="15.75" hidden="1" customHeight="1" outlineLevel="2">
      <c r="A510">
        <v>500</v>
      </c>
      <c r="B510" s="249">
        <v>731120</v>
      </c>
      <c r="C510">
        <v>1</v>
      </c>
      <c r="D510" t="str">
        <f t="shared" si="56"/>
        <v>1731120.500</v>
      </c>
      <c r="E510" s="352" t="s">
        <v>8193</v>
      </c>
      <c r="F510" s="242"/>
      <c r="G510"/>
      <c r="H510" s="322">
        <v>78400</v>
      </c>
      <c r="I510" s="322">
        <v>78400</v>
      </c>
      <c r="J510" s="242">
        <v>60700</v>
      </c>
      <c r="K510" s="18" t="e">
        <f>INDEX(תקציב_2013,MATCH(D510,'תקציב 2015'!$D$3:$D$5960,0),8)</f>
        <v>#N/A</v>
      </c>
      <c r="L510" s="18" t="str">
        <f t="shared" si="57"/>
        <v>7</v>
      </c>
      <c r="M510" s="18" t="str">
        <f>INDEX(Chapter,MATCH(L510,Chapter!$A$1:$A$681,0),8)</f>
        <v>שירותים מקומיים</v>
      </c>
      <c r="N510" s="18" t="str">
        <f t="shared" si="58"/>
        <v>73</v>
      </c>
      <c r="O510" s="18" t="str">
        <f>INDEX(Chapter,MATCH(N510,Chapter!$A$1:$A$681,0),8)</f>
        <v>תכנון ובנין עיר</v>
      </c>
      <c r="P510" s="18" t="str">
        <f t="shared" si="59"/>
        <v>731</v>
      </c>
      <c r="Q510" s="18" t="str">
        <f>INDEX(Chapter,MATCH(P510,Chapter!$A$1:$A$681,0),8)</f>
        <v>משרד מהנדס הרשות</v>
      </c>
      <c r="R510" s="18" t="str">
        <f t="shared" si="60"/>
        <v>7311</v>
      </c>
      <c r="S510" s="18" t="e">
        <f>INDEX(Chapter,MATCH(R510,Chapter!$A$1:$A$681,0),8)</f>
        <v>#N/A</v>
      </c>
      <c r="T510" s="18"/>
      <c r="U510" s="18" t="str">
        <f t="shared" si="61"/>
        <v>5</v>
      </c>
      <c r="V510" s="18" t="str">
        <f>IF($L510&lt;"6",INDEX(Revenue_type,MATCH(U510*1,type!$A$118:$A$168,0),8),INDEX(Expenditure_type,MATCH(U510*1,type!$A$2:$A$117,0),8))</f>
        <v>הוצאות מנהליות</v>
      </c>
      <c r="W510" s="18" t="str">
        <f t="shared" si="62"/>
        <v>50</v>
      </c>
      <c r="X510" s="18" t="e">
        <f>IF($L510&lt;"6",INDEX(Revenue_type,MATCH(W510*1,type!$A$118:$A$168,0),8),INDEX(Expenditure_type,MATCH(W510*1,type!$A$2:$A$117,0),8))</f>
        <v>#N/A</v>
      </c>
      <c r="Y510" s="18" t="str">
        <f t="shared" si="63"/>
        <v>500</v>
      </c>
      <c r="Z510" s="18" t="e">
        <f>IF($L510&lt;"6",INDEX(Revenue_type,MATCH(Y510*1,type!$A$118:$A$168,0),8),INDEX(Expenditure_type,MATCH(Y510*1,type!$A$2:$A$117,0),8))</f>
        <v>#N/A</v>
      </c>
    </row>
    <row r="511" spans="1:26" ht="15.75" hidden="1" customHeight="1" outlineLevel="2">
      <c r="A511">
        <v>500</v>
      </c>
      <c r="B511" s="249">
        <v>731120</v>
      </c>
      <c r="C511">
        <v>1</v>
      </c>
      <c r="D511" t="str">
        <f t="shared" ref="D511:D574" si="64">C511&amp;B511&amp;"."&amp;A511</f>
        <v>1731120.500</v>
      </c>
      <c r="E511" s="348" t="s">
        <v>8194</v>
      </c>
      <c r="F511" s="242"/>
      <c r="G511"/>
      <c r="H511" s="322">
        <v>14700</v>
      </c>
      <c r="I511" s="322">
        <v>14700</v>
      </c>
      <c r="J511" s="242">
        <v>6300</v>
      </c>
      <c r="K511" s="18" t="e">
        <f>INDEX(תקציב_2013,MATCH(D511,'תקציב 2015'!$D$3:$D$5960,0),8)</f>
        <v>#N/A</v>
      </c>
      <c r="L511" s="18" t="str">
        <f t="shared" si="57"/>
        <v>7</v>
      </c>
      <c r="M511" s="18" t="str">
        <f>INDEX(Chapter,MATCH(L511,Chapter!$A$1:$A$681,0),8)</f>
        <v>שירותים מקומיים</v>
      </c>
      <c r="N511" s="18" t="str">
        <f t="shared" si="58"/>
        <v>73</v>
      </c>
      <c r="O511" s="18" t="str">
        <f>INDEX(Chapter,MATCH(N511,Chapter!$A$1:$A$681,0),8)</f>
        <v>תכנון ובנין עיר</v>
      </c>
      <c r="P511" s="18" t="str">
        <f t="shared" si="59"/>
        <v>731</v>
      </c>
      <c r="Q511" s="18" t="str">
        <f>INDEX(Chapter,MATCH(P511,Chapter!$A$1:$A$681,0),8)</f>
        <v>משרד מהנדס הרשות</v>
      </c>
      <c r="R511" s="18" t="str">
        <f t="shared" si="60"/>
        <v>7311</v>
      </c>
      <c r="S511" s="18" t="e">
        <f>INDEX(Chapter,MATCH(R511,Chapter!$A$1:$A$681,0),8)</f>
        <v>#N/A</v>
      </c>
      <c r="T511" s="18"/>
      <c r="U511" s="18" t="str">
        <f t="shared" si="61"/>
        <v>5</v>
      </c>
      <c r="V511" s="18" t="str">
        <f>IF($L511&lt;"6",INDEX(Revenue_type,MATCH(U511*1,type!$A$118:$A$168,0),8),INDEX(Expenditure_type,MATCH(U511*1,type!$A$2:$A$117,0),8))</f>
        <v>הוצאות מנהליות</v>
      </c>
      <c r="W511" s="18" t="str">
        <f t="shared" si="62"/>
        <v>50</v>
      </c>
      <c r="X511" s="18" t="e">
        <f>IF($L511&lt;"6",INDEX(Revenue_type,MATCH(W511*1,type!$A$118:$A$168,0),8),INDEX(Expenditure_type,MATCH(W511*1,type!$A$2:$A$117,0),8))</f>
        <v>#N/A</v>
      </c>
      <c r="Y511" s="18" t="str">
        <f t="shared" si="63"/>
        <v>500</v>
      </c>
      <c r="Z511" s="18" t="e">
        <f>IF($L511&lt;"6",INDEX(Revenue_type,MATCH(Y511*1,type!$A$118:$A$168,0),8),INDEX(Expenditure_type,MATCH(Y511*1,type!$A$2:$A$117,0),8))</f>
        <v>#N/A</v>
      </c>
    </row>
    <row r="512" spans="1:26" ht="15.75" hidden="1" customHeight="1" outlineLevel="2">
      <c r="A512">
        <v>700</v>
      </c>
      <c r="B512" s="249">
        <v>731120</v>
      </c>
      <c r="C512">
        <v>1</v>
      </c>
      <c r="D512" t="str">
        <f t="shared" si="64"/>
        <v>1731120.700</v>
      </c>
      <c r="E512" s="348" t="s">
        <v>8195</v>
      </c>
      <c r="F512" s="242"/>
      <c r="G512"/>
      <c r="H512" s="322">
        <v>54300</v>
      </c>
      <c r="I512" s="322">
        <v>60800</v>
      </c>
      <c r="J512" s="242">
        <v>70100</v>
      </c>
      <c r="K512" s="18" t="e">
        <f>INDEX(תקציב_2013,MATCH(D512,'תקציב 2015'!$D$3:$D$5960,0),8)</f>
        <v>#N/A</v>
      </c>
      <c r="L512" s="18" t="str">
        <f t="shared" si="57"/>
        <v>7</v>
      </c>
      <c r="M512" s="18" t="str">
        <f>INDEX(Chapter,MATCH(L512,Chapter!$A$1:$A$681,0),8)</f>
        <v>שירותים מקומיים</v>
      </c>
      <c r="N512" s="18" t="str">
        <f t="shared" si="58"/>
        <v>73</v>
      </c>
      <c r="O512" s="18" t="str">
        <f>INDEX(Chapter,MATCH(N512,Chapter!$A$1:$A$681,0),8)</f>
        <v>תכנון ובנין עיר</v>
      </c>
      <c r="P512" s="18" t="str">
        <f t="shared" si="59"/>
        <v>731</v>
      </c>
      <c r="Q512" s="18" t="str">
        <f>INDEX(Chapter,MATCH(P512,Chapter!$A$1:$A$681,0),8)</f>
        <v>משרד מהנדס הרשות</v>
      </c>
      <c r="R512" s="18" t="str">
        <f t="shared" si="60"/>
        <v>7311</v>
      </c>
      <c r="S512" s="18" t="e">
        <f>INDEX(Chapter,MATCH(R512,Chapter!$A$1:$A$681,0),8)</f>
        <v>#N/A</v>
      </c>
      <c r="T512" s="18"/>
      <c r="U512" s="18" t="str">
        <f t="shared" si="61"/>
        <v>7</v>
      </c>
      <c r="V512" s="18" t="str">
        <f>IF($L512&lt;"6",INDEX(Revenue_type,MATCH(U512*1,type!$A$118:$A$168,0),8),INDEX(Expenditure_type,MATCH(U512*1,type!$A$2:$A$117,0),8))</f>
        <v>הוצאות לפעולות</v>
      </c>
      <c r="W512" s="18" t="str">
        <f t="shared" si="62"/>
        <v>70</v>
      </c>
      <c r="X512" s="18" t="e">
        <f>IF($L512&lt;"6",INDEX(Revenue_type,MATCH(W512*1,type!$A$118:$A$168,0),8),INDEX(Expenditure_type,MATCH(W512*1,type!$A$2:$A$117,0),8))</f>
        <v>#N/A</v>
      </c>
      <c r="Y512" s="18" t="str">
        <f t="shared" si="63"/>
        <v>700</v>
      </c>
      <c r="Z512" s="18" t="e">
        <f>IF($L512&lt;"6",INDEX(Revenue_type,MATCH(Y512*1,type!$A$118:$A$168,0),8),INDEX(Expenditure_type,MATCH(Y512*1,type!$A$2:$A$117,0),8))</f>
        <v>#N/A</v>
      </c>
    </row>
    <row r="513" spans="1:26" ht="15.75" hidden="1" customHeight="1" outlineLevel="2">
      <c r="A513">
        <v>100</v>
      </c>
      <c r="B513" s="249">
        <v>613100</v>
      </c>
      <c r="C513">
        <v>1</v>
      </c>
      <c r="D513" t="str">
        <f t="shared" si="64"/>
        <v>1613100.100</v>
      </c>
      <c r="E513" s="348" t="s">
        <v>8196</v>
      </c>
      <c r="F513" s="242"/>
      <c r="G513"/>
      <c r="H513" s="322">
        <v>1930800</v>
      </c>
      <c r="I513" s="322">
        <v>1908800</v>
      </c>
      <c r="J513" s="242">
        <v>1815900</v>
      </c>
      <c r="K513" s="18" t="e">
        <f>INDEX(תקציב_2013,MATCH(D513,'תקציב 2015'!$D$3:$D$5960,0),8)</f>
        <v>#N/A</v>
      </c>
      <c r="L513" s="18" t="str">
        <f t="shared" si="57"/>
        <v>6</v>
      </c>
      <c r="M513" s="18" t="str">
        <f>INDEX(Chapter,MATCH(L513,Chapter!$A$1:$A$681,0),8)</f>
        <v>הנהלה כללית</v>
      </c>
      <c r="N513" s="18" t="str">
        <f t="shared" si="58"/>
        <v>61</v>
      </c>
      <c r="O513" s="18" t="str">
        <f>INDEX(Chapter,MATCH(N513,Chapter!$A$1:$A$681,0),8)</f>
        <v>מינהל כללי</v>
      </c>
      <c r="P513" s="18" t="str">
        <f t="shared" si="59"/>
        <v>613</v>
      </c>
      <c r="Q513" s="18" t="str">
        <f>INDEX(Chapter,MATCH(P513,Chapter!$A$1:$A$681,0),8)</f>
        <v>מזכירות</v>
      </c>
      <c r="R513" s="18" t="str">
        <f t="shared" si="60"/>
        <v>6131</v>
      </c>
      <c r="S513" s="18" t="e">
        <f>INDEX(Chapter,MATCH(R513,Chapter!$A$1:$A$681,0),8)</f>
        <v>#N/A</v>
      </c>
      <c r="T513" s="18"/>
      <c r="U513" s="18" t="str">
        <f t="shared" si="61"/>
        <v>1</v>
      </c>
      <c r="V513" s="18" t="str">
        <f>IF($L513&lt;"6",INDEX(Revenue_type,MATCH(U513*1,type!$A$118:$A$168,0),8),INDEX(Expenditure_type,MATCH(U513*1,type!$A$2:$A$117,0),8))</f>
        <v>משכורות וש"ע לעובדים לפי תקן</v>
      </c>
      <c r="W513" s="18" t="str">
        <f t="shared" si="62"/>
        <v>10</v>
      </c>
      <c r="X513" s="18" t="e">
        <f>IF($L513&lt;"6",INDEX(Revenue_type,MATCH(W513*1,type!$A$118:$A$168,0),8),INDEX(Expenditure_type,MATCH(W513*1,type!$A$2:$A$117,0),8))</f>
        <v>#N/A</v>
      </c>
      <c r="Y513" s="18" t="str">
        <f t="shared" si="63"/>
        <v>100</v>
      </c>
      <c r="Z513" s="18" t="e">
        <f>IF($L513&lt;"6",INDEX(Revenue_type,MATCH(Y513*1,type!$A$118:$A$168,0),8),INDEX(Expenditure_type,MATCH(Y513*1,type!$A$2:$A$117,0),8))</f>
        <v>#N/A</v>
      </c>
    </row>
    <row r="514" spans="1:26" ht="15.75" hidden="1" customHeight="1" outlineLevel="2">
      <c r="A514">
        <v>120</v>
      </c>
      <c r="B514" s="249">
        <v>613100</v>
      </c>
      <c r="C514">
        <v>1</v>
      </c>
      <c r="D514" t="str">
        <f t="shared" si="64"/>
        <v>1613100.120</v>
      </c>
      <c r="E514" s="348" t="s">
        <v>8197</v>
      </c>
      <c r="F514" s="242"/>
      <c r="G514"/>
      <c r="H514" s="322">
        <v>49200</v>
      </c>
      <c r="I514" s="322">
        <v>49200</v>
      </c>
      <c r="J514" s="242">
        <v>65700</v>
      </c>
      <c r="K514" s="18" t="e">
        <f>INDEX(תקציב_2013,MATCH(D514,'תקציב 2015'!$D$3:$D$5960,0),8)</f>
        <v>#N/A</v>
      </c>
      <c r="L514" s="18" t="str">
        <f t="shared" si="57"/>
        <v>6</v>
      </c>
      <c r="M514" s="18" t="str">
        <f>INDEX(Chapter,MATCH(L514,Chapter!$A$1:$A$681,0),8)</f>
        <v>הנהלה כללית</v>
      </c>
      <c r="N514" s="18" t="str">
        <f t="shared" si="58"/>
        <v>61</v>
      </c>
      <c r="O514" s="18" t="str">
        <f>INDEX(Chapter,MATCH(N514,Chapter!$A$1:$A$681,0),8)</f>
        <v>מינהל כללי</v>
      </c>
      <c r="P514" s="18" t="str">
        <f t="shared" si="59"/>
        <v>613</v>
      </c>
      <c r="Q514" s="18" t="str">
        <f>INDEX(Chapter,MATCH(P514,Chapter!$A$1:$A$681,0),8)</f>
        <v>מזכירות</v>
      </c>
      <c r="R514" s="18" t="str">
        <f t="shared" si="60"/>
        <v>6131</v>
      </c>
      <c r="S514" s="18" t="e">
        <f>INDEX(Chapter,MATCH(R514,Chapter!$A$1:$A$681,0),8)</f>
        <v>#N/A</v>
      </c>
      <c r="T514" s="18"/>
      <c r="U514" s="18" t="str">
        <f t="shared" si="61"/>
        <v>1</v>
      </c>
      <c r="V514" s="18" t="str">
        <f>IF($L514&lt;"6",INDEX(Revenue_type,MATCH(U514*1,type!$A$118:$A$168,0),8),INDEX(Expenditure_type,MATCH(U514*1,type!$A$2:$A$117,0),8))</f>
        <v>משכורות וש"ע לעובדים לפי תקן</v>
      </c>
      <c r="W514" s="18" t="str">
        <f t="shared" si="62"/>
        <v>12</v>
      </c>
      <c r="X514" s="18" t="str">
        <f>IF($L514&lt;"6",INDEX(Revenue_type,MATCH(W514*1,type!$A$118:$A$168,0),8),INDEX(Expenditure_type,MATCH(W514*1,type!$A$2:$A$117,0),8))</f>
        <v>תוספות שאינן נכללות בשכר הקובע</v>
      </c>
      <c r="Y514" s="18" t="str">
        <f t="shared" si="63"/>
        <v>120</v>
      </c>
      <c r="Z514" s="18" t="e">
        <f>IF($L514&lt;"6",INDEX(Revenue_type,MATCH(Y514*1,type!$A$118:$A$168,0),8),INDEX(Expenditure_type,MATCH(Y514*1,type!$A$2:$A$117,0),8))</f>
        <v>#N/A</v>
      </c>
    </row>
    <row r="515" spans="1:26" ht="15.75" hidden="1" customHeight="1" outlineLevel="2">
      <c r="A515">
        <v>400</v>
      </c>
      <c r="B515" s="249">
        <v>613100</v>
      </c>
      <c r="C515">
        <v>1</v>
      </c>
      <c r="D515" t="str">
        <f t="shared" si="64"/>
        <v>1613100.400</v>
      </c>
      <c r="E515" s="348" t="s">
        <v>8198</v>
      </c>
      <c r="F515" s="242"/>
      <c r="G515"/>
      <c r="H515" s="322">
        <v>10100</v>
      </c>
      <c r="I515" s="322">
        <v>12500</v>
      </c>
      <c r="J515" s="242">
        <v>14900</v>
      </c>
      <c r="K515" s="18" t="e">
        <f>INDEX(תקציב_2013,MATCH(D515,'תקציב 2015'!$D$3:$D$5960,0),8)</f>
        <v>#N/A</v>
      </c>
      <c r="L515" s="18" t="str">
        <f t="shared" ref="L515:L578" si="65">IF(LEFT($B515,1)*1=0,LEFT($B515,2),LEFT($B515,1))</f>
        <v>6</v>
      </c>
      <c r="M515" s="18" t="str">
        <f>INDEX(Chapter,MATCH(L515,Chapter!$A$1:$A$681,0),8)</f>
        <v>הנהלה כללית</v>
      </c>
      <c r="N515" s="18" t="str">
        <f t="shared" ref="N515:N578" si="66">IF(LEFT($B515,1)*1=0,LEFT($B515,3),LEFT($B515,2))</f>
        <v>61</v>
      </c>
      <c r="O515" s="18" t="str">
        <f>INDEX(Chapter,MATCH(N515,Chapter!$A$1:$A$681,0),8)</f>
        <v>מינהל כללי</v>
      </c>
      <c r="P515" s="18" t="str">
        <f t="shared" ref="P515:P578" si="67">IF(LEFT($B515,1)*1=0,LEFT($B515,4),LEFT($B515,3))</f>
        <v>613</v>
      </c>
      <c r="Q515" s="18" t="str">
        <f>INDEX(Chapter,MATCH(P515,Chapter!$A$1:$A$681,0),8)</f>
        <v>מזכירות</v>
      </c>
      <c r="R515" s="18" t="str">
        <f t="shared" ref="R515:R578" si="68">LEFT($B515,4)</f>
        <v>6131</v>
      </c>
      <c r="S515" s="18" t="e">
        <f>INDEX(Chapter,MATCH(R515,Chapter!$A$1:$A$681,0),8)</f>
        <v>#N/A</v>
      </c>
      <c r="T515" s="18"/>
      <c r="U515" s="18" t="str">
        <f t="shared" ref="U515:U578" si="69">LEFT($A515,1)</f>
        <v>4</v>
      </c>
      <c r="V515" s="18" t="str">
        <f>IF($L515&lt;"6",INDEX(Revenue_type,MATCH(U515*1,type!$A$118:$A$168,0),8),INDEX(Expenditure_type,MATCH(U515*1,type!$A$2:$A$117,0),8))</f>
        <v>אחזקת בינים ואספקת ציוד</v>
      </c>
      <c r="W515" s="18" t="str">
        <f t="shared" ref="W515:W578" si="70">LEFT($A515,2)</f>
        <v>40</v>
      </c>
      <c r="X515" s="18" t="e">
        <f>IF($L515&lt;"6",INDEX(Revenue_type,MATCH(W515*1,type!$A$118:$A$168,0),8),INDEX(Expenditure_type,MATCH(W515*1,type!$A$2:$A$117,0),8))</f>
        <v>#N/A</v>
      </c>
      <c r="Y515" s="18" t="str">
        <f t="shared" ref="Y515:Y578" si="71">LEFT($A515,3)</f>
        <v>400</v>
      </c>
      <c r="Z515" s="18" t="e">
        <f>IF($L515&lt;"6",INDEX(Revenue_type,MATCH(Y515*1,type!$A$118:$A$168,0),8),INDEX(Expenditure_type,MATCH(Y515*1,type!$A$2:$A$117,0),8))</f>
        <v>#N/A</v>
      </c>
    </row>
    <row r="516" spans="1:26" ht="15.75" hidden="1" customHeight="1" outlineLevel="2">
      <c r="A516">
        <v>500</v>
      </c>
      <c r="B516" s="249">
        <v>613100</v>
      </c>
      <c r="C516">
        <v>1</v>
      </c>
      <c r="D516" t="str">
        <f t="shared" si="64"/>
        <v>1613100.500</v>
      </c>
      <c r="E516" s="352" t="s">
        <v>8199</v>
      </c>
      <c r="F516" s="242"/>
      <c r="G516"/>
      <c r="H516" s="322">
        <v>68700</v>
      </c>
      <c r="I516" s="322">
        <v>68700</v>
      </c>
      <c r="J516" s="242">
        <v>86700</v>
      </c>
      <c r="K516" s="18" t="e">
        <f>INDEX(תקציב_2013,MATCH(D516,'תקציב 2015'!$D$3:$D$5960,0),8)</f>
        <v>#N/A</v>
      </c>
      <c r="L516" s="18" t="str">
        <f t="shared" si="65"/>
        <v>6</v>
      </c>
      <c r="M516" s="18" t="str">
        <f>INDEX(Chapter,MATCH(L516,Chapter!$A$1:$A$681,0),8)</f>
        <v>הנהלה כללית</v>
      </c>
      <c r="N516" s="18" t="str">
        <f t="shared" si="66"/>
        <v>61</v>
      </c>
      <c r="O516" s="18" t="str">
        <f>INDEX(Chapter,MATCH(N516,Chapter!$A$1:$A$681,0),8)</f>
        <v>מינהל כללי</v>
      </c>
      <c r="P516" s="18" t="str">
        <f t="shared" si="67"/>
        <v>613</v>
      </c>
      <c r="Q516" s="18" t="str">
        <f>INDEX(Chapter,MATCH(P516,Chapter!$A$1:$A$681,0),8)</f>
        <v>מזכירות</v>
      </c>
      <c r="R516" s="18" t="str">
        <f t="shared" si="68"/>
        <v>6131</v>
      </c>
      <c r="S516" s="18" t="e">
        <f>INDEX(Chapter,MATCH(R516,Chapter!$A$1:$A$681,0),8)</f>
        <v>#N/A</v>
      </c>
      <c r="T516" s="18"/>
      <c r="U516" s="18" t="str">
        <f t="shared" si="69"/>
        <v>5</v>
      </c>
      <c r="V516" s="18" t="str">
        <f>IF($L516&lt;"6",INDEX(Revenue_type,MATCH(U516*1,type!$A$118:$A$168,0),8),INDEX(Expenditure_type,MATCH(U516*1,type!$A$2:$A$117,0),8))</f>
        <v>הוצאות מנהליות</v>
      </c>
      <c r="W516" s="18" t="str">
        <f t="shared" si="70"/>
        <v>50</v>
      </c>
      <c r="X516" s="18" t="e">
        <f>IF($L516&lt;"6",INDEX(Revenue_type,MATCH(W516*1,type!$A$118:$A$168,0),8),INDEX(Expenditure_type,MATCH(W516*1,type!$A$2:$A$117,0),8))</f>
        <v>#N/A</v>
      </c>
      <c r="Y516" s="18" t="str">
        <f t="shared" si="71"/>
        <v>500</v>
      </c>
      <c r="Z516" s="18" t="e">
        <f>IF($L516&lt;"6",INDEX(Revenue_type,MATCH(Y516*1,type!$A$118:$A$168,0),8),INDEX(Expenditure_type,MATCH(Y516*1,type!$A$2:$A$117,0),8))</f>
        <v>#N/A</v>
      </c>
    </row>
    <row r="517" spans="1:26" ht="15.75" hidden="1" customHeight="1" outlineLevel="2">
      <c r="A517">
        <v>500</v>
      </c>
      <c r="B517" s="249">
        <v>613100</v>
      </c>
      <c r="C517">
        <v>1</v>
      </c>
      <c r="D517" t="str">
        <f t="shared" si="64"/>
        <v>1613100.500</v>
      </c>
      <c r="E517" s="352" t="s">
        <v>8200</v>
      </c>
      <c r="F517" s="242"/>
      <c r="G517"/>
      <c r="H517" s="322">
        <v>1000</v>
      </c>
      <c r="I517" s="322">
        <v>1000</v>
      </c>
      <c r="J517" s="242">
        <v>700</v>
      </c>
      <c r="K517" s="18" t="e">
        <f>INDEX(תקציב_2013,MATCH(D517,'תקציב 2015'!$D$3:$D$5960,0),8)</f>
        <v>#N/A</v>
      </c>
      <c r="L517" s="18" t="str">
        <f t="shared" si="65"/>
        <v>6</v>
      </c>
      <c r="M517" s="18" t="str">
        <f>INDEX(Chapter,MATCH(L517,Chapter!$A$1:$A$681,0),8)</f>
        <v>הנהלה כללית</v>
      </c>
      <c r="N517" s="18" t="str">
        <f t="shared" si="66"/>
        <v>61</v>
      </c>
      <c r="O517" s="18" t="str">
        <f>INDEX(Chapter,MATCH(N517,Chapter!$A$1:$A$681,0),8)</f>
        <v>מינהל כללי</v>
      </c>
      <c r="P517" s="18" t="str">
        <f t="shared" si="67"/>
        <v>613</v>
      </c>
      <c r="Q517" s="18" t="str">
        <f>INDEX(Chapter,MATCH(P517,Chapter!$A$1:$A$681,0),8)</f>
        <v>מזכירות</v>
      </c>
      <c r="R517" s="18" t="str">
        <f t="shared" si="68"/>
        <v>6131</v>
      </c>
      <c r="S517" s="18" t="e">
        <f>INDEX(Chapter,MATCH(R517,Chapter!$A$1:$A$681,0),8)</f>
        <v>#N/A</v>
      </c>
      <c r="T517" s="18"/>
      <c r="U517" s="18" t="str">
        <f t="shared" si="69"/>
        <v>5</v>
      </c>
      <c r="V517" s="18" t="str">
        <f>IF($L517&lt;"6",INDEX(Revenue_type,MATCH(U517*1,type!$A$118:$A$168,0),8),INDEX(Expenditure_type,MATCH(U517*1,type!$A$2:$A$117,0),8))</f>
        <v>הוצאות מנהליות</v>
      </c>
      <c r="W517" s="18" t="str">
        <f t="shared" si="70"/>
        <v>50</v>
      </c>
      <c r="X517" s="18" t="e">
        <f>IF($L517&lt;"6",INDEX(Revenue_type,MATCH(W517*1,type!$A$118:$A$168,0),8),INDEX(Expenditure_type,MATCH(W517*1,type!$A$2:$A$117,0),8))</f>
        <v>#N/A</v>
      </c>
      <c r="Y517" s="18" t="str">
        <f t="shared" si="71"/>
        <v>500</v>
      </c>
      <c r="Z517" s="18" t="e">
        <f>IF($L517&lt;"6",INDEX(Revenue_type,MATCH(Y517*1,type!$A$118:$A$168,0),8),INDEX(Expenditure_type,MATCH(Y517*1,type!$A$2:$A$117,0),8))</f>
        <v>#N/A</v>
      </c>
    </row>
    <row r="518" spans="1:26" ht="15.75" hidden="1" customHeight="1" outlineLevel="2">
      <c r="A518">
        <v>700</v>
      </c>
      <c r="B518" s="249">
        <v>613100</v>
      </c>
      <c r="C518">
        <v>1</v>
      </c>
      <c r="D518" t="str">
        <f t="shared" si="64"/>
        <v>1613100.700</v>
      </c>
      <c r="E518" s="348" t="s">
        <v>8201</v>
      </c>
      <c r="F518" s="242"/>
      <c r="G518"/>
      <c r="H518" s="322">
        <v>800</v>
      </c>
      <c r="I518" s="322">
        <v>800</v>
      </c>
      <c r="J518" s="242">
        <v>1100</v>
      </c>
      <c r="K518" s="18" t="e">
        <f>INDEX(תקציב_2013,MATCH(D518,'תקציב 2015'!$D$3:$D$5960,0),8)</f>
        <v>#N/A</v>
      </c>
      <c r="L518" s="18" t="str">
        <f t="shared" si="65"/>
        <v>6</v>
      </c>
      <c r="M518" s="18" t="str">
        <f>INDEX(Chapter,MATCH(L518,Chapter!$A$1:$A$681,0),8)</f>
        <v>הנהלה כללית</v>
      </c>
      <c r="N518" s="18" t="str">
        <f t="shared" si="66"/>
        <v>61</v>
      </c>
      <c r="O518" s="18" t="str">
        <f>INDEX(Chapter,MATCH(N518,Chapter!$A$1:$A$681,0),8)</f>
        <v>מינהל כללי</v>
      </c>
      <c r="P518" s="18" t="str">
        <f t="shared" si="67"/>
        <v>613</v>
      </c>
      <c r="Q518" s="18" t="str">
        <f>INDEX(Chapter,MATCH(P518,Chapter!$A$1:$A$681,0),8)</f>
        <v>מזכירות</v>
      </c>
      <c r="R518" s="18" t="str">
        <f t="shared" si="68"/>
        <v>6131</v>
      </c>
      <c r="S518" s="18" t="e">
        <f>INDEX(Chapter,MATCH(R518,Chapter!$A$1:$A$681,0),8)</f>
        <v>#N/A</v>
      </c>
      <c r="T518" s="18"/>
      <c r="U518" s="18" t="str">
        <f t="shared" si="69"/>
        <v>7</v>
      </c>
      <c r="V518" s="18" t="str">
        <f>IF($L518&lt;"6",INDEX(Revenue_type,MATCH(U518*1,type!$A$118:$A$168,0),8),INDEX(Expenditure_type,MATCH(U518*1,type!$A$2:$A$117,0),8))</f>
        <v>הוצאות לפעולות</v>
      </c>
      <c r="W518" s="18" t="str">
        <f t="shared" si="70"/>
        <v>70</v>
      </c>
      <c r="X518" s="18" t="e">
        <f>IF($L518&lt;"6",INDEX(Revenue_type,MATCH(W518*1,type!$A$118:$A$168,0),8),INDEX(Expenditure_type,MATCH(W518*1,type!$A$2:$A$117,0),8))</f>
        <v>#N/A</v>
      </c>
      <c r="Y518" s="18" t="str">
        <f t="shared" si="71"/>
        <v>700</v>
      </c>
      <c r="Z518" s="18" t="e">
        <f>IF($L518&lt;"6",INDEX(Revenue_type,MATCH(Y518*1,type!$A$118:$A$168,0),8),INDEX(Expenditure_type,MATCH(Y518*1,type!$A$2:$A$117,0),8))</f>
        <v>#N/A</v>
      </c>
    </row>
    <row r="519" spans="1:26" ht="15.75" hidden="1" customHeight="1" outlineLevel="2">
      <c r="A519">
        <v>100</v>
      </c>
      <c r="B519" s="249">
        <v>613000</v>
      </c>
      <c r="C519">
        <v>1</v>
      </c>
      <c r="D519" t="str">
        <f t="shared" si="64"/>
        <v>1613000.100</v>
      </c>
      <c r="E519" s="352" t="s">
        <v>8202</v>
      </c>
      <c r="F519" s="242"/>
      <c r="G519"/>
      <c r="H519" s="322">
        <v>801000</v>
      </c>
      <c r="I519" s="322">
        <v>792000</v>
      </c>
      <c r="J519" s="242">
        <v>714000</v>
      </c>
      <c r="K519" s="18" t="e">
        <f>INDEX(תקציב_2013,MATCH(D519,'תקציב 2015'!$D$3:$D$5960,0),8)</f>
        <v>#N/A</v>
      </c>
      <c r="L519" s="18" t="str">
        <f t="shared" si="65"/>
        <v>6</v>
      </c>
      <c r="M519" s="18" t="str">
        <f>INDEX(Chapter,MATCH(L519,Chapter!$A$1:$A$681,0),8)</f>
        <v>הנהלה כללית</v>
      </c>
      <c r="N519" s="18" t="str">
        <f t="shared" si="66"/>
        <v>61</v>
      </c>
      <c r="O519" s="18" t="str">
        <f>INDEX(Chapter,MATCH(N519,Chapter!$A$1:$A$681,0),8)</f>
        <v>מינהל כללי</v>
      </c>
      <c r="P519" s="18" t="str">
        <f t="shared" si="67"/>
        <v>613</v>
      </c>
      <c r="Q519" s="18" t="str">
        <f>INDEX(Chapter,MATCH(P519,Chapter!$A$1:$A$681,0),8)</f>
        <v>מזכירות</v>
      </c>
      <c r="R519" s="18" t="str">
        <f t="shared" si="68"/>
        <v>6130</v>
      </c>
      <c r="S519" s="18" t="e">
        <f>INDEX(Chapter,MATCH(R519,Chapter!$A$1:$A$681,0),8)</f>
        <v>#N/A</v>
      </c>
      <c r="T519" s="18"/>
      <c r="U519" s="18" t="str">
        <f t="shared" si="69"/>
        <v>1</v>
      </c>
      <c r="V519" s="18" t="str">
        <f>IF($L519&lt;"6",INDEX(Revenue_type,MATCH(U519*1,type!$A$118:$A$168,0),8),INDEX(Expenditure_type,MATCH(U519*1,type!$A$2:$A$117,0),8))</f>
        <v>משכורות וש"ע לעובדים לפי תקן</v>
      </c>
      <c r="W519" s="18" t="str">
        <f t="shared" si="70"/>
        <v>10</v>
      </c>
      <c r="X519" s="18" t="e">
        <f>IF($L519&lt;"6",INDEX(Revenue_type,MATCH(W519*1,type!$A$118:$A$168,0),8),INDEX(Expenditure_type,MATCH(W519*1,type!$A$2:$A$117,0),8))</f>
        <v>#N/A</v>
      </c>
      <c r="Y519" s="18" t="str">
        <f t="shared" si="71"/>
        <v>100</v>
      </c>
      <c r="Z519" s="18" t="e">
        <f>IF($L519&lt;"6",INDEX(Revenue_type,MATCH(Y519*1,type!$A$118:$A$168,0),8),INDEX(Expenditure_type,MATCH(Y519*1,type!$A$2:$A$117,0),8))</f>
        <v>#N/A</v>
      </c>
    </row>
    <row r="520" spans="1:26" ht="15.75" hidden="1" customHeight="1" outlineLevel="2">
      <c r="A520">
        <v>120</v>
      </c>
      <c r="B520" s="249">
        <v>613000</v>
      </c>
      <c r="C520">
        <v>1</v>
      </c>
      <c r="D520" t="str">
        <f t="shared" si="64"/>
        <v>1613000.120</v>
      </c>
      <c r="E520" s="352" t="s">
        <v>8203</v>
      </c>
      <c r="F520" s="242"/>
      <c r="G520"/>
      <c r="H520" s="322">
        <v>17000</v>
      </c>
      <c r="I520" s="322">
        <v>17000</v>
      </c>
      <c r="J520" s="242">
        <v>21800</v>
      </c>
      <c r="K520" s="18">
        <f>INDEX(תקציב_2013,MATCH(D520,'תקציב 2015'!$D$3:$D$5960,0),8)</f>
        <v>68011</v>
      </c>
      <c r="L520" s="18" t="str">
        <f t="shared" si="65"/>
        <v>6</v>
      </c>
      <c r="M520" s="18" t="str">
        <f>INDEX(Chapter,MATCH(L520,Chapter!$A$1:$A$681,0),8)</f>
        <v>הנהלה כללית</v>
      </c>
      <c r="N520" s="18" t="str">
        <f t="shared" si="66"/>
        <v>61</v>
      </c>
      <c r="O520" s="18" t="str">
        <f>INDEX(Chapter,MATCH(N520,Chapter!$A$1:$A$681,0),8)</f>
        <v>מינהל כללי</v>
      </c>
      <c r="P520" s="18" t="str">
        <f t="shared" si="67"/>
        <v>613</v>
      </c>
      <c r="Q520" s="18" t="str">
        <f>INDEX(Chapter,MATCH(P520,Chapter!$A$1:$A$681,0),8)</f>
        <v>מזכירות</v>
      </c>
      <c r="R520" s="18" t="str">
        <f t="shared" si="68"/>
        <v>6130</v>
      </c>
      <c r="S520" s="18" t="e">
        <f>INDEX(Chapter,MATCH(R520,Chapter!$A$1:$A$681,0),8)</f>
        <v>#N/A</v>
      </c>
      <c r="T520" s="18"/>
      <c r="U520" s="18" t="str">
        <f t="shared" si="69"/>
        <v>1</v>
      </c>
      <c r="V520" s="18" t="str">
        <f>IF($L520&lt;"6",INDEX(Revenue_type,MATCH(U520*1,type!$A$118:$A$168,0),8),INDEX(Expenditure_type,MATCH(U520*1,type!$A$2:$A$117,0),8))</f>
        <v>משכורות וש"ע לעובדים לפי תקן</v>
      </c>
      <c r="W520" s="18" t="str">
        <f t="shared" si="70"/>
        <v>12</v>
      </c>
      <c r="X520" s="18" t="str">
        <f>IF($L520&lt;"6",INDEX(Revenue_type,MATCH(W520*1,type!$A$118:$A$168,0),8),INDEX(Expenditure_type,MATCH(W520*1,type!$A$2:$A$117,0),8))</f>
        <v>תוספות שאינן נכללות בשכר הקובע</v>
      </c>
      <c r="Y520" s="18" t="str">
        <f t="shared" si="71"/>
        <v>120</v>
      </c>
      <c r="Z520" s="18" t="e">
        <f>IF($L520&lt;"6",INDEX(Revenue_type,MATCH(Y520*1,type!$A$118:$A$168,0),8),INDEX(Expenditure_type,MATCH(Y520*1,type!$A$2:$A$117,0),8))</f>
        <v>#N/A</v>
      </c>
    </row>
    <row r="521" spans="1:26" ht="15.75" hidden="1" customHeight="1" outlineLevel="2">
      <c r="A521">
        <v>400</v>
      </c>
      <c r="B521" s="249">
        <v>613000</v>
      </c>
      <c r="C521">
        <v>1</v>
      </c>
      <c r="D521" t="str">
        <f t="shared" si="64"/>
        <v>1613000.400</v>
      </c>
      <c r="E521" s="348" t="s">
        <v>8204</v>
      </c>
      <c r="F521" s="242"/>
      <c r="G521"/>
      <c r="H521" s="322">
        <v>69600</v>
      </c>
      <c r="I521" s="322">
        <v>69600</v>
      </c>
      <c r="J521" s="242">
        <v>73100</v>
      </c>
      <c r="K521" s="18" t="e">
        <f>INDEX(תקציב_2013,MATCH(D521,'תקציב 2015'!$D$3:$D$5960,0),8)</f>
        <v>#N/A</v>
      </c>
      <c r="L521" s="18" t="str">
        <f t="shared" si="65"/>
        <v>6</v>
      </c>
      <c r="M521" s="18" t="str">
        <f>INDEX(Chapter,MATCH(L521,Chapter!$A$1:$A$681,0),8)</f>
        <v>הנהלה כללית</v>
      </c>
      <c r="N521" s="18" t="str">
        <f t="shared" si="66"/>
        <v>61</v>
      </c>
      <c r="O521" s="18" t="str">
        <f>INDEX(Chapter,MATCH(N521,Chapter!$A$1:$A$681,0),8)</f>
        <v>מינהל כללי</v>
      </c>
      <c r="P521" s="18" t="str">
        <f t="shared" si="67"/>
        <v>613</v>
      </c>
      <c r="Q521" s="18" t="str">
        <f>INDEX(Chapter,MATCH(P521,Chapter!$A$1:$A$681,0),8)</f>
        <v>מזכירות</v>
      </c>
      <c r="R521" s="18" t="str">
        <f t="shared" si="68"/>
        <v>6130</v>
      </c>
      <c r="S521" s="18" t="e">
        <f>INDEX(Chapter,MATCH(R521,Chapter!$A$1:$A$681,0),8)</f>
        <v>#N/A</v>
      </c>
      <c r="T521" s="18"/>
      <c r="U521" s="18" t="str">
        <f t="shared" si="69"/>
        <v>4</v>
      </c>
      <c r="V521" s="18" t="str">
        <f>IF($L521&lt;"6",INDEX(Revenue_type,MATCH(U521*1,type!$A$118:$A$168,0),8),INDEX(Expenditure_type,MATCH(U521*1,type!$A$2:$A$117,0),8))</f>
        <v>אחזקת בינים ואספקת ציוד</v>
      </c>
      <c r="W521" s="18" t="str">
        <f t="shared" si="70"/>
        <v>40</v>
      </c>
      <c r="X521" s="18" t="e">
        <f>IF($L521&lt;"6",INDEX(Revenue_type,MATCH(W521*1,type!$A$118:$A$168,0),8),INDEX(Expenditure_type,MATCH(W521*1,type!$A$2:$A$117,0),8))</f>
        <v>#N/A</v>
      </c>
      <c r="Y521" s="18" t="str">
        <f t="shared" si="71"/>
        <v>400</v>
      </c>
      <c r="Z521" s="18" t="e">
        <f>IF($L521&lt;"6",INDEX(Revenue_type,MATCH(Y521*1,type!$A$118:$A$168,0),8),INDEX(Expenditure_type,MATCH(Y521*1,type!$A$2:$A$117,0),8))</f>
        <v>#N/A</v>
      </c>
    </row>
    <row r="522" spans="1:26" ht="15.75" hidden="1" customHeight="1" outlineLevel="2">
      <c r="A522">
        <v>500</v>
      </c>
      <c r="B522" s="249">
        <v>613000</v>
      </c>
      <c r="C522">
        <v>1</v>
      </c>
      <c r="D522" t="str">
        <f t="shared" si="64"/>
        <v>1613000.500</v>
      </c>
      <c r="E522" s="348" t="s">
        <v>8205</v>
      </c>
      <c r="F522" s="242"/>
      <c r="G522"/>
      <c r="H522" s="322">
        <v>51700</v>
      </c>
      <c r="I522" s="322">
        <v>51700</v>
      </c>
      <c r="J522" s="242">
        <v>25300</v>
      </c>
      <c r="K522" s="18"/>
      <c r="L522" s="18" t="str">
        <f t="shared" si="65"/>
        <v>6</v>
      </c>
      <c r="M522" s="18" t="str">
        <f>INDEX(Chapter,MATCH(L522,Chapter!$A$1:$A$681,0),8)</f>
        <v>הנהלה כללית</v>
      </c>
      <c r="N522" s="18" t="str">
        <f t="shared" si="66"/>
        <v>61</v>
      </c>
      <c r="O522" s="18" t="str">
        <f>INDEX(Chapter,MATCH(N522,Chapter!$A$1:$A$681,0),8)</f>
        <v>מינהל כללי</v>
      </c>
      <c r="P522" s="18" t="str">
        <f t="shared" si="67"/>
        <v>613</v>
      </c>
      <c r="Q522" s="18" t="str">
        <f>INDEX(Chapter,MATCH(P522,Chapter!$A$1:$A$681,0),8)</f>
        <v>מזכירות</v>
      </c>
      <c r="R522" s="18" t="str">
        <f t="shared" si="68"/>
        <v>6130</v>
      </c>
      <c r="S522" s="18" t="e">
        <f>INDEX(Chapter,MATCH(R522,Chapter!$A$1:$A$681,0),8)</f>
        <v>#N/A</v>
      </c>
      <c r="T522" s="18"/>
      <c r="U522" s="18" t="str">
        <f t="shared" si="69"/>
        <v>5</v>
      </c>
      <c r="V522" s="18" t="str">
        <f>IF($L522&lt;"6",INDEX(Revenue_type,MATCH(U522*1,type!$A$118:$A$168,0),8),INDEX(Expenditure_type,MATCH(U522*1,type!$A$2:$A$117,0),8))</f>
        <v>הוצאות מנהליות</v>
      </c>
      <c r="W522" s="18" t="str">
        <f t="shared" si="70"/>
        <v>50</v>
      </c>
      <c r="X522" s="18" t="e">
        <f>IF($L522&lt;"6",INDEX(Revenue_type,MATCH(W522*1,type!$A$118:$A$168,0),8),INDEX(Expenditure_type,MATCH(W522*1,type!$A$2:$A$117,0),8))</f>
        <v>#N/A</v>
      </c>
      <c r="Y522" s="18" t="str">
        <f t="shared" si="71"/>
        <v>500</v>
      </c>
      <c r="Z522" s="18" t="e">
        <f>IF($L522&lt;"6",INDEX(Revenue_type,MATCH(Y522*1,type!$A$118:$A$168,0),8),INDEX(Expenditure_type,MATCH(Y522*1,type!$A$2:$A$117,0),8))</f>
        <v>#N/A</v>
      </c>
    </row>
    <row r="523" spans="1:26" ht="15.75" hidden="1" customHeight="1" outlineLevel="2">
      <c r="A523">
        <v>500</v>
      </c>
      <c r="B523" s="249">
        <v>613000</v>
      </c>
      <c r="C523">
        <v>1</v>
      </c>
      <c r="D523" t="str">
        <f t="shared" si="64"/>
        <v>1613000.500</v>
      </c>
      <c r="E523" s="348" t="s">
        <v>8206</v>
      </c>
      <c r="F523" s="242"/>
      <c r="G523"/>
      <c r="H523" s="322">
        <v>500</v>
      </c>
      <c r="I523" s="322">
        <v>500</v>
      </c>
      <c r="J523" s="242">
        <v>200</v>
      </c>
      <c r="K523" s="18" t="e">
        <f>INDEX(תקציב_2013,MATCH(D523,'תקציב 2015'!$D$3:$D$5960,0),8)</f>
        <v>#N/A</v>
      </c>
      <c r="L523" s="18" t="str">
        <f t="shared" si="65"/>
        <v>6</v>
      </c>
      <c r="M523" s="18" t="str">
        <f>INDEX(Chapter,MATCH(L523,Chapter!$A$1:$A$681,0),8)</f>
        <v>הנהלה כללית</v>
      </c>
      <c r="N523" s="18" t="str">
        <f t="shared" si="66"/>
        <v>61</v>
      </c>
      <c r="O523" s="18" t="str">
        <f>INDEX(Chapter,MATCH(N523,Chapter!$A$1:$A$681,0),8)</f>
        <v>מינהל כללי</v>
      </c>
      <c r="P523" s="18" t="str">
        <f t="shared" si="67"/>
        <v>613</v>
      </c>
      <c r="Q523" s="18" t="str">
        <f>INDEX(Chapter,MATCH(P523,Chapter!$A$1:$A$681,0),8)</f>
        <v>מזכירות</v>
      </c>
      <c r="R523" s="18" t="str">
        <f t="shared" si="68"/>
        <v>6130</v>
      </c>
      <c r="S523" s="18" t="e">
        <f>INDEX(Chapter,MATCH(R523,Chapter!$A$1:$A$681,0),8)</f>
        <v>#N/A</v>
      </c>
      <c r="T523" s="18"/>
      <c r="U523" s="18" t="str">
        <f t="shared" si="69"/>
        <v>5</v>
      </c>
      <c r="V523" s="18" t="str">
        <f>IF($L523&lt;"6",INDEX(Revenue_type,MATCH(U523*1,type!$A$118:$A$168,0),8),INDEX(Expenditure_type,MATCH(U523*1,type!$A$2:$A$117,0),8))</f>
        <v>הוצאות מנהליות</v>
      </c>
      <c r="W523" s="18" t="str">
        <f t="shared" si="70"/>
        <v>50</v>
      </c>
      <c r="X523" s="18" t="e">
        <f>IF($L523&lt;"6",INDEX(Revenue_type,MATCH(W523*1,type!$A$118:$A$168,0),8),INDEX(Expenditure_type,MATCH(W523*1,type!$A$2:$A$117,0),8))</f>
        <v>#N/A</v>
      </c>
      <c r="Y523" s="18" t="str">
        <f t="shared" si="71"/>
        <v>500</v>
      </c>
      <c r="Z523" s="18" t="e">
        <f>IF($L523&lt;"6",INDEX(Revenue_type,MATCH(Y523*1,type!$A$118:$A$168,0),8),INDEX(Expenditure_type,MATCH(Y523*1,type!$A$2:$A$117,0),8))</f>
        <v>#N/A</v>
      </c>
    </row>
    <row r="524" spans="1:26" ht="15.75" hidden="1" customHeight="1" outlineLevel="2">
      <c r="A524">
        <v>700</v>
      </c>
      <c r="B524" s="249">
        <v>613000</v>
      </c>
      <c r="C524">
        <v>1</v>
      </c>
      <c r="D524" t="str">
        <f t="shared" si="64"/>
        <v>1613000.700</v>
      </c>
      <c r="E524" s="348" t="s">
        <v>8207</v>
      </c>
      <c r="F524" s="242"/>
      <c r="G524"/>
      <c r="H524" s="322">
        <v>42300</v>
      </c>
      <c r="I524" s="322">
        <v>47100</v>
      </c>
      <c r="J524" s="242">
        <v>45700</v>
      </c>
      <c r="K524" s="18" t="e">
        <f>INDEX(תקציב_2013,MATCH(D524,'תקציב 2015'!$D$3:$D$5960,0),8)</f>
        <v>#N/A</v>
      </c>
      <c r="L524" s="18" t="str">
        <f t="shared" si="65"/>
        <v>6</v>
      </c>
      <c r="M524" s="18" t="str">
        <f>INDEX(Chapter,MATCH(L524,Chapter!$A$1:$A$681,0),8)</f>
        <v>הנהלה כללית</v>
      </c>
      <c r="N524" s="18" t="str">
        <f t="shared" si="66"/>
        <v>61</v>
      </c>
      <c r="O524" s="18" t="str">
        <f>INDEX(Chapter,MATCH(N524,Chapter!$A$1:$A$681,0),8)</f>
        <v>מינהל כללי</v>
      </c>
      <c r="P524" s="18" t="str">
        <f t="shared" si="67"/>
        <v>613</v>
      </c>
      <c r="Q524" s="18" t="str">
        <f>INDEX(Chapter,MATCH(P524,Chapter!$A$1:$A$681,0),8)</f>
        <v>מזכירות</v>
      </c>
      <c r="R524" s="18" t="str">
        <f t="shared" si="68"/>
        <v>6130</v>
      </c>
      <c r="S524" s="18" t="e">
        <f>INDEX(Chapter,MATCH(R524,Chapter!$A$1:$A$681,0),8)</f>
        <v>#N/A</v>
      </c>
      <c r="T524" s="18"/>
      <c r="U524" s="18" t="str">
        <f t="shared" si="69"/>
        <v>7</v>
      </c>
      <c r="V524" s="18" t="str">
        <f>IF($L524&lt;"6",INDEX(Revenue_type,MATCH(U524*1,type!$A$118:$A$168,0),8),INDEX(Expenditure_type,MATCH(U524*1,type!$A$2:$A$117,0),8))</f>
        <v>הוצאות לפעולות</v>
      </c>
      <c r="W524" s="18" t="str">
        <f t="shared" si="70"/>
        <v>70</v>
      </c>
      <c r="X524" s="18" t="e">
        <f>IF($L524&lt;"6",INDEX(Revenue_type,MATCH(W524*1,type!$A$118:$A$168,0),8),INDEX(Expenditure_type,MATCH(W524*1,type!$A$2:$A$117,0),8))</f>
        <v>#N/A</v>
      </c>
      <c r="Y524" s="18" t="str">
        <f t="shared" si="71"/>
        <v>700</v>
      </c>
      <c r="Z524" s="18" t="e">
        <f>IF($L524&lt;"6",INDEX(Revenue_type,MATCH(Y524*1,type!$A$118:$A$168,0),8),INDEX(Expenditure_type,MATCH(Y524*1,type!$A$2:$A$117,0),8))</f>
        <v>#N/A</v>
      </c>
    </row>
    <row r="525" spans="1:26" ht="15.75" hidden="1" customHeight="1" outlineLevel="2">
      <c r="A525">
        <v>100</v>
      </c>
      <c r="B525" s="249">
        <v>613400</v>
      </c>
      <c r="C525">
        <v>1</v>
      </c>
      <c r="D525" t="str">
        <f t="shared" si="64"/>
        <v>1613400.100</v>
      </c>
      <c r="E525" s="348" t="s">
        <v>8208</v>
      </c>
      <c r="F525" s="242"/>
      <c r="G525"/>
      <c r="H525" s="322">
        <v>4223800</v>
      </c>
      <c r="I525" s="322">
        <v>4043800</v>
      </c>
      <c r="J525" s="242">
        <v>4301600</v>
      </c>
      <c r="K525" s="18" t="e">
        <f>INDEX(תקציב_2013,MATCH(D525,'תקציב 2015'!$D$3:$D$5960,0),8)</f>
        <v>#N/A</v>
      </c>
      <c r="L525" s="18" t="str">
        <f t="shared" si="65"/>
        <v>6</v>
      </c>
      <c r="M525" s="18" t="str">
        <f>INDEX(Chapter,MATCH(L525,Chapter!$A$1:$A$681,0),8)</f>
        <v>הנהלה כללית</v>
      </c>
      <c r="N525" s="18" t="str">
        <f t="shared" si="66"/>
        <v>61</v>
      </c>
      <c r="O525" s="18" t="str">
        <f>INDEX(Chapter,MATCH(N525,Chapter!$A$1:$A$681,0),8)</f>
        <v>מינהל כללי</v>
      </c>
      <c r="P525" s="18" t="str">
        <f t="shared" si="67"/>
        <v>613</v>
      </c>
      <c r="Q525" s="18" t="str">
        <f>INDEX(Chapter,MATCH(P525,Chapter!$A$1:$A$681,0),8)</f>
        <v>מזכירות</v>
      </c>
      <c r="R525" s="18" t="str">
        <f t="shared" si="68"/>
        <v>6134</v>
      </c>
      <c r="S525" s="18" t="e">
        <f>INDEX(Chapter,MATCH(R525,Chapter!$A$1:$A$681,0),8)</f>
        <v>#N/A</v>
      </c>
      <c r="T525" s="18"/>
      <c r="U525" s="18" t="str">
        <f t="shared" si="69"/>
        <v>1</v>
      </c>
      <c r="V525" s="18" t="str">
        <f>IF($L525&lt;"6",INDEX(Revenue_type,MATCH(U525*1,type!$A$118:$A$168,0),8),INDEX(Expenditure_type,MATCH(U525*1,type!$A$2:$A$117,0),8))</f>
        <v>משכורות וש"ע לעובדים לפי תקן</v>
      </c>
      <c r="W525" s="18" t="str">
        <f t="shared" si="70"/>
        <v>10</v>
      </c>
      <c r="X525" s="18" t="e">
        <f>IF($L525&lt;"6",INDEX(Revenue_type,MATCH(W525*1,type!$A$118:$A$168,0),8),INDEX(Expenditure_type,MATCH(W525*1,type!$A$2:$A$117,0),8))</f>
        <v>#N/A</v>
      </c>
      <c r="Y525" s="18" t="str">
        <f t="shared" si="71"/>
        <v>100</v>
      </c>
      <c r="Z525" s="18" t="e">
        <f>IF($L525&lt;"6",INDEX(Revenue_type,MATCH(Y525*1,type!$A$118:$A$168,0),8),INDEX(Expenditure_type,MATCH(Y525*1,type!$A$2:$A$117,0),8))</f>
        <v>#N/A</v>
      </c>
    </row>
    <row r="526" spans="1:26" ht="15.75" hidden="1" customHeight="1" outlineLevel="2">
      <c r="A526">
        <v>120</v>
      </c>
      <c r="B526" s="249">
        <v>613400</v>
      </c>
      <c r="C526">
        <v>1</v>
      </c>
      <c r="D526" t="str">
        <f t="shared" si="64"/>
        <v>1613400.120</v>
      </c>
      <c r="E526" s="348" t="s">
        <v>8209</v>
      </c>
      <c r="F526" s="242"/>
      <c r="G526"/>
      <c r="H526" s="322">
        <v>25200</v>
      </c>
      <c r="I526" s="322">
        <v>25200</v>
      </c>
      <c r="J526" s="242">
        <v>38300</v>
      </c>
      <c r="K526" s="18" t="e">
        <f>INDEX(תקציב_2013,MATCH(D526,'תקציב 2015'!$D$3:$D$5960,0),8)</f>
        <v>#N/A</v>
      </c>
      <c r="L526" s="18" t="str">
        <f t="shared" si="65"/>
        <v>6</v>
      </c>
      <c r="M526" s="18" t="str">
        <f>INDEX(Chapter,MATCH(L526,Chapter!$A$1:$A$681,0),8)</f>
        <v>הנהלה כללית</v>
      </c>
      <c r="N526" s="18" t="str">
        <f t="shared" si="66"/>
        <v>61</v>
      </c>
      <c r="O526" s="18" t="str">
        <f>INDEX(Chapter,MATCH(N526,Chapter!$A$1:$A$681,0),8)</f>
        <v>מינהל כללי</v>
      </c>
      <c r="P526" s="18" t="str">
        <f t="shared" si="67"/>
        <v>613</v>
      </c>
      <c r="Q526" s="18" t="str">
        <f>INDEX(Chapter,MATCH(P526,Chapter!$A$1:$A$681,0),8)</f>
        <v>מזכירות</v>
      </c>
      <c r="R526" s="18" t="str">
        <f t="shared" si="68"/>
        <v>6134</v>
      </c>
      <c r="S526" s="18" t="e">
        <f>INDEX(Chapter,MATCH(R526,Chapter!$A$1:$A$681,0),8)</f>
        <v>#N/A</v>
      </c>
      <c r="T526" s="18"/>
      <c r="U526" s="18" t="str">
        <f t="shared" si="69"/>
        <v>1</v>
      </c>
      <c r="V526" s="18" t="str">
        <f>IF($L526&lt;"6",INDEX(Revenue_type,MATCH(U526*1,type!$A$118:$A$168,0),8),INDEX(Expenditure_type,MATCH(U526*1,type!$A$2:$A$117,0),8))</f>
        <v>משכורות וש"ע לעובדים לפי תקן</v>
      </c>
      <c r="W526" s="18" t="str">
        <f t="shared" si="70"/>
        <v>12</v>
      </c>
      <c r="X526" s="18" t="str">
        <f>IF($L526&lt;"6",INDEX(Revenue_type,MATCH(W526*1,type!$A$118:$A$168,0),8),INDEX(Expenditure_type,MATCH(W526*1,type!$A$2:$A$117,0),8))</f>
        <v>תוספות שאינן נכללות בשכר הקובע</v>
      </c>
      <c r="Y526" s="18" t="str">
        <f t="shared" si="71"/>
        <v>120</v>
      </c>
      <c r="Z526" s="18" t="e">
        <f>IF($L526&lt;"6",INDEX(Revenue_type,MATCH(Y526*1,type!$A$118:$A$168,0),8),INDEX(Expenditure_type,MATCH(Y526*1,type!$A$2:$A$117,0),8))</f>
        <v>#N/A</v>
      </c>
    </row>
    <row r="527" spans="1:26" ht="15.75" hidden="1" customHeight="1" outlineLevel="2">
      <c r="A527">
        <v>400</v>
      </c>
      <c r="B527" s="249">
        <v>613400</v>
      </c>
      <c r="C527">
        <v>1</v>
      </c>
      <c r="D527" t="str">
        <f t="shared" si="64"/>
        <v>1613400.400</v>
      </c>
      <c r="E527" s="348" t="s">
        <v>8210</v>
      </c>
      <c r="F527" s="242"/>
      <c r="G527"/>
      <c r="H527" s="322">
        <v>27700</v>
      </c>
      <c r="I527" s="322">
        <v>25700</v>
      </c>
      <c r="J527" s="242">
        <v>25500</v>
      </c>
      <c r="K527" s="18" t="e">
        <f>INDEX(תקציב_2013,MATCH(D527,'תקציב 2015'!$D$3:$D$5960,0),8)</f>
        <v>#N/A</v>
      </c>
      <c r="L527" s="18" t="str">
        <f t="shared" si="65"/>
        <v>6</v>
      </c>
      <c r="M527" s="18" t="str">
        <f>INDEX(Chapter,MATCH(L527,Chapter!$A$1:$A$681,0),8)</f>
        <v>הנהלה כללית</v>
      </c>
      <c r="N527" s="18" t="str">
        <f t="shared" si="66"/>
        <v>61</v>
      </c>
      <c r="O527" s="18" t="str">
        <f>INDEX(Chapter,MATCH(N527,Chapter!$A$1:$A$681,0),8)</f>
        <v>מינהל כללי</v>
      </c>
      <c r="P527" s="18" t="str">
        <f t="shared" si="67"/>
        <v>613</v>
      </c>
      <c r="Q527" s="18" t="str">
        <f>INDEX(Chapter,MATCH(P527,Chapter!$A$1:$A$681,0),8)</f>
        <v>מזכירות</v>
      </c>
      <c r="R527" s="18" t="str">
        <f t="shared" si="68"/>
        <v>6134</v>
      </c>
      <c r="S527" s="18" t="e">
        <f>INDEX(Chapter,MATCH(R527,Chapter!$A$1:$A$681,0),8)</f>
        <v>#N/A</v>
      </c>
      <c r="T527" s="18"/>
      <c r="U527" s="18" t="str">
        <f t="shared" si="69"/>
        <v>4</v>
      </c>
      <c r="V527" s="18" t="str">
        <f>IF($L527&lt;"6",INDEX(Revenue_type,MATCH(U527*1,type!$A$118:$A$168,0),8),INDEX(Expenditure_type,MATCH(U527*1,type!$A$2:$A$117,0),8))</f>
        <v>אחזקת בינים ואספקת ציוד</v>
      </c>
      <c r="W527" s="18" t="str">
        <f t="shared" si="70"/>
        <v>40</v>
      </c>
      <c r="X527" s="18" t="e">
        <f>IF($L527&lt;"6",INDEX(Revenue_type,MATCH(W527*1,type!$A$118:$A$168,0),8),INDEX(Expenditure_type,MATCH(W527*1,type!$A$2:$A$117,0),8))</f>
        <v>#N/A</v>
      </c>
      <c r="Y527" s="18" t="str">
        <f t="shared" si="71"/>
        <v>400</v>
      </c>
      <c r="Z527" s="18" t="e">
        <f>IF($L527&lt;"6",INDEX(Revenue_type,MATCH(Y527*1,type!$A$118:$A$168,0),8),INDEX(Expenditure_type,MATCH(Y527*1,type!$A$2:$A$117,0),8))</f>
        <v>#N/A</v>
      </c>
    </row>
    <row r="528" spans="1:26" ht="15.75" hidden="1" customHeight="1" outlineLevel="2">
      <c r="A528">
        <v>500</v>
      </c>
      <c r="B528" s="249">
        <v>613400</v>
      </c>
      <c r="C528">
        <v>1</v>
      </c>
      <c r="D528" t="str">
        <f t="shared" si="64"/>
        <v>1613400.500</v>
      </c>
      <c r="E528" s="348" t="s">
        <v>8211</v>
      </c>
      <c r="F528" s="242"/>
      <c r="G528"/>
      <c r="H528" s="322">
        <v>105000</v>
      </c>
      <c r="I528" s="322">
        <v>109000</v>
      </c>
      <c r="J528" s="242">
        <v>77800</v>
      </c>
      <c r="K528" s="18" t="e">
        <f>INDEX(תקציב_2013,MATCH(D528,'תקציב 2015'!$D$3:$D$5960,0),8)</f>
        <v>#N/A</v>
      </c>
      <c r="L528" s="18" t="str">
        <f t="shared" si="65"/>
        <v>6</v>
      </c>
      <c r="M528" s="18" t="str">
        <f>INDEX(Chapter,MATCH(L528,Chapter!$A$1:$A$681,0),8)</f>
        <v>הנהלה כללית</v>
      </c>
      <c r="N528" s="18" t="str">
        <f t="shared" si="66"/>
        <v>61</v>
      </c>
      <c r="O528" s="18" t="str">
        <f>INDEX(Chapter,MATCH(N528,Chapter!$A$1:$A$681,0),8)</f>
        <v>מינהל כללי</v>
      </c>
      <c r="P528" s="18" t="str">
        <f t="shared" si="67"/>
        <v>613</v>
      </c>
      <c r="Q528" s="18" t="str">
        <f>INDEX(Chapter,MATCH(P528,Chapter!$A$1:$A$681,0),8)</f>
        <v>מזכירות</v>
      </c>
      <c r="R528" s="18" t="str">
        <f t="shared" si="68"/>
        <v>6134</v>
      </c>
      <c r="S528" s="18" t="e">
        <f>INDEX(Chapter,MATCH(R528,Chapter!$A$1:$A$681,0),8)</f>
        <v>#N/A</v>
      </c>
      <c r="T528" s="18"/>
      <c r="U528" s="18" t="str">
        <f t="shared" si="69"/>
        <v>5</v>
      </c>
      <c r="V528" s="18" t="str">
        <f>IF($L528&lt;"6",INDEX(Revenue_type,MATCH(U528*1,type!$A$118:$A$168,0),8),INDEX(Expenditure_type,MATCH(U528*1,type!$A$2:$A$117,0),8))</f>
        <v>הוצאות מנהליות</v>
      </c>
      <c r="W528" s="18" t="str">
        <f t="shared" si="70"/>
        <v>50</v>
      </c>
      <c r="X528" s="18" t="e">
        <f>IF($L528&lt;"6",INDEX(Revenue_type,MATCH(W528*1,type!$A$118:$A$168,0),8),INDEX(Expenditure_type,MATCH(W528*1,type!$A$2:$A$117,0),8))</f>
        <v>#N/A</v>
      </c>
      <c r="Y528" s="18" t="str">
        <f t="shared" si="71"/>
        <v>500</v>
      </c>
      <c r="Z528" s="18" t="e">
        <f>IF($L528&lt;"6",INDEX(Revenue_type,MATCH(Y528*1,type!$A$118:$A$168,0),8),INDEX(Expenditure_type,MATCH(Y528*1,type!$A$2:$A$117,0),8))</f>
        <v>#N/A</v>
      </c>
    </row>
    <row r="529" spans="1:26" ht="15.75" hidden="1" customHeight="1" outlineLevel="2">
      <c r="A529">
        <v>500</v>
      </c>
      <c r="B529" s="249">
        <v>613400</v>
      </c>
      <c r="C529">
        <v>1</v>
      </c>
      <c r="D529" t="str">
        <f t="shared" si="64"/>
        <v>1613400.500</v>
      </c>
      <c r="E529" s="348" t="s">
        <v>8212</v>
      </c>
      <c r="F529" s="242"/>
      <c r="G529"/>
      <c r="H529" s="322">
        <v>18900</v>
      </c>
      <c r="I529" s="322">
        <v>19100</v>
      </c>
      <c r="J529" s="242">
        <v>15900</v>
      </c>
      <c r="K529" s="18" t="e">
        <f>INDEX(תקציב_2013,MATCH(D529,'תקציב 2015'!$D$3:$D$5960,0),8)</f>
        <v>#N/A</v>
      </c>
      <c r="L529" s="18" t="str">
        <f t="shared" si="65"/>
        <v>6</v>
      </c>
      <c r="M529" s="18" t="str">
        <f>INDEX(Chapter,MATCH(L529,Chapter!$A$1:$A$681,0),8)</f>
        <v>הנהלה כללית</v>
      </c>
      <c r="N529" s="18" t="str">
        <f t="shared" si="66"/>
        <v>61</v>
      </c>
      <c r="O529" s="18" t="str">
        <f>INDEX(Chapter,MATCH(N529,Chapter!$A$1:$A$681,0),8)</f>
        <v>מינהל כללי</v>
      </c>
      <c r="P529" s="18" t="str">
        <f t="shared" si="67"/>
        <v>613</v>
      </c>
      <c r="Q529" s="18" t="str">
        <f>INDEX(Chapter,MATCH(P529,Chapter!$A$1:$A$681,0),8)</f>
        <v>מזכירות</v>
      </c>
      <c r="R529" s="18" t="str">
        <f t="shared" si="68"/>
        <v>6134</v>
      </c>
      <c r="S529" s="18" t="e">
        <f>INDEX(Chapter,MATCH(R529,Chapter!$A$1:$A$681,0),8)</f>
        <v>#N/A</v>
      </c>
      <c r="T529" s="18"/>
      <c r="U529" s="18" t="str">
        <f t="shared" si="69"/>
        <v>5</v>
      </c>
      <c r="V529" s="18" t="str">
        <f>IF($L529&lt;"6",INDEX(Revenue_type,MATCH(U529*1,type!$A$118:$A$168,0),8),INDEX(Expenditure_type,MATCH(U529*1,type!$A$2:$A$117,0),8))</f>
        <v>הוצאות מנהליות</v>
      </c>
      <c r="W529" s="18" t="str">
        <f t="shared" si="70"/>
        <v>50</v>
      </c>
      <c r="X529" s="18" t="e">
        <f>IF($L529&lt;"6",INDEX(Revenue_type,MATCH(W529*1,type!$A$118:$A$168,0),8),INDEX(Expenditure_type,MATCH(W529*1,type!$A$2:$A$117,0),8))</f>
        <v>#N/A</v>
      </c>
      <c r="Y529" s="18" t="str">
        <f t="shared" si="71"/>
        <v>500</v>
      </c>
      <c r="Z529" s="18" t="e">
        <f>IF($L529&lt;"6",INDEX(Revenue_type,MATCH(Y529*1,type!$A$118:$A$168,0),8),INDEX(Expenditure_type,MATCH(Y529*1,type!$A$2:$A$117,0),8))</f>
        <v>#N/A</v>
      </c>
    </row>
    <row r="530" spans="1:26" ht="15.75" hidden="1" customHeight="1" outlineLevel="2">
      <c r="A530">
        <v>700</v>
      </c>
      <c r="B530" s="249">
        <v>613400</v>
      </c>
      <c r="C530">
        <v>1</v>
      </c>
      <c r="D530" t="str">
        <f t="shared" si="64"/>
        <v>1613400.700</v>
      </c>
      <c r="E530" s="348" t="s">
        <v>8213</v>
      </c>
      <c r="F530" s="242"/>
      <c r="G530"/>
      <c r="H530" s="322">
        <v>10700</v>
      </c>
      <c r="I530" s="322">
        <v>13300</v>
      </c>
      <c r="J530" s="242">
        <v>12000</v>
      </c>
      <c r="K530" s="18"/>
      <c r="L530" s="18" t="str">
        <f t="shared" si="65"/>
        <v>6</v>
      </c>
      <c r="M530" s="18" t="str">
        <f>INDEX(Chapter,MATCH(L530,Chapter!$A$1:$A$681,0),8)</f>
        <v>הנהלה כללית</v>
      </c>
      <c r="N530" s="18" t="str">
        <f t="shared" si="66"/>
        <v>61</v>
      </c>
      <c r="O530" s="18" t="str">
        <f>INDEX(Chapter,MATCH(N530,Chapter!$A$1:$A$681,0),8)</f>
        <v>מינהל כללי</v>
      </c>
      <c r="P530" s="18" t="str">
        <f t="shared" si="67"/>
        <v>613</v>
      </c>
      <c r="Q530" s="18" t="str">
        <f>INDEX(Chapter,MATCH(P530,Chapter!$A$1:$A$681,0),8)</f>
        <v>מזכירות</v>
      </c>
      <c r="R530" s="18" t="str">
        <f t="shared" si="68"/>
        <v>6134</v>
      </c>
      <c r="S530" s="18" t="e">
        <f>INDEX(Chapter,MATCH(R530,Chapter!$A$1:$A$681,0),8)</f>
        <v>#N/A</v>
      </c>
      <c r="T530" s="18"/>
      <c r="U530" s="18" t="str">
        <f t="shared" si="69"/>
        <v>7</v>
      </c>
      <c r="V530" s="18" t="str">
        <f>IF($L530&lt;"6",INDEX(Revenue_type,MATCH(U530*1,type!$A$118:$A$168,0),8),INDEX(Expenditure_type,MATCH(U530*1,type!$A$2:$A$117,0),8))</f>
        <v>הוצאות לפעולות</v>
      </c>
      <c r="W530" s="18" t="str">
        <f t="shared" si="70"/>
        <v>70</v>
      </c>
      <c r="X530" s="18" t="e">
        <f>IF($L530&lt;"6",INDEX(Revenue_type,MATCH(W530*1,type!$A$118:$A$168,0),8),INDEX(Expenditure_type,MATCH(W530*1,type!$A$2:$A$117,0),8))</f>
        <v>#N/A</v>
      </c>
      <c r="Y530" s="18" t="str">
        <f t="shared" si="71"/>
        <v>700</v>
      </c>
      <c r="Z530" s="18" t="e">
        <f>IF($L530&lt;"6",INDEX(Revenue_type,MATCH(Y530*1,type!$A$118:$A$168,0),8),INDEX(Expenditure_type,MATCH(Y530*1,type!$A$2:$A$117,0),8))</f>
        <v>#N/A</v>
      </c>
    </row>
    <row r="531" spans="1:26" ht="15.75" hidden="1" customHeight="1" outlineLevel="2">
      <c r="A531">
        <v>100</v>
      </c>
      <c r="B531" s="249">
        <v>613300</v>
      </c>
      <c r="C531">
        <v>1</v>
      </c>
      <c r="D531" t="str">
        <f t="shared" si="64"/>
        <v>1613300.100</v>
      </c>
      <c r="E531" s="348" t="s">
        <v>8214</v>
      </c>
      <c r="F531" s="242"/>
      <c r="G531"/>
      <c r="H531" s="322">
        <v>508200</v>
      </c>
      <c r="I531" s="322">
        <v>502200</v>
      </c>
      <c r="J531" s="242">
        <v>520700</v>
      </c>
      <c r="K531" s="18" t="e">
        <f>INDEX(תקציב_2013,MATCH(D531,'תקציב 2015'!$D$3:$D$5960,0),8)</f>
        <v>#N/A</v>
      </c>
      <c r="L531" s="18" t="str">
        <f t="shared" si="65"/>
        <v>6</v>
      </c>
      <c r="M531" s="18" t="str">
        <f>INDEX(Chapter,MATCH(L531,Chapter!$A$1:$A$681,0),8)</f>
        <v>הנהלה כללית</v>
      </c>
      <c r="N531" s="18" t="str">
        <f t="shared" si="66"/>
        <v>61</v>
      </c>
      <c r="O531" s="18" t="str">
        <f>INDEX(Chapter,MATCH(N531,Chapter!$A$1:$A$681,0),8)</f>
        <v>מינהל כללי</v>
      </c>
      <c r="P531" s="18" t="str">
        <f t="shared" si="67"/>
        <v>613</v>
      </c>
      <c r="Q531" s="18" t="str">
        <f>INDEX(Chapter,MATCH(P531,Chapter!$A$1:$A$681,0),8)</f>
        <v>מזכירות</v>
      </c>
      <c r="R531" s="18" t="str">
        <f t="shared" si="68"/>
        <v>6133</v>
      </c>
      <c r="S531" s="18" t="e">
        <f>INDEX(Chapter,MATCH(R531,Chapter!$A$1:$A$681,0),8)</f>
        <v>#N/A</v>
      </c>
      <c r="T531" s="18"/>
      <c r="U531" s="18" t="str">
        <f t="shared" si="69"/>
        <v>1</v>
      </c>
      <c r="V531" s="18" t="str">
        <f>IF($L531&lt;"6",INDEX(Revenue_type,MATCH(U531*1,type!$A$118:$A$168,0),8),INDEX(Expenditure_type,MATCH(U531*1,type!$A$2:$A$117,0),8))</f>
        <v>משכורות וש"ע לעובדים לפי תקן</v>
      </c>
      <c r="W531" s="18" t="str">
        <f t="shared" si="70"/>
        <v>10</v>
      </c>
      <c r="X531" s="18" t="e">
        <f>IF($L531&lt;"6",INDEX(Revenue_type,MATCH(W531*1,type!$A$118:$A$168,0),8),INDEX(Expenditure_type,MATCH(W531*1,type!$A$2:$A$117,0),8))</f>
        <v>#N/A</v>
      </c>
      <c r="Y531" s="18" t="str">
        <f t="shared" si="71"/>
        <v>100</v>
      </c>
      <c r="Z531" s="18" t="e">
        <f>IF($L531&lt;"6",INDEX(Revenue_type,MATCH(Y531*1,type!$A$118:$A$168,0),8),INDEX(Expenditure_type,MATCH(Y531*1,type!$A$2:$A$117,0),8))</f>
        <v>#N/A</v>
      </c>
    </row>
    <row r="532" spans="1:26" ht="15.75" hidden="1" customHeight="1" outlineLevel="2">
      <c r="A532">
        <v>120</v>
      </c>
      <c r="B532" s="249">
        <v>613300</v>
      </c>
      <c r="C532">
        <v>1</v>
      </c>
      <c r="D532" t="str">
        <f t="shared" si="64"/>
        <v>1613300.120</v>
      </c>
      <c r="E532" s="348" t="s">
        <v>8215</v>
      </c>
      <c r="F532" s="242"/>
      <c r="G532"/>
      <c r="H532" s="322">
        <v>23800</v>
      </c>
      <c r="I532" s="322">
        <v>23800</v>
      </c>
      <c r="J532" s="242">
        <v>18700</v>
      </c>
      <c r="K532" s="18" t="e">
        <f>INDEX(תקציב_2013,MATCH(D532,'תקציב 2015'!$D$3:$D$5960,0),8)</f>
        <v>#N/A</v>
      </c>
      <c r="L532" s="18" t="str">
        <f t="shared" si="65"/>
        <v>6</v>
      </c>
      <c r="M532" s="18" t="str">
        <f>INDEX(Chapter,MATCH(L532,Chapter!$A$1:$A$681,0),8)</f>
        <v>הנהלה כללית</v>
      </c>
      <c r="N532" s="18" t="str">
        <f t="shared" si="66"/>
        <v>61</v>
      </c>
      <c r="O532" s="18" t="str">
        <f>INDEX(Chapter,MATCH(N532,Chapter!$A$1:$A$681,0),8)</f>
        <v>מינהל כללי</v>
      </c>
      <c r="P532" s="18" t="str">
        <f t="shared" si="67"/>
        <v>613</v>
      </c>
      <c r="Q532" s="18" t="str">
        <f>INDEX(Chapter,MATCH(P532,Chapter!$A$1:$A$681,0),8)</f>
        <v>מזכירות</v>
      </c>
      <c r="R532" s="18" t="str">
        <f t="shared" si="68"/>
        <v>6133</v>
      </c>
      <c r="S532" s="18" t="e">
        <f>INDEX(Chapter,MATCH(R532,Chapter!$A$1:$A$681,0),8)</f>
        <v>#N/A</v>
      </c>
      <c r="T532" s="18"/>
      <c r="U532" s="18" t="str">
        <f t="shared" si="69"/>
        <v>1</v>
      </c>
      <c r="V532" s="18" t="str">
        <f>IF($L532&lt;"6",INDEX(Revenue_type,MATCH(U532*1,type!$A$118:$A$168,0),8),INDEX(Expenditure_type,MATCH(U532*1,type!$A$2:$A$117,0),8))</f>
        <v>משכורות וש"ע לעובדים לפי תקן</v>
      </c>
      <c r="W532" s="18" t="str">
        <f t="shared" si="70"/>
        <v>12</v>
      </c>
      <c r="X532" s="18" t="str">
        <f>IF($L532&lt;"6",INDEX(Revenue_type,MATCH(W532*1,type!$A$118:$A$168,0),8),INDEX(Expenditure_type,MATCH(W532*1,type!$A$2:$A$117,0),8))</f>
        <v>תוספות שאינן נכללות בשכר הקובע</v>
      </c>
      <c r="Y532" s="18" t="str">
        <f t="shared" si="71"/>
        <v>120</v>
      </c>
      <c r="Z532" s="18" t="e">
        <f>IF($L532&lt;"6",INDEX(Revenue_type,MATCH(Y532*1,type!$A$118:$A$168,0),8),INDEX(Expenditure_type,MATCH(Y532*1,type!$A$2:$A$117,0),8))</f>
        <v>#N/A</v>
      </c>
    </row>
    <row r="533" spans="1:26" ht="15.75" hidden="1" customHeight="1" outlineLevel="2">
      <c r="A533">
        <v>400</v>
      </c>
      <c r="B533" s="249">
        <v>613300</v>
      </c>
      <c r="C533">
        <v>1</v>
      </c>
      <c r="D533" t="str">
        <f t="shared" si="64"/>
        <v>1613300.400</v>
      </c>
      <c r="E533" s="348" t="s">
        <v>8216</v>
      </c>
      <c r="F533" s="242"/>
      <c r="G533"/>
      <c r="H533" s="322">
        <v>18900</v>
      </c>
      <c r="I533" s="322">
        <v>19700</v>
      </c>
      <c r="J533" s="242">
        <v>28000</v>
      </c>
      <c r="K533" s="18" t="e">
        <f>INDEX(תקציב_2013,MATCH(D533,'תקציב 2015'!$D$3:$D$5960,0),8)</f>
        <v>#N/A</v>
      </c>
      <c r="L533" s="18" t="str">
        <f t="shared" si="65"/>
        <v>6</v>
      </c>
      <c r="M533" s="18" t="str">
        <f>INDEX(Chapter,MATCH(L533,Chapter!$A$1:$A$681,0),8)</f>
        <v>הנהלה כללית</v>
      </c>
      <c r="N533" s="18" t="str">
        <f t="shared" si="66"/>
        <v>61</v>
      </c>
      <c r="O533" s="18" t="str">
        <f>INDEX(Chapter,MATCH(N533,Chapter!$A$1:$A$681,0),8)</f>
        <v>מינהל כללי</v>
      </c>
      <c r="P533" s="18" t="str">
        <f t="shared" si="67"/>
        <v>613</v>
      </c>
      <c r="Q533" s="18" t="str">
        <f>INDEX(Chapter,MATCH(P533,Chapter!$A$1:$A$681,0),8)</f>
        <v>מזכירות</v>
      </c>
      <c r="R533" s="18" t="str">
        <f t="shared" si="68"/>
        <v>6133</v>
      </c>
      <c r="S533" s="18" t="e">
        <f>INDEX(Chapter,MATCH(R533,Chapter!$A$1:$A$681,0),8)</f>
        <v>#N/A</v>
      </c>
      <c r="T533" s="18"/>
      <c r="U533" s="18" t="str">
        <f t="shared" si="69"/>
        <v>4</v>
      </c>
      <c r="V533" s="18" t="str">
        <f>IF($L533&lt;"6",INDEX(Revenue_type,MATCH(U533*1,type!$A$118:$A$168,0),8),INDEX(Expenditure_type,MATCH(U533*1,type!$A$2:$A$117,0),8))</f>
        <v>אחזקת בינים ואספקת ציוד</v>
      </c>
      <c r="W533" s="18" t="str">
        <f t="shared" si="70"/>
        <v>40</v>
      </c>
      <c r="X533" s="18" t="e">
        <f>IF($L533&lt;"6",INDEX(Revenue_type,MATCH(W533*1,type!$A$118:$A$168,0),8),INDEX(Expenditure_type,MATCH(W533*1,type!$A$2:$A$117,0),8))</f>
        <v>#N/A</v>
      </c>
      <c r="Y533" s="18" t="str">
        <f t="shared" si="71"/>
        <v>400</v>
      </c>
      <c r="Z533" s="18" t="e">
        <f>IF($L533&lt;"6",INDEX(Revenue_type,MATCH(Y533*1,type!$A$118:$A$168,0),8),INDEX(Expenditure_type,MATCH(Y533*1,type!$A$2:$A$117,0),8))</f>
        <v>#N/A</v>
      </c>
    </row>
    <row r="534" spans="1:26" ht="15.75" hidden="1" customHeight="1" outlineLevel="2">
      <c r="A534">
        <v>500</v>
      </c>
      <c r="B534" s="249">
        <v>613300</v>
      </c>
      <c r="C534">
        <v>1</v>
      </c>
      <c r="D534" t="str">
        <f t="shared" si="64"/>
        <v>1613300.500</v>
      </c>
      <c r="E534" s="348" t="s">
        <v>8217</v>
      </c>
      <c r="F534" s="242"/>
      <c r="G534"/>
      <c r="H534" s="322">
        <v>2700</v>
      </c>
      <c r="I534" s="322">
        <v>1700</v>
      </c>
      <c r="J534" s="242">
        <v>900</v>
      </c>
      <c r="K534" s="18"/>
      <c r="L534" s="18" t="str">
        <f t="shared" si="65"/>
        <v>6</v>
      </c>
      <c r="M534" s="18" t="str">
        <f>INDEX(Chapter,MATCH(L534,Chapter!$A$1:$A$681,0),8)</f>
        <v>הנהלה כללית</v>
      </c>
      <c r="N534" s="18" t="str">
        <f t="shared" si="66"/>
        <v>61</v>
      </c>
      <c r="O534" s="18" t="str">
        <f>INDEX(Chapter,MATCH(N534,Chapter!$A$1:$A$681,0),8)</f>
        <v>מינהל כללי</v>
      </c>
      <c r="P534" s="18" t="str">
        <f t="shared" si="67"/>
        <v>613</v>
      </c>
      <c r="Q534" s="18" t="str">
        <f>INDEX(Chapter,MATCH(P534,Chapter!$A$1:$A$681,0),8)</f>
        <v>מזכירות</v>
      </c>
      <c r="R534" s="18" t="str">
        <f t="shared" si="68"/>
        <v>6133</v>
      </c>
      <c r="S534" s="18" t="e">
        <f>INDEX(Chapter,MATCH(R534,Chapter!$A$1:$A$681,0),8)</f>
        <v>#N/A</v>
      </c>
      <c r="T534" s="18"/>
      <c r="U534" s="18" t="str">
        <f t="shared" si="69"/>
        <v>5</v>
      </c>
      <c r="V534" s="18" t="str">
        <f>IF($L534&lt;"6",INDEX(Revenue_type,MATCH(U534*1,type!$A$118:$A$168,0),8),INDEX(Expenditure_type,MATCH(U534*1,type!$A$2:$A$117,0),8))</f>
        <v>הוצאות מנהליות</v>
      </c>
      <c r="W534" s="18" t="str">
        <f t="shared" si="70"/>
        <v>50</v>
      </c>
      <c r="X534" s="18" t="e">
        <f>IF($L534&lt;"6",INDEX(Revenue_type,MATCH(W534*1,type!$A$118:$A$168,0),8),INDEX(Expenditure_type,MATCH(W534*1,type!$A$2:$A$117,0),8))</f>
        <v>#N/A</v>
      </c>
      <c r="Y534" s="18" t="str">
        <f t="shared" si="71"/>
        <v>500</v>
      </c>
      <c r="Z534" s="18" t="e">
        <f>IF($L534&lt;"6",INDEX(Revenue_type,MATCH(Y534*1,type!$A$118:$A$168,0),8),INDEX(Expenditure_type,MATCH(Y534*1,type!$A$2:$A$117,0),8))</f>
        <v>#N/A</v>
      </c>
    </row>
    <row r="535" spans="1:26" ht="15.75" hidden="1" customHeight="1" outlineLevel="2">
      <c r="A535">
        <v>500</v>
      </c>
      <c r="B535" s="249">
        <v>613300</v>
      </c>
      <c r="C535">
        <v>1</v>
      </c>
      <c r="D535" t="str">
        <f t="shared" si="64"/>
        <v>1613300.500</v>
      </c>
      <c r="E535" s="348" t="s">
        <v>8218</v>
      </c>
      <c r="F535" s="242"/>
      <c r="G535"/>
      <c r="H535" s="322">
        <v>3000</v>
      </c>
      <c r="I535" s="322">
        <v>4000</v>
      </c>
      <c r="J535" s="242">
        <v>2800</v>
      </c>
      <c r="K535" s="18" t="e">
        <f>INDEX(תקציב_2013,MATCH(D535,'תקציב 2015'!$D$3:$D$5960,0),8)</f>
        <v>#N/A</v>
      </c>
      <c r="L535" s="18" t="str">
        <f t="shared" si="65"/>
        <v>6</v>
      </c>
      <c r="M535" s="18" t="str">
        <f>INDEX(Chapter,MATCH(L535,Chapter!$A$1:$A$681,0),8)</f>
        <v>הנהלה כללית</v>
      </c>
      <c r="N535" s="18" t="str">
        <f t="shared" si="66"/>
        <v>61</v>
      </c>
      <c r="O535" s="18" t="str">
        <f>INDEX(Chapter,MATCH(N535,Chapter!$A$1:$A$681,0),8)</f>
        <v>מינהל כללי</v>
      </c>
      <c r="P535" s="18" t="str">
        <f t="shared" si="67"/>
        <v>613</v>
      </c>
      <c r="Q535" s="18" t="str">
        <f>INDEX(Chapter,MATCH(P535,Chapter!$A$1:$A$681,0),8)</f>
        <v>מזכירות</v>
      </c>
      <c r="R535" s="18" t="str">
        <f t="shared" si="68"/>
        <v>6133</v>
      </c>
      <c r="S535" s="18" t="e">
        <f>INDEX(Chapter,MATCH(R535,Chapter!$A$1:$A$681,0),8)</f>
        <v>#N/A</v>
      </c>
      <c r="T535" s="18"/>
      <c r="U535" s="18" t="str">
        <f t="shared" si="69"/>
        <v>5</v>
      </c>
      <c r="V535" s="18" t="str">
        <f>IF($L535&lt;"6",INDEX(Revenue_type,MATCH(U535*1,type!$A$118:$A$168,0),8),INDEX(Expenditure_type,MATCH(U535*1,type!$A$2:$A$117,0),8))</f>
        <v>הוצאות מנהליות</v>
      </c>
      <c r="W535" s="18" t="str">
        <f t="shared" si="70"/>
        <v>50</v>
      </c>
      <c r="X535" s="18" t="e">
        <f>IF($L535&lt;"6",INDEX(Revenue_type,MATCH(W535*1,type!$A$118:$A$168,0),8),INDEX(Expenditure_type,MATCH(W535*1,type!$A$2:$A$117,0),8))</f>
        <v>#N/A</v>
      </c>
      <c r="Y535" s="18" t="str">
        <f t="shared" si="71"/>
        <v>500</v>
      </c>
      <c r="Z535" s="18" t="e">
        <f>IF($L535&lt;"6",INDEX(Revenue_type,MATCH(Y535*1,type!$A$118:$A$168,0),8),INDEX(Expenditure_type,MATCH(Y535*1,type!$A$2:$A$117,0),8))</f>
        <v>#N/A</v>
      </c>
    </row>
    <row r="536" spans="1:26" ht="15.75" hidden="1" customHeight="1" outlineLevel="2">
      <c r="A536">
        <v>700</v>
      </c>
      <c r="B536" s="249">
        <v>613300</v>
      </c>
      <c r="C536">
        <v>1</v>
      </c>
      <c r="D536" t="str">
        <f t="shared" si="64"/>
        <v>1613300.700</v>
      </c>
      <c r="E536" s="348" t="s">
        <v>8219</v>
      </c>
      <c r="F536" s="242"/>
      <c r="G536"/>
      <c r="H536" s="322">
        <v>2800</v>
      </c>
      <c r="I536" s="322">
        <v>2800</v>
      </c>
      <c r="J536" s="242">
        <v>100</v>
      </c>
      <c r="K536" s="18" t="e">
        <f>INDEX(תקציב_2013,MATCH(D536,'תקציב 2015'!$D$3:$D$5960,0),8)</f>
        <v>#N/A</v>
      </c>
      <c r="L536" s="18" t="str">
        <f t="shared" si="65"/>
        <v>6</v>
      </c>
      <c r="M536" s="18" t="str">
        <f>INDEX(Chapter,MATCH(L536,Chapter!$A$1:$A$681,0),8)</f>
        <v>הנהלה כללית</v>
      </c>
      <c r="N536" s="18" t="str">
        <f t="shared" si="66"/>
        <v>61</v>
      </c>
      <c r="O536" s="18" t="str">
        <f>INDEX(Chapter,MATCH(N536,Chapter!$A$1:$A$681,0),8)</f>
        <v>מינהל כללי</v>
      </c>
      <c r="P536" s="18" t="str">
        <f t="shared" si="67"/>
        <v>613</v>
      </c>
      <c r="Q536" s="18" t="str">
        <f>INDEX(Chapter,MATCH(P536,Chapter!$A$1:$A$681,0),8)</f>
        <v>מזכירות</v>
      </c>
      <c r="R536" s="18" t="str">
        <f t="shared" si="68"/>
        <v>6133</v>
      </c>
      <c r="S536" s="18" t="e">
        <f>INDEX(Chapter,MATCH(R536,Chapter!$A$1:$A$681,0),8)</f>
        <v>#N/A</v>
      </c>
      <c r="T536" s="18"/>
      <c r="U536" s="18" t="str">
        <f t="shared" si="69"/>
        <v>7</v>
      </c>
      <c r="V536" s="18" t="str">
        <f>IF($L536&lt;"6",INDEX(Revenue_type,MATCH(U536*1,type!$A$118:$A$168,0),8),INDEX(Expenditure_type,MATCH(U536*1,type!$A$2:$A$117,0),8))</f>
        <v>הוצאות לפעולות</v>
      </c>
      <c r="W536" s="18" t="str">
        <f t="shared" si="70"/>
        <v>70</v>
      </c>
      <c r="X536" s="18" t="e">
        <f>IF($L536&lt;"6",INDEX(Revenue_type,MATCH(W536*1,type!$A$118:$A$168,0),8),INDEX(Expenditure_type,MATCH(W536*1,type!$A$2:$A$117,0),8))</f>
        <v>#N/A</v>
      </c>
      <c r="Y536" s="18" t="str">
        <f t="shared" si="71"/>
        <v>700</v>
      </c>
      <c r="Z536" s="18" t="e">
        <f>IF($L536&lt;"6",INDEX(Revenue_type,MATCH(Y536*1,type!$A$118:$A$168,0),8),INDEX(Expenditure_type,MATCH(Y536*1,type!$A$2:$A$117,0),8))</f>
        <v>#N/A</v>
      </c>
    </row>
    <row r="537" spans="1:26" ht="15.75" hidden="1" customHeight="1" outlineLevel="2">
      <c r="A537">
        <v>400</v>
      </c>
      <c r="B537" s="249">
        <v>752100</v>
      </c>
      <c r="C537">
        <v>1</v>
      </c>
      <c r="D537" t="str">
        <f t="shared" si="64"/>
        <v>1752100.400</v>
      </c>
      <c r="E537" s="348" t="s">
        <v>8220</v>
      </c>
      <c r="F537" s="242"/>
      <c r="G537"/>
      <c r="H537" s="322"/>
      <c r="I537" s="322">
        <v>0</v>
      </c>
      <c r="J537" s="242">
        <v>0</v>
      </c>
      <c r="K537" s="18" t="e">
        <f>INDEX(תקציב_2013,MATCH(D537,'תקציב 2015'!$D$3:$D$5960,0),8)</f>
        <v>#N/A</v>
      </c>
      <c r="L537" s="18" t="str">
        <f t="shared" si="65"/>
        <v>7</v>
      </c>
      <c r="M537" s="18" t="str">
        <f>INDEX(Chapter,MATCH(L537,Chapter!$A$1:$A$681,0),8)</f>
        <v>שירותים מקומיים</v>
      </c>
      <c r="N537" s="18" t="str">
        <f t="shared" si="66"/>
        <v>75</v>
      </c>
      <c r="O537" s="18" t="str">
        <f>INDEX(Chapter,MATCH(N537,Chapter!$A$1:$A$681,0),8)</f>
        <v>חגיגות מבצעים ואירועים</v>
      </c>
      <c r="P537" s="18" t="str">
        <f t="shared" si="67"/>
        <v>752</v>
      </c>
      <c r="Q537" s="18" t="str">
        <f>INDEX(Chapter,MATCH(P537,Chapter!$A$1:$A$681,0),8)</f>
        <v>חגיגות וטכסים אחרים</v>
      </c>
      <c r="R537" s="18" t="str">
        <f t="shared" si="68"/>
        <v>7521</v>
      </c>
      <c r="S537" s="18" t="e">
        <f>INDEX(Chapter,MATCH(R537,Chapter!$A$1:$A$681,0),8)</f>
        <v>#N/A</v>
      </c>
      <c r="T537" s="18"/>
      <c r="U537" s="18" t="str">
        <f t="shared" si="69"/>
        <v>4</v>
      </c>
      <c r="V537" s="18" t="str">
        <f>IF($L537&lt;"6",INDEX(Revenue_type,MATCH(U537*1,type!$A$118:$A$168,0),8),INDEX(Expenditure_type,MATCH(U537*1,type!$A$2:$A$117,0),8))</f>
        <v>אחזקת בינים ואספקת ציוד</v>
      </c>
      <c r="W537" s="18" t="str">
        <f t="shared" si="70"/>
        <v>40</v>
      </c>
      <c r="X537" s="18" t="e">
        <f>IF($L537&lt;"6",INDEX(Revenue_type,MATCH(W537*1,type!$A$118:$A$168,0),8),INDEX(Expenditure_type,MATCH(W537*1,type!$A$2:$A$117,0),8))</f>
        <v>#N/A</v>
      </c>
      <c r="Y537" s="18" t="str">
        <f t="shared" si="71"/>
        <v>400</v>
      </c>
      <c r="Z537" s="18" t="e">
        <f>IF($L537&lt;"6",INDEX(Revenue_type,MATCH(Y537*1,type!$A$118:$A$168,0),8),INDEX(Expenditure_type,MATCH(Y537*1,type!$A$2:$A$117,0),8))</f>
        <v>#N/A</v>
      </c>
    </row>
    <row r="538" spans="1:26" ht="15.75" hidden="1" customHeight="1" outlineLevel="2">
      <c r="A538">
        <v>700</v>
      </c>
      <c r="B538" s="249">
        <v>752100</v>
      </c>
      <c r="C538">
        <v>1</v>
      </c>
      <c r="D538" t="str">
        <f t="shared" si="64"/>
        <v>1752100.700</v>
      </c>
      <c r="E538" s="348" t="s">
        <v>8221</v>
      </c>
      <c r="F538" s="242"/>
      <c r="G538"/>
      <c r="H538" s="322">
        <v>873600</v>
      </c>
      <c r="I538" s="322">
        <v>1099300</v>
      </c>
      <c r="J538" s="242">
        <v>947500</v>
      </c>
      <c r="K538" s="18" t="e">
        <f>INDEX(תקציב_2013,MATCH(D538,'תקציב 2015'!$D$3:$D$5960,0),8)</f>
        <v>#N/A</v>
      </c>
      <c r="L538" s="18" t="str">
        <f t="shared" si="65"/>
        <v>7</v>
      </c>
      <c r="M538" s="18" t="str">
        <f>INDEX(Chapter,MATCH(L538,Chapter!$A$1:$A$681,0),8)</f>
        <v>שירותים מקומיים</v>
      </c>
      <c r="N538" s="18" t="str">
        <f t="shared" si="66"/>
        <v>75</v>
      </c>
      <c r="O538" s="18" t="str">
        <f>INDEX(Chapter,MATCH(N538,Chapter!$A$1:$A$681,0),8)</f>
        <v>חגיגות מבצעים ואירועים</v>
      </c>
      <c r="P538" s="18" t="str">
        <f t="shared" si="67"/>
        <v>752</v>
      </c>
      <c r="Q538" s="18" t="str">
        <f>INDEX(Chapter,MATCH(P538,Chapter!$A$1:$A$681,0),8)</f>
        <v>חגיגות וטכסים אחרים</v>
      </c>
      <c r="R538" s="18" t="str">
        <f t="shared" si="68"/>
        <v>7521</v>
      </c>
      <c r="S538" s="18" t="e">
        <f>INDEX(Chapter,MATCH(R538,Chapter!$A$1:$A$681,0),8)</f>
        <v>#N/A</v>
      </c>
      <c r="T538" s="18"/>
      <c r="U538" s="18" t="str">
        <f t="shared" si="69"/>
        <v>7</v>
      </c>
      <c r="V538" s="18" t="str">
        <f>IF($L538&lt;"6",INDEX(Revenue_type,MATCH(U538*1,type!$A$118:$A$168,0),8),INDEX(Expenditure_type,MATCH(U538*1,type!$A$2:$A$117,0),8))</f>
        <v>הוצאות לפעולות</v>
      </c>
      <c r="W538" s="18" t="str">
        <f t="shared" si="70"/>
        <v>70</v>
      </c>
      <c r="X538" s="18" t="e">
        <f>IF($L538&lt;"6",INDEX(Revenue_type,MATCH(W538*1,type!$A$118:$A$168,0),8),INDEX(Expenditure_type,MATCH(W538*1,type!$A$2:$A$117,0),8))</f>
        <v>#N/A</v>
      </c>
      <c r="Y538" s="18" t="str">
        <f t="shared" si="71"/>
        <v>700</v>
      </c>
      <c r="Z538" s="18" t="e">
        <f>IF($L538&lt;"6",INDEX(Revenue_type,MATCH(Y538*1,type!$A$118:$A$168,0),8),INDEX(Expenditure_type,MATCH(Y538*1,type!$A$2:$A$117,0),8))</f>
        <v>#N/A</v>
      </c>
    </row>
    <row r="539" spans="1:26" ht="15.75" hidden="1" customHeight="1" outlineLevel="2">
      <c r="A539">
        <v>400</v>
      </c>
      <c r="B539" s="249">
        <v>756100</v>
      </c>
      <c r="C539">
        <v>1</v>
      </c>
      <c r="D539" t="str">
        <f t="shared" si="64"/>
        <v>1756100.400</v>
      </c>
      <c r="E539" s="348" t="s">
        <v>8222</v>
      </c>
      <c r="F539" s="242"/>
      <c r="G539"/>
      <c r="H539" s="322"/>
      <c r="I539" s="322">
        <v>0</v>
      </c>
      <c r="J539" s="242">
        <v>0</v>
      </c>
      <c r="K539" s="18" t="e">
        <f>INDEX(תקציב_2013,MATCH(D539,'תקציב 2015'!$D$3:$D$5960,0),8)</f>
        <v>#N/A</v>
      </c>
      <c r="L539" s="18" t="str">
        <f t="shared" si="65"/>
        <v>7</v>
      </c>
      <c r="M539" s="18" t="str">
        <f>INDEX(Chapter,MATCH(L539,Chapter!$A$1:$A$681,0),8)</f>
        <v>שירותים מקומיים</v>
      </c>
      <c r="N539" s="18" t="str">
        <f t="shared" si="66"/>
        <v>75</v>
      </c>
      <c r="O539" s="18" t="str">
        <f>INDEX(Chapter,MATCH(N539,Chapter!$A$1:$A$681,0),8)</f>
        <v>חגיגות מבצעים ואירועים</v>
      </c>
      <c r="P539" s="18" t="str">
        <f t="shared" si="67"/>
        <v>756</v>
      </c>
      <c r="Q539" s="18" t="str">
        <f>INDEX(Chapter,MATCH(P539,Chapter!$A$1:$A$681,0),8)</f>
        <v>כנסים ואירועים בינלאומיים</v>
      </c>
      <c r="R539" s="18" t="str">
        <f t="shared" si="68"/>
        <v>7561</v>
      </c>
      <c r="S539" s="18" t="e">
        <f>INDEX(Chapter,MATCH(R539,Chapter!$A$1:$A$681,0),8)</f>
        <v>#N/A</v>
      </c>
      <c r="T539" s="18"/>
      <c r="U539" s="18" t="str">
        <f t="shared" si="69"/>
        <v>4</v>
      </c>
      <c r="V539" s="18" t="str">
        <f>IF($L539&lt;"6",INDEX(Revenue_type,MATCH(U539*1,type!$A$118:$A$168,0),8),INDEX(Expenditure_type,MATCH(U539*1,type!$A$2:$A$117,0),8))</f>
        <v>אחזקת בינים ואספקת ציוד</v>
      </c>
      <c r="W539" s="18" t="str">
        <f t="shared" si="70"/>
        <v>40</v>
      </c>
      <c r="X539" s="18" t="e">
        <f>IF($L539&lt;"6",INDEX(Revenue_type,MATCH(W539*1,type!$A$118:$A$168,0),8),INDEX(Expenditure_type,MATCH(W539*1,type!$A$2:$A$117,0),8))</f>
        <v>#N/A</v>
      </c>
      <c r="Y539" s="18" t="str">
        <f t="shared" si="71"/>
        <v>400</v>
      </c>
      <c r="Z539" s="18" t="e">
        <f>IF($L539&lt;"6",INDEX(Revenue_type,MATCH(Y539*1,type!$A$118:$A$168,0),8),INDEX(Expenditure_type,MATCH(Y539*1,type!$A$2:$A$117,0),8))</f>
        <v>#N/A</v>
      </c>
    </row>
    <row r="540" spans="1:26" ht="15.75" hidden="1" customHeight="1" outlineLevel="2">
      <c r="A540">
        <v>700</v>
      </c>
      <c r="B540" s="249">
        <v>756100</v>
      </c>
      <c r="C540">
        <v>1</v>
      </c>
      <c r="D540" t="str">
        <f t="shared" si="64"/>
        <v>1756100.700</v>
      </c>
      <c r="E540" s="348" t="s">
        <v>8223</v>
      </c>
      <c r="F540" s="242"/>
      <c r="G540"/>
      <c r="H540" s="322">
        <v>909300</v>
      </c>
      <c r="I540" s="322">
        <v>936000</v>
      </c>
      <c r="J540" s="242">
        <v>847500</v>
      </c>
      <c r="K540" s="18" t="e">
        <f>INDEX(תקציב_2013,MATCH(D540,'תקציב 2015'!$D$3:$D$5960,0),8)</f>
        <v>#N/A</v>
      </c>
      <c r="L540" s="18" t="str">
        <f t="shared" si="65"/>
        <v>7</v>
      </c>
      <c r="M540" s="18" t="str">
        <f>INDEX(Chapter,MATCH(L540,Chapter!$A$1:$A$681,0),8)</f>
        <v>שירותים מקומיים</v>
      </c>
      <c r="N540" s="18" t="str">
        <f t="shared" si="66"/>
        <v>75</v>
      </c>
      <c r="O540" s="18" t="str">
        <f>INDEX(Chapter,MATCH(N540,Chapter!$A$1:$A$681,0),8)</f>
        <v>חגיגות מבצעים ואירועים</v>
      </c>
      <c r="P540" s="18" t="str">
        <f t="shared" si="67"/>
        <v>756</v>
      </c>
      <c r="Q540" s="18" t="str">
        <f>INDEX(Chapter,MATCH(P540,Chapter!$A$1:$A$681,0),8)</f>
        <v>כנסים ואירועים בינלאומיים</v>
      </c>
      <c r="R540" s="18" t="str">
        <f t="shared" si="68"/>
        <v>7561</v>
      </c>
      <c r="S540" s="18" t="e">
        <f>INDEX(Chapter,MATCH(R540,Chapter!$A$1:$A$681,0),8)</f>
        <v>#N/A</v>
      </c>
      <c r="T540" s="18"/>
      <c r="U540" s="18" t="str">
        <f t="shared" si="69"/>
        <v>7</v>
      </c>
      <c r="V540" s="18" t="str">
        <f>IF($L540&lt;"6",INDEX(Revenue_type,MATCH(U540*1,type!$A$118:$A$168,0),8),INDEX(Expenditure_type,MATCH(U540*1,type!$A$2:$A$117,0),8))</f>
        <v>הוצאות לפעולות</v>
      </c>
      <c r="W540" s="18" t="str">
        <f t="shared" si="70"/>
        <v>70</v>
      </c>
      <c r="X540" s="18" t="e">
        <f>IF($L540&lt;"6",INDEX(Revenue_type,MATCH(W540*1,type!$A$118:$A$168,0),8),INDEX(Expenditure_type,MATCH(W540*1,type!$A$2:$A$117,0),8))</f>
        <v>#N/A</v>
      </c>
      <c r="Y540" s="18" t="str">
        <f t="shared" si="71"/>
        <v>700</v>
      </c>
      <c r="Z540" s="18" t="e">
        <f>IF($L540&lt;"6",INDEX(Revenue_type,MATCH(Y540*1,type!$A$118:$A$168,0),8),INDEX(Expenditure_type,MATCH(Y540*1,type!$A$2:$A$117,0),8))</f>
        <v>#N/A</v>
      </c>
    </row>
    <row r="541" spans="1:26" ht="15.75" hidden="1" customHeight="1" outlineLevel="2">
      <c r="A541">
        <v>100</v>
      </c>
      <c r="B541" s="249">
        <v>618100</v>
      </c>
      <c r="C541">
        <v>1</v>
      </c>
      <c r="D541" t="str">
        <f t="shared" si="64"/>
        <v>1618100.100</v>
      </c>
      <c r="E541" s="355" t="s">
        <v>8224</v>
      </c>
      <c r="F541" s="242"/>
      <c r="G541"/>
      <c r="H541" s="322">
        <v>1221000</v>
      </c>
      <c r="I541" s="322">
        <v>1207000</v>
      </c>
      <c r="J541" s="242">
        <v>1609200</v>
      </c>
      <c r="K541" s="18" t="e">
        <f>INDEX(תקציב_2013,MATCH(D541,'תקציב 2015'!$D$3:$D$5960,0),8)</f>
        <v>#N/A</v>
      </c>
      <c r="L541" s="18" t="str">
        <f t="shared" si="65"/>
        <v>6</v>
      </c>
      <c r="M541" s="18" t="str">
        <f>INDEX(Chapter,MATCH(L541,Chapter!$A$1:$A$681,0),8)</f>
        <v>הנהלה כללית</v>
      </c>
      <c r="N541" s="18" t="str">
        <f t="shared" si="66"/>
        <v>61</v>
      </c>
      <c r="O541" s="18" t="str">
        <f>INDEX(Chapter,MATCH(N541,Chapter!$A$1:$A$681,0),8)</f>
        <v>מינהל כללי</v>
      </c>
      <c r="P541" s="18" t="str">
        <f t="shared" si="67"/>
        <v>618</v>
      </c>
      <c r="Q541" s="18" t="str">
        <f>INDEX(Chapter,MATCH(P541,Chapter!$A$1:$A$681,0),8)</f>
        <v>תכנון ומחקר</v>
      </c>
      <c r="R541" s="18" t="str">
        <f t="shared" si="68"/>
        <v>6181</v>
      </c>
      <c r="S541" s="18" t="e">
        <f>INDEX(Chapter,MATCH(R541,Chapter!$A$1:$A$681,0),8)</f>
        <v>#N/A</v>
      </c>
      <c r="T541" s="18"/>
      <c r="U541" s="18" t="str">
        <f t="shared" si="69"/>
        <v>1</v>
      </c>
      <c r="V541" s="18" t="str">
        <f>IF($L541&lt;"6",INDEX(Revenue_type,MATCH(U541*1,type!$A$118:$A$168,0),8),INDEX(Expenditure_type,MATCH(U541*1,type!$A$2:$A$117,0),8))</f>
        <v>משכורות וש"ע לעובדים לפי תקן</v>
      </c>
      <c r="W541" s="18" t="str">
        <f t="shared" si="70"/>
        <v>10</v>
      </c>
      <c r="X541" s="18" t="e">
        <f>IF($L541&lt;"6",INDEX(Revenue_type,MATCH(W541*1,type!$A$118:$A$168,0),8),INDEX(Expenditure_type,MATCH(W541*1,type!$A$2:$A$117,0),8))</f>
        <v>#N/A</v>
      </c>
      <c r="Y541" s="18" t="str">
        <f t="shared" si="71"/>
        <v>100</v>
      </c>
      <c r="Z541" s="18" t="e">
        <f>IF($L541&lt;"6",INDEX(Revenue_type,MATCH(Y541*1,type!$A$118:$A$168,0),8),INDEX(Expenditure_type,MATCH(Y541*1,type!$A$2:$A$117,0),8))</f>
        <v>#N/A</v>
      </c>
    </row>
    <row r="542" spans="1:26" ht="15.75" hidden="1" customHeight="1" outlineLevel="2">
      <c r="A542">
        <v>120</v>
      </c>
      <c r="B542" s="249">
        <v>618100</v>
      </c>
      <c r="C542">
        <v>1</v>
      </c>
      <c r="D542" t="str">
        <f t="shared" si="64"/>
        <v>1618100.120</v>
      </c>
      <c r="E542" s="348" t="s">
        <v>8225</v>
      </c>
      <c r="F542" s="242"/>
      <c r="G542"/>
      <c r="H542" s="322">
        <v>26000</v>
      </c>
      <c r="I542" s="322">
        <v>26000</v>
      </c>
      <c r="J542" s="242">
        <v>23000</v>
      </c>
      <c r="K542" s="18" t="e">
        <f>INDEX(תקציב_2013,MATCH(D542,'תקציב 2015'!$D$3:$D$5960,0),8)</f>
        <v>#N/A</v>
      </c>
      <c r="L542" s="18" t="str">
        <f t="shared" si="65"/>
        <v>6</v>
      </c>
      <c r="M542" s="18" t="str">
        <f>INDEX(Chapter,MATCH(L542,Chapter!$A$1:$A$681,0),8)</f>
        <v>הנהלה כללית</v>
      </c>
      <c r="N542" s="18" t="str">
        <f t="shared" si="66"/>
        <v>61</v>
      </c>
      <c r="O542" s="18" t="str">
        <f>INDEX(Chapter,MATCH(N542,Chapter!$A$1:$A$681,0),8)</f>
        <v>מינהל כללי</v>
      </c>
      <c r="P542" s="18" t="str">
        <f t="shared" si="67"/>
        <v>618</v>
      </c>
      <c r="Q542" s="18" t="str">
        <f>INDEX(Chapter,MATCH(P542,Chapter!$A$1:$A$681,0),8)</f>
        <v>תכנון ומחקר</v>
      </c>
      <c r="R542" s="18" t="str">
        <f t="shared" si="68"/>
        <v>6181</v>
      </c>
      <c r="S542" s="18" t="e">
        <f>INDEX(Chapter,MATCH(R542,Chapter!$A$1:$A$681,0),8)</f>
        <v>#N/A</v>
      </c>
      <c r="T542" s="18"/>
      <c r="U542" s="18" t="str">
        <f t="shared" si="69"/>
        <v>1</v>
      </c>
      <c r="V542" s="18" t="str">
        <f>IF($L542&lt;"6",INDEX(Revenue_type,MATCH(U542*1,type!$A$118:$A$168,0),8),INDEX(Expenditure_type,MATCH(U542*1,type!$A$2:$A$117,0),8))</f>
        <v>משכורות וש"ע לעובדים לפי תקן</v>
      </c>
      <c r="W542" s="18" t="str">
        <f t="shared" si="70"/>
        <v>12</v>
      </c>
      <c r="X542" s="18" t="str">
        <f>IF($L542&lt;"6",INDEX(Revenue_type,MATCH(W542*1,type!$A$118:$A$168,0),8),INDEX(Expenditure_type,MATCH(W542*1,type!$A$2:$A$117,0),8))</f>
        <v>תוספות שאינן נכללות בשכר הקובע</v>
      </c>
      <c r="Y542" s="18" t="str">
        <f t="shared" si="71"/>
        <v>120</v>
      </c>
      <c r="Z542" s="18" t="e">
        <f>IF($L542&lt;"6",INDEX(Revenue_type,MATCH(Y542*1,type!$A$118:$A$168,0),8),INDEX(Expenditure_type,MATCH(Y542*1,type!$A$2:$A$117,0),8))</f>
        <v>#N/A</v>
      </c>
    </row>
    <row r="543" spans="1:26" ht="15.75" hidden="1" customHeight="1" outlineLevel="2">
      <c r="A543">
        <v>400</v>
      </c>
      <c r="B543" s="249">
        <v>618100</v>
      </c>
      <c r="C543">
        <v>1</v>
      </c>
      <c r="D543" t="str">
        <f t="shared" si="64"/>
        <v>1618100.400</v>
      </c>
      <c r="E543" s="348" t="s">
        <v>8226</v>
      </c>
      <c r="F543" s="242"/>
      <c r="G543"/>
      <c r="H543" s="322">
        <v>24200</v>
      </c>
      <c r="I543" s="322">
        <v>26300</v>
      </c>
      <c r="J543" s="242">
        <v>0</v>
      </c>
      <c r="K543" s="18" t="e">
        <f>INDEX(תקציב_2013,MATCH(D543,'תקציב 2015'!$D$3:$D$5960,0),8)</f>
        <v>#N/A</v>
      </c>
      <c r="L543" s="18" t="str">
        <f t="shared" si="65"/>
        <v>6</v>
      </c>
      <c r="M543" s="18" t="str">
        <f>INDEX(Chapter,MATCH(L543,Chapter!$A$1:$A$681,0),8)</f>
        <v>הנהלה כללית</v>
      </c>
      <c r="N543" s="18" t="str">
        <f t="shared" si="66"/>
        <v>61</v>
      </c>
      <c r="O543" s="18" t="str">
        <f>INDEX(Chapter,MATCH(N543,Chapter!$A$1:$A$681,0),8)</f>
        <v>מינהל כללי</v>
      </c>
      <c r="P543" s="18" t="str">
        <f t="shared" si="67"/>
        <v>618</v>
      </c>
      <c r="Q543" s="18" t="str">
        <f>INDEX(Chapter,MATCH(P543,Chapter!$A$1:$A$681,0),8)</f>
        <v>תכנון ומחקר</v>
      </c>
      <c r="R543" s="18" t="str">
        <f t="shared" si="68"/>
        <v>6181</v>
      </c>
      <c r="S543" s="18" t="e">
        <f>INDEX(Chapter,MATCH(R543,Chapter!$A$1:$A$681,0),8)</f>
        <v>#N/A</v>
      </c>
      <c r="T543" s="18"/>
      <c r="U543" s="18" t="str">
        <f t="shared" si="69"/>
        <v>4</v>
      </c>
      <c r="V543" s="18" t="str">
        <f>IF($L543&lt;"6",INDEX(Revenue_type,MATCH(U543*1,type!$A$118:$A$168,0),8),INDEX(Expenditure_type,MATCH(U543*1,type!$A$2:$A$117,0),8))</f>
        <v>אחזקת בינים ואספקת ציוד</v>
      </c>
      <c r="W543" s="18" t="str">
        <f t="shared" si="70"/>
        <v>40</v>
      </c>
      <c r="X543" s="18" t="e">
        <f>IF($L543&lt;"6",INDEX(Revenue_type,MATCH(W543*1,type!$A$118:$A$168,0),8),INDEX(Expenditure_type,MATCH(W543*1,type!$A$2:$A$117,0),8))</f>
        <v>#N/A</v>
      </c>
      <c r="Y543" s="18" t="str">
        <f t="shared" si="71"/>
        <v>400</v>
      </c>
      <c r="Z543" s="18" t="e">
        <f>IF($L543&lt;"6",INDEX(Revenue_type,MATCH(Y543*1,type!$A$118:$A$168,0),8),INDEX(Expenditure_type,MATCH(Y543*1,type!$A$2:$A$117,0),8))</f>
        <v>#N/A</v>
      </c>
    </row>
    <row r="544" spans="1:26" ht="15.75" hidden="1" customHeight="1" outlineLevel="2">
      <c r="A544">
        <v>500</v>
      </c>
      <c r="B544" s="249">
        <v>618100</v>
      </c>
      <c r="C544">
        <v>1</v>
      </c>
      <c r="D544" t="str">
        <f t="shared" si="64"/>
        <v>1618100.500</v>
      </c>
      <c r="E544" s="348" t="s">
        <v>8227</v>
      </c>
      <c r="F544" s="242"/>
      <c r="G544"/>
      <c r="H544" s="322">
        <v>19000</v>
      </c>
      <c r="I544" s="322">
        <v>16700</v>
      </c>
      <c r="J544" s="242">
        <v>0</v>
      </c>
      <c r="K544" s="18" t="e">
        <f>INDEX(תקציב_2013,MATCH(D544,'תקציב 2015'!$D$3:$D$5960,0),8)</f>
        <v>#N/A</v>
      </c>
      <c r="L544" s="18" t="str">
        <f t="shared" si="65"/>
        <v>6</v>
      </c>
      <c r="M544" s="18" t="str">
        <f>INDEX(Chapter,MATCH(L544,Chapter!$A$1:$A$681,0),8)</f>
        <v>הנהלה כללית</v>
      </c>
      <c r="N544" s="18" t="str">
        <f t="shared" si="66"/>
        <v>61</v>
      </c>
      <c r="O544" s="18" t="str">
        <f>INDEX(Chapter,MATCH(N544,Chapter!$A$1:$A$681,0),8)</f>
        <v>מינהל כללי</v>
      </c>
      <c r="P544" s="18" t="str">
        <f t="shared" si="67"/>
        <v>618</v>
      </c>
      <c r="Q544" s="18" t="str">
        <f>INDEX(Chapter,MATCH(P544,Chapter!$A$1:$A$681,0),8)</f>
        <v>תכנון ומחקר</v>
      </c>
      <c r="R544" s="18" t="str">
        <f t="shared" si="68"/>
        <v>6181</v>
      </c>
      <c r="S544" s="18" t="e">
        <f>INDEX(Chapter,MATCH(R544,Chapter!$A$1:$A$681,0),8)</f>
        <v>#N/A</v>
      </c>
      <c r="T544" s="18"/>
      <c r="U544" s="18" t="str">
        <f t="shared" si="69"/>
        <v>5</v>
      </c>
      <c r="V544" s="18" t="str">
        <f>IF($L544&lt;"6",INDEX(Revenue_type,MATCH(U544*1,type!$A$118:$A$168,0),8),INDEX(Expenditure_type,MATCH(U544*1,type!$A$2:$A$117,0),8))</f>
        <v>הוצאות מנהליות</v>
      </c>
      <c r="W544" s="18" t="str">
        <f t="shared" si="70"/>
        <v>50</v>
      </c>
      <c r="X544" s="18" t="e">
        <f>IF($L544&lt;"6",INDEX(Revenue_type,MATCH(W544*1,type!$A$118:$A$168,0),8),INDEX(Expenditure_type,MATCH(W544*1,type!$A$2:$A$117,0),8))</f>
        <v>#N/A</v>
      </c>
      <c r="Y544" s="18" t="str">
        <f t="shared" si="71"/>
        <v>500</v>
      </c>
      <c r="Z544" s="18" t="e">
        <f>IF($L544&lt;"6",INDEX(Revenue_type,MATCH(Y544*1,type!$A$118:$A$168,0),8),INDEX(Expenditure_type,MATCH(Y544*1,type!$A$2:$A$117,0),8))</f>
        <v>#N/A</v>
      </c>
    </row>
    <row r="545" spans="1:26" ht="15.75" hidden="1" customHeight="1" outlineLevel="2">
      <c r="A545">
        <v>500</v>
      </c>
      <c r="B545" s="249">
        <v>618100</v>
      </c>
      <c r="C545">
        <v>1</v>
      </c>
      <c r="D545" t="str">
        <f t="shared" si="64"/>
        <v>1618100.500</v>
      </c>
      <c r="E545" s="348" t="s">
        <v>8228</v>
      </c>
      <c r="F545" s="242"/>
      <c r="G545"/>
      <c r="H545" s="322">
        <v>1200</v>
      </c>
      <c r="I545" s="322">
        <v>1200</v>
      </c>
      <c r="J545" s="242">
        <v>0</v>
      </c>
      <c r="K545" s="18" t="e">
        <f>INDEX(תקציב_2013,MATCH(D545,'תקציב 2015'!$D$3:$D$5960,0),8)</f>
        <v>#N/A</v>
      </c>
      <c r="L545" s="18" t="str">
        <f t="shared" si="65"/>
        <v>6</v>
      </c>
      <c r="M545" s="18" t="str">
        <f>INDEX(Chapter,MATCH(L545,Chapter!$A$1:$A$681,0),8)</f>
        <v>הנהלה כללית</v>
      </c>
      <c r="N545" s="18" t="str">
        <f t="shared" si="66"/>
        <v>61</v>
      </c>
      <c r="O545" s="18" t="str">
        <f>INDEX(Chapter,MATCH(N545,Chapter!$A$1:$A$681,0),8)</f>
        <v>מינהל כללי</v>
      </c>
      <c r="P545" s="18" t="str">
        <f t="shared" si="67"/>
        <v>618</v>
      </c>
      <c r="Q545" s="18" t="str">
        <f>INDEX(Chapter,MATCH(P545,Chapter!$A$1:$A$681,0),8)</f>
        <v>תכנון ומחקר</v>
      </c>
      <c r="R545" s="18" t="str">
        <f t="shared" si="68"/>
        <v>6181</v>
      </c>
      <c r="S545" s="18" t="e">
        <f>INDEX(Chapter,MATCH(R545,Chapter!$A$1:$A$681,0),8)</f>
        <v>#N/A</v>
      </c>
      <c r="T545" s="18"/>
      <c r="U545" s="18" t="str">
        <f t="shared" si="69"/>
        <v>5</v>
      </c>
      <c r="V545" s="18" t="str">
        <f>IF($L545&lt;"6",INDEX(Revenue_type,MATCH(U545*1,type!$A$118:$A$168,0),8),INDEX(Expenditure_type,MATCH(U545*1,type!$A$2:$A$117,0),8))</f>
        <v>הוצאות מנהליות</v>
      </c>
      <c r="W545" s="18" t="str">
        <f t="shared" si="70"/>
        <v>50</v>
      </c>
      <c r="X545" s="18" t="e">
        <f>IF($L545&lt;"6",INDEX(Revenue_type,MATCH(W545*1,type!$A$118:$A$168,0),8),INDEX(Expenditure_type,MATCH(W545*1,type!$A$2:$A$117,0),8))</f>
        <v>#N/A</v>
      </c>
      <c r="Y545" s="18" t="str">
        <f t="shared" si="71"/>
        <v>500</v>
      </c>
      <c r="Z545" s="18" t="e">
        <f>IF($L545&lt;"6",INDEX(Revenue_type,MATCH(Y545*1,type!$A$118:$A$168,0),8),INDEX(Expenditure_type,MATCH(Y545*1,type!$A$2:$A$117,0),8))</f>
        <v>#N/A</v>
      </c>
    </row>
    <row r="546" spans="1:26" ht="15.75" hidden="1" customHeight="1" outlineLevel="2">
      <c r="A546">
        <v>700</v>
      </c>
      <c r="B546" s="249">
        <v>618100</v>
      </c>
      <c r="C546">
        <v>1</v>
      </c>
      <c r="D546" t="str">
        <f t="shared" si="64"/>
        <v>1618100.700</v>
      </c>
      <c r="E546" s="348" t="s">
        <v>8229</v>
      </c>
      <c r="F546" s="242"/>
      <c r="G546"/>
      <c r="H546" s="322">
        <v>55400</v>
      </c>
      <c r="I546" s="322">
        <v>57900</v>
      </c>
      <c r="J546" s="242">
        <v>0</v>
      </c>
      <c r="K546" s="18" t="e">
        <f>INDEX(תקציב_2013,MATCH(D546,'תקציב 2015'!$D$3:$D$5960,0),8)</f>
        <v>#N/A</v>
      </c>
      <c r="L546" s="18" t="str">
        <f t="shared" si="65"/>
        <v>6</v>
      </c>
      <c r="M546" s="18" t="str">
        <f>INDEX(Chapter,MATCH(L546,Chapter!$A$1:$A$681,0),8)</f>
        <v>הנהלה כללית</v>
      </c>
      <c r="N546" s="18" t="str">
        <f t="shared" si="66"/>
        <v>61</v>
      </c>
      <c r="O546" s="18" t="str">
        <f>INDEX(Chapter,MATCH(N546,Chapter!$A$1:$A$681,0),8)</f>
        <v>מינהל כללי</v>
      </c>
      <c r="P546" s="18" t="str">
        <f t="shared" si="67"/>
        <v>618</v>
      </c>
      <c r="Q546" s="18" t="str">
        <f>INDEX(Chapter,MATCH(P546,Chapter!$A$1:$A$681,0),8)</f>
        <v>תכנון ומחקר</v>
      </c>
      <c r="R546" s="18" t="str">
        <f t="shared" si="68"/>
        <v>6181</v>
      </c>
      <c r="S546" s="18" t="e">
        <f>INDEX(Chapter,MATCH(R546,Chapter!$A$1:$A$681,0),8)</f>
        <v>#N/A</v>
      </c>
      <c r="T546" s="18"/>
      <c r="U546" s="18" t="str">
        <f t="shared" si="69"/>
        <v>7</v>
      </c>
      <c r="V546" s="18" t="str">
        <f>IF($L546&lt;"6",INDEX(Revenue_type,MATCH(U546*1,type!$A$118:$A$168,0),8),INDEX(Expenditure_type,MATCH(U546*1,type!$A$2:$A$117,0),8))</f>
        <v>הוצאות לפעולות</v>
      </c>
      <c r="W546" s="18" t="str">
        <f t="shared" si="70"/>
        <v>70</v>
      </c>
      <c r="X546" s="18" t="e">
        <f>IF($L546&lt;"6",INDEX(Revenue_type,MATCH(W546*1,type!$A$118:$A$168,0),8),INDEX(Expenditure_type,MATCH(W546*1,type!$A$2:$A$117,0),8))</f>
        <v>#N/A</v>
      </c>
      <c r="Y546" s="18" t="str">
        <f t="shared" si="71"/>
        <v>700</v>
      </c>
      <c r="Z546" s="18" t="e">
        <f>IF($L546&lt;"6",INDEX(Revenue_type,MATCH(Y546*1,type!$A$118:$A$168,0),8),INDEX(Expenditure_type,MATCH(Y546*1,type!$A$2:$A$117,0),8))</f>
        <v>#N/A</v>
      </c>
    </row>
    <row r="547" spans="1:26" ht="15.75" hidden="1" customHeight="1" outlineLevel="2">
      <c r="A547">
        <v>800</v>
      </c>
      <c r="B547" s="249">
        <v>618100</v>
      </c>
      <c r="C547">
        <v>1</v>
      </c>
      <c r="D547" t="str">
        <f t="shared" si="64"/>
        <v>1618100.800</v>
      </c>
      <c r="E547" s="348" t="s">
        <v>8230</v>
      </c>
      <c r="F547" s="242"/>
      <c r="G547"/>
      <c r="H547" s="322">
        <v>524000</v>
      </c>
      <c r="I547" s="322">
        <v>540000</v>
      </c>
      <c r="J547" s="242">
        <v>0</v>
      </c>
      <c r="K547" s="18" t="e">
        <f>INDEX(תקציב_2013,MATCH(D547,'תקציב 2015'!$D$3:$D$5960,0),8)</f>
        <v>#N/A</v>
      </c>
      <c r="L547" s="18" t="str">
        <f t="shared" si="65"/>
        <v>6</v>
      </c>
      <c r="M547" s="18" t="str">
        <f>INDEX(Chapter,MATCH(L547,Chapter!$A$1:$A$681,0),8)</f>
        <v>הנהלה כללית</v>
      </c>
      <c r="N547" s="18" t="str">
        <f t="shared" si="66"/>
        <v>61</v>
      </c>
      <c r="O547" s="18" t="str">
        <f>INDEX(Chapter,MATCH(N547,Chapter!$A$1:$A$681,0),8)</f>
        <v>מינהל כללי</v>
      </c>
      <c r="P547" s="18" t="str">
        <f t="shared" si="67"/>
        <v>618</v>
      </c>
      <c r="Q547" s="18" t="str">
        <f>INDEX(Chapter,MATCH(P547,Chapter!$A$1:$A$681,0),8)</f>
        <v>תכנון ומחקר</v>
      </c>
      <c r="R547" s="18" t="str">
        <f t="shared" si="68"/>
        <v>6181</v>
      </c>
      <c r="S547" s="18" t="e">
        <f>INDEX(Chapter,MATCH(R547,Chapter!$A$1:$A$681,0),8)</f>
        <v>#N/A</v>
      </c>
      <c r="T547" s="18"/>
      <c r="U547" s="18" t="str">
        <f t="shared" si="69"/>
        <v>8</v>
      </c>
      <c r="V547" s="18" t="str">
        <f>IF($L547&lt;"6",INDEX(Revenue_type,MATCH(U547*1,type!$A$118:$A$168,0),8),INDEX(Expenditure_type,MATCH(U547*1,type!$A$2:$A$117,0),8))</f>
        <v>השתתפויות תמיכות ותרומות</v>
      </c>
      <c r="W547" s="18" t="str">
        <f t="shared" si="70"/>
        <v>80</v>
      </c>
      <c r="X547" s="18" t="e">
        <f>IF($L547&lt;"6",INDEX(Revenue_type,MATCH(W547*1,type!$A$118:$A$168,0),8),INDEX(Expenditure_type,MATCH(W547*1,type!$A$2:$A$117,0),8))</f>
        <v>#N/A</v>
      </c>
      <c r="Y547" s="18" t="str">
        <f t="shared" si="71"/>
        <v>800</v>
      </c>
      <c r="Z547" s="18" t="e">
        <f>IF($L547&lt;"6",INDEX(Revenue_type,MATCH(Y547*1,type!$A$118:$A$168,0),8),INDEX(Expenditure_type,MATCH(Y547*1,type!$A$2:$A$117,0),8))</f>
        <v>#N/A</v>
      </c>
    </row>
    <row r="548" spans="1:26" ht="15.75" hidden="1" customHeight="1" outlineLevel="2">
      <c r="A548">
        <v>100</v>
      </c>
      <c r="B548" s="249">
        <v>618000</v>
      </c>
      <c r="C548">
        <v>1</v>
      </c>
      <c r="D548" t="str">
        <f t="shared" si="64"/>
        <v>1618000.100</v>
      </c>
      <c r="E548" s="348" t="s">
        <v>8231</v>
      </c>
      <c r="F548" s="242"/>
      <c r="G548"/>
      <c r="H548" s="322">
        <v>781100</v>
      </c>
      <c r="I548" s="322">
        <v>772100</v>
      </c>
      <c r="J548" s="242">
        <v>707100</v>
      </c>
      <c r="K548" s="18" t="e">
        <f>INDEX(תקציב_2013,MATCH(D548,'תקציב 2015'!$D$3:$D$5960,0),8)</f>
        <v>#N/A</v>
      </c>
      <c r="L548" s="18" t="str">
        <f t="shared" si="65"/>
        <v>6</v>
      </c>
      <c r="M548" s="18" t="str">
        <f>INDEX(Chapter,MATCH(L548,Chapter!$A$1:$A$681,0),8)</f>
        <v>הנהלה כללית</v>
      </c>
      <c r="N548" s="18" t="str">
        <f t="shared" si="66"/>
        <v>61</v>
      </c>
      <c r="O548" s="18" t="str">
        <f>INDEX(Chapter,MATCH(N548,Chapter!$A$1:$A$681,0),8)</f>
        <v>מינהל כללי</v>
      </c>
      <c r="P548" s="18" t="str">
        <f t="shared" si="67"/>
        <v>618</v>
      </c>
      <c r="Q548" s="18" t="str">
        <f>INDEX(Chapter,MATCH(P548,Chapter!$A$1:$A$681,0),8)</f>
        <v>תכנון ומחקר</v>
      </c>
      <c r="R548" s="18" t="str">
        <f t="shared" si="68"/>
        <v>6180</v>
      </c>
      <c r="S548" s="18" t="e">
        <f>INDEX(Chapter,MATCH(R548,Chapter!$A$1:$A$681,0),8)</f>
        <v>#N/A</v>
      </c>
      <c r="T548" s="18"/>
      <c r="U548" s="18" t="str">
        <f t="shared" si="69"/>
        <v>1</v>
      </c>
      <c r="V548" s="18" t="str">
        <f>IF($L548&lt;"6",INDEX(Revenue_type,MATCH(U548*1,type!$A$118:$A$168,0),8),INDEX(Expenditure_type,MATCH(U548*1,type!$A$2:$A$117,0),8))</f>
        <v>משכורות וש"ע לעובדים לפי תקן</v>
      </c>
      <c r="W548" s="18" t="str">
        <f t="shared" si="70"/>
        <v>10</v>
      </c>
      <c r="X548" s="18" t="e">
        <f>IF($L548&lt;"6",INDEX(Revenue_type,MATCH(W548*1,type!$A$118:$A$168,0),8),INDEX(Expenditure_type,MATCH(W548*1,type!$A$2:$A$117,0),8))</f>
        <v>#N/A</v>
      </c>
      <c r="Y548" s="18" t="str">
        <f t="shared" si="71"/>
        <v>100</v>
      </c>
      <c r="Z548" s="18" t="e">
        <f>IF($L548&lt;"6",INDEX(Revenue_type,MATCH(Y548*1,type!$A$118:$A$168,0),8),INDEX(Expenditure_type,MATCH(Y548*1,type!$A$2:$A$117,0),8))</f>
        <v>#N/A</v>
      </c>
    </row>
    <row r="549" spans="1:26" ht="15.75" hidden="1" customHeight="1" outlineLevel="2">
      <c r="A549">
        <v>120</v>
      </c>
      <c r="B549" s="249">
        <v>618000</v>
      </c>
      <c r="C549">
        <v>1</v>
      </c>
      <c r="D549" t="str">
        <f t="shared" si="64"/>
        <v>1618000.120</v>
      </c>
      <c r="E549" s="348" t="s">
        <v>8232</v>
      </c>
      <c r="F549" s="242"/>
      <c r="G549"/>
      <c r="H549" s="322">
        <v>4900</v>
      </c>
      <c r="I549" s="322">
        <v>4900</v>
      </c>
      <c r="J549" s="242">
        <v>3300</v>
      </c>
      <c r="K549" s="18" t="e">
        <f>INDEX(תקציב_2013,MATCH(D549,'תקציב 2015'!$D$3:$D$5960,0),8)</f>
        <v>#N/A</v>
      </c>
      <c r="L549" s="18" t="str">
        <f t="shared" si="65"/>
        <v>6</v>
      </c>
      <c r="M549" s="18" t="str">
        <f>INDEX(Chapter,MATCH(L549,Chapter!$A$1:$A$681,0),8)</f>
        <v>הנהלה כללית</v>
      </c>
      <c r="N549" s="18" t="str">
        <f t="shared" si="66"/>
        <v>61</v>
      </c>
      <c r="O549" s="18" t="str">
        <f>INDEX(Chapter,MATCH(N549,Chapter!$A$1:$A$681,0),8)</f>
        <v>מינהל כללי</v>
      </c>
      <c r="P549" s="18" t="str">
        <f t="shared" si="67"/>
        <v>618</v>
      </c>
      <c r="Q549" s="18" t="str">
        <f>INDEX(Chapter,MATCH(P549,Chapter!$A$1:$A$681,0),8)</f>
        <v>תכנון ומחקר</v>
      </c>
      <c r="R549" s="18" t="str">
        <f t="shared" si="68"/>
        <v>6180</v>
      </c>
      <c r="S549" s="18" t="e">
        <f>INDEX(Chapter,MATCH(R549,Chapter!$A$1:$A$681,0),8)</f>
        <v>#N/A</v>
      </c>
      <c r="T549" s="18"/>
      <c r="U549" s="18" t="str">
        <f t="shared" si="69"/>
        <v>1</v>
      </c>
      <c r="V549" s="18" t="str">
        <f>IF($L549&lt;"6",INDEX(Revenue_type,MATCH(U549*1,type!$A$118:$A$168,0),8),INDEX(Expenditure_type,MATCH(U549*1,type!$A$2:$A$117,0),8))</f>
        <v>משכורות וש"ע לעובדים לפי תקן</v>
      </c>
      <c r="W549" s="18" t="str">
        <f t="shared" si="70"/>
        <v>12</v>
      </c>
      <c r="X549" s="18" t="str">
        <f>IF($L549&lt;"6",INDEX(Revenue_type,MATCH(W549*1,type!$A$118:$A$168,0),8),INDEX(Expenditure_type,MATCH(W549*1,type!$A$2:$A$117,0),8))</f>
        <v>תוספות שאינן נכללות בשכר הקובע</v>
      </c>
      <c r="Y549" s="18" t="str">
        <f t="shared" si="71"/>
        <v>120</v>
      </c>
      <c r="Z549" s="18" t="e">
        <f>IF($L549&lt;"6",INDEX(Revenue_type,MATCH(Y549*1,type!$A$118:$A$168,0),8),INDEX(Expenditure_type,MATCH(Y549*1,type!$A$2:$A$117,0),8))</f>
        <v>#N/A</v>
      </c>
    </row>
    <row r="550" spans="1:26" ht="15.75" hidden="1" customHeight="1" outlineLevel="2">
      <c r="A550">
        <v>400</v>
      </c>
      <c r="B550" s="249">
        <v>618000</v>
      </c>
      <c r="C550">
        <v>1</v>
      </c>
      <c r="D550" t="str">
        <f t="shared" si="64"/>
        <v>1618000.400</v>
      </c>
      <c r="E550" s="348" t="s">
        <v>8233</v>
      </c>
      <c r="F550" s="242"/>
      <c r="G550"/>
      <c r="H550" s="322">
        <v>15000</v>
      </c>
      <c r="I550" s="322">
        <v>16000</v>
      </c>
      <c r="J550" s="242">
        <v>17500</v>
      </c>
      <c r="K550" s="18" t="e">
        <f>INDEX(תקציב_2013,MATCH(D550,'תקציב 2015'!$D$3:$D$5960,0),8)</f>
        <v>#N/A</v>
      </c>
      <c r="L550" s="18" t="str">
        <f t="shared" si="65"/>
        <v>6</v>
      </c>
      <c r="M550" s="18" t="str">
        <f>INDEX(Chapter,MATCH(L550,Chapter!$A$1:$A$681,0),8)</f>
        <v>הנהלה כללית</v>
      </c>
      <c r="N550" s="18" t="str">
        <f t="shared" si="66"/>
        <v>61</v>
      </c>
      <c r="O550" s="18" t="str">
        <f>INDEX(Chapter,MATCH(N550,Chapter!$A$1:$A$681,0),8)</f>
        <v>מינהל כללי</v>
      </c>
      <c r="P550" s="18" t="str">
        <f t="shared" si="67"/>
        <v>618</v>
      </c>
      <c r="Q550" s="18" t="str">
        <f>INDEX(Chapter,MATCH(P550,Chapter!$A$1:$A$681,0),8)</f>
        <v>תכנון ומחקר</v>
      </c>
      <c r="R550" s="18" t="str">
        <f t="shared" si="68"/>
        <v>6180</v>
      </c>
      <c r="S550" s="18" t="e">
        <f>INDEX(Chapter,MATCH(R550,Chapter!$A$1:$A$681,0),8)</f>
        <v>#N/A</v>
      </c>
      <c r="T550" s="18"/>
      <c r="U550" s="18" t="str">
        <f t="shared" si="69"/>
        <v>4</v>
      </c>
      <c r="V550" s="18" t="str">
        <f>IF($L550&lt;"6",INDEX(Revenue_type,MATCH(U550*1,type!$A$118:$A$168,0),8),INDEX(Expenditure_type,MATCH(U550*1,type!$A$2:$A$117,0),8))</f>
        <v>אחזקת בינים ואספקת ציוד</v>
      </c>
      <c r="W550" s="18" t="str">
        <f t="shared" si="70"/>
        <v>40</v>
      </c>
      <c r="X550" s="18" t="e">
        <f>IF($L550&lt;"6",INDEX(Revenue_type,MATCH(W550*1,type!$A$118:$A$168,0),8),INDEX(Expenditure_type,MATCH(W550*1,type!$A$2:$A$117,0),8))</f>
        <v>#N/A</v>
      </c>
      <c r="Y550" s="18" t="str">
        <f t="shared" si="71"/>
        <v>400</v>
      </c>
      <c r="Z550" s="18" t="e">
        <f>IF($L550&lt;"6",INDEX(Revenue_type,MATCH(Y550*1,type!$A$118:$A$168,0),8),INDEX(Expenditure_type,MATCH(Y550*1,type!$A$2:$A$117,0),8))</f>
        <v>#N/A</v>
      </c>
    </row>
    <row r="551" spans="1:26" ht="15.75" hidden="1" customHeight="1" outlineLevel="2">
      <c r="A551">
        <v>500</v>
      </c>
      <c r="B551" s="249">
        <v>618000</v>
      </c>
      <c r="C551">
        <v>1</v>
      </c>
      <c r="D551" t="str">
        <f t="shared" si="64"/>
        <v>1618000.500</v>
      </c>
      <c r="E551" s="348" t="s">
        <v>8234</v>
      </c>
      <c r="F551" s="242"/>
      <c r="G551"/>
      <c r="H551" s="322">
        <v>4300</v>
      </c>
      <c r="I551" s="322">
        <v>4300</v>
      </c>
      <c r="J551" s="242">
        <v>2400</v>
      </c>
      <c r="K551" s="18" t="e">
        <f>INDEX(תקציב_2013,MATCH(D551,'תקציב 2015'!$D$3:$D$5960,0),8)</f>
        <v>#N/A</v>
      </c>
      <c r="L551" s="18" t="str">
        <f t="shared" si="65"/>
        <v>6</v>
      </c>
      <c r="M551" s="18" t="str">
        <f>INDEX(Chapter,MATCH(L551,Chapter!$A$1:$A$681,0),8)</f>
        <v>הנהלה כללית</v>
      </c>
      <c r="N551" s="18" t="str">
        <f t="shared" si="66"/>
        <v>61</v>
      </c>
      <c r="O551" s="18" t="str">
        <f>INDEX(Chapter,MATCH(N551,Chapter!$A$1:$A$681,0),8)</f>
        <v>מינהל כללי</v>
      </c>
      <c r="P551" s="18" t="str">
        <f t="shared" si="67"/>
        <v>618</v>
      </c>
      <c r="Q551" s="18" t="str">
        <f>INDEX(Chapter,MATCH(P551,Chapter!$A$1:$A$681,0),8)</f>
        <v>תכנון ומחקר</v>
      </c>
      <c r="R551" s="18" t="str">
        <f t="shared" si="68"/>
        <v>6180</v>
      </c>
      <c r="S551" s="18" t="e">
        <f>INDEX(Chapter,MATCH(R551,Chapter!$A$1:$A$681,0),8)</f>
        <v>#N/A</v>
      </c>
      <c r="T551" s="18"/>
      <c r="U551" s="18" t="str">
        <f t="shared" si="69"/>
        <v>5</v>
      </c>
      <c r="V551" s="18" t="str">
        <f>IF($L551&lt;"6",INDEX(Revenue_type,MATCH(U551*1,type!$A$118:$A$168,0),8),INDEX(Expenditure_type,MATCH(U551*1,type!$A$2:$A$117,0),8))</f>
        <v>הוצאות מנהליות</v>
      </c>
      <c r="W551" s="18" t="str">
        <f t="shared" si="70"/>
        <v>50</v>
      </c>
      <c r="X551" s="18" t="e">
        <f>IF($L551&lt;"6",INDEX(Revenue_type,MATCH(W551*1,type!$A$118:$A$168,0),8),INDEX(Expenditure_type,MATCH(W551*1,type!$A$2:$A$117,0),8))</f>
        <v>#N/A</v>
      </c>
      <c r="Y551" s="18" t="str">
        <f t="shared" si="71"/>
        <v>500</v>
      </c>
      <c r="Z551" s="18" t="e">
        <f>IF($L551&lt;"6",INDEX(Revenue_type,MATCH(Y551*1,type!$A$118:$A$168,0),8),INDEX(Expenditure_type,MATCH(Y551*1,type!$A$2:$A$117,0),8))</f>
        <v>#N/A</v>
      </c>
    </row>
    <row r="552" spans="1:26" ht="15.75" hidden="1" customHeight="1" outlineLevel="2">
      <c r="A552">
        <v>500</v>
      </c>
      <c r="B552" s="249">
        <v>618000</v>
      </c>
      <c r="C552">
        <v>1</v>
      </c>
      <c r="D552" t="str">
        <f t="shared" si="64"/>
        <v>1618000.500</v>
      </c>
      <c r="E552" s="348" t="s">
        <v>8235</v>
      </c>
      <c r="F552" s="242"/>
      <c r="G552"/>
      <c r="H552" s="322">
        <v>1500</v>
      </c>
      <c r="I552" s="322">
        <v>1500</v>
      </c>
      <c r="J552" s="242">
        <v>1000</v>
      </c>
      <c r="K552" s="18" t="e">
        <f>INDEX(תקציב_2013,MATCH(D552,'תקציב 2015'!$D$3:$D$5960,0),8)</f>
        <v>#N/A</v>
      </c>
      <c r="L552" s="18" t="str">
        <f t="shared" si="65"/>
        <v>6</v>
      </c>
      <c r="M552" s="18" t="str">
        <f>INDEX(Chapter,MATCH(L552,Chapter!$A$1:$A$681,0),8)</f>
        <v>הנהלה כללית</v>
      </c>
      <c r="N552" s="18" t="str">
        <f t="shared" si="66"/>
        <v>61</v>
      </c>
      <c r="O552" s="18" t="str">
        <f>INDEX(Chapter,MATCH(N552,Chapter!$A$1:$A$681,0),8)</f>
        <v>מינהל כללי</v>
      </c>
      <c r="P552" s="18" t="str">
        <f t="shared" si="67"/>
        <v>618</v>
      </c>
      <c r="Q552" s="18" t="str">
        <f>INDEX(Chapter,MATCH(P552,Chapter!$A$1:$A$681,0),8)</f>
        <v>תכנון ומחקר</v>
      </c>
      <c r="R552" s="18" t="str">
        <f t="shared" si="68"/>
        <v>6180</v>
      </c>
      <c r="S552" s="18" t="e">
        <f>INDEX(Chapter,MATCH(R552,Chapter!$A$1:$A$681,0),8)</f>
        <v>#N/A</v>
      </c>
      <c r="T552" s="18"/>
      <c r="U552" s="18" t="str">
        <f t="shared" si="69"/>
        <v>5</v>
      </c>
      <c r="V552" s="18" t="str">
        <f>IF($L552&lt;"6",INDEX(Revenue_type,MATCH(U552*1,type!$A$118:$A$168,0),8),INDEX(Expenditure_type,MATCH(U552*1,type!$A$2:$A$117,0),8))</f>
        <v>הוצאות מנהליות</v>
      </c>
      <c r="W552" s="18" t="str">
        <f t="shared" si="70"/>
        <v>50</v>
      </c>
      <c r="X552" s="18" t="e">
        <f>IF($L552&lt;"6",INDEX(Revenue_type,MATCH(W552*1,type!$A$118:$A$168,0),8),INDEX(Expenditure_type,MATCH(W552*1,type!$A$2:$A$117,0),8))</f>
        <v>#N/A</v>
      </c>
      <c r="Y552" s="18" t="str">
        <f t="shared" si="71"/>
        <v>500</v>
      </c>
      <c r="Z552" s="18" t="e">
        <f>IF($L552&lt;"6",INDEX(Revenue_type,MATCH(Y552*1,type!$A$118:$A$168,0),8),INDEX(Expenditure_type,MATCH(Y552*1,type!$A$2:$A$117,0),8))</f>
        <v>#N/A</v>
      </c>
    </row>
    <row r="553" spans="1:26" ht="15.75" hidden="1" customHeight="1" outlineLevel="2">
      <c r="A553">
        <v>700</v>
      </c>
      <c r="B553" s="249">
        <v>618000</v>
      </c>
      <c r="C553">
        <v>1</v>
      </c>
      <c r="D553" t="str">
        <f t="shared" si="64"/>
        <v>1618000.700</v>
      </c>
      <c r="E553" s="348" t="s">
        <v>8236</v>
      </c>
      <c r="F553" s="242"/>
      <c r="G553"/>
      <c r="H553" s="322">
        <v>126800</v>
      </c>
      <c r="I553" s="322">
        <v>130100</v>
      </c>
      <c r="J553" s="242">
        <v>98900</v>
      </c>
      <c r="K553" s="18" t="e">
        <f>INDEX(תקציב_2013,MATCH(D553,'תקציב 2015'!$D$3:$D$5960,0),8)</f>
        <v>#N/A</v>
      </c>
      <c r="L553" s="18" t="str">
        <f t="shared" si="65"/>
        <v>6</v>
      </c>
      <c r="M553" s="18" t="str">
        <f>INDEX(Chapter,MATCH(L553,Chapter!$A$1:$A$681,0),8)</f>
        <v>הנהלה כללית</v>
      </c>
      <c r="N553" s="18" t="str">
        <f t="shared" si="66"/>
        <v>61</v>
      </c>
      <c r="O553" s="18" t="str">
        <f>INDEX(Chapter,MATCH(N553,Chapter!$A$1:$A$681,0),8)</f>
        <v>מינהל כללי</v>
      </c>
      <c r="P553" s="18" t="str">
        <f t="shared" si="67"/>
        <v>618</v>
      </c>
      <c r="Q553" s="18" t="str">
        <f>INDEX(Chapter,MATCH(P553,Chapter!$A$1:$A$681,0),8)</f>
        <v>תכנון ומחקר</v>
      </c>
      <c r="R553" s="18" t="str">
        <f t="shared" si="68"/>
        <v>6180</v>
      </c>
      <c r="S553" s="18" t="e">
        <f>INDEX(Chapter,MATCH(R553,Chapter!$A$1:$A$681,0),8)</f>
        <v>#N/A</v>
      </c>
      <c r="T553" s="18"/>
      <c r="U553" s="18" t="str">
        <f t="shared" si="69"/>
        <v>7</v>
      </c>
      <c r="V553" s="18" t="str">
        <f>IF($L553&lt;"6",INDEX(Revenue_type,MATCH(U553*1,type!$A$118:$A$168,0),8),INDEX(Expenditure_type,MATCH(U553*1,type!$A$2:$A$117,0),8))</f>
        <v>הוצאות לפעולות</v>
      </c>
      <c r="W553" s="18" t="str">
        <f t="shared" si="70"/>
        <v>70</v>
      </c>
      <c r="X553" s="18" t="e">
        <f>IF($L553&lt;"6",INDEX(Revenue_type,MATCH(W553*1,type!$A$118:$A$168,0),8),INDEX(Expenditure_type,MATCH(W553*1,type!$A$2:$A$117,0),8))</f>
        <v>#N/A</v>
      </c>
      <c r="Y553" s="18" t="str">
        <f t="shared" si="71"/>
        <v>700</v>
      </c>
      <c r="Z553" s="18" t="e">
        <f>IF($L553&lt;"6",INDEX(Revenue_type,MATCH(Y553*1,type!$A$118:$A$168,0),8),INDEX(Expenditure_type,MATCH(Y553*1,type!$A$2:$A$117,0),8))</f>
        <v>#N/A</v>
      </c>
    </row>
    <row r="554" spans="1:26" ht="15.75" hidden="1" customHeight="1" outlineLevel="2">
      <c r="A554">
        <v>400</v>
      </c>
      <c r="B554" s="249">
        <v>752200</v>
      </c>
      <c r="C554">
        <v>1</v>
      </c>
      <c r="D554" t="str">
        <f t="shared" si="64"/>
        <v>1752200.400</v>
      </c>
      <c r="E554" s="348" t="s">
        <v>8237</v>
      </c>
      <c r="F554" s="242"/>
      <c r="G554"/>
      <c r="H554" s="322"/>
      <c r="I554" s="322">
        <v>0</v>
      </c>
      <c r="J554" s="242">
        <v>0</v>
      </c>
      <c r="K554" s="18" t="e">
        <f>INDEX(תקציב_2013,MATCH(D554,'תקציב 2015'!$D$3:$D$5960,0),8)</f>
        <v>#N/A</v>
      </c>
      <c r="L554" s="18" t="str">
        <f t="shared" si="65"/>
        <v>7</v>
      </c>
      <c r="M554" s="18" t="str">
        <f>INDEX(Chapter,MATCH(L554,Chapter!$A$1:$A$681,0),8)</f>
        <v>שירותים מקומיים</v>
      </c>
      <c r="N554" s="18" t="str">
        <f t="shared" si="66"/>
        <v>75</v>
      </c>
      <c r="O554" s="18" t="str">
        <f>INDEX(Chapter,MATCH(N554,Chapter!$A$1:$A$681,0),8)</f>
        <v>חגיגות מבצעים ואירועים</v>
      </c>
      <c r="P554" s="18" t="str">
        <f t="shared" si="67"/>
        <v>752</v>
      </c>
      <c r="Q554" s="18" t="str">
        <f>INDEX(Chapter,MATCH(P554,Chapter!$A$1:$A$681,0),8)</f>
        <v>חגיגות וטכסים אחרים</v>
      </c>
      <c r="R554" s="18" t="str">
        <f t="shared" si="68"/>
        <v>7522</v>
      </c>
      <c r="S554" s="18" t="e">
        <f>INDEX(Chapter,MATCH(R554,Chapter!$A$1:$A$681,0),8)</f>
        <v>#N/A</v>
      </c>
      <c r="T554" s="18"/>
      <c r="U554" s="18" t="str">
        <f t="shared" si="69"/>
        <v>4</v>
      </c>
      <c r="V554" s="18" t="str">
        <f>IF($L554&lt;"6",INDEX(Revenue_type,MATCH(U554*1,type!$A$118:$A$168,0),8),INDEX(Expenditure_type,MATCH(U554*1,type!$A$2:$A$117,0),8))</f>
        <v>אחזקת בינים ואספקת ציוד</v>
      </c>
      <c r="W554" s="18" t="str">
        <f t="shared" si="70"/>
        <v>40</v>
      </c>
      <c r="X554" s="18" t="e">
        <f>IF($L554&lt;"6",INDEX(Revenue_type,MATCH(W554*1,type!$A$118:$A$168,0),8),INDEX(Expenditure_type,MATCH(W554*1,type!$A$2:$A$117,0),8))</f>
        <v>#N/A</v>
      </c>
      <c r="Y554" s="18" t="str">
        <f t="shared" si="71"/>
        <v>400</v>
      </c>
      <c r="Z554" s="18" t="e">
        <f>IF($L554&lt;"6",INDEX(Revenue_type,MATCH(Y554*1,type!$A$118:$A$168,0),8),INDEX(Expenditure_type,MATCH(Y554*1,type!$A$2:$A$117,0),8))</f>
        <v>#N/A</v>
      </c>
    </row>
    <row r="555" spans="1:26" ht="15.75" hidden="1" customHeight="1" outlineLevel="2">
      <c r="A555">
        <v>700</v>
      </c>
      <c r="B555" s="249">
        <v>752200</v>
      </c>
      <c r="C555">
        <v>1</v>
      </c>
      <c r="D555" t="str">
        <f t="shared" si="64"/>
        <v>1752200.700</v>
      </c>
      <c r="E555" s="348" t="s">
        <v>8238</v>
      </c>
      <c r="F555" s="242"/>
      <c r="G555"/>
      <c r="H555" s="322">
        <v>14400</v>
      </c>
      <c r="I555" s="322">
        <v>14800</v>
      </c>
      <c r="J555" s="242">
        <v>14000</v>
      </c>
      <c r="K555" s="18" t="e">
        <f>INDEX(תקציב_2013,MATCH(D555,'תקציב 2015'!$D$3:$D$5960,0),8)</f>
        <v>#N/A</v>
      </c>
      <c r="L555" s="18" t="str">
        <f t="shared" si="65"/>
        <v>7</v>
      </c>
      <c r="M555" s="18" t="str">
        <f>INDEX(Chapter,MATCH(L555,Chapter!$A$1:$A$681,0),8)</f>
        <v>שירותים מקומיים</v>
      </c>
      <c r="N555" s="18" t="str">
        <f t="shared" si="66"/>
        <v>75</v>
      </c>
      <c r="O555" s="18" t="str">
        <f>INDEX(Chapter,MATCH(N555,Chapter!$A$1:$A$681,0),8)</f>
        <v>חגיגות מבצעים ואירועים</v>
      </c>
      <c r="P555" s="18" t="str">
        <f t="shared" si="67"/>
        <v>752</v>
      </c>
      <c r="Q555" s="18" t="str">
        <f>INDEX(Chapter,MATCH(P555,Chapter!$A$1:$A$681,0),8)</f>
        <v>חגיגות וטכסים אחרים</v>
      </c>
      <c r="R555" s="18" t="str">
        <f t="shared" si="68"/>
        <v>7522</v>
      </c>
      <c r="S555" s="18" t="e">
        <f>INDEX(Chapter,MATCH(R555,Chapter!$A$1:$A$681,0),8)</f>
        <v>#N/A</v>
      </c>
      <c r="T555" s="18"/>
      <c r="U555" s="18" t="str">
        <f t="shared" si="69"/>
        <v>7</v>
      </c>
      <c r="V555" s="18" t="str">
        <f>IF($L555&lt;"6",INDEX(Revenue_type,MATCH(U555*1,type!$A$118:$A$168,0),8),INDEX(Expenditure_type,MATCH(U555*1,type!$A$2:$A$117,0),8))</f>
        <v>הוצאות לפעולות</v>
      </c>
      <c r="W555" s="18" t="str">
        <f t="shared" si="70"/>
        <v>70</v>
      </c>
      <c r="X555" s="18" t="e">
        <f>IF($L555&lt;"6",INDEX(Revenue_type,MATCH(W555*1,type!$A$118:$A$168,0),8),INDEX(Expenditure_type,MATCH(W555*1,type!$A$2:$A$117,0),8))</f>
        <v>#N/A</v>
      </c>
      <c r="Y555" s="18" t="str">
        <f t="shared" si="71"/>
        <v>700</v>
      </c>
      <c r="Z555" s="18" t="e">
        <f>IF($L555&lt;"6",INDEX(Revenue_type,MATCH(Y555*1,type!$A$118:$A$168,0),8),INDEX(Expenditure_type,MATCH(Y555*1,type!$A$2:$A$117,0),8))</f>
        <v>#N/A</v>
      </c>
    </row>
    <row r="556" spans="1:26" ht="15.75" customHeight="1" outlineLevel="2">
      <c r="A556">
        <v>100</v>
      </c>
      <c r="B556" s="249">
        <v>938000</v>
      </c>
      <c r="C556">
        <v>1</v>
      </c>
      <c r="D556" t="str">
        <f t="shared" si="64"/>
        <v>1938000.100</v>
      </c>
      <c r="E556" s="348" t="s">
        <v>8239</v>
      </c>
      <c r="F556" s="242"/>
      <c r="G556"/>
      <c r="H556" s="322">
        <v>2650600</v>
      </c>
      <c r="I556" s="322">
        <v>2619600</v>
      </c>
      <c r="J556" s="242">
        <v>2932900</v>
      </c>
      <c r="K556" s="18" t="e">
        <f>INDEX(תקציב_2013,MATCH(D556,'תקציב 2015'!$D$3:$D$5960,0),8)</f>
        <v>#N/A</v>
      </c>
      <c r="L556" s="18" t="str">
        <f t="shared" si="65"/>
        <v>9</v>
      </c>
      <c r="M556" s="18" t="str">
        <f>INDEX(Chapter,MATCH(L556,Chapter!$A$1:$A$681,0),8)</f>
        <v>מפעלים</v>
      </c>
      <c r="N556" s="18" t="str">
        <f t="shared" si="66"/>
        <v>93</v>
      </c>
      <c r="O556" s="18" t="str">
        <f>INDEX(Chapter,MATCH(N556,Chapter!$A$1:$A$681,0),8)</f>
        <v>נכסים</v>
      </c>
      <c r="P556" s="18" t="str">
        <f t="shared" si="67"/>
        <v>938</v>
      </c>
      <c r="Q556" s="18" t="str">
        <f>INDEX(Chapter,MATCH(P556,Chapter!$A$1:$A$681,0),8)</f>
        <v>משרדי הרשות</v>
      </c>
      <c r="R556" s="18" t="str">
        <f t="shared" si="68"/>
        <v>9380</v>
      </c>
      <c r="S556" s="18" t="e">
        <f>INDEX(Chapter,MATCH(R556,Chapter!$A$1:$A$681,0),8)</f>
        <v>#N/A</v>
      </c>
      <c r="T556" s="18"/>
      <c r="U556" s="18" t="str">
        <f t="shared" si="69"/>
        <v>1</v>
      </c>
      <c r="V556" s="18" t="str">
        <f>IF($L556&lt;"6",INDEX(Revenue_type,MATCH(U556*1,type!$A$118:$A$168,0),8),INDEX(Expenditure_type,MATCH(U556*1,type!$A$2:$A$117,0),8))</f>
        <v>משכורות וש"ע לעובדים לפי תקן</v>
      </c>
      <c r="W556" s="18" t="str">
        <f t="shared" si="70"/>
        <v>10</v>
      </c>
      <c r="X556" s="18" t="e">
        <f>IF($L556&lt;"6",INDEX(Revenue_type,MATCH(W556*1,type!$A$118:$A$168,0),8),INDEX(Expenditure_type,MATCH(W556*1,type!$A$2:$A$117,0),8))</f>
        <v>#N/A</v>
      </c>
      <c r="Y556" s="18" t="str">
        <f t="shared" si="71"/>
        <v>100</v>
      </c>
      <c r="Z556" s="18" t="e">
        <f>IF($L556&lt;"6",INDEX(Revenue_type,MATCH(Y556*1,type!$A$118:$A$168,0),8),INDEX(Expenditure_type,MATCH(Y556*1,type!$A$2:$A$117,0),8))</f>
        <v>#N/A</v>
      </c>
    </row>
    <row r="557" spans="1:26" ht="15.75" customHeight="1" outlineLevel="2">
      <c r="A557">
        <v>120</v>
      </c>
      <c r="B557" s="249">
        <v>938000</v>
      </c>
      <c r="C557">
        <v>1</v>
      </c>
      <c r="D557" t="str">
        <f t="shared" si="64"/>
        <v>1938000.120</v>
      </c>
      <c r="E557" s="348" t="s">
        <v>8240</v>
      </c>
      <c r="F557" s="242"/>
      <c r="G557"/>
      <c r="H557" s="322">
        <v>175400</v>
      </c>
      <c r="I557" s="322">
        <v>175400</v>
      </c>
      <c r="J557" s="242">
        <v>185100</v>
      </c>
      <c r="K557" s="18"/>
      <c r="L557" s="18" t="str">
        <f t="shared" si="65"/>
        <v>9</v>
      </c>
      <c r="M557" s="18" t="str">
        <f>INDEX(Chapter,MATCH(L557,Chapter!$A$1:$A$681,0),8)</f>
        <v>מפעלים</v>
      </c>
      <c r="N557" s="18" t="str">
        <f t="shared" si="66"/>
        <v>93</v>
      </c>
      <c r="O557" s="18" t="str">
        <f>INDEX(Chapter,MATCH(N557,Chapter!$A$1:$A$681,0),8)</f>
        <v>נכסים</v>
      </c>
      <c r="P557" s="18" t="str">
        <f t="shared" si="67"/>
        <v>938</v>
      </c>
      <c r="Q557" s="18" t="str">
        <f>INDEX(Chapter,MATCH(P557,Chapter!$A$1:$A$681,0),8)</f>
        <v>משרדי הרשות</v>
      </c>
      <c r="R557" s="18" t="str">
        <f t="shared" si="68"/>
        <v>9380</v>
      </c>
      <c r="S557" s="18" t="e">
        <f>INDEX(Chapter,MATCH(R557,Chapter!$A$1:$A$681,0),8)</f>
        <v>#N/A</v>
      </c>
      <c r="T557" s="18"/>
      <c r="U557" s="18" t="str">
        <f t="shared" si="69"/>
        <v>1</v>
      </c>
      <c r="V557" s="18" t="str">
        <f>IF($L557&lt;"6",INDEX(Revenue_type,MATCH(U557*1,type!$A$118:$A$168,0),8),INDEX(Expenditure_type,MATCH(U557*1,type!$A$2:$A$117,0),8))</f>
        <v>משכורות וש"ע לעובדים לפי תקן</v>
      </c>
      <c r="W557" s="18" t="str">
        <f t="shared" si="70"/>
        <v>12</v>
      </c>
      <c r="X557" s="18" t="str">
        <f>IF($L557&lt;"6",INDEX(Revenue_type,MATCH(W557*1,type!$A$118:$A$168,0),8),INDEX(Expenditure_type,MATCH(W557*1,type!$A$2:$A$117,0),8))</f>
        <v>תוספות שאינן נכללות בשכר הקובע</v>
      </c>
      <c r="Y557" s="18" t="str">
        <f t="shared" si="71"/>
        <v>120</v>
      </c>
      <c r="Z557" s="18" t="e">
        <f>IF($L557&lt;"6",INDEX(Revenue_type,MATCH(Y557*1,type!$A$118:$A$168,0),8),INDEX(Expenditure_type,MATCH(Y557*1,type!$A$2:$A$117,0),8))</f>
        <v>#N/A</v>
      </c>
    </row>
    <row r="558" spans="1:26" ht="15.75" customHeight="1" outlineLevel="2">
      <c r="A558">
        <v>400</v>
      </c>
      <c r="B558" s="249">
        <v>938000</v>
      </c>
      <c r="C558">
        <v>1</v>
      </c>
      <c r="D558" t="str">
        <f t="shared" si="64"/>
        <v>1938000.400</v>
      </c>
      <c r="E558" s="348" t="s">
        <v>8241</v>
      </c>
      <c r="F558" s="242"/>
      <c r="G558"/>
      <c r="H558" s="322">
        <v>1843400</v>
      </c>
      <c r="I558" s="322">
        <v>1896900</v>
      </c>
      <c r="J558" s="242">
        <v>3408100</v>
      </c>
      <c r="K558" s="18" t="e">
        <f>INDEX(תקציב_2013,MATCH(D558,'תקציב 2015'!$D$3:$D$5960,0),8)</f>
        <v>#N/A</v>
      </c>
      <c r="L558" s="18" t="str">
        <f t="shared" si="65"/>
        <v>9</v>
      </c>
      <c r="M558" s="18" t="str">
        <f>INDEX(Chapter,MATCH(L558,Chapter!$A$1:$A$681,0),8)</f>
        <v>מפעלים</v>
      </c>
      <c r="N558" s="18" t="str">
        <f t="shared" si="66"/>
        <v>93</v>
      </c>
      <c r="O558" s="18" t="str">
        <f>INDEX(Chapter,MATCH(N558,Chapter!$A$1:$A$681,0),8)</f>
        <v>נכסים</v>
      </c>
      <c r="P558" s="18" t="str">
        <f t="shared" si="67"/>
        <v>938</v>
      </c>
      <c r="Q558" s="18" t="str">
        <f>INDEX(Chapter,MATCH(P558,Chapter!$A$1:$A$681,0),8)</f>
        <v>משרדי הרשות</v>
      </c>
      <c r="R558" s="18" t="str">
        <f t="shared" si="68"/>
        <v>9380</v>
      </c>
      <c r="S558" s="18" t="e">
        <f>INDEX(Chapter,MATCH(R558,Chapter!$A$1:$A$681,0),8)</f>
        <v>#N/A</v>
      </c>
      <c r="T558" s="18"/>
      <c r="U558" s="18" t="str">
        <f t="shared" si="69"/>
        <v>4</v>
      </c>
      <c r="V558" s="18" t="str">
        <f>IF($L558&lt;"6",INDEX(Revenue_type,MATCH(U558*1,type!$A$118:$A$168,0),8),INDEX(Expenditure_type,MATCH(U558*1,type!$A$2:$A$117,0),8))</f>
        <v>אחזקת בינים ואספקת ציוד</v>
      </c>
      <c r="W558" s="18" t="str">
        <f t="shared" si="70"/>
        <v>40</v>
      </c>
      <c r="X558" s="18" t="e">
        <f>IF($L558&lt;"6",INDEX(Revenue_type,MATCH(W558*1,type!$A$118:$A$168,0),8),INDEX(Expenditure_type,MATCH(W558*1,type!$A$2:$A$117,0),8))</f>
        <v>#N/A</v>
      </c>
      <c r="Y558" s="18" t="str">
        <f t="shared" si="71"/>
        <v>400</v>
      </c>
      <c r="Z558" s="18" t="e">
        <f>IF($L558&lt;"6",INDEX(Revenue_type,MATCH(Y558*1,type!$A$118:$A$168,0),8),INDEX(Expenditure_type,MATCH(Y558*1,type!$A$2:$A$117,0),8))</f>
        <v>#N/A</v>
      </c>
    </row>
    <row r="559" spans="1:26" ht="15.75" customHeight="1" outlineLevel="2">
      <c r="A559">
        <v>500</v>
      </c>
      <c r="B559" s="249">
        <v>938000</v>
      </c>
      <c r="C559">
        <v>1</v>
      </c>
      <c r="D559" t="str">
        <f t="shared" si="64"/>
        <v>1938000.500</v>
      </c>
      <c r="E559" s="348" t="s">
        <v>8242</v>
      </c>
      <c r="F559" s="242"/>
      <c r="G559"/>
      <c r="H559" s="322">
        <v>46600</v>
      </c>
      <c r="I559" s="322">
        <v>47600</v>
      </c>
      <c r="J559" s="242">
        <v>40500</v>
      </c>
      <c r="K559" s="18" t="e">
        <f>INDEX(תקציב_2013,MATCH(D559,'תקציב 2015'!$D$3:$D$5960,0),8)</f>
        <v>#N/A</v>
      </c>
      <c r="L559" s="18" t="str">
        <f t="shared" si="65"/>
        <v>9</v>
      </c>
      <c r="M559" s="18" t="str">
        <f>INDEX(Chapter,MATCH(L559,Chapter!$A$1:$A$681,0),8)</f>
        <v>מפעלים</v>
      </c>
      <c r="N559" s="18" t="str">
        <f t="shared" si="66"/>
        <v>93</v>
      </c>
      <c r="O559" s="18" t="str">
        <f>INDEX(Chapter,MATCH(N559,Chapter!$A$1:$A$681,0),8)</f>
        <v>נכסים</v>
      </c>
      <c r="P559" s="18" t="str">
        <f t="shared" si="67"/>
        <v>938</v>
      </c>
      <c r="Q559" s="18" t="str">
        <f>INDEX(Chapter,MATCH(P559,Chapter!$A$1:$A$681,0),8)</f>
        <v>משרדי הרשות</v>
      </c>
      <c r="R559" s="18" t="str">
        <f t="shared" si="68"/>
        <v>9380</v>
      </c>
      <c r="S559" s="18" t="e">
        <f>INDEX(Chapter,MATCH(R559,Chapter!$A$1:$A$681,0),8)</f>
        <v>#N/A</v>
      </c>
      <c r="T559" s="18"/>
      <c r="U559" s="18" t="str">
        <f t="shared" si="69"/>
        <v>5</v>
      </c>
      <c r="V559" s="18" t="str">
        <f>IF($L559&lt;"6",INDEX(Revenue_type,MATCH(U559*1,type!$A$118:$A$168,0),8),INDEX(Expenditure_type,MATCH(U559*1,type!$A$2:$A$117,0),8))</f>
        <v>הוצאות מנהליות</v>
      </c>
      <c r="W559" s="18" t="str">
        <f t="shared" si="70"/>
        <v>50</v>
      </c>
      <c r="X559" s="18" t="e">
        <f>IF($L559&lt;"6",INDEX(Revenue_type,MATCH(W559*1,type!$A$118:$A$168,0),8),INDEX(Expenditure_type,MATCH(W559*1,type!$A$2:$A$117,0),8))</f>
        <v>#N/A</v>
      </c>
      <c r="Y559" s="18" t="str">
        <f t="shared" si="71"/>
        <v>500</v>
      </c>
      <c r="Z559" s="18" t="e">
        <f>IF($L559&lt;"6",INDEX(Revenue_type,MATCH(Y559*1,type!$A$118:$A$168,0),8),INDEX(Expenditure_type,MATCH(Y559*1,type!$A$2:$A$117,0),8))</f>
        <v>#N/A</v>
      </c>
    </row>
    <row r="560" spans="1:26" ht="15.75" customHeight="1" outlineLevel="2">
      <c r="A560">
        <v>500</v>
      </c>
      <c r="B560" s="249">
        <v>938000</v>
      </c>
      <c r="C560">
        <v>1</v>
      </c>
      <c r="D560" t="str">
        <f t="shared" si="64"/>
        <v>1938000.500</v>
      </c>
      <c r="E560" s="348" t="s">
        <v>8243</v>
      </c>
      <c r="F560" s="242"/>
      <c r="G560"/>
      <c r="H560" s="322">
        <v>548500</v>
      </c>
      <c r="I560" s="322">
        <v>564600</v>
      </c>
      <c r="J560" s="242">
        <v>541700</v>
      </c>
      <c r="K560" s="18" t="e">
        <f>INDEX(תקציב_2013,MATCH(D560,'תקציב 2015'!$D$3:$D$5960,0),8)</f>
        <v>#N/A</v>
      </c>
      <c r="L560" s="18" t="str">
        <f t="shared" si="65"/>
        <v>9</v>
      </c>
      <c r="M560" s="18" t="str">
        <f>INDEX(Chapter,MATCH(L560,Chapter!$A$1:$A$681,0),8)</f>
        <v>מפעלים</v>
      </c>
      <c r="N560" s="18" t="str">
        <f t="shared" si="66"/>
        <v>93</v>
      </c>
      <c r="O560" s="18" t="str">
        <f>INDEX(Chapter,MATCH(N560,Chapter!$A$1:$A$681,0),8)</f>
        <v>נכסים</v>
      </c>
      <c r="P560" s="18" t="str">
        <f t="shared" si="67"/>
        <v>938</v>
      </c>
      <c r="Q560" s="18" t="str">
        <f>INDEX(Chapter,MATCH(P560,Chapter!$A$1:$A$681,0),8)</f>
        <v>משרדי הרשות</v>
      </c>
      <c r="R560" s="18" t="str">
        <f t="shared" si="68"/>
        <v>9380</v>
      </c>
      <c r="S560" s="18" t="e">
        <f>INDEX(Chapter,MATCH(R560,Chapter!$A$1:$A$681,0),8)</f>
        <v>#N/A</v>
      </c>
      <c r="T560" s="18"/>
      <c r="U560" s="18" t="str">
        <f t="shared" si="69"/>
        <v>5</v>
      </c>
      <c r="V560" s="18" t="str">
        <f>IF($L560&lt;"6",INDEX(Revenue_type,MATCH(U560*1,type!$A$118:$A$168,0),8),INDEX(Expenditure_type,MATCH(U560*1,type!$A$2:$A$117,0),8))</f>
        <v>הוצאות מנהליות</v>
      </c>
      <c r="W560" s="18" t="str">
        <f t="shared" si="70"/>
        <v>50</v>
      </c>
      <c r="X560" s="18" t="e">
        <f>IF($L560&lt;"6",INDEX(Revenue_type,MATCH(W560*1,type!$A$118:$A$168,0),8),INDEX(Expenditure_type,MATCH(W560*1,type!$A$2:$A$117,0),8))</f>
        <v>#N/A</v>
      </c>
      <c r="Y560" s="18" t="str">
        <f t="shared" si="71"/>
        <v>500</v>
      </c>
      <c r="Z560" s="18" t="e">
        <f>IF($L560&lt;"6",INDEX(Revenue_type,MATCH(Y560*1,type!$A$118:$A$168,0),8),INDEX(Expenditure_type,MATCH(Y560*1,type!$A$2:$A$117,0),8))</f>
        <v>#N/A</v>
      </c>
    </row>
    <row r="561" spans="1:26" ht="15.75" customHeight="1" outlineLevel="2">
      <c r="A561">
        <v>700</v>
      </c>
      <c r="B561" s="249">
        <v>938000</v>
      </c>
      <c r="C561">
        <v>1</v>
      </c>
      <c r="D561" t="str">
        <f t="shared" si="64"/>
        <v>1938000.700</v>
      </c>
      <c r="E561" s="348" t="s">
        <v>8244</v>
      </c>
      <c r="F561" s="242"/>
      <c r="G561"/>
      <c r="H561" s="322">
        <v>3168400</v>
      </c>
      <c r="I561" s="322">
        <v>3262800</v>
      </c>
      <c r="J561" s="242">
        <v>2613500</v>
      </c>
      <c r="K561" s="18" t="e">
        <f>INDEX(תקציב_2013,MATCH(D561,'תקציב 2015'!$D$3:$D$5960,0),8)</f>
        <v>#N/A</v>
      </c>
      <c r="L561" s="18" t="str">
        <f t="shared" si="65"/>
        <v>9</v>
      </c>
      <c r="M561" s="18" t="str">
        <f>INDEX(Chapter,MATCH(L561,Chapter!$A$1:$A$681,0),8)</f>
        <v>מפעלים</v>
      </c>
      <c r="N561" s="18" t="str">
        <f t="shared" si="66"/>
        <v>93</v>
      </c>
      <c r="O561" s="18" t="str">
        <f>INDEX(Chapter,MATCH(N561,Chapter!$A$1:$A$681,0),8)</f>
        <v>נכסים</v>
      </c>
      <c r="P561" s="18" t="str">
        <f t="shared" si="67"/>
        <v>938</v>
      </c>
      <c r="Q561" s="18" t="str">
        <f>INDEX(Chapter,MATCH(P561,Chapter!$A$1:$A$681,0),8)</f>
        <v>משרדי הרשות</v>
      </c>
      <c r="R561" s="18" t="str">
        <f t="shared" si="68"/>
        <v>9380</v>
      </c>
      <c r="S561" s="18" t="e">
        <f>INDEX(Chapter,MATCH(R561,Chapter!$A$1:$A$681,0),8)</f>
        <v>#N/A</v>
      </c>
      <c r="T561" s="18"/>
      <c r="U561" s="18" t="str">
        <f t="shared" si="69"/>
        <v>7</v>
      </c>
      <c r="V561" s="18" t="str">
        <f>IF($L561&lt;"6",INDEX(Revenue_type,MATCH(U561*1,type!$A$118:$A$168,0),8),INDEX(Expenditure_type,MATCH(U561*1,type!$A$2:$A$117,0),8))</f>
        <v>הוצאות לפעולות</v>
      </c>
      <c r="W561" s="18" t="str">
        <f t="shared" si="70"/>
        <v>70</v>
      </c>
      <c r="X561" s="18" t="e">
        <f>IF($L561&lt;"6",INDEX(Revenue_type,MATCH(W561*1,type!$A$118:$A$168,0),8),INDEX(Expenditure_type,MATCH(W561*1,type!$A$2:$A$117,0),8))</f>
        <v>#N/A</v>
      </c>
      <c r="Y561" s="18" t="str">
        <f t="shared" si="71"/>
        <v>700</v>
      </c>
      <c r="Z561" s="18" t="e">
        <f>IF($L561&lt;"6",INDEX(Revenue_type,MATCH(Y561*1,type!$A$118:$A$168,0),8),INDEX(Expenditure_type,MATCH(Y561*1,type!$A$2:$A$117,0),8))</f>
        <v>#N/A</v>
      </c>
    </row>
    <row r="562" spans="1:26" ht="15.75" hidden="1" customHeight="1" outlineLevel="2">
      <c r="A562">
        <v>100</v>
      </c>
      <c r="B562" s="249">
        <v>615000</v>
      </c>
      <c r="C562">
        <v>1</v>
      </c>
      <c r="D562" t="str">
        <f t="shared" si="64"/>
        <v>1615000.100</v>
      </c>
      <c r="E562" s="348" t="s">
        <v>8245</v>
      </c>
      <c r="F562" s="242"/>
      <c r="G562"/>
      <c r="H562" s="322">
        <v>7655000</v>
      </c>
      <c r="I562" s="322">
        <v>7569000</v>
      </c>
      <c r="J562" s="242">
        <v>7395100</v>
      </c>
      <c r="K562" s="18" t="e">
        <f>INDEX(תקציב_2013,MATCH(D562,'תקציב 2015'!$D$3:$D$5960,0),8)</f>
        <v>#N/A</v>
      </c>
      <c r="L562" s="18" t="str">
        <f t="shared" si="65"/>
        <v>6</v>
      </c>
      <c r="M562" s="18" t="str">
        <f>INDEX(Chapter,MATCH(L562,Chapter!$A$1:$A$681,0),8)</f>
        <v>הנהלה כללית</v>
      </c>
      <c r="N562" s="18" t="str">
        <f t="shared" si="66"/>
        <v>61</v>
      </c>
      <c r="O562" s="18" t="str">
        <f>INDEX(Chapter,MATCH(N562,Chapter!$A$1:$A$681,0),8)</f>
        <v>מינהל כללי</v>
      </c>
      <c r="P562" s="18" t="str">
        <f t="shared" si="67"/>
        <v>615</v>
      </c>
      <c r="Q562" s="18" t="str">
        <f>INDEX(Chapter,MATCH(P562,Chapter!$A$1:$A$681,0),8)</f>
        <v>מנגנון</v>
      </c>
      <c r="R562" s="18" t="str">
        <f t="shared" si="68"/>
        <v>6150</v>
      </c>
      <c r="S562" s="18" t="e">
        <f>INDEX(Chapter,MATCH(R562,Chapter!$A$1:$A$681,0),8)</f>
        <v>#N/A</v>
      </c>
      <c r="T562" s="18"/>
      <c r="U562" s="18" t="str">
        <f t="shared" si="69"/>
        <v>1</v>
      </c>
      <c r="V562" s="18" t="str">
        <f>IF($L562&lt;"6",INDEX(Revenue_type,MATCH(U562*1,type!$A$118:$A$168,0),8),INDEX(Expenditure_type,MATCH(U562*1,type!$A$2:$A$117,0),8))</f>
        <v>משכורות וש"ע לעובדים לפי תקן</v>
      </c>
      <c r="W562" s="18" t="str">
        <f t="shared" si="70"/>
        <v>10</v>
      </c>
      <c r="X562" s="18" t="e">
        <f>IF($L562&lt;"6",INDEX(Revenue_type,MATCH(W562*1,type!$A$118:$A$168,0),8),INDEX(Expenditure_type,MATCH(W562*1,type!$A$2:$A$117,0),8))</f>
        <v>#N/A</v>
      </c>
      <c r="Y562" s="18" t="str">
        <f t="shared" si="71"/>
        <v>100</v>
      </c>
      <c r="Z562" s="18" t="e">
        <f>IF($L562&lt;"6",INDEX(Revenue_type,MATCH(Y562*1,type!$A$118:$A$168,0),8),INDEX(Expenditure_type,MATCH(Y562*1,type!$A$2:$A$117,0),8))</f>
        <v>#N/A</v>
      </c>
    </row>
    <row r="563" spans="1:26" ht="15.75" hidden="1" customHeight="1" outlineLevel="2">
      <c r="A563">
        <v>120</v>
      </c>
      <c r="B563" s="249">
        <v>615000</v>
      </c>
      <c r="C563">
        <v>1</v>
      </c>
      <c r="D563" t="str">
        <f t="shared" si="64"/>
        <v>1615000.120</v>
      </c>
      <c r="E563" s="348" t="s">
        <v>8246</v>
      </c>
      <c r="F563" s="242"/>
      <c r="G563"/>
      <c r="H563" s="322">
        <v>180000</v>
      </c>
      <c r="I563" s="322">
        <v>180000</v>
      </c>
      <c r="J563" s="242">
        <v>179200</v>
      </c>
      <c r="K563" s="18">
        <f>INDEX(תקציב_2013,MATCH(D563,'תקציב 2015'!$D$3:$D$5960,0),8)</f>
        <v>27034</v>
      </c>
      <c r="L563" s="18" t="str">
        <f t="shared" si="65"/>
        <v>6</v>
      </c>
      <c r="M563" s="18" t="str">
        <f>INDEX(Chapter,MATCH(L563,Chapter!$A$1:$A$681,0),8)</f>
        <v>הנהלה כללית</v>
      </c>
      <c r="N563" s="18" t="str">
        <f t="shared" si="66"/>
        <v>61</v>
      </c>
      <c r="O563" s="18" t="str">
        <f>INDEX(Chapter,MATCH(N563,Chapter!$A$1:$A$681,0),8)</f>
        <v>מינהל כללי</v>
      </c>
      <c r="P563" s="18" t="str">
        <f t="shared" si="67"/>
        <v>615</v>
      </c>
      <c r="Q563" s="18" t="str">
        <f>INDEX(Chapter,MATCH(P563,Chapter!$A$1:$A$681,0),8)</f>
        <v>מנגנון</v>
      </c>
      <c r="R563" s="18" t="str">
        <f t="shared" si="68"/>
        <v>6150</v>
      </c>
      <c r="S563" s="18" t="e">
        <f>INDEX(Chapter,MATCH(R563,Chapter!$A$1:$A$681,0),8)</f>
        <v>#N/A</v>
      </c>
      <c r="T563" s="18"/>
      <c r="U563" s="18" t="str">
        <f t="shared" si="69"/>
        <v>1</v>
      </c>
      <c r="V563" s="18" t="str">
        <f>IF($L563&lt;"6",INDEX(Revenue_type,MATCH(U563*1,type!$A$118:$A$168,0),8),INDEX(Expenditure_type,MATCH(U563*1,type!$A$2:$A$117,0),8))</f>
        <v>משכורות וש"ע לעובדים לפי תקן</v>
      </c>
      <c r="W563" s="18" t="str">
        <f t="shared" si="70"/>
        <v>12</v>
      </c>
      <c r="X563" s="18" t="str">
        <f>IF($L563&lt;"6",INDEX(Revenue_type,MATCH(W563*1,type!$A$118:$A$168,0),8),INDEX(Expenditure_type,MATCH(W563*1,type!$A$2:$A$117,0),8))</f>
        <v>תוספות שאינן נכללות בשכר הקובע</v>
      </c>
      <c r="Y563" s="18" t="str">
        <f t="shared" si="71"/>
        <v>120</v>
      </c>
      <c r="Z563" s="18" t="e">
        <f>IF($L563&lt;"6",INDEX(Revenue_type,MATCH(Y563*1,type!$A$118:$A$168,0),8),INDEX(Expenditure_type,MATCH(Y563*1,type!$A$2:$A$117,0),8))</f>
        <v>#N/A</v>
      </c>
    </row>
    <row r="564" spans="1:26" ht="15.75" hidden="1" customHeight="1" outlineLevel="2">
      <c r="A564">
        <v>400</v>
      </c>
      <c r="B564" s="249">
        <v>615000</v>
      </c>
      <c r="C564">
        <v>1</v>
      </c>
      <c r="D564" t="str">
        <f t="shared" si="64"/>
        <v>1615000.400</v>
      </c>
      <c r="E564" s="348" t="s">
        <v>8247</v>
      </c>
      <c r="F564" s="242"/>
      <c r="G564"/>
      <c r="H564" s="322">
        <v>68000</v>
      </c>
      <c r="I564" s="322">
        <v>71000</v>
      </c>
      <c r="J564" s="242">
        <v>71700</v>
      </c>
      <c r="K564" s="18" t="e">
        <f>INDEX(תקציב_2013,MATCH(D564,'תקציב 2015'!$D$3:$D$5960,0),8)</f>
        <v>#N/A</v>
      </c>
      <c r="L564" s="18" t="str">
        <f t="shared" si="65"/>
        <v>6</v>
      </c>
      <c r="M564" s="18" t="str">
        <f>INDEX(Chapter,MATCH(L564,Chapter!$A$1:$A$681,0),8)</f>
        <v>הנהלה כללית</v>
      </c>
      <c r="N564" s="18" t="str">
        <f t="shared" si="66"/>
        <v>61</v>
      </c>
      <c r="O564" s="18" t="str">
        <f>INDEX(Chapter,MATCH(N564,Chapter!$A$1:$A$681,0),8)</f>
        <v>מינהל כללי</v>
      </c>
      <c r="P564" s="18" t="str">
        <f t="shared" si="67"/>
        <v>615</v>
      </c>
      <c r="Q564" s="18" t="str">
        <f>INDEX(Chapter,MATCH(P564,Chapter!$A$1:$A$681,0),8)</f>
        <v>מנגנון</v>
      </c>
      <c r="R564" s="18" t="str">
        <f t="shared" si="68"/>
        <v>6150</v>
      </c>
      <c r="S564" s="18" t="e">
        <f>INDEX(Chapter,MATCH(R564,Chapter!$A$1:$A$681,0),8)</f>
        <v>#N/A</v>
      </c>
      <c r="T564" s="18"/>
      <c r="U564" s="18" t="str">
        <f t="shared" si="69"/>
        <v>4</v>
      </c>
      <c r="V564" s="18" t="str">
        <f>IF($L564&lt;"6",INDEX(Revenue_type,MATCH(U564*1,type!$A$118:$A$168,0),8),INDEX(Expenditure_type,MATCH(U564*1,type!$A$2:$A$117,0),8))</f>
        <v>אחזקת בינים ואספקת ציוד</v>
      </c>
      <c r="W564" s="18" t="str">
        <f t="shared" si="70"/>
        <v>40</v>
      </c>
      <c r="X564" s="18" t="e">
        <f>IF($L564&lt;"6",INDEX(Revenue_type,MATCH(W564*1,type!$A$118:$A$168,0),8),INDEX(Expenditure_type,MATCH(W564*1,type!$A$2:$A$117,0),8))</f>
        <v>#N/A</v>
      </c>
      <c r="Y564" s="18" t="str">
        <f t="shared" si="71"/>
        <v>400</v>
      </c>
      <c r="Z564" s="18" t="e">
        <f>IF($L564&lt;"6",INDEX(Revenue_type,MATCH(Y564*1,type!$A$118:$A$168,0),8),INDEX(Expenditure_type,MATCH(Y564*1,type!$A$2:$A$117,0),8))</f>
        <v>#N/A</v>
      </c>
    </row>
    <row r="565" spans="1:26" ht="15.75" hidden="1" customHeight="1" outlineLevel="2">
      <c r="A565">
        <v>500</v>
      </c>
      <c r="B565" s="249">
        <v>615000</v>
      </c>
      <c r="C565">
        <v>1</v>
      </c>
      <c r="D565" t="str">
        <f t="shared" si="64"/>
        <v>1615000.500</v>
      </c>
      <c r="E565" s="348" t="s">
        <v>8248</v>
      </c>
      <c r="F565" s="242"/>
      <c r="G565"/>
      <c r="H565" s="322">
        <v>110800</v>
      </c>
      <c r="I565" s="322">
        <v>110800</v>
      </c>
      <c r="J565" s="242">
        <v>102000</v>
      </c>
      <c r="K565" s="18" t="e">
        <f>INDEX(תקציב_2013,MATCH(D565,'תקציב 2015'!$D$3:$D$5960,0),8)</f>
        <v>#N/A</v>
      </c>
      <c r="L565" s="18" t="str">
        <f t="shared" si="65"/>
        <v>6</v>
      </c>
      <c r="M565" s="18" t="str">
        <f>INDEX(Chapter,MATCH(L565,Chapter!$A$1:$A$681,0),8)</f>
        <v>הנהלה כללית</v>
      </c>
      <c r="N565" s="18" t="str">
        <f t="shared" si="66"/>
        <v>61</v>
      </c>
      <c r="O565" s="18" t="str">
        <f>INDEX(Chapter,MATCH(N565,Chapter!$A$1:$A$681,0),8)</f>
        <v>מינהל כללי</v>
      </c>
      <c r="P565" s="18" t="str">
        <f t="shared" si="67"/>
        <v>615</v>
      </c>
      <c r="Q565" s="18" t="str">
        <f>INDEX(Chapter,MATCH(P565,Chapter!$A$1:$A$681,0),8)</f>
        <v>מנגנון</v>
      </c>
      <c r="R565" s="18" t="str">
        <f t="shared" si="68"/>
        <v>6150</v>
      </c>
      <c r="S565" s="18" t="e">
        <f>INDEX(Chapter,MATCH(R565,Chapter!$A$1:$A$681,0),8)</f>
        <v>#N/A</v>
      </c>
      <c r="T565" s="18"/>
      <c r="U565" s="18" t="str">
        <f t="shared" si="69"/>
        <v>5</v>
      </c>
      <c r="V565" s="18" t="str">
        <f>IF($L565&lt;"6",INDEX(Revenue_type,MATCH(U565*1,type!$A$118:$A$168,0),8),INDEX(Expenditure_type,MATCH(U565*1,type!$A$2:$A$117,0),8))</f>
        <v>הוצאות מנהליות</v>
      </c>
      <c r="W565" s="18" t="str">
        <f t="shared" si="70"/>
        <v>50</v>
      </c>
      <c r="X565" s="18" t="e">
        <f>IF($L565&lt;"6",INDEX(Revenue_type,MATCH(W565*1,type!$A$118:$A$168,0),8),INDEX(Expenditure_type,MATCH(W565*1,type!$A$2:$A$117,0),8))</f>
        <v>#N/A</v>
      </c>
      <c r="Y565" s="18" t="str">
        <f t="shared" si="71"/>
        <v>500</v>
      </c>
      <c r="Z565" s="18" t="e">
        <f>IF($L565&lt;"6",INDEX(Revenue_type,MATCH(Y565*1,type!$A$118:$A$168,0),8),INDEX(Expenditure_type,MATCH(Y565*1,type!$A$2:$A$117,0),8))</f>
        <v>#N/A</v>
      </c>
    </row>
    <row r="566" spans="1:26" ht="15.75" hidden="1" customHeight="1" outlineLevel="2">
      <c r="A566">
        <v>500</v>
      </c>
      <c r="B566" s="249">
        <v>615000</v>
      </c>
      <c r="C566">
        <v>1</v>
      </c>
      <c r="D566" t="str">
        <f t="shared" si="64"/>
        <v>1615000.500</v>
      </c>
      <c r="E566" s="348" t="s">
        <v>8249</v>
      </c>
      <c r="F566" s="242"/>
      <c r="G566"/>
      <c r="H566" s="322">
        <v>16800</v>
      </c>
      <c r="I566" s="322">
        <v>16800</v>
      </c>
      <c r="J566" s="242">
        <v>11100</v>
      </c>
      <c r="K566" s="18"/>
      <c r="L566" s="18" t="str">
        <f t="shared" si="65"/>
        <v>6</v>
      </c>
      <c r="M566" s="18" t="str">
        <f>INDEX(Chapter,MATCH(L566,Chapter!$A$1:$A$681,0),8)</f>
        <v>הנהלה כללית</v>
      </c>
      <c r="N566" s="18" t="str">
        <f t="shared" si="66"/>
        <v>61</v>
      </c>
      <c r="O566" s="18" t="str">
        <f>INDEX(Chapter,MATCH(N566,Chapter!$A$1:$A$681,0),8)</f>
        <v>מינהל כללי</v>
      </c>
      <c r="P566" s="18" t="str">
        <f t="shared" si="67"/>
        <v>615</v>
      </c>
      <c r="Q566" s="18" t="str">
        <f>INDEX(Chapter,MATCH(P566,Chapter!$A$1:$A$681,0),8)</f>
        <v>מנגנון</v>
      </c>
      <c r="R566" s="18" t="str">
        <f t="shared" si="68"/>
        <v>6150</v>
      </c>
      <c r="S566" s="18" t="e">
        <f>INDEX(Chapter,MATCH(R566,Chapter!$A$1:$A$681,0),8)</f>
        <v>#N/A</v>
      </c>
      <c r="T566" s="18"/>
      <c r="U566" s="18" t="str">
        <f t="shared" si="69"/>
        <v>5</v>
      </c>
      <c r="V566" s="18" t="str">
        <f>IF($L566&lt;"6",INDEX(Revenue_type,MATCH(U566*1,type!$A$118:$A$168,0),8),INDEX(Expenditure_type,MATCH(U566*1,type!$A$2:$A$117,0),8))</f>
        <v>הוצאות מנהליות</v>
      </c>
      <c r="W566" s="18" t="str">
        <f t="shared" si="70"/>
        <v>50</v>
      </c>
      <c r="X566" s="18" t="e">
        <f>IF($L566&lt;"6",INDEX(Revenue_type,MATCH(W566*1,type!$A$118:$A$168,0),8),INDEX(Expenditure_type,MATCH(W566*1,type!$A$2:$A$117,0),8))</f>
        <v>#N/A</v>
      </c>
      <c r="Y566" s="18" t="str">
        <f t="shared" si="71"/>
        <v>500</v>
      </c>
      <c r="Z566" s="18" t="e">
        <f>IF($L566&lt;"6",INDEX(Revenue_type,MATCH(Y566*1,type!$A$118:$A$168,0),8),INDEX(Expenditure_type,MATCH(Y566*1,type!$A$2:$A$117,0),8))</f>
        <v>#N/A</v>
      </c>
    </row>
    <row r="567" spans="1:26" ht="15.75" hidden="1" customHeight="1" outlineLevel="2">
      <c r="A567">
        <v>700</v>
      </c>
      <c r="B567" s="249">
        <v>615000</v>
      </c>
      <c r="C567">
        <v>1</v>
      </c>
      <c r="D567" t="str">
        <f t="shared" si="64"/>
        <v>1615000.700</v>
      </c>
      <c r="E567" s="348" t="s">
        <v>8250</v>
      </c>
      <c r="F567" s="242"/>
      <c r="G567"/>
      <c r="H567" s="322">
        <v>3300</v>
      </c>
      <c r="I567" s="322">
        <v>6100</v>
      </c>
      <c r="J567" s="242">
        <v>4400</v>
      </c>
      <c r="K567" s="18" t="e">
        <f>INDEX(תקציב_2013,MATCH(D567,'תקציב 2015'!$D$3:$D$5960,0),8)</f>
        <v>#N/A</v>
      </c>
      <c r="L567" s="18" t="str">
        <f t="shared" si="65"/>
        <v>6</v>
      </c>
      <c r="M567" s="18" t="str">
        <f>INDEX(Chapter,MATCH(L567,Chapter!$A$1:$A$681,0),8)</f>
        <v>הנהלה כללית</v>
      </c>
      <c r="N567" s="18" t="str">
        <f t="shared" si="66"/>
        <v>61</v>
      </c>
      <c r="O567" s="18" t="str">
        <f>INDEX(Chapter,MATCH(N567,Chapter!$A$1:$A$681,0),8)</f>
        <v>מינהל כללי</v>
      </c>
      <c r="P567" s="18" t="str">
        <f t="shared" si="67"/>
        <v>615</v>
      </c>
      <c r="Q567" s="18" t="str">
        <f>INDEX(Chapter,MATCH(P567,Chapter!$A$1:$A$681,0),8)</f>
        <v>מנגנון</v>
      </c>
      <c r="R567" s="18" t="str">
        <f t="shared" si="68"/>
        <v>6150</v>
      </c>
      <c r="S567" s="18" t="e">
        <f>INDEX(Chapter,MATCH(R567,Chapter!$A$1:$A$681,0),8)</f>
        <v>#N/A</v>
      </c>
      <c r="T567" s="18"/>
      <c r="U567" s="18" t="str">
        <f t="shared" si="69"/>
        <v>7</v>
      </c>
      <c r="V567" s="18" t="str">
        <f>IF($L567&lt;"6",INDEX(Revenue_type,MATCH(U567*1,type!$A$118:$A$168,0),8),INDEX(Expenditure_type,MATCH(U567*1,type!$A$2:$A$117,0),8))</f>
        <v>הוצאות לפעולות</v>
      </c>
      <c r="W567" s="18" t="str">
        <f t="shared" si="70"/>
        <v>70</v>
      </c>
      <c r="X567" s="18" t="e">
        <f>IF($L567&lt;"6",INDEX(Revenue_type,MATCH(W567*1,type!$A$118:$A$168,0),8),INDEX(Expenditure_type,MATCH(W567*1,type!$A$2:$A$117,0),8))</f>
        <v>#N/A</v>
      </c>
      <c r="Y567" s="18" t="str">
        <f t="shared" si="71"/>
        <v>700</v>
      </c>
      <c r="Z567" s="18" t="e">
        <f>IF($L567&lt;"6",INDEX(Revenue_type,MATCH(Y567*1,type!$A$118:$A$168,0),8),INDEX(Expenditure_type,MATCH(Y567*1,type!$A$2:$A$117,0),8))</f>
        <v>#N/A</v>
      </c>
    </row>
    <row r="568" spans="1:26" ht="15.75" hidden="1" customHeight="1" outlineLevel="2">
      <c r="A568">
        <v>800</v>
      </c>
      <c r="B568" s="249">
        <v>615110</v>
      </c>
      <c r="C568">
        <v>1</v>
      </c>
      <c r="D568" t="str">
        <f t="shared" si="64"/>
        <v>1615110.800</v>
      </c>
      <c r="E568" s="348" t="s">
        <v>8251</v>
      </c>
      <c r="F568" s="242"/>
      <c r="G568"/>
      <c r="H568" s="322">
        <v>1102600</v>
      </c>
      <c r="I568" s="322">
        <v>1135000</v>
      </c>
      <c r="J568" s="242">
        <v>913800</v>
      </c>
      <c r="K568" s="18" t="e">
        <f>INDEX(תקציב_2013,MATCH(D568,'תקציב 2015'!$D$3:$D$5960,0),8)</f>
        <v>#N/A</v>
      </c>
      <c r="L568" s="18" t="str">
        <f t="shared" si="65"/>
        <v>6</v>
      </c>
      <c r="M568" s="18" t="str">
        <f>INDEX(Chapter,MATCH(L568,Chapter!$A$1:$A$681,0),8)</f>
        <v>הנהלה כללית</v>
      </c>
      <c r="N568" s="18" t="str">
        <f t="shared" si="66"/>
        <v>61</v>
      </c>
      <c r="O568" s="18" t="str">
        <f>INDEX(Chapter,MATCH(N568,Chapter!$A$1:$A$681,0),8)</f>
        <v>מינהל כללי</v>
      </c>
      <c r="P568" s="18" t="str">
        <f t="shared" si="67"/>
        <v>615</v>
      </c>
      <c r="Q568" s="18" t="str">
        <f>INDEX(Chapter,MATCH(P568,Chapter!$A$1:$A$681,0),8)</f>
        <v>מנגנון</v>
      </c>
      <c r="R568" s="18" t="str">
        <f t="shared" si="68"/>
        <v>6151</v>
      </c>
      <c r="S568" s="18" t="e">
        <f>INDEX(Chapter,MATCH(R568,Chapter!$A$1:$A$681,0),8)</f>
        <v>#N/A</v>
      </c>
      <c r="T568" s="18"/>
      <c r="U568" s="18" t="str">
        <f t="shared" si="69"/>
        <v>8</v>
      </c>
      <c r="V568" s="18" t="str">
        <f>IF($L568&lt;"6",INDEX(Revenue_type,MATCH(U568*1,type!$A$118:$A$168,0),8),INDEX(Expenditure_type,MATCH(U568*1,type!$A$2:$A$117,0),8))</f>
        <v>השתתפויות תמיכות ותרומות</v>
      </c>
      <c r="W568" s="18" t="str">
        <f t="shared" si="70"/>
        <v>80</v>
      </c>
      <c r="X568" s="18" t="e">
        <f>IF($L568&lt;"6",INDEX(Revenue_type,MATCH(W568*1,type!$A$118:$A$168,0),8),INDEX(Expenditure_type,MATCH(W568*1,type!$A$2:$A$117,0),8))</f>
        <v>#N/A</v>
      </c>
      <c r="Y568" s="18" t="str">
        <f t="shared" si="71"/>
        <v>800</v>
      </c>
      <c r="Z568" s="18" t="e">
        <f>IF($L568&lt;"6",INDEX(Revenue_type,MATCH(Y568*1,type!$A$118:$A$168,0),8),INDEX(Expenditure_type,MATCH(Y568*1,type!$A$2:$A$117,0),8))</f>
        <v>#N/A</v>
      </c>
    </row>
    <row r="569" spans="1:26" ht="15.75" hidden="1" customHeight="1" outlineLevel="2">
      <c r="A569">
        <v>800</v>
      </c>
      <c r="B569" s="249">
        <v>615112</v>
      </c>
      <c r="C569">
        <v>1</v>
      </c>
      <c r="D569" t="str">
        <f t="shared" si="64"/>
        <v>1615112.800</v>
      </c>
      <c r="E569" s="348" t="s">
        <v>8252</v>
      </c>
      <c r="F569" s="242"/>
      <c r="G569"/>
      <c r="H569" s="322">
        <v>72900</v>
      </c>
      <c r="I569" s="322">
        <v>75000</v>
      </c>
      <c r="J569" s="242">
        <v>67400</v>
      </c>
      <c r="K569" s="18" t="e">
        <f>INDEX(תקציב_2013,MATCH(D569,'תקציב 2015'!$D$3:$D$5960,0),8)</f>
        <v>#N/A</v>
      </c>
      <c r="L569" s="18" t="str">
        <f t="shared" si="65"/>
        <v>6</v>
      </c>
      <c r="M569" s="18" t="str">
        <f>INDEX(Chapter,MATCH(L569,Chapter!$A$1:$A$681,0),8)</f>
        <v>הנהלה כללית</v>
      </c>
      <c r="N569" s="18" t="str">
        <f t="shared" si="66"/>
        <v>61</v>
      </c>
      <c r="O569" s="18" t="str">
        <f>INDEX(Chapter,MATCH(N569,Chapter!$A$1:$A$681,0),8)</f>
        <v>מינהל כללי</v>
      </c>
      <c r="P569" s="18" t="str">
        <f t="shared" si="67"/>
        <v>615</v>
      </c>
      <c r="Q569" s="18" t="str">
        <f>INDEX(Chapter,MATCH(P569,Chapter!$A$1:$A$681,0),8)</f>
        <v>מנגנון</v>
      </c>
      <c r="R569" s="18" t="str">
        <f t="shared" si="68"/>
        <v>6151</v>
      </c>
      <c r="S569" s="18" t="e">
        <f>INDEX(Chapter,MATCH(R569,Chapter!$A$1:$A$681,0),8)</f>
        <v>#N/A</v>
      </c>
      <c r="T569" s="18"/>
      <c r="U569" s="18" t="str">
        <f t="shared" si="69"/>
        <v>8</v>
      </c>
      <c r="V569" s="18" t="str">
        <f>IF($L569&lt;"6",INDEX(Revenue_type,MATCH(U569*1,type!$A$118:$A$168,0),8),INDEX(Expenditure_type,MATCH(U569*1,type!$A$2:$A$117,0),8))</f>
        <v>השתתפויות תמיכות ותרומות</v>
      </c>
      <c r="W569" s="18" t="str">
        <f t="shared" si="70"/>
        <v>80</v>
      </c>
      <c r="X569" s="18" t="e">
        <f>IF($L569&lt;"6",INDEX(Revenue_type,MATCH(W569*1,type!$A$118:$A$168,0),8),INDEX(Expenditure_type,MATCH(W569*1,type!$A$2:$A$117,0),8))</f>
        <v>#N/A</v>
      </c>
      <c r="Y569" s="18" t="str">
        <f t="shared" si="71"/>
        <v>800</v>
      </c>
      <c r="Z569" s="18" t="e">
        <f>IF($L569&lt;"6",INDEX(Revenue_type,MATCH(Y569*1,type!$A$118:$A$168,0),8),INDEX(Expenditure_type,MATCH(Y569*1,type!$A$2:$A$117,0),8))</f>
        <v>#N/A</v>
      </c>
    </row>
    <row r="570" spans="1:26" ht="15.75" hidden="1" customHeight="1" outlineLevel="2">
      <c r="A570">
        <v>700</v>
      </c>
      <c r="B570" s="249">
        <v>615130</v>
      </c>
      <c r="C570">
        <v>1</v>
      </c>
      <c r="D570" t="str">
        <f t="shared" si="64"/>
        <v>1615130.700</v>
      </c>
      <c r="E570" s="348" t="s">
        <v>8253</v>
      </c>
      <c r="F570" s="242"/>
      <c r="G570"/>
      <c r="H570" s="322">
        <v>24800</v>
      </c>
      <c r="I570" s="322">
        <v>25500</v>
      </c>
      <c r="J570" s="242">
        <v>0</v>
      </c>
      <c r="K570" s="18" t="e">
        <f>INDEX(תקציב_2013,MATCH(D570,'תקציב 2015'!$D$3:$D$5960,0),8)</f>
        <v>#N/A</v>
      </c>
      <c r="L570" s="18" t="str">
        <f t="shared" si="65"/>
        <v>6</v>
      </c>
      <c r="M570" s="18" t="str">
        <f>INDEX(Chapter,MATCH(L570,Chapter!$A$1:$A$681,0),8)</f>
        <v>הנהלה כללית</v>
      </c>
      <c r="N570" s="18" t="str">
        <f t="shared" si="66"/>
        <v>61</v>
      </c>
      <c r="O570" s="18" t="str">
        <f>INDEX(Chapter,MATCH(N570,Chapter!$A$1:$A$681,0),8)</f>
        <v>מינהל כללי</v>
      </c>
      <c r="P570" s="18" t="str">
        <f t="shared" si="67"/>
        <v>615</v>
      </c>
      <c r="Q570" s="18" t="str">
        <f>INDEX(Chapter,MATCH(P570,Chapter!$A$1:$A$681,0),8)</f>
        <v>מנגנון</v>
      </c>
      <c r="R570" s="18" t="str">
        <f t="shared" si="68"/>
        <v>6151</v>
      </c>
      <c r="S570" s="18" t="e">
        <f>INDEX(Chapter,MATCH(R570,Chapter!$A$1:$A$681,0),8)</f>
        <v>#N/A</v>
      </c>
      <c r="T570" s="18"/>
      <c r="U570" s="18" t="str">
        <f t="shared" si="69"/>
        <v>7</v>
      </c>
      <c r="V570" s="18" t="str">
        <f>IF($L570&lt;"6",INDEX(Revenue_type,MATCH(U570*1,type!$A$118:$A$168,0),8),INDEX(Expenditure_type,MATCH(U570*1,type!$A$2:$A$117,0),8))</f>
        <v>הוצאות לפעולות</v>
      </c>
      <c r="W570" s="18" t="str">
        <f t="shared" si="70"/>
        <v>70</v>
      </c>
      <c r="X570" s="18" t="e">
        <f>IF($L570&lt;"6",INDEX(Revenue_type,MATCH(W570*1,type!$A$118:$A$168,0),8),INDEX(Expenditure_type,MATCH(W570*1,type!$A$2:$A$117,0),8))</f>
        <v>#N/A</v>
      </c>
      <c r="Y570" s="18" t="str">
        <f t="shared" si="71"/>
        <v>700</v>
      </c>
      <c r="Z570" s="18" t="e">
        <f>IF($L570&lt;"6",INDEX(Revenue_type,MATCH(Y570*1,type!$A$118:$A$168,0),8),INDEX(Expenditure_type,MATCH(Y570*1,type!$A$2:$A$117,0),8))</f>
        <v>#N/A</v>
      </c>
    </row>
    <row r="571" spans="1:26" ht="15.75" hidden="1" customHeight="1" outlineLevel="2">
      <c r="A571">
        <v>800</v>
      </c>
      <c r="B571" s="249">
        <v>615200</v>
      </c>
      <c r="C571">
        <v>1</v>
      </c>
      <c r="D571" t="str">
        <f t="shared" si="64"/>
        <v>1615200.800</v>
      </c>
      <c r="E571" s="348" t="s">
        <v>8254</v>
      </c>
      <c r="F571" s="242"/>
      <c r="G571"/>
      <c r="H571" s="322">
        <v>121400</v>
      </c>
      <c r="I571" s="322">
        <v>125000</v>
      </c>
      <c r="J571" s="242">
        <v>119200</v>
      </c>
      <c r="K571" s="18" t="e">
        <f>INDEX(תקציב_2013,MATCH(D571,'תקציב 2015'!$D$3:$D$5960,0),8)</f>
        <v>#N/A</v>
      </c>
      <c r="L571" s="18" t="str">
        <f t="shared" si="65"/>
        <v>6</v>
      </c>
      <c r="M571" s="18" t="str">
        <f>INDEX(Chapter,MATCH(L571,Chapter!$A$1:$A$681,0),8)</f>
        <v>הנהלה כללית</v>
      </c>
      <c r="N571" s="18" t="str">
        <f t="shared" si="66"/>
        <v>61</v>
      </c>
      <c r="O571" s="18" t="str">
        <f>INDEX(Chapter,MATCH(N571,Chapter!$A$1:$A$681,0),8)</f>
        <v>מינהל כללי</v>
      </c>
      <c r="P571" s="18" t="str">
        <f t="shared" si="67"/>
        <v>615</v>
      </c>
      <c r="Q571" s="18" t="str">
        <f>INDEX(Chapter,MATCH(P571,Chapter!$A$1:$A$681,0),8)</f>
        <v>מנגנון</v>
      </c>
      <c r="R571" s="18" t="str">
        <f t="shared" si="68"/>
        <v>6152</v>
      </c>
      <c r="S571" s="18" t="e">
        <f>INDEX(Chapter,MATCH(R571,Chapter!$A$1:$A$681,0),8)</f>
        <v>#N/A</v>
      </c>
      <c r="T571" s="18"/>
      <c r="U571" s="18" t="str">
        <f t="shared" si="69"/>
        <v>8</v>
      </c>
      <c r="V571" s="18" t="str">
        <f>IF($L571&lt;"6",INDEX(Revenue_type,MATCH(U571*1,type!$A$118:$A$168,0),8),INDEX(Expenditure_type,MATCH(U571*1,type!$A$2:$A$117,0),8))</f>
        <v>השתתפויות תמיכות ותרומות</v>
      </c>
      <c r="W571" s="18" t="str">
        <f t="shared" si="70"/>
        <v>80</v>
      </c>
      <c r="X571" s="18" t="e">
        <f>IF($L571&lt;"6",INDEX(Revenue_type,MATCH(W571*1,type!$A$118:$A$168,0),8),INDEX(Expenditure_type,MATCH(W571*1,type!$A$2:$A$117,0),8))</f>
        <v>#N/A</v>
      </c>
      <c r="Y571" s="18" t="str">
        <f t="shared" si="71"/>
        <v>800</v>
      </c>
      <c r="Z571" s="18" t="e">
        <f>IF($L571&lt;"6",INDEX(Revenue_type,MATCH(Y571*1,type!$A$118:$A$168,0),8),INDEX(Expenditure_type,MATCH(Y571*1,type!$A$2:$A$117,0),8))</f>
        <v>#N/A</v>
      </c>
    </row>
    <row r="572" spans="1:26" ht="15.75" hidden="1" customHeight="1" outlineLevel="2">
      <c r="A572">
        <v>700</v>
      </c>
      <c r="B572" s="249">
        <v>615700</v>
      </c>
      <c r="C572">
        <v>1</v>
      </c>
      <c r="D572" t="str">
        <f t="shared" si="64"/>
        <v>1615700.700</v>
      </c>
      <c r="E572" s="348" t="s">
        <v>8255</v>
      </c>
      <c r="F572" s="242"/>
      <c r="G572"/>
      <c r="H572" s="322">
        <v>68000</v>
      </c>
      <c r="I572" s="322">
        <v>70000</v>
      </c>
      <c r="J572" s="242">
        <v>70000</v>
      </c>
      <c r="K572" s="18" t="e">
        <f>INDEX(תקציב_2013,MATCH(D572,'תקציב 2015'!$D$3:$D$5960,0),8)</f>
        <v>#N/A</v>
      </c>
      <c r="L572" s="18" t="str">
        <f t="shared" si="65"/>
        <v>6</v>
      </c>
      <c r="M572" s="18" t="str">
        <f>INDEX(Chapter,MATCH(L572,Chapter!$A$1:$A$681,0),8)</f>
        <v>הנהלה כללית</v>
      </c>
      <c r="N572" s="18" t="str">
        <f t="shared" si="66"/>
        <v>61</v>
      </c>
      <c r="O572" s="18" t="str">
        <f>INDEX(Chapter,MATCH(N572,Chapter!$A$1:$A$681,0),8)</f>
        <v>מינהל כללי</v>
      </c>
      <c r="P572" s="18" t="str">
        <f t="shared" si="67"/>
        <v>615</v>
      </c>
      <c r="Q572" s="18" t="str">
        <f>INDEX(Chapter,MATCH(P572,Chapter!$A$1:$A$681,0),8)</f>
        <v>מנגנון</v>
      </c>
      <c r="R572" s="18" t="str">
        <f t="shared" si="68"/>
        <v>6157</v>
      </c>
      <c r="S572" s="18" t="e">
        <f>INDEX(Chapter,MATCH(R572,Chapter!$A$1:$A$681,0),8)</f>
        <v>#N/A</v>
      </c>
      <c r="T572" s="18"/>
      <c r="U572" s="18" t="str">
        <f t="shared" si="69"/>
        <v>7</v>
      </c>
      <c r="V572" s="18" t="str">
        <f>IF($L572&lt;"6",INDEX(Revenue_type,MATCH(U572*1,type!$A$118:$A$168,0),8),INDEX(Expenditure_type,MATCH(U572*1,type!$A$2:$A$117,0),8))</f>
        <v>הוצאות לפעולות</v>
      </c>
      <c r="W572" s="18" t="str">
        <f t="shared" si="70"/>
        <v>70</v>
      </c>
      <c r="X572" s="18" t="e">
        <f>IF($L572&lt;"6",INDEX(Revenue_type,MATCH(W572*1,type!$A$118:$A$168,0),8),INDEX(Expenditure_type,MATCH(W572*1,type!$A$2:$A$117,0),8))</f>
        <v>#N/A</v>
      </c>
      <c r="Y572" s="18" t="str">
        <f t="shared" si="71"/>
        <v>700</v>
      </c>
      <c r="Z572" s="18" t="e">
        <f>IF($L572&lt;"6",INDEX(Revenue_type,MATCH(Y572*1,type!$A$118:$A$168,0),8),INDEX(Expenditure_type,MATCH(Y572*1,type!$A$2:$A$117,0),8))</f>
        <v>#N/A</v>
      </c>
    </row>
    <row r="573" spans="1:26" ht="15.75" hidden="1" customHeight="1" outlineLevel="2">
      <c r="A573">
        <v>500</v>
      </c>
      <c r="B573" s="249">
        <v>615900</v>
      </c>
      <c r="C573">
        <v>1</v>
      </c>
      <c r="D573" t="str">
        <f t="shared" si="64"/>
        <v>1615900.500</v>
      </c>
      <c r="E573" s="348" t="s">
        <v>8256</v>
      </c>
      <c r="F573" s="242"/>
      <c r="G573"/>
      <c r="H573" s="322">
        <v>102000</v>
      </c>
      <c r="I573" s="322">
        <v>105000</v>
      </c>
      <c r="J573" s="242">
        <v>43400</v>
      </c>
      <c r="K573" s="18" t="e">
        <f>INDEX(תקציב_2013,MATCH(D573,'תקציב 2015'!$D$3:$D$5960,0),8)</f>
        <v>#N/A</v>
      </c>
      <c r="L573" s="18" t="str">
        <f t="shared" si="65"/>
        <v>6</v>
      </c>
      <c r="M573" s="18" t="str">
        <f>INDEX(Chapter,MATCH(L573,Chapter!$A$1:$A$681,0),8)</f>
        <v>הנהלה כללית</v>
      </c>
      <c r="N573" s="18" t="str">
        <f t="shared" si="66"/>
        <v>61</v>
      </c>
      <c r="O573" s="18" t="str">
        <f>INDEX(Chapter,MATCH(N573,Chapter!$A$1:$A$681,0),8)</f>
        <v>מינהל כללי</v>
      </c>
      <c r="P573" s="18" t="str">
        <f t="shared" si="67"/>
        <v>615</v>
      </c>
      <c r="Q573" s="18" t="str">
        <f>INDEX(Chapter,MATCH(P573,Chapter!$A$1:$A$681,0),8)</f>
        <v>מנגנון</v>
      </c>
      <c r="R573" s="18" t="str">
        <f t="shared" si="68"/>
        <v>6159</v>
      </c>
      <c r="S573" s="18" t="e">
        <f>INDEX(Chapter,MATCH(R573,Chapter!$A$1:$A$681,0),8)</f>
        <v>#N/A</v>
      </c>
      <c r="T573" s="18"/>
      <c r="U573" s="18" t="str">
        <f t="shared" si="69"/>
        <v>5</v>
      </c>
      <c r="V573" s="18" t="str">
        <f>IF($L573&lt;"6",INDEX(Revenue_type,MATCH(U573*1,type!$A$118:$A$168,0),8),INDEX(Expenditure_type,MATCH(U573*1,type!$A$2:$A$117,0),8))</f>
        <v>הוצאות מנהליות</v>
      </c>
      <c r="W573" s="18" t="str">
        <f t="shared" si="70"/>
        <v>50</v>
      </c>
      <c r="X573" s="18" t="e">
        <f>IF($L573&lt;"6",INDEX(Revenue_type,MATCH(W573*1,type!$A$118:$A$168,0),8),INDEX(Expenditure_type,MATCH(W573*1,type!$A$2:$A$117,0),8))</f>
        <v>#N/A</v>
      </c>
      <c r="Y573" s="18" t="str">
        <f t="shared" si="71"/>
        <v>500</v>
      </c>
      <c r="Z573" s="18" t="e">
        <f>IF($L573&lt;"6",INDEX(Revenue_type,MATCH(Y573*1,type!$A$118:$A$168,0),8),INDEX(Expenditure_type,MATCH(Y573*1,type!$A$2:$A$117,0),8))</f>
        <v>#N/A</v>
      </c>
    </row>
    <row r="574" spans="1:26" ht="15.75" hidden="1" customHeight="1" outlineLevel="2">
      <c r="A574">
        <v>700</v>
      </c>
      <c r="B574" s="249">
        <v>615400</v>
      </c>
      <c r="C574">
        <v>1</v>
      </c>
      <c r="D574" t="str">
        <f t="shared" si="64"/>
        <v>1615400.700</v>
      </c>
      <c r="E574" s="348" t="s">
        <v>8257</v>
      </c>
      <c r="F574" s="242"/>
      <c r="G574"/>
      <c r="H574" s="322">
        <v>370100</v>
      </c>
      <c r="I574" s="322">
        <v>381000</v>
      </c>
      <c r="J574" s="242">
        <v>205400</v>
      </c>
      <c r="K574" s="18" t="e">
        <f>INDEX(תקציב_2013,MATCH(D574,'תקציב 2015'!$D$3:$D$5960,0),8)</f>
        <v>#N/A</v>
      </c>
      <c r="L574" s="18" t="str">
        <f t="shared" si="65"/>
        <v>6</v>
      </c>
      <c r="M574" s="18" t="str">
        <f>INDEX(Chapter,MATCH(L574,Chapter!$A$1:$A$681,0),8)</f>
        <v>הנהלה כללית</v>
      </c>
      <c r="N574" s="18" t="str">
        <f t="shared" si="66"/>
        <v>61</v>
      </c>
      <c r="O574" s="18" t="str">
        <f>INDEX(Chapter,MATCH(N574,Chapter!$A$1:$A$681,0),8)</f>
        <v>מינהל כללי</v>
      </c>
      <c r="P574" s="18" t="str">
        <f t="shared" si="67"/>
        <v>615</v>
      </c>
      <c r="Q574" s="18" t="str">
        <f>INDEX(Chapter,MATCH(P574,Chapter!$A$1:$A$681,0),8)</f>
        <v>מנגנון</v>
      </c>
      <c r="R574" s="18" t="str">
        <f t="shared" si="68"/>
        <v>6154</v>
      </c>
      <c r="S574" s="18" t="e">
        <f>INDEX(Chapter,MATCH(R574,Chapter!$A$1:$A$681,0),8)</f>
        <v>#N/A</v>
      </c>
      <c r="T574" s="18"/>
      <c r="U574" s="18" t="str">
        <f t="shared" si="69"/>
        <v>7</v>
      </c>
      <c r="V574" s="18" t="str">
        <f>IF($L574&lt;"6",INDEX(Revenue_type,MATCH(U574*1,type!$A$118:$A$168,0),8),INDEX(Expenditure_type,MATCH(U574*1,type!$A$2:$A$117,0),8))</f>
        <v>הוצאות לפעולות</v>
      </c>
      <c r="W574" s="18" t="str">
        <f t="shared" si="70"/>
        <v>70</v>
      </c>
      <c r="X574" s="18" t="e">
        <f>IF($L574&lt;"6",INDEX(Revenue_type,MATCH(W574*1,type!$A$118:$A$168,0),8),INDEX(Expenditure_type,MATCH(W574*1,type!$A$2:$A$117,0),8))</f>
        <v>#N/A</v>
      </c>
      <c r="Y574" s="18" t="str">
        <f t="shared" si="71"/>
        <v>700</v>
      </c>
      <c r="Z574" s="18" t="e">
        <f>IF($L574&lt;"6",INDEX(Revenue_type,MATCH(Y574*1,type!$A$118:$A$168,0),8),INDEX(Expenditure_type,MATCH(Y574*1,type!$A$2:$A$117,0),8))</f>
        <v>#N/A</v>
      </c>
    </row>
    <row r="575" spans="1:26" ht="15.75" hidden="1" customHeight="1" outlineLevel="2">
      <c r="A575">
        <v>500</v>
      </c>
      <c r="B575" s="249">
        <v>615440</v>
      </c>
      <c r="C575">
        <v>1</v>
      </c>
      <c r="D575" t="str">
        <f t="shared" ref="D575:D658" si="72">C575&amp;B575&amp;"."&amp;A575</f>
        <v>1615440.500</v>
      </c>
      <c r="E575" s="348" t="s">
        <v>8258</v>
      </c>
      <c r="F575" s="242"/>
      <c r="G575"/>
      <c r="H575" s="322">
        <v>66100</v>
      </c>
      <c r="I575" s="322">
        <v>68000</v>
      </c>
      <c r="J575" s="242">
        <v>65100</v>
      </c>
      <c r="K575" s="18" t="e">
        <f>INDEX(תקציב_2013,MATCH(D575,'תקציב 2015'!$D$3:$D$5960,0),8)</f>
        <v>#N/A</v>
      </c>
      <c r="L575" s="18" t="str">
        <f t="shared" si="65"/>
        <v>6</v>
      </c>
      <c r="M575" s="18" t="str">
        <f>INDEX(Chapter,MATCH(L575,Chapter!$A$1:$A$681,0),8)</f>
        <v>הנהלה כללית</v>
      </c>
      <c r="N575" s="18" t="str">
        <f t="shared" si="66"/>
        <v>61</v>
      </c>
      <c r="O575" s="18" t="str">
        <f>INDEX(Chapter,MATCH(N575,Chapter!$A$1:$A$681,0),8)</f>
        <v>מינהל כללי</v>
      </c>
      <c r="P575" s="18" t="str">
        <f t="shared" si="67"/>
        <v>615</v>
      </c>
      <c r="Q575" s="18" t="str">
        <f>INDEX(Chapter,MATCH(P575,Chapter!$A$1:$A$681,0),8)</f>
        <v>מנגנון</v>
      </c>
      <c r="R575" s="18" t="str">
        <f t="shared" si="68"/>
        <v>6154</v>
      </c>
      <c r="S575" s="18" t="e">
        <f>INDEX(Chapter,MATCH(R575,Chapter!$A$1:$A$681,0),8)</f>
        <v>#N/A</v>
      </c>
      <c r="T575" s="18"/>
      <c r="U575" s="18" t="str">
        <f t="shared" si="69"/>
        <v>5</v>
      </c>
      <c r="V575" s="18" t="str">
        <f>IF($L575&lt;"6",INDEX(Revenue_type,MATCH(U575*1,type!$A$118:$A$168,0),8),INDEX(Expenditure_type,MATCH(U575*1,type!$A$2:$A$117,0),8))</f>
        <v>הוצאות מנהליות</v>
      </c>
      <c r="W575" s="18" t="str">
        <f t="shared" si="70"/>
        <v>50</v>
      </c>
      <c r="X575" s="18" t="e">
        <f>IF($L575&lt;"6",INDEX(Revenue_type,MATCH(W575*1,type!$A$118:$A$168,0),8),INDEX(Expenditure_type,MATCH(W575*1,type!$A$2:$A$117,0),8))</f>
        <v>#N/A</v>
      </c>
      <c r="Y575" s="18" t="str">
        <f t="shared" si="71"/>
        <v>500</v>
      </c>
      <c r="Z575" s="18" t="e">
        <f>IF($L575&lt;"6",INDEX(Revenue_type,MATCH(Y575*1,type!$A$118:$A$168,0),8),INDEX(Expenditure_type,MATCH(Y575*1,type!$A$2:$A$117,0),8))</f>
        <v>#N/A</v>
      </c>
    </row>
    <row r="576" spans="1:26" ht="15.75" hidden="1" customHeight="1" outlineLevel="2">
      <c r="A576">
        <v>700</v>
      </c>
      <c r="B576" s="249">
        <v>615910</v>
      </c>
      <c r="C576">
        <v>1</v>
      </c>
      <c r="D576" t="str">
        <f t="shared" si="72"/>
        <v>1615910.700</v>
      </c>
      <c r="E576" s="348" t="s">
        <v>8259</v>
      </c>
      <c r="F576" s="242"/>
      <c r="G576"/>
      <c r="H576" s="322">
        <v>44700</v>
      </c>
      <c r="I576" s="322">
        <v>46000</v>
      </c>
      <c r="J576" s="242">
        <v>35000</v>
      </c>
      <c r="K576" s="18" t="e">
        <f>INDEX(תקציב_2013,MATCH(D576,'תקציב 2015'!$D$3:$D$5960,0),8)</f>
        <v>#N/A</v>
      </c>
      <c r="L576" s="18" t="str">
        <f t="shared" si="65"/>
        <v>6</v>
      </c>
      <c r="M576" s="18" t="str">
        <f>INDEX(Chapter,MATCH(L576,Chapter!$A$1:$A$681,0),8)</f>
        <v>הנהלה כללית</v>
      </c>
      <c r="N576" s="18" t="str">
        <f t="shared" si="66"/>
        <v>61</v>
      </c>
      <c r="O576" s="18" t="str">
        <f>INDEX(Chapter,MATCH(N576,Chapter!$A$1:$A$681,0),8)</f>
        <v>מינהל כללי</v>
      </c>
      <c r="P576" s="18" t="str">
        <f t="shared" si="67"/>
        <v>615</v>
      </c>
      <c r="Q576" s="18" t="str">
        <f>INDEX(Chapter,MATCH(P576,Chapter!$A$1:$A$681,0),8)</f>
        <v>מנגנון</v>
      </c>
      <c r="R576" s="18" t="str">
        <f t="shared" si="68"/>
        <v>6159</v>
      </c>
      <c r="S576" s="18" t="e">
        <f>INDEX(Chapter,MATCH(R576,Chapter!$A$1:$A$681,0),8)</f>
        <v>#N/A</v>
      </c>
      <c r="T576" s="18"/>
      <c r="U576" s="18" t="str">
        <f t="shared" si="69"/>
        <v>7</v>
      </c>
      <c r="V576" s="18" t="str">
        <f>IF($L576&lt;"6",INDEX(Revenue_type,MATCH(U576*1,type!$A$118:$A$168,0),8),INDEX(Expenditure_type,MATCH(U576*1,type!$A$2:$A$117,0),8))</f>
        <v>הוצאות לפעולות</v>
      </c>
      <c r="W576" s="18" t="str">
        <f t="shared" si="70"/>
        <v>70</v>
      </c>
      <c r="X576" s="18" t="e">
        <f>IF($L576&lt;"6",INDEX(Revenue_type,MATCH(W576*1,type!$A$118:$A$168,0),8),INDEX(Expenditure_type,MATCH(W576*1,type!$A$2:$A$117,0),8))</f>
        <v>#N/A</v>
      </c>
      <c r="Y576" s="18" t="str">
        <f t="shared" si="71"/>
        <v>700</v>
      </c>
      <c r="Z576" s="18" t="e">
        <f>IF($L576&lt;"6",INDEX(Revenue_type,MATCH(Y576*1,type!$A$118:$A$168,0),8),INDEX(Expenditure_type,MATCH(Y576*1,type!$A$2:$A$117,0),8))</f>
        <v>#N/A</v>
      </c>
    </row>
    <row r="577" spans="1:26" ht="15.75" hidden="1" customHeight="1" outlineLevel="2">
      <c r="A577">
        <v>100</v>
      </c>
      <c r="B577" s="249">
        <v>621400</v>
      </c>
      <c r="C577">
        <v>1</v>
      </c>
      <c r="D577" t="str">
        <f t="shared" si="72"/>
        <v>1621400.100</v>
      </c>
      <c r="E577" s="348" t="s">
        <v>8260</v>
      </c>
      <c r="F577" s="242"/>
      <c r="G577"/>
      <c r="H577" s="322">
        <v>3019000</v>
      </c>
      <c r="I577" s="322">
        <v>3142000</v>
      </c>
      <c r="J577" s="242">
        <v>2802000</v>
      </c>
      <c r="K577" s="18" t="e">
        <f>INDEX(תקציב_2013,MATCH(D577,'תקציב 2015'!$D$3:$D$5960,0),8)</f>
        <v>#N/A</v>
      </c>
      <c r="L577" s="18" t="str">
        <f t="shared" si="65"/>
        <v>6</v>
      </c>
      <c r="M577" s="18" t="str">
        <f>INDEX(Chapter,MATCH(L577,Chapter!$A$1:$A$681,0),8)</f>
        <v>הנהלה כללית</v>
      </c>
      <c r="N577" s="18" t="str">
        <f t="shared" si="66"/>
        <v>62</v>
      </c>
      <c r="O577" s="18" t="str">
        <f>INDEX(Chapter,MATCH(N577,Chapter!$A$1:$A$681,0),8)</f>
        <v>מינהל כספי</v>
      </c>
      <c r="P577" s="18" t="str">
        <f t="shared" si="67"/>
        <v>621</v>
      </c>
      <c r="Q577" s="18" t="str">
        <f>INDEX(Chapter,MATCH(P577,Chapter!$A$1:$A$681,0),8)</f>
        <v>הגזברות</v>
      </c>
      <c r="R577" s="18" t="str">
        <f t="shared" si="68"/>
        <v>6214</v>
      </c>
      <c r="S577" s="18" t="str">
        <f>INDEX(Chapter,MATCH(R577,Chapter!$A$1:$A$681,0),8)</f>
        <v>תשלומים</v>
      </c>
      <c r="T577" s="18"/>
      <c r="U577" s="18" t="str">
        <f t="shared" si="69"/>
        <v>1</v>
      </c>
      <c r="V577" s="18" t="str">
        <f>IF($L577&lt;"6",INDEX(Revenue_type,MATCH(U577*1,type!$A$118:$A$168,0),8),INDEX(Expenditure_type,MATCH(U577*1,type!$A$2:$A$117,0),8))</f>
        <v>משכורות וש"ע לעובדים לפי תקן</v>
      </c>
      <c r="W577" s="18" t="str">
        <f t="shared" si="70"/>
        <v>10</v>
      </c>
      <c r="X577" s="18" t="e">
        <f>IF($L577&lt;"6",INDEX(Revenue_type,MATCH(W577*1,type!$A$118:$A$168,0),8),INDEX(Expenditure_type,MATCH(W577*1,type!$A$2:$A$117,0),8))</f>
        <v>#N/A</v>
      </c>
      <c r="Y577" s="18" t="str">
        <f t="shared" si="71"/>
        <v>100</v>
      </c>
      <c r="Z577" s="18" t="e">
        <f>IF($L577&lt;"6",INDEX(Revenue_type,MATCH(Y577*1,type!$A$118:$A$168,0),8),INDEX(Expenditure_type,MATCH(Y577*1,type!$A$2:$A$117,0),8))</f>
        <v>#N/A</v>
      </c>
    </row>
    <row r="578" spans="1:26" ht="15.75" hidden="1" customHeight="1" outlineLevel="2">
      <c r="A578">
        <v>120</v>
      </c>
      <c r="B578" s="249">
        <v>621400</v>
      </c>
      <c r="C578">
        <v>1</v>
      </c>
      <c r="D578" t="str">
        <f t="shared" si="72"/>
        <v>1621400.120</v>
      </c>
      <c r="E578" s="348" t="s">
        <v>8261</v>
      </c>
      <c r="F578" s="242"/>
      <c r="G578"/>
      <c r="H578" s="322">
        <v>226000</v>
      </c>
      <c r="I578" s="322">
        <v>226000</v>
      </c>
      <c r="J578" s="242">
        <v>187900</v>
      </c>
      <c r="K578" s="18">
        <f>INDEX(תקציב_2013,MATCH(D578,'תקציב 2015'!$D$3:$D$5960,0),8)</f>
        <v>38725</v>
      </c>
      <c r="L578" s="18" t="str">
        <f t="shared" si="65"/>
        <v>6</v>
      </c>
      <c r="M578" s="18" t="str">
        <f>INDEX(Chapter,MATCH(L578,Chapter!$A$1:$A$681,0),8)</f>
        <v>הנהלה כללית</v>
      </c>
      <c r="N578" s="18" t="str">
        <f t="shared" si="66"/>
        <v>62</v>
      </c>
      <c r="O578" s="18" t="str">
        <f>INDEX(Chapter,MATCH(N578,Chapter!$A$1:$A$681,0),8)</f>
        <v>מינהל כספי</v>
      </c>
      <c r="P578" s="18" t="str">
        <f t="shared" si="67"/>
        <v>621</v>
      </c>
      <c r="Q578" s="18" t="str">
        <f>INDEX(Chapter,MATCH(P578,Chapter!$A$1:$A$681,0),8)</f>
        <v>הגזברות</v>
      </c>
      <c r="R578" s="18" t="str">
        <f t="shared" si="68"/>
        <v>6214</v>
      </c>
      <c r="S578" s="18" t="str">
        <f>INDEX(Chapter,MATCH(R578,Chapter!$A$1:$A$681,0),8)</f>
        <v>תשלומים</v>
      </c>
      <c r="T578" s="18"/>
      <c r="U578" s="18" t="str">
        <f t="shared" si="69"/>
        <v>1</v>
      </c>
      <c r="V578" s="18" t="str">
        <f>IF($L578&lt;"6",INDEX(Revenue_type,MATCH(U578*1,type!$A$118:$A$168,0),8),INDEX(Expenditure_type,MATCH(U578*1,type!$A$2:$A$117,0),8))</f>
        <v>משכורות וש"ע לעובדים לפי תקן</v>
      </c>
      <c r="W578" s="18" t="str">
        <f t="shared" si="70"/>
        <v>12</v>
      </c>
      <c r="X578" s="18" t="str">
        <f>IF($L578&lt;"6",INDEX(Revenue_type,MATCH(W578*1,type!$A$118:$A$168,0),8),INDEX(Expenditure_type,MATCH(W578*1,type!$A$2:$A$117,0),8))</f>
        <v>תוספות שאינן נכללות בשכר הקובע</v>
      </c>
      <c r="Y578" s="18" t="str">
        <f t="shared" si="71"/>
        <v>120</v>
      </c>
      <c r="Z578" s="18" t="e">
        <f>IF($L578&lt;"6",INDEX(Revenue_type,MATCH(Y578*1,type!$A$118:$A$168,0),8),INDEX(Expenditure_type,MATCH(Y578*1,type!$A$2:$A$117,0),8))</f>
        <v>#N/A</v>
      </c>
    </row>
    <row r="579" spans="1:26" ht="15.75" hidden="1" customHeight="1" outlineLevel="2">
      <c r="A579">
        <v>400</v>
      </c>
      <c r="B579" s="249">
        <v>621400</v>
      </c>
      <c r="C579">
        <v>1</v>
      </c>
      <c r="D579" t="str">
        <f t="shared" si="72"/>
        <v>1621400.400</v>
      </c>
      <c r="E579" s="348" t="s">
        <v>8262</v>
      </c>
      <c r="F579" s="242"/>
      <c r="G579"/>
      <c r="H579" s="322">
        <v>33600</v>
      </c>
      <c r="I579" s="322">
        <v>35200</v>
      </c>
      <c r="J579" s="242">
        <v>34600</v>
      </c>
      <c r="K579" s="18" t="e">
        <f>INDEX(תקציב_2013,MATCH(D579,'תקציב 2015'!$D$3:$D$5960,0),8)</f>
        <v>#N/A</v>
      </c>
      <c r="L579" s="18" t="str">
        <f t="shared" ref="L579:L662" si="73">IF(LEFT($B579,1)*1=0,LEFT($B579,2),LEFT($B579,1))</f>
        <v>6</v>
      </c>
      <c r="M579" s="18" t="str">
        <f>INDEX(Chapter,MATCH(L579,Chapter!$A$1:$A$681,0),8)</f>
        <v>הנהלה כללית</v>
      </c>
      <c r="N579" s="18" t="str">
        <f t="shared" ref="N579:N662" si="74">IF(LEFT($B579,1)*1=0,LEFT($B579,3),LEFT($B579,2))</f>
        <v>62</v>
      </c>
      <c r="O579" s="18" t="str">
        <f>INDEX(Chapter,MATCH(N579,Chapter!$A$1:$A$681,0),8)</f>
        <v>מינהל כספי</v>
      </c>
      <c r="P579" s="18" t="str">
        <f t="shared" ref="P579:P662" si="75">IF(LEFT($B579,1)*1=0,LEFT($B579,4),LEFT($B579,3))</f>
        <v>621</v>
      </c>
      <c r="Q579" s="18" t="str">
        <f>INDEX(Chapter,MATCH(P579,Chapter!$A$1:$A$681,0),8)</f>
        <v>הגזברות</v>
      </c>
      <c r="R579" s="18" t="str">
        <f t="shared" ref="R579:R662" si="76">LEFT($B579,4)</f>
        <v>6214</v>
      </c>
      <c r="S579" s="18" t="str">
        <f>INDEX(Chapter,MATCH(R579,Chapter!$A$1:$A$681,0),8)</f>
        <v>תשלומים</v>
      </c>
      <c r="T579" s="18"/>
      <c r="U579" s="18" t="str">
        <f t="shared" ref="U579:U662" si="77">LEFT($A579,1)</f>
        <v>4</v>
      </c>
      <c r="V579" s="18" t="str">
        <f>IF($L579&lt;"6",INDEX(Revenue_type,MATCH(U579*1,type!$A$118:$A$168,0),8),INDEX(Expenditure_type,MATCH(U579*1,type!$A$2:$A$117,0),8))</f>
        <v>אחזקת בינים ואספקת ציוד</v>
      </c>
      <c r="W579" s="18" t="str">
        <f t="shared" ref="W579:W662" si="78">LEFT($A579,2)</f>
        <v>40</v>
      </c>
      <c r="X579" s="18" t="e">
        <f>IF($L579&lt;"6",INDEX(Revenue_type,MATCH(W579*1,type!$A$118:$A$168,0),8),INDEX(Expenditure_type,MATCH(W579*1,type!$A$2:$A$117,0),8))</f>
        <v>#N/A</v>
      </c>
      <c r="Y579" s="18" t="str">
        <f t="shared" ref="Y579:Y662" si="79">LEFT($A579,3)</f>
        <v>400</v>
      </c>
      <c r="Z579" s="18" t="e">
        <f>IF($L579&lt;"6",INDEX(Revenue_type,MATCH(Y579*1,type!$A$118:$A$168,0),8),INDEX(Expenditure_type,MATCH(Y579*1,type!$A$2:$A$117,0),8))</f>
        <v>#N/A</v>
      </c>
    </row>
    <row r="580" spans="1:26" ht="15.75" hidden="1" customHeight="1" outlineLevel="2">
      <c r="A580">
        <v>500</v>
      </c>
      <c r="B580" s="249">
        <v>621400</v>
      </c>
      <c r="C580">
        <v>1</v>
      </c>
      <c r="D580" t="str">
        <f t="shared" si="72"/>
        <v>1621400.500</v>
      </c>
      <c r="E580" s="348" t="s">
        <v>8263</v>
      </c>
      <c r="F580" s="242"/>
      <c r="G580"/>
      <c r="H580" s="322">
        <v>49200</v>
      </c>
      <c r="I580" s="322">
        <v>49400</v>
      </c>
      <c r="J580" s="242">
        <v>20800</v>
      </c>
      <c r="K580" s="18" t="e">
        <f>INDEX(תקציב_2013,MATCH(D580,'תקציב 2015'!$D$3:$D$5960,0),8)</f>
        <v>#N/A</v>
      </c>
      <c r="L580" s="18" t="str">
        <f t="shared" si="73"/>
        <v>6</v>
      </c>
      <c r="M580" s="18" t="str">
        <f>INDEX(Chapter,MATCH(L580,Chapter!$A$1:$A$681,0),8)</f>
        <v>הנהלה כללית</v>
      </c>
      <c r="N580" s="18" t="str">
        <f t="shared" si="74"/>
        <v>62</v>
      </c>
      <c r="O580" s="18" t="str">
        <f>INDEX(Chapter,MATCH(N580,Chapter!$A$1:$A$681,0),8)</f>
        <v>מינהל כספי</v>
      </c>
      <c r="P580" s="18" t="str">
        <f t="shared" si="75"/>
        <v>621</v>
      </c>
      <c r="Q580" s="18" t="str">
        <f>INDEX(Chapter,MATCH(P580,Chapter!$A$1:$A$681,0),8)</f>
        <v>הגזברות</v>
      </c>
      <c r="R580" s="18" t="str">
        <f t="shared" si="76"/>
        <v>6214</v>
      </c>
      <c r="S580" s="18" t="str">
        <f>INDEX(Chapter,MATCH(R580,Chapter!$A$1:$A$681,0),8)</f>
        <v>תשלומים</v>
      </c>
      <c r="T580" s="18"/>
      <c r="U580" s="18" t="str">
        <f t="shared" si="77"/>
        <v>5</v>
      </c>
      <c r="V580" s="18" t="str">
        <f>IF($L580&lt;"6",INDEX(Revenue_type,MATCH(U580*1,type!$A$118:$A$168,0),8),INDEX(Expenditure_type,MATCH(U580*1,type!$A$2:$A$117,0),8))</f>
        <v>הוצאות מנהליות</v>
      </c>
      <c r="W580" s="18" t="str">
        <f t="shared" si="78"/>
        <v>50</v>
      </c>
      <c r="X580" s="18" t="e">
        <f>IF($L580&lt;"6",INDEX(Revenue_type,MATCH(W580*1,type!$A$118:$A$168,0),8),INDEX(Expenditure_type,MATCH(W580*1,type!$A$2:$A$117,0),8))</f>
        <v>#N/A</v>
      </c>
      <c r="Y580" s="18" t="str">
        <f t="shared" si="79"/>
        <v>500</v>
      </c>
      <c r="Z580" s="18" t="e">
        <f>IF($L580&lt;"6",INDEX(Revenue_type,MATCH(Y580*1,type!$A$118:$A$168,0),8),INDEX(Expenditure_type,MATCH(Y580*1,type!$A$2:$A$117,0),8))</f>
        <v>#N/A</v>
      </c>
    </row>
    <row r="581" spans="1:26" ht="15.75" hidden="1" customHeight="1" outlineLevel="2">
      <c r="A581">
        <v>500</v>
      </c>
      <c r="B581" s="249">
        <v>621400</v>
      </c>
      <c r="C581">
        <v>1</v>
      </c>
      <c r="D581" t="str">
        <f t="shared" si="72"/>
        <v>1621400.500</v>
      </c>
      <c r="E581" s="348" t="s">
        <v>8264</v>
      </c>
      <c r="F581" s="242"/>
      <c r="G581"/>
      <c r="H581" s="322">
        <v>3800</v>
      </c>
      <c r="I581" s="322">
        <v>3800</v>
      </c>
      <c r="J581" s="242">
        <v>2200</v>
      </c>
      <c r="K581" s="18" t="e">
        <f>INDEX(תקציב_2013,MATCH(D581,'תקציב 2015'!$D$3:$D$5960,0),8)</f>
        <v>#N/A</v>
      </c>
      <c r="L581" s="18" t="str">
        <f t="shared" si="73"/>
        <v>6</v>
      </c>
      <c r="M581" s="18" t="str">
        <f>INDEX(Chapter,MATCH(L581,Chapter!$A$1:$A$681,0),8)</f>
        <v>הנהלה כללית</v>
      </c>
      <c r="N581" s="18" t="str">
        <f t="shared" si="74"/>
        <v>62</v>
      </c>
      <c r="O581" s="18" t="str">
        <f>INDEX(Chapter,MATCH(N581,Chapter!$A$1:$A$681,0),8)</f>
        <v>מינהל כספי</v>
      </c>
      <c r="P581" s="18" t="str">
        <f t="shared" si="75"/>
        <v>621</v>
      </c>
      <c r="Q581" s="18" t="str">
        <f>INDEX(Chapter,MATCH(P581,Chapter!$A$1:$A$681,0),8)</f>
        <v>הגזברות</v>
      </c>
      <c r="R581" s="18" t="str">
        <f t="shared" si="76"/>
        <v>6214</v>
      </c>
      <c r="S581" s="18" t="str">
        <f>INDEX(Chapter,MATCH(R581,Chapter!$A$1:$A$681,0),8)</f>
        <v>תשלומים</v>
      </c>
      <c r="T581" s="18"/>
      <c r="U581" s="18" t="str">
        <f t="shared" si="77"/>
        <v>5</v>
      </c>
      <c r="V581" s="18" t="str">
        <f>IF($L581&lt;"6",INDEX(Revenue_type,MATCH(U581*1,type!$A$118:$A$168,0),8),INDEX(Expenditure_type,MATCH(U581*1,type!$A$2:$A$117,0),8))</f>
        <v>הוצאות מנהליות</v>
      </c>
      <c r="W581" s="18" t="str">
        <f t="shared" si="78"/>
        <v>50</v>
      </c>
      <c r="X581" s="18" t="e">
        <f>IF($L581&lt;"6",INDEX(Revenue_type,MATCH(W581*1,type!$A$118:$A$168,0),8),INDEX(Expenditure_type,MATCH(W581*1,type!$A$2:$A$117,0),8))</f>
        <v>#N/A</v>
      </c>
      <c r="Y581" s="18" t="str">
        <f t="shared" si="79"/>
        <v>500</v>
      </c>
      <c r="Z581" s="18" t="e">
        <f>IF($L581&lt;"6",INDEX(Revenue_type,MATCH(Y581*1,type!$A$118:$A$168,0),8),INDEX(Expenditure_type,MATCH(Y581*1,type!$A$2:$A$117,0),8))</f>
        <v>#N/A</v>
      </c>
    </row>
    <row r="582" spans="1:26" ht="15.75" hidden="1" customHeight="1" outlineLevel="2">
      <c r="A582">
        <v>700</v>
      </c>
      <c r="B582" s="249">
        <v>621400</v>
      </c>
      <c r="C582">
        <v>1</v>
      </c>
      <c r="D582" t="str">
        <f t="shared" si="72"/>
        <v>1621400.700</v>
      </c>
      <c r="E582" s="348" t="s">
        <v>8265</v>
      </c>
      <c r="F582" s="242"/>
      <c r="G582"/>
      <c r="H582" s="322">
        <v>1400</v>
      </c>
      <c r="I582" s="322">
        <v>2200</v>
      </c>
      <c r="J582" s="242">
        <v>0</v>
      </c>
      <c r="K582" s="18" t="e">
        <f>INDEX(תקציב_2013,MATCH(D582,'תקציב 2015'!$D$3:$D$5960,0),8)</f>
        <v>#N/A</v>
      </c>
      <c r="L582" s="18" t="str">
        <f t="shared" si="73"/>
        <v>6</v>
      </c>
      <c r="M582" s="18" t="str">
        <f>INDEX(Chapter,MATCH(L582,Chapter!$A$1:$A$681,0),8)</f>
        <v>הנהלה כללית</v>
      </c>
      <c r="N582" s="18" t="str">
        <f t="shared" si="74"/>
        <v>62</v>
      </c>
      <c r="O582" s="18" t="str">
        <f>INDEX(Chapter,MATCH(N582,Chapter!$A$1:$A$681,0),8)</f>
        <v>מינהל כספי</v>
      </c>
      <c r="P582" s="18" t="str">
        <f t="shared" si="75"/>
        <v>621</v>
      </c>
      <c r="Q582" s="18" t="str">
        <f>INDEX(Chapter,MATCH(P582,Chapter!$A$1:$A$681,0),8)</f>
        <v>הגזברות</v>
      </c>
      <c r="R582" s="18" t="str">
        <f t="shared" si="76"/>
        <v>6214</v>
      </c>
      <c r="S582" s="18" t="str">
        <f>INDEX(Chapter,MATCH(R582,Chapter!$A$1:$A$681,0),8)</f>
        <v>תשלומים</v>
      </c>
      <c r="T582" s="18"/>
      <c r="U582" s="18" t="str">
        <f t="shared" si="77"/>
        <v>7</v>
      </c>
      <c r="V582" s="18" t="str">
        <f>IF($L582&lt;"6",INDEX(Revenue_type,MATCH(U582*1,type!$A$118:$A$168,0),8),INDEX(Expenditure_type,MATCH(U582*1,type!$A$2:$A$117,0),8))</f>
        <v>הוצאות לפעולות</v>
      </c>
      <c r="W582" s="18" t="str">
        <f t="shared" si="78"/>
        <v>70</v>
      </c>
      <c r="X582" s="18" t="e">
        <f>IF($L582&lt;"6",INDEX(Revenue_type,MATCH(W582*1,type!$A$118:$A$168,0),8),INDEX(Expenditure_type,MATCH(W582*1,type!$A$2:$A$117,0),8))</f>
        <v>#N/A</v>
      </c>
      <c r="Y582" s="18" t="str">
        <f t="shared" si="79"/>
        <v>700</v>
      </c>
      <c r="Z582" s="18" t="e">
        <f>IF($L582&lt;"6",INDEX(Revenue_type,MATCH(Y582*1,type!$A$118:$A$168,0),8),INDEX(Expenditure_type,MATCH(Y582*1,type!$A$2:$A$117,0),8))</f>
        <v>#N/A</v>
      </c>
    </row>
    <row r="583" spans="1:26" ht="15.75" hidden="1" customHeight="1" outlineLevel="2">
      <c r="A583">
        <v>100</v>
      </c>
      <c r="B583" s="249">
        <v>764000</v>
      </c>
      <c r="C583">
        <v>1</v>
      </c>
      <c r="D583" t="str">
        <f t="shared" si="72"/>
        <v>1764000.100</v>
      </c>
      <c r="E583" s="348" t="s">
        <v>8266</v>
      </c>
      <c r="F583" s="242"/>
      <c r="G583"/>
      <c r="H583" s="322">
        <v>1674300</v>
      </c>
      <c r="I583" s="322">
        <v>1655300</v>
      </c>
      <c r="J583" s="242">
        <v>1645000</v>
      </c>
      <c r="K583" s="18" t="e">
        <f>INDEX(תקציב_2013,MATCH(D583,'תקציב 2015'!$D$3:$D$5960,0),8)</f>
        <v>#N/A</v>
      </c>
      <c r="L583" s="18" t="str">
        <f t="shared" si="73"/>
        <v>7</v>
      </c>
      <c r="M583" s="18" t="str">
        <f>INDEX(Chapter,MATCH(L583,Chapter!$A$1:$A$681,0),8)</f>
        <v>שירותים מקומיים</v>
      </c>
      <c r="N583" s="18" t="str">
        <f t="shared" si="74"/>
        <v>76</v>
      </c>
      <c r="O583" s="18" t="str">
        <f>INDEX(Chapter,MATCH(N583,Chapter!$A$1:$A$681,0),8)</f>
        <v>שירותים עירוניים שונים</v>
      </c>
      <c r="P583" s="18" t="str">
        <f t="shared" si="75"/>
        <v>764</v>
      </c>
      <c r="Q583" s="18" t="str">
        <f>INDEX(Chapter,MATCH(P583,Chapter!$A$1:$A$681,0),8)</f>
        <v>תרבות הדיור</v>
      </c>
      <c r="R583" s="18" t="str">
        <f t="shared" si="76"/>
        <v>7640</v>
      </c>
      <c r="S583" s="18" t="e">
        <f>INDEX(Chapter,MATCH(R583,Chapter!$A$1:$A$681,0),8)</f>
        <v>#N/A</v>
      </c>
      <c r="T583" s="18"/>
      <c r="U583" s="18" t="str">
        <f t="shared" si="77"/>
        <v>1</v>
      </c>
      <c r="V583" s="18" t="str">
        <f>IF($L583&lt;"6",INDEX(Revenue_type,MATCH(U583*1,type!$A$118:$A$168,0),8),INDEX(Expenditure_type,MATCH(U583*1,type!$A$2:$A$117,0),8))</f>
        <v>משכורות וש"ע לעובדים לפי תקן</v>
      </c>
      <c r="W583" s="18" t="str">
        <f t="shared" si="78"/>
        <v>10</v>
      </c>
      <c r="X583" s="18" t="e">
        <f>IF($L583&lt;"6",INDEX(Revenue_type,MATCH(W583*1,type!$A$118:$A$168,0),8),INDEX(Expenditure_type,MATCH(W583*1,type!$A$2:$A$117,0),8))</f>
        <v>#N/A</v>
      </c>
      <c r="Y583" s="18" t="str">
        <f t="shared" si="79"/>
        <v>100</v>
      </c>
      <c r="Z583" s="18" t="e">
        <f>IF($L583&lt;"6",INDEX(Revenue_type,MATCH(Y583*1,type!$A$118:$A$168,0),8),INDEX(Expenditure_type,MATCH(Y583*1,type!$A$2:$A$117,0),8))</f>
        <v>#N/A</v>
      </c>
    </row>
    <row r="584" spans="1:26" ht="15.75" hidden="1" customHeight="1" outlineLevel="2">
      <c r="A584">
        <v>120</v>
      </c>
      <c r="B584" s="249">
        <v>764000</v>
      </c>
      <c r="C584">
        <v>1</v>
      </c>
      <c r="D584" t="str">
        <f t="shared" si="72"/>
        <v>1764000.120</v>
      </c>
      <c r="E584" s="348" t="s">
        <v>8267</v>
      </c>
      <c r="F584" s="242"/>
      <c r="G584"/>
      <c r="H584" s="322">
        <v>44700</v>
      </c>
      <c r="I584" s="322">
        <v>44700</v>
      </c>
      <c r="J584" s="242">
        <v>35600</v>
      </c>
      <c r="K584" s="18">
        <f>INDEX(תקציב_2013,MATCH(D584,'תקציב 2015'!$D$3:$D$5960,0),8)</f>
        <v>8079</v>
      </c>
      <c r="L584" s="18" t="str">
        <f t="shared" si="73"/>
        <v>7</v>
      </c>
      <c r="M584" s="18" t="str">
        <f>INDEX(Chapter,MATCH(L584,Chapter!$A$1:$A$681,0),8)</f>
        <v>שירותים מקומיים</v>
      </c>
      <c r="N584" s="18" t="str">
        <f t="shared" si="74"/>
        <v>76</v>
      </c>
      <c r="O584" s="18" t="str">
        <f>INDEX(Chapter,MATCH(N584,Chapter!$A$1:$A$681,0),8)</f>
        <v>שירותים עירוניים שונים</v>
      </c>
      <c r="P584" s="18" t="str">
        <f t="shared" si="75"/>
        <v>764</v>
      </c>
      <c r="Q584" s="18" t="str">
        <f>INDEX(Chapter,MATCH(P584,Chapter!$A$1:$A$681,0),8)</f>
        <v>תרבות הדיור</v>
      </c>
      <c r="R584" s="18" t="str">
        <f t="shared" si="76"/>
        <v>7640</v>
      </c>
      <c r="S584" s="18" t="e">
        <f>INDEX(Chapter,MATCH(R584,Chapter!$A$1:$A$681,0),8)</f>
        <v>#N/A</v>
      </c>
      <c r="T584" s="18"/>
      <c r="U584" s="18" t="str">
        <f t="shared" si="77"/>
        <v>1</v>
      </c>
      <c r="V584" s="18" t="str">
        <f>IF($L584&lt;"6",INDEX(Revenue_type,MATCH(U584*1,type!$A$118:$A$168,0),8),INDEX(Expenditure_type,MATCH(U584*1,type!$A$2:$A$117,0),8))</f>
        <v>משכורות וש"ע לעובדים לפי תקן</v>
      </c>
      <c r="W584" s="18" t="str">
        <f t="shared" si="78"/>
        <v>12</v>
      </c>
      <c r="X584" s="18" t="str">
        <f>IF($L584&lt;"6",INDEX(Revenue_type,MATCH(W584*1,type!$A$118:$A$168,0),8),INDEX(Expenditure_type,MATCH(W584*1,type!$A$2:$A$117,0),8))</f>
        <v>תוספות שאינן נכללות בשכר הקובע</v>
      </c>
      <c r="Y584" s="18" t="str">
        <f t="shared" si="79"/>
        <v>120</v>
      </c>
      <c r="Z584" s="18" t="e">
        <f>IF($L584&lt;"6",INDEX(Revenue_type,MATCH(Y584*1,type!$A$118:$A$168,0),8),INDEX(Expenditure_type,MATCH(Y584*1,type!$A$2:$A$117,0),8))</f>
        <v>#N/A</v>
      </c>
    </row>
    <row r="585" spans="1:26" ht="15.75" hidden="1" customHeight="1" outlineLevel="2">
      <c r="A585">
        <v>400</v>
      </c>
      <c r="B585" s="249">
        <v>764000</v>
      </c>
      <c r="C585">
        <v>1</v>
      </c>
      <c r="D585" t="str">
        <f t="shared" si="72"/>
        <v>1764000.400</v>
      </c>
      <c r="E585" s="348" t="s">
        <v>8268</v>
      </c>
      <c r="F585" s="242"/>
      <c r="G585"/>
      <c r="H585" s="322">
        <v>13900</v>
      </c>
      <c r="I585" s="322">
        <v>13900</v>
      </c>
      <c r="J585" s="242">
        <v>12300</v>
      </c>
      <c r="K585" s="18" t="e">
        <f>INDEX(תקציב_2013,MATCH(D585,'תקציב 2015'!$D$3:$D$5960,0),8)</f>
        <v>#N/A</v>
      </c>
      <c r="L585" s="18" t="str">
        <f t="shared" si="73"/>
        <v>7</v>
      </c>
      <c r="M585" s="18" t="str">
        <f>INDEX(Chapter,MATCH(L585,Chapter!$A$1:$A$681,0),8)</f>
        <v>שירותים מקומיים</v>
      </c>
      <c r="N585" s="18" t="str">
        <f t="shared" si="74"/>
        <v>76</v>
      </c>
      <c r="O585" s="18" t="str">
        <f>INDEX(Chapter,MATCH(N585,Chapter!$A$1:$A$681,0),8)</f>
        <v>שירותים עירוניים שונים</v>
      </c>
      <c r="P585" s="18" t="str">
        <f t="shared" si="75"/>
        <v>764</v>
      </c>
      <c r="Q585" s="18" t="str">
        <f>INDEX(Chapter,MATCH(P585,Chapter!$A$1:$A$681,0),8)</f>
        <v>תרבות הדיור</v>
      </c>
      <c r="R585" s="18" t="str">
        <f t="shared" si="76"/>
        <v>7640</v>
      </c>
      <c r="S585" s="18" t="e">
        <f>INDEX(Chapter,MATCH(R585,Chapter!$A$1:$A$681,0),8)</f>
        <v>#N/A</v>
      </c>
      <c r="T585" s="18"/>
      <c r="U585" s="18" t="str">
        <f t="shared" si="77"/>
        <v>4</v>
      </c>
      <c r="V585" s="18" t="str">
        <f>IF($L585&lt;"6",INDEX(Revenue_type,MATCH(U585*1,type!$A$118:$A$168,0),8),INDEX(Expenditure_type,MATCH(U585*1,type!$A$2:$A$117,0),8))</f>
        <v>אחזקת בינים ואספקת ציוד</v>
      </c>
      <c r="W585" s="18" t="str">
        <f t="shared" si="78"/>
        <v>40</v>
      </c>
      <c r="X585" s="18" t="e">
        <f>IF($L585&lt;"6",INDEX(Revenue_type,MATCH(W585*1,type!$A$118:$A$168,0),8),INDEX(Expenditure_type,MATCH(W585*1,type!$A$2:$A$117,0),8))</f>
        <v>#N/A</v>
      </c>
      <c r="Y585" s="18" t="str">
        <f t="shared" si="79"/>
        <v>400</v>
      </c>
      <c r="Z585" s="18" t="e">
        <f>IF($L585&lt;"6",INDEX(Revenue_type,MATCH(Y585*1,type!$A$118:$A$168,0),8),INDEX(Expenditure_type,MATCH(Y585*1,type!$A$2:$A$117,0),8))</f>
        <v>#N/A</v>
      </c>
    </row>
    <row r="586" spans="1:26" ht="15.75" hidden="1" customHeight="1" outlineLevel="2">
      <c r="A586">
        <v>500</v>
      </c>
      <c r="B586" s="249">
        <v>764000</v>
      </c>
      <c r="C586">
        <v>1</v>
      </c>
      <c r="D586" t="str">
        <f t="shared" si="72"/>
        <v>1764000.500</v>
      </c>
      <c r="E586" s="348" t="s">
        <v>8269</v>
      </c>
      <c r="F586" s="242"/>
      <c r="G586"/>
      <c r="H586" s="322">
        <v>40600</v>
      </c>
      <c r="I586" s="322">
        <v>40600</v>
      </c>
      <c r="J586" s="242">
        <v>32400</v>
      </c>
      <c r="K586" s="18" t="e">
        <f>INDEX(תקציב_2013,MATCH(D586,'תקציב 2015'!$D$3:$D$5960,0),8)</f>
        <v>#N/A</v>
      </c>
      <c r="L586" s="18" t="str">
        <f t="shared" si="73"/>
        <v>7</v>
      </c>
      <c r="M586" s="18" t="str">
        <f>INDEX(Chapter,MATCH(L586,Chapter!$A$1:$A$681,0),8)</f>
        <v>שירותים מקומיים</v>
      </c>
      <c r="N586" s="18" t="str">
        <f t="shared" si="74"/>
        <v>76</v>
      </c>
      <c r="O586" s="18" t="str">
        <f>INDEX(Chapter,MATCH(N586,Chapter!$A$1:$A$681,0),8)</f>
        <v>שירותים עירוניים שונים</v>
      </c>
      <c r="P586" s="18" t="str">
        <f t="shared" si="75"/>
        <v>764</v>
      </c>
      <c r="Q586" s="18" t="str">
        <f>INDEX(Chapter,MATCH(P586,Chapter!$A$1:$A$681,0),8)</f>
        <v>תרבות הדיור</v>
      </c>
      <c r="R586" s="18" t="str">
        <f t="shared" si="76"/>
        <v>7640</v>
      </c>
      <c r="S586" s="18" t="e">
        <f>INDEX(Chapter,MATCH(R586,Chapter!$A$1:$A$681,0),8)</f>
        <v>#N/A</v>
      </c>
      <c r="T586" s="18"/>
      <c r="U586" s="18" t="str">
        <f t="shared" si="77"/>
        <v>5</v>
      </c>
      <c r="V586" s="18" t="str">
        <f>IF($L586&lt;"6",INDEX(Revenue_type,MATCH(U586*1,type!$A$118:$A$168,0),8),INDEX(Expenditure_type,MATCH(U586*1,type!$A$2:$A$117,0),8))</f>
        <v>הוצאות מנהליות</v>
      </c>
      <c r="W586" s="18" t="str">
        <f t="shared" si="78"/>
        <v>50</v>
      </c>
      <c r="X586" s="18" t="e">
        <f>IF($L586&lt;"6",INDEX(Revenue_type,MATCH(W586*1,type!$A$118:$A$168,0),8),INDEX(Expenditure_type,MATCH(W586*1,type!$A$2:$A$117,0),8))</f>
        <v>#N/A</v>
      </c>
      <c r="Y586" s="18" t="str">
        <f t="shared" si="79"/>
        <v>500</v>
      </c>
      <c r="Z586" s="18" t="e">
        <f>IF($L586&lt;"6",INDEX(Revenue_type,MATCH(Y586*1,type!$A$118:$A$168,0),8),INDEX(Expenditure_type,MATCH(Y586*1,type!$A$2:$A$117,0),8))</f>
        <v>#N/A</v>
      </c>
    </row>
    <row r="587" spans="1:26" ht="15.75" hidden="1" customHeight="1" outlineLevel="2">
      <c r="A587">
        <v>500</v>
      </c>
      <c r="B587" s="249">
        <v>764000</v>
      </c>
      <c r="C587">
        <v>1</v>
      </c>
      <c r="D587" t="str">
        <f t="shared" si="72"/>
        <v>1764000.500</v>
      </c>
      <c r="E587" s="348" t="s">
        <v>8270</v>
      </c>
      <c r="F587" s="242"/>
      <c r="G587"/>
      <c r="H587" s="322">
        <v>200</v>
      </c>
      <c r="I587" s="322">
        <v>200</v>
      </c>
      <c r="J587" s="242">
        <v>0</v>
      </c>
      <c r="K587" s="18" t="e">
        <f>INDEX(תקציב_2013,MATCH(D587,'תקציב 2015'!$D$3:$D$5960,0),8)</f>
        <v>#N/A</v>
      </c>
      <c r="L587" s="18" t="str">
        <f t="shared" si="73"/>
        <v>7</v>
      </c>
      <c r="M587" s="18" t="str">
        <f>INDEX(Chapter,MATCH(L587,Chapter!$A$1:$A$681,0),8)</f>
        <v>שירותים מקומיים</v>
      </c>
      <c r="N587" s="18" t="str">
        <f t="shared" si="74"/>
        <v>76</v>
      </c>
      <c r="O587" s="18" t="str">
        <f>INDEX(Chapter,MATCH(N587,Chapter!$A$1:$A$681,0),8)</f>
        <v>שירותים עירוניים שונים</v>
      </c>
      <c r="P587" s="18" t="str">
        <f t="shared" si="75"/>
        <v>764</v>
      </c>
      <c r="Q587" s="18" t="str">
        <f>INDEX(Chapter,MATCH(P587,Chapter!$A$1:$A$681,0),8)</f>
        <v>תרבות הדיור</v>
      </c>
      <c r="R587" s="18" t="str">
        <f t="shared" si="76"/>
        <v>7640</v>
      </c>
      <c r="S587" s="18" t="e">
        <f>INDEX(Chapter,MATCH(R587,Chapter!$A$1:$A$681,0),8)</f>
        <v>#N/A</v>
      </c>
      <c r="T587" s="18"/>
      <c r="U587" s="18" t="str">
        <f t="shared" si="77"/>
        <v>5</v>
      </c>
      <c r="V587" s="18" t="str">
        <f>IF($L587&lt;"6",INDEX(Revenue_type,MATCH(U587*1,type!$A$118:$A$168,0),8),INDEX(Expenditure_type,MATCH(U587*1,type!$A$2:$A$117,0),8))</f>
        <v>הוצאות מנהליות</v>
      </c>
      <c r="W587" s="18" t="str">
        <f t="shared" si="78"/>
        <v>50</v>
      </c>
      <c r="X587" s="18" t="e">
        <f>IF($L587&lt;"6",INDEX(Revenue_type,MATCH(W587*1,type!$A$118:$A$168,0),8),INDEX(Expenditure_type,MATCH(W587*1,type!$A$2:$A$117,0),8))</f>
        <v>#N/A</v>
      </c>
      <c r="Y587" s="18" t="str">
        <f t="shared" si="79"/>
        <v>500</v>
      </c>
      <c r="Z587" s="18" t="e">
        <f>IF($L587&lt;"6",INDEX(Revenue_type,MATCH(Y587*1,type!$A$118:$A$168,0),8),INDEX(Expenditure_type,MATCH(Y587*1,type!$A$2:$A$117,0),8))</f>
        <v>#N/A</v>
      </c>
    </row>
    <row r="588" spans="1:26" ht="15.75" hidden="1" customHeight="1" outlineLevel="2">
      <c r="A588">
        <v>700</v>
      </c>
      <c r="B588" s="249">
        <v>764000</v>
      </c>
      <c r="C588">
        <v>1</v>
      </c>
      <c r="D588" t="str">
        <f t="shared" si="72"/>
        <v>1764000.700</v>
      </c>
      <c r="E588" s="348" t="s">
        <v>8271</v>
      </c>
      <c r="F588" s="242"/>
      <c r="G588"/>
      <c r="H588" s="322">
        <v>2600</v>
      </c>
      <c r="I588" s="322">
        <v>4300</v>
      </c>
      <c r="J588" s="242">
        <v>2900</v>
      </c>
      <c r="K588" s="18" t="e">
        <f>INDEX(תקציב_2013,MATCH(D588,'תקציב 2015'!$D$3:$D$5960,0),8)</f>
        <v>#N/A</v>
      </c>
      <c r="L588" s="18" t="str">
        <f t="shared" si="73"/>
        <v>7</v>
      </c>
      <c r="M588" s="18" t="str">
        <f>INDEX(Chapter,MATCH(L588,Chapter!$A$1:$A$681,0),8)</f>
        <v>שירותים מקומיים</v>
      </c>
      <c r="N588" s="18" t="str">
        <f t="shared" si="74"/>
        <v>76</v>
      </c>
      <c r="O588" s="18" t="str">
        <f>INDEX(Chapter,MATCH(N588,Chapter!$A$1:$A$681,0),8)</f>
        <v>שירותים עירוניים שונים</v>
      </c>
      <c r="P588" s="18" t="str">
        <f t="shared" si="75"/>
        <v>764</v>
      </c>
      <c r="Q588" s="18" t="str">
        <f>INDEX(Chapter,MATCH(P588,Chapter!$A$1:$A$681,0),8)</f>
        <v>תרבות הדיור</v>
      </c>
      <c r="R588" s="18" t="str">
        <f t="shared" si="76"/>
        <v>7640</v>
      </c>
      <c r="S588" s="18" t="e">
        <f>INDEX(Chapter,MATCH(R588,Chapter!$A$1:$A$681,0),8)</f>
        <v>#N/A</v>
      </c>
      <c r="T588" s="18"/>
      <c r="U588" s="18" t="str">
        <f t="shared" si="77"/>
        <v>7</v>
      </c>
      <c r="V588" s="18" t="str">
        <f>IF($L588&lt;"6",INDEX(Revenue_type,MATCH(U588*1,type!$A$118:$A$168,0),8),INDEX(Expenditure_type,MATCH(U588*1,type!$A$2:$A$117,0),8))</f>
        <v>הוצאות לפעולות</v>
      </c>
      <c r="W588" s="18" t="str">
        <f t="shared" si="78"/>
        <v>70</v>
      </c>
      <c r="X588" s="18" t="e">
        <f>IF($L588&lt;"6",INDEX(Revenue_type,MATCH(W588*1,type!$A$118:$A$168,0),8),INDEX(Expenditure_type,MATCH(W588*1,type!$A$2:$A$117,0),8))</f>
        <v>#N/A</v>
      </c>
      <c r="Y588" s="18" t="str">
        <f t="shared" si="79"/>
        <v>700</v>
      </c>
      <c r="Z588" s="18" t="e">
        <f>IF($L588&lt;"6",INDEX(Revenue_type,MATCH(Y588*1,type!$A$118:$A$168,0),8),INDEX(Expenditure_type,MATCH(Y588*1,type!$A$2:$A$117,0),8))</f>
        <v>#N/A</v>
      </c>
    </row>
    <row r="589" spans="1:26" ht="15.75" hidden="1" customHeight="1" outlineLevel="2">
      <c r="A589">
        <v>100</v>
      </c>
      <c r="B589" s="249">
        <v>613200</v>
      </c>
      <c r="C589">
        <v>1</v>
      </c>
      <c r="D589" t="str">
        <f t="shared" si="72"/>
        <v>1613200.100</v>
      </c>
      <c r="E589" s="348" t="s">
        <v>8272</v>
      </c>
      <c r="F589" s="242"/>
      <c r="G589"/>
      <c r="H589" s="322">
        <v>448800</v>
      </c>
      <c r="I589" s="322">
        <v>443800</v>
      </c>
      <c r="J589" s="242">
        <v>425700</v>
      </c>
      <c r="K589" s="18" t="e">
        <f>INDEX(תקציב_2013,MATCH(D589,'תקציב 2015'!$D$3:$D$5960,0),8)</f>
        <v>#N/A</v>
      </c>
      <c r="L589" s="18" t="str">
        <f t="shared" si="73"/>
        <v>6</v>
      </c>
      <c r="M589" s="18" t="str">
        <f>INDEX(Chapter,MATCH(L589,Chapter!$A$1:$A$681,0),8)</f>
        <v>הנהלה כללית</v>
      </c>
      <c r="N589" s="18" t="str">
        <f t="shared" si="74"/>
        <v>61</v>
      </c>
      <c r="O589" s="18" t="str">
        <f>INDEX(Chapter,MATCH(N589,Chapter!$A$1:$A$681,0),8)</f>
        <v>מינהל כללי</v>
      </c>
      <c r="P589" s="18" t="str">
        <f t="shared" si="75"/>
        <v>613</v>
      </c>
      <c r="Q589" s="18" t="str">
        <f>INDEX(Chapter,MATCH(P589,Chapter!$A$1:$A$681,0),8)</f>
        <v>מזכירות</v>
      </c>
      <c r="R589" s="18" t="str">
        <f t="shared" si="76"/>
        <v>6132</v>
      </c>
      <c r="S589" s="18" t="e">
        <f>INDEX(Chapter,MATCH(R589,Chapter!$A$1:$A$681,0),8)</f>
        <v>#N/A</v>
      </c>
      <c r="T589" s="18"/>
      <c r="U589" s="18" t="str">
        <f t="shared" si="77"/>
        <v>1</v>
      </c>
      <c r="V589" s="18" t="str">
        <f>IF($L589&lt;"6",INDEX(Revenue_type,MATCH(U589*1,type!$A$118:$A$168,0),8),INDEX(Expenditure_type,MATCH(U589*1,type!$A$2:$A$117,0),8))</f>
        <v>משכורות וש"ע לעובדים לפי תקן</v>
      </c>
      <c r="W589" s="18" t="str">
        <f t="shared" si="78"/>
        <v>10</v>
      </c>
      <c r="X589" s="18" t="e">
        <f>IF($L589&lt;"6",INDEX(Revenue_type,MATCH(W589*1,type!$A$118:$A$168,0),8),INDEX(Expenditure_type,MATCH(W589*1,type!$A$2:$A$117,0),8))</f>
        <v>#N/A</v>
      </c>
      <c r="Y589" s="18" t="str">
        <f t="shared" si="79"/>
        <v>100</v>
      </c>
      <c r="Z589" s="18" t="e">
        <f>IF($L589&lt;"6",INDEX(Revenue_type,MATCH(Y589*1,type!$A$118:$A$168,0),8),INDEX(Expenditure_type,MATCH(Y589*1,type!$A$2:$A$117,0),8))</f>
        <v>#N/A</v>
      </c>
    </row>
    <row r="590" spans="1:26" ht="15.75" hidden="1" customHeight="1" outlineLevel="2">
      <c r="A590">
        <v>120</v>
      </c>
      <c r="B590" s="249">
        <v>613200</v>
      </c>
      <c r="C590">
        <v>1</v>
      </c>
      <c r="D590" t="str">
        <f t="shared" si="72"/>
        <v>1613200.120</v>
      </c>
      <c r="E590" s="348" t="s">
        <v>8273</v>
      </c>
      <c r="F590" s="242"/>
      <c r="G590"/>
      <c r="H590" s="322">
        <v>3200</v>
      </c>
      <c r="I590" s="322">
        <v>3200</v>
      </c>
      <c r="J590" s="242">
        <v>3600</v>
      </c>
      <c r="K590" s="18" t="e">
        <f>INDEX(תקציב_2013,MATCH(D590,'תקציב 2015'!$D$3:$D$5960,0),8)</f>
        <v>#N/A</v>
      </c>
      <c r="L590" s="18" t="str">
        <f t="shared" si="73"/>
        <v>6</v>
      </c>
      <c r="M590" s="18" t="str">
        <f>INDEX(Chapter,MATCH(L590,Chapter!$A$1:$A$681,0),8)</f>
        <v>הנהלה כללית</v>
      </c>
      <c r="N590" s="18" t="str">
        <f t="shared" si="74"/>
        <v>61</v>
      </c>
      <c r="O590" s="18" t="str">
        <f>INDEX(Chapter,MATCH(N590,Chapter!$A$1:$A$681,0),8)</f>
        <v>מינהל כללי</v>
      </c>
      <c r="P590" s="18" t="str">
        <f t="shared" si="75"/>
        <v>613</v>
      </c>
      <c r="Q590" s="18" t="str">
        <f>INDEX(Chapter,MATCH(P590,Chapter!$A$1:$A$681,0),8)</f>
        <v>מזכירות</v>
      </c>
      <c r="R590" s="18" t="str">
        <f t="shared" si="76"/>
        <v>6132</v>
      </c>
      <c r="S590" s="18" t="e">
        <f>INDEX(Chapter,MATCH(R590,Chapter!$A$1:$A$681,0),8)</f>
        <v>#N/A</v>
      </c>
      <c r="T590" s="18"/>
      <c r="U590" s="18" t="str">
        <f t="shared" si="77"/>
        <v>1</v>
      </c>
      <c r="V590" s="18" t="str">
        <f>IF($L590&lt;"6",INDEX(Revenue_type,MATCH(U590*1,type!$A$118:$A$168,0),8),INDEX(Expenditure_type,MATCH(U590*1,type!$A$2:$A$117,0),8))</f>
        <v>משכורות וש"ע לעובדים לפי תקן</v>
      </c>
      <c r="W590" s="18" t="str">
        <f t="shared" si="78"/>
        <v>12</v>
      </c>
      <c r="X590" s="18" t="str">
        <f>IF($L590&lt;"6",INDEX(Revenue_type,MATCH(W590*1,type!$A$118:$A$168,0),8),INDEX(Expenditure_type,MATCH(W590*1,type!$A$2:$A$117,0),8))</f>
        <v>תוספות שאינן נכללות בשכר הקובע</v>
      </c>
      <c r="Y590" s="18" t="str">
        <f t="shared" si="79"/>
        <v>120</v>
      </c>
      <c r="Z590" s="18" t="e">
        <f>IF($L590&lt;"6",INDEX(Revenue_type,MATCH(Y590*1,type!$A$118:$A$168,0),8),INDEX(Expenditure_type,MATCH(Y590*1,type!$A$2:$A$117,0),8))</f>
        <v>#N/A</v>
      </c>
    </row>
    <row r="591" spans="1:26" ht="15.75" hidden="1" customHeight="1" outlineLevel="2">
      <c r="A591">
        <v>400</v>
      </c>
      <c r="B591" s="249">
        <v>613200</v>
      </c>
      <c r="C591">
        <v>1</v>
      </c>
      <c r="D591" t="str">
        <f t="shared" si="72"/>
        <v>1613200.400</v>
      </c>
      <c r="E591" s="348" t="s">
        <v>8274</v>
      </c>
      <c r="F591" s="242"/>
      <c r="G591"/>
      <c r="H591" s="322">
        <v>3000</v>
      </c>
      <c r="I591" s="322">
        <v>3000</v>
      </c>
      <c r="J591" s="242">
        <v>2000</v>
      </c>
      <c r="K591" s="18" t="e">
        <f>INDEX(תקציב_2013,MATCH(D591,'תקציב 2015'!$D$3:$D$5960,0),8)</f>
        <v>#N/A</v>
      </c>
      <c r="L591" s="18" t="str">
        <f t="shared" si="73"/>
        <v>6</v>
      </c>
      <c r="M591" s="18" t="str">
        <f>INDEX(Chapter,MATCH(L591,Chapter!$A$1:$A$681,0),8)</f>
        <v>הנהלה כללית</v>
      </c>
      <c r="N591" s="18" t="str">
        <f t="shared" si="74"/>
        <v>61</v>
      </c>
      <c r="O591" s="18" t="str">
        <f>INDEX(Chapter,MATCH(N591,Chapter!$A$1:$A$681,0),8)</f>
        <v>מינהל כללי</v>
      </c>
      <c r="P591" s="18" t="str">
        <f t="shared" si="75"/>
        <v>613</v>
      </c>
      <c r="Q591" s="18" t="str">
        <f>INDEX(Chapter,MATCH(P591,Chapter!$A$1:$A$681,0),8)</f>
        <v>מזכירות</v>
      </c>
      <c r="R591" s="18" t="str">
        <f t="shared" si="76"/>
        <v>6132</v>
      </c>
      <c r="S591" s="18" t="e">
        <f>INDEX(Chapter,MATCH(R591,Chapter!$A$1:$A$681,0),8)</f>
        <v>#N/A</v>
      </c>
      <c r="T591" s="18"/>
      <c r="U591" s="18" t="str">
        <f t="shared" si="77"/>
        <v>4</v>
      </c>
      <c r="V591" s="18" t="str">
        <f>IF($L591&lt;"6",INDEX(Revenue_type,MATCH(U591*1,type!$A$118:$A$168,0),8),INDEX(Expenditure_type,MATCH(U591*1,type!$A$2:$A$117,0),8))</f>
        <v>אחזקת בינים ואספקת ציוד</v>
      </c>
      <c r="W591" s="18" t="str">
        <f t="shared" si="78"/>
        <v>40</v>
      </c>
      <c r="X591" s="18" t="e">
        <f>IF($L591&lt;"6",INDEX(Revenue_type,MATCH(W591*1,type!$A$118:$A$168,0),8),INDEX(Expenditure_type,MATCH(W591*1,type!$A$2:$A$117,0),8))</f>
        <v>#N/A</v>
      </c>
      <c r="Y591" s="18" t="str">
        <f t="shared" si="79"/>
        <v>400</v>
      </c>
      <c r="Z591" s="18" t="e">
        <f>IF($L591&lt;"6",INDEX(Revenue_type,MATCH(Y591*1,type!$A$118:$A$168,0),8),INDEX(Expenditure_type,MATCH(Y591*1,type!$A$2:$A$117,0),8))</f>
        <v>#N/A</v>
      </c>
    </row>
    <row r="592" spans="1:26" ht="15.75" hidden="1" customHeight="1" outlineLevel="2">
      <c r="A592">
        <v>500</v>
      </c>
      <c r="B592" s="249">
        <v>613200</v>
      </c>
      <c r="C592">
        <v>1</v>
      </c>
      <c r="D592" t="str">
        <f t="shared" si="72"/>
        <v>1613200.500</v>
      </c>
      <c r="E592" s="348" t="s">
        <v>8275</v>
      </c>
      <c r="F592" s="242"/>
      <c r="G592"/>
      <c r="H592" s="322">
        <v>161100</v>
      </c>
      <c r="I592" s="322">
        <v>165000</v>
      </c>
      <c r="J592" s="242">
        <v>132100</v>
      </c>
      <c r="K592" s="18" t="e">
        <f>INDEX(תקציב_2013,MATCH(D592,'תקציב 2015'!$D$3:$D$5960,0),8)</f>
        <v>#N/A</v>
      </c>
      <c r="L592" s="18" t="str">
        <f t="shared" si="73"/>
        <v>6</v>
      </c>
      <c r="M592" s="18" t="str">
        <f>INDEX(Chapter,MATCH(L592,Chapter!$A$1:$A$681,0),8)</f>
        <v>הנהלה כללית</v>
      </c>
      <c r="N592" s="18" t="str">
        <f t="shared" si="74"/>
        <v>61</v>
      </c>
      <c r="O592" s="18" t="str">
        <f>INDEX(Chapter,MATCH(N592,Chapter!$A$1:$A$681,0),8)</f>
        <v>מינהל כללי</v>
      </c>
      <c r="P592" s="18" t="str">
        <f t="shared" si="75"/>
        <v>613</v>
      </c>
      <c r="Q592" s="18" t="str">
        <f>INDEX(Chapter,MATCH(P592,Chapter!$A$1:$A$681,0),8)</f>
        <v>מזכירות</v>
      </c>
      <c r="R592" s="18" t="str">
        <f t="shared" si="76"/>
        <v>6132</v>
      </c>
      <c r="S592" s="18" t="e">
        <f>INDEX(Chapter,MATCH(R592,Chapter!$A$1:$A$681,0),8)</f>
        <v>#N/A</v>
      </c>
      <c r="T592" s="18"/>
      <c r="U592" s="18" t="str">
        <f t="shared" si="77"/>
        <v>5</v>
      </c>
      <c r="V592" s="18" t="str">
        <f>IF($L592&lt;"6",INDEX(Revenue_type,MATCH(U592*1,type!$A$118:$A$168,0),8),INDEX(Expenditure_type,MATCH(U592*1,type!$A$2:$A$117,0),8))</f>
        <v>הוצאות מנהליות</v>
      </c>
      <c r="W592" s="18" t="str">
        <f t="shared" si="78"/>
        <v>50</v>
      </c>
      <c r="X592" s="18" t="e">
        <f>IF($L592&lt;"6",INDEX(Revenue_type,MATCH(W592*1,type!$A$118:$A$168,0),8),INDEX(Expenditure_type,MATCH(W592*1,type!$A$2:$A$117,0),8))</f>
        <v>#N/A</v>
      </c>
      <c r="Y592" s="18" t="str">
        <f t="shared" si="79"/>
        <v>500</v>
      </c>
      <c r="Z592" s="18" t="e">
        <f>IF($L592&lt;"6",INDEX(Revenue_type,MATCH(Y592*1,type!$A$118:$A$168,0),8),INDEX(Expenditure_type,MATCH(Y592*1,type!$A$2:$A$117,0),8))</f>
        <v>#N/A</v>
      </c>
    </row>
    <row r="593" spans="1:26" ht="15.75" hidden="1" customHeight="1" outlineLevel="2">
      <c r="A593">
        <v>500</v>
      </c>
      <c r="B593" s="249">
        <v>613200</v>
      </c>
      <c r="C593">
        <v>1</v>
      </c>
      <c r="D593" t="str">
        <f t="shared" si="72"/>
        <v>1613200.500</v>
      </c>
      <c r="E593" s="348" t="s">
        <v>8276</v>
      </c>
      <c r="F593" s="242"/>
      <c r="G593"/>
      <c r="H593" s="322">
        <v>100</v>
      </c>
      <c r="I593" s="322">
        <v>1000</v>
      </c>
      <c r="J593" s="242">
        <v>500</v>
      </c>
      <c r="K593" s="18" t="e">
        <f>INDEX(תקציב_2013,MATCH(D593,'תקציב 2015'!$D$3:$D$5960,0),8)</f>
        <v>#N/A</v>
      </c>
      <c r="L593" s="18" t="str">
        <f t="shared" si="73"/>
        <v>6</v>
      </c>
      <c r="M593" s="18" t="str">
        <f>INDEX(Chapter,MATCH(L593,Chapter!$A$1:$A$681,0),8)</f>
        <v>הנהלה כללית</v>
      </c>
      <c r="N593" s="18" t="str">
        <f t="shared" si="74"/>
        <v>61</v>
      </c>
      <c r="O593" s="18" t="str">
        <f>INDEX(Chapter,MATCH(N593,Chapter!$A$1:$A$681,0),8)</f>
        <v>מינהל כללי</v>
      </c>
      <c r="P593" s="18" t="str">
        <f t="shared" si="75"/>
        <v>613</v>
      </c>
      <c r="Q593" s="18" t="str">
        <f>INDEX(Chapter,MATCH(P593,Chapter!$A$1:$A$681,0),8)</f>
        <v>מזכירות</v>
      </c>
      <c r="R593" s="18" t="str">
        <f t="shared" si="76"/>
        <v>6132</v>
      </c>
      <c r="S593" s="18" t="e">
        <f>INDEX(Chapter,MATCH(R593,Chapter!$A$1:$A$681,0),8)</f>
        <v>#N/A</v>
      </c>
      <c r="T593" s="18"/>
      <c r="U593" s="18" t="str">
        <f t="shared" si="77"/>
        <v>5</v>
      </c>
      <c r="V593" s="18" t="str">
        <f>IF($L593&lt;"6",INDEX(Revenue_type,MATCH(U593*1,type!$A$118:$A$168,0),8),INDEX(Expenditure_type,MATCH(U593*1,type!$A$2:$A$117,0),8))</f>
        <v>הוצאות מנהליות</v>
      </c>
      <c r="W593" s="18" t="str">
        <f t="shared" si="78"/>
        <v>50</v>
      </c>
      <c r="X593" s="18" t="e">
        <f>IF($L593&lt;"6",INDEX(Revenue_type,MATCH(W593*1,type!$A$118:$A$168,0),8),INDEX(Expenditure_type,MATCH(W593*1,type!$A$2:$A$117,0),8))</f>
        <v>#N/A</v>
      </c>
      <c r="Y593" s="18" t="str">
        <f t="shared" si="79"/>
        <v>500</v>
      </c>
      <c r="Z593" s="18" t="e">
        <f>IF($L593&lt;"6",INDEX(Revenue_type,MATCH(Y593*1,type!$A$118:$A$168,0),8),INDEX(Expenditure_type,MATCH(Y593*1,type!$A$2:$A$117,0),8))</f>
        <v>#N/A</v>
      </c>
    </row>
    <row r="594" spans="1:26" ht="15.75" hidden="1" customHeight="1" outlineLevel="2">
      <c r="A594">
        <v>100</v>
      </c>
      <c r="B594" s="249">
        <v>619000</v>
      </c>
      <c r="C594">
        <v>1</v>
      </c>
      <c r="D594" t="str">
        <f t="shared" si="72"/>
        <v>1619000.100</v>
      </c>
      <c r="E594" s="348" t="s">
        <v>8277</v>
      </c>
      <c r="F594" s="242"/>
      <c r="G594"/>
      <c r="H594" s="322">
        <v>1274700</v>
      </c>
      <c r="I594" s="322">
        <v>1260700</v>
      </c>
      <c r="J594" s="242">
        <v>1249800</v>
      </c>
      <c r="K594" s="18" t="e">
        <f>INDEX(תקציב_2013,MATCH(D594,'תקציב 2015'!$D$3:$D$5960,0),8)</f>
        <v>#N/A</v>
      </c>
      <c r="L594" s="18" t="str">
        <f t="shared" si="73"/>
        <v>6</v>
      </c>
      <c r="M594" s="18" t="str">
        <f>INDEX(Chapter,MATCH(L594,Chapter!$A$1:$A$681,0),8)</f>
        <v>הנהלה כללית</v>
      </c>
      <c r="N594" s="18" t="str">
        <f t="shared" si="74"/>
        <v>61</v>
      </c>
      <c r="O594" s="18" t="str">
        <f>INDEX(Chapter,MATCH(N594,Chapter!$A$1:$A$681,0),8)</f>
        <v>מינהל כללי</v>
      </c>
      <c r="P594" s="18" t="str">
        <f t="shared" si="75"/>
        <v>619</v>
      </c>
      <c r="Q594" s="18" t="str">
        <f>INDEX(Chapter,MATCH(P594,Chapter!$A$1:$A$681,0),8)</f>
        <v>בחירות ברשויות המקומיות</v>
      </c>
      <c r="R594" s="18" t="str">
        <f t="shared" si="76"/>
        <v>6190</v>
      </c>
      <c r="S594" s="18" t="e">
        <f>INDEX(Chapter,MATCH(R594,Chapter!$A$1:$A$681,0),8)</f>
        <v>#N/A</v>
      </c>
      <c r="T594" s="18"/>
      <c r="U594" s="18" t="str">
        <f t="shared" si="77"/>
        <v>1</v>
      </c>
      <c r="V594" s="18" t="str">
        <f>IF($L594&lt;"6",INDEX(Revenue_type,MATCH(U594*1,type!$A$118:$A$168,0),8),INDEX(Expenditure_type,MATCH(U594*1,type!$A$2:$A$117,0),8))</f>
        <v>משכורות וש"ע לעובדים לפי תקן</v>
      </c>
      <c r="W594" s="18" t="str">
        <f t="shared" si="78"/>
        <v>10</v>
      </c>
      <c r="X594" s="18" t="e">
        <f>IF($L594&lt;"6",INDEX(Revenue_type,MATCH(W594*1,type!$A$118:$A$168,0),8),INDEX(Expenditure_type,MATCH(W594*1,type!$A$2:$A$117,0),8))</f>
        <v>#N/A</v>
      </c>
      <c r="Y594" s="18" t="str">
        <f t="shared" si="79"/>
        <v>100</v>
      </c>
      <c r="Z594" s="18" t="e">
        <f>IF($L594&lt;"6",INDEX(Revenue_type,MATCH(Y594*1,type!$A$118:$A$168,0),8),INDEX(Expenditure_type,MATCH(Y594*1,type!$A$2:$A$117,0),8))</f>
        <v>#N/A</v>
      </c>
    </row>
    <row r="595" spans="1:26" ht="15.75" hidden="1" customHeight="1" outlineLevel="2">
      <c r="A595">
        <v>120</v>
      </c>
      <c r="B595" s="249">
        <v>619000</v>
      </c>
      <c r="C595">
        <v>1</v>
      </c>
      <c r="D595" t="str">
        <f t="shared" si="72"/>
        <v>1619000.120</v>
      </c>
      <c r="E595" s="348" t="s">
        <v>8278</v>
      </c>
      <c r="F595" s="242"/>
      <c r="G595"/>
      <c r="H595" s="322">
        <v>34300</v>
      </c>
      <c r="I595" s="322">
        <v>34300</v>
      </c>
      <c r="J595" s="242">
        <v>33800</v>
      </c>
      <c r="K595" s="18">
        <f>INDEX(תקציב_2013,MATCH(D595,'תקציב 2015'!$D$3:$D$5960,0),8)</f>
        <v>0</v>
      </c>
      <c r="L595" s="18" t="str">
        <f t="shared" si="73"/>
        <v>6</v>
      </c>
      <c r="M595" s="18" t="str">
        <f>INDEX(Chapter,MATCH(L595,Chapter!$A$1:$A$681,0),8)</f>
        <v>הנהלה כללית</v>
      </c>
      <c r="N595" s="18" t="str">
        <f t="shared" si="74"/>
        <v>61</v>
      </c>
      <c r="O595" s="18" t="str">
        <f>INDEX(Chapter,MATCH(N595,Chapter!$A$1:$A$681,0),8)</f>
        <v>מינהל כללי</v>
      </c>
      <c r="P595" s="18" t="str">
        <f t="shared" si="75"/>
        <v>619</v>
      </c>
      <c r="Q595" s="18" t="str">
        <f>INDEX(Chapter,MATCH(P595,Chapter!$A$1:$A$681,0),8)</f>
        <v>בחירות ברשויות המקומיות</v>
      </c>
      <c r="R595" s="18" t="str">
        <f t="shared" si="76"/>
        <v>6190</v>
      </c>
      <c r="S595" s="18" t="e">
        <f>INDEX(Chapter,MATCH(R595,Chapter!$A$1:$A$681,0),8)</f>
        <v>#N/A</v>
      </c>
      <c r="T595" s="18"/>
      <c r="U595" s="18" t="str">
        <f t="shared" si="77"/>
        <v>1</v>
      </c>
      <c r="V595" s="18" t="str">
        <f>IF($L595&lt;"6",INDEX(Revenue_type,MATCH(U595*1,type!$A$118:$A$168,0),8),INDEX(Expenditure_type,MATCH(U595*1,type!$A$2:$A$117,0),8))</f>
        <v>משכורות וש"ע לעובדים לפי תקן</v>
      </c>
      <c r="W595" s="18" t="str">
        <f t="shared" si="78"/>
        <v>12</v>
      </c>
      <c r="X595" s="18" t="str">
        <f>IF($L595&lt;"6",INDEX(Revenue_type,MATCH(W595*1,type!$A$118:$A$168,0),8),INDEX(Expenditure_type,MATCH(W595*1,type!$A$2:$A$117,0),8))</f>
        <v>תוספות שאינן נכללות בשכר הקובע</v>
      </c>
      <c r="Y595" s="18" t="str">
        <f t="shared" si="79"/>
        <v>120</v>
      </c>
      <c r="Z595" s="18" t="e">
        <f>IF($L595&lt;"6",INDEX(Revenue_type,MATCH(Y595*1,type!$A$118:$A$168,0),8),INDEX(Expenditure_type,MATCH(Y595*1,type!$A$2:$A$117,0),8))</f>
        <v>#N/A</v>
      </c>
    </row>
    <row r="596" spans="1:26" ht="15.75" hidden="1" customHeight="1" outlineLevel="2">
      <c r="A596">
        <v>400</v>
      </c>
      <c r="B596" s="249">
        <v>619000</v>
      </c>
      <c r="C596">
        <v>1</v>
      </c>
      <c r="D596" t="str">
        <f t="shared" si="72"/>
        <v>1619000.400</v>
      </c>
      <c r="E596" s="348" t="s">
        <v>8279</v>
      </c>
      <c r="F596" s="242"/>
      <c r="G596"/>
      <c r="H596" s="322">
        <v>41800</v>
      </c>
      <c r="I596" s="322">
        <v>42800</v>
      </c>
      <c r="J596" s="242">
        <v>28900</v>
      </c>
      <c r="K596" s="18" t="e">
        <f>INDEX(תקציב_2013,MATCH(D596,'תקציב 2015'!$D$3:$D$5960,0),8)</f>
        <v>#N/A</v>
      </c>
      <c r="L596" s="18" t="str">
        <f t="shared" si="73"/>
        <v>6</v>
      </c>
      <c r="M596" s="18" t="str">
        <f>INDEX(Chapter,MATCH(L596,Chapter!$A$1:$A$681,0),8)</f>
        <v>הנהלה כללית</v>
      </c>
      <c r="N596" s="18" t="str">
        <f t="shared" si="74"/>
        <v>61</v>
      </c>
      <c r="O596" s="18" t="str">
        <f>INDEX(Chapter,MATCH(N596,Chapter!$A$1:$A$681,0),8)</f>
        <v>מינהל כללי</v>
      </c>
      <c r="P596" s="18" t="str">
        <f t="shared" si="75"/>
        <v>619</v>
      </c>
      <c r="Q596" s="18" t="str">
        <f>INDEX(Chapter,MATCH(P596,Chapter!$A$1:$A$681,0),8)</f>
        <v>בחירות ברשויות המקומיות</v>
      </c>
      <c r="R596" s="18" t="str">
        <f t="shared" si="76"/>
        <v>6190</v>
      </c>
      <c r="S596" s="18" t="e">
        <f>INDEX(Chapter,MATCH(R596,Chapter!$A$1:$A$681,0),8)</f>
        <v>#N/A</v>
      </c>
      <c r="T596" s="18"/>
      <c r="U596" s="18" t="str">
        <f t="shared" si="77"/>
        <v>4</v>
      </c>
      <c r="V596" s="18" t="str">
        <f>IF($L596&lt;"6",INDEX(Revenue_type,MATCH(U596*1,type!$A$118:$A$168,0),8),INDEX(Expenditure_type,MATCH(U596*1,type!$A$2:$A$117,0),8))</f>
        <v>אחזקת בינים ואספקת ציוד</v>
      </c>
      <c r="W596" s="18" t="str">
        <f t="shared" si="78"/>
        <v>40</v>
      </c>
      <c r="X596" s="18" t="e">
        <f>IF($L596&lt;"6",INDEX(Revenue_type,MATCH(W596*1,type!$A$118:$A$168,0),8),INDEX(Expenditure_type,MATCH(W596*1,type!$A$2:$A$117,0),8))</f>
        <v>#N/A</v>
      </c>
      <c r="Y596" s="18" t="str">
        <f t="shared" si="79"/>
        <v>400</v>
      </c>
      <c r="Z596" s="18" t="e">
        <f>IF($L596&lt;"6",INDEX(Revenue_type,MATCH(Y596*1,type!$A$118:$A$168,0),8),INDEX(Expenditure_type,MATCH(Y596*1,type!$A$2:$A$117,0),8))</f>
        <v>#N/A</v>
      </c>
    </row>
    <row r="597" spans="1:26" ht="15.75" hidden="1" customHeight="1" outlineLevel="2">
      <c r="A597">
        <v>500</v>
      </c>
      <c r="B597" s="249">
        <v>619000</v>
      </c>
      <c r="C597">
        <v>1</v>
      </c>
      <c r="D597" t="str">
        <f t="shared" si="72"/>
        <v>1619000.500</v>
      </c>
      <c r="E597" s="348" t="s">
        <v>8280</v>
      </c>
      <c r="F597" s="242"/>
      <c r="G597"/>
      <c r="H597" s="322">
        <v>35000</v>
      </c>
      <c r="I597" s="322">
        <v>35000</v>
      </c>
      <c r="J597" s="242">
        <v>20300</v>
      </c>
      <c r="K597" s="18" t="e">
        <f>INDEX(תקציב_2013,MATCH(D597,'תקציב 2015'!$D$3:$D$5960,0),8)</f>
        <v>#N/A</v>
      </c>
      <c r="L597" s="18" t="str">
        <f t="shared" si="73"/>
        <v>6</v>
      </c>
      <c r="M597" s="18" t="str">
        <f>INDEX(Chapter,MATCH(L597,Chapter!$A$1:$A$681,0),8)</f>
        <v>הנהלה כללית</v>
      </c>
      <c r="N597" s="18" t="str">
        <f t="shared" si="74"/>
        <v>61</v>
      </c>
      <c r="O597" s="18" t="str">
        <f>INDEX(Chapter,MATCH(N597,Chapter!$A$1:$A$681,0),8)</f>
        <v>מינהל כללי</v>
      </c>
      <c r="P597" s="18" t="str">
        <f t="shared" si="75"/>
        <v>619</v>
      </c>
      <c r="Q597" s="18" t="str">
        <f>INDEX(Chapter,MATCH(P597,Chapter!$A$1:$A$681,0),8)</f>
        <v>בחירות ברשויות המקומיות</v>
      </c>
      <c r="R597" s="18" t="str">
        <f t="shared" si="76"/>
        <v>6190</v>
      </c>
      <c r="S597" s="18" t="e">
        <f>INDEX(Chapter,MATCH(R597,Chapter!$A$1:$A$681,0),8)</f>
        <v>#N/A</v>
      </c>
      <c r="T597" s="18"/>
      <c r="U597" s="18" t="str">
        <f t="shared" si="77"/>
        <v>5</v>
      </c>
      <c r="V597" s="18" t="str">
        <f>IF($L597&lt;"6",INDEX(Revenue_type,MATCH(U597*1,type!$A$118:$A$168,0),8),INDEX(Expenditure_type,MATCH(U597*1,type!$A$2:$A$117,0),8))</f>
        <v>הוצאות מנהליות</v>
      </c>
      <c r="W597" s="18" t="str">
        <f t="shared" si="78"/>
        <v>50</v>
      </c>
      <c r="X597" s="18" t="e">
        <f>IF($L597&lt;"6",INDEX(Revenue_type,MATCH(W597*1,type!$A$118:$A$168,0),8),INDEX(Expenditure_type,MATCH(W597*1,type!$A$2:$A$117,0),8))</f>
        <v>#N/A</v>
      </c>
      <c r="Y597" s="18" t="str">
        <f t="shared" si="79"/>
        <v>500</v>
      </c>
      <c r="Z597" s="18" t="e">
        <f>IF($L597&lt;"6",INDEX(Revenue_type,MATCH(Y597*1,type!$A$118:$A$168,0),8),INDEX(Expenditure_type,MATCH(Y597*1,type!$A$2:$A$117,0),8))</f>
        <v>#N/A</v>
      </c>
    </row>
    <row r="598" spans="1:26" ht="15.75" hidden="1" customHeight="1" outlineLevel="2">
      <c r="A598">
        <v>500</v>
      </c>
      <c r="B598" s="249">
        <v>619000</v>
      </c>
      <c r="C598">
        <v>1</v>
      </c>
      <c r="D598" t="str">
        <f t="shared" si="72"/>
        <v>1619000.500</v>
      </c>
      <c r="E598" s="348" t="s">
        <v>8281</v>
      </c>
      <c r="F598" s="242"/>
      <c r="G598"/>
      <c r="H598" s="322">
        <v>3000</v>
      </c>
      <c r="I598" s="322">
        <v>3000</v>
      </c>
      <c r="J598" s="242">
        <v>1600</v>
      </c>
      <c r="K598" s="18" t="e">
        <f>INDEX(תקציב_2013,MATCH(D598,'תקציב 2015'!$D$3:$D$5960,0),8)</f>
        <v>#N/A</v>
      </c>
      <c r="L598" s="18" t="str">
        <f t="shared" si="73"/>
        <v>6</v>
      </c>
      <c r="M598" s="18" t="str">
        <f>INDEX(Chapter,MATCH(L598,Chapter!$A$1:$A$681,0),8)</f>
        <v>הנהלה כללית</v>
      </c>
      <c r="N598" s="18" t="str">
        <f t="shared" si="74"/>
        <v>61</v>
      </c>
      <c r="O598" s="18" t="str">
        <f>INDEX(Chapter,MATCH(N598,Chapter!$A$1:$A$681,0),8)</f>
        <v>מינהל כללי</v>
      </c>
      <c r="P598" s="18" t="str">
        <f t="shared" si="75"/>
        <v>619</v>
      </c>
      <c r="Q598" s="18" t="str">
        <f>INDEX(Chapter,MATCH(P598,Chapter!$A$1:$A$681,0),8)</f>
        <v>בחירות ברשויות המקומיות</v>
      </c>
      <c r="R598" s="18" t="str">
        <f t="shared" si="76"/>
        <v>6190</v>
      </c>
      <c r="S598" s="18" t="e">
        <f>INDEX(Chapter,MATCH(R598,Chapter!$A$1:$A$681,0),8)</f>
        <v>#N/A</v>
      </c>
      <c r="T598" s="18"/>
      <c r="U598" s="18" t="str">
        <f t="shared" si="77"/>
        <v>5</v>
      </c>
      <c r="V598" s="18" t="str">
        <f>IF($L598&lt;"6",INDEX(Revenue_type,MATCH(U598*1,type!$A$118:$A$168,0),8),INDEX(Expenditure_type,MATCH(U598*1,type!$A$2:$A$117,0),8))</f>
        <v>הוצאות מנהליות</v>
      </c>
      <c r="W598" s="18" t="str">
        <f t="shared" si="78"/>
        <v>50</v>
      </c>
      <c r="X598" s="18" t="e">
        <f>IF($L598&lt;"6",INDEX(Revenue_type,MATCH(W598*1,type!$A$118:$A$168,0),8),INDEX(Expenditure_type,MATCH(W598*1,type!$A$2:$A$117,0),8))</f>
        <v>#N/A</v>
      </c>
      <c r="Y598" s="18" t="str">
        <f t="shared" si="79"/>
        <v>500</v>
      </c>
      <c r="Z598" s="18" t="e">
        <f>IF($L598&lt;"6",INDEX(Revenue_type,MATCH(Y598*1,type!$A$118:$A$168,0),8),INDEX(Expenditure_type,MATCH(Y598*1,type!$A$2:$A$117,0),8))</f>
        <v>#N/A</v>
      </c>
    </row>
    <row r="599" spans="1:26" ht="15.75" hidden="1" customHeight="1" outlineLevel="2">
      <c r="A599">
        <v>700</v>
      </c>
      <c r="B599" s="249">
        <v>619000</v>
      </c>
      <c r="C599">
        <v>1</v>
      </c>
      <c r="D599" t="str">
        <f t="shared" si="72"/>
        <v>1619000.700</v>
      </c>
      <c r="E599" s="348" t="s">
        <v>8282</v>
      </c>
      <c r="F599" s="242"/>
      <c r="G599"/>
      <c r="H599" s="322">
        <v>7600</v>
      </c>
      <c r="I599" s="322">
        <v>9200</v>
      </c>
      <c r="J599" s="242">
        <v>8000</v>
      </c>
      <c r="K599" s="18" t="e">
        <f>INDEX(תקציב_2013,MATCH(D599,'תקציב 2015'!$D$3:$D$5960,0),8)</f>
        <v>#N/A</v>
      </c>
      <c r="L599" s="18" t="str">
        <f t="shared" si="73"/>
        <v>6</v>
      </c>
      <c r="M599" s="18" t="str">
        <f>INDEX(Chapter,MATCH(L599,Chapter!$A$1:$A$681,0),8)</f>
        <v>הנהלה כללית</v>
      </c>
      <c r="N599" s="18" t="str">
        <f t="shared" si="74"/>
        <v>61</v>
      </c>
      <c r="O599" s="18" t="str">
        <f>INDEX(Chapter,MATCH(N599,Chapter!$A$1:$A$681,0),8)</f>
        <v>מינהל כללי</v>
      </c>
      <c r="P599" s="18" t="str">
        <f t="shared" si="75"/>
        <v>619</v>
      </c>
      <c r="Q599" s="18" t="str">
        <f>INDEX(Chapter,MATCH(P599,Chapter!$A$1:$A$681,0),8)</f>
        <v>בחירות ברשויות המקומיות</v>
      </c>
      <c r="R599" s="18" t="str">
        <f t="shared" si="76"/>
        <v>6190</v>
      </c>
      <c r="S599" s="18" t="e">
        <f>INDEX(Chapter,MATCH(R599,Chapter!$A$1:$A$681,0),8)</f>
        <v>#N/A</v>
      </c>
      <c r="T599" s="18"/>
      <c r="U599" s="18" t="str">
        <f t="shared" si="77"/>
        <v>7</v>
      </c>
      <c r="V599" s="18" t="str">
        <f>IF($L599&lt;"6",INDEX(Revenue_type,MATCH(U599*1,type!$A$118:$A$168,0),8),INDEX(Expenditure_type,MATCH(U599*1,type!$A$2:$A$117,0),8))</f>
        <v>הוצאות לפעולות</v>
      </c>
      <c r="W599" s="18" t="str">
        <f t="shared" si="78"/>
        <v>70</v>
      </c>
      <c r="X599" s="18" t="e">
        <f>IF($L599&lt;"6",INDEX(Revenue_type,MATCH(W599*1,type!$A$118:$A$168,0),8),INDEX(Expenditure_type,MATCH(W599*1,type!$A$2:$A$117,0),8))</f>
        <v>#N/A</v>
      </c>
      <c r="Y599" s="18" t="str">
        <f t="shared" si="79"/>
        <v>700</v>
      </c>
      <c r="Z599" s="18" t="e">
        <f>IF($L599&lt;"6",INDEX(Revenue_type,MATCH(Y599*1,type!$A$118:$A$168,0),8),INDEX(Expenditure_type,MATCH(Y599*1,type!$A$2:$A$117,0),8))</f>
        <v>#N/A</v>
      </c>
    </row>
    <row r="600" spans="1:26" ht="15.75" hidden="1" customHeight="1" outlineLevel="2">
      <c r="A600">
        <v>100</v>
      </c>
      <c r="B600" s="249">
        <v>782100</v>
      </c>
      <c r="C600">
        <v>1</v>
      </c>
      <c r="D600" t="str">
        <f t="shared" si="72"/>
        <v>1782100.100</v>
      </c>
      <c r="E600" s="348" t="s">
        <v>8283</v>
      </c>
      <c r="F600" s="242"/>
      <c r="G600"/>
      <c r="H600" s="322">
        <v>2599800</v>
      </c>
      <c r="I600" s="322">
        <v>2570800</v>
      </c>
      <c r="J600" s="242">
        <v>2497900</v>
      </c>
      <c r="K600" s="18" t="e">
        <f>INDEX(תקציב_2013,MATCH(D600,'תקציב 2015'!$D$3:$D$5960,0),8)</f>
        <v>#N/A</v>
      </c>
      <c r="L600" s="18" t="str">
        <f t="shared" si="73"/>
        <v>7</v>
      </c>
      <c r="M600" s="18" t="str">
        <f>INDEX(Chapter,MATCH(L600,Chapter!$A$1:$A$681,0),8)</f>
        <v>שירותים מקומיים</v>
      </c>
      <c r="N600" s="18" t="str">
        <f t="shared" si="74"/>
        <v>78</v>
      </c>
      <c r="O600" s="18" t="str">
        <f>INDEX(Chapter,MATCH(N600,Chapter!$A$1:$A$681,0),8)</f>
        <v>פיקוח עירוני</v>
      </c>
      <c r="P600" s="18" t="str">
        <f t="shared" si="75"/>
        <v>782</v>
      </c>
      <c r="Q600" s="18" t="str">
        <f>INDEX(Chapter,MATCH(P600,Chapter!$A$1:$A$681,0),8)</f>
        <v>בית משפט עירוני</v>
      </c>
      <c r="R600" s="18" t="str">
        <f t="shared" si="76"/>
        <v>7821</v>
      </c>
      <c r="S600" s="18" t="e">
        <f>INDEX(Chapter,MATCH(R600,Chapter!$A$1:$A$681,0),8)</f>
        <v>#N/A</v>
      </c>
      <c r="T600" s="18"/>
      <c r="U600" s="18" t="str">
        <f t="shared" si="77"/>
        <v>1</v>
      </c>
      <c r="V600" s="18" t="str">
        <f>IF($L600&lt;"6",INDEX(Revenue_type,MATCH(U600*1,type!$A$118:$A$168,0),8),INDEX(Expenditure_type,MATCH(U600*1,type!$A$2:$A$117,0),8))</f>
        <v>משכורות וש"ע לעובדים לפי תקן</v>
      </c>
      <c r="W600" s="18" t="str">
        <f t="shared" si="78"/>
        <v>10</v>
      </c>
      <c r="X600" s="18" t="e">
        <f>IF($L600&lt;"6",INDEX(Revenue_type,MATCH(W600*1,type!$A$118:$A$168,0),8),INDEX(Expenditure_type,MATCH(W600*1,type!$A$2:$A$117,0),8))</f>
        <v>#N/A</v>
      </c>
      <c r="Y600" s="18" t="str">
        <f t="shared" si="79"/>
        <v>100</v>
      </c>
      <c r="Z600" s="18" t="e">
        <f>IF($L600&lt;"6",INDEX(Revenue_type,MATCH(Y600*1,type!$A$118:$A$168,0),8),INDEX(Expenditure_type,MATCH(Y600*1,type!$A$2:$A$117,0),8))</f>
        <v>#N/A</v>
      </c>
    </row>
    <row r="601" spans="1:26" ht="15.75" hidden="1" customHeight="1" outlineLevel="2">
      <c r="A601">
        <v>120</v>
      </c>
      <c r="B601" s="249">
        <v>782100</v>
      </c>
      <c r="C601">
        <v>1</v>
      </c>
      <c r="D601" t="str">
        <f t="shared" si="72"/>
        <v>1782100.120</v>
      </c>
      <c r="E601" s="348" t="s">
        <v>8284</v>
      </c>
      <c r="F601" s="242"/>
      <c r="G601"/>
      <c r="H601" s="322">
        <v>13200</v>
      </c>
      <c r="I601" s="322">
        <v>13200</v>
      </c>
      <c r="J601" s="242">
        <v>12100</v>
      </c>
      <c r="K601" s="18" t="e">
        <f>INDEX(תקציב_2013,MATCH(D601,'תקציב 2015'!$D$3:$D$5960,0),8)</f>
        <v>#N/A</v>
      </c>
      <c r="L601" s="18" t="str">
        <f t="shared" si="73"/>
        <v>7</v>
      </c>
      <c r="M601" s="18" t="str">
        <f>INDEX(Chapter,MATCH(L601,Chapter!$A$1:$A$681,0),8)</f>
        <v>שירותים מקומיים</v>
      </c>
      <c r="N601" s="18" t="str">
        <f t="shared" si="74"/>
        <v>78</v>
      </c>
      <c r="O601" s="18" t="str">
        <f>INDEX(Chapter,MATCH(N601,Chapter!$A$1:$A$681,0),8)</f>
        <v>פיקוח עירוני</v>
      </c>
      <c r="P601" s="18" t="str">
        <f t="shared" si="75"/>
        <v>782</v>
      </c>
      <c r="Q601" s="18" t="str">
        <f>INDEX(Chapter,MATCH(P601,Chapter!$A$1:$A$681,0),8)</f>
        <v>בית משפט עירוני</v>
      </c>
      <c r="R601" s="18" t="str">
        <f t="shared" si="76"/>
        <v>7821</v>
      </c>
      <c r="S601" s="18" t="e">
        <f>INDEX(Chapter,MATCH(R601,Chapter!$A$1:$A$681,0),8)</f>
        <v>#N/A</v>
      </c>
      <c r="T601" s="18"/>
      <c r="U601" s="18" t="str">
        <f t="shared" si="77"/>
        <v>1</v>
      </c>
      <c r="V601" s="18" t="str">
        <f>IF($L601&lt;"6",INDEX(Revenue_type,MATCH(U601*1,type!$A$118:$A$168,0),8),INDEX(Expenditure_type,MATCH(U601*1,type!$A$2:$A$117,0),8))</f>
        <v>משכורות וש"ע לעובדים לפי תקן</v>
      </c>
      <c r="W601" s="18" t="str">
        <f t="shared" si="78"/>
        <v>12</v>
      </c>
      <c r="X601" s="18" t="str">
        <f>IF($L601&lt;"6",INDEX(Revenue_type,MATCH(W601*1,type!$A$118:$A$168,0),8),INDEX(Expenditure_type,MATCH(W601*1,type!$A$2:$A$117,0),8))</f>
        <v>תוספות שאינן נכללות בשכר הקובע</v>
      </c>
      <c r="Y601" s="18" t="str">
        <f t="shared" si="79"/>
        <v>120</v>
      </c>
      <c r="Z601" s="18" t="e">
        <f>IF($L601&lt;"6",INDEX(Revenue_type,MATCH(Y601*1,type!$A$118:$A$168,0),8),INDEX(Expenditure_type,MATCH(Y601*1,type!$A$2:$A$117,0),8))</f>
        <v>#N/A</v>
      </c>
    </row>
    <row r="602" spans="1:26" ht="15.75" hidden="1" customHeight="1" outlineLevel="2">
      <c r="A602">
        <v>400</v>
      </c>
      <c r="B602" s="249">
        <v>782100</v>
      </c>
      <c r="C602">
        <v>1</v>
      </c>
      <c r="D602" t="str">
        <f t="shared" si="72"/>
        <v>1782100.400</v>
      </c>
      <c r="E602" s="348" t="s">
        <v>8285</v>
      </c>
      <c r="F602" s="242"/>
      <c r="G602"/>
      <c r="H602" s="322">
        <v>647300</v>
      </c>
      <c r="I602" s="322">
        <v>660200</v>
      </c>
      <c r="J602" s="242">
        <v>665800</v>
      </c>
      <c r="K602" s="18" t="e">
        <f>INDEX(תקציב_2013,MATCH(D602,'תקציב 2015'!$D$3:$D$5960,0),8)</f>
        <v>#N/A</v>
      </c>
      <c r="L602" s="18" t="str">
        <f t="shared" si="73"/>
        <v>7</v>
      </c>
      <c r="M602" s="18" t="str">
        <f>INDEX(Chapter,MATCH(L602,Chapter!$A$1:$A$681,0),8)</f>
        <v>שירותים מקומיים</v>
      </c>
      <c r="N602" s="18" t="str">
        <f t="shared" si="74"/>
        <v>78</v>
      </c>
      <c r="O602" s="18" t="str">
        <f>INDEX(Chapter,MATCH(N602,Chapter!$A$1:$A$681,0),8)</f>
        <v>פיקוח עירוני</v>
      </c>
      <c r="P602" s="18" t="str">
        <f t="shared" si="75"/>
        <v>782</v>
      </c>
      <c r="Q602" s="18" t="str">
        <f>INDEX(Chapter,MATCH(P602,Chapter!$A$1:$A$681,0),8)</f>
        <v>בית משפט עירוני</v>
      </c>
      <c r="R602" s="18" t="str">
        <f t="shared" si="76"/>
        <v>7821</v>
      </c>
      <c r="S602" s="18" t="e">
        <f>INDEX(Chapter,MATCH(R602,Chapter!$A$1:$A$681,0),8)</f>
        <v>#N/A</v>
      </c>
      <c r="T602" s="18"/>
      <c r="U602" s="18" t="str">
        <f t="shared" si="77"/>
        <v>4</v>
      </c>
      <c r="V602" s="18" t="str">
        <f>IF($L602&lt;"6",INDEX(Revenue_type,MATCH(U602*1,type!$A$118:$A$168,0),8),INDEX(Expenditure_type,MATCH(U602*1,type!$A$2:$A$117,0),8))</f>
        <v>אחזקת בינים ואספקת ציוד</v>
      </c>
      <c r="W602" s="18" t="str">
        <f t="shared" si="78"/>
        <v>40</v>
      </c>
      <c r="X602" s="18" t="e">
        <f>IF($L602&lt;"6",INDEX(Revenue_type,MATCH(W602*1,type!$A$118:$A$168,0),8),INDEX(Expenditure_type,MATCH(W602*1,type!$A$2:$A$117,0),8))</f>
        <v>#N/A</v>
      </c>
      <c r="Y602" s="18" t="str">
        <f t="shared" si="79"/>
        <v>400</v>
      </c>
      <c r="Z602" s="18" t="e">
        <f>IF($L602&lt;"6",INDEX(Revenue_type,MATCH(Y602*1,type!$A$118:$A$168,0),8),INDEX(Expenditure_type,MATCH(Y602*1,type!$A$2:$A$117,0),8))</f>
        <v>#N/A</v>
      </c>
    </row>
    <row r="603" spans="1:26" ht="15.75" hidden="1" customHeight="1" outlineLevel="2">
      <c r="A603">
        <v>500</v>
      </c>
      <c r="B603" s="249">
        <v>782100</v>
      </c>
      <c r="C603">
        <v>1</v>
      </c>
      <c r="D603" t="str">
        <f t="shared" si="72"/>
        <v>1782100.500</v>
      </c>
      <c r="E603" s="348" t="s">
        <v>8286</v>
      </c>
      <c r="F603" s="242"/>
      <c r="G603"/>
      <c r="H603" s="322">
        <v>58600</v>
      </c>
      <c r="I603" s="322">
        <v>68100</v>
      </c>
      <c r="J603" s="242">
        <v>47000</v>
      </c>
      <c r="K603" s="18" t="e">
        <f>INDEX(תקציב_2013,MATCH(D603,'תקציב 2015'!$D$3:$D$5960,0),8)</f>
        <v>#N/A</v>
      </c>
      <c r="L603" s="18" t="str">
        <f t="shared" si="73"/>
        <v>7</v>
      </c>
      <c r="M603" s="18" t="str">
        <f>INDEX(Chapter,MATCH(L603,Chapter!$A$1:$A$681,0),8)</f>
        <v>שירותים מקומיים</v>
      </c>
      <c r="N603" s="18" t="str">
        <f t="shared" si="74"/>
        <v>78</v>
      </c>
      <c r="O603" s="18" t="str">
        <f>INDEX(Chapter,MATCH(N603,Chapter!$A$1:$A$681,0),8)</f>
        <v>פיקוח עירוני</v>
      </c>
      <c r="P603" s="18" t="str">
        <f t="shared" si="75"/>
        <v>782</v>
      </c>
      <c r="Q603" s="18" t="str">
        <f>INDEX(Chapter,MATCH(P603,Chapter!$A$1:$A$681,0),8)</f>
        <v>בית משפט עירוני</v>
      </c>
      <c r="R603" s="18" t="str">
        <f t="shared" si="76"/>
        <v>7821</v>
      </c>
      <c r="S603" s="18" t="e">
        <f>INDEX(Chapter,MATCH(R603,Chapter!$A$1:$A$681,0),8)</f>
        <v>#N/A</v>
      </c>
      <c r="T603" s="18"/>
      <c r="U603" s="18" t="str">
        <f t="shared" si="77"/>
        <v>5</v>
      </c>
      <c r="V603" s="18" t="str">
        <f>IF($L603&lt;"6",INDEX(Revenue_type,MATCH(U603*1,type!$A$118:$A$168,0),8),INDEX(Expenditure_type,MATCH(U603*1,type!$A$2:$A$117,0),8))</f>
        <v>הוצאות מנהליות</v>
      </c>
      <c r="W603" s="18" t="str">
        <f t="shared" si="78"/>
        <v>50</v>
      </c>
      <c r="X603" s="18" t="e">
        <f>IF($L603&lt;"6",INDEX(Revenue_type,MATCH(W603*1,type!$A$118:$A$168,0),8),INDEX(Expenditure_type,MATCH(W603*1,type!$A$2:$A$117,0),8))</f>
        <v>#N/A</v>
      </c>
      <c r="Y603" s="18" t="str">
        <f t="shared" si="79"/>
        <v>500</v>
      </c>
      <c r="Z603" s="18" t="e">
        <f>IF($L603&lt;"6",INDEX(Revenue_type,MATCH(Y603*1,type!$A$118:$A$168,0),8),INDEX(Expenditure_type,MATCH(Y603*1,type!$A$2:$A$117,0),8))</f>
        <v>#N/A</v>
      </c>
    </row>
    <row r="604" spans="1:26" ht="15.75" hidden="1" customHeight="1" outlineLevel="2">
      <c r="A604">
        <v>500</v>
      </c>
      <c r="B604" s="249">
        <v>782100</v>
      </c>
      <c r="C604">
        <v>1</v>
      </c>
      <c r="D604" t="str">
        <f t="shared" si="72"/>
        <v>1782100.500</v>
      </c>
      <c r="E604" s="348" t="s">
        <v>8287</v>
      </c>
      <c r="F604" s="242"/>
      <c r="G604"/>
      <c r="H604" s="322">
        <v>6000</v>
      </c>
      <c r="I604" s="322">
        <v>7000</v>
      </c>
      <c r="J604" s="242">
        <v>4000</v>
      </c>
      <c r="K604" s="18" t="e">
        <f>INDEX(תקציב_2013,MATCH(D604,'תקציב 2015'!$D$3:$D$5960,0),8)</f>
        <v>#N/A</v>
      </c>
      <c r="L604" s="18" t="str">
        <f t="shared" si="73"/>
        <v>7</v>
      </c>
      <c r="M604" s="18" t="str">
        <f>INDEX(Chapter,MATCH(L604,Chapter!$A$1:$A$681,0),8)</f>
        <v>שירותים מקומיים</v>
      </c>
      <c r="N604" s="18" t="str">
        <f t="shared" si="74"/>
        <v>78</v>
      </c>
      <c r="O604" s="18" t="str">
        <f>INDEX(Chapter,MATCH(N604,Chapter!$A$1:$A$681,0),8)</f>
        <v>פיקוח עירוני</v>
      </c>
      <c r="P604" s="18" t="str">
        <f t="shared" si="75"/>
        <v>782</v>
      </c>
      <c r="Q604" s="18" t="str">
        <f>INDEX(Chapter,MATCH(P604,Chapter!$A$1:$A$681,0),8)</f>
        <v>בית משפט עירוני</v>
      </c>
      <c r="R604" s="18" t="str">
        <f t="shared" si="76"/>
        <v>7821</v>
      </c>
      <c r="S604" s="18" t="e">
        <f>INDEX(Chapter,MATCH(R604,Chapter!$A$1:$A$681,0),8)</f>
        <v>#N/A</v>
      </c>
      <c r="T604" s="18"/>
      <c r="U604" s="18" t="str">
        <f t="shared" si="77"/>
        <v>5</v>
      </c>
      <c r="V604" s="18" t="str">
        <f>IF($L604&lt;"6",INDEX(Revenue_type,MATCH(U604*1,type!$A$118:$A$168,0),8),INDEX(Expenditure_type,MATCH(U604*1,type!$A$2:$A$117,0),8))</f>
        <v>הוצאות מנהליות</v>
      </c>
      <c r="W604" s="18" t="str">
        <f t="shared" si="78"/>
        <v>50</v>
      </c>
      <c r="X604" s="18" t="e">
        <f>IF($L604&lt;"6",INDEX(Revenue_type,MATCH(W604*1,type!$A$118:$A$168,0),8),INDEX(Expenditure_type,MATCH(W604*1,type!$A$2:$A$117,0),8))</f>
        <v>#N/A</v>
      </c>
      <c r="Y604" s="18" t="str">
        <f t="shared" si="79"/>
        <v>500</v>
      </c>
      <c r="Z604" s="18" t="e">
        <f>IF($L604&lt;"6",INDEX(Revenue_type,MATCH(Y604*1,type!$A$118:$A$168,0),8),INDEX(Expenditure_type,MATCH(Y604*1,type!$A$2:$A$117,0),8))</f>
        <v>#N/A</v>
      </c>
    </row>
    <row r="605" spans="1:26" ht="15.75" hidden="1" customHeight="1" outlineLevel="2">
      <c r="A605">
        <v>700</v>
      </c>
      <c r="B605" s="249">
        <v>782100</v>
      </c>
      <c r="C605">
        <v>1</v>
      </c>
      <c r="D605" t="str">
        <f t="shared" si="72"/>
        <v>1782100.700</v>
      </c>
      <c r="E605" s="348" t="s">
        <v>8288</v>
      </c>
      <c r="F605" s="242"/>
      <c r="G605"/>
      <c r="H605" s="322">
        <v>1440000</v>
      </c>
      <c r="I605" s="322">
        <v>1479900</v>
      </c>
      <c r="J605" s="242">
        <v>1327600</v>
      </c>
      <c r="K605" s="18" t="e">
        <f>INDEX(תקציב_2013,MATCH(D605,'תקציב 2015'!$D$3:$D$5960,0),8)</f>
        <v>#N/A</v>
      </c>
      <c r="L605" s="18" t="str">
        <f t="shared" si="73"/>
        <v>7</v>
      </c>
      <c r="M605" s="18" t="str">
        <f>INDEX(Chapter,MATCH(L605,Chapter!$A$1:$A$681,0),8)</f>
        <v>שירותים מקומיים</v>
      </c>
      <c r="N605" s="18" t="str">
        <f t="shared" si="74"/>
        <v>78</v>
      </c>
      <c r="O605" s="18" t="str">
        <f>INDEX(Chapter,MATCH(N605,Chapter!$A$1:$A$681,0),8)</f>
        <v>פיקוח עירוני</v>
      </c>
      <c r="P605" s="18" t="str">
        <f t="shared" si="75"/>
        <v>782</v>
      </c>
      <c r="Q605" s="18" t="str">
        <f>INDEX(Chapter,MATCH(P605,Chapter!$A$1:$A$681,0),8)</f>
        <v>בית משפט עירוני</v>
      </c>
      <c r="R605" s="18" t="str">
        <f t="shared" si="76"/>
        <v>7821</v>
      </c>
      <c r="S605" s="18" t="e">
        <f>INDEX(Chapter,MATCH(R605,Chapter!$A$1:$A$681,0),8)</f>
        <v>#N/A</v>
      </c>
      <c r="T605" s="18"/>
      <c r="U605" s="18" t="str">
        <f t="shared" si="77"/>
        <v>7</v>
      </c>
      <c r="V605" s="18" t="str">
        <f>IF($L605&lt;"6",INDEX(Revenue_type,MATCH(U605*1,type!$A$118:$A$168,0),8),INDEX(Expenditure_type,MATCH(U605*1,type!$A$2:$A$117,0),8))</f>
        <v>הוצאות לפעולות</v>
      </c>
      <c r="W605" s="18" t="str">
        <f t="shared" si="78"/>
        <v>70</v>
      </c>
      <c r="X605" s="18" t="e">
        <f>IF($L605&lt;"6",INDEX(Revenue_type,MATCH(W605*1,type!$A$118:$A$168,0),8),INDEX(Expenditure_type,MATCH(W605*1,type!$A$2:$A$117,0),8))</f>
        <v>#N/A</v>
      </c>
      <c r="Y605" s="18" t="str">
        <f t="shared" si="79"/>
        <v>700</v>
      </c>
      <c r="Z605" s="18" t="e">
        <f>IF($L605&lt;"6",INDEX(Revenue_type,MATCH(Y605*1,type!$A$118:$A$168,0),8),INDEX(Expenditure_type,MATCH(Y605*1,type!$A$2:$A$117,0),8))</f>
        <v>#N/A</v>
      </c>
    </row>
    <row r="606" spans="1:26" ht="15.75" hidden="1" customHeight="1" outlineLevel="2">
      <c r="A606">
        <v>100</v>
      </c>
      <c r="B606" s="249">
        <v>841331</v>
      </c>
      <c r="C606">
        <v>1</v>
      </c>
      <c r="D606" t="str">
        <f t="shared" si="72"/>
        <v>1841331.100</v>
      </c>
      <c r="E606" s="348" t="s">
        <v>8289</v>
      </c>
      <c r="F606" s="242"/>
      <c r="G606"/>
      <c r="H606" s="322">
        <v>43721400</v>
      </c>
      <c r="I606" s="322">
        <v>43236400</v>
      </c>
      <c r="J606" s="242">
        <v>43187200</v>
      </c>
      <c r="K606" s="18" t="e">
        <f>INDEX(תקציב_2013,MATCH(D606,'תקציב 2015'!$D$3:$D$5960,0),8)</f>
        <v>#N/A</v>
      </c>
      <c r="L606" s="18" t="str">
        <f t="shared" si="73"/>
        <v>8</v>
      </c>
      <c r="M606" s="18" t="str">
        <f>INDEX(Chapter,MATCH(L606,Chapter!$A$1:$A$681,0),8)</f>
        <v>שירותים ממלכתיים</v>
      </c>
      <c r="N606" s="18" t="str">
        <f t="shared" si="74"/>
        <v>84</v>
      </c>
      <c r="O606" s="18" t="str">
        <f>INDEX(Chapter,MATCH(N606,Chapter!$A$1:$A$681,0),8)</f>
        <v>רווחה</v>
      </c>
      <c r="P606" s="18" t="str">
        <f t="shared" si="75"/>
        <v>841</v>
      </c>
      <c r="Q606" s="18" t="str">
        <f>INDEX(Chapter,MATCH(P606,Chapter!$A$1:$A$681,0),8)</f>
        <v>מינהל הרווחה</v>
      </c>
      <c r="R606" s="18" t="str">
        <f t="shared" si="76"/>
        <v>8413</v>
      </c>
      <c r="S606" s="18" t="e">
        <f>INDEX(Chapter,MATCH(R606,Chapter!$A$1:$A$681,0),8)</f>
        <v>#N/A</v>
      </c>
      <c r="T606" s="18"/>
      <c r="U606" s="18" t="str">
        <f t="shared" si="77"/>
        <v>1</v>
      </c>
      <c r="V606" s="18" t="str">
        <f>IF($L606&lt;"6",INDEX(Revenue_type,MATCH(U606*1,type!$A$118:$A$168,0),8),INDEX(Expenditure_type,MATCH(U606*1,type!$A$2:$A$117,0),8))</f>
        <v>משכורות וש"ע לעובדים לפי תקן</v>
      </c>
      <c r="W606" s="18" t="str">
        <f t="shared" si="78"/>
        <v>10</v>
      </c>
      <c r="X606" s="18" t="e">
        <f>IF($L606&lt;"6",INDEX(Revenue_type,MATCH(W606*1,type!$A$118:$A$168,0),8),INDEX(Expenditure_type,MATCH(W606*1,type!$A$2:$A$117,0),8))</f>
        <v>#N/A</v>
      </c>
      <c r="Y606" s="18" t="str">
        <f t="shared" si="79"/>
        <v>100</v>
      </c>
      <c r="Z606" s="18" t="e">
        <f>IF($L606&lt;"6",INDEX(Revenue_type,MATCH(Y606*1,type!$A$118:$A$168,0),8),INDEX(Expenditure_type,MATCH(Y606*1,type!$A$2:$A$117,0),8))</f>
        <v>#N/A</v>
      </c>
    </row>
    <row r="607" spans="1:26" ht="15.75" hidden="1" customHeight="1" outlineLevel="2">
      <c r="A607">
        <v>120</v>
      </c>
      <c r="B607" s="249">
        <v>841331</v>
      </c>
      <c r="C607">
        <v>1</v>
      </c>
      <c r="D607" t="str">
        <f t="shared" si="72"/>
        <v>1841331.120</v>
      </c>
      <c r="E607" s="348" t="s">
        <v>8290</v>
      </c>
      <c r="F607" s="242"/>
      <c r="G607"/>
      <c r="H607" s="322">
        <v>584600</v>
      </c>
      <c r="I607" s="322">
        <v>584600</v>
      </c>
      <c r="J607" s="242">
        <v>672800</v>
      </c>
      <c r="K607" s="18" t="e">
        <f>INDEX(תקציב_2013,MATCH(D607,'תקציב 2015'!$D$3:$D$5960,0),8)</f>
        <v>#N/A</v>
      </c>
      <c r="L607" s="18" t="str">
        <f t="shared" si="73"/>
        <v>8</v>
      </c>
      <c r="M607" s="18" t="str">
        <f>INDEX(Chapter,MATCH(L607,Chapter!$A$1:$A$681,0),8)</f>
        <v>שירותים ממלכתיים</v>
      </c>
      <c r="N607" s="18" t="str">
        <f t="shared" si="74"/>
        <v>84</v>
      </c>
      <c r="O607" s="18" t="str">
        <f>INDEX(Chapter,MATCH(N607,Chapter!$A$1:$A$681,0),8)</f>
        <v>רווחה</v>
      </c>
      <c r="P607" s="18" t="str">
        <f t="shared" si="75"/>
        <v>841</v>
      </c>
      <c r="Q607" s="18" t="str">
        <f>INDEX(Chapter,MATCH(P607,Chapter!$A$1:$A$681,0),8)</f>
        <v>מינהל הרווחה</v>
      </c>
      <c r="R607" s="18" t="str">
        <f t="shared" si="76"/>
        <v>8413</v>
      </c>
      <c r="S607" s="18" t="e">
        <f>INDEX(Chapter,MATCH(R607,Chapter!$A$1:$A$681,0),8)</f>
        <v>#N/A</v>
      </c>
      <c r="T607" s="18"/>
      <c r="U607" s="18" t="str">
        <f t="shared" si="77"/>
        <v>1</v>
      </c>
      <c r="V607" s="18" t="str">
        <f>IF($L607&lt;"6",INDEX(Revenue_type,MATCH(U607*1,type!$A$118:$A$168,0),8),INDEX(Expenditure_type,MATCH(U607*1,type!$A$2:$A$117,0),8))</f>
        <v>משכורות וש"ע לעובדים לפי תקן</v>
      </c>
      <c r="W607" s="18" t="str">
        <f t="shared" si="78"/>
        <v>12</v>
      </c>
      <c r="X607" s="18" t="str">
        <f>IF($L607&lt;"6",INDEX(Revenue_type,MATCH(W607*1,type!$A$118:$A$168,0),8),INDEX(Expenditure_type,MATCH(W607*1,type!$A$2:$A$117,0),8))</f>
        <v>תוספות שאינן נכללות בשכר הקובע</v>
      </c>
      <c r="Y607" s="18" t="str">
        <f t="shared" si="79"/>
        <v>120</v>
      </c>
      <c r="Z607" s="18" t="e">
        <f>IF($L607&lt;"6",INDEX(Revenue_type,MATCH(Y607*1,type!$A$118:$A$168,0),8),INDEX(Expenditure_type,MATCH(Y607*1,type!$A$2:$A$117,0),8))</f>
        <v>#N/A</v>
      </c>
    </row>
    <row r="608" spans="1:26" ht="15.75" hidden="1" customHeight="1" outlineLevel="2">
      <c r="A608">
        <v>400</v>
      </c>
      <c r="B608" s="249">
        <v>841331</v>
      </c>
      <c r="C608">
        <v>1</v>
      </c>
      <c r="D608" t="str">
        <f t="shared" si="72"/>
        <v>1841331.400</v>
      </c>
      <c r="E608" s="348" t="s">
        <v>8291</v>
      </c>
      <c r="F608" s="242"/>
      <c r="G608"/>
      <c r="H608" s="322">
        <v>2402500</v>
      </c>
      <c r="I608" s="322">
        <v>2502500</v>
      </c>
      <c r="J608" s="242">
        <v>2122500</v>
      </c>
      <c r="K608" s="18" t="e">
        <f>INDEX(תקציב_2013,MATCH(D608,'תקציב 2015'!$D$3:$D$5960,0),8)</f>
        <v>#N/A</v>
      </c>
      <c r="L608" s="18" t="str">
        <f t="shared" si="73"/>
        <v>8</v>
      </c>
      <c r="M608" s="18" t="str">
        <f>INDEX(Chapter,MATCH(L608,Chapter!$A$1:$A$681,0),8)</f>
        <v>שירותים ממלכתיים</v>
      </c>
      <c r="N608" s="18" t="str">
        <f t="shared" si="74"/>
        <v>84</v>
      </c>
      <c r="O608" s="18" t="str">
        <f>INDEX(Chapter,MATCH(N608,Chapter!$A$1:$A$681,0),8)</f>
        <v>רווחה</v>
      </c>
      <c r="P608" s="18" t="str">
        <f t="shared" si="75"/>
        <v>841</v>
      </c>
      <c r="Q608" s="18" t="str">
        <f>INDEX(Chapter,MATCH(P608,Chapter!$A$1:$A$681,0),8)</f>
        <v>מינהל הרווחה</v>
      </c>
      <c r="R608" s="18" t="str">
        <f t="shared" si="76"/>
        <v>8413</v>
      </c>
      <c r="S608" s="18" t="e">
        <f>INDEX(Chapter,MATCH(R608,Chapter!$A$1:$A$681,0),8)</f>
        <v>#N/A</v>
      </c>
      <c r="T608" s="18"/>
      <c r="U608" s="18" t="str">
        <f t="shared" si="77"/>
        <v>4</v>
      </c>
      <c r="V608" s="18" t="str">
        <f>IF($L608&lt;"6",INDEX(Revenue_type,MATCH(U608*1,type!$A$118:$A$168,0),8),INDEX(Expenditure_type,MATCH(U608*1,type!$A$2:$A$117,0),8))</f>
        <v>אחזקת בינים ואספקת ציוד</v>
      </c>
      <c r="W608" s="18" t="str">
        <f t="shared" si="78"/>
        <v>40</v>
      </c>
      <c r="X608" s="18" t="e">
        <f>IF($L608&lt;"6",INDEX(Revenue_type,MATCH(W608*1,type!$A$118:$A$168,0),8),INDEX(Expenditure_type,MATCH(W608*1,type!$A$2:$A$117,0),8))</f>
        <v>#N/A</v>
      </c>
      <c r="Y608" s="18" t="str">
        <f t="shared" si="79"/>
        <v>400</v>
      </c>
      <c r="Z608" s="18" t="e">
        <f>IF($L608&lt;"6",INDEX(Revenue_type,MATCH(Y608*1,type!$A$118:$A$168,0),8),INDEX(Expenditure_type,MATCH(Y608*1,type!$A$2:$A$117,0),8))</f>
        <v>#N/A</v>
      </c>
    </row>
    <row r="609" spans="1:26" ht="15.75" hidden="1" customHeight="1" outlineLevel="2">
      <c r="A609">
        <v>500</v>
      </c>
      <c r="B609" s="249">
        <v>841331</v>
      </c>
      <c r="C609">
        <v>1</v>
      </c>
      <c r="D609" t="str">
        <f t="shared" si="72"/>
        <v>1841331.500</v>
      </c>
      <c r="E609" s="348" t="s">
        <v>8292</v>
      </c>
      <c r="F609" s="242"/>
      <c r="G609"/>
      <c r="H609" s="322">
        <v>1190000</v>
      </c>
      <c r="I609" s="322">
        <v>1190000</v>
      </c>
      <c r="J609" s="242">
        <v>1121400</v>
      </c>
      <c r="K609" s="18"/>
      <c r="L609" s="18" t="str">
        <f t="shared" si="73"/>
        <v>8</v>
      </c>
      <c r="M609" s="18" t="str">
        <f>INDEX(Chapter,MATCH(L609,Chapter!$A$1:$A$681,0),8)</f>
        <v>שירותים ממלכתיים</v>
      </c>
      <c r="N609" s="18" t="str">
        <f t="shared" si="74"/>
        <v>84</v>
      </c>
      <c r="O609" s="18" t="str">
        <f>INDEX(Chapter,MATCH(N609,Chapter!$A$1:$A$681,0),8)</f>
        <v>רווחה</v>
      </c>
      <c r="P609" s="18" t="str">
        <f t="shared" si="75"/>
        <v>841</v>
      </c>
      <c r="Q609" s="18" t="str">
        <f>INDEX(Chapter,MATCH(P609,Chapter!$A$1:$A$681,0),8)</f>
        <v>מינהל הרווחה</v>
      </c>
      <c r="R609" s="18" t="str">
        <f t="shared" si="76"/>
        <v>8413</v>
      </c>
      <c r="S609" s="18" t="e">
        <f>INDEX(Chapter,MATCH(R609,Chapter!$A$1:$A$681,0),8)</f>
        <v>#N/A</v>
      </c>
      <c r="T609" s="18"/>
      <c r="U609" s="18" t="str">
        <f t="shared" si="77"/>
        <v>5</v>
      </c>
      <c r="V609" s="18" t="str">
        <f>IF($L609&lt;"6",INDEX(Revenue_type,MATCH(U609*1,type!$A$118:$A$168,0),8),INDEX(Expenditure_type,MATCH(U609*1,type!$A$2:$A$117,0),8))</f>
        <v>הוצאות מנהליות</v>
      </c>
      <c r="W609" s="18" t="str">
        <f t="shared" si="78"/>
        <v>50</v>
      </c>
      <c r="X609" s="18" t="e">
        <f>IF($L609&lt;"6",INDEX(Revenue_type,MATCH(W609*1,type!$A$118:$A$168,0),8),INDEX(Expenditure_type,MATCH(W609*1,type!$A$2:$A$117,0),8))</f>
        <v>#N/A</v>
      </c>
      <c r="Y609" s="18" t="str">
        <f t="shared" si="79"/>
        <v>500</v>
      </c>
      <c r="Z609" s="18" t="e">
        <f>IF($L609&lt;"6",INDEX(Revenue_type,MATCH(Y609*1,type!$A$118:$A$168,0),8),INDEX(Expenditure_type,MATCH(Y609*1,type!$A$2:$A$117,0),8))</f>
        <v>#N/A</v>
      </c>
    </row>
    <row r="610" spans="1:26" ht="15.75" hidden="1" customHeight="1" outlineLevel="2">
      <c r="A610">
        <v>500</v>
      </c>
      <c r="B610" s="249">
        <v>841331</v>
      </c>
      <c r="C610">
        <v>1</v>
      </c>
      <c r="D610" t="str">
        <f t="shared" si="72"/>
        <v>1841331.500</v>
      </c>
      <c r="E610" s="348" t="s">
        <v>8293</v>
      </c>
      <c r="F610" s="242"/>
      <c r="G610"/>
      <c r="H610" s="322">
        <v>50000</v>
      </c>
      <c r="I610" s="322">
        <v>50000</v>
      </c>
      <c r="J610" s="242">
        <v>30800</v>
      </c>
      <c r="K610" s="18" t="e">
        <f>INDEX(תקציב_2013,MATCH(D610,'תקציב 2015'!$D$3:$D$5960,0),8)</f>
        <v>#N/A</v>
      </c>
      <c r="L610" s="18" t="str">
        <f t="shared" si="73"/>
        <v>8</v>
      </c>
      <c r="M610" s="18" t="str">
        <f>INDEX(Chapter,MATCH(L610,Chapter!$A$1:$A$681,0),8)</f>
        <v>שירותים ממלכתיים</v>
      </c>
      <c r="N610" s="18" t="str">
        <f t="shared" si="74"/>
        <v>84</v>
      </c>
      <c r="O610" s="18" t="str">
        <f>INDEX(Chapter,MATCH(N610,Chapter!$A$1:$A$681,0),8)</f>
        <v>רווחה</v>
      </c>
      <c r="P610" s="18" t="str">
        <f t="shared" si="75"/>
        <v>841</v>
      </c>
      <c r="Q610" s="18" t="str">
        <f>INDEX(Chapter,MATCH(P610,Chapter!$A$1:$A$681,0),8)</f>
        <v>מינהל הרווחה</v>
      </c>
      <c r="R610" s="18" t="str">
        <f t="shared" si="76"/>
        <v>8413</v>
      </c>
      <c r="S610" s="18" t="e">
        <f>INDEX(Chapter,MATCH(R610,Chapter!$A$1:$A$681,0),8)</f>
        <v>#N/A</v>
      </c>
      <c r="T610" s="18"/>
      <c r="U610" s="18" t="str">
        <f t="shared" si="77"/>
        <v>5</v>
      </c>
      <c r="V610" s="18" t="str">
        <f>IF($L610&lt;"6",INDEX(Revenue_type,MATCH(U610*1,type!$A$118:$A$168,0),8),INDEX(Expenditure_type,MATCH(U610*1,type!$A$2:$A$117,0),8))</f>
        <v>הוצאות מנהליות</v>
      </c>
      <c r="W610" s="18" t="str">
        <f t="shared" si="78"/>
        <v>50</v>
      </c>
      <c r="X610" s="18" t="e">
        <f>IF($L610&lt;"6",INDEX(Revenue_type,MATCH(W610*1,type!$A$118:$A$168,0),8),INDEX(Expenditure_type,MATCH(W610*1,type!$A$2:$A$117,0),8))</f>
        <v>#N/A</v>
      </c>
      <c r="Y610" s="18" t="str">
        <f t="shared" si="79"/>
        <v>500</v>
      </c>
      <c r="Z610" s="18" t="e">
        <f>IF($L610&lt;"6",INDEX(Revenue_type,MATCH(Y610*1,type!$A$118:$A$168,0),8),INDEX(Expenditure_type,MATCH(Y610*1,type!$A$2:$A$117,0),8))</f>
        <v>#N/A</v>
      </c>
    </row>
    <row r="611" spans="1:26" ht="15.75" hidden="1" customHeight="1" outlineLevel="2">
      <c r="A611">
        <v>700</v>
      </c>
      <c r="B611" s="249">
        <v>841331</v>
      </c>
      <c r="C611">
        <v>1</v>
      </c>
      <c r="D611" t="str">
        <f t="shared" si="72"/>
        <v>1841331.700</v>
      </c>
      <c r="E611" s="348" t="s">
        <v>8294</v>
      </c>
      <c r="F611" s="242"/>
      <c r="G611"/>
      <c r="H611" s="322">
        <v>2159400</v>
      </c>
      <c r="I611" s="322">
        <v>2230000</v>
      </c>
      <c r="J611" s="242">
        <v>2222100</v>
      </c>
      <c r="K611" s="18" t="e">
        <f>INDEX(תקציב_2013,MATCH(D611,'תקציב 2015'!$D$3:$D$5960,0),8)</f>
        <v>#N/A</v>
      </c>
      <c r="L611" s="18" t="str">
        <f t="shared" si="73"/>
        <v>8</v>
      </c>
      <c r="M611" s="18" t="str">
        <f>INDEX(Chapter,MATCH(L611,Chapter!$A$1:$A$681,0),8)</f>
        <v>שירותים ממלכתיים</v>
      </c>
      <c r="N611" s="18" t="str">
        <f t="shared" si="74"/>
        <v>84</v>
      </c>
      <c r="O611" s="18" t="str">
        <f>INDEX(Chapter,MATCH(N611,Chapter!$A$1:$A$681,0),8)</f>
        <v>רווחה</v>
      </c>
      <c r="P611" s="18" t="str">
        <f t="shared" si="75"/>
        <v>841</v>
      </c>
      <c r="Q611" s="18" t="str">
        <f>INDEX(Chapter,MATCH(P611,Chapter!$A$1:$A$681,0),8)</f>
        <v>מינהל הרווחה</v>
      </c>
      <c r="R611" s="18" t="str">
        <f t="shared" si="76"/>
        <v>8413</v>
      </c>
      <c r="S611" s="18" t="e">
        <f>INDEX(Chapter,MATCH(R611,Chapter!$A$1:$A$681,0),8)</f>
        <v>#N/A</v>
      </c>
      <c r="T611" s="18"/>
      <c r="U611" s="18" t="str">
        <f t="shared" si="77"/>
        <v>7</v>
      </c>
      <c r="V611" s="18" t="str">
        <f>IF($L611&lt;"6",INDEX(Revenue_type,MATCH(U611*1,type!$A$118:$A$168,0),8),INDEX(Expenditure_type,MATCH(U611*1,type!$A$2:$A$117,0),8))</f>
        <v>הוצאות לפעולות</v>
      </c>
      <c r="W611" s="18" t="str">
        <f t="shared" si="78"/>
        <v>70</v>
      </c>
      <c r="X611" s="18" t="e">
        <f>IF($L611&lt;"6",INDEX(Revenue_type,MATCH(W611*1,type!$A$118:$A$168,0),8),INDEX(Expenditure_type,MATCH(W611*1,type!$A$2:$A$117,0),8))</f>
        <v>#N/A</v>
      </c>
      <c r="Y611" s="18" t="str">
        <f t="shared" si="79"/>
        <v>700</v>
      </c>
      <c r="Z611" s="18" t="e">
        <f>IF($L611&lt;"6",INDEX(Revenue_type,MATCH(Y611*1,type!$A$118:$A$168,0),8),INDEX(Expenditure_type,MATCH(Y611*1,type!$A$2:$A$117,0),8))</f>
        <v>#N/A</v>
      </c>
    </row>
    <row r="612" spans="1:26" ht="15.75" hidden="1" customHeight="1" outlineLevel="2">
      <c r="A612">
        <v>100</v>
      </c>
      <c r="B612" s="1">
        <v>841331</v>
      </c>
      <c r="C612">
        <v>1</v>
      </c>
      <c r="D612" t="str">
        <f t="shared" ref="D612" si="80">C612&amp;B612&amp;"."&amp;A612</f>
        <v>1841331.100</v>
      </c>
      <c r="E612" s="506" t="s">
        <v>7895</v>
      </c>
      <c r="F612" s="242"/>
      <c r="G612"/>
      <c r="H612" s="507">
        <v>21140000</v>
      </c>
      <c r="I612" s="6">
        <v>21140000</v>
      </c>
      <c r="J612" s="19">
        <v>21103652</v>
      </c>
      <c r="K612" s="18"/>
      <c r="L612" s="18" t="str">
        <f t="shared" si="73"/>
        <v>8</v>
      </c>
      <c r="M612" s="18" t="str">
        <f>INDEX(Chapter,MATCH(L612,Chapter!$A$1:$A$681,0),8)</f>
        <v>שירותים ממלכתיים</v>
      </c>
      <c r="N612" s="18" t="str">
        <f t="shared" si="74"/>
        <v>84</v>
      </c>
      <c r="O612" s="18" t="str">
        <f>INDEX(Chapter,MATCH(N612,Chapter!$A$1:$A$681,0),8)</f>
        <v>רווחה</v>
      </c>
      <c r="P612" s="18" t="str">
        <f t="shared" si="75"/>
        <v>841</v>
      </c>
      <c r="Q612" s="18" t="str">
        <f>INDEX(Chapter,MATCH(P612,Chapter!$A$1:$A$681,0),8)</f>
        <v>מינהל הרווחה</v>
      </c>
      <c r="R612" s="18" t="str">
        <f t="shared" si="76"/>
        <v>8413</v>
      </c>
      <c r="S612" s="18" t="e">
        <f>INDEX(Chapter,MATCH(R612,Chapter!$A$1:$A$681,0),8)</f>
        <v>#N/A</v>
      </c>
      <c r="T612" s="18"/>
      <c r="U612" s="18" t="str">
        <f t="shared" si="77"/>
        <v>1</v>
      </c>
      <c r="V612" s="18" t="str">
        <f>IF($L612&lt;"6",INDEX(Revenue_type,MATCH(U612*1,type!$A$118:$A$168,0),8),INDEX(Expenditure_type,MATCH(U612*1,type!$A$2:$A$117,0),8))</f>
        <v>משכורות וש"ע לעובדים לפי תקן</v>
      </c>
      <c r="W612" s="18" t="str">
        <f t="shared" si="78"/>
        <v>10</v>
      </c>
      <c r="X612" s="18" t="e">
        <f>IF($L612&lt;"6",INDEX(Revenue_type,MATCH(W612*1,type!$A$118:$A$168,0),8),INDEX(Expenditure_type,MATCH(W612*1,type!$A$2:$A$117,0),8))</f>
        <v>#N/A</v>
      </c>
      <c r="Y612" s="18" t="str">
        <f t="shared" si="79"/>
        <v>100</v>
      </c>
      <c r="Z612" s="18" t="e">
        <f>IF($L612&lt;"6",INDEX(Revenue_type,MATCH(Y612*1,type!$A$118:$A$168,0),8),INDEX(Expenditure_type,MATCH(Y612*1,type!$A$2:$A$117,0),8))</f>
        <v>#N/A</v>
      </c>
    </row>
    <row r="613" spans="1:26" ht="15.75" hidden="1" customHeight="1" outlineLevel="2">
      <c r="A613">
        <v>800</v>
      </c>
      <c r="B613" s="1">
        <v>842000</v>
      </c>
      <c r="C613">
        <v>1</v>
      </c>
      <c r="D613" t="str">
        <f t="shared" ref="D613:D632" si="81">C613&amp;B613&amp;"."&amp;A613</f>
        <v>1842000.800</v>
      </c>
      <c r="E613" s="16" t="s">
        <v>7896</v>
      </c>
      <c r="F613" s="2">
        <v>-10000000</v>
      </c>
      <c r="H613" s="6">
        <v>10000000</v>
      </c>
      <c r="I613" s="6">
        <v>10500000</v>
      </c>
      <c r="J613" s="19">
        <v>9165682</v>
      </c>
      <c r="K613" s="18"/>
      <c r="L613" s="18" t="str">
        <f t="shared" si="73"/>
        <v>8</v>
      </c>
      <c r="M613" s="18" t="str">
        <f>INDEX(Chapter,MATCH(L613,Chapter!$A$1:$A$681,0),8)</f>
        <v>שירותים ממלכתיים</v>
      </c>
      <c r="N613" s="18" t="str">
        <f t="shared" si="74"/>
        <v>84</v>
      </c>
      <c r="O613" s="18" t="str">
        <f>INDEX(Chapter,MATCH(N613,Chapter!$A$1:$A$681,0),8)</f>
        <v>רווחה</v>
      </c>
      <c r="P613" s="18" t="str">
        <f t="shared" si="75"/>
        <v>842</v>
      </c>
      <c r="Q613" s="18" t="str">
        <f>INDEX(Chapter,MATCH(P613,Chapter!$A$1:$A$681,0),8)</f>
        <v>רווחת הפרט והמשפחה</v>
      </c>
      <c r="R613" s="18" t="str">
        <f t="shared" si="76"/>
        <v>8420</v>
      </c>
      <c r="S613" s="18" t="e">
        <f>INDEX(Chapter,MATCH(R613,Chapter!$A$1:$A$681,0),8)</f>
        <v>#N/A</v>
      </c>
      <c r="T613" s="18"/>
      <c r="U613" s="18" t="str">
        <f t="shared" si="77"/>
        <v>8</v>
      </c>
      <c r="V613" s="18" t="str">
        <f>IF($L613&lt;"6",INDEX(Revenue_type,MATCH(U613*1,type!$A$118:$A$168,0),8),INDEX(Expenditure_type,MATCH(U613*1,type!$A$2:$A$117,0),8))</f>
        <v>השתתפויות תמיכות ותרומות</v>
      </c>
      <c r="W613" s="18" t="str">
        <f t="shared" si="78"/>
        <v>80</v>
      </c>
      <c r="X613" s="18" t="e">
        <f>IF($L613&lt;"6",INDEX(Revenue_type,MATCH(W613*1,type!$A$118:$A$168,0),8),INDEX(Expenditure_type,MATCH(W613*1,type!$A$2:$A$117,0),8))</f>
        <v>#N/A</v>
      </c>
      <c r="Y613" s="18" t="str">
        <f t="shared" si="79"/>
        <v>800</v>
      </c>
      <c r="Z613" s="18" t="e">
        <f>IF($L613&lt;"6",INDEX(Revenue_type,MATCH(Y613*1,type!$A$118:$A$168,0),8),INDEX(Expenditure_type,MATCH(Y613*1,type!$A$2:$A$117,0),8))</f>
        <v>#N/A</v>
      </c>
    </row>
    <row r="614" spans="1:26" ht="15.75" hidden="1" customHeight="1" outlineLevel="2">
      <c r="A614">
        <v>800</v>
      </c>
      <c r="B614" s="1">
        <v>843000</v>
      </c>
      <c r="C614">
        <v>1</v>
      </c>
      <c r="D614" t="str">
        <f t="shared" si="81"/>
        <v>1843000.800</v>
      </c>
      <c r="E614" s="16" t="s">
        <v>7898</v>
      </c>
      <c r="F614" s="2">
        <v>-42667500</v>
      </c>
      <c r="H614" s="6">
        <v>42667500</v>
      </c>
      <c r="I614" s="6">
        <v>42000000</v>
      </c>
      <c r="J614" s="19">
        <v>41627877</v>
      </c>
      <c r="K614" s="18"/>
      <c r="L614" s="18" t="str">
        <f t="shared" si="73"/>
        <v>8</v>
      </c>
      <c r="M614" s="18" t="str">
        <f>INDEX(Chapter,MATCH(L614,Chapter!$A$1:$A$681,0),8)</f>
        <v>שירותים ממלכתיים</v>
      </c>
      <c r="N614" s="18" t="str">
        <f t="shared" si="74"/>
        <v>84</v>
      </c>
      <c r="O614" s="18" t="str">
        <f>INDEX(Chapter,MATCH(N614,Chapter!$A$1:$A$681,0),8)</f>
        <v>רווחה</v>
      </c>
      <c r="P614" s="18" t="str">
        <f t="shared" si="75"/>
        <v>843</v>
      </c>
      <c r="Q614" s="18" t="str">
        <f>INDEX(Chapter,MATCH(P614,Chapter!$A$1:$A$681,0),8)</f>
        <v>שירותים לילד ולנוער</v>
      </c>
      <c r="R614" s="18" t="str">
        <f t="shared" si="76"/>
        <v>8430</v>
      </c>
      <c r="S614" s="18" t="e">
        <f>INDEX(Chapter,MATCH(R614,Chapter!$A$1:$A$681,0),8)</f>
        <v>#N/A</v>
      </c>
      <c r="T614" s="18"/>
      <c r="U614" s="18" t="str">
        <f t="shared" si="77"/>
        <v>8</v>
      </c>
      <c r="V614" s="18" t="str">
        <f>IF($L614&lt;"6",INDEX(Revenue_type,MATCH(U614*1,type!$A$118:$A$168,0),8),INDEX(Expenditure_type,MATCH(U614*1,type!$A$2:$A$117,0),8))</f>
        <v>השתתפויות תמיכות ותרומות</v>
      </c>
      <c r="W614" s="18" t="str">
        <f t="shared" si="78"/>
        <v>80</v>
      </c>
      <c r="X614" s="18" t="e">
        <f>IF($L614&lt;"6",INDEX(Revenue_type,MATCH(W614*1,type!$A$118:$A$168,0),8),INDEX(Expenditure_type,MATCH(W614*1,type!$A$2:$A$117,0),8))</f>
        <v>#N/A</v>
      </c>
      <c r="Y614" s="18" t="str">
        <f t="shared" si="79"/>
        <v>800</v>
      </c>
      <c r="Z614" s="18" t="e">
        <f>IF($L614&lt;"6",INDEX(Revenue_type,MATCH(Y614*1,type!$A$118:$A$168,0),8),INDEX(Expenditure_type,MATCH(Y614*1,type!$A$2:$A$117,0),8))</f>
        <v>#N/A</v>
      </c>
    </row>
    <row r="615" spans="1:26" ht="15.75" hidden="1" customHeight="1" outlineLevel="2">
      <c r="A615">
        <v>800</v>
      </c>
      <c r="B615" s="1">
        <v>844000</v>
      </c>
      <c r="C615">
        <v>1</v>
      </c>
      <c r="D615" t="str">
        <f t="shared" si="81"/>
        <v>1844000.800</v>
      </c>
      <c r="E615" s="16" t="s">
        <v>7900</v>
      </c>
      <c r="F615" s="2">
        <v>-16000000</v>
      </c>
      <c r="H615" s="6">
        <v>16000000</v>
      </c>
      <c r="I615" s="6">
        <v>17000000</v>
      </c>
      <c r="J615" s="19">
        <v>14975344</v>
      </c>
      <c r="K615" s="18"/>
      <c r="L615" s="18" t="str">
        <f t="shared" si="73"/>
        <v>8</v>
      </c>
      <c r="M615" s="18" t="str">
        <f>INDEX(Chapter,MATCH(L615,Chapter!$A$1:$A$681,0),8)</f>
        <v>שירותים ממלכתיים</v>
      </c>
      <c r="N615" s="18" t="str">
        <f t="shared" si="74"/>
        <v>84</v>
      </c>
      <c r="O615" s="18" t="str">
        <f>INDEX(Chapter,MATCH(N615,Chapter!$A$1:$A$681,0),8)</f>
        <v>רווחה</v>
      </c>
      <c r="P615" s="18" t="str">
        <f t="shared" si="75"/>
        <v>844</v>
      </c>
      <c r="Q615" s="18" t="str">
        <f>INDEX(Chapter,MATCH(P615,Chapter!$A$1:$A$681,0),8)</f>
        <v>שירותים לזקן</v>
      </c>
      <c r="R615" s="18" t="str">
        <f t="shared" si="76"/>
        <v>8440</v>
      </c>
      <c r="S615" s="18" t="e">
        <f>INDEX(Chapter,MATCH(R615,Chapter!$A$1:$A$681,0),8)</f>
        <v>#N/A</v>
      </c>
      <c r="T615" s="18"/>
      <c r="U615" s="18" t="str">
        <f t="shared" si="77"/>
        <v>8</v>
      </c>
      <c r="V615" s="18" t="str">
        <f>IF($L615&lt;"6",INDEX(Revenue_type,MATCH(U615*1,type!$A$118:$A$168,0),8),INDEX(Expenditure_type,MATCH(U615*1,type!$A$2:$A$117,0),8))</f>
        <v>השתתפויות תמיכות ותרומות</v>
      </c>
      <c r="W615" s="18" t="str">
        <f t="shared" si="78"/>
        <v>80</v>
      </c>
      <c r="X615" s="18" t="e">
        <f>IF($L615&lt;"6",INDEX(Revenue_type,MATCH(W615*1,type!$A$118:$A$168,0),8),INDEX(Expenditure_type,MATCH(W615*1,type!$A$2:$A$117,0),8))</f>
        <v>#N/A</v>
      </c>
      <c r="Y615" s="18" t="str">
        <f t="shared" si="79"/>
        <v>800</v>
      </c>
      <c r="Z615" s="18" t="e">
        <f>IF($L615&lt;"6",INDEX(Revenue_type,MATCH(Y615*1,type!$A$118:$A$168,0),8),INDEX(Expenditure_type,MATCH(Y615*1,type!$A$2:$A$117,0),8))</f>
        <v>#N/A</v>
      </c>
    </row>
    <row r="616" spans="1:26" ht="15.75" hidden="1" customHeight="1" outlineLevel="2">
      <c r="A616">
        <v>800</v>
      </c>
      <c r="B616" s="1">
        <v>845000</v>
      </c>
      <c r="C616">
        <v>1</v>
      </c>
      <c r="D616" t="str">
        <f t="shared" si="81"/>
        <v>1845000.800</v>
      </c>
      <c r="E616" s="16" t="s">
        <v>7902</v>
      </c>
      <c r="F616" s="2">
        <v>-69000000</v>
      </c>
      <c r="H616" s="6">
        <v>69000000</v>
      </c>
      <c r="I616" s="6">
        <v>67950000</v>
      </c>
      <c r="J616" s="19">
        <v>66683553</v>
      </c>
      <c r="K616" s="18"/>
      <c r="L616" s="18" t="str">
        <f t="shared" si="73"/>
        <v>8</v>
      </c>
      <c r="M616" s="18" t="str">
        <f>INDEX(Chapter,MATCH(L616,Chapter!$A$1:$A$681,0),8)</f>
        <v>שירותים ממלכתיים</v>
      </c>
      <c r="N616" s="18" t="str">
        <f t="shared" si="74"/>
        <v>84</v>
      </c>
      <c r="O616" s="18" t="str">
        <f>INDEX(Chapter,MATCH(N616,Chapter!$A$1:$A$681,0),8)</f>
        <v>רווחה</v>
      </c>
      <c r="P616" s="18" t="str">
        <f t="shared" si="75"/>
        <v>845</v>
      </c>
      <c r="Q616" s="18" t="str">
        <f>INDEX(Chapter,MATCH(P616,Chapter!$A$1:$A$681,0),8)</f>
        <v>שירותים למפגר</v>
      </c>
      <c r="R616" s="18" t="str">
        <f t="shared" si="76"/>
        <v>8450</v>
      </c>
      <c r="S616" s="18" t="e">
        <f>INDEX(Chapter,MATCH(R616,Chapter!$A$1:$A$681,0),8)</f>
        <v>#N/A</v>
      </c>
      <c r="T616" s="18"/>
      <c r="U616" s="18" t="str">
        <f t="shared" si="77"/>
        <v>8</v>
      </c>
      <c r="V616" s="18" t="str">
        <f>IF($L616&lt;"6",INDEX(Revenue_type,MATCH(U616*1,type!$A$118:$A$168,0),8),INDEX(Expenditure_type,MATCH(U616*1,type!$A$2:$A$117,0),8))</f>
        <v>השתתפויות תמיכות ותרומות</v>
      </c>
      <c r="W616" s="18" t="str">
        <f t="shared" si="78"/>
        <v>80</v>
      </c>
      <c r="X616" s="18" t="e">
        <f>IF($L616&lt;"6",INDEX(Revenue_type,MATCH(W616*1,type!$A$118:$A$168,0),8),INDEX(Expenditure_type,MATCH(W616*1,type!$A$2:$A$117,0),8))</f>
        <v>#N/A</v>
      </c>
      <c r="Y616" s="18" t="str">
        <f t="shared" si="79"/>
        <v>800</v>
      </c>
      <c r="Z616" s="18" t="e">
        <f>IF($L616&lt;"6",INDEX(Revenue_type,MATCH(Y616*1,type!$A$118:$A$168,0),8),INDEX(Expenditure_type,MATCH(Y616*1,type!$A$2:$A$117,0),8))</f>
        <v>#N/A</v>
      </c>
    </row>
    <row r="617" spans="1:26" ht="15.75" hidden="1" customHeight="1" outlineLevel="2">
      <c r="A617">
        <v>800</v>
      </c>
      <c r="B617" s="1">
        <v>846200</v>
      </c>
      <c r="C617">
        <v>1</v>
      </c>
      <c r="D617" t="str">
        <f t="shared" si="81"/>
        <v>1846200.800</v>
      </c>
      <c r="E617" s="16" t="s">
        <v>7904</v>
      </c>
      <c r="F617" s="2">
        <v>-3000000</v>
      </c>
      <c r="H617" s="6">
        <v>3000000</v>
      </c>
      <c r="I617" s="6">
        <v>3136000</v>
      </c>
      <c r="J617" s="19">
        <v>2080815</v>
      </c>
      <c r="K617" s="18"/>
      <c r="L617" s="18" t="str">
        <f t="shared" si="73"/>
        <v>8</v>
      </c>
      <c r="M617" s="18" t="str">
        <f>INDEX(Chapter,MATCH(L617,Chapter!$A$1:$A$681,0),8)</f>
        <v>שירותים ממלכתיים</v>
      </c>
      <c r="N617" s="18" t="str">
        <f t="shared" si="74"/>
        <v>84</v>
      </c>
      <c r="O617" s="18" t="str">
        <f>INDEX(Chapter,MATCH(N617,Chapter!$A$1:$A$681,0),8)</f>
        <v>רווחה</v>
      </c>
      <c r="P617" s="18" t="str">
        <f t="shared" si="75"/>
        <v>846</v>
      </c>
      <c r="Q617" s="18" t="str">
        <f>INDEX(Chapter,MATCH(P617,Chapter!$A$1:$A$681,0),8)</f>
        <v>שירותי שיקום</v>
      </c>
      <c r="R617" s="18" t="str">
        <f t="shared" si="76"/>
        <v>8462</v>
      </c>
      <c r="S617" s="18" t="str">
        <f>INDEX(Chapter,MATCH(R617,Chapter!$A$1:$A$681,0),8)</f>
        <v>שיקום העיוור - אחזקה</v>
      </c>
      <c r="T617" s="18"/>
      <c r="U617" s="18" t="str">
        <f t="shared" si="77"/>
        <v>8</v>
      </c>
      <c r="V617" s="18" t="str">
        <f>IF($L617&lt;"6",INDEX(Revenue_type,MATCH(U617*1,type!$A$118:$A$168,0),8),INDEX(Expenditure_type,MATCH(U617*1,type!$A$2:$A$117,0),8))</f>
        <v>השתתפויות תמיכות ותרומות</v>
      </c>
      <c r="W617" s="18" t="str">
        <f t="shared" si="78"/>
        <v>80</v>
      </c>
      <c r="X617" s="18" t="e">
        <f>IF($L617&lt;"6",INDEX(Revenue_type,MATCH(W617*1,type!$A$118:$A$168,0),8),INDEX(Expenditure_type,MATCH(W617*1,type!$A$2:$A$117,0),8))</f>
        <v>#N/A</v>
      </c>
      <c r="Y617" s="18" t="str">
        <f t="shared" si="79"/>
        <v>800</v>
      </c>
      <c r="Z617" s="18" t="e">
        <f>IF($L617&lt;"6",INDEX(Revenue_type,MATCH(Y617*1,type!$A$118:$A$168,0),8),INDEX(Expenditure_type,MATCH(Y617*1,type!$A$2:$A$117,0),8))</f>
        <v>#N/A</v>
      </c>
    </row>
    <row r="618" spans="1:26" ht="15.75" hidden="1" customHeight="1" outlineLevel="2">
      <c r="A618">
        <v>800</v>
      </c>
      <c r="B618" s="1">
        <v>846400</v>
      </c>
      <c r="C618">
        <v>1</v>
      </c>
      <c r="D618" t="str">
        <f t="shared" si="81"/>
        <v>1846400.800</v>
      </c>
      <c r="E618" s="16" t="s">
        <v>7905</v>
      </c>
      <c r="F618" s="2">
        <v>-23000000</v>
      </c>
      <c r="H618" s="6">
        <v>23000000</v>
      </c>
      <c r="I618" s="6">
        <v>23250000</v>
      </c>
      <c r="J618" s="19">
        <v>22660513</v>
      </c>
      <c r="K618" s="18"/>
      <c r="L618" s="18" t="str">
        <f t="shared" si="73"/>
        <v>8</v>
      </c>
      <c r="M618" s="18" t="str">
        <f>INDEX(Chapter,MATCH(L618,Chapter!$A$1:$A$681,0),8)</f>
        <v>שירותים ממלכתיים</v>
      </c>
      <c r="N618" s="18" t="str">
        <f t="shared" si="74"/>
        <v>84</v>
      </c>
      <c r="O618" s="18" t="str">
        <f>INDEX(Chapter,MATCH(N618,Chapter!$A$1:$A$681,0),8)</f>
        <v>רווחה</v>
      </c>
      <c r="P618" s="18" t="str">
        <f t="shared" si="75"/>
        <v>846</v>
      </c>
      <c r="Q618" s="18" t="str">
        <f>INDEX(Chapter,MATCH(P618,Chapter!$A$1:$A$681,0),8)</f>
        <v>שירותי שיקום</v>
      </c>
      <c r="R618" s="18" t="str">
        <f t="shared" si="76"/>
        <v>8464</v>
      </c>
      <c r="S618" s="18" t="str">
        <f>INDEX(Chapter,MATCH(R618,Chapter!$A$1:$A$681,0),8)</f>
        <v>מפעלי תעסוקה לעיוורים</v>
      </c>
      <c r="T618" s="18"/>
      <c r="U618" s="18" t="str">
        <f t="shared" si="77"/>
        <v>8</v>
      </c>
      <c r="V618" s="18" t="str">
        <f>IF($L618&lt;"6",INDEX(Revenue_type,MATCH(U618*1,type!$A$118:$A$168,0),8),INDEX(Expenditure_type,MATCH(U618*1,type!$A$2:$A$117,0),8))</f>
        <v>השתתפויות תמיכות ותרומות</v>
      </c>
      <c r="W618" s="18" t="str">
        <f t="shared" si="78"/>
        <v>80</v>
      </c>
      <c r="X618" s="18" t="e">
        <f>IF($L618&lt;"6",INDEX(Revenue_type,MATCH(W618*1,type!$A$118:$A$168,0),8),INDEX(Expenditure_type,MATCH(W618*1,type!$A$2:$A$117,0),8))</f>
        <v>#N/A</v>
      </c>
      <c r="Y618" s="18" t="str">
        <f t="shared" si="79"/>
        <v>800</v>
      </c>
      <c r="Z618" s="18" t="e">
        <f>IF($L618&lt;"6",INDEX(Revenue_type,MATCH(Y618*1,type!$A$118:$A$168,0),8),INDEX(Expenditure_type,MATCH(Y618*1,type!$A$2:$A$117,0),8))</f>
        <v>#N/A</v>
      </c>
    </row>
    <row r="619" spans="1:26" ht="15.75" hidden="1" customHeight="1" outlineLevel="2">
      <c r="A619">
        <v>800</v>
      </c>
      <c r="B619" s="1">
        <v>846500</v>
      </c>
      <c r="C619">
        <v>1</v>
      </c>
      <c r="D619" t="str">
        <f t="shared" si="81"/>
        <v>1846500.800</v>
      </c>
      <c r="E619" s="16" t="s">
        <v>7907</v>
      </c>
      <c r="F619" s="2">
        <v>-4000000</v>
      </c>
      <c r="H619" s="6">
        <v>4000000</v>
      </c>
      <c r="I619" s="6">
        <v>3984500</v>
      </c>
      <c r="J619" s="19">
        <v>3792127</v>
      </c>
      <c r="K619" s="18"/>
      <c r="L619" s="18" t="str">
        <f t="shared" si="73"/>
        <v>8</v>
      </c>
      <c r="M619" s="18" t="str">
        <f>INDEX(Chapter,MATCH(L619,Chapter!$A$1:$A$681,0),8)</f>
        <v>שירותים ממלכתיים</v>
      </c>
      <c r="N619" s="18" t="str">
        <f t="shared" si="74"/>
        <v>84</v>
      </c>
      <c r="O619" s="18" t="str">
        <f>INDEX(Chapter,MATCH(N619,Chapter!$A$1:$A$681,0),8)</f>
        <v>רווחה</v>
      </c>
      <c r="P619" s="18" t="str">
        <f t="shared" si="75"/>
        <v>846</v>
      </c>
      <c r="Q619" s="18" t="str">
        <f>INDEX(Chapter,MATCH(P619,Chapter!$A$1:$A$681,0),8)</f>
        <v>שירותי שיקום</v>
      </c>
      <c r="R619" s="18" t="str">
        <f t="shared" si="76"/>
        <v>8465</v>
      </c>
      <c r="S619" s="18" t="str">
        <f>INDEX(Chapter,MATCH(R619,Chapter!$A$1:$A$681,0),8)</f>
        <v>נכים - שיקום במוסדות</v>
      </c>
      <c r="T619" s="18"/>
      <c r="U619" s="18" t="str">
        <f t="shared" si="77"/>
        <v>8</v>
      </c>
      <c r="V619" s="18" t="str">
        <f>IF($L619&lt;"6",INDEX(Revenue_type,MATCH(U619*1,type!$A$118:$A$168,0),8),INDEX(Expenditure_type,MATCH(U619*1,type!$A$2:$A$117,0),8))</f>
        <v>השתתפויות תמיכות ותרומות</v>
      </c>
      <c r="W619" s="18" t="str">
        <f t="shared" si="78"/>
        <v>80</v>
      </c>
      <c r="X619" s="18" t="e">
        <f>IF($L619&lt;"6",INDEX(Revenue_type,MATCH(W619*1,type!$A$118:$A$168,0),8),INDEX(Expenditure_type,MATCH(W619*1,type!$A$2:$A$117,0),8))</f>
        <v>#N/A</v>
      </c>
      <c r="Y619" s="18" t="str">
        <f t="shared" si="79"/>
        <v>800</v>
      </c>
      <c r="Z619" s="18" t="e">
        <f>IF($L619&lt;"6",INDEX(Revenue_type,MATCH(Y619*1,type!$A$118:$A$168,0),8),INDEX(Expenditure_type,MATCH(Y619*1,type!$A$2:$A$117,0),8))</f>
        <v>#N/A</v>
      </c>
    </row>
    <row r="620" spans="1:26" ht="15.75" hidden="1" customHeight="1" outlineLevel="2">
      <c r="A620">
        <v>800</v>
      </c>
      <c r="B620" s="1">
        <v>846524</v>
      </c>
      <c r="C620">
        <v>1</v>
      </c>
      <c r="D620" t="str">
        <f t="shared" si="81"/>
        <v>1846524.800</v>
      </c>
      <c r="E620" s="16" t="s">
        <v>7908</v>
      </c>
      <c r="F620" s="2">
        <v>-810000</v>
      </c>
      <c r="H620" s="6">
        <v>810000</v>
      </c>
      <c r="I620" s="6">
        <v>810000</v>
      </c>
      <c r="J620" s="19">
        <v>896860</v>
      </c>
      <c r="K620" s="18"/>
      <c r="L620" s="18" t="str">
        <f t="shared" si="73"/>
        <v>8</v>
      </c>
      <c r="M620" s="18" t="str">
        <f>INDEX(Chapter,MATCH(L620,Chapter!$A$1:$A$681,0),8)</f>
        <v>שירותים ממלכתיים</v>
      </c>
      <c r="N620" s="18" t="str">
        <f t="shared" si="74"/>
        <v>84</v>
      </c>
      <c r="O620" s="18" t="str">
        <f>INDEX(Chapter,MATCH(N620,Chapter!$A$1:$A$681,0),8)</f>
        <v>רווחה</v>
      </c>
      <c r="P620" s="18" t="str">
        <f t="shared" si="75"/>
        <v>846</v>
      </c>
      <c r="Q620" s="18" t="str">
        <f>INDEX(Chapter,MATCH(P620,Chapter!$A$1:$A$681,0),8)</f>
        <v>שירותי שיקום</v>
      </c>
      <c r="R620" s="18" t="str">
        <f t="shared" si="76"/>
        <v>8465</v>
      </c>
      <c r="S620" s="18" t="str">
        <f>INDEX(Chapter,MATCH(R620,Chapter!$A$1:$A$681,0),8)</f>
        <v>נכים - שיקום במוסדות</v>
      </c>
      <c r="T620" s="18"/>
      <c r="U620" s="18" t="str">
        <f t="shared" si="77"/>
        <v>8</v>
      </c>
      <c r="V620" s="18" t="str">
        <f>IF($L620&lt;"6",INDEX(Revenue_type,MATCH(U620*1,type!$A$118:$A$168,0),8),INDEX(Expenditure_type,MATCH(U620*1,type!$A$2:$A$117,0),8))</f>
        <v>השתתפויות תמיכות ותרומות</v>
      </c>
      <c r="W620" s="18" t="str">
        <f t="shared" si="78"/>
        <v>80</v>
      </c>
      <c r="X620" s="18" t="e">
        <f>IF($L620&lt;"6",INDEX(Revenue_type,MATCH(W620*1,type!$A$118:$A$168,0),8),INDEX(Expenditure_type,MATCH(W620*1,type!$A$2:$A$117,0),8))</f>
        <v>#N/A</v>
      </c>
      <c r="Y620" s="18" t="str">
        <f t="shared" si="79"/>
        <v>800</v>
      </c>
      <c r="Z620" s="18" t="e">
        <f>IF($L620&lt;"6",INDEX(Revenue_type,MATCH(Y620*1,type!$A$118:$A$168,0),8),INDEX(Expenditure_type,MATCH(Y620*1,type!$A$2:$A$117,0),8))</f>
        <v>#N/A</v>
      </c>
    </row>
    <row r="621" spans="1:26" ht="15.75" hidden="1" customHeight="1" outlineLevel="2">
      <c r="A621">
        <v>800</v>
      </c>
      <c r="B621" s="1">
        <v>847000</v>
      </c>
      <c r="C621">
        <v>1</v>
      </c>
      <c r="D621" t="str">
        <f t="shared" si="81"/>
        <v>1847000.800</v>
      </c>
      <c r="E621" s="16" t="s">
        <v>7910</v>
      </c>
      <c r="F621" s="2">
        <v>-1500000</v>
      </c>
      <c r="H621" s="6">
        <v>1500000</v>
      </c>
      <c r="I621" s="6">
        <v>2542000</v>
      </c>
      <c r="J621" s="19">
        <v>688458</v>
      </c>
      <c r="K621" s="18"/>
      <c r="L621" s="18" t="str">
        <f t="shared" si="73"/>
        <v>8</v>
      </c>
      <c r="M621" s="18" t="str">
        <f>INDEX(Chapter,MATCH(L621,Chapter!$A$1:$A$681,0),8)</f>
        <v>שירותים ממלכתיים</v>
      </c>
      <c r="N621" s="18" t="str">
        <f t="shared" si="74"/>
        <v>84</v>
      </c>
      <c r="O621" s="18" t="str">
        <f>INDEX(Chapter,MATCH(N621,Chapter!$A$1:$A$681,0),8)</f>
        <v>רווחה</v>
      </c>
      <c r="P621" s="18" t="str">
        <f t="shared" si="75"/>
        <v>847</v>
      </c>
      <c r="Q621" s="18" t="str">
        <f>INDEX(Chapter,MATCH(P621,Chapter!$A$1:$A$681,0),8)</f>
        <v>שירותי תיקון</v>
      </c>
      <c r="R621" s="18" t="str">
        <f t="shared" si="76"/>
        <v>8470</v>
      </c>
      <c r="S621" s="18" t="e">
        <f>INDEX(Chapter,MATCH(R621,Chapter!$A$1:$A$681,0),8)</f>
        <v>#N/A</v>
      </c>
      <c r="T621" s="18"/>
      <c r="U621" s="18" t="str">
        <f t="shared" si="77"/>
        <v>8</v>
      </c>
      <c r="V621" s="18" t="str">
        <f>IF($L621&lt;"6",INDEX(Revenue_type,MATCH(U621*1,type!$A$118:$A$168,0),8),INDEX(Expenditure_type,MATCH(U621*1,type!$A$2:$A$117,0),8))</f>
        <v>השתתפויות תמיכות ותרומות</v>
      </c>
      <c r="W621" s="18" t="str">
        <f t="shared" si="78"/>
        <v>80</v>
      </c>
      <c r="X621" s="18" t="e">
        <f>IF($L621&lt;"6",INDEX(Revenue_type,MATCH(W621*1,type!$A$118:$A$168,0),8),INDEX(Expenditure_type,MATCH(W621*1,type!$A$2:$A$117,0),8))</f>
        <v>#N/A</v>
      </c>
      <c r="Y621" s="18" t="str">
        <f t="shared" si="79"/>
        <v>800</v>
      </c>
      <c r="Z621" s="18" t="e">
        <f>IF($L621&lt;"6",INDEX(Revenue_type,MATCH(Y621*1,type!$A$118:$A$168,0),8),INDEX(Expenditure_type,MATCH(Y621*1,type!$A$2:$A$117,0),8))</f>
        <v>#N/A</v>
      </c>
    </row>
    <row r="622" spans="1:26" ht="15.75" hidden="1" customHeight="1" outlineLevel="2">
      <c r="A622">
        <v>800</v>
      </c>
      <c r="B622" s="1">
        <v>847310</v>
      </c>
      <c r="C622">
        <v>1</v>
      </c>
      <c r="D622" t="str">
        <f t="shared" si="81"/>
        <v>1847310.800</v>
      </c>
      <c r="E622" s="16" t="s">
        <v>7911</v>
      </c>
      <c r="F622" s="2">
        <v>-158000</v>
      </c>
      <c r="H622" s="6">
        <v>158000</v>
      </c>
      <c r="I622" s="6">
        <v>158000</v>
      </c>
      <c r="J622" s="19">
        <v>498170</v>
      </c>
      <c r="K622" s="18"/>
      <c r="L622" s="18" t="str">
        <f t="shared" si="73"/>
        <v>8</v>
      </c>
      <c r="M622" s="18" t="str">
        <f>INDEX(Chapter,MATCH(L622,Chapter!$A$1:$A$681,0),8)</f>
        <v>שירותים ממלכתיים</v>
      </c>
      <c r="N622" s="18" t="str">
        <f t="shared" si="74"/>
        <v>84</v>
      </c>
      <c r="O622" s="18" t="str">
        <f>INDEX(Chapter,MATCH(N622,Chapter!$A$1:$A$681,0),8)</f>
        <v>רווחה</v>
      </c>
      <c r="P622" s="18" t="str">
        <f t="shared" si="75"/>
        <v>847</v>
      </c>
      <c r="Q622" s="18" t="str">
        <f>INDEX(Chapter,MATCH(P622,Chapter!$A$1:$A$681,0),8)</f>
        <v>שירותי תיקון</v>
      </c>
      <c r="R622" s="18" t="str">
        <f t="shared" si="76"/>
        <v>8473</v>
      </c>
      <c r="S622" s="18" t="str">
        <f>INDEX(Chapter,MATCH(R622,Chapter!$A$1:$A$681,0),8)</f>
        <v>סמים</v>
      </c>
      <c r="T622" s="18"/>
      <c r="U622" s="18" t="str">
        <f t="shared" si="77"/>
        <v>8</v>
      </c>
      <c r="V622" s="18" t="str">
        <f>IF($L622&lt;"6",INDEX(Revenue_type,MATCH(U622*1,type!$A$118:$A$168,0),8),INDEX(Expenditure_type,MATCH(U622*1,type!$A$2:$A$117,0),8))</f>
        <v>השתתפויות תמיכות ותרומות</v>
      </c>
      <c r="W622" s="18" t="str">
        <f t="shared" si="78"/>
        <v>80</v>
      </c>
      <c r="X622" s="18" t="e">
        <f>IF($L622&lt;"6",INDEX(Revenue_type,MATCH(W622*1,type!$A$118:$A$168,0),8),INDEX(Expenditure_type,MATCH(W622*1,type!$A$2:$A$117,0),8))</f>
        <v>#N/A</v>
      </c>
      <c r="Y622" s="18" t="str">
        <f t="shared" si="79"/>
        <v>800</v>
      </c>
      <c r="Z622" s="18" t="e">
        <f>IF($L622&lt;"6",INDEX(Revenue_type,MATCH(Y622*1,type!$A$118:$A$168,0),8),INDEX(Expenditure_type,MATCH(Y622*1,type!$A$2:$A$117,0),8))</f>
        <v>#N/A</v>
      </c>
    </row>
    <row r="623" spans="1:26" ht="15.75" hidden="1" customHeight="1" outlineLevel="2">
      <c r="A623">
        <v>800</v>
      </c>
      <c r="B623" s="1">
        <v>847320</v>
      </c>
      <c r="C623">
        <v>1</v>
      </c>
      <c r="D623" t="str">
        <f t="shared" si="81"/>
        <v>1847320.800</v>
      </c>
      <c r="E623" s="16" t="s">
        <v>7912</v>
      </c>
      <c r="F623" s="2">
        <v>0</v>
      </c>
      <c r="H623" s="6">
        <v>0</v>
      </c>
      <c r="I623" s="6">
        <v>300000</v>
      </c>
      <c r="J623" s="19">
        <v>0</v>
      </c>
      <c r="K623" s="18"/>
      <c r="L623" s="18" t="str">
        <f t="shared" si="73"/>
        <v>8</v>
      </c>
      <c r="M623" s="18" t="str">
        <f>INDEX(Chapter,MATCH(L623,Chapter!$A$1:$A$681,0),8)</f>
        <v>שירותים ממלכתיים</v>
      </c>
      <c r="N623" s="18" t="str">
        <f t="shared" si="74"/>
        <v>84</v>
      </c>
      <c r="O623" s="18" t="str">
        <f>INDEX(Chapter,MATCH(N623,Chapter!$A$1:$A$681,0),8)</f>
        <v>רווחה</v>
      </c>
      <c r="P623" s="18" t="str">
        <f t="shared" si="75"/>
        <v>847</v>
      </c>
      <c r="Q623" s="18" t="str">
        <f>INDEX(Chapter,MATCH(P623,Chapter!$A$1:$A$681,0),8)</f>
        <v>שירותי תיקון</v>
      </c>
      <c r="R623" s="18" t="str">
        <f t="shared" si="76"/>
        <v>8473</v>
      </c>
      <c r="S623" s="18" t="str">
        <f>INDEX(Chapter,MATCH(R623,Chapter!$A$1:$A$681,0),8)</f>
        <v>סמים</v>
      </c>
      <c r="T623" s="18"/>
      <c r="U623" s="18" t="str">
        <f t="shared" si="77"/>
        <v>8</v>
      </c>
      <c r="V623" s="18" t="str">
        <f>IF($L623&lt;"6",INDEX(Revenue_type,MATCH(U623*1,type!$A$118:$A$168,0),8),INDEX(Expenditure_type,MATCH(U623*1,type!$A$2:$A$117,0),8))</f>
        <v>השתתפויות תמיכות ותרומות</v>
      </c>
      <c r="W623" s="18" t="str">
        <f t="shared" si="78"/>
        <v>80</v>
      </c>
      <c r="X623" s="18" t="e">
        <f>IF($L623&lt;"6",INDEX(Revenue_type,MATCH(W623*1,type!$A$118:$A$168,0),8),INDEX(Expenditure_type,MATCH(W623*1,type!$A$2:$A$117,0),8))</f>
        <v>#N/A</v>
      </c>
      <c r="Y623" s="18" t="str">
        <f t="shared" si="79"/>
        <v>800</v>
      </c>
      <c r="Z623" s="18" t="e">
        <f>IF($L623&lt;"6",INDEX(Revenue_type,MATCH(Y623*1,type!$A$118:$A$168,0),8),INDEX(Expenditure_type,MATCH(Y623*1,type!$A$2:$A$117,0),8))</f>
        <v>#N/A</v>
      </c>
    </row>
    <row r="624" spans="1:26" ht="15.75" hidden="1" customHeight="1" outlineLevel="2">
      <c r="A624">
        <v>800</v>
      </c>
      <c r="B624" s="1">
        <v>847410</v>
      </c>
      <c r="C624">
        <v>1</v>
      </c>
      <c r="D624" t="str">
        <f t="shared" si="81"/>
        <v>1847410.800</v>
      </c>
      <c r="E624" s="16" t="s">
        <v>7913</v>
      </c>
      <c r="F624" s="2">
        <v>-1000000</v>
      </c>
      <c r="H624" s="6">
        <v>1000000</v>
      </c>
      <c r="I624" s="6">
        <v>1000000</v>
      </c>
      <c r="J624" s="19">
        <v>2006815</v>
      </c>
      <c r="K624" s="18"/>
      <c r="L624" s="18" t="str">
        <f t="shared" si="73"/>
        <v>8</v>
      </c>
      <c r="M624" s="18" t="str">
        <f>INDEX(Chapter,MATCH(L624,Chapter!$A$1:$A$681,0),8)</f>
        <v>שירותים ממלכתיים</v>
      </c>
      <c r="N624" s="18" t="str">
        <f t="shared" si="74"/>
        <v>84</v>
      </c>
      <c r="O624" s="18" t="str">
        <f>INDEX(Chapter,MATCH(N624,Chapter!$A$1:$A$681,0),8)</f>
        <v>רווחה</v>
      </c>
      <c r="P624" s="18" t="str">
        <f t="shared" si="75"/>
        <v>847</v>
      </c>
      <c r="Q624" s="18" t="str">
        <f>INDEX(Chapter,MATCH(P624,Chapter!$A$1:$A$681,0),8)</f>
        <v>שירותי תיקון</v>
      </c>
      <c r="R624" s="18" t="str">
        <f t="shared" si="76"/>
        <v>8474</v>
      </c>
      <c r="S624" s="18" t="str">
        <f>INDEX(Chapter,MATCH(R624,Chapter!$A$1:$A$681,0),8)</f>
        <v>מפתנים</v>
      </c>
      <c r="T624" s="18"/>
      <c r="U624" s="18" t="str">
        <f t="shared" si="77"/>
        <v>8</v>
      </c>
      <c r="V624" s="18" t="str">
        <f>IF($L624&lt;"6",INDEX(Revenue_type,MATCH(U624*1,type!$A$118:$A$168,0),8),INDEX(Expenditure_type,MATCH(U624*1,type!$A$2:$A$117,0),8))</f>
        <v>השתתפויות תמיכות ותרומות</v>
      </c>
      <c r="W624" s="18" t="str">
        <f t="shared" si="78"/>
        <v>80</v>
      </c>
      <c r="X624" s="18" t="e">
        <f>IF($L624&lt;"6",INDEX(Revenue_type,MATCH(W624*1,type!$A$118:$A$168,0),8),INDEX(Expenditure_type,MATCH(W624*1,type!$A$2:$A$117,0),8))</f>
        <v>#N/A</v>
      </c>
      <c r="Y624" s="18" t="str">
        <f t="shared" si="79"/>
        <v>800</v>
      </c>
      <c r="Z624" s="18" t="e">
        <f>IF($L624&lt;"6",INDEX(Revenue_type,MATCH(Y624*1,type!$A$118:$A$168,0),8),INDEX(Expenditure_type,MATCH(Y624*1,type!$A$2:$A$117,0),8))</f>
        <v>#N/A</v>
      </c>
    </row>
    <row r="625" spans="1:26" ht="15.75" hidden="1" customHeight="1" outlineLevel="2">
      <c r="A625">
        <v>800</v>
      </c>
      <c r="B625" s="1">
        <v>848200</v>
      </c>
      <c r="C625">
        <v>1</v>
      </c>
      <c r="D625" t="str">
        <f t="shared" si="81"/>
        <v>1848200.800</v>
      </c>
      <c r="E625" s="16" t="s">
        <v>7914</v>
      </c>
      <c r="F625" s="2">
        <v>-775000</v>
      </c>
      <c r="H625" s="6">
        <v>775000</v>
      </c>
      <c r="I625" s="6">
        <v>175000</v>
      </c>
      <c r="J625" s="19">
        <v>211803</v>
      </c>
      <c r="K625" s="18"/>
      <c r="L625" s="18" t="str">
        <f t="shared" si="73"/>
        <v>8</v>
      </c>
      <c r="M625" s="18" t="str">
        <f>INDEX(Chapter,MATCH(L625,Chapter!$A$1:$A$681,0),8)</f>
        <v>שירותים ממלכתיים</v>
      </c>
      <c r="N625" s="18" t="str">
        <f t="shared" si="74"/>
        <v>84</v>
      </c>
      <c r="O625" s="18" t="str">
        <f>INDEX(Chapter,MATCH(N625,Chapter!$A$1:$A$681,0),8)</f>
        <v>רווחה</v>
      </c>
      <c r="P625" s="18" t="str">
        <f t="shared" si="75"/>
        <v>848</v>
      </c>
      <c r="Q625" s="18" t="str">
        <f>INDEX(Chapter,MATCH(P625,Chapter!$A$1:$A$681,0),8)</f>
        <v>עבודה קהילתית</v>
      </c>
      <c r="R625" s="18" t="str">
        <f t="shared" si="76"/>
        <v>8482</v>
      </c>
      <c r="S625" s="18" t="str">
        <f>INDEX(Chapter,MATCH(R625,Chapter!$A$1:$A$681,0),8)</f>
        <v>מרכזים קהילתיים</v>
      </c>
      <c r="T625" s="18"/>
      <c r="U625" s="18" t="str">
        <f t="shared" si="77"/>
        <v>8</v>
      </c>
      <c r="V625" s="18" t="str">
        <f>IF($L625&lt;"6",INDEX(Revenue_type,MATCH(U625*1,type!$A$118:$A$168,0),8),INDEX(Expenditure_type,MATCH(U625*1,type!$A$2:$A$117,0),8))</f>
        <v>השתתפויות תמיכות ותרומות</v>
      </c>
      <c r="W625" s="18" t="str">
        <f t="shared" si="78"/>
        <v>80</v>
      </c>
      <c r="X625" s="18" t="e">
        <f>IF($L625&lt;"6",INDEX(Revenue_type,MATCH(W625*1,type!$A$118:$A$168,0),8),INDEX(Expenditure_type,MATCH(W625*1,type!$A$2:$A$117,0),8))</f>
        <v>#N/A</v>
      </c>
      <c r="Y625" s="18" t="str">
        <f t="shared" si="79"/>
        <v>800</v>
      </c>
      <c r="Z625" s="18" t="e">
        <f>IF($L625&lt;"6",INDEX(Revenue_type,MATCH(Y625*1,type!$A$118:$A$168,0),8),INDEX(Expenditure_type,MATCH(Y625*1,type!$A$2:$A$117,0),8))</f>
        <v>#N/A</v>
      </c>
    </row>
    <row r="626" spans="1:26" ht="15.75" hidden="1" customHeight="1" outlineLevel="2">
      <c r="A626">
        <v>800</v>
      </c>
      <c r="B626" s="1">
        <v>848300</v>
      </c>
      <c r="C626">
        <v>1</v>
      </c>
      <c r="D626" t="str">
        <f t="shared" si="81"/>
        <v>1848300.800</v>
      </c>
      <c r="E626" s="16" t="s">
        <v>7915</v>
      </c>
      <c r="F626" s="2">
        <v>-1150000</v>
      </c>
      <c r="H626" s="6">
        <v>1150000</v>
      </c>
      <c r="I626" s="6">
        <v>1150000</v>
      </c>
      <c r="J626" s="19">
        <v>1380166</v>
      </c>
      <c r="K626" s="18"/>
      <c r="L626" s="18" t="str">
        <f t="shared" si="73"/>
        <v>8</v>
      </c>
      <c r="M626" s="18" t="str">
        <f>INDEX(Chapter,MATCH(L626,Chapter!$A$1:$A$681,0),8)</f>
        <v>שירותים ממלכתיים</v>
      </c>
      <c r="N626" s="18" t="str">
        <f t="shared" si="74"/>
        <v>84</v>
      </c>
      <c r="O626" s="18" t="str">
        <f>INDEX(Chapter,MATCH(N626,Chapter!$A$1:$A$681,0),8)</f>
        <v>רווחה</v>
      </c>
      <c r="P626" s="18" t="str">
        <f t="shared" si="75"/>
        <v>848</v>
      </c>
      <c r="Q626" s="18" t="str">
        <f>INDEX(Chapter,MATCH(P626,Chapter!$A$1:$A$681,0),8)</f>
        <v>עבודה קהילתית</v>
      </c>
      <c r="R626" s="18" t="str">
        <f t="shared" si="76"/>
        <v>8483</v>
      </c>
      <c r="S626" s="18" t="str">
        <f>INDEX(Chapter,MATCH(R626,Chapter!$A$1:$A$681,0),8)</f>
        <v>התנדבות</v>
      </c>
      <c r="T626" s="18"/>
      <c r="U626" s="18" t="str">
        <f t="shared" si="77"/>
        <v>8</v>
      </c>
      <c r="V626" s="18" t="str">
        <f>IF($L626&lt;"6",INDEX(Revenue_type,MATCH(U626*1,type!$A$118:$A$168,0),8),INDEX(Expenditure_type,MATCH(U626*1,type!$A$2:$A$117,0),8))</f>
        <v>השתתפויות תמיכות ותרומות</v>
      </c>
      <c r="W626" s="18" t="str">
        <f t="shared" si="78"/>
        <v>80</v>
      </c>
      <c r="X626" s="18" t="e">
        <f>IF($L626&lt;"6",INDEX(Revenue_type,MATCH(W626*1,type!$A$118:$A$168,0),8),INDEX(Expenditure_type,MATCH(W626*1,type!$A$2:$A$117,0),8))</f>
        <v>#N/A</v>
      </c>
      <c r="Y626" s="18" t="str">
        <f t="shared" si="79"/>
        <v>800</v>
      </c>
      <c r="Z626" s="18" t="e">
        <f>IF($L626&lt;"6",INDEX(Revenue_type,MATCH(Y626*1,type!$A$118:$A$168,0),8),INDEX(Expenditure_type,MATCH(Y626*1,type!$A$2:$A$117,0),8))</f>
        <v>#N/A</v>
      </c>
    </row>
    <row r="627" spans="1:26" ht="15.75" hidden="1" customHeight="1" outlineLevel="2">
      <c r="A627">
        <v>800</v>
      </c>
      <c r="B627" s="1">
        <v>848500</v>
      </c>
      <c r="C627">
        <v>1</v>
      </c>
      <c r="D627" t="str">
        <f t="shared" si="81"/>
        <v>1848500.800</v>
      </c>
      <c r="E627" s="16" t="s">
        <v>7916</v>
      </c>
      <c r="F627" s="2">
        <v>-270000</v>
      </c>
      <c r="H627" s="6">
        <v>270000</v>
      </c>
      <c r="I627" s="6">
        <v>270000</v>
      </c>
      <c r="J627" s="19">
        <v>375000</v>
      </c>
      <c r="K627" s="18" t="e">
        <f>INDEX(תקציב_2013,MATCH(D627,'תקציב 2015'!$D$3:$D$5960,0),8)</f>
        <v>#N/A</v>
      </c>
      <c r="L627" s="18" t="str">
        <f t="shared" si="73"/>
        <v>8</v>
      </c>
      <c r="M627" s="18" t="str">
        <f>INDEX(Chapter,MATCH(L627,Chapter!$A$1:$A$681,0),8)</f>
        <v>שירותים ממלכתיים</v>
      </c>
      <c r="N627" s="18" t="str">
        <f t="shared" si="74"/>
        <v>84</v>
      </c>
      <c r="O627" s="18" t="str">
        <f>INDEX(Chapter,MATCH(N627,Chapter!$A$1:$A$681,0),8)</f>
        <v>רווחה</v>
      </c>
      <c r="P627" s="18" t="str">
        <f t="shared" si="75"/>
        <v>848</v>
      </c>
      <c r="Q627" s="18" t="str">
        <f>INDEX(Chapter,MATCH(P627,Chapter!$A$1:$A$681,0),8)</f>
        <v>עבודה קהילתית</v>
      </c>
      <c r="R627" s="18" t="str">
        <f t="shared" si="76"/>
        <v>8485</v>
      </c>
      <c r="S627" s="18" t="str">
        <f>INDEX(Chapter,MATCH(R627,Chapter!$A$1:$A$681,0),8)</f>
        <v>שיקום שכונות</v>
      </c>
      <c r="T627" s="18"/>
      <c r="U627" s="18" t="str">
        <f t="shared" si="77"/>
        <v>8</v>
      </c>
      <c r="V627" s="18" t="str">
        <f>IF($L627&lt;"6",INDEX(Revenue_type,MATCH(U627*1,type!$A$118:$A$168,0),8),INDEX(Expenditure_type,MATCH(U627*1,type!$A$2:$A$117,0),8))</f>
        <v>השתתפויות תמיכות ותרומות</v>
      </c>
      <c r="W627" s="18" t="str">
        <f t="shared" si="78"/>
        <v>80</v>
      </c>
      <c r="X627" s="18" t="e">
        <f>IF($L627&lt;"6",INDEX(Revenue_type,MATCH(W627*1,type!$A$118:$A$168,0),8),INDEX(Expenditure_type,MATCH(W627*1,type!$A$2:$A$117,0),8))</f>
        <v>#N/A</v>
      </c>
      <c r="Y627" s="18" t="str">
        <f t="shared" si="79"/>
        <v>800</v>
      </c>
      <c r="Z627" s="18" t="e">
        <f>IF($L627&lt;"6",INDEX(Revenue_type,MATCH(Y627*1,type!$A$118:$A$168,0),8),INDEX(Expenditure_type,MATCH(Y627*1,type!$A$2:$A$117,0),8))</f>
        <v>#N/A</v>
      </c>
    </row>
    <row r="628" spans="1:26" ht="15.75" hidden="1" customHeight="1" outlineLevel="2">
      <c r="A628">
        <v>100</v>
      </c>
      <c r="B628" s="1">
        <v>842000</v>
      </c>
      <c r="C628">
        <v>1</v>
      </c>
      <c r="D628" t="str">
        <f t="shared" si="81"/>
        <v>1842000.100</v>
      </c>
      <c r="E628" s="16" t="s">
        <v>8907</v>
      </c>
      <c r="H628" s="6">
        <v>1372339.0551520479</v>
      </c>
      <c r="K628" s="18"/>
      <c r="L628" s="18" t="str">
        <f t="shared" si="73"/>
        <v>8</v>
      </c>
      <c r="M628" s="18" t="str">
        <f>INDEX(Chapter,MATCH(L628,Chapter!$A$1:$A$681,0),8)</f>
        <v>שירותים ממלכתיים</v>
      </c>
      <c r="N628" s="18" t="str">
        <f t="shared" si="74"/>
        <v>84</v>
      </c>
      <c r="O628" s="18" t="str">
        <f>INDEX(Chapter,MATCH(N628,Chapter!$A$1:$A$681,0),8)</f>
        <v>רווחה</v>
      </c>
      <c r="P628" s="18" t="str">
        <f t="shared" si="75"/>
        <v>842</v>
      </c>
      <c r="Q628" s="18" t="str">
        <f>INDEX(Chapter,MATCH(P628,Chapter!$A$1:$A$681,0),8)</f>
        <v>רווחת הפרט והמשפחה</v>
      </c>
      <c r="R628" s="18" t="str">
        <f t="shared" si="76"/>
        <v>8420</v>
      </c>
      <c r="S628" s="18" t="e">
        <f>INDEX(Chapter,MATCH(R628,Chapter!$A$1:$A$681,0),8)</f>
        <v>#N/A</v>
      </c>
      <c r="T628" s="18"/>
      <c r="U628" s="18" t="str">
        <f t="shared" si="77"/>
        <v>1</v>
      </c>
      <c r="V628" s="18" t="str">
        <f>IF($L628&lt;"6",INDEX(Revenue_type,MATCH(U628*1,type!$A$118:$A$168,0),8),INDEX(Expenditure_type,MATCH(U628*1,type!$A$2:$A$117,0),8))</f>
        <v>משכורות וש"ע לעובדים לפי תקן</v>
      </c>
      <c r="W628" s="18" t="str">
        <f t="shared" si="78"/>
        <v>10</v>
      </c>
      <c r="X628" s="18" t="e">
        <f>IF($L628&lt;"6",INDEX(Revenue_type,MATCH(W628*1,type!$A$118:$A$168,0),8),INDEX(Expenditure_type,MATCH(W628*1,type!$A$2:$A$117,0),8))</f>
        <v>#N/A</v>
      </c>
      <c r="Y628" s="18" t="str">
        <f t="shared" si="79"/>
        <v>100</v>
      </c>
      <c r="Z628" s="18" t="e">
        <f>IF($L628&lt;"6",INDEX(Revenue_type,MATCH(Y628*1,type!$A$118:$A$168,0),8),INDEX(Expenditure_type,MATCH(Y628*1,type!$A$2:$A$117,0),8))</f>
        <v>#N/A</v>
      </c>
    </row>
    <row r="629" spans="1:26" ht="15.75" hidden="1" customHeight="1" outlineLevel="2">
      <c r="A629">
        <v>100</v>
      </c>
      <c r="B629" s="1">
        <v>846000</v>
      </c>
      <c r="C629">
        <v>1</v>
      </c>
      <c r="D629" t="str">
        <f t="shared" si="81"/>
        <v>1846000.100</v>
      </c>
      <c r="E629" s="16" t="s">
        <v>8908</v>
      </c>
      <c r="H629" s="6">
        <v>3586251.312485537</v>
      </c>
      <c r="K629" s="18"/>
      <c r="L629" s="18" t="str">
        <f t="shared" si="73"/>
        <v>8</v>
      </c>
      <c r="M629" s="18" t="str">
        <f>INDEX(Chapter,MATCH(L629,Chapter!$A$1:$A$681,0),8)</f>
        <v>שירותים ממלכתיים</v>
      </c>
      <c r="N629" s="18" t="str">
        <f t="shared" si="74"/>
        <v>84</v>
      </c>
      <c r="O629" s="18" t="str">
        <f>INDEX(Chapter,MATCH(N629,Chapter!$A$1:$A$681,0),8)</f>
        <v>רווחה</v>
      </c>
      <c r="P629" s="18" t="str">
        <f t="shared" si="75"/>
        <v>846</v>
      </c>
      <c r="Q629" s="18" t="str">
        <f>INDEX(Chapter,MATCH(P629,Chapter!$A$1:$A$681,0),8)</f>
        <v>שירותי שיקום</v>
      </c>
      <c r="R629" s="18" t="str">
        <f t="shared" si="76"/>
        <v>8460</v>
      </c>
      <c r="S629" s="18" t="e">
        <f>INDEX(Chapter,MATCH(R629,Chapter!$A$1:$A$681,0),8)</f>
        <v>#N/A</v>
      </c>
      <c r="T629" s="18"/>
      <c r="U629" s="18" t="str">
        <f t="shared" si="77"/>
        <v>1</v>
      </c>
      <c r="V629" s="18" t="str">
        <f>IF($L629&lt;"6",INDEX(Revenue_type,MATCH(U629*1,type!$A$118:$A$168,0),8),INDEX(Expenditure_type,MATCH(U629*1,type!$A$2:$A$117,0),8))</f>
        <v>משכורות וש"ע לעובדים לפי תקן</v>
      </c>
      <c r="W629" s="18" t="str">
        <f t="shared" si="78"/>
        <v>10</v>
      </c>
      <c r="X629" s="18" t="e">
        <f>IF($L629&lt;"6",INDEX(Revenue_type,MATCH(W629*1,type!$A$118:$A$168,0),8),INDEX(Expenditure_type,MATCH(W629*1,type!$A$2:$A$117,0),8))</f>
        <v>#N/A</v>
      </c>
      <c r="Y629" s="18" t="str">
        <f t="shared" si="79"/>
        <v>100</v>
      </c>
      <c r="Z629" s="18" t="e">
        <f>IF($L629&lt;"6",INDEX(Revenue_type,MATCH(Y629*1,type!$A$118:$A$168,0),8),INDEX(Expenditure_type,MATCH(Y629*1,type!$A$2:$A$117,0),8))</f>
        <v>#N/A</v>
      </c>
    </row>
    <row r="630" spans="1:26" ht="15.75" hidden="1" customHeight="1" outlineLevel="2">
      <c r="A630">
        <v>100</v>
      </c>
      <c r="B630" s="1">
        <v>844000</v>
      </c>
      <c r="C630">
        <v>1</v>
      </c>
      <c r="D630" t="str">
        <f t="shared" si="81"/>
        <v>1844000.100</v>
      </c>
      <c r="E630" s="16" t="s">
        <v>8909</v>
      </c>
      <c r="H630" s="6">
        <v>2195742.4882432758</v>
      </c>
      <c r="K630" s="18"/>
      <c r="L630" s="18" t="str">
        <f t="shared" si="73"/>
        <v>8</v>
      </c>
      <c r="M630" s="18" t="str">
        <f>INDEX(Chapter,MATCH(L630,Chapter!$A$1:$A$681,0),8)</f>
        <v>שירותים ממלכתיים</v>
      </c>
      <c r="N630" s="18" t="str">
        <f t="shared" si="74"/>
        <v>84</v>
      </c>
      <c r="O630" s="18" t="str">
        <f>INDEX(Chapter,MATCH(N630,Chapter!$A$1:$A$681,0),8)</f>
        <v>רווחה</v>
      </c>
      <c r="P630" s="18" t="str">
        <f t="shared" si="75"/>
        <v>844</v>
      </c>
      <c r="Q630" s="18" t="str">
        <f>INDEX(Chapter,MATCH(P630,Chapter!$A$1:$A$681,0),8)</f>
        <v>שירותים לזקן</v>
      </c>
      <c r="R630" s="18" t="str">
        <f t="shared" si="76"/>
        <v>8440</v>
      </c>
      <c r="S630" s="18" t="e">
        <f>INDEX(Chapter,MATCH(R630,Chapter!$A$1:$A$681,0),8)</f>
        <v>#N/A</v>
      </c>
      <c r="T630" s="18"/>
      <c r="U630" s="18" t="str">
        <f t="shared" si="77"/>
        <v>1</v>
      </c>
      <c r="V630" s="18" t="str">
        <f>IF($L630&lt;"6",INDEX(Revenue_type,MATCH(U630*1,type!$A$118:$A$168,0),8),INDEX(Expenditure_type,MATCH(U630*1,type!$A$2:$A$117,0),8))</f>
        <v>משכורות וש"ע לעובדים לפי תקן</v>
      </c>
      <c r="W630" s="18" t="str">
        <f t="shared" si="78"/>
        <v>10</v>
      </c>
      <c r="X630" s="18" t="e">
        <f>IF($L630&lt;"6",INDEX(Revenue_type,MATCH(W630*1,type!$A$118:$A$168,0),8),INDEX(Expenditure_type,MATCH(W630*1,type!$A$2:$A$117,0),8))</f>
        <v>#N/A</v>
      </c>
      <c r="Y630" s="18" t="str">
        <f t="shared" si="79"/>
        <v>100</v>
      </c>
      <c r="Z630" s="18" t="e">
        <f>IF($L630&lt;"6",INDEX(Revenue_type,MATCH(Y630*1,type!$A$118:$A$168,0),8),INDEX(Expenditure_type,MATCH(Y630*1,type!$A$2:$A$117,0),8))</f>
        <v>#N/A</v>
      </c>
    </row>
    <row r="631" spans="1:26" ht="15.75" hidden="1" customHeight="1" outlineLevel="2">
      <c r="A631">
        <v>100</v>
      </c>
      <c r="B631" s="1">
        <v>843000</v>
      </c>
      <c r="C631">
        <v>1</v>
      </c>
      <c r="D631" t="str">
        <f t="shared" si="81"/>
        <v>1843000.100</v>
      </c>
      <c r="E631" s="16" t="s">
        <v>8910</v>
      </c>
      <c r="H631" s="6">
        <v>5855427.6635699989</v>
      </c>
      <c r="K631" s="18"/>
      <c r="L631" s="18" t="str">
        <f t="shared" si="73"/>
        <v>8</v>
      </c>
      <c r="M631" s="18" t="str">
        <f>INDEX(Chapter,MATCH(L631,Chapter!$A$1:$A$681,0),8)</f>
        <v>שירותים ממלכתיים</v>
      </c>
      <c r="N631" s="18" t="str">
        <f t="shared" si="74"/>
        <v>84</v>
      </c>
      <c r="O631" s="18" t="str">
        <f>INDEX(Chapter,MATCH(N631,Chapter!$A$1:$A$681,0),8)</f>
        <v>רווחה</v>
      </c>
      <c r="P631" s="18" t="str">
        <f t="shared" si="75"/>
        <v>843</v>
      </c>
      <c r="Q631" s="18" t="str">
        <f>INDEX(Chapter,MATCH(P631,Chapter!$A$1:$A$681,0),8)</f>
        <v>שירותים לילד ולנוער</v>
      </c>
      <c r="R631" s="18" t="str">
        <f t="shared" si="76"/>
        <v>8430</v>
      </c>
      <c r="S631" s="18" t="e">
        <f>INDEX(Chapter,MATCH(R631,Chapter!$A$1:$A$681,0),8)</f>
        <v>#N/A</v>
      </c>
      <c r="T631" s="18"/>
      <c r="U631" s="18" t="str">
        <f t="shared" si="77"/>
        <v>1</v>
      </c>
      <c r="V631" s="18" t="str">
        <f>IF($L631&lt;"6",INDEX(Revenue_type,MATCH(U631*1,type!$A$118:$A$168,0),8),INDEX(Expenditure_type,MATCH(U631*1,type!$A$2:$A$117,0),8))</f>
        <v>משכורות וש"ע לעובדים לפי תקן</v>
      </c>
      <c r="W631" s="18" t="str">
        <f t="shared" si="78"/>
        <v>10</v>
      </c>
      <c r="X631" s="18" t="e">
        <f>IF($L631&lt;"6",INDEX(Revenue_type,MATCH(W631*1,type!$A$118:$A$168,0),8),INDEX(Expenditure_type,MATCH(W631*1,type!$A$2:$A$117,0),8))</f>
        <v>#N/A</v>
      </c>
      <c r="Y631" s="18" t="str">
        <f t="shared" si="79"/>
        <v>100</v>
      </c>
      <c r="Z631" s="18" t="e">
        <f>IF($L631&lt;"6",INDEX(Revenue_type,MATCH(Y631*1,type!$A$118:$A$168,0),8),INDEX(Expenditure_type,MATCH(Y631*1,type!$A$2:$A$117,0),8))</f>
        <v>#N/A</v>
      </c>
    </row>
    <row r="632" spans="1:26" ht="15.75" hidden="1" customHeight="1" outlineLevel="2">
      <c r="A632">
        <v>100</v>
      </c>
      <c r="B632" s="1">
        <v>845000</v>
      </c>
      <c r="C632">
        <v>1</v>
      </c>
      <c r="D632" t="str">
        <f t="shared" si="81"/>
        <v>1845000.100</v>
      </c>
      <c r="E632" s="16" t="s">
        <v>8911</v>
      </c>
      <c r="H632" s="6">
        <v>9469139.4805491287</v>
      </c>
      <c r="K632" s="18"/>
      <c r="L632" s="18" t="str">
        <f t="shared" si="73"/>
        <v>8</v>
      </c>
      <c r="M632" s="18" t="str">
        <f>INDEX(Chapter,MATCH(L632,Chapter!$A$1:$A$681,0),8)</f>
        <v>שירותים ממלכתיים</v>
      </c>
      <c r="N632" s="18" t="str">
        <f t="shared" si="74"/>
        <v>84</v>
      </c>
      <c r="O632" s="18" t="str">
        <f>INDEX(Chapter,MATCH(N632,Chapter!$A$1:$A$681,0),8)</f>
        <v>רווחה</v>
      </c>
      <c r="P632" s="18" t="str">
        <f t="shared" si="75"/>
        <v>845</v>
      </c>
      <c r="Q632" s="18" t="str">
        <f>INDEX(Chapter,MATCH(P632,Chapter!$A$1:$A$681,0),8)</f>
        <v>שירותים למפגר</v>
      </c>
      <c r="R632" s="18" t="str">
        <f t="shared" si="76"/>
        <v>8450</v>
      </c>
      <c r="S632" s="18" t="e">
        <f>INDEX(Chapter,MATCH(R632,Chapter!$A$1:$A$681,0),8)</f>
        <v>#N/A</v>
      </c>
      <c r="T632" s="18"/>
      <c r="U632" s="18" t="str">
        <f t="shared" si="77"/>
        <v>1</v>
      </c>
      <c r="V632" s="18" t="str">
        <f>IF($L632&lt;"6",INDEX(Revenue_type,MATCH(U632*1,type!$A$118:$A$168,0),8),INDEX(Expenditure_type,MATCH(U632*1,type!$A$2:$A$117,0),8))</f>
        <v>משכורות וש"ע לעובדים לפי תקן</v>
      </c>
      <c r="W632" s="18" t="str">
        <f t="shared" si="78"/>
        <v>10</v>
      </c>
      <c r="X632" s="18" t="e">
        <f>IF($L632&lt;"6",INDEX(Revenue_type,MATCH(W632*1,type!$A$118:$A$168,0),8),INDEX(Expenditure_type,MATCH(W632*1,type!$A$2:$A$117,0),8))</f>
        <v>#N/A</v>
      </c>
      <c r="Y632" s="18" t="str">
        <f t="shared" si="79"/>
        <v>100</v>
      </c>
      <c r="Z632" s="18" t="e">
        <f>IF($L632&lt;"6",INDEX(Revenue_type,MATCH(Y632*1,type!$A$118:$A$168,0),8),INDEX(Expenditure_type,MATCH(Y632*1,type!$A$2:$A$117,0),8))</f>
        <v>#N/A</v>
      </c>
    </row>
    <row r="633" spans="1:26" ht="15.75" hidden="1" customHeight="1" outlineLevel="2">
      <c r="A633">
        <v>800</v>
      </c>
      <c r="B633" s="249">
        <v>847310</v>
      </c>
      <c r="C633">
        <v>1</v>
      </c>
      <c r="D633" t="str">
        <f t="shared" si="72"/>
        <v>1847310.800</v>
      </c>
      <c r="E633" s="348" t="s">
        <v>8295</v>
      </c>
      <c r="F633" s="242"/>
      <c r="G633"/>
      <c r="H633" s="322">
        <v>276900</v>
      </c>
      <c r="I633" s="322">
        <v>285000</v>
      </c>
      <c r="J633" s="242">
        <v>424900</v>
      </c>
      <c r="K633" s="18" t="e">
        <f>INDEX(תקציב_2013,MATCH(D633,'תקציב 2015'!$D$3:$D$5960,0),8)</f>
        <v>#N/A</v>
      </c>
      <c r="L633" s="18" t="str">
        <f t="shared" si="73"/>
        <v>8</v>
      </c>
      <c r="M633" s="18" t="str">
        <f>INDEX(Chapter,MATCH(L633,Chapter!$A$1:$A$681,0),8)</f>
        <v>שירותים ממלכתיים</v>
      </c>
      <c r="N633" s="18" t="str">
        <f t="shared" si="74"/>
        <v>84</v>
      </c>
      <c r="O633" s="18" t="str">
        <f>INDEX(Chapter,MATCH(N633,Chapter!$A$1:$A$681,0),8)</f>
        <v>רווחה</v>
      </c>
      <c r="P633" s="18" t="str">
        <f t="shared" si="75"/>
        <v>847</v>
      </c>
      <c r="Q633" s="18" t="str">
        <f>INDEX(Chapter,MATCH(P633,Chapter!$A$1:$A$681,0),8)</f>
        <v>שירותי תיקון</v>
      </c>
      <c r="R633" s="18" t="str">
        <f t="shared" si="76"/>
        <v>8473</v>
      </c>
      <c r="S633" s="18" t="str">
        <f>INDEX(Chapter,MATCH(R633,Chapter!$A$1:$A$681,0),8)</f>
        <v>סמים</v>
      </c>
      <c r="T633" s="18"/>
      <c r="U633" s="18" t="str">
        <f t="shared" si="77"/>
        <v>8</v>
      </c>
      <c r="V633" s="18" t="str">
        <f>IF($L633&lt;"6",INDEX(Revenue_type,MATCH(U633*1,type!$A$118:$A$168,0),8),INDEX(Expenditure_type,MATCH(U633*1,type!$A$2:$A$117,0),8))</f>
        <v>השתתפויות תמיכות ותרומות</v>
      </c>
      <c r="W633" s="18" t="str">
        <f t="shared" si="78"/>
        <v>80</v>
      </c>
      <c r="X633" s="18" t="e">
        <f>IF($L633&lt;"6",INDEX(Revenue_type,MATCH(W633*1,type!$A$118:$A$168,0),8),INDEX(Expenditure_type,MATCH(W633*1,type!$A$2:$A$117,0),8))</f>
        <v>#N/A</v>
      </c>
      <c r="Y633" s="18" t="str">
        <f t="shared" si="79"/>
        <v>800</v>
      </c>
      <c r="Z633" s="18" t="e">
        <f>IF($L633&lt;"6",INDEX(Revenue_type,MATCH(Y633*1,type!$A$118:$A$168,0),8),INDEX(Expenditure_type,MATCH(Y633*1,type!$A$2:$A$117,0),8))</f>
        <v>#N/A</v>
      </c>
    </row>
    <row r="634" spans="1:26" ht="15.75" hidden="1" customHeight="1" outlineLevel="2">
      <c r="A634">
        <v>700</v>
      </c>
      <c r="B634" s="249">
        <v>846524</v>
      </c>
      <c r="C634">
        <v>1</v>
      </c>
      <c r="D634" t="str">
        <f t="shared" si="72"/>
        <v>1846524.700</v>
      </c>
      <c r="E634" s="355" t="s">
        <v>8296</v>
      </c>
      <c r="F634" s="242"/>
      <c r="G634"/>
      <c r="H634" s="322">
        <v>291400</v>
      </c>
      <c r="I634" s="322">
        <v>300000</v>
      </c>
      <c r="J634" s="242">
        <v>0</v>
      </c>
      <c r="K634" s="18" t="e">
        <f>INDEX(תקציב_2013,MATCH(D634,'תקציב 2015'!$D$3:$D$5960,0),8)</f>
        <v>#N/A</v>
      </c>
      <c r="L634" s="18" t="str">
        <f t="shared" si="73"/>
        <v>8</v>
      </c>
      <c r="M634" s="18" t="str">
        <f>INDEX(Chapter,MATCH(L634,Chapter!$A$1:$A$681,0),8)</f>
        <v>שירותים ממלכתיים</v>
      </c>
      <c r="N634" s="18" t="str">
        <f t="shared" si="74"/>
        <v>84</v>
      </c>
      <c r="O634" s="18" t="str">
        <f>INDEX(Chapter,MATCH(N634,Chapter!$A$1:$A$681,0),8)</f>
        <v>רווחה</v>
      </c>
      <c r="P634" s="18" t="str">
        <f t="shared" si="75"/>
        <v>846</v>
      </c>
      <c r="Q634" s="18" t="str">
        <f>INDEX(Chapter,MATCH(P634,Chapter!$A$1:$A$681,0),8)</f>
        <v>שירותי שיקום</v>
      </c>
      <c r="R634" s="18" t="str">
        <f t="shared" si="76"/>
        <v>8465</v>
      </c>
      <c r="S634" s="18" t="str">
        <f>INDEX(Chapter,MATCH(R634,Chapter!$A$1:$A$681,0),8)</f>
        <v>נכים - שיקום במוסדות</v>
      </c>
      <c r="T634" s="18"/>
      <c r="U634" s="18" t="str">
        <f t="shared" si="77"/>
        <v>7</v>
      </c>
      <c r="V634" s="18" t="str">
        <f>IF($L634&lt;"6",INDEX(Revenue_type,MATCH(U634*1,type!$A$118:$A$168,0),8),INDEX(Expenditure_type,MATCH(U634*1,type!$A$2:$A$117,0),8))</f>
        <v>הוצאות לפעולות</v>
      </c>
      <c r="W634" s="18" t="str">
        <f t="shared" si="78"/>
        <v>70</v>
      </c>
      <c r="X634" s="18" t="e">
        <f>IF($L634&lt;"6",INDEX(Revenue_type,MATCH(W634*1,type!$A$118:$A$168,0),8),INDEX(Expenditure_type,MATCH(W634*1,type!$A$2:$A$117,0),8))</f>
        <v>#N/A</v>
      </c>
      <c r="Y634" s="18" t="str">
        <f t="shared" si="79"/>
        <v>700</v>
      </c>
      <c r="Z634" s="18" t="e">
        <f>IF($L634&lt;"6",INDEX(Revenue_type,MATCH(Y634*1,type!$A$118:$A$168,0),8),INDEX(Expenditure_type,MATCH(Y634*1,type!$A$2:$A$117,0),8))</f>
        <v>#N/A</v>
      </c>
    </row>
    <row r="635" spans="1:26" ht="15.75" hidden="1" customHeight="1" outlineLevel="2">
      <c r="A635">
        <v>800</v>
      </c>
      <c r="B635" s="249">
        <v>846524</v>
      </c>
      <c r="C635">
        <v>1</v>
      </c>
      <c r="D635" t="str">
        <f t="shared" si="72"/>
        <v>1846524.800</v>
      </c>
      <c r="E635" s="355" t="s">
        <v>8297</v>
      </c>
      <c r="F635" s="242"/>
      <c r="G635"/>
      <c r="H635" s="322">
        <v>1282300</v>
      </c>
      <c r="I635" s="322">
        <v>1320000</v>
      </c>
      <c r="J635" s="242">
        <v>1298900</v>
      </c>
      <c r="K635" s="18" t="e">
        <f>INDEX(תקציב_2013,MATCH(D635,'תקציב 2015'!$D$3:$D$5960,0),8)</f>
        <v>#N/A</v>
      </c>
      <c r="L635" s="18" t="str">
        <f t="shared" si="73"/>
        <v>8</v>
      </c>
      <c r="M635" s="18" t="str">
        <f>INDEX(Chapter,MATCH(L635,Chapter!$A$1:$A$681,0),8)</f>
        <v>שירותים ממלכתיים</v>
      </c>
      <c r="N635" s="18" t="str">
        <f t="shared" si="74"/>
        <v>84</v>
      </c>
      <c r="O635" s="18" t="str">
        <f>INDEX(Chapter,MATCH(N635,Chapter!$A$1:$A$681,0),8)</f>
        <v>רווחה</v>
      </c>
      <c r="P635" s="18" t="str">
        <f t="shared" si="75"/>
        <v>846</v>
      </c>
      <c r="Q635" s="18" t="str">
        <f>INDEX(Chapter,MATCH(P635,Chapter!$A$1:$A$681,0),8)</f>
        <v>שירותי שיקום</v>
      </c>
      <c r="R635" s="18" t="str">
        <f t="shared" si="76"/>
        <v>8465</v>
      </c>
      <c r="S635" s="18" t="str">
        <f>INDEX(Chapter,MATCH(R635,Chapter!$A$1:$A$681,0),8)</f>
        <v>נכים - שיקום במוסדות</v>
      </c>
      <c r="T635" s="18"/>
      <c r="U635" s="18" t="str">
        <f t="shared" si="77"/>
        <v>8</v>
      </c>
      <c r="V635" s="18" t="str">
        <f>IF($L635&lt;"6",INDEX(Revenue_type,MATCH(U635*1,type!$A$118:$A$168,0),8),INDEX(Expenditure_type,MATCH(U635*1,type!$A$2:$A$117,0),8))</f>
        <v>השתתפויות תמיכות ותרומות</v>
      </c>
      <c r="W635" s="18" t="str">
        <f t="shared" si="78"/>
        <v>80</v>
      </c>
      <c r="X635" s="18" t="e">
        <f>IF($L635&lt;"6",INDEX(Revenue_type,MATCH(W635*1,type!$A$118:$A$168,0),8),INDEX(Expenditure_type,MATCH(W635*1,type!$A$2:$A$117,0),8))</f>
        <v>#N/A</v>
      </c>
      <c r="Y635" s="18" t="str">
        <f t="shared" si="79"/>
        <v>800</v>
      </c>
      <c r="Z635" s="18" t="e">
        <f>IF($L635&lt;"6",INDEX(Revenue_type,MATCH(Y635*1,type!$A$118:$A$168,0),8),INDEX(Expenditure_type,MATCH(Y635*1,type!$A$2:$A$117,0),8))</f>
        <v>#N/A</v>
      </c>
    </row>
    <row r="636" spans="1:26" ht="15.75" hidden="1" customHeight="1" outlineLevel="2">
      <c r="A636">
        <v>100</v>
      </c>
      <c r="B636" s="249">
        <v>727000</v>
      </c>
      <c r="C636">
        <v>1</v>
      </c>
      <c r="D636" t="str">
        <f t="shared" si="72"/>
        <v>1727000.100</v>
      </c>
      <c r="E636" s="355" t="s">
        <v>8298</v>
      </c>
      <c r="F636" s="242"/>
      <c r="G636"/>
      <c r="H636" s="322">
        <v>8200</v>
      </c>
      <c r="I636" s="322">
        <v>8200</v>
      </c>
      <c r="J636" s="242">
        <v>9400</v>
      </c>
      <c r="K636" s="18" t="e">
        <f>INDEX(תקציב_2013,MATCH(D636,'תקציב 2015'!$D$3:$D$5960,0),8)</f>
        <v>#N/A</v>
      </c>
      <c r="L636" s="18" t="str">
        <f t="shared" si="73"/>
        <v>7</v>
      </c>
      <c r="M636" s="18" t="str">
        <f>INDEX(Chapter,MATCH(L636,Chapter!$A$1:$A$681,0),8)</f>
        <v>שירותים מקומיים</v>
      </c>
      <c r="N636" s="18" t="str">
        <f t="shared" si="74"/>
        <v>72</v>
      </c>
      <c r="O636" s="18" t="str">
        <f>INDEX(Chapter,MATCH(N636,Chapter!$A$1:$A$681,0),8)</f>
        <v>שמירה ובטחון</v>
      </c>
      <c r="P636" s="18" t="str">
        <f t="shared" si="75"/>
        <v>727</v>
      </c>
      <c r="Q636" s="18" t="str">
        <f>INDEX(Chapter,MATCH(P636,Chapter!$A$1:$A$681,0),8)</f>
        <v>הגמ״ר</v>
      </c>
      <c r="R636" s="18" t="str">
        <f t="shared" si="76"/>
        <v>7270</v>
      </c>
      <c r="S636" s="18" t="e">
        <f>INDEX(Chapter,MATCH(R636,Chapter!$A$1:$A$681,0),8)</f>
        <v>#N/A</v>
      </c>
      <c r="T636" s="18"/>
      <c r="U636" s="18" t="str">
        <f t="shared" si="77"/>
        <v>1</v>
      </c>
      <c r="V636" s="18" t="str">
        <f>IF($L636&lt;"6",INDEX(Revenue_type,MATCH(U636*1,type!$A$118:$A$168,0),8),INDEX(Expenditure_type,MATCH(U636*1,type!$A$2:$A$117,0),8))</f>
        <v>משכורות וש"ע לעובדים לפי תקן</v>
      </c>
      <c r="W636" s="18" t="str">
        <f t="shared" si="78"/>
        <v>10</v>
      </c>
      <c r="X636" s="18" t="e">
        <f>IF($L636&lt;"6",INDEX(Revenue_type,MATCH(W636*1,type!$A$118:$A$168,0),8),INDEX(Expenditure_type,MATCH(W636*1,type!$A$2:$A$117,0),8))</f>
        <v>#N/A</v>
      </c>
      <c r="Y636" s="18" t="str">
        <f t="shared" si="79"/>
        <v>100</v>
      </c>
      <c r="Z636" s="18" t="e">
        <f>IF($L636&lt;"6",INDEX(Revenue_type,MATCH(Y636*1,type!$A$118:$A$168,0),8),INDEX(Expenditure_type,MATCH(Y636*1,type!$A$2:$A$117,0),8))</f>
        <v>#N/A</v>
      </c>
    </row>
    <row r="637" spans="1:26" ht="15.75" hidden="1" customHeight="1" outlineLevel="2">
      <c r="A637">
        <v>120</v>
      </c>
      <c r="B637" s="249">
        <v>727000</v>
      </c>
      <c r="C637">
        <v>1</v>
      </c>
      <c r="D637" t="str">
        <f t="shared" si="72"/>
        <v>1727000.120</v>
      </c>
      <c r="E637" s="355" t="s">
        <v>8299</v>
      </c>
      <c r="F637" s="242"/>
      <c r="G637"/>
      <c r="H637" s="322">
        <v>1800</v>
      </c>
      <c r="I637" s="322">
        <v>1800</v>
      </c>
      <c r="J637" s="242">
        <v>100</v>
      </c>
      <c r="K637" s="18" t="e">
        <f>INDEX(תקציב_2013,MATCH(D637,'תקציב 2015'!$D$3:$D$5960,0),8)</f>
        <v>#N/A</v>
      </c>
      <c r="L637" s="18" t="str">
        <f t="shared" si="73"/>
        <v>7</v>
      </c>
      <c r="M637" s="18" t="str">
        <f>INDEX(Chapter,MATCH(L637,Chapter!$A$1:$A$681,0),8)</f>
        <v>שירותים מקומיים</v>
      </c>
      <c r="N637" s="18" t="str">
        <f t="shared" si="74"/>
        <v>72</v>
      </c>
      <c r="O637" s="18" t="str">
        <f>INDEX(Chapter,MATCH(N637,Chapter!$A$1:$A$681,0),8)</f>
        <v>שמירה ובטחון</v>
      </c>
      <c r="P637" s="18" t="str">
        <f t="shared" si="75"/>
        <v>727</v>
      </c>
      <c r="Q637" s="18" t="str">
        <f>INDEX(Chapter,MATCH(P637,Chapter!$A$1:$A$681,0),8)</f>
        <v>הגמ״ר</v>
      </c>
      <c r="R637" s="18" t="str">
        <f t="shared" si="76"/>
        <v>7270</v>
      </c>
      <c r="S637" s="18" t="e">
        <f>INDEX(Chapter,MATCH(R637,Chapter!$A$1:$A$681,0),8)</f>
        <v>#N/A</v>
      </c>
      <c r="T637" s="18"/>
      <c r="U637" s="18" t="str">
        <f t="shared" si="77"/>
        <v>1</v>
      </c>
      <c r="V637" s="18" t="str">
        <f>IF($L637&lt;"6",INDEX(Revenue_type,MATCH(U637*1,type!$A$118:$A$168,0),8),INDEX(Expenditure_type,MATCH(U637*1,type!$A$2:$A$117,0),8))</f>
        <v>משכורות וש"ע לעובדים לפי תקן</v>
      </c>
      <c r="W637" s="18" t="str">
        <f t="shared" si="78"/>
        <v>12</v>
      </c>
      <c r="X637" s="18" t="str">
        <f>IF($L637&lt;"6",INDEX(Revenue_type,MATCH(W637*1,type!$A$118:$A$168,0),8),INDEX(Expenditure_type,MATCH(W637*1,type!$A$2:$A$117,0),8))</f>
        <v>תוספות שאינן נכללות בשכר הקובע</v>
      </c>
      <c r="Y637" s="18" t="str">
        <f t="shared" si="79"/>
        <v>120</v>
      </c>
      <c r="Z637" s="18" t="e">
        <f>IF($L637&lt;"6",INDEX(Revenue_type,MATCH(Y637*1,type!$A$118:$A$168,0),8),INDEX(Expenditure_type,MATCH(Y637*1,type!$A$2:$A$117,0),8))</f>
        <v>#N/A</v>
      </c>
    </row>
    <row r="638" spans="1:26" ht="15.75" hidden="1" customHeight="1" outlineLevel="2">
      <c r="A638">
        <v>800</v>
      </c>
      <c r="B638" s="249">
        <v>727000</v>
      </c>
      <c r="C638">
        <v>1</v>
      </c>
      <c r="D638" t="str">
        <f t="shared" si="72"/>
        <v>1727000.800</v>
      </c>
      <c r="E638" s="355" t="s">
        <v>8300</v>
      </c>
      <c r="F638" s="242"/>
      <c r="G638"/>
      <c r="H638" s="322">
        <v>90800</v>
      </c>
      <c r="I638" s="322">
        <v>93500</v>
      </c>
      <c r="J638" s="242">
        <v>32500</v>
      </c>
      <c r="K638" s="18" t="e">
        <f>INDEX(תקציב_2013,MATCH(D638,'תקציב 2015'!$D$3:$D$5960,0),8)</f>
        <v>#N/A</v>
      </c>
      <c r="L638" s="18" t="str">
        <f t="shared" si="73"/>
        <v>7</v>
      </c>
      <c r="M638" s="18" t="str">
        <f>INDEX(Chapter,MATCH(L638,Chapter!$A$1:$A$681,0),8)</f>
        <v>שירותים מקומיים</v>
      </c>
      <c r="N638" s="18" t="str">
        <f t="shared" si="74"/>
        <v>72</v>
      </c>
      <c r="O638" s="18" t="str">
        <f>INDEX(Chapter,MATCH(N638,Chapter!$A$1:$A$681,0),8)</f>
        <v>שמירה ובטחון</v>
      </c>
      <c r="P638" s="18" t="str">
        <f t="shared" si="75"/>
        <v>727</v>
      </c>
      <c r="Q638" s="18" t="str">
        <f>INDEX(Chapter,MATCH(P638,Chapter!$A$1:$A$681,0),8)</f>
        <v>הגמ״ר</v>
      </c>
      <c r="R638" s="18" t="str">
        <f t="shared" si="76"/>
        <v>7270</v>
      </c>
      <c r="S638" s="18" t="e">
        <f>INDEX(Chapter,MATCH(R638,Chapter!$A$1:$A$681,0),8)</f>
        <v>#N/A</v>
      </c>
      <c r="T638" s="18"/>
      <c r="U638" s="18" t="str">
        <f t="shared" si="77"/>
        <v>8</v>
      </c>
      <c r="V638" s="18" t="str">
        <f>IF($L638&lt;"6",INDEX(Revenue_type,MATCH(U638*1,type!$A$118:$A$168,0),8),INDEX(Expenditure_type,MATCH(U638*1,type!$A$2:$A$117,0),8))</f>
        <v>השתתפויות תמיכות ותרומות</v>
      </c>
      <c r="W638" s="18" t="str">
        <f t="shared" si="78"/>
        <v>80</v>
      </c>
      <c r="X638" s="18" t="e">
        <f>IF($L638&lt;"6",INDEX(Revenue_type,MATCH(W638*1,type!$A$118:$A$168,0),8),INDEX(Expenditure_type,MATCH(W638*1,type!$A$2:$A$117,0),8))</f>
        <v>#N/A</v>
      </c>
      <c r="Y638" s="18" t="str">
        <f t="shared" si="79"/>
        <v>800</v>
      </c>
      <c r="Z638" s="18" t="e">
        <f>IF($L638&lt;"6",INDEX(Revenue_type,MATCH(Y638*1,type!$A$118:$A$168,0),8),INDEX(Expenditure_type,MATCH(Y638*1,type!$A$2:$A$117,0),8))</f>
        <v>#N/A</v>
      </c>
    </row>
    <row r="639" spans="1:26" ht="15.75" hidden="1" customHeight="1" outlineLevel="2">
      <c r="A639">
        <v>800</v>
      </c>
      <c r="B639" s="249">
        <v>847417</v>
      </c>
      <c r="C639">
        <v>1</v>
      </c>
      <c r="D639" t="str">
        <f t="shared" si="72"/>
        <v>1847417.800</v>
      </c>
      <c r="E639" s="355" t="s">
        <v>8301</v>
      </c>
      <c r="F639" s="242"/>
      <c r="G639"/>
      <c r="H639" s="322">
        <v>1882200</v>
      </c>
      <c r="I639" s="322">
        <v>1937500</v>
      </c>
      <c r="J639" s="242">
        <v>1630300</v>
      </c>
      <c r="K639" s="18" t="e">
        <f>INDEX(תקציב_2013,MATCH(D639,'תקציב 2015'!$D$3:$D$5960,0),8)</f>
        <v>#N/A</v>
      </c>
      <c r="L639" s="18" t="str">
        <f t="shared" si="73"/>
        <v>8</v>
      </c>
      <c r="M639" s="18" t="str">
        <f>INDEX(Chapter,MATCH(L639,Chapter!$A$1:$A$681,0),8)</f>
        <v>שירותים ממלכתיים</v>
      </c>
      <c r="N639" s="18" t="str">
        <f t="shared" si="74"/>
        <v>84</v>
      </c>
      <c r="O639" s="18" t="str">
        <f>INDEX(Chapter,MATCH(N639,Chapter!$A$1:$A$681,0),8)</f>
        <v>רווחה</v>
      </c>
      <c r="P639" s="18" t="str">
        <f t="shared" si="75"/>
        <v>847</v>
      </c>
      <c r="Q639" s="18" t="str">
        <f>INDEX(Chapter,MATCH(P639,Chapter!$A$1:$A$681,0),8)</f>
        <v>שירותי תיקון</v>
      </c>
      <c r="R639" s="18" t="str">
        <f t="shared" si="76"/>
        <v>8474</v>
      </c>
      <c r="S639" s="18" t="str">
        <f>INDEX(Chapter,MATCH(R639,Chapter!$A$1:$A$681,0),8)</f>
        <v>מפתנים</v>
      </c>
      <c r="T639" s="18"/>
      <c r="U639" s="18" t="str">
        <f t="shared" si="77"/>
        <v>8</v>
      </c>
      <c r="V639" s="18" t="str">
        <f>IF($L639&lt;"6",INDEX(Revenue_type,MATCH(U639*1,type!$A$118:$A$168,0),8),INDEX(Expenditure_type,MATCH(U639*1,type!$A$2:$A$117,0),8))</f>
        <v>השתתפויות תמיכות ותרומות</v>
      </c>
      <c r="W639" s="18" t="str">
        <f t="shared" si="78"/>
        <v>80</v>
      </c>
      <c r="X639" s="18" t="e">
        <f>IF($L639&lt;"6",INDEX(Revenue_type,MATCH(W639*1,type!$A$118:$A$168,0),8),INDEX(Expenditure_type,MATCH(W639*1,type!$A$2:$A$117,0),8))</f>
        <v>#N/A</v>
      </c>
      <c r="Y639" s="18" t="str">
        <f t="shared" si="79"/>
        <v>800</v>
      </c>
      <c r="Z639" s="18" t="e">
        <f>IF($L639&lt;"6",INDEX(Revenue_type,MATCH(Y639*1,type!$A$118:$A$168,0),8),INDEX(Expenditure_type,MATCH(Y639*1,type!$A$2:$A$117,0),8))</f>
        <v>#N/A</v>
      </c>
    </row>
    <row r="640" spans="1:26" ht="15.75" hidden="1" customHeight="1" outlineLevel="2">
      <c r="A640">
        <v>100</v>
      </c>
      <c r="B640" s="249">
        <v>861000</v>
      </c>
      <c r="C640">
        <v>1</v>
      </c>
      <c r="D640" t="str">
        <f t="shared" si="72"/>
        <v>1861000.100</v>
      </c>
      <c r="E640" s="355" t="s">
        <v>8302</v>
      </c>
      <c r="F640" s="242"/>
      <c r="G640"/>
      <c r="H640" s="322">
        <v>37000</v>
      </c>
      <c r="I640" s="322">
        <v>37000</v>
      </c>
      <c r="J640" s="242">
        <v>151200</v>
      </c>
      <c r="K640" s="18" t="e">
        <f>INDEX(תקציב_2013,MATCH(D640,'תקציב 2015'!$D$3:$D$5960,0),8)</f>
        <v>#N/A</v>
      </c>
      <c r="L640" s="18" t="str">
        <f t="shared" si="73"/>
        <v>8</v>
      </c>
      <c r="M640" s="18" t="str">
        <f>INDEX(Chapter,MATCH(L640,Chapter!$A$1:$A$681,0),8)</f>
        <v>שירותים ממלכתיים</v>
      </c>
      <c r="N640" s="18" t="str">
        <f t="shared" si="74"/>
        <v>86</v>
      </c>
      <c r="O640" s="18" t="str">
        <f>INDEX(Chapter,MATCH(N640,Chapter!$A$1:$A$681,0),8)</f>
        <v>קליטת עליה</v>
      </c>
      <c r="P640" s="18" t="str">
        <f t="shared" si="75"/>
        <v>861</v>
      </c>
      <c r="Q640" s="18" t="e">
        <f>INDEX(Chapter,MATCH(P640,Chapter!$A$1:$A$681,0),8)</f>
        <v>#N/A</v>
      </c>
      <c r="R640" s="18" t="str">
        <f t="shared" si="76"/>
        <v>8610</v>
      </c>
      <c r="S640" s="18" t="e">
        <f>INDEX(Chapter,MATCH(R640,Chapter!$A$1:$A$681,0),8)</f>
        <v>#N/A</v>
      </c>
      <c r="T640" s="18"/>
      <c r="U640" s="18" t="str">
        <f t="shared" si="77"/>
        <v>1</v>
      </c>
      <c r="V640" s="18" t="str">
        <f>IF($L640&lt;"6",INDEX(Revenue_type,MATCH(U640*1,type!$A$118:$A$168,0),8),INDEX(Expenditure_type,MATCH(U640*1,type!$A$2:$A$117,0),8))</f>
        <v>משכורות וש"ע לעובדים לפי תקן</v>
      </c>
      <c r="W640" s="18" t="str">
        <f t="shared" si="78"/>
        <v>10</v>
      </c>
      <c r="X640" s="18" t="e">
        <f>IF($L640&lt;"6",INDEX(Revenue_type,MATCH(W640*1,type!$A$118:$A$168,0),8),INDEX(Expenditure_type,MATCH(W640*1,type!$A$2:$A$117,0),8))</f>
        <v>#N/A</v>
      </c>
      <c r="Y640" s="18" t="str">
        <f t="shared" si="79"/>
        <v>100</v>
      </c>
      <c r="Z640" s="18" t="e">
        <f>IF($L640&lt;"6",INDEX(Revenue_type,MATCH(Y640*1,type!$A$118:$A$168,0),8),INDEX(Expenditure_type,MATCH(Y640*1,type!$A$2:$A$117,0),8))</f>
        <v>#N/A</v>
      </c>
    </row>
    <row r="641" spans="1:26" ht="15.75" hidden="1" customHeight="1" outlineLevel="2">
      <c r="A641">
        <v>700</v>
      </c>
      <c r="B641" s="249">
        <v>861000</v>
      </c>
      <c r="C641">
        <v>1</v>
      </c>
      <c r="D641" t="str">
        <f t="shared" si="72"/>
        <v>1861000.700</v>
      </c>
      <c r="E641" s="355" t="s">
        <v>8303</v>
      </c>
      <c r="F641" s="242"/>
      <c r="G641"/>
      <c r="H641" s="322">
        <v>721700</v>
      </c>
      <c r="I641" s="322">
        <v>742900</v>
      </c>
      <c r="J641" s="242">
        <v>543900</v>
      </c>
      <c r="K641" s="18" t="e">
        <f>INDEX(תקציב_2013,MATCH(D641,'תקציב 2015'!$D$3:$D$5960,0),8)</f>
        <v>#N/A</v>
      </c>
      <c r="L641" s="18" t="str">
        <f t="shared" si="73"/>
        <v>8</v>
      </c>
      <c r="M641" s="18" t="str">
        <f>INDEX(Chapter,MATCH(L641,Chapter!$A$1:$A$681,0),8)</f>
        <v>שירותים ממלכתיים</v>
      </c>
      <c r="N641" s="18" t="str">
        <f t="shared" si="74"/>
        <v>86</v>
      </c>
      <c r="O641" s="18" t="str">
        <f>INDEX(Chapter,MATCH(N641,Chapter!$A$1:$A$681,0),8)</f>
        <v>קליטת עליה</v>
      </c>
      <c r="P641" s="18" t="str">
        <f t="shared" si="75"/>
        <v>861</v>
      </c>
      <c r="Q641" s="18" t="e">
        <f>INDEX(Chapter,MATCH(P641,Chapter!$A$1:$A$681,0),8)</f>
        <v>#N/A</v>
      </c>
      <c r="R641" s="18" t="str">
        <f t="shared" si="76"/>
        <v>8610</v>
      </c>
      <c r="S641" s="18" t="e">
        <f>INDEX(Chapter,MATCH(R641,Chapter!$A$1:$A$681,0),8)</f>
        <v>#N/A</v>
      </c>
      <c r="T641" s="18"/>
      <c r="U641" s="18" t="str">
        <f t="shared" si="77"/>
        <v>7</v>
      </c>
      <c r="V641" s="18" t="str">
        <f>IF($L641&lt;"6",INDEX(Revenue_type,MATCH(U641*1,type!$A$118:$A$168,0),8),INDEX(Expenditure_type,MATCH(U641*1,type!$A$2:$A$117,0),8))</f>
        <v>הוצאות לפעולות</v>
      </c>
      <c r="W641" s="18" t="str">
        <f t="shared" si="78"/>
        <v>70</v>
      </c>
      <c r="X641" s="18" t="e">
        <f>IF($L641&lt;"6",INDEX(Revenue_type,MATCH(W641*1,type!$A$118:$A$168,0),8),INDEX(Expenditure_type,MATCH(W641*1,type!$A$2:$A$117,0),8))</f>
        <v>#N/A</v>
      </c>
      <c r="Y641" s="18" t="str">
        <f t="shared" si="79"/>
        <v>700</v>
      </c>
      <c r="Z641" s="18" t="e">
        <f>IF($L641&lt;"6",INDEX(Revenue_type,MATCH(Y641*1,type!$A$118:$A$168,0),8),INDEX(Expenditure_type,MATCH(Y641*1,type!$A$2:$A$117,0),8))</f>
        <v>#N/A</v>
      </c>
    </row>
    <row r="642" spans="1:26" ht="15.75" hidden="1" customHeight="1" outlineLevel="2">
      <c r="A642">
        <v>800</v>
      </c>
      <c r="B642" s="249">
        <v>847413</v>
      </c>
      <c r="C642">
        <v>1</v>
      </c>
      <c r="D642" t="str">
        <f t="shared" si="72"/>
        <v>1847413.800</v>
      </c>
      <c r="E642" s="355" t="s">
        <v>8304</v>
      </c>
      <c r="F642" s="242"/>
      <c r="G642"/>
      <c r="H642" s="322">
        <v>3330900</v>
      </c>
      <c r="I642" s="322">
        <v>3428500</v>
      </c>
      <c r="J642" s="242">
        <v>3428500</v>
      </c>
      <c r="K642" s="18" t="e">
        <f>INDEX(תקציב_2013,MATCH(D642,'תקציב 2015'!$D$3:$D$5960,0),8)</f>
        <v>#N/A</v>
      </c>
      <c r="L642" s="18" t="str">
        <f t="shared" si="73"/>
        <v>8</v>
      </c>
      <c r="M642" s="18" t="str">
        <f>INDEX(Chapter,MATCH(L642,Chapter!$A$1:$A$681,0),8)</f>
        <v>שירותים ממלכתיים</v>
      </c>
      <c r="N642" s="18" t="str">
        <f t="shared" si="74"/>
        <v>84</v>
      </c>
      <c r="O642" s="18" t="str">
        <f>INDEX(Chapter,MATCH(N642,Chapter!$A$1:$A$681,0),8)</f>
        <v>רווחה</v>
      </c>
      <c r="P642" s="18" t="str">
        <f t="shared" si="75"/>
        <v>847</v>
      </c>
      <c r="Q642" s="18" t="str">
        <f>INDEX(Chapter,MATCH(P642,Chapter!$A$1:$A$681,0),8)</f>
        <v>שירותי תיקון</v>
      </c>
      <c r="R642" s="18" t="str">
        <f t="shared" si="76"/>
        <v>8474</v>
      </c>
      <c r="S642" s="18" t="str">
        <f>INDEX(Chapter,MATCH(R642,Chapter!$A$1:$A$681,0),8)</f>
        <v>מפתנים</v>
      </c>
      <c r="T642" s="18"/>
      <c r="U642" s="18" t="str">
        <f t="shared" si="77"/>
        <v>8</v>
      </c>
      <c r="V642" s="18" t="str">
        <f>IF($L642&lt;"6",INDEX(Revenue_type,MATCH(U642*1,type!$A$118:$A$168,0),8),INDEX(Expenditure_type,MATCH(U642*1,type!$A$2:$A$117,0),8))</f>
        <v>השתתפויות תמיכות ותרומות</v>
      </c>
      <c r="W642" s="18" t="str">
        <f t="shared" si="78"/>
        <v>80</v>
      </c>
      <c r="X642" s="18" t="e">
        <f>IF($L642&lt;"6",INDEX(Revenue_type,MATCH(W642*1,type!$A$118:$A$168,0),8),INDEX(Expenditure_type,MATCH(W642*1,type!$A$2:$A$117,0),8))</f>
        <v>#N/A</v>
      </c>
      <c r="Y642" s="18" t="str">
        <f t="shared" si="79"/>
        <v>800</v>
      </c>
      <c r="Z642" s="18" t="e">
        <f>IF($L642&lt;"6",INDEX(Revenue_type,MATCH(Y642*1,type!$A$118:$A$168,0),8),INDEX(Expenditure_type,MATCH(Y642*1,type!$A$2:$A$117,0),8))</f>
        <v>#N/A</v>
      </c>
    </row>
    <row r="643" spans="1:26" ht="15.75" hidden="1" customHeight="1" outlineLevel="2">
      <c r="A643">
        <v>800</v>
      </c>
      <c r="B643" s="249">
        <v>846423</v>
      </c>
      <c r="C643">
        <v>1</v>
      </c>
      <c r="D643" t="str">
        <f t="shared" si="72"/>
        <v>1846423.800</v>
      </c>
      <c r="E643" s="355" t="s">
        <v>8305</v>
      </c>
      <c r="F643" s="242"/>
      <c r="G643"/>
      <c r="H643" s="322">
        <v>276900</v>
      </c>
      <c r="I643" s="322">
        <v>285000</v>
      </c>
      <c r="J643" s="242">
        <v>277500</v>
      </c>
      <c r="K643" s="18" t="e">
        <f>INDEX(תקציב_2013,MATCH(D643,'תקציב 2015'!$D$3:$D$5960,0),8)</f>
        <v>#N/A</v>
      </c>
      <c r="L643" s="18" t="str">
        <f t="shared" si="73"/>
        <v>8</v>
      </c>
      <c r="M643" s="18" t="str">
        <f>INDEX(Chapter,MATCH(L643,Chapter!$A$1:$A$681,0),8)</f>
        <v>שירותים ממלכתיים</v>
      </c>
      <c r="N643" s="18" t="str">
        <f t="shared" si="74"/>
        <v>84</v>
      </c>
      <c r="O643" s="18" t="str">
        <f>INDEX(Chapter,MATCH(N643,Chapter!$A$1:$A$681,0),8)</f>
        <v>רווחה</v>
      </c>
      <c r="P643" s="18" t="str">
        <f t="shared" si="75"/>
        <v>846</v>
      </c>
      <c r="Q643" s="18" t="str">
        <f>INDEX(Chapter,MATCH(P643,Chapter!$A$1:$A$681,0),8)</f>
        <v>שירותי שיקום</v>
      </c>
      <c r="R643" s="18" t="str">
        <f t="shared" si="76"/>
        <v>8464</v>
      </c>
      <c r="S643" s="18" t="str">
        <f>INDEX(Chapter,MATCH(R643,Chapter!$A$1:$A$681,0),8)</f>
        <v>מפעלי תעסוקה לעיוורים</v>
      </c>
      <c r="T643" s="18"/>
      <c r="U643" s="18" t="str">
        <f t="shared" si="77"/>
        <v>8</v>
      </c>
      <c r="V643" s="18" t="str">
        <f>IF($L643&lt;"6",INDEX(Revenue_type,MATCH(U643*1,type!$A$118:$A$168,0),8),INDEX(Expenditure_type,MATCH(U643*1,type!$A$2:$A$117,0),8))</f>
        <v>השתתפויות תמיכות ותרומות</v>
      </c>
      <c r="W643" s="18" t="str">
        <f t="shared" si="78"/>
        <v>80</v>
      </c>
      <c r="X643" s="18" t="e">
        <f>IF($L643&lt;"6",INDEX(Revenue_type,MATCH(W643*1,type!$A$118:$A$168,0),8),INDEX(Expenditure_type,MATCH(W643*1,type!$A$2:$A$117,0),8))</f>
        <v>#N/A</v>
      </c>
      <c r="Y643" s="18" t="str">
        <f t="shared" si="79"/>
        <v>800</v>
      </c>
      <c r="Z643" s="18" t="e">
        <f>IF($L643&lt;"6",INDEX(Revenue_type,MATCH(Y643*1,type!$A$118:$A$168,0),8),INDEX(Expenditure_type,MATCH(Y643*1,type!$A$2:$A$117,0),8))</f>
        <v>#N/A</v>
      </c>
    </row>
    <row r="644" spans="1:26" ht="15.75" hidden="1" customHeight="1" outlineLevel="2">
      <c r="A644">
        <v>800</v>
      </c>
      <c r="B644" s="249">
        <v>847418</v>
      </c>
      <c r="C644">
        <v>1</v>
      </c>
      <c r="D644" t="str">
        <f t="shared" si="72"/>
        <v>1847418.800</v>
      </c>
      <c r="E644" s="348" t="s">
        <v>8306</v>
      </c>
      <c r="F644" s="242"/>
      <c r="G644"/>
      <c r="H644" s="322">
        <v>63700</v>
      </c>
      <c r="I644" s="322">
        <v>65600</v>
      </c>
      <c r="J644" s="242">
        <v>55200</v>
      </c>
      <c r="K644" s="18" t="e">
        <f>INDEX(תקציב_2013,MATCH(D644,'תקציב 2015'!$D$3:$D$5960,0),8)</f>
        <v>#N/A</v>
      </c>
      <c r="L644" s="18" t="str">
        <f t="shared" si="73"/>
        <v>8</v>
      </c>
      <c r="M644" s="18" t="str">
        <f>INDEX(Chapter,MATCH(L644,Chapter!$A$1:$A$681,0),8)</f>
        <v>שירותים ממלכתיים</v>
      </c>
      <c r="N644" s="18" t="str">
        <f t="shared" si="74"/>
        <v>84</v>
      </c>
      <c r="O644" s="18" t="str">
        <f>INDEX(Chapter,MATCH(N644,Chapter!$A$1:$A$681,0),8)</f>
        <v>רווחה</v>
      </c>
      <c r="P644" s="18" t="str">
        <f t="shared" si="75"/>
        <v>847</v>
      </c>
      <c r="Q644" s="18" t="str">
        <f>INDEX(Chapter,MATCH(P644,Chapter!$A$1:$A$681,0),8)</f>
        <v>שירותי תיקון</v>
      </c>
      <c r="R644" s="18" t="str">
        <f t="shared" si="76"/>
        <v>8474</v>
      </c>
      <c r="S644" s="18" t="str">
        <f>INDEX(Chapter,MATCH(R644,Chapter!$A$1:$A$681,0),8)</f>
        <v>מפתנים</v>
      </c>
      <c r="T644" s="18"/>
      <c r="U644" s="18" t="str">
        <f t="shared" si="77"/>
        <v>8</v>
      </c>
      <c r="V644" s="18" t="str">
        <f>IF($L644&lt;"6",INDEX(Revenue_type,MATCH(U644*1,type!$A$118:$A$168,0),8),INDEX(Expenditure_type,MATCH(U644*1,type!$A$2:$A$117,0),8))</f>
        <v>השתתפויות תמיכות ותרומות</v>
      </c>
      <c r="W644" s="18" t="str">
        <f t="shared" si="78"/>
        <v>80</v>
      </c>
      <c r="X644" s="18" t="e">
        <f>IF($L644&lt;"6",INDEX(Revenue_type,MATCH(W644*1,type!$A$118:$A$168,0),8),INDEX(Expenditure_type,MATCH(W644*1,type!$A$2:$A$117,0),8))</f>
        <v>#N/A</v>
      </c>
      <c r="Y644" s="18" t="str">
        <f t="shared" si="79"/>
        <v>800</v>
      </c>
      <c r="Z644" s="18" t="e">
        <f>IF($L644&lt;"6",INDEX(Revenue_type,MATCH(Y644*1,type!$A$118:$A$168,0),8),INDEX(Expenditure_type,MATCH(Y644*1,type!$A$2:$A$117,0),8))</f>
        <v>#N/A</v>
      </c>
    </row>
    <row r="645" spans="1:26" ht="15.75" hidden="1" customHeight="1" outlineLevel="2">
      <c r="A645">
        <v>800</v>
      </c>
      <c r="B645" s="249">
        <v>847420</v>
      </c>
      <c r="C645">
        <v>1</v>
      </c>
      <c r="D645" t="str">
        <f t="shared" si="72"/>
        <v>1847420.800</v>
      </c>
      <c r="E645" s="348" t="s">
        <v>8307</v>
      </c>
      <c r="F645" s="242"/>
      <c r="G645"/>
      <c r="H645" s="322">
        <v>39800</v>
      </c>
      <c r="I645" s="322">
        <v>41000</v>
      </c>
      <c r="J645" s="242">
        <v>41000</v>
      </c>
      <c r="K645" s="18" t="e">
        <f>INDEX(תקציב_2013,MATCH(D645,'תקציב 2015'!$D$3:$D$5960,0),8)</f>
        <v>#N/A</v>
      </c>
      <c r="L645" s="18" t="str">
        <f t="shared" si="73"/>
        <v>8</v>
      </c>
      <c r="M645" s="18" t="str">
        <f>INDEX(Chapter,MATCH(L645,Chapter!$A$1:$A$681,0),8)</f>
        <v>שירותים ממלכתיים</v>
      </c>
      <c r="N645" s="18" t="str">
        <f t="shared" si="74"/>
        <v>84</v>
      </c>
      <c r="O645" s="18" t="str">
        <f>INDEX(Chapter,MATCH(N645,Chapter!$A$1:$A$681,0),8)</f>
        <v>רווחה</v>
      </c>
      <c r="P645" s="18" t="str">
        <f t="shared" si="75"/>
        <v>847</v>
      </c>
      <c r="Q645" s="18" t="str">
        <f>INDEX(Chapter,MATCH(P645,Chapter!$A$1:$A$681,0),8)</f>
        <v>שירותי תיקון</v>
      </c>
      <c r="R645" s="18" t="str">
        <f t="shared" si="76"/>
        <v>8474</v>
      </c>
      <c r="S645" s="18" t="str">
        <f>INDEX(Chapter,MATCH(R645,Chapter!$A$1:$A$681,0),8)</f>
        <v>מפתנים</v>
      </c>
      <c r="T645" s="18"/>
      <c r="U645" s="18" t="str">
        <f t="shared" si="77"/>
        <v>8</v>
      </c>
      <c r="V645" s="18" t="str">
        <f>IF($L645&lt;"6",INDEX(Revenue_type,MATCH(U645*1,type!$A$118:$A$168,0),8),INDEX(Expenditure_type,MATCH(U645*1,type!$A$2:$A$117,0),8))</f>
        <v>השתתפויות תמיכות ותרומות</v>
      </c>
      <c r="W645" s="18" t="str">
        <f t="shared" si="78"/>
        <v>80</v>
      </c>
      <c r="X645" s="18" t="e">
        <f>IF($L645&lt;"6",INDEX(Revenue_type,MATCH(W645*1,type!$A$118:$A$168,0),8),INDEX(Expenditure_type,MATCH(W645*1,type!$A$2:$A$117,0),8))</f>
        <v>#N/A</v>
      </c>
      <c r="Y645" s="18" t="str">
        <f t="shared" si="79"/>
        <v>800</v>
      </c>
      <c r="Z645" s="18" t="e">
        <f>IF($L645&lt;"6",INDEX(Revenue_type,MATCH(Y645*1,type!$A$118:$A$168,0),8),INDEX(Expenditure_type,MATCH(Y645*1,type!$A$2:$A$117,0),8))</f>
        <v>#N/A</v>
      </c>
    </row>
    <row r="646" spans="1:26" ht="15.75" hidden="1" customHeight="1" outlineLevel="2">
      <c r="A646">
        <v>800</v>
      </c>
      <c r="B646" s="249">
        <v>847416</v>
      </c>
      <c r="C646">
        <v>1</v>
      </c>
      <c r="D646" t="str">
        <f t="shared" si="72"/>
        <v>1847416.800</v>
      </c>
      <c r="E646" s="355" t="s">
        <v>8308</v>
      </c>
      <c r="F646" s="242"/>
      <c r="G646"/>
      <c r="H646" s="322">
        <v>52300</v>
      </c>
      <c r="I646" s="322">
        <v>53800</v>
      </c>
      <c r="J646" s="242">
        <v>22500</v>
      </c>
      <c r="K646" s="18" t="e">
        <f>INDEX(תקציב_2013,MATCH(D646,'תקציב 2015'!$D$3:$D$5960,0),8)</f>
        <v>#N/A</v>
      </c>
      <c r="L646" s="18" t="str">
        <f t="shared" si="73"/>
        <v>8</v>
      </c>
      <c r="M646" s="18" t="str">
        <f>INDEX(Chapter,MATCH(L646,Chapter!$A$1:$A$681,0),8)</f>
        <v>שירותים ממלכתיים</v>
      </c>
      <c r="N646" s="18" t="str">
        <f t="shared" si="74"/>
        <v>84</v>
      </c>
      <c r="O646" s="18" t="str">
        <f>INDEX(Chapter,MATCH(N646,Chapter!$A$1:$A$681,0),8)</f>
        <v>רווחה</v>
      </c>
      <c r="P646" s="18" t="str">
        <f t="shared" si="75"/>
        <v>847</v>
      </c>
      <c r="Q646" s="18" t="str">
        <f>INDEX(Chapter,MATCH(P646,Chapter!$A$1:$A$681,0),8)</f>
        <v>שירותי תיקון</v>
      </c>
      <c r="R646" s="18" t="str">
        <f t="shared" si="76"/>
        <v>8474</v>
      </c>
      <c r="S646" s="18" t="str">
        <f>INDEX(Chapter,MATCH(R646,Chapter!$A$1:$A$681,0),8)</f>
        <v>מפתנים</v>
      </c>
      <c r="T646" s="18"/>
      <c r="U646" s="18" t="str">
        <f t="shared" si="77"/>
        <v>8</v>
      </c>
      <c r="V646" s="18" t="str">
        <f>IF($L646&lt;"6",INDEX(Revenue_type,MATCH(U646*1,type!$A$118:$A$168,0),8),INDEX(Expenditure_type,MATCH(U646*1,type!$A$2:$A$117,0),8))</f>
        <v>השתתפויות תמיכות ותרומות</v>
      </c>
      <c r="W646" s="18" t="str">
        <f t="shared" si="78"/>
        <v>80</v>
      </c>
      <c r="X646" s="18" t="e">
        <f>IF($L646&lt;"6",INDEX(Revenue_type,MATCH(W646*1,type!$A$118:$A$168,0),8),INDEX(Expenditure_type,MATCH(W646*1,type!$A$2:$A$117,0),8))</f>
        <v>#N/A</v>
      </c>
      <c r="Y646" s="18" t="str">
        <f t="shared" si="79"/>
        <v>800</v>
      </c>
      <c r="Z646" s="18" t="e">
        <f>IF($L646&lt;"6",INDEX(Revenue_type,MATCH(Y646*1,type!$A$118:$A$168,0),8),INDEX(Expenditure_type,MATCH(Y646*1,type!$A$2:$A$117,0),8))</f>
        <v>#N/A</v>
      </c>
    </row>
    <row r="647" spans="1:26" ht="15.75" hidden="1" customHeight="1" outlineLevel="2">
      <c r="A647">
        <v>800</v>
      </c>
      <c r="B647" s="249">
        <v>847411</v>
      </c>
      <c r="C647">
        <v>1</v>
      </c>
      <c r="D647" t="str">
        <f t="shared" si="72"/>
        <v>1847411.800</v>
      </c>
      <c r="E647" s="355" t="s">
        <v>8309</v>
      </c>
      <c r="F647" s="242"/>
      <c r="G647"/>
      <c r="H647" s="322">
        <v>83100</v>
      </c>
      <c r="I647" s="322">
        <v>85500</v>
      </c>
      <c r="J647" s="242">
        <v>77000</v>
      </c>
      <c r="K647" s="18" t="e">
        <f>INDEX(תקציב_2013,MATCH(D647,'תקציב 2015'!$D$3:$D$5960,0),8)</f>
        <v>#N/A</v>
      </c>
      <c r="L647" s="18" t="str">
        <f t="shared" si="73"/>
        <v>8</v>
      </c>
      <c r="M647" s="18" t="str">
        <f>INDEX(Chapter,MATCH(L647,Chapter!$A$1:$A$681,0),8)</f>
        <v>שירותים ממלכתיים</v>
      </c>
      <c r="N647" s="18" t="str">
        <f t="shared" si="74"/>
        <v>84</v>
      </c>
      <c r="O647" s="18" t="str">
        <f>INDEX(Chapter,MATCH(N647,Chapter!$A$1:$A$681,0),8)</f>
        <v>רווחה</v>
      </c>
      <c r="P647" s="18" t="str">
        <f t="shared" si="75"/>
        <v>847</v>
      </c>
      <c r="Q647" s="18" t="str">
        <f>INDEX(Chapter,MATCH(P647,Chapter!$A$1:$A$681,0),8)</f>
        <v>שירותי תיקון</v>
      </c>
      <c r="R647" s="18" t="str">
        <f t="shared" si="76"/>
        <v>8474</v>
      </c>
      <c r="S647" s="18" t="str">
        <f>INDEX(Chapter,MATCH(R647,Chapter!$A$1:$A$681,0),8)</f>
        <v>מפתנים</v>
      </c>
      <c r="T647" s="18"/>
      <c r="U647" s="18" t="str">
        <f t="shared" si="77"/>
        <v>8</v>
      </c>
      <c r="V647" s="18" t="str">
        <f>IF($L647&lt;"6",INDEX(Revenue_type,MATCH(U647*1,type!$A$118:$A$168,0),8),INDEX(Expenditure_type,MATCH(U647*1,type!$A$2:$A$117,0),8))</f>
        <v>השתתפויות תמיכות ותרומות</v>
      </c>
      <c r="W647" s="18" t="str">
        <f t="shared" si="78"/>
        <v>80</v>
      </c>
      <c r="X647" s="18" t="e">
        <f>IF($L647&lt;"6",INDEX(Revenue_type,MATCH(W647*1,type!$A$118:$A$168,0),8),INDEX(Expenditure_type,MATCH(W647*1,type!$A$2:$A$117,0),8))</f>
        <v>#N/A</v>
      </c>
      <c r="Y647" s="18" t="str">
        <f t="shared" si="79"/>
        <v>800</v>
      </c>
      <c r="Z647" s="18" t="e">
        <f>IF($L647&lt;"6",INDEX(Revenue_type,MATCH(Y647*1,type!$A$118:$A$168,0),8),INDEX(Expenditure_type,MATCH(Y647*1,type!$A$2:$A$117,0),8))</f>
        <v>#N/A</v>
      </c>
    </row>
    <row r="648" spans="1:26" ht="15.75" hidden="1" customHeight="1" outlineLevel="2">
      <c r="A648">
        <v>800</v>
      </c>
      <c r="B648" s="249">
        <v>847414</v>
      </c>
      <c r="C648">
        <v>1</v>
      </c>
      <c r="D648" t="str">
        <f t="shared" si="72"/>
        <v>1847414.800</v>
      </c>
      <c r="E648" s="355" t="s">
        <v>8310</v>
      </c>
      <c r="F648" s="242"/>
      <c r="G648"/>
      <c r="H648" s="322">
        <v>41600</v>
      </c>
      <c r="I648" s="322">
        <v>42800</v>
      </c>
      <c r="J648" s="242">
        <v>42800</v>
      </c>
      <c r="K648" s="18" t="e">
        <f>INDEX(תקציב_2013,MATCH(D648,'תקציב 2015'!$D$3:$D$5960,0),8)</f>
        <v>#N/A</v>
      </c>
      <c r="L648" s="18" t="str">
        <f t="shared" si="73"/>
        <v>8</v>
      </c>
      <c r="M648" s="18" t="str">
        <f>INDEX(Chapter,MATCH(L648,Chapter!$A$1:$A$681,0),8)</f>
        <v>שירותים ממלכתיים</v>
      </c>
      <c r="N648" s="18" t="str">
        <f t="shared" si="74"/>
        <v>84</v>
      </c>
      <c r="O648" s="18" t="str">
        <f>INDEX(Chapter,MATCH(N648,Chapter!$A$1:$A$681,0),8)</f>
        <v>רווחה</v>
      </c>
      <c r="P648" s="18" t="str">
        <f t="shared" si="75"/>
        <v>847</v>
      </c>
      <c r="Q648" s="18" t="str">
        <f>INDEX(Chapter,MATCH(P648,Chapter!$A$1:$A$681,0),8)</f>
        <v>שירותי תיקון</v>
      </c>
      <c r="R648" s="18" t="str">
        <f t="shared" si="76"/>
        <v>8474</v>
      </c>
      <c r="S648" s="18" t="str">
        <f>INDEX(Chapter,MATCH(R648,Chapter!$A$1:$A$681,0),8)</f>
        <v>מפתנים</v>
      </c>
      <c r="T648" s="18"/>
      <c r="U648" s="18" t="str">
        <f t="shared" si="77"/>
        <v>8</v>
      </c>
      <c r="V648" s="18" t="str">
        <f>IF($L648&lt;"6",INDEX(Revenue_type,MATCH(U648*1,type!$A$118:$A$168,0),8),INDEX(Expenditure_type,MATCH(U648*1,type!$A$2:$A$117,0),8))</f>
        <v>השתתפויות תמיכות ותרומות</v>
      </c>
      <c r="W648" s="18" t="str">
        <f t="shared" si="78"/>
        <v>80</v>
      </c>
      <c r="X648" s="18" t="e">
        <f>IF($L648&lt;"6",INDEX(Revenue_type,MATCH(W648*1,type!$A$118:$A$168,0),8),INDEX(Expenditure_type,MATCH(W648*1,type!$A$2:$A$117,0),8))</f>
        <v>#N/A</v>
      </c>
      <c r="Y648" s="18" t="str">
        <f t="shared" si="79"/>
        <v>800</v>
      </c>
      <c r="Z648" s="18" t="e">
        <f>IF($L648&lt;"6",INDEX(Revenue_type,MATCH(Y648*1,type!$A$118:$A$168,0),8),INDEX(Expenditure_type,MATCH(Y648*1,type!$A$2:$A$117,0),8))</f>
        <v>#N/A</v>
      </c>
    </row>
    <row r="649" spans="1:26" ht="15.75" hidden="1" customHeight="1" outlineLevel="2">
      <c r="A649">
        <v>800</v>
      </c>
      <c r="B649" s="249">
        <v>847415</v>
      </c>
      <c r="C649">
        <v>1</v>
      </c>
      <c r="D649" t="str">
        <f t="shared" si="72"/>
        <v>1847415.800</v>
      </c>
      <c r="E649" s="355" t="s">
        <v>8311</v>
      </c>
      <c r="F649" s="242"/>
      <c r="G649"/>
      <c r="H649" s="322">
        <v>20800</v>
      </c>
      <c r="I649" s="322">
        <v>21400</v>
      </c>
      <c r="J649" s="242">
        <v>20700</v>
      </c>
      <c r="K649" s="18"/>
      <c r="L649" s="18" t="str">
        <f t="shared" si="73"/>
        <v>8</v>
      </c>
      <c r="M649" s="18" t="str">
        <f>INDEX(Chapter,MATCH(L649,Chapter!$A$1:$A$681,0),8)</f>
        <v>שירותים ממלכתיים</v>
      </c>
      <c r="N649" s="18" t="str">
        <f t="shared" si="74"/>
        <v>84</v>
      </c>
      <c r="O649" s="18" t="str">
        <f>INDEX(Chapter,MATCH(N649,Chapter!$A$1:$A$681,0),8)</f>
        <v>רווחה</v>
      </c>
      <c r="P649" s="18" t="str">
        <f t="shared" si="75"/>
        <v>847</v>
      </c>
      <c r="Q649" s="18" t="str">
        <f>INDEX(Chapter,MATCH(P649,Chapter!$A$1:$A$681,0),8)</f>
        <v>שירותי תיקון</v>
      </c>
      <c r="R649" s="18" t="str">
        <f t="shared" si="76"/>
        <v>8474</v>
      </c>
      <c r="S649" s="18" t="str">
        <f>INDEX(Chapter,MATCH(R649,Chapter!$A$1:$A$681,0),8)</f>
        <v>מפתנים</v>
      </c>
      <c r="T649" s="18"/>
      <c r="U649" s="18" t="str">
        <f t="shared" si="77"/>
        <v>8</v>
      </c>
      <c r="V649" s="18" t="str">
        <f>IF($L649&lt;"6",INDEX(Revenue_type,MATCH(U649*1,type!$A$118:$A$168,0),8),INDEX(Expenditure_type,MATCH(U649*1,type!$A$2:$A$117,0),8))</f>
        <v>השתתפויות תמיכות ותרומות</v>
      </c>
      <c r="W649" s="18" t="str">
        <f t="shared" si="78"/>
        <v>80</v>
      </c>
      <c r="X649" s="18" t="e">
        <f>IF($L649&lt;"6",INDEX(Revenue_type,MATCH(W649*1,type!$A$118:$A$168,0),8),INDEX(Expenditure_type,MATCH(W649*1,type!$A$2:$A$117,0),8))</f>
        <v>#N/A</v>
      </c>
      <c r="Y649" s="18" t="str">
        <f t="shared" si="79"/>
        <v>800</v>
      </c>
      <c r="Z649" s="18" t="e">
        <f>IF($L649&lt;"6",INDEX(Revenue_type,MATCH(Y649*1,type!$A$118:$A$168,0),8),INDEX(Expenditure_type,MATCH(Y649*1,type!$A$2:$A$117,0),8))</f>
        <v>#N/A</v>
      </c>
    </row>
    <row r="650" spans="1:26" ht="15.75" hidden="1" customHeight="1" outlineLevel="2">
      <c r="A650">
        <v>800</v>
      </c>
      <c r="B650" s="249">
        <v>847422</v>
      </c>
      <c r="C650">
        <v>1</v>
      </c>
      <c r="D650" t="str">
        <f t="shared" si="72"/>
        <v>1847422.800</v>
      </c>
      <c r="E650" s="355" t="s">
        <v>8312</v>
      </c>
      <c r="F650" s="242"/>
      <c r="G650"/>
      <c r="H650" s="322">
        <v>68000</v>
      </c>
      <c r="I650" s="322">
        <v>70000</v>
      </c>
      <c r="J650" s="242">
        <v>44000</v>
      </c>
      <c r="K650" s="18" t="e">
        <f>INDEX(תקציב_2013,MATCH(D650,'תקציב 2015'!$D$3:$D$5960,0),8)</f>
        <v>#N/A</v>
      </c>
      <c r="L650" s="18" t="str">
        <f t="shared" si="73"/>
        <v>8</v>
      </c>
      <c r="M650" s="18" t="str">
        <f>INDEX(Chapter,MATCH(L650,Chapter!$A$1:$A$681,0),8)</f>
        <v>שירותים ממלכתיים</v>
      </c>
      <c r="N650" s="18" t="str">
        <f t="shared" si="74"/>
        <v>84</v>
      </c>
      <c r="O650" s="18" t="str">
        <f>INDEX(Chapter,MATCH(N650,Chapter!$A$1:$A$681,0),8)</f>
        <v>רווחה</v>
      </c>
      <c r="P650" s="18" t="str">
        <f t="shared" si="75"/>
        <v>847</v>
      </c>
      <c r="Q650" s="18" t="str">
        <f>INDEX(Chapter,MATCH(P650,Chapter!$A$1:$A$681,0),8)</f>
        <v>שירותי תיקון</v>
      </c>
      <c r="R650" s="18" t="str">
        <f t="shared" si="76"/>
        <v>8474</v>
      </c>
      <c r="S650" s="18" t="str">
        <f>INDEX(Chapter,MATCH(R650,Chapter!$A$1:$A$681,0),8)</f>
        <v>מפתנים</v>
      </c>
      <c r="T650" s="18"/>
      <c r="U650" s="18" t="str">
        <f t="shared" si="77"/>
        <v>8</v>
      </c>
      <c r="V650" s="18" t="str">
        <f>IF($L650&lt;"6",INDEX(Revenue_type,MATCH(U650*1,type!$A$118:$A$168,0),8),INDEX(Expenditure_type,MATCH(U650*1,type!$A$2:$A$117,0),8))</f>
        <v>השתתפויות תמיכות ותרומות</v>
      </c>
      <c r="W650" s="18" t="str">
        <f t="shared" si="78"/>
        <v>80</v>
      </c>
      <c r="X650" s="18" t="e">
        <f>IF($L650&lt;"6",INDEX(Revenue_type,MATCH(W650*1,type!$A$118:$A$168,0),8),INDEX(Expenditure_type,MATCH(W650*1,type!$A$2:$A$117,0),8))</f>
        <v>#N/A</v>
      </c>
      <c r="Y650" s="18" t="str">
        <f t="shared" si="79"/>
        <v>800</v>
      </c>
      <c r="Z650" s="18" t="e">
        <f>IF($L650&lt;"6",INDEX(Revenue_type,MATCH(Y650*1,type!$A$118:$A$168,0),8),INDEX(Expenditure_type,MATCH(Y650*1,type!$A$2:$A$117,0),8))</f>
        <v>#N/A</v>
      </c>
    </row>
    <row r="651" spans="1:26" ht="15.75" hidden="1" customHeight="1" outlineLevel="2">
      <c r="A651">
        <v>800</v>
      </c>
      <c r="B651" s="249">
        <v>761111</v>
      </c>
      <c r="C651">
        <v>1</v>
      </c>
      <c r="D651" t="str">
        <f t="shared" si="72"/>
        <v>1761111.800</v>
      </c>
      <c r="E651" s="354" t="s">
        <v>8313</v>
      </c>
      <c r="F651" s="242"/>
      <c r="G651"/>
      <c r="H651" s="322">
        <v>280600</v>
      </c>
      <c r="I651" s="322">
        <v>288800</v>
      </c>
      <c r="J651" s="242">
        <v>274700</v>
      </c>
      <c r="K651" s="18" t="e">
        <f>INDEX(תקציב_2013,MATCH(D651,'תקציב 2015'!$D$3:$D$5960,0),8)</f>
        <v>#N/A</v>
      </c>
      <c r="L651" s="18" t="str">
        <f t="shared" si="73"/>
        <v>7</v>
      </c>
      <c r="M651" s="18" t="str">
        <f>INDEX(Chapter,MATCH(L651,Chapter!$A$1:$A$681,0),8)</f>
        <v>שירותים מקומיים</v>
      </c>
      <c r="N651" s="18" t="str">
        <f t="shared" si="74"/>
        <v>76</v>
      </c>
      <c r="O651" s="18" t="str">
        <f>INDEX(Chapter,MATCH(N651,Chapter!$A$1:$A$681,0),8)</f>
        <v>שירותים עירוניים שונים</v>
      </c>
      <c r="P651" s="18" t="str">
        <f t="shared" si="75"/>
        <v>761</v>
      </c>
      <c r="Q651" s="18" t="str">
        <f>INDEX(Chapter,MATCH(P651,Chapter!$A$1:$A$681,0),8)</f>
        <v>מוקד עירוני</v>
      </c>
      <c r="R651" s="18" t="str">
        <f t="shared" si="76"/>
        <v>7611</v>
      </c>
      <c r="S651" s="18" t="e">
        <f>INDEX(Chapter,MATCH(R651,Chapter!$A$1:$A$681,0),8)</f>
        <v>#N/A</v>
      </c>
      <c r="T651" s="18"/>
      <c r="U651" s="18" t="str">
        <f t="shared" si="77"/>
        <v>8</v>
      </c>
      <c r="V651" s="18" t="str">
        <f>IF($L651&lt;"6",INDEX(Revenue_type,MATCH(U651*1,type!$A$118:$A$168,0),8),INDEX(Expenditure_type,MATCH(U651*1,type!$A$2:$A$117,0),8))</f>
        <v>השתתפויות תמיכות ותרומות</v>
      </c>
      <c r="W651" s="18" t="str">
        <f t="shared" si="78"/>
        <v>80</v>
      </c>
      <c r="X651" s="18" t="e">
        <f>IF($L651&lt;"6",INDEX(Revenue_type,MATCH(W651*1,type!$A$118:$A$168,0),8),INDEX(Expenditure_type,MATCH(W651*1,type!$A$2:$A$117,0),8))</f>
        <v>#N/A</v>
      </c>
      <c r="Y651" s="18" t="str">
        <f t="shared" si="79"/>
        <v>800</v>
      </c>
      <c r="Z651" s="18" t="e">
        <f>IF($L651&lt;"6",INDEX(Revenue_type,MATCH(Y651*1,type!$A$118:$A$168,0),8),INDEX(Expenditure_type,MATCH(Y651*1,type!$A$2:$A$117,0),8))</f>
        <v>#N/A</v>
      </c>
    </row>
    <row r="652" spans="1:26" ht="15.75" hidden="1" customHeight="1" outlineLevel="2">
      <c r="A652">
        <v>800</v>
      </c>
      <c r="B652" s="249">
        <v>847425</v>
      </c>
      <c r="C652">
        <v>1</v>
      </c>
      <c r="D652" t="str">
        <f t="shared" si="72"/>
        <v>1847425.800</v>
      </c>
      <c r="E652" s="354" t="s">
        <v>8314</v>
      </c>
      <c r="F652" s="242"/>
      <c r="G652"/>
      <c r="H652" s="322">
        <v>138400</v>
      </c>
      <c r="I652" s="322">
        <v>142500</v>
      </c>
      <c r="J652" s="242">
        <v>132600</v>
      </c>
      <c r="K652" s="18" t="e">
        <f>INDEX(תקציב_2013,MATCH(D652,'תקציב 2015'!$D$3:$D$5960,0),8)</f>
        <v>#N/A</v>
      </c>
      <c r="L652" s="18" t="str">
        <f t="shared" si="73"/>
        <v>8</v>
      </c>
      <c r="M652" s="18" t="str">
        <f>INDEX(Chapter,MATCH(L652,Chapter!$A$1:$A$681,0),8)</f>
        <v>שירותים ממלכתיים</v>
      </c>
      <c r="N652" s="18" t="str">
        <f t="shared" si="74"/>
        <v>84</v>
      </c>
      <c r="O652" s="18" t="str">
        <f>INDEX(Chapter,MATCH(N652,Chapter!$A$1:$A$681,0),8)</f>
        <v>רווחה</v>
      </c>
      <c r="P652" s="18" t="str">
        <f t="shared" si="75"/>
        <v>847</v>
      </c>
      <c r="Q652" s="18" t="str">
        <f>INDEX(Chapter,MATCH(P652,Chapter!$A$1:$A$681,0),8)</f>
        <v>שירותי תיקון</v>
      </c>
      <c r="R652" s="18" t="str">
        <f t="shared" si="76"/>
        <v>8474</v>
      </c>
      <c r="S652" s="18" t="str">
        <f>INDEX(Chapter,MATCH(R652,Chapter!$A$1:$A$681,0),8)</f>
        <v>מפתנים</v>
      </c>
      <c r="T652" s="18"/>
      <c r="U652" s="18" t="str">
        <f t="shared" si="77"/>
        <v>8</v>
      </c>
      <c r="V652" s="18" t="str">
        <f>IF($L652&lt;"6",INDEX(Revenue_type,MATCH(U652*1,type!$A$118:$A$168,0),8),INDEX(Expenditure_type,MATCH(U652*1,type!$A$2:$A$117,0),8))</f>
        <v>השתתפויות תמיכות ותרומות</v>
      </c>
      <c r="W652" s="18" t="str">
        <f t="shared" si="78"/>
        <v>80</v>
      </c>
      <c r="X652" s="18" t="e">
        <f>IF($L652&lt;"6",INDEX(Revenue_type,MATCH(W652*1,type!$A$118:$A$168,0),8),INDEX(Expenditure_type,MATCH(W652*1,type!$A$2:$A$117,0),8))</f>
        <v>#N/A</v>
      </c>
      <c r="Y652" s="18" t="str">
        <f t="shared" si="79"/>
        <v>800</v>
      </c>
      <c r="Z652" s="18" t="e">
        <f>IF($L652&lt;"6",INDEX(Revenue_type,MATCH(Y652*1,type!$A$118:$A$168,0),8),INDEX(Expenditure_type,MATCH(Y652*1,type!$A$2:$A$117,0),8))</f>
        <v>#N/A</v>
      </c>
    </row>
    <row r="653" spans="1:26" ht="15.75" hidden="1" customHeight="1" outlineLevel="2">
      <c r="A653">
        <v>800</v>
      </c>
      <c r="B653" s="249">
        <v>847426</v>
      </c>
      <c r="C653">
        <v>1</v>
      </c>
      <c r="D653" t="str">
        <f t="shared" si="72"/>
        <v>1847426.800</v>
      </c>
      <c r="E653" s="354" t="s">
        <v>8315</v>
      </c>
      <c r="F653" s="242"/>
      <c r="G653"/>
      <c r="H653" s="322">
        <v>138400</v>
      </c>
      <c r="I653" s="322">
        <v>142500</v>
      </c>
      <c r="J653" s="242">
        <v>64800</v>
      </c>
      <c r="K653" s="18" t="e">
        <f>INDEX(תקציב_2013,MATCH(D653,'תקציב 2015'!$D$3:$D$5960,0),8)</f>
        <v>#N/A</v>
      </c>
      <c r="L653" s="18" t="str">
        <f t="shared" si="73"/>
        <v>8</v>
      </c>
      <c r="M653" s="18" t="str">
        <f>INDEX(Chapter,MATCH(L653,Chapter!$A$1:$A$681,0),8)</f>
        <v>שירותים ממלכתיים</v>
      </c>
      <c r="N653" s="18" t="str">
        <f t="shared" si="74"/>
        <v>84</v>
      </c>
      <c r="O653" s="18" t="str">
        <f>INDEX(Chapter,MATCH(N653,Chapter!$A$1:$A$681,0),8)</f>
        <v>רווחה</v>
      </c>
      <c r="P653" s="18" t="str">
        <f t="shared" si="75"/>
        <v>847</v>
      </c>
      <c r="Q653" s="18" t="str">
        <f>INDEX(Chapter,MATCH(P653,Chapter!$A$1:$A$681,0),8)</f>
        <v>שירותי תיקון</v>
      </c>
      <c r="R653" s="18" t="str">
        <f t="shared" si="76"/>
        <v>8474</v>
      </c>
      <c r="S653" s="18" t="str">
        <f>INDEX(Chapter,MATCH(R653,Chapter!$A$1:$A$681,0),8)</f>
        <v>מפתנים</v>
      </c>
      <c r="T653" s="18"/>
      <c r="U653" s="18" t="str">
        <f t="shared" si="77"/>
        <v>8</v>
      </c>
      <c r="V653" s="18" t="str">
        <f>IF($L653&lt;"6",INDEX(Revenue_type,MATCH(U653*1,type!$A$118:$A$168,0),8),INDEX(Expenditure_type,MATCH(U653*1,type!$A$2:$A$117,0),8))</f>
        <v>השתתפויות תמיכות ותרומות</v>
      </c>
      <c r="W653" s="18" t="str">
        <f t="shared" si="78"/>
        <v>80</v>
      </c>
      <c r="X653" s="18" t="e">
        <f>IF($L653&lt;"6",INDEX(Revenue_type,MATCH(W653*1,type!$A$118:$A$168,0),8),INDEX(Expenditure_type,MATCH(W653*1,type!$A$2:$A$117,0),8))</f>
        <v>#N/A</v>
      </c>
      <c r="Y653" s="18" t="str">
        <f t="shared" si="79"/>
        <v>800</v>
      </c>
      <c r="Z653" s="18" t="e">
        <f>IF($L653&lt;"6",INDEX(Revenue_type,MATCH(Y653*1,type!$A$118:$A$168,0),8),INDEX(Expenditure_type,MATCH(Y653*1,type!$A$2:$A$117,0),8))</f>
        <v>#N/A</v>
      </c>
    </row>
    <row r="654" spans="1:26" ht="15.75" hidden="1" customHeight="1" outlineLevel="2">
      <c r="A654">
        <v>100</v>
      </c>
      <c r="B654" s="249">
        <v>829500</v>
      </c>
      <c r="C654">
        <v>1</v>
      </c>
      <c r="D654" t="str">
        <f t="shared" si="72"/>
        <v>1829500.100</v>
      </c>
      <c r="E654" s="348" t="s">
        <v>8316</v>
      </c>
      <c r="F654" s="242"/>
      <c r="G654"/>
      <c r="H654" s="322">
        <v>3542100</v>
      </c>
      <c r="I654" s="322">
        <v>3501100</v>
      </c>
      <c r="J654" s="242">
        <v>3072300</v>
      </c>
      <c r="K654" s="18" t="e">
        <f>INDEX(תקציב_2013,MATCH(D654,'תקציב 2015'!$D$3:$D$5960,0),8)</f>
        <v>#N/A</v>
      </c>
      <c r="L654" s="18" t="str">
        <f t="shared" si="73"/>
        <v>8</v>
      </c>
      <c r="M654" s="18" t="str">
        <f>INDEX(Chapter,MATCH(L654,Chapter!$A$1:$A$681,0),8)</f>
        <v>שירותים ממלכתיים</v>
      </c>
      <c r="N654" s="18" t="str">
        <f t="shared" si="74"/>
        <v>82</v>
      </c>
      <c r="O654" s="18" t="str">
        <f>INDEX(Chapter,MATCH(N654,Chapter!$A$1:$A$681,0),8)</f>
        <v>תרבות</v>
      </c>
      <c r="P654" s="18" t="str">
        <f t="shared" si="75"/>
        <v>829</v>
      </c>
      <c r="Q654" s="18" t="str">
        <f>INDEX(Chapter,MATCH(P654,Chapter!$A$1:$A$681,0),8)</f>
        <v>ספורט</v>
      </c>
      <c r="R654" s="18" t="str">
        <f t="shared" si="76"/>
        <v>8295</v>
      </c>
      <c r="S654" s="18" t="e">
        <f>INDEX(Chapter,MATCH(R654,Chapter!$A$1:$A$681,0),8)</f>
        <v>#N/A</v>
      </c>
      <c r="T654" s="18"/>
      <c r="U654" s="18" t="str">
        <f t="shared" si="77"/>
        <v>1</v>
      </c>
      <c r="V654" s="18" t="str">
        <f>IF($L654&lt;"6",INDEX(Revenue_type,MATCH(U654*1,type!$A$118:$A$168,0),8),INDEX(Expenditure_type,MATCH(U654*1,type!$A$2:$A$117,0),8))</f>
        <v>משכורות וש"ע לעובדים לפי תקן</v>
      </c>
      <c r="W654" s="18" t="str">
        <f t="shared" si="78"/>
        <v>10</v>
      </c>
      <c r="X654" s="18" t="e">
        <f>IF($L654&lt;"6",INDEX(Revenue_type,MATCH(W654*1,type!$A$118:$A$168,0),8),INDEX(Expenditure_type,MATCH(W654*1,type!$A$2:$A$117,0),8))</f>
        <v>#N/A</v>
      </c>
      <c r="Y654" s="18" t="str">
        <f t="shared" si="79"/>
        <v>100</v>
      </c>
      <c r="Z654" s="18" t="e">
        <f>IF($L654&lt;"6",INDEX(Revenue_type,MATCH(Y654*1,type!$A$118:$A$168,0),8),INDEX(Expenditure_type,MATCH(Y654*1,type!$A$2:$A$117,0),8))</f>
        <v>#N/A</v>
      </c>
    </row>
    <row r="655" spans="1:26" ht="15.75" hidden="1" customHeight="1" outlineLevel="2">
      <c r="A655">
        <v>120</v>
      </c>
      <c r="B655" s="249">
        <v>829500</v>
      </c>
      <c r="C655">
        <v>1</v>
      </c>
      <c r="D655" t="str">
        <f t="shared" si="72"/>
        <v>1829500.120</v>
      </c>
      <c r="E655" s="348" t="s">
        <v>8317</v>
      </c>
      <c r="F655" s="242"/>
      <c r="G655"/>
      <c r="H655" s="322">
        <v>184900</v>
      </c>
      <c r="I655" s="322">
        <v>184900</v>
      </c>
      <c r="J655" s="242">
        <v>200800</v>
      </c>
      <c r="K655" s="18" t="e">
        <f>INDEX(תקציב_2013,MATCH(D655,'תקציב 2015'!$D$3:$D$5960,0),8)</f>
        <v>#N/A</v>
      </c>
      <c r="L655" s="18" t="str">
        <f t="shared" si="73"/>
        <v>8</v>
      </c>
      <c r="M655" s="18" t="str">
        <f>INDEX(Chapter,MATCH(L655,Chapter!$A$1:$A$681,0),8)</f>
        <v>שירותים ממלכתיים</v>
      </c>
      <c r="N655" s="18" t="str">
        <f t="shared" si="74"/>
        <v>82</v>
      </c>
      <c r="O655" s="18" t="str">
        <f>INDEX(Chapter,MATCH(N655,Chapter!$A$1:$A$681,0),8)</f>
        <v>תרבות</v>
      </c>
      <c r="P655" s="18" t="str">
        <f t="shared" si="75"/>
        <v>829</v>
      </c>
      <c r="Q655" s="18" t="str">
        <f>INDEX(Chapter,MATCH(P655,Chapter!$A$1:$A$681,0),8)</f>
        <v>ספורט</v>
      </c>
      <c r="R655" s="18" t="str">
        <f t="shared" si="76"/>
        <v>8295</v>
      </c>
      <c r="S655" s="18" t="e">
        <f>INDEX(Chapter,MATCH(R655,Chapter!$A$1:$A$681,0),8)</f>
        <v>#N/A</v>
      </c>
      <c r="T655" s="18"/>
      <c r="U655" s="18" t="str">
        <f t="shared" si="77"/>
        <v>1</v>
      </c>
      <c r="V655" s="18" t="str">
        <f>IF($L655&lt;"6",INDEX(Revenue_type,MATCH(U655*1,type!$A$118:$A$168,0),8),INDEX(Expenditure_type,MATCH(U655*1,type!$A$2:$A$117,0),8))</f>
        <v>משכורות וש"ע לעובדים לפי תקן</v>
      </c>
      <c r="W655" s="18" t="str">
        <f t="shared" si="78"/>
        <v>12</v>
      </c>
      <c r="X655" s="18" t="str">
        <f>IF($L655&lt;"6",INDEX(Revenue_type,MATCH(W655*1,type!$A$118:$A$168,0),8),INDEX(Expenditure_type,MATCH(W655*1,type!$A$2:$A$117,0),8))</f>
        <v>תוספות שאינן נכללות בשכר הקובע</v>
      </c>
      <c r="Y655" s="18" t="str">
        <f t="shared" si="79"/>
        <v>120</v>
      </c>
      <c r="Z655" s="18" t="e">
        <f>IF($L655&lt;"6",INDEX(Revenue_type,MATCH(Y655*1,type!$A$118:$A$168,0),8),INDEX(Expenditure_type,MATCH(Y655*1,type!$A$2:$A$117,0),8))</f>
        <v>#N/A</v>
      </c>
    </row>
    <row r="656" spans="1:26" ht="15.75" hidden="1" customHeight="1" outlineLevel="2">
      <c r="A656">
        <v>400</v>
      </c>
      <c r="B656" s="249">
        <v>829500</v>
      </c>
      <c r="C656">
        <v>1</v>
      </c>
      <c r="D656" t="str">
        <f t="shared" si="72"/>
        <v>1829500.400</v>
      </c>
      <c r="E656" s="348" t="s">
        <v>8318</v>
      </c>
      <c r="F656" s="242"/>
      <c r="G656"/>
      <c r="H656" s="322">
        <v>8700</v>
      </c>
      <c r="I656" s="322">
        <v>8700</v>
      </c>
      <c r="J656" s="242">
        <v>5400</v>
      </c>
      <c r="K656" s="18" t="e">
        <f>INDEX(תקציב_2013,MATCH(D656,'תקציב 2015'!$D$3:$D$5960,0),8)</f>
        <v>#N/A</v>
      </c>
      <c r="L656" s="18" t="str">
        <f t="shared" si="73"/>
        <v>8</v>
      </c>
      <c r="M656" s="18" t="str">
        <f>INDEX(Chapter,MATCH(L656,Chapter!$A$1:$A$681,0),8)</f>
        <v>שירותים ממלכתיים</v>
      </c>
      <c r="N656" s="18" t="str">
        <f t="shared" si="74"/>
        <v>82</v>
      </c>
      <c r="O656" s="18" t="str">
        <f>INDEX(Chapter,MATCH(N656,Chapter!$A$1:$A$681,0),8)</f>
        <v>תרבות</v>
      </c>
      <c r="P656" s="18" t="str">
        <f t="shared" si="75"/>
        <v>829</v>
      </c>
      <c r="Q656" s="18" t="str">
        <f>INDEX(Chapter,MATCH(P656,Chapter!$A$1:$A$681,0),8)</f>
        <v>ספורט</v>
      </c>
      <c r="R656" s="18" t="str">
        <f t="shared" si="76"/>
        <v>8295</v>
      </c>
      <c r="S656" s="18" t="e">
        <f>INDEX(Chapter,MATCH(R656,Chapter!$A$1:$A$681,0),8)</f>
        <v>#N/A</v>
      </c>
      <c r="T656" s="18"/>
      <c r="U656" s="18" t="str">
        <f t="shared" si="77"/>
        <v>4</v>
      </c>
      <c r="V656" s="18" t="str">
        <f>IF($L656&lt;"6",INDEX(Revenue_type,MATCH(U656*1,type!$A$118:$A$168,0),8),INDEX(Expenditure_type,MATCH(U656*1,type!$A$2:$A$117,0),8))</f>
        <v>אחזקת בינים ואספקת ציוד</v>
      </c>
      <c r="W656" s="18" t="str">
        <f t="shared" si="78"/>
        <v>40</v>
      </c>
      <c r="X656" s="18" t="e">
        <f>IF($L656&lt;"6",INDEX(Revenue_type,MATCH(W656*1,type!$A$118:$A$168,0),8),INDEX(Expenditure_type,MATCH(W656*1,type!$A$2:$A$117,0),8))</f>
        <v>#N/A</v>
      </c>
      <c r="Y656" s="18" t="str">
        <f t="shared" si="79"/>
        <v>400</v>
      </c>
      <c r="Z656" s="18" t="e">
        <f>IF($L656&lt;"6",INDEX(Revenue_type,MATCH(Y656*1,type!$A$118:$A$168,0),8),INDEX(Expenditure_type,MATCH(Y656*1,type!$A$2:$A$117,0),8))</f>
        <v>#N/A</v>
      </c>
    </row>
    <row r="657" spans="1:26" ht="15.75" hidden="1" customHeight="1" outlineLevel="2">
      <c r="A657">
        <v>500</v>
      </c>
      <c r="B657" s="249">
        <v>829500</v>
      </c>
      <c r="C657">
        <v>1</v>
      </c>
      <c r="D657" t="str">
        <f t="shared" si="72"/>
        <v>1829500.500</v>
      </c>
      <c r="E657" s="348" t="s">
        <v>8319</v>
      </c>
      <c r="F657" s="242"/>
      <c r="G657"/>
      <c r="H657" s="322">
        <v>50000</v>
      </c>
      <c r="I657" s="322">
        <v>50000</v>
      </c>
      <c r="J657" s="242">
        <v>46800</v>
      </c>
      <c r="K657" s="18" t="e">
        <f>INDEX(תקציב_2013,MATCH(D657,'תקציב 2015'!$D$3:$D$5960,0),8)</f>
        <v>#N/A</v>
      </c>
      <c r="L657" s="18" t="str">
        <f t="shared" si="73"/>
        <v>8</v>
      </c>
      <c r="M657" s="18" t="str">
        <f>INDEX(Chapter,MATCH(L657,Chapter!$A$1:$A$681,0),8)</f>
        <v>שירותים ממלכתיים</v>
      </c>
      <c r="N657" s="18" t="str">
        <f t="shared" si="74"/>
        <v>82</v>
      </c>
      <c r="O657" s="18" t="str">
        <f>INDEX(Chapter,MATCH(N657,Chapter!$A$1:$A$681,0),8)</f>
        <v>תרבות</v>
      </c>
      <c r="P657" s="18" t="str">
        <f t="shared" si="75"/>
        <v>829</v>
      </c>
      <c r="Q657" s="18" t="str">
        <f>INDEX(Chapter,MATCH(P657,Chapter!$A$1:$A$681,0),8)</f>
        <v>ספורט</v>
      </c>
      <c r="R657" s="18" t="str">
        <f t="shared" si="76"/>
        <v>8295</v>
      </c>
      <c r="S657" s="18" t="e">
        <f>INDEX(Chapter,MATCH(R657,Chapter!$A$1:$A$681,0),8)</f>
        <v>#N/A</v>
      </c>
      <c r="T657" s="18"/>
      <c r="U657" s="18" t="str">
        <f t="shared" si="77"/>
        <v>5</v>
      </c>
      <c r="V657" s="18" t="str">
        <f>IF($L657&lt;"6",INDEX(Revenue_type,MATCH(U657*1,type!$A$118:$A$168,0),8),INDEX(Expenditure_type,MATCH(U657*1,type!$A$2:$A$117,0),8))</f>
        <v>הוצאות מנהליות</v>
      </c>
      <c r="W657" s="18" t="str">
        <f t="shared" si="78"/>
        <v>50</v>
      </c>
      <c r="X657" s="18" t="e">
        <f>IF($L657&lt;"6",INDEX(Revenue_type,MATCH(W657*1,type!$A$118:$A$168,0),8),INDEX(Expenditure_type,MATCH(W657*1,type!$A$2:$A$117,0),8))</f>
        <v>#N/A</v>
      </c>
      <c r="Y657" s="18" t="str">
        <f t="shared" si="79"/>
        <v>500</v>
      </c>
      <c r="Z657" s="18" t="e">
        <f>IF($L657&lt;"6",INDEX(Revenue_type,MATCH(Y657*1,type!$A$118:$A$168,0),8),INDEX(Expenditure_type,MATCH(Y657*1,type!$A$2:$A$117,0),8))</f>
        <v>#N/A</v>
      </c>
    </row>
    <row r="658" spans="1:26" ht="15.75" hidden="1" customHeight="1" outlineLevel="2">
      <c r="A658">
        <v>500</v>
      </c>
      <c r="B658" s="249">
        <v>829500</v>
      </c>
      <c r="C658">
        <v>1</v>
      </c>
      <c r="D658" t="str">
        <f t="shared" si="72"/>
        <v>1829500.500</v>
      </c>
      <c r="E658" s="348" t="s">
        <v>8320</v>
      </c>
      <c r="F658" s="242"/>
      <c r="G658"/>
      <c r="H658" s="322">
        <v>72100</v>
      </c>
      <c r="I658" s="322">
        <v>75100</v>
      </c>
      <c r="J658" s="242">
        <v>82300</v>
      </c>
      <c r="K658" s="18" t="e">
        <f>INDEX(תקציב_2013,MATCH(D658,'תקציב 2015'!$D$3:$D$5960,0),8)</f>
        <v>#N/A</v>
      </c>
      <c r="L658" s="18" t="str">
        <f t="shared" si="73"/>
        <v>8</v>
      </c>
      <c r="M658" s="18" t="str">
        <f>INDEX(Chapter,MATCH(L658,Chapter!$A$1:$A$681,0),8)</f>
        <v>שירותים ממלכתיים</v>
      </c>
      <c r="N658" s="18" t="str">
        <f t="shared" si="74"/>
        <v>82</v>
      </c>
      <c r="O658" s="18" t="str">
        <f>INDEX(Chapter,MATCH(N658,Chapter!$A$1:$A$681,0),8)</f>
        <v>תרבות</v>
      </c>
      <c r="P658" s="18" t="str">
        <f t="shared" si="75"/>
        <v>829</v>
      </c>
      <c r="Q658" s="18" t="str">
        <f>INDEX(Chapter,MATCH(P658,Chapter!$A$1:$A$681,0),8)</f>
        <v>ספורט</v>
      </c>
      <c r="R658" s="18" t="str">
        <f t="shared" si="76"/>
        <v>8295</v>
      </c>
      <c r="S658" s="18" t="e">
        <f>INDEX(Chapter,MATCH(R658,Chapter!$A$1:$A$681,0),8)</f>
        <v>#N/A</v>
      </c>
      <c r="T658" s="18"/>
      <c r="U658" s="18" t="str">
        <f t="shared" si="77"/>
        <v>5</v>
      </c>
      <c r="V658" s="18" t="str">
        <f>IF($L658&lt;"6",INDEX(Revenue_type,MATCH(U658*1,type!$A$118:$A$168,0),8),INDEX(Expenditure_type,MATCH(U658*1,type!$A$2:$A$117,0),8))</f>
        <v>הוצאות מנהליות</v>
      </c>
      <c r="W658" s="18" t="str">
        <f t="shared" si="78"/>
        <v>50</v>
      </c>
      <c r="X658" s="18" t="e">
        <f>IF($L658&lt;"6",INDEX(Revenue_type,MATCH(W658*1,type!$A$118:$A$168,0),8),INDEX(Expenditure_type,MATCH(W658*1,type!$A$2:$A$117,0),8))</f>
        <v>#N/A</v>
      </c>
      <c r="Y658" s="18" t="str">
        <f t="shared" si="79"/>
        <v>500</v>
      </c>
      <c r="Z658" s="18" t="e">
        <f>IF($L658&lt;"6",INDEX(Revenue_type,MATCH(Y658*1,type!$A$118:$A$168,0),8),INDEX(Expenditure_type,MATCH(Y658*1,type!$A$2:$A$117,0),8))</f>
        <v>#N/A</v>
      </c>
    </row>
    <row r="659" spans="1:26" ht="15.75" hidden="1" customHeight="1" outlineLevel="2">
      <c r="A659">
        <v>700</v>
      </c>
      <c r="B659" s="249">
        <v>829500</v>
      </c>
      <c r="C659">
        <v>1</v>
      </c>
      <c r="D659" t="str">
        <f t="shared" ref="D659:D722" si="82">C659&amp;B659&amp;"."&amp;A659</f>
        <v>1829500.700</v>
      </c>
      <c r="E659" s="348" t="s">
        <v>8321</v>
      </c>
      <c r="F659" s="242"/>
      <c r="G659"/>
      <c r="H659" s="322">
        <v>206000</v>
      </c>
      <c r="I659" s="322">
        <v>212900</v>
      </c>
      <c r="J659" s="242">
        <v>129500</v>
      </c>
      <c r="K659" s="18" t="e">
        <f>INDEX(תקציב_2013,MATCH(D659,'תקציב 2015'!$D$3:$D$5960,0),8)</f>
        <v>#N/A</v>
      </c>
      <c r="L659" s="18" t="str">
        <f t="shared" si="73"/>
        <v>8</v>
      </c>
      <c r="M659" s="18" t="str">
        <f>INDEX(Chapter,MATCH(L659,Chapter!$A$1:$A$681,0),8)</f>
        <v>שירותים ממלכתיים</v>
      </c>
      <c r="N659" s="18" t="str">
        <f t="shared" si="74"/>
        <v>82</v>
      </c>
      <c r="O659" s="18" t="str">
        <f>INDEX(Chapter,MATCH(N659,Chapter!$A$1:$A$681,0),8)</f>
        <v>תרבות</v>
      </c>
      <c r="P659" s="18" t="str">
        <f t="shared" si="75"/>
        <v>829</v>
      </c>
      <c r="Q659" s="18" t="str">
        <f>INDEX(Chapter,MATCH(P659,Chapter!$A$1:$A$681,0),8)</f>
        <v>ספורט</v>
      </c>
      <c r="R659" s="18" t="str">
        <f t="shared" si="76"/>
        <v>8295</v>
      </c>
      <c r="S659" s="18" t="e">
        <f>INDEX(Chapter,MATCH(R659,Chapter!$A$1:$A$681,0),8)</f>
        <v>#N/A</v>
      </c>
      <c r="T659" s="18"/>
      <c r="U659" s="18" t="str">
        <f t="shared" si="77"/>
        <v>7</v>
      </c>
      <c r="V659" s="18" t="str">
        <f>IF($L659&lt;"6",INDEX(Revenue_type,MATCH(U659*1,type!$A$118:$A$168,0),8),INDEX(Expenditure_type,MATCH(U659*1,type!$A$2:$A$117,0),8))</f>
        <v>הוצאות לפעולות</v>
      </c>
      <c r="W659" s="18" t="str">
        <f t="shared" si="78"/>
        <v>70</v>
      </c>
      <c r="X659" s="18" t="e">
        <f>IF($L659&lt;"6",INDEX(Revenue_type,MATCH(W659*1,type!$A$118:$A$168,0),8),INDEX(Expenditure_type,MATCH(W659*1,type!$A$2:$A$117,0),8))</f>
        <v>#N/A</v>
      </c>
      <c r="Y659" s="18" t="str">
        <f t="shared" si="79"/>
        <v>700</v>
      </c>
      <c r="Z659" s="18" t="e">
        <f>IF($L659&lt;"6",INDEX(Revenue_type,MATCH(Y659*1,type!$A$118:$A$168,0),8),INDEX(Expenditure_type,MATCH(Y659*1,type!$A$2:$A$117,0),8))</f>
        <v>#N/A</v>
      </c>
    </row>
    <row r="660" spans="1:26" ht="15.75" hidden="1" customHeight="1" outlineLevel="2">
      <c r="A660">
        <v>100</v>
      </c>
      <c r="B660" s="249">
        <v>829231</v>
      </c>
      <c r="C660">
        <v>1</v>
      </c>
      <c r="D660" t="str">
        <f t="shared" si="82"/>
        <v>1829231.100</v>
      </c>
      <c r="E660" s="348" t="s">
        <v>8322</v>
      </c>
      <c r="F660" s="242"/>
      <c r="G660"/>
      <c r="H660" s="322">
        <v>0</v>
      </c>
      <c r="I660" s="322">
        <v>0</v>
      </c>
      <c r="J660" s="242">
        <v>162400</v>
      </c>
      <c r="K660" s="18" t="e">
        <f>INDEX(תקציב_2013,MATCH(D660,'תקציב 2015'!$D$3:$D$5960,0),8)</f>
        <v>#N/A</v>
      </c>
      <c r="L660" s="18" t="str">
        <f t="shared" si="73"/>
        <v>8</v>
      </c>
      <c r="M660" s="18" t="str">
        <f>INDEX(Chapter,MATCH(L660,Chapter!$A$1:$A$681,0),8)</f>
        <v>שירותים ממלכתיים</v>
      </c>
      <c r="N660" s="18" t="str">
        <f t="shared" si="74"/>
        <v>82</v>
      </c>
      <c r="O660" s="18" t="str">
        <f>INDEX(Chapter,MATCH(N660,Chapter!$A$1:$A$681,0),8)</f>
        <v>תרבות</v>
      </c>
      <c r="P660" s="18" t="str">
        <f t="shared" si="75"/>
        <v>829</v>
      </c>
      <c r="Q660" s="18" t="str">
        <f>INDEX(Chapter,MATCH(P660,Chapter!$A$1:$A$681,0),8)</f>
        <v>ספורט</v>
      </c>
      <c r="R660" s="18" t="str">
        <f t="shared" si="76"/>
        <v>8292</v>
      </c>
      <c r="S660" s="18" t="e">
        <f>INDEX(Chapter,MATCH(R660,Chapter!$A$1:$A$681,0),8)</f>
        <v>#N/A</v>
      </c>
      <c r="T660" s="18"/>
      <c r="U660" s="18" t="str">
        <f t="shared" si="77"/>
        <v>1</v>
      </c>
      <c r="V660" s="18" t="str">
        <f>IF($L660&lt;"6",INDEX(Revenue_type,MATCH(U660*1,type!$A$118:$A$168,0),8),INDEX(Expenditure_type,MATCH(U660*1,type!$A$2:$A$117,0),8))</f>
        <v>משכורות וש"ע לעובדים לפי תקן</v>
      </c>
      <c r="W660" s="18" t="str">
        <f t="shared" si="78"/>
        <v>10</v>
      </c>
      <c r="X660" s="18" t="e">
        <f>IF($L660&lt;"6",INDEX(Revenue_type,MATCH(W660*1,type!$A$118:$A$168,0),8),INDEX(Expenditure_type,MATCH(W660*1,type!$A$2:$A$117,0),8))</f>
        <v>#N/A</v>
      </c>
      <c r="Y660" s="18" t="str">
        <f t="shared" si="79"/>
        <v>100</v>
      </c>
      <c r="Z660" s="18" t="e">
        <f>IF($L660&lt;"6",INDEX(Revenue_type,MATCH(Y660*1,type!$A$118:$A$168,0),8),INDEX(Expenditure_type,MATCH(Y660*1,type!$A$2:$A$117,0),8))</f>
        <v>#N/A</v>
      </c>
    </row>
    <row r="661" spans="1:26" ht="15.75" hidden="1" customHeight="1" outlineLevel="2">
      <c r="A661">
        <v>200</v>
      </c>
      <c r="B661" s="249">
        <v>829231</v>
      </c>
      <c r="C661">
        <v>1</v>
      </c>
      <c r="D661" t="str">
        <f t="shared" si="82"/>
        <v>1829231.200</v>
      </c>
      <c r="E661" s="354" t="s">
        <v>8323</v>
      </c>
      <c r="F661" s="242"/>
      <c r="G661"/>
      <c r="H661" s="322">
        <v>3920800</v>
      </c>
      <c r="I661" s="322">
        <v>4201800</v>
      </c>
      <c r="J661" s="242">
        <v>3783400</v>
      </c>
      <c r="K661" s="18" t="e">
        <f>INDEX(תקציב_2013,MATCH(D661,'תקציב 2015'!$D$3:$D$5960,0),8)</f>
        <v>#N/A</v>
      </c>
      <c r="L661" s="18" t="str">
        <f t="shared" si="73"/>
        <v>8</v>
      </c>
      <c r="M661" s="18" t="str">
        <f>INDEX(Chapter,MATCH(L661,Chapter!$A$1:$A$681,0),8)</f>
        <v>שירותים ממלכתיים</v>
      </c>
      <c r="N661" s="18" t="str">
        <f t="shared" si="74"/>
        <v>82</v>
      </c>
      <c r="O661" s="18" t="str">
        <f>INDEX(Chapter,MATCH(N661,Chapter!$A$1:$A$681,0),8)</f>
        <v>תרבות</v>
      </c>
      <c r="P661" s="18" t="str">
        <f t="shared" si="75"/>
        <v>829</v>
      </c>
      <c r="Q661" s="18" t="str">
        <f>INDEX(Chapter,MATCH(P661,Chapter!$A$1:$A$681,0),8)</f>
        <v>ספורט</v>
      </c>
      <c r="R661" s="18" t="str">
        <f t="shared" si="76"/>
        <v>8292</v>
      </c>
      <c r="S661" s="18" t="e">
        <f>INDEX(Chapter,MATCH(R661,Chapter!$A$1:$A$681,0),8)</f>
        <v>#N/A</v>
      </c>
      <c r="T661" s="18"/>
      <c r="U661" s="18" t="str">
        <f t="shared" si="77"/>
        <v>2</v>
      </c>
      <c r="V661" s="18" t="str">
        <f>IF($L661&lt;"6",INDEX(Revenue_type,MATCH(U661*1,type!$A$118:$A$168,0),8),INDEX(Expenditure_type,MATCH(U661*1,type!$A$2:$A$117,0),8))</f>
        <v>משכורות וש"ע לעובדים בלי תקן</v>
      </c>
      <c r="W661" s="18" t="str">
        <f t="shared" si="78"/>
        <v>20</v>
      </c>
      <c r="X661" s="18" t="e">
        <f>IF($L661&lt;"6",INDEX(Revenue_type,MATCH(W661*1,type!$A$118:$A$168,0),8),INDEX(Expenditure_type,MATCH(W661*1,type!$A$2:$A$117,0),8))</f>
        <v>#N/A</v>
      </c>
      <c r="Y661" s="18" t="str">
        <f t="shared" si="79"/>
        <v>200</v>
      </c>
      <c r="Z661" s="18" t="e">
        <f>IF($L661&lt;"6",INDEX(Revenue_type,MATCH(Y661*1,type!$A$118:$A$168,0),8),INDEX(Expenditure_type,MATCH(Y661*1,type!$A$2:$A$117,0),8))</f>
        <v>#N/A</v>
      </c>
    </row>
    <row r="662" spans="1:26" ht="15.75" hidden="1" customHeight="1" outlineLevel="2">
      <c r="A662">
        <v>120</v>
      </c>
      <c r="B662" s="249">
        <v>829231</v>
      </c>
      <c r="C662">
        <v>1</v>
      </c>
      <c r="D662" t="str">
        <f t="shared" si="82"/>
        <v>1829231.120</v>
      </c>
      <c r="E662" s="354" t="s">
        <v>8324</v>
      </c>
      <c r="F662" s="242"/>
      <c r="G662"/>
      <c r="H662" s="322">
        <v>43200</v>
      </c>
      <c r="I662" s="322">
        <v>43200</v>
      </c>
      <c r="J662" s="242">
        <v>39200</v>
      </c>
      <c r="K662" s="18" t="e">
        <f>INDEX(תקציב_2013,MATCH(D662,'תקציב 2015'!$D$3:$D$5960,0),8)</f>
        <v>#N/A</v>
      </c>
      <c r="L662" s="18" t="str">
        <f t="shared" si="73"/>
        <v>8</v>
      </c>
      <c r="M662" s="18" t="str">
        <f>INDEX(Chapter,MATCH(L662,Chapter!$A$1:$A$681,0),8)</f>
        <v>שירותים ממלכתיים</v>
      </c>
      <c r="N662" s="18" t="str">
        <f t="shared" si="74"/>
        <v>82</v>
      </c>
      <c r="O662" s="18" t="str">
        <f>INDEX(Chapter,MATCH(N662,Chapter!$A$1:$A$681,0),8)</f>
        <v>תרבות</v>
      </c>
      <c r="P662" s="18" t="str">
        <f t="shared" si="75"/>
        <v>829</v>
      </c>
      <c r="Q662" s="18" t="str">
        <f>INDEX(Chapter,MATCH(P662,Chapter!$A$1:$A$681,0),8)</f>
        <v>ספורט</v>
      </c>
      <c r="R662" s="18" t="str">
        <f t="shared" si="76"/>
        <v>8292</v>
      </c>
      <c r="S662" s="18" t="e">
        <f>INDEX(Chapter,MATCH(R662,Chapter!$A$1:$A$681,0),8)</f>
        <v>#N/A</v>
      </c>
      <c r="T662" s="18"/>
      <c r="U662" s="18" t="str">
        <f t="shared" si="77"/>
        <v>1</v>
      </c>
      <c r="V662" s="18" t="str">
        <f>IF($L662&lt;"6",INDEX(Revenue_type,MATCH(U662*1,type!$A$118:$A$168,0),8),INDEX(Expenditure_type,MATCH(U662*1,type!$A$2:$A$117,0),8))</f>
        <v>משכורות וש"ע לעובדים לפי תקן</v>
      </c>
      <c r="W662" s="18" t="str">
        <f t="shared" si="78"/>
        <v>12</v>
      </c>
      <c r="X662" s="18" t="str">
        <f>IF($L662&lt;"6",INDEX(Revenue_type,MATCH(W662*1,type!$A$118:$A$168,0),8),INDEX(Expenditure_type,MATCH(W662*1,type!$A$2:$A$117,0),8))</f>
        <v>תוספות שאינן נכללות בשכר הקובע</v>
      </c>
      <c r="Y662" s="18" t="str">
        <f t="shared" si="79"/>
        <v>120</v>
      </c>
      <c r="Z662" s="18" t="e">
        <f>IF($L662&lt;"6",INDEX(Revenue_type,MATCH(Y662*1,type!$A$118:$A$168,0),8),INDEX(Expenditure_type,MATCH(Y662*1,type!$A$2:$A$117,0),8))</f>
        <v>#N/A</v>
      </c>
    </row>
    <row r="663" spans="1:26" ht="15.75" hidden="1" customHeight="1" outlineLevel="2">
      <c r="A663">
        <v>700</v>
      </c>
      <c r="B663" s="249">
        <v>829231</v>
      </c>
      <c r="C663">
        <v>1</v>
      </c>
      <c r="D663" t="str">
        <f t="shared" si="82"/>
        <v>1829231.700</v>
      </c>
      <c r="E663" s="354" t="s">
        <v>8325</v>
      </c>
      <c r="F663" s="242"/>
      <c r="G663"/>
      <c r="H663" s="322">
        <v>167100</v>
      </c>
      <c r="I663" s="322">
        <v>172000</v>
      </c>
      <c r="J663" s="242">
        <v>158600</v>
      </c>
      <c r="K663" s="18" t="e">
        <f>INDEX(תקציב_2013,MATCH(D663,'תקציב 2015'!$D$3:$D$5960,0),8)</f>
        <v>#N/A</v>
      </c>
      <c r="L663" s="18" t="str">
        <f t="shared" ref="L663:L726" si="83">IF(LEFT($B663,1)*1=0,LEFT($B663,2),LEFT($B663,1))</f>
        <v>8</v>
      </c>
      <c r="M663" s="18" t="str">
        <f>INDEX(Chapter,MATCH(L663,Chapter!$A$1:$A$681,0),8)</f>
        <v>שירותים ממלכתיים</v>
      </c>
      <c r="N663" s="18" t="str">
        <f t="shared" ref="N663:N726" si="84">IF(LEFT($B663,1)*1=0,LEFT($B663,3),LEFT($B663,2))</f>
        <v>82</v>
      </c>
      <c r="O663" s="18" t="str">
        <f>INDEX(Chapter,MATCH(N663,Chapter!$A$1:$A$681,0),8)</f>
        <v>תרבות</v>
      </c>
      <c r="P663" s="18" t="str">
        <f t="shared" ref="P663:P726" si="85">IF(LEFT($B663,1)*1=0,LEFT($B663,4),LEFT($B663,3))</f>
        <v>829</v>
      </c>
      <c r="Q663" s="18" t="str">
        <f>INDEX(Chapter,MATCH(P663,Chapter!$A$1:$A$681,0),8)</f>
        <v>ספורט</v>
      </c>
      <c r="R663" s="18" t="str">
        <f t="shared" ref="R663:R726" si="86">LEFT($B663,4)</f>
        <v>8292</v>
      </c>
      <c r="S663" s="18" t="e">
        <f>INDEX(Chapter,MATCH(R663,Chapter!$A$1:$A$681,0),8)</f>
        <v>#N/A</v>
      </c>
      <c r="T663" s="18"/>
      <c r="U663" s="18" t="str">
        <f t="shared" ref="U663:U726" si="87">LEFT($A663,1)</f>
        <v>7</v>
      </c>
      <c r="V663" s="18" t="str">
        <f>IF($L663&lt;"6",INDEX(Revenue_type,MATCH(U663*1,type!$A$118:$A$168,0),8),INDEX(Expenditure_type,MATCH(U663*1,type!$A$2:$A$117,0),8))</f>
        <v>הוצאות לפעולות</v>
      </c>
      <c r="W663" s="18" t="str">
        <f t="shared" ref="W663:W726" si="88">LEFT($A663,2)</f>
        <v>70</v>
      </c>
      <c r="X663" s="18" t="e">
        <f>IF($L663&lt;"6",INDEX(Revenue_type,MATCH(W663*1,type!$A$118:$A$168,0),8),INDEX(Expenditure_type,MATCH(W663*1,type!$A$2:$A$117,0),8))</f>
        <v>#N/A</v>
      </c>
      <c r="Y663" s="18" t="str">
        <f t="shared" ref="Y663:Y726" si="89">LEFT($A663,3)</f>
        <v>700</v>
      </c>
      <c r="Z663" s="18" t="e">
        <f>IF($L663&lt;"6",INDEX(Revenue_type,MATCH(Y663*1,type!$A$118:$A$168,0),8),INDEX(Expenditure_type,MATCH(Y663*1,type!$A$2:$A$117,0),8))</f>
        <v>#N/A</v>
      </c>
    </row>
    <row r="664" spans="1:26" ht="15.75" hidden="1" customHeight="1" outlineLevel="2">
      <c r="A664">
        <v>200</v>
      </c>
      <c r="B664" s="249">
        <v>829232</v>
      </c>
      <c r="C664">
        <v>1</v>
      </c>
      <c r="D664" t="str">
        <f t="shared" si="82"/>
        <v>1829232.200</v>
      </c>
      <c r="E664" s="354" t="s">
        <v>8326</v>
      </c>
      <c r="F664" s="242"/>
      <c r="G664"/>
      <c r="H664" s="322">
        <v>28400</v>
      </c>
      <c r="I664" s="322">
        <v>28400</v>
      </c>
      <c r="J664" s="242">
        <v>125400</v>
      </c>
      <c r="K664" s="18" t="e">
        <f>INDEX(תקציב_2013,MATCH(D664,'תקציב 2015'!$D$3:$D$5960,0),8)</f>
        <v>#N/A</v>
      </c>
      <c r="L664" s="18" t="str">
        <f t="shared" si="83"/>
        <v>8</v>
      </c>
      <c r="M664" s="18" t="str">
        <f>INDEX(Chapter,MATCH(L664,Chapter!$A$1:$A$681,0),8)</f>
        <v>שירותים ממלכתיים</v>
      </c>
      <c r="N664" s="18" t="str">
        <f t="shared" si="84"/>
        <v>82</v>
      </c>
      <c r="O664" s="18" t="str">
        <f>INDEX(Chapter,MATCH(N664,Chapter!$A$1:$A$681,0),8)</f>
        <v>תרבות</v>
      </c>
      <c r="P664" s="18" t="str">
        <f t="shared" si="85"/>
        <v>829</v>
      </c>
      <c r="Q664" s="18" t="str">
        <f>INDEX(Chapter,MATCH(P664,Chapter!$A$1:$A$681,0),8)</f>
        <v>ספורט</v>
      </c>
      <c r="R664" s="18" t="str">
        <f t="shared" si="86"/>
        <v>8292</v>
      </c>
      <c r="S664" s="18" t="e">
        <f>INDEX(Chapter,MATCH(R664,Chapter!$A$1:$A$681,0),8)</f>
        <v>#N/A</v>
      </c>
      <c r="T664" s="18"/>
      <c r="U664" s="18" t="str">
        <f t="shared" si="87"/>
        <v>2</v>
      </c>
      <c r="V664" s="18" t="str">
        <f>IF($L664&lt;"6",INDEX(Revenue_type,MATCH(U664*1,type!$A$118:$A$168,0),8),INDEX(Expenditure_type,MATCH(U664*1,type!$A$2:$A$117,0),8))</f>
        <v>משכורות וש"ע לעובדים בלי תקן</v>
      </c>
      <c r="W664" s="18" t="str">
        <f t="shared" si="88"/>
        <v>20</v>
      </c>
      <c r="X664" s="18" t="e">
        <f>IF($L664&lt;"6",INDEX(Revenue_type,MATCH(W664*1,type!$A$118:$A$168,0),8),INDEX(Expenditure_type,MATCH(W664*1,type!$A$2:$A$117,0),8))</f>
        <v>#N/A</v>
      </c>
      <c r="Y664" s="18" t="str">
        <f t="shared" si="89"/>
        <v>200</v>
      </c>
      <c r="Z664" s="18" t="e">
        <f>IF($L664&lt;"6",INDEX(Revenue_type,MATCH(Y664*1,type!$A$118:$A$168,0),8),INDEX(Expenditure_type,MATCH(Y664*1,type!$A$2:$A$117,0),8))</f>
        <v>#N/A</v>
      </c>
    </row>
    <row r="665" spans="1:26" ht="15.75" hidden="1" customHeight="1" outlineLevel="2">
      <c r="A665">
        <v>120</v>
      </c>
      <c r="B665" s="249">
        <v>829232</v>
      </c>
      <c r="C665">
        <v>1</v>
      </c>
      <c r="D665" t="str">
        <f t="shared" si="82"/>
        <v>1829232.120</v>
      </c>
      <c r="E665" s="354" t="s">
        <v>8327</v>
      </c>
      <c r="F665" s="242"/>
      <c r="G665"/>
      <c r="H665" s="322">
        <v>11600</v>
      </c>
      <c r="I665" s="322">
        <v>11600</v>
      </c>
      <c r="J665" s="242">
        <v>13600</v>
      </c>
      <c r="K665" s="18" t="e">
        <f>INDEX(תקציב_2013,MATCH(D665,'תקציב 2015'!$D$3:$D$5960,0),8)</f>
        <v>#N/A</v>
      </c>
      <c r="L665" s="18" t="str">
        <f t="shared" si="83"/>
        <v>8</v>
      </c>
      <c r="M665" s="18" t="str">
        <f>INDEX(Chapter,MATCH(L665,Chapter!$A$1:$A$681,0),8)</f>
        <v>שירותים ממלכתיים</v>
      </c>
      <c r="N665" s="18" t="str">
        <f t="shared" si="84"/>
        <v>82</v>
      </c>
      <c r="O665" s="18" t="str">
        <f>INDEX(Chapter,MATCH(N665,Chapter!$A$1:$A$681,0),8)</f>
        <v>תרבות</v>
      </c>
      <c r="P665" s="18" t="str">
        <f t="shared" si="85"/>
        <v>829</v>
      </c>
      <c r="Q665" s="18" t="str">
        <f>INDEX(Chapter,MATCH(P665,Chapter!$A$1:$A$681,0),8)</f>
        <v>ספורט</v>
      </c>
      <c r="R665" s="18" t="str">
        <f t="shared" si="86"/>
        <v>8292</v>
      </c>
      <c r="S665" s="18" t="e">
        <f>INDEX(Chapter,MATCH(R665,Chapter!$A$1:$A$681,0),8)</f>
        <v>#N/A</v>
      </c>
      <c r="T665" s="18"/>
      <c r="U665" s="18" t="str">
        <f t="shared" si="87"/>
        <v>1</v>
      </c>
      <c r="V665" s="18" t="str">
        <f>IF($L665&lt;"6",INDEX(Revenue_type,MATCH(U665*1,type!$A$118:$A$168,0),8),INDEX(Expenditure_type,MATCH(U665*1,type!$A$2:$A$117,0),8))</f>
        <v>משכורות וש"ע לעובדים לפי תקן</v>
      </c>
      <c r="W665" s="18" t="str">
        <f t="shared" si="88"/>
        <v>12</v>
      </c>
      <c r="X665" s="18" t="str">
        <f>IF($L665&lt;"6",INDEX(Revenue_type,MATCH(W665*1,type!$A$118:$A$168,0),8),INDEX(Expenditure_type,MATCH(W665*1,type!$A$2:$A$117,0),8))</f>
        <v>תוספות שאינן נכללות בשכר הקובע</v>
      </c>
      <c r="Y665" s="18" t="str">
        <f t="shared" si="89"/>
        <v>120</v>
      </c>
      <c r="Z665" s="18" t="e">
        <f>IF($L665&lt;"6",INDEX(Revenue_type,MATCH(Y665*1,type!$A$118:$A$168,0),8),INDEX(Expenditure_type,MATCH(Y665*1,type!$A$2:$A$117,0),8))</f>
        <v>#N/A</v>
      </c>
    </row>
    <row r="666" spans="1:26" ht="15.75" hidden="1" customHeight="1" outlineLevel="2">
      <c r="A666">
        <v>700</v>
      </c>
      <c r="B666" s="249">
        <v>829901</v>
      </c>
      <c r="C666">
        <v>1</v>
      </c>
      <c r="D666" t="str">
        <f t="shared" si="82"/>
        <v>1829901.700</v>
      </c>
      <c r="E666" s="354" t="s">
        <v>8328</v>
      </c>
      <c r="F666" s="242"/>
      <c r="G666"/>
      <c r="H666" s="322">
        <v>2289400</v>
      </c>
      <c r="I666" s="322">
        <v>2356700</v>
      </c>
      <c r="J666" s="242">
        <v>1098300</v>
      </c>
      <c r="K666" s="18" t="e">
        <f>INDEX(תקציב_2013,MATCH(D666,'תקציב 2015'!$D$3:$D$5960,0),8)</f>
        <v>#N/A</v>
      </c>
      <c r="L666" s="18" t="str">
        <f t="shared" si="83"/>
        <v>8</v>
      </c>
      <c r="M666" s="18" t="str">
        <f>INDEX(Chapter,MATCH(L666,Chapter!$A$1:$A$681,0),8)</f>
        <v>שירותים ממלכתיים</v>
      </c>
      <c r="N666" s="18" t="str">
        <f t="shared" si="84"/>
        <v>82</v>
      </c>
      <c r="O666" s="18" t="str">
        <f>INDEX(Chapter,MATCH(N666,Chapter!$A$1:$A$681,0),8)</f>
        <v>תרבות</v>
      </c>
      <c r="P666" s="18" t="str">
        <f t="shared" si="85"/>
        <v>829</v>
      </c>
      <c r="Q666" s="18" t="str">
        <f>INDEX(Chapter,MATCH(P666,Chapter!$A$1:$A$681,0),8)</f>
        <v>ספורט</v>
      </c>
      <c r="R666" s="18" t="str">
        <f t="shared" si="86"/>
        <v>8299</v>
      </c>
      <c r="S666" s="18" t="e">
        <f>INDEX(Chapter,MATCH(R666,Chapter!$A$1:$A$681,0),8)</f>
        <v>#N/A</v>
      </c>
      <c r="T666" s="18"/>
      <c r="U666" s="18" t="str">
        <f t="shared" si="87"/>
        <v>7</v>
      </c>
      <c r="V666" s="18" t="str">
        <f>IF($L666&lt;"6",INDEX(Revenue_type,MATCH(U666*1,type!$A$118:$A$168,0),8),INDEX(Expenditure_type,MATCH(U666*1,type!$A$2:$A$117,0),8))</f>
        <v>הוצאות לפעולות</v>
      </c>
      <c r="W666" s="18" t="str">
        <f t="shared" si="88"/>
        <v>70</v>
      </c>
      <c r="X666" s="18" t="e">
        <f>IF($L666&lt;"6",INDEX(Revenue_type,MATCH(W666*1,type!$A$118:$A$168,0),8),INDEX(Expenditure_type,MATCH(W666*1,type!$A$2:$A$117,0),8))</f>
        <v>#N/A</v>
      </c>
      <c r="Y666" s="18" t="str">
        <f t="shared" si="89"/>
        <v>700</v>
      </c>
      <c r="Z666" s="18" t="e">
        <f>IF($L666&lt;"6",INDEX(Revenue_type,MATCH(Y666*1,type!$A$118:$A$168,0),8),INDEX(Expenditure_type,MATCH(Y666*1,type!$A$2:$A$117,0),8))</f>
        <v>#N/A</v>
      </c>
    </row>
    <row r="667" spans="1:26" ht="15.75" hidden="1" customHeight="1" outlineLevel="2">
      <c r="A667">
        <v>700</v>
      </c>
      <c r="B667" s="249">
        <v>829902</v>
      </c>
      <c r="C667">
        <v>1</v>
      </c>
      <c r="D667" t="str">
        <f t="shared" si="82"/>
        <v>1829902.700</v>
      </c>
      <c r="E667" s="354" t="s">
        <v>8329</v>
      </c>
      <c r="F667" s="242"/>
      <c r="G667"/>
      <c r="H667" s="322">
        <v>200000</v>
      </c>
      <c r="I667" s="322">
        <v>1000000</v>
      </c>
      <c r="J667" s="242">
        <v>0</v>
      </c>
      <c r="K667" s="18" t="e">
        <f>INDEX(תקציב_2013,MATCH(D667,'תקציב 2015'!$D$3:$D$5960,0),8)</f>
        <v>#N/A</v>
      </c>
      <c r="L667" s="18" t="str">
        <f t="shared" si="83"/>
        <v>8</v>
      </c>
      <c r="M667" s="18" t="str">
        <f>INDEX(Chapter,MATCH(L667,Chapter!$A$1:$A$681,0),8)</f>
        <v>שירותים ממלכתיים</v>
      </c>
      <c r="N667" s="18" t="str">
        <f t="shared" si="84"/>
        <v>82</v>
      </c>
      <c r="O667" s="18" t="str">
        <f>INDEX(Chapter,MATCH(N667,Chapter!$A$1:$A$681,0),8)</f>
        <v>תרבות</v>
      </c>
      <c r="P667" s="18" t="str">
        <f t="shared" si="85"/>
        <v>829</v>
      </c>
      <c r="Q667" s="18" t="str">
        <f>INDEX(Chapter,MATCH(P667,Chapter!$A$1:$A$681,0),8)</f>
        <v>ספורט</v>
      </c>
      <c r="R667" s="18" t="str">
        <f t="shared" si="86"/>
        <v>8299</v>
      </c>
      <c r="S667" s="18" t="e">
        <f>INDEX(Chapter,MATCH(R667,Chapter!$A$1:$A$681,0),8)</f>
        <v>#N/A</v>
      </c>
      <c r="T667" s="18"/>
      <c r="U667" s="18" t="str">
        <f t="shared" si="87"/>
        <v>7</v>
      </c>
      <c r="V667" s="18" t="str">
        <f>IF($L667&lt;"6",INDEX(Revenue_type,MATCH(U667*1,type!$A$118:$A$168,0),8),INDEX(Expenditure_type,MATCH(U667*1,type!$A$2:$A$117,0),8))</f>
        <v>הוצאות לפעולות</v>
      </c>
      <c r="W667" s="18" t="str">
        <f t="shared" si="88"/>
        <v>70</v>
      </c>
      <c r="X667" s="18" t="e">
        <f>IF($L667&lt;"6",INDEX(Revenue_type,MATCH(W667*1,type!$A$118:$A$168,0),8),INDEX(Expenditure_type,MATCH(W667*1,type!$A$2:$A$117,0),8))</f>
        <v>#N/A</v>
      </c>
      <c r="Y667" s="18" t="str">
        <f t="shared" si="89"/>
        <v>700</v>
      </c>
      <c r="Z667" s="18" t="e">
        <f>IF($L667&lt;"6",INDEX(Revenue_type,MATCH(Y667*1,type!$A$118:$A$168,0),8),INDEX(Expenditure_type,MATCH(Y667*1,type!$A$2:$A$117,0),8))</f>
        <v>#N/A</v>
      </c>
    </row>
    <row r="668" spans="1:26" ht="15.75" hidden="1" customHeight="1" outlineLevel="2">
      <c r="A668">
        <v>700</v>
      </c>
      <c r="B668" s="249">
        <v>829235</v>
      </c>
      <c r="C668">
        <v>1</v>
      </c>
      <c r="D668" t="str">
        <f t="shared" si="82"/>
        <v>1829235.700</v>
      </c>
      <c r="E668" s="354" t="s">
        <v>8330</v>
      </c>
      <c r="F668" s="242"/>
      <c r="G668"/>
      <c r="H668" s="322">
        <v>68000</v>
      </c>
      <c r="I668" s="322">
        <v>70000</v>
      </c>
      <c r="J668" s="242">
        <v>70000</v>
      </c>
      <c r="K668" s="18" t="e">
        <f>INDEX(תקציב_2013,MATCH(D668,'תקציב 2015'!$D$3:$D$5960,0),8)</f>
        <v>#N/A</v>
      </c>
      <c r="L668" s="18" t="str">
        <f t="shared" si="83"/>
        <v>8</v>
      </c>
      <c r="M668" s="18" t="str">
        <f>INDEX(Chapter,MATCH(L668,Chapter!$A$1:$A$681,0),8)</f>
        <v>שירותים ממלכתיים</v>
      </c>
      <c r="N668" s="18" t="str">
        <f t="shared" si="84"/>
        <v>82</v>
      </c>
      <c r="O668" s="18" t="str">
        <f>INDEX(Chapter,MATCH(N668,Chapter!$A$1:$A$681,0),8)</f>
        <v>תרבות</v>
      </c>
      <c r="P668" s="18" t="str">
        <f t="shared" si="85"/>
        <v>829</v>
      </c>
      <c r="Q668" s="18" t="str">
        <f>INDEX(Chapter,MATCH(P668,Chapter!$A$1:$A$681,0),8)</f>
        <v>ספורט</v>
      </c>
      <c r="R668" s="18" t="str">
        <f t="shared" si="86"/>
        <v>8292</v>
      </c>
      <c r="S668" s="18" t="e">
        <f>INDEX(Chapter,MATCH(R668,Chapter!$A$1:$A$681,0),8)</f>
        <v>#N/A</v>
      </c>
      <c r="T668" s="18"/>
      <c r="U668" s="18" t="str">
        <f t="shared" si="87"/>
        <v>7</v>
      </c>
      <c r="V668" s="18" t="str">
        <f>IF($L668&lt;"6",INDEX(Revenue_type,MATCH(U668*1,type!$A$118:$A$168,0),8),INDEX(Expenditure_type,MATCH(U668*1,type!$A$2:$A$117,0),8))</f>
        <v>הוצאות לפעולות</v>
      </c>
      <c r="W668" s="18" t="str">
        <f t="shared" si="88"/>
        <v>70</v>
      </c>
      <c r="X668" s="18" t="e">
        <f>IF($L668&lt;"6",INDEX(Revenue_type,MATCH(W668*1,type!$A$118:$A$168,0),8),INDEX(Expenditure_type,MATCH(W668*1,type!$A$2:$A$117,0),8))</f>
        <v>#N/A</v>
      </c>
      <c r="Y668" s="18" t="str">
        <f t="shared" si="89"/>
        <v>700</v>
      </c>
      <c r="Z668" s="18" t="e">
        <f>IF($L668&lt;"6",INDEX(Revenue_type,MATCH(Y668*1,type!$A$118:$A$168,0),8),INDEX(Expenditure_type,MATCH(Y668*1,type!$A$2:$A$117,0),8))</f>
        <v>#N/A</v>
      </c>
    </row>
    <row r="669" spans="1:26" ht="15.75" hidden="1" customHeight="1" outlineLevel="2">
      <c r="A669">
        <v>120</v>
      </c>
      <c r="B669" s="249">
        <v>829230</v>
      </c>
      <c r="C669">
        <v>1</v>
      </c>
      <c r="D669" t="str">
        <f t="shared" si="82"/>
        <v>1829230.120</v>
      </c>
      <c r="E669" s="354" t="s">
        <v>8331</v>
      </c>
      <c r="F669" s="242"/>
      <c r="G669"/>
      <c r="H669" s="322"/>
      <c r="I669" s="322">
        <v>0</v>
      </c>
      <c r="J669" s="242">
        <v>0</v>
      </c>
      <c r="K669" s="18" t="e">
        <f>INDEX(תקציב_2013,MATCH(D669,'תקציב 2015'!$D$3:$D$5960,0),8)</f>
        <v>#N/A</v>
      </c>
      <c r="L669" s="18" t="str">
        <f t="shared" si="83"/>
        <v>8</v>
      </c>
      <c r="M669" s="18" t="str">
        <f>INDEX(Chapter,MATCH(L669,Chapter!$A$1:$A$681,0),8)</f>
        <v>שירותים ממלכתיים</v>
      </c>
      <c r="N669" s="18" t="str">
        <f t="shared" si="84"/>
        <v>82</v>
      </c>
      <c r="O669" s="18" t="str">
        <f>INDEX(Chapter,MATCH(N669,Chapter!$A$1:$A$681,0),8)</f>
        <v>תרבות</v>
      </c>
      <c r="P669" s="18" t="str">
        <f t="shared" si="85"/>
        <v>829</v>
      </c>
      <c r="Q669" s="18" t="str">
        <f>INDEX(Chapter,MATCH(P669,Chapter!$A$1:$A$681,0),8)</f>
        <v>ספורט</v>
      </c>
      <c r="R669" s="18" t="str">
        <f t="shared" si="86"/>
        <v>8292</v>
      </c>
      <c r="S669" s="18" t="e">
        <f>INDEX(Chapter,MATCH(R669,Chapter!$A$1:$A$681,0),8)</f>
        <v>#N/A</v>
      </c>
      <c r="T669" s="18"/>
      <c r="U669" s="18" t="str">
        <f t="shared" si="87"/>
        <v>1</v>
      </c>
      <c r="V669" s="18" t="str">
        <f>IF($L669&lt;"6",INDEX(Revenue_type,MATCH(U669*1,type!$A$118:$A$168,0),8),INDEX(Expenditure_type,MATCH(U669*1,type!$A$2:$A$117,0),8))</f>
        <v>משכורות וש"ע לעובדים לפי תקן</v>
      </c>
      <c r="W669" s="18" t="str">
        <f t="shared" si="88"/>
        <v>12</v>
      </c>
      <c r="X669" s="18" t="str">
        <f>IF($L669&lt;"6",INDEX(Revenue_type,MATCH(W669*1,type!$A$118:$A$168,0),8),INDEX(Expenditure_type,MATCH(W669*1,type!$A$2:$A$117,0),8))</f>
        <v>תוספות שאינן נכללות בשכר הקובע</v>
      </c>
      <c r="Y669" s="18" t="str">
        <f t="shared" si="89"/>
        <v>120</v>
      </c>
      <c r="Z669" s="18" t="e">
        <f>IF($L669&lt;"6",INDEX(Revenue_type,MATCH(Y669*1,type!$A$118:$A$168,0),8),INDEX(Expenditure_type,MATCH(Y669*1,type!$A$2:$A$117,0),8))</f>
        <v>#N/A</v>
      </c>
    </row>
    <row r="670" spans="1:26" ht="15.75" hidden="1" customHeight="1" outlineLevel="2">
      <c r="A670">
        <v>400</v>
      </c>
      <c r="B670" s="249">
        <v>829230</v>
      </c>
      <c r="C670">
        <v>1</v>
      </c>
      <c r="D670" t="str">
        <f t="shared" si="82"/>
        <v>1829230.400</v>
      </c>
      <c r="E670" s="354" t="s">
        <v>8332</v>
      </c>
      <c r="F670" s="242"/>
      <c r="G670"/>
      <c r="H670" s="322">
        <v>41000</v>
      </c>
      <c r="I670" s="322">
        <v>41000</v>
      </c>
      <c r="J670" s="242">
        <v>59800</v>
      </c>
      <c r="K670" s="18" t="e">
        <f>INDEX(תקציב_2013,MATCH(D670,'תקציב 2015'!$D$3:$D$5960,0),8)</f>
        <v>#N/A</v>
      </c>
      <c r="L670" s="18" t="str">
        <f t="shared" si="83"/>
        <v>8</v>
      </c>
      <c r="M670" s="18" t="str">
        <f>INDEX(Chapter,MATCH(L670,Chapter!$A$1:$A$681,0),8)</f>
        <v>שירותים ממלכתיים</v>
      </c>
      <c r="N670" s="18" t="str">
        <f t="shared" si="84"/>
        <v>82</v>
      </c>
      <c r="O670" s="18" t="str">
        <f>INDEX(Chapter,MATCH(N670,Chapter!$A$1:$A$681,0),8)</f>
        <v>תרבות</v>
      </c>
      <c r="P670" s="18" t="str">
        <f t="shared" si="85"/>
        <v>829</v>
      </c>
      <c r="Q670" s="18" t="str">
        <f>INDEX(Chapter,MATCH(P670,Chapter!$A$1:$A$681,0),8)</f>
        <v>ספורט</v>
      </c>
      <c r="R670" s="18" t="str">
        <f t="shared" si="86"/>
        <v>8292</v>
      </c>
      <c r="S670" s="18" t="e">
        <f>INDEX(Chapter,MATCH(R670,Chapter!$A$1:$A$681,0),8)</f>
        <v>#N/A</v>
      </c>
      <c r="T670" s="18"/>
      <c r="U670" s="18" t="str">
        <f t="shared" si="87"/>
        <v>4</v>
      </c>
      <c r="V670" s="18" t="str">
        <f>IF($L670&lt;"6",INDEX(Revenue_type,MATCH(U670*1,type!$A$118:$A$168,0),8),INDEX(Expenditure_type,MATCH(U670*1,type!$A$2:$A$117,0),8))</f>
        <v>אחזקת בינים ואספקת ציוד</v>
      </c>
      <c r="W670" s="18" t="str">
        <f t="shared" si="88"/>
        <v>40</v>
      </c>
      <c r="X670" s="18" t="e">
        <f>IF($L670&lt;"6",INDEX(Revenue_type,MATCH(W670*1,type!$A$118:$A$168,0),8),INDEX(Expenditure_type,MATCH(W670*1,type!$A$2:$A$117,0),8))</f>
        <v>#N/A</v>
      </c>
      <c r="Y670" s="18" t="str">
        <f t="shared" si="89"/>
        <v>400</v>
      </c>
      <c r="Z670" s="18" t="e">
        <f>IF($L670&lt;"6",INDEX(Revenue_type,MATCH(Y670*1,type!$A$118:$A$168,0),8),INDEX(Expenditure_type,MATCH(Y670*1,type!$A$2:$A$117,0),8))</f>
        <v>#N/A</v>
      </c>
    </row>
    <row r="671" spans="1:26" ht="15.75" hidden="1" customHeight="1" outlineLevel="2">
      <c r="A671">
        <v>700</v>
      </c>
      <c r="B671" s="249">
        <v>829230</v>
      </c>
      <c r="C671">
        <v>1</v>
      </c>
      <c r="D671" t="str">
        <f t="shared" si="82"/>
        <v>1829230.700</v>
      </c>
      <c r="E671" s="354" t="s">
        <v>8333</v>
      </c>
      <c r="F671" s="242"/>
      <c r="G671"/>
      <c r="H671" s="322">
        <v>272900</v>
      </c>
      <c r="I671" s="322">
        <v>282100</v>
      </c>
      <c r="J671" s="242">
        <v>272100</v>
      </c>
      <c r="K671" s="18" t="e">
        <f>INDEX(תקציב_2013,MATCH(D671,'תקציב 2015'!$D$3:$D$5960,0),8)</f>
        <v>#N/A</v>
      </c>
      <c r="L671" s="18" t="str">
        <f t="shared" si="83"/>
        <v>8</v>
      </c>
      <c r="M671" s="18" t="str">
        <f>INDEX(Chapter,MATCH(L671,Chapter!$A$1:$A$681,0),8)</f>
        <v>שירותים ממלכתיים</v>
      </c>
      <c r="N671" s="18" t="str">
        <f t="shared" si="84"/>
        <v>82</v>
      </c>
      <c r="O671" s="18" t="str">
        <f>INDEX(Chapter,MATCH(N671,Chapter!$A$1:$A$681,0),8)</f>
        <v>תרבות</v>
      </c>
      <c r="P671" s="18" t="str">
        <f t="shared" si="85"/>
        <v>829</v>
      </c>
      <c r="Q671" s="18" t="str">
        <f>INDEX(Chapter,MATCH(P671,Chapter!$A$1:$A$681,0),8)</f>
        <v>ספורט</v>
      </c>
      <c r="R671" s="18" t="str">
        <f t="shared" si="86"/>
        <v>8292</v>
      </c>
      <c r="S671" s="18" t="e">
        <f>INDEX(Chapter,MATCH(R671,Chapter!$A$1:$A$681,0),8)</f>
        <v>#N/A</v>
      </c>
      <c r="T671" s="18"/>
      <c r="U671" s="18" t="str">
        <f t="shared" si="87"/>
        <v>7</v>
      </c>
      <c r="V671" s="18" t="str">
        <f>IF($L671&lt;"6",INDEX(Revenue_type,MATCH(U671*1,type!$A$118:$A$168,0),8),INDEX(Expenditure_type,MATCH(U671*1,type!$A$2:$A$117,0),8))</f>
        <v>הוצאות לפעולות</v>
      </c>
      <c r="W671" s="18" t="str">
        <f t="shared" si="88"/>
        <v>70</v>
      </c>
      <c r="X671" s="18" t="e">
        <f>IF($L671&lt;"6",INDEX(Revenue_type,MATCH(W671*1,type!$A$118:$A$168,0),8),INDEX(Expenditure_type,MATCH(W671*1,type!$A$2:$A$117,0),8))</f>
        <v>#N/A</v>
      </c>
      <c r="Y671" s="18" t="str">
        <f t="shared" si="89"/>
        <v>700</v>
      </c>
      <c r="Z671" s="18" t="e">
        <f>IF($L671&lt;"6",INDEX(Revenue_type,MATCH(Y671*1,type!$A$118:$A$168,0),8),INDEX(Expenditure_type,MATCH(Y671*1,type!$A$2:$A$117,0),8))</f>
        <v>#N/A</v>
      </c>
    </row>
    <row r="672" spans="1:26" ht="15.75" hidden="1" customHeight="1" outlineLevel="2">
      <c r="A672">
        <v>700</v>
      </c>
      <c r="B672" s="249">
        <v>829234</v>
      </c>
      <c r="C672">
        <v>1</v>
      </c>
      <c r="D672" t="str">
        <f t="shared" si="82"/>
        <v>1829234.700</v>
      </c>
      <c r="E672" s="354" t="s">
        <v>8334</v>
      </c>
      <c r="F672" s="242"/>
      <c r="G672"/>
      <c r="H672" s="322">
        <v>94200</v>
      </c>
      <c r="I672" s="322">
        <v>97000</v>
      </c>
      <c r="J672" s="242">
        <v>98700</v>
      </c>
      <c r="K672" s="18" t="e">
        <f>INDEX(תקציב_2013,MATCH(D672,'תקציב 2015'!$D$3:$D$5960,0),8)</f>
        <v>#N/A</v>
      </c>
      <c r="L672" s="18" t="str">
        <f t="shared" si="83"/>
        <v>8</v>
      </c>
      <c r="M672" s="18" t="str">
        <f>INDEX(Chapter,MATCH(L672,Chapter!$A$1:$A$681,0),8)</f>
        <v>שירותים ממלכתיים</v>
      </c>
      <c r="N672" s="18" t="str">
        <f t="shared" si="84"/>
        <v>82</v>
      </c>
      <c r="O672" s="18" t="str">
        <f>INDEX(Chapter,MATCH(N672,Chapter!$A$1:$A$681,0),8)</f>
        <v>תרבות</v>
      </c>
      <c r="P672" s="18" t="str">
        <f t="shared" si="85"/>
        <v>829</v>
      </c>
      <c r="Q672" s="18" t="str">
        <f>INDEX(Chapter,MATCH(P672,Chapter!$A$1:$A$681,0),8)</f>
        <v>ספורט</v>
      </c>
      <c r="R672" s="18" t="str">
        <f t="shared" si="86"/>
        <v>8292</v>
      </c>
      <c r="S672" s="18" t="e">
        <f>INDEX(Chapter,MATCH(R672,Chapter!$A$1:$A$681,0),8)</f>
        <v>#N/A</v>
      </c>
      <c r="T672" s="18"/>
      <c r="U672" s="18" t="str">
        <f t="shared" si="87"/>
        <v>7</v>
      </c>
      <c r="V672" s="18" t="str">
        <f>IF($L672&lt;"6",INDEX(Revenue_type,MATCH(U672*1,type!$A$118:$A$168,0),8),INDEX(Expenditure_type,MATCH(U672*1,type!$A$2:$A$117,0),8))</f>
        <v>הוצאות לפעולות</v>
      </c>
      <c r="W672" s="18" t="str">
        <f t="shared" si="88"/>
        <v>70</v>
      </c>
      <c r="X672" s="18" t="e">
        <f>IF($L672&lt;"6",INDEX(Revenue_type,MATCH(W672*1,type!$A$118:$A$168,0),8),INDEX(Expenditure_type,MATCH(W672*1,type!$A$2:$A$117,0),8))</f>
        <v>#N/A</v>
      </c>
      <c r="Y672" s="18" t="str">
        <f t="shared" si="89"/>
        <v>700</v>
      </c>
      <c r="Z672" s="18" t="e">
        <f>IF($L672&lt;"6",INDEX(Revenue_type,MATCH(Y672*1,type!$A$118:$A$168,0),8),INDEX(Expenditure_type,MATCH(Y672*1,type!$A$2:$A$117,0),8))</f>
        <v>#N/A</v>
      </c>
    </row>
    <row r="673" spans="1:26" ht="15.75" hidden="1" customHeight="1" outlineLevel="2">
      <c r="A673">
        <v>700</v>
      </c>
      <c r="B673" s="249">
        <v>829236</v>
      </c>
      <c r="C673">
        <v>1</v>
      </c>
      <c r="D673" t="str">
        <f t="shared" si="82"/>
        <v>1829236.700</v>
      </c>
      <c r="E673" s="354" t="s">
        <v>8335</v>
      </c>
      <c r="F673" s="242"/>
      <c r="G673"/>
      <c r="H673" s="322">
        <v>194300</v>
      </c>
      <c r="I673" s="322">
        <v>200000</v>
      </c>
      <c r="J673" s="242">
        <v>0</v>
      </c>
      <c r="K673" s="18" t="e">
        <f>INDEX(תקציב_2013,MATCH(D673,'תקציב 2015'!$D$3:$D$5960,0),8)</f>
        <v>#N/A</v>
      </c>
      <c r="L673" s="18" t="str">
        <f t="shared" si="83"/>
        <v>8</v>
      </c>
      <c r="M673" s="18" t="str">
        <f>INDEX(Chapter,MATCH(L673,Chapter!$A$1:$A$681,0),8)</f>
        <v>שירותים ממלכתיים</v>
      </c>
      <c r="N673" s="18" t="str">
        <f t="shared" si="84"/>
        <v>82</v>
      </c>
      <c r="O673" s="18" t="str">
        <f>INDEX(Chapter,MATCH(N673,Chapter!$A$1:$A$681,0),8)</f>
        <v>תרבות</v>
      </c>
      <c r="P673" s="18" t="str">
        <f t="shared" si="85"/>
        <v>829</v>
      </c>
      <c r="Q673" s="18" t="str">
        <f>INDEX(Chapter,MATCH(P673,Chapter!$A$1:$A$681,0),8)</f>
        <v>ספורט</v>
      </c>
      <c r="R673" s="18" t="str">
        <f t="shared" si="86"/>
        <v>8292</v>
      </c>
      <c r="S673" s="18" t="e">
        <f>INDEX(Chapter,MATCH(R673,Chapter!$A$1:$A$681,0),8)</f>
        <v>#N/A</v>
      </c>
      <c r="T673" s="18"/>
      <c r="U673" s="18" t="str">
        <f t="shared" si="87"/>
        <v>7</v>
      </c>
      <c r="V673" s="18" t="str">
        <f>IF($L673&lt;"6",INDEX(Revenue_type,MATCH(U673*1,type!$A$118:$A$168,0),8),INDEX(Expenditure_type,MATCH(U673*1,type!$A$2:$A$117,0),8))</f>
        <v>הוצאות לפעולות</v>
      </c>
      <c r="W673" s="18" t="str">
        <f t="shared" si="88"/>
        <v>70</v>
      </c>
      <c r="X673" s="18" t="e">
        <f>IF($L673&lt;"6",INDEX(Revenue_type,MATCH(W673*1,type!$A$118:$A$168,0),8),INDEX(Expenditure_type,MATCH(W673*1,type!$A$2:$A$117,0),8))</f>
        <v>#N/A</v>
      </c>
      <c r="Y673" s="18" t="str">
        <f t="shared" si="89"/>
        <v>700</v>
      </c>
      <c r="Z673" s="18" t="e">
        <f>IF($L673&lt;"6",INDEX(Revenue_type,MATCH(Y673*1,type!$A$118:$A$168,0),8),INDEX(Expenditure_type,MATCH(Y673*1,type!$A$2:$A$117,0),8))</f>
        <v>#N/A</v>
      </c>
    </row>
    <row r="674" spans="1:26" ht="15.75" hidden="1" customHeight="1" outlineLevel="2">
      <c r="A674">
        <v>100</v>
      </c>
      <c r="B674" s="249">
        <v>824700</v>
      </c>
      <c r="C674">
        <v>1</v>
      </c>
      <c r="D674" t="str">
        <f t="shared" si="82"/>
        <v>1824700.100</v>
      </c>
      <c r="E674" s="354" t="s">
        <v>8336</v>
      </c>
      <c r="F674" s="242"/>
      <c r="G674"/>
      <c r="H674" s="322">
        <v>618800</v>
      </c>
      <c r="I674" s="322">
        <v>611800</v>
      </c>
      <c r="J674" s="242">
        <v>541500</v>
      </c>
      <c r="K674" s="18" t="e">
        <f>INDEX(תקציב_2013,MATCH(D674,'תקציב 2015'!$D$3:$D$5960,0),8)</f>
        <v>#N/A</v>
      </c>
      <c r="L674" s="18" t="str">
        <f t="shared" si="83"/>
        <v>8</v>
      </c>
      <c r="M674" s="18" t="str">
        <f>INDEX(Chapter,MATCH(L674,Chapter!$A$1:$A$681,0),8)</f>
        <v>שירותים ממלכתיים</v>
      </c>
      <c r="N674" s="18" t="str">
        <f t="shared" si="84"/>
        <v>82</v>
      </c>
      <c r="O674" s="18" t="str">
        <f>INDEX(Chapter,MATCH(N674,Chapter!$A$1:$A$681,0),8)</f>
        <v>תרבות</v>
      </c>
      <c r="P674" s="18" t="str">
        <f t="shared" si="85"/>
        <v>824</v>
      </c>
      <c r="Q674" s="18" t="str">
        <f>INDEX(Chapter,MATCH(P674,Chapter!$A$1:$A$681,0),8)</f>
        <v>מתנ״סים</v>
      </c>
      <c r="R674" s="18" t="str">
        <f t="shared" si="86"/>
        <v>8247</v>
      </c>
      <c r="S674" s="18" t="e">
        <f>INDEX(Chapter,MATCH(R674,Chapter!$A$1:$A$681,0),8)</f>
        <v>#N/A</v>
      </c>
      <c r="T674" s="18"/>
      <c r="U674" s="18" t="str">
        <f t="shared" si="87"/>
        <v>1</v>
      </c>
      <c r="V674" s="18" t="str">
        <f>IF($L674&lt;"6",INDEX(Revenue_type,MATCH(U674*1,type!$A$118:$A$168,0),8),INDEX(Expenditure_type,MATCH(U674*1,type!$A$2:$A$117,0),8))</f>
        <v>משכורות וש"ע לעובדים לפי תקן</v>
      </c>
      <c r="W674" s="18" t="str">
        <f t="shared" si="88"/>
        <v>10</v>
      </c>
      <c r="X674" s="18" t="e">
        <f>IF($L674&lt;"6",INDEX(Revenue_type,MATCH(W674*1,type!$A$118:$A$168,0),8),INDEX(Expenditure_type,MATCH(W674*1,type!$A$2:$A$117,0),8))</f>
        <v>#N/A</v>
      </c>
      <c r="Y674" s="18" t="str">
        <f t="shared" si="89"/>
        <v>100</v>
      </c>
      <c r="Z674" s="18" t="e">
        <f>IF($L674&lt;"6",INDEX(Revenue_type,MATCH(Y674*1,type!$A$118:$A$168,0),8),INDEX(Expenditure_type,MATCH(Y674*1,type!$A$2:$A$117,0),8))</f>
        <v>#N/A</v>
      </c>
    </row>
    <row r="675" spans="1:26" ht="15.75" hidden="1" customHeight="1" outlineLevel="2">
      <c r="A675">
        <v>120</v>
      </c>
      <c r="B675" s="249">
        <v>824700</v>
      </c>
      <c r="C675">
        <v>1</v>
      </c>
      <c r="D675" t="str">
        <f t="shared" si="82"/>
        <v>1824700.120</v>
      </c>
      <c r="E675" s="354" t="s">
        <v>8337</v>
      </c>
      <c r="F675" s="242"/>
      <c r="G675"/>
      <c r="H675" s="322">
        <v>1200</v>
      </c>
      <c r="I675" s="322">
        <v>1200</v>
      </c>
      <c r="J675" s="242">
        <v>900</v>
      </c>
      <c r="K675" s="18" t="e">
        <f>INDEX(תקציב_2013,MATCH(D675,'תקציב 2015'!$D$3:$D$5960,0),8)</f>
        <v>#N/A</v>
      </c>
      <c r="L675" s="18" t="str">
        <f t="shared" si="83"/>
        <v>8</v>
      </c>
      <c r="M675" s="18" t="str">
        <f>INDEX(Chapter,MATCH(L675,Chapter!$A$1:$A$681,0),8)</f>
        <v>שירותים ממלכתיים</v>
      </c>
      <c r="N675" s="18" t="str">
        <f t="shared" si="84"/>
        <v>82</v>
      </c>
      <c r="O675" s="18" t="str">
        <f>INDEX(Chapter,MATCH(N675,Chapter!$A$1:$A$681,0),8)</f>
        <v>תרבות</v>
      </c>
      <c r="P675" s="18" t="str">
        <f t="shared" si="85"/>
        <v>824</v>
      </c>
      <c r="Q675" s="18" t="str">
        <f>INDEX(Chapter,MATCH(P675,Chapter!$A$1:$A$681,0),8)</f>
        <v>מתנ״סים</v>
      </c>
      <c r="R675" s="18" t="str">
        <f t="shared" si="86"/>
        <v>8247</v>
      </c>
      <c r="S675" s="18" t="e">
        <f>INDEX(Chapter,MATCH(R675,Chapter!$A$1:$A$681,0),8)</f>
        <v>#N/A</v>
      </c>
      <c r="T675" s="18"/>
      <c r="U675" s="18" t="str">
        <f t="shared" si="87"/>
        <v>1</v>
      </c>
      <c r="V675" s="18" t="str">
        <f>IF($L675&lt;"6",INDEX(Revenue_type,MATCH(U675*1,type!$A$118:$A$168,0),8),INDEX(Expenditure_type,MATCH(U675*1,type!$A$2:$A$117,0),8))</f>
        <v>משכורות וש"ע לעובדים לפי תקן</v>
      </c>
      <c r="W675" s="18" t="str">
        <f t="shared" si="88"/>
        <v>12</v>
      </c>
      <c r="X675" s="18" t="str">
        <f>IF($L675&lt;"6",INDEX(Revenue_type,MATCH(W675*1,type!$A$118:$A$168,0),8),INDEX(Expenditure_type,MATCH(W675*1,type!$A$2:$A$117,0),8))</f>
        <v>תוספות שאינן נכללות בשכר הקובע</v>
      </c>
      <c r="Y675" s="18" t="str">
        <f t="shared" si="89"/>
        <v>120</v>
      </c>
      <c r="Z675" s="18" t="e">
        <f>IF($L675&lt;"6",INDEX(Revenue_type,MATCH(Y675*1,type!$A$118:$A$168,0),8),INDEX(Expenditure_type,MATCH(Y675*1,type!$A$2:$A$117,0),8))</f>
        <v>#N/A</v>
      </c>
    </row>
    <row r="676" spans="1:26" ht="15.75" hidden="1" customHeight="1" outlineLevel="2">
      <c r="A676">
        <v>700</v>
      </c>
      <c r="B676" s="249">
        <v>824700</v>
      </c>
      <c r="C676">
        <v>1</v>
      </c>
      <c r="D676" t="str">
        <f t="shared" si="82"/>
        <v>1824700.700</v>
      </c>
      <c r="E676" s="354" t="s">
        <v>8338</v>
      </c>
      <c r="F676" s="242"/>
      <c r="G676"/>
      <c r="H676" s="322">
        <v>242900</v>
      </c>
      <c r="I676" s="322">
        <v>250000</v>
      </c>
      <c r="J676" s="242">
        <v>174600</v>
      </c>
      <c r="K676" s="18" t="e">
        <f>INDEX(תקציב_2013,MATCH(D676,'תקציב 2015'!$D$3:$D$5960,0),8)</f>
        <v>#N/A</v>
      </c>
      <c r="L676" s="18" t="str">
        <f t="shared" si="83"/>
        <v>8</v>
      </c>
      <c r="M676" s="18" t="str">
        <f>INDEX(Chapter,MATCH(L676,Chapter!$A$1:$A$681,0),8)</f>
        <v>שירותים ממלכתיים</v>
      </c>
      <c r="N676" s="18" t="str">
        <f t="shared" si="84"/>
        <v>82</v>
      </c>
      <c r="O676" s="18" t="str">
        <f>INDEX(Chapter,MATCH(N676,Chapter!$A$1:$A$681,0),8)</f>
        <v>תרבות</v>
      </c>
      <c r="P676" s="18" t="str">
        <f t="shared" si="85"/>
        <v>824</v>
      </c>
      <c r="Q676" s="18" t="str">
        <f>INDEX(Chapter,MATCH(P676,Chapter!$A$1:$A$681,0),8)</f>
        <v>מתנ״סים</v>
      </c>
      <c r="R676" s="18" t="str">
        <f t="shared" si="86"/>
        <v>8247</v>
      </c>
      <c r="S676" s="18" t="e">
        <f>INDEX(Chapter,MATCH(R676,Chapter!$A$1:$A$681,0),8)</f>
        <v>#N/A</v>
      </c>
      <c r="T676" s="18"/>
      <c r="U676" s="18" t="str">
        <f t="shared" si="87"/>
        <v>7</v>
      </c>
      <c r="V676" s="18" t="str">
        <f>IF($L676&lt;"6",INDEX(Revenue_type,MATCH(U676*1,type!$A$118:$A$168,0),8),INDEX(Expenditure_type,MATCH(U676*1,type!$A$2:$A$117,0),8))</f>
        <v>הוצאות לפעולות</v>
      </c>
      <c r="W676" s="18" t="str">
        <f t="shared" si="88"/>
        <v>70</v>
      </c>
      <c r="X676" s="18" t="e">
        <f>IF($L676&lt;"6",INDEX(Revenue_type,MATCH(W676*1,type!$A$118:$A$168,0),8),INDEX(Expenditure_type,MATCH(W676*1,type!$A$2:$A$117,0),8))</f>
        <v>#N/A</v>
      </c>
      <c r="Y676" s="18" t="str">
        <f t="shared" si="89"/>
        <v>700</v>
      </c>
      <c r="Z676" s="18" t="e">
        <f>IF($L676&lt;"6",INDEX(Revenue_type,MATCH(Y676*1,type!$A$118:$A$168,0),8),INDEX(Expenditure_type,MATCH(Y676*1,type!$A$2:$A$117,0),8))</f>
        <v>#N/A</v>
      </c>
    </row>
    <row r="677" spans="1:26" ht="15.75" hidden="1" customHeight="1" outlineLevel="2">
      <c r="A677">
        <v>700</v>
      </c>
      <c r="B677" s="249">
        <v>829237</v>
      </c>
      <c r="C677">
        <v>1</v>
      </c>
      <c r="D677" t="str">
        <f t="shared" si="82"/>
        <v>1829237.700</v>
      </c>
      <c r="E677" s="354" t="s">
        <v>8339</v>
      </c>
      <c r="F677" s="242"/>
      <c r="G677"/>
      <c r="H677" s="322">
        <v>391900</v>
      </c>
      <c r="I677" s="322">
        <v>403400</v>
      </c>
      <c r="J677" s="242">
        <v>0</v>
      </c>
      <c r="K677" s="18" t="e">
        <f>INDEX(תקציב_2013,MATCH(D677,'תקציב 2015'!$D$3:$D$5960,0),8)</f>
        <v>#N/A</v>
      </c>
      <c r="L677" s="18" t="str">
        <f t="shared" si="83"/>
        <v>8</v>
      </c>
      <c r="M677" s="18" t="str">
        <f>INDEX(Chapter,MATCH(L677,Chapter!$A$1:$A$681,0),8)</f>
        <v>שירותים ממלכתיים</v>
      </c>
      <c r="N677" s="18" t="str">
        <f t="shared" si="84"/>
        <v>82</v>
      </c>
      <c r="O677" s="18" t="str">
        <f>INDEX(Chapter,MATCH(N677,Chapter!$A$1:$A$681,0),8)</f>
        <v>תרבות</v>
      </c>
      <c r="P677" s="18" t="str">
        <f t="shared" si="85"/>
        <v>829</v>
      </c>
      <c r="Q677" s="18" t="str">
        <f>INDEX(Chapter,MATCH(P677,Chapter!$A$1:$A$681,0),8)</f>
        <v>ספורט</v>
      </c>
      <c r="R677" s="18" t="str">
        <f t="shared" si="86"/>
        <v>8292</v>
      </c>
      <c r="S677" s="18" t="e">
        <f>INDEX(Chapter,MATCH(R677,Chapter!$A$1:$A$681,0),8)</f>
        <v>#N/A</v>
      </c>
      <c r="T677" s="18"/>
      <c r="U677" s="18" t="str">
        <f t="shared" si="87"/>
        <v>7</v>
      </c>
      <c r="V677" s="18" t="str">
        <f>IF($L677&lt;"6",INDEX(Revenue_type,MATCH(U677*1,type!$A$118:$A$168,0),8),INDEX(Expenditure_type,MATCH(U677*1,type!$A$2:$A$117,0),8))</f>
        <v>הוצאות לפעולות</v>
      </c>
      <c r="W677" s="18" t="str">
        <f t="shared" si="88"/>
        <v>70</v>
      </c>
      <c r="X677" s="18" t="e">
        <f>IF($L677&lt;"6",INDEX(Revenue_type,MATCH(W677*1,type!$A$118:$A$168,0),8),INDEX(Expenditure_type,MATCH(W677*1,type!$A$2:$A$117,0),8))</f>
        <v>#N/A</v>
      </c>
      <c r="Y677" s="18" t="str">
        <f t="shared" si="89"/>
        <v>700</v>
      </c>
      <c r="Z677" s="18" t="e">
        <f>IF($L677&lt;"6",INDEX(Revenue_type,MATCH(Y677*1,type!$A$118:$A$168,0),8),INDEX(Expenditure_type,MATCH(Y677*1,type!$A$2:$A$117,0),8))</f>
        <v>#N/A</v>
      </c>
    </row>
    <row r="678" spans="1:26" ht="15.75" hidden="1" customHeight="1" outlineLevel="2">
      <c r="A678">
        <v>100</v>
      </c>
      <c r="B678" s="249">
        <v>828400</v>
      </c>
      <c r="C678">
        <v>1</v>
      </c>
      <c r="D678" t="str">
        <f t="shared" si="82"/>
        <v>1828400.100</v>
      </c>
      <c r="E678" s="348" t="s">
        <v>8340</v>
      </c>
      <c r="F678" s="242"/>
      <c r="G678"/>
      <c r="H678" s="322">
        <v>1410500</v>
      </c>
      <c r="I678" s="322">
        <v>1321800</v>
      </c>
      <c r="J678" s="242">
        <v>1283300</v>
      </c>
      <c r="K678" s="18" t="e">
        <f>INDEX(תקציב_2013,MATCH(D678,'תקציב 2015'!$D$3:$D$5960,0),8)</f>
        <v>#N/A</v>
      </c>
      <c r="L678" s="18" t="str">
        <f t="shared" si="83"/>
        <v>8</v>
      </c>
      <c r="M678" s="18" t="str">
        <f>INDEX(Chapter,MATCH(L678,Chapter!$A$1:$A$681,0),8)</f>
        <v>שירותים ממלכתיים</v>
      </c>
      <c r="N678" s="18" t="str">
        <f t="shared" si="84"/>
        <v>82</v>
      </c>
      <c r="O678" s="18" t="str">
        <f>INDEX(Chapter,MATCH(N678,Chapter!$A$1:$A$681,0),8)</f>
        <v>תרבות</v>
      </c>
      <c r="P678" s="18" t="str">
        <f t="shared" si="85"/>
        <v>828</v>
      </c>
      <c r="Q678" s="18" t="str">
        <f>INDEX(Chapter,MATCH(P678,Chapter!$A$1:$A$681,0),8)</f>
        <v>נוער</v>
      </c>
      <c r="R678" s="18" t="str">
        <f t="shared" si="86"/>
        <v>8284</v>
      </c>
      <c r="S678" s="18" t="str">
        <f>INDEX(Chapter,MATCH(R678,Chapter!$A$1:$A$681,0),8)</f>
        <v>קייטנות נוער</v>
      </c>
      <c r="T678" s="18"/>
      <c r="U678" s="18" t="str">
        <f t="shared" si="87"/>
        <v>1</v>
      </c>
      <c r="V678" s="18" t="str">
        <f>IF($L678&lt;"6",INDEX(Revenue_type,MATCH(U678*1,type!$A$118:$A$168,0),8),INDEX(Expenditure_type,MATCH(U678*1,type!$A$2:$A$117,0),8))</f>
        <v>משכורות וש"ע לעובדים לפי תקן</v>
      </c>
      <c r="W678" s="18" t="str">
        <f t="shared" si="88"/>
        <v>10</v>
      </c>
      <c r="X678" s="18" t="e">
        <f>IF($L678&lt;"6",INDEX(Revenue_type,MATCH(W678*1,type!$A$118:$A$168,0),8),INDEX(Expenditure_type,MATCH(W678*1,type!$A$2:$A$117,0),8))</f>
        <v>#N/A</v>
      </c>
      <c r="Y678" s="18" t="str">
        <f t="shared" si="89"/>
        <v>100</v>
      </c>
      <c r="Z678" s="18" t="e">
        <f>IF($L678&lt;"6",INDEX(Revenue_type,MATCH(Y678*1,type!$A$118:$A$168,0),8),INDEX(Expenditure_type,MATCH(Y678*1,type!$A$2:$A$117,0),8))</f>
        <v>#N/A</v>
      </c>
    </row>
    <row r="679" spans="1:26" ht="15.75" hidden="1" customHeight="1" outlineLevel="2">
      <c r="A679">
        <v>120</v>
      </c>
      <c r="B679" s="249">
        <v>828400</v>
      </c>
      <c r="C679">
        <v>1</v>
      </c>
      <c r="D679" t="str">
        <f t="shared" si="82"/>
        <v>1828400.120</v>
      </c>
      <c r="E679" s="355" t="s">
        <v>8341</v>
      </c>
      <c r="F679" s="242"/>
      <c r="G679"/>
      <c r="H679" s="322">
        <v>75500</v>
      </c>
      <c r="I679" s="322">
        <v>75500</v>
      </c>
      <c r="J679" s="242">
        <v>96600</v>
      </c>
      <c r="K679" s="18" t="e">
        <f>INDEX(תקציב_2013,MATCH(D679,'תקציב 2015'!$D$3:$D$5960,0),8)</f>
        <v>#N/A</v>
      </c>
      <c r="L679" s="18" t="str">
        <f t="shared" si="83"/>
        <v>8</v>
      </c>
      <c r="M679" s="18" t="str">
        <f>INDEX(Chapter,MATCH(L679,Chapter!$A$1:$A$681,0),8)</f>
        <v>שירותים ממלכתיים</v>
      </c>
      <c r="N679" s="18" t="str">
        <f t="shared" si="84"/>
        <v>82</v>
      </c>
      <c r="O679" s="18" t="str">
        <f>INDEX(Chapter,MATCH(N679,Chapter!$A$1:$A$681,0),8)</f>
        <v>תרבות</v>
      </c>
      <c r="P679" s="18" t="str">
        <f t="shared" si="85"/>
        <v>828</v>
      </c>
      <c r="Q679" s="18" t="str">
        <f>INDEX(Chapter,MATCH(P679,Chapter!$A$1:$A$681,0),8)</f>
        <v>נוער</v>
      </c>
      <c r="R679" s="18" t="str">
        <f t="shared" si="86"/>
        <v>8284</v>
      </c>
      <c r="S679" s="18" t="str">
        <f>INDEX(Chapter,MATCH(R679,Chapter!$A$1:$A$681,0),8)</f>
        <v>קייטנות נוער</v>
      </c>
      <c r="T679" s="18"/>
      <c r="U679" s="18" t="str">
        <f t="shared" si="87"/>
        <v>1</v>
      </c>
      <c r="V679" s="18" t="str">
        <f>IF($L679&lt;"6",INDEX(Revenue_type,MATCH(U679*1,type!$A$118:$A$168,0),8),INDEX(Expenditure_type,MATCH(U679*1,type!$A$2:$A$117,0),8))</f>
        <v>משכורות וש"ע לעובדים לפי תקן</v>
      </c>
      <c r="W679" s="18" t="str">
        <f t="shared" si="88"/>
        <v>12</v>
      </c>
      <c r="X679" s="18" t="str">
        <f>IF($L679&lt;"6",INDEX(Revenue_type,MATCH(W679*1,type!$A$118:$A$168,0),8),INDEX(Expenditure_type,MATCH(W679*1,type!$A$2:$A$117,0),8))</f>
        <v>תוספות שאינן נכללות בשכר הקובע</v>
      </c>
      <c r="Y679" s="18" t="str">
        <f t="shared" si="89"/>
        <v>120</v>
      </c>
      <c r="Z679" s="18" t="e">
        <f>IF($L679&lt;"6",INDEX(Revenue_type,MATCH(Y679*1,type!$A$118:$A$168,0),8),INDEX(Expenditure_type,MATCH(Y679*1,type!$A$2:$A$117,0),8))</f>
        <v>#N/A</v>
      </c>
    </row>
    <row r="680" spans="1:26" ht="15.75" hidden="1" customHeight="1" outlineLevel="2">
      <c r="A680">
        <v>500</v>
      </c>
      <c r="B680" s="249">
        <v>828400</v>
      </c>
      <c r="C680">
        <v>1</v>
      </c>
      <c r="D680" t="str">
        <f t="shared" si="82"/>
        <v>1828400.500</v>
      </c>
      <c r="E680" s="368" t="s">
        <v>8342</v>
      </c>
      <c r="F680" s="242"/>
      <c r="G680"/>
      <c r="H680" s="322">
        <v>66500</v>
      </c>
      <c r="I680" s="322">
        <v>66500</v>
      </c>
      <c r="J680" s="242">
        <v>65300</v>
      </c>
      <c r="K680" s="18" t="e">
        <f>INDEX(תקציב_2013,MATCH(D680,'תקציב 2015'!$D$3:$D$5960,0),8)</f>
        <v>#N/A</v>
      </c>
      <c r="L680" s="18" t="str">
        <f t="shared" si="83"/>
        <v>8</v>
      </c>
      <c r="M680" s="18" t="str">
        <f>INDEX(Chapter,MATCH(L680,Chapter!$A$1:$A$681,0),8)</f>
        <v>שירותים ממלכתיים</v>
      </c>
      <c r="N680" s="18" t="str">
        <f t="shared" si="84"/>
        <v>82</v>
      </c>
      <c r="O680" s="18" t="str">
        <f>INDEX(Chapter,MATCH(N680,Chapter!$A$1:$A$681,0),8)</f>
        <v>תרבות</v>
      </c>
      <c r="P680" s="18" t="str">
        <f t="shared" si="85"/>
        <v>828</v>
      </c>
      <c r="Q680" s="18" t="str">
        <f>INDEX(Chapter,MATCH(P680,Chapter!$A$1:$A$681,0),8)</f>
        <v>נוער</v>
      </c>
      <c r="R680" s="18" t="str">
        <f t="shared" si="86"/>
        <v>8284</v>
      </c>
      <c r="S680" s="18" t="str">
        <f>INDEX(Chapter,MATCH(R680,Chapter!$A$1:$A$681,0),8)</f>
        <v>קייטנות נוער</v>
      </c>
      <c r="T680" s="18"/>
      <c r="U680" s="18" t="str">
        <f t="shared" si="87"/>
        <v>5</v>
      </c>
      <c r="V680" s="18" t="str">
        <f>IF($L680&lt;"6",INDEX(Revenue_type,MATCH(U680*1,type!$A$118:$A$168,0),8),INDEX(Expenditure_type,MATCH(U680*1,type!$A$2:$A$117,0),8))</f>
        <v>הוצאות מנהליות</v>
      </c>
      <c r="W680" s="18" t="str">
        <f t="shared" si="88"/>
        <v>50</v>
      </c>
      <c r="X680" s="18" t="e">
        <f>IF($L680&lt;"6",INDEX(Revenue_type,MATCH(W680*1,type!$A$118:$A$168,0),8),INDEX(Expenditure_type,MATCH(W680*1,type!$A$2:$A$117,0),8))</f>
        <v>#N/A</v>
      </c>
      <c r="Y680" s="18" t="str">
        <f t="shared" si="89"/>
        <v>500</v>
      </c>
      <c r="Z680" s="18" t="e">
        <f>IF($L680&lt;"6",INDEX(Revenue_type,MATCH(Y680*1,type!$A$118:$A$168,0),8),INDEX(Expenditure_type,MATCH(Y680*1,type!$A$2:$A$117,0),8))</f>
        <v>#N/A</v>
      </c>
    </row>
    <row r="681" spans="1:26" ht="15.75" hidden="1" customHeight="1" outlineLevel="2">
      <c r="A681">
        <v>500</v>
      </c>
      <c r="B681" s="249">
        <v>828400</v>
      </c>
      <c r="C681">
        <v>1</v>
      </c>
      <c r="D681" t="str">
        <f t="shared" si="82"/>
        <v>1828400.500</v>
      </c>
      <c r="E681" s="368" t="s">
        <v>8343</v>
      </c>
      <c r="F681" s="242"/>
      <c r="G681"/>
      <c r="H681" s="322">
        <v>5000</v>
      </c>
      <c r="I681" s="322">
        <v>5000</v>
      </c>
      <c r="J681" s="242">
        <v>2100</v>
      </c>
      <c r="K681" s="18" t="e">
        <f>INDEX(תקציב_2013,MATCH(D681,'תקציב 2015'!$D$3:$D$5960,0),8)</f>
        <v>#N/A</v>
      </c>
      <c r="L681" s="18" t="str">
        <f t="shared" si="83"/>
        <v>8</v>
      </c>
      <c r="M681" s="18" t="str">
        <f>INDEX(Chapter,MATCH(L681,Chapter!$A$1:$A$681,0),8)</f>
        <v>שירותים ממלכתיים</v>
      </c>
      <c r="N681" s="18" t="str">
        <f t="shared" si="84"/>
        <v>82</v>
      </c>
      <c r="O681" s="18" t="str">
        <f>INDEX(Chapter,MATCH(N681,Chapter!$A$1:$A$681,0),8)</f>
        <v>תרבות</v>
      </c>
      <c r="P681" s="18" t="str">
        <f t="shared" si="85"/>
        <v>828</v>
      </c>
      <c r="Q681" s="18" t="str">
        <f>INDEX(Chapter,MATCH(P681,Chapter!$A$1:$A$681,0),8)</f>
        <v>נוער</v>
      </c>
      <c r="R681" s="18" t="str">
        <f t="shared" si="86"/>
        <v>8284</v>
      </c>
      <c r="S681" s="18" t="str">
        <f>INDEX(Chapter,MATCH(R681,Chapter!$A$1:$A$681,0),8)</f>
        <v>קייטנות נוער</v>
      </c>
      <c r="T681" s="18"/>
      <c r="U681" s="18" t="str">
        <f t="shared" si="87"/>
        <v>5</v>
      </c>
      <c r="V681" s="18" t="str">
        <f>IF($L681&lt;"6",INDEX(Revenue_type,MATCH(U681*1,type!$A$118:$A$168,0),8),INDEX(Expenditure_type,MATCH(U681*1,type!$A$2:$A$117,0),8))</f>
        <v>הוצאות מנהליות</v>
      </c>
      <c r="W681" s="18" t="str">
        <f t="shared" si="88"/>
        <v>50</v>
      </c>
      <c r="X681" s="18" t="e">
        <f>IF($L681&lt;"6",INDEX(Revenue_type,MATCH(W681*1,type!$A$118:$A$168,0),8),INDEX(Expenditure_type,MATCH(W681*1,type!$A$2:$A$117,0),8))</f>
        <v>#N/A</v>
      </c>
      <c r="Y681" s="18" t="str">
        <f t="shared" si="89"/>
        <v>500</v>
      </c>
      <c r="Z681" s="18" t="e">
        <f>IF($L681&lt;"6",INDEX(Revenue_type,MATCH(Y681*1,type!$A$118:$A$168,0),8),INDEX(Expenditure_type,MATCH(Y681*1,type!$A$2:$A$117,0),8))</f>
        <v>#N/A</v>
      </c>
    </row>
    <row r="682" spans="1:26" ht="15.75" hidden="1" customHeight="1" outlineLevel="2">
      <c r="A682">
        <v>700</v>
      </c>
      <c r="B682" s="249">
        <v>828400</v>
      </c>
      <c r="C682">
        <v>1</v>
      </c>
      <c r="D682" t="str">
        <f t="shared" si="82"/>
        <v>1828400.700</v>
      </c>
      <c r="E682" s="368" t="s">
        <v>8344</v>
      </c>
      <c r="F682" s="242"/>
      <c r="G682"/>
      <c r="H682" s="322">
        <v>20100</v>
      </c>
      <c r="I682" s="322">
        <v>22800</v>
      </c>
      <c r="J682" s="242">
        <v>24200</v>
      </c>
      <c r="K682" s="18" t="e">
        <f>INDEX(תקציב_2013,MATCH(D682,'תקציב 2015'!$D$3:$D$5960,0),8)</f>
        <v>#N/A</v>
      </c>
      <c r="L682" s="18" t="str">
        <f t="shared" si="83"/>
        <v>8</v>
      </c>
      <c r="M682" s="18" t="str">
        <f>INDEX(Chapter,MATCH(L682,Chapter!$A$1:$A$681,0),8)</f>
        <v>שירותים ממלכתיים</v>
      </c>
      <c r="N682" s="18" t="str">
        <f t="shared" si="84"/>
        <v>82</v>
      </c>
      <c r="O682" s="18" t="str">
        <f>INDEX(Chapter,MATCH(N682,Chapter!$A$1:$A$681,0),8)</f>
        <v>תרבות</v>
      </c>
      <c r="P682" s="18" t="str">
        <f t="shared" si="85"/>
        <v>828</v>
      </c>
      <c r="Q682" s="18" t="str">
        <f>INDEX(Chapter,MATCH(P682,Chapter!$A$1:$A$681,0),8)</f>
        <v>נוער</v>
      </c>
      <c r="R682" s="18" t="str">
        <f t="shared" si="86"/>
        <v>8284</v>
      </c>
      <c r="S682" s="18" t="str">
        <f>INDEX(Chapter,MATCH(R682,Chapter!$A$1:$A$681,0),8)</f>
        <v>קייטנות נוער</v>
      </c>
      <c r="T682" s="18"/>
      <c r="U682" s="18" t="str">
        <f t="shared" si="87"/>
        <v>7</v>
      </c>
      <c r="V682" s="18" t="str">
        <f>IF($L682&lt;"6",INDEX(Revenue_type,MATCH(U682*1,type!$A$118:$A$168,0),8),INDEX(Expenditure_type,MATCH(U682*1,type!$A$2:$A$117,0),8))</f>
        <v>הוצאות לפעולות</v>
      </c>
      <c r="W682" s="18" t="str">
        <f t="shared" si="88"/>
        <v>70</v>
      </c>
      <c r="X682" s="18" t="e">
        <f>IF($L682&lt;"6",INDEX(Revenue_type,MATCH(W682*1,type!$A$118:$A$168,0),8),INDEX(Expenditure_type,MATCH(W682*1,type!$A$2:$A$117,0),8))</f>
        <v>#N/A</v>
      </c>
      <c r="Y682" s="18" t="str">
        <f t="shared" si="89"/>
        <v>700</v>
      </c>
      <c r="Z682" s="18" t="e">
        <f>IF($L682&lt;"6",INDEX(Revenue_type,MATCH(Y682*1,type!$A$118:$A$168,0),8),INDEX(Expenditure_type,MATCH(Y682*1,type!$A$2:$A$117,0),8))</f>
        <v>#N/A</v>
      </c>
    </row>
    <row r="683" spans="1:26" ht="15.75" hidden="1" customHeight="1" outlineLevel="2">
      <c r="A683">
        <v>800</v>
      </c>
      <c r="B683" s="249">
        <v>828292</v>
      </c>
      <c r="C683">
        <v>1</v>
      </c>
      <c r="D683" t="str">
        <f t="shared" si="82"/>
        <v>1828292.800</v>
      </c>
      <c r="E683" s="348" t="s">
        <v>8345</v>
      </c>
      <c r="F683" s="242"/>
      <c r="G683"/>
      <c r="H683" s="322">
        <v>509800</v>
      </c>
      <c r="I683" s="322">
        <v>545800</v>
      </c>
      <c r="J683" s="242">
        <v>1242300</v>
      </c>
      <c r="K683" s="18"/>
      <c r="L683" s="18" t="str">
        <f t="shared" si="83"/>
        <v>8</v>
      </c>
      <c r="M683" s="18" t="str">
        <f>INDEX(Chapter,MATCH(L683,Chapter!$A$1:$A$681,0),8)</f>
        <v>שירותים ממלכתיים</v>
      </c>
      <c r="N683" s="18" t="str">
        <f t="shared" si="84"/>
        <v>82</v>
      </c>
      <c r="O683" s="18" t="str">
        <f>INDEX(Chapter,MATCH(N683,Chapter!$A$1:$A$681,0),8)</f>
        <v>תרבות</v>
      </c>
      <c r="P683" s="18" t="str">
        <f t="shared" si="85"/>
        <v>828</v>
      </c>
      <c r="Q683" s="18" t="str">
        <f>INDEX(Chapter,MATCH(P683,Chapter!$A$1:$A$681,0),8)</f>
        <v>נוער</v>
      </c>
      <c r="R683" s="18" t="str">
        <f t="shared" si="86"/>
        <v>8282</v>
      </c>
      <c r="S683" s="18" t="str">
        <f>INDEX(Chapter,MATCH(R683,Chapter!$A$1:$A$681,0),8)</f>
        <v>מוקדי הפעלת נוער</v>
      </c>
      <c r="T683" s="18"/>
      <c r="U683" s="18" t="str">
        <f t="shared" si="87"/>
        <v>8</v>
      </c>
      <c r="V683" s="18" t="str">
        <f>IF($L683&lt;"6",INDEX(Revenue_type,MATCH(U683*1,type!$A$118:$A$168,0),8),INDEX(Expenditure_type,MATCH(U683*1,type!$A$2:$A$117,0),8))</f>
        <v>השתתפויות תמיכות ותרומות</v>
      </c>
      <c r="W683" s="18" t="str">
        <f t="shared" si="88"/>
        <v>80</v>
      </c>
      <c r="X683" s="18" t="e">
        <f>IF($L683&lt;"6",INDEX(Revenue_type,MATCH(W683*1,type!$A$118:$A$168,0),8),INDEX(Expenditure_type,MATCH(W683*1,type!$A$2:$A$117,0),8))</f>
        <v>#N/A</v>
      </c>
      <c r="Y683" s="18" t="str">
        <f t="shared" si="89"/>
        <v>800</v>
      </c>
      <c r="Z683" s="18" t="e">
        <f>IF($L683&lt;"6",INDEX(Revenue_type,MATCH(Y683*1,type!$A$118:$A$168,0),8),INDEX(Expenditure_type,MATCH(Y683*1,type!$A$2:$A$117,0),8))</f>
        <v>#N/A</v>
      </c>
    </row>
    <row r="684" spans="1:26" ht="15.75" hidden="1" customHeight="1" outlineLevel="2">
      <c r="A684">
        <v>700</v>
      </c>
      <c r="B684" s="249">
        <v>828294</v>
      </c>
      <c r="C684">
        <v>1</v>
      </c>
      <c r="D684" t="str">
        <f t="shared" si="82"/>
        <v>1828294.700</v>
      </c>
      <c r="E684" s="348" t="s">
        <v>8346</v>
      </c>
      <c r="F684" s="242"/>
      <c r="G684"/>
      <c r="H684" s="322">
        <v>129900</v>
      </c>
      <c r="I684" s="322">
        <v>133700</v>
      </c>
      <c r="J684" s="242">
        <v>99900</v>
      </c>
      <c r="K684" s="18" t="e">
        <f>INDEX(תקציב_2013,MATCH(D684,'תקציב 2015'!$D$3:$D$5960,0),8)</f>
        <v>#N/A</v>
      </c>
      <c r="L684" s="18" t="str">
        <f t="shared" si="83"/>
        <v>8</v>
      </c>
      <c r="M684" s="18" t="str">
        <f>INDEX(Chapter,MATCH(L684,Chapter!$A$1:$A$681,0),8)</f>
        <v>שירותים ממלכתיים</v>
      </c>
      <c r="N684" s="18" t="str">
        <f t="shared" si="84"/>
        <v>82</v>
      </c>
      <c r="O684" s="18" t="str">
        <f>INDEX(Chapter,MATCH(N684,Chapter!$A$1:$A$681,0),8)</f>
        <v>תרבות</v>
      </c>
      <c r="P684" s="18" t="str">
        <f t="shared" si="85"/>
        <v>828</v>
      </c>
      <c r="Q684" s="18" t="str">
        <f>INDEX(Chapter,MATCH(P684,Chapter!$A$1:$A$681,0),8)</f>
        <v>נוער</v>
      </c>
      <c r="R684" s="18" t="str">
        <f t="shared" si="86"/>
        <v>8282</v>
      </c>
      <c r="S684" s="18" t="str">
        <f>INDEX(Chapter,MATCH(R684,Chapter!$A$1:$A$681,0),8)</f>
        <v>מוקדי הפעלת נוער</v>
      </c>
      <c r="T684" s="18"/>
      <c r="U684" s="18" t="str">
        <f t="shared" si="87"/>
        <v>7</v>
      </c>
      <c r="V684" s="18" t="str">
        <f>IF($L684&lt;"6",INDEX(Revenue_type,MATCH(U684*1,type!$A$118:$A$168,0),8),INDEX(Expenditure_type,MATCH(U684*1,type!$A$2:$A$117,0),8))</f>
        <v>הוצאות לפעולות</v>
      </c>
      <c r="W684" s="18" t="str">
        <f t="shared" si="88"/>
        <v>70</v>
      </c>
      <c r="X684" s="18" t="e">
        <f>IF($L684&lt;"6",INDEX(Revenue_type,MATCH(W684*1,type!$A$118:$A$168,0),8),INDEX(Expenditure_type,MATCH(W684*1,type!$A$2:$A$117,0),8))</f>
        <v>#N/A</v>
      </c>
      <c r="Y684" s="18" t="str">
        <f t="shared" si="89"/>
        <v>700</v>
      </c>
      <c r="Z684" s="18" t="e">
        <f>IF($L684&lt;"6",INDEX(Revenue_type,MATCH(Y684*1,type!$A$118:$A$168,0),8),INDEX(Expenditure_type,MATCH(Y684*1,type!$A$2:$A$117,0),8))</f>
        <v>#N/A</v>
      </c>
    </row>
    <row r="685" spans="1:26" ht="15.75" hidden="1" customHeight="1" outlineLevel="2">
      <c r="A685">
        <v>700</v>
      </c>
      <c r="B685" s="249">
        <v>828295</v>
      </c>
      <c r="C685">
        <v>1</v>
      </c>
      <c r="D685" t="str">
        <f t="shared" si="82"/>
        <v>1828295.700</v>
      </c>
      <c r="E685" s="348" t="s">
        <v>8347</v>
      </c>
      <c r="F685" s="242"/>
      <c r="G685"/>
      <c r="H685" s="322">
        <v>832300</v>
      </c>
      <c r="I685" s="322">
        <v>877800</v>
      </c>
      <c r="J685" s="242">
        <v>779100</v>
      </c>
      <c r="K685" s="18" t="e">
        <f>INDEX(תקציב_2013,MATCH(D685,'תקציב 2015'!$D$3:$D$5960,0),8)</f>
        <v>#N/A</v>
      </c>
      <c r="L685" s="18" t="str">
        <f t="shared" si="83"/>
        <v>8</v>
      </c>
      <c r="M685" s="18" t="str">
        <f>INDEX(Chapter,MATCH(L685,Chapter!$A$1:$A$681,0),8)</f>
        <v>שירותים ממלכתיים</v>
      </c>
      <c r="N685" s="18" t="str">
        <f t="shared" si="84"/>
        <v>82</v>
      </c>
      <c r="O685" s="18" t="str">
        <f>INDEX(Chapter,MATCH(N685,Chapter!$A$1:$A$681,0),8)</f>
        <v>תרבות</v>
      </c>
      <c r="P685" s="18" t="str">
        <f t="shared" si="85"/>
        <v>828</v>
      </c>
      <c r="Q685" s="18" t="str">
        <f>INDEX(Chapter,MATCH(P685,Chapter!$A$1:$A$681,0),8)</f>
        <v>נוער</v>
      </c>
      <c r="R685" s="18" t="str">
        <f t="shared" si="86"/>
        <v>8282</v>
      </c>
      <c r="S685" s="18" t="str">
        <f>INDEX(Chapter,MATCH(R685,Chapter!$A$1:$A$681,0),8)</f>
        <v>מוקדי הפעלת נוער</v>
      </c>
      <c r="T685" s="18"/>
      <c r="U685" s="18" t="str">
        <f t="shared" si="87"/>
        <v>7</v>
      </c>
      <c r="V685" s="18" t="str">
        <f>IF($L685&lt;"6",INDEX(Revenue_type,MATCH(U685*1,type!$A$118:$A$168,0),8),INDEX(Expenditure_type,MATCH(U685*1,type!$A$2:$A$117,0),8))</f>
        <v>הוצאות לפעולות</v>
      </c>
      <c r="W685" s="18" t="str">
        <f t="shared" si="88"/>
        <v>70</v>
      </c>
      <c r="X685" s="18" t="e">
        <f>IF($L685&lt;"6",INDEX(Revenue_type,MATCH(W685*1,type!$A$118:$A$168,0),8),INDEX(Expenditure_type,MATCH(W685*1,type!$A$2:$A$117,0),8))</f>
        <v>#N/A</v>
      </c>
      <c r="Y685" s="18" t="str">
        <f t="shared" si="89"/>
        <v>700</v>
      </c>
      <c r="Z685" s="18" t="e">
        <f>IF($L685&lt;"6",INDEX(Revenue_type,MATCH(Y685*1,type!$A$118:$A$168,0),8),INDEX(Expenditure_type,MATCH(Y685*1,type!$A$2:$A$117,0),8))</f>
        <v>#N/A</v>
      </c>
    </row>
    <row r="686" spans="1:26" ht="15.75" hidden="1" customHeight="1" outlineLevel="2">
      <c r="A686">
        <v>100</v>
      </c>
      <c r="B686" s="249">
        <v>828296</v>
      </c>
      <c r="C686">
        <v>1</v>
      </c>
      <c r="D686" t="str">
        <f t="shared" si="82"/>
        <v>1828296.100</v>
      </c>
      <c r="E686" s="348" t="s">
        <v>8348</v>
      </c>
      <c r="F686" s="242"/>
      <c r="G686"/>
      <c r="H686" s="322">
        <v>842400</v>
      </c>
      <c r="I686" s="322">
        <v>651000</v>
      </c>
      <c r="J686" s="242">
        <v>669500</v>
      </c>
      <c r="K686" s="18" t="e">
        <f>INDEX(תקציב_2013,MATCH(D686,'תקציב 2015'!$D$3:$D$5960,0),8)</f>
        <v>#N/A</v>
      </c>
      <c r="L686" s="18" t="str">
        <f t="shared" si="83"/>
        <v>8</v>
      </c>
      <c r="M686" s="18" t="str">
        <f>INDEX(Chapter,MATCH(L686,Chapter!$A$1:$A$681,0),8)</f>
        <v>שירותים ממלכתיים</v>
      </c>
      <c r="N686" s="18" t="str">
        <f t="shared" si="84"/>
        <v>82</v>
      </c>
      <c r="O686" s="18" t="str">
        <f>INDEX(Chapter,MATCH(N686,Chapter!$A$1:$A$681,0),8)</f>
        <v>תרבות</v>
      </c>
      <c r="P686" s="18" t="str">
        <f t="shared" si="85"/>
        <v>828</v>
      </c>
      <c r="Q686" s="18" t="str">
        <f>INDEX(Chapter,MATCH(P686,Chapter!$A$1:$A$681,0),8)</f>
        <v>נוער</v>
      </c>
      <c r="R686" s="18" t="str">
        <f t="shared" si="86"/>
        <v>8282</v>
      </c>
      <c r="S686" s="18" t="str">
        <f>INDEX(Chapter,MATCH(R686,Chapter!$A$1:$A$681,0),8)</f>
        <v>מוקדי הפעלת נוער</v>
      </c>
      <c r="T686" s="18"/>
      <c r="U686" s="18" t="str">
        <f t="shared" si="87"/>
        <v>1</v>
      </c>
      <c r="V686" s="18" t="str">
        <f>IF($L686&lt;"6",INDEX(Revenue_type,MATCH(U686*1,type!$A$118:$A$168,0),8),INDEX(Expenditure_type,MATCH(U686*1,type!$A$2:$A$117,0),8))</f>
        <v>משכורות וש"ע לעובדים לפי תקן</v>
      </c>
      <c r="W686" s="18" t="str">
        <f t="shared" si="88"/>
        <v>10</v>
      </c>
      <c r="X686" s="18" t="e">
        <f>IF($L686&lt;"6",INDEX(Revenue_type,MATCH(W686*1,type!$A$118:$A$168,0),8),INDEX(Expenditure_type,MATCH(W686*1,type!$A$2:$A$117,0),8))</f>
        <v>#N/A</v>
      </c>
      <c r="Y686" s="18" t="str">
        <f t="shared" si="89"/>
        <v>100</v>
      </c>
      <c r="Z686" s="18" t="e">
        <f>IF($L686&lt;"6",INDEX(Revenue_type,MATCH(Y686*1,type!$A$118:$A$168,0),8),INDEX(Expenditure_type,MATCH(Y686*1,type!$A$2:$A$117,0),8))</f>
        <v>#N/A</v>
      </c>
    </row>
    <row r="687" spans="1:26" ht="15.75" hidden="1" customHeight="1" outlineLevel="2">
      <c r="A687">
        <v>120</v>
      </c>
      <c r="B687" s="249">
        <v>828296</v>
      </c>
      <c r="C687">
        <v>1</v>
      </c>
      <c r="D687" t="str">
        <f t="shared" si="82"/>
        <v>1828296.120</v>
      </c>
      <c r="E687" s="348" t="s">
        <v>8349</v>
      </c>
      <c r="F687" s="242"/>
      <c r="G687"/>
      <c r="H687" s="322">
        <v>3600</v>
      </c>
      <c r="I687" s="322">
        <v>3600</v>
      </c>
      <c r="J687" s="242">
        <v>5400</v>
      </c>
      <c r="K687" s="18" t="e">
        <f>INDEX(תקציב_2013,MATCH(D687,'תקציב 2015'!$D$3:$D$5960,0),8)</f>
        <v>#N/A</v>
      </c>
      <c r="L687" s="18" t="str">
        <f t="shared" si="83"/>
        <v>8</v>
      </c>
      <c r="M687" s="18" t="str">
        <f>INDEX(Chapter,MATCH(L687,Chapter!$A$1:$A$681,0),8)</f>
        <v>שירותים ממלכתיים</v>
      </c>
      <c r="N687" s="18" t="str">
        <f t="shared" si="84"/>
        <v>82</v>
      </c>
      <c r="O687" s="18" t="str">
        <f>INDEX(Chapter,MATCH(N687,Chapter!$A$1:$A$681,0),8)</f>
        <v>תרבות</v>
      </c>
      <c r="P687" s="18" t="str">
        <f t="shared" si="85"/>
        <v>828</v>
      </c>
      <c r="Q687" s="18" t="str">
        <f>INDEX(Chapter,MATCH(P687,Chapter!$A$1:$A$681,0),8)</f>
        <v>נוער</v>
      </c>
      <c r="R687" s="18" t="str">
        <f t="shared" si="86"/>
        <v>8282</v>
      </c>
      <c r="S687" s="18" t="str">
        <f>INDEX(Chapter,MATCH(R687,Chapter!$A$1:$A$681,0),8)</f>
        <v>מוקדי הפעלת נוער</v>
      </c>
      <c r="T687" s="18"/>
      <c r="U687" s="18" t="str">
        <f t="shared" si="87"/>
        <v>1</v>
      </c>
      <c r="V687" s="18" t="str">
        <f>IF($L687&lt;"6",INDEX(Revenue_type,MATCH(U687*1,type!$A$118:$A$168,0),8),INDEX(Expenditure_type,MATCH(U687*1,type!$A$2:$A$117,0),8))</f>
        <v>משכורות וש"ע לעובדים לפי תקן</v>
      </c>
      <c r="W687" s="18" t="str">
        <f t="shared" si="88"/>
        <v>12</v>
      </c>
      <c r="X687" s="18" t="str">
        <f>IF($L687&lt;"6",INDEX(Revenue_type,MATCH(W687*1,type!$A$118:$A$168,0),8),INDEX(Expenditure_type,MATCH(W687*1,type!$A$2:$A$117,0),8))</f>
        <v>תוספות שאינן נכללות בשכר הקובע</v>
      </c>
      <c r="Y687" s="18" t="str">
        <f t="shared" si="89"/>
        <v>120</v>
      </c>
      <c r="Z687" s="18" t="e">
        <f>IF($L687&lt;"6",INDEX(Revenue_type,MATCH(Y687*1,type!$A$118:$A$168,0),8),INDEX(Expenditure_type,MATCH(Y687*1,type!$A$2:$A$117,0),8))</f>
        <v>#N/A</v>
      </c>
    </row>
    <row r="688" spans="1:26" ht="15.75" hidden="1" customHeight="1" outlineLevel="2">
      <c r="A688">
        <v>400</v>
      </c>
      <c r="B688" s="249">
        <v>828296</v>
      </c>
      <c r="C688">
        <v>1</v>
      </c>
      <c r="D688" t="str">
        <f t="shared" si="82"/>
        <v>1828296.400</v>
      </c>
      <c r="E688" s="348" t="s">
        <v>8350</v>
      </c>
      <c r="F688" s="242"/>
      <c r="G688"/>
      <c r="H688" s="322">
        <v>5000</v>
      </c>
      <c r="I688" s="322">
        <v>5000</v>
      </c>
      <c r="J688" s="242">
        <v>400</v>
      </c>
      <c r="K688" s="18" t="e">
        <f>INDEX(תקציב_2013,MATCH(D688,'תקציב 2015'!$D$3:$D$5960,0),8)</f>
        <v>#N/A</v>
      </c>
      <c r="L688" s="18" t="str">
        <f t="shared" si="83"/>
        <v>8</v>
      </c>
      <c r="M688" s="18" t="str">
        <f>INDEX(Chapter,MATCH(L688,Chapter!$A$1:$A$681,0),8)</f>
        <v>שירותים ממלכתיים</v>
      </c>
      <c r="N688" s="18" t="str">
        <f t="shared" si="84"/>
        <v>82</v>
      </c>
      <c r="O688" s="18" t="str">
        <f>INDEX(Chapter,MATCH(N688,Chapter!$A$1:$A$681,0),8)</f>
        <v>תרבות</v>
      </c>
      <c r="P688" s="18" t="str">
        <f t="shared" si="85"/>
        <v>828</v>
      </c>
      <c r="Q688" s="18" t="str">
        <f>INDEX(Chapter,MATCH(P688,Chapter!$A$1:$A$681,0),8)</f>
        <v>נוער</v>
      </c>
      <c r="R688" s="18" t="str">
        <f t="shared" si="86"/>
        <v>8282</v>
      </c>
      <c r="S688" s="18" t="str">
        <f>INDEX(Chapter,MATCH(R688,Chapter!$A$1:$A$681,0),8)</f>
        <v>מוקדי הפעלת נוער</v>
      </c>
      <c r="T688" s="18"/>
      <c r="U688" s="18" t="str">
        <f t="shared" si="87"/>
        <v>4</v>
      </c>
      <c r="V688" s="18" t="str">
        <f>IF($L688&lt;"6",INDEX(Revenue_type,MATCH(U688*1,type!$A$118:$A$168,0),8),INDEX(Expenditure_type,MATCH(U688*1,type!$A$2:$A$117,0),8))</f>
        <v>אחזקת בינים ואספקת ציוד</v>
      </c>
      <c r="W688" s="18" t="str">
        <f t="shared" si="88"/>
        <v>40</v>
      </c>
      <c r="X688" s="18" t="e">
        <f>IF($L688&lt;"6",INDEX(Revenue_type,MATCH(W688*1,type!$A$118:$A$168,0),8),INDEX(Expenditure_type,MATCH(W688*1,type!$A$2:$A$117,0),8))</f>
        <v>#N/A</v>
      </c>
      <c r="Y688" s="18" t="str">
        <f t="shared" si="89"/>
        <v>400</v>
      </c>
      <c r="Z688" s="18" t="e">
        <f>IF($L688&lt;"6",INDEX(Revenue_type,MATCH(Y688*1,type!$A$118:$A$168,0),8),INDEX(Expenditure_type,MATCH(Y688*1,type!$A$2:$A$117,0),8))</f>
        <v>#N/A</v>
      </c>
    </row>
    <row r="689" spans="1:26" ht="15.75" hidden="1" customHeight="1" outlineLevel="2">
      <c r="A689">
        <v>700</v>
      </c>
      <c r="B689" s="249">
        <v>828296</v>
      </c>
      <c r="C689">
        <v>1</v>
      </c>
      <c r="D689" t="str">
        <f t="shared" si="82"/>
        <v>1828296.700</v>
      </c>
      <c r="E689" s="348" t="s">
        <v>8351</v>
      </c>
      <c r="F689" s="242"/>
      <c r="G689"/>
      <c r="H689" s="322">
        <v>2272100</v>
      </c>
      <c r="I689" s="322">
        <v>2303000</v>
      </c>
      <c r="J689" s="242">
        <v>1913700</v>
      </c>
      <c r="K689" s="18" t="e">
        <f>INDEX(תקציב_2013,MATCH(D689,'תקציב 2015'!$D$3:$D$5960,0),8)</f>
        <v>#N/A</v>
      </c>
      <c r="L689" s="18" t="str">
        <f t="shared" si="83"/>
        <v>8</v>
      </c>
      <c r="M689" s="18" t="str">
        <f>INDEX(Chapter,MATCH(L689,Chapter!$A$1:$A$681,0),8)</f>
        <v>שירותים ממלכתיים</v>
      </c>
      <c r="N689" s="18" t="str">
        <f t="shared" si="84"/>
        <v>82</v>
      </c>
      <c r="O689" s="18" t="str">
        <f>INDEX(Chapter,MATCH(N689,Chapter!$A$1:$A$681,0),8)</f>
        <v>תרבות</v>
      </c>
      <c r="P689" s="18" t="str">
        <f t="shared" si="85"/>
        <v>828</v>
      </c>
      <c r="Q689" s="18" t="str">
        <f>INDEX(Chapter,MATCH(P689,Chapter!$A$1:$A$681,0),8)</f>
        <v>נוער</v>
      </c>
      <c r="R689" s="18" t="str">
        <f t="shared" si="86"/>
        <v>8282</v>
      </c>
      <c r="S689" s="18" t="str">
        <f>INDEX(Chapter,MATCH(R689,Chapter!$A$1:$A$681,0),8)</f>
        <v>מוקדי הפעלת נוער</v>
      </c>
      <c r="T689" s="18"/>
      <c r="U689" s="18" t="str">
        <f t="shared" si="87"/>
        <v>7</v>
      </c>
      <c r="V689" s="18" t="str">
        <f>IF($L689&lt;"6",INDEX(Revenue_type,MATCH(U689*1,type!$A$118:$A$168,0),8),INDEX(Expenditure_type,MATCH(U689*1,type!$A$2:$A$117,0),8))</f>
        <v>הוצאות לפעולות</v>
      </c>
      <c r="W689" s="18" t="str">
        <f t="shared" si="88"/>
        <v>70</v>
      </c>
      <c r="X689" s="18" t="e">
        <f>IF($L689&lt;"6",INDEX(Revenue_type,MATCH(W689*1,type!$A$118:$A$168,0),8),INDEX(Expenditure_type,MATCH(W689*1,type!$A$2:$A$117,0),8))</f>
        <v>#N/A</v>
      </c>
      <c r="Y689" s="18" t="str">
        <f t="shared" si="89"/>
        <v>700</v>
      </c>
      <c r="Z689" s="18" t="e">
        <f>IF($L689&lt;"6",INDEX(Revenue_type,MATCH(Y689*1,type!$A$118:$A$168,0),8),INDEX(Expenditure_type,MATCH(Y689*1,type!$A$2:$A$117,0),8))</f>
        <v>#N/A</v>
      </c>
    </row>
    <row r="690" spans="1:26" ht="15.75" hidden="1" customHeight="1" outlineLevel="2">
      <c r="A690">
        <v>700</v>
      </c>
      <c r="B690" s="249" t="e">
        <v>#N/A</v>
      </c>
      <c r="C690">
        <v>1</v>
      </c>
      <c r="D690" t="e">
        <f t="shared" si="82"/>
        <v>#N/A</v>
      </c>
      <c r="E690" s="348" t="s">
        <v>8352</v>
      </c>
      <c r="F690" s="242"/>
      <c r="G690"/>
      <c r="H690" s="322">
        <v>1000000</v>
      </c>
      <c r="I690" s="322">
        <v>0</v>
      </c>
      <c r="J690" s="242">
        <v>0</v>
      </c>
      <c r="K690" s="18" t="e">
        <f>INDEX(תקציב_2013,MATCH(D690,'תקציב 2015'!$D$3:$D$5960,0),8)</f>
        <v>#N/A</v>
      </c>
      <c r="L690" s="18" t="e">
        <f t="shared" si="83"/>
        <v>#N/A</v>
      </c>
      <c r="M690" s="18" t="e">
        <f>INDEX(Chapter,MATCH(L690,Chapter!$A$1:$A$681,0),8)</f>
        <v>#N/A</v>
      </c>
      <c r="N690" s="18" t="e">
        <f t="shared" si="84"/>
        <v>#N/A</v>
      </c>
      <c r="O690" s="18" t="e">
        <f>INDEX(Chapter,MATCH(N690,Chapter!$A$1:$A$681,0),8)</f>
        <v>#N/A</v>
      </c>
      <c r="P690" s="18" t="e">
        <f t="shared" si="85"/>
        <v>#N/A</v>
      </c>
      <c r="Q690" s="18" t="e">
        <f>INDEX(Chapter,MATCH(P690,Chapter!$A$1:$A$681,0),8)</f>
        <v>#N/A</v>
      </c>
      <c r="R690" s="18" t="e">
        <f t="shared" si="86"/>
        <v>#N/A</v>
      </c>
      <c r="S690" s="18" t="e">
        <f>INDEX(Chapter,MATCH(R690,Chapter!$A$1:$A$681,0),8)</f>
        <v>#N/A</v>
      </c>
      <c r="T690" s="18"/>
      <c r="U690" s="18" t="str">
        <f t="shared" si="87"/>
        <v>7</v>
      </c>
      <c r="V690" s="18" t="e">
        <f>IF($L690&lt;"6",INDEX(Revenue_type,MATCH(U690*1,type!$A$118:$A$168,0),8),INDEX(Expenditure_type,MATCH(U690*1,type!$A$2:$A$117,0),8))</f>
        <v>#N/A</v>
      </c>
      <c r="W690" s="18" t="str">
        <f t="shared" si="88"/>
        <v>70</v>
      </c>
      <c r="X690" s="18" t="e">
        <f>IF($L690&lt;"6",INDEX(Revenue_type,MATCH(W690*1,type!$A$118:$A$168,0),8),INDEX(Expenditure_type,MATCH(W690*1,type!$A$2:$A$117,0),8))</f>
        <v>#N/A</v>
      </c>
      <c r="Y690" s="18" t="str">
        <f t="shared" si="89"/>
        <v>700</v>
      </c>
      <c r="Z690" s="18" t="e">
        <f>IF($L690&lt;"6",INDEX(Revenue_type,MATCH(Y690*1,type!$A$118:$A$168,0),8),INDEX(Expenditure_type,MATCH(Y690*1,type!$A$2:$A$117,0),8))</f>
        <v>#N/A</v>
      </c>
    </row>
    <row r="691" spans="1:26" ht="15.75" hidden="1" customHeight="1" outlineLevel="2">
      <c r="A691">
        <v>100</v>
      </c>
      <c r="B691" s="249">
        <v>829400</v>
      </c>
      <c r="C691">
        <v>1</v>
      </c>
      <c r="D691" t="str">
        <f t="shared" si="82"/>
        <v>1829400.100</v>
      </c>
      <c r="E691" s="348" t="s">
        <v>8353</v>
      </c>
      <c r="F691" s="242"/>
      <c r="G691"/>
      <c r="H691" s="322">
        <v>0</v>
      </c>
      <c r="I691" s="322">
        <v>0</v>
      </c>
      <c r="J691" s="242">
        <v>200</v>
      </c>
      <c r="K691" s="18"/>
      <c r="L691" s="18" t="str">
        <f t="shared" si="83"/>
        <v>8</v>
      </c>
      <c r="M691" s="18" t="str">
        <f>INDEX(Chapter,MATCH(L691,Chapter!$A$1:$A$681,0),8)</f>
        <v>שירותים ממלכתיים</v>
      </c>
      <c r="N691" s="18" t="str">
        <f t="shared" si="84"/>
        <v>82</v>
      </c>
      <c r="O691" s="18" t="str">
        <f>INDEX(Chapter,MATCH(N691,Chapter!$A$1:$A$681,0),8)</f>
        <v>תרבות</v>
      </c>
      <c r="P691" s="18" t="str">
        <f t="shared" si="85"/>
        <v>829</v>
      </c>
      <c r="Q691" s="18" t="str">
        <f>INDEX(Chapter,MATCH(P691,Chapter!$A$1:$A$681,0),8)</f>
        <v>ספורט</v>
      </c>
      <c r="R691" s="18" t="str">
        <f t="shared" si="86"/>
        <v>8294</v>
      </c>
      <c r="S691" s="18" t="e">
        <f>INDEX(Chapter,MATCH(R691,Chapter!$A$1:$A$681,0),8)</f>
        <v>#N/A</v>
      </c>
      <c r="T691" s="18"/>
      <c r="U691" s="18" t="str">
        <f t="shared" si="87"/>
        <v>1</v>
      </c>
      <c r="V691" s="18" t="str">
        <f>IF($L691&lt;"6",INDEX(Revenue_type,MATCH(U691*1,type!$A$118:$A$168,0),8),INDEX(Expenditure_type,MATCH(U691*1,type!$A$2:$A$117,0),8))</f>
        <v>משכורות וש"ע לעובדים לפי תקן</v>
      </c>
      <c r="W691" s="18" t="str">
        <f t="shared" si="88"/>
        <v>10</v>
      </c>
      <c r="X691" s="18" t="e">
        <f>IF($L691&lt;"6",INDEX(Revenue_type,MATCH(W691*1,type!$A$118:$A$168,0),8),INDEX(Expenditure_type,MATCH(W691*1,type!$A$2:$A$117,0),8))</f>
        <v>#N/A</v>
      </c>
      <c r="Y691" s="18" t="str">
        <f t="shared" si="89"/>
        <v>100</v>
      </c>
      <c r="Z691" s="18" t="e">
        <f>IF($L691&lt;"6",INDEX(Revenue_type,MATCH(Y691*1,type!$A$118:$A$168,0),8),INDEX(Expenditure_type,MATCH(Y691*1,type!$A$2:$A$117,0),8))</f>
        <v>#N/A</v>
      </c>
    </row>
    <row r="692" spans="1:26" ht="15.75" hidden="1" customHeight="1" outlineLevel="2">
      <c r="A692">
        <v>200</v>
      </c>
      <c r="B692" s="249">
        <v>829400</v>
      </c>
      <c r="C692">
        <v>1</v>
      </c>
      <c r="D692" t="str">
        <f t="shared" si="82"/>
        <v>1829400.200</v>
      </c>
      <c r="E692" s="348" t="s">
        <v>8354</v>
      </c>
      <c r="F692" s="242"/>
      <c r="G692"/>
      <c r="H692" s="322">
        <v>0</v>
      </c>
      <c r="I692" s="322">
        <v>0</v>
      </c>
      <c r="J692" s="242">
        <v>473000</v>
      </c>
      <c r="K692" s="18" t="e">
        <f>INDEX(תקציב_2013,MATCH(D692,'תקציב 2015'!$D$3:$D$5960,0),8)</f>
        <v>#N/A</v>
      </c>
      <c r="L692" s="18" t="str">
        <f t="shared" si="83"/>
        <v>8</v>
      </c>
      <c r="M692" s="18" t="str">
        <f>INDEX(Chapter,MATCH(L692,Chapter!$A$1:$A$681,0),8)</f>
        <v>שירותים ממלכתיים</v>
      </c>
      <c r="N692" s="18" t="str">
        <f t="shared" si="84"/>
        <v>82</v>
      </c>
      <c r="O692" s="18" t="str">
        <f>INDEX(Chapter,MATCH(N692,Chapter!$A$1:$A$681,0),8)</f>
        <v>תרבות</v>
      </c>
      <c r="P692" s="18" t="str">
        <f t="shared" si="85"/>
        <v>829</v>
      </c>
      <c r="Q692" s="18" t="str">
        <f>INDEX(Chapter,MATCH(P692,Chapter!$A$1:$A$681,0),8)</f>
        <v>ספורט</v>
      </c>
      <c r="R692" s="18" t="str">
        <f t="shared" si="86"/>
        <v>8294</v>
      </c>
      <c r="S692" s="18" t="e">
        <f>INDEX(Chapter,MATCH(R692,Chapter!$A$1:$A$681,0),8)</f>
        <v>#N/A</v>
      </c>
      <c r="T692" s="18"/>
      <c r="U692" s="18" t="str">
        <f t="shared" si="87"/>
        <v>2</v>
      </c>
      <c r="V692" s="18" t="str">
        <f>IF($L692&lt;"6",INDEX(Revenue_type,MATCH(U692*1,type!$A$118:$A$168,0),8),INDEX(Expenditure_type,MATCH(U692*1,type!$A$2:$A$117,0),8))</f>
        <v>משכורות וש"ע לעובדים בלי תקן</v>
      </c>
      <c r="W692" s="18" t="str">
        <f t="shared" si="88"/>
        <v>20</v>
      </c>
      <c r="X692" s="18" t="e">
        <f>IF($L692&lt;"6",INDEX(Revenue_type,MATCH(W692*1,type!$A$118:$A$168,0),8),INDEX(Expenditure_type,MATCH(W692*1,type!$A$2:$A$117,0),8))</f>
        <v>#N/A</v>
      </c>
      <c r="Y692" s="18" t="str">
        <f t="shared" si="89"/>
        <v>200</v>
      </c>
      <c r="Z692" s="18" t="e">
        <f>IF($L692&lt;"6",INDEX(Revenue_type,MATCH(Y692*1,type!$A$118:$A$168,0),8),INDEX(Expenditure_type,MATCH(Y692*1,type!$A$2:$A$117,0),8))</f>
        <v>#N/A</v>
      </c>
    </row>
    <row r="693" spans="1:26" ht="15.75" hidden="1" customHeight="1" outlineLevel="2">
      <c r="A693">
        <v>120</v>
      </c>
      <c r="B693" s="249">
        <v>829400</v>
      </c>
      <c r="C693">
        <v>1</v>
      </c>
      <c r="D693" t="str">
        <f t="shared" si="82"/>
        <v>1829400.120</v>
      </c>
      <c r="E693" s="348" t="s">
        <v>8355</v>
      </c>
      <c r="F693" s="242"/>
      <c r="G693"/>
      <c r="H693" s="322">
        <v>0</v>
      </c>
      <c r="I693" s="322">
        <v>0</v>
      </c>
      <c r="J693" s="242">
        <v>3500</v>
      </c>
      <c r="K693" s="18"/>
      <c r="L693" s="18" t="str">
        <f t="shared" si="83"/>
        <v>8</v>
      </c>
      <c r="M693" s="18" t="str">
        <f>INDEX(Chapter,MATCH(L693,Chapter!$A$1:$A$681,0),8)</f>
        <v>שירותים ממלכתיים</v>
      </c>
      <c r="N693" s="18" t="str">
        <f t="shared" si="84"/>
        <v>82</v>
      </c>
      <c r="O693" s="18" t="str">
        <f>INDEX(Chapter,MATCH(N693,Chapter!$A$1:$A$681,0),8)</f>
        <v>תרבות</v>
      </c>
      <c r="P693" s="18" t="str">
        <f t="shared" si="85"/>
        <v>829</v>
      </c>
      <c r="Q693" s="18" t="str">
        <f>INDEX(Chapter,MATCH(P693,Chapter!$A$1:$A$681,0),8)</f>
        <v>ספורט</v>
      </c>
      <c r="R693" s="18" t="str">
        <f t="shared" si="86"/>
        <v>8294</v>
      </c>
      <c r="S693" s="18" t="e">
        <f>INDEX(Chapter,MATCH(R693,Chapter!$A$1:$A$681,0),8)</f>
        <v>#N/A</v>
      </c>
      <c r="T693" s="18"/>
      <c r="U693" s="18" t="str">
        <f t="shared" si="87"/>
        <v>1</v>
      </c>
      <c r="V693" s="18" t="str">
        <f>IF($L693&lt;"6",INDEX(Revenue_type,MATCH(U693*1,type!$A$118:$A$168,0),8),INDEX(Expenditure_type,MATCH(U693*1,type!$A$2:$A$117,0),8))</f>
        <v>משכורות וש"ע לעובדים לפי תקן</v>
      </c>
      <c r="W693" s="18" t="str">
        <f t="shared" si="88"/>
        <v>12</v>
      </c>
      <c r="X693" s="18" t="str">
        <f>IF($L693&lt;"6",INDEX(Revenue_type,MATCH(W693*1,type!$A$118:$A$168,0),8),INDEX(Expenditure_type,MATCH(W693*1,type!$A$2:$A$117,0),8))</f>
        <v>תוספות שאינן נכללות בשכר הקובע</v>
      </c>
      <c r="Y693" s="18" t="str">
        <f t="shared" si="89"/>
        <v>120</v>
      </c>
      <c r="Z693" s="18" t="e">
        <f>IF($L693&lt;"6",INDEX(Revenue_type,MATCH(Y693*1,type!$A$118:$A$168,0),8),INDEX(Expenditure_type,MATCH(Y693*1,type!$A$2:$A$117,0),8))</f>
        <v>#N/A</v>
      </c>
    </row>
    <row r="694" spans="1:26" ht="15.75" hidden="1" customHeight="1" outlineLevel="2">
      <c r="A694">
        <v>500</v>
      </c>
      <c r="B694" s="249">
        <v>829400</v>
      </c>
      <c r="C694">
        <v>1</v>
      </c>
      <c r="D694" t="str">
        <f t="shared" si="82"/>
        <v>1829400.500</v>
      </c>
      <c r="E694" s="348" t="s">
        <v>8356</v>
      </c>
      <c r="F694" s="242"/>
      <c r="G694"/>
      <c r="H694" s="322">
        <v>0</v>
      </c>
      <c r="I694" s="322">
        <v>0</v>
      </c>
      <c r="J694" s="242">
        <v>13600</v>
      </c>
      <c r="K694" s="18" t="e">
        <f>INDEX(תקציב_2013,MATCH(D694,'תקציב 2015'!$D$3:$D$5960,0),8)</f>
        <v>#N/A</v>
      </c>
      <c r="L694" s="18" t="str">
        <f t="shared" si="83"/>
        <v>8</v>
      </c>
      <c r="M694" s="18" t="str">
        <f>INDEX(Chapter,MATCH(L694,Chapter!$A$1:$A$681,0),8)</f>
        <v>שירותים ממלכתיים</v>
      </c>
      <c r="N694" s="18" t="str">
        <f t="shared" si="84"/>
        <v>82</v>
      </c>
      <c r="O694" s="18" t="str">
        <f>INDEX(Chapter,MATCH(N694,Chapter!$A$1:$A$681,0),8)</f>
        <v>תרבות</v>
      </c>
      <c r="P694" s="18" t="str">
        <f t="shared" si="85"/>
        <v>829</v>
      </c>
      <c r="Q694" s="18" t="str">
        <f>INDEX(Chapter,MATCH(P694,Chapter!$A$1:$A$681,0),8)</f>
        <v>ספורט</v>
      </c>
      <c r="R694" s="18" t="str">
        <f t="shared" si="86"/>
        <v>8294</v>
      </c>
      <c r="S694" s="18" t="e">
        <f>INDEX(Chapter,MATCH(R694,Chapter!$A$1:$A$681,0),8)</f>
        <v>#N/A</v>
      </c>
      <c r="T694" s="18"/>
      <c r="U694" s="18" t="str">
        <f t="shared" si="87"/>
        <v>5</v>
      </c>
      <c r="V694" s="18" t="str">
        <f>IF($L694&lt;"6",INDEX(Revenue_type,MATCH(U694*1,type!$A$118:$A$168,0),8),INDEX(Expenditure_type,MATCH(U694*1,type!$A$2:$A$117,0),8))</f>
        <v>הוצאות מנהליות</v>
      </c>
      <c r="W694" s="18" t="str">
        <f t="shared" si="88"/>
        <v>50</v>
      </c>
      <c r="X694" s="18" t="e">
        <f>IF($L694&lt;"6",INDEX(Revenue_type,MATCH(W694*1,type!$A$118:$A$168,0),8),INDEX(Expenditure_type,MATCH(W694*1,type!$A$2:$A$117,0),8))</f>
        <v>#N/A</v>
      </c>
      <c r="Y694" s="18" t="str">
        <f t="shared" si="89"/>
        <v>500</v>
      </c>
      <c r="Z694" s="18" t="e">
        <f>IF($L694&lt;"6",INDEX(Revenue_type,MATCH(Y694*1,type!$A$118:$A$168,0),8),INDEX(Expenditure_type,MATCH(Y694*1,type!$A$2:$A$117,0),8))</f>
        <v>#N/A</v>
      </c>
    </row>
    <row r="695" spans="1:26" ht="15.75" hidden="1" customHeight="1" outlineLevel="2">
      <c r="A695">
        <v>500</v>
      </c>
      <c r="B695" s="249">
        <v>829400</v>
      </c>
      <c r="C695">
        <v>1</v>
      </c>
      <c r="D695" t="str">
        <f t="shared" si="82"/>
        <v>1829400.500</v>
      </c>
      <c r="E695" s="348" t="s">
        <v>8357</v>
      </c>
      <c r="F695" s="242"/>
      <c r="G695"/>
      <c r="H695" s="322">
        <v>194300</v>
      </c>
      <c r="I695" s="322">
        <v>200000</v>
      </c>
      <c r="J695" s="242">
        <v>465400</v>
      </c>
      <c r="K695" s="18" t="e">
        <f>INDEX(תקציב_2013,MATCH(D695,'תקציב 2015'!$D$3:$D$5960,0),8)</f>
        <v>#N/A</v>
      </c>
      <c r="L695" s="18" t="str">
        <f t="shared" si="83"/>
        <v>8</v>
      </c>
      <c r="M695" s="18" t="str">
        <f>INDEX(Chapter,MATCH(L695,Chapter!$A$1:$A$681,0),8)</f>
        <v>שירותים ממלכתיים</v>
      </c>
      <c r="N695" s="18" t="str">
        <f t="shared" si="84"/>
        <v>82</v>
      </c>
      <c r="O695" s="18" t="str">
        <f>INDEX(Chapter,MATCH(N695,Chapter!$A$1:$A$681,0),8)</f>
        <v>תרבות</v>
      </c>
      <c r="P695" s="18" t="str">
        <f t="shared" si="85"/>
        <v>829</v>
      </c>
      <c r="Q695" s="18" t="str">
        <f>INDEX(Chapter,MATCH(P695,Chapter!$A$1:$A$681,0),8)</f>
        <v>ספורט</v>
      </c>
      <c r="R695" s="18" t="str">
        <f t="shared" si="86"/>
        <v>8294</v>
      </c>
      <c r="S695" s="18" t="e">
        <f>INDEX(Chapter,MATCH(R695,Chapter!$A$1:$A$681,0),8)</f>
        <v>#N/A</v>
      </c>
      <c r="T695" s="18"/>
      <c r="U695" s="18" t="str">
        <f t="shared" si="87"/>
        <v>5</v>
      </c>
      <c r="V695" s="18" t="str">
        <f>IF($L695&lt;"6",INDEX(Revenue_type,MATCH(U695*1,type!$A$118:$A$168,0),8),INDEX(Expenditure_type,MATCH(U695*1,type!$A$2:$A$117,0),8))</f>
        <v>הוצאות מנהליות</v>
      </c>
      <c r="W695" s="18" t="str">
        <f t="shared" si="88"/>
        <v>50</v>
      </c>
      <c r="X695" s="18" t="e">
        <f>IF($L695&lt;"6",INDEX(Revenue_type,MATCH(W695*1,type!$A$118:$A$168,0),8),INDEX(Expenditure_type,MATCH(W695*1,type!$A$2:$A$117,0),8))</f>
        <v>#N/A</v>
      </c>
      <c r="Y695" s="18" t="str">
        <f t="shared" si="89"/>
        <v>500</v>
      </c>
      <c r="Z695" s="18" t="e">
        <f>IF($L695&lt;"6",INDEX(Revenue_type,MATCH(Y695*1,type!$A$118:$A$168,0),8),INDEX(Expenditure_type,MATCH(Y695*1,type!$A$2:$A$117,0),8))</f>
        <v>#N/A</v>
      </c>
    </row>
    <row r="696" spans="1:26" ht="15.75" hidden="1" customHeight="1" outlineLevel="2">
      <c r="A696">
        <v>200</v>
      </c>
      <c r="B696" s="249">
        <v>827000</v>
      </c>
      <c r="C696">
        <v>1</v>
      </c>
      <c r="D696" t="str">
        <f t="shared" si="82"/>
        <v>1827000.200</v>
      </c>
      <c r="E696" s="348" t="s">
        <v>8358</v>
      </c>
      <c r="F696" s="242"/>
      <c r="G696"/>
      <c r="H696" s="322">
        <v>736100</v>
      </c>
      <c r="I696" s="322">
        <v>736100</v>
      </c>
      <c r="J696" s="242">
        <v>2398400</v>
      </c>
      <c r="K696" s="18" t="e">
        <f>INDEX(תקציב_2013,MATCH(D696,'תקציב 2015'!$D$3:$D$5960,0),8)</f>
        <v>#N/A</v>
      </c>
      <c r="L696" s="18" t="str">
        <f t="shared" si="83"/>
        <v>8</v>
      </c>
      <c r="M696" s="18" t="str">
        <f>INDEX(Chapter,MATCH(L696,Chapter!$A$1:$A$681,0),8)</f>
        <v>שירותים ממלכתיים</v>
      </c>
      <c r="N696" s="18" t="str">
        <f t="shared" si="84"/>
        <v>82</v>
      </c>
      <c r="O696" s="18" t="str">
        <f>INDEX(Chapter,MATCH(N696,Chapter!$A$1:$A$681,0),8)</f>
        <v>תרבות</v>
      </c>
      <c r="P696" s="18" t="str">
        <f t="shared" si="85"/>
        <v>827</v>
      </c>
      <c r="Q696" s="18" t="str">
        <f>INDEX(Chapter,MATCH(P696,Chapter!$A$1:$A$681,0),8)</f>
        <v>תרבות תורנית</v>
      </c>
      <c r="R696" s="18" t="str">
        <f t="shared" si="86"/>
        <v>8270</v>
      </c>
      <c r="S696" s="18" t="e">
        <f>INDEX(Chapter,MATCH(R696,Chapter!$A$1:$A$681,0),8)</f>
        <v>#N/A</v>
      </c>
      <c r="T696" s="18"/>
      <c r="U696" s="18" t="str">
        <f t="shared" si="87"/>
        <v>2</v>
      </c>
      <c r="V696" s="18" t="str">
        <f>IF($L696&lt;"6",INDEX(Revenue_type,MATCH(U696*1,type!$A$118:$A$168,0),8),INDEX(Expenditure_type,MATCH(U696*1,type!$A$2:$A$117,0),8))</f>
        <v>משכורות וש"ע לעובדים בלי תקן</v>
      </c>
      <c r="W696" s="18" t="str">
        <f t="shared" si="88"/>
        <v>20</v>
      </c>
      <c r="X696" s="18" t="e">
        <f>IF($L696&lt;"6",INDEX(Revenue_type,MATCH(W696*1,type!$A$118:$A$168,0),8),INDEX(Expenditure_type,MATCH(W696*1,type!$A$2:$A$117,0),8))</f>
        <v>#N/A</v>
      </c>
      <c r="Y696" s="18" t="str">
        <f t="shared" si="89"/>
        <v>200</v>
      </c>
      <c r="Z696" s="18" t="e">
        <f>IF($L696&lt;"6",INDEX(Revenue_type,MATCH(Y696*1,type!$A$118:$A$168,0),8),INDEX(Expenditure_type,MATCH(Y696*1,type!$A$2:$A$117,0),8))</f>
        <v>#N/A</v>
      </c>
    </row>
    <row r="697" spans="1:26" ht="15.75" hidden="1" customHeight="1" outlineLevel="2">
      <c r="A697">
        <v>120</v>
      </c>
      <c r="B697" s="249">
        <v>827000</v>
      </c>
      <c r="C697">
        <v>1</v>
      </c>
      <c r="D697" t="str">
        <f t="shared" si="82"/>
        <v>1827000.120</v>
      </c>
      <c r="E697" s="348" t="s">
        <v>8359</v>
      </c>
      <c r="F697" s="242"/>
      <c r="G697"/>
      <c r="H697" s="322">
        <v>27900</v>
      </c>
      <c r="I697" s="322">
        <v>27900</v>
      </c>
      <c r="J697" s="242">
        <v>75100</v>
      </c>
      <c r="K697" s="18">
        <f>INDEX(תקציב_2013,MATCH(D697,'תקציב 2015'!$D$3:$D$5960,0),8)</f>
        <v>30754</v>
      </c>
      <c r="L697" s="18" t="str">
        <f t="shared" si="83"/>
        <v>8</v>
      </c>
      <c r="M697" s="18" t="str">
        <f>INDEX(Chapter,MATCH(L697,Chapter!$A$1:$A$681,0),8)</f>
        <v>שירותים ממלכתיים</v>
      </c>
      <c r="N697" s="18" t="str">
        <f t="shared" si="84"/>
        <v>82</v>
      </c>
      <c r="O697" s="18" t="str">
        <f>INDEX(Chapter,MATCH(N697,Chapter!$A$1:$A$681,0),8)</f>
        <v>תרבות</v>
      </c>
      <c r="P697" s="18" t="str">
        <f t="shared" si="85"/>
        <v>827</v>
      </c>
      <c r="Q697" s="18" t="str">
        <f>INDEX(Chapter,MATCH(P697,Chapter!$A$1:$A$681,0),8)</f>
        <v>תרבות תורנית</v>
      </c>
      <c r="R697" s="18" t="str">
        <f t="shared" si="86"/>
        <v>8270</v>
      </c>
      <c r="S697" s="18" t="e">
        <f>INDEX(Chapter,MATCH(R697,Chapter!$A$1:$A$681,0),8)</f>
        <v>#N/A</v>
      </c>
      <c r="T697" s="18"/>
      <c r="U697" s="18" t="str">
        <f t="shared" si="87"/>
        <v>1</v>
      </c>
      <c r="V697" s="18" t="str">
        <f>IF($L697&lt;"6",INDEX(Revenue_type,MATCH(U697*1,type!$A$118:$A$168,0),8),INDEX(Expenditure_type,MATCH(U697*1,type!$A$2:$A$117,0),8))</f>
        <v>משכורות וש"ע לעובדים לפי תקן</v>
      </c>
      <c r="W697" s="18" t="str">
        <f t="shared" si="88"/>
        <v>12</v>
      </c>
      <c r="X697" s="18" t="str">
        <f>IF($L697&lt;"6",INDEX(Revenue_type,MATCH(W697*1,type!$A$118:$A$168,0),8),INDEX(Expenditure_type,MATCH(W697*1,type!$A$2:$A$117,0),8))</f>
        <v>תוספות שאינן נכללות בשכר הקובע</v>
      </c>
      <c r="Y697" s="18" t="str">
        <f t="shared" si="89"/>
        <v>120</v>
      </c>
      <c r="Z697" s="18" t="e">
        <f>IF($L697&lt;"6",INDEX(Revenue_type,MATCH(Y697*1,type!$A$118:$A$168,0),8),INDEX(Expenditure_type,MATCH(Y697*1,type!$A$2:$A$117,0),8))</f>
        <v>#N/A</v>
      </c>
    </row>
    <row r="698" spans="1:26" ht="15.75" hidden="1" customHeight="1" outlineLevel="2">
      <c r="A698">
        <v>700</v>
      </c>
      <c r="B698" s="249">
        <v>827000</v>
      </c>
      <c r="C698">
        <v>1</v>
      </c>
      <c r="D698" t="str">
        <f t="shared" si="82"/>
        <v>1827000.700</v>
      </c>
      <c r="E698" s="348" t="s">
        <v>8360</v>
      </c>
      <c r="F698" s="242"/>
      <c r="G698"/>
      <c r="H698" s="322">
        <v>906800</v>
      </c>
      <c r="I698" s="322">
        <v>906800</v>
      </c>
      <c r="J698" s="242">
        <v>533000</v>
      </c>
      <c r="K698" s="18" t="e">
        <f>INDEX(תקציב_2013,MATCH(D698,'תקציב 2015'!$D$3:$D$5960,0),8)</f>
        <v>#N/A</v>
      </c>
      <c r="L698" s="18" t="str">
        <f t="shared" si="83"/>
        <v>8</v>
      </c>
      <c r="M698" s="18" t="str">
        <f>INDEX(Chapter,MATCH(L698,Chapter!$A$1:$A$681,0),8)</f>
        <v>שירותים ממלכתיים</v>
      </c>
      <c r="N698" s="18" t="str">
        <f t="shared" si="84"/>
        <v>82</v>
      </c>
      <c r="O698" s="18" t="str">
        <f>INDEX(Chapter,MATCH(N698,Chapter!$A$1:$A$681,0),8)</f>
        <v>תרבות</v>
      </c>
      <c r="P698" s="18" t="str">
        <f t="shared" si="85"/>
        <v>827</v>
      </c>
      <c r="Q698" s="18" t="str">
        <f>INDEX(Chapter,MATCH(P698,Chapter!$A$1:$A$681,0),8)</f>
        <v>תרבות תורנית</v>
      </c>
      <c r="R698" s="18" t="str">
        <f t="shared" si="86"/>
        <v>8270</v>
      </c>
      <c r="S698" s="18" t="e">
        <f>INDEX(Chapter,MATCH(R698,Chapter!$A$1:$A$681,0),8)</f>
        <v>#N/A</v>
      </c>
      <c r="T698" s="18"/>
      <c r="U698" s="18" t="str">
        <f t="shared" si="87"/>
        <v>7</v>
      </c>
      <c r="V698" s="18" t="str">
        <f>IF($L698&lt;"6",INDEX(Revenue_type,MATCH(U698*1,type!$A$118:$A$168,0),8),INDEX(Expenditure_type,MATCH(U698*1,type!$A$2:$A$117,0),8))</f>
        <v>הוצאות לפעולות</v>
      </c>
      <c r="W698" s="18" t="str">
        <f t="shared" si="88"/>
        <v>70</v>
      </c>
      <c r="X698" s="18" t="e">
        <f>IF($L698&lt;"6",INDEX(Revenue_type,MATCH(W698*1,type!$A$118:$A$168,0),8),INDEX(Expenditure_type,MATCH(W698*1,type!$A$2:$A$117,0),8))</f>
        <v>#N/A</v>
      </c>
      <c r="Y698" s="18" t="str">
        <f t="shared" si="89"/>
        <v>700</v>
      </c>
      <c r="Z698" s="18" t="e">
        <f>IF($L698&lt;"6",INDEX(Revenue_type,MATCH(Y698*1,type!$A$118:$A$168,0),8),INDEX(Expenditure_type,MATCH(Y698*1,type!$A$2:$A$117,0),8))</f>
        <v>#N/A</v>
      </c>
    </row>
    <row r="699" spans="1:26" ht="15.75" hidden="1" customHeight="1" outlineLevel="2">
      <c r="A699">
        <v>700</v>
      </c>
      <c r="B699" s="249">
        <v>615120</v>
      </c>
      <c r="C699">
        <v>1</v>
      </c>
      <c r="D699" t="str">
        <f t="shared" si="82"/>
        <v>1615120.700</v>
      </c>
      <c r="E699" s="348" t="s">
        <v>8361</v>
      </c>
      <c r="F699" s="242"/>
      <c r="G699"/>
      <c r="H699" s="322">
        <v>2278100</v>
      </c>
      <c r="I699" s="322">
        <v>2345100</v>
      </c>
      <c r="J699" s="242">
        <v>1290200</v>
      </c>
      <c r="K699" s="18" t="e">
        <f>INDEX(תקציב_2013,MATCH(D699,'תקציב 2015'!$D$3:$D$5960,0),8)</f>
        <v>#N/A</v>
      </c>
      <c r="L699" s="18" t="str">
        <f t="shared" si="83"/>
        <v>6</v>
      </c>
      <c r="M699" s="18" t="str">
        <f>INDEX(Chapter,MATCH(L699,Chapter!$A$1:$A$681,0),8)</f>
        <v>הנהלה כללית</v>
      </c>
      <c r="N699" s="18" t="str">
        <f t="shared" si="84"/>
        <v>61</v>
      </c>
      <c r="O699" s="18" t="str">
        <f>INDEX(Chapter,MATCH(N699,Chapter!$A$1:$A$681,0),8)</f>
        <v>מינהל כללי</v>
      </c>
      <c r="P699" s="18" t="str">
        <f t="shared" si="85"/>
        <v>615</v>
      </c>
      <c r="Q699" s="18" t="str">
        <f>INDEX(Chapter,MATCH(P699,Chapter!$A$1:$A$681,0),8)</f>
        <v>מנגנון</v>
      </c>
      <c r="R699" s="18" t="str">
        <f t="shared" si="86"/>
        <v>6151</v>
      </c>
      <c r="S699" s="18" t="e">
        <f>INDEX(Chapter,MATCH(R699,Chapter!$A$1:$A$681,0),8)</f>
        <v>#N/A</v>
      </c>
      <c r="T699" s="18"/>
      <c r="U699" s="18" t="str">
        <f t="shared" si="87"/>
        <v>7</v>
      </c>
      <c r="V699" s="18" t="str">
        <f>IF($L699&lt;"6",INDEX(Revenue_type,MATCH(U699*1,type!$A$118:$A$168,0),8),INDEX(Expenditure_type,MATCH(U699*1,type!$A$2:$A$117,0),8))</f>
        <v>הוצאות לפעולות</v>
      </c>
      <c r="W699" s="18" t="str">
        <f t="shared" si="88"/>
        <v>70</v>
      </c>
      <c r="X699" s="18" t="e">
        <f>IF($L699&lt;"6",INDEX(Revenue_type,MATCH(W699*1,type!$A$118:$A$168,0),8),INDEX(Expenditure_type,MATCH(W699*1,type!$A$2:$A$117,0),8))</f>
        <v>#N/A</v>
      </c>
      <c r="Y699" s="18" t="str">
        <f t="shared" si="89"/>
        <v>700</v>
      </c>
      <c r="Z699" s="18" t="e">
        <f>IF($L699&lt;"6",INDEX(Revenue_type,MATCH(Y699*1,type!$A$118:$A$168,0),8),INDEX(Expenditure_type,MATCH(Y699*1,type!$A$2:$A$117,0),8))</f>
        <v>#N/A</v>
      </c>
    </row>
    <row r="700" spans="1:26" ht="15.75" hidden="1" customHeight="1" outlineLevel="2">
      <c r="A700">
        <v>100</v>
      </c>
      <c r="B700" s="249">
        <v>615310</v>
      </c>
      <c r="C700">
        <v>1</v>
      </c>
      <c r="D700" t="str">
        <f t="shared" si="82"/>
        <v>1615310.100</v>
      </c>
      <c r="E700" s="369" t="s">
        <v>8362</v>
      </c>
      <c r="F700" s="242"/>
      <c r="G700"/>
      <c r="H700" s="322">
        <v>1596700</v>
      </c>
      <c r="I700" s="322">
        <v>1578700</v>
      </c>
      <c r="J700" s="242">
        <v>1454100</v>
      </c>
      <c r="K700" s="18" t="e">
        <f>INDEX(תקציב_2013,MATCH(D700,'תקציב 2015'!$D$3:$D$5960,0),8)</f>
        <v>#N/A</v>
      </c>
      <c r="L700" s="18" t="str">
        <f t="shared" si="83"/>
        <v>6</v>
      </c>
      <c r="M700" s="18" t="str">
        <f>INDEX(Chapter,MATCH(L700,Chapter!$A$1:$A$681,0),8)</f>
        <v>הנהלה כללית</v>
      </c>
      <c r="N700" s="18" t="str">
        <f t="shared" si="84"/>
        <v>61</v>
      </c>
      <c r="O700" s="18" t="str">
        <f>INDEX(Chapter,MATCH(N700,Chapter!$A$1:$A$681,0),8)</f>
        <v>מינהל כללי</v>
      </c>
      <c r="P700" s="18" t="str">
        <f t="shared" si="85"/>
        <v>615</v>
      </c>
      <c r="Q700" s="18" t="str">
        <f>INDEX(Chapter,MATCH(P700,Chapter!$A$1:$A$681,0),8)</f>
        <v>מנגנון</v>
      </c>
      <c r="R700" s="18" t="str">
        <f t="shared" si="86"/>
        <v>6153</v>
      </c>
      <c r="S700" s="18" t="e">
        <f>INDEX(Chapter,MATCH(R700,Chapter!$A$1:$A$681,0),8)</f>
        <v>#N/A</v>
      </c>
      <c r="T700" s="18"/>
      <c r="U700" s="18" t="str">
        <f t="shared" si="87"/>
        <v>1</v>
      </c>
      <c r="V700" s="18" t="str">
        <f>IF($L700&lt;"6",INDEX(Revenue_type,MATCH(U700*1,type!$A$118:$A$168,0),8),INDEX(Expenditure_type,MATCH(U700*1,type!$A$2:$A$117,0),8))</f>
        <v>משכורות וש"ע לעובדים לפי תקן</v>
      </c>
      <c r="W700" s="18" t="str">
        <f t="shared" si="88"/>
        <v>10</v>
      </c>
      <c r="X700" s="18" t="e">
        <f>IF($L700&lt;"6",INDEX(Revenue_type,MATCH(W700*1,type!$A$118:$A$168,0),8),INDEX(Expenditure_type,MATCH(W700*1,type!$A$2:$A$117,0),8))</f>
        <v>#N/A</v>
      </c>
      <c r="Y700" s="18" t="str">
        <f t="shared" si="89"/>
        <v>100</v>
      </c>
      <c r="Z700" s="18" t="e">
        <f>IF($L700&lt;"6",INDEX(Revenue_type,MATCH(Y700*1,type!$A$118:$A$168,0),8),INDEX(Expenditure_type,MATCH(Y700*1,type!$A$2:$A$117,0),8))</f>
        <v>#N/A</v>
      </c>
    </row>
    <row r="701" spans="1:26" ht="15.75" hidden="1" customHeight="1" outlineLevel="2">
      <c r="A701">
        <v>120</v>
      </c>
      <c r="B701" s="249">
        <v>615310</v>
      </c>
      <c r="C701">
        <v>1</v>
      </c>
      <c r="D701" t="str">
        <f t="shared" si="82"/>
        <v>1615310.120</v>
      </c>
      <c r="E701" s="348" t="s">
        <v>8363</v>
      </c>
      <c r="F701" s="242"/>
      <c r="G701"/>
      <c r="H701" s="322">
        <v>75300</v>
      </c>
      <c r="I701" s="322">
        <v>75300</v>
      </c>
      <c r="J701" s="242">
        <v>96800</v>
      </c>
      <c r="K701" s="18" t="e">
        <f>INDEX(תקציב_2013,MATCH(D701,'תקציב 2015'!$D$3:$D$5960,0),8)</f>
        <v>#N/A</v>
      </c>
      <c r="L701" s="18" t="str">
        <f t="shared" si="83"/>
        <v>6</v>
      </c>
      <c r="M701" s="18" t="str">
        <f>INDEX(Chapter,MATCH(L701,Chapter!$A$1:$A$681,0),8)</f>
        <v>הנהלה כללית</v>
      </c>
      <c r="N701" s="18" t="str">
        <f t="shared" si="84"/>
        <v>61</v>
      </c>
      <c r="O701" s="18" t="str">
        <f>INDEX(Chapter,MATCH(N701,Chapter!$A$1:$A$681,0),8)</f>
        <v>מינהל כללי</v>
      </c>
      <c r="P701" s="18" t="str">
        <f t="shared" si="85"/>
        <v>615</v>
      </c>
      <c r="Q701" s="18" t="str">
        <f>INDEX(Chapter,MATCH(P701,Chapter!$A$1:$A$681,0),8)</f>
        <v>מנגנון</v>
      </c>
      <c r="R701" s="18" t="str">
        <f t="shared" si="86"/>
        <v>6153</v>
      </c>
      <c r="S701" s="18" t="e">
        <f>INDEX(Chapter,MATCH(R701,Chapter!$A$1:$A$681,0),8)</f>
        <v>#N/A</v>
      </c>
      <c r="T701" s="18"/>
      <c r="U701" s="18" t="str">
        <f t="shared" si="87"/>
        <v>1</v>
      </c>
      <c r="V701" s="18" t="str">
        <f>IF($L701&lt;"6",INDEX(Revenue_type,MATCH(U701*1,type!$A$118:$A$168,0),8),INDEX(Expenditure_type,MATCH(U701*1,type!$A$2:$A$117,0),8))</f>
        <v>משכורות וש"ע לעובדים לפי תקן</v>
      </c>
      <c r="W701" s="18" t="str">
        <f t="shared" si="88"/>
        <v>12</v>
      </c>
      <c r="X701" s="18" t="str">
        <f>IF($L701&lt;"6",INDEX(Revenue_type,MATCH(W701*1,type!$A$118:$A$168,0),8),INDEX(Expenditure_type,MATCH(W701*1,type!$A$2:$A$117,0),8))</f>
        <v>תוספות שאינן נכללות בשכר הקובע</v>
      </c>
      <c r="Y701" s="18" t="str">
        <f t="shared" si="89"/>
        <v>120</v>
      </c>
      <c r="Z701" s="18" t="e">
        <f>IF($L701&lt;"6",INDEX(Revenue_type,MATCH(Y701*1,type!$A$118:$A$168,0),8),INDEX(Expenditure_type,MATCH(Y701*1,type!$A$2:$A$117,0),8))</f>
        <v>#N/A</v>
      </c>
    </row>
    <row r="702" spans="1:26" ht="15.75" hidden="1" customHeight="1" outlineLevel="2">
      <c r="A702">
        <v>400</v>
      </c>
      <c r="B702" s="249">
        <v>615310</v>
      </c>
      <c r="C702">
        <v>1</v>
      </c>
      <c r="D702" t="str">
        <f t="shared" si="82"/>
        <v>1615310.400</v>
      </c>
      <c r="E702" s="348" t="s">
        <v>8364</v>
      </c>
      <c r="F702" s="242"/>
      <c r="G702"/>
      <c r="H702" s="322">
        <v>110400</v>
      </c>
      <c r="I702" s="322">
        <v>110400</v>
      </c>
      <c r="J702" s="242">
        <v>91800</v>
      </c>
      <c r="K702" s="18" t="e">
        <f>INDEX(תקציב_2013,MATCH(D702,'תקציב 2015'!$D$3:$D$5960,0),8)</f>
        <v>#N/A</v>
      </c>
      <c r="L702" s="18" t="str">
        <f t="shared" si="83"/>
        <v>6</v>
      </c>
      <c r="M702" s="18" t="str">
        <f>INDEX(Chapter,MATCH(L702,Chapter!$A$1:$A$681,0),8)</f>
        <v>הנהלה כללית</v>
      </c>
      <c r="N702" s="18" t="str">
        <f t="shared" si="84"/>
        <v>61</v>
      </c>
      <c r="O702" s="18" t="str">
        <f>INDEX(Chapter,MATCH(N702,Chapter!$A$1:$A$681,0),8)</f>
        <v>מינהל כללי</v>
      </c>
      <c r="P702" s="18" t="str">
        <f t="shared" si="85"/>
        <v>615</v>
      </c>
      <c r="Q702" s="18" t="str">
        <f>INDEX(Chapter,MATCH(P702,Chapter!$A$1:$A$681,0),8)</f>
        <v>מנגנון</v>
      </c>
      <c r="R702" s="18" t="str">
        <f t="shared" si="86"/>
        <v>6153</v>
      </c>
      <c r="S702" s="18" t="e">
        <f>INDEX(Chapter,MATCH(R702,Chapter!$A$1:$A$681,0),8)</f>
        <v>#N/A</v>
      </c>
      <c r="T702" s="18"/>
      <c r="U702" s="18" t="str">
        <f t="shared" si="87"/>
        <v>4</v>
      </c>
      <c r="V702" s="18" t="str">
        <f>IF($L702&lt;"6",INDEX(Revenue_type,MATCH(U702*1,type!$A$118:$A$168,0),8),INDEX(Expenditure_type,MATCH(U702*1,type!$A$2:$A$117,0),8))</f>
        <v>אחזקת בינים ואספקת ציוד</v>
      </c>
      <c r="W702" s="18" t="str">
        <f t="shared" si="88"/>
        <v>40</v>
      </c>
      <c r="X702" s="18" t="e">
        <f>IF($L702&lt;"6",INDEX(Revenue_type,MATCH(W702*1,type!$A$118:$A$168,0),8),INDEX(Expenditure_type,MATCH(W702*1,type!$A$2:$A$117,0),8))</f>
        <v>#N/A</v>
      </c>
      <c r="Y702" s="18" t="str">
        <f t="shared" si="89"/>
        <v>400</v>
      </c>
      <c r="Z702" s="18" t="e">
        <f>IF($L702&lt;"6",INDEX(Revenue_type,MATCH(Y702*1,type!$A$118:$A$168,0),8),INDEX(Expenditure_type,MATCH(Y702*1,type!$A$2:$A$117,0),8))</f>
        <v>#N/A</v>
      </c>
    </row>
    <row r="703" spans="1:26" ht="15.75" hidden="1" customHeight="1" outlineLevel="2">
      <c r="A703">
        <v>500</v>
      </c>
      <c r="B703" s="249">
        <v>615310</v>
      </c>
      <c r="C703">
        <v>1</v>
      </c>
      <c r="D703" t="str">
        <f t="shared" si="82"/>
        <v>1615310.500</v>
      </c>
      <c r="E703" s="348" t="s">
        <v>8365</v>
      </c>
      <c r="F703" s="242"/>
      <c r="G703"/>
      <c r="H703" s="322">
        <v>70500</v>
      </c>
      <c r="I703" s="322">
        <v>70500</v>
      </c>
      <c r="J703" s="242">
        <v>89200</v>
      </c>
      <c r="K703" s="18"/>
      <c r="L703" s="18" t="str">
        <f t="shared" si="83"/>
        <v>6</v>
      </c>
      <c r="M703" s="18" t="str">
        <f>INDEX(Chapter,MATCH(L703,Chapter!$A$1:$A$681,0),8)</f>
        <v>הנהלה כללית</v>
      </c>
      <c r="N703" s="18" t="str">
        <f t="shared" si="84"/>
        <v>61</v>
      </c>
      <c r="O703" s="18" t="str">
        <f>INDEX(Chapter,MATCH(N703,Chapter!$A$1:$A$681,0),8)</f>
        <v>מינהל כללי</v>
      </c>
      <c r="P703" s="18" t="str">
        <f t="shared" si="85"/>
        <v>615</v>
      </c>
      <c r="Q703" s="18" t="str">
        <f>INDEX(Chapter,MATCH(P703,Chapter!$A$1:$A$681,0),8)</f>
        <v>מנגנון</v>
      </c>
      <c r="R703" s="18" t="str">
        <f t="shared" si="86"/>
        <v>6153</v>
      </c>
      <c r="S703" s="18" t="e">
        <f>INDEX(Chapter,MATCH(R703,Chapter!$A$1:$A$681,0),8)</f>
        <v>#N/A</v>
      </c>
      <c r="T703" s="18"/>
      <c r="U703" s="18" t="str">
        <f t="shared" si="87"/>
        <v>5</v>
      </c>
      <c r="V703" s="18" t="str">
        <f>IF($L703&lt;"6",INDEX(Revenue_type,MATCH(U703*1,type!$A$118:$A$168,0),8),INDEX(Expenditure_type,MATCH(U703*1,type!$A$2:$A$117,0),8))</f>
        <v>הוצאות מנהליות</v>
      </c>
      <c r="W703" s="18" t="str">
        <f t="shared" si="88"/>
        <v>50</v>
      </c>
      <c r="X703" s="18" t="e">
        <f>IF($L703&lt;"6",INDEX(Revenue_type,MATCH(W703*1,type!$A$118:$A$168,0),8),INDEX(Expenditure_type,MATCH(W703*1,type!$A$2:$A$117,0),8))</f>
        <v>#N/A</v>
      </c>
      <c r="Y703" s="18" t="str">
        <f t="shared" si="89"/>
        <v>500</v>
      </c>
      <c r="Z703" s="18" t="e">
        <f>IF($L703&lt;"6",INDEX(Revenue_type,MATCH(Y703*1,type!$A$118:$A$168,0),8),INDEX(Expenditure_type,MATCH(Y703*1,type!$A$2:$A$117,0),8))</f>
        <v>#N/A</v>
      </c>
    </row>
    <row r="704" spans="1:26" ht="15.75" hidden="1" customHeight="1" outlineLevel="2">
      <c r="A704">
        <v>700</v>
      </c>
      <c r="B704" s="249">
        <v>615310</v>
      </c>
      <c r="C704">
        <v>1</v>
      </c>
      <c r="D704" t="str">
        <f t="shared" si="82"/>
        <v>1615310.700</v>
      </c>
      <c r="E704" s="348" t="s">
        <v>8366</v>
      </c>
      <c r="F704" s="242"/>
      <c r="G704"/>
      <c r="H704" s="322">
        <v>139300</v>
      </c>
      <c r="I704" s="322">
        <v>139300</v>
      </c>
      <c r="J704" s="242">
        <v>146900</v>
      </c>
      <c r="K704" s="18" t="e">
        <f>INDEX(תקציב_2013,MATCH(D704,'תקציב 2015'!$D$3:$D$5960,0),8)</f>
        <v>#N/A</v>
      </c>
      <c r="L704" s="18" t="str">
        <f t="shared" si="83"/>
        <v>6</v>
      </c>
      <c r="M704" s="18" t="str">
        <f>INDEX(Chapter,MATCH(L704,Chapter!$A$1:$A$681,0),8)</f>
        <v>הנהלה כללית</v>
      </c>
      <c r="N704" s="18" t="str">
        <f t="shared" si="84"/>
        <v>61</v>
      </c>
      <c r="O704" s="18" t="str">
        <f>INDEX(Chapter,MATCH(N704,Chapter!$A$1:$A$681,0),8)</f>
        <v>מינהל כללי</v>
      </c>
      <c r="P704" s="18" t="str">
        <f t="shared" si="85"/>
        <v>615</v>
      </c>
      <c r="Q704" s="18" t="str">
        <f>INDEX(Chapter,MATCH(P704,Chapter!$A$1:$A$681,0),8)</f>
        <v>מנגנון</v>
      </c>
      <c r="R704" s="18" t="str">
        <f t="shared" si="86"/>
        <v>6153</v>
      </c>
      <c r="S704" s="18" t="e">
        <f>INDEX(Chapter,MATCH(R704,Chapter!$A$1:$A$681,0),8)</f>
        <v>#N/A</v>
      </c>
      <c r="T704" s="18"/>
      <c r="U704" s="18" t="str">
        <f t="shared" si="87"/>
        <v>7</v>
      </c>
      <c r="V704" s="18" t="str">
        <f>IF($L704&lt;"6",INDEX(Revenue_type,MATCH(U704*1,type!$A$118:$A$168,0),8),INDEX(Expenditure_type,MATCH(U704*1,type!$A$2:$A$117,0),8))</f>
        <v>הוצאות לפעולות</v>
      </c>
      <c r="W704" s="18" t="str">
        <f t="shared" si="88"/>
        <v>70</v>
      </c>
      <c r="X704" s="18" t="e">
        <f>IF($L704&lt;"6",INDEX(Revenue_type,MATCH(W704*1,type!$A$118:$A$168,0),8),INDEX(Expenditure_type,MATCH(W704*1,type!$A$2:$A$117,0),8))</f>
        <v>#N/A</v>
      </c>
      <c r="Y704" s="18" t="str">
        <f t="shared" si="89"/>
        <v>700</v>
      </c>
      <c r="Z704" s="18" t="e">
        <f>IF($L704&lt;"6",INDEX(Revenue_type,MATCH(Y704*1,type!$A$118:$A$168,0),8),INDEX(Expenditure_type,MATCH(Y704*1,type!$A$2:$A$117,0),8))</f>
        <v>#N/A</v>
      </c>
    </row>
    <row r="705" spans="1:26" ht="15.75" hidden="1" customHeight="1" outlineLevel="2">
      <c r="A705">
        <v>800</v>
      </c>
      <c r="B705" s="249">
        <v>615320</v>
      </c>
      <c r="C705">
        <v>1</v>
      </c>
      <c r="D705" t="str">
        <f t="shared" si="82"/>
        <v>1615320.800</v>
      </c>
      <c r="E705" s="348" t="s">
        <v>8367</v>
      </c>
      <c r="F705" s="242"/>
      <c r="G705"/>
      <c r="H705" s="322">
        <v>120000</v>
      </c>
      <c r="I705" s="322">
        <v>120000</v>
      </c>
      <c r="J705" s="242">
        <v>120000</v>
      </c>
      <c r="K705" s="18" t="e">
        <f>INDEX(תקציב_2013,MATCH(D705,'תקציב 2015'!$D$3:$D$5960,0),8)</f>
        <v>#N/A</v>
      </c>
      <c r="L705" s="18" t="str">
        <f t="shared" si="83"/>
        <v>6</v>
      </c>
      <c r="M705" s="18" t="str">
        <f>INDEX(Chapter,MATCH(L705,Chapter!$A$1:$A$681,0),8)</f>
        <v>הנהלה כללית</v>
      </c>
      <c r="N705" s="18" t="str">
        <f t="shared" si="84"/>
        <v>61</v>
      </c>
      <c r="O705" s="18" t="str">
        <f>INDEX(Chapter,MATCH(N705,Chapter!$A$1:$A$681,0),8)</f>
        <v>מינהל כללי</v>
      </c>
      <c r="P705" s="18" t="str">
        <f t="shared" si="85"/>
        <v>615</v>
      </c>
      <c r="Q705" s="18" t="str">
        <f>INDEX(Chapter,MATCH(P705,Chapter!$A$1:$A$681,0),8)</f>
        <v>מנגנון</v>
      </c>
      <c r="R705" s="18" t="str">
        <f t="shared" si="86"/>
        <v>6153</v>
      </c>
      <c r="S705" s="18" t="e">
        <f>INDEX(Chapter,MATCH(R705,Chapter!$A$1:$A$681,0),8)</f>
        <v>#N/A</v>
      </c>
      <c r="T705" s="18"/>
      <c r="U705" s="18" t="str">
        <f t="shared" si="87"/>
        <v>8</v>
      </c>
      <c r="V705" s="18" t="str">
        <f>IF($L705&lt;"6",INDEX(Revenue_type,MATCH(U705*1,type!$A$118:$A$168,0),8),INDEX(Expenditure_type,MATCH(U705*1,type!$A$2:$A$117,0),8))</f>
        <v>השתתפויות תמיכות ותרומות</v>
      </c>
      <c r="W705" s="18" t="str">
        <f t="shared" si="88"/>
        <v>80</v>
      </c>
      <c r="X705" s="18" t="e">
        <f>IF($L705&lt;"6",INDEX(Revenue_type,MATCH(W705*1,type!$A$118:$A$168,0),8),INDEX(Expenditure_type,MATCH(W705*1,type!$A$2:$A$117,0),8))</f>
        <v>#N/A</v>
      </c>
      <c r="Y705" s="18" t="str">
        <f t="shared" si="89"/>
        <v>800</v>
      </c>
      <c r="Z705" s="18" t="e">
        <f>IF($L705&lt;"6",INDEX(Revenue_type,MATCH(Y705*1,type!$A$118:$A$168,0),8),INDEX(Expenditure_type,MATCH(Y705*1,type!$A$2:$A$117,0),8))</f>
        <v>#N/A</v>
      </c>
    </row>
    <row r="706" spans="1:26" ht="15.75" hidden="1" customHeight="1" outlineLevel="2">
      <c r="A706">
        <v>800</v>
      </c>
      <c r="B706" s="249">
        <v>615320</v>
      </c>
      <c r="C706">
        <v>1</v>
      </c>
      <c r="D706" t="str">
        <f t="shared" si="82"/>
        <v>1615320.800</v>
      </c>
      <c r="E706" s="348" t="s">
        <v>8368</v>
      </c>
      <c r="F706" s="242"/>
      <c r="G706"/>
      <c r="H706" s="322">
        <v>3035000</v>
      </c>
      <c r="I706" s="322">
        <v>3035000</v>
      </c>
      <c r="J706" s="242">
        <v>3071500</v>
      </c>
      <c r="K706" s="18" t="e">
        <f>INDEX(תקציב_2013,MATCH(D706,'תקציב 2015'!$D$3:$D$5960,0),8)</f>
        <v>#N/A</v>
      </c>
      <c r="L706" s="18" t="str">
        <f t="shared" si="83"/>
        <v>6</v>
      </c>
      <c r="M706" s="18" t="str">
        <f>INDEX(Chapter,MATCH(L706,Chapter!$A$1:$A$681,0),8)</f>
        <v>הנהלה כללית</v>
      </c>
      <c r="N706" s="18" t="str">
        <f t="shared" si="84"/>
        <v>61</v>
      </c>
      <c r="O706" s="18" t="str">
        <f>INDEX(Chapter,MATCH(N706,Chapter!$A$1:$A$681,0),8)</f>
        <v>מינהל כללי</v>
      </c>
      <c r="P706" s="18" t="str">
        <f t="shared" si="85"/>
        <v>615</v>
      </c>
      <c r="Q706" s="18" t="str">
        <f>INDEX(Chapter,MATCH(P706,Chapter!$A$1:$A$681,0),8)</f>
        <v>מנגנון</v>
      </c>
      <c r="R706" s="18" t="str">
        <f t="shared" si="86"/>
        <v>6153</v>
      </c>
      <c r="S706" s="18" t="e">
        <f>INDEX(Chapter,MATCH(R706,Chapter!$A$1:$A$681,0),8)</f>
        <v>#N/A</v>
      </c>
      <c r="T706" s="18"/>
      <c r="U706" s="18" t="str">
        <f t="shared" si="87"/>
        <v>8</v>
      </c>
      <c r="V706" s="18" t="str">
        <f>IF($L706&lt;"6",INDEX(Revenue_type,MATCH(U706*1,type!$A$118:$A$168,0),8),INDEX(Expenditure_type,MATCH(U706*1,type!$A$2:$A$117,0),8))</f>
        <v>השתתפויות תמיכות ותרומות</v>
      </c>
      <c r="W706" s="18" t="str">
        <f t="shared" si="88"/>
        <v>80</v>
      </c>
      <c r="X706" s="18" t="e">
        <f>IF($L706&lt;"6",INDEX(Revenue_type,MATCH(W706*1,type!$A$118:$A$168,0),8),INDEX(Expenditure_type,MATCH(W706*1,type!$A$2:$A$117,0),8))</f>
        <v>#N/A</v>
      </c>
      <c r="Y706" s="18" t="str">
        <f t="shared" si="89"/>
        <v>800</v>
      </c>
      <c r="Z706" s="18" t="e">
        <f>IF($L706&lt;"6",INDEX(Revenue_type,MATCH(Y706*1,type!$A$118:$A$168,0),8),INDEX(Expenditure_type,MATCH(Y706*1,type!$A$2:$A$117,0),8))</f>
        <v>#N/A</v>
      </c>
    </row>
    <row r="707" spans="1:26" ht="15.75" customHeight="1" outlineLevel="2">
      <c r="A707">
        <v>800</v>
      </c>
      <c r="B707" s="249">
        <v>99120</v>
      </c>
      <c r="C707">
        <v>1</v>
      </c>
      <c r="D707" t="str">
        <f t="shared" si="82"/>
        <v>199120.800</v>
      </c>
      <c r="E707" s="355" t="s">
        <v>8369</v>
      </c>
      <c r="F707" s="242"/>
      <c r="G707"/>
      <c r="H707" s="322">
        <v>252800</v>
      </c>
      <c r="I707" s="322">
        <v>252800</v>
      </c>
      <c r="J707" s="242">
        <v>242200</v>
      </c>
      <c r="K707" s="18" t="e">
        <f>INDEX(תקציב_2013,MATCH(D707,'תקציב 2015'!$D$3:$D$5960,0),8)</f>
        <v>#N/A</v>
      </c>
      <c r="L707" s="18" t="str">
        <f t="shared" si="83"/>
        <v>9</v>
      </c>
      <c r="M707" s="18" t="str">
        <f>INDEX(Chapter,MATCH(L707,Chapter!$A$1:$A$681,0),8)</f>
        <v>מפעלים</v>
      </c>
      <c r="N707" s="18" t="str">
        <f t="shared" si="84"/>
        <v>99</v>
      </c>
      <c r="O707" s="18" t="str">
        <f>INDEX(Chapter,MATCH(N707,Chapter!$A$1:$A$681,0),8)</f>
        <v>תשלומים בלתי רגילים</v>
      </c>
      <c r="P707" s="18" t="str">
        <f t="shared" si="85"/>
        <v>991</v>
      </c>
      <c r="Q707" s="18" t="str">
        <f>INDEX(Chapter,MATCH(P707,Chapter!$A$1:$A$681,0),8)</f>
        <v>הפרשות לקרנות תקציביות</v>
      </c>
      <c r="R707" s="18" t="str">
        <f t="shared" si="86"/>
        <v>9912</v>
      </c>
      <c r="S707" s="18" t="str">
        <f>INDEX(Chapter,MATCH(R707,Chapter!$A$1:$A$681,0),8)</f>
        <v>הפרשה לקרן למניות</v>
      </c>
      <c r="T707" s="18"/>
      <c r="U707" s="18" t="str">
        <f t="shared" si="87"/>
        <v>8</v>
      </c>
      <c r="V707" s="18" t="str">
        <f>IF($L707&lt;"6",INDEX(Revenue_type,MATCH(U707*1,type!$A$118:$A$168,0),8),INDEX(Expenditure_type,MATCH(U707*1,type!$A$2:$A$117,0),8))</f>
        <v>השתתפויות תמיכות ותרומות</v>
      </c>
      <c r="W707" s="18" t="str">
        <f t="shared" si="88"/>
        <v>80</v>
      </c>
      <c r="X707" s="18" t="e">
        <f>IF($L707&lt;"6",INDEX(Revenue_type,MATCH(W707*1,type!$A$118:$A$168,0),8),INDEX(Expenditure_type,MATCH(W707*1,type!$A$2:$A$117,0),8))</f>
        <v>#N/A</v>
      </c>
      <c r="Y707" s="18" t="str">
        <f t="shared" si="89"/>
        <v>800</v>
      </c>
      <c r="Z707" s="18" t="e">
        <f>IF($L707&lt;"6",INDEX(Revenue_type,MATCH(Y707*1,type!$A$118:$A$168,0),8),INDEX(Expenditure_type,MATCH(Y707*1,type!$A$2:$A$117,0),8))</f>
        <v>#N/A</v>
      </c>
    </row>
    <row r="708" spans="1:26" ht="15.75" hidden="1" customHeight="1" outlineLevel="2">
      <c r="A708">
        <v>800</v>
      </c>
      <c r="B708" s="249">
        <v>615360</v>
      </c>
      <c r="C708">
        <v>1</v>
      </c>
      <c r="D708" t="str">
        <f t="shared" si="82"/>
        <v>1615360.800</v>
      </c>
      <c r="E708" s="348" t="s">
        <v>8370</v>
      </c>
      <c r="F708" s="242"/>
      <c r="G708"/>
      <c r="H708" s="322">
        <v>230000</v>
      </c>
      <c r="I708" s="322">
        <v>230000</v>
      </c>
      <c r="J708" s="242">
        <v>276300</v>
      </c>
      <c r="K708" s="18" t="e">
        <f>INDEX(תקציב_2013,MATCH(D708,'תקציב 2015'!$D$3:$D$5960,0),8)</f>
        <v>#N/A</v>
      </c>
      <c r="L708" s="18" t="str">
        <f t="shared" si="83"/>
        <v>6</v>
      </c>
      <c r="M708" s="18" t="str">
        <f>INDEX(Chapter,MATCH(L708,Chapter!$A$1:$A$681,0),8)</f>
        <v>הנהלה כללית</v>
      </c>
      <c r="N708" s="18" t="str">
        <f t="shared" si="84"/>
        <v>61</v>
      </c>
      <c r="O708" s="18" t="str">
        <f>INDEX(Chapter,MATCH(N708,Chapter!$A$1:$A$681,0),8)</f>
        <v>מינהל כללי</v>
      </c>
      <c r="P708" s="18" t="str">
        <f t="shared" si="85"/>
        <v>615</v>
      </c>
      <c r="Q708" s="18" t="str">
        <f>INDEX(Chapter,MATCH(P708,Chapter!$A$1:$A$681,0),8)</f>
        <v>מנגנון</v>
      </c>
      <c r="R708" s="18" t="str">
        <f t="shared" si="86"/>
        <v>6153</v>
      </c>
      <c r="S708" s="18" t="e">
        <f>INDEX(Chapter,MATCH(R708,Chapter!$A$1:$A$681,0),8)</f>
        <v>#N/A</v>
      </c>
      <c r="T708" s="18"/>
      <c r="U708" s="18" t="str">
        <f t="shared" si="87"/>
        <v>8</v>
      </c>
      <c r="V708" s="18" t="str">
        <f>IF($L708&lt;"6",INDEX(Revenue_type,MATCH(U708*1,type!$A$118:$A$168,0),8),INDEX(Expenditure_type,MATCH(U708*1,type!$A$2:$A$117,0),8))</f>
        <v>השתתפויות תמיכות ותרומות</v>
      </c>
      <c r="W708" s="18" t="str">
        <f t="shared" si="88"/>
        <v>80</v>
      </c>
      <c r="X708" s="18" t="e">
        <f>IF($L708&lt;"6",INDEX(Revenue_type,MATCH(W708*1,type!$A$118:$A$168,0),8),INDEX(Expenditure_type,MATCH(W708*1,type!$A$2:$A$117,0),8))</f>
        <v>#N/A</v>
      </c>
      <c r="Y708" s="18" t="str">
        <f t="shared" si="89"/>
        <v>800</v>
      </c>
      <c r="Z708" s="18" t="e">
        <f>IF($L708&lt;"6",INDEX(Revenue_type,MATCH(Y708*1,type!$A$118:$A$168,0),8),INDEX(Expenditure_type,MATCH(Y708*1,type!$A$2:$A$117,0),8))</f>
        <v>#N/A</v>
      </c>
    </row>
    <row r="709" spans="1:26" ht="15.75" hidden="1" customHeight="1" outlineLevel="2">
      <c r="A709">
        <v>800</v>
      </c>
      <c r="B709" s="249">
        <v>615370</v>
      </c>
      <c r="C709">
        <v>1</v>
      </c>
      <c r="D709" t="str">
        <f t="shared" si="82"/>
        <v>1615370.800</v>
      </c>
      <c r="E709" s="373" t="s">
        <v>8371</v>
      </c>
      <c r="F709" s="242"/>
      <c r="G709"/>
      <c r="H709" s="322">
        <v>30400</v>
      </c>
      <c r="I709" s="322">
        <v>30400</v>
      </c>
      <c r="J709" s="242">
        <v>15900</v>
      </c>
      <c r="K709" s="18" t="e">
        <f>INDEX(תקציב_2013,MATCH(D709,'תקציב 2015'!$D$3:$D$5960,0),8)</f>
        <v>#N/A</v>
      </c>
      <c r="L709" s="18" t="str">
        <f t="shared" si="83"/>
        <v>6</v>
      </c>
      <c r="M709" s="18" t="str">
        <f>INDEX(Chapter,MATCH(L709,Chapter!$A$1:$A$681,0),8)</f>
        <v>הנהלה כללית</v>
      </c>
      <c r="N709" s="18" t="str">
        <f t="shared" si="84"/>
        <v>61</v>
      </c>
      <c r="O709" s="18" t="str">
        <f>INDEX(Chapter,MATCH(N709,Chapter!$A$1:$A$681,0),8)</f>
        <v>מינהל כללי</v>
      </c>
      <c r="P709" s="18" t="str">
        <f t="shared" si="85"/>
        <v>615</v>
      </c>
      <c r="Q709" s="18" t="str">
        <f>INDEX(Chapter,MATCH(P709,Chapter!$A$1:$A$681,0),8)</f>
        <v>מנגנון</v>
      </c>
      <c r="R709" s="18" t="str">
        <f t="shared" si="86"/>
        <v>6153</v>
      </c>
      <c r="S709" s="18" t="e">
        <f>INDEX(Chapter,MATCH(R709,Chapter!$A$1:$A$681,0),8)</f>
        <v>#N/A</v>
      </c>
      <c r="T709" s="18"/>
      <c r="U709" s="18" t="str">
        <f t="shared" si="87"/>
        <v>8</v>
      </c>
      <c r="V709" s="18" t="str">
        <f>IF($L709&lt;"6",INDEX(Revenue_type,MATCH(U709*1,type!$A$118:$A$168,0),8),INDEX(Expenditure_type,MATCH(U709*1,type!$A$2:$A$117,0),8))</f>
        <v>השתתפויות תמיכות ותרומות</v>
      </c>
      <c r="W709" s="18" t="str">
        <f t="shared" si="88"/>
        <v>80</v>
      </c>
      <c r="X709" s="18" t="e">
        <f>IF($L709&lt;"6",INDEX(Revenue_type,MATCH(W709*1,type!$A$118:$A$168,0),8),INDEX(Expenditure_type,MATCH(W709*1,type!$A$2:$A$117,0),8))</f>
        <v>#N/A</v>
      </c>
      <c r="Y709" s="18" t="str">
        <f t="shared" si="89"/>
        <v>800</v>
      </c>
      <c r="Z709" s="18" t="e">
        <f>IF($L709&lt;"6",INDEX(Revenue_type,MATCH(Y709*1,type!$A$118:$A$168,0),8),INDEX(Expenditure_type,MATCH(Y709*1,type!$A$2:$A$117,0),8))</f>
        <v>#N/A</v>
      </c>
    </row>
    <row r="710" spans="1:26" ht="15.75" hidden="1" customHeight="1" outlineLevel="2">
      <c r="A710">
        <v>800</v>
      </c>
      <c r="B710" s="249">
        <v>615380</v>
      </c>
      <c r="C710">
        <v>1</v>
      </c>
      <c r="D710" t="str">
        <f t="shared" si="82"/>
        <v>1615380.800</v>
      </c>
      <c r="E710" s="378" t="s">
        <v>8372</v>
      </c>
      <c r="F710" s="242"/>
      <c r="G710"/>
      <c r="H710" s="322">
        <v>5371300</v>
      </c>
      <c r="I710" s="322">
        <v>5371300</v>
      </c>
      <c r="J710" s="242">
        <v>4416600</v>
      </c>
      <c r="K710" s="18" t="e">
        <f>INDEX(תקציב_2013,MATCH(D710,'תקציב 2015'!$D$3:$D$5960,0),8)</f>
        <v>#N/A</v>
      </c>
      <c r="L710" s="18" t="str">
        <f t="shared" si="83"/>
        <v>6</v>
      </c>
      <c r="M710" s="18" t="str">
        <f>INDEX(Chapter,MATCH(L710,Chapter!$A$1:$A$681,0),8)</f>
        <v>הנהלה כללית</v>
      </c>
      <c r="N710" s="18" t="str">
        <f t="shared" si="84"/>
        <v>61</v>
      </c>
      <c r="O710" s="18" t="str">
        <f>INDEX(Chapter,MATCH(N710,Chapter!$A$1:$A$681,0),8)</f>
        <v>מינהל כללי</v>
      </c>
      <c r="P710" s="18" t="str">
        <f t="shared" si="85"/>
        <v>615</v>
      </c>
      <c r="Q710" s="18" t="str">
        <f>INDEX(Chapter,MATCH(P710,Chapter!$A$1:$A$681,0),8)</f>
        <v>מנגנון</v>
      </c>
      <c r="R710" s="18" t="str">
        <f t="shared" si="86"/>
        <v>6153</v>
      </c>
      <c r="S710" s="18" t="e">
        <f>INDEX(Chapter,MATCH(R710,Chapter!$A$1:$A$681,0),8)</f>
        <v>#N/A</v>
      </c>
      <c r="T710" s="18"/>
      <c r="U710" s="18" t="str">
        <f t="shared" si="87"/>
        <v>8</v>
      </c>
      <c r="V710" s="18" t="str">
        <f>IF($L710&lt;"6",INDEX(Revenue_type,MATCH(U710*1,type!$A$118:$A$168,0),8),INDEX(Expenditure_type,MATCH(U710*1,type!$A$2:$A$117,0),8))</f>
        <v>השתתפויות תמיכות ותרומות</v>
      </c>
      <c r="W710" s="18" t="str">
        <f t="shared" si="88"/>
        <v>80</v>
      </c>
      <c r="X710" s="18" t="e">
        <f>IF($L710&lt;"6",INDEX(Revenue_type,MATCH(W710*1,type!$A$118:$A$168,0),8),INDEX(Expenditure_type,MATCH(W710*1,type!$A$2:$A$117,0),8))</f>
        <v>#N/A</v>
      </c>
      <c r="Y710" s="18" t="str">
        <f t="shared" si="89"/>
        <v>800</v>
      </c>
      <c r="Z710" s="18" t="e">
        <f>IF($L710&lt;"6",INDEX(Revenue_type,MATCH(Y710*1,type!$A$118:$A$168,0),8),INDEX(Expenditure_type,MATCH(Y710*1,type!$A$2:$A$117,0),8))</f>
        <v>#N/A</v>
      </c>
    </row>
    <row r="711" spans="1:26" ht="15.75" hidden="1" customHeight="1" outlineLevel="2">
      <c r="A711">
        <v>800</v>
      </c>
      <c r="B711" s="249">
        <v>615390</v>
      </c>
      <c r="C711">
        <v>1</v>
      </c>
      <c r="D711" t="str">
        <f t="shared" si="82"/>
        <v>1615390.800</v>
      </c>
      <c r="E711" s="381" t="s">
        <v>8373</v>
      </c>
      <c r="F711" s="242"/>
      <c r="G711"/>
      <c r="H711" s="322">
        <v>1256000</v>
      </c>
      <c r="I711" s="322">
        <v>1256000</v>
      </c>
      <c r="J711" s="242">
        <v>1240800</v>
      </c>
      <c r="K711" s="18" t="e">
        <f>INDEX(תקציב_2013,MATCH(D711,'תקציב 2015'!$D$3:$D$5960,0),8)</f>
        <v>#N/A</v>
      </c>
      <c r="L711" s="18" t="str">
        <f t="shared" si="83"/>
        <v>6</v>
      </c>
      <c r="M711" s="18" t="str">
        <f>INDEX(Chapter,MATCH(L711,Chapter!$A$1:$A$681,0),8)</f>
        <v>הנהלה כללית</v>
      </c>
      <c r="N711" s="18" t="str">
        <f t="shared" si="84"/>
        <v>61</v>
      </c>
      <c r="O711" s="18" t="str">
        <f>INDEX(Chapter,MATCH(N711,Chapter!$A$1:$A$681,0),8)</f>
        <v>מינהל כללי</v>
      </c>
      <c r="P711" s="18" t="str">
        <f t="shared" si="85"/>
        <v>615</v>
      </c>
      <c r="Q711" s="18" t="str">
        <f>INDEX(Chapter,MATCH(P711,Chapter!$A$1:$A$681,0),8)</f>
        <v>מנגנון</v>
      </c>
      <c r="R711" s="18" t="str">
        <f t="shared" si="86"/>
        <v>6153</v>
      </c>
      <c r="S711" s="18" t="e">
        <f>INDEX(Chapter,MATCH(R711,Chapter!$A$1:$A$681,0),8)</f>
        <v>#N/A</v>
      </c>
      <c r="T711" s="18"/>
      <c r="U711" s="18" t="str">
        <f t="shared" si="87"/>
        <v>8</v>
      </c>
      <c r="V711" s="18" t="str">
        <f>IF($L711&lt;"6",INDEX(Revenue_type,MATCH(U711*1,type!$A$118:$A$168,0),8),INDEX(Expenditure_type,MATCH(U711*1,type!$A$2:$A$117,0),8))</f>
        <v>השתתפויות תמיכות ותרומות</v>
      </c>
      <c r="W711" s="18" t="str">
        <f t="shared" si="88"/>
        <v>80</v>
      </c>
      <c r="X711" s="18" t="e">
        <f>IF($L711&lt;"6",INDEX(Revenue_type,MATCH(W711*1,type!$A$118:$A$168,0),8),INDEX(Expenditure_type,MATCH(W711*1,type!$A$2:$A$117,0),8))</f>
        <v>#N/A</v>
      </c>
      <c r="Y711" s="18" t="str">
        <f t="shared" si="89"/>
        <v>800</v>
      </c>
      <c r="Z711" s="18" t="e">
        <f>IF($L711&lt;"6",INDEX(Revenue_type,MATCH(Y711*1,type!$A$118:$A$168,0),8),INDEX(Expenditure_type,MATCH(Y711*1,type!$A$2:$A$117,0),8))</f>
        <v>#N/A</v>
      </c>
    </row>
    <row r="712" spans="1:26" ht="15.75" hidden="1" customHeight="1" outlineLevel="2">
      <c r="A712">
        <v>800</v>
      </c>
      <c r="B712" s="249">
        <v>615392</v>
      </c>
      <c r="C712">
        <v>1</v>
      </c>
      <c r="D712" t="str">
        <f t="shared" si="82"/>
        <v>1615392.800</v>
      </c>
      <c r="E712" s="382" t="s">
        <v>8374</v>
      </c>
      <c r="F712" s="242"/>
      <c r="G712"/>
      <c r="H712" s="322">
        <v>1300000</v>
      </c>
      <c r="I712" s="322">
        <v>1300000</v>
      </c>
      <c r="J712" s="242">
        <v>1072800</v>
      </c>
      <c r="K712" s="18" t="e">
        <f>INDEX(תקציב_2013,MATCH(D712,'תקציב 2015'!$D$3:$D$5960,0),8)</f>
        <v>#N/A</v>
      </c>
      <c r="L712" s="18" t="str">
        <f t="shared" si="83"/>
        <v>6</v>
      </c>
      <c r="M712" s="18" t="str">
        <f>INDEX(Chapter,MATCH(L712,Chapter!$A$1:$A$681,0),8)</f>
        <v>הנהלה כללית</v>
      </c>
      <c r="N712" s="18" t="str">
        <f t="shared" si="84"/>
        <v>61</v>
      </c>
      <c r="O712" s="18" t="str">
        <f>INDEX(Chapter,MATCH(N712,Chapter!$A$1:$A$681,0),8)</f>
        <v>מינהל כללי</v>
      </c>
      <c r="P712" s="18" t="str">
        <f t="shared" si="85"/>
        <v>615</v>
      </c>
      <c r="Q712" s="18" t="str">
        <f>INDEX(Chapter,MATCH(P712,Chapter!$A$1:$A$681,0),8)</f>
        <v>מנגנון</v>
      </c>
      <c r="R712" s="18" t="str">
        <f t="shared" si="86"/>
        <v>6153</v>
      </c>
      <c r="S712" s="18" t="e">
        <f>INDEX(Chapter,MATCH(R712,Chapter!$A$1:$A$681,0),8)</f>
        <v>#N/A</v>
      </c>
      <c r="T712" s="18"/>
      <c r="U712" s="18" t="str">
        <f t="shared" si="87"/>
        <v>8</v>
      </c>
      <c r="V712" s="18" t="str">
        <f>IF($L712&lt;"6",INDEX(Revenue_type,MATCH(U712*1,type!$A$118:$A$168,0),8),INDEX(Expenditure_type,MATCH(U712*1,type!$A$2:$A$117,0),8))</f>
        <v>השתתפויות תמיכות ותרומות</v>
      </c>
      <c r="W712" s="18" t="str">
        <f t="shared" si="88"/>
        <v>80</v>
      </c>
      <c r="X712" s="18" t="e">
        <f>IF($L712&lt;"6",INDEX(Revenue_type,MATCH(W712*1,type!$A$118:$A$168,0),8),INDEX(Expenditure_type,MATCH(W712*1,type!$A$2:$A$117,0),8))</f>
        <v>#N/A</v>
      </c>
      <c r="Y712" s="18" t="str">
        <f t="shared" si="89"/>
        <v>800</v>
      </c>
      <c r="Z712" s="18" t="e">
        <f>IF($L712&lt;"6",INDEX(Revenue_type,MATCH(Y712*1,type!$A$118:$A$168,0),8),INDEX(Expenditure_type,MATCH(Y712*1,type!$A$2:$A$117,0),8))</f>
        <v>#N/A</v>
      </c>
    </row>
    <row r="713" spans="1:26" ht="15.75" hidden="1" customHeight="1" outlineLevel="2">
      <c r="A713">
        <v>800</v>
      </c>
      <c r="B713" s="249">
        <v>615391</v>
      </c>
      <c r="C713">
        <v>1</v>
      </c>
      <c r="D713" t="str">
        <f t="shared" si="82"/>
        <v>1615391.800</v>
      </c>
      <c r="E713" s="382" t="s">
        <v>8375</v>
      </c>
      <c r="F713" s="242"/>
      <c r="G713"/>
      <c r="H713" s="322">
        <v>230000</v>
      </c>
      <c r="I713" s="322">
        <v>230000</v>
      </c>
      <c r="J713" s="242">
        <v>183200</v>
      </c>
      <c r="K713" s="18" t="e">
        <f>INDEX(תקציב_2013,MATCH(D713,'תקציב 2015'!$D$3:$D$5960,0),8)</f>
        <v>#N/A</v>
      </c>
      <c r="L713" s="18" t="str">
        <f t="shared" si="83"/>
        <v>6</v>
      </c>
      <c r="M713" s="18" t="str">
        <f>INDEX(Chapter,MATCH(L713,Chapter!$A$1:$A$681,0),8)</f>
        <v>הנהלה כללית</v>
      </c>
      <c r="N713" s="18" t="str">
        <f t="shared" si="84"/>
        <v>61</v>
      </c>
      <c r="O713" s="18" t="str">
        <f>INDEX(Chapter,MATCH(N713,Chapter!$A$1:$A$681,0),8)</f>
        <v>מינהל כללי</v>
      </c>
      <c r="P713" s="18" t="str">
        <f t="shared" si="85"/>
        <v>615</v>
      </c>
      <c r="Q713" s="18" t="str">
        <f>INDEX(Chapter,MATCH(P713,Chapter!$A$1:$A$681,0),8)</f>
        <v>מנגנון</v>
      </c>
      <c r="R713" s="18" t="str">
        <f t="shared" si="86"/>
        <v>6153</v>
      </c>
      <c r="S713" s="18" t="e">
        <f>INDEX(Chapter,MATCH(R713,Chapter!$A$1:$A$681,0),8)</f>
        <v>#N/A</v>
      </c>
      <c r="T713" s="18"/>
      <c r="U713" s="18" t="str">
        <f t="shared" si="87"/>
        <v>8</v>
      </c>
      <c r="V713" s="18" t="str">
        <f>IF($L713&lt;"6",INDEX(Revenue_type,MATCH(U713*1,type!$A$118:$A$168,0),8),INDEX(Expenditure_type,MATCH(U713*1,type!$A$2:$A$117,0),8))</f>
        <v>השתתפויות תמיכות ותרומות</v>
      </c>
      <c r="W713" s="18" t="str">
        <f t="shared" si="88"/>
        <v>80</v>
      </c>
      <c r="X713" s="18" t="e">
        <f>IF($L713&lt;"6",INDEX(Revenue_type,MATCH(W713*1,type!$A$118:$A$168,0),8),INDEX(Expenditure_type,MATCH(W713*1,type!$A$2:$A$117,0),8))</f>
        <v>#N/A</v>
      </c>
      <c r="Y713" s="18" t="str">
        <f t="shared" si="89"/>
        <v>800</v>
      </c>
      <c r="Z713" s="18" t="e">
        <f>IF($L713&lt;"6",INDEX(Revenue_type,MATCH(Y713*1,type!$A$118:$A$168,0),8),INDEX(Expenditure_type,MATCH(Y713*1,type!$A$2:$A$117,0),8))</f>
        <v>#N/A</v>
      </c>
    </row>
    <row r="714" spans="1:26" ht="15.75" hidden="1" customHeight="1" outlineLevel="2">
      <c r="A714">
        <v>700</v>
      </c>
      <c r="B714" s="249">
        <v>767000</v>
      </c>
      <c r="C714">
        <v>1</v>
      </c>
      <c r="D714" t="str">
        <f t="shared" si="82"/>
        <v>1767000.700</v>
      </c>
      <c r="E714" s="382" t="s">
        <v>8376</v>
      </c>
      <c r="F714" s="242"/>
      <c r="G714"/>
      <c r="H714" s="322">
        <v>2000000</v>
      </c>
      <c r="I714" s="322">
        <v>2000000</v>
      </c>
      <c r="J714" s="242">
        <v>4063100</v>
      </c>
      <c r="K714" s="18" t="e">
        <f>INDEX(תקציב_2013,MATCH(D714,'תקציב 2015'!$D$3:$D$5960,0),8)</f>
        <v>#N/A</v>
      </c>
      <c r="L714" s="18" t="str">
        <f t="shared" si="83"/>
        <v>7</v>
      </c>
      <c r="M714" s="18" t="str">
        <f>INDEX(Chapter,MATCH(L714,Chapter!$A$1:$A$681,0),8)</f>
        <v>שירותים מקומיים</v>
      </c>
      <c r="N714" s="18" t="str">
        <f t="shared" si="84"/>
        <v>76</v>
      </c>
      <c r="O714" s="18" t="str">
        <f>INDEX(Chapter,MATCH(N714,Chapter!$A$1:$A$681,0),8)</f>
        <v>שירותים עירוניים שונים</v>
      </c>
      <c r="P714" s="18" t="str">
        <f t="shared" si="85"/>
        <v>767</v>
      </c>
      <c r="Q714" s="18" t="str">
        <f>INDEX(Chapter,MATCH(P714,Chapter!$A$1:$A$681,0),8)</f>
        <v>בטוח אלמנטרי לרשות</v>
      </c>
      <c r="R714" s="18" t="str">
        <f t="shared" si="86"/>
        <v>7670</v>
      </c>
      <c r="S714" s="18" t="e">
        <f>INDEX(Chapter,MATCH(R714,Chapter!$A$1:$A$681,0),8)</f>
        <v>#N/A</v>
      </c>
      <c r="T714" s="18"/>
      <c r="U714" s="18" t="str">
        <f t="shared" si="87"/>
        <v>7</v>
      </c>
      <c r="V714" s="18" t="str">
        <f>IF($L714&lt;"6",INDEX(Revenue_type,MATCH(U714*1,type!$A$118:$A$168,0),8),INDEX(Expenditure_type,MATCH(U714*1,type!$A$2:$A$117,0),8))</f>
        <v>הוצאות לפעולות</v>
      </c>
      <c r="W714" s="18" t="str">
        <f t="shared" si="88"/>
        <v>70</v>
      </c>
      <c r="X714" s="18" t="e">
        <f>IF($L714&lt;"6",INDEX(Revenue_type,MATCH(W714*1,type!$A$118:$A$168,0),8),INDEX(Expenditure_type,MATCH(W714*1,type!$A$2:$A$117,0),8))</f>
        <v>#N/A</v>
      </c>
      <c r="Y714" s="18" t="str">
        <f t="shared" si="89"/>
        <v>700</v>
      </c>
      <c r="Z714" s="18" t="e">
        <f>IF($L714&lt;"6",INDEX(Revenue_type,MATCH(Y714*1,type!$A$118:$A$168,0),8),INDEX(Expenditure_type,MATCH(Y714*1,type!$A$2:$A$117,0),8))</f>
        <v>#N/A</v>
      </c>
    </row>
    <row r="715" spans="1:26" ht="15.75" hidden="1" customHeight="1" outlineLevel="2">
      <c r="A715">
        <v>500</v>
      </c>
      <c r="B715" s="249">
        <v>617500</v>
      </c>
      <c r="C715">
        <v>1</v>
      </c>
      <c r="D715" t="str">
        <f t="shared" si="82"/>
        <v>1617500.500</v>
      </c>
      <c r="E715" s="382" t="s">
        <v>8377</v>
      </c>
      <c r="F715" s="242"/>
      <c r="G715"/>
      <c r="H715" s="322">
        <v>20908700</v>
      </c>
      <c r="I715" s="322">
        <v>20908700</v>
      </c>
      <c r="J715" s="242">
        <v>22596000</v>
      </c>
      <c r="K715" s="18" t="e">
        <f>INDEX(תקציב_2013,MATCH(D715,'תקציב 2015'!$D$3:$D$5960,0),8)</f>
        <v>#N/A</v>
      </c>
      <c r="L715" s="18" t="str">
        <f t="shared" si="83"/>
        <v>6</v>
      </c>
      <c r="M715" s="18" t="str">
        <f>INDEX(Chapter,MATCH(L715,Chapter!$A$1:$A$681,0),8)</f>
        <v>הנהלה כללית</v>
      </c>
      <c r="N715" s="18" t="str">
        <f t="shared" si="84"/>
        <v>61</v>
      </c>
      <c r="O715" s="18" t="str">
        <f>INDEX(Chapter,MATCH(N715,Chapter!$A$1:$A$681,0),8)</f>
        <v>מינהל כללי</v>
      </c>
      <c r="P715" s="18" t="str">
        <f t="shared" si="85"/>
        <v>617</v>
      </c>
      <c r="Q715" s="18" t="str">
        <f>INDEX(Chapter,MATCH(P715,Chapter!$A$1:$A$681,0),8)</f>
        <v>שרות משפטי</v>
      </c>
      <c r="R715" s="18" t="str">
        <f t="shared" si="86"/>
        <v>6175</v>
      </c>
      <c r="S715" s="18" t="e">
        <f>INDEX(Chapter,MATCH(R715,Chapter!$A$1:$A$681,0),8)</f>
        <v>#N/A</v>
      </c>
      <c r="T715" s="18"/>
      <c r="U715" s="18" t="str">
        <f t="shared" si="87"/>
        <v>5</v>
      </c>
      <c r="V715" s="18" t="str">
        <f>IF($L715&lt;"6",INDEX(Revenue_type,MATCH(U715*1,type!$A$118:$A$168,0),8),INDEX(Expenditure_type,MATCH(U715*1,type!$A$2:$A$117,0),8))</f>
        <v>הוצאות מנהליות</v>
      </c>
      <c r="W715" s="18" t="str">
        <f t="shared" si="88"/>
        <v>50</v>
      </c>
      <c r="X715" s="18" t="e">
        <f>IF($L715&lt;"6",INDEX(Revenue_type,MATCH(W715*1,type!$A$118:$A$168,0),8),INDEX(Expenditure_type,MATCH(W715*1,type!$A$2:$A$117,0),8))</f>
        <v>#N/A</v>
      </c>
      <c r="Y715" s="18" t="str">
        <f t="shared" si="89"/>
        <v>500</v>
      </c>
      <c r="Z715" s="18" t="e">
        <f>IF($L715&lt;"6",INDEX(Revenue_type,MATCH(Y715*1,type!$A$118:$A$168,0),8),INDEX(Expenditure_type,MATCH(Y715*1,type!$A$2:$A$117,0),8))</f>
        <v>#N/A</v>
      </c>
    </row>
    <row r="716" spans="1:26" ht="15.75" hidden="1" customHeight="1" outlineLevel="2">
      <c r="A716">
        <v>100</v>
      </c>
      <c r="B716" s="249">
        <v>615341</v>
      </c>
      <c r="C716">
        <v>1</v>
      </c>
      <c r="D716" t="str">
        <f t="shared" si="82"/>
        <v>1615341.100</v>
      </c>
      <c r="E716" s="382" t="s">
        <v>8378</v>
      </c>
      <c r="F716" s="242"/>
      <c r="G716"/>
      <c r="H716" s="322">
        <v>1454000</v>
      </c>
      <c r="I716" s="322">
        <v>1438000</v>
      </c>
      <c r="J716" s="242">
        <v>1344100</v>
      </c>
      <c r="K716" s="18" t="e">
        <f>INDEX(תקציב_2013,MATCH(D716,'תקציב 2015'!$D$3:$D$5960,0),8)</f>
        <v>#N/A</v>
      </c>
      <c r="L716" s="18" t="str">
        <f t="shared" si="83"/>
        <v>6</v>
      </c>
      <c r="M716" s="18" t="str">
        <f>INDEX(Chapter,MATCH(L716,Chapter!$A$1:$A$681,0),8)</f>
        <v>הנהלה כללית</v>
      </c>
      <c r="N716" s="18" t="str">
        <f t="shared" si="84"/>
        <v>61</v>
      </c>
      <c r="O716" s="18" t="str">
        <f>INDEX(Chapter,MATCH(N716,Chapter!$A$1:$A$681,0),8)</f>
        <v>מינהל כללי</v>
      </c>
      <c r="P716" s="18" t="str">
        <f t="shared" si="85"/>
        <v>615</v>
      </c>
      <c r="Q716" s="18" t="str">
        <f>INDEX(Chapter,MATCH(P716,Chapter!$A$1:$A$681,0),8)</f>
        <v>מנגנון</v>
      </c>
      <c r="R716" s="18" t="str">
        <f t="shared" si="86"/>
        <v>6153</v>
      </c>
      <c r="S716" s="18" t="e">
        <f>INDEX(Chapter,MATCH(R716,Chapter!$A$1:$A$681,0),8)</f>
        <v>#N/A</v>
      </c>
      <c r="T716" s="18"/>
      <c r="U716" s="18" t="str">
        <f t="shared" si="87"/>
        <v>1</v>
      </c>
      <c r="V716" s="18" t="str">
        <f>IF($L716&lt;"6",INDEX(Revenue_type,MATCH(U716*1,type!$A$118:$A$168,0),8),INDEX(Expenditure_type,MATCH(U716*1,type!$A$2:$A$117,0),8))</f>
        <v>משכורות וש"ע לעובדים לפי תקן</v>
      </c>
      <c r="W716" s="18" t="str">
        <f t="shared" si="88"/>
        <v>10</v>
      </c>
      <c r="X716" s="18" t="e">
        <f>IF($L716&lt;"6",INDEX(Revenue_type,MATCH(W716*1,type!$A$118:$A$168,0),8),INDEX(Expenditure_type,MATCH(W716*1,type!$A$2:$A$117,0),8))</f>
        <v>#N/A</v>
      </c>
      <c r="Y716" s="18" t="str">
        <f t="shared" si="89"/>
        <v>100</v>
      </c>
      <c r="Z716" s="18" t="e">
        <f>IF($L716&lt;"6",INDEX(Revenue_type,MATCH(Y716*1,type!$A$118:$A$168,0),8),INDEX(Expenditure_type,MATCH(Y716*1,type!$A$2:$A$117,0),8))</f>
        <v>#N/A</v>
      </c>
    </row>
    <row r="717" spans="1:26" ht="15.75" hidden="1" customHeight="1" outlineLevel="2">
      <c r="A717">
        <v>120</v>
      </c>
      <c r="B717" s="249">
        <v>615341</v>
      </c>
      <c r="C717">
        <v>1</v>
      </c>
      <c r="D717" t="str">
        <f t="shared" si="82"/>
        <v>1615341.120</v>
      </c>
      <c r="E717" s="382" t="s">
        <v>8379</v>
      </c>
      <c r="F717" s="242"/>
      <c r="G717"/>
      <c r="H717" s="322">
        <v>0</v>
      </c>
      <c r="I717" s="322">
        <v>0</v>
      </c>
      <c r="J717" s="242">
        <v>200</v>
      </c>
      <c r="K717" s="18" t="e">
        <f>INDEX(תקציב_2013,MATCH(D717,'תקציב 2015'!$D$3:$D$5960,0),8)</f>
        <v>#N/A</v>
      </c>
      <c r="L717" s="18" t="str">
        <f t="shared" si="83"/>
        <v>6</v>
      </c>
      <c r="M717" s="18" t="str">
        <f>INDEX(Chapter,MATCH(L717,Chapter!$A$1:$A$681,0),8)</f>
        <v>הנהלה כללית</v>
      </c>
      <c r="N717" s="18" t="str">
        <f t="shared" si="84"/>
        <v>61</v>
      </c>
      <c r="O717" s="18" t="str">
        <f>INDEX(Chapter,MATCH(N717,Chapter!$A$1:$A$681,0),8)</f>
        <v>מינהל כללי</v>
      </c>
      <c r="P717" s="18" t="str">
        <f t="shared" si="85"/>
        <v>615</v>
      </c>
      <c r="Q717" s="18" t="str">
        <f>INDEX(Chapter,MATCH(P717,Chapter!$A$1:$A$681,0),8)</f>
        <v>מנגנון</v>
      </c>
      <c r="R717" s="18" t="str">
        <f t="shared" si="86"/>
        <v>6153</v>
      </c>
      <c r="S717" s="18" t="e">
        <f>INDEX(Chapter,MATCH(R717,Chapter!$A$1:$A$681,0),8)</f>
        <v>#N/A</v>
      </c>
      <c r="T717" s="18"/>
      <c r="U717" s="18" t="str">
        <f t="shared" si="87"/>
        <v>1</v>
      </c>
      <c r="V717" s="18" t="str">
        <f>IF($L717&lt;"6",INDEX(Revenue_type,MATCH(U717*1,type!$A$118:$A$168,0),8),INDEX(Expenditure_type,MATCH(U717*1,type!$A$2:$A$117,0),8))</f>
        <v>משכורות וש"ע לעובדים לפי תקן</v>
      </c>
      <c r="W717" s="18" t="str">
        <f t="shared" si="88"/>
        <v>12</v>
      </c>
      <c r="X717" s="18" t="str">
        <f>IF($L717&lt;"6",INDEX(Revenue_type,MATCH(W717*1,type!$A$118:$A$168,0),8),INDEX(Expenditure_type,MATCH(W717*1,type!$A$2:$A$117,0),8))</f>
        <v>תוספות שאינן נכללות בשכר הקובע</v>
      </c>
      <c r="Y717" s="18" t="str">
        <f t="shared" si="89"/>
        <v>120</v>
      </c>
      <c r="Z717" s="18" t="e">
        <f>IF($L717&lt;"6",INDEX(Revenue_type,MATCH(Y717*1,type!$A$118:$A$168,0),8),INDEX(Expenditure_type,MATCH(Y717*1,type!$A$2:$A$117,0),8))</f>
        <v>#N/A</v>
      </c>
    </row>
    <row r="718" spans="1:26" ht="15.75" customHeight="1" outlineLevel="2">
      <c r="A718">
        <v>500</v>
      </c>
      <c r="B718" s="249">
        <v>991200</v>
      </c>
      <c r="C718">
        <v>1</v>
      </c>
      <c r="D718" t="str">
        <f t="shared" si="82"/>
        <v>1991200.500</v>
      </c>
      <c r="E718" s="382" t="s">
        <v>8380</v>
      </c>
      <c r="F718" s="242"/>
      <c r="G718"/>
      <c r="H718" s="322">
        <v>4474600</v>
      </c>
      <c r="I718" s="322">
        <v>576200</v>
      </c>
      <c r="J718" s="242">
        <v>601300</v>
      </c>
      <c r="K718" s="18" t="e">
        <f>INDEX(תקציב_2013,MATCH(D718,'תקציב 2015'!$D$3:$D$5960,0),8)</f>
        <v>#N/A</v>
      </c>
      <c r="L718" s="18" t="str">
        <f t="shared" si="83"/>
        <v>9</v>
      </c>
      <c r="M718" s="18" t="str">
        <f>INDEX(Chapter,MATCH(L718,Chapter!$A$1:$A$681,0),8)</f>
        <v>מפעלים</v>
      </c>
      <c r="N718" s="18" t="str">
        <f t="shared" si="84"/>
        <v>99</v>
      </c>
      <c r="O718" s="18" t="str">
        <f>INDEX(Chapter,MATCH(N718,Chapter!$A$1:$A$681,0),8)</f>
        <v>תשלומים בלתי רגילים</v>
      </c>
      <c r="P718" s="18" t="str">
        <f t="shared" si="85"/>
        <v>991</v>
      </c>
      <c r="Q718" s="18" t="str">
        <f>INDEX(Chapter,MATCH(P718,Chapter!$A$1:$A$681,0),8)</f>
        <v>הפרשות לקרנות תקציביות</v>
      </c>
      <c r="R718" s="18" t="str">
        <f t="shared" si="86"/>
        <v>9912</v>
      </c>
      <c r="S718" s="18" t="str">
        <f>INDEX(Chapter,MATCH(R718,Chapter!$A$1:$A$681,0),8)</f>
        <v>הפרשה לקרן למניות</v>
      </c>
      <c r="T718" s="18"/>
      <c r="U718" s="18" t="str">
        <f t="shared" si="87"/>
        <v>5</v>
      </c>
      <c r="V718" s="18" t="str">
        <f>IF($L718&lt;"6",INDEX(Revenue_type,MATCH(U718*1,type!$A$118:$A$168,0),8),INDEX(Expenditure_type,MATCH(U718*1,type!$A$2:$A$117,0),8))</f>
        <v>הוצאות מנהליות</v>
      </c>
      <c r="W718" s="18" t="str">
        <f t="shared" si="88"/>
        <v>50</v>
      </c>
      <c r="X718" s="18" t="e">
        <f>IF($L718&lt;"6",INDEX(Revenue_type,MATCH(W718*1,type!$A$118:$A$168,0),8),INDEX(Expenditure_type,MATCH(W718*1,type!$A$2:$A$117,0),8))</f>
        <v>#N/A</v>
      </c>
      <c r="Y718" s="18" t="str">
        <f t="shared" si="89"/>
        <v>500</v>
      </c>
      <c r="Z718" s="18" t="e">
        <f>IF($L718&lt;"6",INDEX(Revenue_type,MATCH(Y718*1,type!$A$118:$A$168,0),8),INDEX(Expenditure_type,MATCH(Y718*1,type!$A$2:$A$117,0),8))</f>
        <v>#N/A</v>
      </c>
    </row>
    <row r="719" spans="1:26" ht="15.75" customHeight="1" outlineLevel="2">
      <c r="A719">
        <v>700</v>
      </c>
      <c r="B719" s="249">
        <v>991200</v>
      </c>
      <c r="C719">
        <v>1</v>
      </c>
      <c r="D719" t="str">
        <f t="shared" si="82"/>
        <v>1991200.700</v>
      </c>
      <c r="E719" s="378" t="s">
        <v>8381</v>
      </c>
      <c r="F719" s="242"/>
      <c r="G719"/>
      <c r="H719" s="322">
        <v>1898300</v>
      </c>
      <c r="I719" s="322">
        <v>1898300</v>
      </c>
      <c r="J719" s="242">
        <v>2800000</v>
      </c>
      <c r="K719" s="18" t="e">
        <f>INDEX(תקציב_2013,MATCH(D719,'תקציב 2015'!$D$3:$D$5960,0),8)</f>
        <v>#N/A</v>
      </c>
      <c r="L719" s="18" t="str">
        <f t="shared" si="83"/>
        <v>9</v>
      </c>
      <c r="M719" s="18" t="str">
        <f>INDEX(Chapter,MATCH(L719,Chapter!$A$1:$A$681,0),8)</f>
        <v>מפעלים</v>
      </c>
      <c r="N719" s="18" t="str">
        <f t="shared" si="84"/>
        <v>99</v>
      </c>
      <c r="O719" s="18" t="str">
        <f>INDEX(Chapter,MATCH(N719,Chapter!$A$1:$A$681,0),8)</f>
        <v>תשלומים בלתי רגילים</v>
      </c>
      <c r="P719" s="18" t="str">
        <f t="shared" si="85"/>
        <v>991</v>
      </c>
      <c r="Q719" s="18" t="str">
        <f>INDEX(Chapter,MATCH(P719,Chapter!$A$1:$A$681,0),8)</f>
        <v>הפרשות לקרנות תקציביות</v>
      </c>
      <c r="R719" s="18" t="str">
        <f t="shared" si="86"/>
        <v>9912</v>
      </c>
      <c r="S719" s="18" t="str">
        <f>INDEX(Chapter,MATCH(R719,Chapter!$A$1:$A$681,0),8)</f>
        <v>הפרשה לקרן למניות</v>
      </c>
      <c r="T719" s="18"/>
      <c r="U719" s="18" t="str">
        <f t="shared" si="87"/>
        <v>7</v>
      </c>
      <c r="V719" s="18" t="str">
        <f>IF($L719&lt;"6",INDEX(Revenue_type,MATCH(U719*1,type!$A$118:$A$168,0),8),INDEX(Expenditure_type,MATCH(U719*1,type!$A$2:$A$117,0),8))</f>
        <v>הוצאות לפעולות</v>
      </c>
      <c r="W719" s="18" t="str">
        <f t="shared" si="88"/>
        <v>70</v>
      </c>
      <c r="X719" s="18" t="e">
        <f>IF($L719&lt;"6",INDEX(Revenue_type,MATCH(W719*1,type!$A$118:$A$168,0),8),INDEX(Expenditure_type,MATCH(W719*1,type!$A$2:$A$117,0),8))</f>
        <v>#N/A</v>
      </c>
      <c r="Y719" s="18" t="str">
        <f t="shared" si="89"/>
        <v>700</v>
      </c>
      <c r="Z719" s="18" t="e">
        <f>IF($L719&lt;"6",INDEX(Revenue_type,MATCH(Y719*1,type!$A$118:$A$168,0),8),INDEX(Expenditure_type,MATCH(Y719*1,type!$A$2:$A$117,0),8))</f>
        <v>#N/A</v>
      </c>
    </row>
    <row r="720" spans="1:26" ht="15.75" customHeight="1" outlineLevel="2">
      <c r="A720">
        <v>800</v>
      </c>
      <c r="B720" s="249">
        <v>991200</v>
      </c>
      <c r="C720">
        <v>1</v>
      </c>
      <c r="D720" t="str">
        <f t="shared" si="82"/>
        <v>1991200.800</v>
      </c>
      <c r="E720" s="382" t="s">
        <v>8382</v>
      </c>
      <c r="F720" s="242"/>
      <c r="G720"/>
      <c r="H720" s="322">
        <v>0</v>
      </c>
      <c r="I720" s="322">
        <v>0</v>
      </c>
      <c r="J720" s="242">
        <v>342500</v>
      </c>
      <c r="K720" s="18" t="e">
        <f>INDEX(תקציב_2013,MATCH(D720,'תקציב 2015'!$D$3:$D$5960,0),8)</f>
        <v>#N/A</v>
      </c>
      <c r="L720" s="18" t="str">
        <f t="shared" si="83"/>
        <v>9</v>
      </c>
      <c r="M720" s="18" t="str">
        <f>INDEX(Chapter,MATCH(L720,Chapter!$A$1:$A$681,0),8)</f>
        <v>מפעלים</v>
      </c>
      <c r="N720" s="18" t="str">
        <f t="shared" si="84"/>
        <v>99</v>
      </c>
      <c r="O720" s="18" t="str">
        <f>INDEX(Chapter,MATCH(N720,Chapter!$A$1:$A$681,0),8)</f>
        <v>תשלומים בלתי רגילים</v>
      </c>
      <c r="P720" s="18" t="str">
        <f t="shared" si="85"/>
        <v>991</v>
      </c>
      <c r="Q720" s="18" t="str">
        <f>INDEX(Chapter,MATCH(P720,Chapter!$A$1:$A$681,0),8)</f>
        <v>הפרשות לקרנות תקציביות</v>
      </c>
      <c r="R720" s="18" t="str">
        <f t="shared" si="86"/>
        <v>9912</v>
      </c>
      <c r="S720" s="18" t="str">
        <f>INDEX(Chapter,MATCH(R720,Chapter!$A$1:$A$681,0),8)</f>
        <v>הפרשה לקרן למניות</v>
      </c>
      <c r="T720" s="18"/>
      <c r="U720" s="18" t="str">
        <f t="shared" si="87"/>
        <v>8</v>
      </c>
      <c r="V720" s="18" t="str">
        <f>IF($L720&lt;"6",INDEX(Revenue_type,MATCH(U720*1,type!$A$118:$A$168,0),8),INDEX(Expenditure_type,MATCH(U720*1,type!$A$2:$A$117,0),8))</f>
        <v>השתתפויות תמיכות ותרומות</v>
      </c>
      <c r="W720" s="18" t="str">
        <f t="shared" si="88"/>
        <v>80</v>
      </c>
      <c r="X720" s="18" t="e">
        <f>IF($L720&lt;"6",INDEX(Revenue_type,MATCH(W720*1,type!$A$118:$A$168,0),8),INDEX(Expenditure_type,MATCH(W720*1,type!$A$2:$A$117,0),8))</f>
        <v>#N/A</v>
      </c>
      <c r="Y720" s="18" t="str">
        <f t="shared" si="89"/>
        <v>800</v>
      </c>
      <c r="Z720" s="18" t="e">
        <f>IF($L720&lt;"6",INDEX(Revenue_type,MATCH(Y720*1,type!$A$118:$A$168,0),8),INDEX(Expenditure_type,MATCH(Y720*1,type!$A$2:$A$117,0),8))</f>
        <v>#N/A</v>
      </c>
    </row>
    <row r="721" spans="1:26" ht="15.75" hidden="1" customHeight="1" outlineLevel="2">
      <c r="A721">
        <v>800</v>
      </c>
      <c r="B721" s="249">
        <v>761000</v>
      </c>
      <c r="C721">
        <v>1</v>
      </c>
      <c r="D721" t="str">
        <f t="shared" si="82"/>
        <v>1761000.800</v>
      </c>
      <c r="E721" s="382" t="s">
        <v>8383</v>
      </c>
      <c r="F721" s="242"/>
      <c r="G721"/>
      <c r="H721" s="322">
        <v>88400</v>
      </c>
      <c r="I721" s="322">
        <v>91000</v>
      </c>
      <c r="J721" s="242">
        <v>91000</v>
      </c>
      <c r="K721" s="18" t="e">
        <f>INDEX(תקציב_2013,MATCH(D721,'תקציב 2015'!$D$3:$D$5960,0),8)</f>
        <v>#N/A</v>
      </c>
      <c r="L721" s="18" t="str">
        <f t="shared" si="83"/>
        <v>7</v>
      </c>
      <c r="M721" s="18" t="str">
        <f>INDEX(Chapter,MATCH(L721,Chapter!$A$1:$A$681,0),8)</f>
        <v>שירותים מקומיים</v>
      </c>
      <c r="N721" s="18" t="str">
        <f t="shared" si="84"/>
        <v>76</v>
      </c>
      <c r="O721" s="18" t="str">
        <f>INDEX(Chapter,MATCH(N721,Chapter!$A$1:$A$681,0),8)</f>
        <v>שירותים עירוניים שונים</v>
      </c>
      <c r="P721" s="18" t="str">
        <f t="shared" si="85"/>
        <v>761</v>
      </c>
      <c r="Q721" s="18" t="str">
        <f>INDEX(Chapter,MATCH(P721,Chapter!$A$1:$A$681,0),8)</f>
        <v>מוקד עירוני</v>
      </c>
      <c r="R721" s="18" t="str">
        <f t="shared" si="86"/>
        <v>7610</v>
      </c>
      <c r="S721" s="18" t="e">
        <f>INDEX(Chapter,MATCH(R721,Chapter!$A$1:$A$681,0),8)</f>
        <v>#N/A</v>
      </c>
      <c r="T721" s="18"/>
      <c r="U721" s="18" t="str">
        <f t="shared" si="87"/>
        <v>8</v>
      </c>
      <c r="V721" s="18" t="str">
        <f>IF($L721&lt;"6",INDEX(Revenue_type,MATCH(U721*1,type!$A$118:$A$168,0),8),INDEX(Expenditure_type,MATCH(U721*1,type!$A$2:$A$117,0),8))</f>
        <v>השתתפויות תמיכות ותרומות</v>
      </c>
      <c r="W721" s="18" t="str">
        <f t="shared" si="88"/>
        <v>80</v>
      </c>
      <c r="X721" s="18" t="e">
        <f>IF($L721&lt;"6",INDEX(Revenue_type,MATCH(W721*1,type!$A$118:$A$168,0),8),INDEX(Expenditure_type,MATCH(W721*1,type!$A$2:$A$117,0),8))</f>
        <v>#N/A</v>
      </c>
      <c r="Y721" s="18" t="str">
        <f t="shared" si="89"/>
        <v>800</v>
      </c>
      <c r="Z721" s="18" t="e">
        <f>IF($L721&lt;"6",INDEX(Revenue_type,MATCH(Y721*1,type!$A$118:$A$168,0),8),INDEX(Expenditure_type,MATCH(Y721*1,type!$A$2:$A$117,0),8))</f>
        <v>#N/A</v>
      </c>
    </row>
    <row r="722" spans="1:26" ht="15.75" hidden="1" customHeight="1" outlineLevel="2">
      <c r="A722">
        <v>800</v>
      </c>
      <c r="B722" s="249">
        <v>761110</v>
      </c>
      <c r="C722">
        <v>1</v>
      </c>
      <c r="D722" t="str">
        <f t="shared" si="82"/>
        <v>1761110.800</v>
      </c>
      <c r="E722" s="382" t="s">
        <v>8384</v>
      </c>
      <c r="F722" s="242"/>
      <c r="G722"/>
      <c r="H722" s="322">
        <v>719300</v>
      </c>
      <c r="I722" s="322">
        <v>740400</v>
      </c>
      <c r="J722" s="242">
        <v>707900</v>
      </c>
      <c r="K722" s="18" t="e">
        <f>INDEX(תקציב_2013,MATCH(D722,'תקציב 2015'!$D$3:$D$5960,0),8)</f>
        <v>#N/A</v>
      </c>
      <c r="L722" s="18" t="str">
        <f t="shared" si="83"/>
        <v>7</v>
      </c>
      <c r="M722" s="18" t="str">
        <f>INDEX(Chapter,MATCH(L722,Chapter!$A$1:$A$681,0),8)</f>
        <v>שירותים מקומיים</v>
      </c>
      <c r="N722" s="18" t="str">
        <f t="shared" si="84"/>
        <v>76</v>
      </c>
      <c r="O722" s="18" t="str">
        <f>INDEX(Chapter,MATCH(N722,Chapter!$A$1:$A$681,0),8)</f>
        <v>שירותים עירוניים שונים</v>
      </c>
      <c r="P722" s="18" t="str">
        <f t="shared" si="85"/>
        <v>761</v>
      </c>
      <c r="Q722" s="18" t="str">
        <f>INDEX(Chapter,MATCH(P722,Chapter!$A$1:$A$681,0),8)</f>
        <v>מוקד עירוני</v>
      </c>
      <c r="R722" s="18" t="str">
        <f t="shared" si="86"/>
        <v>7611</v>
      </c>
      <c r="S722" s="18" t="e">
        <f>INDEX(Chapter,MATCH(R722,Chapter!$A$1:$A$681,0),8)</f>
        <v>#N/A</v>
      </c>
      <c r="T722" s="18"/>
      <c r="U722" s="18" t="str">
        <f t="shared" si="87"/>
        <v>8</v>
      </c>
      <c r="V722" s="18" t="str">
        <f>IF($L722&lt;"6",INDEX(Revenue_type,MATCH(U722*1,type!$A$118:$A$168,0),8),INDEX(Expenditure_type,MATCH(U722*1,type!$A$2:$A$117,0),8))</f>
        <v>השתתפויות תמיכות ותרומות</v>
      </c>
      <c r="W722" s="18" t="str">
        <f t="shared" si="88"/>
        <v>80</v>
      </c>
      <c r="X722" s="18" t="e">
        <f>IF($L722&lt;"6",INDEX(Revenue_type,MATCH(W722*1,type!$A$118:$A$168,0),8),INDEX(Expenditure_type,MATCH(W722*1,type!$A$2:$A$117,0),8))</f>
        <v>#N/A</v>
      </c>
      <c r="Y722" s="18" t="str">
        <f t="shared" si="89"/>
        <v>800</v>
      </c>
      <c r="Z722" s="18" t="e">
        <f>IF($L722&lt;"6",INDEX(Revenue_type,MATCH(Y722*1,type!$A$118:$A$168,0),8),INDEX(Expenditure_type,MATCH(Y722*1,type!$A$2:$A$117,0),8))</f>
        <v>#N/A</v>
      </c>
    </row>
    <row r="723" spans="1:26" ht="15.75" hidden="1" customHeight="1" outlineLevel="2">
      <c r="A723">
        <v>800</v>
      </c>
      <c r="B723" s="249">
        <v>822900</v>
      </c>
      <c r="C723">
        <v>1</v>
      </c>
      <c r="D723" t="str">
        <f t="shared" ref="D723:D786" si="90">C723&amp;B723&amp;"."&amp;A723</f>
        <v>1822900.800</v>
      </c>
      <c r="E723" s="382" t="s">
        <v>8385</v>
      </c>
      <c r="F723" s="242"/>
      <c r="G723"/>
      <c r="H723" s="322">
        <v>121200</v>
      </c>
      <c r="I723" s="322">
        <v>124700</v>
      </c>
      <c r="J723" s="242">
        <v>124700</v>
      </c>
      <c r="K723" s="18" t="e">
        <f>INDEX(תקציב_2013,MATCH(D723,'תקציב 2015'!$D$3:$D$5960,0),8)</f>
        <v>#N/A</v>
      </c>
      <c r="L723" s="18" t="str">
        <f t="shared" si="83"/>
        <v>8</v>
      </c>
      <c r="M723" s="18" t="str">
        <f>INDEX(Chapter,MATCH(L723,Chapter!$A$1:$A$681,0),8)</f>
        <v>שירותים ממלכתיים</v>
      </c>
      <c r="N723" s="18" t="str">
        <f t="shared" si="84"/>
        <v>82</v>
      </c>
      <c r="O723" s="18" t="str">
        <f>INDEX(Chapter,MATCH(N723,Chapter!$A$1:$A$681,0),8)</f>
        <v>תרבות</v>
      </c>
      <c r="P723" s="18" t="str">
        <f t="shared" si="85"/>
        <v>822</v>
      </c>
      <c r="Q723" s="18" t="str">
        <f>INDEX(Chapter,MATCH(P723,Chapter!$A$1:$A$681,0),8)</f>
        <v>פעולות תרבות</v>
      </c>
      <c r="R723" s="18" t="str">
        <f t="shared" si="86"/>
        <v>8229</v>
      </c>
      <c r="S723" s="18" t="e">
        <f>INDEX(Chapter,MATCH(R723,Chapter!$A$1:$A$681,0),8)</f>
        <v>#N/A</v>
      </c>
      <c r="T723" s="18"/>
      <c r="U723" s="18" t="str">
        <f t="shared" si="87"/>
        <v>8</v>
      </c>
      <c r="V723" s="18" t="str">
        <f>IF($L723&lt;"6",INDEX(Revenue_type,MATCH(U723*1,type!$A$118:$A$168,0),8),INDEX(Expenditure_type,MATCH(U723*1,type!$A$2:$A$117,0),8))</f>
        <v>השתתפויות תמיכות ותרומות</v>
      </c>
      <c r="W723" s="18" t="str">
        <f t="shared" si="88"/>
        <v>80</v>
      </c>
      <c r="X723" s="18" t="e">
        <f>IF($L723&lt;"6",INDEX(Revenue_type,MATCH(W723*1,type!$A$118:$A$168,0),8),INDEX(Expenditure_type,MATCH(W723*1,type!$A$2:$A$117,0),8))</f>
        <v>#N/A</v>
      </c>
      <c r="Y723" s="18" t="str">
        <f t="shared" si="89"/>
        <v>800</v>
      </c>
      <c r="Z723" s="18" t="e">
        <f>IF($L723&lt;"6",INDEX(Revenue_type,MATCH(Y723*1,type!$A$118:$A$168,0),8),INDEX(Expenditure_type,MATCH(Y723*1,type!$A$2:$A$117,0),8))</f>
        <v>#N/A</v>
      </c>
    </row>
    <row r="724" spans="1:26" ht="15.75" hidden="1" customHeight="1" outlineLevel="2">
      <c r="A724">
        <v>800</v>
      </c>
      <c r="B724" s="249">
        <v>822900</v>
      </c>
      <c r="C724">
        <v>1</v>
      </c>
      <c r="D724" t="str">
        <f t="shared" si="90"/>
        <v>1822900.800</v>
      </c>
      <c r="E724" s="382" t="s">
        <v>8386</v>
      </c>
      <c r="F724" s="242"/>
      <c r="G724"/>
      <c r="H724" s="322">
        <v>141400</v>
      </c>
      <c r="I724" s="322">
        <v>145600</v>
      </c>
      <c r="J724" s="242">
        <v>145600</v>
      </c>
      <c r="K724" s="18" t="e">
        <f>INDEX(תקציב_2013,MATCH(D724,'תקציב 2015'!$D$3:$D$5960,0),8)</f>
        <v>#N/A</v>
      </c>
      <c r="L724" s="18" t="str">
        <f t="shared" si="83"/>
        <v>8</v>
      </c>
      <c r="M724" s="18" t="str">
        <f>INDEX(Chapter,MATCH(L724,Chapter!$A$1:$A$681,0),8)</f>
        <v>שירותים ממלכתיים</v>
      </c>
      <c r="N724" s="18" t="str">
        <f t="shared" si="84"/>
        <v>82</v>
      </c>
      <c r="O724" s="18" t="str">
        <f>INDEX(Chapter,MATCH(N724,Chapter!$A$1:$A$681,0),8)</f>
        <v>תרבות</v>
      </c>
      <c r="P724" s="18" t="str">
        <f t="shared" si="85"/>
        <v>822</v>
      </c>
      <c r="Q724" s="18" t="str">
        <f>INDEX(Chapter,MATCH(P724,Chapter!$A$1:$A$681,0),8)</f>
        <v>פעולות תרבות</v>
      </c>
      <c r="R724" s="18" t="str">
        <f t="shared" si="86"/>
        <v>8229</v>
      </c>
      <c r="S724" s="18" t="e">
        <f>INDEX(Chapter,MATCH(R724,Chapter!$A$1:$A$681,0),8)</f>
        <v>#N/A</v>
      </c>
      <c r="T724" s="18"/>
      <c r="U724" s="18" t="str">
        <f t="shared" si="87"/>
        <v>8</v>
      </c>
      <c r="V724" s="18" t="str">
        <f>IF($L724&lt;"6",INDEX(Revenue_type,MATCH(U724*1,type!$A$118:$A$168,0),8),INDEX(Expenditure_type,MATCH(U724*1,type!$A$2:$A$117,0),8))</f>
        <v>השתתפויות תמיכות ותרומות</v>
      </c>
      <c r="W724" s="18" t="str">
        <f t="shared" si="88"/>
        <v>80</v>
      </c>
      <c r="X724" s="18" t="e">
        <f>IF($L724&lt;"6",INDEX(Revenue_type,MATCH(W724*1,type!$A$118:$A$168,0),8),INDEX(Expenditure_type,MATCH(W724*1,type!$A$2:$A$117,0),8))</f>
        <v>#N/A</v>
      </c>
      <c r="Y724" s="18" t="str">
        <f t="shared" si="89"/>
        <v>800</v>
      </c>
      <c r="Z724" s="18" t="e">
        <f>IF($L724&lt;"6",INDEX(Revenue_type,MATCH(Y724*1,type!$A$118:$A$168,0),8),INDEX(Expenditure_type,MATCH(Y724*1,type!$A$2:$A$117,0),8))</f>
        <v>#N/A</v>
      </c>
    </row>
    <row r="725" spans="1:26" ht="15.75" hidden="1" customHeight="1" outlineLevel="2">
      <c r="A725">
        <v>800</v>
      </c>
      <c r="B725" s="249">
        <v>822900</v>
      </c>
      <c r="C725">
        <v>1</v>
      </c>
      <c r="D725" t="str">
        <f t="shared" si="90"/>
        <v>1822900.800</v>
      </c>
      <c r="E725" s="382" t="s">
        <v>8387</v>
      </c>
      <c r="F725" s="242"/>
      <c r="G725"/>
      <c r="H725" s="322">
        <v>141400</v>
      </c>
      <c r="I725" s="322">
        <v>145600</v>
      </c>
      <c r="J725" s="242">
        <v>145600</v>
      </c>
      <c r="K725" s="18" t="e">
        <f>INDEX(תקציב_2013,MATCH(D725,'תקציב 2015'!$D$3:$D$5960,0),8)</f>
        <v>#N/A</v>
      </c>
      <c r="L725" s="18" t="str">
        <f t="shared" si="83"/>
        <v>8</v>
      </c>
      <c r="M725" s="18" t="str">
        <f>INDEX(Chapter,MATCH(L725,Chapter!$A$1:$A$681,0),8)</f>
        <v>שירותים ממלכתיים</v>
      </c>
      <c r="N725" s="18" t="str">
        <f t="shared" si="84"/>
        <v>82</v>
      </c>
      <c r="O725" s="18" t="str">
        <f>INDEX(Chapter,MATCH(N725,Chapter!$A$1:$A$681,0),8)</f>
        <v>תרבות</v>
      </c>
      <c r="P725" s="18" t="str">
        <f t="shared" si="85"/>
        <v>822</v>
      </c>
      <c r="Q725" s="18" t="str">
        <f>INDEX(Chapter,MATCH(P725,Chapter!$A$1:$A$681,0),8)</f>
        <v>פעולות תרבות</v>
      </c>
      <c r="R725" s="18" t="str">
        <f t="shared" si="86"/>
        <v>8229</v>
      </c>
      <c r="S725" s="18" t="e">
        <f>INDEX(Chapter,MATCH(R725,Chapter!$A$1:$A$681,0),8)</f>
        <v>#N/A</v>
      </c>
      <c r="T725" s="18"/>
      <c r="U725" s="18" t="str">
        <f t="shared" si="87"/>
        <v>8</v>
      </c>
      <c r="V725" s="18" t="str">
        <f>IF($L725&lt;"6",INDEX(Revenue_type,MATCH(U725*1,type!$A$118:$A$168,0),8),INDEX(Expenditure_type,MATCH(U725*1,type!$A$2:$A$117,0),8))</f>
        <v>השתתפויות תמיכות ותרומות</v>
      </c>
      <c r="W725" s="18" t="str">
        <f t="shared" si="88"/>
        <v>80</v>
      </c>
      <c r="X725" s="18" t="e">
        <f>IF($L725&lt;"6",INDEX(Revenue_type,MATCH(W725*1,type!$A$118:$A$168,0),8),INDEX(Expenditure_type,MATCH(W725*1,type!$A$2:$A$117,0),8))</f>
        <v>#N/A</v>
      </c>
      <c r="Y725" s="18" t="str">
        <f t="shared" si="89"/>
        <v>800</v>
      </c>
      <c r="Z725" s="18" t="e">
        <f>IF($L725&lt;"6",INDEX(Revenue_type,MATCH(Y725*1,type!$A$118:$A$168,0),8),INDEX(Expenditure_type,MATCH(Y725*1,type!$A$2:$A$117,0),8))</f>
        <v>#N/A</v>
      </c>
    </row>
    <row r="726" spans="1:26" ht="15.75" hidden="1" customHeight="1" outlineLevel="2">
      <c r="A726">
        <v>800</v>
      </c>
      <c r="B726" s="249">
        <v>822901</v>
      </c>
      <c r="C726">
        <v>1</v>
      </c>
      <c r="D726" t="str">
        <f t="shared" si="90"/>
        <v>1822901.800</v>
      </c>
      <c r="E726" s="382" t="s">
        <v>8388</v>
      </c>
      <c r="F726" s="242"/>
      <c r="G726"/>
      <c r="H726" s="322">
        <v>255100</v>
      </c>
      <c r="I726" s="322">
        <v>262600</v>
      </c>
      <c r="J726" s="242">
        <v>236100</v>
      </c>
      <c r="K726" s="18" t="e">
        <f>INDEX(תקציב_2013,MATCH(D726,'תקציב 2015'!$D$3:$D$5960,0),8)</f>
        <v>#N/A</v>
      </c>
      <c r="L726" s="18" t="str">
        <f t="shared" si="83"/>
        <v>8</v>
      </c>
      <c r="M726" s="18" t="str">
        <f>INDEX(Chapter,MATCH(L726,Chapter!$A$1:$A$681,0),8)</f>
        <v>שירותים ממלכתיים</v>
      </c>
      <c r="N726" s="18" t="str">
        <f t="shared" si="84"/>
        <v>82</v>
      </c>
      <c r="O726" s="18" t="str">
        <f>INDEX(Chapter,MATCH(N726,Chapter!$A$1:$A$681,0),8)</f>
        <v>תרבות</v>
      </c>
      <c r="P726" s="18" t="str">
        <f t="shared" si="85"/>
        <v>822</v>
      </c>
      <c r="Q726" s="18" t="str">
        <f>INDEX(Chapter,MATCH(P726,Chapter!$A$1:$A$681,0),8)</f>
        <v>פעולות תרבות</v>
      </c>
      <c r="R726" s="18" t="str">
        <f t="shared" si="86"/>
        <v>8229</v>
      </c>
      <c r="S726" s="18" t="e">
        <f>INDEX(Chapter,MATCH(R726,Chapter!$A$1:$A$681,0),8)</f>
        <v>#N/A</v>
      </c>
      <c r="T726" s="18"/>
      <c r="U726" s="18" t="str">
        <f t="shared" si="87"/>
        <v>8</v>
      </c>
      <c r="V726" s="18" t="str">
        <f>IF($L726&lt;"6",INDEX(Revenue_type,MATCH(U726*1,type!$A$118:$A$168,0),8),INDEX(Expenditure_type,MATCH(U726*1,type!$A$2:$A$117,0),8))</f>
        <v>השתתפויות תמיכות ותרומות</v>
      </c>
      <c r="W726" s="18" t="str">
        <f t="shared" si="88"/>
        <v>80</v>
      </c>
      <c r="X726" s="18" t="e">
        <f>IF($L726&lt;"6",INDEX(Revenue_type,MATCH(W726*1,type!$A$118:$A$168,0),8),INDEX(Expenditure_type,MATCH(W726*1,type!$A$2:$A$117,0),8))</f>
        <v>#N/A</v>
      </c>
      <c r="Y726" s="18" t="str">
        <f t="shared" si="89"/>
        <v>800</v>
      </c>
      <c r="Z726" s="18" t="e">
        <f>IF($L726&lt;"6",INDEX(Revenue_type,MATCH(Y726*1,type!$A$118:$A$168,0),8),INDEX(Expenditure_type,MATCH(Y726*1,type!$A$2:$A$117,0),8))</f>
        <v>#N/A</v>
      </c>
    </row>
    <row r="727" spans="1:26" ht="15.75" hidden="1" customHeight="1" outlineLevel="2">
      <c r="A727">
        <v>800</v>
      </c>
      <c r="B727" s="249">
        <v>829900</v>
      </c>
      <c r="C727">
        <v>1</v>
      </c>
      <c r="D727" t="str">
        <f t="shared" si="90"/>
        <v>1829900.800</v>
      </c>
      <c r="E727" s="382" t="s">
        <v>8389</v>
      </c>
      <c r="F727" s="242"/>
      <c r="G727"/>
      <c r="H727" s="322">
        <v>241400</v>
      </c>
      <c r="I727" s="322">
        <v>250000</v>
      </c>
      <c r="J727" s="242">
        <v>100000</v>
      </c>
      <c r="K727" s="18" t="e">
        <f>INDEX(תקציב_2013,MATCH(D727,'תקציב 2015'!$D$3:$D$5960,0),8)</f>
        <v>#N/A</v>
      </c>
      <c r="L727" s="18" t="str">
        <f t="shared" ref="L727:L790" si="91">IF(LEFT($B727,1)*1=0,LEFT($B727,2),LEFT($B727,1))</f>
        <v>8</v>
      </c>
      <c r="M727" s="18" t="str">
        <f>INDEX(Chapter,MATCH(L727,Chapter!$A$1:$A$681,0),8)</f>
        <v>שירותים ממלכתיים</v>
      </c>
      <c r="N727" s="18" t="str">
        <f t="shared" ref="N727:N790" si="92">IF(LEFT($B727,1)*1=0,LEFT($B727,3),LEFT($B727,2))</f>
        <v>82</v>
      </c>
      <c r="O727" s="18" t="str">
        <f>INDEX(Chapter,MATCH(N727,Chapter!$A$1:$A$681,0),8)</f>
        <v>תרבות</v>
      </c>
      <c r="P727" s="18" t="str">
        <f t="shared" ref="P727:P790" si="93">IF(LEFT($B727,1)*1=0,LEFT($B727,4),LEFT($B727,3))</f>
        <v>829</v>
      </c>
      <c r="Q727" s="18" t="str">
        <f>INDEX(Chapter,MATCH(P727,Chapter!$A$1:$A$681,0),8)</f>
        <v>ספורט</v>
      </c>
      <c r="R727" s="18" t="str">
        <f t="shared" ref="R727:R790" si="94">LEFT($B727,4)</f>
        <v>8299</v>
      </c>
      <c r="S727" s="18" t="e">
        <f>INDEX(Chapter,MATCH(R727,Chapter!$A$1:$A$681,0),8)</f>
        <v>#N/A</v>
      </c>
      <c r="T727" s="18"/>
      <c r="U727" s="18" t="str">
        <f t="shared" ref="U727:U790" si="95">LEFT($A727,1)</f>
        <v>8</v>
      </c>
      <c r="V727" s="18" t="str">
        <f>IF($L727&lt;"6",INDEX(Revenue_type,MATCH(U727*1,type!$A$118:$A$168,0),8),INDEX(Expenditure_type,MATCH(U727*1,type!$A$2:$A$117,0),8))</f>
        <v>השתתפויות תמיכות ותרומות</v>
      </c>
      <c r="W727" s="18" t="str">
        <f t="shared" ref="W727:W790" si="96">LEFT($A727,2)</f>
        <v>80</v>
      </c>
      <c r="X727" s="18" t="e">
        <f>IF($L727&lt;"6",INDEX(Revenue_type,MATCH(W727*1,type!$A$118:$A$168,0),8),INDEX(Expenditure_type,MATCH(W727*1,type!$A$2:$A$117,0),8))</f>
        <v>#N/A</v>
      </c>
      <c r="Y727" s="18" t="str">
        <f t="shared" ref="Y727:Y790" si="97">LEFT($A727,3)</f>
        <v>800</v>
      </c>
      <c r="Z727" s="18" t="e">
        <f>IF($L727&lt;"6",INDEX(Revenue_type,MATCH(Y727*1,type!$A$118:$A$168,0),8),INDEX(Expenditure_type,MATCH(Y727*1,type!$A$2:$A$117,0),8))</f>
        <v>#N/A</v>
      </c>
    </row>
    <row r="728" spans="1:26" ht="15.75" hidden="1" customHeight="1" outlineLevel="2">
      <c r="A728">
        <v>800</v>
      </c>
      <c r="B728" s="249">
        <v>829900</v>
      </c>
      <c r="C728">
        <v>1</v>
      </c>
      <c r="D728" t="str">
        <f t="shared" si="90"/>
        <v>1829900.800</v>
      </c>
      <c r="E728" s="382" t="s">
        <v>8390</v>
      </c>
      <c r="F728" s="242"/>
      <c r="G728"/>
      <c r="H728" s="322">
        <v>3931600</v>
      </c>
      <c r="I728" s="322">
        <v>4097200</v>
      </c>
      <c r="J728" s="242">
        <v>4047000</v>
      </c>
      <c r="K728" s="18" t="e">
        <f>INDEX(תקציב_2013,MATCH(D728,'תקציב 2015'!$D$3:$D$5960,0),8)</f>
        <v>#N/A</v>
      </c>
      <c r="L728" s="18" t="str">
        <f t="shared" si="91"/>
        <v>8</v>
      </c>
      <c r="M728" s="18" t="str">
        <f>INDEX(Chapter,MATCH(L728,Chapter!$A$1:$A$681,0),8)</f>
        <v>שירותים ממלכתיים</v>
      </c>
      <c r="N728" s="18" t="str">
        <f t="shared" si="92"/>
        <v>82</v>
      </c>
      <c r="O728" s="18" t="str">
        <f>INDEX(Chapter,MATCH(N728,Chapter!$A$1:$A$681,0),8)</f>
        <v>תרבות</v>
      </c>
      <c r="P728" s="18" t="str">
        <f t="shared" si="93"/>
        <v>829</v>
      </c>
      <c r="Q728" s="18" t="str">
        <f>INDEX(Chapter,MATCH(P728,Chapter!$A$1:$A$681,0),8)</f>
        <v>ספורט</v>
      </c>
      <c r="R728" s="18" t="str">
        <f t="shared" si="94"/>
        <v>8299</v>
      </c>
      <c r="S728" s="18" t="e">
        <f>INDEX(Chapter,MATCH(R728,Chapter!$A$1:$A$681,0),8)</f>
        <v>#N/A</v>
      </c>
      <c r="T728" s="18"/>
      <c r="U728" s="18" t="str">
        <f t="shared" si="95"/>
        <v>8</v>
      </c>
      <c r="V728" s="18" t="str">
        <f>IF($L728&lt;"6",INDEX(Revenue_type,MATCH(U728*1,type!$A$118:$A$168,0),8),INDEX(Expenditure_type,MATCH(U728*1,type!$A$2:$A$117,0),8))</f>
        <v>השתתפויות תמיכות ותרומות</v>
      </c>
      <c r="W728" s="18" t="str">
        <f t="shared" si="96"/>
        <v>80</v>
      </c>
      <c r="X728" s="18" t="e">
        <f>IF($L728&lt;"6",INDEX(Revenue_type,MATCH(W728*1,type!$A$118:$A$168,0),8),INDEX(Expenditure_type,MATCH(W728*1,type!$A$2:$A$117,0),8))</f>
        <v>#N/A</v>
      </c>
      <c r="Y728" s="18" t="str">
        <f t="shared" si="97"/>
        <v>800</v>
      </c>
      <c r="Z728" s="18" t="e">
        <f>IF($L728&lt;"6",INDEX(Revenue_type,MATCH(Y728*1,type!$A$118:$A$168,0),8),INDEX(Expenditure_type,MATCH(Y728*1,type!$A$2:$A$117,0),8))</f>
        <v>#N/A</v>
      </c>
    </row>
    <row r="729" spans="1:26" ht="15.75" hidden="1" customHeight="1" outlineLevel="2">
      <c r="A729">
        <v>800</v>
      </c>
      <c r="B729" s="249">
        <v>828293</v>
      </c>
      <c r="C729">
        <v>1</v>
      </c>
      <c r="D729" t="str">
        <f t="shared" si="90"/>
        <v>1828293.800</v>
      </c>
      <c r="E729" s="382" t="s">
        <v>8391</v>
      </c>
      <c r="F729" s="242"/>
      <c r="G729"/>
      <c r="H729" s="322">
        <v>1409500</v>
      </c>
      <c r="I729" s="322">
        <v>1450900</v>
      </c>
      <c r="J729" s="242">
        <v>732900</v>
      </c>
      <c r="K729" s="18" t="e">
        <f>INDEX(תקציב_2013,MATCH(D729,'תקציב 2015'!$D$3:$D$5960,0),8)</f>
        <v>#N/A</v>
      </c>
      <c r="L729" s="18" t="str">
        <f t="shared" si="91"/>
        <v>8</v>
      </c>
      <c r="M729" s="18" t="str">
        <f>INDEX(Chapter,MATCH(L729,Chapter!$A$1:$A$681,0),8)</f>
        <v>שירותים ממלכתיים</v>
      </c>
      <c r="N729" s="18" t="str">
        <f t="shared" si="92"/>
        <v>82</v>
      </c>
      <c r="O729" s="18" t="str">
        <f>INDEX(Chapter,MATCH(N729,Chapter!$A$1:$A$681,0),8)</f>
        <v>תרבות</v>
      </c>
      <c r="P729" s="18" t="str">
        <f t="shared" si="93"/>
        <v>828</v>
      </c>
      <c r="Q729" s="18" t="str">
        <f>INDEX(Chapter,MATCH(P729,Chapter!$A$1:$A$681,0),8)</f>
        <v>נוער</v>
      </c>
      <c r="R729" s="18" t="str">
        <f t="shared" si="94"/>
        <v>8282</v>
      </c>
      <c r="S729" s="18" t="str">
        <f>INDEX(Chapter,MATCH(R729,Chapter!$A$1:$A$681,0),8)</f>
        <v>מוקדי הפעלת נוער</v>
      </c>
      <c r="T729" s="18"/>
      <c r="U729" s="18" t="str">
        <f t="shared" si="95"/>
        <v>8</v>
      </c>
      <c r="V729" s="18" t="str">
        <f>IF($L729&lt;"6",INDEX(Revenue_type,MATCH(U729*1,type!$A$118:$A$168,0),8),INDEX(Expenditure_type,MATCH(U729*1,type!$A$2:$A$117,0),8))</f>
        <v>השתתפויות תמיכות ותרומות</v>
      </c>
      <c r="W729" s="18" t="str">
        <f t="shared" si="96"/>
        <v>80</v>
      </c>
      <c r="X729" s="18" t="e">
        <f>IF($L729&lt;"6",INDEX(Revenue_type,MATCH(W729*1,type!$A$118:$A$168,0),8),INDEX(Expenditure_type,MATCH(W729*1,type!$A$2:$A$117,0),8))</f>
        <v>#N/A</v>
      </c>
      <c r="Y729" s="18" t="str">
        <f t="shared" si="97"/>
        <v>800</v>
      </c>
      <c r="Z729" s="18" t="e">
        <f>IF($L729&lt;"6",INDEX(Revenue_type,MATCH(Y729*1,type!$A$118:$A$168,0),8),INDEX(Expenditure_type,MATCH(Y729*1,type!$A$2:$A$117,0),8))</f>
        <v>#N/A</v>
      </c>
    </row>
    <row r="730" spans="1:26" ht="15.75" hidden="1" customHeight="1" outlineLevel="2">
      <c r="A730">
        <v>800</v>
      </c>
      <c r="B730" s="249">
        <v>828297</v>
      </c>
      <c r="C730">
        <v>1</v>
      </c>
      <c r="D730" t="str">
        <f t="shared" si="90"/>
        <v>1828297.800</v>
      </c>
      <c r="E730" s="382" t="s">
        <v>8392</v>
      </c>
      <c r="F730" s="242"/>
      <c r="G730"/>
      <c r="H730" s="322">
        <v>48600</v>
      </c>
      <c r="I730" s="322">
        <v>50000</v>
      </c>
      <c r="J730" s="242">
        <v>0</v>
      </c>
      <c r="K730" s="18" t="e">
        <f>INDEX(תקציב_2013,MATCH(D730,'תקציב 2015'!$D$3:$D$5960,0),8)</f>
        <v>#N/A</v>
      </c>
      <c r="L730" s="18" t="str">
        <f t="shared" si="91"/>
        <v>8</v>
      </c>
      <c r="M730" s="18" t="str">
        <f>INDEX(Chapter,MATCH(L730,Chapter!$A$1:$A$681,0),8)</f>
        <v>שירותים ממלכתיים</v>
      </c>
      <c r="N730" s="18" t="str">
        <f t="shared" si="92"/>
        <v>82</v>
      </c>
      <c r="O730" s="18" t="str">
        <f>INDEX(Chapter,MATCH(N730,Chapter!$A$1:$A$681,0),8)</f>
        <v>תרבות</v>
      </c>
      <c r="P730" s="18" t="str">
        <f t="shared" si="93"/>
        <v>828</v>
      </c>
      <c r="Q730" s="18" t="str">
        <f>INDEX(Chapter,MATCH(P730,Chapter!$A$1:$A$681,0),8)</f>
        <v>נוער</v>
      </c>
      <c r="R730" s="18" t="str">
        <f t="shared" si="94"/>
        <v>8282</v>
      </c>
      <c r="S730" s="18" t="str">
        <f>INDEX(Chapter,MATCH(R730,Chapter!$A$1:$A$681,0),8)</f>
        <v>מוקדי הפעלת נוער</v>
      </c>
      <c r="T730" s="18"/>
      <c r="U730" s="18" t="str">
        <f t="shared" si="95"/>
        <v>8</v>
      </c>
      <c r="V730" s="18" t="str">
        <f>IF($L730&lt;"6",INDEX(Revenue_type,MATCH(U730*1,type!$A$118:$A$168,0),8),INDEX(Expenditure_type,MATCH(U730*1,type!$A$2:$A$117,0),8))</f>
        <v>השתתפויות תמיכות ותרומות</v>
      </c>
      <c r="W730" s="18" t="str">
        <f t="shared" si="96"/>
        <v>80</v>
      </c>
      <c r="X730" s="18" t="e">
        <f>IF($L730&lt;"6",INDEX(Revenue_type,MATCH(W730*1,type!$A$118:$A$168,0),8),INDEX(Expenditure_type,MATCH(W730*1,type!$A$2:$A$117,0),8))</f>
        <v>#N/A</v>
      </c>
      <c r="Y730" s="18" t="str">
        <f t="shared" si="97"/>
        <v>800</v>
      </c>
      <c r="Z730" s="18" t="e">
        <f>IF($L730&lt;"6",INDEX(Revenue_type,MATCH(Y730*1,type!$A$118:$A$168,0),8),INDEX(Expenditure_type,MATCH(Y730*1,type!$A$2:$A$117,0),8))</f>
        <v>#N/A</v>
      </c>
    </row>
    <row r="731" spans="1:26" ht="15.75" hidden="1" customHeight="1" outlineLevel="2">
      <c r="A731">
        <v>800</v>
      </c>
      <c r="B731" s="249">
        <v>818900</v>
      </c>
      <c r="C731">
        <v>1</v>
      </c>
      <c r="D731" t="str">
        <f t="shared" si="90"/>
        <v>1818900.800</v>
      </c>
      <c r="E731" s="382" t="s">
        <v>8393</v>
      </c>
      <c r="F731" s="242"/>
      <c r="G731"/>
      <c r="H731" s="322">
        <v>236100</v>
      </c>
      <c r="I731" s="322">
        <v>243000</v>
      </c>
      <c r="J731" s="242">
        <v>218900</v>
      </c>
      <c r="K731" s="18" t="e">
        <f>INDEX(תקציב_2013,MATCH(D731,'תקציב 2015'!$D$3:$D$5960,0),8)</f>
        <v>#N/A</v>
      </c>
      <c r="L731" s="18" t="str">
        <f t="shared" si="91"/>
        <v>8</v>
      </c>
      <c r="M731" s="18" t="str">
        <f>INDEX(Chapter,MATCH(L731,Chapter!$A$1:$A$681,0),8)</f>
        <v>שירותים ממלכתיים</v>
      </c>
      <c r="N731" s="18" t="str">
        <f t="shared" si="92"/>
        <v>81</v>
      </c>
      <c r="O731" s="18" t="str">
        <f>INDEX(Chapter,MATCH(N731,Chapter!$A$1:$A$681,0),8)</f>
        <v>חינוך</v>
      </c>
      <c r="P731" s="18" t="str">
        <f t="shared" si="93"/>
        <v>818</v>
      </c>
      <c r="Q731" s="18" t="str">
        <f>INDEX(Chapter,MATCH(P731,Chapter!$A$1:$A$681,0),8)</f>
        <v>חינוך מבוגרים</v>
      </c>
      <c r="R731" s="18" t="str">
        <f t="shared" si="94"/>
        <v>8189</v>
      </c>
      <c r="S731" s="18" t="e">
        <f>INDEX(Chapter,MATCH(R731,Chapter!$A$1:$A$681,0),8)</f>
        <v>#N/A</v>
      </c>
      <c r="T731" s="18"/>
      <c r="U731" s="18" t="str">
        <f t="shared" si="95"/>
        <v>8</v>
      </c>
      <c r="V731" s="18" t="str">
        <f>IF($L731&lt;"6",INDEX(Revenue_type,MATCH(U731*1,type!$A$118:$A$168,0),8),INDEX(Expenditure_type,MATCH(U731*1,type!$A$2:$A$117,0),8))</f>
        <v>השתתפויות תמיכות ותרומות</v>
      </c>
      <c r="W731" s="18" t="str">
        <f t="shared" si="96"/>
        <v>80</v>
      </c>
      <c r="X731" s="18" t="e">
        <f>IF($L731&lt;"6",INDEX(Revenue_type,MATCH(W731*1,type!$A$118:$A$168,0),8),INDEX(Expenditure_type,MATCH(W731*1,type!$A$2:$A$117,0),8))</f>
        <v>#N/A</v>
      </c>
      <c r="Y731" s="18" t="str">
        <f t="shared" si="97"/>
        <v>800</v>
      </c>
      <c r="Z731" s="18" t="e">
        <f>IF($L731&lt;"6",INDEX(Revenue_type,MATCH(Y731*1,type!$A$118:$A$168,0),8),INDEX(Expenditure_type,MATCH(Y731*1,type!$A$2:$A$117,0),8))</f>
        <v>#N/A</v>
      </c>
    </row>
    <row r="732" spans="1:26" ht="15.75" hidden="1" customHeight="1" outlineLevel="2">
      <c r="A732">
        <v>800</v>
      </c>
      <c r="B732" s="249">
        <v>849000</v>
      </c>
      <c r="C732">
        <v>1</v>
      </c>
      <c r="D732" t="str">
        <f t="shared" si="90"/>
        <v>1849000.800</v>
      </c>
      <c r="E732" s="382" t="s">
        <v>8394</v>
      </c>
      <c r="F732" s="242"/>
      <c r="G732"/>
      <c r="H732" s="322">
        <v>862300</v>
      </c>
      <c r="I732" s="322">
        <v>887700</v>
      </c>
      <c r="J732" s="242">
        <v>883100</v>
      </c>
      <c r="K732" s="18" t="e">
        <f>INDEX(תקציב_2013,MATCH(D732,'תקציב 2015'!$D$3:$D$5960,0),8)</f>
        <v>#N/A</v>
      </c>
      <c r="L732" s="18" t="str">
        <f t="shared" si="91"/>
        <v>8</v>
      </c>
      <c r="M732" s="18" t="str">
        <f>INDEX(Chapter,MATCH(L732,Chapter!$A$1:$A$681,0),8)</f>
        <v>שירותים ממלכתיים</v>
      </c>
      <c r="N732" s="18" t="str">
        <f t="shared" si="92"/>
        <v>84</v>
      </c>
      <c r="O732" s="18" t="str">
        <f>INDEX(Chapter,MATCH(N732,Chapter!$A$1:$A$681,0),8)</f>
        <v>רווחה</v>
      </c>
      <c r="P732" s="18" t="str">
        <f t="shared" si="93"/>
        <v>849</v>
      </c>
      <c r="Q732" s="18" t="str">
        <f>INDEX(Chapter,MATCH(P732,Chapter!$A$1:$A$681,0),8)</f>
        <v>שירותים לעולים</v>
      </c>
      <c r="R732" s="18" t="str">
        <f t="shared" si="94"/>
        <v>8490</v>
      </c>
      <c r="S732" s="18" t="e">
        <f>INDEX(Chapter,MATCH(R732,Chapter!$A$1:$A$681,0),8)</f>
        <v>#N/A</v>
      </c>
      <c r="T732" s="18"/>
      <c r="U732" s="18" t="str">
        <f t="shared" si="95"/>
        <v>8</v>
      </c>
      <c r="V732" s="18" t="str">
        <f>IF($L732&lt;"6",INDEX(Revenue_type,MATCH(U732*1,type!$A$118:$A$168,0),8),INDEX(Expenditure_type,MATCH(U732*1,type!$A$2:$A$117,0),8))</f>
        <v>השתתפויות תמיכות ותרומות</v>
      </c>
      <c r="W732" s="18" t="str">
        <f t="shared" si="96"/>
        <v>80</v>
      </c>
      <c r="X732" s="18" t="e">
        <f>IF($L732&lt;"6",INDEX(Revenue_type,MATCH(W732*1,type!$A$118:$A$168,0),8),INDEX(Expenditure_type,MATCH(W732*1,type!$A$2:$A$117,0),8))</f>
        <v>#N/A</v>
      </c>
      <c r="Y732" s="18" t="str">
        <f t="shared" si="97"/>
        <v>800</v>
      </c>
      <c r="Z732" s="18" t="e">
        <f>IF($L732&lt;"6",INDEX(Revenue_type,MATCH(Y732*1,type!$A$118:$A$168,0),8),INDEX(Expenditure_type,MATCH(Y732*1,type!$A$2:$A$117,0),8))</f>
        <v>#N/A</v>
      </c>
    </row>
    <row r="733" spans="1:26" ht="15.75" hidden="1" customHeight="1" outlineLevel="2">
      <c r="A733">
        <v>800</v>
      </c>
      <c r="B733" s="249">
        <v>839700</v>
      </c>
      <c r="C733">
        <v>1</v>
      </c>
      <c r="D733" t="str">
        <f t="shared" si="90"/>
        <v>1839700.800</v>
      </c>
      <c r="E733" s="382" t="s">
        <v>8395</v>
      </c>
      <c r="F733" s="242"/>
      <c r="G733"/>
      <c r="H733" s="322">
        <v>272000</v>
      </c>
      <c r="I733" s="322">
        <v>280000</v>
      </c>
      <c r="J733" s="242">
        <v>280000</v>
      </c>
      <c r="K733" s="18" t="e">
        <f>INDEX(תקציב_2013,MATCH(D733,'תקציב 2015'!$D$3:$D$5960,0),8)</f>
        <v>#N/A</v>
      </c>
      <c r="L733" s="18" t="str">
        <f t="shared" si="91"/>
        <v>8</v>
      </c>
      <c r="M733" s="18" t="str">
        <f>INDEX(Chapter,MATCH(L733,Chapter!$A$1:$A$681,0),8)</f>
        <v>שירותים ממלכתיים</v>
      </c>
      <c r="N733" s="18" t="str">
        <f t="shared" si="92"/>
        <v>83</v>
      </c>
      <c r="O733" s="18" t="str">
        <f>INDEX(Chapter,MATCH(N733,Chapter!$A$1:$A$681,0),8)</f>
        <v>בריאות</v>
      </c>
      <c r="P733" s="18" t="str">
        <f t="shared" si="93"/>
        <v>839</v>
      </c>
      <c r="Q733" s="18" t="str">
        <f>INDEX(Chapter,MATCH(P733,Chapter!$A$1:$A$681,0),8)</f>
        <v>מוסדות בריאות נתמכים</v>
      </c>
      <c r="R733" s="18" t="str">
        <f t="shared" si="94"/>
        <v>8397</v>
      </c>
      <c r="S733" s="18" t="e">
        <f>INDEX(Chapter,MATCH(R733,Chapter!$A$1:$A$681,0),8)</f>
        <v>#N/A</v>
      </c>
      <c r="T733" s="18"/>
      <c r="U733" s="18" t="str">
        <f t="shared" si="95"/>
        <v>8</v>
      </c>
      <c r="V733" s="18" t="str">
        <f>IF($L733&lt;"6",INDEX(Revenue_type,MATCH(U733*1,type!$A$118:$A$168,0),8),INDEX(Expenditure_type,MATCH(U733*1,type!$A$2:$A$117,0),8))</f>
        <v>השתתפויות תמיכות ותרומות</v>
      </c>
      <c r="W733" s="18" t="str">
        <f t="shared" si="96"/>
        <v>80</v>
      </c>
      <c r="X733" s="18" t="e">
        <f>IF($L733&lt;"6",INDEX(Revenue_type,MATCH(W733*1,type!$A$118:$A$168,0),8),INDEX(Expenditure_type,MATCH(W733*1,type!$A$2:$A$117,0),8))</f>
        <v>#N/A</v>
      </c>
      <c r="Y733" s="18" t="str">
        <f t="shared" si="97"/>
        <v>800</v>
      </c>
      <c r="Z733" s="18" t="e">
        <f>IF($L733&lt;"6",INDEX(Revenue_type,MATCH(Y733*1,type!$A$118:$A$168,0),8),INDEX(Expenditure_type,MATCH(Y733*1,type!$A$2:$A$117,0),8))</f>
        <v>#N/A</v>
      </c>
    </row>
    <row r="734" spans="1:26" ht="15.75" hidden="1" customHeight="1" outlineLevel="2">
      <c r="A734">
        <v>800</v>
      </c>
      <c r="B734" s="249">
        <v>822901</v>
      </c>
      <c r="C734">
        <v>1</v>
      </c>
      <c r="D734" t="str">
        <f t="shared" si="90"/>
        <v>1822901.800</v>
      </c>
      <c r="E734" s="382" t="s">
        <v>8396</v>
      </c>
      <c r="F734" s="242"/>
      <c r="G734"/>
      <c r="H734" s="322">
        <v>1238600</v>
      </c>
      <c r="I734" s="322">
        <v>1275000</v>
      </c>
      <c r="J734" s="242">
        <v>1275000</v>
      </c>
      <c r="K734" s="18" t="e">
        <f>INDEX(תקציב_2013,MATCH(D734,'תקציב 2015'!$D$3:$D$5960,0),8)</f>
        <v>#N/A</v>
      </c>
      <c r="L734" s="18" t="str">
        <f t="shared" si="91"/>
        <v>8</v>
      </c>
      <c r="M734" s="18" t="str">
        <f>INDEX(Chapter,MATCH(L734,Chapter!$A$1:$A$681,0),8)</f>
        <v>שירותים ממלכתיים</v>
      </c>
      <c r="N734" s="18" t="str">
        <f t="shared" si="92"/>
        <v>82</v>
      </c>
      <c r="O734" s="18" t="str">
        <f>INDEX(Chapter,MATCH(N734,Chapter!$A$1:$A$681,0),8)</f>
        <v>תרבות</v>
      </c>
      <c r="P734" s="18" t="str">
        <f t="shared" si="93"/>
        <v>822</v>
      </c>
      <c r="Q734" s="18" t="str">
        <f>INDEX(Chapter,MATCH(P734,Chapter!$A$1:$A$681,0),8)</f>
        <v>פעולות תרבות</v>
      </c>
      <c r="R734" s="18" t="str">
        <f t="shared" si="94"/>
        <v>8229</v>
      </c>
      <c r="S734" s="18" t="e">
        <f>INDEX(Chapter,MATCH(R734,Chapter!$A$1:$A$681,0),8)</f>
        <v>#N/A</v>
      </c>
      <c r="T734" s="18"/>
      <c r="U734" s="18" t="str">
        <f t="shared" si="95"/>
        <v>8</v>
      </c>
      <c r="V734" s="18" t="str">
        <f>IF($L734&lt;"6",INDEX(Revenue_type,MATCH(U734*1,type!$A$118:$A$168,0),8),INDEX(Expenditure_type,MATCH(U734*1,type!$A$2:$A$117,0),8))</f>
        <v>השתתפויות תמיכות ותרומות</v>
      </c>
      <c r="W734" s="18" t="str">
        <f t="shared" si="96"/>
        <v>80</v>
      </c>
      <c r="X734" s="18" t="e">
        <f>IF($L734&lt;"6",INDEX(Revenue_type,MATCH(W734*1,type!$A$118:$A$168,0),8),INDEX(Expenditure_type,MATCH(W734*1,type!$A$2:$A$117,0),8))</f>
        <v>#N/A</v>
      </c>
      <c r="Y734" s="18" t="str">
        <f t="shared" si="97"/>
        <v>800</v>
      </c>
      <c r="Z734" s="18" t="e">
        <f>IF($L734&lt;"6",INDEX(Revenue_type,MATCH(Y734*1,type!$A$118:$A$168,0),8),INDEX(Expenditure_type,MATCH(Y734*1,type!$A$2:$A$117,0),8))</f>
        <v>#N/A</v>
      </c>
    </row>
    <row r="735" spans="1:26" ht="15.75" hidden="1" customHeight="1" outlineLevel="2">
      <c r="A735">
        <v>800</v>
      </c>
      <c r="B735" s="249">
        <v>822902</v>
      </c>
      <c r="C735">
        <v>1</v>
      </c>
      <c r="D735" t="str">
        <f t="shared" si="90"/>
        <v>1822902.800</v>
      </c>
      <c r="E735" s="382" t="s">
        <v>8397</v>
      </c>
      <c r="F735" s="242"/>
      <c r="G735"/>
      <c r="H735" s="322">
        <v>381400</v>
      </c>
      <c r="I735" s="322">
        <v>392600</v>
      </c>
      <c r="J735" s="242">
        <v>284700</v>
      </c>
      <c r="K735" s="18" t="e">
        <f>INDEX(תקציב_2013,MATCH(D735,'תקציב 2015'!$D$3:$D$5960,0),8)</f>
        <v>#N/A</v>
      </c>
      <c r="L735" s="18" t="str">
        <f t="shared" si="91"/>
        <v>8</v>
      </c>
      <c r="M735" s="18" t="str">
        <f>INDEX(Chapter,MATCH(L735,Chapter!$A$1:$A$681,0),8)</f>
        <v>שירותים ממלכתיים</v>
      </c>
      <c r="N735" s="18" t="str">
        <f t="shared" si="92"/>
        <v>82</v>
      </c>
      <c r="O735" s="18" t="str">
        <f>INDEX(Chapter,MATCH(N735,Chapter!$A$1:$A$681,0),8)</f>
        <v>תרבות</v>
      </c>
      <c r="P735" s="18" t="str">
        <f t="shared" si="93"/>
        <v>822</v>
      </c>
      <c r="Q735" s="18" t="str">
        <f>INDEX(Chapter,MATCH(P735,Chapter!$A$1:$A$681,0),8)</f>
        <v>פעולות תרבות</v>
      </c>
      <c r="R735" s="18" t="str">
        <f t="shared" si="94"/>
        <v>8229</v>
      </c>
      <c r="S735" s="18" t="e">
        <f>INDEX(Chapter,MATCH(R735,Chapter!$A$1:$A$681,0),8)</f>
        <v>#N/A</v>
      </c>
      <c r="T735" s="18"/>
      <c r="U735" s="18" t="str">
        <f t="shared" si="95"/>
        <v>8</v>
      </c>
      <c r="V735" s="18" t="str">
        <f>IF($L735&lt;"6",INDEX(Revenue_type,MATCH(U735*1,type!$A$118:$A$168,0),8),INDEX(Expenditure_type,MATCH(U735*1,type!$A$2:$A$117,0),8))</f>
        <v>השתתפויות תמיכות ותרומות</v>
      </c>
      <c r="W735" s="18" t="str">
        <f t="shared" si="96"/>
        <v>80</v>
      </c>
      <c r="X735" s="18" t="e">
        <f>IF($L735&lt;"6",INDEX(Revenue_type,MATCH(W735*1,type!$A$118:$A$168,0),8),INDEX(Expenditure_type,MATCH(W735*1,type!$A$2:$A$117,0),8))</f>
        <v>#N/A</v>
      </c>
      <c r="Y735" s="18" t="str">
        <f t="shared" si="97"/>
        <v>800</v>
      </c>
      <c r="Z735" s="18" t="e">
        <f>IF($L735&lt;"6",INDEX(Revenue_type,MATCH(Y735*1,type!$A$118:$A$168,0),8),INDEX(Expenditure_type,MATCH(Y735*1,type!$A$2:$A$117,0),8))</f>
        <v>#N/A</v>
      </c>
    </row>
    <row r="736" spans="1:26" ht="15.75" hidden="1" customHeight="1" outlineLevel="2">
      <c r="A736">
        <v>800</v>
      </c>
      <c r="B736" s="249">
        <v>829999</v>
      </c>
      <c r="C736">
        <v>1</v>
      </c>
      <c r="D736" t="str">
        <f t="shared" si="90"/>
        <v>1829999.800</v>
      </c>
      <c r="E736" s="369" t="s">
        <v>8398</v>
      </c>
      <c r="F736" s="242"/>
      <c r="G736"/>
      <c r="H736" s="322">
        <v>120000</v>
      </c>
      <c r="I736" s="322">
        <v>120000</v>
      </c>
      <c r="J736" s="242">
        <v>120000</v>
      </c>
      <c r="K736" s="18" t="e">
        <f>INDEX(תקציב_2013,MATCH(D736,'תקציב 2015'!$D$3:$D$5960,0),8)</f>
        <v>#N/A</v>
      </c>
      <c r="L736" s="18" t="str">
        <f t="shared" si="91"/>
        <v>8</v>
      </c>
      <c r="M736" s="18" t="str">
        <f>INDEX(Chapter,MATCH(L736,Chapter!$A$1:$A$681,0),8)</f>
        <v>שירותים ממלכתיים</v>
      </c>
      <c r="N736" s="18" t="str">
        <f t="shared" si="92"/>
        <v>82</v>
      </c>
      <c r="O736" s="18" t="str">
        <f>INDEX(Chapter,MATCH(N736,Chapter!$A$1:$A$681,0),8)</f>
        <v>תרבות</v>
      </c>
      <c r="P736" s="18" t="str">
        <f t="shared" si="93"/>
        <v>829</v>
      </c>
      <c r="Q736" s="18" t="str">
        <f>INDEX(Chapter,MATCH(P736,Chapter!$A$1:$A$681,0),8)</f>
        <v>ספורט</v>
      </c>
      <c r="R736" s="18" t="str">
        <f t="shared" si="94"/>
        <v>8299</v>
      </c>
      <c r="S736" s="18" t="e">
        <f>INDEX(Chapter,MATCH(R736,Chapter!$A$1:$A$681,0),8)</f>
        <v>#N/A</v>
      </c>
      <c r="T736" s="18"/>
      <c r="U736" s="18" t="str">
        <f t="shared" si="95"/>
        <v>8</v>
      </c>
      <c r="V736" s="18" t="str">
        <f>IF($L736&lt;"6",INDEX(Revenue_type,MATCH(U736*1,type!$A$118:$A$168,0),8),INDEX(Expenditure_type,MATCH(U736*1,type!$A$2:$A$117,0),8))</f>
        <v>השתתפויות תמיכות ותרומות</v>
      </c>
      <c r="W736" s="18" t="str">
        <f t="shared" si="96"/>
        <v>80</v>
      </c>
      <c r="X736" s="18" t="e">
        <f>IF($L736&lt;"6",INDEX(Revenue_type,MATCH(W736*1,type!$A$118:$A$168,0),8),INDEX(Expenditure_type,MATCH(W736*1,type!$A$2:$A$117,0),8))</f>
        <v>#N/A</v>
      </c>
      <c r="Y736" s="18" t="str">
        <f t="shared" si="97"/>
        <v>800</v>
      </c>
      <c r="Z736" s="18" t="e">
        <f>IF($L736&lt;"6",INDEX(Revenue_type,MATCH(Y736*1,type!$A$118:$A$168,0),8),INDEX(Expenditure_type,MATCH(Y736*1,type!$A$2:$A$117,0),8))</f>
        <v>#N/A</v>
      </c>
    </row>
    <row r="737" spans="1:26" ht="15.75" hidden="1" customHeight="1" outlineLevel="2">
      <c r="A737">
        <v>800</v>
      </c>
      <c r="B737" s="249">
        <v>848000</v>
      </c>
      <c r="C737">
        <v>1</v>
      </c>
      <c r="D737" t="str">
        <f t="shared" si="90"/>
        <v>1848000.800</v>
      </c>
      <c r="E737" s="382" t="s">
        <v>8399</v>
      </c>
      <c r="F737" s="242"/>
      <c r="G737"/>
      <c r="H737" s="322">
        <v>27600</v>
      </c>
      <c r="I737" s="322">
        <v>31900</v>
      </c>
      <c r="J737" s="242">
        <v>0</v>
      </c>
      <c r="K737" s="18" t="e">
        <f>INDEX(תקציב_2013,MATCH(D737,'תקציב 2015'!$D$3:$D$5960,0),8)</f>
        <v>#N/A</v>
      </c>
      <c r="L737" s="18" t="str">
        <f t="shared" si="91"/>
        <v>8</v>
      </c>
      <c r="M737" s="18" t="str">
        <f>INDEX(Chapter,MATCH(L737,Chapter!$A$1:$A$681,0),8)</f>
        <v>שירותים ממלכתיים</v>
      </c>
      <c r="N737" s="18" t="str">
        <f t="shared" si="92"/>
        <v>84</v>
      </c>
      <c r="O737" s="18" t="str">
        <f>INDEX(Chapter,MATCH(N737,Chapter!$A$1:$A$681,0),8)</f>
        <v>רווחה</v>
      </c>
      <c r="P737" s="18" t="str">
        <f t="shared" si="93"/>
        <v>848</v>
      </c>
      <c r="Q737" s="18" t="str">
        <f>INDEX(Chapter,MATCH(P737,Chapter!$A$1:$A$681,0),8)</f>
        <v>עבודה קהילתית</v>
      </c>
      <c r="R737" s="18" t="str">
        <f t="shared" si="94"/>
        <v>8480</v>
      </c>
      <c r="S737" s="18" t="e">
        <f>INDEX(Chapter,MATCH(R737,Chapter!$A$1:$A$681,0),8)</f>
        <v>#N/A</v>
      </c>
      <c r="T737" s="18"/>
      <c r="U737" s="18" t="str">
        <f t="shared" si="95"/>
        <v>8</v>
      </c>
      <c r="V737" s="18" t="str">
        <f>IF($L737&lt;"6",INDEX(Revenue_type,MATCH(U737*1,type!$A$118:$A$168,0),8),INDEX(Expenditure_type,MATCH(U737*1,type!$A$2:$A$117,0),8))</f>
        <v>השתתפויות תמיכות ותרומות</v>
      </c>
      <c r="W737" s="18" t="str">
        <f t="shared" si="96"/>
        <v>80</v>
      </c>
      <c r="X737" s="18" t="e">
        <f>IF($L737&lt;"6",INDEX(Revenue_type,MATCH(W737*1,type!$A$118:$A$168,0),8),INDEX(Expenditure_type,MATCH(W737*1,type!$A$2:$A$117,0),8))</f>
        <v>#N/A</v>
      </c>
      <c r="Y737" s="18" t="str">
        <f t="shared" si="97"/>
        <v>800</v>
      </c>
      <c r="Z737" s="18" t="e">
        <f>IF($L737&lt;"6",INDEX(Revenue_type,MATCH(Y737*1,type!$A$118:$A$168,0),8),INDEX(Expenditure_type,MATCH(Y737*1,type!$A$2:$A$117,0),8))</f>
        <v>#N/A</v>
      </c>
    </row>
    <row r="738" spans="1:26" ht="15.75" hidden="1" customHeight="1" outlineLevel="2">
      <c r="A738">
        <v>800</v>
      </c>
      <c r="B738" s="249">
        <v>848003</v>
      </c>
      <c r="C738">
        <v>1</v>
      </c>
      <c r="D738" t="str">
        <f t="shared" si="90"/>
        <v>1848003.800</v>
      </c>
      <c r="E738" s="382" t="s">
        <v>8400</v>
      </c>
      <c r="F738" s="242"/>
      <c r="G738"/>
      <c r="H738" s="322">
        <v>957100</v>
      </c>
      <c r="I738" s="322">
        <v>1000000</v>
      </c>
      <c r="J738" s="242">
        <v>0</v>
      </c>
      <c r="K738" s="18" t="e">
        <f>INDEX(תקציב_2013,MATCH(D738,'תקציב 2015'!$D$3:$D$5960,0),8)</f>
        <v>#N/A</v>
      </c>
      <c r="L738" s="18" t="str">
        <f t="shared" si="91"/>
        <v>8</v>
      </c>
      <c r="M738" s="18" t="str">
        <f>INDEX(Chapter,MATCH(L738,Chapter!$A$1:$A$681,0),8)</f>
        <v>שירותים ממלכתיים</v>
      </c>
      <c r="N738" s="18" t="str">
        <f t="shared" si="92"/>
        <v>84</v>
      </c>
      <c r="O738" s="18" t="str">
        <f>INDEX(Chapter,MATCH(N738,Chapter!$A$1:$A$681,0),8)</f>
        <v>רווחה</v>
      </c>
      <c r="P738" s="18" t="str">
        <f t="shared" si="93"/>
        <v>848</v>
      </c>
      <c r="Q738" s="18" t="str">
        <f>INDEX(Chapter,MATCH(P738,Chapter!$A$1:$A$681,0),8)</f>
        <v>עבודה קהילתית</v>
      </c>
      <c r="R738" s="18" t="str">
        <f t="shared" si="94"/>
        <v>8480</v>
      </c>
      <c r="S738" s="18" t="e">
        <f>INDEX(Chapter,MATCH(R738,Chapter!$A$1:$A$681,0),8)</f>
        <v>#N/A</v>
      </c>
      <c r="T738" s="18"/>
      <c r="U738" s="18" t="str">
        <f t="shared" si="95"/>
        <v>8</v>
      </c>
      <c r="V738" s="18" t="str">
        <f>IF($L738&lt;"6",INDEX(Revenue_type,MATCH(U738*1,type!$A$118:$A$168,0),8),INDEX(Expenditure_type,MATCH(U738*1,type!$A$2:$A$117,0),8))</f>
        <v>השתתפויות תמיכות ותרומות</v>
      </c>
      <c r="W738" s="18" t="str">
        <f t="shared" si="96"/>
        <v>80</v>
      </c>
      <c r="X738" s="18" t="e">
        <f>IF($L738&lt;"6",INDEX(Revenue_type,MATCH(W738*1,type!$A$118:$A$168,0),8),INDEX(Expenditure_type,MATCH(W738*1,type!$A$2:$A$117,0),8))</f>
        <v>#N/A</v>
      </c>
      <c r="Y738" s="18" t="str">
        <f t="shared" si="97"/>
        <v>800</v>
      </c>
      <c r="Z738" s="18" t="e">
        <f>IF($L738&lt;"6",INDEX(Revenue_type,MATCH(Y738*1,type!$A$118:$A$168,0),8),INDEX(Expenditure_type,MATCH(Y738*1,type!$A$2:$A$117,0),8))</f>
        <v>#N/A</v>
      </c>
    </row>
    <row r="739" spans="1:26" ht="15.75" hidden="1" customHeight="1" outlineLevel="2">
      <c r="A739">
        <v>800</v>
      </c>
      <c r="B739" s="249">
        <v>761100</v>
      </c>
      <c r="C739">
        <v>1</v>
      </c>
      <c r="D739" t="str">
        <f t="shared" si="90"/>
        <v>1761100.800</v>
      </c>
      <c r="E739" s="382" t="s">
        <v>8401</v>
      </c>
      <c r="F739" s="242"/>
      <c r="G739"/>
      <c r="H739" s="322">
        <v>1000000</v>
      </c>
      <c r="I739" s="322">
        <v>1000000</v>
      </c>
      <c r="J739" s="242">
        <v>968700</v>
      </c>
      <c r="K739" s="18" t="e">
        <f>INDEX(תקציב_2013,MATCH(D739,'תקציב 2015'!$D$3:$D$5960,0),8)</f>
        <v>#N/A</v>
      </c>
      <c r="L739" s="18" t="str">
        <f t="shared" si="91"/>
        <v>7</v>
      </c>
      <c r="M739" s="18" t="str">
        <f>INDEX(Chapter,MATCH(L739,Chapter!$A$1:$A$681,0),8)</f>
        <v>שירותים מקומיים</v>
      </c>
      <c r="N739" s="18" t="str">
        <f t="shared" si="92"/>
        <v>76</v>
      </c>
      <c r="O739" s="18" t="str">
        <f>INDEX(Chapter,MATCH(N739,Chapter!$A$1:$A$681,0),8)</f>
        <v>שירותים עירוניים שונים</v>
      </c>
      <c r="P739" s="18" t="str">
        <f t="shared" si="93"/>
        <v>761</v>
      </c>
      <c r="Q739" s="18" t="str">
        <f>INDEX(Chapter,MATCH(P739,Chapter!$A$1:$A$681,0),8)</f>
        <v>מוקד עירוני</v>
      </c>
      <c r="R739" s="18" t="str">
        <f t="shared" si="94"/>
        <v>7611</v>
      </c>
      <c r="S739" s="18" t="e">
        <f>INDEX(Chapter,MATCH(R739,Chapter!$A$1:$A$681,0),8)</f>
        <v>#N/A</v>
      </c>
      <c r="T739" s="18"/>
      <c r="U739" s="18" t="str">
        <f t="shared" si="95"/>
        <v>8</v>
      </c>
      <c r="V739" s="18" t="str">
        <f>IF($L739&lt;"6",INDEX(Revenue_type,MATCH(U739*1,type!$A$118:$A$168,0),8),INDEX(Expenditure_type,MATCH(U739*1,type!$A$2:$A$117,0),8))</f>
        <v>השתתפויות תמיכות ותרומות</v>
      </c>
      <c r="W739" s="18" t="str">
        <f t="shared" si="96"/>
        <v>80</v>
      </c>
      <c r="X739" s="18" t="e">
        <f>IF($L739&lt;"6",INDEX(Revenue_type,MATCH(W739*1,type!$A$118:$A$168,0),8),INDEX(Expenditure_type,MATCH(W739*1,type!$A$2:$A$117,0),8))</f>
        <v>#N/A</v>
      </c>
      <c r="Y739" s="18" t="str">
        <f t="shared" si="97"/>
        <v>800</v>
      </c>
      <c r="Z739" s="18" t="e">
        <f>IF($L739&lt;"6",INDEX(Revenue_type,MATCH(Y739*1,type!$A$118:$A$168,0),8),INDEX(Expenditure_type,MATCH(Y739*1,type!$A$2:$A$117,0),8))</f>
        <v>#N/A</v>
      </c>
    </row>
    <row r="740" spans="1:26" ht="15.75" hidden="1" customHeight="1" outlineLevel="2">
      <c r="A740">
        <v>800</v>
      </c>
      <c r="B740" s="249">
        <v>753100</v>
      </c>
      <c r="C740">
        <v>1</v>
      </c>
      <c r="D740" t="str">
        <f t="shared" si="90"/>
        <v>1753100.800</v>
      </c>
      <c r="E740" s="385" t="s">
        <v>8402</v>
      </c>
      <c r="F740" s="242"/>
      <c r="G740"/>
      <c r="H740" s="322">
        <v>73100</v>
      </c>
      <c r="I740" s="322">
        <v>75300</v>
      </c>
      <c r="J740" s="242">
        <v>70900</v>
      </c>
      <c r="K740" s="18" t="e">
        <f>INDEX(תקציב_2013,MATCH(D740,'תקציב 2015'!$D$3:$D$5960,0),8)</f>
        <v>#N/A</v>
      </c>
      <c r="L740" s="18" t="str">
        <f t="shared" si="91"/>
        <v>7</v>
      </c>
      <c r="M740" s="18" t="str">
        <f>INDEX(Chapter,MATCH(L740,Chapter!$A$1:$A$681,0),8)</f>
        <v>שירותים מקומיים</v>
      </c>
      <c r="N740" s="18" t="str">
        <f t="shared" si="92"/>
        <v>75</v>
      </c>
      <c r="O740" s="18" t="str">
        <f>INDEX(Chapter,MATCH(N740,Chapter!$A$1:$A$681,0),8)</f>
        <v>חגיגות מבצעים ואירועים</v>
      </c>
      <c r="P740" s="18" t="str">
        <f t="shared" si="93"/>
        <v>753</v>
      </c>
      <c r="Q740" s="18" t="str">
        <f>INDEX(Chapter,MATCH(P740,Chapter!$A$1:$A$681,0),8)</f>
        <v>פעולות אימוץ</v>
      </c>
      <c r="R740" s="18" t="str">
        <f t="shared" si="94"/>
        <v>7531</v>
      </c>
      <c r="S740" s="18" t="e">
        <f>INDEX(Chapter,MATCH(R740,Chapter!$A$1:$A$681,0),8)</f>
        <v>#N/A</v>
      </c>
      <c r="T740" s="18"/>
      <c r="U740" s="18" t="str">
        <f t="shared" si="95"/>
        <v>8</v>
      </c>
      <c r="V740" s="18" t="str">
        <f>IF($L740&lt;"6",INDEX(Revenue_type,MATCH(U740*1,type!$A$118:$A$168,0),8),INDEX(Expenditure_type,MATCH(U740*1,type!$A$2:$A$117,0),8))</f>
        <v>השתתפויות תמיכות ותרומות</v>
      </c>
      <c r="W740" s="18" t="str">
        <f t="shared" si="96"/>
        <v>80</v>
      </c>
      <c r="X740" s="18" t="e">
        <f>IF($L740&lt;"6",INDEX(Revenue_type,MATCH(W740*1,type!$A$118:$A$168,0),8),INDEX(Expenditure_type,MATCH(W740*1,type!$A$2:$A$117,0),8))</f>
        <v>#N/A</v>
      </c>
      <c r="Y740" s="18" t="str">
        <f t="shared" si="97"/>
        <v>800</v>
      </c>
      <c r="Z740" s="18" t="e">
        <f>IF($L740&lt;"6",INDEX(Revenue_type,MATCH(Y740*1,type!$A$118:$A$168,0),8),INDEX(Expenditure_type,MATCH(Y740*1,type!$A$2:$A$117,0),8))</f>
        <v>#N/A</v>
      </c>
    </row>
    <row r="741" spans="1:26" ht="15.75" hidden="1" customHeight="1" outlineLevel="2">
      <c r="A741">
        <v>700</v>
      </c>
      <c r="B741" s="249">
        <v>731070</v>
      </c>
      <c r="C741">
        <v>1</v>
      </c>
      <c r="D741" t="str">
        <f t="shared" si="90"/>
        <v>1731070.700</v>
      </c>
      <c r="E741" s="385" t="s">
        <v>8403</v>
      </c>
      <c r="F741" s="242"/>
      <c r="G741"/>
      <c r="H741" s="322">
        <v>12451500</v>
      </c>
      <c r="I741" s="322">
        <v>12451500</v>
      </c>
      <c r="J741" s="242">
        <v>10177200</v>
      </c>
      <c r="K741" s="18" t="e">
        <f>INDEX(תקציב_2013,MATCH(D741,'תקציב 2015'!$D$3:$D$5960,0),8)</f>
        <v>#N/A</v>
      </c>
      <c r="L741" s="18" t="str">
        <f t="shared" si="91"/>
        <v>7</v>
      </c>
      <c r="M741" s="18" t="str">
        <f>INDEX(Chapter,MATCH(L741,Chapter!$A$1:$A$681,0),8)</f>
        <v>שירותים מקומיים</v>
      </c>
      <c r="N741" s="18" t="str">
        <f t="shared" si="92"/>
        <v>73</v>
      </c>
      <c r="O741" s="18" t="str">
        <f>INDEX(Chapter,MATCH(N741,Chapter!$A$1:$A$681,0),8)</f>
        <v>תכנון ובנין עיר</v>
      </c>
      <c r="P741" s="18" t="str">
        <f t="shared" si="93"/>
        <v>731</v>
      </c>
      <c r="Q741" s="18" t="str">
        <f>INDEX(Chapter,MATCH(P741,Chapter!$A$1:$A$681,0),8)</f>
        <v>משרד מהנדס הרשות</v>
      </c>
      <c r="R741" s="18" t="str">
        <f t="shared" si="94"/>
        <v>7310</v>
      </c>
      <c r="S741" s="18" t="e">
        <f>INDEX(Chapter,MATCH(R741,Chapter!$A$1:$A$681,0),8)</f>
        <v>#N/A</v>
      </c>
      <c r="T741" s="18"/>
      <c r="U741" s="18" t="str">
        <f t="shared" si="95"/>
        <v>7</v>
      </c>
      <c r="V741" s="18" t="str">
        <f>IF($L741&lt;"6",INDEX(Revenue_type,MATCH(U741*1,type!$A$118:$A$168,0),8),INDEX(Expenditure_type,MATCH(U741*1,type!$A$2:$A$117,0),8))</f>
        <v>הוצאות לפעולות</v>
      </c>
      <c r="W741" s="18" t="str">
        <f t="shared" si="96"/>
        <v>70</v>
      </c>
      <c r="X741" s="18" t="e">
        <f>IF($L741&lt;"6",INDEX(Revenue_type,MATCH(W741*1,type!$A$118:$A$168,0),8),INDEX(Expenditure_type,MATCH(W741*1,type!$A$2:$A$117,0),8))</f>
        <v>#N/A</v>
      </c>
      <c r="Y741" s="18" t="str">
        <f t="shared" si="97"/>
        <v>700</v>
      </c>
      <c r="Z741" s="18" t="e">
        <f>IF($L741&lt;"6",INDEX(Revenue_type,MATCH(Y741*1,type!$A$118:$A$168,0),8),INDEX(Expenditure_type,MATCH(Y741*1,type!$A$2:$A$117,0),8))</f>
        <v>#N/A</v>
      </c>
    </row>
    <row r="742" spans="1:26" ht="15.75" customHeight="1" outlineLevel="2">
      <c r="A742" s="56">
        <v>300</v>
      </c>
      <c r="B742" s="249">
        <v>99120</v>
      </c>
      <c r="C742">
        <v>1</v>
      </c>
      <c r="D742" t="str">
        <f t="shared" si="90"/>
        <v>199120.300</v>
      </c>
      <c r="E742" s="354" t="s">
        <v>8404</v>
      </c>
      <c r="F742" s="242"/>
      <c r="G742"/>
      <c r="H742" s="322">
        <v>205409000</v>
      </c>
      <c r="I742" s="322">
        <v>203703500</v>
      </c>
      <c r="J742" s="242">
        <v>199736200</v>
      </c>
      <c r="K742" s="18" t="e">
        <f>INDEX(תקציב_2013,MATCH(D742,'תקציב 2015'!$D$3:$D$5960,0),8)</f>
        <v>#N/A</v>
      </c>
      <c r="L742" s="18" t="str">
        <f t="shared" si="91"/>
        <v>9</v>
      </c>
      <c r="M742" s="18" t="str">
        <f>INDEX(Chapter,MATCH(L742,Chapter!$A$1:$A$681,0),8)</f>
        <v>מפעלים</v>
      </c>
      <c r="N742" s="18" t="str">
        <f t="shared" si="92"/>
        <v>99</v>
      </c>
      <c r="O742" s="18" t="str">
        <f>INDEX(Chapter,MATCH(N742,Chapter!$A$1:$A$681,0),8)</f>
        <v>תשלומים בלתי רגילים</v>
      </c>
      <c r="P742" s="18" t="str">
        <f t="shared" si="93"/>
        <v>991</v>
      </c>
      <c r="Q742" s="18" t="str">
        <f>INDEX(Chapter,MATCH(P742,Chapter!$A$1:$A$681,0),8)</f>
        <v>הפרשות לקרנות תקציביות</v>
      </c>
      <c r="R742" s="18" t="str">
        <f t="shared" si="94"/>
        <v>9912</v>
      </c>
      <c r="S742" s="18" t="str">
        <f>INDEX(Chapter,MATCH(R742,Chapter!$A$1:$A$681,0),8)</f>
        <v>הפרשה לקרן למניות</v>
      </c>
      <c r="T742" s="18"/>
      <c r="U742" s="18" t="str">
        <f t="shared" si="95"/>
        <v>3</v>
      </c>
      <c r="V742" s="18" t="str">
        <f>IF($L742&lt;"6",INDEX(Revenue_type,MATCH(U742*1,type!$A$118:$A$168,0),8),INDEX(Expenditure_type,MATCH(U742*1,type!$A$2:$A$117,0),8))</f>
        <v>פנסיה ופיצויים</v>
      </c>
      <c r="W742" s="18" t="str">
        <f t="shared" si="96"/>
        <v>30</v>
      </c>
      <c r="X742" s="18" t="e">
        <f>IF($L742&lt;"6",INDEX(Revenue_type,MATCH(W742*1,type!$A$118:$A$168,0),8),INDEX(Expenditure_type,MATCH(W742*1,type!$A$2:$A$117,0),8))</f>
        <v>#N/A</v>
      </c>
      <c r="Y742" s="18" t="str">
        <f t="shared" si="97"/>
        <v>300</v>
      </c>
      <c r="Z742" s="18" t="e">
        <f>IF($L742&lt;"6",INDEX(Revenue_type,MATCH(Y742*1,type!$A$118:$A$168,0),8),INDEX(Expenditure_type,MATCH(Y742*1,type!$A$2:$A$117,0),8))</f>
        <v>#N/A</v>
      </c>
    </row>
    <row r="743" spans="1:26" ht="15.75" hidden="1" customHeight="1" outlineLevel="2">
      <c r="A743">
        <v>100</v>
      </c>
      <c r="B743" s="249">
        <v>833100</v>
      </c>
      <c r="C743">
        <v>1</v>
      </c>
      <c r="D743" t="str">
        <f t="shared" si="90"/>
        <v>1833100.100</v>
      </c>
      <c r="E743" s="385" t="s">
        <v>8405</v>
      </c>
      <c r="F743" s="242"/>
      <c r="G743"/>
      <c r="H743" s="322">
        <v>415000000</v>
      </c>
      <c r="I743" s="322">
        <v>381000000</v>
      </c>
      <c r="J743" s="242">
        <v>382115200</v>
      </c>
      <c r="K743" s="18" t="e">
        <f>INDEX(תקציב_2013,MATCH(D743,'תקציב 2015'!$D$3:$D$5960,0),8)</f>
        <v>#N/A</v>
      </c>
      <c r="L743" s="18" t="str">
        <f t="shared" si="91"/>
        <v>8</v>
      </c>
      <c r="M743" s="18" t="str">
        <f>INDEX(Chapter,MATCH(L743,Chapter!$A$1:$A$681,0),8)</f>
        <v>שירותים ממלכתיים</v>
      </c>
      <c r="N743" s="18" t="str">
        <f t="shared" si="92"/>
        <v>83</v>
      </c>
      <c r="O743" s="18" t="str">
        <f>INDEX(Chapter,MATCH(N743,Chapter!$A$1:$A$681,0),8)</f>
        <v>בריאות</v>
      </c>
      <c r="P743" s="18" t="str">
        <f t="shared" si="93"/>
        <v>833</v>
      </c>
      <c r="Q743" s="18" t="str">
        <f>INDEX(Chapter,MATCH(P743,Chapter!$A$1:$A$681,0),8)</f>
        <v>בתי חולים</v>
      </c>
      <c r="R743" s="18" t="str">
        <f t="shared" si="94"/>
        <v>8331</v>
      </c>
      <c r="S743" s="18" t="str">
        <f>INDEX(Chapter,MATCH(R743,Chapter!$A$1:$A$681,0),8)</f>
        <v>בתי חולים כלליים</v>
      </c>
      <c r="T743" s="18"/>
      <c r="U743" s="18" t="str">
        <f t="shared" si="95"/>
        <v>1</v>
      </c>
      <c r="V743" s="18" t="str">
        <f>IF($L743&lt;"6",INDEX(Revenue_type,MATCH(U743*1,type!$A$118:$A$168,0),8),INDEX(Expenditure_type,MATCH(U743*1,type!$A$2:$A$117,0),8))</f>
        <v>משכורות וש"ע לעובדים לפי תקן</v>
      </c>
      <c r="W743" s="18" t="str">
        <f t="shared" si="96"/>
        <v>10</v>
      </c>
      <c r="X743" s="18" t="e">
        <f>IF($L743&lt;"6",INDEX(Revenue_type,MATCH(W743*1,type!$A$118:$A$168,0),8),INDEX(Expenditure_type,MATCH(W743*1,type!$A$2:$A$117,0),8))</f>
        <v>#N/A</v>
      </c>
      <c r="Y743" s="18" t="str">
        <f t="shared" si="97"/>
        <v>100</v>
      </c>
      <c r="Z743" s="18" t="e">
        <f>IF($L743&lt;"6",INDEX(Revenue_type,MATCH(Y743*1,type!$A$118:$A$168,0),8),INDEX(Expenditure_type,MATCH(Y743*1,type!$A$2:$A$117,0),8))</f>
        <v>#N/A</v>
      </c>
    </row>
    <row r="744" spans="1:26" ht="15.75" hidden="1" customHeight="1" outlineLevel="2">
      <c r="A744">
        <v>200</v>
      </c>
      <c r="B744" s="249">
        <v>833100</v>
      </c>
      <c r="C744">
        <v>1</v>
      </c>
      <c r="D744" t="str">
        <f t="shared" si="90"/>
        <v>1833100.200</v>
      </c>
      <c r="E744" s="385" t="s">
        <v>8406</v>
      </c>
      <c r="F744" s="242"/>
      <c r="G744"/>
      <c r="H744" s="322"/>
      <c r="I744" s="322"/>
      <c r="J744" s="242"/>
      <c r="K744" s="18" t="e">
        <f>INDEX(תקציב_2013,MATCH(D744,'תקציב 2015'!$D$3:$D$5960,0),8)</f>
        <v>#N/A</v>
      </c>
      <c r="L744" s="18" t="str">
        <f t="shared" si="91"/>
        <v>8</v>
      </c>
      <c r="M744" s="18" t="str">
        <f>INDEX(Chapter,MATCH(L744,Chapter!$A$1:$A$681,0),8)</f>
        <v>שירותים ממלכתיים</v>
      </c>
      <c r="N744" s="18" t="str">
        <f t="shared" si="92"/>
        <v>83</v>
      </c>
      <c r="O744" s="18" t="str">
        <f>INDEX(Chapter,MATCH(N744,Chapter!$A$1:$A$681,0),8)</f>
        <v>בריאות</v>
      </c>
      <c r="P744" s="18" t="str">
        <f t="shared" si="93"/>
        <v>833</v>
      </c>
      <c r="Q744" s="18" t="str">
        <f>INDEX(Chapter,MATCH(P744,Chapter!$A$1:$A$681,0),8)</f>
        <v>בתי חולים</v>
      </c>
      <c r="R744" s="18" t="str">
        <f t="shared" si="94"/>
        <v>8331</v>
      </c>
      <c r="S744" s="18" t="str">
        <f>INDEX(Chapter,MATCH(R744,Chapter!$A$1:$A$681,0),8)</f>
        <v>בתי חולים כלליים</v>
      </c>
      <c r="T744" s="18"/>
      <c r="U744" s="18" t="str">
        <f t="shared" si="95"/>
        <v>2</v>
      </c>
      <c r="V744" s="18" t="str">
        <f>IF($L744&lt;"6",INDEX(Revenue_type,MATCH(U744*1,type!$A$118:$A$168,0),8),INDEX(Expenditure_type,MATCH(U744*1,type!$A$2:$A$117,0),8))</f>
        <v>משכורות וש"ע לעובדים בלי תקן</v>
      </c>
      <c r="W744" s="18" t="str">
        <f t="shared" si="96"/>
        <v>20</v>
      </c>
      <c r="X744" s="18" t="e">
        <f>IF($L744&lt;"6",INDEX(Revenue_type,MATCH(W744*1,type!$A$118:$A$168,0),8),INDEX(Expenditure_type,MATCH(W744*1,type!$A$2:$A$117,0),8))</f>
        <v>#N/A</v>
      </c>
      <c r="Y744" s="18" t="str">
        <f t="shared" si="97"/>
        <v>200</v>
      </c>
      <c r="Z744" s="18" t="e">
        <f>IF($L744&lt;"6",INDEX(Revenue_type,MATCH(Y744*1,type!$A$118:$A$168,0),8),INDEX(Expenditure_type,MATCH(Y744*1,type!$A$2:$A$117,0),8))</f>
        <v>#N/A</v>
      </c>
    </row>
    <row r="745" spans="1:26" ht="15.75" hidden="1" customHeight="1" outlineLevel="2">
      <c r="A745">
        <v>120</v>
      </c>
      <c r="B745" s="249">
        <v>833100</v>
      </c>
      <c r="C745">
        <v>1</v>
      </c>
      <c r="D745" t="str">
        <f t="shared" si="90"/>
        <v>1833100.120</v>
      </c>
      <c r="E745" s="385" t="s">
        <v>8407</v>
      </c>
      <c r="F745" s="242"/>
      <c r="G745"/>
      <c r="H745" s="322">
        <v>25000000</v>
      </c>
      <c r="I745" s="322">
        <v>22000000</v>
      </c>
      <c r="J745" s="242">
        <v>35400200</v>
      </c>
      <c r="K745" s="18" t="e">
        <f>INDEX(תקציב_2013,MATCH(D745,'תקציב 2015'!$D$3:$D$5960,0),8)</f>
        <v>#N/A</v>
      </c>
      <c r="L745" s="18" t="str">
        <f t="shared" si="91"/>
        <v>8</v>
      </c>
      <c r="M745" s="18" t="str">
        <f>INDEX(Chapter,MATCH(L745,Chapter!$A$1:$A$681,0),8)</f>
        <v>שירותים ממלכתיים</v>
      </c>
      <c r="N745" s="18" t="str">
        <f t="shared" si="92"/>
        <v>83</v>
      </c>
      <c r="O745" s="18" t="str">
        <f>INDEX(Chapter,MATCH(N745,Chapter!$A$1:$A$681,0),8)</f>
        <v>בריאות</v>
      </c>
      <c r="P745" s="18" t="str">
        <f t="shared" si="93"/>
        <v>833</v>
      </c>
      <c r="Q745" s="18" t="str">
        <f>INDEX(Chapter,MATCH(P745,Chapter!$A$1:$A$681,0),8)</f>
        <v>בתי חולים</v>
      </c>
      <c r="R745" s="18" t="str">
        <f t="shared" si="94"/>
        <v>8331</v>
      </c>
      <c r="S745" s="18" t="str">
        <f>INDEX(Chapter,MATCH(R745,Chapter!$A$1:$A$681,0),8)</f>
        <v>בתי חולים כלליים</v>
      </c>
      <c r="T745" s="18"/>
      <c r="U745" s="18" t="str">
        <f t="shared" si="95"/>
        <v>1</v>
      </c>
      <c r="V745" s="18" t="str">
        <f>IF($L745&lt;"6",INDEX(Revenue_type,MATCH(U745*1,type!$A$118:$A$168,0),8),INDEX(Expenditure_type,MATCH(U745*1,type!$A$2:$A$117,0),8))</f>
        <v>משכורות וש"ע לעובדים לפי תקן</v>
      </c>
      <c r="W745" s="18" t="str">
        <f t="shared" si="96"/>
        <v>12</v>
      </c>
      <c r="X745" s="18" t="str">
        <f>IF($L745&lt;"6",INDEX(Revenue_type,MATCH(W745*1,type!$A$118:$A$168,0),8),INDEX(Expenditure_type,MATCH(W745*1,type!$A$2:$A$117,0),8))</f>
        <v>תוספות שאינן נכללות בשכר הקובע</v>
      </c>
      <c r="Y745" s="18" t="str">
        <f t="shared" si="97"/>
        <v>120</v>
      </c>
      <c r="Z745" s="18" t="e">
        <f>IF($L745&lt;"6",INDEX(Revenue_type,MATCH(Y745*1,type!$A$118:$A$168,0),8),INDEX(Expenditure_type,MATCH(Y745*1,type!$A$2:$A$117,0),8))</f>
        <v>#N/A</v>
      </c>
    </row>
    <row r="746" spans="1:26" ht="15.75" hidden="1" customHeight="1" outlineLevel="2">
      <c r="A746">
        <v>400</v>
      </c>
      <c r="B746" s="249">
        <v>833100</v>
      </c>
      <c r="C746">
        <v>1</v>
      </c>
      <c r="D746" t="str">
        <f t="shared" si="90"/>
        <v>1833100.400</v>
      </c>
      <c r="E746" s="385" t="s">
        <v>8408</v>
      </c>
      <c r="F746" s="242"/>
      <c r="G746"/>
      <c r="H746" s="322"/>
      <c r="I746" s="322"/>
      <c r="J746" s="242"/>
      <c r="K746" s="18" t="e">
        <f>INDEX(תקציב_2013,MATCH(D746,'תקציב 2015'!$D$3:$D$5960,0),8)</f>
        <v>#N/A</v>
      </c>
      <c r="L746" s="18" t="str">
        <f t="shared" si="91"/>
        <v>8</v>
      </c>
      <c r="M746" s="18" t="str">
        <f>INDEX(Chapter,MATCH(L746,Chapter!$A$1:$A$681,0),8)</f>
        <v>שירותים ממלכתיים</v>
      </c>
      <c r="N746" s="18" t="str">
        <f t="shared" si="92"/>
        <v>83</v>
      </c>
      <c r="O746" s="18" t="str">
        <f>INDEX(Chapter,MATCH(N746,Chapter!$A$1:$A$681,0),8)</f>
        <v>בריאות</v>
      </c>
      <c r="P746" s="18" t="str">
        <f t="shared" si="93"/>
        <v>833</v>
      </c>
      <c r="Q746" s="18" t="str">
        <f>INDEX(Chapter,MATCH(P746,Chapter!$A$1:$A$681,0),8)</f>
        <v>בתי חולים</v>
      </c>
      <c r="R746" s="18" t="str">
        <f t="shared" si="94"/>
        <v>8331</v>
      </c>
      <c r="S746" s="18" t="str">
        <f>INDEX(Chapter,MATCH(R746,Chapter!$A$1:$A$681,0),8)</f>
        <v>בתי חולים כלליים</v>
      </c>
      <c r="T746" s="18"/>
      <c r="U746" s="18" t="str">
        <f t="shared" si="95"/>
        <v>4</v>
      </c>
      <c r="V746" s="18" t="str">
        <f>IF($L746&lt;"6",INDEX(Revenue_type,MATCH(U746*1,type!$A$118:$A$168,0),8),INDEX(Expenditure_type,MATCH(U746*1,type!$A$2:$A$117,0),8))</f>
        <v>אחזקת בינים ואספקת ציוד</v>
      </c>
      <c r="W746" s="18" t="str">
        <f t="shared" si="96"/>
        <v>40</v>
      </c>
      <c r="X746" s="18" t="e">
        <f>IF($L746&lt;"6",INDEX(Revenue_type,MATCH(W746*1,type!$A$118:$A$168,0),8),INDEX(Expenditure_type,MATCH(W746*1,type!$A$2:$A$117,0),8))</f>
        <v>#N/A</v>
      </c>
      <c r="Y746" s="18" t="str">
        <f t="shared" si="97"/>
        <v>400</v>
      </c>
      <c r="Z746" s="18" t="e">
        <f>IF($L746&lt;"6",INDEX(Revenue_type,MATCH(Y746*1,type!$A$118:$A$168,0),8),INDEX(Expenditure_type,MATCH(Y746*1,type!$A$2:$A$117,0),8))</f>
        <v>#N/A</v>
      </c>
    </row>
    <row r="747" spans="1:26" ht="15.75" hidden="1" customHeight="1" outlineLevel="2">
      <c r="A747">
        <v>500</v>
      </c>
      <c r="B747" s="249">
        <v>833100</v>
      </c>
      <c r="C747">
        <v>1</v>
      </c>
      <c r="D747" t="str">
        <f t="shared" si="90"/>
        <v>1833100.500</v>
      </c>
      <c r="E747" s="385" t="s">
        <v>8409</v>
      </c>
      <c r="F747" s="242"/>
      <c r="G747"/>
      <c r="H747" s="322"/>
      <c r="I747" s="322"/>
      <c r="J747" s="242"/>
      <c r="K747" s="18" t="e">
        <f>INDEX(תקציב_2013,MATCH(D747,'תקציב 2015'!$D$3:$D$5960,0),8)</f>
        <v>#N/A</v>
      </c>
      <c r="L747" s="18" t="str">
        <f t="shared" si="91"/>
        <v>8</v>
      </c>
      <c r="M747" s="18" t="str">
        <f>INDEX(Chapter,MATCH(L747,Chapter!$A$1:$A$681,0),8)</f>
        <v>שירותים ממלכתיים</v>
      </c>
      <c r="N747" s="18" t="str">
        <f t="shared" si="92"/>
        <v>83</v>
      </c>
      <c r="O747" s="18" t="str">
        <f>INDEX(Chapter,MATCH(N747,Chapter!$A$1:$A$681,0),8)</f>
        <v>בריאות</v>
      </c>
      <c r="P747" s="18" t="str">
        <f t="shared" si="93"/>
        <v>833</v>
      </c>
      <c r="Q747" s="18" t="str">
        <f>INDEX(Chapter,MATCH(P747,Chapter!$A$1:$A$681,0),8)</f>
        <v>בתי חולים</v>
      </c>
      <c r="R747" s="18" t="str">
        <f t="shared" si="94"/>
        <v>8331</v>
      </c>
      <c r="S747" s="18" t="str">
        <f>INDEX(Chapter,MATCH(R747,Chapter!$A$1:$A$681,0),8)</f>
        <v>בתי חולים כלליים</v>
      </c>
      <c r="T747" s="18"/>
      <c r="U747" s="18" t="str">
        <f t="shared" si="95"/>
        <v>5</v>
      </c>
      <c r="V747" s="18" t="str">
        <f>IF($L747&lt;"6",INDEX(Revenue_type,MATCH(U747*1,type!$A$118:$A$168,0),8),INDEX(Expenditure_type,MATCH(U747*1,type!$A$2:$A$117,0),8))</f>
        <v>הוצאות מנהליות</v>
      </c>
      <c r="W747" s="18" t="str">
        <f t="shared" si="96"/>
        <v>50</v>
      </c>
      <c r="X747" s="18" t="e">
        <f>IF($L747&lt;"6",INDEX(Revenue_type,MATCH(W747*1,type!$A$118:$A$168,0),8),INDEX(Expenditure_type,MATCH(W747*1,type!$A$2:$A$117,0),8))</f>
        <v>#N/A</v>
      </c>
      <c r="Y747" s="18" t="str">
        <f t="shared" si="97"/>
        <v>500</v>
      </c>
      <c r="Z747" s="18" t="e">
        <f>IF($L747&lt;"6",INDEX(Revenue_type,MATCH(Y747*1,type!$A$118:$A$168,0),8),INDEX(Expenditure_type,MATCH(Y747*1,type!$A$2:$A$117,0),8))</f>
        <v>#N/A</v>
      </c>
    </row>
    <row r="748" spans="1:26" ht="15.75" hidden="1" customHeight="1" outlineLevel="2">
      <c r="A748">
        <v>500</v>
      </c>
      <c r="B748" s="249">
        <v>833100</v>
      </c>
      <c r="C748">
        <v>1</v>
      </c>
      <c r="D748" t="str">
        <f t="shared" si="90"/>
        <v>1833100.500</v>
      </c>
      <c r="E748" s="385" t="s">
        <v>8410</v>
      </c>
      <c r="F748" s="242"/>
      <c r="G748"/>
      <c r="H748" s="322">
        <v>6000000</v>
      </c>
      <c r="I748" s="322">
        <v>6000000</v>
      </c>
      <c r="J748" s="242">
        <v>4099200</v>
      </c>
      <c r="K748" s="18" t="e">
        <f>INDEX(תקציב_2013,MATCH(D748,'תקציב 2015'!$D$3:$D$5960,0),8)</f>
        <v>#N/A</v>
      </c>
      <c r="L748" s="18" t="str">
        <f t="shared" si="91"/>
        <v>8</v>
      </c>
      <c r="M748" s="18" t="str">
        <f>INDEX(Chapter,MATCH(L748,Chapter!$A$1:$A$681,0),8)</f>
        <v>שירותים ממלכתיים</v>
      </c>
      <c r="N748" s="18" t="str">
        <f t="shared" si="92"/>
        <v>83</v>
      </c>
      <c r="O748" s="18" t="str">
        <f>INDEX(Chapter,MATCH(N748,Chapter!$A$1:$A$681,0),8)</f>
        <v>בריאות</v>
      </c>
      <c r="P748" s="18" t="str">
        <f t="shared" si="93"/>
        <v>833</v>
      </c>
      <c r="Q748" s="18" t="str">
        <f>INDEX(Chapter,MATCH(P748,Chapter!$A$1:$A$681,0),8)</f>
        <v>בתי חולים</v>
      </c>
      <c r="R748" s="18" t="str">
        <f t="shared" si="94"/>
        <v>8331</v>
      </c>
      <c r="S748" s="18" t="str">
        <f>INDEX(Chapter,MATCH(R748,Chapter!$A$1:$A$681,0),8)</f>
        <v>בתי חולים כלליים</v>
      </c>
      <c r="T748" s="18"/>
      <c r="U748" s="18" t="str">
        <f t="shared" si="95"/>
        <v>5</v>
      </c>
      <c r="V748" s="18" t="str">
        <f>IF($L748&lt;"6",INDEX(Revenue_type,MATCH(U748*1,type!$A$118:$A$168,0),8),INDEX(Expenditure_type,MATCH(U748*1,type!$A$2:$A$117,0),8))</f>
        <v>הוצאות מנהליות</v>
      </c>
      <c r="W748" s="18" t="str">
        <f t="shared" si="96"/>
        <v>50</v>
      </c>
      <c r="X748" s="18" t="e">
        <f>IF($L748&lt;"6",INDEX(Revenue_type,MATCH(W748*1,type!$A$118:$A$168,0),8),INDEX(Expenditure_type,MATCH(W748*1,type!$A$2:$A$117,0),8))</f>
        <v>#N/A</v>
      </c>
      <c r="Y748" s="18" t="str">
        <f t="shared" si="97"/>
        <v>500</v>
      </c>
      <c r="Z748" s="18" t="e">
        <f>IF($L748&lt;"6",INDEX(Revenue_type,MATCH(Y748*1,type!$A$118:$A$168,0),8),INDEX(Expenditure_type,MATCH(Y748*1,type!$A$2:$A$117,0),8))</f>
        <v>#N/A</v>
      </c>
    </row>
    <row r="749" spans="1:26" ht="15.75" hidden="1" customHeight="1" outlineLevel="2">
      <c r="A749">
        <v>700</v>
      </c>
      <c r="B749" s="249">
        <v>833100</v>
      </c>
      <c r="C749">
        <v>1</v>
      </c>
      <c r="D749" t="str">
        <f t="shared" si="90"/>
        <v>1833100.700</v>
      </c>
      <c r="E749" s="382" t="s">
        <v>8411</v>
      </c>
      <c r="F749" s="242"/>
      <c r="G749"/>
      <c r="H749" s="322"/>
      <c r="I749" s="322"/>
      <c r="J749" s="242"/>
      <c r="K749" s="18" t="e">
        <f>INDEX(תקציב_2013,MATCH(D749,'תקציב 2015'!$D$3:$D$5960,0),8)</f>
        <v>#N/A</v>
      </c>
      <c r="L749" s="18" t="str">
        <f t="shared" si="91"/>
        <v>8</v>
      </c>
      <c r="M749" s="18" t="str">
        <f>INDEX(Chapter,MATCH(L749,Chapter!$A$1:$A$681,0),8)</f>
        <v>שירותים ממלכתיים</v>
      </c>
      <c r="N749" s="18" t="str">
        <f t="shared" si="92"/>
        <v>83</v>
      </c>
      <c r="O749" s="18" t="str">
        <f>INDEX(Chapter,MATCH(N749,Chapter!$A$1:$A$681,0),8)</f>
        <v>בריאות</v>
      </c>
      <c r="P749" s="18" t="str">
        <f t="shared" si="93"/>
        <v>833</v>
      </c>
      <c r="Q749" s="18" t="str">
        <f>INDEX(Chapter,MATCH(P749,Chapter!$A$1:$A$681,0),8)</f>
        <v>בתי חולים</v>
      </c>
      <c r="R749" s="18" t="str">
        <f t="shared" si="94"/>
        <v>8331</v>
      </c>
      <c r="S749" s="18" t="str">
        <f>INDEX(Chapter,MATCH(R749,Chapter!$A$1:$A$681,0),8)</f>
        <v>בתי חולים כלליים</v>
      </c>
      <c r="T749" s="18"/>
      <c r="U749" s="18" t="str">
        <f t="shared" si="95"/>
        <v>7</v>
      </c>
      <c r="V749" s="18" t="str">
        <f>IF($L749&lt;"6",INDEX(Revenue_type,MATCH(U749*1,type!$A$118:$A$168,0),8),INDEX(Expenditure_type,MATCH(U749*1,type!$A$2:$A$117,0),8))</f>
        <v>הוצאות לפעולות</v>
      </c>
      <c r="W749" s="18" t="str">
        <f t="shared" si="96"/>
        <v>70</v>
      </c>
      <c r="X749" s="18" t="e">
        <f>IF($L749&lt;"6",INDEX(Revenue_type,MATCH(W749*1,type!$A$118:$A$168,0),8),INDEX(Expenditure_type,MATCH(W749*1,type!$A$2:$A$117,0),8))</f>
        <v>#N/A</v>
      </c>
      <c r="Y749" s="18" t="str">
        <f t="shared" si="97"/>
        <v>700</v>
      </c>
      <c r="Z749" s="18" t="e">
        <f>IF($L749&lt;"6",INDEX(Revenue_type,MATCH(Y749*1,type!$A$118:$A$168,0),8),INDEX(Expenditure_type,MATCH(Y749*1,type!$A$2:$A$117,0),8))</f>
        <v>#N/A</v>
      </c>
    </row>
    <row r="750" spans="1:26" ht="15.75" hidden="1" customHeight="1" outlineLevel="2">
      <c r="A750">
        <v>800</v>
      </c>
      <c r="B750" s="249">
        <v>833100</v>
      </c>
      <c r="C750">
        <v>1</v>
      </c>
      <c r="D750" t="str">
        <f t="shared" si="90"/>
        <v>1833100.800</v>
      </c>
      <c r="E750" s="382" t="s">
        <v>8412</v>
      </c>
      <c r="F750" s="242"/>
      <c r="G750"/>
      <c r="H750" s="322"/>
      <c r="I750" s="322"/>
      <c r="J750" s="242"/>
      <c r="K750" s="18" t="e">
        <f>INDEX(תקציב_2013,MATCH(D750,'תקציב 2015'!$D$3:$D$5960,0),8)</f>
        <v>#N/A</v>
      </c>
      <c r="L750" s="18" t="str">
        <f t="shared" si="91"/>
        <v>8</v>
      </c>
      <c r="M750" s="18" t="str">
        <f>INDEX(Chapter,MATCH(L750,Chapter!$A$1:$A$681,0),8)</f>
        <v>שירותים ממלכתיים</v>
      </c>
      <c r="N750" s="18" t="str">
        <f t="shared" si="92"/>
        <v>83</v>
      </c>
      <c r="O750" s="18" t="str">
        <f>INDEX(Chapter,MATCH(N750,Chapter!$A$1:$A$681,0),8)</f>
        <v>בריאות</v>
      </c>
      <c r="P750" s="18" t="str">
        <f t="shared" si="93"/>
        <v>833</v>
      </c>
      <c r="Q750" s="18" t="str">
        <f>INDEX(Chapter,MATCH(P750,Chapter!$A$1:$A$681,0),8)</f>
        <v>בתי חולים</v>
      </c>
      <c r="R750" s="18" t="str">
        <f t="shared" si="94"/>
        <v>8331</v>
      </c>
      <c r="S750" s="18" t="str">
        <f>INDEX(Chapter,MATCH(R750,Chapter!$A$1:$A$681,0),8)</f>
        <v>בתי חולים כלליים</v>
      </c>
      <c r="T750" s="18"/>
      <c r="U750" s="18" t="str">
        <f t="shared" si="95"/>
        <v>8</v>
      </c>
      <c r="V750" s="18" t="str">
        <f>IF($L750&lt;"6",INDEX(Revenue_type,MATCH(U750*1,type!$A$118:$A$168,0),8),INDEX(Expenditure_type,MATCH(U750*1,type!$A$2:$A$117,0),8))</f>
        <v>השתתפויות תמיכות ותרומות</v>
      </c>
      <c r="W750" s="18" t="str">
        <f t="shared" si="96"/>
        <v>80</v>
      </c>
      <c r="X750" s="18" t="e">
        <f>IF($L750&lt;"6",INDEX(Revenue_type,MATCH(W750*1,type!$A$118:$A$168,0),8),INDEX(Expenditure_type,MATCH(W750*1,type!$A$2:$A$117,0),8))</f>
        <v>#N/A</v>
      </c>
      <c r="Y750" s="18" t="str">
        <f t="shared" si="97"/>
        <v>800</v>
      </c>
      <c r="Z750" s="18" t="e">
        <f>IF($L750&lt;"6",INDEX(Revenue_type,MATCH(Y750*1,type!$A$118:$A$168,0),8),INDEX(Expenditure_type,MATCH(Y750*1,type!$A$2:$A$117,0),8))</f>
        <v>#N/A</v>
      </c>
    </row>
    <row r="751" spans="1:26" ht="15.75" hidden="1" customHeight="1" outlineLevel="2">
      <c r="A751">
        <v>900</v>
      </c>
      <c r="B751" s="249">
        <v>833100</v>
      </c>
      <c r="C751">
        <v>1</v>
      </c>
      <c r="D751" t="str">
        <f t="shared" si="90"/>
        <v>1833100.900</v>
      </c>
      <c r="E751" s="382" t="s">
        <v>8413</v>
      </c>
      <c r="F751" s="242"/>
      <c r="G751"/>
      <c r="H751" s="322"/>
      <c r="I751" s="322"/>
      <c r="J751" s="242"/>
      <c r="K751" s="18" t="e">
        <f>INDEX(תקציב_2013,MATCH(D751,'תקציב 2015'!$D$3:$D$5960,0),8)</f>
        <v>#N/A</v>
      </c>
      <c r="L751" s="18" t="str">
        <f t="shared" si="91"/>
        <v>8</v>
      </c>
      <c r="M751" s="18" t="str">
        <f>INDEX(Chapter,MATCH(L751,Chapter!$A$1:$A$681,0),8)</f>
        <v>שירותים ממלכתיים</v>
      </c>
      <c r="N751" s="18" t="str">
        <f t="shared" si="92"/>
        <v>83</v>
      </c>
      <c r="O751" s="18" t="str">
        <f>INDEX(Chapter,MATCH(N751,Chapter!$A$1:$A$681,0),8)</f>
        <v>בריאות</v>
      </c>
      <c r="P751" s="18" t="str">
        <f t="shared" si="93"/>
        <v>833</v>
      </c>
      <c r="Q751" s="18" t="str">
        <f>INDEX(Chapter,MATCH(P751,Chapter!$A$1:$A$681,0),8)</f>
        <v>בתי חולים</v>
      </c>
      <c r="R751" s="18" t="str">
        <f t="shared" si="94"/>
        <v>8331</v>
      </c>
      <c r="S751" s="18" t="str">
        <f>INDEX(Chapter,MATCH(R751,Chapter!$A$1:$A$681,0),8)</f>
        <v>בתי חולים כלליים</v>
      </c>
      <c r="T751" s="18"/>
      <c r="U751" s="18" t="str">
        <f t="shared" si="95"/>
        <v>9</v>
      </c>
      <c r="V751" s="18" t="str">
        <f>IF($L751&lt;"6",INDEX(Revenue_type,MATCH(U751*1,type!$A$118:$A$168,0),8),INDEX(Expenditure_type,MATCH(U751*1,type!$A$2:$A$117,0),8))</f>
        <v>הוצאות חד פעמיות</v>
      </c>
      <c r="W751" s="18" t="str">
        <f t="shared" si="96"/>
        <v>90</v>
      </c>
      <c r="X751" s="18" t="e">
        <f>IF($L751&lt;"6",INDEX(Revenue_type,MATCH(W751*1,type!$A$118:$A$168,0),8),INDEX(Expenditure_type,MATCH(W751*1,type!$A$2:$A$117,0),8))</f>
        <v>#N/A</v>
      </c>
      <c r="Y751" s="18" t="str">
        <f t="shared" si="97"/>
        <v>900</v>
      </c>
      <c r="Z751" s="18" t="e">
        <f>IF($L751&lt;"6",INDEX(Revenue_type,MATCH(Y751*1,type!$A$118:$A$168,0),8),INDEX(Expenditure_type,MATCH(Y751*1,type!$A$2:$A$117,0),8))</f>
        <v>#N/A</v>
      </c>
    </row>
    <row r="752" spans="1:26" ht="15.75" hidden="1" customHeight="1" outlineLevel="2">
      <c r="A752">
        <v>600</v>
      </c>
      <c r="B752" s="249">
        <v>833100</v>
      </c>
      <c r="C752">
        <v>1</v>
      </c>
      <c r="D752" t="str">
        <f t="shared" si="90"/>
        <v>1833100.600</v>
      </c>
      <c r="E752" s="382" t="s">
        <v>8414</v>
      </c>
      <c r="F752" s="242"/>
      <c r="G752"/>
      <c r="H752" s="322"/>
      <c r="I752" s="322"/>
      <c r="J752" s="242"/>
      <c r="K752" s="18" t="e">
        <f>INDEX(תקציב_2013,MATCH(D752,'תקציב 2015'!$D$3:$D$5960,0),8)</f>
        <v>#N/A</v>
      </c>
      <c r="L752" s="18" t="str">
        <f t="shared" si="91"/>
        <v>8</v>
      </c>
      <c r="M752" s="18" t="str">
        <f>INDEX(Chapter,MATCH(L752,Chapter!$A$1:$A$681,0),8)</f>
        <v>שירותים ממלכתיים</v>
      </c>
      <c r="N752" s="18" t="str">
        <f t="shared" si="92"/>
        <v>83</v>
      </c>
      <c r="O752" s="18" t="str">
        <f>INDEX(Chapter,MATCH(N752,Chapter!$A$1:$A$681,0),8)</f>
        <v>בריאות</v>
      </c>
      <c r="P752" s="18" t="str">
        <f t="shared" si="93"/>
        <v>833</v>
      </c>
      <c r="Q752" s="18" t="str">
        <f>INDEX(Chapter,MATCH(P752,Chapter!$A$1:$A$681,0),8)</f>
        <v>בתי חולים</v>
      </c>
      <c r="R752" s="18" t="str">
        <f t="shared" si="94"/>
        <v>8331</v>
      </c>
      <c r="S752" s="18" t="str">
        <f>INDEX(Chapter,MATCH(R752,Chapter!$A$1:$A$681,0),8)</f>
        <v>בתי חולים כלליים</v>
      </c>
      <c r="T752" s="18"/>
      <c r="U752" s="18" t="str">
        <f t="shared" si="95"/>
        <v>6</v>
      </c>
      <c r="V752" s="18" t="str">
        <f>IF($L752&lt;"6",INDEX(Revenue_type,MATCH(U752*1,type!$A$118:$A$168,0),8),INDEX(Expenditure_type,MATCH(U752*1,type!$A$2:$A$117,0),8))</f>
        <v>מימון ופירעון מלוות</v>
      </c>
      <c r="W752" s="18" t="str">
        <f t="shared" si="96"/>
        <v>60</v>
      </c>
      <c r="X752" s="18" t="e">
        <f>IF($L752&lt;"6",INDEX(Revenue_type,MATCH(W752*1,type!$A$118:$A$168,0),8),INDEX(Expenditure_type,MATCH(W752*1,type!$A$2:$A$117,0),8))</f>
        <v>#N/A</v>
      </c>
      <c r="Y752" s="18" t="str">
        <f t="shared" si="97"/>
        <v>600</v>
      </c>
      <c r="Z752" s="18" t="e">
        <f>IF($L752&lt;"6",INDEX(Revenue_type,MATCH(Y752*1,type!$A$118:$A$168,0),8),INDEX(Expenditure_type,MATCH(Y752*1,type!$A$2:$A$117,0),8))</f>
        <v>#N/A</v>
      </c>
    </row>
    <row r="753" spans="1:26" ht="15.75" hidden="1" customHeight="1" outlineLevel="2">
      <c r="A753">
        <v>600</v>
      </c>
      <c r="B753" s="249">
        <v>640000</v>
      </c>
      <c r="C753">
        <v>1</v>
      </c>
      <c r="D753" t="str">
        <f t="shared" si="90"/>
        <v>1640000.600</v>
      </c>
      <c r="E753" s="382" t="s">
        <v>8415</v>
      </c>
      <c r="F753" s="242"/>
      <c r="G753"/>
      <c r="H753" s="322">
        <v>167000000</v>
      </c>
      <c r="I753" s="322">
        <v>175000000</v>
      </c>
      <c r="J753" s="242">
        <v>205289100</v>
      </c>
      <c r="K753" s="18" t="e">
        <f>INDEX(תקציב_2013,MATCH(D753,'תקציב 2015'!$D$3:$D$5960,0),8)</f>
        <v>#N/A</v>
      </c>
      <c r="L753" s="18" t="str">
        <f t="shared" si="91"/>
        <v>6</v>
      </c>
      <c r="M753" s="18" t="str">
        <f>INDEX(Chapter,MATCH(L753,Chapter!$A$1:$A$681,0),8)</f>
        <v>הנהלה כללית</v>
      </c>
      <c r="N753" s="18" t="str">
        <f t="shared" si="92"/>
        <v>64</v>
      </c>
      <c r="O753" s="18" t="str">
        <f>INDEX(Chapter,MATCH(N753,Chapter!$A$1:$A$681,0),8)</f>
        <v>פרעון מלוות</v>
      </c>
      <c r="P753" s="18" t="str">
        <f t="shared" si="93"/>
        <v>640</v>
      </c>
      <c r="Q753" s="18" t="e">
        <f>INDEX(Chapter,MATCH(P753,Chapter!$A$1:$A$681,0),8)</f>
        <v>#N/A</v>
      </c>
      <c r="R753" s="18" t="str">
        <f t="shared" si="94"/>
        <v>6400</v>
      </c>
      <c r="S753" s="18" t="e">
        <f>INDEX(Chapter,MATCH(R753,Chapter!$A$1:$A$681,0),8)</f>
        <v>#N/A</v>
      </c>
      <c r="T753" s="18"/>
      <c r="U753" s="18" t="str">
        <f t="shared" si="95"/>
        <v>6</v>
      </c>
      <c r="V753" s="18" t="str">
        <f>IF($L753&lt;"6",INDEX(Revenue_type,MATCH(U753*1,type!$A$118:$A$168,0),8),INDEX(Expenditure_type,MATCH(U753*1,type!$A$2:$A$117,0),8))</f>
        <v>מימון ופירעון מלוות</v>
      </c>
      <c r="W753" s="18" t="str">
        <f t="shared" si="96"/>
        <v>60</v>
      </c>
      <c r="X753" s="18" t="e">
        <f>IF($L753&lt;"6",INDEX(Revenue_type,MATCH(W753*1,type!$A$118:$A$168,0),8),INDEX(Expenditure_type,MATCH(W753*1,type!$A$2:$A$117,0),8))</f>
        <v>#N/A</v>
      </c>
      <c r="Y753" s="18" t="str">
        <f t="shared" si="97"/>
        <v>600</v>
      </c>
      <c r="Z753" s="18" t="e">
        <f>IF($L753&lt;"6",INDEX(Revenue_type,MATCH(Y753*1,type!$A$118:$A$168,0),8),INDEX(Expenditure_type,MATCH(Y753*1,type!$A$2:$A$117,0),8))</f>
        <v>#N/A</v>
      </c>
    </row>
    <row r="754" spans="1:26" ht="15.75" hidden="1" customHeight="1" outlineLevel="2">
      <c r="A754">
        <v>600</v>
      </c>
      <c r="B754" s="249">
        <v>640000</v>
      </c>
      <c r="C754">
        <v>1</v>
      </c>
      <c r="D754" t="str">
        <f t="shared" si="90"/>
        <v>1640000.600</v>
      </c>
      <c r="E754" s="382" t="s">
        <v>8416</v>
      </c>
      <c r="F754" s="242"/>
      <c r="G754"/>
      <c r="H754" s="322"/>
      <c r="I754" s="322"/>
      <c r="J754" s="242"/>
      <c r="K754" s="18" t="e">
        <f>INDEX(תקציב_2013,MATCH(D754,'תקציב 2015'!$D$3:$D$5960,0),8)</f>
        <v>#N/A</v>
      </c>
      <c r="L754" s="18" t="str">
        <f t="shared" si="91"/>
        <v>6</v>
      </c>
      <c r="M754" s="18" t="str">
        <f>INDEX(Chapter,MATCH(L754,Chapter!$A$1:$A$681,0),8)</f>
        <v>הנהלה כללית</v>
      </c>
      <c r="N754" s="18" t="str">
        <f t="shared" si="92"/>
        <v>64</v>
      </c>
      <c r="O754" s="18" t="str">
        <f>INDEX(Chapter,MATCH(N754,Chapter!$A$1:$A$681,0),8)</f>
        <v>פרעון מלוות</v>
      </c>
      <c r="P754" s="18" t="str">
        <f t="shared" si="93"/>
        <v>640</v>
      </c>
      <c r="Q754" s="18" t="e">
        <f>INDEX(Chapter,MATCH(P754,Chapter!$A$1:$A$681,0),8)</f>
        <v>#N/A</v>
      </c>
      <c r="R754" s="18" t="str">
        <f t="shared" si="94"/>
        <v>6400</v>
      </c>
      <c r="S754" s="18" t="e">
        <f>INDEX(Chapter,MATCH(R754,Chapter!$A$1:$A$681,0),8)</f>
        <v>#N/A</v>
      </c>
      <c r="T754" s="18"/>
      <c r="U754" s="18" t="str">
        <f t="shared" si="95"/>
        <v>6</v>
      </c>
      <c r="V754" s="18" t="str">
        <f>IF($L754&lt;"6",INDEX(Revenue_type,MATCH(U754*1,type!$A$118:$A$168,0),8),INDEX(Expenditure_type,MATCH(U754*1,type!$A$2:$A$117,0),8))</f>
        <v>מימון ופירעון מלוות</v>
      </c>
      <c r="W754" s="18" t="str">
        <f t="shared" si="96"/>
        <v>60</v>
      </c>
      <c r="X754" s="18" t="e">
        <f>IF($L754&lt;"6",INDEX(Revenue_type,MATCH(W754*1,type!$A$118:$A$168,0),8),INDEX(Expenditure_type,MATCH(W754*1,type!$A$2:$A$117,0),8))</f>
        <v>#N/A</v>
      </c>
      <c r="Y754" s="18" t="str">
        <f t="shared" si="97"/>
        <v>600</v>
      </c>
      <c r="Z754" s="18" t="e">
        <f>IF($L754&lt;"6",INDEX(Revenue_type,MATCH(Y754*1,type!$A$118:$A$168,0),8),INDEX(Expenditure_type,MATCH(Y754*1,type!$A$2:$A$117,0),8))</f>
        <v>#N/A</v>
      </c>
    </row>
    <row r="755" spans="1:26" ht="15.75" hidden="1" customHeight="1" outlineLevel="2">
      <c r="A755">
        <v>700</v>
      </c>
      <c r="B755" s="249" t="e">
        <v>#N/A</v>
      </c>
      <c r="C755">
        <v>1</v>
      </c>
      <c r="D755" t="e">
        <f t="shared" si="90"/>
        <v>#N/A</v>
      </c>
      <c r="E755" s="382" t="s">
        <v>8417</v>
      </c>
      <c r="F755" s="242"/>
      <c r="G755"/>
      <c r="H755" s="322"/>
      <c r="I755" s="322"/>
      <c r="J755" s="242"/>
      <c r="K755" s="18" t="e">
        <f>INDEX(תקציב_2013,MATCH(D755,'תקציב 2015'!$D$3:$D$5960,0),8)</f>
        <v>#N/A</v>
      </c>
      <c r="L755" s="18" t="e">
        <f t="shared" si="91"/>
        <v>#N/A</v>
      </c>
      <c r="M755" s="18" t="e">
        <f>INDEX(Chapter,MATCH(L755,Chapter!$A$1:$A$681,0),8)</f>
        <v>#N/A</v>
      </c>
      <c r="N755" s="18" t="e">
        <f t="shared" si="92"/>
        <v>#N/A</v>
      </c>
      <c r="O755" s="18" t="e">
        <f>INDEX(Chapter,MATCH(N755,Chapter!$A$1:$A$681,0),8)</f>
        <v>#N/A</v>
      </c>
      <c r="P755" s="18" t="e">
        <f t="shared" si="93"/>
        <v>#N/A</v>
      </c>
      <c r="Q755" s="18" t="e">
        <f>INDEX(Chapter,MATCH(P755,Chapter!$A$1:$A$681,0),8)</f>
        <v>#N/A</v>
      </c>
      <c r="R755" s="18" t="e">
        <f t="shared" si="94"/>
        <v>#N/A</v>
      </c>
      <c r="S755" s="18" t="e">
        <f>INDEX(Chapter,MATCH(R755,Chapter!$A$1:$A$681,0),8)</f>
        <v>#N/A</v>
      </c>
      <c r="T755" s="18"/>
      <c r="U755" s="18" t="str">
        <f t="shared" si="95"/>
        <v>7</v>
      </c>
      <c r="V755" s="18" t="e">
        <f>IF($L755&lt;"6",INDEX(Revenue_type,MATCH(U755*1,type!$A$118:$A$168,0),8),INDEX(Expenditure_type,MATCH(U755*1,type!$A$2:$A$117,0),8))</f>
        <v>#N/A</v>
      </c>
      <c r="W755" s="18" t="str">
        <f t="shared" si="96"/>
        <v>70</v>
      </c>
      <c r="X755" s="18" t="e">
        <f>IF($L755&lt;"6",INDEX(Revenue_type,MATCH(W755*1,type!$A$118:$A$168,0),8),INDEX(Expenditure_type,MATCH(W755*1,type!$A$2:$A$117,0),8))</f>
        <v>#N/A</v>
      </c>
      <c r="Y755" s="18" t="str">
        <f t="shared" si="97"/>
        <v>700</v>
      </c>
      <c r="Z755" s="18" t="e">
        <f>IF($L755&lt;"6",INDEX(Revenue_type,MATCH(Y755*1,type!$A$118:$A$168,0),8),INDEX(Expenditure_type,MATCH(Y755*1,type!$A$2:$A$117,0),8))</f>
        <v>#N/A</v>
      </c>
    </row>
    <row r="756" spans="1:26" ht="15.75" hidden="1" customHeight="1" outlineLevel="2">
      <c r="A756">
        <v>600</v>
      </c>
      <c r="B756" s="249" t="e">
        <v>#N/A</v>
      </c>
      <c r="C756">
        <v>1</v>
      </c>
      <c r="D756" t="e">
        <f t="shared" si="90"/>
        <v>#N/A</v>
      </c>
      <c r="E756" s="382" t="s">
        <v>8418</v>
      </c>
      <c r="F756" s="242"/>
      <c r="G756"/>
      <c r="H756" s="322"/>
      <c r="I756" s="322"/>
      <c r="J756" s="242"/>
      <c r="K756" s="18" t="e">
        <f>INDEX(תקציב_2013,MATCH(D756,'תקציב 2015'!$D$3:$D$5960,0),8)</f>
        <v>#N/A</v>
      </c>
      <c r="L756" s="18" t="e">
        <f t="shared" si="91"/>
        <v>#N/A</v>
      </c>
      <c r="M756" s="18" t="e">
        <f>INDEX(Chapter,MATCH(L756,Chapter!$A$1:$A$681,0),8)</f>
        <v>#N/A</v>
      </c>
      <c r="N756" s="18" t="e">
        <f t="shared" si="92"/>
        <v>#N/A</v>
      </c>
      <c r="O756" s="18" t="e">
        <f>INDEX(Chapter,MATCH(N756,Chapter!$A$1:$A$681,0),8)</f>
        <v>#N/A</v>
      </c>
      <c r="P756" s="18" t="e">
        <f t="shared" si="93"/>
        <v>#N/A</v>
      </c>
      <c r="Q756" s="18" t="e">
        <f>INDEX(Chapter,MATCH(P756,Chapter!$A$1:$A$681,0),8)</f>
        <v>#N/A</v>
      </c>
      <c r="R756" s="18" t="e">
        <f t="shared" si="94"/>
        <v>#N/A</v>
      </c>
      <c r="S756" s="18" t="e">
        <f>INDEX(Chapter,MATCH(R756,Chapter!$A$1:$A$681,0),8)</f>
        <v>#N/A</v>
      </c>
      <c r="T756" s="18"/>
      <c r="U756" s="18" t="str">
        <f t="shared" si="95"/>
        <v>6</v>
      </c>
      <c r="V756" s="18" t="e">
        <f>IF($L756&lt;"6",INDEX(Revenue_type,MATCH(U756*1,type!$A$118:$A$168,0),8),INDEX(Expenditure_type,MATCH(U756*1,type!$A$2:$A$117,0),8))</f>
        <v>#N/A</v>
      </c>
      <c r="W756" s="18" t="str">
        <f t="shared" si="96"/>
        <v>60</v>
      </c>
      <c r="X756" s="18" t="e">
        <f>IF($L756&lt;"6",INDEX(Revenue_type,MATCH(W756*1,type!$A$118:$A$168,0),8),INDEX(Expenditure_type,MATCH(W756*1,type!$A$2:$A$117,0),8))</f>
        <v>#N/A</v>
      </c>
      <c r="Y756" s="18" t="str">
        <f t="shared" si="97"/>
        <v>600</v>
      </c>
      <c r="Z756" s="18" t="e">
        <f>IF($L756&lt;"6",INDEX(Revenue_type,MATCH(Y756*1,type!$A$118:$A$168,0),8),INDEX(Expenditure_type,MATCH(Y756*1,type!$A$2:$A$117,0),8))</f>
        <v>#N/A</v>
      </c>
    </row>
    <row r="757" spans="1:26" ht="15.75" hidden="1" customHeight="1" outlineLevel="2">
      <c r="A757">
        <v>100</v>
      </c>
      <c r="B757" s="249">
        <v>621111</v>
      </c>
      <c r="C757">
        <v>1</v>
      </c>
      <c r="D757" t="str">
        <f t="shared" si="90"/>
        <v>1621111.100</v>
      </c>
      <c r="E757" s="382" t="s">
        <v>8419</v>
      </c>
      <c r="F757" s="242"/>
      <c r="G757"/>
      <c r="H757" s="322">
        <v>2165200</v>
      </c>
      <c r="I757" s="322">
        <v>2140200</v>
      </c>
      <c r="J757" s="242">
        <v>2161200</v>
      </c>
      <c r="K757" s="18" t="e">
        <f>INDEX(תקציב_2013,MATCH(D757,'תקציב 2015'!$D$3:$D$5960,0),8)</f>
        <v>#N/A</v>
      </c>
      <c r="L757" s="18" t="str">
        <f t="shared" si="91"/>
        <v>6</v>
      </c>
      <c r="M757" s="18" t="str">
        <f>INDEX(Chapter,MATCH(L757,Chapter!$A$1:$A$681,0),8)</f>
        <v>הנהלה כללית</v>
      </c>
      <c r="N757" s="18" t="str">
        <f t="shared" si="92"/>
        <v>62</v>
      </c>
      <c r="O757" s="18" t="str">
        <f>INDEX(Chapter,MATCH(N757,Chapter!$A$1:$A$681,0),8)</f>
        <v>מינהל כספי</v>
      </c>
      <c r="P757" s="18" t="str">
        <f t="shared" si="93"/>
        <v>621</v>
      </c>
      <c r="Q757" s="18" t="str">
        <f>INDEX(Chapter,MATCH(P757,Chapter!$A$1:$A$681,0),8)</f>
        <v>הגזברות</v>
      </c>
      <c r="R757" s="18" t="str">
        <f t="shared" si="94"/>
        <v>6211</v>
      </c>
      <c r="S757" s="18" t="str">
        <f>INDEX(Chapter,MATCH(R757,Chapter!$A$1:$A$681,0),8)</f>
        <v>הנהלת הגזברות</v>
      </c>
      <c r="T757" s="18"/>
      <c r="U757" s="18" t="str">
        <f t="shared" si="95"/>
        <v>1</v>
      </c>
      <c r="V757" s="18" t="str">
        <f>IF($L757&lt;"6",INDEX(Revenue_type,MATCH(U757*1,type!$A$118:$A$168,0),8),INDEX(Expenditure_type,MATCH(U757*1,type!$A$2:$A$117,0),8))</f>
        <v>משכורות וש"ע לעובדים לפי תקן</v>
      </c>
      <c r="W757" s="18" t="str">
        <f t="shared" si="96"/>
        <v>10</v>
      </c>
      <c r="X757" s="18" t="e">
        <f>IF($L757&lt;"6",INDEX(Revenue_type,MATCH(W757*1,type!$A$118:$A$168,0),8),INDEX(Expenditure_type,MATCH(W757*1,type!$A$2:$A$117,0),8))</f>
        <v>#N/A</v>
      </c>
      <c r="Y757" s="18" t="str">
        <f t="shared" si="97"/>
        <v>100</v>
      </c>
      <c r="Z757" s="18" t="e">
        <f>IF($L757&lt;"6",INDEX(Revenue_type,MATCH(Y757*1,type!$A$118:$A$168,0),8),INDEX(Expenditure_type,MATCH(Y757*1,type!$A$2:$A$117,0),8))</f>
        <v>#N/A</v>
      </c>
    </row>
    <row r="758" spans="1:26" ht="15.75" hidden="1" customHeight="1" outlineLevel="2">
      <c r="A758">
        <v>120</v>
      </c>
      <c r="B758" s="249">
        <v>621111</v>
      </c>
      <c r="C758">
        <v>1</v>
      </c>
      <c r="D758" t="str">
        <f t="shared" si="90"/>
        <v>1621111.120</v>
      </c>
      <c r="E758" s="382" t="s">
        <v>8420</v>
      </c>
      <c r="F758" s="242"/>
      <c r="G758"/>
      <c r="H758" s="322">
        <v>113800</v>
      </c>
      <c r="I758" s="322">
        <v>113800</v>
      </c>
      <c r="J758" s="242">
        <v>109100</v>
      </c>
      <c r="K758" s="18" t="e">
        <f>INDEX(תקציב_2013,MATCH(D758,'תקציב 2015'!$D$3:$D$5960,0),8)</f>
        <v>#N/A</v>
      </c>
      <c r="L758" s="18" t="str">
        <f t="shared" si="91"/>
        <v>6</v>
      </c>
      <c r="M758" s="18" t="str">
        <f>INDEX(Chapter,MATCH(L758,Chapter!$A$1:$A$681,0),8)</f>
        <v>הנהלה כללית</v>
      </c>
      <c r="N758" s="18" t="str">
        <f t="shared" si="92"/>
        <v>62</v>
      </c>
      <c r="O758" s="18" t="str">
        <f>INDEX(Chapter,MATCH(N758,Chapter!$A$1:$A$681,0),8)</f>
        <v>מינהל כספי</v>
      </c>
      <c r="P758" s="18" t="str">
        <f t="shared" si="93"/>
        <v>621</v>
      </c>
      <c r="Q758" s="18" t="str">
        <f>INDEX(Chapter,MATCH(P758,Chapter!$A$1:$A$681,0),8)</f>
        <v>הגזברות</v>
      </c>
      <c r="R758" s="18" t="str">
        <f t="shared" si="94"/>
        <v>6211</v>
      </c>
      <c r="S758" s="18" t="str">
        <f>INDEX(Chapter,MATCH(R758,Chapter!$A$1:$A$681,0),8)</f>
        <v>הנהלת הגזברות</v>
      </c>
      <c r="T758" s="18"/>
      <c r="U758" s="18" t="str">
        <f t="shared" si="95"/>
        <v>1</v>
      </c>
      <c r="V758" s="18" t="str">
        <f>IF($L758&lt;"6",INDEX(Revenue_type,MATCH(U758*1,type!$A$118:$A$168,0),8),INDEX(Expenditure_type,MATCH(U758*1,type!$A$2:$A$117,0),8))</f>
        <v>משכורות וש"ע לעובדים לפי תקן</v>
      </c>
      <c r="W758" s="18" t="str">
        <f t="shared" si="96"/>
        <v>12</v>
      </c>
      <c r="X758" s="18" t="str">
        <f>IF($L758&lt;"6",INDEX(Revenue_type,MATCH(W758*1,type!$A$118:$A$168,0),8),INDEX(Expenditure_type,MATCH(W758*1,type!$A$2:$A$117,0),8))</f>
        <v>תוספות שאינן נכללות בשכר הקובע</v>
      </c>
      <c r="Y758" s="18" t="str">
        <f t="shared" si="97"/>
        <v>120</v>
      </c>
      <c r="Z758" s="18" t="e">
        <f>IF($L758&lt;"6",INDEX(Revenue_type,MATCH(Y758*1,type!$A$118:$A$168,0),8),INDEX(Expenditure_type,MATCH(Y758*1,type!$A$2:$A$117,0),8))</f>
        <v>#N/A</v>
      </c>
    </row>
    <row r="759" spans="1:26" ht="15.75" hidden="1" customHeight="1" outlineLevel="2">
      <c r="A759">
        <v>400</v>
      </c>
      <c r="B759" s="249">
        <v>621111</v>
      </c>
      <c r="C759">
        <v>1</v>
      </c>
      <c r="D759" t="str">
        <f t="shared" si="90"/>
        <v>1621111.400</v>
      </c>
      <c r="E759" s="382" t="s">
        <v>8421</v>
      </c>
      <c r="F759" s="242"/>
      <c r="G759"/>
      <c r="H759" s="322">
        <v>45800</v>
      </c>
      <c r="I759" s="322">
        <v>48800</v>
      </c>
      <c r="J759" s="242">
        <v>49900</v>
      </c>
      <c r="K759" s="18" t="e">
        <f>INDEX(תקציב_2013,MATCH(D759,'תקציב 2015'!$D$3:$D$5960,0),8)</f>
        <v>#N/A</v>
      </c>
      <c r="L759" s="18" t="str">
        <f t="shared" si="91"/>
        <v>6</v>
      </c>
      <c r="M759" s="18" t="str">
        <f>INDEX(Chapter,MATCH(L759,Chapter!$A$1:$A$681,0),8)</f>
        <v>הנהלה כללית</v>
      </c>
      <c r="N759" s="18" t="str">
        <f t="shared" si="92"/>
        <v>62</v>
      </c>
      <c r="O759" s="18" t="str">
        <f>INDEX(Chapter,MATCH(N759,Chapter!$A$1:$A$681,0),8)</f>
        <v>מינהל כספי</v>
      </c>
      <c r="P759" s="18" t="str">
        <f t="shared" si="93"/>
        <v>621</v>
      </c>
      <c r="Q759" s="18" t="str">
        <f>INDEX(Chapter,MATCH(P759,Chapter!$A$1:$A$681,0),8)</f>
        <v>הגזברות</v>
      </c>
      <c r="R759" s="18" t="str">
        <f t="shared" si="94"/>
        <v>6211</v>
      </c>
      <c r="S759" s="18" t="str">
        <f>INDEX(Chapter,MATCH(R759,Chapter!$A$1:$A$681,0),8)</f>
        <v>הנהלת הגזברות</v>
      </c>
      <c r="T759" s="18"/>
      <c r="U759" s="18" t="str">
        <f t="shared" si="95"/>
        <v>4</v>
      </c>
      <c r="V759" s="18" t="str">
        <f>IF($L759&lt;"6",INDEX(Revenue_type,MATCH(U759*1,type!$A$118:$A$168,0),8),INDEX(Expenditure_type,MATCH(U759*1,type!$A$2:$A$117,0),8))</f>
        <v>אחזקת בינים ואספקת ציוד</v>
      </c>
      <c r="W759" s="18" t="str">
        <f t="shared" si="96"/>
        <v>40</v>
      </c>
      <c r="X759" s="18" t="e">
        <f>IF($L759&lt;"6",INDEX(Revenue_type,MATCH(W759*1,type!$A$118:$A$168,0),8),INDEX(Expenditure_type,MATCH(W759*1,type!$A$2:$A$117,0),8))</f>
        <v>#N/A</v>
      </c>
      <c r="Y759" s="18" t="str">
        <f t="shared" si="97"/>
        <v>400</v>
      </c>
      <c r="Z759" s="18" t="e">
        <f>IF($L759&lt;"6",INDEX(Revenue_type,MATCH(Y759*1,type!$A$118:$A$168,0),8),INDEX(Expenditure_type,MATCH(Y759*1,type!$A$2:$A$117,0),8))</f>
        <v>#N/A</v>
      </c>
    </row>
    <row r="760" spans="1:26" ht="15.75" hidden="1" customHeight="1" outlineLevel="2">
      <c r="A760">
        <v>500</v>
      </c>
      <c r="B760" s="249">
        <v>621111</v>
      </c>
      <c r="C760">
        <v>1</v>
      </c>
      <c r="D760" t="str">
        <f t="shared" si="90"/>
        <v>1621111.500</v>
      </c>
      <c r="E760" s="382" t="s">
        <v>8422</v>
      </c>
      <c r="F760" s="242"/>
      <c r="G760"/>
      <c r="H760" s="322">
        <v>61100</v>
      </c>
      <c r="I760" s="322">
        <v>61100</v>
      </c>
      <c r="J760" s="242">
        <v>63500</v>
      </c>
      <c r="K760" s="18" t="e">
        <f>INDEX(תקציב_2013,MATCH(D760,'תקציב 2015'!$D$3:$D$5960,0),8)</f>
        <v>#N/A</v>
      </c>
      <c r="L760" s="18" t="str">
        <f t="shared" si="91"/>
        <v>6</v>
      </c>
      <c r="M760" s="18" t="str">
        <f>INDEX(Chapter,MATCH(L760,Chapter!$A$1:$A$681,0),8)</f>
        <v>הנהלה כללית</v>
      </c>
      <c r="N760" s="18" t="str">
        <f t="shared" si="92"/>
        <v>62</v>
      </c>
      <c r="O760" s="18" t="str">
        <f>INDEX(Chapter,MATCH(N760,Chapter!$A$1:$A$681,0),8)</f>
        <v>מינהל כספי</v>
      </c>
      <c r="P760" s="18" t="str">
        <f t="shared" si="93"/>
        <v>621</v>
      </c>
      <c r="Q760" s="18" t="str">
        <f>INDEX(Chapter,MATCH(P760,Chapter!$A$1:$A$681,0),8)</f>
        <v>הגזברות</v>
      </c>
      <c r="R760" s="18" t="str">
        <f t="shared" si="94"/>
        <v>6211</v>
      </c>
      <c r="S760" s="18" t="str">
        <f>INDEX(Chapter,MATCH(R760,Chapter!$A$1:$A$681,0),8)</f>
        <v>הנהלת הגזברות</v>
      </c>
      <c r="T760" s="18"/>
      <c r="U760" s="18" t="str">
        <f t="shared" si="95"/>
        <v>5</v>
      </c>
      <c r="V760" s="18" t="str">
        <f>IF($L760&lt;"6",INDEX(Revenue_type,MATCH(U760*1,type!$A$118:$A$168,0),8),INDEX(Expenditure_type,MATCH(U760*1,type!$A$2:$A$117,0),8))</f>
        <v>הוצאות מנהליות</v>
      </c>
      <c r="W760" s="18" t="str">
        <f t="shared" si="96"/>
        <v>50</v>
      </c>
      <c r="X760" s="18" t="e">
        <f>IF($L760&lt;"6",INDEX(Revenue_type,MATCH(W760*1,type!$A$118:$A$168,0),8),INDEX(Expenditure_type,MATCH(W760*1,type!$A$2:$A$117,0),8))</f>
        <v>#N/A</v>
      </c>
      <c r="Y760" s="18" t="str">
        <f t="shared" si="97"/>
        <v>500</v>
      </c>
      <c r="Z760" s="18" t="e">
        <f>IF($L760&lt;"6",INDEX(Revenue_type,MATCH(Y760*1,type!$A$118:$A$168,0),8),INDEX(Expenditure_type,MATCH(Y760*1,type!$A$2:$A$117,0),8))</f>
        <v>#N/A</v>
      </c>
    </row>
    <row r="761" spans="1:26" ht="15.75" hidden="1" customHeight="1" outlineLevel="2">
      <c r="A761">
        <v>500</v>
      </c>
      <c r="B761" s="249">
        <v>621111</v>
      </c>
      <c r="C761">
        <v>1</v>
      </c>
      <c r="D761" t="str">
        <f t="shared" si="90"/>
        <v>1621111.500</v>
      </c>
      <c r="E761" s="378" t="s">
        <v>8423</v>
      </c>
      <c r="F761" s="242"/>
      <c r="G761"/>
      <c r="H761" s="322">
        <v>38800</v>
      </c>
      <c r="I761" s="322">
        <v>38800</v>
      </c>
      <c r="J761" s="242">
        <v>18300</v>
      </c>
      <c r="K761" s="18" t="e">
        <f>INDEX(תקציב_2013,MATCH(D761,'תקציב 2015'!$D$3:$D$5960,0),8)</f>
        <v>#N/A</v>
      </c>
      <c r="L761" s="18" t="str">
        <f t="shared" si="91"/>
        <v>6</v>
      </c>
      <c r="M761" s="18" t="str">
        <f>INDEX(Chapter,MATCH(L761,Chapter!$A$1:$A$681,0),8)</f>
        <v>הנהלה כללית</v>
      </c>
      <c r="N761" s="18" t="str">
        <f t="shared" si="92"/>
        <v>62</v>
      </c>
      <c r="O761" s="18" t="str">
        <f>INDEX(Chapter,MATCH(N761,Chapter!$A$1:$A$681,0),8)</f>
        <v>מינהל כספי</v>
      </c>
      <c r="P761" s="18" t="str">
        <f t="shared" si="93"/>
        <v>621</v>
      </c>
      <c r="Q761" s="18" t="str">
        <f>INDEX(Chapter,MATCH(P761,Chapter!$A$1:$A$681,0),8)</f>
        <v>הגזברות</v>
      </c>
      <c r="R761" s="18" t="str">
        <f t="shared" si="94"/>
        <v>6211</v>
      </c>
      <c r="S761" s="18" t="str">
        <f>INDEX(Chapter,MATCH(R761,Chapter!$A$1:$A$681,0),8)</f>
        <v>הנהלת הגזברות</v>
      </c>
      <c r="T761" s="18"/>
      <c r="U761" s="18" t="str">
        <f t="shared" si="95"/>
        <v>5</v>
      </c>
      <c r="V761" s="18" t="str">
        <f>IF($L761&lt;"6",INDEX(Revenue_type,MATCH(U761*1,type!$A$118:$A$168,0),8),INDEX(Expenditure_type,MATCH(U761*1,type!$A$2:$A$117,0),8))</f>
        <v>הוצאות מנהליות</v>
      </c>
      <c r="W761" s="18" t="str">
        <f t="shared" si="96"/>
        <v>50</v>
      </c>
      <c r="X761" s="18" t="e">
        <f>IF($L761&lt;"6",INDEX(Revenue_type,MATCH(W761*1,type!$A$118:$A$168,0),8),INDEX(Expenditure_type,MATCH(W761*1,type!$A$2:$A$117,0),8))</f>
        <v>#N/A</v>
      </c>
      <c r="Y761" s="18" t="str">
        <f t="shared" si="97"/>
        <v>500</v>
      </c>
      <c r="Z761" s="18" t="e">
        <f>IF($L761&lt;"6",INDEX(Revenue_type,MATCH(Y761*1,type!$A$118:$A$168,0),8),INDEX(Expenditure_type,MATCH(Y761*1,type!$A$2:$A$117,0),8))</f>
        <v>#N/A</v>
      </c>
    </row>
    <row r="762" spans="1:26" ht="15.75" hidden="1" customHeight="1" outlineLevel="2">
      <c r="A762">
        <v>700</v>
      </c>
      <c r="B762" s="249">
        <v>621111</v>
      </c>
      <c r="C762">
        <v>1</v>
      </c>
      <c r="D762" t="str">
        <f t="shared" si="90"/>
        <v>1621111.700</v>
      </c>
      <c r="E762" s="382" t="s">
        <v>8424</v>
      </c>
      <c r="F762" s="242"/>
      <c r="G762"/>
      <c r="H762" s="322">
        <v>15600</v>
      </c>
      <c r="I762" s="322">
        <v>17300</v>
      </c>
      <c r="J762" s="242">
        <v>16300</v>
      </c>
      <c r="K762" s="18" t="e">
        <f>INDEX(תקציב_2013,MATCH(D762,'תקציב 2015'!$D$3:$D$5960,0),8)</f>
        <v>#N/A</v>
      </c>
      <c r="L762" s="18" t="str">
        <f t="shared" si="91"/>
        <v>6</v>
      </c>
      <c r="M762" s="18" t="str">
        <f>INDEX(Chapter,MATCH(L762,Chapter!$A$1:$A$681,0),8)</f>
        <v>הנהלה כללית</v>
      </c>
      <c r="N762" s="18" t="str">
        <f t="shared" si="92"/>
        <v>62</v>
      </c>
      <c r="O762" s="18" t="str">
        <f>INDEX(Chapter,MATCH(N762,Chapter!$A$1:$A$681,0),8)</f>
        <v>מינהל כספי</v>
      </c>
      <c r="P762" s="18" t="str">
        <f t="shared" si="93"/>
        <v>621</v>
      </c>
      <c r="Q762" s="18" t="str">
        <f>INDEX(Chapter,MATCH(P762,Chapter!$A$1:$A$681,0),8)</f>
        <v>הגזברות</v>
      </c>
      <c r="R762" s="18" t="str">
        <f t="shared" si="94"/>
        <v>6211</v>
      </c>
      <c r="S762" s="18" t="str">
        <f>INDEX(Chapter,MATCH(R762,Chapter!$A$1:$A$681,0),8)</f>
        <v>הנהלת הגזברות</v>
      </c>
      <c r="T762" s="18"/>
      <c r="U762" s="18" t="str">
        <f t="shared" si="95"/>
        <v>7</v>
      </c>
      <c r="V762" s="18" t="str">
        <f>IF($L762&lt;"6",INDEX(Revenue_type,MATCH(U762*1,type!$A$118:$A$168,0),8),INDEX(Expenditure_type,MATCH(U762*1,type!$A$2:$A$117,0),8))</f>
        <v>הוצאות לפעולות</v>
      </c>
      <c r="W762" s="18" t="str">
        <f t="shared" si="96"/>
        <v>70</v>
      </c>
      <c r="X762" s="18" t="e">
        <f>IF($L762&lt;"6",INDEX(Revenue_type,MATCH(W762*1,type!$A$118:$A$168,0),8),INDEX(Expenditure_type,MATCH(W762*1,type!$A$2:$A$117,0),8))</f>
        <v>#N/A</v>
      </c>
      <c r="Y762" s="18" t="str">
        <f t="shared" si="97"/>
        <v>700</v>
      </c>
      <c r="Z762" s="18" t="e">
        <f>IF($L762&lt;"6",INDEX(Revenue_type,MATCH(Y762*1,type!$A$118:$A$168,0),8),INDEX(Expenditure_type,MATCH(Y762*1,type!$A$2:$A$117,0),8))</f>
        <v>#N/A</v>
      </c>
    </row>
    <row r="763" spans="1:26" ht="15.75" hidden="1" customHeight="1" outlineLevel="2">
      <c r="A763">
        <v>100</v>
      </c>
      <c r="B763" s="249">
        <v>621310</v>
      </c>
      <c r="C763">
        <v>1</v>
      </c>
      <c r="D763" t="str">
        <f t="shared" si="90"/>
        <v>1621310.100</v>
      </c>
      <c r="E763" s="382" t="s">
        <v>8425</v>
      </c>
      <c r="F763" s="242"/>
      <c r="G763"/>
      <c r="H763" s="322">
        <v>9811600</v>
      </c>
      <c r="I763" s="322">
        <v>9700600</v>
      </c>
      <c r="J763" s="242">
        <v>9507000</v>
      </c>
      <c r="K763" s="18" t="e">
        <f>INDEX(תקציב_2013,MATCH(D763,'תקציב 2015'!$D$3:$D$5960,0),8)</f>
        <v>#N/A</v>
      </c>
      <c r="L763" s="18" t="str">
        <f t="shared" si="91"/>
        <v>6</v>
      </c>
      <c r="M763" s="18" t="str">
        <f>INDEX(Chapter,MATCH(L763,Chapter!$A$1:$A$681,0),8)</f>
        <v>הנהלה כללית</v>
      </c>
      <c r="N763" s="18" t="str">
        <f t="shared" si="92"/>
        <v>62</v>
      </c>
      <c r="O763" s="18" t="str">
        <f>INDEX(Chapter,MATCH(N763,Chapter!$A$1:$A$681,0),8)</f>
        <v>מינהל כספי</v>
      </c>
      <c r="P763" s="18" t="str">
        <f t="shared" si="93"/>
        <v>621</v>
      </c>
      <c r="Q763" s="18" t="str">
        <f>INDEX(Chapter,MATCH(P763,Chapter!$A$1:$A$681,0),8)</f>
        <v>הגזברות</v>
      </c>
      <c r="R763" s="18" t="str">
        <f t="shared" si="94"/>
        <v>6213</v>
      </c>
      <c r="S763" s="18" t="str">
        <f>INDEX(Chapter,MATCH(R763,Chapter!$A$1:$A$681,0),8)</f>
        <v>הנהלת חשבונות</v>
      </c>
      <c r="T763" s="18"/>
      <c r="U763" s="18" t="str">
        <f t="shared" si="95"/>
        <v>1</v>
      </c>
      <c r="V763" s="18" t="str">
        <f>IF($L763&lt;"6",INDEX(Revenue_type,MATCH(U763*1,type!$A$118:$A$168,0),8),INDEX(Expenditure_type,MATCH(U763*1,type!$A$2:$A$117,0),8))</f>
        <v>משכורות וש"ע לעובדים לפי תקן</v>
      </c>
      <c r="W763" s="18" t="str">
        <f t="shared" si="96"/>
        <v>10</v>
      </c>
      <c r="X763" s="18" t="e">
        <f>IF($L763&lt;"6",INDEX(Revenue_type,MATCH(W763*1,type!$A$118:$A$168,0),8),INDEX(Expenditure_type,MATCH(W763*1,type!$A$2:$A$117,0),8))</f>
        <v>#N/A</v>
      </c>
      <c r="Y763" s="18" t="str">
        <f t="shared" si="97"/>
        <v>100</v>
      </c>
      <c r="Z763" s="18" t="e">
        <f>IF($L763&lt;"6",INDEX(Revenue_type,MATCH(Y763*1,type!$A$118:$A$168,0),8),INDEX(Expenditure_type,MATCH(Y763*1,type!$A$2:$A$117,0),8))</f>
        <v>#N/A</v>
      </c>
    </row>
    <row r="764" spans="1:26" ht="15.75" hidden="1" customHeight="1" outlineLevel="2">
      <c r="A764">
        <v>120</v>
      </c>
      <c r="B764" s="249">
        <v>621310</v>
      </c>
      <c r="C764">
        <v>1</v>
      </c>
      <c r="D764" t="str">
        <f t="shared" si="90"/>
        <v>1621310.120</v>
      </c>
      <c r="E764" s="382" t="s">
        <v>8426</v>
      </c>
      <c r="F764" s="242"/>
      <c r="G764"/>
      <c r="H764" s="322">
        <v>334400</v>
      </c>
      <c r="I764" s="322">
        <v>334400</v>
      </c>
      <c r="J764" s="242">
        <v>406700</v>
      </c>
      <c r="K764" s="18">
        <f>INDEX(תקציב_2013,MATCH(D764,'תקציב 2015'!$D$3:$D$5960,0),8)</f>
        <v>50186</v>
      </c>
      <c r="L764" s="18" t="str">
        <f t="shared" si="91"/>
        <v>6</v>
      </c>
      <c r="M764" s="18" t="str">
        <f>INDEX(Chapter,MATCH(L764,Chapter!$A$1:$A$681,0),8)</f>
        <v>הנהלה כללית</v>
      </c>
      <c r="N764" s="18" t="str">
        <f t="shared" si="92"/>
        <v>62</v>
      </c>
      <c r="O764" s="18" t="str">
        <f>INDEX(Chapter,MATCH(N764,Chapter!$A$1:$A$681,0),8)</f>
        <v>מינהל כספי</v>
      </c>
      <c r="P764" s="18" t="str">
        <f t="shared" si="93"/>
        <v>621</v>
      </c>
      <c r="Q764" s="18" t="str">
        <f>INDEX(Chapter,MATCH(P764,Chapter!$A$1:$A$681,0),8)</f>
        <v>הגזברות</v>
      </c>
      <c r="R764" s="18" t="str">
        <f t="shared" si="94"/>
        <v>6213</v>
      </c>
      <c r="S764" s="18" t="str">
        <f>INDEX(Chapter,MATCH(R764,Chapter!$A$1:$A$681,0),8)</f>
        <v>הנהלת חשבונות</v>
      </c>
      <c r="T764" s="18"/>
      <c r="U764" s="18" t="str">
        <f t="shared" si="95"/>
        <v>1</v>
      </c>
      <c r="V764" s="18" t="str">
        <f>IF($L764&lt;"6",INDEX(Revenue_type,MATCH(U764*1,type!$A$118:$A$168,0),8),INDEX(Expenditure_type,MATCH(U764*1,type!$A$2:$A$117,0),8))</f>
        <v>משכורות וש"ע לעובדים לפי תקן</v>
      </c>
      <c r="W764" s="18" t="str">
        <f t="shared" si="96"/>
        <v>12</v>
      </c>
      <c r="X764" s="18" t="str">
        <f>IF($L764&lt;"6",INDEX(Revenue_type,MATCH(W764*1,type!$A$118:$A$168,0),8),INDEX(Expenditure_type,MATCH(W764*1,type!$A$2:$A$117,0),8))</f>
        <v>תוספות שאינן נכללות בשכר הקובע</v>
      </c>
      <c r="Y764" s="18" t="str">
        <f t="shared" si="97"/>
        <v>120</v>
      </c>
      <c r="Z764" s="18" t="e">
        <f>IF($L764&lt;"6",INDEX(Revenue_type,MATCH(Y764*1,type!$A$118:$A$168,0),8),INDEX(Expenditure_type,MATCH(Y764*1,type!$A$2:$A$117,0),8))</f>
        <v>#N/A</v>
      </c>
    </row>
    <row r="765" spans="1:26" ht="15.75" hidden="1" customHeight="1" outlineLevel="2">
      <c r="A765">
        <v>400</v>
      </c>
      <c r="B765" s="249">
        <v>621310</v>
      </c>
      <c r="C765">
        <v>1</v>
      </c>
      <c r="D765" t="str">
        <f t="shared" si="90"/>
        <v>1621310.400</v>
      </c>
      <c r="E765" s="382" t="s">
        <v>8427</v>
      </c>
      <c r="F765" s="242"/>
      <c r="G765"/>
      <c r="H765" s="322">
        <v>191000</v>
      </c>
      <c r="I765" s="322">
        <v>201000</v>
      </c>
      <c r="J765" s="242">
        <v>205400</v>
      </c>
      <c r="K765" s="18" t="e">
        <f>INDEX(תקציב_2013,MATCH(D765,'תקציב 2015'!$D$3:$D$5960,0),8)</f>
        <v>#N/A</v>
      </c>
      <c r="L765" s="18" t="str">
        <f t="shared" si="91"/>
        <v>6</v>
      </c>
      <c r="M765" s="18" t="str">
        <f>INDEX(Chapter,MATCH(L765,Chapter!$A$1:$A$681,0),8)</f>
        <v>הנהלה כללית</v>
      </c>
      <c r="N765" s="18" t="str">
        <f t="shared" si="92"/>
        <v>62</v>
      </c>
      <c r="O765" s="18" t="str">
        <f>INDEX(Chapter,MATCH(N765,Chapter!$A$1:$A$681,0),8)</f>
        <v>מינהל כספי</v>
      </c>
      <c r="P765" s="18" t="str">
        <f t="shared" si="93"/>
        <v>621</v>
      </c>
      <c r="Q765" s="18" t="str">
        <f>INDEX(Chapter,MATCH(P765,Chapter!$A$1:$A$681,0),8)</f>
        <v>הגזברות</v>
      </c>
      <c r="R765" s="18" t="str">
        <f t="shared" si="94"/>
        <v>6213</v>
      </c>
      <c r="S765" s="18" t="str">
        <f>INDEX(Chapter,MATCH(R765,Chapter!$A$1:$A$681,0),8)</f>
        <v>הנהלת חשבונות</v>
      </c>
      <c r="T765" s="18"/>
      <c r="U765" s="18" t="str">
        <f t="shared" si="95"/>
        <v>4</v>
      </c>
      <c r="V765" s="18" t="str">
        <f>IF($L765&lt;"6",INDEX(Revenue_type,MATCH(U765*1,type!$A$118:$A$168,0),8),INDEX(Expenditure_type,MATCH(U765*1,type!$A$2:$A$117,0),8))</f>
        <v>אחזקת בינים ואספקת ציוד</v>
      </c>
      <c r="W765" s="18" t="str">
        <f t="shared" si="96"/>
        <v>40</v>
      </c>
      <c r="X765" s="18" t="e">
        <f>IF($L765&lt;"6",INDEX(Revenue_type,MATCH(W765*1,type!$A$118:$A$168,0),8),INDEX(Expenditure_type,MATCH(W765*1,type!$A$2:$A$117,0),8))</f>
        <v>#N/A</v>
      </c>
      <c r="Y765" s="18" t="str">
        <f t="shared" si="97"/>
        <v>400</v>
      </c>
      <c r="Z765" s="18" t="e">
        <f>IF($L765&lt;"6",INDEX(Revenue_type,MATCH(Y765*1,type!$A$118:$A$168,0),8),INDEX(Expenditure_type,MATCH(Y765*1,type!$A$2:$A$117,0),8))</f>
        <v>#N/A</v>
      </c>
    </row>
    <row r="766" spans="1:26" ht="15.75" hidden="1" customHeight="1" outlineLevel="2">
      <c r="A766">
        <v>500</v>
      </c>
      <c r="B766" s="249">
        <v>621310</v>
      </c>
      <c r="C766">
        <v>1</v>
      </c>
      <c r="D766" t="str">
        <f t="shared" si="90"/>
        <v>1621310.500</v>
      </c>
      <c r="E766" s="382" t="s">
        <v>8428</v>
      </c>
      <c r="F766" s="242"/>
      <c r="G766"/>
      <c r="H766" s="322">
        <v>213800</v>
      </c>
      <c r="I766" s="322">
        <v>213800</v>
      </c>
      <c r="J766" s="242">
        <v>162200</v>
      </c>
      <c r="K766" s="18" t="e">
        <f>INDEX(תקציב_2013,MATCH(D766,'תקציב 2015'!$D$3:$D$5960,0),8)</f>
        <v>#N/A</v>
      </c>
      <c r="L766" s="18" t="str">
        <f t="shared" si="91"/>
        <v>6</v>
      </c>
      <c r="M766" s="18" t="str">
        <f>INDEX(Chapter,MATCH(L766,Chapter!$A$1:$A$681,0),8)</f>
        <v>הנהלה כללית</v>
      </c>
      <c r="N766" s="18" t="str">
        <f t="shared" si="92"/>
        <v>62</v>
      </c>
      <c r="O766" s="18" t="str">
        <f>INDEX(Chapter,MATCH(N766,Chapter!$A$1:$A$681,0),8)</f>
        <v>מינהל כספי</v>
      </c>
      <c r="P766" s="18" t="str">
        <f t="shared" si="93"/>
        <v>621</v>
      </c>
      <c r="Q766" s="18" t="str">
        <f>INDEX(Chapter,MATCH(P766,Chapter!$A$1:$A$681,0),8)</f>
        <v>הגזברות</v>
      </c>
      <c r="R766" s="18" t="str">
        <f t="shared" si="94"/>
        <v>6213</v>
      </c>
      <c r="S766" s="18" t="str">
        <f>INDEX(Chapter,MATCH(R766,Chapter!$A$1:$A$681,0),8)</f>
        <v>הנהלת חשבונות</v>
      </c>
      <c r="T766" s="18"/>
      <c r="U766" s="18" t="str">
        <f t="shared" si="95"/>
        <v>5</v>
      </c>
      <c r="V766" s="18" t="str">
        <f>IF($L766&lt;"6",INDEX(Revenue_type,MATCH(U766*1,type!$A$118:$A$168,0),8),INDEX(Expenditure_type,MATCH(U766*1,type!$A$2:$A$117,0),8))</f>
        <v>הוצאות מנהליות</v>
      </c>
      <c r="W766" s="18" t="str">
        <f t="shared" si="96"/>
        <v>50</v>
      </c>
      <c r="X766" s="18" t="e">
        <f>IF($L766&lt;"6",INDEX(Revenue_type,MATCH(W766*1,type!$A$118:$A$168,0),8),INDEX(Expenditure_type,MATCH(W766*1,type!$A$2:$A$117,0),8))</f>
        <v>#N/A</v>
      </c>
      <c r="Y766" s="18" t="str">
        <f t="shared" si="97"/>
        <v>500</v>
      </c>
      <c r="Z766" s="18" t="e">
        <f>IF($L766&lt;"6",INDEX(Revenue_type,MATCH(Y766*1,type!$A$118:$A$168,0),8),INDEX(Expenditure_type,MATCH(Y766*1,type!$A$2:$A$117,0),8))</f>
        <v>#N/A</v>
      </c>
    </row>
    <row r="767" spans="1:26" ht="15.75" hidden="1" customHeight="1" outlineLevel="2">
      <c r="A767">
        <v>500</v>
      </c>
      <c r="B767" s="249">
        <v>621310</v>
      </c>
      <c r="C767">
        <v>1</v>
      </c>
      <c r="D767" t="str">
        <f t="shared" si="90"/>
        <v>1621310.500</v>
      </c>
      <c r="E767" s="382" t="s">
        <v>8429</v>
      </c>
      <c r="F767" s="242"/>
      <c r="G767"/>
      <c r="H767" s="322">
        <v>30400</v>
      </c>
      <c r="I767" s="322">
        <v>30400</v>
      </c>
      <c r="J767" s="242">
        <v>22500</v>
      </c>
      <c r="K767" s="18" t="e">
        <f>INDEX(תקציב_2013,MATCH(D767,'תקציב 2015'!$D$3:$D$5960,0),8)</f>
        <v>#N/A</v>
      </c>
      <c r="L767" s="18" t="str">
        <f t="shared" si="91"/>
        <v>6</v>
      </c>
      <c r="M767" s="18" t="str">
        <f>INDEX(Chapter,MATCH(L767,Chapter!$A$1:$A$681,0),8)</f>
        <v>הנהלה כללית</v>
      </c>
      <c r="N767" s="18" t="str">
        <f t="shared" si="92"/>
        <v>62</v>
      </c>
      <c r="O767" s="18" t="str">
        <f>INDEX(Chapter,MATCH(N767,Chapter!$A$1:$A$681,0),8)</f>
        <v>מינהל כספי</v>
      </c>
      <c r="P767" s="18" t="str">
        <f t="shared" si="93"/>
        <v>621</v>
      </c>
      <c r="Q767" s="18" t="str">
        <f>INDEX(Chapter,MATCH(P767,Chapter!$A$1:$A$681,0),8)</f>
        <v>הגזברות</v>
      </c>
      <c r="R767" s="18" t="str">
        <f t="shared" si="94"/>
        <v>6213</v>
      </c>
      <c r="S767" s="18" t="str">
        <f>INDEX(Chapter,MATCH(R767,Chapter!$A$1:$A$681,0),8)</f>
        <v>הנהלת חשבונות</v>
      </c>
      <c r="T767" s="18"/>
      <c r="U767" s="18" t="str">
        <f t="shared" si="95"/>
        <v>5</v>
      </c>
      <c r="V767" s="18" t="str">
        <f>IF($L767&lt;"6",INDEX(Revenue_type,MATCH(U767*1,type!$A$118:$A$168,0),8),INDEX(Expenditure_type,MATCH(U767*1,type!$A$2:$A$117,0),8))</f>
        <v>הוצאות מנהליות</v>
      </c>
      <c r="W767" s="18" t="str">
        <f t="shared" si="96"/>
        <v>50</v>
      </c>
      <c r="X767" s="18" t="e">
        <f>IF($L767&lt;"6",INDEX(Revenue_type,MATCH(W767*1,type!$A$118:$A$168,0),8),INDEX(Expenditure_type,MATCH(W767*1,type!$A$2:$A$117,0),8))</f>
        <v>#N/A</v>
      </c>
      <c r="Y767" s="18" t="str">
        <f t="shared" si="97"/>
        <v>500</v>
      </c>
      <c r="Z767" s="18" t="e">
        <f>IF($L767&lt;"6",INDEX(Revenue_type,MATCH(Y767*1,type!$A$118:$A$168,0),8),INDEX(Expenditure_type,MATCH(Y767*1,type!$A$2:$A$117,0),8))</f>
        <v>#N/A</v>
      </c>
    </row>
    <row r="768" spans="1:26" ht="15.75" hidden="1" customHeight="1" outlineLevel="2">
      <c r="A768">
        <v>700</v>
      </c>
      <c r="B768" s="249">
        <v>621310</v>
      </c>
      <c r="C768">
        <v>1</v>
      </c>
      <c r="D768" t="str">
        <f t="shared" si="90"/>
        <v>1621310.700</v>
      </c>
      <c r="E768" s="382" t="s">
        <v>8430</v>
      </c>
      <c r="F768" s="242"/>
      <c r="G768"/>
      <c r="H768" s="322">
        <v>31100</v>
      </c>
      <c r="I768" s="322">
        <v>34800</v>
      </c>
      <c r="J768" s="242">
        <v>34800</v>
      </c>
      <c r="K768" s="18" t="e">
        <f>INDEX(תקציב_2013,MATCH(D768,'תקציב 2015'!$D$3:$D$5960,0),8)</f>
        <v>#N/A</v>
      </c>
      <c r="L768" s="18" t="str">
        <f t="shared" si="91"/>
        <v>6</v>
      </c>
      <c r="M768" s="18" t="str">
        <f>INDEX(Chapter,MATCH(L768,Chapter!$A$1:$A$681,0),8)</f>
        <v>הנהלה כללית</v>
      </c>
      <c r="N768" s="18" t="str">
        <f t="shared" si="92"/>
        <v>62</v>
      </c>
      <c r="O768" s="18" t="str">
        <f>INDEX(Chapter,MATCH(N768,Chapter!$A$1:$A$681,0),8)</f>
        <v>מינהל כספי</v>
      </c>
      <c r="P768" s="18" t="str">
        <f t="shared" si="93"/>
        <v>621</v>
      </c>
      <c r="Q768" s="18" t="str">
        <f>INDEX(Chapter,MATCH(P768,Chapter!$A$1:$A$681,0),8)</f>
        <v>הגזברות</v>
      </c>
      <c r="R768" s="18" t="str">
        <f t="shared" si="94"/>
        <v>6213</v>
      </c>
      <c r="S768" s="18" t="str">
        <f>INDEX(Chapter,MATCH(R768,Chapter!$A$1:$A$681,0),8)</f>
        <v>הנהלת חשבונות</v>
      </c>
      <c r="T768" s="18"/>
      <c r="U768" s="18" t="str">
        <f t="shared" si="95"/>
        <v>7</v>
      </c>
      <c r="V768" s="18" t="str">
        <f>IF($L768&lt;"6",INDEX(Revenue_type,MATCH(U768*1,type!$A$118:$A$168,0),8),INDEX(Expenditure_type,MATCH(U768*1,type!$A$2:$A$117,0),8))</f>
        <v>הוצאות לפעולות</v>
      </c>
      <c r="W768" s="18" t="str">
        <f t="shared" si="96"/>
        <v>70</v>
      </c>
      <c r="X768" s="18" t="e">
        <f>IF($L768&lt;"6",INDEX(Revenue_type,MATCH(W768*1,type!$A$118:$A$168,0),8),INDEX(Expenditure_type,MATCH(W768*1,type!$A$2:$A$117,0),8))</f>
        <v>#N/A</v>
      </c>
      <c r="Y768" s="18" t="str">
        <f t="shared" si="97"/>
        <v>700</v>
      </c>
      <c r="Z768" s="18" t="e">
        <f>IF($L768&lt;"6",INDEX(Revenue_type,MATCH(Y768*1,type!$A$118:$A$168,0),8),INDEX(Expenditure_type,MATCH(Y768*1,type!$A$2:$A$117,0),8))</f>
        <v>#N/A</v>
      </c>
    </row>
    <row r="769" spans="1:26" ht="15.75" hidden="1" customHeight="1" outlineLevel="2">
      <c r="A769">
        <v>100</v>
      </c>
      <c r="B769" s="249">
        <v>621200</v>
      </c>
      <c r="C769">
        <v>1</v>
      </c>
      <c r="D769" t="str">
        <f t="shared" si="90"/>
        <v>1621200.100</v>
      </c>
      <c r="E769" s="382" t="s">
        <v>8431</v>
      </c>
      <c r="F769" s="242"/>
      <c r="G769"/>
      <c r="H769" s="322">
        <v>3050300</v>
      </c>
      <c r="I769" s="322">
        <v>2926300</v>
      </c>
      <c r="J769" s="242">
        <v>3143900</v>
      </c>
      <c r="K769" s="18" t="e">
        <f>INDEX(תקציב_2013,MATCH(D769,'תקציב 2015'!$D$3:$D$5960,0),8)</f>
        <v>#N/A</v>
      </c>
      <c r="L769" s="18" t="str">
        <f t="shared" si="91"/>
        <v>6</v>
      </c>
      <c r="M769" s="18" t="str">
        <f>INDEX(Chapter,MATCH(L769,Chapter!$A$1:$A$681,0),8)</f>
        <v>הנהלה כללית</v>
      </c>
      <c r="N769" s="18" t="str">
        <f t="shared" si="92"/>
        <v>62</v>
      </c>
      <c r="O769" s="18" t="str">
        <f>INDEX(Chapter,MATCH(N769,Chapter!$A$1:$A$681,0),8)</f>
        <v>מינהל כספי</v>
      </c>
      <c r="P769" s="18" t="str">
        <f t="shared" si="93"/>
        <v>621</v>
      </c>
      <c r="Q769" s="18" t="str">
        <f>INDEX(Chapter,MATCH(P769,Chapter!$A$1:$A$681,0),8)</f>
        <v>הגזברות</v>
      </c>
      <c r="R769" s="18" t="str">
        <f t="shared" si="94"/>
        <v>6212</v>
      </c>
      <c r="S769" s="18" t="str">
        <f>INDEX(Chapter,MATCH(R769,Chapter!$A$1:$A$681,0),8)</f>
        <v>תקציבים וכלכלה</v>
      </c>
      <c r="T769" s="18"/>
      <c r="U769" s="18" t="str">
        <f t="shared" si="95"/>
        <v>1</v>
      </c>
      <c r="V769" s="18" t="str">
        <f>IF($L769&lt;"6",INDEX(Revenue_type,MATCH(U769*1,type!$A$118:$A$168,0),8),INDEX(Expenditure_type,MATCH(U769*1,type!$A$2:$A$117,0),8))</f>
        <v>משכורות וש"ע לעובדים לפי תקן</v>
      </c>
      <c r="W769" s="18" t="str">
        <f t="shared" si="96"/>
        <v>10</v>
      </c>
      <c r="X769" s="18" t="e">
        <f>IF($L769&lt;"6",INDEX(Revenue_type,MATCH(W769*1,type!$A$118:$A$168,0),8),INDEX(Expenditure_type,MATCH(W769*1,type!$A$2:$A$117,0),8))</f>
        <v>#N/A</v>
      </c>
      <c r="Y769" s="18" t="str">
        <f t="shared" si="97"/>
        <v>100</v>
      </c>
      <c r="Z769" s="18" t="e">
        <f>IF($L769&lt;"6",INDEX(Revenue_type,MATCH(Y769*1,type!$A$118:$A$168,0),8),INDEX(Expenditure_type,MATCH(Y769*1,type!$A$2:$A$117,0),8))</f>
        <v>#N/A</v>
      </c>
    </row>
    <row r="770" spans="1:26" ht="15.75" hidden="1" customHeight="1" outlineLevel="2">
      <c r="A770">
        <v>120</v>
      </c>
      <c r="B770" s="249">
        <v>621200</v>
      </c>
      <c r="C770">
        <v>1</v>
      </c>
      <c r="D770" t="str">
        <f t="shared" si="90"/>
        <v>1621200.120</v>
      </c>
      <c r="E770" s="382" t="s">
        <v>8432</v>
      </c>
      <c r="F770" s="242"/>
      <c r="G770"/>
      <c r="H770" s="322">
        <v>120700</v>
      </c>
      <c r="I770" s="322">
        <v>120700</v>
      </c>
      <c r="J770" s="242">
        <v>97900</v>
      </c>
      <c r="K770" s="18">
        <f>INDEX(תקציב_2013,MATCH(D770,'תקציב 2015'!$D$3:$D$5960,0),8)</f>
        <v>267266</v>
      </c>
      <c r="L770" s="18" t="str">
        <f t="shared" si="91"/>
        <v>6</v>
      </c>
      <c r="M770" s="18" t="str">
        <f>INDEX(Chapter,MATCH(L770,Chapter!$A$1:$A$681,0),8)</f>
        <v>הנהלה כללית</v>
      </c>
      <c r="N770" s="18" t="str">
        <f t="shared" si="92"/>
        <v>62</v>
      </c>
      <c r="O770" s="18" t="str">
        <f>INDEX(Chapter,MATCH(N770,Chapter!$A$1:$A$681,0),8)</f>
        <v>מינהל כספי</v>
      </c>
      <c r="P770" s="18" t="str">
        <f t="shared" si="93"/>
        <v>621</v>
      </c>
      <c r="Q770" s="18" t="str">
        <f>INDEX(Chapter,MATCH(P770,Chapter!$A$1:$A$681,0),8)</f>
        <v>הגזברות</v>
      </c>
      <c r="R770" s="18" t="str">
        <f t="shared" si="94"/>
        <v>6212</v>
      </c>
      <c r="S770" s="18" t="str">
        <f>INDEX(Chapter,MATCH(R770,Chapter!$A$1:$A$681,0),8)</f>
        <v>תקציבים וכלכלה</v>
      </c>
      <c r="T770" s="18"/>
      <c r="U770" s="18" t="str">
        <f t="shared" si="95"/>
        <v>1</v>
      </c>
      <c r="V770" s="18" t="str">
        <f>IF($L770&lt;"6",INDEX(Revenue_type,MATCH(U770*1,type!$A$118:$A$168,0),8),INDEX(Expenditure_type,MATCH(U770*1,type!$A$2:$A$117,0),8))</f>
        <v>משכורות וש"ע לעובדים לפי תקן</v>
      </c>
      <c r="W770" s="18" t="str">
        <f t="shared" si="96"/>
        <v>12</v>
      </c>
      <c r="X770" s="18" t="str">
        <f>IF($L770&lt;"6",INDEX(Revenue_type,MATCH(W770*1,type!$A$118:$A$168,0),8),INDEX(Expenditure_type,MATCH(W770*1,type!$A$2:$A$117,0),8))</f>
        <v>תוספות שאינן נכללות בשכר הקובע</v>
      </c>
      <c r="Y770" s="18" t="str">
        <f t="shared" si="97"/>
        <v>120</v>
      </c>
      <c r="Z770" s="18" t="e">
        <f>IF($L770&lt;"6",INDEX(Revenue_type,MATCH(Y770*1,type!$A$118:$A$168,0),8),INDEX(Expenditure_type,MATCH(Y770*1,type!$A$2:$A$117,0),8))</f>
        <v>#N/A</v>
      </c>
    </row>
    <row r="771" spans="1:26" ht="15.75" hidden="1" customHeight="1" outlineLevel="2">
      <c r="A771">
        <v>400</v>
      </c>
      <c r="B771" s="249">
        <v>621200</v>
      </c>
      <c r="C771">
        <v>1</v>
      </c>
      <c r="D771" t="str">
        <f t="shared" si="90"/>
        <v>1621200.400</v>
      </c>
      <c r="E771" s="382" t="s">
        <v>8433</v>
      </c>
      <c r="F771" s="242"/>
      <c r="G771"/>
      <c r="H771" s="322">
        <v>52100</v>
      </c>
      <c r="I771" s="322">
        <v>52100</v>
      </c>
      <c r="J771" s="242">
        <v>52100</v>
      </c>
      <c r="K771" s="18" t="e">
        <f>INDEX(תקציב_2013,MATCH(D771,'תקציב 2015'!$D$3:$D$5960,0),8)</f>
        <v>#N/A</v>
      </c>
      <c r="L771" s="18" t="str">
        <f t="shared" si="91"/>
        <v>6</v>
      </c>
      <c r="M771" s="18" t="str">
        <f>INDEX(Chapter,MATCH(L771,Chapter!$A$1:$A$681,0),8)</f>
        <v>הנהלה כללית</v>
      </c>
      <c r="N771" s="18" t="str">
        <f t="shared" si="92"/>
        <v>62</v>
      </c>
      <c r="O771" s="18" t="str">
        <f>INDEX(Chapter,MATCH(N771,Chapter!$A$1:$A$681,0),8)</f>
        <v>מינהל כספי</v>
      </c>
      <c r="P771" s="18" t="str">
        <f t="shared" si="93"/>
        <v>621</v>
      </c>
      <c r="Q771" s="18" t="str">
        <f>INDEX(Chapter,MATCH(P771,Chapter!$A$1:$A$681,0),8)</f>
        <v>הגזברות</v>
      </c>
      <c r="R771" s="18" t="str">
        <f t="shared" si="94"/>
        <v>6212</v>
      </c>
      <c r="S771" s="18" t="str">
        <f>INDEX(Chapter,MATCH(R771,Chapter!$A$1:$A$681,0),8)</f>
        <v>תקציבים וכלכלה</v>
      </c>
      <c r="T771" s="18"/>
      <c r="U771" s="18" t="str">
        <f t="shared" si="95"/>
        <v>4</v>
      </c>
      <c r="V771" s="18" t="str">
        <f>IF($L771&lt;"6",INDEX(Revenue_type,MATCH(U771*1,type!$A$118:$A$168,0),8),INDEX(Expenditure_type,MATCH(U771*1,type!$A$2:$A$117,0),8))</f>
        <v>אחזקת בינים ואספקת ציוד</v>
      </c>
      <c r="W771" s="18" t="str">
        <f t="shared" si="96"/>
        <v>40</v>
      </c>
      <c r="X771" s="18" t="e">
        <f>IF($L771&lt;"6",INDEX(Revenue_type,MATCH(W771*1,type!$A$118:$A$168,0),8),INDEX(Expenditure_type,MATCH(W771*1,type!$A$2:$A$117,0),8))</f>
        <v>#N/A</v>
      </c>
      <c r="Y771" s="18" t="str">
        <f t="shared" si="97"/>
        <v>400</v>
      </c>
      <c r="Z771" s="18" t="e">
        <f>IF($L771&lt;"6",INDEX(Revenue_type,MATCH(Y771*1,type!$A$118:$A$168,0),8),INDEX(Expenditure_type,MATCH(Y771*1,type!$A$2:$A$117,0),8))</f>
        <v>#N/A</v>
      </c>
    </row>
    <row r="772" spans="1:26" ht="15.75" hidden="1" customHeight="1" outlineLevel="2">
      <c r="A772">
        <v>500</v>
      </c>
      <c r="B772" s="249">
        <v>621200</v>
      </c>
      <c r="C772">
        <v>1</v>
      </c>
      <c r="D772" t="str">
        <f t="shared" si="90"/>
        <v>1621200.500</v>
      </c>
      <c r="E772" s="382" t="s">
        <v>8434</v>
      </c>
      <c r="F772" s="242"/>
      <c r="G772"/>
      <c r="H772" s="322">
        <v>68300</v>
      </c>
      <c r="I772" s="322">
        <v>68300</v>
      </c>
      <c r="J772" s="242">
        <v>57600</v>
      </c>
      <c r="K772" s="18" t="e">
        <f>INDEX(תקציב_2013,MATCH(D772,'תקציב 2015'!$D$3:$D$5960,0),8)</f>
        <v>#N/A</v>
      </c>
      <c r="L772" s="18" t="str">
        <f t="shared" si="91"/>
        <v>6</v>
      </c>
      <c r="M772" s="18" t="str">
        <f>INDEX(Chapter,MATCH(L772,Chapter!$A$1:$A$681,0),8)</f>
        <v>הנהלה כללית</v>
      </c>
      <c r="N772" s="18" t="str">
        <f t="shared" si="92"/>
        <v>62</v>
      </c>
      <c r="O772" s="18" t="str">
        <f>INDEX(Chapter,MATCH(N772,Chapter!$A$1:$A$681,0),8)</f>
        <v>מינהל כספי</v>
      </c>
      <c r="P772" s="18" t="str">
        <f t="shared" si="93"/>
        <v>621</v>
      </c>
      <c r="Q772" s="18" t="str">
        <f>INDEX(Chapter,MATCH(P772,Chapter!$A$1:$A$681,0),8)</f>
        <v>הגזברות</v>
      </c>
      <c r="R772" s="18" t="str">
        <f t="shared" si="94"/>
        <v>6212</v>
      </c>
      <c r="S772" s="18" t="str">
        <f>INDEX(Chapter,MATCH(R772,Chapter!$A$1:$A$681,0),8)</f>
        <v>תקציבים וכלכלה</v>
      </c>
      <c r="T772" s="18"/>
      <c r="U772" s="18" t="str">
        <f t="shared" si="95"/>
        <v>5</v>
      </c>
      <c r="V772" s="18" t="str">
        <f>IF($L772&lt;"6",INDEX(Revenue_type,MATCH(U772*1,type!$A$118:$A$168,0),8),INDEX(Expenditure_type,MATCH(U772*1,type!$A$2:$A$117,0),8))</f>
        <v>הוצאות מנהליות</v>
      </c>
      <c r="W772" s="18" t="str">
        <f t="shared" si="96"/>
        <v>50</v>
      </c>
      <c r="X772" s="18" t="e">
        <f>IF($L772&lt;"6",INDEX(Revenue_type,MATCH(W772*1,type!$A$118:$A$168,0),8),INDEX(Expenditure_type,MATCH(W772*1,type!$A$2:$A$117,0),8))</f>
        <v>#N/A</v>
      </c>
      <c r="Y772" s="18" t="str">
        <f t="shared" si="97"/>
        <v>500</v>
      </c>
      <c r="Z772" s="18" t="e">
        <f>IF($L772&lt;"6",INDEX(Revenue_type,MATCH(Y772*1,type!$A$118:$A$168,0),8),INDEX(Expenditure_type,MATCH(Y772*1,type!$A$2:$A$117,0),8))</f>
        <v>#N/A</v>
      </c>
    </row>
    <row r="773" spans="1:26" ht="15.75" hidden="1" customHeight="1" outlineLevel="2">
      <c r="A773">
        <v>500</v>
      </c>
      <c r="B773" s="249">
        <v>621200</v>
      </c>
      <c r="C773">
        <v>1</v>
      </c>
      <c r="D773" t="str">
        <f t="shared" si="90"/>
        <v>1621200.500</v>
      </c>
      <c r="E773" s="382" t="s">
        <v>8435</v>
      </c>
      <c r="F773" s="242"/>
      <c r="G773"/>
      <c r="H773" s="322">
        <v>7200</v>
      </c>
      <c r="I773" s="322">
        <v>7200</v>
      </c>
      <c r="J773" s="242">
        <v>3700</v>
      </c>
      <c r="K773" s="18" t="e">
        <f>INDEX(תקציב_2013,MATCH(D773,'תקציב 2015'!$D$3:$D$5960,0),8)</f>
        <v>#N/A</v>
      </c>
      <c r="L773" s="18" t="str">
        <f t="shared" si="91"/>
        <v>6</v>
      </c>
      <c r="M773" s="18" t="str">
        <f>INDEX(Chapter,MATCH(L773,Chapter!$A$1:$A$681,0),8)</f>
        <v>הנהלה כללית</v>
      </c>
      <c r="N773" s="18" t="str">
        <f t="shared" si="92"/>
        <v>62</v>
      </c>
      <c r="O773" s="18" t="str">
        <f>INDEX(Chapter,MATCH(N773,Chapter!$A$1:$A$681,0),8)</f>
        <v>מינהל כספי</v>
      </c>
      <c r="P773" s="18" t="str">
        <f t="shared" si="93"/>
        <v>621</v>
      </c>
      <c r="Q773" s="18" t="str">
        <f>INDEX(Chapter,MATCH(P773,Chapter!$A$1:$A$681,0),8)</f>
        <v>הגזברות</v>
      </c>
      <c r="R773" s="18" t="str">
        <f t="shared" si="94"/>
        <v>6212</v>
      </c>
      <c r="S773" s="18" t="str">
        <f>INDEX(Chapter,MATCH(R773,Chapter!$A$1:$A$681,0),8)</f>
        <v>תקציבים וכלכלה</v>
      </c>
      <c r="T773" s="18"/>
      <c r="U773" s="18" t="str">
        <f t="shared" si="95"/>
        <v>5</v>
      </c>
      <c r="V773" s="18" t="str">
        <f>IF($L773&lt;"6",INDEX(Revenue_type,MATCH(U773*1,type!$A$118:$A$168,0),8),INDEX(Expenditure_type,MATCH(U773*1,type!$A$2:$A$117,0),8))</f>
        <v>הוצאות מנהליות</v>
      </c>
      <c r="W773" s="18" t="str">
        <f t="shared" si="96"/>
        <v>50</v>
      </c>
      <c r="X773" s="18" t="e">
        <f>IF($L773&lt;"6",INDEX(Revenue_type,MATCH(W773*1,type!$A$118:$A$168,0),8),INDEX(Expenditure_type,MATCH(W773*1,type!$A$2:$A$117,0),8))</f>
        <v>#N/A</v>
      </c>
      <c r="Y773" s="18" t="str">
        <f t="shared" si="97"/>
        <v>500</v>
      </c>
      <c r="Z773" s="18" t="e">
        <f>IF($L773&lt;"6",INDEX(Revenue_type,MATCH(Y773*1,type!$A$118:$A$168,0),8),INDEX(Expenditure_type,MATCH(Y773*1,type!$A$2:$A$117,0),8))</f>
        <v>#N/A</v>
      </c>
    </row>
    <row r="774" spans="1:26" ht="15.75" hidden="1" customHeight="1" outlineLevel="2">
      <c r="A774">
        <v>700</v>
      </c>
      <c r="B774" s="249">
        <v>621200</v>
      </c>
      <c r="C774">
        <v>1</v>
      </c>
      <c r="D774" t="str">
        <f t="shared" si="90"/>
        <v>1621200.700</v>
      </c>
      <c r="E774" s="382" t="s">
        <v>8436</v>
      </c>
      <c r="F774" s="242"/>
      <c r="G774"/>
      <c r="H774" s="322">
        <v>15500</v>
      </c>
      <c r="I774" s="322">
        <v>19700</v>
      </c>
      <c r="J774" s="242">
        <v>18100</v>
      </c>
      <c r="K774" s="18" t="e">
        <f>INDEX(תקציב_2013,MATCH(D774,'תקציב 2015'!$D$3:$D$5960,0),8)</f>
        <v>#N/A</v>
      </c>
      <c r="L774" s="18" t="str">
        <f t="shared" si="91"/>
        <v>6</v>
      </c>
      <c r="M774" s="18" t="str">
        <f>INDEX(Chapter,MATCH(L774,Chapter!$A$1:$A$681,0),8)</f>
        <v>הנהלה כללית</v>
      </c>
      <c r="N774" s="18" t="str">
        <f t="shared" si="92"/>
        <v>62</v>
      </c>
      <c r="O774" s="18" t="str">
        <f>INDEX(Chapter,MATCH(N774,Chapter!$A$1:$A$681,0),8)</f>
        <v>מינהל כספי</v>
      </c>
      <c r="P774" s="18" t="str">
        <f t="shared" si="93"/>
        <v>621</v>
      </c>
      <c r="Q774" s="18" t="str">
        <f>INDEX(Chapter,MATCH(P774,Chapter!$A$1:$A$681,0),8)</f>
        <v>הגזברות</v>
      </c>
      <c r="R774" s="18" t="str">
        <f t="shared" si="94"/>
        <v>6212</v>
      </c>
      <c r="S774" s="18" t="str">
        <f>INDEX(Chapter,MATCH(R774,Chapter!$A$1:$A$681,0),8)</f>
        <v>תקציבים וכלכלה</v>
      </c>
      <c r="T774" s="18"/>
      <c r="U774" s="18" t="str">
        <f t="shared" si="95"/>
        <v>7</v>
      </c>
      <c r="V774" s="18" t="str">
        <f>IF($L774&lt;"6",INDEX(Revenue_type,MATCH(U774*1,type!$A$118:$A$168,0),8),INDEX(Expenditure_type,MATCH(U774*1,type!$A$2:$A$117,0),8))</f>
        <v>הוצאות לפעולות</v>
      </c>
      <c r="W774" s="18" t="str">
        <f t="shared" si="96"/>
        <v>70</v>
      </c>
      <c r="X774" s="18" t="e">
        <f>IF($L774&lt;"6",INDEX(Revenue_type,MATCH(W774*1,type!$A$118:$A$168,0),8),INDEX(Expenditure_type,MATCH(W774*1,type!$A$2:$A$117,0),8))</f>
        <v>#N/A</v>
      </c>
      <c r="Y774" s="18" t="str">
        <f t="shared" si="97"/>
        <v>700</v>
      </c>
      <c r="Z774" s="18" t="e">
        <f>IF($L774&lt;"6",INDEX(Revenue_type,MATCH(Y774*1,type!$A$118:$A$168,0),8),INDEX(Expenditure_type,MATCH(Y774*1,type!$A$2:$A$117,0),8))</f>
        <v>#N/A</v>
      </c>
    </row>
    <row r="775" spans="1:26" ht="15.75" hidden="1" customHeight="1" outlineLevel="2">
      <c r="A775">
        <v>100</v>
      </c>
      <c r="B775" s="249">
        <v>623000</v>
      </c>
      <c r="C775">
        <v>1</v>
      </c>
      <c r="D775" t="str">
        <f t="shared" si="90"/>
        <v>1623000.100</v>
      </c>
      <c r="E775" s="382" t="s">
        <v>8437</v>
      </c>
      <c r="F775" s="242"/>
      <c r="G775"/>
      <c r="H775" s="322">
        <v>20599500</v>
      </c>
      <c r="I775" s="322">
        <v>20369500</v>
      </c>
      <c r="J775" s="242">
        <v>19316100</v>
      </c>
      <c r="K775" s="18" t="e">
        <f>INDEX(תקציב_2013,MATCH(D775,'תקציב 2015'!$D$3:$D$5960,0),8)</f>
        <v>#N/A</v>
      </c>
      <c r="L775" s="18" t="str">
        <f t="shared" si="91"/>
        <v>6</v>
      </c>
      <c r="M775" s="18" t="str">
        <f>INDEX(Chapter,MATCH(L775,Chapter!$A$1:$A$681,0),8)</f>
        <v>הנהלה כללית</v>
      </c>
      <c r="N775" s="18" t="str">
        <f t="shared" si="92"/>
        <v>62</v>
      </c>
      <c r="O775" s="18" t="str">
        <f>INDEX(Chapter,MATCH(N775,Chapter!$A$1:$A$681,0),8)</f>
        <v>מינהל כספי</v>
      </c>
      <c r="P775" s="18" t="str">
        <f t="shared" si="93"/>
        <v>623</v>
      </c>
      <c r="Q775" s="18" t="str">
        <f>INDEX(Chapter,MATCH(P775,Chapter!$A$1:$A$681,0),8)</f>
        <v>גבייה</v>
      </c>
      <c r="R775" s="18" t="str">
        <f t="shared" si="94"/>
        <v>6230</v>
      </c>
      <c r="S775" s="18" t="e">
        <f>INDEX(Chapter,MATCH(R775,Chapter!$A$1:$A$681,0),8)</f>
        <v>#N/A</v>
      </c>
      <c r="T775" s="18"/>
      <c r="U775" s="18" t="str">
        <f t="shared" si="95"/>
        <v>1</v>
      </c>
      <c r="V775" s="18" t="str">
        <f>IF($L775&lt;"6",INDEX(Revenue_type,MATCH(U775*1,type!$A$118:$A$168,0),8),INDEX(Expenditure_type,MATCH(U775*1,type!$A$2:$A$117,0),8))</f>
        <v>משכורות וש"ע לעובדים לפי תקן</v>
      </c>
      <c r="W775" s="18" t="str">
        <f t="shared" si="96"/>
        <v>10</v>
      </c>
      <c r="X775" s="18" t="e">
        <f>IF($L775&lt;"6",INDEX(Revenue_type,MATCH(W775*1,type!$A$118:$A$168,0),8),INDEX(Expenditure_type,MATCH(W775*1,type!$A$2:$A$117,0),8))</f>
        <v>#N/A</v>
      </c>
      <c r="Y775" s="18" t="str">
        <f t="shared" si="97"/>
        <v>100</v>
      </c>
      <c r="Z775" s="18" t="e">
        <f>IF($L775&lt;"6",INDEX(Revenue_type,MATCH(Y775*1,type!$A$118:$A$168,0),8),INDEX(Expenditure_type,MATCH(Y775*1,type!$A$2:$A$117,0),8))</f>
        <v>#N/A</v>
      </c>
    </row>
    <row r="776" spans="1:26" ht="15.75" hidden="1" customHeight="1" outlineLevel="2">
      <c r="A776">
        <v>120</v>
      </c>
      <c r="B776" s="249">
        <v>623000</v>
      </c>
      <c r="C776">
        <v>1</v>
      </c>
      <c r="D776" t="str">
        <f t="shared" si="90"/>
        <v>1623000.120</v>
      </c>
      <c r="E776" s="382" t="s">
        <v>8438</v>
      </c>
      <c r="F776" s="242"/>
      <c r="G776"/>
      <c r="H776" s="322">
        <v>400500</v>
      </c>
      <c r="I776" s="322">
        <v>400500</v>
      </c>
      <c r="J776" s="242">
        <v>442300</v>
      </c>
      <c r="K776" s="18" t="e">
        <f>INDEX(תקציב_2013,MATCH(D776,'תקציב 2015'!$D$3:$D$5960,0),8)</f>
        <v>#N/A</v>
      </c>
      <c r="L776" s="18" t="str">
        <f t="shared" si="91"/>
        <v>6</v>
      </c>
      <c r="M776" s="18" t="str">
        <f>INDEX(Chapter,MATCH(L776,Chapter!$A$1:$A$681,0),8)</f>
        <v>הנהלה כללית</v>
      </c>
      <c r="N776" s="18" t="str">
        <f t="shared" si="92"/>
        <v>62</v>
      </c>
      <c r="O776" s="18" t="str">
        <f>INDEX(Chapter,MATCH(N776,Chapter!$A$1:$A$681,0),8)</f>
        <v>מינהל כספי</v>
      </c>
      <c r="P776" s="18" t="str">
        <f t="shared" si="93"/>
        <v>623</v>
      </c>
      <c r="Q776" s="18" t="str">
        <f>INDEX(Chapter,MATCH(P776,Chapter!$A$1:$A$681,0),8)</f>
        <v>גבייה</v>
      </c>
      <c r="R776" s="18" t="str">
        <f t="shared" si="94"/>
        <v>6230</v>
      </c>
      <c r="S776" s="18" t="e">
        <f>INDEX(Chapter,MATCH(R776,Chapter!$A$1:$A$681,0),8)</f>
        <v>#N/A</v>
      </c>
      <c r="T776" s="18"/>
      <c r="U776" s="18" t="str">
        <f t="shared" si="95"/>
        <v>1</v>
      </c>
      <c r="V776" s="18" t="str">
        <f>IF($L776&lt;"6",INDEX(Revenue_type,MATCH(U776*1,type!$A$118:$A$168,0),8),INDEX(Expenditure_type,MATCH(U776*1,type!$A$2:$A$117,0),8))</f>
        <v>משכורות וש"ע לעובדים לפי תקן</v>
      </c>
      <c r="W776" s="18" t="str">
        <f t="shared" si="96"/>
        <v>12</v>
      </c>
      <c r="X776" s="18" t="str">
        <f>IF($L776&lt;"6",INDEX(Revenue_type,MATCH(W776*1,type!$A$118:$A$168,0),8),INDEX(Expenditure_type,MATCH(W776*1,type!$A$2:$A$117,0),8))</f>
        <v>תוספות שאינן נכללות בשכר הקובע</v>
      </c>
      <c r="Y776" s="18" t="str">
        <f t="shared" si="97"/>
        <v>120</v>
      </c>
      <c r="Z776" s="18" t="e">
        <f>IF($L776&lt;"6",INDEX(Revenue_type,MATCH(Y776*1,type!$A$118:$A$168,0),8),INDEX(Expenditure_type,MATCH(Y776*1,type!$A$2:$A$117,0),8))</f>
        <v>#N/A</v>
      </c>
    </row>
    <row r="777" spans="1:26" ht="15.75" hidden="1" customHeight="1" outlineLevel="2">
      <c r="A777">
        <v>400</v>
      </c>
      <c r="B777" s="249">
        <v>623000</v>
      </c>
      <c r="C777">
        <v>1</v>
      </c>
      <c r="D777" t="str">
        <f t="shared" si="90"/>
        <v>1623000.400</v>
      </c>
      <c r="E777" s="382" t="s">
        <v>8439</v>
      </c>
      <c r="F777" s="242"/>
      <c r="G777"/>
      <c r="H777" s="322">
        <v>1353000</v>
      </c>
      <c r="I777" s="322">
        <v>1368400</v>
      </c>
      <c r="J777" s="242">
        <v>1273800</v>
      </c>
      <c r="K777" s="18" t="e">
        <f>INDEX(תקציב_2013,MATCH(D777,'תקציב 2015'!$D$3:$D$5960,0),8)</f>
        <v>#N/A</v>
      </c>
      <c r="L777" s="18" t="str">
        <f t="shared" si="91"/>
        <v>6</v>
      </c>
      <c r="M777" s="18" t="str">
        <f>INDEX(Chapter,MATCH(L777,Chapter!$A$1:$A$681,0),8)</f>
        <v>הנהלה כללית</v>
      </c>
      <c r="N777" s="18" t="str">
        <f t="shared" si="92"/>
        <v>62</v>
      </c>
      <c r="O777" s="18" t="str">
        <f>INDEX(Chapter,MATCH(N777,Chapter!$A$1:$A$681,0),8)</f>
        <v>מינהל כספי</v>
      </c>
      <c r="P777" s="18" t="str">
        <f t="shared" si="93"/>
        <v>623</v>
      </c>
      <c r="Q777" s="18" t="str">
        <f>INDEX(Chapter,MATCH(P777,Chapter!$A$1:$A$681,0),8)</f>
        <v>גבייה</v>
      </c>
      <c r="R777" s="18" t="str">
        <f t="shared" si="94"/>
        <v>6230</v>
      </c>
      <c r="S777" s="18" t="e">
        <f>INDEX(Chapter,MATCH(R777,Chapter!$A$1:$A$681,0),8)</f>
        <v>#N/A</v>
      </c>
      <c r="T777" s="18"/>
      <c r="U777" s="18" t="str">
        <f t="shared" si="95"/>
        <v>4</v>
      </c>
      <c r="V777" s="18" t="str">
        <f>IF($L777&lt;"6",INDEX(Revenue_type,MATCH(U777*1,type!$A$118:$A$168,0),8),INDEX(Expenditure_type,MATCH(U777*1,type!$A$2:$A$117,0),8))</f>
        <v>אחזקת בינים ואספקת ציוד</v>
      </c>
      <c r="W777" s="18" t="str">
        <f t="shared" si="96"/>
        <v>40</v>
      </c>
      <c r="X777" s="18" t="e">
        <f>IF($L777&lt;"6",INDEX(Revenue_type,MATCH(W777*1,type!$A$118:$A$168,0),8),INDEX(Expenditure_type,MATCH(W777*1,type!$A$2:$A$117,0),8))</f>
        <v>#N/A</v>
      </c>
      <c r="Y777" s="18" t="str">
        <f t="shared" si="97"/>
        <v>400</v>
      </c>
      <c r="Z777" s="18" t="e">
        <f>IF($L777&lt;"6",INDEX(Revenue_type,MATCH(Y777*1,type!$A$118:$A$168,0),8),INDEX(Expenditure_type,MATCH(Y777*1,type!$A$2:$A$117,0),8))</f>
        <v>#N/A</v>
      </c>
    </row>
    <row r="778" spans="1:26" ht="15.75" hidden="1" customHeight="1" outlineLevel="2">
      <c r="A778">
        <v>500</v>
      </c>
      <c r="B778" s="249">
        <v>623000</v>
      </c>
      <c r="C778">
        <v>1</v>
      </c>
      <c r="D778" t="str">
        <f t="shared" si="90"/>
        <v>1623000.500</v>
      </c>
      <c r="E778" s="382" t="s">
        <v>8440</v>
      </c>
      <c r="F778" s="242"/>
      <c r="G778"/>
      <c r="H778" s="322">
        <v>2226800</v>
      </c>
      <c r="I778" s="322">
        <v>2264600</v>
      </c>
      <c r="J778" s="242">
        <v>1797500</v>
      </c>
      <c r="K778" s="18" t="e">
        <f>INDEX(תקציב_2013,MATCH(D778,'תקציב 2015'!$D$3:$D$5960,0),8)</f>
        <v>#N/A</v>
      </c>
      <c r="L778" s="18" t="str">
        <f t="shared" si="91"/>
        <v>6</v>
      </c>
      <c r="M778" s="18" t="str">
        <f>INDEX(Chapter,MATCH(L778,Chapter!$A$1:$A$681,0),8)</f>
        <v>הנהלה כללית</v>
      </c>
      <c r="N778" s="18" t="str">
        <f t="shared" si="92"/>
        <v>62</v>
      </c>
      <c r="O778" s="18" t="str">
        <f>INDEX(Chapter,MATCH(N778,Chapter!$A$1:$A$681,0),8)</f>
        <v>מינהל כספי</v>
      </c>
      <c r="P778" s="18" t="str">
        <f t="shared" si="93"/>
        <v>623</v>
      </c>
      <c r="Q778" s="18" t="str">
        <f>INDEX(Chapter,MATCH(P778,Chapter!$A$1:$A$681,0),8)</f>
        <v>גבייה</v>
      </c>
      <c r="R778" s="18" t="str">
        <f t="shared" si="94"/>
        <v>6230</v>
      </c>
      <c r="S778" s="18" t="e">
        <f>INDEX(Chapter,MATCH(R778,Chapter!$A$1:$A$681,0),8)</f>
        <v>#N/A</v>
      </c>
      <c r="T778" s="18"/>
      <c r="U778" s="18" t="str">
        <f t="shared" si="95"/>
        <v>5</v>
      </c>
      <c r="V778" s="18" t="str">
        <f>IF($L778&lt;"6",INDEX(Revenue_type,MATCH(U778*1,type!$A$118:$A$168,0),8),INDEX(Expenditure_type,MATCH(U778*1,type!$A$2:$A$117,0),8))</f>
        <v>הוצאות מנהליות</v>
      </c>
      <c r="W778" s="18" t="str">
        <f t="shared" si="96"/>
        <v>50</v>
      </c>
      <c r="X778" s="18" t="e">
        <f>IF($L778&lt;"6",INDEX(Revenue_type,MATCH(W778*1,type!$A$118:$A$168,0),8),INDEX(Expenditure_type,MATCH(W778*1,type!$A$2:$A$117,0),8))</f>
        <v>#N/A</v>
      </c>
      <c r="Y778" s="18" t="str">
        <f t="shared" si="97"/>
        <v>500</v>
      </c>
      <c r="Z778" s="18" t="e">
        <f>IF($L778&lt;"6",INDEX(Revenue_type,MATCH(Y778*1,type!$A$118:$A$168,0),8),INDEX(Expenditure_type,MATCH(Y778*1,type!$A$2:$A$117,0),8))</f>
        <v>#N/A</v>
      </c>
    </row>
    <row r="779" spans="1:26" ht="15.75" hidden="1" customHeight="1" outlineLevel="2">
      <c r="A779">
        <v>500</v>
      </c>
      <c r="B779" s="249">
        <v>623000</v>
      </c>
      <c r="C779">
        <v>1</v>
      </c>
      <c r="D779" t="str">
        <f t="shared" si="90"/>
        <v>1623000.500</v>
      </c>
      <c r="E779" s="382" t="s">
        <v>8441</v>
      </c>
      <c r="F779" s="242"/>
      <c r="G779"/>
      <c r="H779" s="322">
        <v>230600</v>
      </c>
      <c r="I779" s="322">
        <v>250600</v>
      </c>
      <c r="J779" s="242">
        <v>182100</v>
      </c>
      <c r="K779" s="18" t="e">
        <f>INDEX(תקציב_2013,MATCH(D779,'תקציב 2015'!$D$3:$D$5960,0),8)</f>
        <v>#N/A</v>
      </c>
      <c r="L779" s="18" t="str">
        <f t="shared" si="91"/>
        <v>6</v>
      </c>
      <c r="M779" s="18" t="str">
        <f>INDEX(Chapter,MATCH(L779,Chapter!$A$1:$A$681,0),8)</f>
        <v>הנהלה כללית</v>
      </c>
      <c r="N779" s="18" t="str">
        <f t="shared" si="92"/>
        <v>62</v>
      </c>
      <c r="O779" s="18" t="str">
        <f>INDEX(Chapter,MATCH(N779,Chapter!$A$1:$A$681,0),8)</f>
        <v>מינהל כספי</v>
      </c>
      <c r="P779" s="18" t="str">
        <f t="shared" si="93"/>
        <v>623</v>
      </c>
      <c r="Q779" s="18" t="str">
        <f>INDEX(Chapter,MATCH(P779,Chapter!$A$1:$A$681,0),8)</f>
        <v>גבייה</v>
      </c>
      <c r="R779" s="18" t="str">
        <f t="shared" si="94"/>
        <v>6230</v>
      </c>
      <c r="S779" s="18" t="e">
        <f>INDEX(Chapter,MATCH(R779,Chapter!$A$1:$A$681,0),8)</f>
        <v>#N/A</v>
      </c>
      <c r="T779" s="18"/>
      <c r="U779" s="18" t="str">
        <f t="shared" si="95"/>
        <v>5</v>
      </c>
      <c r="V779" s="18" t="str">
        <f>IF($L779&lt;"6",INDEX(Revenue_type,MATCH(U779*1,type!$A$118:$A$168,0),8),INDEX(Expenditure_type,MATCH(U779*1,type!$A$2:$A$117,0),8))</f>
        <v>הוצאות מנהליות</v>
      </c>
      <c r="W779" s="18" t="str">
        <f t="shared" si="96"/>
        <v>50</v>
      </c>
      <c r="X779" s="18" t="e">
        <f>IF($L779&lt;"6",INDEX(Revenue_type,MATCH(W779*1,type!$A$118:$A$168,0),8),INDEX(Expenditure_type,MATCH(W779*1,type!$A$2:$A$117,0),8))</f>
        <v>#N/A</v>
      </c>
      <c r="Y779" s="18" t="str">
        <f t="shared" si="97"/>
        <v>500</v>
      </c>
      <c r="Z779" s="18" t="e">
        <f>IF($L779&lt;"6",INDEX(Revenue_type,MATCH(Y779*1,type!$A$118:$A$168,0),8),INDEX(Expenditure_type,MATCH(Y779*1,type!$A$2:$A$117,0),8))</f>
        <v>#N/A</v>
      </c>
    </row>
    <row r="780" spans="1:26" ht="15.75" hidden="1" customHeight="1" outlineLevel="2">
      <c r="A780">
        <v>700</v>
      </c>
      <c r="B780" s="249">
        <v>623000</v>
      </c>
      <c r="C780">
        <v>1</v>
      </c>
      <c r="D780" t="str">
        <f t="shared" si="90"/>
        <v>1623000.700</v>
      </c>
      <c r="E780" s="382" t="s">
        <v>8442</v>
      </c>
      <c r="F780" s="242"/>
      <c r="G780"/>
      <c r="H780" s="322">
        <v>896600</v>
      </c>
      <c r="I780" s="322">
        <v>961800</v>
      </c>
      <c r="J780" s="242">
        <v>877200</v>
      </c>
      <c r="K780" s="18" t="e">
        <f>INDEX(תקציב_2013,MATCH(D780,'תקציב 2015'!$D$3:$D$5960,0),8)</f>
        <v>#N/A</v>
      </c>
      <c r="L780" s="18" t="str">
        <f t="shared" si="91"/>
        <v>6</v>
      </c>
      <c r="M780" s="18" t="str">
        <f>INDEX(Chapter,MATCH(L780,Chapter!$A$1:$A$681,0),8)</f>
        <v>הנהלה כללית</v>
      </c>
      <c r="N780" s="18" t="str">
        <f t="shared" si="92"/>
        <v>62</v>
      </c>
      <c r="O780" s="18" t="str">
        <f>INDEX(Chapter,MATCH(N780,Chapter!$A$1:$A$681,0),8)</f>
        <v>מינהל כספי</v>
      </c>
      <c r="P780" s="18" t="str">
        <f t="shared" si="93"/>
        <v>623</v>
      </c>
      <c r="Q780" s="18" t="str">
        <f>INDEX(Chapter,MATCH(P780,Chapter!$A$1:$A$681,0),8)</f>
        <v>גבייה</v>
      </c>
      <c r="R780" s="18" t="str">
        <f t="shared" si="94"/>
        <v>6230</v>
      </c>
      <c r="S780" s="18" t="e">
        <f>INDEX(Chapter,MATCH(R780,Chapter!$A$1:$A$681,0),8)</f>
        <v>#N/A</v>
      </c>
      <c r="T780" s="18"/>
      <c r="U780" s="18" t="str">
        <f t="shared" si="95"/>
        <v>7</v>
      </c>
      <c r="V780" s="18" t="str">
        <f>IF($L780&lt;"6",INDEX(Revenue_type,MATCH(U780*1,type!$A$118:$A$168,0),8),INDEX(Expenditure_type,MATCH(U780*1,type!$A$2:$A$117,0),8))</f>
        <v>הוצאות לפעולות</v>
      </c>
      <c r="W780" s="18" t="str">
        <f t="shared" si="96"/>
        <v>70</v>
      </c>
      <c r="X780" s="18" t="e">
        <f>IF($L780&lt;"6",INDEX(Revenue_type,MATCH(W780*1,type!$A$118:$A$168,0),8),INDEX(Expenditure_type,MATCH(W780*1,type!$A$2:$A$117,0),8))</f>
        <v>#N/A</v>
      </c>
      <c r="Y780" s="18" t="str">
        <f t="shared" si="97"/>
        <v>700</v>
      </c>
      <c r="Z780" s="18" t="e">
        <f>IF($L780&lt;"6",INDEX(Revenue_type,MATCH(Y780*1,type!$A$118:$A$168,0),8),INDEX(Expenditure_type,MATCH(Y780*1,type!$A$2:$A$117,0),8))</f>
        <v>#N/A</v>
      </c>
    </row>
    <row r="781" spans="1:26" ht="15.75" hidden="1" customHeight="1" outlineLevel="2">
      <c r="A781">
        <v>100</v>
      </c>
      <c r="B781" s="249">
        <v>623200</v>
      </c>
      <c r="C781">
        <v>1</v>
      </c>
      <c r="D781" t="str">
        <f t="shared" si="90"/>
        <v>1623200.100</v>
      </c>
      <c r="E781" s="382" t="s">
        <v>8443</v>
      </c>
      <c r="F781" s="242"/>
      <c r="G781"/>
      <c r="H781" s="322">
        <v>15709800</v>
      </c>
      <c r="I781" s="322">
        <v>15534800</v>
      </c>
      <c r="J781" s="242">
        <v>13988600</v>
      </c>
      <c r="K781" s="18" t="e">
        <f>INDEX(תקציב_2013,MATCH(D781,'תקציב 2015'!$D$3:$D$5960,0),8)</f>
        <v>#N/A</v>
      </c>
      <c r="L781" s="18" t="str">
        <f t="shared" si="91"/>
        <v>6</v>
      </c>
      <c r="M781" s="18" t="str">
        <f>INDEX(Chapter,MATCH(L781,Chapter!$A$1:$A$681,0),8)</f>
        <v>הנהלה כללית</v>
      </c>
      <c r="N781" s="18" t="str">
        <f t="shared" si="92"/>
        <v>62</v>
      </c>
      <c r="O781" s="18" t="str">
        <f>INDEX(Chapter,MATCH(N781,Chapter!$A$1:$A$681,0),8)</f>
        <v>מינהל כספי</v>
      </c>
      <c r="P781" s="18" t="str">
        <f t="shared" si="93"/>
        <v>623</v>
      </c>
      <c r="Q781" s="18" t="str">
        <f>INDEX(Chapter,MATCH(P781,Chapter!$A$1:$A$681,0),8)</f>
        <v>גבייה</v>
      </c>
      <c r="R781" s="18" t="str">
        <f t="shared" si="94"/>
        <v>6232</v>
      </c>
      <c r="S781" s="18" t="str">
        <f>INDEX(Chapter,MATCH(R781,Chapter!$A$1:$A$681,0),8)</f>
        <v>גביית ארנונה</v>
      </c>
      <c r="T781" s="18"/>
      <c r="U781" s="18" t="str">
        <f t="shared" si="95"/>
        <v>1</v>
      </c>
      <c r="V781" s="18" t="str">
        <f>IF($L781&lt;"6",INDEX(Revenue_type,MATCH(U781*1,type!$A$118:$A$168,0),8),INDEX(Expenditure_type,MATCH(U781*1,type!$A$2:$A$117,0),8))</f>
        <v>משכורות וש"ע לעובדים לפי תקן</v>
      </c>
      <c r="W781" s="18" t="str">
        <f t="shared" si="96"/>
        <v>10</v>
      </c>
      <c r="X781" s="18" t="e">
        <f>IF($L781&lt;"6",INDEX(Revenue_type,MATCH(W781*1,type!$A$118:$A$168,0),8),INDEX(Expenditure_type,MATCH(W781*1,type!$A$2:$A$117,0),8))</f>
        <v>#N/A</v>
      </c>
      <c r="Y781" s="18" t="str">
        <f t="shared" si="97"/>
        <v>100</v>
      </c>
      <c r="Z781" s="18" t="e">
        <f>IF($L781&lt;"6",INDEX(Revenue_type,MATCH(Y781*1,type!$A$118:$A$168,0),8),INDEX(Expenditure_type,MATCH(Y781*1,type!$A$2:$A$117,0),8))</f>
        <v>#N/A</v>
      </c>
    </row>
    <row r="782" spans="1:26" ht="15.75" hidden="1" customHeight="1" outlineLevel="2">
      <c r="A782">
        <v>120</v>
      </c>
      <c r="B782" s="249">
        <v>623200</v>
      </c>
      <c r="C782">
        <v>1</v>
      </c>
      <c r="D782" t="str">
        <f t="shared" si="90"/>
        <v>1623200.120</v>
      </c>
      <c r="E782" s="382" t="s">
        <v>8444</v>
      </c>
      <c r="F782" s="242"/>
      <c r="G782"/>
      <c r="H782" s="322">
        <v>287200</v>
      </c>
      <c r="I782" s="322">
        <v>287200</v>
      </c>
      <c r="J782" s="242">
        <v>383900</v>
      </c>
      <c r="K782" s="18" t="e">
        <f>INDEX(תקציב_2013,MATCH(D782,'תקציב 2015'!$D$3:$D$5960,0),8)</f>
        <v>#N/A</v>
      </c>
      <c r="L782" s="18" t="str">
        <f t="shared" si="91"/>
        <v>6</v>
      </c>
      <c r="M782" s="18" t="str">
        <f>INDEX(Chapter,MATCH(L782,Chapter!$A$1:$A$681,0),8)</f>
        <v>הנהלה כללית</v>
      </c>
      <c r="N782" s="18" t="str">
        <f t="shared" si="92"/>
        <v>62</v>
      </c>
      <c r="O782" s="18" t="str">
        <f>INDEX(Chapter,MATCH(N782,Chapter!$A$1:$A$681,0),8)</f>
        <v>מינהל כספי</v>
      </c>
      <c r="P782" s="18" t="str">
        <f t="shared" si="93"/>
        <v>623</v>
      </c>
      <c r="Q782" s="18" t="str">
        <f>INDEX(Chapter,MATCH(P782,Chapter!$A$1:$A$681,0),8)</f>
        <v>גבייה</v>
      </c>
      <c r="R782" s="18" t="str">
        <f t="shared" si="94"/>
        <v>6232</v>
      </c>
      <c r="S782" s="18" t="str">
        <f>INDEX(Chapter,MATCH(R782,Chapter!$A$1:$A$681,0),8)</f>
        <v>גביית ארנונה</v>
      </c>
      <c r="T782" s="18"/>
      <c r="U782" s="18" t="str">
        <f t="shared" si="95"/>
        <v>1</v>
      </c>
      <c r="V782" s="18" t="str">
        <f>IF($L782&lt;"6",INDEX(Revenue_type,MATCH(U782*1,type!$A$118:$A$168,0),8),INDEX(Expenditure_type,MATCH(U782*1,type!$A$2:$A$117,0),8))</f>
        <v>משכורות וש"ע לעובדים לפי תקן</v>
      </c>
      <c r="W782" s="18" t="str">
        <f t="shared" si="96"/>
        <v>12</v>
      </c>
      <c r="X782" s="18" t="str">
        <f>IF($L782&lt;"6",INDEX(Revenue_type,MATCH(W782*1,type!$A$118:$A$168,0),8),INDEX(Expenditure_type,MATCH(W782*1,type!$A$2:$A$117,0),8))</f>
        <v>תוספות שאינן נכללות בשכר הקובע</v>
      </c>
      <c r="Y782" s="18" t="str">
        <f t="shared" si="97"/>
        <v>120</v>
      </c>
      <c r="Z782" s="18" t="e">
        <f>IF($L782&lt;"6",INDEX(Revenue_type,MATCH(Y782*1,type!$A$118:$A$168,0),8),INDEX(Expenditure_type,MATCH(Y782*1,type!$A$2:$A$117,0),8))</f>
        <v>#N/A</v>
      </c>
    </row>
    <row r="783" spans="1:26" ht="15.75" hidden="1" customHeight="1" outlineLevel="2">
      <c r="A783">
        <v>400</v>
      </c>
      <c r="B783" s="249">
        <v>623200</v>
      </c>
      <c r="C783">
        <v>1</v>
      </c>
      <c r="D783" t="str">
        <f t="shared" si="90"/>
        <v>1623200.400</v>
      </c>
      <c r="E783" s="382" t="s">
        <v>8445</v>
      </c>
      <c r="F783" s="242"/>
      <c r="G783"/>
      <c r="H783" s="322">
        <v>670100</v>
      </c>
      <c r="I783" s="322">
        <v>704500</v>
      </c>
      <c r="J783" s="242">
        <v>580800</v>
      </c>
      <c r="K783" s="18"/>
      <c r="L783" s="18" t="str">
        <f t="shared" si="91"/>
        <v>6</v>
      </c>
      <c r="M783" s="18" t="str">
        <f>INDEX(Chapter,MATCH(L783,Chapter!$A$1:$A$681,0),8)</f>
        <v>הנהלה כללית</v>
      </c>
      <c r="N783" s="18" t="str">
        <f t="shared" si="92"/>
        <v>62</v>
      </c>
      <c r="O783" s="18" t="str">
        <f>INDEX(Chapter,MATCH(N783,Chapter!$A$1:$A$681,0),8)</f>
        <v>מינהל כספי</v>
      </c>
      <c r="P783" s="18" t="str">
        <f t="shared" si="93"/>
        <v>623</v>
      </c>
      <c r="Q783" s="18" t="str">
        <f>INDEX(Chapter,MATCH(P783,Chapter!$A$1:$A$681,0),8)</f>
        <v>גבייה</v>
      </c>
      <c r="R783" s="18" t="str">
        <f t="shared" si="94"/>
        <v>6232</v>
      </c>
      <c r="S783" s="18" t="str">
        <f>INDEX(Chapter,MATCH(R783,Chapter!$A$1:$A$681,0),8)</f>
        <v>גביית ארנונה</v>
      </c>
      <c r="T783" s="18"/>
      <c r="U783" s="18" t="str">
        <f t="shared" si="95"/>
        <v>4</v>
      </c>
      <c r="V783" s="18" t="str">
        <f>IF($L783&lt;"6",INDEX(Revenue_type,MATCH(U783*1,type!$A$118:$A$168,0),8),INDEX(Expenditure_type,MATCH(U783*1,type!$A$2:$A$117,0),8))</f>
        <v>אחזקת בינים ואספקת ציוד</v>
      </c>
      <c r="W783" s="18" t="str">
        <f t="shared" si="96"/>
        <v>40</v>
      </c>
      <c r="X783" s="18" t="e">
        <f>IF($L783&lt;"6",INDEX(Revenue_type,MATCH(W783*1,type!$A$118:$A$168,0),8),INDEX(Expenditure_type,MATCH(W783*1,type!$A$2:$A$117,0),8))</f>
        <v>#N/A</v>
      </c>
      <c r="Y783" s="18" t="str">
        <f t="shared" si="97"/>
        <v>400</v>
      </c>
      <c r="Z783" s="18" t="e">
        <f>IF($L783&lt;"6",INDEX(Revenue_type,MATCH(Y783*1,type!$A$118:$A$168,0),8),INDEX(Expenditure_type,MATCH(Y783*1,type!$A$2:$A$117,0),8))</f>
        <v>#N/A</v>
      </c>
    </row>
    <row r="784" spans="1:26" ht="15.75" hidden="1" customHeight="1" outlineLevel="2">
      <c r="A784">
        <v>500</v>
      </c>
      <c r="B784" s="249">
        <v>623200</v>
      </c>
      <c r="C784">
        <v>1</v>
      </c>
      <c r="D784" t="str">
        <f t="shared" si="90"/>
        <v>1623200.500</v>
      </c>
      <c r="E784" s="378" t="s">
        <v>8446</v>
      </c>
      <c r="F784" s="242"/>
      <c r="G784"/>
      <c r="H784" s="322">
        <v>165000</v>
      </c>
      <c r="I784" s="322">
        <v>155000</v>
      </c>
      <c r="J784" s="242">
        <v>98800</v>
      </c>
      <c r="K784" s="18" t="e">
        <f>INDEX(תקציב_2013,MATCH(D784,'תקציב 2015'!$D$3:$D$5960,0),8)</f>
        <v>#N/A</v>
      </c>
      <c r="L784" s="18" t="str">
        <f t="shared" si="91"/>
        <v>6</v>
      </c>
      <c r="M784" s="18" t="str">
        <f>INDEX(Chapter,MATCH(L784,Chapter!$A$1:$A$681,0),8)</f>
        <v>הנהלה כללית</v>
      </c>
      <c r="N784" s="18" t="str">
        <f t="shared" si="92"/>
        <v>62</v>
      </c>
      <c r="O784" s="18" t="str">
        <f>INDEX(Chapter,MATCH(N784,Chapter!$A$1:$A$681,0),8)</f>
        <v>מינהל כספי</v>
      </c>
      <c r="P784" s="18" t="str">
        <f t="shared" si="93"/>
        <v>623</v>
      </c>
      <c r="Q784" s="18" t="str">
        <f>INDEX(Chapter,MATCH(P784,Chapter!$A$1:$A$681,0),8)</f>
        <v>גבייה</v>
      </c>
      <c r="R784" s="18" t="str">
        <f t="shared" si="94"/>
        <v>6232</v>
      </c>
      <c r="S784" s="18" t="str">
        <f>INDEX(Chapter,MATCH(R784,Chapter!$A$1:$A$681,0),8)</f>
        <v>גביית ארנונה</v>
      </c>
      <c r="T784" s="18"/>
      <c r="U784" s="18" t="str">
        <f t="shared" si="95"/>
        <v>5</v>
      </c>
      <c r="V784" s="18" t="str">
        <f>IF($L784&lt;"6",INDEX(Revenue_type,MATCH(U784*1,type!$A$118:$A$168,0),8),INDEX(Expenditure_type,MATCH(U784*1,type!$A$2:$A$117,0),8))</f>
        <v>הוצאות מנהליות</v>
      </c>
      <c r="W784" s="18" t="str">
        <f t="shared" si="96"/>
        <v>50</v>
      </c>
      <c r="X784" s="18" t="e">
        <f>IF($L784&lt;"6",INDEX(Revenue_type,MATCH(W784*1,type!$A$118:$A$168,0),8),INDEX(Expenditure_type,MATCH(W784*1,type!$A$2:$A$117,0),8))</f>
        <v>#N/A</v>
      </c>
      <c r="Y784" s="18" t="str">
        <f t="shared" si="97"/>
        <v>500</v>
      </c>
      <c r="Z784" s="18" t="e">
        <f>IF($L784&lt;"6",INDEX(Revenue_type,MATCH(Y784*1,type!$A$118:$A$168,0),8),INDEX(Expenditure_type,MATCH(Y784*1,type!$A$2:$A$117,0),8))</f>
        <v>#N/A</v>
      </c>
    </row>
    <row r="785" spans="1:26" ht="15.75" hidden="1" customHeight="1" outlineLevel="2">
      <c r="A785">
        <v>500</v>
      </c>
      <c r="B785" s="249">
        <v>623200</v>
      </c>
      <c r="C785">
        <v>1</v>
      </c>
      <c r="D785" t="str">
        <f t="shared" si="90"/>
        <v>1623200.500</v>
      </c>
      <c r="E785" s="386" t="s">
        <v>8447</v>
      </c>
      <c r="F785" s="242"/>
      <c r="G785"/>
      <c r="H785" s="322">
        <v>17800</v>
      </c>
      <c r="I785" s="322">
        <v>17800</v>
      </c>
      <c r="J785" s="242">
        <v>9800</v>
      </c>
      <c r="K785" s="18" t="e">
        <f>INDEX(תקציב_2013,MATCH(D785,'תקציב 2015'!$D$3:$D$5960,0),8)</f>
        <v>#N/A</v>
      </c>
      <c r="L785" s="18" t="str">
        <f t="shared" si="91"/>
        <v>6</v>
      </c>
      <c r="M785" s="18" t="str">
        <f>INDEX(Chapter,MATCH(L785,Chapter!$A$1:$A$681,0),8)</f>
        <v>הנהלה כללית</v>
      </c>
      <c r="N785" s="18" t="str">
        <f t="shared" si="92"/>
        <v>62</v>
      </c>
      <c r="O785" s="18" t="str">
        <f>INDEX(Chapter,MATCH(N785,Chapter!$A$1:$A$681,0),8)</f>
        <v>מינהל כספי</v>
      </c>
      <c r="P785" s="18" t="str">
        <f t="shared" si="93"/>
        <v>623</v>
      </c>
      <c r="Q785" s="18" t="str">
        <f>INDEX(Chapter,MATCH(P785,Chapter!$A$1:$A$681,0),8)</f>
        <v>גבייה</v>
      </c>
      <c r="R785" s="18" t="str">
        <f t="shared" si="94"/>
        <v>6232</v>
      </c>
      <c r="S785" s="18" t="str">
        <f>INDEX(Chapter,MATCH(R785,Chapter!$A$1:$A$681,0),8)</f>
        <v>גביית ארנונה</v>
      </c>
      <c r="T785" s="18"/>
      <c r="U785" s="18" t="str">
        <f t="shared" si="95"/>
        <v>5</v>
      </c>
      <c r="V785" s="18" t="str">
        <f>IF($L785&lt;"6",INDEX(Revenue_type,MATCH(U785*1,type!$A$118:$A$168,0),8),INDEX(Expenditure_type,MATCH(U785*1,type!$A$2:$A$117,0),8))</f>
        <v>הוצאות מנהליות</v>
      </c>
      <c r="W785" s="18" t="str">
        <f t="shared" si="96"/>
        <v>50</v>
      </c>
      <c r="X785" s="18" t="e">
        <f>IF($L785&lt;"6",INDEX(Revenue_type,MATCH(W785*1,type!$A$118:$A$168,0),8),INDEX(Expenditure_type,MATCH(W785*1,type!$A$2:$A$117,0),8))</f>
        <v>#N/A</v>
      </c>
      <c r="Y785" s="18" t="str">
        <f t="shared" si="97"/>
        <v>500</v>
      </c>
      <c r="Z785" s="18" t="e">
        <f>IF($L785&lt;"6",INDEX(Revenue_type,MATCH(Y785*1,type!$A$118:$A$168,0),8),INDEX(Expenditure_type,MATCH(Y785*1,type!$A$2:$A$117,0),8))</f>
        <v>#N/A</v>
      </c>
    </row>
    <row r="786" spans="1:26" ht="15.75" hidden="1" customHeight="1" outlineLevel="2">
      <c r="A786">
        <v>700</v>
      </c>
      <c r="B786" s="249">
        <v>623200</v>
      </c>
      <c r="C786">
        <v>1</v>
      </c>
      <c r="D786" t="str">
        <f t="shared" si="90"/>
        <v>1623200.700</v>
      </c>
      <c r="E786" s="382" t="s">
        <v>8448</v>
      </c>
      <c r="F786" s="242"/>
      <c r="G786"/>
      <c r="H786" s="322">
        <v>22405800</v>
      </c>
      <c r="I786" s="322">
        <v>35122700</v>
      </c>
      <c r="J786" s="242">
        <v>17712800</v>
      </c>
      <c r="K786" s="18" t="e">
        <f>INDEX(תקציב_2013,MATCH(D786,'תקציב 2015'!$D$3:$D$5960,0),8)</f>
        <v>#N/A</v>
      </c>
      <c r="L786" s="18" t="str">
        <f t="shared" si="91"/>
        <v>6</v>
      </c>
      <c r="M786" s="18" t="str">
        <f>INDEX(Chapter,MATCH(L786,Chapter!$A$1:$A$681,0),8)</f>
        <v>הנהלה כללית</v>
      </c>
      <c r="N786" s="18" t="str">
        <f t="shared" si="92"/>
        <v>62</v>
      </c>
      <c r="O786" s="18" t="str">
        <f>INDEX(Chapter,MATCH(N786,Chapter!$A$1:$A$681,0),8)</f>
        <v>מינהל כספי</v>
      </c>
      <c r="P786" s="18" t="str">
        <f t="shared" si="93"/>
        <v>623</v>
      </c>
      <c r="Q786" s="18" t="str">
        <f>INDEX(Chapter,MATCH(P786,Chapter!$A$1:$A$681,0),8)</f>
        <v>גבייה</v>
      </c>
      <c r="R786" s="18" t="str">
        <f t="shared" si="94"/>
        <v>6232</v>
      </c>
      <c r="S786" s="18" t="str">
        <f>INDEX(Chapter,MATCH(R786,Chapter!$A$1:$A$681,0),8)</f>
        <v>גביית ארנונה</v>
      </c>
      <c r="T786" s="18"/>
      <c r="U786" s="18" t="str">
        <f t="shared" si="95"/>
        <v>7</v>
      </c>
      <c r="V786" s="18" t="str">
        <f>IF($L786&lt;"6",INDEX(Revenue_type,MATCH(U786*1,type!$A$118:$A$168,0),8),INDEX(Expenditure_type,MATCH(U786*1,type!$A$2:$A$117,0),8))</f>
        <v>הוצאות לפעולות</v>
      </c>
      <c r="W786" s="18" t="str">
        <f t="shared" si="96"/>
        <v>70</v>
      </c>
      <c r="X786" s="18" t="e">
        <f>IF($L786&lt;"6",INDEX(Revenue_type,MATCH(W786*1,type!$A$118:$A$168,0),8),INDEX(Expenditure_type,MATCH(W786*1,type!$A$2:$A$117,0),8))</f>
        <v>#N/A</v>
      </c>
      <c r="Y786" s="18" t="str">
        <f t="shared" si="97"/>
        <v>700</v>
      </c>
      <c r="Z786" s="18" t="e">
        <f>IF($L786&lt;"6",INDEX(Revenue_type,MATCH(Y786*1,type!$A$118:$A$168,0),8),INDEX(Expenditure_type,MATCH(Y786*1,type!$A$2:$A$117,0),8))</f>
        <v>#N/A</v>
      </c>
    </row>
    <row r="787" spans="1:26" ht="15.75" hidden="1" customHeight="1" outlineLevel="2">
      <c r="A787">
        <v>100</v>
      </c>
      <c r="B787" s="249">
        <v>619600</v>
      </c>
      <c r="C787">
        <v>1</v>
      </c>
      <c r="D787" t="str">
        <f t="shared" ref="D787:D850" si="98">C787&amp;B787&amp;"."&amp;A787</f>
        <v>1619600.100</v>
      </c>
      <c r="E787" s="382" t="s">
        <v>8449</v>
      </c>
      <c r="F787" s="242"/>
      <c r="G787"/>
      <c r="H787" s="322">
        <v>1214800</v>
      </c>
      <c r="I787" s="322">
        <v>1200800</v>
      </c>
      <c r="J787" s="242">
        <v>1195100</v>
      </c>
      <c r="K787" s="18" t="e">
        <f>INDEX(תקציב_2013,MATCH(D787,'תקציב 2015'!$D$3:$D$5960,0),8)</f>
        <v>#N/A</v>
      </c>
      <c r="L787" s="18" t="str">
        <f t="shared" si="91"/>
        <v>6</v>
      </c>
      <c r="M787" s="18" t="str">
        <f>INDEX(Chapter,MATCH(L787,Chapter!$A$1:$A$681,0),8)</f>
        <v>הנהלה כללית</v>
      </c>
      <c r="N787" s="18" t="str">
        <f t="shared" si="92"/>
        <v>61</v>
      </c>
      <c r="O787" s="18" t="str">
        <f>INDEX(Chapter,MATCH(N787,Chapter!$A$1:$A$681,0),8)</f>
        <v>מינהל כללי</v>
      </c>
      <c r="P787" s="18" t="str">
        <f t="shared" si="93"/>
        <v>619</v>
      </c>
      <c r="Q787" s="18" t="str">
        <f>INDEX(Chapter,MATCH(P787,Chapter!$A$1:$A$681,0),8)</f>
        <v>בחירות ברשויות המקומיות</v>
      </c>
      <c r="R787" s="18" t="str">
        <f t="shared" si="94"/>
        <v>6196</v>
      </c>
      <c r="S787" s="18" t="e">
        <f>INDEX(Chapter,MATCH(R787,Chapter!$A$1:$A$681,0),8)</f>
        <v>#N/A</v>
      </c>
      <c r="T787" s="18"/>
      <c r="U787" s="18" t="str">
        <f t="shared" si="95"/>
        <v>1</v>
      </c>
      <c r="V787" s="18" t="str">
        <f>IF($L787&lt;"6",INDEX(Revenue_type,MATCH(U787*1,type!$A$118:$A$168,0),8),INDEX(Expenditure_type,MATCH(U787*1,type!$A$2:$A$117,0),8))</f>
        <v>משכורות וש"ע לעובדים לפי תקן</v>
      </c>
      <c r="W787" s="18" t="str">
        <f t="shared" si="96"/>
        <v>10</v>
      </c>
      <c r="X787" s="18" t="e">
        <f>IF($L787&lt;"6",INDEX(Revenue_type,MATCH(W787*1,type!$A$118:$A$168,0),8),INDEX(Expenditure_type,MATCH(W787*1,type!$A$2:$A$117,0),8))</f>
        <v>#N/A</v>
      </c>
      <c r="Y787" s="18" t="str">
        <f t="shared" si="97"/>
        <v>100</v>
      </c>
      <c r="Z787" s="18" t="e">
        <f>IF($L787&lt;"6",INDEX(Revenue_type,MATCH(Y787*1,type!$A$118:$A$168,0),8),INDEX(Expenditure_type,MATCH(Y787*1,type!$A$2:$A$117,0),8))</f>
        <v>#N/A</v>
      </c>
    </row>
    <row r="788" spans="1:26" ht="15.75" hidden="1" customHeight="1" outlineLevel="2">
      <c r="A788">
        <v>120</v>
      </c>
      <c r="B788" s="249">
        <v>619600</v>
      </c>
      <c r="C788">
        <v>1</v>
      </c>
      <c r="D788" t="str">
        <f t="shared" si="98"/>
        <v>1619600.120</v>
      </c>
      <c r="E788" s="382" t="s">
        <v>8450</v>
      </c>
      <c r="F788" s="242"/>
      <c r="G788"/>
      <c r="H788" s="322">
        <v>24200</v>
      </c>
      <c r="I788" s="322">
        <v>24200</v>
      </c>
      <c r="J788" s="242">
        <v>23200</v>
      </c>
      <c r="K788" s="18" t="e">
        <f>INDEX(תקציב_2013,MATCH(D788,'תקציב 2015'!$D$3:$D$5960,0),8)</f>
        <v>#N/A</v>
      </c>
      <c r="L788" s="18" t="str">
        <f t="shared" si="91"/>
        <v>6</v>
      </c>
      <c r="M788" s="18" t="str">
        <f>INDEX(Chapter,MATCH(L788,Chapter!$A$1:$A$681,0),8)</f>
        <v>הנהלה כללית</v>
      </c>
      <c r="N788" s="18" t="str">
        <f t="shared" si="92"/>
        <v>61</v>
      </c>
      <c r="O788" s="18" t="str">
        <f>INDEX(Chapter,MATCH(N788,Chapter!$A$1:$A$681,0),8)</f>
        <v>מינהל כללי</v>
      </c>
      <c r="P788" s="18" t="str">
        <f t="shared" si="93"/>
        <v>619</v>
      </c>
      <c r="Q788" s="18" t="str">
        <f>INDEX(Chapter,MATCH(P788,Chapter!$A$1:$A$681,0),8)</f>
        <v>בחירות ברשויות המקומיות</v>
      </c>
      <c r="R788" s="18" t="str">
        <f t="shared" si="94"/>
        <v>6196</v>
      </c>
      <c r="S788" s="18" t="e">
        <f>INDEX(Chapter,MATCH(R788,Chapter!$A$1:$A$681,0),8)</f>
        <v>#N/A</v>
      </c>
      <c r="T788" s="18"/>
      <c r="U788" s="18" t="str">
        <f t="shared" si="95"/>
        <v>1</v>
      </c>
      <c r="V788" s="18" t="str">
        <f>IF($L788&lt;"6",INDEX(Revenue_type,MATCH(U788*1,type!$A$118:$A$168,0),8),INDEX(Expenditure_type,MATCH(U788*1,type!$A$2:$A$117,0),8))</f>
        <v>משכורות וש"ע לעובדים לפי תקן</v>
      </c>
      <c r="W788" s="18" t="str">
        <f t="shared" si="96"/>
        <v>12</v>
      </c>
      <c r="X788" s="18" t="str">
        <f>IF($L788&lt;"6",INDEX(Revenue_type,MATCH(W788*1,type!$A$118:$A$168,0),8),INDEX(Expenditure_type,MATCH(W788*1,type!$A$2:$A$117,0),8))</f>
        <v>תוספות שאינן נכללות בשכר הקובע</v>
      </c>
      <c r="Y788" s="18" t="str">
        <f t="shared" si="97"/>
        <v>120</v>
      </c>
      <c r="Z788" s="18" t="e">
        <f>IF($L788&lt;"6",INDEX(Revenue_type,MATCH(Y788*1,type!$A$118:$A$168,0),8),INDEX(Expenditure_type,MATCH(Y788*1,type!$A$2:$A$117,0),8))</f>
        <v>#N/A</v>
      </c>
    </row>
    <row r="789" spans="1:26" ht="15.75" hidden="1" customHeight="1" outlineLevel="2">
      <c r="A789">
        <v>400</v>
      </c>
      <c r="B789" s="249">
        <v>619600</v>
      </c>
      <c r="C789">
        <v>1</v>
      </c>
      <c r="D789" t="str">
        <f t="shared" si="98"/>
        <v>1619600.400</v>
      </c>
      <c r="E789" s="381" t="s">
        <v>8451</v>
      </c>
      <c r="F789" s="242"/>
      <c r="G789"/>
      <c r="H789" s="322">
        <v>29100</v>
      </c>
      <c r="I789" s="322">
        <v>29100</v>
      </c>
      <c r="J789" s="242">
        <v>19400</v>
      </c>
      <c r="K789" s="18" t="e">
        <f>INDEX(תקציב_2013,MATCH(D789,'תקציב 2015'!$D$3:$D$5960,0),8)</f>
        <v>#N/A</v>
      </c>
      <c r="L789" s="18" t="str">
        <f t="shared" si="91"/>
        <v>6</v>
      </c>
      <c r="M789" s="18" t="str">
        <f>INDEX(Chapter,MATCH(L789,Chapter!$A$1:$A$681,0),8)</f>
        <v>הנהלה כללית</v>
      </c>
      <c r="N789" s="18" t="str">
        <f t="shared" si="92"/>
        <v>61</v>
      </c>
      <c r="O789" s="18" t="str">
        <f>INDEX(Chapter,MATCH(N789,Chapter!$A$1:$A$681,0),8)</f>
        <v>מינהל כללי</v>
      </c>
      <c r="P789" s="18" t="str">
        <f t="shared" si="93"/>
        <v>619</v>
      </c>
      <c r="Q789" s="18" t="str">
        <f>INDEX(Chapter,MATCH(P789,Chapter!$A$1:$A$681,0),8)</f>
        <v>בחירות ברשויות המקומיות</v>
      </c>
      <c r="R789" s="18" t="str">
        <f t="shared" si="94"/>
        <v>6196</v>
      </c>
      <c r="S789" s="18" t="e">
        <f>INDEX(Chapter,MATCH(R789,Chapter!$A$1:$A$681,0),8)</f>
        <v>#N/A</v>
      </c>
      <c r="T789" s="18"/>
      <c r="U789" s="18" t="str">
        <f t="shared" si="95"/>
        <v>4</v>
      </c>
      <c r="V789" s="18" t="str">
        <f>IF($L789&lt;"6",INDEX(Revenue_type,MATCH(U789*1,type!$A$118:$A$168,0),8),INDEX(Expenditure_type,MATCH(U789*1,type!$A$2:$A$117,0),8))</f>
        <v>אחזקת בינים ואספקת ציוד</v>
      </c>
      <c r="W789" s="18" t="str">
        <f t="shared" si="96"/>
        <v>40</v>
      </c>
      <c r="X789" s="18" t="e">
        <f>IF($L789&lt;"6",INDEX(Revenue_type,MATCH(W789*1,type!$A$118:$A$168,0),8),INDEX(Expenditure_type,MATCH(W789*1,type!$A$2:$A$117,0),8))</f>
        <v>#N/A</v>
      </c>
      <c r="Y789" s="18" t="str">
        <f t="shared" si="97"/>
        <v>400</v>
      </c>
      <c r="Z789" s="18" t="e">
        <f>IF($L789&lt;"6",INDEX(Revenue_type,MATCH(Y789*1,type!$A$118:$A$168,0),8),INDEX(Expenditure_type,MATCH(Y789*1,type!$A$2:$A$117,0),8))</f>
        <v>#N/A</v>
      </c>
    </row>
    <row r="790" spans="1:26" ht="15.75" hidden="1" customHeight="1" outlineLevel="2">
      <c r="A790">
        <v>500</v>
      </c>
      <c r="B790" s="249">
        <v>619600</v>
      </c>
      <c r="C790">
        <v>1</v>
      </c>
      <c r="D790" t="str">
        <f t="shared" si="98"/>
        <v>1619600.500</v>
      </c>
      <c r="E790" s="382" t="s">
        <v>8452</v>
      </c>
      <c r="F790" s="242"/>
      <c r="G790"/>
      <c r="H790" s="322">
        <v>10000</v>
      </c>
      <c r="I790" s="322">
        <v>10000</v>
      </c>
      <c r="J790" s="242">
        <v>800</v>
      </c>
      <c r="K790" s="18" t="e">
        <f>INDEX(תקציב_2013,MATCH(D790,'תקציב 2015'!$D$3:$D$5960,0),8)</f>
        <v>#N/A</v>
      </c>
      <c r="L790" s="18" t="str">
        <f t="shared" si="91"/>
        <v>6</v>
      </c>
      <c r="M790" s="18" t="str">
        <f>INDEX(Chapter,MATCH(L790,Chapter!$A$1:$A$681,0),8)</f>
        <v>הנהלה כללית</v>
      </c>
      <c r="N790" s="18" t="str">
        <f t="shared" si="92"/>
        <v>61</v>
      </c>
      <c r="O790" s="18" t="str">
        <f>INDEX(Chapter,MATCH(N790,Chapter!$A$1:$A$681,0),8)</f>
        <v>מינהל כללי</v>
      </c>
      <c r="P790" s="18" t="str">
        <f t="shared" si="93"/>
        <v>619</v>
      </c>
      <c r="Q790" s="18" t="str">
        <f>INDEX(Chapter,MATCH(P790,Chapter!$A$1:$A$681,0),8)</f>
        <v>בחירות ברשויות המקומיות</v>
      </c>
      <c r="R790" s="18" t="str">
        <f t="shared" si="94"/>
        <v>6196</v>
      </c>
      <c r="S790" s="18" t="e">
        <f>INDEX(Chapter,MATCH(R790,Chapter!$A$1:$A$681,0),8)</f>
        <v>#N/A</v>
      </c>
      <c r="T790" s="18"/>
      <c r="U790" s="18" t="str">
        <f t="shared" si="95"/>
        <v>5</v>
      </c>
      <c r="V790" s="18" t="str">
        <f>IF($L790&lt;"6",INDEX(Revenue_type,MATCH(U790*1,type!$A$118:$A$168,0),8),INDEX(Expenditure_type,MATCH(U790*1,type!$A$2:$A$117,0),8))</f>
        <v>הוצאות מנהליות</v>
      </c>
      <c r="W790" s="18" t="str">
        <f t="shared" si="96"/>
        <v>50</v>
      </c>
      <c r="X790" s="18" t="e">
        <f>IF($L790&lt;"6",INDEX(Revenue_type,MATCH(W790*1,type!$A$118:$A$168,0),8),INDEX(Expenditure_type,MATCH(W790*1,type!$A$2:$A$117,0),8))</f>
        <v>#N/A</v>
      </c>
      <c r="Y790" s="18" t="str">
        <f t="shared" si="97"/>
        <v>500</v>
      </c>
      <c r="Z790" s="18" t="e">
        <f>IF($L790&lt;"6",INDEX(Revenue_type,MATCH(Y790*1,type!$A$118:$A$168,0),8),INDEX(Expenditure_type,MATCH(Y790*1,type!$A$2:$A$117,0),8))</f>
        <v>#N/A</v>
      </c>
    </row>
    <row r="791" spans="1:26" ht="15.75" hidden="1" customHeight="1" outlineLevel="2">
      <c r="A791">
        <v>500</v>
      </c>
      <c r="B791" s="249">
        <v>619600</v>
      </c>
      <c r="C791">
        <v>1</v>
      </c>
      <c r="D791" t="str">
        <f t="shared" si="98"/>
        <v>1619600.500</v>
      </c>
      <c r="E791" s="385" t="s">
        <v>8453</v>
      </c>
      <c r="F791" s="242"/>
      <c r="G791"/>
      <c r="H791" s="322">
        <v>2400</v>
      </c>
      <c r="I791" s="322">
        <v>2400</v>
      </c>
      <c r="J791" s="242">
        <v>400</v>
      </c>
      <c r="K791" s="18"/>
      <c r="L791" s="18" t="str">
        <f t="shared" ref="L791:L854" si="99">IF(LEFT($B791,1)*1=0,LEFT($B791,2),LEFT($B791,1))</f>
        <v>6</v>
      </c>
      <c r="M791" s="18" t="str">
        <f>INDEX(Chapter,MATCH(L791,Chapter!$A$1:$A$681,0),8)</f>
        <v>הנהלה כללית</v>
      </c>
      <c r="N791" s="18" t="str">
        <f t="shared" ref="N791:N854" si="100">IF(LEFT($B791,1)*1=0,LEFT($B791,3),LEFT($B791,2))</f>
        <v>61</v>
      </c>
      <c r="O791" s="18" t="str">
        <f>INDEX(Chapter,MATCH(N791,Chapter!$A$1:$A$681,0),8)</f>
        <v>מינהל כללי</v>
      </c>
      <c r="P791" s="18" t="str">
        <f t="shared" ref="P791:P854" si="101">IF(LEFT($B791,1)*1=0,LEFT($B791,4),LEFT($B791,3))</f>
        <v>619</v>
      </c>
      <c r="Q791" s="18" t="str">
        <f>INDEX(Chapter,MATCH(P791,Chapter!$A$1:$A$681,0),8)</f>
        <v>בחירות ברשויות המקומיות</v>
      </c>
      <c r="R791" s="18" t="str">
        <f t="shared" ref="R791:R854" si="102">LEFT($B791,4)</f>
        <v>6196</v>
      </c>
      <c r="S791" s="18" t="e">
        <f>INDEX(Chapter,MATCH(R791,Chapter!$A$1:$A$681,0),8)</f>
        <v>#N/A</v>
      </c>
      <c r="T791" s="18"/>
      <c r="U791" s="18" t="str">
        <f t="shared" ref="U791:U854" si="103">LEFT($A791,1)</f>
        <v>5</v>
      </c>
      <c r="V791" s="18" t="str">
        <f>IF($L791&lt;"6",INDEX(Revenue_type,MATCH(U791*1,type!$A$118:$A$168,0),8),INDEX(Expenditure_type,MATCH(U791*1,type!$A$2:$A$117,0),8))</f>
        <v>הוצאות מנהליות</v>
      </c>
      <c r="W791" s="18" t="str">
        <f t="shared" ref="W791:W854" si="104">LEFT($A791,2)</f>
        <v>50</v>
      </c>
      <c r="X791" s="18" t="e">
        <f>IF($L791&lt;"6",INDEX(Revenue_type,MATCH(W791*1,type!$A$118:$A$168,0),8),INDEX(Expenditure_type,MATCH(W791*1,type!$A$2:$A$117,0),8))</f>
        <v>#N/A</v>
      </c>
      <c r="Y791" s="18" t="str">
        <f t="shared" ref="Y791:Y854" si="105">LEFT($A791,3)</f>
        <v>500</v>
      </c>
      <c r="Z791" s="18" t="e">
        <f>IF($L791&lt;"6",INDEX(Revenue_type,MATCH(Y791*1,type!$A$118:$A$168,0),8),INDEX(Expenditure_type,MATCH(Y791*1,type!$A$2:$A$117,0),8))</f>
        <v>#N/A</v>
      </c>
    </row>
    <row r="792" spans="1:26" ht="15.75" hidden="1" customHeight="1" outlineLevel="2">
      <c r="A792">
        <v>700</v>
      </c>
      <c r="B792" s="249">
        <v>619600</v>
      </c>
      <c r="C792">
        <v>1</v>
      </c>
      <c r="D792" t="str">
        <f t="shared" si="98"/>
        <v>1619600.700</v>
      </c>
      <c r="E792" s="385" t="s">
        <v>8454</v>
      </c>
      <c r="F792" s="242"/>
      <c r="G792"/>
      <c r="H792" s="322">
        <v>28400</v>
      </c>
      <c r="I792" s="322">
        <v>30500</v>
      </c>
      <c r="J792" s="242">
        <v>28900</v>
      </c>
      <c r="K792" s="18" t="e">
        <f>INDEX(תקציב_2013,MATCH(D792,'תקציב 2015'!$D$3:$D$5960,0),8)</f>
        <v>#N/A</v>
      </c>
      <c r="L792" s="18" t="str">
        <f t="shared" si="99"/>
        <v>6</v>
      </c>
      <c r="M792" s="18" t="str">
        <f>INDEX(Chapter,MATCH(L792,Chapter!$A$1:$A$681,0),8)</f>
        <v>הנהלה כללית</v>
      </c>
      <c r="N792" s="18" t="str">
        <f t="shared" si="100"/>
        <v>61</v>
      </c>
      <c r="O792" s="18" t="str">
        <f>INDEX(Chapter,MATCH(N792,Chapter!$A$1:$A$681,0),8)</f>
        <v>מינהל כללי</v>
      </c>
      <c r="P792" s="18" t="str">
        <f t="shared" si="101"/>
        <v>619</v>
      </c>
      <c r="Q792" s="18" t="str">
        <f>INDEX(Chapter,MATCH(P792,Chapter!$A$1:$A$681,0),8)</f>
        <v>בחירות ברשויות המקומיות</v>
      </c>
      <c r="R792" s="18" t="str">
        <f t="shared" si="102"/>
        <v>6196</v>
      </c>
      <c r="S792" s="18" t="e">
        <f>INDEX(Chapter,MATCH(R792,Chapter!$A$1:$A$681,0),8)</f>
        <v>#N/A</v>
      </c>
      <c r="T792" s="18"/>
      <c r="U792" s="18" t="str">
        <f t="shared" si="103"/>
        <v>7</v>
      </c>
      <c r="V792" s="18" t="str">
        <f>IF($L792&lt;"6",INDEX(Revenue_type,MATCH(U792*1,type!$A$118:$A$168,0),8),INDEX(Expenditure_type,MATCH(U792*1,type!$A$2:$A$117,0),8))</f>
        <v>הוצאות לפעולות</v>
      </c>
      <c r="W792" s="18" t="str">
        <f t="shared" si="104"/>
        <v>70</v>
      </c>
      <c r="X792" s="18" t="e">
        <f>IF($L792&lt;"6",INDEX(Revenue_type,MATCH(W792*1,type!$A$118:$A$168,0),8),INDEX(Expenditure_type,MATCH(W792*1,type!$A$2:$A$117,0),8))</f>
        <v>#N/A</v>
      </c>
      <c r="Y792" s="18" t="str">
        <f t="shared" si="105"/>
        <v>700</v>
      </c>
      <c r="Z792" s="18" t="e">
        <f>IF($L792&lt;"6",INDEX(Revenue_type,MATCH(Y792*1,type!$A$118:$A$168,0),8),INDEX(Expenditure_type,MATCH(Y792*1,type!$A$2:$A$117,0),8))</f>
        <v>#N/A</v>
      </c>
    </row>
    <row r="793" spans="1:26" ht="15.75" hidden="1" customHeight="1" outlineLevel="2">
      <c r="A793">
        <v>100</v>
      </c>
      <c r="B793" s="249">
        <v>619500</v>
      </c>
      <c r="C793">
        <v>1</v>
      </c>
      <c r="D793" t="str">
        <f t="shared" si="98"/>
        <v>1619500.100</v>
      </c>
      <c r="E793" s="385" t="s">
        <v>8455</v>
      </c>
      <c r="F793" s="242"/>
      <c r="G793"/>
      <c r="H793" s="322">
        <v>1516500</v>
      </c>
      <c r="I793" s="322">
        <v>1142500</v>
      </c>
      <c r="J793" s="242">
        <v>1677100</v>
      </c>
      <c r="K793" s="18" t="e">
        <f>INDEX(תקציב_2013,MATCH(D793,'תקציב 2015'!$D$3:$D$5960,0),8)</f>
        <v>#N/A</v>
      </c>
      <c r="L793" s="18" t="str">
        <f t="shared" si="99"/>
        <v>6</v>
      </c>
      <c r="M793" s="18" t="str">
        <f>INDEX(Chapter,MATCH(L793,Chapter!$A$1:$A$681,0),8)</f>
        <v>הנהלה כללית</v>
      </c>
      <c r="N793" s="18" t="str">
        <f t="shared" si="100"/>
        <v>61</v>
      </c>
      <c r="O793" s="18" t="str">
        <f>INDEX(Chapter,MATCH(N793,Chapter!$A$1:$A$681,0),8)</f>
        <v>מינהל כללי</v>
      </c>
      <c r="P793" s="18" t="str">
        <f t="shared" si="101"/>
        <v>619</v>
      </c>
      <c r="Q793" s="18" t="str">
        <f>INDEX(Chapter,MATCH(P793,Chapter!$A$1:$A$681,0),8)</f>
        <v>בחירות ברשויות המקומיות</v>
      </c>
      <c r="R793" s="18" t="str">
        <f t="shared" si="102"/>
        <v>6195</v>
      </c>
      <c r="S793" s="18" t="e">
        <f>INDEX(Chapter,MATCH(R793,Chapter!$A$1:$A$681,0),8)</f>
        <v>#N/A</v>
      </c>
      <c r="T793" s="18"/>
      <c r="U793" s="18" t="str">
        <f t="shared" si="103"/>
        <v>1</v>
      </c>
      <c r="V793" s="18" t="str">
        <f>IF($L793&lt;"6",INDEX(Revenue_type,MATCH(U793*1,type!$A$118:$A$168,0),8),INDEX(Expenditure_type,MATCH(U793*1,type!$A$2:$A$117,0),8))</f>
        <v>משכורות וש"ע לעובדים לפי תקן</v>
      </c>
      <c r="W793" s="18" t="str">
        <f t="shared" si="104"/>
        <v>10</v>
      </c>
      <c r="X793" s="18" t="e">
        <f>IF($L793&lt;"6",INDEX(Revenue_type,MATCH(W793*1,type!$A$118:$A$168,0),8),INDEX(Expenditure_type,MATCH(W793*1,type!$A$2:$A$117,0),8))</f>
        <v>#N/A</v>
      </c>
      <c r="Y793" s="18" t="str">
        <f t="shared" si="105"/>
        <v>100</v>
      </c>
      <c r="Z793" s="18" t="e">
        <f>IF($L793&lt;"6",INDEX(Revenue_type,MATCH(Y793*1,type!$A$118:$A$168,0),8),INDEX(Expenditure_type,MATCH(Y793*1,type!$A$2:$A$117,0),8))</f>
        <v>#N/A</v>
      </c>
    </row>
    <row r="794" spans="1:26" ht="15.75" hidden="1" customHeight="1" outlineLevel="2">
      <c r="A794">
        <v>120</v>
      </c>
      <c r="B794" s="249">
        <v>619500</v>
      </c>
      <c r="C794">
        <v>1</v>
      </c>
      <c r="D794" t="str">
        <f t="shared" si="98"/>
        <v>1619500.120</v>
      </c>
      <c r="E794" s="382" t="s">
        <v>8456</v>
      </c>
      <c r="F794" s="242"/>
      <c r="G794"/>
      <c r="H794" s="322">
        <v>97500</v>
      </c>
      <c r="I794" s="322">
        <v>97500</v>
      </c>
      <c r="J794" s="242">
        <v>89400</v>
      </c>
      <c r="K794" s="18" t="e">
        <f>INDEX(תקציב_2013,MATCH(D794,'תקציב 2015'!$D$3:$D$5960,0),8)</f>
        <v>#N/A</v>
      </c>
      <c r="L794" s="18" t="str">
        <f t="shared" si="99"/>
        <v>6</v>
      </c>
      <c r="M794" s="18" t="str">
        <f>INDEX(Chapter,MATCH(L794,Chapter!$A$1:$A$681,0),8)</f>
        <v>הנהלה כללית</v>
      </c>
      <c r="N794" s="18" t="str">
        <f t="shared" si="100"/>
        <v>61</v>
      </c>
      <c r="O794" s="18" t="str">
        <f>INDEX(Chapter,MATCH(N794,Chapter!$A$1:$A$681,0),8)</f>
        <v>מינהל כללי</v>
      </c>
      <c r="P794" s="18" t="str">
        <f t="shared" si="101"/>
        <v>619</v>
      </c>
      <c r="Q794" s="18" t="str">
        <f>INDEX(Chapter,MATCH(P794,Chapter!$A$1:$A$681,0),8)</f>
        <v>בחירות ברשויות המקומיות</v>
      </c>
      <c r="R794" s="18" t="str">
        <f t="shared" si="102"/>
        <v>6195</v>
      </c>
      <c r="S794" s="18" t="e">
        <f>INDEX(Chapter,MATCH(R794,Chapter!$A$1:$A$681,0),8)</f>
        <v>#N/A</v>
      </c>
      <c r="T794" s="18"/>
      <c r="U794" s="18" t="str">
        <f t="shared" si="103"/>
        <v>1</v>
      </c>
      <c r="V794" s="18" t="str">
        <f>IF($L794&lt;"6",INDEX(Revenue_type,MATCH(U794*1,type!$A$118:$A$168,0),8),INDEX(Expenditure_type,MATCH(U794*1,type!$A$2:$A$117,0),8))</f>
        <v>משכורות וש"ע לעובדים לפי תקן</v>
      </c>
      <c r="W794" s="18" t="str">
        <f t="shared" si="104"/>
        <v>12</v>
      </c>
      <c r="X794" s="18" t="str">
        <f>IF($L794&lt;"6",INDEX(Revenue_type,MATCH(W794*1,type!$A$118:$A$168,0),8),INDEX(Expenditure_type,MATCH(W794*1,type!$A$2:$A$117,0),8))</f>
        <v>תוספות שאינן נכללות בשכר הקובע</v>
      </c>
      <c r="Y794" s="18" t="str">
        <f t="shared" si="105"/>
        <v>120</v>
      </c>
      <c r="Z794" s="18" t="e">
        <f>IF($L794&lt;"6",INDEX(Revenue_type,MATCH(Y794*1,type!$A$118:$A$168,0),8),INDEX(Expenditure_type,MATCH(Y794*1,type!$A$2:$A$117,0),8))</f>
        <v>#N/A</v>
      </c>
    </row>
    <row r="795" spans="1:26" ht="15.75" hidden="1" customHeight="1" outlineLevel="2">
      <c r="A795">
        <v>400</v>
      </c>
      <c r="B795" s="249">
        <v>619500</v>
      </c>
      <c r="C795">
        <v>1</v>
      </c>
      <c r="D795" t="str">
        <f t="shared" si="98"/>
        <v>1619500.400</v>
      </c>
      <c r="E795" s="382" t="s">
        <v>8457</v>
      </c>
      <c r="F795" s="242"/>
      <c r="G795"/>
      <c r="H795" s="322">
        <v>12000</v>
      </c>
      <c r="I795" s="322">
        <v>13200</v>
      </c>
      <c r="J795" s="242">
        <v>9700</v>
      </c>
      <c r="K795" s="18" t="e">
        <f>INDEX(תקציב_2013,MATCH(D795,'תקציב 2015'!$D$3:$D$5960,0),8)</f>
        <v>#N/A</v>
      </c>
      <c r="L795" s="18" t="str">
        <f t="shared" si="99"/>
        <v>6</v>
      </c>
      <c r="M795" s="18" t="str">
        <f>INDEX(Chapter,MATCH(L795,Chapter!$A$1:$A$681,0),8)</f>
        <v>הנהלה כללית</v>
      </c>
      <c r="N795" s="18" t="str">
        <f t="shared" si="100"/>
        <v>61</v>
      </c>
      <c r="O795" s="18" t="str">
        <f>INDEX(Chapter,MATCH(N795,Chapter!$A$1:$A$681,0),8)</f>
        <v>מינהל כללי</v>
      </c>
      <c r="P795" s="18" t="str">
        <f t="shared" si="101"/>
        <v>619</v>
      </c>
      <c r="Q795" s="18" t="str">
        <f>INDEX(Chapter,MATCH(P795,Chapter!$A$1:$A$681,0),8)</f>
        <v>בחירות ברשויות המקומיות</v>
      </c>
      <c r="R795" s="18" t="str">
        <f t="shared" si="102"/>
        <v>6195</v>
      </c>
      <c r="S795" s="18" t="e">
        <f>INDEX(Chapter,MATCH(R795,Chapter!$A$1:$A$681,0),8)</f>
        <v>#N/A</v>
      </c>
      <c r="T795" s="18"/>
      <c r="U795" s="18" t="str">
        <f t="shared" si="103"/>
        <v>4</v>
      </c>
      <c r="V795" s="18" t="str">
        <f>IF($L795&lt;"6",INDEX(Revenue_type,MATCH(U795*1,type!$A$118:$A$168,0),8),INDEX(Expenditure_type,MATCH(U795*1,type!$A$2:$A$117,0),8))</f>
        <v>אחזקת בינים ואספקת ציוד</v>
      </c>
      <c r="W795" s="18" t="str">
        <f t="shared" si="104"/>
        <v>40</v>
      </c>
      <c r="X795" s="18" t="e">
        <f>IF($L795&lt;"6",INDEX(Revenue_type,MATCH(W795*1,type!$A$118:$A$168,0),8),INDEX(Expenditure_type,MATCH(W795*1,type!$A$2:$A$117,0),8))</f>
        <v>#N/A</v>
      </c>
      <c r="Y795" s="18" t="str">
        <f t="shared" si="105"/>
        <v>400</v>
      </c>
      <c r="Z795" s="18" t="e">
        <f>IF($L795&lt;"6",INDEX(Revenue_type,MATCH(Y795*1,type!$A$118:$A$168,0),8),INDEX(Expenditure_type,MATCH(Y795*1,type!$A$2:$A$117,0),8))</f>
        <v>#N/A</v>
      </c>
    </row>
    <row r="796" spans="1:26" ht="15.75" hidden="1" customHeight="1" outlineLevel="2">
      <c r="A796">
        <v>500</v>
      </c>
      <c r="B796" s="249">
        <v>619500</v>
      </c>
      <c r="C796">
        <v>1</v>
      </c>
      <c r="D796" t="str">
        <f t="shared" si="98"/>
        <v>1619500.500</v>
      </c>
      <c r="E796" s="385" t="s">
        <v>8458</v>
      </c>
      <c r="F796" s="242"/>
      <c r="G796"/>
      <c r="H796" s="322">
        <v>120500</v>
      </c>
      <c r="I796" s="322">
        <v>120500</v>
      </c>
      <c r="J796" s="242">
        <v>37700</v>
      </c>
      <c r="K796" s="18" t="e">
        <f>INDEX(תקציב_2013,MATCH(D796,'תקציב 2015'!$D$3:$D$5960,0),8)</f>
        <v>#N/A</v>
      </c>
      <c r="L796" s="18" t="str">
        <f t="shared" si="99"/>
        <v>6</v>
      </c>
      <c r="M796" s="18" t="str">
        <f>INDEX(Chapter,MATCH(L796,Chapter!$A$1:$A$681,0),8)</f>
        <v>הנהלה כללית</v>
      </c>
      <c r="N796" s="18" t="str">
        <f t="shared" si="100"/>
        <v>61</v>
      </c>
      <c r="O796" s="18" t="str">
        <f>INDEX(Chapter,MATCH(N796,Chapter!$A$1:$A$681,0),8)</f>
        <v>מינהל כללי</v>
      </c>
      <c r="P796" s="18" t="str">
        <f t="shared" si="101"/>
        <v>619</v>
      </c>
      <c r="Q796" s="18" t="str">
        <f>INDEX(Chapter,MATCH(P796,Chapter!$A$1:$A$681,0),8)</f>
        <v>בחירות ברשויות המקומיות</v>
      </c>
      <c r="R796" s="18" t="str">
        <f t="shared" si="102"/>
        <v>6195</v>
      </c>
      <c r="S796" s="18" t="e">
        <f>INDEX(Chapter,MATCH(R796,Chapter!$A$1:$A$681,0),8)</f>
        <v>#N/A</v>
      </c>
      <c r="T796" s="18"/>
      <c r="U796" s="18" t="str">
        <f t="shared" si="103"/>
        <v>5</v>
      </c>
      <c r="V796" s="18" t="str">
        <f>IF($L796&lt;"6",INDEX(Revenue_type,MATCH(U796*1,type!$A$118:$A$168,0),8),INDEX(Expenditure_type,MATCH(U796*1,type!$A$2:$A$117,0),8))</f>
        <v>הוצאות מנהליות</v>
      </c>
      <c r="W796" s="18" t="str">
        <f t="shared" si="104"/>
        <v>50</v>
      </c>
      <c r="X796" s="18" t="e">
        <f>IF($L796&lt;"6",INDEX(Revenue_type,MATCH(W796*1,type!$A$118:$A$168,0),8),INDEX(Expenditure_type,MATCH(W796*1,type!$A$2:$A$117,0),8))</f>
        <v>#N/A</v>
      </c>
      <c r="Y796" s="18" t="str">
        <f t="shared" si="105"/>
        <v>500</v>
      </c>
      <c r="Z796" s="18" t="e">
        <f>IF($L796&lt;"6",INDEX(Revenue_type,MATCH(Y796*1,type!$A$118:$A$168,0),8),INDEX(Expenditure_type,MATCH(Y796*1,type!$A$2:$A$117,0),8))</f>
        <v>#N/A</v>
      </c>
    </row>
    <row r="797" spans="1:26" ht="15.75" hidden="1" customHeight="1" outlineLevel="2">
      <c r="A797">
        <v>500</v>
      </c>
      <c r="B797" s="249">
        <v>619500</v>
      </c>
      <c r="C797">
        <v>1</v>
      </c>
      <c r="D797" t="str">
        <f t="shared" si="98"/>
        <v>1619500.500</v>
      </c>
      <c r="E797" s="382" t="s">
        <v>8459</v>
      </c>
      <c r="F797" s="242"/>
      <c r="G797"/>
      <c r="H797" s="322">
        <v>2000</v>
      </c>
      <c r="I797" s="322">
        <v>2000</v>
      </c>
      <c r="J797" s="242">
        <v>600</v>
      </c>
      <c r="K797" s="18" t="e">
        <f>INDEX(תקציב_2013,MATCH(D797,'תקציב 2015'!$D$3:$D$5960,0),8)</f>
        <v>#N/A</v>
      </c>
      <c r="L797" s="18" t="str">
        <f t="shared" si="99"/>
        <v>6</v>
      </c>
      <c r="M797" s="18" t="str">
        <f>INDEX(Chapter,MATCH(L797,Chapter!$A$1:$A$681,0),8)</f>
        <v>הנהלה כללית</v>
      </c>
      <c r="N797" s="18" t="str">
        <f t="shared" si="100"/>
        <v>61</v>
      </c>
      <c r="O797" s="18" t="str">
        <f>INDEX(Chapter,MATCH(N797,Chapter!$A$1:$A$681,0),8)</f>
        <v>מינהל כללי</v>
      </c>
      <c r="P797" s="18" t="str">
        <f t="shared" si="101"/>
        <v>619</v>
      </c>
      <c r="Q797" s="18" t="str">
        <f>INDEX(Chapter,MATCH(P797,Chapter!$A$1:$A$681,0),8)</f>
        <v>בחירות ברשויות המקומיות</v>
      </c>
      <c r="R797" s="18" t="str">
        <f t="shared" si="102"/>
        <v>6195</v>
      </c>
      <c r="S797" s="18" t="e">
        <f>INDEX(Chapter,MATCH(R797,Chapter!$A$1:$A$681,0),8)</f>
        <v>#N/A</v>
      </c>
      <c r="T797" s="18"/>
      <c r="U797" s="18" t="str">
        <f t="shared" si="103"/>
        <v>5</v>
      </c>
      <c r="V797" s="18" t="str">
        <f>IF($L797&lt;"6",INDEX(Revenue_type,MATCH(U797*1,type!$A$118:$A$168,0),8),INDEX(Expenditure_type,MATCH(U797*1,type!$A$2:$A$117,0),8))</f>
        <v>הוצאות מנהליות</v>
      </c>
      <c r="W797" s="18" t="str">
        <f t="shared" si="104"/>
        <v>50</v>
      </c>
      <c r="X797" s="18" t="e">
        <f>IF($L797&lt;"6",INDEX(Revenue_type,MATCH(W797*1,type!$A$118:$A$168,0),8),INDEX(Expenditure_type,MATCH(W797*1,type!$A$2:$A$117,0),8))</f>
        <v>#N/A</v>
      </c>
      <c r="Y797" s="18" t="str">
        <f t="shared" si="105"/>
        <v>500</v>
      </c>
      <c r="Z797" s="18" t="e">
        <f>IF($L797&lt;"6",INDEX(Revenue_type,MATCH(Y797*1,type!$A$118:$A$168,0),8),INDEX(Expenditure_type,MATCH(Y797*1,type!$A$2:$A$117,0),8))</f>
        <v>#N/A</v>
      </c>
    </row>
    <row r="798" spans="1:26" ht="15.75" hidden="1" customHeight="1" outlineLevel="2">
      <c r="A798">
        <v>700</v>
      </c>
      <c r="B798" s="249">
        <v>619500</v>
      </c>
      <c r="C798">
        <v>1</v>
      </c>
      <c r="D798" t="str">
        <f t="shared" si="98"/>
        <v>1619500.700</v>
      </c>
      <c r="E798" s="382" t="s">
        <v>8460</v>
      </c>
      <c r="F798" s="242"/>
      <c r="G798"/>
      <c r="H798" s="322">
        <v>13200</v>
      </c>
      <c r="I798" s="322">
        <v>16300</v>
      </c>
      <c r="J798" s="242">
        <v>14800</v>
      </c>
      <c r="K798" s="18" t="e">
        <f>INDEX(תקציב_2013,MATCH(D798,'תקציב 2015'!$D$3:$D$5960,0),8)</f>
        <v>#N/A</v>
      </c>
      <c r="L798" s="18" t="str">
        <f t="shared" si="99"/>
        <v>6</v>
      </c>
      <c r="M798" s="18" t="str">
        <f>INDEX(Chapter,MATCH(L798,Chapter!$A$1:$A$681,0),8)</f>
        <v>הנהלה כללית</v>
      </c>
      <c r="N798" s="18" t="str">
        <f t="shared" si="100"/>
        <v>61</v>
      </c>
      <c r="O798" s="18" t="str">
        <f>INDEX(Chapter,MATCH(N798,Chapter!$A$1:$A$681,0),8)</f>
        <v>מינהל כללי</v>
      </c>
      <c r="P798" s="18" t="str">
        <f t="shared" si="101"/>
        <v>619</v>
      </c>
      <c r="Q798" s="18" t="str">
        <f>INDEX(Chapter,MATCH(P798,Chapter!$A$1:$A$681,0),8)</f>
        <v>בחירות ברשויות המקומיות</v>
      </c>
      <c r="R798" s="18" t="str">
        <f t="shared" si="102"/>
        <v>6195</v>
      </c>
      <c r="S798" s="18" t="e">
        <f>INDEX(Chapter,MATCH(R798,Chapter!$A$1:$A$681,0),8)</f>
        <v>#N/A</v>
      </c>
      <c r="T798" s="18"/>
      <c r="U798" s="18" t="str">
        <f t="shared" si="103"/>
        <v>7</v>
      </c>
      <c r="V798" s="18" t="str">
        <f>IF($L798&lt;"6",INDEX(Revenue_type,MATCH(U798*1,type!$A$118:$A$168,0),8),INDEX(Expenditure_type,MATCH(U798*1,type!$A$2:$A$117,0),8))</f>
        <v>הוצאות לפעולות</v>
      </c>
      <c r="W798" s="18" t="str">
        <f t="shared" si="104"/>
        <v>70</v>
      </c>
      <c r="X798" s="18" t="e">
        <f>IF($L798&lt;"6",INDEX(Revenue_type,MATCH(W798*1,type!$A$118:$A$168,0),8),INDEX(Expenditure_type,MATCH(W798*1,type!$A$2:$A$117,0),8))</f>
        <v>#N/A</v>
      </c>
      <c r="Y798" s="18" t="str">
        <f t="shared" si="105"/>
        <v>700</v>
      </c>
      <c r="Z798" s="18" t="e">
        <f>IF($L798&lt;"6",INDEX(Revenue_type,MATCH(Y798*1,type!$A$118:$A$168,0),8),INDEX(Expenditure_type,MATCH(Y798*1,type!$A$2:$A$117,0),8))</f>
        <v>#N/A</v>
      </c>
    </row>
    <row r="799" spans="1:26" ht="15.75" hidden="1" customHeight="1" outlineLevel="2">
      <c r="A799">
        <v>100</v>
      </c>
      <c r="B799" s="249">
        <v>619400</v>
      </c>
      <c r="C799">
        <v>1</v>
      </c>
      <c r="D799" t="str">
        <f t="shared" si="98"/>
        <v>1619400.100</v>
      </c>
      <c r="E799" s="382" t="s">
        <v>8461</v>
      </c>
      <c r="F799" s="242"/>
      <c r="G799"/>
      <c r="H799" s="322">
        <v>1676500</v>
      </c>
      <c r="I799" s="322">
        <v>1657500</v>
      </c>
      <c r="J799" s="242">
        <v>1844100</v>
      </c>
      <c r="K799" s="18" t="e">
        <f>INDEX(תקציב_2013,MATCH(D799,'תקציב 2015'!$D$3:$D$5960,0),8)</f>
        <v>#N/A</v>
      </c>
      <c r="L799" s="18" t="str">
        <f t="shared" si="99"/>
        <v>6</v>
      </c>
      <c r="M799" s="18" t="str">
        <f>INDEX(Chapter,MATCH(L799,Chapter!$A$1:$A$681,0),8)</f>
        <v>הנהלה כללית</v>
      </c>
      <c r="N799" s="18" t="str">
        <f t="shared" si="100"/>
        <v>61</v>
      </c>
      <c r="O799" s="18" t="str">
        <f>INDEX(Chapter,MATCH(N799,Chapter!$A$1:$A$681,0),8)</f>
        <v>מינהל כללי</v>
      </c>
      <c r="P799" s="18" t="str">
        <f t="shared" si="101"/>
        <v>619</v>
      </c>
      <c r="Q799" s="18" t="str">
        <f>INDEX(Chapter,MATCH(P799,Chapter!$A$1:$A$681,0),8)</f>
        <v>בחירות ברשויות המקומיות</v>
      </c>
      <c r="R799" s="18" t="str">
        <f t="shared" si="102"/>
        <v>6194</v>
      </c>
      <c r="S799" s="18" t="e">
        <f>INDEX(Chapter,MATCH(R799,Chapter!$A$1:$A$681,0),8)</f>
        <v>#N/A</v>
      </c>
      <c r="T799" s="18"/>
      <c r="U799" s="18" t="str">
        <f t="shared" si="103"/>
        <v>1</v>
      </c>
      <c r="V799" s="18" t="str">
        <f>IF($L799&lt;"6",INDEX(Revenue_type,MATCH(U799*1,type!$A$118:$A$168,0),8),INDEX(Expenditure_type,MATCH(U799*1,type!$A$2:$A$117,0),8))</f>
        <v>משכורות וש"ע לעובדים לפי תקן</v>
      </c>
      <c r="W799" s="18" t="str">
        <f t="shared" si="104"/>
        <v>10</v>
      </c>
      <c r="X799" s="18" t="e">
        <f>IF($L799&lt;"6",INDEX(Revenue_type,MATCH(W799*1,type!$A$118:$A$168,0),8),INDEX(Expenditure_type,MATCH(W799*1,type!$A$2:$A$117,0),8))</f>
        <v>#N/A</v>
      </c>
      <c r="Y799" s="18" t="str">
        <f t="shared" si="105"/>
        <v>100</v>
      </c>
      <c r="Z799" s="18" t="e">
        <f>IF($L799&lt;"6",INDEX(Revenue_type,MATCH(Y799*1,type!$A$118:$A$168,0),8),INDEX(Expenditure_type,MATCH(Y799*1,type!$A$2:$A$117,0),8))</f>
        <v>#N/A</v>
      </c>
    </row>
    <row r="800" spans="1:26" ht="15.75" hidden="1" customHeight="1" outlineLevel="2">
      <c r="A800">
        <v>120</v>
      </c>
      <c r="B800" s="249">
        <v>619400</v>
      </c>
      <c r="C800">
        <v>1</v>
      </c>
      <c r="D800" t="str">
        <f t="shared" si="98"/>
        <v>1619400.120</v>
      </c>
      <c r="E800" s="382" t="s">
        <v>8462</v>
      </c>
      <c r="F800" s="242"/>
      <c r="G800"/>
      <c r="H800" s="322">
        <v>48500</v>
      </c>
      <c r="I800" s="322">
        <v>48500</v>
      </c>
      <c r="J800" s="242">
        <v>52600</v>
      </c>
      <c r="K800" s="18" t="e">
        <f>INDEX(תקציב_2013,MATCH(D800,'תקציב 2015'!$D$3:$D$5960,0),8)</f>
        <v>#N/A</v>
      </c>
      <c r="L800" s="18" t="str">
        <f t="shared" si="99"/>
        <v>6</v>
      </c>
      <c r="M800" s="18" t="str">
        <f>INDEX(Chapter,MATCH(L800,Chapter!$A$1:$A$681,0),8)</f>
        <v>הנהלה כללית</v>
      </c>
      <c r="N800" s="18" t="str">
        <f t="shared" si="100"/>
        <v>61</v>
      </c>
      <c r="O800" s="18" t="str">
        <f>INDEX(Chapter,MATCH(N800,Chapter!$A$1:$A$681,0),8)</f>
        <v>מינהל כללי</v>
      </c>
      <c r="P800" s="18" t="str">
        <f t="shared" si="101"/>
        <v>619</v>
      </c>
      <c r="Q800" s="18" t="str">
        <f>INDEX(Chapter,MATCH(P800,Chapter!$A$1:$A$681,0),8)</f>
        <v>בחירות ברשויות המקומיות</v>
      </c>
      <c r="R800" s="18" t="str">
        <f t="shared" si="102"/>
        <v>6194</v>
      </c>
      <c r="S800" s="18" t="e">
        <f>INDEX(Chapter,MATCH(R800,Chapter!$A$1:$A$681,0),8)</f>
        <v>#N/A</v>
      </c>
      <c r="T800" s="18"/>
      <c r="U800" s="18" t="str">
        <f t="shared" si="103"/>
        <v>1</v>
      </c>
      <c r="V800" s="18" t="str">
        <f>IF($L800&lt;"6",INDEX(Revenue_type,MATCH(U800*1,type!$A$118:$A$168,0),8),INDEX(Expenditure_type,MATCH(U800*1,type!$A$2:$A$117,0),8))</f>
        <v>משכורות וש"ע לעובדים לפי תקן</v>
      </c>
      <c r="W800" s="18" t="str">
        <f t="shared" si="104"/>
        <v>12</v>
      </c>
      <c r="X800" s="18" t="str">
        <f>IF($L800&lt;"6",INDEX(Revenue_type,MATCH(W800*1,type!$A$118:$A$168,0),8),INDEX(Expenditure_type,MATCH(W800*1,type!$A$2:$A$117,0),8))</f>
        <v>תוספות שאינן נכללות בשכר הקובע</v>
      </c>
      <c r="Y800" s="18" t="str">
        <f t="shared" si="105"/>
        <v>120</v>
      </c>
      <c r="Z800" s="18" t="e">
        <f>IF($L800&lt;"6",INDEX(Revenue_type,MATCH(Y800*1,type!$A$118:$A$168,0),8),INDEX(Expenditure_type,MATCH(Y800*1,type!$A$2:$A$117,0),8))</f>
        <v>#N/A</v>
      </c>
    </row>
    <row r="801" spans="1:26" ht="15.75" hidden="1" customHeight="1" outlineLevel="2">
      <c r="A801">
        <v>400</v>
      </c>
      <c r="B801" s="249">
        <v>619400</v>
      </c>
      <c r="C801">
        <v>1</v>
      </c>
      <c r="D801" t="str">
        <f t="shared" si="98"/>
        <v>1619400.400</v>
      </c>
      <c r="E801" s="382" t="s">
        <v>8463</v>
      </c>
      <c r="F801" s="242"/>
      <c r="G801"/>
      <c r="H801" s="322">
        <v>101600</v>
      </c>
      <c r="I801" s="322">
        <v>82400</v>
      </c>
      <c r="J801" s="242">
        <v>106200</v>
      </c>
      <c r="K801" s="18" t="e">
        <f>INDEX(תקציב_2013,MATCH(D801,'תקציב 2015'!$D$3:$D$5960,0),8)</f>
        <v>#N/A</v>
      </c>
      <c r="L801" s="18" t="str">
        <f t="shared" si="99"/>
        <v>6</v>
      </c>
      <c r="M801" s="18" t="str">
        <f>INDEX(Chapter,MATCH(L801,Chapter!$A$1:$A$681,0),8)</f>
        <v>הנהלה כללית</v>
      </c>
      <c r="N801" s="18" t="str">
        <f t="shared" si="100"/>
        <v>61</v>
      </c>
      <c r="O801" s="18" t="str">
        <f>INDEX(Chapter,MATCH(N801,Chapter!$A$1:$A$681,0),8)</f>
        <v>מינהל כללי</v>
      </c>
      <c r="P801" s="18" t="str">
        <f t="shared" si="101"/>
        <v>619</v>
      </c>
      <c r="Q801" s="18" t="str">
        <f>INDEX(Chapter,MATCH(P801,Chapter!$A$1:$A$681,0),8)</f>
        <v>בחירות ברשויות המקומיות</v>
      </c>
      <c r="R801" s="18" t="str">
        <f t="shared" si="102"/>
        <v>6194</v>
      </c>
      <c r="S801" s="18" t="e">
        <f>INDEX(Chapter,MATCH(R801,Chapter!$A$1:$A$681,0),8)</f>
        <v>#N/A</v>
      </c>
      <c r="T801" s="18"/>
      <c r="U801" s="18" t="str">
        <f t="shared" si="103"/>
        <v>4</v>
      </c>
      <c r="V801" s="18" t="str">
        <f>IF($L801&lt;"6",INDEX(Revenue_type,MATCH(U801*1,type!$A$118:$A$168,0),8),INDEX(Expenditure_type,MATCH(U801*1,type!$A$2:$A$117,0),8))</f>
        <v>אחזקת בינים ואספקת ציוד</v>
      </c>
      <c r="W801" s="18" t="str">
        <f t="shared" si="104"/>
        <v>40</v>
      </c>
      <c r="X801" s="18" t="e">
        <f>IF($L801&lt;"6",INDEX(Revenue_type,MATCH(W801*1,type!$A$118:$A$168,0),8),INDEX(Expenditure_type,MATCH(W801*1,type!$A$2:$A$117,0),8))</f>
        <v>#N/A</v>
      </c>
      <c r="Y801" s="18" t="str">
        <f t="shared" si="105"/>
        <v>400</v>
      </c>
      <c r="Z801" s="18" t="e">
        <f>IF($L801&lt;"6",INDEX(Revenue_type,MATCH(Y801*1,type!$A$118:$A$168,0),8),INDEX(Expenditure_type,MATCH(Y801*1,type!$A$2:$A$117,0),8))</f>
        <v>#N/A</v>
      </c>
    </row>
    <row r="802" spans="1:26" ht="15.75" hidden="1" customHeight="1" outlineLevel="2">
      <c r="A802">
        <v>500</v>
      </c>
      <c r="B802" s="249">
        <v>619400</v>
      </c>
      <c r="C802">
        <v>1</v>
      </c>
      <c r="D802" t="str">
        <f t="shared" si="98"/>
        <v>1619400.500</v>
      </c>
      <c r="E802" s="382" t="s">
        <v>8464</v>
      </c>
      <c r="F802" s="242"/>
      <c r="G802"/>
      <c r="H802" s="322">
        <v>23100</v>
      </c>
      <c r="I802" s="322">
        <v>22100</v>
      </c>
      <c r="J802" s="242">
        <v>21500</v>
      </c>
      <c r="K802" s="18" t="e">
        <f>INDEX(תקציב_2013,MATCH(D802,'תקציב 2015'!$D$3:$D$5960,0),8)</f>
        <v>#N/A</v>
      </c>
      <c r="L802" s="18" t="str">
        <f t="shared" si="99"/>
        <v>6</v>
      </c>
      <c r="M802" s="18" t="str">
        <f>INDEX(Chapter,MATCH(L802,Chapter!$A$1:$A$681,0),8)</f>
        <v>הנהלה כללית</v>
      </c>
      <c r="N802" s="18" t="str">
        <f t="shared" si="100"/>
        <v>61</v>
      </c>
      <c r="O802" s="18" t="str">
        <f>INDEX(Chapter,MATCH(N802,Chapter!$A$1:$A$681,0),8)</f>
        <v>מינהל כללי</v>
      </c>
      <c r="P802" s="18" t="str">
        <f t="shared" si="101"/>
        <v>619</v>
      </c>
      <c r="Q802" s="18" t="str">
        <f>INDEX(Chapter,MATCH(P802,Chapter!$A$1:$A$681,0),8)</f>
        <v>בחירות ברשויות המקומיות</v>
      </c>
      <c r="R802" s="18" t="str">
        <f t="shared" si="102"/>
        <v>6194</v>
      </c>
      <c r="S802" s="18" t="e">
        <f>INDEX(Chapter,MATCH(R802,Chapter!$A$1:$A$681,0),8)</f>
        <v>#N/A</v>
      </c>
      <c r="T802" s="18"/>
      <c r="U802" s="18" t="str">
        <f t="shared" si="103"/>
        <v>5</v>
      </c>
      <c r="V802" s="18" t="str">
        <f>IF($L802&lt;"6",INDEX(Revenue_type,MATCH(U802*1,type!$A$118:$A$168,0),8),INDEX(Expenditure_type,MATCH(U802*1,type!$A$2:$A$117,0),8))</f>
        <v>הוצאות מנהליות</v>
      </c>
      <c r="W802" s="18" t="str">
        <f t="shared" si="104"/>
        <v>50</v>
      </c>
      <c r="X802" s="18" t="e">
        <f>IF($L802&lt;"6",INDEX(Revenue_type,MATCH(W802*1,type!$A$118:$A$168,0),8),INDEX(Expenditure_type,MATCH(W802*1,type!$A$2:$A$117,0),8))</f>
        <v>#N/A</v>
      </c>
      <c r="Y802" s="18" t="str">
        <f t="shared" si="105"/>
        <v>500</v>
      </c>
      <c r="Z802" s="18" t="e">
        <f>IF($L802&lt;"6",INDEX(Revenue_type,MATCH(Y802*1,type!$A$118:$A$168,0),8),INDEX(Expenditure_type,MATCH(Y802*1,type!$A$2:$A$117,0),8))</f>
        <v>#N/A</v>
      </c>
    </row>
    <row r="803" spans="1:26" ht="15.75" hidden="1" customHeight="1" outlineLevel="2">
      <c r="A803">
        <v>500</v>
      </c>
      <c r="B803" s="249">
        <v>619400</v>
      </c>
      <c r="C803">
        <v>1</v>
      </c>
      <c r="D803" t="str">
        <f t="shared" si="98"/>
        <v>1619400.500</v>
      </c>
      <c r="E803" s="381" t="s">
        <v>8465</v>
      </c>
      <c r="F803" s="242"/>
      <c r="G803"/>
      <c r="H803" s="322">
        <v>800</v>
      </c>
      <c r="I803" s="322">
        <v>800</v>
      </c>
      <c r="J803" s="242">
        <v>300</v>
      </c>
      <c r="K803" s="18" t="e">
        <f>INDEX(תקציב_2013,MATCH(D803,'תקציב 2015'!$D$3:$D$5960,0),8)</f>
        <v>#N/A</v>
      </c>
      <c r="L803" s="18" t="str">
        <f t="shared" si="99"/>
        <v>6</v>
      </c>
      <c r="M803" s="18" t="str">
        <f>INDEX(Chapter,MATCH(L803,Chapter!$A$1:$A$681,0),8)</f>
        <v>הנהלה כללית</v>
      </c>
      <c r="N803" s="18" t="str">
        <f t="shared" si="100"/>
        <v>61</v>
      </c>
      <c r="O803" s="18" t="str">
        <f>INDEX(Chapter,MATCH(N803,Chapter!$A$1:$A$681,0),8)</f>
        <v>מינהל כללי</v>
      </c>
      <c r="P803" s="18" t="str">
        <f t="shared" si="101"/>
        <v>619</v>
      </c>
      <c r="Q803" s="18" t="str">
        <f>INDEX(Chapter,MATCH(P803,Chapter!$A$1:$A$681,0),8)</f>
        <v>בחירות ברשויות המקומיות</v>
      </c>
      <c r="R803" s="18" t="str">
        <f t="shared" si="102"/>
        <v>6194</v>
      </c>
      <c r="S803" s="18" t="e">
        <f>INDEX(Chapter,MATCH(R803,Chapter!$A$1:$A$681,0),8)</f>
        <v>#N/A</v>
      </c>
      <c r="T803" s="18"/>
      <c r="U803" s="18" t="str">
        <f t="shared" si="103"/>
        <v>5</v>
      </c>
      <c r="V803" s="18" t="str">
        <f>IF($L803&lt;"6",INDEX(Revenue_type,MATCH(U803*1,type!$A$118:$A$168,0),8),INDEX(Expenditure_type,MATCH(U803*1,type!$A$2:$A$117,0),8))</f>
        <v>הוצאות מנהליות</v>
      </c>
      <c r="W803" s="18" t="str">
        <f t="shared" si="104"/>
        <v>50</v>
      </c>
      <c r="X803" s="18" t="e">
        <f>IF($L803&lt;"6",INDEX(Revenue_type,MATCH(W803*1,type!$A$118:$A$168,0),8),INDEX(Expenditure_type,MATCH(W803*1,type!$A$2:$A$117,0),8))</f>
        <v>#N/A</v>
      </c>
      <c r="Y803" s="18" t="str">
        <f t="shared" si="105"/>
        <v>500</v>
      </c>
      <c r="Z803" s="18" t="e">
        <f>IF($L803&lt;"6",INDEX(Revenue_type,MATCH(Y803*1,type!$A$118:$A$168,0),8),INDEX(Expenditure_type,MATCH(Y803*1,type!$A$2:$A$117,0),8))</f>
        <v>#N/A</v>
      </c>
    </row>
    <row r="804" spans="1:26" ht="15.75" hidden="1" customHeight="1" outlineLevel="2">
      <c r="A804">
        <v>700</v>
      </c>
      <c r="B804" s="249">
        <v>619400</v>
      </c>
      <c r="C804">
        <v>1</v>
      </c>
      <c r="D804" t="str">
        <f t="shared" si="98"/>
        <v>1619400.700</v>
      </c>
      <c r="E804" s="381" t="s">
        <v>8466</v>
      </c>
      <c r="F804" s="242"/>
      <c r="G804"/>
      <c r="H804" s="322">
        <v>447600</v>
      </c>
      <c r="I804" s="322">
        <v>484700</v>
      </c>
      <c r="J804" s="242">
        <v>412400</v>
      </c>
      <c r="K804" s="18" t="e">
        <f>INDEX(תקציב_2013,MATCH(D804,'תקציב 2015'!$D$3:$D$5960,0),8)</f>
        <v>#N/A</v>
      </c>
      <c r="L804" s="18" t="str">
        <f t="shared" si="99"/>
        <v>6</v>
      </c>
      <c r="M804" s="18" t="str">
        <f>INDEX(Chapter,MATCH(L804,Chapter!$A$1:$A$681,0),8)</f>
        <v>הנהלה כללית</v>
      </c>
      <c r="N804" s="18" t="str">
        <f t="shared" si="100"/>
        <v>61</v>
      </c>
      <c r="O804" s="18" t="str">
        <f>INDEX(Chapter,MATCH(N804,Chapter!$A$1:$A$681,0),8)</f>
        <v>מינהל כללי</v>
      </c>
      <c r="P804" s="18" t="str">
        <f t="shared" si="101"/>
        <v>619</v>
      </c>
      <c r="Q804" s="18" t="str">
        <f>INDEX(Chapter,MATCH(P804,Chapter!$A$1:$A$681,0),8)</f>
        <v>בחירות ברשויות המקומיות</v>
      </c>
      <c r="R804" s="18" t="str">
        <f t="shared" si="102"/>
        <v>6194</v>
      </c>
      <c r="S804" s="18" t="e">
        <f>INDEX(Chapter,MATCH(R804,Chapter!$A$1:$A$681,0),8)</f>
        <v>#N/A</v>
      </c>
      <c r="T804" s="18"/>
      <c r="U804" s="18" t="str">
        <f t="shared" si="103"/>
        <v>7</v>
      </c>
      <c r="V804" s="18" t="str">
        <f>IF($L804&lt;"6",INDEX(Revenue_type,MATCH(U804*1,type!$A$118:$A$168,0),8),INDEX(Expenditure_type,MATCH(U804*1,type!$A$2:$A$117,0),8))</f>
        <v>הוצאות לפעולות</v>
      </c>
      <c r="W804" s="18" t="str">
        <f t="shared" si="104"/>
        <v>70</v>
      </c>
      <c r="X804" s="18" t="e">
        <f>IF($L804&lt;"6",INDEX(Revenue_type,MATCH(W804*1,type!$A$118:$A$168,0),8),INDEX(Expenditure_type,MATCH(W804*1,type!$A$2:$A$117,0),8))</f>
        <v>#N/A</v>
      </c>
      <c r="Y804" s="18" t="str">
        <f t="shared" si="105"/>
        <v>700</v>
      </c>
      <c r="Z804" s="18" t="e">
        <f>IF($L804&lt;"6",INDEX(Revenue_type,MATCH(Y804*1,type!$A$118:$A$168,0),8),INDEX(Expenditure_type,MATCH(Y804*1,type!$A$2:$A$117,0),8))</f>
        <v>#N/A</v>
      </c>
    </row>
    <row r="805" spans="1:26" ht="15.75" hidden="1" customHeight="1" outlineLevel="2">
      <c r="A805">
        <v>900</v>
      </c>
      <c r="B805" s="249">
        <v>619400</v>
      </c>
      <c r="C805">
        <v>1</v>
      </c>
      <c r="D805" t="str">
        <f t="shared" si="98"/>
        <v>1619400.900</v>
      </c>
      <c r="E805" s="382" t="s">
        <v>8467</v>
      </c>
      <c r="F805" s="242"/>
      <c r="G805"/>
      <c r="H805" s="322"/>
      <c r="I805" s="322">
        <v>0</v>
      </c>
      <c r="J805" s="242">
        <v>0</v>
      </c>
      <c r="K805" s="18" t="e">
        <f>INDEX(תקציב_2013,MATCH(D805,'תקציב 2015'!$D$3:$D$5960,0),8)</f>
        <v>#N/A</v>
      </c>
      <c r="L805" s="18" t="str">
        <f t="shared" si="99"/>
        <v>6</v>
      </c>
      <c r="M805" s="18" t="str">
        <f>INDEX(Chapter,MATCH(L805,Chapter!$A$1:$A$681,0),8)</f>
        <v>הנהלה כללית</v>
      </c>
      <c r="N805" s="18" t="str">
        <f t="shared" si="100"/>
        <v>61</v>
      </c>
      <c r="O805" s="18" t="str">
        <f>INDEX(Chapter,MATCH(N805,Chapter!$A$1:$A$681,0),8)</f>
        <v>מינהל כללי</v>
      </c>
      <c r="P805" s="18" t="str">
        <f t="shared" si="101"/>
        <v>619</v>
      </c>
      <c r="Q805" s="18" t="str">
        <f>INDEX(Chapter,MATCH(P805,Chapter!$A$1:$A$681,0),8)</f>
        <v>בחירות ברשויות המקומיות</v>
      </c>
      <c r="R805" s="18" t="str">
        <f t="shared" si="102"/>
        <v>6194</v>
      </c>
      <c r="S805" s="18" t="e">
        <f>INDEX(Chapter,MATCH(R805,Chapter!$A$1:$A$681,0),8)</f>
        <v>#N/A</v>
      </c>
      <c r="T805" s="18"/>
      <c r="U805" s="18" t="str">
        <f t="shared" si="103"/>
        <v>9</v>
      </c>
      <c r="V805" s="18" t="str">
        <f>IF($L805&lt;"6",INDEX(Revenue_type,MATCH(U805*1,type!$A$118:$A$168,0),8),INDEX(Expenditure_type,MATCH(U805*1,type!$A$2:$A$117,0),8))</f>
        <v>הוצאות חד פעמיות</v>
      </c>
      <c r="W805" s="18" t="str">
        <f t="shared" si="104"/>
        <v>90</v>
      </c>
      <c r="X805" s="18" t="e">
        <f>IF($L805&lt;"6",INDEX(Revenue_type,MATCH(W805*1,type!$A$118:$A$168,0),8),INDEX(Expenditure_type,MATCH(W805*1,type!$A$2:$A$117,0),8))</f>
        <v>#N/A</v>
      </c>
      <c r="Y805" s="18" t="str">
        <f t="shared" si="105"/>
        <v>900</v>
      </c>
      <c r="Z805" s="18" t="e">
        <f>IF($L805&lt;"6",INDEX(Revenue_type,MATCH(Y805*1,type!$A$118:$A$168,0),8),INDEX(Expenditure_type,MATCH(Y805*1,type!$A$2:$A$117,0),8))</f>
        <v>#N/A</v>
      </c>
    </row>
    <row r="806" spans="1:26" ht="15.75" hidden="1" customHeight="1" outlineLevel="2">
      <c r="A806">
        <v>100</v>
      </c>
      <c r="B806" s="249">
        <v>613210</v>
      </c>
      <c r="C806">
        <v>1</v>
      </c>
      <c r="D806" t="str">
        <f t="shared" si="98"/>
        <v>1613210.100</v>
      </c>
      <c r="E806" s="382" t="s">
        <v>8468</v>
      </c>
      <c r="F806" s="242"/>
      <c r="G806"/>
      <c r="H806" s="322">
        <v>1189600</v>
      </c>
      <c r="I806" s="322">
        <v>1175600</v>
      </c>
      <c r="J806" s="242">
        <v>1231500</v>
      </c>
      <c r="K806" s="18" t="e">
        <f>INDEX(תקציב_2013,MATCH(D806,'תקציב 2015'!$D$3:$D$5960,0),8)</f>
        <v>#N/A</v>
      </c>
      <c r="L806" s="18" t="str">
        <f t="shared" si="99"/>
        <v>6</v>
      </c>
      <c r="M806" s="18" t="str">
        <f>INDEX(Chapter,MATCH(L806,Chapter!$A$1:$A$681,0),8)</f>
        <v>הנהלה כללית</v>
      </c>
      <c r="N806" s="18" t="str">
        <f t="shared" si="100"/>
        <v>61</v>
      </c>
      <c r="O806" s="18" t="str">
        <f>INDEX(Chapter,MATCH(N806,Chapter!$A$1:$A$681,0),8)</f>
        <v>מינהל כללי</v>
      </c>
      <c r="P806" s="18" t="str">
        <f t="shared" si="101"/>
        <v>613</v>
      </c>
      <c r="Q806" s="18" t="str">
        <f>INDEX(Chapter,MATCH(P806,Chapter!$A$1:$A$681,0),8)</f>
        <v>מזכירות</v>
      </c>
      <c r="R806" s="18" t="str">
        <f t="shared" si="102"/>
        <v>6132</v>
      </c>
      <c r="S806" s="18" t="e">
        <f>INDEX(Chapter,MATCH(R806,Chapter!$A$1:$A$681,0),8)</f>
        <v>#N/A</v>
      </c>
      <c r="T806" s="18"/>
      <c r="U806" s="18" t="str">
        <f t="shared" si="103"/>
        <v>1</v>
      </c>
      <c r="V806" s="18" t="str">
        <f>IF($L806&lt;"6",INDEX(Revenue_type,MATCH(U806*1,type!$A$118:$A$168,0),8),INDEX(Expenditure_type,MATCH(U806*1,type!$A$2:$A$117,0),8))</f>
        <v>משכורות וש"ע לעובדים לפי תקן</v>
      </c>
      <c r="W806" s="18" t="str">
        <f t="shared" si="104"/>
        <v>10</v>
      </c>
      <c r="X806" s="18" t="e">
        <f>IF($L806&lt;"6",INDEX(Revenue_type,MATCH(W806*1,type!$A$118:$A$168,0),8),INDEX(Expenditure_type,MATCH(W806*1,type!$A$2:$A$117,0),8))</f>
        <v>#N/A</v>
      </c>
      <c r="Y806" s="18" t="str">
        <f t="shared" si="105"/>
        <v>100</v>
      </c>
      <c r="Z806" s="18" t="e">
        <f>IF($L806&lt;"6",INDEX(Revenue_type,MATCH(Y806*1,type!$A$118:$A$168,0),8),INDEX(Expenditure_type,MATCH(Y806*1,type!$A$2:$A$117,0),8))</f>
        <v>#N/A</v>
      </c>
    </row>
    <row r="807" spans="1:26" ht="15.75" hidden="1" customHeight="1" outlineLevel="2">
      <c r="A807">
        <v>120</v>
      </c>
      <c r="B807" s="249">
        <v>613210</v>
      </c>
      <c r="C807">
        <v>1</v>
      </c>
      <c r="D807" t="str">
        <f t="shared" si="98"/>
        <v>1613210.120</v>
      </c>
      <c r="E807" s="382" t="s">
        <v>8469</v>
      </c>
      <c r="F807" s="242"/>
      <c r="G807"/>
      <c r="H807" s="322">
        <v>85400</v>
      </c>
      <c r="I807" s="322">
        <v>85400</v>
      </c>
      <c r="J807" s="242">
        <v>95900</v>
      </c>
      <c r="K807" s="18" t="e">
        <f>INDEX(תקציב_2013,MATCH(D807,'תקציב 2015'!$D$3:$D$5960,0),8)</f>
        <v>#N/A</v>
      </c>
      <c r="L807" s="18" t="str">
        <f t="shared" si="99"/>
        <v>6</v>
      </c>
      <c r="M807" s="18" t="str">
        <f>INDEX(Chapter,MATCH(L807,Chapter!$A$1:$A$681,0),8)</f>
        <v>הנהלה כללית</v>
      </c>
      <c r="N807" s="18" t="str">
        <f t="shared" si="100"/>
        <v>61</v>
      </c>
      <c r="O807" s="18" t="str">
        <f>INDEX(Chapter,MATCH(N807,Chapter!$A$1:$A$681,0),8)</f>
        <v>מינהל כללי</v>
      </c>
      <c r="P807" s="18" t="str">
        <f t="shared" si="101"/>
        <v>613</v>
      </c>
      <c r="Q807" s="18" t="str">
        <f>INDEX(Chapter,MATCH(P807,Chapter!$A$1:$A$681,0),8)</f>
        <v>מזכירות</v>
      </c>
      <c r="R807" s="18" t="str">
        <f t="shared" si="102"/>
        <v>6132</v>
      </c>
      <c r="S807" s="18" t="e">
        <f>INDEX(Chapter,MATCH(R807,Chapter!$A$1:$A$681,0),8)</f>
        <v>#N/A</v>
      </c>
      <c r="T807" s="18"/>
      <c r="U807" s="18" t="str">
        <f t="shared" si="103"/>
        <v>1</v>
      </c>
      <c r="V807" s="18" t="str">
        <f>IF($L807&lt;"6",INDEX(Revenue_type,MATCH(U807*1,type!$A$118:$A$168,0),8),INDEX(Expenditure_type,MATCH(U807*1,type!$A$2:$A$117,0),8))</f>
        <v>משכורות וש"ע לעובדים לפי תקן</v>
      </c>
      <c r="W807" s="18" t="str">
        <f t="shared" si="104"/>
        <v>12</v>
      </c>
      <c r="X807" s="18" t="str">
        <f>IF($L807&lt;"6",INDEX(Revenue_type,MATCH(W807*1,type!$A$118:$A$168,0),8),INDEX(Expenditure_type,MATCH(W807*1,type!$A$2:$A$117,0),8))</f>
        <v>תוספות שאינן נכללות בשכר הקובע</v>
      </c>
      <c r="Y807" s="18" t="str">
        <f t="shared" si="105"/>
        <v>120</v>
      </c>
      <c r="Z807" s="18" t="e">
        <f>IF($L807&lt;"6",INDEX(Revenue_type,MATCH(Y807*1,type!$A$118:$A$168,0),8),INDEX(Expenditure_type,MATCH(Y807*1,type!$A$2:$A$117,0),8))</f>
        <v>#N/A</v>
      </c>
    </row>
    <row r="808" spans="1:26" ht="15.75" hidden="1" customHeight="1" outlineLevel="2">
      <c r="A808">
        <v>400</v>
      </c>
      <c r="B808" s="249">
        <v>613210</v>
      </c>
      <c r="C808">
        <v>1</v>
      </c>
      <c r="D808" t="str">
        <f t="shared" si="98"/>
        <v>1613210.400</v>
      </c>
      <c r="E808" s="382" t="s">
        <v>8470</v>
      </c>
      <c r="F808" s="242"/>
      <c r="G808"/>
      <c r="H808" s="322">
        <v>1800</v>
      </c>
      <c r="I808" s="322">
        <v>1800</v>
      </c>
      <c r="J808" s="242">
        <v>1200</v>
      </c>
      <c r="K808" s="18" t="e">
        <f>INDEX(תקציב_2013,MATCH(D808,'תקציב 2015'!$D$3:$D$5960,0),8)</f>
        <v>#N/A</v>
      </c>
      <c r="L808" s="18" t="str">
        <f t="shared" si="99"/>
        <v>6</v>
      </c>
      <c r="M808" s="18" t="str">
        <f>INDEX(Chapter,MATCH(L808,Chapter!$A$1:$A$681,0),8)</f>
        <v>הנהלה כללית</v>
      </c>
      <c r="N808" s="18" t="str">
        <f t="shared" si="100"/>
        <v>61</v>
      </c>
      <c r="O808" s="18" t="str">
        <f>INDEX(Chapter,MATCH(N808,Chapter!$A$1:$A$681,0),8)</f>
        <v>מינהל כללי</v>
      </c>
      <c r="P808" s="18" t="str">
        <f t="shared" si="101"/>
        <v>613</v>
      </c>
      <c r="Q808" s="18" t="str">
        <f>INDEX(Chapter,MATCH(P808,Chapter!$A$1:$A$681,0),8)</f>
        <v>מזכירות</v>
      </c>
      <c r="R808" s="18" t="str">
        <f t="shared" si="102"/>
        <v>6132</v>
      </c>
      <c r="S808" s="18" t="e">
        <f>INDEX(Chapter,MATCH(R808,Chapter!$A$1:$A$681,0),8)</f>
        <v>#N/A</v>
      </c>
      <c r="T808" s="18"/>
      <c r="U808" s="18" t="str">
        <f t="shared" si="103"/>
        <v>4</v>
      </c>
      <c r="V808" s="18" t="str">
        <f>IF($L808&lt;"6",INDEX(Revenue_type,MATCH(U808*1,type!$A$118:$A$168,0),8),INDEX(Expenditure_type,MATCH(U808*1,type!$A$2:$A$117,0),8))</f>
        <v>אחזקת בינים ואספקת ציוד</v>
      </c>
      <c r="W808" s="18" t="str">
        <f t="shared" si="104"/>
        <v>40</v>
      </c>
      <c r="X808" s="18" t="e">
        <f>IF($L808&lt;"6",INDEX(Revenue_type,MATCH(W808*1,type!$A$118:$A$168,0),8),INDEX(Expenditure_type,MATCH(W808*1,type!$A$2:$A$117,0),8))</f>
        <v>#N/A</v>
      </c>
      <c r="Y808" s="18" t="str">
        <f t="shared" si="105"/>
        <v>400</v>
      </c>
      <c r="Z808" s="18" t="e">
        <f>IF($L808&lt;"6",INDEX(Revenue_type,MATCH(Y808*1,type!$A$118:$A$168,0),8),INDEX(Expenditure_type,MATCH(Y808*1,type!$A$2:$A$117,0),8))</f>
        <v>#N/A</v>
      </c>
    </row>
    <row r="809" spans="1:26" ht="15.75" hidden="1" customHeight="1" outlineLevel="2">
      <c r="A809">
        <v>500</v>
      </c>
      <c r="B809" s="249">
        <v>613210</v>
      </c>
      <c r="C809">
        <v>1</v>
      </c>
      <c r="D809" t="str">
        <f t="shared" si="98"/>
        <v>1613210.500</v>
      </c>
      <c r="E809" s="382" t="s">
        <v>8471</v>
      </c>
      <c r="F809" s="242"/>
      <c r="G809"/>
      <c r="H809" s="322">
        <v>5400</v>
      </c>
      <c r="I809" s="322">
        <v>8500</v>
      </c>
      <c r="J809" s="242">
        <v>3600</v>
      </c>
      <c r="K809" s="18" t="e">
        <f>INDEX(תקציב_2013,MATCH(D809,'תקציב 2015'!$D$3:$D$5960,0),8)</f>
        <v>#N/A</v>
      </c>
      <c r="L809" s="18" t="str">
        <f t="shared" si="99"/>
        <v>6</v>
      </c>
      <c r="M809" s="18" t="str">
        <f>INDEX(Chapter,MATCH(L809,Chapter!$A$1:$A$681,0),8)</f>
        <v>הנהלה כללית</v>
      </c>
      <c r="N809" s="18" t="str">
        <f t="shared" si="100"/>
        <v>61</v>
      </c>
      <c r="O809" s="18" t="str">
        <f>INDEX(Chapter,MATCH(N809,Chapter!$A$1:$A$681,0),8)</f>
        <v>מינהל כללי</v>
      </c>
      <c r="P809" s="18" t="str">
        <f t="shared" si="101"/>
        <v>613</v>
      </c>
      <c r="Q809" s="18" t="str">
        <f>INDEX(Chapter,MATCH(P809,Chapter!$A$1:$A$681,0),8)</f>
        <v>מזכירות</v>
      </c>
      <c r="R809" s="18" t="str">
        <f t="shared" si="102"/>
        <v>6132</v>
      </c>
      <c r="S809" s="18" t="e">
        <f>INDEX(Chapter,MATCH(R809,Chapter!$A$1:$A$681,0),8)</f>
        <v>#N/A</v>
      </c>
      <c r="T809" s="18"/>
      <c r="U809" s="18" t="str">
        <f t="shared" si="103"/>
        <v>5</v>
      </c>
      <c r="V809" s="18" t="str">
        <f>IF($L809&lt;"6",INDEX(Revenue_type,MATCH(U809*1,type!$A$118:$A$168,0),8),INDEX(Expenditure_type,MATCH(U809*1,type!$A$2:$A$117,0),8))</f>
        <v>הוצאות מנהליות</v>
      </c>
      <c r="W809" s="18" t="str">
        <f t="shared" si="104"/>
        <v>50</v>
      </c>
      <c r="X809" s="18" t="e">
        <f>IF($L809&lt;"6",INDEX(Revenue_type,MATCH(W809*1,type!$A$118:$A$168,0),8),INDEX(Expenditure_type,MATCH(W809*1,type!$A$2:$A$117,0),8))</f>
        <v>#N/A</v>
      </c>
      <c r="Y809" s="18" t="str">
        <f t="shared" si="105"/>
        <v>500</v>
      </c>
      <c r="Z809" s="18" t="e">
        <f>IF($L809&lt;"6",INDEX(Revenue_type,MATCH(Y809*1,type!$A$118:$A$168,0),8),INDEX(Expenditure_type,MATCH(Y809*1,type!$A$2:$A$117,0),8))</f>
        <v>#N/A</v>
      </c>
    </row>
    <row r="810" spans="1:26" ht="15.75" hidden="1" customHeight="1" outlineLevel="2">
      <c r="A810">
        <v>700</v>
      </c>
      <c r="B810" s="249">
        <v>613210</v>
      </c>
      <c r="C810">
        <v>1</v>
      </c>
      <c r="D810" t="str">
        <f t="shared" si="98"/>
        <v>1613210.700</v>
      </c>
      <c r="E810" s="382" t="s">
        <v>8472</v>
      </c>
      <c r="F810" s="242"/>
      <c r="G810"/>
      <c r="H810" s="322">
        <v>9300</v>
      </c>
      <c r="I810" s="322">
        <v>6700</v>
      </c>
      <c r="J810" s="242">
        <v>9300</v>
      </c>
      <c r="K810" s="18" t="e">
        <f>INDEX(תקציב_2013,MATCH(D810,'תקציב 2015'!$D$3:$D$5960,0),8)</f>
        <v>#N/A</v>
      </c>
      <c r="L810" s="18" t="str">
        <f t="shared" si="99"/>
        <v>6</v>
      </c>
      <c r="M810" s="18" t="str">
        <f>INDEX(Chapter,MATCH(L810,Chapter!$A$1:$A$681,0),8)</f>
        <v>הנהלה כללית</v>
      </c>
      <c r="N810" s="18" t="str">
        <f t="shared" si="100"/>
        <v>61</v>
      </c>
      <c r="O810" s="18" t="str">
        <f>INDEX(Chapter,MATCH(N810,Chapter!$A$1:$A$681,0),8)</f>
        <v>מינהל כללי</v>
      </c>
      <c r="P810" s="18" t="str">
        <f t="shared" si="101"/>
        <v>613</v>
      </c>
      <c r="Q810" s="18" t="str">
        <f>INDEX(Chapter,MATCH(P810,Chapter!$A$1:$A$681,0),8)</f>
        <v>מזכירות</v>
      </c>
      <c r="R810" s="18" t="str">
        <f t="shared" si="102"/>
        <v>6132</v>
      </c>
      <c r="S810" s="18" t="e">
        <f>INDEX(Chapter,MATCH(R810,Chapter!$A$1:$A$681,0),8)</f>
        <v>#N/A</v>
      </c>
      <c r="T810" s="18"/>
      <c r="U810" s="18" t="str">
        <f t="shared" si="103"/>
        <v>7</v>
      </c>
      <c r="V810" s="18" t="str">
        <f>IF($L810&lt;"6",INDEX(Revenue_type,MATCH(U810*1,type!$A$118:$A$168,0),8),INDEX(Expenditure_type,MATCH(U810*1,type!$A$2:$A$117,0),8))</f>
        <v>הוצאות לפעולות</v>
      </c>
      <c r="W810" s="18" t="str">
        <f t="shared" si="104"/>
        <v>70</v>
      </c>
      <c r="X810" s="18" t="e">
        <f>IF($L810&lt;"6",INDEX(Revenue_type,MATCH(W810*1,type!$A$118:$A$168,0),8),INDEX(Expenditure_type,MATCH(W810*1,type!$A$2:$A$117,0),8))</f>
        <v>#N/A</v>
      </c>
      <c r="Y810" s="18" t="str">
        <f t="shared" si="105"/>
        <v>700</v>
      </c>
      <c r="Z810" s="18" t="e">
        <f>IF($L810&lt;"6",INDEX(Revenue_type,MATCH(Y810*1,type!$A$118:$A$168,0),8),INDEX(Expenditure_type,MATCH(Y810*1,type!$A$2:$A$117,0),8))</f>
        <v>#N/A</v>
      </c>
    </row>
    <row r="811" spans="1:26" ht="15.75" hidden="1" customHeight="1" outlineLevel="2">
      <c r="A811">
        <v>100</v>
      </c>
      <c r="B811" s="249">
        <v>764100</v>
      </c>
      <c r="C811">
        <v>1</v>
      </c>
      <c r="D811" t="str">
        <f t="shared" si="98"/>
        <v>1764100.100</v>
      </c>
      <c r="E811" s="382" t="s">
        <v>8473</v>
      </c>
      <c r="F811" s="242"/>
      <c r="G811"/>
      <c r="H811" s="322">
        <v>4161100</v>
      </c>
      <c r="I811" s="322">
        <v>3916100</v>
      </c>
      <c r="J811" s="242">
        <v>3576100</v>
      </c>
      <c r="K811" s="18" t="e">
        <f>INDEX(תקציב_2013,MATCH(D811,'תקציב 2015'!$D$3:$D$5960,0),8)</f>
        <v>#N/A</v>
      </c>
      <c r="L811" s="18" t="str">
        <f t="shared" si="99"/>
        <v>7</v>
      </c>
      <c r="M811" s="18" t="str">
        <f>INDEX(Chapter,MATCH(L811,Chapter!$A$1:$A$681,0),8)</f>
        <v>שירותים מקומיים</v>
      </c>
      <c r="N811" s="18" t="str">
        <f t="shared" si="100"/>
        <v>76</v>
      </c>
      <c r="O811" s="18" t="str">
        <f>INDEX(Chapter,MATCH(N811,Chapter!$A$1:$A$681,0),8)</f>
        <v>שירותים עירוניים שונים</v>
      </c>
      <c r="P811" s="18" t="str">
        <f t="shared" si="101"/>
        <v>764</v>
      </c>
      <c r="Q811" s="18" t="str">
        <f>INDEX(Chapter,MATCH(P811,Chapter!$A$1:$A$681,0),8)</f>
        <v>תרבות הדיור</v>
      </c>
      <c r="R811" s="18" t="str">
        <f t="shared" si="102"/>
        <v>7641</v>
      </c>
      <c r="S811" s="18" t="e">
        <f>INDEX(Chapter,MATCH(R811,Chapter!$A$1:$A$681,0),8)</f>
        <v>#N/A</v>
      </c>
      <c r="T811" s="18"/>
      <c r="U811" s="18" t="str">
        <f t="shared" si="103"/>
        <v>1</v>
      </c>
      <c r="V811" s="18" t="str">
        <f>IF($L811&lt;"6",INDEX(Revenue_type,MATCH(U811*1,type!$A$118:$A$168,0),8),INDEX(Expenditure_type,MATCH(U811*1,type!$A$2:$A$117,0),8))</f>
        <v>משכורות וש"ע לעובדים לפי תקן</v>
      </c>
      <c r="W811" s="18" t="str">
        <f t="shared" si="104"/>
        <v>10</v>
      </c>
      <c r="X811" s="18" t="e">
        <f>IF($L811&lt;"6",INDEX(Revenue_type,MATCH(W811*1,type!$A$118:$A$168,0),8),INDEX(Expenditure_type,MATCH(W811*1,type!$A$2:$A$117,0),8))</f>
        <v>#N/A</v>
      </c>
      <c r="Y811" s="18" t="str">
        <f t="shared" si="105"/>
        <v>100</v>
      </c>
      <c r="Z811" s="18" t="e">
        <f>IF($L811&lt;"6",INDEX(Revenue_type,MATCH(Y811*1,type!$A$118:$A$168,0),8),INDEX(Expenditure_type,MATCH(Y811*1,type!$A$2:$A$117,0),8))</f>
        <v>#N/A</v>
      </c>
    </row>
    <row r="812" spans="1:26" ht="15.75" hidden="1" customHeight="1" outlineLevel="2">
      <c r="A812">
        <v>120</v>
      </c>
      <c r="B812" s="249">
        <v>764100</v>
      </c>
      <c r="C812">
        <v>1</v>
      </c>
      <c r="D812" t="str">
        <f t="shared" si="98"/>
        <v>1764100.120</v>
      </c>
      <c r="E812" s="382" t="s">
        <v>8474</v>
      </c>
      <c r="F812" s="242"/>
      <c r="G812"/>
      <c r="H812" s="322">
        <v>122900</v>
      </c>
      <c r="I812" s="322">
        <v>122900</v>
      </c>
      <c r="J812" s="242">
        <v>153500</v>
      </c>
      <c r="K812" s="18" t="e">
        <f>INDEX(תקציב_2013,MATCH(D812,'תקציב 2015'!$D$3:$D$5960,0),8)</f>
        <v>#N/A</v>
      </c>
      <c r="L812" s="18" t="str">
        <f t="shared" si="99"/>
        <v>7</v>
      </c>
      <c r="M812" s="18" t="str">
        <f>INDEX(Chapter,MATCH(L812,Chapter!$A$1:$A$681,0),8)</f>
        <v>שירותים מקומיים</v>
      </c>
      <c r="N812" s="18" t="str">
        <f t="shared" si="100"/>
        <v>76</v>
      </c>
      <c r="O812" s="18" t="str">
        <f>INDEX(Chapter,MATCH(N812,Chapter!$A$1:$A$681,0),8)</f>
        <v>שירותים עירוניים שונים</v>
      </c>
      <c r="P812" s="18" t="str">
        <f t="shared" si="101"/>
        <v>764</v>
      </c>
      <c r="Q812" s="18" t="str">
        <f>INDEX(Chapter,MATCH(P812,Chapter!$A$1:$A$681,0),8)</f>
        <v>תרבות הדיור</v>
      </c>
      <c r="R812" s="18" t="str">
        <f t="shared" si="102"/>
        <v>7641</v>
      </c>
      <c r="S812" s="18" t="e">
        <f>INDEX(Chapter,MATCH(R812,Chapter!$A$1:$A$681,0),8)</f>
        <v>#N/A</v>
      </c>
      <c r="T812" s="18"/>
      <c r="U812" s="18" t="str">
        <f t="shared" si="103"/>
        <v>1</v>
      </c>
      <c r="V812" s="18" t="str">
        <f>IF($L812&lt;"6",INDEX(Revenue_type,MATCH(U812*1,type!$A$118:$A$168,0),8),INDEX(Expenditure_type,MATCH(U812*1,type!$A$2:$A$117,0),8))</f>
        <v>משכורות וש"ע לעובדים לפי תקן</v>
      </c>
      <c r="W812" s="18" t="str">
        <f t="shared" si="104"/>
        <v>12</v>
      </c>
      <c r="X812" s="18" t="str">
        <f>IF($L812&lt;"6",INDEX(Revenue_type,MATCH(W812*1,type!$A$118:$A$168,0),8),INDEX(Expenditure_type,MATCH(W812*1,type!$A$2:$A$117,0),8))</f>
        <v>תוספות שאינן נכללות בשכר הקובע</v>
      </c>
      <c r="Y812" s="18" t="str">
        <f t="shared" si="105"/>
        <v>120</v>
      </c>
      <c r="Z812" s="18" t="e">
        <f>IF($L812&lt;"6",INDEX(Revenue_type,MATCH(Y812*1,type!$A$118:$A$168,0),8),INDEX(Expenditure_type,MATCH(Y812*1,type!$A$2:$A$117,0),8))</f>
        <v>#N/A</v>
      </c>
    </row>
    <row r="813" spans="1:26" ht="15.75" hidden="1" customHeight="1" outlineLevel="2">
      <c r="A813">
        <v>400</v>
      </c>
      <c r="B813" s="249">
        <v>764100</v>
      </c>
      <c r="C813">
        <v>1</v>
      </c>
      <c r="D813" t="str">
        <f t="shared" si="98"/>
        <v>1764100.400</v>
      </c>
      <c r="E813" s="382" t="s">
        <v>8475</v>
      </c>
      <c r="F813" s="242"/>
      <c r="G813"/>
      <c r="H813" s="322">
        <v>16700</v>
      </c>
      <c r="I813" s="322">
        <v>21100</v>
      </c>
      <c r="J813" s="242">
        <v>16600</v>
      </c>
      <c r="K813" s="18" t="e">
        <f>INDEX(תקציב_2013,MATCH(D813,'תקציב 2015'!$D$3:$D$5960,0),8)</f>
        <v>#N/A</v>
      </c>
      <c r="L813" s="18" t="str">
        <f t="shared" si="99"/>
        <v>7</v>
      </c>
      <c r="M813" s="18" t="str">
        <f>INDEX(Chapter,MATCH(L813,Chapter!$A$1:$A$681,0),8)</f>
        <v>שירותים מקומיים</v>
      </c>
      <c r="N813" s="18" t="str">
        <f t="shared" si="100"/>
        <v>76</v>
      </c>
      <c r="O813" s="18" t="str">
        <f>INDEX(Chapter,MATCH(N813,Chapter!$A$1:$A$681,0),8)</f>
        <v>שירותים עירוניים שונים</v>
      </c>
      <c r="P813" s="18" t="str">
        <f t="shared" si="101"/>
        <v>764</v>
      </c>
      <c r="Q813" s="18" t="str">
        <f>INDEX(Chapter,MATCH(P813,Chapter!$A$1:$A$681,0),8)</f>
        <v>תרבות הדיור</v>
      </c>
      <c r="R813" s="18" t="str">
        <f t="shared" si="102"/>
        <v>7641</v>
      </c>
      <c r="S813" s="18" t="e">
        <f>INDEX(Chapter,MATCH(R813,Chapter!$A$1:$A$681,0),8)</f>
        <v>#N/A</v>
      </c>
      <c r="T813" s="18"/>
      <c r="U813" s="18" t="str">
        <f t="shared" si="103"/>
        <v>4</v>
      </c>
      <c r="V813" s="18" t="str">
        <f>IF($L813&lt;"6",INDEX(Revenue_type,MATCH(U813*1,type!$A$118:$A$168,0),8),INDEX(Expenditure_type,MATCH(U813*1,type!$A$2:$A$117,0),8))</f>
        <v>אחזקת בינים ואספקת ציוד</v>
      </c>
      <c r="W813" s="18" t="str">
        <f t="shared" si="104"/>
        <v>40</v>
      </c>
      <c r="X813" s="18" t="e">
        <f>IF($L813&lt;"6",INDEX(Revenue_type,MATCH(W813*1,type!$A$118:$A$168,0),8),INDEX(Expenditure_type,MATCH(W813*1,type!$A$2:$A$117,0),8))</f>
        <v>#N/A</v>
      </c>
      <c r="Y813" s="18" t="str">
        <f t="shared" si="105"/>
        <v>400</v>
      </c>
      <c r="Z813" s="18" t="e">
        <f>IF($L813&lt;"6",INDEX(Revenue_type,MATCH(Y813*1,type!$A$118:$A$168,0),8),INDEX(Expenditure_type,MATCH(Y813*1,type!$A$2:$A$117,0),8))</f>
        <v>#N/A</v>
      </c>
    </row>
    <row r="814" spans="1:26" ht="15.75" hidden="1" customHeight="1" outlineLevel="2">
      <c r="A814">
        <v>500</v>
      </c>
      <c r="B814" s="249">
        <v>764100</v>
      </c>
      <c r="C814">
        <v>1</v>
      </c>
      <c r="D814" t="str">
        <f t="shared" si="98"/>
        <v>1764100.500</v>
      </c>
      <c r="E814" s="382" t="s">
        <v>8476</v>
      </c>
      <c r="F814" s="242"/>
      <c r="G814"/>
      <c r="H814" s="322">
        <v>39400</v>
      </c>
      <c r="I814" s="322">
        <v>42100</v>
      </c>
      <c r="J814" s="242">
        <v>28700</v>
      </c>
      <c r="K814" s="18" t="e">
        <f>INDEX(תקציב_2013,MATCH(D814,'תקציב 2015'!$D$3:$D$5960,0),8)</f>
        <v>#N/A</v>
      </c>
      <c r="L814" s="18" t="str">
        <f t="shared" si="99"/>
        <v>7</v>
      </c>
      <c r="M814" s="18" t="str">
        <f>INDEX(Chapter,MATCH(L814,Chapter!$A$1:$A$681,0),8)</f>
        <v>שירותים מקומיים</v>
      </c>
      <c r="N814" s="18" t="str">
        <f t="shared" si="100"/>
        <v>76</v>
      </c>
      <c r="O814" s="18" t="str">
        <f>INDEX(Chapter,MATCH(N814,Chapter!$A$1:$A$681,0),8)</f>
        <v>שירותים עירוניים שונים</v>
      </c>
      <c r="P814" s="18" t="str">
        <f t="shared" si="101"/>
        <v>764</v>
      </c>
      <c r="Q814" s="18" t="str">
        <f>INDEX(Chapter,MATCH(P814,Chapter!$A$1:$A$681,0),8)</f>
        <v>תרבות הדיור</v>
      </c>
      <c r="R814" s="18" t="str">
        <f t="shared" si="102"/>
        <v>7641</v>
      </c>
      <c r="S814" s="18" t="e">
        <f>INDEX(Chapter,MATCH(R814,Chapter!$A$1:$A$681,0),8)</f>
        <v>#N/A</v>
      </c>
      <c r="T814" s="18"/>
      <c r="U814" s="18" t="str">
        <f t="shared" si="103"/>
        <v>5</v>
      </c>
      <c r="V814" s="18" t="str">
        <f>IF($L814&lt;"6",INDEX(Revenue_type,MATCH(U814*1,type!$A$118:$A$168,0),8),INDEX(Expenditure_type,MATCH(U814*1,type!$A$2:$A$117,0),8))</f>
        <v>הוצאות מנהליות</v>
      </c>
      <c r="W814" s="18" t="str">
        <f t="shared" si="104"/>
        <v>50</v>
      </c>
      <c r="X814" s="18" t="e">
        <f>IF($L814&lt;"6",INDEX(Revenue_type,MATCH(W814*1,type!$A$118:$A$168,0),8),INDEX(Expenditure_type,MATCH(W814*1,type!$A$2:$A$117,0),8))</f>
        <v>#N/A</v>
      </c>
      <c r="Y814" s="18" t="str">
        <f t="shared" si="105"/>
        <v>500</v>
      </c>
      <c r="Z814" s="18" t="e">
        <f>IF($L814&lt;"6",INDEX(Revenue_type,MATCH(Y814*1,type!$A$118:$A$168,0),8),INDEX(Expenditure_type,MATCH(Y814*1,type!$A$2:$A$117,0),8))</f>
        <v>#N/A</v>
      </c>
    </row>
    <row r="815" spans="1:26" ht="15.75" hidden="1" customHeight="1" outlineLevel="2">
      <c r="A815">
        <v>700</v>
      </c>
      <c r="B815" s="249">
        <v>764100</v>
      </c>
      <c r="C815">
        <v>1</v>
      </c>
      <c r="D815" t="str">
        <f t="shared" si="98"/>
        <v>1764100.700</v>
      </c>
      <c r="E815" s="382" t="s">
        <v>8477</v>
      </c>
      <c r="F815" s="242"/>
      <c r="G815"/>
      <c r="H815" s="322">
        <v>23800</v>
      </c>
      <c r="I815" s="322">
        <v>19100</v>
      </c>
      <c r="J815" s="242">
        <v>26200</v>
      </c>
      <c r="K815" s="18" t="e">
        <f>INDEX(תקציב_2013,MATCH(D815,'תקציב 2015'!$D$3:$D$5960,0),8)</f>
        <v>#N/A</v>
      </c>
      <c r="L815" s="18" t="str">
        <f t="shared" si="99"/>
        <v>7</v>
      </c>
      <c r="M815" s="18" t="str">
        <f>INDEX(Chapter,MATCH(L815,Chapter!$A$1:$A$681,0),8)</f>
        <v>שירותים מקומיים</v>
      </c>
      <c r="N815" s="18" t="str">
        <f t="shared" si="100"/>
        <v>76</v>
      </c>
      <c r="O815" s="18" t="str">
        <f>INDEX(Chapter,MATCH(N815,Chapter!$A$1:$A$681,0),8)</f>
        <v>שירותים עירוניים שונים</v>
      </c>
      <c r="P815" s="18" t="str">
        <f t="shared" si="101"/>
        <v>764</v>
      </c>
      <c r="Q815" s="18" t="str">
        <f>INDEX(Chapter,MATCH(P815,Chapter!$A$1:$A$681,0),8)</f>
        <v>תרבות הדיור</v>
      </c>
      <c r="R815" s="18" t="str">
        <f t="shared" si="102"/>
        <v>7641</v>
      </c>
      <c r="S815" s="18" t="e">
        <f>INDEX(Chapter,MATCH(R815,Chapter!$A$1:$A$681,0),8)</f>
        <v>#N/A</v>
      </c>
      <c r="T815" s="18"/>
      <c r="U815" s="18" t="str">
        <f t="shared" si="103"/>
        <v>7</v>
      </c>
      <c r="V815" s="18" t="str">
        <f>IF($L815&lt;"6",INDEX(Revenue_type,MATCH(U815*1,type!$A$118:$A$168,0),8),INDEX(Expenditure_type,MATCH(U815*1,type!$A$2:$A$117,0),8))</f>
        <v>הוצאות לפעולות</v>
      </c>
      <c r="W815" s="18" t="str">
        <f t="shared" si="104"/>
        <v>70</v>
      </c>
      <c r="X815" s="18" t="e">
        <f>IF($L815&lt;"6",INDEX(Revenue_type,MATCH(W815*1,type!$A$118:$A$168,0),8),INDEX(Expenditure_type,MATCH(W815*1,type!$A$2:$A$117,0),8))</f>
        <v>#N/A</v>
      </c>
      <c r="Y815" s="18" t="str">
        <f t="shared" si="105"/>
        <v>700</v>
      </c>
      <c r="Z815" s="18" t="e">
        <f>IF($L815&lt;"6",INDEX(Revenue_type,MATCH(Y815*1,type!$A$118:$A$168,0),8),INDEX(Expenditure_type,MATCH(Y815*1,type!$A$2:$A$117,0),8))</f>
        <v>#N/A</v>
      </c>
    </row>
    <row r="816" spans="1:26" ht="15.75" hidden="1" customHeight="1" outlineLevel="2">
      <c r="A816">
        <v>700</v>
      </c>
      <c r="B816" s="249">
        <v>764200</v>
      </c>
      <c r="C816">
        <v>1</v>
      </c>
      <c r="D816" t="str">
        <f t="shared" si="98"/>
        <v>1764200.700</v>
      </c>
      <c r="E816" s="382" t="s">
        <v>8478</v>
      </c>
      <c r="F816" s="242"/>
      <c r="G816"/>
      <c r="H816" s="322">
        <v>17485900</v>
      </c>
      <c r="I816" s="322">
        <v>18000000</v>
      </c>
      <c r="J816" s="242">
        <v>16286600</v>
      </c>
      <c r="K816" s="18" t="e">
        <f>INDEX(תקציב_2013,MATCH(D816,'תקציב 2015'!$D$3:$D$5960,0),8)</f>
        <v>#N/A</v>
      </c>
      <c r="L816" s="18" t="str">
        <f t="shared" si="99"/>
        <v>7</v>
      </c>
      <c r="M816" s="18" t="str">
        <f>INDEX(Chapter,MATCH(L816,Chapter!$A$1:$A$681,0),8)</f>
        <v>שירותים מקומיים</v>
      </c>
      <c r="N816" s="18" t="str">
        <f t="shared" si="100"/>
        <v>76</v>
      </c>
      <c r="O816" s="18" t="str">
        <f>INDEX(Chapter,MATCH(N816,Chapter!$A$1:$A$681,0),8)</f>
        <v>שירותים עירוניים שונים</v>
      </c>
      <c r="P816" s="18" t="str">
        <f t="shared" si="101"/>
        <v>764</v>
      </c>
      <c r="Q816" s="18" t="str">
        <f>INDEX(Chapter,MATCH(P816,Chapter!$A$1:$A$681,0),8)</f>
        <v>תרבות הדיור</v>
      </c>
      <c r="R816" s="18" t="str">
        <f t="shared" si="102"/>
        <v>7642</v>
      </c>
      <c r="S816" s="18" t="e">
        <f>INDEX(Chapter,MATCH(R816,Chapter!$A$1:$A$681,0),8)</f>
        <v>#N/A</v>
      </c>
      <c r="T816" s="18"/>
      <c r="U816" s="18" t="str">
        <f t="shared" si="103"/>
        <v>7</v>
      </c>
      <c r="V816" s="18" t="str">
        <f>IF($L816&lt;"6",INDEX(Revenue_type,MATCH(U816*1,type!$A$118:$A$168,0),8),INDEX(Expenditure_type,MATCH(U816*1,type!$A$2:$A$117,0),8))</f>
        <v>הוצאות לפעולות</v>
      </c>
      <c r="W816" s="18" t="str">
        <f t="shared" si="104"/>
        <v>70</v>
      </c>
      <c r="X816" s="18" t="e">
        <f>IF($L816&lt;"6",INDEX(Revenue_type,MATCH(W816*1,type!$A$118:$A$168,0),8),INDEX(Expenditure_type,MATCH(W816*1,type!$A$2:$A$117,0),8))</f>
        <v>#N/A</v>
      </c>
      <c r="Y816" s="18" t="str">
        <f t="shared" si="105"/>
        <v>700</v>
      </c>
      <c r="Z816" s="18" t="e">
        <f>IF($L816&lt;"6",INDEX(Revenue_type,MATCH(Y816*1,type!$A$118:$A$168,0),8),INDEX(Expenditure_type,MATCH(Y816*1,type!$A$2:$A$117,0),8))</f>
        <v>#N/A</v>
      </c>
    </row>
    <row r="817" spans="1:26" ht="15.75" hidden="1" customHeight="1" outlineLevel="2">
      <c r="A817">
        <v>100</v>
      </c>
      <c r="B817" s="249">
        <v>711400</v>
      </c>
      <c r="C817">
        <v>1</v>
      </c>
      <c r="D817" t="str">
        <f t="shared" si="98"/>
        <v>1711400.100</v>
      </c>
      <c r="E817" s="382" t="s">
        <v>8479</v>
      </c>
      <c r="F817" s="242"/>
      <c r="G817"/>
      <c r="H817" s="322">
        <v>2094100</v>
      </c>
      <c r="I817" s="322">
        <v>2070100</v>
      </c>
      <c r="J817" s="242">
        <v>2040700</v>
      </c>
      <c r="K817" s="18" t="e">
        <f>INDEX(תקציב_2013,MATCH(D817,'תקציב 2015'!$D$3:$D$5960,0),8)</f>
        <v>#N/A</v>
      </c>
      <c r="L817" s="18" t="str">
        <f t="shared" si="99"/>
        <v>7</v>
      </c>
      <c r="M817" s="18" t="str">
        <f>INDEX(Chapter,MATCH(L817,Chapter!$A$1:$A$681,0),8)</f>
        <v>שירותים מקומיים</v>
      </c>
      <c r="N817" s="18" t="str">
        <f t="shared" si="100"/>
        <v>71</v>
      </c>
      <c r="O817" s="18" t="str">
        <f>INDEX(Chapter,MATCH(N817,Chapter!$A$1:$A$681,0),8)</f>
        <v>תברואה</v>
      </c>
      <c r="P817" s="18" t="str">
        <f t="shared" si="101"/>
        <v>711</v>
      </c>
      <c r="Q817" s="18" t="str">
        <f>INDEX(Chapter,MATCH(P817,Chapter!$A$1:$A$681,0),8)</f>
        <v>מינהל תברואה</v>
      </c>
      <c r="R817" s="18" t="str">
        <f t="shared" si="102"/>
        <v>7114</v>
      </c>
      <c r="S817" s="18" t="e">
        <f>INDEX(Chapter,MATCH(R817,Chapter!$A$1:$A$681,0),8)</f>
        <v>#N/A</v>
      </c>
      <c r="T817" s="18"/>
      <c r="U817" s="18" t="str">
        <f t="shared" si="103"/>
        <v>1</v>
      </c>
      <c r="V817" s="18" t="str">
        <f>IF($L817&lt;"6",INDEX(Revenue_type,MATCH(U817*1,type!$A$118:$A$168,0),8),INDEX(Expenditure_type,MATCH(U817*1,type!$A$2:$A$117,0),8))</f>
        <v>משכורות וש"ע לעובדים לפי תקן</v>
      </c>
      <c r="W817" s="18" t="str">
        <f t="shared" si="104"/>
        <v>10</v>
      </c>
      <c r="X817" s="18" t="e">
        <f>IF($L817&lt;"6",INDEX(Revenue_type,MATCH(W817*1,type!$A$118:$A$168,0),8),INDEX(Expenditure_type,MATCH(W817*1,type!$A$2:$A$117,0),8))</f>
        <v>#N/A</v>
      </c>
      <c r="Y817" s="18" t="str">
        <f t="shared" si="105"/>
        <v>100</v>
      </c>
      <c r="Z817" s="18" t="e">
        <f>IF($L817&lt;"6",INDEX(Revenue_type,MATCH(Y817*1,type!$A$118:$A$168,0),8),INDEX(Expenditure_type,MATCH(Y817*1,type!$A$2:$A$117,0),8))</f>
        <v>#N/A</v>
      </c>
    </row>
    <row r="818" spans="1:26" ht="15.75" hidden="1" customHeight="1" outlineLevel="2">
      <c r="A818">
        <v>120</v>
      </c>
      <c r="B818" s="249">
        <v>711400</v>
      </c>
      <c r="C818">
        <v>1</v>
      </c>
      <c r="D818" t="str">
        <f t="shared" si="98"/>
        <v>1711400.120</v>
      </c>
      <c r="E818" s="382" t="s">
        <v>8480</v>
      </c>
      <c r="F818" s="242"/>
      <c r="G818"/>
      <c r="H818" s="322">
        <v>51900</v>
      </c>
      <c r="I818" s="322">
        <v>51900</v>
      </c>
      <c r="J818" s="242">
        <v>64700</v>
      </c>
      <c r="K818" s="18" t="e">
        <f>INDEX(תקציב_2013,MATCH(D818,'תקציב 2015'!$D$3:$D$5960,0),8)</f>
        <v>#N/A</v>
      </c>
      <c r="L818" s="18" t="str">
        <f t="shared" si="99"/>
        <v>7</v>
      </c>
      <c r="M818" s="18" t="str">
        <f>INDEX(Chapter,MATCH(L818,Chapter!$A$1:$A$681,0),8)</f>
        <v>שירותים מקומיים</v>
      </c>
      <c r="N818" s="18" t="str">
        <f t="shared" si="100"/>
        <v>71</v>
      </c>
      <c r="O818" s="18" t="str">
        <f>INDEX(Chapter,MATCH(N818,Chapter!$A$1:$A$681,0),8)</f>
        <v>תברואה</v>
      </c>
      <c r="P818" s="18" t="str">
        <f t="shared" si="101"/>
        <v>711</v>
      </c>
      <c r="Q818" s="18" t="str">
        <f>INDEX(Chapter,MATCH(P818,Chapter!$A$1:$A$681,0),8)</f>
        <v>מינהל תברואה</v>
      </c>
      <c r="R818" s="18" t="str">
        <f t="shared" si="102"/>
        <v>7114</v>
      </c>
      <c r="S818" s="18" t="e">
        <f>INDEX(Chapter,MATCH(R818,Chapter!$A$1:$A$681,0),8)</f>
        <v>#N/A</v>
      </c>
      <c r="T818" s="18"/>
      <c r="U818" s="18" t="str">
        <f t="shared" si="103"/>
        <v>1</v>
      </c>
      <c r="V818" s="18" t="str">
        <f>IF($L818&lt;"6",INDEX(Revenue_type,MATCH(U818*1,type!$A$118:$A$168,0),8),INDEX(Expenditure_type,MATCH(U818*1,type!$A$2:$A$117,0),8))</f>
        <v>משכורות וש"ע לעובדים לפי תקן</v>
      </c>
      <c r="W818" s="18" t="str">
        <f t="shared" si="104"/>
        <v>12</v>
      </c>
      <c r="X818" s="18" t="str">
        <f>IF($L818&lt;"6",INDEX(Revenue_type,MATCH(W818*1,type!$A$118:$A$168,0),8),INDEX(Expenditure_type,MATCH(W818*1,type!$A$2:$A$117,0),8))</f>
        <v>תוספות שאינן נכללות בשכר הקובע</v>
      </c>
      <c r="Y818" s="18" t="str">
        <f t="shared" si="105"/>
        <v>120</v>
      </c>
      <c r="Z818" s="18" t="e">
        <f>IF($L818&lt;"6",INDEX(Revenue_type,MATCH(Y818*1,type!$A$118:$A$168,0),8),INDEX(Expenditure_type,MATCH(Y818*1,type!$A$2:$A$117,0),8))</f>
        <v>#N/A</v>
      </c>
    </row>
    <row r="819" spans="1:26" ht="15.75" hidden="1" customHeight="1" outlineLevel="2">
      <c r="A819">
        <v>400</v>
      </c>
      <c r="B819" s="249">
        <v>711400</v>
      </c>
      <c r="C819">
        <v>1</v>
      </c>
      <c r="D819" t="str">
        <f t="shared" si="98"/>
        <v>1711400.400</v>
      </c>
      <c r="E819" s="382" t="s">
        <v>8481</v>
      </c>
      <c r="F819" s="242"/>
      <c r="G819"/>
      <c r="H819" s="322">
        <v>79700</v>
      </c>
      <c r="I819" s="322">
        <v>75700</v>
      </c>
      <c r="J819" s="242">
        <v>46500</v>
      </c>
      <c r="K819" s="18" t="e">
        <f>INDEX(תקציב_2013,MATCH(D819,'תקציב 2015'!$D$3:$D$5960,0),8)</f>
        <v>#N/A</v>
      </c>
      <c r="L819" s="18" t="str">
        <f t="shared" si="99"/>
        <v>7</v>
      </c>
      <c r="M819" s="18" t="str">
        <f>INDEX(Chapter,MATCH(L819,Chapter!$A$1:$A$681,0),8)</f>
        <v>שירותים מקומיים</v>
      </c>
      <c r="N819" s="18" t="str">
        <f t="shared" si="100"/>
        <v>71</v>
      </c>
      <c r="O819" s="18" t="str">
        <f>INDEX(Chapter,MATCH(N819,Chapter!$A$1:$A$681,0),8)</f>
        <v>תברואה</v>
      </c>
      <c r="P819" s="18" t="str">
        <f t="shared" si="101"/>
        <v>711</v>
      </c>
      <c r="Q819" s="18" t="str">
        <f>INDEX(Chapter,MATCH(P819,Chapter!$A$1:$A$681,0),8)</f>
        <v>מינהל תברואה</v>
      </c>
      <c r="R819" s="18" t="str">
        <f t="shared" si="102"/>
        <v>7114</v>
      </c>
      <c r="S819" s="18" t="e">
        <f>INDEX(Chapter,MATCH(R819,Chapter!$A$1:$A$681,0),8)</f>
        <v>#N/A</v>
      </c>
      <c r="T819" s="18"/>
      <c r="U819" s="18" t="str">
        <f t="shared" si="103"/>
        <v>4</v>
      </c>
      <c r="V819" s="18" t="str">
        <f>IF($L819&lt;"6",INDEX(Revenue_type,MATCH(U819*1,type!$A$118:$A$168,0),8),INDEX(Expenditure_type,MATCH(U819*1,type!$A$2:$A$117,0),8))</f>
        <v>אחזקת בינים ואספקת ציוד</v>
      </c>
      <c r="W819" s="18" t="str">
        <f t="shared" si="104"/>
        <v>40</v>
      </c>
      <c r="X819" s="18" t="e">
        <f>IF($L819&lt;"6",INDEX(Revenue_type,MATCH(W819*1,type!$A$118:$A$168,0),8),INDEX(Expenditure_type,MATCH(W819*1,type!$A$2:$A$117,0),8))</f>
        <v>#N/A</v>
      </c>
      <c r="Y819" s="18" t="str">
        <f t="shared" si="105"/>
        <v>400</v>
      </c>
      <c r="Z819" s="18" t="e">
        <f>IF($L819&lt;"6",INDEX(Revenue_type,MATCH(Y819*1,type!$A$118:$A$168,0),8),INDEX(Expenditure_type,MATCH(Y819*1,type!$A$2:$A$117,0),8))</f>
        <v>#N/A</v>
      </c>
    </row>
    <row r="820" spans="1:26" ht="15.75" hidden="1" customHeight="1" outlineLevel="2">
      <c r="A820">
        <v>500</v>
      </c>
      <c r="B820" s="249">
        <v>711400</v>
      </c>
      <c r="C820">
        <v>1</v>
      </c>
      <c r="D820" t="str">
        <f t="shared" si="98"/>
        <v>1711400.500</v>
      </c>
      <c r="E820" s="382" t="s">
        <v>8482</v>
      </c>
      <c r="F820" s="242"/>
      <c r="G820"/>
      <c r="H820" s="322">
        <v>62500</v>
      </c>
      <c r="I820" s="322">
        <v>68100</v>
      </c>
      <c r="J820" s="242">
        <v>45900</v>
      </c>
      <c r="K820" s="18" t="e">
        <f>INDEX(תקציב_2013,MATCH(D820,'תקציב 2015'!$D$3:$D$5960,0),8)</f>
        <v>#N/A</v>
      </c>
      <c r="L820" s="18" t="str">
        <f t="shared" si="99"/>
        <v>7</v>
      </c>
      <c r="M820" s="18" t="str">
        <f>INDEX(Chapter,MATCH(L820,Chapter!$A$1:$A$681,0),8)</f>
        <v>שירותים מקומיים</v>
      </c>
      <c r="N820" s="18" t="str">
        <f t="shared" si="100"/>
        <v>71</v>
      </c>
      <c r="O820" s="18" t="str">
        <f>INDEX(Chapter,MATCH(N820,Chapter!$A$1:$A$681,0),8)</f>
        <v>תברואה</v>
      </c>
      <c r="P820" s="18" t="str">
        <f t="shared" si="101"/>
        <v>711</v>
      </c>
      <c r="Q820" s="18" t="str">
        <f>INDEX(Chapter,MATCH(P820,Chapter!$A$1:$A$681,0),8)</f>
        <v>מינהל תברואה</v>
      </c>
      <c r="R820" s="18" t="str">
        <f t="shared" si="102"/>
        <v>7114</v>
      </c>
      <c r="S820" s="18" t="e">
        <f>INDEX(Chapter,MATCH(R820,Chapter!$A$1:$A$681,0),8)</f>
        <v>#N/A</v>
      </c>
      <c r="T820" s="18"/>
      <c r="U820" s="18" t="str">
        <f t="shared" si="103"/>
        <v>5</v>
      </c>
      <c r="V820" s="18" t="str">
        <f>IF($L820&lt;"6",INDEX(Revenue_type,MATCH(U820*1,type!$A$118:$A$168,0),8),INDEX(Expenditure_type,MATCH(U820*1,type!$A$2:$A$117,0),8))</f>
        <v>הוצאות מנהליות</v>
      </c>
      <c r="W820" s="18" t="str">
        <f t="shared" si="104"/>
        <v>50</v>
      </c>
      <c r="X820" s="18" t="e">
        <f>IF($L820&lt;"6",INDEX(Revenue_type,MATCH(W820*1,type!$A$118:$A$168,0),8),INDEX(Expenditure_type,MATCH(W820*1,type!$A$2:$A$117,0),8))</f>
        <v>#N/A</v>
      </c>
      <c r="Y820" s="18" t="str">
        <f t="shared" si="105"/>
        <v>500</v>
      </c>
      <c r="Z820" s="18" t="e">
        <f>IF($L820&lt;"6",INDEX(Revenue_type,MATCH(Y820*1,type!$A$118:$A$168,0),8),INDEX(Expenditure_type,MATCH(Y820*1,type!$A$2:$A$117,0),8))</f>
        <v>#N/A</v>
      </c>
    </row>
    <row r="821" spans="1:26" ht="15.75" hidden="1" customHeight="1" outlineLevel="2">
      <c r="A821">
        <v>500</v>
      </c>
      <c r="B821" s="249">
        <v>711400</v>
      </c>
      <c r="C821">
        <v>1</v>
      </c>
      <c r="D821" t="str">
        <f t="shared" si="98"/>
        <v>1711400.500</v>
      </c>
      <c r="E821" s="382" t="s">
        <v>8483</v>
      </c>
      <c r="F821" s="242"/>
      <c r="G821"/>
      <c r="H821" s="322">
        <v>5000</v>
      </c>
      <c r="I821" s="322">
        <v>5000</v>
      </c>
      <c r="J821" s="242">
        <v>2100</v>
      </c>
      <c r="K821" s="18" t="e">
        <f>INDEX(תקציב_2013,MATCH(D821,'תקציב 2015'!$D$3:$D$5960,0),8)</f>
        <v>#N/A</v>
      </c>
      <c r="L821" s="18" t="str">
        <f t="shared" si="99"/>
        <v>7</v>
      </c>
      <c r="M821" s="18" t="str">
        <f>INDEX(Chapter,MATCH(L821,Chapter!$A$1:$A$681,0),8)</f>
        <v>שירותים מקומיים</v>
      </c>
      <c r="N821" s="18" t="str">
        <f t="shared" si="100"/>
        <v>71</v>
      </c>
      <c r="O821" s="18" t="str">
        <f>INDEX(Chapter,MATCH(N821,Chapter!$A$1:$A$681,0),8)</f>
        <v>תברואה</v>
      </c>
      <c r="P821" s="18" t="str">
        <f t="shared" si="101"/>
        <v>711</v>
      </c>
      <c r="Q821" s="18" t="str">
        <f>INDEX(Chapter,MATCH(P821,Chapter!$A$1:$A$681,0),8)</f>
        <v>מינהל תברואה</v>
      </c>
      <c r="R821" s="18" t="str">
        <f t="shared" si="102"/>
        <v>7114</v>
      </c>
      <c r="S821" s="18" t="e">
        <f>INDEX(Chapter,MATCH(R821,Chapter!$A$1:$A$681,0),8)</f>
        <v>#N/A</v>
      </c>
      <c r="T821" s="18"/>
      <c r="U821" s="18" t="str">
        <f t="shared" si="103"/>
        <v>5</v>
      </c>
      <c r="V821" s="18" t="str">
        <f>IF($L821&lt;"6",INDEX(Revenue_type,MATCH(U821*1,type!$A$118:$A$168,0),8),INDEX(Expenditure_type,MATCH(U821*1,type!$A$2:$A$117,0),8))</f>
        <v>הוצאות מנהליות</v>
      </c>
      <c r="W821" s="18" t="str">
        <f t="shared" si="104"/>
        <v>50</v>
      </c>
      <c r="X821" s="18" t="e">
        <f>IF($L821&lt;"6",INDEX(Revenue_type,MATCH(W821*1,type!$A$118:$A$168,0),8),INDEX(Expenditure_type,MATCH(W821*1,type!$A$2:$A$117,0),8))</f>
        <v>#N/A</v>
      </c>
      <c r="Y821" s="18" t="str">
        <f t="shared" si="105"/>
        <v>500</v>
      </c>
      <c r="Z821" s="18" t="e">
        <f>IF($L821&lt;"6",INDEX(Revenue_type,MATCH(Y821*1,type!$A$118:$A$168,0),8),INDEX(Expenditure_type,MATCH(Y821*1,type!$A$2:$A$117,0),8))</f>
        <v>#N/A</v>
      </c>
    </row>
    <row r="822" spans="1:26" ht="15.75" hidden="1" customHeight="1" outlineLevel="2">
      <c r="A822">
        <v>700</v>
      </c>
      <c r="B822" s="249">
        <v>711400</v>
      </c>
      <c r="C822">
        <v>1</v>
      </c>
      <c r="D822" t="str">
        <f t="shared" si="98"/>
        <v>1711400.700</v>
      </c>
      <c r="E822" s="382" t="s">
        <v>8484</v>
      </c>
      <c r="F822" s="242"/>
      <c r="G822"/>
      <c r="H822" s="322">
        <v>2454600</v>
      </c>
      <c r="I822" s="322">
        <v>2529500</v>
      </c>
      <c r="J822" s="242">
        <v>794600</v>
      </c>
      <c r="K822" s="18" t="e">
        <f>INDEX(תקציב_2013,MATCH(D822,'תקציב 2015'!$D$3:$D$5960,0),8)</f>
        <v>#N/A</v>
      </c>
      <c r="L822" s="18" t="str">
        <f t="shared" si="99"/>
        <v>7</v>
      </c>
      <c r="M822" s="18" t="str">
        <f>INDEX(Chapter,MATCH(L822,Chapter!$A$1:$A$681,0),8)</f>
        <v>שירותים מקומיים</v>
      </c>
      <c r="N822" s="18" t="str">
        <f t="shared" si="100"/>
        <v>71</v>
      </c>
      <c r="O822" s="18" t="str">
        <f>INDEX(Chapter,MATCH(N822,Chapter!$A$1:$A$681,0),8)</f>
        <v>תברואה</v>
      </c>
      <c r="P822" s="18" t="str">
        <f t="shared" si="101"/>
        <v>711</v>
      </c>
      <c r="Q822" s="18" t="str">
        <f>INDEX(Chapter,MATCH(P822,Chapter!$A$1:$A$681,0),8)</f>
        <v>מינהל תברואה</v>
      </c>
      <c r="R822" s="18" t="str">
        <f t="shared" si="102"/>
        <v>7114</v>
      </c>
      <c r="S822" s="18" t="e">
        <f>INDEX(Chapter,MATCH(R822,Chapter!$A$1:$A$681,0),8)</f>
        <v>#N/A</v>
      </c>
      <c r="T822" s="18"/>
      <c r="U822" s="18" t="str">
        <f t="shared" si="103"/>
        <v>7</v>
      </c>
      <c r="V822" s="18" t="str">
        <f>IF($L822&lt;"6",INDEX(Revenue_type,MATCH(U822*1,type!$A$118:$A$168,0),8),INDEX(Expenditure_type,MATCH(U822*1,type!$A$2:$A$117,0),8))</f>
        <v>הוצאות לפעולות</v>
      </c>
      <c r="W822" s="18" t="str">
        <f t="shared" si="104"/>
        <v>70</v>
      </c>
      <c r="X822" s="18" t="e">
        <f>IF($L822&lt;"6",INDEX(Revenue_type,MATCH(W822*1,type!$A$118:$A$168,0),8),INDEX(Expenditure_type,MATCH(W822*1,type!$A$2:$A$117,0),8))</f>
        <v>#N/A</v>
      </c>
      <c r="Y822" s="18" t="str">
        <f t="shared" si="105"/>
        <v>700</v>
      </c>
      <c r="Z822" s="18" t="e">
        <f>IF($L822&lt;"6",INDEX(Revenue_type,MATCH(Y822*1,type!$A$118:$A$168,0),8),INDEX(Expenditure_type,MATCH(Y822*1,type!$A$2:$A$117,0),8))</f>
        <v>#N/A</v>
      </c>
    </row>
    <row r="823" spans="1:26" ht="15.75" hidden="1" customHeight="1" outlineLevel="2">
      <c r="A823">
        <v>700</v>
      </c>
      <c r="B823" s="249">
        <v>630000</v>
      </c>
      <c r="C823">
        <v>1</v>
      </c>
      <c r="D823" t="str">
        <f t="shared" si="98"/>
        <v>1630000.700</v>
      </c>
      <c r="E823" s="382" t="s">
        <v>8485</v>
      </c>
      <c r="F823" s="242"/>
      <c r="G823"/>
      <c r="H823" s="322">
        <v>15100000</v>
      </c>
      <c r="I823" s="322">
        <v>15100000</v>
      </c>
      <c r="J823" s="242">
        <v>16115100</v>
      </c>
      <c r="K823" s="18" t="e">
        <f>INDEX(תקציב_2013,MATCH(D823,'תקציב 2015'!$D$3:$D$5960,0),8)</f>
        <v>#N/A</v>
      </c>
      <c r="L823" s="18" t="str">
        <f t="shared" si="99"/>
        <v>6</v>
      </c>
      <c r="M823" s="18" t="str">
        <f>INDEX(Chapter,MATCH(L823,Chapter!$A$1:$A$681,0),8)</f>
        <v>הנהלה כללית</v>
      </c>
      <c r="N823" s="18" t="str">
        <f t="shared" si="100"/>
        <v>63</v>
      </c>
      <c r="O823" s="18" t="str">
        <f>INDEX(Chapter,MATCH(N823,Chapter!$A$1:$A$681,0),8)</f>
        <v>הוצאות מימון</v>
      </c>
      <c r="P823" s="18" t="str">
        <f t="shared" si="101"/>
        <v>630</v>
      </c>
      <c r="Q823" s="18" t="e">
        <f>INDEX(Chapter,MATCH(P823,Chapter!$A$1:$A$681,0),8)</f>
        <v>#N/A</v>
      </c>
      <c r="R823" s="18" t="str">
        <f t="shared" si="102"/>
        <v>6300</v>
      </c>
      <c r="S823" s="18" t="e">
        <f>INDEX(Chapter,MATCH(R823,Chapter!$A$1:$A$681,0),8)</f>
        <v>#N/A</v>
      </c>
      <c r="T823" s="18"/>
      <c r="U823" s="18" t="str">
        <f t="shared" si="103"/>
        <v>7</v>
      </c>
      <c r="V823" s="18" t="str">
        <f>IF($L823&lt;"6",INDEX(Revenue_type,MATCH(U823*1,type!$A$118:$A$168,0),8),INDEX(Expenditure_type,MATCH(U823*1,type!$A$2:$A$117,0),8))</f>
        <v>הוצאות לפעולות</v>
      </c>
      <c r="W823" s="18" t="str">
        <f t="shared" si="104"/>
        <v>70</v>
      </c>
      <c r="X823" s="18" t="e">
        <f>IF($L823&lt;"6",INDEX(Revenue_type,MATCH(W823*1,type!$A$118:$A$168,0),8),INDEX(Expenditure_type,MATCH(W823*1,type!$A$2:$A$117,0),8))</f>
        <v>#N/A</v>
      </c>
      <c r="Y823" s="18" t="str">
        <f t="shared" si="105"/>
        <v>700</v>
      </c>
      <c r="Z823" s="18" t="e">
        <f>IF($L823&lt;"6",INDEX(Revenue_type,MATCH(Y823*1,type!$A$118:$A$168,0),8),INDEX(Expenditure_type,MATCH(Y823*1,type!$A$2:$A$117,0),8))</f>
        <v>#N/A</v>
      </c>
    </row>
    <row r="824" spans="1:26" ht="15.75" hidden="1" customHeight="1" outlineLevel="2">
      <c r="A824">
        <v>100</v>
      </c>
      <c r="B824" s="249">
        <v>711000</v>
      </c>
      <c r="C824">
        <v>1</v>
      </c>
      <c r="D824" t="str">
        <f t="shared" si="98"/>
        <v>1711000.100</v>
      </c>
      <c r="E824" s="382" t="s">
        <v>8486</v>
      </c>
      <c r="F824" s="242"/>
      <c r="G824"/>
      <c r="H824" s="322">
        <v>2431500</v>
      </c>
      <c r="I824" s="322">
        <v>2404500</v>
      </c>
      <c r="J824" s="242">
        <v>2168200</v>
      </c>
      <c r="K824" s="18" t="e">
        <f>INDEX(תקציב_2013,MATCH(D824,'תקציב 2015'!$D$3:$D$5960,0),8)</f>
        <v>#N/A</v>
      </c>
      <c r="L824" s="18" t="str">
        <f t="shared" si="99"/>
        <v>7</v>
      </c>
      <c r="M824" s="18" t="str">
        <f>INDEX(Chapter,MATCH(L824,Chapter!$A$1:$A$681,0),8)</f>
        <v>שירותים מקומיים</v>
      </c>
      <c r="N824" s="18" t="str">
        <f t="shared" si="100"/>
        <v>71</v>
      </c>
      <c r="O824" s="18" t="str">
        <f>INDEX(Chapter,MATCH(N824,Chapter!$A$1:$A$681,0),8)</f>
        <v>תברואה</v>
      </c>
      <c r="P824" s="18" t="str">
        <f t="shared" si="101"/>
        <v>711</v>
      </c>
      <c r="Q824" s="18" t="str">
        <f>INDEX(Chapter,MATCH(P824,Chapter!$A$1:$A$681,0),8)</f>
        <v>מינהל תברואה</v>
      </c>
      <c r="R824" s="18" t="str">
        <f t="shared" si="102"/>
        <v>7110</v>
      </c>
      <c r="S824" s="18" t="e">
        <f>INDEX(Chapter,MATCH(R824,Chapter!$A$1:$A$681,0),8)</f>
        <v>#N/A</v>
      </c>
      <c r="T824" s="18"/>
      <c r="U824" s="18" t="str">
        <f t="shared" si="103"/>
        <v>1</v>
      </c>
      <c r="V824" s="18" t="str">
        <f>IF($L824&lt;"6",INDEX(Revenue_type,MATCH(U824*1,type!$A$118:$A$168,0),8),INDEX(Expenditure_type,MATCH(U824*1,type!$A$2:$A$117,0),8))</f>
        <v>משכורות וש"ע לעובדים לפי תקן</v>
      </c>
      <c r="W824" s="18" t="str">
        <f t="shared" si="104"/>
        <v>10</v>
      </c>
      <c r="X824" s="18" t="e">
        <f>IF($L824&lt;"6",INDEX(Revenue_type,MATCH(W824*1,type!$A$118:$A$168,0),8),INDEX(Expenditure_type,MATCH(W824*1,type!$A$2:$A$117,0),8))</f>
        <v>#N/A</v>
      </c>
      <c r="Y824" s="18" t="str">
        <f t="shared" si="105"/>
        <v>100</v>
      </c>
      <c r="Z824" s="18" t="e">
        <f>IF($L824&lt;"6",INDEX(Revenue_type,MATCH(Y824*1,type!$A$118:$A$168,0),8),INDEX(Expenditure_type,MATCH(Y824*1,type!$A$2:$A$117,0),8))</f>
        <v>#N/A</v>
      </c>
    </row>
    <row r="825" spans="1:26" ht="15.75" hidden="1" customHeight="1" outlineLevel="2">
      <c r="A825">
        <v>120</v>
      </c>
      <c r="B825" s="249">
        <v>711000</v>
      </c>
      <c r="C825">
        <v>1</v>
      </c>
      <c r="D825" t="str">
        <f t="shared" si="98"/>
        <v>1711000.120</v>
      </c>
      <c r="E825" s="382" t="s">
        <v>8487</v>
      </c>
      <c r="F825" s="242"/>
      <c r="G825"/>
      <c r="H825" s="322">
        <v>41500</v>
      </c>
      <c r="I825" s="322">
        <v>41500</v>
      </c>
      <c r="J825" s="242">
        <v>46200</v>
      </c>
      <c r="K825" s="18">
        <f>INDEX(תקציב_2013,MATCH(D825,'תקציב 2015'!$D$3:$D$5960,0),8)</f>
        <v>292468</v>
      </c>
      <c r="L825" s="18" t="str">
        <f t="shared" si="99"/>
        <v>7</v>
      </c>
      <c r="M825" s="18" t="str">
        <f>INDEX(Chapter,MATCH(L825,Chapter!$A$1:$A$681,0),8)</f>
        <v>שירותים מקומיים</v>
      </c>
      <c r="N825" s="18" t="str">
        <f t="shared" si="100"/>
        <v>71</v>
      </c>
      <c r="O825" s="18" t="str">
        <f>INDEX(Chapter,MATCH(N825,Chapter!$A$1:$A$681,0),8)</f>
        <v>תברואה</v>
      </c>
      <c r="P825" s="18" t="str">
        <f t="shared" si="101"/>
        <v>711</v>
      </c>
      <c r="Q825" s="18" t="str">
        <f>INDEX(Chapter,MATCH(P825,Chapter!$A$1:$A$681,0),8)</f>
        <v>מינהל תברואה</v>
      </c>
      <c r="R825" s="18" t="str">
        <f t="shared" si="102"/>
        <v>7110</v>
      </c>
      <c r="S825" s="18" t="e">
        <f>INDEX(Chapter,MATCH(R825,Chapter!$A$1:$A$681,0),8)</f>
        <v>#N/A</v>
      </c>
      <c r="T825" s="18"/>
      <c r="U825" s="18" t="str">
        <f t="shared" si="103"/>
        <v>1</v>
      </c>
      <c r="V825" s="18" t="str">
        <f>IF($L825&lt;"6",INDEX(Revenue_type,MATCH(U825*1,type!$A$118:$A$168,0),8),INDEX(Expenditure_type,MATCH(U825*1,type!$A$2:$A$117,0),8))</f>
        <v>משכורות וש"ע לעובדים לפי תקן</v>
      </c>
      <c r="W825" s="18" t="str">
        <f t="shared" si="104"/>
        <v>12</v>
      </c>
      <c r="X825" s="18" t="str">
        <f>IF($L825&lt;"6",INDEX(Revenue_type,MATCH(W825*1,type!$A$118:$A$168,0),8),INDEX(Expenditure_type,MATCH(W825*1,type!$A$2:$A$117,0),8))</f>
        <v>תוספות שאינן נכללות בשכר הקובע</v>
      </c>
      <c r="Y825" s="18" t="str">
        <f t="shared" si="105"/>
        <v>120</v>
      </c>
      <c r="Z825" s="18" t="e">
        <f>IF($L825&lt;"6",INDEX(Revenue_type,MATCH(Y825*1,type!$A$118:$A$168,0),8),INDEX(Expenditure_type,MATCH(Y825*1,type!$A$2:$A$117,0),8))</f>
        <v>#N/A</v>
      </c>
    </row>
    <row r="826" spans="1:26" ht="15.75" hidden="1" customHeight="1" outlineLevel="2">
      <c r="A826">
        <v>400</v>
      </c>
      <c r="B826" s="249">
        <v>711000</v>
      </c>
      <c r="C826">
        <v>1</v>
      </c>
      <c r="D826" t="str">
        <f t="shared" si="98"/>
        <v>1711000.400</v>
      </c>
      <c r="E826" s="382" t="s">
        <v>8488</v>
      </c>
      <c r="F826" s="242"/>
      <c r="G826"/>
      <c r="H826" s="322">
        <v>9300</v>
      </c>
      <c r="I826" s="322">
        <v>9600</v>
      </c>
      <c r="J826" s="242">
        <v>7800</v>
      </c>
      <c r="K826" s="18" t="e">
        <f>INDEX(תקציב_2013,MATCH(D826,'תקציב 2015'!$D$3:$D$5960,0),8)</f>
        <v>#N/A</v>
      </c>
      <c r="L826" s="18" t="str">
        <f t="shared" si="99"/>
        <v>7</v>
      </c>
      <c r="M826" s="18" t="str">
        <f>INDEX(Chapter,MATCH(L826,Chapter!$A$1:$A$681,0),8)</f>
        <v>שירותים מקומיים</v>
      </c>
      <c r="N826" s="18" t="str">
        <f t="shared" si="100"/>
        <v>71</v>
      </c>
      <c r="O826" s="18" t="str">
        <f>INDEX(Chapter,MATCH(N826,Chapter!$A$1:$A$681,0),8)</f>
        <v>תברואה</v>
      </c>
      <c r="P826" s="18" t="str">
        <f t="shared" si="101"/>
        <v>711</v>
      </c>
      <c r="Q826" s="18" t="str">
        <f>INDEX(Chapter,MATCH(P826,Chapter!$A$1:$A$681,0),8)</f>
        <v>מינהל תברואה</v>
      </c>
      <c r="R826" s="18" t="str">
        <f t="shared" si="102"/>
        <v>7110</v>
      </c>
      <c r="S826" s="18" t="e">
        <f>INDEX(Chapter,MATCH(R826,Chapter!$A$1:$A$681,0),8)</f>
        <v>#N/A</v>
      </c>
      <c r="T826" s="18"/>
      <c r="U826" s="18" t="str">
        <f t="shared" si="103"/>
        <v>4</v>
      </c>
      <c r="V826" s="18" t="str">
        <f>IF($L826&lt;"6",INDEX(Revenue_type,MATCH(U826*1,type!$A$118:$A$168,0),8),INDEX(Expenditure_type,MATCH(U826*1,type!$A$2:$A$117,0),8))</f>
        <v>אחזקת בינים ואספקת ציוד</v>
      </c>
      <c r="W826" s="18" t="str">
        <f t="shared" si="104"/>
        <v>40</v>
      </c>
      <c r="X826" s="18" t="e">
        <f>IF($L826&lt;"6",INDEX(Revenue_type,MATCH(W826*1,type!$A$118:$A$168,0),8),INDEX(Expenditure_type,MATCH(W826*1,type!$A$2:$A$117,0),8))</f>
        <v>#N/A</v>
      </c>
      <c r="Y826" s="18" t="str">
        <f t="shared" si="105"/>
        <v>400</v>
      </c>
      <c r="Z826" s="18" t="e">
        <f>IF($L826&lt;"6",INDEX(Revenue_type,MATCH(Y826*1,type!$A$118:$A$168,0),8),INDEX(Expenditure_type,MATCH(Y826*1,type!$A$2:$A$117,0),8))</f>
        <v>#N/A</v>
      </c>
    </row>
    <row r="827" spans="1:26" ht="15.75" hidden="1" customHeight="1" outlineLevel="2">
      <c r="A827">
        <v>500</v>
      </c>
      <c r="B827" s="249">
        <v>711000</v>
      </c>
      <c r="C827">
        <v>1</v>
      </c>
      <c r="D827" t="str">
        <f t="shared" si="98"/>
        <v>1711000.500</v>
      </c>
      <c r="E827" s="381" t="s">
        <v>8489</v>
      </c>
      <c r="F827" s="242"/>
      <c r="G827"/>
      <c r="H827" s="322">
        <v>95500</v>
      </c>
      <c r="I827" s="322">
        <v>98500</v>
      </c>
      <c r="J827" s="242">
        <v>86800</v>
      </c>
      <c r="K827" s="18" t="e">
        <f>INDEX(תקציב_2013,MATCH(D827,'תקציב 2015'!$D$3:$D$5960,0),8)</f>
        <v>#N/A</v>
      </c>
      <c r="L827" s="18" t="str">
        <f t="shared" si="99"/>
        <v>7</v>
      </c>
      <c r="M827" s="18" t="str">
        <f>INDEX(Chapter,MATCH(L827,Chapter!$A$1:$A$681,0),8)</f>
        <v>שירותים מקומיים</v>
      </c>
      <c r="N827" s="18" t="str">
        <f t="shared" si="100"/>
        <v>71</v>
      </c>
      <c r="O827" s="18" t="str">
        <f>INDEX(Chapter,MATCH(N827,Chapter!$A$1:$A$681,0),8)</f>
        <v>תברואה</v>
      </c>
      <c r="P827" s="18" t="str">
        <f t="shared" si="101"/>
        <v>711</v>
      </c>
      <c r="Q827" s="18" t="str">
        <f>INDEX(Chapter,MATCH(P827,Chapter!$A$1:$A$681,0),8)</f>
        <v>מינהל תברואה</v>
      </c>
      <c r="R827" s="18" t="str">
        <f t="shared" si="102"/>
        <v>7110</v>
      </c>
      <c r="S827" s="18" t="e">
        <f>INDEX(Chapter,MATCH(R827,Chapter!$A$1:$A$681,0),8)</f>
        <v>#N/A</v>
      </c>
      <c r="T827" s="18"/>
      <c r="U827" s="18" t="str">
        <f t="shared" si="103"/>
        <v>5</v>
      </c>
      <c r="V827" s="18" t="str">
        <f>IF($L827&lt;"6",INDEX(Revenue_type,MATCH(U827*1,type!$A$118:$A$168,0),8),INDEX(Expenditure_type,MATCH(U827*1,type!$A$2:$A$117,0),8))</f>
        <v>הוצאות מנהליות</v>
      </c>
      <c r="W827" s="18" t="str">
        <f t="shared" si="104"/>
        <v>50</v>
      </c>
      <c r="X827" s="18" t="e">
        <f>IF($L827&lt;"6",INDEX(Revenue_type,MATCH(W827*1,type!$A$118:$A$168,0),8),INDEX(Expenditure_type,MATCH(W827*1,type!$A$2:$A$117,0),8))</f>
        <v>#N/A</v>
      </c>
      <c r="Y827" s="18" t="str">
        <f t="shared" si="105"/>
        <v>500</v>
      </c>
      <c r="Z827" s="18" t="e">
        <f>IF($L827&lt;"6",INDEX(Revenue_type,MATCH(Y827*1,type!$A$118:$A$168,0),8),INDEX(Expenditure_type,MATCH(Y827*1,type!$A$2:$A$117,0),8))</f>
        <v>#N/A</v>
      </c>
    </row>
    <row r="828" spans="1:26" ht="15.75" hidden="1" customHeight="1" outlineLevel="2">
      <c r="A828">
        <v>500</v>
      </c>
      <c r="B828" s="249">
        <v>711000</v>
      </c>
      <c r="C828">
        <v>1</v>
      </c>
      <c r="D828" t="str">
        <f t="shared" si="98"/>
        <v>1711000.500</v>
      </c>
      <c r="E828" s="382" t="s">
        <v>8490</v>
      </c>
      <c r="F828" s="242"/>
      <c r="G828"/>
      <c r="H828" s="322">
        <v>182900</v>
      </c>
      <c r="I828" s="322">
        <v>188600</v>
      </c>
      <c r="J828" s="242">
        <v>136900</v>
      </c>
      <c r="K828" s="18" t="e">
        <f>INDEX(תקציב_2013,MATCH(D828,'תקציב 2015'!$D$3:$D$5960,0),8)</f>
        <v>#N/A</v>
      </c>
      <c r="L828" s="18" t="str">
        <f t="shared" si="99"/>
        <v>7</v>
      </c>
      <c r="M828" s="18" t="str">
        <f>INDEX(Chapter,MATCH(L828,Chapter!$A$1:$A$681,0),8)</f>
        <v>שירותים מקומיים</v>
      </c>
      <c r="N828" s="18" t="str">
        <f t="shared" si="100"/>
        <v>71</v>
      </c>
      <c r="O828" s="18" t="str">
        <f>INDEX(Chapter,MATCH(N828,Chapter!$A$1:$A$681,0),8)</f>
        <v>תברואה</v>
      </c>
      <c r="P828" s="18" t="str">
        <f t="shared" si="101"/>
        <v>711</v>
      </c>
      <c r="Q828" s="18" t="str">
        <f>INDEX(Chapter,MATCH(P828,Chapter!$A$1:$A$681,0),8)</f>
        <v>מינהל תברואה</v>
      </c>
      <c r="R828" s="18" t="str">
        <f t="shared" si="102"/>
        <v>7110</v>
      </c>
      <c r="S828" s="18" t="e">
        <f>INDEX(Chapter,MATCH(R828,Chapter!$A$1:$A$681,0),8)</f>
        <v>#N/A</v>
      </c>
      <c r="T828" s="18"/>
      <c r="U828" s="18" t="str">
        <f t="shared" si="103"/>
        <v>5</v>
      </c>
      <c r="V828" s="18" t="str">
        <f>IF($L828&lt;"6",INDEX(Revenue_type,MATCH(U828*1,type!$A$118:$A$168,0),8),INDEX(Expenditure_type,MATCH(U828*1,type!$A$2:$A$117,0),8))</f>
        <v>הוצאות מנהליות</v>
      </c>
      <c r="W828" s="18" t="str">
        <f t="shared" si="104"/>
        <v>50</v>
      </c>
      <c r="X828" s="18" t="e">
        <f>IF($L828&lt;"6",INDEX(Revenue_type,MATCH(W828*1,type!$A$118:$A$168,0),8),INDEX(Expenditure_type,MATCH(W828*1,type!$A$2:$A$117,0),8))</f>
        <v>#N/A</v>
      </c>
      <c r="Y828" s="18" t="str">
        <f t="shared" si="105"/>
        <v>500</v>
      </c>
      <c r="Z828" s="18" t="e">
        <f>IF($L828&lt;"6",INDEX(Revenue_type,MATCH(Y828*1,type!$A$118:$A$168,0),8),INDEX(Expenditure_type,MATCH(Y828*1,type!$A$2:$A$117,0),8))</f>
        <v>#N/A</v>
      </c>
    </row>
    <row r="829" spans="1:26" ht="15.75" hidden="1" customHeight="1" outlineLevel="2">
      <c r="A829">
        <v>700</v>
      </c>
      <c r="B829" s="249">
        <v>711000</v>
      </c>
      <c r="C829">
        <v>1</v>
      </c>
      <c r="D829" t="str">
        <f t="shared" si="98"/>
        <v>1711000.700</v>
      </c>
      <c r="E829" s="381" t="s">
        <v>8491</v>
      </c>
      <c r="F829" s="242"/>
      <c r="G829"/>
      <c r="H829" s="322">
        <v>40600</v>
      </c>
      <c r="I829" s="322">
        <v>41300</v>
      </c>
      <c r="J829" s="242">
        <v>56200</v>
      </c>
      <c r="K829" s="18" t="e">
        <f>INDEX(תקציב_2013,MATCH(D829,'תקציב 2015'!$D$3:$D$5960,0),8)</f>
        <v>#N/A</v>
      </c>
      <c r="L829" s="18" t="str">
        <f t="shared" si="99"/>
        <v>7</v>
      </c>
      <c r="M829" s="18" t="str">
        <f>INDEX(Chapter,MATCH(L829,Chapter!$A$1:$A$681,0),8)</f>
        <v>שירותים מקומיים</v>
      </c>
      <c r="N829" s="18" t="str">
        <f t="shared" si="100"/>
        <v>71</v>
      </c>
      <c r="O829" s="18" t="str">
        <f>INDEX(Chapter,MATCH(N829,Chapter!$A$1:$A$681,0),8)</f>
        <v>תברואה</v>
      </c>
      <c r="P829" s="18" t="str">
        <f t="shared" si="101"/>
        <v>711</v>
      </c>
      <c r="Q829" s="18" t="str">
        <f>INDEX(Chapter,MATCH(P829,Chapter!$A$1:$A$681,0),8)</f>
        <v>מינהל תברואה</v>
      </c>
      <c r="R829" s="18" t="str">
        <f t="shared" si="102"/>
        <v>7110</v>
      </c>
      <c r="S829" s="18" t="e">
        <f>INDEX(Chapter,MATCH(R829,Chapter!$A$1:$A$681,0),8)</f>
        <v>#N/A</v>
      </c>
      <c r="T829" s="18"/>
      <c r="U829" s="18" t="str">
        <f t="shared" si="103"/>
        <v>7</v>
      </c>
      <c r="V829" s="18" t="str">
        <f>IF($L829&lt;"6",INDEX(Revenue_type,MATCH(U829*1,type!$A$118:$A$168,0),8),INDEX(Expenditure_type,MATCH(U829*1,type!$A$2:$A$117,0),8))</f>
        <v>הוצאות לפעולות</v>
      </c>
      <c r="W829" s="18" t="str">
        <f t="shared" si="104"/>
        <v>70</v>
      </c>
      <c r="X829" s="18" t="e">
        <f>IF($L829&lt;"6",INDEX(Revenue_type,MATCH(W829*1,type!$A$118:$A$168,0),8),INDEX(Expenditure_type,MATCH(W829*1,type!$A$2:$A$117,0),8))</f>
        <v>#N/A</v>
      </c>
      <c r="Y829" s="18" t="str">
        <f t="shared" si="105"/>
        <v>700</v>
      </c>
      <c r="Z829" s="18" t="e">
        <f>IF($L829&lt;"6",INDEX(Revenue_type,MATCH(Y829*1,type!$A$118:$A$168,0),8),INDEX(Expenditure_type,MATCH(Y829*1,type!$A$2:$A$117,0),8))</f>
        <v>#N/A</v>
      </c>
    </row>
    <row r="830" spans="1:26" ht="15.75" hidden="1" customHeight="1" outlineLevel="2">
      <c r="A830">
        <v>100</v>
      </c>
      <c r="B830" s="249">
        <v>714100</v>
      </c>
      <c r="C830">
        <v>1</v>
      </c>
      <c r="D830" t="str">
        <f t="shared" si="98"/>
        <v>1714100.100</v>
      </c>
      <c r="E830" s="382" t="s">
        <v>8492</v>
      </c>
      <c r="F830" s="242"/>
      <c r="G830"/>
      <c r="H830" s="322">
        <v>4480300</v>
      </c>
      <c r="I830" s="322">
        <v>4430300</v>
      </c>
      <c r="J830" s="242">
        <v>4160800</v>
      </c>
      <c r="K830" s="18" t="e">
        <f>INDEX(תקציב_2013,MATCH(D830,'תקציב 2015'!$D$3:$D$5960,0),8)</f>
        <v>#N/A</v>
      </c>
      <c r="L830" s="18" t="str">
        <f t="shared" si="99"/>
        <v>7</v>
      </c>
      <c r="M830" s="18" t="str">
        <f>INDEX(Chapter,MATCH(L830,Chapter!$A$1:$A$681,0),8)</f>
        <v>שירותים מקומיים</v>
      </c>
      <c r="N830" s="18" t="str">
        <f t="shared" si="100"/>
        <v>71</v>
      </c>
      <c r="O830" s="18" t="str">
        <f>INDEX(Chapter,MATCH(N830,Chapter!$A$1:$A$681,0),8)</f>
        <v>תברואה</v>
      </c>
      <c r="P830" s="18" t="str">
        <f t="shared" si="101"/>
        <v>714</v>
      </c>
      <c r="Q830" s="18" t="str">
        <f>INDEX(Chapter,MATCH(P830,Chapter!$A$1:$A$681,0),8)</f>
        <v>שרות וטרינרי</v>
      </c>
      <c r="R830" s="18" t="str">
        <f t="shared" si="102"/>
        <v>7141</v>
      </c>
      <c r="S830" s="18" t="str">
        <f>INDEX(Chapter,MATCH(R830,Chapter!$A$1:$A$681,0),8)</f>
        <v>מינהל שרות וטרינרי</v>
      </c>
      <c r="T830" s="18"/>
      <c r="U830" s="18" t="str">
        <f t="shared" si="103"/>
        <v>1</v>
      </c>
      <c r="V830" s="18" t="str">
        <f>IF($L830&lt;"6",INDEX(Revenue_type,MATCH(U830*1,type!$A$118:$A$168,0),8),INDEX(Expenditure_type,MATCH(U830*1,type!$A$2:$A$117,0),8))</f>
        <v>משכורות וש"ע לעובדים לפי תקן</v>
      </c>
      <c r="W830" s="18" t="str">
        <f t="shared" si="104"/>
        <v>10</v>
      </c>
      <c r="X830" s="18" t="e">
        <f>IF($L830&lt;"6",INDEX(Revenue_type,MATCH(W830*1,type!$A$118:$A$168,0),8),INDEX(Expenditure_type,MATCH(W830*1,type!$A$2:$A$117,0),8))</f>
        <v>#N/A</v>
      </c>
      <c r="Y830" s="18" t="str">
        <f t="shared" si="105"/>
        <v>100</v>
      </c>
      <c r="Z830" s="18" t="e">
        <f>IF($L830&lt;"6",INDEX(Revenue_type,MATCH(Y830*1,type!$A$118:$A$168,0),8),INDEX(Expenditure_type,MATCH(Y830*1,type!$A$2:$A$117,0),8))</f>
        <v>#N/A</v>
      </c>
    </row>
    <row r="831" spans="1:26" ht="15.75" hidden="1" customHeight="1" outlineLevel="2">
      <c r="A831">
        <v>120</v>
      </c>
      <c r="B831" s="249">
        <v>714100</v>
      </c>
      <c r="C831">
        <v>1</v>
      </c>
      <c r="D831" t="str">
        <f t="shared" si="98"/>
        <v>1714100.120</v>
      </c>
      <c r="E831" s="381" t="s">
        <v>8493</v>
      </c>
      <c r="F831" s="242"/>
      <c r="G831"/>
      <c r="H831" s="322">
        <v>106700</v>
      </c>
      <c r="I831" s="322">
        <v>106700</v>
      </c>
      <c r="J831" s="242">
        <v>112000</v>
      </c>
      <c r="K831" s="18" t="e">
        <f>INDEX(תקציב_2013,MATCH(D831,'תקציב 2015'!$D$3:$D$5960,0),8)</f>
        <v>#N/A</v>
      </c>
      <c r="L831" s="18" t="str">
        <f t="shared" si="99"/>
        <v>7</v>
      </c>
      <c r="M831" s="18" t="str">
        <f>INDEX(Chapter,MATCH(L831,Chapter!$A$1:$A$681,0),8)</f>
        <v>שירותים מקומיים</v>
      </c>
      <c r="N831" s="18" t="str">
        <f t="shared" si="100"/>
        <v>71</v>
      </c>
      <c r="O831" s="18" t="str">
        <f>INDEX(Chapter,MATCH(N831,Chapter!$A$1:$A$681,0),8)</f>
        <v>תברואה</v>
      </c>
      <c r="P831" s="18" t="str">
        <f t="shared" si="101"/>
        <v>714</v>
      </c>
      <c r="Q831" s="18" t="str">
        <f>INDEX(Chapter,MATCH(P831,Chapter!$A$1:$A$681,0),8)</f>
        <v>שרות וטרינרי</v>
      </c>
      <c r="R831" s="18" t="str">
        <f t="shared" si="102"/>
        <v>7141</v>
      </c>
      <c r="S831" s="18" t="str">
        <f>INDEX(Chapter,MATCH(R831,Chapter!$A$1:$A$681,0),8)</f>
        <v>מינהל שרות וטרינרי</v>
      </c>
      <c r="T831" s="18"/>
      <c r="U831" s="18" t="str">
        <f t="shared" si="103"/>
        <v>1</v>
      </c>
      <c r="V831" s="18" t="str">
        <f>IF($L831&lt;"6",INDEX(Revenue_type,MATCH(U831*1,type!$A$118:$A$168,0),8),INDEX(Expenditure_type,MATCH(U831*1,type!$A$2:$A$117,0),8))</f>
        <v>משכורות וש"ע לעובדים לפי תקן</v>
      </c>
      <c r="W831" s="18" t="str">
        <f t="shared" si="104"/>
        <v>12</v>
      </c>
      <c r="X831" s="18" t="str">
        <f>IF($L831&lt;"6",INDEX(Revenue_type,MATCH(W831*1,type!$A$118:$A$168,0),8),INDEX(Expenditure_type,MATCH(W831*1,type!$A$2:$A$117,0),8))</f>
        <v>תוספות שאינן נכללות בשכר הקובע</v>
      </c>
      <c r="Y831" s="18" t="str">
        <f t="shared" si="105"/>
        <v>120</v>
      </c>
      <c r="Z831" s="18" t="e">
        <f>IF($L831&lt;"6",INDEX(Revenue_type,MATCH(Y831*1,type!$A$118:$A$168,0),8),INDEX(Expenditure_type,MATCH(Y831*1,type!$A$2:$A$117,0),8))</f>
        <v>#N/A</v>
      </c>
    </row>
    <row r="832" spans="1:26" ht="15.75" hidden="1" customHeight="1" outlineLevel="2">
      <c r="A832">
        <v>400</v>
      </c>
      <c r="B832" s="249">
        <v>714100</v>
      </c>
      <c r="C832">
        <v>1</v>
      </c>
      <c r="D832" t="str">
        <f t="shared" si="98"/>
        <v>1714100.400</v>
      </c>
      <c r="E832" s="382" t="s">
        <v>8494</v>
      </c>
      <c r="F832" s="242"/>
      <c r="G832"/>
      <c r="H832" s="322">
        <v>5600</v>
      </c>
      <c r="I832" s="322">
        <v>6100</v>
      </c>
      <c r="J832" s="242">
        <v>5600</v>
      </c>
      <c r="K832" s="18" t="e">
        <f>INDEX(תקציב_2013,MATCH(D832,'תקציב 2015'!$D$3:$D$5960,0),8)</f>
        <v>#N/A</v>
      </c>
      <c r="L832" s="18" t="str">
        <f t="shared" si="99"/>
        <v>7</v>
      </c>
      <c r="M832" s="18" t="str">
        <f>INDEX(Chapter,MATCH(L832,Chapter!$A$1:$A$681,0),8)</f>
        <v>שירותים מקומיים</v>
      </c>
      <c r="N832" s="18" t="str">
        <f t="shared" si="100"/>
        <v>71</v>
      </c>
      <c r="O832" s="18" t="str">
        <f>INDEX(Chapter,MATCH(N832,Chapter!$A$1:$A$681,0),8)</f>
        <v>תברואה</v>
      </c>
      <c r="P832" s="18" t="str">
        <f t="shared" si="101"/>
        <v>714</v>
      </c>
      <c r="Q832" s="18" t="str">
        <f>INDEX(Chapter,MATCH(P832,Chapter!$A$1:$A$681,0),8)</f>
        <v>שרות וטרינרי</v>
      </c>
      <c r="R832" s="18" t="str">
        <f t="shared" si="102"/>
        <v>7141</v>
      </c>
      <c r="S832" s="18" t="str">
        <f>INDEX(Chapter,MATCH(R832,Chapter!$A$1:$A$681,0),8)</f>
        <v>מינהל שרות וטרינרי</v>
      </c>
      <c r="T832" s="18"/>
      <c r="U832" s="18" t="str">
        <f t="shared" si="103"/>
        <v>4</v>
      </c>
      <c r="V832" s="18" t="str">
        <f>IF($L832&lt;"6",INDEX(Revenue_type,MATCH(U832*1,type!$A$118:$A$168,0),8),INDEX(Expenditure_type,MATCH(U832*1,type!$A$2:$A$117,0),8))</f>
        <v>אחזקת בינים ואספקת ציוד</v>
      </c>
      <c r="W832" s="18" t="str">
        <f t="shared" si="104"/>
        <v>40</v>
      </c>
      <c r="X832" s="18" t="e">
        <f>IF($L832&lt;"6",INDEX(Revenue_type,MATCH(W832*1,type!$A$118:$A$168,0),8),INDEX(Expenditure_type,MATCH(W832*1,type!$A$2:$A$117,0),8))</f>
        <v>#N/A</v>
      </c>
      <c r="Y832" s="18" t="str">
        <f t="shared" si="105"/>
        <v>400</v>
      </c>
      <c r="Z832" s="18" t="e">
        <f>IF($L832&lt;"6",INDEX(Revenue_type,MATCH(Y832*1,type!$A$118:$A$168,0),8),INDEX(Expenditure_type,MATCH(Y832*1,type!$A$2:$A$117,0),8))</f>
        <v>#N/A</v>
      </c>
    </row>
    <row r="833" spans="1:26" ht="15.75" hidden="1" customHeight="1" outlineLevel="2">
      <c r="A833">
        <v>500</v>
      </c>
      <c r="B833" s="249">
        <v>714100</v>
      </c>
      <c r="C833">
        <v>1</v>
      </c>
      <c r="D833" t="str">
        <f t="shared" si="98"/>
        <v>1714100.500</v>
      </c>
      <c r="E833" s="382" t="s">
        <v>8495</v>
      </c>
      <c r="F833" s="242"/>
      <c r="G833"/>
      <c r="H833" s="322">
        <v>72500</v>
      </c>
      <c r="I833" s="322">
        <v>74400</v>
      </c>
      <c r="J833" s="242">
        <v>76500</v>
      </c>
      <c r="K833" s="18"/>
      <c r="L833" s="18" t="str">
        <f t="shared" si="99"/>
        <v>7</v>
      </c>
      <c r="M833" s="18" t="str">
        <f>INDEX(Chapter,MATCH(L833,Chapter!$A$1:$A$681,0),8)</f>
        <v>שירותים מקומיים</v>
      </c>
      <c r="N833" s="18" t="str">
        <f t="shared" si="100"/>
        <v>71</v>
      </c>
      <c r="O833" s="18" t="str">
        <f>INDEX(Chapter,MATCH(N833,Chapter!$A$1:$A$681,0),8)</f>
        <v>תברואה</v>
      </c>
      <c r="P833" s="18" t="str">
        <f t="shared" si="101"/>
        <v>714</v>
      </c>
      <c r="Q833" s="18" t="str">
        <f>INDEX(Chapter,MATCH(P833,Chapter!$A$1:$A$681,0),8)</f>
        <v>שרות וטרינרי</v>
      </c>
      <c r="R833" s="18" t="str">
        <f t="shared" si="102"/>
        <v>7141</v>
      </c>
      <c r="S833" s="18" t="str">
        <f>INDEX(Chapter,MATCH(R833,Chapter!$A$1:$A$681,0),8)</f>
        <v>מינהל שרות וטרינרי</v>
      </c>
      <c r="T833" s="18"/>
      <c r="U833" s="18" t="str">
        <f t="shared" si="103"/>
        <v>5</v>
      </c>
      <c r="V833" s="18" t="str">
        <f>IF($L833&lt;"6",INDEX(Revenue_type,MATCH(U833*1,type!$A$118:$A$168,0),8),INDEX(Expenditure_type,MATCH(U833*1,type!$A$2:$A$117,0),8))</f>
        <v>הוצאות מנהליות</v>
      </c>
      <c r="W833" s="18" t="str">
        <f t="shared" si="104"/>
        <v>50</v>
      </c>
      <c r="X833" s="18" t="e">
        <f>IF($L833&lt;"6",INDEX(Revenue_type,MATCH(W833*1,type!$A$118:$A$168,0),8),INDEX(Expenditure_type,MATCH(W833*1,type!$A$2:$A$117,0),8))</f>
        <v>#N/A</v>
      </c>
      <c r="Y833" s="18" t="str">
        <f t="shared" si="105"/>
        <v>500</v>
      </c>
      <c r="Z833" s="18" t="e">
        <f>IF($L833&lt;"6",INDEX(Revenue_type,MATCH(Y833*1,type!$A$118:$A$168,0),8),INDEX(Expenditure_type,MATCH(Y833*1,type!$A$2:$A$117,0),8))</f>
        <v>#N/A</v>
      </c>
    </row>
    <row r="834" spans="1:26" ht="15.75" hidden="1" customHeight="1" outlineLevel="2">
      <c r="A834">
        <v>500</v>
      </c>
      <c r="B834" s="249">
        <v>714100</v>
      </c>
      <c r="C834">
        <v>1</v>
      </c>
      <c r="D834" t="str">
        <f t="shared" si="98"/>
        <v>1714100.500</v>
      </c>
      <c r="E834" s="385" t="s">
        <v>8496</v>
      </c>
      <c r="F834" s="242"/>
      <c r="G834"/>
      <c r="H834" s="322">
        <v>400</v>
      </c>
      <c r="I834" s="322">
        <v>400</v>
      </c>
      <c r="J834" s="242">
        <v>200</v>
      </c>
      <c r="K834" s="18" t="e">
        <f>INDEX(תקציב_2013,MATCH(D834,'תקציב 2015'!$D$3:$D$5960,0),8)</f>
        <v>#N/A</v>
      </c>
      <c r="L834" s="18" t="str">
        <f t="shared" si="99"/>
        <v>7</v>
      </c>
      <c r="M834" s="18" t="str">
        <f>INDEX(Chapter,MATCH(L834,Chapter!$A$1:$A$681,0),8)</f>
        <v>שירותים מקומיים</v>
      </c>
      <c r="N834" s="18" t="str">
        <f t="shared" si="100"/>
        <v>71</v>
      </c>
      <c r="O834" s="18" t="str">
        <f>INDEX(Chapter,MATCH(N834,Chapter!$A$1:$A$681,0),8)</f>
        <v>תברואה</v>
      </c>
      <c r="P834" s="18" t="str">
        <f t="shared" si="101"/>
        <v>714</v>
      </c>
      <c r="Q834" s="18" t="str">
        <f>INDEX(Chapter,MATCH(P834,Chapter!$A$1:$A$681,0),8)</f>
        <v>שרות וטרינרי</v>
      </c>
      <c r="R834" s="18" t="str">
        <f t="shared" si="102"/>
        <v>7141</v>
      </c>
      <c r="S834" s="18" t="str">
        <f>INDEX(Chapter,MATCH(R834,Chapter!$A$1:$A$681,0),8)</f>
        <v>מינהל שרות וטרינרי</v>
      </c>
      <c r="T834" s="18"/>
      <c r="U834" s="18" t="str">
        <f t="shared" si="103"/>
        <v>5</v>
      </c>
      <c r="V834" s="18" t="str">
        <f>IF($L834&lt;"6",INDEX(Revenue_type,MATCH(U834*1,type!$A$118:$A$168,0),8),INDEX(Expenditure_type,MATCH(U834*1,type!$A$2:$A$117,0),8))</f>
        <v>הוצאות מנהליות</v>
      </c>
      <c r="W834" s="18" t="str">
        <f t="shared" si="104"/>
        <v>50</v>
      </c>
      <c r="X834" s="18" t="e">
        <f>IF($L834&lt;"6",INDEX(Revenue_type,MATCH(W834*1,type!$A$118:$A$168,0),8),INDEX(Expenditure_type,MATCH(W834*1,type!$A$2:$A$117,0),8))</f>
        <v>#N/A</v>
      </c>
      <c r="Y834" s="18" t="str">
        <f t="shared" si="105"/>
        <v>500</v>
      </c>
      <c r="Z834" s="18" t="e">
        <f>IF($L834&lt;"6",INDEX(Revenue_type,MATCH(Y834*1,type!$A$118:$A$168,0),8),INDEX(Expenditure_type,MATCH(Y834*1,type!$A$2:$A$117,0),8))</f>
        <v>#N/A</v>
      </c>
    </row>
    <row r="835" spans="1:26" ht="15.75" hidden="1" customHeight="1" outlineLevel="2">
      <c r="A835">
        <v>700</v>
      </c>
      <c r="B835" s="249">
        <v>714100</v>
      </c>
      <c r="C835">
        <v>1</v>
      </c>
      <c r="D835" t="str">
        <f t="shared" si="98"/>
        <v>1714100.700</v>
      </c>
      <c r="E835" s="385" t="s">
        <v>8497</v>
      </c>
      <c r="F835" s="242"/>
      <c r="G835"/>
      <c r="H835" s="322">
        <v>2000</v>
      </c>
      <c r="I835" s="322">
        <v>2000</v>
      </c>
      <c r="J835" s="242">
        <v>0</v>
      </c>
      <c r="K835" s="18" t="e">
        <f>INDEX(תקציב_2013,MATCH(D835,'תקציב 2015'!$D$3:$D$5960,0),8)</f>
        <v>#N/A</v>
      </c>
      <c r="L835" s="18" t="str">
        <f t="shared" si="99"/>
        <v>7</v>
      </c>
      <c r="M835" s="18" t="str">
        <f>INDEX(Chapter,MATCH(L835,Chapter!$A$1:$A$681,0),8)</f>
        <v>שירותים מקומיים</v>
      </c>
      <c r="N835" s="18" t="str">
        <f t="shared" si="100"/>
        <v>71</v>
      </c>
      <c r="O835" s="18" t="str">
        <f>INDEX(Chapter,MATCH(N835,Chapter!$A$1:$A$681,0),8)</f>
        <v>תברואה</v>
      </c>
      <c r="P835" s="18" t="str">
        <f t="shared" si="101"/>
        <v>714</v>
      </c>
      <c r="Q835" s="18" t="str">
        <f>INDEX(Chapter,MATCH(P835,Chapter!$A$1:$A$681,0),8)</f>
        <v>שרות וטרינרי</v>
      </c>
      <c r="R835" s="18" t="str">
        <f t="shared" si="102"/>
        <v>7141</v>
      </c>
      <c r="S835" s="18" t="str">
        <f>INDEX(Chapter,MATCH(R835,Chapter!$A$1:$A$681,0),8)</f>
        <v>מינהל שרות וטרינרי</v>
      </c>
      <c r="T835" s="18"/>
      <c r="U835" s="18" t="str">
        <f t="shared" si="103"/>
        <v>7</v>
      </c>
      <c r="V835" s="18" t="str">
        <f>IF($L835&lt;"6",INDEX(Revenue_type,MATCH(U835*1,type!$A$118:$A$168,0),8),INDEX(Expenditure_type,MATCH(U835*1,type!$A$2:$A$117,0),8))</f>
        <v>הוצאות לפעולות</v>
      </c>
      <c r="W835" s="18" t="str">
        <f t="shared" si="104"/>
        <v>70</v>
      </c>
      <c r="X835" s="18" t="e">
        <f>IF($L835&lt;"6",INDEX(Revenue_type,MATCH(W835*1,type!$A$118:$A$168,0),8),INDEX(Expenditure_type,MATCH(W835*1,type!$A$2:$A$117,0),8))</f>
        <v>#N/A</v>
      </c>
      <c r="Y835" s="18" t="str">
        <f t="shared" si="105"/>
        <v>700</v>
      </c>
      <c r="Z835" s="18" t="e">
        <f>IF($L835&lt;"6",INDEX(Revenue_type,MATCH(Y835*1,type!$A$118:$A$168,0),8),INDEX(Expenditure_type,MATCH(Y835*1,type!$A$2:$A$117,0),8))</f>
        <v>#N/A</v>
      </c>
    </row>
    <row r="836" spans="1:26" ht="15.75" hidden="1" customHeight="1" outlineLevel="2">
      <c r="A836">
        <v>700</v>
      </c>
      <c r="B836" s="249">
        <v>714105</v>
      </c>
      <c r="C836">
        <v>1</v>
      </c>
      <c r="D836" t="str">
        <f t="shared" si="98"/>
        <v>1714105.700</v>
      </c>
      <c r="E836" s="385" t="s">
        <v>8498</v>
      </c>
      <c r="F836" s="242"/>
      <c r="G836"/>
      <c r="H836" s="322">
        <v>532500</v>
      </c>
      <c r="I836" s="322">
        <v>532500</v>
      </c>
      <c r="J836" s="242">
        <v>420000</v>
      </c>
      <c r="K836" s="18" t="e">
        <f>INDEX(תקציב_2013,MATCH(D836,'תקציב 2015'!$D$3:$D$5960,0),8)</f>
        <v>#N/A</v>
      </c>
      <c r="L836" s="18" t="str">
        <f t="shared" si="99"/>
        <v>7</v>
      </c>
      <c r="M836" s="18" t="str">
        <f>INDEX(Chapter,MATCH(L836,Chapter!$A$1:$A$681,0),8)</f>
        <v>שירותים מקומיים</v>
      </c>
      <c r="N836" s="18" t="str">
        <f t="shared" si="100"/>
        <v>71</v>
      </c>
      <c r="O836" s="18" t="str">
        <f>INDEX(Chapter,MATCH(N836,Chapter!$A$1:$A$681,0),8)</f>
        <v>תברואה</v>
      </c>
      <c r="P836" s="18" t="str">
        <f t="shared" si="101"/>
        <v>714</v>
      </c>
      <c r="Q836" s="18" t="str">
        <f>INDEX(Chapter,MATCH(P836,Chapter!$A$1:$A$681,0),8)</f>
        <v>שרות וטרינרי</v>
      </c>
      <c r="R836" s="18" t="str">
        <f t="shared" si="102"/>
        <v>7141</v>
      </c>
      <c r="S836" s="18" t="str">
        <f>INDEX(Chapter,MATCH(R836,Chapter!$A$1:$A$681,0),8)</f>
        <v>מינהל שרות וטרינרי</v>
      </c>
      <c r="T836" s="18"/>
      <c r="U836" s="18" t="str">
        <f t="shared" si="103"/>
        <v>7</v>
      </c>
      <c r="V836" s="18" t="str">
        <f>IF($L836&lt;"6",INDEX(Revenue_type,MATCH(U836*1,type!$A$118:$A$168,0),8),INDEX(Expenditure_type,MATCH(U836*1,type!$A$2:$A$117,0),8))</f>
        <v>הוצאות לפעולות</v>
      </c>
      <c r="W836" s="18" t="str">
        <f t="shared" si="104"/>
        <v>70</v>
      </c>
      <c r="X836" s="18" t="e">
        <f>IF($L836&lt;"6",INDEX(Revenue_type,MATCH(W836*1,type!$A$118:$A$168,0),8),INDEX(Expenditure_type,MATCH(W836*1,type!$A$2:$A$117,0),8))</f>
        <v>#N/A</v>
      </c>
      <c r="Y836" s="18" t="str">
        <f t="shared" si="105"/>
        <v>700</v>
      </c>
      <c r="Z836" s="18" t="e">
        <f>IF($L836&lt;"6",INDEX(Revenue_type,MATCH(Y836*1,type!$A$118:$A$168,0),8),INDEX(Expenditure_type,MATCH(Y836*1,type!$A$2:$A$117,0),8))</f>
        <v>#N/A</v>
      </c>
    </row>
    <row r="837" spans="1:26" ht="15.75" hidden="1" customHeight="1" outlineLevel="2">
      <c r="A837">
        <v>100</v>
      </c>
      <c r="B837" s="249">
        <v>715000</v>
      </c>
      <c r="C837">
        <v>1</v>
      </c>
      <c r="D837" t="str">
        <f t="shared" si="98"/>
        <v>1715000.100</v>
      </c>
      <c r="E837" s="382" t="s">
        <v>8499</v>
      </c>
      <c r="F837" s="242"/>
      <c r="G837"/>
      <c r="H837" s="322">
        <v>3415400</v>
      </c>
      <c r="I837" s="322">
        <v>3375400</v>
      </c>
      <c r="J837" s="242">
        <v>3240900</v>
      </c>
      <c r="K837" s="18"/>
      <c r="L837" s="18" t="str">
        <f t="shared" si="99"/>
        <v>7</v>
      </c>
      <c r="M837" s="18" t="str">
        <f>INDEX(Chapter,MATCH(L837,Chapter!$A$1:$A$681,0),8)</f>
        <v>שירותים מקומיים</v>
      </c>
      <c r="N837" s="18" t="str">
        <f t="shared" si="100"/>
        <v>71</v>
      </c>
      <c r="O837" s="18" t="str">
        <f>INDEX(Chapter,MATCH(N837,Chapter!$A$1:$A$681,0),8)</f>
        <v>תברואה</v>
      </c>
      <c r="P837" s="18" t="str">
        <f t="shared" si="101"/>
        <v>715</v>
      </c>
      <c r="Q837" s="18" t="str">
        <f>INDEX(Chapter,MATCH(P837,Chapter!$A$1:$A$681,0),8)</f>
        <v>תברואה מונעת</v>
      </c>
      <c r="R837" s="18" t="str">
        <f t="shared" si="102"/>
        <v>7150</v>
      </c>
      <c r="S837" s="18" t="e">
        <f>INDEX(Chapter,MATCH(R837,Chapter!$A$1:$A$681,0),8)</f>
        <v>#N/A</v>
      </c>
      <c r="T837" s="18"/>
      <c r="U837" s="18" t="str">
        <f t="shared" si="103"/>
        <v>1</v>
      </c>
      <c r="V837" s="18" t="str">
        <f>IF($L837&lt;"6",INDEX(Revenue_type,MATCH(U837*1,type!$A$118:$A$168,0),8),INDEX(Expenditure_type,MATCH(U837*1,type!$A$2:$A$117,0),8))</f>
        <v>משכורות וש"ע לעובדים לפי תקן</v>
      </c>
      <c r="W837" s="18" t="str">
        <f t="shared" si="104"/>
        <v>10</v>
      </c>
      <c r="X837" s="18" t="e">
        <f>IF($L837&lt;"6",INDEX(Revenue_type,MATCH(W837*1,type!$A$118:$A$168,0),8),INDEX(Expenditure_type,MATCH(W837*1,type!$A$2:$A$117,0),8))</f>
        <v>#N/A</v>
      </c>
      <c r="Y837" s="18" t="str">
        <f t="shared" si="105"/>
        <v>100</v>
      </c>
      <c r="Z837" s="18" t="e">
        <f>IF($L837&lt;"6",INDEX(Revenue_type,MATCH(Y837*1,type!$A$118:$A$168,0),8),INDEX(Expenditure_type,MATCH(Y837*1,type!$A$2:$A$117,0),8))</f>
        <v>#N/A</v>
      </c>
    </row>
    <row r="838" spans="1:26" ht="15.75" hidden="1" customHeight="1" outlineLevel="2">
      <c r="A838">
        <v>120</v>
      </c>
      <c r="B838" s="249">
        <v>715000</v>
      </c>
      <c r="C838">
        <v>1</v>
      </c>
      <c r="D838" t="str">
        <f t="shared" si="98"/>
        <v>1715000.120</v>
      </c>
      <c r="E838" s="387" t="s">
        <v>8500</v>
      </c>
      <c r="F838" s="242"/>
      <c r="G838"/>
      <c r="H838" s="322">
        <v>251600</v>
      </c>
      <c r="I838" s="322">
        <v>251600</v>
      </c>
      <c r="J838" s="242">
        <v>201500</v>
      </c>
      <c r="K838" s="18"/>
      <c r="L838" s="18" t="str">
        <f t="shared" si="99"/>
        <v>7</v>
      </c>
      <c r="M838" s="18" t="str">
        <f>INDEX(Chapter,MATCH(L838,Chapter!$A$1:$A$681,0),8)</f>
        <v>שירותים מקומיים</v>
      </c>
      <c r="N838" s="18" t="str">
        <f t="shared" si="100"/>
        <v>71</v>
      </c>
      <c r="O838" s="18" t="str">
        <f>INDEX(Chapter,MATCH(N838,Chapter!$A$1:$A$681,0),8)</f>
        <v>תברואה</v>
      </c>
      <c r="P838" s="18" t="str">
        <f t="shared" si="101"/>
        <v>715</v>
      </c>
      <c r="Q838" s="18" t="str">
        <f>INDEX(Chapter,MATCH(P838,Chapter!$A$1:$A$681,0),8)</f>
        <v>תברואה מונעת</v>
      </c>
      <c r="R838" s="18" t="str">
        <f t="shared" si="102"/>
        <v>7150</v>
      </c>
      <c r="S838" s="18" t="e">
        <f>INDEX(Chapter,MATCH(R838,Chapter!$A$1:$A$681,0),8)</f>
        <v>#N/A</v>
      </c>
      <c r="T838" s="18"/>
      <c r="U838" s="18" t="str">
        <f t="shared" si="103"/>
        <v>1</v>
      </c>
      <c r="V838" s="18" t="str">
        <f>IF($L838&lt;"6",INDEX(Revenue_type,MATCH(U838*1,type!$A$118:$A$168,0),8),INDEX(Expenditure_type,MATCH(U838*1,type!$A$2:$A$117,0),8))</f>
        <v>משכורות וש"ע לעובדים לפי תקן</v>
      </c>
      <c r="W838" s="18" t="str">
        <f t="shared" si="104"/>
        <v>12</v>
      </c>
      <c r="X838" s="18" t="str">
        <f>IF($L838&lt;"6",INDEX(Revenue_type,MATCH(W838*1,type!$A$118:$A$168,0),8),INDEX(Expenditure_type,MATCH(W838*1,type!$A$2:$A$117,0),8))</f>
        <v>תוספות שאינן נכללות בשכר הקובע</v>
      </c>
      <c r="Y838" s="18" t="str">
        <f t="shared" si="105"/>
        <v>120</v>
      </c>
      <c r="Z838" s="18" t="e">
        <f>IF($L838&lt;"6",INDEX(Revenue_type,MATCH(Y838*1,type!$A$118:$A$168,0),8),INDEX(Expenditure_type,MATCH(Y838*1,type!$A$2:$A$117,0),8))</f>
        <v>#N/A</v>
      </c>
    </row>
    <row r="839" spans="1:26" ht="15.75" hidden="1" customHeight="1" outlineLevel="2">
      <c r="A839">
        <v>400</v>
      </c>
      <c r="B839" s="249">
        <v>715000</v>
      </c>
      <c r="C839">
        <v>1</v>
      </c>
      <c r="D839" t="str">
        <f t="shared" si="98"/>
        <v>1715000.400</v>
      </c>
      <c r="E839" s="382" t="s">
        <v>8501</v>
      </c>
      <c r="F839" s="242"/>
      <c r="G839"/>
      <c r="H839" s="322">
        <v>116400</v>
      </c>
      <c r="I839" s="322">
        <v>121400</v>
      </c>
      <c r="J839" s="242">
        <v>110000</v>
      </c>
      <c r="K839" s="18"/>
      <c r="L839" s="18" t="str">
        <f t="shared" si="99"/>
        <v>7</v>
      </c>
      <c r="M839" s="18" t="str">
        <f>INDEX(Chapter,MATCH(L839,Chapter!$A$1:$A$681,0),8)</f>
        <v>שירותים מקומיים</v>
      </c>
      <c r="N839" s="18" t="str">
        <f t="shared" si="100"/>
        <v>71</v>
      </c>
      <c r="O839" s="18" t="str">
        <f>INDEX(Chapter,MATCH(N839,Chapter!$A$1:$A$681,0),8)</f>
        <v>תברואה</v>
      </c>
      <c r="P839" s="18" t="str">
        <f t="shared" si="101"/>
        <v>715</v>
      </c>
      <c r="Q839" s="18" t="str">
        <f>INDEX(Chapter,MATCH(P839,Chapter!$A$1:$A$681,0),8)</f>
        <v>תברואה מונעת</v>
      </c>
      <c r="R839" s="18" t="str">
        <f t="shared" si="102"/>
        <v>7150</v>
      </c>
      <c r="S839" s="18" t="e">
        <f>INDEX(Chapter,MATCH(R839,Chapter!$A$1:$A$681,0),8)</f>
        <v>#N/A</v>
      </c>
      <c r="T839" s="18"/>
      <c r="U839" s="18" t="str">
        <f t="shared" si="103"/>
        <v>4</v>
      </c>
      <c r="V839" s="18" t="str">
        <f>IF($L839&lt;"6",INDEX(Revenue_type,MATCH(U839*1,type!$A$118:$A$168,0),8),INDEX(Expenditure_type,MATCH(U839*1,type!$A$2:$A$117,0),8))</f>
        <v>אחזקת בינים ואספקת ציוד</v>
      </c>
      <c r="W839" s="18" t="str">
        <f t="shared" si="104"/>
        <v>40</v>
      </c>
      <c r="X839" s="18" t="e">
        <f>IF($L839&lt;"6",INDEX(Revenue_type,MATCH(W839*1,type!$A$118:$A$168,0),8),INDEX(Expenditure_type,MATCH(W839*1,type!$A$2:$A$117,0),8))</f>
        <v>#N/A</v>
      </c>
      <c r="Y839" s="18" t="str">
        <f t="shared" si="105"/>
        <v>400</v>
      </c>
      <c r="Z839" s="18" t="e">
        <f>IF($L839&lt;"6",INDEX(Revenue_type,MATCH(Y839*1,type!$A$118:$A$168,0),8),INDEX(Expenditure_type,MATCH(Y839*1,type!$A$2:$A$117,0),8))</f>
        <v>#N/A</v>
      </c>
    </row>
    <row r="840" spans="1:26" ht="15.75" hidden="1" customHeight="1" outlineLevel="2">
      <c r="A840">
        <v>500</v>
      </c>
      <c r="B840" s="249">
        <v>715000</v>
      </c>
      <c r="C840">
        <v>1</v>
      </c>
      <c r="D840" t="str">
        <f t="shared" si="98"/>
        <v>1715000.500</v>
      </c>
      <c r="E840" s="382" t="s">
        <v>8502</v>
      </c>
      <c r="F840" s="242"/>
      <c r="G840"/>
      <c r="H840" s="322">
        <v>10000</v>
      </c>
      <c r="I840" s="322">
        <v>12000</v>
      </c>
      <c r="J840" s="242">
        <v>4700</v>
      </c>
      <c r="K840" s="18"/>
      <c r="L840" s="18" t="str">
        <f t="shared" si="99"/>
        <v>7</v>
      </c>
      <c r="M840" s="18" t="str">
        <f>INDEX(Chapter,MATCH(L840,Chapter!$A$1:$A$681,0),8)</f>
        <v>שירותים מקומיים</v>
      </c>
      <c r="N840" s="18" t="str">
        <f t="shared" si="100"/>
        <v>71</v>
      </c>
      <c r="O840" s="18" t="str">
        <f>INDEX(Chapter,MATCH(N840,Chapter!$A$1:$A$681,0),8)</f>
        <v>תברואה</v>
      </c>
      <c r="P840" s="18" t="str">
        <f t="shared" si="101"/>
        <v>715</v>
      </c>
      <c r="Q840" s="18" t="str">
        <f>INDEX(Chapter,MATCH(P840,Chapter!$A$1:$A$681,0),8)</f>
        <v>תברואה מונעת</v>
      </c>
      <c r="R840" s="18" t="str">
        <f t="shared" si="102"/>
        <v>7150</v>
      </c>
      <c r="S840" s="18" t="e">
        <f>INDEX(Chapter,MATCH(R840,Chapter!$A$1:$A$681,0),8)</f>
        <v>#N/A</v>
      </c>
      <c r="T840" s="18"/>
      <c r="U840" s="18" t="str">
        <f t="shared" si="103"/>
        <v>5</v>
      </c>
      <c r="V840" s="18" t="str">
        <f>IF($L840&lt;"6",INDEX(Revenue_type,MATCH(U840*1,type!$A$118:$A$168,0),8),INDEX(Expenditure_type,MATCH(U840*1,type!$A$2:$A$117,0),8))</f>
        <v>הוצאות מנהליות</v>
      </c>
      <c r="W840" s="18" t="str">
        <f t="shared" si="104"/>
        <v>50</v>
      </c>
      <c r="X840" s="18" t="e">
        <f>IF($L840&lt;"6",INDEX(Revenue_type,MATCH(W840*1,type!$A$118:$A$168,0),8),INDEX(Expenditure_type,MATCH(W840*1,type!$A$2:$A$117,0),8))</f>
        <v>#N/A</v>
      </c>
      <c r="Y840" s="18" t="str">
        <f t="shared" si="105"/>
        <v>500</v>
      </c>
      <c r="Z840" s="18" t="e">
        <f>IF($L840&lt;"6",INDEX(Revenue_type,MATCH(Y840*1,type!$A$118:$A$168,0),8),INDEX(Expenditure_type,MATCH(Y840*1,type!$A$2:$A$117,0),8))</f>
        <v>#N/A</v>
      </c>
    </row>
    <row r="841" spans="1:26" ht="15.75" hidden="1" customHeight="1" outlineLevel="2">
      <c r="A841">
        <v>500</v>
      </c>
      <c r="B841" s="249">
        <v>715000</v>
      </c>
      <c r="C841">
        <v>1</v>
      </c>
      <c r="D841" t="str">
        <f t="shared" si="98"/>
        <v>1715000.500</v>
      </c>
      <c r="E841" s="382" t="s">
        <v>8503</v>
      </c>
      <c r="F841" s="242"/>
      <c r="G841"/>
      <c r="H841" s="322">
        <v>6000</v>
      </c>
      <c r="I841" s="322">
        <v>7000</v>
      </c>
      <c r="J841" s="242">
        <v>3100</v>
      </c>
      <c r="K841" s="18"/>
      <c r="L841" s="18" t="str">
        <f t="shared" si="99"/>
        <v>7</v>
      </c>
      <c r="M841" s="18" t="str">
        <f>INDEX(Chapter,MATCH(L841,Chapter!$A$1:$A$681,0),8)</f>
        <v>שירותים מקומיים</v>
      </c>
      <c r="N841" s="18" t="str">
        <f t="shared" si="100"/>
        <v>71</v>
      </c>
      <c r="O841" s="18" t="str">
        <f>INDEX(Chapter,MATCH(N841,Chapter!$A$1:$A$681,0),8)</f>
        <v>תברואה</v>
      </c>
      <c r="P841" s="18" t="str">
        <f t="shared" si="101"/>
        <v>715</v>
      </c>
      <c r="Q841" s="18" t="str">
        <f>INDEX(Chapter,MATCH(P841,Chapter!$A$1:$A$681,0),8)</f>
        <v>תברואה מונעת</v>
      </c>
      <c r="R841" s="18" t="str">
        <f t="shared" si="102"/>
        <v>7150</v>
      </c>
      <c r="S841" s="18" t="e">
        <f>INDEX(Chapter,MATCH(R841,Chapter!$A$1:$A$681,0),8)</f>
        <v>#N/A</v>
      </c>
      <c r="T841" s="18"/>
      <c r="U841" s="18" t="str">
        <f t="shared" si="103"/>
        <v>5</v>
      </c>
      <c r="V841" s="18" t="str">
        <f>IF($L841&lt;"6",INDEX(Revenue_type,MATCH(U841*1,type!$A$118:$A$168,0),8),INDEX(Expenditure_type,MATCH(U841*1,type!$A$2:$A$117,0),8))</f>
        <v>הוצאות מנהליות</v>
      </c>
      <c r="W841" s="18" t="str">
        <f t="shared" si="104"/>
        <v>50</v>
      </c>
      <c r="X841" s="18" t="e">
        <f>IF($L841&lt;"6",INDEX(Revenue_type,MATCH(W841*1,type!$A$118:$A$168,0),8),INDEX(Expenditure_type,MATCH(W841*1,type!$A$2:$A$117,0),8))</f>
        <v>#N/A</v>
      </c>
      <c r="Y841" s="18" t="str">
        <f t="shared" si="105"/>
        <v>500</v>
      </c>
      <c r="Z841" s="18" t="e">
        <f>IF($L841&lt;"6",INDEX(Revenue_type,MATCH(Y841*1,type!$A$118:$A$168,0),8),INDEX(Expenditure_type,MATCH(Y841*1,type!$A$2:$A$117,0),8))</f>
        <v>#N/A</v>
      </c>
    </row>
    <row r="842" spans="1:26" ht="15.75" hidden="1" customHeight="1" outlineLevel="2">
      <c r="A842">
        <v>700</v>
      </c>
      <c r="B842" s="249">
        <v>715000</v>
      </c>
      <c r="C842">
        <v>1</v>
      </c>
      <c r="D842" t="str">
        <f t="shared" si="98"/>
        <v>1715000.700</v>
      </c>
      <c r="E842" s="382" t="s">
        <v>8504</v>
      </c>
      <c r="F842" s="242"/>
      <c r="G842"/>
      <c r="H842" s="322">
        <v>705500</v>
      </c>
      <c r="I842" s="322">
        <v>723800</v>
      </c>
      <c r="J842" s="242">
        <v>800300</v>
      </c>
      <c r="K842" s="18" t="e">
        <f>INDEX(תקציב_2013,MATCH(D842,'תקציב 2015'!$D$3:$D$5960,0),8)</f>
        <v>#N/A</v>
      </c>
      <c r="L842" s="18" t="str">
        <f t="shared" si="99"/>
        <v>7</v>
      </c>
      <c r="M842" s="18" t="str">
        <f>INDEX(Chapter,MATCH(L842,Chapter!$A$1:$A$681,0),8)</f>
        <v>שירותים מקומיים</v>
      </c>
      <c r="N842" s="18" t="str">
        <f t="shared" si="100"/>
        <v>71</v>
      </c>
      <c r="O842" s="18" t="str">
        <f>INDEX(Chapter,MATCH(N842,Chapter!$A$1:$A$681,0),8)</f>
        <v>תברואה</v>
      </c>
      <c r="P842" s="18" t="str">
        <f t="shared" si="101"/>
        <v>715</v>
      </c>
      <c r="Q842" s="18" t="str">
        <f>INDEX(Chapter,MATCH(P842,Chapter!$A$1:$A$681,0),8)</f>
        <v>תברואה מונעת</v>
      </c>
      <c r="R842" s="18" t="str">
        <f t="shared" si="102"/>
        <v>7150</v>
      </c>
      <c r="S842" s="18" t="e">
        <f>INDEX(Chapter,MATCH(R842,Chapter!$A$1:$A$681,0),8)</f>
        <v>#N/A</v>
      </c>
      <c r="T842" s="18"/>
      <c r="U842" s="18" t="str">
        <f t="shared" si="103"/>
        <v>7</v>
      </c>
      <c r="V842" s="18" t="str">
        <f>IF($L842&lt;"6",INDEX(Revenue_type,MATCH(U842*1,type!$A$118:$A$168,0),8),INDEX(Expenditure_type,MATCH(U842*1,type!$A$2:$A$117,0),8))</f>
        <v>הוצאות לפעולות</v>
      </c>
      <c r="W842" s="18" t="str">
        <f t="shared" si="104"/>
        <v>70</v>
      </c>
      <c r="X842" s="18" t="e">
        <f>IF($L842&lt;"6",INDEX(Revenue_type,MATCH(W842*1,type!$A$118:$A$168,0),8),INDEX(Expenditure_type,MATCH(W842*1,type!$A$2:$A$117,0),8))</f>
        <v>#N/A</v>
      </c>
      <c r="Y842" s="18" t="str">
        <f t="shared" si="105"/>
        <v>700</v>
      </c>
      <c r="Z842" s="18" t="e">
        <f>IF($L842&lt;"6",INDEX(Revenue_type,MATCH(Y842*1,type!$A$118:$A$168,0),8),INDEX(Expenditure_type,MATCH(Y842*1,type!$A$2:$A$117,0),8))</f>
        <v>#N/A</v>
      </c>
    </row>
    <row r="843" spans="1:26" ht="15.75" hidden="1" customHeight="1" outlineLevel="2">
      <c r="A843">
        <v>800</v>
      </c>
      <c r="B843" s="249">
        <v>715000</v>
      </c>
      <c r="C843">
        <v>1</v>
      </c>
      <c r="D843" t="str">
        <f t="shared" si="98"/>
        <v>1715000.800</v>
      </c>
      <c r="E843" s="382" t="s">
        <v>8505</v>
      </c>
      <c r="F843" s="242"/>
      <c r="G843"/>
      <c r="H843" s="322">
        <v>58000</v>
      </c>
      <c r="I843" s="322">
        <v>58000</v>
      </c>
      <c r="J843" s="242">
        <v>0</v>
      </c>
      <c r="K843" s="18" t="e">
        <f>INDEX(תקציב_2013,MATCH(D843,'תקציב 2015'!$D$3:$D$5960,0),8)</f>
        <v>#N/A</v>
      </c>
      <c r="L843" s="18" t="str">
        <f t="shared" si="99"/>
        <v>7</v>
      </c>
      <c r="M843" s="18" t="str">
        <f>INDEX(Chapter,MATCH(L843,Chapter!$A$1:$A$681,0),8)</f>
        <v>שירותים מקומיים</v>
      </c>
      <c r="N843" s="18" t="str">
        <f t="shared" si="100"/>
        <v>71</v>
      </c>
      <c r="O843" s="18" t="str">
        <f>INDEX(Chapter,MATCH(N843,Chapter!$A$1:$A$681,0),8)</f>
        <v>תברואה</v>
      </c>
      <c r="P843" s="18" t="str">
        <f t="shared" si="101"/>
        <v>715</v>
      </c>
      <c r="Q843" s="18" t="str">
        <f>INDEX(Chapter,MATCH(P843,Chapter!$A$1:$A$681,0),8)</f>
        <v>תברואה מונעת</v>
      </c>
      <c r="R843" s="18" t="str">
        <f t="shared" si="102"/>
        <v>7150</v>
      </c>
      <c r="S843" s="18" t="e">
        <f>INDEX(Chapter,MATCH(R843,Chapter!$A$1:$A$681,0),8)</f>
        <v>#N/A</v>
      </c>
      <c r="T843" s="18"/>
      <c r="U843" s="18" t="str">
        <f t="shared" si="103"/>
        <v>8</v>
      </c>
      <c r="V843" s="18" t="str">
        <f>IF($L843&lt;"6",INDEX(Revenue_type,MATCH(U843*1,type!$A$118:$A$168,0),8),INDEX(Expenditure_type,MATCH(U843*1,type!$A$2:$A$117,0),8))</f>
        <v>השתתפויות תמיכות ותרומות</v>
      </c>
      <c r="W843" s="18" t="str">
        <f t="shared" si="104"/>
        <v>80</v>
      </c>
      <c r="X843" s="18" t="e">
        <f>IF($L843&lt;"6",INDEX(Revenue_type,MATCH(W843*1,type!$A$118:$A$168,0),8),INDEX(Expenditure_type,MATCH(W843*1,type!$A$2:$A$117,0),8))</f>
        <v>#N/A</v>
      </c>
      <c r="Y843" s="18" t="str">
        <f t="shared" si="105"/>
        <v>800</v>
      </c>
      <c r="Z843" s="18" t="e">
        <f>IF($L843&lt;"6",INDEX(Revenue_type,MATCH(Y843*1,type!$A$118:$A$168,0),8),INDEX(Expenditure_type,MATCH(Y843*1,type!$A$2:$A$117,0),8))</f>
        <v>#N/A</v>
      </c>
    </row>
    <row r="844" spans="1:26" ht="15.75" hidden="1" customHeight="1" outlineLevel="2">
      <c r="A844">
        <v>100</v>
      </c>
      <c r="B844" s="249">
        <v>712000</v>
      </c>
      <c r="C844">
        <v>1</v>
      </c>
      <c r="D844" t="str">
        <f t="shared" si="98"/>
        <v>1712000.100</v>
      </c>
      <c r="E844" s="382" t="s">
        <v>8506</v>
      </c>
      <c r="F844" s="242"/>
      <c r="G844"/>
      <c r="H844" s="322">
        <v>51675000</v>
      </c>
      <c r="I844" s="322">
        <v>51073000</v>
      </c>
      <c r="J844" s="242">
        <v>50901600</v>
      </c>
      <c r="K844" s="18" t="e">
        <f>INDEX(תקציב_2013,MATCH(D844,'תקציב 2015'!$D$3:$D$5960,0),8)</f>
        <v>#N/A</v>
      </c>
      <c r="L844" s="18" t="str">
        <f t="shared" si="99"/>
        <v>7</v>
      </c>
      <c r="M844" s="18" t="str">
        <f>INDEX(Chapter,MATCH(L844,Chapter!$A$1:$A$681,0),8)</f>
        <v>שירותים מקומיים</v>
      </c>
      <c r="N844" s="18" t="str">
        <f t="shared" si="100"/>
        <v>71</v>
      </c>
      <c r="O844" s="18" t="str">
        <f>INDEX(Chapter,MATCH(N844,Chapter!$A$1:$A$681,0),8)</f>
        <v>תברואה</v>
      </c>
      <c r="P844" s="18" t="str">
        <f t="shared" si="101"/>
        <v>712</v>
      </c>
      <c r="Q844" s="18" t="str">
        <f>INDEX(Chapter,MATCH(P844,Chapter!$A$1:$A$681,0),8)</f>
        <v>שירותי ניקיון</v>
      </c>
      <c r="R844" s="18" t="str">
        <f t="shared" si="102"/>
        <v>7120</v>
      </c>
      <c r="S844" s="18" t="e">
        <f>INDEX(Chapter,MATCH(R844,Chapter!$A$1:$A$681,0),8)</f>
        <v>#N/A</v>
      </c>
      <c r="T844" s="18"/>
      <c r="U844" s="18" t="str">
        <f t="shared" si="103"/>
        <v>1</v>
      </c>
      <c r="V844" s="18" t="str">
        <f>IF($L844&lt;"6",INDEX(Revenue_type,MATCH(U844*1,type!$A$118:$A$168,0),8),INDEX(Expenditure_type,MATCH(U844*1,type!$A$2:$A$117,0),8))</f>
        <v>משכורות וש"ע לעובדים לפי תקן</v>
      </c>
      <c r="W844" s="18" t="str">
        <f t="shared" si="104"/>
        <v>10</v>
      </c>
      <c r="X844" s="18" t="e">
        <f>IF($L844&lt;"6",INDEX(Revenue_type,MATCH(W844*1,type!$A$118:$A$168,0),8),INDEX(Expenditure_type,MATCH(W844*1,type!$A$2:$A$117,0),8))</f>
        <v>#N/A</v>
      </c>
      <c r="Y844" s="18" t="str">
        <f t="shared" si="105"/>
        <v>100</v>
      </c>
      <c r="Z844" s="18" t="e">
        <f>IF($L844&lt;"6",INDEX(Revenue_type,MATCH(Y844*1,type!$A$118:$A$168,0),8),INDEX(Expenditure_type,MATCH(Y844*1,type!$A$2:$A$117,0),8))</f>
        <v>#N/A</v>
      </c>
    </row>
    <row r="845" spans="1:26" ht="15.75" hidden="1" customHeight="1" outlineLevel="2">
      <c r="A845">
        <v>120</v>
      </c>
      <c r="B845" s="249">
        <v>712000</v>
      </c>
      <c r="C845">
        <v>1</v>
      </c>
      <c r="D845" t="str">
        <f t="shared" si="98"/>
        <v>1712000.120</v>
      </c>
      <c r="E845" s="382" t="s">
        <v>8507</v>
      </c>
      <c r="F845" s="242"/>
      <c r="G845"/>
      <c r="H845" s="322">
        <v>3256000</v>
      </c>
      <c r="I845" s="322">
        <v>3256000</v>
      </c>
      <c r="J845" s="242">
        <v>3316200</v>
      </c>
      <c r="K845" s="18" t="e">
        <f>INDEX(תקציב_2013,MATCH(D845,'תקציב 2015'!$D$3:$D$5960,0),8)</f>
        <v>#N/A</v>
      </c>
      <c r="L845" s="18" t="str">
        <f t="shared" si="99"/>
        <v>7</v>
      </c>
      <c r="M845" s="18" t="str">
        <f>INDEX(Chapter,MATCH(L845,Chapter!$A$1:$A$681,0),8)</f>
        <v>שירותים מקומיים</v>
      </c>
      <c r="N845" s="18" t="str">
        <f t="shared" si="100"/>
        <v>71</v>
      </c>
      <c r="O845" s="18" t="str">
        <f>INDEX(Chapter,MATCH(N845,Chapter!$A$1:$A$681,0),8)</f>
        <v>תברואה</v>
      </c>
      <c r="P845" s="18" t="str">
        <f t="shared" si="101"/>
        <v>712</v>
      </c>
      <c r="Q845" s="18" t="str">
        <f>INDEX(Chapter,MATCH(P845,Chapter!$A$1:$A$681,0),8)</f>
        <v>שירותי ניקיון</v>
      </c>
      <c r="R845" s="18" t="str">
        <f t="shared" si="102"/>
        <v>7120</v>
      </c>
      <c r="S845" s="18" t="e">
        <f>INDEX(Chapter,MATCH(R845,Chapter!$A$1:$A$681,0),8)</f>
        <v>#N/A</v>
      </c>
      <c r="T845" s="18"/>
      <c r="U845" s="18" t="str">
        <f t="shared" si="103"/>
        <v>1</v>
      </c>
      <c r="V845" s="18" t="str">
        <f>IF($L845&lt;"6",INDEX(Revenue_type,MATCH(U845*1,type!$A$118:$A$168,0),8),INDEX(Expenditure_type,MATCH(U845*1,type!$A$2:$A$117,0),8))</f>
        <v>משכורות וש"ע לעובדים לפי תקן</v>
      </c>
      <c r="W845" s="18" t="str">
        <f t="shared" si="104"/>
        <v>12</v>
      </c>
      <c r="X845" s="18" t="str">
        <f>IF($L845&lt;"6",INDEX(Revenue_type,MATCH(W845*1,type!$A$118:$A$168,0),8),INDEX(Expenditure_type,MATCH(W845*1,type!$A$2:$A$117,0),8))</f>
        <v>תוספות שאינן נכללות בשכר הקובע</v>
      </c>
      <c r="Y845" s="18" t="str">
        <f t="shared" si="105"/>
        <v>120</v>
      </c>
      <c r="Z845" s="18" t="e">
        <f>IF($L845&lt;"6",INDEX(Revenue_type,MATCH(Y845*1,type!$A$118:$A$168,0),8),INDEX(Expenditure_type,MATCH(Y845*1,type!$A$2:$A$117,0),8))</f>
        <v>#N/A</v>
      </c>
    </row>
    <row r="846" spans="1:26" ht="15.75" hidden="1" customHeight="1" outlineLevel="2">
      <c r="A846">
        <v>400</v>
      </c>
      <c r="B846" s="249">
        <v>712000</v>
      </c>
      <c r="C846">
        <v>1</v>
      </c>
      <c r="D846" t="str">
        <f t="shared" si="98"/>
        <v>1712000.400</v>
      </c>
      <c r="E846" s="382" t="s">
        <v>8508</v>
      </c>
      <c r="F846" s="242"/>
      <c r="G846"/>
      <c r="H846" s="322">
        <v>1511700</v>
      </c>
      <c r="I846" s="322">
        <v>1558500</v>
      </c>
      <c r="J846" s="242">
        <v>1409800</v>
      </c>
      <c r="K846" s="18" t="e">
        <f>INDEX(תקציב_2013,MATCH(D846,'תקציב 2015'!$D$3:$D$5960,0),8)</f>
        <v>#N/A</v>
      </c>
      <c r="L846" s="18" t="str">
        <f t="shared" si="99"/>
        <v>7</v>
      </c>
      <c r="M846" s="18" t="str">
        <f>INDEX(Chapter,MATCH(L846,Chapter!$A$1:$A$681,0),8)</f>
        <v>שירותים מקומיים</v>
      </c>
      <c r="N846" s="18" t="str">
        <f t="shared" si="100"/>
        <v>71</v>
      </c>
      <c r="O846" s="18" t="str">
        <f>INDEX(Chapter,MATCH(N846,Chapter!$A$1:$A$681,0),8)</f>
        <v>תברואה</v>
      </c>
      <c r="P846" s="18" t="str">
        <f t="shared" si="101"/>
        <v>712</v>
      </c>
      <c r="Q846" s="18" t="str">
        <f>INDEX(Chapter,MATCH(P846,Chapter!$A$1:$A$681,0),8)</f>
        <v>שירותי ניקיון</v>
      </c>
      <c r="R846" s="18" t="str">
        <f t="shared" si="102"/>
        <v>7120</v>
      </c>
      <c r="S846" s="18" t="e">
        <f>INDEX(Chapter,MATCH(R846,Chapter!$A$1:$A$681,0),8)</f>
        <v>#N/A</v>
      </c>
      <c r="T846" s="18"/>
      <c r="U846" s="18" t="str">
        <f t="shared" si="103"/>
        <v>4</v>
      </c>
      <c r="V846" s="18" t="str">
        <f>IF($L846&lt;"6",INDEX(Revenue_type,MATCH(U846*1,type!$A$118:$A$168,0),8),INDEX(Expenditure_type,MATCH(U846*1,type!$A$2:$A$117,0),8))</f>
        <v>אחזקת בינים ואספקת ציוד</v>
      </c>
      <c r="W846" s="18" t="str">
        <f t="shared" si="104"/>
        <v>40</v>
      </c>
      <c r="X846" s="18" t="e">
        <f>IF($L846&lt;"6",INDEX(Revenue_type,MATCH(W846*1,type!$A$118:$A$168,0),8),INDEX(Expenditure_type,MATCH(W846*1,type!$A$2:$A$117,0),8))</f>
        <v>#N/A</v>
      </c>
      <c r="Y846" s="18" t="str">
        <f t="shared" si="105"/>
        <v>400</v>
      </c>
      <c r="Z846" s="18" t="e">
        <f>IF($L846&lt;"6",INDEX(Revenue_type,MATCH(Y846*1,type!$A$118:$A$168,0),8),INDEX(Expenditure_type,MATCH(Y846*1,type!$A$2:$A$117,0),8))</f>
        <v>#N/A</v>
      </c>
    </row>
    <row r="847" spans="1:26" ht="15.75" hidden="1" customHeight="1" outlineLevel="2">
      <c r="A847">
        <v>500</v>
      </c>
      <c r="B847" s="249">
        <v>712000</v>
      </c>
      <c r="C847">
        <v>1</v>
      </c>
      <c r="D847" t="str">
        <f t="shared" si="98"/>
        <v>1712000.500</v>
      </c>
      <c r="E847" s="382" t="s">
        <v>8509</v>
      </c>
      <c r="F847" s="242"/>
      <c r="G847"/>
      <c r="H847" s="322">
        <v>457600</v>
      </c>
      <c r="I847" s="322">
        <v>469700</v>
      </c>
      <c r="J847" s="242">
        <v>391300</v>
      </c>
      <c r="K847" s="18" t="e">
        <f>INDEX(תקציב_2013,MATCH(D847,'תקציב 2015'!$D$3:$D$5960,0),8)</f>
        <v>#N/A</v>
      </c>
      <c r="L847" s="18" t="str">
        <f t="shared" si="99"/>
        <v>7</v>
      </c>
      <c r="M847" s="18" t="str">
        <f>INDEX(Chapter,MATCH(L847,Chapter!$A$1:$A$681,0),8)</f>
        <v>שירותים מקומיים</v>
      </c>
      <c r="N847" s="18" t="str">
        <f t="shared" si="100"/>
        <v>71</v>
      </c>
      <c r="O847" s="18" t="str">
        <f>INDEX(Chapter,MATCH(N847,Chapter!$A$1:$A$681,0),8)</f>
        <v>תברואה</v>
      </c>
      <c r="P847" s="18" t="str">
        <f t="shared" si="101"/>
        <v>712</v>
      </c>
      <c r="Q847" s="18" t="str">
        <f>INDEX(Chapter,MATCH(P847,Chapter!$A$1:$A$681,0),8)</f>
        <v>שירותי ניקיון</v>
      </c>
      <c r="R847" s="18" t="str">
        <f t="shared" si="102"/>
        <v>7120</v>
      </c>
      <c r="S847" s="18" t="e">
        <f>INDEX(Chapter,MATCH(R847,Chapter!$A$1:$A$681,0),8)</f>
        <v>#N/A</v>
      </c>
      <c r="T847" s="18"/>
      <c r="U847" s="18" t="str">
        <f t="shared" si="103"/>
        <v>5</v>
      </c>
      <c r="V847" s="18" t="str">
        <f>IF($L847&lt;"6",INDEX(Revenue_type,MATCH(U847*1,type!$A$118:$A$168,0),8),INDEX(Expenditure_type,MATCH(U847*1,type!$A$2:$A$117,0),8))</f>
        <v>הוצאות מנהליות</v>
      </c>
      <c r="W847" s="18" t="str">
        <f t="shared" si="104"/>
        <v>50</v>
      </c>
      <c r="X847" s="18" t="e">
        <f>IF($L847&lt;"6",INDEX(Revenue_type,MATCH(W847*1,type!$A$118:$A$168,0),8),INDEX(Expenditure_type,MATCH(W847*1,type!$A$2:$A$117,0),8))</f>
        <v>#N/A</v>
      </c>
      <c r="Y847" s="18" t="str">
        <f t="shared" si="105"/>
        <v>500</v>
      </c>
      <c r="Z847" s="18" t="e">
        <f>IF($L847&lt;"6",INDEX(Revenue_type,MATCH(Y847*1,type!$A$118:$A$168,0),8),INDEX(Expenditure_type,MATCH(Y847*1,type!$A$2:$A$117,0),8))</f>
        <v>#N/A</v>
      </c>
    </row>
    <row r="848" spans="1:26" ht="15.75" hidden="1" customHeight="1" outlineLevel="2">
      <c r="A848">
        <v>500</v>
      </c>
      <c r="B848" s="249">
        <v>712000</v>
      </c>
      <c r="C848">
        <v>1</v>
      </c>
      <c r="D848" t="str">
        <f t="shared" si="98"/>
        <v>1712000.500</v>
      </c>
      <c r="E848" s="382" t="s">
        <v>8510</v>
      </c>
      <c r="F848" s="242"/>
      <c r="G848"/>
      <c r="H848" s="322">
        <v>7100</v>
      </c>
      <c r="I848" s="322">
        <v>7400</v>
      </c>
      <c r="J848" s="242">
        <v>4000</v>
      </c>
      <c r="K848" s="18" t="e">
        <f>INDEX(תקציב_2013,MATCH(D848,'תקציב 2015'!$D$3:$D$5960,0),8)</f>
        <v>#N/A</v>
      </c>
      <c r="L848" s="18" t="str">
        <f t="shared" si="99"/>
        <v>7</v>
      </c>
      <c r="M848" s="18" t="str">
        <f>INDEX(Chapter,MATCH(L848,Chapter!$A$1:$A$681,0),8)</f>
        <v>שירותים מקומיים</v>
      </c>
      <c r="N848" s="18" t="str">
        <f t="shared" si="100"/>
        <v>71</v>
      </c>
      <c r="O848" s="18" t="str">
        <f>INDEX(Chapter,MATCH(N848,Chapter!$A$1:$A$681,0),8)</f>
        <v>תברואה</v>
      </c>
      <c r="P848" s="18" t="str">
        <f t="shared" si="101"/>
        <v>712</v>
      </c>
      <c r="Q848" s="18" t="str">
        <f>INDEX(Chapter,MATCH(P848,Chapter!$A$1:$A$681,0),8)</f>
        <v>שירותי ניקיון</v>
      </c>
      <c r="R848" s="18" t="str">
        <f t="shared" si="102"/>
        <v>7120</v>
      </c>
      <c r="S848" s="18" t="e">
        <f>INDEX(Chapter,MATCH(R848,Chapter!$A$1:$A$681,0),8)</f>
        <v>#N/A</v>
      </c>
      <c r="T848" s="18"/>
      <c r="U848" s="18" t="str">
        <f t="shared" si="103"/>
        <v>5</v>
      </c>
      <c r="V848" s="18" t="str">
        <f>IF($L848&lt;"6",INDEX(Revenue_type,MATCH(U848*1,type!$A$118:$A$168,0),8),INDEX(Expenditure_type,MATCH(U848*1,type!$A$2:$A$117,0),8))</f>
        <v>הוצאות מנהליות</v>
      </c>
      <c r="W848" s="18" t="str">
        <f t="shared" si="104"/>
        <v>50</v>
      </c>
      <c r="X848" s="18" t="e">
        <f>IF($L848&lt;"6",INDEX(Revenue_type,MATCH(W848*1,type!$A$118:$A$168,0),8),INDEX(Expenditure_type,MATCH(W848*1,type!$A$2:$A$117,0),8))</f>
        <v>#N/A</v>
      </c>
      <c r="Y848" s="18" t="str">
        <f t="shared" si="105"/>
        <v>500</v>
      </c>
      <c r="Z848" s="18" t="e">
        <f>IF($L848&lt;"6",INDEX(Revenue_type,MATCH(Y848*1,type!$A$118:$A$168,0),8),INDEX(Expenditure_type,MATCH(Y848*1,type!$A$2:$A$117,0),8))</f>
        <v>#N/A</v>
      </c>
    </row>
    <row r="849" spans="1:26" ht="15.75" hidden="1" customHeight="1" outlineLevel="2">
      <c r="A849">
        <v>700</v>
      </c>
      <c r="B849" s="249">
        <v>712000</v>
      </c>
      <c r="C849">
        <v>1</v>
      </c>
      <c r="D849" t="str">
        <f t="shared" si="98"/>
        <v>1712000.700</v>
      </c>
      <c r="E849" s="378" t="s">
        <v>8511</v>
      </c>
      <c r="F849" s="242"/>
      <c r="G849"/>
      <c r="H849" s="322">
        <v>652100</v>
      </c>
      <c r="I849" s="322">
        <v>670200</v>
      </c>
      <c r="J849" s="242">
        <v>521800</v>
      </c>
      <c r="K849" s="18" t="e">
        <f>INDEX(תקציב_2013,MATCH(D849,'תקציב 2015'!$D$3:$D$5960,0),8)</f>
        <v>#N/A</v>
      </c>
      <c r="L849" s="18" t="str">
        <f t="shared" si="99"/>
        <v>7</v>
      </c>
      <c r="M849" s="18" t="str">
        <f>INDEX(Chapter,MATCH(L849,Chapter!$A$1:$A$681,0),8)</f>
        <v>שירותים מקומיים</v>
      </c>
      <c r="N849" s="18" t="str">
        <f t="shared" si="100"/>
        <v>71</v>
      </c>
      <c r="O849" s="18" t="str">
        <f>INDEX(Chapter,MATCH(N849,Chapter!$A$1:$A$681,0),8)</f>
        <v>תברואה</v>
      </c>
      <c r="P849" s="18" t="str">
        <f t="shared" si="101"/>
        <v>712</v>
      </c>
      <c r="Q849" s="18" t="str">
        <f>INDEX(Chapter,MATCH(P849,Chapter!$A$1:$A$681,0),8)</f>
        <v>שירותי ניקיון</v>
      </c>
      <c r="R849" s="18" t="str">
        <f t="shared" si="102"/>
        <v>7120</v>
      </c>
      <c r="S849" s="18" t="e">
        <f>INDEX(Chapter,MATCH(R849,Chapter!$A$1:$A$681,0),8)</f>
        <v>#N/A</v>
      </c>
      <c r="T849" s="18"/>
      <c r="U849" s="18" t="str">
        <f t="shared" si="103"/>
        <v>7</v>
      </c>
      <c r="V849" s="18" t="str">
        <f>IF($L849&lt;"6",INDEX(Revenue_type,MATCH(U849*1,type!$A$118:$A$168,0),8),INDEX(Expenditure_type,MATCH(U849*1,type!$A$2:$A$117,0),8))</f>
        <v>הוצאות לפעולות</v>
      </c>
      <c r="W849" s="18" t="str">
        <f t="shared" si="104"/>
        <v>70</v>
      </c>
      <c r="X849" s="18" t="e">
        <f>IF($L849&lt;"6",INDEX(Revenue_type,MATCH(W849*1,type!$A$118:$A$168,0),8),INDEX(Expenditure_type,MATCH(W849*1,type!$A$2:$A$117,0),8))</f>
        <v>#N/A</v>
      </c>
      <c r="Y849" s="18" t="str">
        <f t="shared" si="105"/>
        <v>700</v>
      </c>
      <c r="Z849" s="18" t="e">
        <f>IF($L849&lt;"6",INDEX(Revenue_type,MATCH(Y849*1,type!$A$118:$A$168,0),8),INDEX(Expenditure_type,MATCH(Y849*1,type!$A$2:$A$117,0),8))</f>
        <v>#N/A</v>
      </c>
    </row>
    <row r="850" spans="1:26" ht="15.75" hidden="1" customHeight="1" outlineLevel="2">
      <c r="A850">
        <v>100</v>
      </c>
      <c r="B850" s="249">
        <v>712740</v>
      </c>
      <c r="C850">
        <v>1</v>
      </c>
      <c r="D850" t="str">
        <f t="shared" si="98"/>
        <v>1712740.100</v>
      </c>
      <c r="E850" s="381" t="s">
        <v>8512</v>
      </c>
      <c r="F850" s="242"/>
      <c r="G850"/>
      <c r="H850" s="322">
        <v>2756000</v>
      </c>
      <c r="I850" s="322">
        <v>2327000</v>
      </c>
      <c r="J850" s="242">
        <v>0</v>
      </c>
      <c r="K850" s="18" t="e">
        <f>INDEX(תקציב_2013,MATCH(D850,'תקציב 2015'!$D$3:$D$5960,0),8)</f>
        <v>#N/A</v>
      </c>
      <c r="L850" s="18" t="str">
        <f t="shared" si="99"/>
        <v>7</v>
      </c>
      <c r="M850" s="18" t="str">
        <f>INDEX(Chapter,MATCH(L850,Chapter!$A$1:$A$681,0),8)</f>
        <v>שירותים מקומיים</v>
      </c>
      <c r="N850" s="18" t="str">
        <f t="shared" si="100"/>
        <v>71</v>
      </c>
      <c r="O850" s="18" t="str">
        <f>INDEX(Chapter,MATCH(N850,Chapter!$A$1:$A$681,0),8)</f>
        <v>תברואה</v>
      </c>
      <c r="P850" s="18" t="str">
        <f t="shared" si="101"/>
        <v>712</v>
      </c>
      <c r="Q850" s="18" t="str">
        <f>INDEX(Chapter,MATCH(P850,Chapter!$A$1:$A$681,0),8)</f>
        <v>שירותי ניקיון</v>
      </c>
      <c r="R850" s="18" t="str">
        <f t="shared" si="102"/>
        <v>7127</v>
      </c>
      <c r="S850" s="18" t="e">
        <f>INDEX(Chapter,MATCH(R850,Chapter!$A$1:$A$681,0),8)</f>
        <v>#N/A</v>
      </c>
      <c r="T850" s="18"/>
      <c r="U850" s="18" t="str">
        <f t="shared" si="103"/>
        <v>1</v>
      </c>
      <c r="V850" s="18" t="str">
        <f>IF($L850&lt;"6",INDEX(Revenue_type,MATCH(U850*1,type!$A$118:$A$168,0),8),INDEX(Expenditure_type,MATCH(U850*1,type!$A$2:$A$117,0),8))</f>
        <v>משכורות וש"ע לעובדים לפי תקן</v>
      </c>
      <c r="W850" s="18" t="str">
        <f t="shared" si="104"/>
        <v>10</v>
      </c>
      <c r="X850" s="18" t="e">
        <f>IF($L850&lt;"6",INDEX(Revenue_type,MATCH(W850*1,type!$A$118:$A$168,0),8),INDEX(Expenditure_type,MATCH(W850*1,type!$A$2:$A$117,0),8))</f>
        <v>#N/A</v>
      </c>
      <c r="Y850" s="18" t="str">
        <f t="shared" si="105"/>
        <v>100</v>
      </c>
      <c r="Z850" s="18" t="e">
        <f>IF($L850&lt;"6",INDEX(Revenue_type,MATCH(Y850*1,type!$A$118:$A$168,0),8),INDEX(Expenditure_type,MATCH(Y850*1,type!$A$2:$A$117,0),8))</f>
        <v>#N/A</v>
      </c>
    </row>
    <row r="851" spans="1:26" ht="15.75" hidden="1" customHeight="1" outlineLevel="2">
      <c r="A851">
        <v>120</v>
      </c>
      <c r="B851" s="249">
        <v>712740</v>
      </c>
      <c r="C851">
        <v>1</v>
      </c>
      <c r="D851" t="str">
        <f t="shared" ref="D851:D914" si="106">C851&amp;B851&amp;"."&amp;A851</f>
        <v>1712740.120</v>
      </c>
      <c r="E851" s="381" t="s">
        <v>8513</v>
      </c>
      <c r="F851" s="242"/>
      <c r="G851"/>
      <c r="H851" s="322">
        <v>256000</v>
      </c>
      <c r="I851" s="322">
        <v>256000</v>
      </c>
      <c r="J851" s="242">
        <v>0</v>
      </c>
      <c r="K851" s="18" t="e">
        <f>INDEX(תקציב_2013,MATCH(D851,'תקציב 2015'!$D$3:$D$5960,0),8)</f>
        <v>#N/A</v>
      </c>
      <c r="L851" s="18" t="str">
        <f t="shared" si="99"/>
        <v>7</v>
      </c>
      <c r="M851" s="18" t="str">
        <f>INDEX(Chapter,MATCH(L851,Chapter!$A$1:$A$681,0),8)</f>
        <v>שירותים מקומיים</v>
      </c>
      <c r="N851" s="18" t="str">
        <f t="shared" si="100"/>
        <v>71</v>
      </c>
      <c r="O851" s="18" t="str">
        <f>INDEX(Chapter,MATCH(N851,Chapter!$A$1:$A$681,0),8)</f>
        <v>תברואה</v>
      </c>
      <c r="P851" s="18" t="str">
        <f t="shared" si="101"/>
        <v>712</v>
      </c>
      <c r="Q851" s="18" t="str">
        <f>INDEX(Chapter,MATCH(P851,Chapter!$A$1:$A$681,0),8)</f>
        <v>שירותי ניקיון</v>
      </c>
      <c r="R851" s="18" t="str">
        <f t="shared" si="102"/>
        <v>7127</v>
      </c>
      <c r="S851" s="18" t="e">
        <f>INDEX(Chapter,MATCH(R851,Chapter!$A$1:$A$681,0),8)</f>
        <v>#N/A</v>
      </c>
      <c r="T851" s="18"/>
      <c r="U851" s="18" t="str">
        <f t="shared" si="103"/>
        <v>1</v>
      </c>
      <c r="V851" s="18" t="str">
        <f>IF($L851&lt;"6",INDEX(Revenue_type,MATCH(U851*1,type!$A$118:$A$168,0),8),INDEX(Expenditure_type,MATCH(U851*1,type!$A$2:$A$117,0),8))</f>
        <v>משכורות וש"ע לעובדים לפי תקן</v>
      </c>
      <c r="W851" s="18" t="str">
        <f t="shared" si="104"/>
        <v>12</v>
      </c>
      <c r="X851" s="18" t="str">
        <f>IF($L851&lt;"6",INDEX(Revenue_type,MATCH(W851*1,type!$A$118:$A$168,0),8),INDEX(Expenditure_type,MATCH(W851*1,type!$A$2:$A$117,0),8))</f>
        <v>תוספות שאינן נכללות בשכר הקובע</v>
      </c>
      <c r="Y851" s="18" t="str">
        <f t="shared" si="105"/>
        <v>120</v>
      </c>
      <c r="Z851" s="18" t="e">
        <f>IF($L851&lt;"6",INDEX(Revenue_type,MATCH(Y851*1,type!$A$118:$A$168,0),8),INDEX(Expenditure_type,MATCH(Y851*1,type!$A$2:$A$117,0),8))</f>
        <v>#N/A</v>
      </c>
    </row>
    <row r="852" spans="1:26" ht="15.75" hidden="1" customHeight="1" outlineLevel="2">
      <c r="A852">
        <v>700</v>
      </c>
      <c r="B852" s="249">
        <v>712305</v>
      </c>
      <c r="C852">
        <v>1</v>
      </c>
      <c r="D852" t="str">
        <f t="shared" si="106"/>
        <v>1712305.700</v>
      </c>
      <c r="E852" s="381" t="s">
        <v>8514</v>
      </c>
      <c r="F852" s="242"/>
      <c r="G852"/>
      <c r="H852" s="322">
        <v>50000</v>
      </c>
      <c r="I852" s="322">
        <v>50000</v>
      </c>
      <c r="J852" s="242">
        <v>71800</v>
      </c>
      <c r="K852" s="18" t="e">
        <f>INDEX(תקציב_2013,MATCH(D852,'תקציב 2015'!$D$3:$D$5960,0),8)</f>
        <v>#N/A</v>
      </c>
      <c r="L852" s="18" t="str">
        <f t="shared" si="99"/>
        <v>7</v>
      </c>
      <c r="M852" s="18" t="str">
        <f>INDEX(Chapter,MATCH(L852,Chapter!$A$1:$A$681,0),8)</f>
        <v>שירותים מקומיים</v>
      </c>
      <c r="N852" s="18" t="str">
        <f t="shared" si="100"/>
        <v>71</v>
      </c>
      <c r="O852" s="18" t="str">
        <f>INDEX(Chapter,MATCH(N852,Chapter!$A$1:$A$681,0),8)</f>
        <v>תברואה</v>
      </c>
      <c r="P852" s="18" t="str">
        <f t="shared" si="101"/>
        <v>712</v>
      </c>
      <c r="Q852" s="18" t="str">
        <f>INDEX(Chapter,MATCH(P852,Chapter!$A$1:$A$681,0),8)</f>
        <v>שירותי ניקיון</v>
      </c>
      <c r="R852" s="18" t="str">
        <f t="shared" si="102"/>
        <v>7123</v>
      </c>
      <c r="S852" s="18" t="str">
        <f>INDEX(Chapter,MATCH(R852,Chapter!$A$1:$A$681,0),8)</f>
        <v>אסוף ובעור אשפה</v>
      </c>
      <c r="T852" s="18"/>
      <c r="U852" s="18" t="str">
        <f t="shared" si="103"/>
        <v>7</v>
      </c>
      <c r="V852" s="18" t="str">
        <f>IF($L852&lt;"6",INDEX(Revenue_type,MATCH(U852*1,type!$A$118:$A$168,0),8),INDEX(Expenditure_type,MATCH(U852*1,type!$A$2:$A$117,0),8))</f>
        <v>הוצאות לפעולות</v>
      </c>
      <c r="W852" s="18" t="str">
        <f t="shared" si="104"/>
        <v>70</v>
      </c>
      <c r="X852" s="18" t="e">
        <f>IF($L852&lt;"6",INDEX(Revenue_type,MATCH(W852*1,type!$A$118:$A$168,0),8),INDEX(Expenditure_type,MATCH(W852*1,type!$A$2:$A$117,0),8))</f>
        <v>#N/A</v>
      </c>
      <c r="Y852" s="18" t="str">
        <f t="shared" si="105"/>
        <v>700</v>
      </c>
      <c r="Z852" s="18" t="e">
        <f>IF($L852&lt;"6",INDEX(Revenue_type,MATCH(Y852*1,type!$A$118:$A$168,0),8),INDEX(Expenditure_type,MATCH(Y852*1,type!$A$2:$A$117,0),8))</f>
        <v>#N/A</v>
      </c>
    </row>
    <row r="853" spans="1:26" ht="15.75" hidden="1" customHeight="1" outlineLevel="2">
      <c r="A853">
        <v>100</v>
      </c>
      <c r="B853" s="249">
        <v>712710</v>
      </c>
      <c r="C853">
        <v>1</v>
      </c>
      <c r="D853" t="str">
        <f t="shared" si="106"/>
        <v>1712710.100</v>
      </c>
      <c r="E853" s="382" t="s">
        <v>8515</v>
      </c>
      <c r="F853" s="242"/>
      <c r="G853"/>
      <c r="H853" s="322">
        <v>3772100</v>
      </c>
      <c r="I853" s="322">
        <v>3720100</v>
      </c>
      <c r="J853" s="242">
        <v>3674800</v>
      </c>
      <c r="K853" s="18" t="e">
        <f>INDEX(תקציב_2013,MATCH(D853,'תקציב 2015'!$D$3:$D$5960,0),8)</f>
        <v>#N/A</v>
      </c>
      <c r="L853" s="18" t="str">
        <f t="shared" si="99"/>
        <v>7</v>
      </c>
      <c r="M853" s="18" t="str">
        <f>INDEX(Chapter,MATCH(L853,Chapter!$A$1:$A$681,0),8)</f>
        <v>שירותים מקומיים</v>
      </c>
      <c r="N853" s="18" t="str">
        <f t="shared" si="100"/>
        <v>71</v>
      </c>
      <c r="O853" s="18" t="str">
        <f>INDEX(Chapter,MATCH(N853,Chapter!$A$1:$A$681,0),8)</f>
        <v>תברואה</v>
      </c>
      <c r="P853" s="18" t="str">
        <f t="shared" si="101"/>
        <v>712</v>
      </c>
      <c r="Q853" s="18" t="str">
        <f>INDEX(Chapter,MATCH(P853,Chapter!$A$1:$A$681,0),8)</f>
        <v>שירותי ניקיון</v>
      </c>
      <c r="R853" s="18" t="str">
        <f t="shared" si="102"/>
        <v>7127</v>
      </c>
      <c r="S853" s="18" t="e">
        <f>INDEX(Chapter,MATCH(R853,Chapter!$A$1:$A$681,0),8)</f>
        <v>#N/A</v>
      </c>
      <c r="T853" s="18"/>
      <c r="U853" s="18" t="str">
        <f t="shared" si="103"/>
        <v>1</v>
      </c>
      <c r="V853" s="18" t="str">
        <f>IF($L853&lt;"6",INDEX(Revenue_type,MATCH(U853*1,type!$A$118:$A$168,0),8),INDEX(Expenditure_type,MATCH(U853*1,type!$A$2:$A$117,0),8))</f>
        <v>משכורות וש"ע לעובדים לפי תקן</v>
      </c>
      <c r="W853" s="18" t="str">
        <f t="shared" si="104"/>
        <v>10</v>
      </c>
      <c r="X853" s="18" t="e">
        <f>IF($L853&lt;"6",INDEX(Revenue_type,MATCH(W853*1,type!$A$118:$A$168,0),8),INDEX(Expenditure_type,MATCH(W853*1,type!$A$2:$A$117,0),8))</f>
        <v>#N/A</v>
      </c>
      <c r="Y853" s="18" t="str">
        <f t="shared" si="105"/>
        <v>100</v>
      </c>
      <c r="Z853" s="18" t="e">
        <f>IF($L853&lt;"6",INDEX(Revenue_type,MATCH(Y853*1,type!$A$118:$A$168,0),8),INDEX(Expenditure_type,MATCH(Y853*1,type!$A$2:$A$117,0),8))</f>
        <v>#N/A</v>
      </c>
    </row>
    <row r="854" spans="1:26" ht="15.75" hidden="1" customHeight="1" outlineLevel="2">
      <c r="A854">
        <v>120</v>
      </c>
      <c r="B854" s="249">
        <v>712710</v>
      </c>
      <c r="C854">
        <v>1</v>
      </c>
      <c r="D854" t="str">
        <f t="shared" si="106"/>
        <v>1712710.120</v>
      </c>
      <c r="E854" s="382" t="s">
        <v>8516</v>
      </c>
      <c r="F854" s="242"/>
      <c r="G854"/>
      <c r="H854" s="322">
        <v>192900</v>
      </c>
      <c r="I854" s="322">
        <v>192900</v>
      </c>
      <c r="J854" s="242">
        <v>265000</v>
      </c>
      <c r="K854" s="18" t="e">
        <f>INDEX(תקציב_2013,MATCH(D854,'תקציב 2015'!$D$3:$D$5960,0),8)</f>
        <v>#N/A</v>
      </c>
      <c r="L854" s="18" t="str">
        <f t="shared" si="99"/>
        <v>7</v>
      </c>
      <c r="M854" s="18" t="str">
        <f>INDEX(Chapter,MATCH(L854,Chapter!$A$1:$A$681,0),8)</f>
        <v>שירותים מקומיים</v>
      </c>
      <c r="N854" s="18" t="str">
        <f t="shared" si="100"/>
        <v>71</v>
      </c>
      <c r="O854" s="18" t="str">
        <f>INDEX(Chapter,MATCH(N854,Chapter!$A$1:$A$681,0),8)</f>
        <v>תברואה</v>
      </c>
      <c r="P854" s="18" t="str">
        <f t="shared" si="101"/>
        <v>712</v>
      </c>
      <c r="Q854" s="18" t="str">
        <f>INDEX(Chapter,MATCH(P854,Chapter!$A$1:$A$681,0),8)</f>
        <v>שירותי ניקיון</v>
      </c>
      <c r="R854" s="18" t="str">
        <f t="shared" si="102"/>
        <v>7127</v>
      </c>
      <c r="S854" s="18" t="e">
        <f>INDEX(Chapter,MATCH(R854,Chapter!$A$1:$A$681,0),8)</f>
        <v>#N/A</v>
      </c>
      <c r="T854" s="18"/>
      <c r="U854" s="18" t="str">
        <f t="shared" si="103"/>
        <v>1</v>
      </c>
      <c r="V854" s="18" t="str">
        <f>IF($L854&lt;"6",INDEX(Revenue_type,MATCH(U854*1,type!$A$118:$A$168,0),8),INDEX(Expenditure_type,MATCH(U854*1,type!$A$2:$A$117,0),8))</f>
        <v>משכורות וש"ע לעובדים לפי תקן</v>
      </c>
      <c r="W854" s="18" t="str">
        <f t="shared" si="104"/>
        <v>12</v>
      </c>
      <c r="X854" s="18" t="str">
        <f>IF($L854&lt;"6",INDEX(Revenue_type,MATCH(W854*1,type!$A$118:$A$168,0),8),INDEX(Expenditure_type,MATCH(W854*1,type!$A$2:$A$117,0),8))</f>
        <v>תוספות שאינן נכללות בשכר הקובע</v>
      </c>
      <c r="Y854" s="18" t="str">
        <f t="shared" si="105"/>
        <v>120</v>
      </c>
      <c r="Z854" s="18" t="e">
        <f>IF($L854&lt;"6",INDEX(Revenue_type,MATCH(Y854*1,type!$A$118:$A$168,0),8),INDEX(Expenditure_type,MATCH(Y854*1,type!$A$2:$A$117,0),8))</f>
        <v>#N/A</v>
      </c>
    </row>
    <row r="855" spans="1:26" ht="15.75" hidden="1" customHeight="1" outlineLevel="2">
      <c r="A855">
        <v>100</v>
      </c>
      <c r="B855" s="249">
        <v>712720</v>
      </c>
      <c r="C855">
        <v>1</v>
      </c>
      <c r="D855" t="str">
        <f t="shared" si="106"/>
        <v>1712720.100</v>
      </c>
      <c r="E855" s="382" t="s">
        <v>8517</v>
      </c>
      <c r="F855" s="242"/>
      <c r="G855"/>
      <c r="H855" s="322">
        <v>19606500</v>
      </c>
      <c r="I855" s="322">
        <v>19375500</v>
      </c>
      <c r="J855" s="242">
        <v>18787200</v>
      </c>
      <c r="K855" s="18" t="e">
        <f>INDEX(תקציב_2013,MATCH(D855,'תקציב 2015'!$D$3:$D$5960,0),8)</f>
        <v>#N/A</v>
      </c>
      <c r="L855" s="18" t="str">
        <f t="shared" ref="L855:L918" si="107">IF(LEFT($B855,1)*1=0,LEFT($B855,2),LEFT($B855,1))</f>
        <v>7</v>
      </c>
      <c r="M855" s="18" t="str">
        <f>INDEX(Chapter,MATCH(L855,Chapter!$A$1:$A$681,0),8)</f>
        <v>שירותים מקומיים</v>
      </c>
      <c r="N855" s="18" t="str">
        <f t="shared" ref="N855:N918" si="108">IF(LEFT($B855,1)*1=0,LEFT($B855,3),LEFT($B855,2))</f>
        <v>71</v>
      </c>
      <c r="O855" s="18" t="str">
        <f>INDEX(Chapter,MATCH(N855,Chapter!$A$1:$A$681,0),8)</f>
        <v>תברואה</v>
      </c>
      <c r="P855" s="18" t="str">
        <f t="shared" ref="P855:P918" si="109">IF(LEFT($B855,1)*1=0,LEFT($B855,4),LEFT($B855,3))</f>
        <v>712</v>
      </c>
      <c r="Q855" s="18" t="str">
        <f>INDEX(Chapter,MATCH(P855,Chapter!$A$1:$A$681,0),8)</f>
        <v>שירותי ניקיון</v>
      </c>
      <c r="R855" s="18" t="str">
        <f t="shared" ref="R855:R918" si="110">LEFT($B855,4)</f>
        <v>7127</v>
      </c>
      <c r="S855" s="18" t="e">
        <f>INDEX(Chapter,MATCH(R855,Chapter!$A$1:$A$681,0),8)</f>
        <v>#N/A</v>
      </c>
      <c r="T855" s="18"/>
      <c r="U855" s="18" t="str">
        <f t="shared" ref="U855:U918" si="111">LEFT($A855,1)</f>
        <v>1</v>
      </c>
      <c r="V855" s="18" t="str">
        <f>IF($L855&lt;"6",INDEX(Revenue_type,MATCH(U855*1,type!$A$118:$A$168,0),8),INDEX(Expenditure_type,MATCH(U855*1,type!$A$2:$A$117,0),8))</f>
        <v>משכורות וש"ע לעובדים לפי תקן</v>
      </c>
      <c r="W855" s="18" t="str">
        <f t="shared" ref="W855:W918" si="112">LEFT($A855,2)</f>
        <v>10</v>
      </c>
      <c r="X855" s="18" t="e">
        <f>IF($L855&lt;"6",INDEX(Revenue_type,MATCH(W855*1,type!$A$118:$A$168,0),8),INDEX(Expenditure_type,MATCH(W855*1,type!$A$2:$A$117,0),8))</f>
        <v>#N/A</v>
      </c>
      <c r="Y855" s="18" t="str">
        <f t="shared" ref="Y855:Y918" si="113">LEFT($A855,3)</f>
        <v>100</v>
      </c>
      <c r="Z855" s="18" t="e">
        <f>IF($L855&lt;"6",INDEX(Revenue_type,MATCH(Y855*1,type!$A$118:$A$168,0),8),INDEX(Expenditure_type,MATCH(Y855*1,type!$A$2:$A$117,0),8))</f>
        <v>#N/A</v>
      </c>
    </row>
    <row r="856" spans="1:26" ht="15.75" hidden="1" customHeight="1" outlineLevel="2">
      <c r="A856">
        <v>120</v>
      </c>
      <c r="B856" s="249">
        <v>712720</v>
      </c>
      <c r="C856">
        <v>1</v>
      </c>
      <c r="D856" t="str">
        <f t="shared" si="106"/>
        <v>1712720.120</v>
      </c>
      <c r="E856" s="382" t="s">
        <v>8518</v>
      </c>
      <c r="F856" s="242"/>
      <c r="G856"/>
      <c r="H856" s="322">
        <v>1479500</v>
      </c>
      <c r="I856" s="322">
        <v>1479500</v>
      </c>
      <c r="J856" s="242">
        <v>1539000</v>
      </c>
      <c r="K856" s="18" t="e">
        <f>INDEX(תקציב_2013,MATCH(D856,'תקציב 2015'!$D$3:$D$5960,0),8)</f>
        <v>#N/A</v>
      </c>
      <c r="L856" s="18" t="str">
        <f t="shared" si="107"/>
        <v>7</v>
      </c>
      <c r="M856" s="18" t="str">
        <f>INDEX(Chapter,MATCH(L856,Chapter!$A$1:$A$681,0),8)</f>
        <v>שירותים מקומיים</v>
      </c>
      <c r="N856" s="18" t="str">
        <f t="shared" si="108"/>
        <v>71</v>
      </c>
      <c r="O856" s="18" t="str">
        <f>INDEX(Chapter,MATCH(N856,Chapter!$A$1:$A$681,0),8)</f>
        <v>תברואה</v>
      </c>
      <c r="P856" s="18" t="str">
        <f t="shared" si="109"/>
        <v>712</v>
      </c>
      <c r="Q856" s="18" t="str">
        <f>INDEX(Chapter,MATCH(P856,Chapter!$A$1:$A$681,0),8)</f>
        <v>שירותי ניקיון</v>
      </c>
      <c r="R856" s="18" t="str">
        <f t="shared" si="110"/>
        <v>7127</v>
      </c>
      <c r="S856" s="18" t="e">
        <f>INDEX(Chapter,MATCH(R856,Chapter!$A$1:$A$681,0),8)</f>
        <v>#N/A</v>
      </c>
      <c r="T856" s="18"/>
      <c r="U856" s="18" t="str">
        <f t="shared" si="111"/>
        <v>1</v>
      </c>
      <c r="V856" s="18" t="str">
        <f>IF($L856&lt;"6",INDEX(Revenue_type,MATCH(U856*1,type!$A$118:$A$168,0),8),INDEX(Expenditure_type,MATCH(U856*1,type!$A$2:$A$117,0),8))</f>
        <v>משכורות וש"ע לעובדים לפי תקן</v>
      </c>
      <c r="W856" s="18" t="str">
        <f t="shared" si="112"/>
        <v>12</v>
      </c>
      <c r="X856" s="18" t="str">
        <f>IF($L856&lt;"6",INDEX(Revenue_type,MATCH(W856*1,type!$A$118:$A$168,0),8),INDEX(Expenditure_type,MATCH(W856*1,type!$A$2:$A$117,0),8))</f>
        <v>תוספות שאינן נכללות בשכר הקובע</v>
      </c>
      <c r="Y856" s="18" t="str">
        <f t="shared" si="113"/>
        <v>120</v>
      </c>
      <c r="Z856" s="18" t="e">
        <f>IF($L856&lt;"6",INDEX(Revenue_type,MATCH(Y856*1,type!$A$118:$A$168,0),8),INDEX(Expenditure_type,MATCH(Y856*1,type!$A$2:$A$117,0),8))</f>
        <v>#N/A</v>
      </c>
    </row>
    <row r="857" spans="1:26" ht="15.75" hidden="1" customHeight="1" outlineLevel="2">
      <c r="A857">
        <v>400</v>
      </c>
      <c r="B857" s="249">
        <v>712720</v>
      </c>
      <c r="C857">
        <v>1</v>
      </c>
      <c r="D857" t="str">
        <f t="shared" si="106"/>
        <v>1712720.400</v>
      </c>
      <c r="E857" s="385" t="s">
        <v>8519</v>
      </c>
      <c r="F857" s="242"/>
      <c r="G857"/>
      <c r="H857" s="322">
        <v>168600</v>
      </c>
      <c r="I857" s="322">
        <v>173800</v>
      </c>
      <c r="J857" s="242">
        <v>164800</v>
      </c>
      <c r="K857" s="18" t="e">
        <f>INDEX(תקציב_2013,MATCH(D857,'תקציב 2015'!$D$3:$D$5960,0),8)</f>
        <v>#N/A</v>
      </c>
      <c r="L857" s="18" t="str">
        <f t="shared" si="107"/>
        <v>7</v>
      </c>
      <c r="M857" s="18" t="str">
        <f>INDEX(Chapter,MATCH(L857,Chapter!$A$1:$A$681,0),8)</f>
        <v>שירותים מקומיים</v>
      </c>
      <c r="N857" s="18" t="str">
        <f t="shared" si="108"/>
        <v>71</v>
      </c>
      <c r="O857" s="18" t="str">
        <f>INDEX(Chapter,MATCH(N857,Chapter!$A$1:$A$681,0),8)</f>
        <v>תברואה</v>
      </c>
      <c r="P857" s="18" t="str">
        <f t="shared" si="109"/>
        <v>712</v>
      </c>
      <c r="Q857" s="18" t="str">
        <f>INDEX(Chapter,MATCH(P857,Chapter!$A$1:$A$681,0),8)</f>
        <v>שירותי ניקיון</v>
      </c>
      <c r="R857" s="18" t="str">
        <f t="shared" si="110"/>
        <v>7127</v>
      </c>
      <c r="S857" s="18" t="e">
        <f>INDEX(Chapter,MATCH(R857,Chapter!$A$1:$A$681,0),8)</f>
        <v>#N/A</v>
      </c>
      <c r="T857" s="18"/>
      <c r="U857" s="18" t="str">
        <f t="shared" si="111"/>
        <v>4</v>
      </c>
      <c r="V857" s="18" t="str">
        <f>IF($L857&lt;"6",INDEX(Revenue_type,MATCH(U857*1,type!$A$118:$A$168,0),8),INDEX(Expenditure_type,MATCH(U857*1,type!$A$2:$A$117,0),8))</f>
        <v>אחזקת בינים ואספקת ציוד</v>
      </c>
      <c r="W857" s="18" t="str">
        <f t="shared" si="112"/>
        <v>40</v>
      </c>
      <c r="X857" s="18" t="e">
        <f>IF($L857&lt;"6",INDEX(Revenue_type,MATCH(W857*1,type!$A$118:$A$168,0),8),INDEX(Expenditure_type,MATCH(W857*1,type!$A$2:$A$117,0),8))</f>
        <v>#N/A</v>
      </c>
      <c r="Y857" s="18" t="str">
        <f t="shared" si="113"/>
        <v>400</v>
      </c>
      <c r="Z857" s="18" t="e">
        <f>IF($L857&lt;"6",INDEX(Revenue_type,MATCH(Y857*1,type!$A$118:$A$168,0),8),INDEX(Expenditure_type,MATCH(Y857*1,type!$A$2:$A$117,0),8))</f>
        <v>#N/A</v>
      </c>
    </row>
    <row r="858" spans="1:26" ht="15.75" hidden="1" customHeight="1" outlineLevel="2">
      <c r="A858">
        <v>500</v>
      </c>
      <c r="B858" s="249">
        <v>712720</v>
      </c>
      <c r="C858">
        <v>1</v>
      </c>
      <c r="D858" t="str">
        <f t="shared" si="106"/>
        <v>1712720.500</v>
      </c>
      <c r="E858" s="385" t="s">
        <v>8520</v>
      </c>
      <c r="F858" s="242"/>
      <c r="G858"/>
      <c r="H858" s="322">
        <v>15276600</v>
      </c>
      <c r="I858" s="322">
        <v>15749100</v>
      </c>
      <c r="J858" s="242">
        <v>15037100</v>
      </c>
      <c r="K858" s="18" t="e">
        <f>INDEX(תקציב_2013,MATCH(D858,'תקציב 2015'!$D$3:$D$5960,0),8)</f>
        <v>#N/A</v>
      </c>
      <c r="L858" s="18" t="str">
        <f t="shared" si="107"/>
        <v>7</v>
      </c>
      <c r="M858" s="18" t="str">
        <f>INDEX(Chapter,MATCH(L858,Chapter!$A$1:$A$681,0),8)</f>
        <v>שירותים מקומיים</v>
      </c>
      <c r="N858" s="18" t="str">
        <f t="shared" si="108"/>
        <v>71</v>
      </c>
      <c r="O858" s="18" t="str">
        <f>INDEX(Chapter,MATCH(N858,Chapter!$A$1:$A$681,0),8)</f>
        <v>תברואה</v>
      </c>
      <c r="P858" s="18" t="str">
        <f t="shared" si="109"/>
        <v>712</v>
      </c>
      <c r="Q858" s="18" t="str">
        <f>INDEX(Chapter,MATCH(P858,Chapter!$A$1:$A$681,0),8)</f>
        <v>שירותי ניקיון</v>
      </c>
      <c r="R858" s="18" t="str">
        <f t="shared" si="110"/>
        <v>7127</v>
      </c>
      <c r="S858" s="18" t="e">
        <f>INDEX(Chapter,MATCH(R858,Chapter!$A$1:$A$681,0),8)</f>
        <v>#N/A</v>
      </c>
      <c r="T858" s="18"/>
      <c r="U858" s="18" t="str">
        <f t="shared" si="111"/>
        <v>5</v>
      </c>
      <c r="V858" s="18" t="str">
        <f>IF($L858&lt;"6",INDEX(Revenue_type,MATCH(U858*1,type!$A$118:$A$168,0),8),INDEX(Expenditure_type,MATCH(U858*1,type!$A$2:$A$117,0),8))</f>
        <v>הוצאות מנהליות</v>
      </c>
      <c r="W858" s="18" t="str">
        <f t="shared" si="112"/>
        <v>50</v>
      </c>
      <c r="X858" s="18" t="e">
        <f>IF($L858&lt;"6",INDEX(Revenue_type,MATCH(W858*1,type!$A$118:$A$168,0),8),INDEX(Expenditure_type,MATCH(W858*1,type!$A$2:$A$117,0),8))</f>
        <v>#N/A</v>
      </c>
      <c r="Y858" s="18" t="str">
        <f t="shared" si="113"/>
        <v>500</v>
      </c>
      <c r="Z858" s="18" t="e">
        <f>IF($L858&lt;"6",INDEX(Revenue_type,MATCH(Y858*1,type!$A$118:$A$168,0),8),INDEX(Expenditure_type,MATCH(Y858*1,type!$A$2:$A$117,0),8))</f>
        <v>#N/A</v>
      </c>
    </row>
    <row r="859" spans="1:26" ht="15.75" hidden="1" customHeight="1" outlineLevel="2">
      <c r="A859">
        <v>500</v>
      </c>
      <c r="B859" s="249">
        <v>712720</v>
      </c>
      <c r="C859">
        <v>1</v>
      </c>
      <c r="D859" t="str">
        <f t="shared" si="106"/>
        <v>1712720.500</v>
      </c>
      <c r="E859" s="388" t="s">
        <v>8521</v>
      </c>
      <c r="F859" s="242"/>
      <c r="G859"/>
      <c r="H859" s="322">
        <v>8300</v>
      </c>
      <c r="I859" s="322">
        <v>8600</v>
      </c>
      <c r="J859" s="242">
        <v>5200</v>
      </c>
      <c r="K859" s="18" t="e">
        <f>INDEX(תקציב_2013,MATCH(D859,'תקציב 2015'!$D$3:$D$5960,0),8)</f>
        <v>#N/A</v>
      </c>
      <c r="L859" s="18" t="str">
        <f t="shared" si="107"/>
        <v>7</v>
      </c>
      <c r="M859" s="18" t="str">
        <f>INDEX(Chapter,MATCH(L859,Chapter!$A$1:$A$681,0),8)</f>
        <v>שירותים מקומיים</v>
      </c>
      <c r="N859" s="18" t="str">
        <f t="shared" si="108"/>
        <v>71</v>
      </c>
      <c r="O859" s="18" t="str">
        <f>INDEX(Chapter,MATCH(N859,Chapter!$A$1:$A$681,0),8)</f>
        <v>תברואה</v>
      </c>
      <c r="P859" s="18" t="str">
        <f t="shared" si="109"/>
        <v>712</v>
      </c>
      <c r="Q859" s="18" t="str">
        <f>INDEX(Chapter,MATCH(P859,Chapter!$A$1:$A$681,0),8)</f>
        <v>שירותי ניקיון</v>
      </c>
      <c r="R859" s="18" t="str">
        <f t="shared" si="110"/>
        <v>7127</v>
      </c>
      <c r="S859" s="18" t="e">
        <f>INDEX(Chapter,MATCH(R859,Chapter!$A$1:$A$681,0),8)</f>
        <v>#N/A</v>
      </c>
      <c r="T859" s="18"/>
      <c r="U859" s="18" t="str">
        <f t="shared" si="111"/>
        <v>5</v>
      </c>
      <c r="V859" s="18" t="str">
        <f>IF($L859&lt;"6",INDEX(Revenue_type,MATCH(U859*1,type!$A$118:$A$168,0),8),INDEX(Expenditure_type,MATCH(U859*1,type!$A$2:$A$117,0),8))</f>
        <v>הוצאות מנהליות</v>
      </c>
      <c r="W859" s="18" t="str">
        <f t="shared" si="112"/>
        <v>50</v>
      </c>
      <c r="X859" s="18" t="e">
        <f>IF($L859&lt;"6",INDEX(Revenue_type,MATCH(W859*1,type!$A$118:$A$168,0),8),INDEX(Expenditure_type,MATCH(W859*1,type!$A$2:$A$117,0),8))</f>
        <v>#N/A</v>
      </c>
      <c r="Y859" s="18" t="str">
        <f t="shared" si="113"/>
        <v>500</v>
      </c>
      <c r="Z859" s="18" t="e">
        <f>IF($L859&lt;"6",INDEX(Revenue_type,MATCH(Y859*1,type!$A$118:$A$168,0),8),INDEX(Expenditure_type,MATCH(Y859*1,type!$A$2:$A$117,0),8))</f>
        <v>#N/A</v>
      </c>
    </row>
    <row r="860" spans="1:26" ht="15.75" hidden="1" customHeight="1" outlineLevel="2">
      <c r="A860">
        <v>700</v>
      </c>
      <c r="B860" s="249">
        <v>712720</v>
      </c>
      <c r="C860">
        <v>1</v>
      </c>
      <c r="D860" t="str">
        <f t="shared" si="106"/>
        <v>1712720.700</v>
      </c>
      <c r="E860" s="385" t="s">
        <v>8522</v>
      </c>
      <c r="F860" s="242"/>
      <c r="G860"/>
      <c r="H860" s="322">
        <v>12734900</v>
      </c>
      <c r="I860" s="322">
        <v>13085600</v>
      </c>
      <c r="J860" s="242">
        <v>12389000</v>
      </c>
      <c r="K860" s="18" t="e">
        <f>INDEX(תקציב_2013,MATCH(D860,'תקציב 2015'!$D$3:$D$5960,0),8)</f>
        <v>#N/A</v>
      </c>
      <c r="L860" s="18" t="str">
        <f t="shared" si="107"/>
        <v>7</v>
      </c>
      <c r="M860" s="18" t="str">
        <f>INDEX(Chapter,MATCH(L860,Chapter!$A$1:$A$681,0),8)</f>
        <v>שירותים מקומיים</v>
      </c>
      <c r="N860" s="18" t="str">
        <f t="shared" si="108"/>
        <v>71</v>
      </c>
      <c r="O860" s="18" t="str">
        <f>INDEX(Chapter,MATCH(N860,Chapter!$A$1:$A$681,0),8)</f>
        <v>תברואה</v>
      </c>
      <c r="P860" s="18" t="str">
        <f t="shared" si="109"/>
        <v>712</v>
      </c>
      <c r="Q860" s="18" t="str">
        <f>INDEX(Chapter,MATCH(P860,Chapter!$A$1:$A$681,0),8)</f>
        <v>שירותי ניקיון</v>
      </c>
      <c r="R860" s="18" t="str">
        <f t="shared" si="110"/>
        <v>7127</v>
      </c>
      <c r="S860" s="18" t="e">
        <f>INDEX(Chapter,MATCH(R860,Chapter!$A$1:$A$681,0),8)</f>
        <v>#N/A</v>
      </c>
      <c r="T860" s="18"/>
      <c r="U860" s="18" t="str">
        <f t="shared" si="111"/>
        <v>7</v>
      </c>
      <c r="V860" s="18" t="str">
        <f>IF($L860&lt;"6",INDEX(Revenue_type,MATCH(U860*1,type!$A$118:$A$168,0),8),INDEX(Expenditure_type,MATCH(U860*1,type!$A$2:$A$117,0),8))</f>
        <v>הוצאות לפעולות</v>
      </c>
      <c r="W860" s="18" t="str">
        <f t="shared" si="112"/>
        <v>70</v>
      </c>
      <c r="X860" s="18" t="e">
        <f>IF($L860&lt;"6",INDEX(Revenue_type,MATCH(W860*1,type!$A$118:$A$168,0),8),INDEX(Expenditure_type,MATCH(W860*1,type!$A$2:$A$117,0),8))</f>
        <v>#N/A</v>
      </c>
      <c r="Y860" s="18" t="str">
        <f t="shared" si="113"/>
        <v>700</v>
      </c>
      <c r="Z860" s="18" t="e">
        <f>IF($L860&lt;"6",INDEX(Revenue_type,MATCH(Y860*1,type!$A$118:$A$168,0),8),INDEX(Expenditure_type,MATCH(Y860*1,type!$A$2:$A$117,0),8))</f>
        <v>#N/A</v>
      </c>
    </row>
    <row r="861" spans="1:26" ht="15.75" hidden="1" customHeight="1" outlineLevel="2">
      <c r="A861">
        <v>100</v>
      </c>
      <c r="B861" s="249">
        <v>712730</v>
      </c>
      <c r="C861">
        <v>1</v>
      </c>
      <c r="D861" t="str">
        <f t="shared" si="106"/>
        <v>1712730.100</v>
      </c>
      <c r="E861" s="385" t="s">
        <v>8523</v>
      </c>
      <c r="F861" s="242"/>
      <c r="G861"/>
      <c r="H861" s="322">
        <v>4010600</v>
      </c>
      <c r="I861" s="322">
        <v>3972600</v>
      </c>
      <c r="J861" s="242">
        <v>3916500</v>
      </c>
      <c r="K861" s="18"/>
      <c r="L861" s="18" t="str">
        <f t="shared" si="107"/>
        <v>7</v>
      </c>
      <c r="M861" s="18" t="str">
        <f>INDEX(Chapter,MATCH(L861,Chapter!$A$1:$A$681,0),8)</f>
        <v>שירותים מקומיים</v>
      </c>
      <c r="N861" s="18" t="str">
        <f t="shared" si="108"/>
        <v>71</v>
      </c>
      <c r="O861" s="18" t="str">
        <f>INDEX(Chapter,MATCH(N861,Chapter!$A$1:$A$681,0),8)</f>
        <v>תברואה</v>
      </c>
      <c r="P861" s="18" t="str">
        <f t="shared" si="109"/>
        <v>712</v>
      </c>
      <c r="Q861" s="18" t="str">
        <f>INDEX(Chapter,MATCH(P861,Chapter!$A$1:$A$681,0),8)</f>
        <v>שירותי ניקיון</v>
      </c>
      <c r="R861" s="18" t="str">
        <f t="shared" si="110"/>
        <v>7127</v>
      </c>
      <c r="S861" s="18" t="e">
        <f>INDEX(Chapter,MATCH(R861,Chapter!$A$1:$A$681,0),8)</f>
        <v>#N/A</v>
      </c>
      <c r="T861" s="18"/>
      <c r="U861" s="18" t="str">
        <f t="shared" si="111"/>
        <v>1</v>
      </c>
      <c r="V861" s="18" t="str">
        <f>IF($L861&lt;"6",INDEX(Revenue_type,MATCH(U861*1,type!$A$118:$A$168,0),8),INDEX(Expenditure_type,MATCH(U861*1,type!$A$2:$A$117,0),8))</f>
        <v>משכורות וש"ע לעובדים לפי תקן</v>
      </c>
      <c r="W861" s="18" t="str">
        <f t="shared" si="112"/>
        <v>10</v>
      </c>
      <c r="X861" s="18" t="e">
        <f>IF($L861&lt;"6",INDEX(Revenue_type,MATCH(W861*1,type!$A$118:$A$168,0),8),INDEX(Expenditure_type,MATCH(W861*1,type!$A$2:$A$117,0),8))</f>
        <v>#N/A</v>
      </c>
      <c r="Y861" s="18" t="str">
        <f t="shared" si="113"/>
        <v>100</v>
      </c>
      <c r="Z861" s="18" t="e">
        <f>IF($L861&lt;"6",INDEX(Revenue_type,MATCH(Y861*1,type!$A$118:$A$168,0),8),INDEX(Expenditure_type,MATCH(Y861*1,type!$A$2:$A$117,0),8))</f>
        <v>#N/A</v>
      </c>
    </row>
    <row r="862" spans="1:26" ht="15.75" hidden="1" customHeight="1" outlineLevel="2">
      <c r="A862">
        <v>120</v>
      </c>
      <c r="B862" s="249">
        <v>712730</v>
      </c>
      <c r="C862">
        <v>1</v>
      </c>
      <c r="D862" t="str">
        <f t="shared" si="106"/>
        <v>1712730.120</v>
      </c>
      <c r="E862" s="385" t="s">
        <v>8524</v>
      </c>
      <c r="F862" s="242"/>
      <c r="G862"/>
      <c r="H862" s="322">
        <v>314400</v>
      </c>
      <c r="I862" s="322">
        <v>314400</v>
      </c>
      <c r="J862" s="242">
        <v>286800</v>
      </c>
      <c r="K862" s="18" t="e">
        <f>INDEX(תקציב_2013,MATCH(D862,'תקציב 2015'!$D$3:$D$5960,0),8)</f>
        <v>#N/A</v>
      </c>
      <c r="L862" s="18" t="str">
        <f t="shared" si="107"/>
        <v>7</v>
      </c>
      <c r="M862" s="18" t="str">
        <f>INDEX(Chapter,MATCH(L862,Chapter!$A$1:$A$681,0),8)</f>
        <v>שירותים מקומיים</v>
      </c>
      <c r="N862" s="18" t="str">
        <f t="shared" si="108"/>
        <v>71</v>
      </c>
      <c r="O862" s="18" t="str">
        <f>INDEX(Chapter,MATCH(N862,Chapter!$A$1:$A$681,0),8)</f>
        <v>תברואה</v>
      </c>
      <c r="P862" s="18" t="str">
        <f t="shared" si="109"/>
        <v>712</v>
      </c>
      <c r="Q862" s="18" t="str">
        <f>INDEX(Chapter,MATCH(P862,Chapter!$A$1:$A$681,0),8)</f>
        <v>שירותי ניקיון</v>
      </c>
      <c r="R862" s="18" t="str">
        <f t="shared" si="110"/>
        <v>7127</v>
      </c>
      <c r="S862" s="18" t="e">
        <f>INDEX(Chapter,MATCH(R862,Chapter!$A$1:$A$681,0),8)</f>
        <v>#N/A</v>
      </c>
      <c r="T862" s="18"/>
      <c r="U862" s="18" t="str">
        <f t="shared" si="111"/>
        <v>1</v>
      </c>
      <c r="V862" s="18" t="str">
        <f>IF($L862&lt;"6",INDEX(Revenue_type,MATCH(U862*1,type!$A$118:$A$168,0),8),INDEX(Expenditure_type,MATCH(U862*1,type!$A$2:$A$117,0),8))</f>
        <v>משכורות וש"ע לעובדים לפי תקן</v>
      </c>
      <c r="W862" s="18" t="str">
        <f t="shared" si="112"/>
        <v>12</v>
      </c>
      <c r="X862" s="18" t="str">
        <f>IF($L862&lt;"6",INDEX(Revenue_type,MATCH(W862*1,type!$A$118:$A$168,0),8),INDEX(Expenditure_type,MATCH(W862*1,type!$A$2:$A$117,0),8))</f>
        <v>תוספות שאינן נכללות בשכר הקובע</v>
      </c>
      <c r="Y862" s="18" t="str">
        <f t="shared" si="113"/>
        <v>120</v>
      </c>
      <c r="Z862" s="18" t="e">
        <f>IF($L862&lt;"6",INDEX(Revenue_type,MATCH(Y862*1,type!$A$118:$A$168,0),8),INDEX(Expenditure_type,MATCH(Y862*1,type!$A$2:$A$117,0),8))</f>
        <v>#N/A</v>
      </c>
    </row>
    <row r="863" spans="1:26" ht="15.75" hidden="1" customHeight="1" outlineLevel="2">
      <c r="A863">
        <v>400</v>
      </c>
      <c r="B863" s="249">
        <v>712730</v>
      </c>
      <c r="C863">
        <v>1</v>
      </c>
      <c r="D863" t="str">
        <f t="shared" si="106"/>
        <v>1712730.400</v>
      </c>
      <c r="E863" s="385" t="s">
        <v>8525</v>
      </c>
      <c r="F863" s="242"/>
      <c r="G863"/>
      <c r="H863" s="322">
        <v>121800</v>
      </c>
      <c r="I863" s="322">
        <v>124300</v>
      </c>
      <c r="J863" s="242">
        <v>153400</v>
      </c>
      <c r="K863" s="18" t="e">
        <f>INDEX(תקציב_2013,MATCH(D863,'תקציב 2015'!$D$3:$D$5960,0),8)</f>
        <v>#N/A</v>
      </c>
      <c r="L863" s="18" t="str">
        <f t="shared" si="107"/>
        <v>7</v>
      </c>
      <c r="M863" s="18" t="str">
        <f>INDEX(Chapter,MATCH(L863,Chapter!$A$1:$A$681,0),8)</f>
        <v>שירותים מקומיים</v>
      </c>
      <c r="N863" s="18" t="str">
        <f t="shared" si="108"/>
        <v>71</v>
      </c>
      <c r="O863" s="18" t="str">
        <f>INDEX(Chapter,MATCH(N863,Chapter!$A$1:$A$681,0),8)</f>
        <v>תברואה</v>
      </c>
      <c r="P863" s="18" t="str">
        <f t="shared" si="109"/>
        <v>712</v>
      </c>
      <c r="Q863" s="18" t="str">
        <f>INDEX(Chapter,MATCH(P863,Chapter!$A$1:$A$681,0),8)</f>
        <v>שירותי ניקיון</v>
      </c>
      <c r="R863" s="18" t="str">
        <f t="shared" si="110"/>
        <v>7127</v>
      </c>
      <c r="S863" s="18" t="e">
        <f>INDEX(Chapter,MATCH(R863,Chapter!$A$1:$A$681,0),8)</f>
        <v>#N/A</v>
      </c>
      <c r="T863" s="18"/>
      <c r="U863" s="18" t="str">
        <f t="shared" si="111"/>
        <v>4</v>
      </c>
      <c r="V863" s="18" t="str">
        <f>IF($L863&lt;"6",INDEX(Revenue_type,MATCH(U863*1,type!$A$118:$A$168,0),8),INDEX(Expenditure_type,MATCH(U863*1,type!$A$2:$A$117,0),8))</f>
        <v>אחזקת בינים ואספקת ציוד</v>
      </c>
      <c r="W863" s="18" t="str">
        <f t="shared" si="112"/>
        <v>40</v>
      </c>
      <c r="X863" s="18" t="e">
        <f>IF($L863&lt;"6",INDEX(Revenue_type,MATCH(W863*1,type!$A$118:$A$168,0),8),INDEX(Expenditure_type,MATCH(W863*1,type!$A$2:$A$117,0),8))</f>
        <v>#N/A</v>
      </c>
      <c r="Y863" s="18" t="str">
        <f t="shared" si="113"/>
        <v>400</v>
      </c>
      <c r="Z863" s="18" t="e">
        <f>IF($L863&lt;"6",INDEX(Revenue_type,MATCH(Y863*1,type!$A$118:$A$168,0),8),INDEX(Expenditure_type,MATCH(Y863*1,type!$A$2:$A$117,0),8))</f>
        <v>#N/A</v>
      </c>
    </row>
    <row r="864" spans="1:26" ht="15.75" hidden="1" customHeight="1" outlineLevel="2">
      <c r="A864">
        <v>700</v>
      </c>
      <c r="B864" s="249">
        <v>712730</v>
      </c>
      <c r="C864">
        <v>1</v>
      </c>
      <c r="D864" t="str">
        <f t="shared" si="106"/>
        <v>1712730.700</v>
      </c>
      <c r="E864" s="385" t="s">
        <v>8526</v>
      </c>
      <c r="F864" s="242"/>
      <c r="G864"/>
      <c r="H864" s="322">
        <v>66400</v>
      </c>
      <c r="I864" s="322">
        <v>69400</v>
      </c>
      <c r="J864" s="242">
        <v>52200</v>
      </c>
      <c r="K864" s="18" t="e">
        <f>INDEX(תקציב_2013,MATCH(D864,'תקציב 2015'!$D$3:$D$5960,0),8)</f>
        <v>#N/A</v>
      </c>
      <c r="L864" s="18" t="str">
        <f t="shared" si="107"/>
        <v>7</v>
      </c>
      <c r="M864" s="18" t="str">
        <f>INDEX(Chapter,MATCH(L864,Chapter!$A$1:$A$681,0),8)</f>
        <v>שירותים מקומיים</v>
      </c>
      <c r="N864" s="18" t="str">
        <f t="shared" si="108"/>
        <v>71</v>
      </c>
      <c r="O864" s="18" t="str">
        <f>INDEX(Chapter,MATCH(N864,Chapter!$A$1:$A$681,0),8)</f>
        <v>תברואה</v>
      </c>
      <c r="P864" s="18" t="str">
        <f t="shared" si="109"/>
        <v>712</v>
      </c>
      <c r="Q864" s="18" t="str">
        <f>INDEX(Chapter,MATCH(P864,Chapter!$A$1:$A$681,0),8)</f>
        <v>שירותי ניקיון</v>
      </c>
      <c r="R864" s="18" t="str">
        <f t="shared" si="110"/>
        <v>7127</v>
      </c>
      <c r="S864" s="18" t="e">
        <f>INDEX(Chapter,MATCH(R864,Chapter!$A$1:$A$681,0),8)</f>
        <v>#N/A</v>
      </c>
      <c r="T864" s="18"/>
      <c r="U864" s="18" t="str">
        <f t="shared" si="111"/>
        <v>7</v>
      </c>
      <c r="V864" s="18" t="str">
        <f>IF($L864&lt;"6",INDEX(Revenue_type,MATCH(U864*1,type!$A$118:$A$168,0),8),INDEX(Expenditure_type,MATCH(U864*1,type!$A$2:$A$117,0),8))</f>
        <v>הוצאות לפעולות</v>
      </c>
      <c r="W864" s="18" t="str">
        <f t="shared" si="112"/>
        <v>70</v>
      </c>
      <c r="X864" s="18" t="e">
        <f>IF($L864&lt;"6",INDEX(Revenue_type,MATCH(W864*1,type!$A$118:$A$168,0),8),INDEX(Expenditure_type,MATCH(W864*1,type!$A$2:$A$117,0),8))</f>
        <v>#N/A</v>
      </c>
      <c r="Y864" s="18" t="str">
        <f t="shared" si="113"/>
        <v>700</v>
      </c>
      <c r="Z864" s="18" t="e">
        <f>IF($L864&lt;"6",INDEX(Revenue_type,MATCH(Y864*1,type!$A$118:$A$168,0),8),INDEX(Expenditure_type,MATCH(Y864*1,type!$A$2:$A$117,0),8))</f>
        <v>#N/A</v>
      </c>
    </row>
    <row r="865" spans="1:26" ht="15.75" hidden="1" customHeight="1" outlineLevel="2">
      <c r="A865">
        <v>100</v>
      </c>
      <c r="B865" s="249">
        <v>742100</v>
      </c>
      <c r="C865">
        <v>1</v>
      </c>
      <c r="D865" t="str">
        <f t="shared" si="106"/>
        <v>1742100.100</v>
      </c>
      <c r="E865" s="382" t="s">
        <v>8527</v>
      </c>
      <c r="F865" s="242"/>
      <c r="G865"/>
      <c r="H865" s="322">
        <v>3810000</v>
      </c>
      <c r="I865" s="322">
        <v>3767000</v>
      </c>
      <c r="J865" s="242">
        <v>3338800</v>
      </c>
      <c r="K865" s="18" t="e">
        <f>INDEX(תקציב_2013,MATCH(D865,'תקציב 2015'!$D$3:$D$5960,0),8)</f>
        <v>#N/A</v>
      </c>
      <c r="L865" s="18" t="str">
        <f t="shared" si="107"/>
        <v>7</v>
      </c>
      <c r="M865" s="18" t="str">
        <f>INDEX(Chapter,MATCH(L865,Chapter!$A$1:$A$681,0),8)</f>
        <v>שירותים מקומיים</v>
      </c>
      <c r="N865" s="18" t="str">
        <f t="shared" si="108"/>
        <v>74</v>
      </c>
      <c r="O865" s="18" t="str">
        <f>INDEX(Chapter,MATCH(N865,Chapter!$A$1:$A$681,0),8)</f>
        <v>נכסים ציבוריים</v>
      </c>
      <c r="P865" s="18" t="str">
        <f t="shared" si="109"/>
        <v>742</v>
      </c>
      <c r="Q865" s="18" t="str">
        <f>INDEX(Chapter,MATCH(P865,Chapter!$A$1:$A$681,0),8)</f>
        <v>דרכים ומדרכות</v>
      </c>
      <c r="R865" s="18" t="str">
        <f t="shared" si="110"/>
        <v>7421</v>
      </c>
      <c r="S865" s="18" t="str">
        <f>INDEX(Chapter,MATCH(R865,Chapter!$A$1:$A$681,0),8)</f>
        <v>אחזקת כבישים עורקים</v>
      </c>
      <c r="T865" s="18"/>
      <c r="U865" s="18" t="str">
        <f t="shared" si="111"/>
        <v>1</v>
      </c>
      <c r="V865" s="18" t="str">
        <f>IF($L865&lt;"6",INDEX(Revenue_type,MATCH(U865*1,type!$A$118:$A$168,0),8),INDEX(Expenditure_type,MATCH(U865*1,type!$A$2:$A$117,0),8))</f>
        <v>משכורות וש"ע לעובדים לפי תקן</v>
      </c>
      <c r="W865" s="18" t="str">
        <f t="shared" si="112"/>
        <v>10</v>
      </c>
      <c r="X865" s="18" t="e">
        <f>IF($L865&lt;"6",INDEX(Revenue_type,MATCH(W865*1,type!$A$118:$A$168,0),8),INDEX(Expenditure_type,MATCH(W865*1,type!$A$2:$A$117,0),8))</f>
        <v>#N/A</v>
      </c>
      <c r="Y865" s="18" t="str">
        <f t="shared" si="113"/>
        <v>100</v>
      </c>
      <c r="Z865" s="18" t="e">
        <f>IF($L865&lt;"6",INDEX(Revenue_type,MATCH(Y865*1,type!$A$118:$A$168,0),8),INDEX(Expenditure_type,MATCH(Y865*1,type!$A$2:$A$117,0),8))</f>
        <v>#N/A</v>
      </c>
    </row>
    <row r="866" spans="1:26" ht="15.75" hidden="1" customHeight="1" outlineLevel="2">
      <c r="A866">
        <v>120</v>
      </c>
      <c r="B866" s="249">
        <v>742100</v>
      </c>
      <c r="C866">
        <v>1</v>
      </c>
      <c r="D866" t="str">
        <f t="shared" si="106"/>
        <v>1742100.120</v>
      </c>
      <c r="E866" s="382" t="s">
        <v>8528</v>
      </c>
      <c r="F866" s="242"/>
      <c r="G866"/>
      <c r="H866" s="322">
        <v>127000</v>
      </c>
      <c r="I866" s="322">
        <v>127000</v>
      </c>
      <c r="J866" s="242">
        <v>100100</v>
      </c>
      <c r="K866" s="18" t="e">
        <f>INDEX(תקציב_2013,MATCH(D866,'תקציב 2015'!$D$3:$D$5960,0),8)</f>
        <v>#N/A</v>
      </c>
      <c r="L866" s="18" t="str">
        <f t="shared" si="107"/>
        <v>7</v>
      </c>
      <c r="M866" s="18" t="str">
        <f>INDEX(Chapter,MATCH(L866,Chapter!$A$1:$A$681,0),8)</f>
        <v>שירותים מקומיים</v>
      </c>
      <c r="N866" s="18" t="str">
        <f t="shared" si="108"/>
        <v>74</v>
      </c>
      <c r="O866" s="18" t="str">
        <f>INDEX(Chapter,MATCH(N866,Chapter!$A$1:$A$681,0),8)</f>
        <v>נכסים ציבוריים</v>
      </c>
      <c r="P866" s="18" t="str">
        <f t="shared" si="109"/>
        <v>742</v>
      </c>
      <c r="Q866" s="18" t="str">
        <f>INDEX(Chapter,MATCH(P866,Chapter!$A$1:$A$681,0),8)</f>
        <v>דרכים ומדרכות</v>
      </c>
      <c r="R866" s="18" t="str">
        <f t="shared" si="110"/>
        <v>7421</v>
      </c>
      <c r="S866" s="18" t="str">
        <f>INDEX(Chapter,MATCH(R866,Chapter!$A$1:$A$681,0),8)</f>
        <v>אחזקת כבישים עורקים</v>
      </c>
      <c r="T866" s="18"/>
      <c r="U866" s="18" t="str">
        <f t="shared" si="111"/>
        <v>1</v>
      </c>
      <c r="V866" s="18" t="str">
        <f>IF($L866&lt;"6",INDEX(Revenue_type,MATCH(U866*1,type!$A$118:$A$168,0),8),INDEX(Expenditure_type,MATCH(U866*1,type!$A$2:$A$117,0),8))</f>
        <v>משכורות וש"ע לעובדים לפי תקן</v>
      </c>
      <c r="W866" s="18" t="str">
        <f t="shared" si="112"/>
        <v>12</v>
      </c>
      <c r="X866" s="18" t="str">
        <f>IF($L866&lt;"6",INDEX(Revenue_type,MATCH(W866*1,type!$A$118:$A$168,0),8),INDEX(Expenditure_type,MATCH(W866*1,type!$A$2:$A$117,0),8))</f>
        <v>תוספות שאינן נכללות בשכר הקובע</v>
      </c>
      <c r="Y866" s="18" t="str">
        <f t="shared" si="113"/>
        <v>120</v>
      </c>
      <c r="Z866" s="18" t="e">
        <f>IF($L866&lt;"6",INDEX(Revenue_type,MATCH(Y866*1,type!$A$118:$A$168,0),8),INDEX(Expenditure_type,MATCH(Y866*1,type!$A$2:$A$117,0),8))</f>
        <v>#N/A</v>
      </c>
    </row>
    <row r="867" spans="1:26" ht="15.75" hidden="1" customHeight="1" outlineLevel="2">
      <c r="A867">
        <v>400</v>
      </c>
      <c r="B867" s="249">
        <v>742100</v>
      </c>
      <c r="C867">
        <v>1</v>
      </c>
      <c r="D867" t="str">
        <f t="shared" si="106"/>
        <v>1742100.400</v>
      </c>
      <c r="E867" s="382" t="s">
        <v>8529</v>
      </c>
      <c r="F867" s="242"/>
      <c r="G867"/>
      <c r="H867" s="322">
        <v>29000</v>
      </c>
      <c r="I867" s="322">
        <v>31000</v>
      </c>
      <c r="J867" s="242">
        <v>31200</v>
      </c>
      <c r="K867" s="18" t="e">
        <f>INDEX(תקציב_2013,MATCH(D867,'תקציב 2015'!$D$3:$D$5960,0),8)</f>
        <v>#N/A</v>
      </c>
      <c r="L867" s="18" t="str">
        <f t="shared" si="107"/>
        <v>7</v>
      </c>
      <c r="M867" s="18" t="str">
        <f>INDEX(Chapter,MATCH(L867,Chapter!$A$1:$A$681,0),8)</f>
        <v>שירותים מקומיים</v>
      </c>
      <c r="N867" s="18" t="str">
        <f t="shared" si="108"/>
        <v>74</v>
      </c>
      <c r="O867" s="18" t="str">
        <f>INDEX(Chapter,MATCH(N867,Chapter!$A$1:$A$681,0),8)</f>
        <v>נכסים ציבוריים</v>
      </c>
      <c r="P867" s="18" t="str">
        <f t="shared" si="109"/>
        <v>742</v>
      </c>
      <c r="Q867" s="18" t="str">
        <f>INDEX(Chapter,MATCH(P867,Chapter!$A$1:$A$681,0),8)</f>
        <v>דרכים ומדרכות</v>
      </c>
      <c r="R867" s="18" t="str">
        <f t="shared" si="110"/>
        <v>7421</v>
      </c>
      <c r="S867" s="18" t="str">
        <f>INDEX(Chapter,MATCH(R867,Chapter!$A$1:$A$681,0),8)</f>
        <v>אחזקת כבישים עורקים</v>
      </c>
      <c r="T867" s="18"/>
      <c r="U867" s="18" t="str">
        <f t="shared" si="111"/>
        <v>4</v>
      </c>
      <c r="V867" s="18" t="str">
        <f>IF($L867&lt;"6",INDEX(Revenue_type,MATCH(U867*1,type!$A$118:$A$168,0),8),INDEX(Expenditure_type,MATCH(U867*1,type!$A$2:$A$117,0),8))</f>
        <v>אחזקת בינים ואספקת ציוד</v>
      </c>
      <c r="W867" s="18" t="str">
        <f t="shared" si="112"/>
        <v>40</v>
      </c>
      <c r="X867" s="18" t="e">
        <f>IF($L867&lt;"6",INDEX(Revenue_type,MATCH(W867*1,type!$A$118:$A$168,0),8),INDEX(Expenditure_type,MATCH(W867*1,type!$A$2:$A$117,0),8))</f>
        <v>#N/A</v>
      </c>
      <c r="Y867" s="18" t="str">
        <f t="shared" si="113"/>
        <v>400</v>
      </c>
      <c r="Z867" s="18" t="e">
        <f>IF($L867&lt;"6",INDEX(Revenue_type,MATCH(Y867*1,type!$A$118:$A$168,0),8),INDEX(Expenditure_type,MATCH(Y867*1,type!$A$2:$A$117,0),8))</f>
        <v>#N/A</v>
      </c>
    </row>
    <row r="868" spans="1:26" ht="15.75" hidden="1" customHeight="1" outlineLevel="2">
      <c r="A868">
        <v>500</v>
      </c>
      <c r="B868" s="249">
        <v>742100</v>
      </c>
      <c r="C868">
        <v>1</v>
      </c>
      <c r="D868" t="str">
        <f t="shared" si="106"/>
        <v>1742100.500</v>
      </c>
      <c r="E868" s="382" t="s">
        <v>8530</v>
      </c>
      <c r="F868" s="242"/>
      <c r="G868"/>
      <c r="H868" s="322">
        <v>71900</v>
      </c>
      <c r="I868" s="322">
        <v>73600</v>
      </c>
      <c r="J868" s="242">
        <v>70200</v>
      </c>
      <c r="K868" s="18" t="e">
        <f>INDEX(תקציב_2013,MATCH(D868,'תקציב 2015'!$D$3:$D$5960,0),8)</f>
        <v>#N/A</v>
      </c>
      <c r="L868" s="18" t="str">
        <f t="shared" si="107"/>
        <v>7</v>
      </c>
      <c r="M868" s="18" t="str">
        <f>INDEX(Chapter,MATCH(L868,Chapter!$A$1:$A$681,0),8)</f>
        <v>שירותים מקומיים</v>
      </c>
      <c r="N868" s="18" t="str">
        <f t="shared" si="108"/>
        <v>74</v>
      </c>
      <c r="O868" s="18" t="str">
        <f>INDEX(Chapter,MATCH(N868,Chapter!$A$1:$A$681,0),8)</f>
        <v>נכסים ציבוריים</v>
      </c>
      <c r="P868" s="18" t="str">
        <f t="shared" si="109"/>
        <v>742</v>
      </c>
      <c r="Q868" s="18" t="str">
        <f>INDEX(Chapter,MATCH(P868,Chapter!$A$1:$A$681,0),8)</f>
        <v>דרכים ומדרכות</v>
      </c>
      <c r="R868" s="18" t="str">
        <f t="shared" si="110"/>
        <v>7421</v>
      </c>
      <c r="S868" s="18" t="str">
        <f>INDEX(Chapter,MATCH(R868,Chapter!$A$1:$A$681,0),8)</f>
        <v>אחזקת כבישים עורקים</v>
      </c>
      <c r="T868" s="18"/>
      <c r="U868" s="18" t="str">
        <f t="shared" si="111"/>
        <v>5</v>
      </c>
      <c r="V868" s="18" t="str">
        <f>IF($L868&lt;"6",INDEX(Revenue_type,MATCH(U868*1,type!$A$118:$A$168,0),8),INDEX(Expenditure_type,MATCH(U868*1,type!$A$2:$A$117,0),8))</f>
        <v>הוצאות מנהליות</v>
      </c>
      <c r="W868" s="18" t="str">
        <f t="shared" si="112"/>
        <v>50</v>
      </c>
      <c r="X868" s="18" t="e">
        <f>IF($L868&lt;"6",INDEX(Revenue_type,MATCH(W868*1,type!$A$118:$A$168,0),8),INDEX(Expenditure_type,MATCH(W868*1,type!$A$2:$A$117,0),8))</f>
        <v>#N/A</v>
      </c>
      <c r="Y868" s="18" t="str">
        <f t="shared" si="113"/>
        <v>500</v>
      </c>
      <c r="Z868" s="18" t="e">
        <f>IF($L868&lt;"6",INDEX(Revenue_type,MATCH(Y868*1,type!$A$118:$A$168,0),8),INDEX(Expenditure_type,MATCH(Y868*1,type!$A$2:$A$117,0),8))</f>
        <v>#N/A</v>
      </c>
    </row>
    <row r="869" spans="1:26" ht="15.75" hidden="1" customHeight="1" outlineLevel="2">
      <c r="A869">
        <v>500</v>
      </c>
      <c r="B869" s="249">
        <v>742100</v>
      </c>
      <c r="C869">
        <v>1</v>
      </c>
      <c r="D869" t="str">
        <f t="shared" si="106"/>
        <v>1742100.500</v>
      </c>
      <c r="E869" s="382" t="s">
        <v>8531</v>
      </c>
      <c r="F869" s="242"/>
      <c r="G869"/>
      <c r="H869" s="322">
        <v>12000</v>
      </c>
      <c r="I869" s="322">
        <v>12000</v>
      </c>
      <c r="J869" s="242">
        <v>7500</v>
      </c>
      <c r="K869" s="18" t="e">
        <f>INDEX(תקציב_2013,MATCH(D869,'תקציב 2015'!$D$3:$D$5960,0),8)</f>
        <v>#N/A</v>
      </c>
      <c r="L869" s="18" t="str">
        <f t="shared" si="107"/>
        <v>7</v>
      </c>
      <c r="M869" s="18" t="str">
        <f>INDEX(Chapter,MATCH(L869,Chapter!$A$1:$A$681,0),8)</f>
        <v>שירותים מקומיים</v>
      </c>
      <c r="N869" s="18" t="str">
        <f t="shared" si="108"/>
        <v>74</v>
      </c>
      <c r="O869" s="18" t="str">
        <f>INDEX(Chapter,MATCH(N869,Chapter!$A$1:$A$681,0),8)</f>
        <v>נכסים ציבוריים</v>
      </c>
      <c r="P869" s="18" t="str">
        <f t="shared" si="109"/>
        <v>742</v>
      </c>
      <c r="Q869" s="18" t="str">
        <f>INDEX(Chapter,MATCH(P869,Chapter!$A$1:$A$681,0),8)</f>
        <v>דרכים ומדרכות</v>
      </c>
      <c r="R869" s="18" t="str">
        <f t="shared" si="110"/>
        <v>7421</v>
      </c>
      <c r="S869" s="18" t="str">
        <f>INDEX(Chapter,MATCH(R869,Chapter!$A$1:$A$681,0),8)</f>
        <v>אחזקת כבישים עורקים</v>
      </c>
      <c r="T869" s="18"/>
      <c r="U869" s="18" t="str">
        <f t="shared" si="111"/>
        <v>5</v>
      </c>
      <c r="V869" s="18" t="str">
        <f>IF($L869&lt;"6",INDEX(Revenue_type,MATCH(U869*1,type!$A$118:$A$168,0),8),INDEX(Expenditure_type,MATCH(U869*1,type!$A$2:$A$117,0),8))</f>
        <v>הוצאות מנהליות</v>
      </c>
      <c r="W869" s="18" t="str">
        <f t="shared" si="112"/>
        <v>50</v>
      </c>
      <c r="X869" s="18" t="e">
        <f>IF($L869&lt;"6",INDEX(Revenue_type,MATCH(W869*1,type!$A$118:$A$168,0),8),INDEX(Expenditure_type,MATCH(W869*1,type!$A$2:$A$117,0),8))</f>
        <v>#N/A</v>
      </c>
      <c r="Y869" s="18" t="str">
        <f t="shared" si="113"/>
        <v>500</v>
      </c>
      <c r="Z869" s="18" t="e">
        <f>IF($L869&lt;"6",INDEX(Revenue_type,MATCH(Y869*1,type!$A$118:$A$168,0),8),INDEX(Expenditure_type,MATCH(Y869*1,type!$A$2:$A$117,0),8))</f>
        <v>#N/A</v>
      </c>
    </row>
    <row r="870" spans="1:26" ht="15.75" hidden="1" customHeight="1" outlineLevel="2">
      <c r="A870">
        <v>700</v>
      </c>
      <c r="B870" s="249">
        <v>742100</v>
      </c>
      <c r="C870">
        <v>1</v>
      </c>
      <c r="D870" t="str">
        <f t="shared" si="106"/>
        <v>1742100.700</v>
      </c>
      <c r="E870" s="382" t="s">
        <v>8532</v>
      </c>
      <c r="F870" s="242"/>
      <c r="G870"/>
      <c r="H870" s="322">
        <v>11500</v>
      </c>
      <c r="I870" s="322">
        <v>11500</v>
      </c>
      <c r="J870" s="242">
        <v>11100</v>
      </c>
      <c r="K870" s="18" t="e">
        <f>INDEX(תקציב_2013,MATCH(D870,'תקציב 2015'!$D$3:$D$5960,0),8)</f>
        <v>#N/A</v>
      </c>
      <c r="L870" s="18" t="str">
        <f t="shared" si="107"/>
        <v>7</v>
      </c>
      <c r="M870" s="18" t="str">
        <f>INDEX(Chapter,MATCH(L870,Chapter!$A$1:$A$681,0),8)</f>
        <v>שירותים מקומיים</v>
      </c>
      <c r="N870" s="18" t="str">
        <f t="shared" si="108"/>
        <v>74</v>
      </c>
      <c r="O870" s="18" t="str">
        <f>INDEX(Chapter,MATCH(N870,Chapter!$A$1:$A$681,0),8)</f>
        <v>נכסים ציבוריים</v>
      </c>
      <c r="P870" s="18" t="str">
        <f t="shared" si="109"/>
        <v>742</v>
      </c>
      <c r="Q870" s="18" t="str">
        <f>INDEX(Chapter,MATCH(P870,Chapter!$A$1:$A$681,0),8)</f>
        <v>דרכים ומדרכות</v>
      </c>
      <c r="R870" s="18" t="str">
        <f t="shared" si="110"/>
        <v>7421</v>
      </c>
      <c r="S870" s="18" t="str">
        <f>INDEX(Chapter,MATCH(R870,Chapter!$A$1:$A$681,0),8)</f>
        <v>אחזקת כבישים עורקים</v>
      </c>
      <c r="T870" s="18"/>
      <c r="U870" s="18" t="str">
        <f t="shared" si="111"/>
        <v>7</v>
      </c>
      <c r="V870" s="18" t="str">
        <f>IF($L870&lt;"6",INDEX(Revenue_type,MATCH(U870*1,type!$A$118:$A$168,0),8),INDEX(Expenditure_type,MATCH(U870*1,type!$A$2:$A$117,0),8))</f>
        <v>הוצאות לפעולות</v>
      </c>
      <c r="W870" s="18" t="str">
        <f t="shared" si="112"/>
        <v>70</v>
      </c>
      <c r="X870" s="18" t="e">
        <f>IF($L870&lt;"6",INDEX(Revenue_type,MATCH(W870*1,type!$A$118:$A$168,0),8),INDEX(Expenditure_type,MATCH(W870*1,type!$A$2:$A$117,0),8))</f>
        <v>#N/A</v>
      </c>
      <c r="Y870" s="18" t="str">
        <f t="shared" si="113"/>
        <v>700</v>
      </c>
      <c r="Z870" s="18" t="e">
        <f>IF($L870&lt;"6",INDEX(Revenue_type,MATCH(Y870*1,type!$A$118:$A$168,0),8),INDEX(Expenditure_type,MATCH(Y870*1,type!$A$2:$A$117,0),8))</f>
        <v>#N/A</v>
      </c>
    </row>
    <row r="871" spans="1:26" ht="15.75" hidden="1" customHeight="1" outlineLevel="2">
      <c r="A871">
        <v>100</v>
      </c>
      <c r="B871" s="249">
        <v>742200</v>
      </c>
      <c r="C871">
        <v>1</v>
      </c>
      <c r="D871" t="str">
        <f t="shared" si="106"/>
        <v>1742200.100</v>
      </c>
      <c r="E871" s="382" t="s">
        <v>8533</v>
      </c>
      <c r="F871" s="242"/>
      <c r="G871"/>
      <c r="H871" s="322">
        <v>9130600</v>
      </c>
      <c r="I871" s="322">
        <v>9022600</v>
      </c>
      <c r="J871" s="242">
        <v>8686500</v>
      </c>
      <c r="K871" s="18" t="e">
        <f>INDEX(תקציב_2013,MATCH(D871,'תקציב 2015'!$D$3:$D$5960,0),8)</f>
        <v>#N/A</v>
      </c>
      <c r="L871" s="18" t="str">
        <f t="shared" si="107"/>
        <v>7</v>
      </c>
      <c r="M871" s="18" t="str">
        <f>INDEX(Chapter,MATCH(L871,Chapter!$A$1:$A$681,0),8)</f>
        <v>שירותים מקומיים</v>
      </c>
      <c r="N871" s="18" t="str">
        <f t="shared" si="108"/>
        <v>74</v>
      </c>
      <c r="O871" s="18" t="str">
        <f>INDEX(Chapter,MATCH(N871,Chapter!$A$1:$A$681,0),8)</f>
        <v>נכסים ציבוריים</v>
      </c>
      <c r="P871" s="18" t="str">
        <f t="shared" si="109"/>
        <v>742</v>
      </c>
      <c r="Q871" s="18" t="str">
        <f>INDEX(Chapter,MATCH(P871,Chapter!$A$1:$A$681,0),8)</f>
        <v>דרכים ומדרכות</v>
      </c>
      <c r="R871" s="18" t="str">
        <f t="shared" si="110"/>
        <v>7422</v>
      </c>
      <c r="S871" s="18" t="str">
        <f>INDEX(Chapter,MATCH(R871,Chapter!$A$1:$A$681,0),8)</f>
        <v>אחזקת כבישים פנימיים ומדרכות</v>
      </c>
      <c r="T871" s="18"/>
      <c r="U871" s="18" t="str">
        <f t="shared" si="111"/>
        <v>1</v>
      </c>
      <c r="V871" s="18" t="str">
        <f>IF($L871&lt;"6",INDEX(Revenue_type,MATCH(U871*1,type!$A$118:$A$168,0),8),INDEX(Expenditure_type,MATCH(U871*1,type!$A$2:$A$117,0),8))</f>
        <v>משכורות וש"ע לעובדים לפי תקן</v>
      </c>
      <c r="W871" s="18" t="str">
        <f t="shared" si="112"/>
        <v>10</v>
      </c>
      <c r="X871" s="18" t="e">
        <f>IF($L871&lt;"6",INDEX(Revenue_type,MATCH(W871*1,type!$A$118:$A$168,0),8),INDEX(Expenditure_type,MATCH(W871*1,type!$A$2:$A$117,0),8))</f>
        <v>#N/A</v>
      </c>
      <c r="Y871" s="18" t="str">
        <f t="shared" si="113"/>
        <v>100</v>
      </c>
      <c r="Z871" s="18" t="e">
        <f>IF($L871&lt;"6",INDEX(Revenue_type,MATCH(Y871*1,type!$A$118:$A$168,0),8),INDEX(Expenditure_type,MATCH(Y871*1,type!$A$2:$A$117,0),8))</f>
        <v>#N/A</v>
      </c>
    </row>
    <row r="872" spans="1:26" ht="15.75" hidden="1" customHeight="1" outlineLevel="2">
      <c r="A872">
        <v>120</v>
      </c>
      <c r="B872" s="249">
        <v>742200</v>
      </c>
      <c r="C872">
        <v>1</v>
      </c>
      <c r="D872" t="str">
        <f t="shared" si="106"/>
        <v>1742200.120</v>
      </c>
      <c r="E872" s="382" t="s">
        <v>8534</v>
      </c>
      <c r="F872" s="242"/>
      <c r="G872"/>
      <c r="H872" s="322">
        <v>680400</v>
      </c>
      <c r="I872" s="322">
        <v>680400</v>
      </c>
      <c r="J872" s="242">
        <v>425700</v>
      </c>
      <c r="K872" s="18" t="e">
        <f>INDEX(תקציב_2013,MATCH(D872,'תקציב 2015'!$D$3:$D$5960,0),8)</f>
        <v>#N/A</v>
      </c>
      <c r="L872" s="18" t="str">
        <f t="shared" si="107"/>
        <v>7</v>
      </c>
      <c r="M872" s="18" t="str">
        <f>INDEX(Chapter,MATCH(L872,Chapter!$A$1:$A$681,0),8)</f>
        <v>שירותים מקומיים</v>
      </c>
      <c r="N872" s="18" t="str">
        <f t="shared" si="108"/>
        <v>74</v>
      </c>
      <c r="O872" s="18" t="str">
        <f>INDEX(Chapter,MATCH(N872,Chapter!$A$1:$A$681,0),8)</f>
        <v>נכסים ציבוריים</v>
      </c>
      <c r="P872" s="18" t="str">
        <f t="shared" si="109"/>
        <v>742</v>
      </c>
      <c r="Q872" s="18" t="str">
        <f>INDEX(Chapter,MATCH(P872,Chapter!$A$1:$A$681,0),8)</f>
        <v>דרכים ומדרכות</v>
      </c>
      <c r="R872" s="18" t="str">
        <f t="shared" si="110"/>
        <v>7422</v>
      </c>
      <c r="S872" s="18" t="str">
        <f>INDEX(Chapter,MATCH(R872,Chapter!$A$1:$A$681,0),8)</f>
        <v>אחזקת כבישים פנימיים ומדרכות</v>
      </c>
      <c r="T872" s="18"/>
      <c r="U872" s="18" t="str">
        <f t="shared" si="111"/>
        <v>1</v>
      </c>
      <c r="V872" s="18" t="str">
        <f>IF($L872&lt;"6",INDEX(Revenue_type,MATCH(U872*1,type!$A$118:$A$168,0),8),INDEX(Expenditure_type,MATCH(U872*1,type!$A$2:$A$117,0),8))</f>
        <v>משכורות וש"ע לעובדים לפי תקן</v>
      </c>
      <c r="W872" s="18" t="str">
        <f t="shared" si="112"/>
        <v>12</v>
      </c>
      <c r="X872" s="18" t="str">
        <f>IF($L872&lt;"6",INDEX(Revenue_type,MATCH(W872*1,type!$A$118:$A$168,0),8),INDEX(Expenditure_type,MATCH(W872*1,type!$A$2:$A$117,0),8))</f>
        <v>תוספות שאינן נכללות בשכר הקובע</v>
      </c>
      <c r="Y872" s="18" t="str">
        <f t="shared" si="113"/>
        <v>120</v>
      </c>
      <c r="Z872" s="18" t="e">
        <f>IF($L872&lt;"6",INDEX(Revenue_type,MATCH(Y872*1,type!$A$118:$A$168,0),8),INDEX(Expenditure_type,MATCH(Y872*1,type!$A$2:$A$117,0),8))</f>
        <v>#N/A</v>
      </c>
    </row>
    <row r="873" spans="1:26" ht="15.75" hidden="1" customHeight="1" outlineLevel="2">
      <c r="A873">
        <v>400</v>
      </c>
      <c r="B873" s="249">
        <v>742200</v>
      </c>
      <c r="C873">
        <v>1</v>
      </c>
      <c r="D873" t="str">
        <f t="shared" si="106"/>
        <v>1742200.400</v>
      </c>
      <c r="E873" s="382" t="s">
        <v>8535</v>
      </c>
      <c r="F873" s="242"/>
      <c r="G873"/>
      <c r="H873" s="322">
        <v>3000</v>
      </c>
      <c r="I873" s="322">
        <v>3000</v>
      </c>
      <c r="J873" s="242">
        <v>11900</v>
      </c>
      <c r="K873" s="18" t="e">
        <f>INDEX(תקציב_2013,MATCH(D873,'תקציב 2015'!$D$3:$D$5960,0),8)</f>
        <v>#N/A</v>
      </c>
      <c r="L873" s="18" t="str">
        <f t="shared" si="107"/>
        <v>7</v>
      </c>
      <c r="M873" s="18" t="str">
        <f>INDEX(Chapter,MATCH(L873,Chapter!$A$1:$A$681,0),8)</f>
        <v>שירותים מקומיים</v>
      </c>
      <c r="N873" s="18" t="str">
        <f t="shared" si="108"/>
        <v>74</v>
      </c>
      <c r="O873" s="18" t="str">
        <f>INDEX(Chapter,MATCH(N873,Chapter!$A$1:$A$681,0),8)</f>
        <v>נכסים ציבוריים</v>
      </c>
      <c r="P873" s="18" t="str">
        <f t="shared" si="109"/>
        <v>742</v>
      </c>
      <c r="Q873" s="18" t="str">
        <f>INDEX(Chapter,MATCH(P873,Chapter!$A$1:$A$681,0),8)</f>
        <v>דרכים ומדרכות</v>
      </c>
      <c r="R873" s="18" t="str">
        <f t="shared" si="110"/>
        <v>7422</v>
      </c>
      <c r="S873" s="18" t="str">
        <f>INDEX(Chapter,MATCH(R873,Chapter!$A$1:$A$681,0),8)</f>
        <v>אחזקת כבישים פנימיים ומדרכות</v>
      </c>
      <c r="T873" s="18"/>
      <c r="U873" s="18" t="str">
        <f t="shared" si="111"/>
        <v>4</v>
      </c>
      <c r="V873" s="18" t="str">
        <f>IF($L873&lt;"6",INDEX(Revenue_type,MATCH(U873*1,type!$A$118:$A$168,0),8),INDEX(Expenditure_type,MATCH(U873*1,type!$A$2:$A$117,0),8))</f>
        <v>אחזקת בינים ואספקת ציוד</v>
      </c>
      <c r="W873" s="18" t="str">
        <f t="shared" si="112"/>
        <v>40</v>
      </c>
      <c r="X873" s="18" t="e">
        <f>IF($L873&lt;"6",INDEX(Revenue_type,MATCH(W873*1,type!$A$118:$A$168,0),8),INDEX(Expenditure_type,MATCH(W873*1,type!$A$2:$A$117,0),8))</f>
        <v>#N/A</v>
      </c>
      <c r="Y873" s="18" t="str">
        <f t="shared" si="113"/>
        <v>400</v>
      </c>
      <c r="Z873" s="18" t="e">
        <f>IF($L873&lt;"6",INDEX(Revenue_type,MATCH(Y873*1,type!$A$118:$A$168,0),8),INDEX(Expenditure_type,MATCH(Y873*1,type!$A$2:$A$117,0),8))</f>
        <v>#N/A</v>
      </c>
    </row>
    <row r="874" spans="1:26" ht="15.75" hidden="1" customHeight="1" outlineLevel="2">
      <c r="A874">
        <v>500</v>
      </c>
      <c r="B874" s="249">
        <v>742200</v>
      </c>
      <c r="C874">
        <v>1</v>
      </c>
      <c r="D874" t="str">
        <f t="shared" si="106"/>
        <v>1742200.500</v>
      </c>
      <c r="E874" s="382" t="s">
        <v>8536</v>
      </c>
      <c r="F874" s="242"/>
      <c r="G874"/>
      <c r="H874" s="322">
        <v>83000</v>
      </c>
      <c r="I874" s="322">
        <v>87000</v>
      </c>
      <c r="J874" s="242">
        <v>78200</v>
      </c>
      <c r="K874" s="18" t="e">
        <f>INDEX(תקציב_2013,MATCH(D874,'תקציב 2015'!$D$3:$D$5960,0),8)</f>
        <v>#N/A</v>
      </c>
      <c r="L874" s="18" t="str">
        <f t="shared" si="107"/>
        <v>7</v>
      </c>
      <c r="M874" s="18" t="str">
        <f>INDEX(Chapter,MATCH(L874,Chapter!$A$1:$A$681,0),8)</f>
        <v>שירותים מקומיים</v>
      </c>
      <c r="N874" s="18" t="str">
        <f t="shared" si="108"/>
        <v>74</v>
      </c>
      <c r="O874" s="18" t="str">
        <f>INDEX(Chapter,MATCH(N874,Chapter!$A$1:$A$681,0),8)</f>
        <v>נכסים ציבוריים</v>
      </c>
      <c r="P874" s="18" t="str">
        <f t="shared" si="109"/>
        <v>742</v>
      </c>
      <c r="Q874" s="18" t="str">
        <f>INDEX(Chapter,MATCH(P874,Chapter!$A$1:$A$681,0),8)</f>
        <v>דרכים ומדרכות</v>
      </c>
      <c r="R874" s="18" t="str">
        <f t="shared" si="110"/>
        <v>7422</v>
      </c>
      <c r="S874" s="18" t="str">
        <f>INDEX(Chapter,MATCH(R874,Chapter!$A$1:$A$681,0),8)</f>
        <v>אחזקת כבישים פנימיים ומדרכות</v>
      </c>
      <c r="T874" s="18"/>
      <c r="U874" s="18" t="str">
        <f t="shared" si="111"/>
        <v>5</v>
      </c>
      <c r="V874" s="18" t="str">
        <f>IF($L874&lt;"6",INDEX(Revenue_type,MATCH(U874*1,type!$A$118:$A$168,0),8),INDEX(Expenditure_type,MATCH(U874*1,type!$A$2:$A$117,0),8))</f>
        <v>הוצאות מנהליות</v>
      </c>
      <c r="W874" s="18" t="str">
        <f t="shared" si="112"/>
        <v>50</v>
      </c>
      <c r="X874" s="18" t="e">
        <f>IF($L874&lt;"6",INDEX(Revenue_type,MATCH(W874*1,type!$A$118:$A$168,0),8),INDEX(Expenditure_type,MATCH(W874*1,type!$A$2:$A$117,0),8))</f>
        <v>#N/A</v>
      </c>
      <c r="Y874" s="18" t="str">
        <f t="shared" si="113"/>
        <v>500</v>
      </c>
      <c r="Z874" s="18" t="e">
        <f>IF($L874&lt;"6",INDEX(Revenue_type,MATCH(Y874*1,type!$A$118:$A$168,0),8),INDEX(Expenditure_type,MATCH(Y874*1,type!$A$2:$A$117,0),8))</f>
        <v>#N/A</v>
      </c>
    </row>
    <row r="875" spans="1:26" ht="15.75" hidden="1" customHeight="1" outlineLevel="2">
      <c r="A875">
        <v>700</v>
      </c>
      <c r="B875" s="249">
        <v>742200</v>
      </c>
      <c r="C875">
        <v>1</v>
      </c>
      <c r="D875" t="str">
        <f t="shared" si="106"/>
        <v>1742200.700</v>
      </c>
      <c r="E875" s="382" t="s">
        <v>8537</v>
      </c>
      <c r="F875" s="242"/>
      <c r="G875"/>
      <c r="H875" s="322">
        <v>212700</v>
      </c>
      <c r="I875" s="322">
        <v>217500</v>
      </c>
      <c r="J875" s="242">
        <v>243700</v>
      </c>
      <c r="K875" s="18" t="e">
        <f>INDEX(תקציב_2013,MATCH(D875,'תקציב 2015'!$D$3:$D$5960,0),8)</f>
        <v>#N/A</v>
      </c>
      <c r="L875" s="18" t="str">
        <f t="shared" si="107"/>
        <v>7</v>
      </c>
      <c r="M875" s="18" t="str">
        <f>INDEX(Chapter,MATCH(L875,Chapter!$A$1:$A$681,0),8)</f>
        <v>שירותים מקומיים</v>
      </c>
      <c r="N875" s="18" t="str">
        <f t="shared" si="108"/>
        <v>74</v>
      </c>
      <c r="O875" s="18" t="str">
        <f>INDEX(Chapter,MATCH(N875,Chapter!$A$1:$A$681,0),8)</f>
        <v>נכסים ציבוריים</v>
      </c>
      <c r="P875" s="18" t="str">
        <f t="shared" si="109"/>
        <v>742</v>
      </c>
      <c r="Q875" s="18" t="str">
        <f>INDEX(Chapter,MATCH(P875,Chapter!$A$1:$A$681,0),8)</f>
        <v>דרכים ומדרכות</v>
      </c>
      <c r="R875" s="18" t="str">
        <f t="shared" si="110"/>
        <v>7422</v>
      </c>
      <c r="S875" s="18" t="str">
        <f>INDEX(Chapter,MATCH(R875,Chapter!$A$1:$A$681,0),8)</f>
        <v>אחזקת כבישים פנימיים ומדרכות</v>
      </c>
      <c r="T875" s="18"/>
      <c r="U875" s="18" t="str">
        <f t="shared" si="111"/>
        <v>7</v>
      </c>
      <c r="V875" s="18" t="str">
        <f>IF($L875&lt;"6",INDEX(Revenue_type,MATCH(U875*1,type!$A$118:$A$168,0),8),INDEX(Expenditure_type,MATCH(U875*1,type!$A$2:$A$117,0),8))</f>
        <v>הוצאות לפעולות</v>
      </c>
      <c r="W875" s="18" t="str">
        <f t="shared" si="112"/>
        <v>70</v>
      </c>
      <c r="X875" s="18" t="e">
        <f>IF($L875&lt;"6",INDEX(Revenue_type,MATCH(W875*1,type!$A$118:$A$168,0),8),INDEX(Expenditure_type,MATCH(W875*1,type!$A$2:$A$117,0),8))</f>
        <v>#N/A</v>
      </c>
      <c r="Y875" s="18" t="str">
        <f t="shared" si="113"/>
        <v>700</v>
      </c>
      <c r="Z875" s="18" t="e">
        <f>IF($L875&lt;"6",INDEX(Revenue_type,MATCH(Y875*1,type!$A$118:$A$168,0),8),INDEX(Expenditure_type,MATCH(Y875*1,type!$A$2:$A$117,0),8))</f>
        <v>#N/A</v>
      </c>
    </row>
    <row r="876" spans="1:26" ht="15.75" hidden="1" customHeight="1" outlineLevel="2">
      <c r="A876">
        <v>100</v>
      </c>
      <c r="B876" s="249">
        <v>743100</v>
      </c>
      <c r="C876">
        <v>1</v>
      </c>
      <c r="D876" t="str">
        <f t="shared" si="106"/>
        <v>1743100.100</v>
      </c>
      <c r="E876" s="382" t="s">
        <v>8538</v>
      </c>
      <c r="F876" s="242"/>
      <c r="G876"/>
      <c r="H876" s="322">
        <v>3483400</v>
      </c>
      <c r="I876" s="322">
        <v>3443400</v>
      </c>
      <c r="J876" s="242">
        <v>3168600</v>
      </c>
      <c r="K876" s="18" t="e">
        <f>INDEX(תקציב_2013,MATCH(D876,'תקציב 2015'!$D$3:$D$5960,0),8)</f>
        <v>#N/A</v>
      </c>
      <c r="L876" s="18" t="str">
        <f t="shared" si="107"/>
        <v>7</v>
      </c>
      <c r="M876" s="18" t="str">
        <f>INDEX(Chapter,MATCH(L876,Chapter!$A$1:$A$681,0),8)</f>
        <v>שירותים מקומיים</v>
      </c>
      <c r="N876" s="18" t="str">
        <f t="shared" si="108"/>
        <v>74</v>
      </c>
      <c r="O876" s="18" t="str">
        <f>INDEX(Chapter,MATCH(N876,Chapter!$A$1:$A$681,0),8)</f>
        <v>נכסים ציבוריים</v>
      </c>
      <c r="P876" s="18" t="str">
        <f t="shared" si="109"/>
        <v>743</v>
      </c>
      <c r="Q876" s="18" t="str">
        <f>INDEX(Chapter,MATCH(P876,Chapter!$A$1:$A$681,0),8)</f>
        <v>תאורת רחובות</v>
      </c>
      <c r="R876" s="18" t="str">
        <f t="shared" si="110"/>
        <v>7431</v>
      </c>
      <c r="S876" s="18" t="e">
        <f>INDEX(Chapter,MATCH(R876,Chapter!$A$1:$A$681,0),8)</f>
        <v>#N/A</v>
      </c>
      <c r="T876" s="18"/>
      <c r="U876" s="18" t="str">
        <f t="shared" si="111"/>
        <v>1</v>
      </c>
      <c r="V876" s="18" t="str">
        <f>IF($L876&lt;"6",INDEX(Revenue_type,MATCH(U876*1,type!$A$118:$A$168,0),8),INDEX(Expenditure_type,MATCH(U876*1,type!$A$2:$A$117,0),8))</f>
        <v>משכורות וש"ע לעובדים לפי תקן</v>
      </c>
      <c r="W876" s="18" t="str">
        <f t="shared" si="112"/>
        <v>10</v>
      </c>
      <c r="X876" s="18" t="e">
        <f>IF($L876&lt;"6",INDEX(Revenue_type,MATCH(W876*1,type!$A$118:$A$168,0),8),INDEX(Expenditure_type,MATCH(W876*1,type!$A$2:$A$117,0),8))</f>
        <v>#N/A</v>
      </c>
      <c r="Y876" s="18" t="str">
        <f t="shared" si="113"/>
        <v>100</v>
      </c>
      <c r="Z876" s="18" t="e">
        <f>IF($L876&lt;"6",INDEX(Revenue_type,MATCH(Y876*1,type!$A$118:$A$168,0),8),INDEX(Expenditure_type,MATCH(Y876*1,type!$A$2:$A$117,0),8))</f>
        <v>#N/A</v>
      </c>
    </row>
    <row r="877" spans="1:26" ht="15.75" hidden="1" customHeight="1" outlineLevel="2">
      <c r="A877">
        <v>120</v>
      </c>
      <c r="B877" s="249">
        <v>743100</v>
      </c>
      <c r="C877">
        <v>1</v>
      </c>
      <c r="D877" t="str">
        <f t="shared" si="106"/>
        <v>1743100.120</v>
      </c>
      <c r="E877" s="382" t="s">
        <v>8539</v>
      </c>
      <c r="F877" s="242"/>
      <c r="G877"/>
      <c r="H877" s="322">
        <v>167600</v>
      </c>
      <c r="I877" s="322">
        <v>167600</v>
      </c>
      <c r="J877" s="242">
        <v>157500</v>
      </c>
      <c r="K877" s="18">
        <f>INDEX(תקציב_2013,MATCH(D877,'תקציב 2015'!$D$3:$D$5960,0),8)</f>
        <v>44168</v>
      </c>
      <c r="L877" s="18" t="str">
        <f t="shared" si="107"/>
        <v>7</v>
      </c>
      <c r="M877" s="18" t="str">
        <f>INDEX(Chapter,MATCH(L877,Chapter!$A$1:$A$681,0),8)</f>
        <v>שירותים מקומיים</v>
      </c>
      <c r="N877" s="18" t="str">
        <f t="shared" si="108"/>
        <v>74</v>
      </c>
      <c r="O877" s="18" t="str">
        <f>INDEX(Chapter,MATCH(N877,Chapter!$A$1:$A$681,0),8)</f>
        <v>נכסים ציבוריים</v>
      </c>
      <c r="P877" s="18" t="str">
        <f t="shared" si="109"/>
        <v>743</v>
      </c>
      <c r="Q877" s="18" t="str">
        <f>INDEX(Chapter,MATCH(P877,Chapter!$A$1:$A$681,0),8)</f>
        <v>תאורת רחובות</v>
      </c>
      <c r="R877" s="18" t="str">
        <f t="shared" si="110"/>
        <v>7431</v>
      </c>
      <c r="S877" s="18" t="e">
        <f>INDEX(Chapter,MATCH(R877,Chapter!$A$1:$A$681,0),8)</f>
        <v>#N/A</v>
      </c>
      <c r="T877" s="18"/>
      <c r="U877" s="18" t="str">
        <f t="shared" si="111"/>
        <v>1</v>
      </c>
      <c r="V877" s="18" t="str">
        <f>IF($L877&lt;"6",INDEX(Revenue_type,MATCH(U877*1,type!$A$118:$A$168,0),8),INDEX(Expenditure_type,MATCH(U877*1,type!$A$2:$A$117,0),8))</f>
        <v>משכורות וש"ע לעובדים לפי תקן</v>
      </c>
      <c r="W877" s="18" t="str">
        <f t="shared" si="112"/>
        <v>12</v>
      </c>
      <c r="X877" s="18" t="str">
        <f>IF($L877&lt;"6",INDEX(Revenue_type,MATCH(W877*1,type!$A$118:$A$168,0),8),INDEX(Expenditure_type,MATCH(W877*1,type!$A$2:$A$117,0),8))</f>
        <v>תוספות שאינן נכללות בשכר הקובע</v>
      </c>
      <c r="Y877" s="18" t="str">
        <f t="shared" si="113"/>
        <v>120</v>
      </c>
      <c r="Z877" s="18" t="e">
        <f>IF($L877&lt;"6",INDEX(Revenue_type,MATCH(Y877*1,type!$A$118:$A$168,0),8),INDEX(Expenditure_type,MATCH(Y877*1,type!$A$2:$A$117,0),8))</f>
        <v>#N/A</v>
      </c>
    </row>
    <row r="878" spans="1:26" ht="15.75" hidden="1" customHeight="1" outlineLevel="2">
      <c r="A878">
        <v>400</v>
      </c>
      <c r="B878" s="249">
        <v>743100</v>
      </c>
      <c r="C878">
        <v>1</v>
      </c>
      <c r="D878" t="str">
        <f t="shared" si="106"/>
        <v>1743100.400</v>
      </c>
      <c r="E878" s="382" t="s">
        <v>8540</v>
      </c>
      <c r="F878" s="242"/>
      <c r="G878"/>
      <c r="H878" s="322">
        <v>27000</v>
      </c>
      <c r="I878" s="322">
        <v>27600</v>
      </c>
      <c r="J878" s="242">
        <v>18700</v>
      </c>
      <c r="K878" s="18" t="e">
        <f>INDEX(תקציב_2013,MATCH(D878,'תקציב 2015'!$D$3:$D$5960,0),8)</f>
        <v>#N/A</v>
      </c>
      <c r="L878" s="18" t="str">
        <f t="shared" si="107"/>
        <v>7</v>
      </c>
      <c r="M878" s="18" t="str">
        <f>INDEX(Chapter,MATCH(L878,Chapter!$A$1:$A$681,0),8)</f>
        <v>שירותים מקומיים</v>
      </c>
      <c r="N878" s="18" t="str">
        <f t="shared" si="108"/>
        <v>74</v>
      </c>
      <c r="O878" s="18" t="str">
        <f>INDEX(Chapter,MATCH(N878,Chapter!$A$1:$A$681,0),8)</f>
        <v>נכסים ציבוריים</v>
      </c>
      <c r="P878" s="18" t="str">
        <f t="shared" si="109"/>
        <v>743</v>
      </c>
      <c r="Q878" s="18" t="str">
        <f>INDEX(Chapter,MATCH(P878,Chapter!$A$1:$A$681,0),8)</f>
        <v>תאורת רחובות</v>
      </c>
      <c r="R878" s="18" t="str">
        <f t="shared" si="110"/>
        <v>7431</v>
      </c>
      <c r="S878" s="18" t="e">
        <f>INDEX(Chapter,MATCH(R878,Chapter!$A$1:$A$681,0),8)</f>
        <v>#N/A</v>
      </c>
      <c r="T878" s="18"/>
      <c r="U878" s="18" t="str">
        <f t="shared" si="111"/>
        <v>4</v>
      </c>
      <c r="V878" s="18" t="str">
        <f>IF($L878&lt;"6",INDEX(Revenue_type,MATCH(U878*1,type!$A$118:$A$168,0),8),INDEX(Expenditure_type,MATCH(U878*1,type!$A$2:$A$117,0),8))</f>
        <v>אחזקת בינים ואספקת ציוד</v>
      </c>
      <c r="W878" s="18" t="str">
        <f t="shared" si="112"/>
        <v>40</v>
      </c>
      <c r="X878" s="18" t="e">
        <f>IF($L878&lt;"6",INDEX(Revenue_type,MATCH(W878*1,type!$A$118:$A$168,0),8),INDEX(Expenditure_type,MATCH(W878*1,type!$A$2:$A$117,0),8))</f>
        <v>#N/A</v>
      </c>
      <c r="Y878" s="18" t="str">
        <f t="shared" si="113"/>
        <v>400</v>
      </c>
      <c r="Z878" s="18" t="e">
        <f>IF($L878&lt;"6",INDEX(Revenue_type,MATCH(Y878*1,type!$A$118:$A$168,0),8),INDEX(Expenditure_type,MATCH(Y878*1,type!$A$2:$A$117,0),8))</f>
        <v>#N/A</v>
      </c>
    </row>
    <row r="879" spans="1:26" ht="15.75" hidden="1" customHeight="1" outlineLevel="2">
      <c r="A879">
        <v>500</v>
      </c>
      <c r="B879" s="249">
        <v>743100</v>
      </c>
      <c r="C879">
        <v>1</v>
      </c>
      <c r="D879" t="str">
        <f t="shared" si="106"/>
        <v>1743100.500</v>
      </c>
      <c r="E879" s="382" t="s">
        <v>8541</v>
      </c>
      <c r="F879" s="242"/>
      <c r="G879"/>
      <c r="H879" s="322">
        <v>75000</v>
      </c>
      <c r="I879" s="322">
        <v>75900</v>
      </c>
      <c r="J879" s="242">
        <v>70500</v>
      </c>
      <c r="K879" s="18" t="e">
        <f>INDEX(תקציב_2013,MATCH(D879,'תקציב 2015'!$D$3:$D$5960,0),8)</f>
        <v>#N/A</v>
      </c>
      <c r="L879" s="18" t="str">
        <f t="shared" si="107"/>
        <v>7</v>
      </c>
      <c r="M879" s="18" t="str">
        <f>INDEX(Chapter,MATCH(L879,Chapter!$A$1:$A$681,0),8)</f>
        <v>שירותים מקומיים</v>
      </c>
      <c r="N879" s="18" t="str">
        <f t="shared" si="108"/>
        <v>74</v>
      </c>
      <c r="O879" s="18" t="str">
        <f>INDEX(Chapter,MATCH(N879,Chapter!$A$1:$A$681,0),8)</f>
        <v>נכסים ציבוריים</v>
      </c>
      <c r="P879" s="18" t="str">
        <f t="shared" si="109"/>
        <v>743</v>
      </c>
      <c r="Q879" s="18" t="str">
        <f>INDEX(Chapter,MATCH(P879,Chapter!$A$1:$A$681,0),8)</f>
        <v>תאורת רחובות</v>
      </c>
      <c r="R879" s="18" t="str">
        <f t="shared" si="110"/>
        <v>7431</v>
      </c>
      <c r="S879" s="18" t="e">
        <f>INDEX(Chapter,MATCH(R879,Chapter!$A$1:$A$681,0),8)</f>
        <v>#N/A</v>
      </c>
      <c r="T879" s="18"/>
      <c r="U879" s="18" t="str">
        <f t="shared" si="111"/>
        <v>5</v>
      </c>
      <c r="V879" s="18" t="str">
        <f>IF($L879&lt;"6",INDEX(Revenue_type,MATCH(U879*1,type!$A$118:$A$168,0),8),INDEX(Expenditure_type,MATCH(U879*1,type!$A$2:$A$117,0),8))</f>
        <v>הוצאות מנהליות</v>
      </c>
      <c r="W879" s="18" t="str">
        <f t="shared" si="112"/>
        <v>50</v>
      </c>
      <c r="X879" s="18" t="e">
        <f>IF($L879&lt;"6",INDEX(Revenue_type,MATCH(W879*1,type!$A$118:$A$168,0),8),INDEX(Expenditure_type,MATCH(W879*1,type!$A$2:$A$117,0),8))</f>
        <v>#N/A</v>
      </c>
      <c r="Y879" s="18" t="str">
        <f t="shared" si="113"/>
        <v>500</v>
      </c>
      <c r="Z879" s="18" t="e">
        <f>IF($L879&lt;"6",INDEX(Revenue_type,MATCH(Y879*1,type!$A$118:$A$168,0),8),INDEX(Expenditure_type,MATCH(Y879*1,type!$A$2:$A$117,0),8))</f>
        <v>#N/A</v>
      </c>
    </row>
    <row r="880" spans="1:26" ht="15.75" hidden="1" customHeight="1" outlineLevel="2">
      <c r="A880">
        <v>500</v>
      </c>
      <c r="B880" s="249">
        <v>743100</v>
      </c>
      <c r="C880">
        <v>1</v>
      </c>
      <c r="D880" t="str">
        <f t="shared" si="106"/>
        <v>1743100.500</v>
      </c>
      <c r="E880" s="382" t="s">
        <v>8542</v>
      </c>
      <c r="F880" s="242"/>
      <c r="G880"/>
      <c r="H880" s="322">
        <v>0</v>
      </c>
      <c r="I880" s="322">
        <v>0</v>
      </c>
      <c r="J880" s="242">
        <v>8100</v>
      </c>
      <c r="K880" s="18" t="e">
        <f>INDEX(תקציב_2013,MATCH(D880,'תקציב 2015'!$D$3:$D$5960,0),8)</f>
        <v>#N/A</v>
      </c>
      <c r="L880" s="18" t="str">
        <f t="shared" si="107"/>
        <v>7</v>
      </c>
      <c r="M880" s="18" t="str">
        <f>INDEX(Chapter,MATCH(L880,Chapter!$A$1:$A$681,0),8)</f>
        <v>שירותים מקומיים</v>
      </c>
      <c r="N880" s="18" t="str">
        <f t="shared" si="108"/>
        <v>74</v>
      </c>
      <c r="O880" s="18" t="str">
        <f>INDEX(Chapter,MATCH(N880,Chapter!$A$1:$A$681,0),8)</f>
        <v>נכסים ציבוריים</v>
      </c>
      <c r="P880" s="18" t="str">
        <f t="shared" si="109"/>
        <v>743</v>
      </c>
      <c r="Q880" s="18" t="str">
        <f>INDEX(Chapter,MATCH(P880,Chapter!$A$1:$A$681,0),8)</f>
        <v>תאורת רחובות</v>
      </c>
      <c r="R880" s="18" t="str">
        <f t="shared" si="110"/>
        <v>7431</v>
      </c>
      <c r="S880" s="18" t="e">
        <f>INDEX(Chapter,MATCH(R880,Chapter!$A$1:$A$681,0),8)</f>
        <v>#N/A</v>
      </c>
      <c r="T880" s="18"/>
      <c r="U880" s="18" t="str">
        <f t="shared" si="111"/>
        <v>5</v>
      </c>
      <c r="V880" s="18" t="str">
        <f>IF($L880&lt;"6",INDEX(Revenue_type,MATCH(U880*1,type!$A$118:$A$168,0),8),INDEX(Expenditure_type,MATCH(U880*1,type!$A$2:$A$117,0),8))</f>
        <v>הוצאות מנהליות</v>
      </c>
      <c r="W880" s="18" t="str">
        <f t="shared" si="112"/>
        <v>50</v>
      </c>
      <c r="X880" s="18" t="e">
        <f>IF($L880&lt;"6",INDEX(Revenue_type,MATCH(W880*1,type!$A$118:$A$168,0),8),INDEX(Expenditure_type,MATCH(W880*1,type!$A$2:$A$117,0),8))</f>
        <v>#N/A</v>
      </c>
      <c r="Y880" s="18" t="str">
        <f t="shared" si="113"/>
        <v>500</v>
      </c>
      <c r="Z880" s="18" t="e">
        <f>IF($L880&lt;"6",INDEX(Revenue_type,MATCH(Y880*1,type!$A$118:$A$168,0),8),INDEX(Expenditure_type,MATCH(Y880*1,type!$A$2:$A$117,0),8))</f>
        <v>#N/A</v>
      </c>
    </row>
    <row r="881" spans="1:26" ht="15.75" hidden="1" customHeight="1" outlineLevel="2">
      <c r="A881">
        <v>700</v>
      </c>
      <c r="B881" s="249">
        <v>743100</v>
      </c>
      <c r="C881">
        <v>1</v>
      </c>
      <c r="D881" t="str">
        <f t="shared" si="106"/>
        <v>1743100.700</v>
      </c>
      <c r="E881" s="382" t="s">
        <v>8543</v>
      </c>
      <c r="F881" s="242"/>
      <c r="G881"/>
      <c r="H881" s="322">
        <v>13849700</v>
      </c>
      <c r="I881" s="322">
        <v>14258400</v>
      </c>
      <c r="J881" s="242">
        <v>13675200</v>
      </c>
      <c r="K881" s="18" t="e">
        <f>INDEX(תקציב_2013,MATCH(D881,'תקציב 2015'!$D$3:$D$5960,0),8)</f>
        <v>#N/A</v>
      </c>
      <c r="L881" s="18" t="str">
        <f t="shared" si="107"/>
        <v>7</v>
      </c>
      <c r="M881" s="18" t="str">
        <f>INDEX(Chapter,MATCH(L881,Chapter!$A$1:$A$681,0),8)</f>
        <v>שירותים מקומיים</v>
      </c>
      <c r="N881" s="18" t="str">
        <f t="shared" si="108"/>
        <v>74</v>
      </c>
      <c r="O881" s="18" t="str">
        <f>INDEX(Chapter,MATCH(N881,Chapter!$A$1:$A$681,0),8)</f>
        <v>נכסים ציבוריים</v>
      </c>
      <c r="P881" s="18" t="str">
        <f t="shared" si="109"/>
        <v>743</v>
      </c>
      <c r="Q881" s="18" t="str">
        <f>INDEX(Chapter,MATCH(P881,Chapter!$A$1:$A$681,0),8)</f>
        <v>תאורת רחובות</v>
      </c>
      <c r="R881" s="18" t="str">
        <f t="shared" si="110"/>
        <v>7431</v>
      </c>
      <c r="S881" s="18" t="e">
        <f>INDEX(Chapter,MATCH(R881,Chapter!$A$1:$A$681,0),8)</f>
        <v>#N/A</v>
      </c>
      <c r="T881" s="18"/>
      <c r="U881" s="18" t="str">
        <f t="shared" si="111"/>
        <v>7</v>
      </c>
      <c r="V881" s="18" t="str">
        <f>IF($L881&lt;"6",INDEX(Revenue_type,MATCH(U881*1,type!$A$118:$A$168,0),8),INDEX(Expenditure_type,MATCH(U881*1,type!$A$2:$A$117,0),8))</f>
        <v>הוצאות לפעולות</v>
      </c>
      <c r="W881" s="18" t="str">
        <f t="shared" si="112"/>
        <v>70</v>
      </c>
      <c r="X881" s="18" t="e">
        <f>IF($L881&lt;"6",INDEX(Revenue_type,MATCH(W881*1,type!$A$118:$A$168,0),8),INDEX(Expenditure_type,MATCH(W881*1,type!$A$2:$A$117,0),8))</f>
        <v>#N/A</v>
      </c>
      <c r="Y881" s="18" t="str">
        <f t="shared" si="113"/>
        <v>700</v>
      </c>
      <c r="Z881" s="18" t="e">
        <f>IF($L881&lt;"6",INDEX(Revenue_type,MATCH(Y881*1,type!$A$118:$A$168,0),8),INDEX(Expenditure_type,MATCH(Y881*1,type!$A$2:$A$117,0),8))</f>
        <v>#N/A</v>
      </c>
    </row>
    <row r="882" spans="1:26" ht="15.75" hidden="1" customHeight="1" outlineLevel="2">
      <c r="A882">
        <v>100</v>
      </c>
      <c r="B882" s="249">
        <v>743200</v>
      </c>
      <c r="C882">
        <v>1</v>
      </c>
      <c r="D882" t="str">
        <f t="shared" si="106"/>
        <v>1743200.100</v>
      </c>
      <c r="E882" s="382" t="s">
        <v>8544</v>
      </c>
      <c r="F882" s="242"/>
      <c r="G882"/>
      <c r="H882" s="322">
        <v>2432900</v>
      </c>
      <c r="I882" s="322">
        <v>2404900</v>
      </c>
      <c r="J882" s="242">
        <v>2340800</v>
      </c>
      <c r="K882" s="18" t="e">
        <f>INDEX(תקציב_2013,MATCH(D882,'תקציב 2015'!$D$3:$D$5960,0),8)</f>
        <v>#N/A</v>
      </c>
      <c r="L882" s="18" t="str">
        <f t="shared" si="107"/>
        <v>7</v>
      </c>
      <c r="M882" s="18" t="str">
        <f>INDEX(Chapter,MATCH(L882,Chapter!$A$1:$A$681,0),8)</f>
        <v>שירותים מקומיים</v>
      </c>
      <c r="N882" s="18" t="str">
        <f t="shared" si="108"/>
        <v>74</v>
      </c>
      <c r="O882" s="18" t="str">
        <f>INDEX(Chapter,MATCH(N882,Chapter!$A$1:$A$681,0),8)</f>
        <v>נכסים ציבוריים</v>
      </c>
      <c r="P882" s="18" t="str">
        <f t="shared" si="109"/>
        <v>743</v>
      </c>
      <c r="Q882" s="18" t="str">
        <f>INDEX(Chapter,MATCH(P882,Chapter!$A$1:$A$681,0),8)</f>
        <v>תאורת רחובות</v>
      </c>
      <c r="R882" s="18" t="str">
        <f t="shared" si="110"/>
        <v>7432</v>
      </c>
      <c r="S882" s="18" t="e">
        <f>INDEX(Chapter,MATCH(R882,Chapter!$A$1:$A$681,0),8)</f>
        <v>#N/A</v>
      </c>
      <c r="T882" s="18"/>
      <c r="U882" s="18" t="str">
        <f t="shared" si="111"/>
        <v>1</v>
      </c>
      <c r="V882" s="18" t="str">
        <f>IF($L882&lt;"6",INDEX(Revenue_type,MATCH(U882*1,type!$A$118:$A$168,0),8),INDEX(Expenditure_type,MATCH(U882*1,type!$A$2:$A$117,0),8))</f>
        <v>משכורות וש"ע לעובדים לפי תקן</v>
      </c>
      <c r="W882" s="18" t="str">
        <f t="shared" si="112"/>
        <v>10</v>
      </c>
      <c r="X882" s="18" t="e">
        <f>IF($L882&lt;"6",INDEX(Revenue_type,MATCH(W882*1,type!$A$118:$A$168,0),8),INDEX(Expenditure_type,MATCH(W882*1,type!$A$2:$A$117,0),8))</f>
        <v>#N/A</v>
      </c>
      <c r="Y882" s="18" t="str">
        <f t="shared" si="113"/>
        <v>100</v>
      </c>
      <c r="Z882" s="18" t="e">
        <f>IF($L882&lt;"6",INDEX(Revenue_type,MATCH(Y882*1,type!$A$118:$A$168,0),8),INDEX(Expenditure_type,MATCH(Y882*1,type!$A$2:$A$117,0),8))</f>
        <v>#N/A</v>
      </c>
    </row>
    <row r="883" spans="1:26" ht="15.75" hidden="1" customHeight="1" outlineLevel="2">
      <c r="A883">
        <v>120</v>
      </c>
      <c r="B883" s="249">
        <v>743200</v>
      </c>
      <c r="C883">
        <v>1</v>
      </c>
      <c r="D883" t="str">
        <f t="shared" si="106"/>
        <v>1743200.120</v>
      </c>
      <c r="E883" s="382" t="s">
        <v>8545</v>
      </c>
      <c r="F883" s="242"/>
      <c r="G883"/>
      <c r="H883" s="322">
        <v>145100</v>
      </c>
      <c r="I883" s="322">
        <v>145100</v>
      </c>
      <c r="J883" s="242">
        <v>172100</v>
      </c>
      <c r="K883" s="18" t="e">
        <f>INDEX(תקציב_2013,MATCH(D883,'תקציב 2015'!$D$3:$D$5960,0),8)</f>
        <v>#N/A</v>
      </c>
      <c r="L883" s="18" t="str">
        <f t="shared" si="107"/>
        <v>7</v>
      </c>
      <c r="M883" s="18" t="str">
        <f>INDEX(Chapter,MATCH(L883,Chapter!$A$1:$A$681,0),8)</f>
        <v>שירותים מקומיים</v>
      </c>
      <c r="N883" s="18" t="str">
        <f t="shared" si="108"/>
        <v>74</v>
      </c>
      <c r="O883" s="18" t="str">
        <f>INDEX(Chapter,MATCH(N883,Chapter!$A$1:$A$681,0),8)</f>
        <v>נכסים ציבוריים</v>
      </c>
      <c r="P883" s="18" t="str">
        <f t="shared" si="109"/>
        <v>743</v>
      </c>
      <c r="Q883" s="18" t="str">
        <f>INDEX(Chapter,MATCH(P883,Chapter!$A$1:$A$681,0),8)</f>
        <v>תאורת רחובות</v>
      </c>
      <c r="R883" s="18" t="str">
        <f t="shared" si="110"/>
        <v>7432</v>
      </c>
      <c r="S883" s="18" t="e">
        <f>INDEX(Chapter,MATCH(R883,Chapter!$A$1:$A$681,0),8)</f>
        <v>#N/A</v>
      </c>
      <c r="T883" s="18"/>
      <c r="U883" s="18" t="str">
        <f t="shared" si="111"/>
        <v>1</v>
      </c>
      <c r="V883" s="18" t="str">
        <f>IF($L883&lt;"6",INDEX(Revenue_type,MATCH(U883*1,type!$A$118:$A$168,0),8),INDEX(Expenditure_type,MATCH(U883*1,type!$A$2:$A$117,0),8))</f>
        <v>משכורות וש"ע לעובדים לפי תקן</v>
      </c>
      <c r="W883" s="18" t="str">
        <f t="shared" si="112"/>
        <v>12</v>
      </c>
      <c r="X883" s="18" t="str">
        <f>IF($L883&lt;"6",INDEX(Revenue_type,MATCH(W883*1,type!$A$118:$A$168,0),8),INDEX(Expenditure_type,MATCH(W883*1,type!$A$2:$A$117,0),8))</f>
        <v>תוספות שאינן נכללות בשכר הקובע</v>
      </c>
      <c r="Y883" s="18" t="str">
        <f t="shared" si="113"/>
        <v>120</v>
      </c>
      <c r="Z883" s="18" t="e">
        <f>IF($L883&lt;"6",INDEX(Revenue_type,MATCH(Y883*1,type!$A$118:$A$168,0),8),INDEX(Expenditure_type,MATCH(Y883*1,type!$A$2:$A$117,0),8))</f>
        <v>#N/A</v>
      </c>
    </row>
    <row r="884" spans="1:26" ht="15.75" hidden="1" customHeight="1" outlineLevel="2">
      <c r="A884">
        <v>400</v>
      </c>
      <c r="B884" s="249">
        <v>743200</v>
      </c>
      <c r="C884">
        <v>1</v>
      </c>
      <c r="D884" t="str">
        <f t="shared" si="106"/>
        <v>1743200.400</v>
      </c>
      <c r="E884" s="382" t="s">
        <v>8546</v>
      </c>
      <c r="F884" s="242"/>
      <c r="G884"/>
      <c r="H884" s="322">
        <v>9000</v>
      </c>
      <c r="I884" s="322">
        <v>9000</v>
      </c>
      <c r="J884" s="242">
        <v>1700</v>
      </c>
      <c r="K884" s="18" t="e">
        <f>INDEX(תקציב_2013,MATCH(D884,'תקציב 2015'!$D$3:$D$5960,0),8)</f>
        <v>#N/A</v>
      </c>
      <c r="L884" s="18" t="str">
        <f t="shared" si="107"/>
        <v>7</v>
      </c>
      <c r="M884" s="18" t="str">
        <f>INDEX(Chapter,MATCH(L884,Chapter!$A$1:$A$681,0),8)</f>
        <v>שירותים מקומיים</v>
      </c>
      <c r="N884" s="18" t="str">
        <f t="shared" si="108"/>
        <v>74</v>
      </c>
      <c r="O884" s="18" t="str">
        <f>INDEX(Chapter,MATCH(N884,Chapter!$A$1:$A$681,0),8)</f>
        <v>נכסים ציבוריים</v>
      </c>
      <c r="P884" s="18" t="str">
        <f t="shared" si="109"/>
        <v>743</v>
      </c>
      <c r="Q884" s="18" t="str">
        <f>INDEX(Chapter,MATCH(P884,Chapter!$A$1:$A$681,0),8)</f>
        <v>תאורת רחובות</v>
      </c>
      <c r="R884" s="18" t="str">
        <f t="shared" si="110"/>
        <v>7432</v>
      </c>
      <c r="S884" s="18" t="e">
        <f>INDEX(Chapter,MATCH(R884,Chapter!$A$1:$A$681,0),8)</f>
        <v>#N/A</v>
      </c>
      <c r="T884" s="18"/>
      <c r="U884" s="18" t="str">
        <f t="shared" si="111"/>
        <v>4</v>
      </c>
      <c r="V884" s="18" t="str">
        <f>IF($L884&lt;"6",INDEX(Revenue_type,MATCH(U884*1,type!$A$118:$A$168,0),8),INDEX(Expenditure_type,MATCH(U884*1,type!$A$2:$A$117,0),8))</f>
        <v>אחזקת בינים ואספקת ציוד</v>
      </c>
      <c r="W884" s="18" t="str">
        <f t="shared" si="112"/>
        <v>40</v>
      </c>
      <c r="X884" s="18" t="e">
        <f>IF($L884&lt;"6",INDEX(Revenue_type,MATCH(W884*1,type!$A$118:$A$168,0),8),INDEX(Expenditure_type,MATCH(W884*1,type!$A$2:$A$117,0),8))</f>
        <v>#N/A</v>
      </c>
      <c r="Y884" s="18" t="str">
        <f t="shared" si="113"/>
        <v>400</v>
      </c>
      <c r="Z884" s="18" t="e">
        <f>IF($L884&lt;"6",INDEX(Revenue_type,MATCH(Y884*1,type!$A$118:$A$168,0),8),INDEX(Expenditure_type,MATCH(Y884*1,type!$A$2:$A$117,0),8))</f>
        <v>#N/A</v>
      </c>
    </row>
    <row r="885" spans="1:26" ht="15.75" hidden="1" customHeight="1" outlineLevel="2">
      <c r="A885">
        <v>500</v>
      </c>
      <c r="B885" s="249">
        <v>743200</v>
      </c>
      <c r="C885">
        <v>1</v>
      </c>
      <c r="D885" t="str">
        <f t="shared" si="106"/>
        <v>1743200.500</v>
      </c>
      <c r="E885" s="382" t="s">
        <v>8547</v>
      </c>
      <c r="F885" s="242"/>
      <c r="G885"/>
      <c r="H885" s="322">
        <v>70000</v>
      </c>
      <c r="I885" s="322">
        <v>72000</v>
      </c>
      <c r="J885" s="242">
        <v>43900</v>
      </c>
      <c r="K885" s="18" t="e">
        <f>INDEX(תקציב_2013,MATCH(D885,'תקציב 2015'!$D$3:$D$5960,0),8)</f>
        <v>#N/A</v>
      </c>
      <c r="L885" s="18" t="str">
        <f t="shared" si="107"/>
        <v>7</v>
      </c>
      <c r="M885" s="18" t="str">
        <f>INDEX(Chapter,MATCH(L885,Chapter!$A$1:$A$681,0),8)</f>
        <v>שירותים מקומיים</v>
      </c>
      <c r="N885" s="18" t="str">
        <f t="shared" si="108"/>
        <v>74</v>
      </c>
      <c r="O885" s="18" t="str">
        <f>INDEX(Chapter,MATCH(N885,Chapter!$A$1:$A$681,0),8)</f>
        <v>נכסים ציבוריים</v>
      </c>
      <c r="P885" s="18" t="str">
        <f t="shared" si="109"/>
        <v>743</v>
      </c>
      <c r="Q885" s="18" t="str">
        <f>INDEX(Chapter,MATCH(P885,Chapter!$A$1:$A$681,0),8)</f>
        <v>תאורת רחובות</v>
      </c>
      <c r="R885" s="18" t="str">
        <f t="shared" si="110"/>
        <v>7432</v>
      </c>
      <c r="S885" s="18" t="e">
        <f>INDEX(Chapter,MATCH(R885,Chapter!$A$1:$A$681,0),8)</f>
        <v>#N/A</v>
      </c>
      <c r="T885" s="18"/>
      <c r="U885" s="18" t="str">
        <f t="shared" si="111"/>
        <v>5</v>
      </c>
      <c r="V885" s="18" t="str">
        <f>IF($L885&lt;"6",INDEX(Revenue_type,MATCH(U885*1,type!$A$118:$A$168,0),8),INDEX(Expenditure_type,MATCH(U885*1,type!$A$2:$A$117,0),8))</f>
        <v>הוצאות מנהליות</v>
      </c>
      <c r="W885" s="18" t="str">
        <f t="shared" si="112"/>
        <v>50</v>
      </c>
      <c r="X885" s="18" t="e">
        <f>IF($L885&lt;"6",INDEX(Revenue_type,MATCH(W885*1,type!$A$118:$A$168,0),8),INDEX(Expenditure_type,MATCH(W885*1,type!$A$2:$A$117,0),8))</f>
        <v>#N/A</v>
      </c>
      <c r="Y885" s="18" t="str">
        <f t="shared" si="113"/>
        <v>500</v>
      </c>
      <c r="Z885" s="18" t="e">
        <f>IF($L885&lt;"6",INDEX(Revenue_type,MATCH(Y885*1,type!$A$118:$A$168,0),8),INDEX(Expenditure_type,MATCH(Y885*1,type!$A$2:$A$117,0),8))</f>
        <v>#N/A</v>
      </c>
    </row>
    <row r="886" spans="1:26" ht="15.75" hidden="1" customHeight="1" outlineLevel="2">
      <c r="A886">
        <v>700</v>
      </c>
      <c r="B886" s="249">
        <v>743200</v>
      </c>
      <c r="C886">
        <v>1</v>
      </c>
      <c r="D886" t="str">
        <f t="shared" si="106"/>
        <v>1743200.700</v>
      </c>
      <c r="E886" s="382" t="s">
        <v>8548</v>
      </c>
      <c r="F886" s="242"/>
      <c r="G886"/>
      <c r="H886" s="322">
        <v>3728900</v>
      </c>
      <c r="I886" s="322">
        <v>3838900</v>
      </c>
      <c r="J886" s="242">
        <v>2821600</v>
      </c>
      <c r="K886" s="18" t="e">
        <f>INDEX(תקציב_2013,MATCH(D886,'תקציב 2015'!$D$3:$D$5960,0),8)</f>
        <v>#N/A</v>
      </c>
      <c r="L886" s="18" t="str">
        <f t="shared" si="107"/>
        <v>7</v>
      </c>
      <c r="M886" s="18" t="str">
        <f>INDEX(Chapter,MATCH(L886,Chapter!$A$1:$A$681,0),8)</f>
        <v>שירותים מקומיים</v>
      </c>
      <c r="N886" s="18" t="str">
        <f t="shared" si="108"/>
        <v>74</v>
      </c>
      <c r="O886" s="18" t="str">
        <f>INDEX(Chapter,MATCH(N886,Chapter!$A$1:$A$681,0),8)</f>
        <v>נכסים ציבוריים</v>
      </c>
      <c r="P886" s="18" t="str">
        <f t="shared" si="109"/>
        <v>743</v>
      </c>
      <c r="Q886" s="18" t="str">
        <f>INDEX(Chapter,MATCH(P886,Chapter!$A$1:$A$681,0),8)</f>
        <v>תאורת רחובות</v>
      </c>
      <c r="R886" s="18" t="str">
        <f t="shared" si="110"/>
        <v>7432</v>
      </c>
      <c r="S886" s="18" t="e">
        <f>INDEX(Chapter,MATCH(R886,Chapter!$A$1:$A$681,0),8)</f>
        <v>#N/A</v>
      </c>
      <c r="T886" s="18"/>
      <c r="U886" s="18" t="str">
        <f t="shared" si="111"/>
        <v>7</v>
      </c>
      <c r="V886" s="18" t="str">
        <f>IF($L886&lt;"6",INDEX(Revenue_type,MATCH(U886*1,type!$A$118:$A$168,0),8),INDEX(Expenditure_type,MATCH(U886*1,type!$A$2:$A$117,0),8))</f>
        <v>הוצאות לפעולות</v>
      </c>
      <c r="W886" s="18" t="str">
        <f t="shared" si="112"/>
        <v>70</v>
      </c>
      <c r="X886" s="18" t="e">
        <f>IF($L886&lt;"6",INDEX(Revenue_type,MATCH(W886*1,type!$A$118:$A$168,0),8),INDEX(Expenditure_type,MATCH(W886*1,type!$A$2:$A$117,0),8))</f>
        <v>#N/A</v>
      </c>
      <c r="Y886" s="18" t="str">
        <f t="shared" si="113"/>
        <v>700</v>
      </c>
      <c r="Z886" s="18" t="e">
        <f>IF($L886&lt;"6",INDEX(Revenue_type,MATCH(Y886*1,type!$A$118:$A$168,0),8),INDEX(Expenditure_type,MATCH(Y886*1,type!$A$2:$A$117,0),8))</f>
        <v>#N/A</v>
      </c>
    </row>
    <row r="887" spans="1:26" ht="15.75" hidden="1" customHeight="1" outlineLevel="2">
      <c r="A887">
        <v>100</v>
      </c>
      <c r="B887" s="249">
        <v>746200</v>
      </c>
      <c r="C887">
        <v>1</v>
      </c>
      <c r="D887" t="str">
        <f t="shared" si="106"/>
        <v>1746200.100</v>
      </c>
      <c r="E887" s="382" t="s">
        <v>8549</v>
      </c>
      <c r="F887" s="242"/>
      <c r="G887"/>
      <c r="H887" s="322">
        <v>6952700</v>
      </c>
      <c r="I887" s="322">
        <v>6873700</v>
      </c>
      <c r="J887" s="242">
        <v>6514100</v>
      </c>
      <c r="K887" s="18" t="e">
        <f>INDEX(תקציב_2013,MATCH(D887,'תקציב 2015'!$D$3:$D$5960,0),8)</f>
        <v>#N/A</v>
      </c>
      <c r="L887" s="18" t="str">
        <f t="shared" si="107"/>
        <v>7</v>
      </c>
      <c r="M887" s="18" t="str">
        <f>INDEX(Chapter,MATCH(L887,Chapter!$A$1:$A$681,0),8)</f>
        <v>שירותים מקומיים</v>
      </c>
      <c r="N887" s="18" t="str">
        <f t="shared" si="108"/>
        <v>74</v>
      </c>
      <c r="O887" s="18" t="str">
        <f>INDEX(Chapter,MATCH(N887,Chapter!$A$1:$A$681,0),8)</f>
        <v>נכסים ציבוריים</v>
      </c>
      <c r="P887" s="18" t="str">
        <f t="shared" si="109"/>
        <v>746</v>
      </c>
      <c r="Q887" s="18" t="str">
        <f>INDEX(Chapter,MATCH(P887,Chapter!$A$1:$A$681,0),8)</f>
        <v>גנים ונטיעות</v>
      </c>
      <c r="R887" s="18" t="str">
        <f t="shared" si="110"/>
        <v>7462</v>
      </c>
      <c r="S887" s="18" t="str">
        <f>INDEX(Chapter,MATCH(R887,Chapter!$A$1:$A$681,0),8)</f>
        <v>טיפוח פינות נוי</v>
      </c>
      <c r="T887" s="18"/>
      <c r="U887" s="18" t="str">
        <f t="shared" si="111"/>
        <v>1</v>
      </c>
      <c r="V887" s="18" t="str">
        <f>IF($L887&lt;"6",INDEX(Revenue_type,MATCH(U887*1,type!$A$118:$A$168,0),8),INDEX(Expenditure_type,MATCH(U887*1,type!$A$2:$A$117,0),8))</f>
        <v>משכורות וש"ע לעובדים לפי תקן</v>
      </c>
      <c r="W887" s="18" t="str">
        <f t="shared" si="112"/>
        <v>10</v>
      </c>
      <c r="X887" s="18" t="e">
        <f>IF($L887&lt;"6",INDEX(Revenue_type,MATCH(W887*1,type!$A$118:$A$168,0),8),INDEX(Expenditure_type,MATCH(W887*1,type!$A$2:$A$117,0),8))</f>
        <v>#N/A</v>
      </c>
      <c r="Y887" s="18" t="str">
        <f t="shared" si="113"/>
        <v>100</v>
      </c>
      <c r="Z887" s="18" t="e">
        <f>IF($L887&lt;"6",INDEX(Revenue_type,MATCH(Y887*1,type!$A$118:$A$168,0),8),INDEX(Expenditure_type,MATCH(Y887*1,type!$A$2:$A$117,0),8))</f>
        <v>#N/A</v>
      </c>
    </row>
    <row r="888" spans="1:26" ht="15.75" hidden="1" customHeight="1" outlineLevel="2">
      <c r="A888">
        <v>120</v>
      </c>
      <c r="B888" s="249">
        <v>746200</v>
      </c>
      <c r="C888">
        <v>1</v>
      </c>
      <c r="D888" t="str">
        <f t="shared" si="106"/>
        <v>1746200.120</v>
      </c>
      <c r="E888" s="382" t="s">
        <v>8550</v>
      </c>
      <c r="F888" s="242"/>
      <c r="G888"/>
      <c r="H888" s="322">
        <v>274300</v>
      </c>
      <c r="I888" s="322">
        <v>274300</v>
      </c>
      <c r="J888" s="242">
        <v>240500</v>
      </c>
      <c r="K888" s="18" t="e">
        <f>INDEX(תקציב_2013,MATCH(D888,'תקציב 2015'!$D$3:$D$5960,0),8)</f>
        <v>#N/A</v>
      </c>
      <c r="L888" s="18" t="str">
        <f t="shared" si="107"/>
        <v>7</v>
      </c>
      <c r="M888" s="18" t="str">
        <f>INDEX(Chapter,MATCH(L888,Chapter!$A$1:$A$681,0),8)</f>
        <v>שירותים מקומיים</v>
      </c>
      <c r="N888" s="18" t="str">
        <f t="shared" si="108"/>
        <v>74</v>
      </c>
      <c r="O888" s="18" t="str">
        <f>INDEX(Chapter,MATCH(N888,Chapter!$A$1:$A$681,0),8)</f>
        <v>נכסים ציבוריים</v>
      </c>
      <c r="P888" s="18" t="str">
        <f t="shared" si="109"/>
        <v>746</v>
      </c>
      <c r="Q888" s="18" t="str">
        <f>INDEX(Chapter,MATCH(P888,Chapter!$A$1:$A$681,0),8)</f>
        <v>גנים ונטיעות</v>
      </c>
      <c r="R888" s="18" t="str">
        <f t="shared" si="110"/>
        <v>7462</v>
      </c>
      <c r="S888" s="18" t="str">
        <f>INDEX(Chapter,MATCH(R888,Chapter!$A$1:$A$681,0),8)</f>
        <v>טיפוח פינות נוי</v>
      </c>
      <c r="T888" s="18"/>
      <c r="U888" s="18" t="str">
        <f t="shared" si="111"/>
        <v>1</v>
      </c>
      <c r="V888" s="18" t="str">
        <f>IF($L888&lt;"6",INDEX(Revenue_type,MATCH(U888*1,type!$A$118:$A$168,0),8),INDEX(Expenditure_type,MATCH(U888*1,type!$A$2:$A$117,0),8))</f>
        <v>משכורות וש"ע לעובדים לפי תקן</v>
      </c>
      <c r="W888" s="18" t="str">
        <f t="shared" si="112"/>
        <v>12</v>
      </c>
      <c r="X888" s="18" t="str">
        <f>IF($L888&lt;"6",INDEX(Revenue_type,MATCH(W888*1,type!$A$118:$A$168,0),8),INDEX(Expenditure_type,MATCH(W888*1,type!$A$2:$A$117,0),8))</f>
        <v>תוספות שאינן נכללות בשכר הקובע</v>
      </c>
      <c r="Y888" s="18" t="str">
        <f t="shared" si="113"/>
        <v>120</v>
      </c>
      <c r="Z888" s="18" t="e">
        <f>IF($L888&lt;"6",INDEX(Revenue_type,MATCH(Y888*1,type!$A$118:$A$168,0),8),INDEX(Expenditure_type,MATCH(Y888*1,type!$A$2:$A$117,0),8))</f>
        <v>#N/A</v>
      </c>
    </row>
    <row r="889" spans="1:26" ht="15.75" hidden="1" customHeight="1" outlineLevel="2">
      <c r="A889">
        <v>400</v>
      </c>
      <c r="B889" s="249">
        <v>746200</v>
      </c>
      <c r="C889">
        <v>1</v>
      </c>
      <c r="D889" t="str">
        <f t="shared" si="106"/>
        <v>1746200.400</v>
      </c>
      <c r="E889" s="382" t="s">
        <v>8551</v>
      </c>
      <c r="F889" s="242"/>
      <c r="G889"/>
      <c r="H889" s="322">
        <v>55000</v>
      </c>
      <c r="I889" s="322">
        <v>55000</v>
      </c>
      <c r="J889" s="242">
        <v>82700</v>
      </c>
      <c r="K889" s="18" t="e">
        <f>INDEX(תקציב_2013,MATCH(D889,'תקציב 2015'!$D$3:$D$5960,0),8)</f>
        <v>#N/A</v>
      </c>
      <c r="L889" s="18" t="str">
        <f t="shared" si="107"/>
        <v>7</v>
      </c>
      <c r="M889" s="18" t="str">
        <f>INDEX(Chapter,MATCH(L889,Chapter!$A$1:$A$681,0),8)</f>
        <v>שירותים מקומיים</v>
      </c>
      <c r="N889" s="18" t="str">
        <f t="shared" si="108"/>
        <v>74</v>
      </c>
      <c r="O889" s="18" t="str">
        <f>INDEX(Chapter,MATCH(N889,Chapter!$A$1:$A$681,0),8)</f>
        <v>נכסים ציבוריים</v>
      </c>
      <c r="P889" s="18" t="str">
        <f t="shared" si="109"/>
        <v>746</v>
      </c>
      <c r="Q889" s="18" t="str">
        <f>INDEX(Chapter,MATCH(P889,Chapter!$A$1:$A$681,0),8)</f>
        <v>גנים ונטיעות</v>
      </c>
      <c r="R889" s="18" t="str">
        <f t="shared" si="110"/>
        <v>7462</v>
      </c>
      <c r="S889" s="18" t="str">
        <f>INDEX(Chapter,MATCH(R889,Chapter!$A$1:$A$681,0),8)</f>
        <v>טיפוח פינות נוי</v>
      </c>
      <c r="T889" s="18"/>
      <c r="U889" s="18" t="str">
        <f t="shared" si="111"/>
        <v>4</v>
      </c>
      <c r="V889" s="18" t="str">
        <f>IF($L889&lt;"6",INDEX(Revenue_type,MATCH(U889*1,type!$A$118:$A$168,0),8),INDEX(Expenditure_type,MATCH(U889*1,type!$A$2:$A$117,0),8))</f>
        <v>אחזקת בינים ואספקת ציוד</v>
      </c>
      <c r="W889" s="18" t="str">
        <f t="shared" si="112"/>
        <v>40</v>
      </c>
      <c r="X889" s="18" t="e">
        <f>IF($L889&lt;"6",INDEX(Revenue_type,MATCH(W889*1,type!$A$118:$A$168,0),8),INDEX(Expenditure_type,MATCH(W889*1,type!$A$2:$A$117,0),8))</f>
        <v>#N/A</v>
      </c>
      <c r="Y889" s="18" t="str">
        <f t="shared" si="113"/>
        <v>400</v>
      </c>
      <c r="Z889" s="18" t="e">
        <f>IF($L889&lt;"6",INDEX(Revenue_type,MATCH(Y889*1,type!$A$118:$A$168,0),8),INDEX(Expenditure_type,MATCH(Y889*1,type!$A$2:$A$117,0),8))</f>
        <v>#N/A</v>
      </c>
    </row>
    <row r="890" spans="1:26" ht="15.75" hidden="1" customHeight="1" outlineLevel="2">
      <c r="A890">
        <v>500</v>
      </c>
      <c r="B890" s="249">
        <v>746200</v>
      </c>
      <c r="C890">
        <v>1</v>
      </c>
      <c r="D890" t="str">
        <f t="shared" si="106"/>
        <v>1746200.500</v>
      </c>
      <c r="E890" s="382" t="s">
        <v>8552</v>
      </c>
      <c r="F890" s="242"/>
      <c r="G890"/>
      <c r="H890" s="322">
        <v>46600</v>
      </c>
      <c r="I890" s="322">
        <v>46600</v>
      </c>
      <c r="J890" s="242">
        <v>47500</v>
      </c>
      <c r="K890" s="18" t="e">
        <f>INDEX(תקציב_2013,MATCH(D890,'תקציב 2015'!$D$3:$D$5960,0),8)</f>
        <v>#N/A</v>
      </c>
      <c r="L890" s="18" t="str">
        <f t="shared" si="107"/>
        <v>7</v>
      </c>
      <c r="M890" s="18" t="str">
        <f>INDEX(Chapter,MATCH(L890,Chapter!$A$1:$A$681,0),8)</f>
        <v>שירותים מקומיים</v>
      </c>
      <c r="N890" s="18" t="str">
        <f t="shared" si="108"/>
        <v>74</v>
      </c>
      <c r="O890" s="18" t="str">
        <f>INDEX(Chapter,MATCH(N890,Chapter!$A$1:$A$681,0),8)</f>
        <v>נכסים ציבוריים</v>
      </c>
      <c r="P890" s="18" t="str">
        <f t="shared" si="109"/>
        <v>746</v>
      </c>
      <c r="Q890" s="18" t="str">
        <f>INDEX(Chapter,MATCH(P890,Chapter!$A$1:$A$681,0),8)</f>
        <v>גנים ונטיעות</v>
      </c>
      <c r="R890" s="18" t="str">
        <f t="shared" si="110"/>
        <v>7462</v>
      </c>
      <c r="S890" s="18" t="str">
        <f>INDEX(Chapter,MATCH(R890,Chapter!$A$1:$A$681,0),8)</f>
        <v>טיפוח פינות נוי</v>
      </c>
      <c r="T890" s="18"/>
      <c r="U890" s="18" t="str">
        <f t="shared" si="111"/>
        <v>5</v>
      </c>
      <c r="V890" s="18" t="str">
        <f>IF($L890&lt;"6",INDEX(Revenue_type,MATCH(U890*1,type!$A$118:$A$168,0),8),INDEX(Expenditure_type,MATCH(U890*1,type!$A$2:$A$117,0),8))</f>
        <v>הוצאות מנהליות</v>
      </c>
      <c r="W890" s="18" t="str">
        <f t="shared" si="112"/>
        <v>50</v>
      </c>
      <c r="X890" s="18" t="e">
        <f>IF($L890&lt;"6",INDEX(Revenue_type,MATCH(W890*1,type!$A$118:$A$168,0),8),INDEX(Expenditure_type,MATCH(W890*1,type!$A$2:$A$117,0),8))</f>
        <v>#N/A</v>
      </c>
      <c r="Y890" s="18" t="str">
        <f t="shared" si="113"/>
        <v>500</v>
      </c>
      <c r="Z890" s="18" t="e">
        <f>IF($L890&lt;"6",INDEX(Revenue_type,MATCH(Y890*1,type!$A$118:$A$168,0),8),INDEX(Expenditure_type,MATCH(Y890*1,type!$A$2:$A$117,0),8))</f>
        <v>#N/A</v>
      </c>
    </row>
    <row r="891" spans="1:26" ht="15.75" hidden="1" customHeight="1" outlineLevel="2">
      <c r="A891">
        <v>500</v>
      </c>
      <c r="B891" s="249">
        <v>746200</v>
      </c>
      <c r="C891">
        <v>1</v>
      </c>
      <c r="D891" t="str">
        <f t="shared" si="106"/>
        <v>1746200.500</v>
      </c>
      <c r="E891" s="382" t="s">
        <v>8553</v>
      </c>
      <c r="F891" s="242"/>
      <c r="G891"/>
      <c r="H891" s="322">
        <v>10000</v>
      </c>
      <c r="I891" s="322">
        <v>10000</v>
      </c>
      <c r="J891" s="242">
        <v>6800</v>
      </c>
      <c r="K891" s="18" t="e">
        <f>INDEX(תקציב_2013,MATCH(D891,'תקציב 2015'!$D$3:$D$5960,0),8)</f>
        <v>#N/A</v>
      </c>
      <c r="L891" s="18" t="str">
        <f t="shared" si="107"/>
        <v>7</v>
      </c>
      <c r="M891" s="18" t="str">
        <f>INDEX(Chapter,MATCH(L891,Chapter!$A$1:$A$681,0),8)</f>
        <v>שירותים מקומיים</v>
      </c>
      <c r="N891" s="18" t="str">
        <f t="shared" si="108"/>
        <v>74</v>
      </c>
      <c r="O891" s="18" t="str">
        <f>INDEX(Chapter,MATCH(N891,Chapter!$A$1:$A$681,0),8)</f>
        <v>נכסים ציבוריים</v>
      </c>
      <c r="P891" s="18" t="str">
        <f t="shared" si="109"/>
        <v>746</v>
      </c>
      <c r="Q891" s="18" t="str">
        <f>INDEX(Chapter,MATCH(P891,Chapter!$A$1:$A$681,0),8)</f>
        <v>גנים ונטיעות</v>
      </c>
      <c r="R891" s="18" t="str">
        <f t="shared" si="110"/>
        <v>7462</v>
      </c>
      <c r="S891" s="18" t="str">
        <f>INDEX(Chapter,MATCH(R891,Chapter!$A$1:$A$681,0),8)</f>
        <v>טיפוח פינות נוי</v>
      </c>
      <c r="T891" s="18"/>
      <c r="U891" s="18" t="str">
        <f t="shared" si="111"/>
        <v>5</v>
      </c>
      <c r="V891" s="18" t="str">
        <f>IF($L891&lt;"6",INDEX(Revenue_type,MATCH(U891*1,type!$A$118:$A$168,0),8),INDEX(Expenditure_type,MATCH(U891*1,type!$A$2:$A$117,0),8))</f>
        <v>הוצאות מנהליות</v>
      </c>
      <c r="W891" s="18" t="str">
        <f t="shared" si="112"/>
        <v>50</v>
      </c>
      <c r="X891" s="18" t="e">
        <f>IF($L891&lt;"6",INDEX(Revenue_type,MATCH(W891*1,type!$A$118:$A$168,0),8),INDEX(Expenditure_type,MATCH(W891*1,type!$A$2:$A$117,0),8))</f>
        <v>#N/A</v>
      </c>
      <c r="Y891" s="18" t="str">
        <f t="shared" si="113"/>
        <v>500</v>
      </c>
      <c r="Z891" s="18" t="e">
        <f>IF($L891&lt;"6",INDEX(Revenue_type,MATCH(Y891*1,type!$A$118:$A$168,0),8),INDEX(Expenditure_type,MATCH(Y891*1,type!$A$2:$A$117,0),8))</f>
        <v>#N/A</v>
      </c>
    </row>
    <row r="892" spans="1:26" ht="15.75" hidden="1" customHeight="1" outlineLevel="2">
      <c r="A892">
        <v>700</v>
      </c>
      <c r="B892" s="249">
        <v>746200</v>
      </c>
      <c r="C892">
        <v>1</v>
      </c>
      <c r="D892" t="str">
        <f t="shared" si="106"/>
        <v>1746200.700</v>
      </c>
      <c r="E892" s="382" t="s">
        <v>8554</v>
      </c>
      <c r="F892" s="242"/>
      <c r="G892"/>
      <c r="H892" s="322">
        <v>28602500</v>
      </c>
      <c r="I892" s="322">
        <v>29446700</v>
      </c>
      <c r="J892" s="242">
        <v>29894500</v>
      </c>
      <c r="K892" s="18" t="e">
        <f>INDEX(תקציב_2013,MATCH(D892,'תקציב 2015'!$D$3:$D$5960,0),8)</f>
        <v>#N/A</v>
      </c>
      <c r="L892" s="18" t="str">
        <f t="shared" si="107"/>
        <v>7</v>
      </c>
      <c r="M892" s="18" t="str">
        <f>INDEX(Chapter,MATCH(L892,Chapter!$A$1:$A$681,0),8)</f>
        <v>שירותים מקומיים</v>
      </c>
      <c r="N892" s="18" t="str">
        <f t="shared" si="108"/>
        <v>74</v>
      </c>
      <c r="O892" s="18" t="str">
        <f>INDEX(Chapter,MATCH(N892,Chapter!$A$1:$A$681,0),8)</f>
        <v>נכסים ציבוריים</v>
      </c>
      <c r="P892" s="18" t="str">
        <f t="shared" si="109"/>
        <v>746</v>
      </c>
      <c r="Q892" s="18" t="str">
        <f>INDEX(Chapter,MATCH(P892,Chapter!$A$1:$A$681,0),8)</f>
        <v>גנים ונטיעות</v>
      </c>
      <c r="R892" s="18" t="str">
        <f t="shared" si="110"/>
        <v>7462</v>
      </c>
      <c r="S892" s="18" t="str">
        <f>INDEX(Chapter,MATCH(R892,Chapter!$A$1:$A$681,0),8)</f>
        <v>טיפוח פינות נוי</v>
      </c>
      <c r="T892" s="18"/>
      <c r="U892" s="18" t="str">
        <f t="shared" si="111"/>
        <v>7</v>
      </c>
      <c r="V892" s="18" t="str">
        <f>IF($L892&lt;"6",INDEX(Revenue_type,MATCH(U892*1,type!$A$118:$A$168,0),8),INDEX(Expenditure_type,MATCH(U892*1,type!$A$2:$A$117,0),8))</f>
        <v>הוצאות לפעולות</v>
      </c>
      <c r="W892" s="18" t="str">
        <f t="shared" si="112"/>
        <v>70</v>
      </c>
      <c r="X892" s="18" t="e">
        <f>IF($L892&lt;"6",INDEX(Revenue_type,MATCH(W892*1,type!$A$118:$A$168,0),8),INDEX(Expenditure_type,MATCH(W892*1,type!$A$2:$A$117,0),8))</f>
        <v>#N/A</v>
      </c>
      <c r="Y892" s="18" t="str">
        <f t="shared" si="113"/>
        <v>700</v>
      </c>
      <c r="Z892" s="18" t="e">
        <f>IF($L892&lt;"6",INDEX(Revenue_type,MATCH(Y892*1,type!$A$118:$A$168,0),8),INDEX(Expenditure_type,MATCH(Y892*1,type!$A$2:$A$117,0),8))</f>
        <v>#N/A</v>
      </c>
    </row>
    <row r="893" spans="1:26" ht="15.75" hidden="1" customHeight="1" outlineLevel="2">
      <c r="A893">
        <v>100</v>
      </c>
      <c r="B893" s="249">
        <v>745000</v>
      </c>
      <c r="C893">
        <v>1</v>
      </c>
      <c r="D893" t="str">
        <f t="shared" si="106"/>
        <v>1745000.100</v>
      </c>
      <c r="E893" s="382" t="s">
        <v>8555</v>
      </c>
      <c r="F893" s="242"/>
      <c r="G893"/>
      <c r="H893" s="322">
        <v>3838600</v>
      </c>
      <c r="I893" s="322">
        <v>3793600</v>
      </c>
      <c r="J893" s="242">
        <v>3828500</v>
      </c>
      <c r="K893" s="18" t="e">
        <f>INDEX(תקציב_2013,MATCH(D893,'תקציב 2015'!$D$3:$D$5960,0),8)</f>
        <v>#N/A</v>
      </c>
      <c r="L893" s="18" t="str">
        <f t="shared" si="107"/>
        <v>7</v>
      </c>
      <c r="M893" s="18" t="str">
        <f>INDEX(Chapter,MATCH(L893,Chapter!$A$1:$A$681,0),8)</f>
        <v>שירותים מקומיים</v>
      </c>
      <c r="N893" s="18" t="str">
        <f t="shared" si="108"/>
        <v>74</v>
      </c>
      <c r="O893" s="18" t="str">
        <f>INDEX(Chapter,MATCH(N893,Chapter!$A$1:$A$681,0),8)</f>
        <v>נכסים ציבוריים</v>
      </c>
      <c r="P893" s="18" t="str">
        <f t="shared" si="109"/>
        <v>745</v>
      </c>
      <c r="Q893" s="18" t="str">
        <f>INDEX(Chapter,MATCH(P893,Chapter!$A$1:$A$681,0),8)</f>
        <v>תיעול וניקוז</v>
      </c>
      <c r="R893" s="18" t="str">
        <f t="shared" si="110"/>
        <v>7450</v>
      </c>
      <c r="S893" s="18" t="e">
        <f>INDEX(Chapter,MATCH(R893,Chapter!$A$1:$A$681,0),8)</f>
        <v>#N/A</v>
      </c>
      <c r="T893" s="18"/>
      <c r="U893" s="18" t="str">
        <f t="shared" si="111"/>
        <v>1</v>
      </c>
      <c r="V893" s="18" t="str">
        <f>IF($L893&lt;"6",INDEX(Revenue_type,MATCH(U893*1,type!$A$118:$A$168,0),8),INDEX(Expenditure_type,MATCH(U893*1,type!$A$2:$A$117,0),8))</f>
        <v>משכורות וש"ע לעובדים לפי תקן</v>
      </c>
      <c r="W893" s="18" t="str">
        <f t="shared" si="112"/>
        <v>10</v>
      </c>
      <c r="X893" s="18" t="e">
        <f>IF($L893&lt;"6",INDEX(Revenue_type,MATCH(W893*1,type!$A$118:$A$168,0),8),INDEX(Expenditure_type,MATCH(W893*1,type!$A$2:$A$117,0),8))</f>
        <v>#N/A</v>
      </c>
      <c r="Y893" s="18" t="str">
        <f t="shared" si="113"/>
        <v>100</v>
      </c>
      <c r="Z893" s="18" t="e">
        <f>IF($L893&lt;"6",INDEX(Revenue_type,MATCH(Y893*1,type!$A$118:$A$168,0),8),INDEX(Expenditure_type,MATCH(Y893*1,type!$A$2:$A$117,0),8))</f>
        <v>#N/A</v>
      </c>
    </row>
    <row r="894" spans="1:26" ht="15.75" hidden="1" customHeight="1" outlineLevel="2">
      <c r="A894">
        <v>120</v>
      </c>
      <c r="B894" s="249">
        <v>745000</v>
      </c>
      <c r="C894">
        <v>1</v>
      </c>
      <c r="D894" t="str">
        <f t="shared" si="106"/>
        <v>1745000.120</v>
      </c>
      <c r="E894" s="382" t="s">
        <v>8556</v>
      </c>
      <c r="F894" s="242"/>
      <c r="G894"/>
      <c r="H894" s="322">
        <v>294400</v>
      </c>
      <c r="I894" s="322">
        <v>294400</v>
      </c>
      <c r="J894" s="242">
        <v>197700</v>
      </c>
      <c r="K894" s="18" t="e">
        <f>INDEX(תקציב_2013,MATCH(D894,'תקציב 2015'!$D$3:$D$5960,0),8)</f>
        <v>#N/A</v>
      </c>
      <c r="L894" s="18" t="str">
        <f t="shared" si="107"/>
        <v>7</v>
      </c>
      <c r="M894" s="18" t="str">
        <f>INDEX(Chapter,MATCH(L894,Chapter!$A$1:$A$681,0),8)</f>
        <v>שירותים מקומיים</v>
      </c>
      <c r="N894" s="18" t="str">
        <f t="shared" si="108"/>
        <v>74</v>
      </c>
      <c r="O894" s="18" t="str">
        <f>INDEX(Chapter,MATCH(N894,Chapter!$A$1:$A$681,0),8)</f>
        <v>נכסים ציבוריים</v>
      </c>
      <c r="P894" s="18" t="str">
        <f t="shared" si="109"/>
        <v>745</v>
      </c>
      <c r="Q894" s="18" t="str">
        <f>INDEX(Chapter,MATCH(P894,Chapter!$A$1:$A$681,0),8)</f>
        <v>תיעול וניקוז</v>
      </c>
      <c r="R894" s="18" t="str">
        <f t="shared" si="110"/>
        <v>7450</v>
      </c>
      <c r="S894" s="18" t="e">
        <f>INDEX(Chapter,MATCH(R894,Chapter!$A$1:$A$681,0),8)</f>
        <v>#N/A</v>
      </c>
      <c r="T894" s="18"/>
      <c r="U894" s="18" t="str">
        <f t="shared" si="111"/>
        <v>1</v>
      </c>
      <c r="V894" s="18" t="str">
        <f>IF($L894&lt;"6",INDEX(Revenue_type,MATCH(U894*1,type!$A$118:$A$168,0),8),INDEX(Expenditure_type,MATCH(U894*1,type!$A$2:$A$117,0),8))</f>
        <v>משכורות וש"ע לעובדים לפי תקן</v>
      </c>
      <c r="W894" s="18" t="str">
        <f t="shared" si="112"/>
        <v>12</v>
      </c>
      <c r="X894" s="18" t="str">
        <f>IF($L894&lt;"6",INDEX(Revenue_type,MATCH(W894*1,type!$A$118:$A$168,0),8),INDEX(Expenditure_type,MATCH(W894*1,type!$A$2:$A$117,0),8))</f>
        <v>תוספות שאינן נכללות בשכר הקובע</v>
      </c>
      <c r="Y894" s="18" t="str">
        <f t="shared" si="113"/>
        <v>120</v>
      </c>
      <c r="Z894" s="18" t="e">
        <f>IF($L894&lt;"6",INDEX(Revenue_type,MATCH(Y894*1,type!$A$118:$A$168,0),8),INDEX(Expenditure_type,MATCH(Y894*1,type!$A$2:$A$117,0),8))</f>
        <v>#N/A</v>
      </c>
    </row>
    <row r="895" spans="1:26" ht="15.75" hidden="1" customHeight="1" outlineLevel="2">
      <c r="A895">
        <v>400</v>
      </c>
      <c r="B895" s="249">
        <v>745000</v>
      </c>
      <c r="C895">
        <v>1</v>
      </c>
      <c r="D895" t="str">
        <f t="shared" si="106"/>
        <v>1745000.400</v>
      </c>
      <c r="E895" s="382" t="s">
        <v>8557</v>
      </c>
      <c r="F895" s="242"/>
      <c r="G895"/>
      <c r="H895" s="322">
        <v>129000</v>
      </c>
      <c r="I895" s="322">
        <v>129000</v>
      </c>
      <c r="J895" s="242">
        <v>144400</v>
      </c>
      <c r="K895" s="18" t="e">
        <f>INDEX(תקציב_2013,MATCH(D895,'תקציב 2015'!$D$3:$D$5960,0),8)</f>
        <v>#N/A</v>
      </c>
      <c r="L895" s="18" t="str">
        <f t="shared" si="107"/>
        <v>7</v>
      </c>
      <c r="M895" s="18" t="str">
        <f>INDEX(Chapter,MATCH(L895,Chapter!$A$1:$A$681,0),8)</f>
        <v>שירותים מקומיים</v>
      </c>
      <c r="N895" s="18" t="str">
        <f t="shared" si="108"/>
        <v>74</v>
      </c>
      <c r="O895" s="18" t="str">
        <f>INDEX(Chapter,MATCH(N895,Chapter!$A$1:$A$681,0),8)</f>
        <v>נכסים ציבוריים</v>
      </c>
      <c r="P895" s="18" t="str">
        <f t="shared" si="109"/>
        <v>745</v>
      </c>
      <c r="Q895" s="18" t="str">
        <f>INDEX(Chapter,MATCH(P895,Chapter!$A$1:$A$681,0),8)</f>
        <v>תיעול וניקוז</v>
      </c>
      <c r="R895" s="18" t="str">
        <f t="shared" si="110"/>
        <v>7450</v>
      </c>
      <c r="S895" s="18" t="e">
        <f>INDEX(Chapter,MATCH(R895,Chapter!$A$1:$A$681,0),8)</f>
        <v>#N/A</v>
      </c>
      <c r="T895" s="18"/>
      <c r="U895" s="18" t="str">
        <f t="shared" si="111"/>
        <v>4</v>
      </c>
      <c r="V895" s="18" t="str">
        <f>IF($L895&lt;"6",INDEX(Revenue_type,MATCH(U895*1,type!$A$118:$A$168,0),8),INDEX(Expenditure_type,MATCH(U895*1,type!$A$2:$A$117,0),8))</f>
        <v>אחזקת בינים ואספקת ציוד</v>
      </c>
      <c r="W895" s="18" t="str">
        <f t="shared" si="112"/>
        <v>40</v>
      </c>
      <c r="X895" s="18" t="e">
        <f>IF($L895&lt;"6",INDEX(Revenue_type,MATCH(W895*1,type!$A$118:$A$168,0),8),INDEX(Expenditure_type,MATCH(W895*1,type!$A$2:$A$117,0),8))</f>
        <v>#N/A</v>
      </c>
      <c r="Y895" s="18" t="str">
        <f t="shared" si="113"/>
        <v>400</v>
      </c>
      <c r="Z895" s="18" t="e">
        <f>IF($L895&lt;"6",INDEX(Revenue_type,MATCH(Y895*1,type!$A$118:$A$168,0),8),INDEX(Expenditure_type,MATCH(Y895*1,type!$A$2:$A$117,0),8))</f>
        <v>#N/A</v>
      </c>
    </row>
    <row r="896" spans="1:26" ht="15.75" hidden="1" customHeight="1" outlineLevel="2">
      <c r="A896">
        <v>500</v>
      </c>
      <c r="B896" s="249">
        <v>745000</v>
      </c>
      <c r="C896">
        <v>1</v>
      </c>
      <c r="D896" t="str">
        <f t="shared" si="106"/>
        <v>1745000.500</v>
      </c>
      <c r="E896" s="381" t="s">
        <v>8558</v>
      </c>
      <c r="F896" s="242"/>
      <c r="G896"/>
      <c r="H896" s="322">
        <v>22400</v>
      </c>
      <c r="I896" s="322">
        <v>22400</v>
      </c>
      <c r="J896" s="242">
        <v>6100</v>
      </c>
      <c r="K896" s="18" t="e">
        <f>INDEX(תקציב_2013,MATCH(D896,'תקציב 2015'!$D$3:$D$5960,0),8)</f>
        <v>#N/A</v>
      </c>
      <c r="L896" s="18" t="str">
        <f t="shared" si="107"/>
        <v>7</v>
      </c>
      <c r="M896" s="18" t="str">
        <f>INDEX(Chapter,MATCH(L896,Chapter!$A$1:$A$681,0),8)</f>
        <v>שירותים מקומיים</v>
      </c>
      <c r="N896" s="18" t="str">
        <f t="shared" si="108"/>
        <v>74</v>
      </c>
      <c r="O896" s="18" t="str">
        <f>INDEX(Chapter,MATCH(N896,Chapter!$A$1:$A$681,0),8)</f>
        <v>נכסים ציבוריים</v>
      </c>
      <c r="P896" s="18" t="str">
        <f t="shared" si="109"/>
        <v>745</v>
      </c>
      <c r="Q896" s="18" t="str">
        <f>INDEX(Chapter,MATCH(P896,Chapter!$A$1:$A$681,0),8)</f>
        <v>תיעול וניקוז</v>
      </c>
      <c r="R896" s="18" t="str">
        <f t="shared" si="110"/>
        <v>7450</v>
      </c>
      <c r="S896" s="18" t="e">
        <f>INDEX(Chapter,MATCH(R896,Chapter!$A$1:$A$681,0),8)</f>
        <v>#N/A</v>
      </c>
      <c r="T896" s="18"/>
      <c r="U896" s="18" t="str">
        <f t="shared" si="111"/>
        <v>5</v>
      </c>
      <c r="V896" s="18" t="str">
        <f>IF($L896&lt;"6",INDEX(Revenue_type,MATCH(U896*1,type!$A$118:$A$168,0),8),INDEX(Expenditure_type,MATCH(U896*1,type!$A$2:$A$117,0),8))</f>
        <v>הוצאות מנהליות</v>
      </c>
      <c r="W896" s="18" t="str">
        <f t="shared" si="112"/>
        <v>50</v>
      </c>
      <c r="X896" s="18" t="e">
        <f>IF($L896&lt;"6",INDEX(Revenue_type,MATCH(W896*1,type!$A$118:$A$168,0),8),INDEX(Expenditure_type,MATCH(W896*1,type!$A$2:$A$117,0),8))</f>
        <v>#N/A</v>
      </c>
      <c r="Y896" s="18" t="str">
        <f t="shared" si="113"/>
        <v>500</v>
      </c>
      <c r="Z896" s="18" t="e">
        <f>IF($L896&lt;"6",INDEX(Revenue_type,MATCH(Y896*1,type!$A$118:$A$168,0),8),INDEX(Expenditure_type,MATCH(Y896*1,type!$A$2:$A$117,0),8))</f>
        <v>#N/A</v>
      </c>
    </row>
    <row r="897" spans="1:26" ht="15.75" hidden="1" customHeight="1" outlineLevel="2">
      <c r="A897">
        <v>500</v>
      </c>
      <c r="B897" s="249">
        <v>745000</v>
      </c>
      <c r="C897">
        <v>1</v>
      </c>
      <c r="D897" t="str">
        <f t="shared" si="106"/>
        <v>1745000.500</v>
      </c>
      <c r="E897" s="385" t="s">
        <v>8559</v>
      </c>
      <c r="F897" s="242"/>
      <c r="G897"/>
      <c r="H897" s="322">
        <v>2000</v>
      </c>
      <c r="I897" s="322">
        <v>2000</v>
      </c>
      <c r="J897" s="242">
        <v>1200</v>
      </c>
      <c r="K897" s="18" t="e">
        <f>INDEX(תקציב_2013,MATCH(D897,'תקציב 2015'!$D$3:$D$5960,0),8)</f>
        <v>#N/A</v>
      </c>
      <c r="L897" s="18" t="str">
        <f t="shared" si="107"/>
        <v>7</v>
      </c>
      <c r="M897" s="18" t="str">
        <f>INDEX(Chapter,MATCH(L897,Chapter!$A$1:$A$681,0),8)</f>
        <v>שירותים מקומיים</v>
      </c>
      <c r="N897" s="18" t="str">
        <f t="shared" si="108"/>
        <v>74</v>
      </c>
      <c r="O897" s="18" t="str">
        <f>INDEX(Chapter,MATCH(N897,Chapter!$A$1:$A$681,0),8)</f>
        <v>נכסים ציבוריים</v>
      </c>
      <c r="P897" s="18" t="str">
        <f t="shared" si="109"/>
        <v>745</v>
      </c>
      <c r="Q897" s="18" t="str">
        <f>INDEX(Chapter,MATCH(P897,Chapter!$A$1:$A$681,0),8)</f>
        <v>תיעול וניקוז</v>
      </c>
      <c r="R897" s="18" t="str">
        <f t="shared" si="110"/>
        <v>7450</v>
      </c>
      <c r="S897" s="18" t="e">
        <f>INDEX(Chapter,MATCH(R897,Chapter!$A$1:$A$681,0),8)</f>
        <v>#N/A</v>
      </c>
      <c r="T897" s="18"/>
      <c r="U897" s="18" t="str">
        <f t="shared" si="111"/>
        <v>5</v>
      </c>
      <c r="V897" s="18" t="str">
        <f>IF($L897&lt;"6",INDEX(Revenue_type,MATCH(U897*1,type!$A$118:$A$168,0),8),INDEX(Expenditure_type,MATCH(U897*1,type!$A$2:$A$117,0),8))</f>
        <v>הוצאות מנהליות</v>
      </c>
      <c r="W897" s="18" t="str">
        <f t="shared" si="112"/>
        <v>50</v>
      </c>
      <c r="X897" s="18" t="e">
        <f>IF($L897&lt;"6",INDEX(Revenue_type,MATCH(W897*1,type!$A$118:$A$168,0),8),INDEX(Expenditure_type,MATCH(W897*1,type!$A$2:$A$117,0),8))</f>
        <v>#N/A</v>
      </c>
      <c r="Y897" s="18" t="str">
        <f t="shared" si="113"/>
        <v>500</v>
      </c>
      <c r="Z897" s="18" t="e">
        <f>IF($L897&lt;"6",INDEX(Revenue_type,MATCH(Y897*1,type!$A$118:$A$168,0),8),INDEX(Expenditure_type,MATCH(Y897*1,type!$A$2:$A$117,0),8))</f>
        <v>#N/A</v>
      </c>
    </row>
    <row r="898" spans="1:26" ht="15.75" hidden="1" customHeight="1" outlineLevel="2">
      <c r="A898">
        <v>700</v>
      </c>
      <c r="B898" s="249">
        <v>745000</v>
      </c>
      <c r="C898">
        <v>1</v>
      </c>
      <c r="D898" t="str">
        <f t="shared" si="106"/>
        <v>1745000.700</v>
      </c>
      <c r="E898" s="385" t="s">
        <v>8560</v>
      </c>
      <c r="F898" s="242"/>
      <c r="G898"/>
      <c r="H898" s="322">
        <v>53800</v>
      </c>
      <c r="I898" s="322">
        <v>59900</v>
      </c>
      <c r="J898" s="242">
        <v>68000</v>
      </c>
      <c r="K898" s="18" t="e">
        <f>INDEX(תקציב_2013,MATCH(D898,'תקציב 2015'!$D$3:$D$5960,0),8)</f>
        <v>#N/A</v>
      </c>
      <c r="L898" s="18" t="str">
        <f t="shared" si="107"/>
        <v>7</v>
      </c>
      <c r="M898" s="18" t="str">
        <f>INDEX(Chapter,MATCH(L898,Chapter!$A$1:$A$681,0),8)</f>
        <v>שירותים מקומיים</v>
      </c>
      <c r="N898" s="18" t="str">
        <f t="shared" si="108"/>
        <v>74</v>
      </c>
      <c r="O898" s="18" t="str">
        <f>INDEX(Chapter,MATCH(N898,Chapter!$A$1:$A$681,0),8)</f>
        <v>נכסים ציבוריים</v>
      </c>
      <c r="P898" s="18" t="str">
        <f t="shared" si="109"/>
        <v>745</v>
      </c>
      <c r="Q898" s="18" t="str">
        <f>INDEX(Chapter,MATCH(P898,Chapter!$A$1:$A$681,0),8)</f>
        <v>תיעול וניקוז</v>
      </c>
      <c r="R898" s="18" t="str">
        <f t="shared" si="110"/>
        <v>7450</v>
      </c>
      <c r="S898" s="18" t="e">
        <f>INDEX(Chapter,MATCH(R898,Chapter!$A$1:$A$681,0),8)</f>
        <v>#N/A</v>
      </c>
      <c r="T898" s="18"/>
      <c r="U898" s="18" t="str">
        <f t="shared" si="111"/>
        <v>7</v>
      </c>
      <c r="V898" s="18" t="str">
        <f>IF($L898&lt;"6",INDEX(Revenue_type,MATCH(U898*1,type!$A$118:$A$168,0),8),INDEX(Expenditure_type,MATCH(U898*1,type!$A$2:$A$117,0),8))</f>
        <v>הוצאות לפעולות</v>
      </c>
      <c r="W898" s="18" t="str">
        <f t="shared" si="112"/>
        <v>70</v>
      </c>
      <c r="X898" s="18" t="e">
        <f>IF($L898&lt;"6",INDEX(Revenue_type,MATCH(W898*1,type!$A$118:$A$168,0),8),INDEX(Expenditure_type,MATCH(W898*1,type!$A$2:$A$117,0),8))</f>
        <v>#N/A</v>
      </c>
      <c r="Y898" s="18" t="str">
        <f t="shared" si="113"/>
        <v>700</v>
      </c>
      <c r="Z898" s="18" t="e">
        <f>IF($L898&lt;"6",INDEX(Revenue_type,MATCH(Y898*1,type!$A$118:$A$168,0),8),INDEX(Expenditure_type,MATCH(Y898*1,type!$A$2:$A$117,0),8))</f>
        <v>#N/A</v>
      </c>
    </row>
    <row r="899" spans="1:26" ht="15.75" hidden="1" customHeight="1" outlineLevel="2">
      <c r="A899">
        <v>100</v>
      </c>
      <c r="B899" s="249">
        <v>747400</v>
      </c>
      <c r="C899">
        <v>1</v>
      </c>
      <c r="D899" t="str">
        <f t="shared" si="106"/>
        <v>1747400.100</v>
      </c>
      <c r="E899" s="385" t="s">
        <v>8561</v>
      </c>
      <c r="F899" s="242"/>
      <c r="G899"/>
      <c r="H899" s="322">
        <v>1660300</v>
      </c>
      <c r="I899" s="322">
        <v>1641300</v>
      </c>
      <c r="J899" s="242">
        <v>1568000</v>
      </c>
      <c r="K899" s="18"/>
      <c r="L899" s="18" t="str">
        <f t="shared" si="107"/>
        <v>7</v>
      </c>
      <c r="M899" s="18" t="str">
        <f>INDEX(Chapter,MATCH(L899,Chapter!$A$1:$A$681,0),8)</f>
        <v>שירותים מקומיים</v>
      </c>
      <c r="N899" s="18" t="str">
        <f t="shared" si="108"/>
        <v>74</v>
      </c>
      <c r="O899" s="18" t="str">
        <f>INDEX(Chapter,MATCH(N899,Chapter!$A$1:$A$681,0),8)</f>
        <v>נכסים ציבוריים</v>
      </c>
      <c r="P899" s="18" t="str">
        <f t="shared" si="109"/>
        <v>747</v>
      </c>
      <c r="Q899" s="18" t="str">
        <f>INDEX(Chapter,MATCH(P899,Chapter!$A$1:$A$681,0),8)</f>
        <v>חופים, בריכות ומרחצאות</v>
      </c>
      <c r="R899" s="18" t="str">
        <f t="shared" si="110"/>
        <v>7474</v>
      </c>
      <c r="S899" s="18" t="str">
        <f>INDEX(Chapter,MATCH(R899,Chapter!$A$1:$A$681,0),8)</f>
        <v>מרחצאות</v>
      </c>
      <c r="T899" s="18"/>
      <c r="U899" s="18" t="str">
        <f t="shared" si="111"/>
        <v>1</v>
      </c>
      <c r="V899" s="18" t="str">
        <f>IF($L899&lt;"6",INDEX(Revenue_type,MATCH(U899*1,type!$A$118:$A$168,0),8),INDEX(Expenditure_type,MATCH(U899*1,type!$A$2:$A$117,0),8))</f>
        <v>משכורות וש"ע לעובדים לפי תקן</v>
      </c>
      <c r="W899" s="18" t="str">
        <f t="shared" si="112"/>
        <v>10</v>
      </c>
      <c r="X899" s="18" t="e">
        <f>IF($L899&lt;"6",INDEX(Revenue_type,MATCH(W899*1,type!$A$118:$A$168,0),8),INDEX(Expenditure_type,MATCH(W899*1,type!$A$2:$A$117,0),8))</f>
        <v>#N/A</v>
      </c>
      <c r="Y899" s="18" t="str">
        <f t="shared" si="113"/>
        <v>100</v>
      </c>
      <c r="Z899" s="18" t="e">
        <f>IF($L899&lt;"6",INDEX(Revenue_type,MATCH(Y899*1,type!$A$118:$A$168,0),8),INDEX(Expenditure_type,MATCH(Y899*1,type!$A$2:$A$117,0),8))</f>
        <v>#N/A</v>
      </c>
    </row>
    <row r="900" spans="1:26" ht="15.75" hidden="1" customHeight="1" outlineLevel="2">
      <c r="A900">
        <v>120</v>
      </c>
      <c r="B900" s="249">
        <v>747400</v>
      </c>
      <c r="C900">
        <v>1</v>
      </c>
      <c r="D900" t="str">
        <f t="shared" si="106"/>
        <v>1747400.120</v>
      </c>
      <c r="E900" s="382" t="s">
        <v>8562</v>
      </c>
      <c r="F900" s="242"/>
      <c r="G900"/>
      <c r="H900" s="322">
        <v>117700</v>
      </c>
      <c r="I900" s="322">
        <v>117700</v>
      </c>
      <c r="J900" s="242">
        <v>129100</v>
      </c>
      <c r="K900" s="18" t="e">
        <f>INDEX(תקציב_2013,MATCH(D900,'תקציב 2015'!$D$3:$D$5960,0),8)</f>
        <v>#N/A</v>
      </c>
      <c r="L900" s="18" t="str">
        <f t="shared" si="107"/>
        <v>7</v>
      </c>
      <c r="M900" s="18" t="str">
        <f>INDEX(Chapter,MATCH(L900,Chapter!$A$1:$A$681,0),8)</f>
        <v>שירותים מקומיים</v>
      </c>
      <c r="N900" s="18" t="str">
        <f t="shared" si="108"/>
        <v>74</v>
      </c>
      <c r="O900" s="18" t="str">
        <f>INDEX(Chapter,MATCH(N900,Chapter!$A$1:$A$681,0),8)</f>
        <v>נכסים ציבוריים</v>
      </c>
      <c r="P900" s="18" t="str">
        <f t="shared" si="109"/>
        <v>747</v>
      </c>
      <c r="Q900" s="18" t="str">
        <f>INDEX(Chapter,MATCH(P900,Chapter!$A$1:$A$681,0),8)</f>
        <v>חופים, בריכות ומרחצאות</v>
      </c>
      <c r="R900" s="18" t="str">
        <f t="shared" si="110"/>
        <v>7474</v>
      </c>
      <c r="S900" s="18" t="str">
        <f>INDEX(Chapter,MATCH(R900,Chapter!$A$1:$A$681,0),8)</f>
        <v>מרחצאות</v>
      </c>
      <c r="T900" s="18"/>
      <c r="U900" s="18" t="str">
        <f t="shared" si="111"/>
        <v>1</v>
      </c>
      <c r="V900" s="18" t="str">
        <f>IF($L900&lt;"6",INDEX(Revenue_type,MATCH(U900*1,type!$A$118:$A$168,0),8),INDEX(Expenditure_type,MATCH(U900*1,type!$A$2:$A$117,0),8))</f>
        <v>משכורות וש"ע לעובדים לפי תקן</v>
      </c>
      <c r="W900" s="18" t="str">
        <f t="shared" si="112"/>
        <v>12</v>
      </c>
      <c r="X900" s="18" t="str">
        <f>IF($L900&lt;"6",INDEX(Revenue_type,MATCH(W900*1,type!$A$118:$A$168,0),8),INDEX(Expenditure_type,MATCH(W900*1,type!$A$2:$A$117,0),8))</f>
        <v>תוספות שאינן נכללות בשכר הקובע</v>
      </c>
      <c r="Y900" s="18" t="str">
        <f t="shared" si="113"/>
        <v>120</v>
      </c>
      <c r="Z900" s="18" t="e">
        <f>IF($L900&lt;"6",INDEX(Revenue_type,MATCH(Y900*1,type!$A$118:$A$168,0),8),INDEX(Expenditure_type,MATCH(Y900*1,type!$A$2:$A$117,0),8))</f>
        <v>#N/A</v>
      </c>
    </row>
    <row r="901" spans="1:26" ht="15.75" hidden="1" customHeight="1" outlineLevel="2">
      <c r="A901">
        <v>400</v>
      </c>
      <c r="B901" s="249">
        <v>747400</v>
      </c>
      <c r="C901">
        <v>1</v>
      </c>
      <c r="D901" t="str">
        <f t="shared" si="106"/>
        <v>1747400.400</v>
      </c>
      <c r="E901" s="381" t="s">
        <v>8563</v>
      </c>
      <c r="F901" s="242"/>
      <c r="G901"/>
      <c r="H901" s="322">
        <v>198700</v>
      </c>
      <c r="I901" s="322">
        <v>204700</v>
      </c>
      <c r="J901" s="242">
        <v>228000</v>
      </c>
      <c r="K901" s="18" t="e">
        <f>INDEX(תקציב_2013,MATCH(D901,'תקציב 2015'!$D$3:$D$5960,0),8)</f>
        <v>#N/A</v>
      </c>
      <c r="L901" s="18" t="str">
        <f t="shared" si="107"/>
        <v>7</v>
      </c>
      <c r="M901" s="18" t="str">
        <f>INDEX(Chapter,MATCH(L901,Chapter!$A$1:$A$681,0),8)</f>
        <v>שירותים מקומיים</v>
      </c>
      <c r="N901" s="18" t="str">
        <f t="shared" si="108"/>
        <v>74</v>
      </c>
      <c r="O901" s="18" t="str">
        <f>INDEX(Chapter,MATCH(N901,Chapter!$A$1:$A$681,0),8)</f>
        <v>נכסים ציבוריים</v>
      </c>
      <c r="P901" s="18" t="str">
        <f t="shared" si="109"/>
        <v>747</v>
      </c>
      <c r="Q901" s="18" t="str">
        <f>INDEX(Chapter,MATCH(P901,Chapter!$A$1:$A$681,0),8)</f>
        <v>חופים, בריכות ומרחצאות</v>
      </c>
      <c r="R901" s="18" t="str">
        <f t="shared" si="110"/>
        <v>7474</v>
      </c>
      <c r="S901" s="18" t="str">
        <f>INDEX(Chapter,MATCH(R901,Chapter!$A$1:$A$681,0),8)</f>
        <v>מרחצאות</v>
      </c>
      <c r="T901" s="18"/>
      <c r="U901" s="18" t="str">
        <f t="shared" si="111"/>
        <v>4</v>
      </c>
      <c r="V901" s="18" t="str">
        <f>IF($L901&lt;"6",INDEX(Revenue_type,MATCH(U901*1,type!$A$118:$A$168,0),8),INDEX(Expenditure_type,MATCH(U901*1,type!$A$2:$A$117,0),8))</f>
        <v>אחזקת בינים ואספקת ציוד</v>
      </c>
      <c r="W901" s="18" t="str">
        <f t="shared" si="112"/>
        <v>40</v>
      </c>
      <c r="X901" s="18" t="e">
        <f>IF($L901&lt;"6",INDEX(Revenue_type,MATCH(W901*1,type!$A$118:$A$168,0),8),INDEX(Expenditure_type,MATCH(W901*1,type!$A$2:$A$117,0),8))</f>
        <v>#N/A</v>
      </c>
      <c r="Y901" s="18" t="str">
        <f t="shared" si="113"/>
        <v>400</v>
      </c>
      <c r="Z901" s="18" t="e">
        <f>IF($L901&lt;"6",INDEX(Revenue_type,MATCH(Y901*1,type!$A$118:$A$168,0),8),INDEX(Expenditure_type,MATCH(Y901*1,type!$A$2:$A$117,0),8))</f>
        <v>#N/A</v>
      </c>
    </row>
    <row r="902" spans="1:26" ht="15.75" hidden="1" customHeight="1" outlineLevel="2">
      <c r="A902">
        <v>500</v>
      </c>
      <c r="B902" s="249">
        <v>747400</v>
      </c>
      <c r="C902">
        <v>1</v>
      </c>
      <c r="D902" t="str">
        <f t="shared" si="106"/>
        <v>1747400.500</v>
      </c>
      <c r="E902" s="381" t="s">
        <v>8564</v>
      </c>
      <c r="F902" s="242"/>
      <c r="G902"/>
      <c r="H902" s="322">
        <v>8800</v>
      </c>
      <c r="I902" s="322">
        <v>9900</v>
      </c>
      <c r="J902" s="242">
        <v>9000</v>
      </c>
      <c r="K902" s="18" t="e">
        <f>INDEX(תקציב_2013,MATCH(D902,'תקציב 2015'!$D$3:$D$5960,0),8)</f>
        <v>#N/A</v>
      </c>
      <c r="L902" s="18" t="str">
        <f t="shared" si="107"/>
        <v>7</v>
      </c>
      <c r="M902" s="18" t="str">
        <f>INDEX(Chapter,MATCH(L902,Chapter!$A$1:$A$681,0),8)</f>
        <v>שירותים מקומיים</v>
      </c>
      <c r="N902" s="18" t="str">
        <f t="shared" si="108"/>
        <v>74</v>
      </c>
      <c r="O902" s="18" t="str">
        <f>INDEX(Chapter,MATCH(N902,Chapter!$A$1:$A$681,0),8)</f>
        <v>נכסים ציבוריים</v>
      </c>
      <c r="P902" s="18" t="str">
        <f t="shared" si="109"/>
        <v>747</v>
      </c>
      <c r="Q902" s="18" t="str">
        <f>INDEX(Chapter,MATCH(P902,Chapter!$A$1:$A$681,0),8)</f>
        <v>חופים, בריכות ומרחצאות</v>
      </c>
      <c r="R902" s="18" t="str">
        <f t="shared" si="110"/>
        <v>7474</v>
      </c>
      <c r="S902" s="18" t="str">
        <f>INDEX(Chapter,MATCH(R902,Chapter!$A$1:$A$681,0),8)</f>
        <v>מרחצאות</v>
      </c>
      <c r="T902" s="18"/>
      <c r="U902" s="18" t="str">
        <f t="shared" si="111"/>
        <v>5</v>
      </c>
      <c r="V902" s="18" t="str">
        <f>IF($L902&lt;"6",INDEX(Revenue_type,MATCH(U902*1,type!$A$118:$A$168,0),8),INDEX(Expenditure_type,MATCH(U902*1,type!$A$2:$A$117,0),8))</f>
        <v>הוצאות מנהליות</v>
      </c>
      <c r="W902" s="18" t="str">
        <f t="shared" si="112"/>
        <v>50</v>
      </c>
      <c r="X902" s="18" t="e">
        <f>IF($L902&lt;"6",INDEX(Revenue_type,MATCH(W902*1,type!$A$118:$A$168,0),8),INDEX(Expenditure_type,MATCH(W902*1,type!$A$2:$A$117,0),8))</f>
        <v>#N/A</v>
      </c>
      <c r="Y902" s="18" t="str">
        <f t="shared" si="113"/>
        <v>500</v>
      </c>
      <c r="Z902" s="18" t="e">
        <f>IF($L902&lt;"6",INDEX(Revenue_type,MATCH(Y902*1,type!$A$118:$A$168,0),8),INDEX(Expenditure_type,MATCH(Y902*1,type!$A$2:$A$117,0),8))</f>
        <v>#N/A</v>
      </c>
    </row>
    <row r="903" spans="1:26" ht="15.75" hidden="1" customHeight="1" outlineLevel="2">
      <c r="A903">
        <v>700</v>
      </c>
      <c r="B903" s="249">
        <v>747400</v>
      </c>
      <c r="C903">
        <v>1</v>
      </c>
      <c r="D903" t="str">
        <f t="shared" si="106"/>
        <v>1747400.700</v>
      </c>
      <c r="E903" s="381" t="s">
        <v>8565</v>
      </c>
      <c r="F903" s="242"/>
      <c r="G903"/>
      <c r="H903" s="322">
        <v>218400</v>
      </c>
      <c r="I903" s="322">
        <v>223800</v>
      </c>
      <c r="J903" s="242">
        <v>230900</v>
      </c>
      <c r="K903" s="18" t="e">
        <f>INDEX(תקציב_2013,MATCH(D903,'תקציב 2015'!$D$3:$D$5960,0),8)</f>
        <v>#N/A</v>
      </c>
      <c r="L903" s="18" t="str">
        <f t="shared" si="107"/>
        <v>7</v>
      </c>
      <c r="M903" s="18" t="str">
        <f>INDEX(Chapter,MATCH(L903,Chapter!$A$1:$A$681,0),8)</f>
        <v>שירותים מקומיים</v>
      </c>
      <c r="N903" s="18" t="str">
        <f t="shared" si="108"/>
        <v>74</v>
      </c>
      <c r="O903" s="18" t="str">
        <f>INDEX(Chapter,MATCH(N903,Chapter!$A$1:$A$681,0),8)</f>
        <v>נכסים ציבוריים</v>
      </c>
      <c r="P903" s="18" t="str">
        <f t="shared" si="109"/>
        <v>747</v>
      </c>
      <c r="Q903" s="18" t="str">
        <f>INDEX(Chapter,MATCH(P903,Chapter!$A$1:$A$681,0),8)</f>
        <v>חופים, בריכות ומרחצאות</v>
      </c>
      <c r="R903" s="18" t="str">
        <f t="shared" si="110"/>
        <v>7474</v>
      </c>
      <c r="S903" s="18" t="str">
        <f>INDEX(Chapter,MATCH(R903,Chapter!$A$1:$A$681,0),8)</f>
        <v>מרחצאות</v>
      </c>
      <c r="T903" s="18"/>
      <c r="U903" s="18" t="str">
        <f t="shared" si="111"/>
        <v>7</v>
      </c>
      <c r="V903" s="18" t="str">
        <f>IF($L903&lt;"6",INDEX(Revenue_type,MATCH(U903*1,type!$A$118:$A$168,0),8),INDEX(Expenditure_type,MATCH(U903*1,type!$A$2:$A$117,0),8))</f>
        <v>הוצאות לפעולות</v>
      </c>
      <c r="W903" s="18" t="str">
        <f t="shared" si="112"/>
        <v>70</v>
      </c>
      <c r="X903" s="18" t="e">
        <f>IF($L903&lt;"6",INDEX(Revenue_type,MATCH(W903*1,type!$A$118:$A$168,0),8),INDEX(Expenditure_type,MATCH(W903*1,type!$A$2:$A$117,0),8))</f>
        <v>#N/A</v>
      </c>
      <c r="Y903" s="18" t="str">
        <f t="shared" si="113"/>
        <v>700</v>
      </c>
      <c r="Z903" s="18" t="e">
        <f>IF($L903&lt;"6",INDEX(Revenue_type,MATCH(Y903*1,type!$A$118:$A$168,0),8),INDEX(Expenditure_type,MATCH(Y903*1,type!$A$2:$A$117,0),8))</f>
        <v>#N/A</v>
      </c>
    </row>
    <row r="904" spans="1:26" ht="15.75" hidden="1" customHeight="1" outlineLevel="2">
      <c r="A904">
        <v>100</v>
      </c>
      <c r="B904" s="249">
        <v>747200</v>
      </c>
      <c r="C904">
        <v>1</v>
      </c>
      <c r="D904" t="str">
        <f t="shared" si="106"/>
        <v>1747200.100</v>
      </c>
      <c r="E904" s="382" t="s">
        <v>8566</v>
      </c>
      <c r="F904" s="242"/>
      <c r="G904"/>
      <c r="H904" s="322">
        <v>16790100</v>
      </c>
      <c r="I904" s="322">
        <v>16553100</v>
      </c>
      <c r="J904" s="242">
        <v>15168400</v>
      </c>
      <c r="K904" s="18" t="e">
        <f>INDEX(תקציב_2013,MATCH(D904,'תקציב 2015'!$D$3:$D$5960,0),8)</f>
        <v>#N/A</v>
      </c>
      <c r="L904" s="18" t="str">
        <f t="shared" si="107"/>
        <v>7</v>
      </c>
      <c r="M904" s="18" t="str">
        <f>INDEX(Chapter,MATCH(L904,Chapter!$A$1:$A$681,0),8)</f>
        <v>שירותים מקומיים</v>
      </c>
      <c r="N904" s="18" t="str">
        <f t="shared" si="108"/>
        <v>74</v>
      </c>
      <c r="O904" s="18" t="str">
        <f>INDEX(Chapter,MATCH(N904,Chapter!$A$1:$A$681,0),8)</f>
        <v>נכסים ציבוריים</v>
      </c>
      <c r="P904" s="18" t="str">
        <f t="shared" si="109"/>
        <v>747</v>
      </c>
      <c r="Q904" s="18" t="str">
        <f>INDEX(Chapter,MATCH(P904,Chapter!$A$1:$A$681,0),8)</f>
        <v>חופים, בריכות ומרחצאות</v>
      </c>
      <c r="R904" s="18" t="str">
        <f t="shared" si="110"/>
        <v>7472</v>
      </c>
      <c r="S904" s="18" t="str">
        <f>INDEX(Chapter,MATCH(R904,Chapter!$A$1:$A$681,0),8)</f>
        <v>חופי רחצה</v>
      </c>
      <c r="T904" s="18"/>
      <c r="U904" s="18" t="str">
        <f t="shared" si="111"/>
        <v>1</v>
      </c>
      <c r="V904" s="18" t="str">
        <f>IF($L904&lt;"6",INDEX(Revenue_type,MATCH(U904*1,type!$A$118:$A$168,0),8),INDEX(Expenditure_type,MATCH(U904*1,type!$A$2:$A$117,0),8))</f>
        <v>משכורות וש"ע לעובדים לפי תקן</v>
      </c>
      <c r="W904" s="18" t="str">
        <f t="shared" si="112"/>
        <v>10</v>
      </c>
      <c r="X904" s="18" t="e">
        <f>IF($L904&lt;"6",INDEX(Revenue_type,MATCH(W904*1,type!$A$118:$A$168,0),8),INDEX(Expenditure_type,MATCH(W904*1,type!$A$2:$A$117,0),8))</f>
        <v>#N/A</v>
      </c>
      <c r="Y904" s="18" t="str">
        <f t="shared" si="113"/>
        <v>100</v>
      </c>
      <c r="Z904" s="18" t="e">
        <f>IF($L904&lt;"6",INDEX(Revenue_type,MATCH(Y904*1,type!$A$118:$A$168,0),8),INDEX(Expenditure_type,MATCH(Y904*1,type!$A$2:$A$117,0),8))</f>
        <v>#N/A</v>
      </c>
    </row>
    <row r="905" spans="1:26" ht="15.75" hidden="1" customHeight="1" outlineLevel="2">
      <c r="A905">
        <v>120</v>
      </c>
      <c r="B905" s="249">
        <v>747200</v>
      </c>
      <c r="C905">
        <v>1</v>
      </c>
      <c r="D905" t="str">
        <f t="shared" si="106"/>
        <v>1747200.120</v>
      </c>
      <c r="E905" s="382" t="s">
        <v>8567</v>
      </c>
      <c r="F905" s="242"/>
      <c r="G905"/>
      <c r="H905" s="322">
        <v>4835900</v>
      </c>
      <c r="I905" s="322">
        <v>4835900</v>
      </c>
      <c r="J905" s="242">
        <v>4879900</v>
      </c>
      <c r="K905" s="18" t="e">
        <f>INDEX(תקציב_2013,MATCH(D905,'תקציב 2015'!$D$3:$D$5960,0),8)</f>
        <v>#N/A</v>
      </c>
      <c r="L905" s="18" t="str">
        <f t="shared" si="107"/>
        <v>7</v>
      </c>
      <c r="M905" s="18" t="str">
        <f>INDEX(Chapter,MATCH(L905,Chapter!$A$1:$A$681,0),8)</f>
        <v>שירותים מקומיים</v>
      </c>
      <c r="N905" s="18" t="str">
        <f t="shared" si="108"/>
        <v>74</v>
      </c>
      <c r="O905" s="18" t="str">
        <f>INDEX(Chapter,MATCH(N905,Chapter!$A$1:$A$681,0),8)</f>
        <v>נכסים ציבוריים</v>
      </c>
      <c r="P905" s="18" t="str">
        <f t="shared" si="109"/>
        <v>747</v>
      </c>
      <c r="Q905" s="18" t="str">
        <f>INDEX(Chapter,MATCH(P905,Chapter!$A$1:$A$681,0),8)</f>
        <v>חופים, בריכות ומרחצאות</v>
      </c>
      <c r="R905" s="18" t="str">
        <f t="shared" si="110"/>
        <v>7472</v>
      </c>
      <c r="S905" s="18" t="str">
        <f>INDEX(Chapter,MATCH(R905,Chapter!$A$1:$A$681,0),8)</f>
        <v>חופי רחצה</v>
      </c>
      <c r="T905" s="18"/>
      <c r="U905" s="18" t="str">
        <f t="shared" si="111"/>
        <v>1</v>
      </c>
      <c r="V905" s="18" t="str">
        <f>IF($L905&lt;"6",INDEX(Revenue_type,MATCH(U905*1,type!$A$118:$A$168,0),8),INDEX(Expenditure_type,MATCH(U905*1,type!$A$2:$A$117,0),8))</f>
        <v>משכורות וש"ע לעובדים לפי תקן</v>
      </c>
      <c r="W905" s="18" t="str">
        <f t="shared" si="112"/>
        <v>12</v>
      </c>
      <c r="X905" s="18" t="str">
        <f>IF($L905&lt;"6",INDEX(Revenue_type,MATCH(W905*1,type!$A$118:$A$168,0),8),INDEX(Expenditure_type,MATCH(W905*1,type!$A$2:$A$117,0),8))</f>
        <v>תוספות שאינן נכללות בשכר הקובע</v>
      </c>
      <c r="Y905" s="18" t="str">
        <f t="shared" si="113"/>
        <v>120</v>
      </c>
      <c r="Z905" s="18" t="e">
        <f>IF($L905&lt;"6",INDEX(Revenue_type,MATCH(Y905*1,type!$A$118:$A$168,0),8),INDEX(Expenditure_type,MATCH(Y905*1,type!$A$2:$A$117,0),8))</f>
        <v>#N/A</v>
      </c>
    </row>
    <row r="906" spans="1:26" ht="15.75" hidden="1" customHeight="1" outlineLevel="2">
      <c r="A906">
        <v>400</v>
      </c>
      <c r="B906" s="249">
        <v>747200</v>
      </c>
      <c r="C906">
        <v>1</v>
      </c>
      <c r="D906" t="str">
        <f t="shared" si="106"/>
        <v>1747200.400</v>
      </c>
      <c r="E906" s="381" t="s">
        <v>8568</v>
      </c>
      <c r="F906" s="242"/>
      <c r="G906"/>
      <c r="H906" s="322">
        <v>4895900</v>
      </c>
      <c r="I906" s="322">
        <v>5130000</v>
      </c>
      <c r="J906" s="242">
        <v>5385900</v>
      </c>
      <c r="K906" s="18" t="e">
        <f>INDEX(תקציב_2013,MATCH(D906,'תקציב 2015'!$D$3:$D$5960,0),8)</f>
        <v>#N/A</v>
      </c>
      <c r="L906" s="18" t="str">
        <f t="shared" si="107"/>
        <v>7</v>
      </c>
      <c r="M906" s="18" t="str">
        <f>INDEX(Chapter,MATCH(L906,Chapter!$A$1:$A$681,0),8)</f>
        <v>שירותים מקומיים</v>
      </c>
      <c r="N906" s="18" t="str">
        <f t="shared" si="108"/>
        <v>74</v>
      </c>
      <c r="O906" s="18" t="str">
        <f>INDEX(Chapter,MATCH(N906,Chapter!$A$1:$A$681,0),8)</f>
        <v>נכסים ציבוריים</v>
      </c>
      <c r="P906" s="18" t="str">
        <f t="shared" si="109"/>
        <v>747</v>
      </c>
      <c r="Q906" s="18" t="str">
        <f>INDEX(Chapter,MATCH(P906,Chapter!$A$1:$A$681,0),8)</f>
        <v>חופים, בריכות ומרחצאות</v>
      </c>
      <c r="R906" s="18" t="str">
        <f t="shared" si="110"/>
        <v>7472</v>
      </c>
      <c r="S906" s="18" t="str">
        <f>INDEX(Chapter,MATCH(R906,Chapter!$A$1:$A$681,0),8)</f>
        <v>חופי רחצה</v>
      </c>
      <c r="T906" s="18"/>
      <c r="U906" s="18" t="str">
        <f t="shared" si="111"/>
        <v>4</v>
      </c>
      <c r="V906" s="18" t="str">
        <f>IF($L906&lt;"6",INDEX(Revenue_type,MATCH(U906*1,type!$A$118:$A$168,0),8),INDEX(Expenditure_type,MATCH(U906*1,type!$A$2:$A$117,0),8))</f>
        <v>אחזקת בינים ואספקת ציוד</v>
      </c>
      <c r="W906" s="18" t="str">
        <f t="shared" si="112"/>
        <v>40</v>
      </c>
      <c r="X906" s="18" t="e">
        <f>IF($L906&lt;"6",INDEX(Revenue_type,MATCH(W906*1,type!$A$118:$A$168,0),8),INDEX(Expenditure_type,MATCH(W906*1,type!$A$2:$A$117,0),8))</f>
        <v>#N/A</v>
      </c>
      <c r="Y906" s="18" t="str">
        <f t="shared" si="113"/>
        <v>400</v>
      </c>
      <c r="Z906" s="18" t="e">
        <f>IF($L906&lt;"6",INDEX(Revenue_type,MATCH(Y906*1,type!$A$118:$A$168,0),8),INDEX(Expenditure_type,MATCH(Y906*1,type!$A$2:$A$117,0),8))</f>
        <v>#N/A</v>
      </c>
    </row>
    <row r="907" spans="1:26" ht="15.75" hidden="1" customHeight="1" outlineLevel="2">
      <c r="A907">
        <v>500</v>
      </c>
      <c r="B907" s="249">
        <v>747200</v>
      </c>
      <c r="C907">
        <v>1</v>
      </c>
      <c r="D907" t="str">
        <f t="shared" si="106"/>
        <v>1747200.500</v>
      </c>
      <c r="E907" s="381" t="s">
        <v>8569</v>
      </c>
      <c r="F907" s="242"/>
      <c r="G907"/>
      <c r="H907" s="322">
        <v>152500</v>
      </c>
      <c r="I907" s="322">
        <v>152500</v>
      </c>
      <c r="J907" s="242">
        <v>146600</v>
      </c>
      <c r="K907" s="18" t="e">
        <f>INDEX(תקציב_2013,MATCH(D907,'תקציב 2015'!$D$3:$D$5960,0),8)</f>
        <v>#N/A</v>
      </c>
      <c r="L907" s="18" t="str">
        <f t="shared" si="107"/>
        <v>7</v>
      </c>
      <c r="M907" s="18" t="str">
        <f>INDEX(Chapter,MATCH(L907,Chapter!$A$1:$A$681,0),8)</f>
        <v>שירותים מקומיים</v>
      </c>
      <c r="N907" s="18" t="str">
        <f t="shared" si="108"/>
        <v>74</v>
      </c>
      <c r="O907" s="18" t="str">
        <f>INDEX(Chapter,MATCH(N907,Chapter!$A$1:$A$681,0),8)</f>
        <v>נכסים ציבוריים</v>
      </c>
      <c r="P907" s="18" t="str">
        <f t="shared" si="109"/>
        <v>747</v>
      </c>
      <c r="Q907" s="18" t="str">
        <f>INDEX(Chapter,MATCH(P907,Chapter!$A$1:$A$681,0),8)</f>
        <v>חופים, בריכות ומרחצאות</v>
      </c>
      <c r="R907" s="18" t="str">
        <f t="shared" si="110"/>
        <v>7472</v>
      </c>
      <c r="S907" s="18" t="str">
        <f>INDEX(Chapter,MATCH(R907,Chapter!$A$1:$A$681,0),8)</f>
        <v>חופי רחצה</v>
      </c>
      <c r="T907" s="18"/>
      <c r="U907" s="18" t="str">
        <f t="shared" si="111"/>
        <v>5</v>
      </c>
      <c r="V907" s="18" t="str">
        <f>IF($L907&lt;"6",INDEX(Revenue_type,MATCH(U907*1,type!$A$118:$A$168,0),8),INDEX(Expenditure_type,MATCH(U907*1,type!$A$2:$A$117,0),8))</f>
        <v>הוצאות מנהליות</v>
      </c>
      <c r="W907" s="18" t="str">
        <f t="shared" si="112"/>
        <v>50</v>
      </c>
      <c r="X907" s="18" t="e">
        <f>IF($L907&lt;"6",INDEX(Revenue_type,MATCH(W907*1,type!$A$118:$A$168,0),8),INDEX(Expenditure_type,MATCH(W907*1,type!$A$2:$A$117,0),8))</f>
        <v>#N/A</v>
      </c>
      <c r="Y907" s="18" t="str">
        <f t="shared" si="113"/>
        <v>500</v>
      </c>
      <c r="Z907" s="18" t="e">
        <f>IF($L907&lt;"6",INDEX(Revenue_type,MATCH(Y907*1,type!$A$118:$A$168,0),8),INDEX(Expenditure_type,MATCH(Y907*1,type!$A$2:$A$117,0),8))</f>
        <v>#N/A</v>
      </c>
    </row>
    <row r="908" spans="1:26" ht="15.75" hidden="1" customHeight="1" outlineLevel="2">
      <c r="A908">
        <v>500</v>
      </c>
      <c r="B908" s="249">
        <v>747200</v>
      </c>
      <c r="C908">
        <v>1</v>
      </c>
      <c r="D908" t="str">
        <f t="shared" si="106"/>
        <v>1747200.500</v>
      </c>
      <c r="E908" s="381" t="s">
        <v>8570</v>
      </c>
      <c r="F908" s="242"/>
      <c r="G908"/>
      <c r="H908" s="322">
        <v>2800</v>
      </c>
      <c r="I908" s="322">
        <v>2800</v>
      </c>
      <c r="J908" s="242">
        <v>1500</v>
      </c>
      <c r="K908" s="18" t="e">
        <f>INDEX(תקציב_2013,MATCH(D908,'תקציב 2015'!$D$3:$D$5960,0),8)</f>
        <v>#N/A</v>
      </c>
      <c r="L908" s="18" t="str">
        <f t="shared" si="107"/>
        <v>7</v>
      </c>
      <c r="M908" s="18" t="str">
        <f>INDEX(Chapter,MATCH(L908,Chapter!$A$1:$A$681,0),8)</f>
        <v>שירותים מקומיים</v>
      </c>
      <c r="N908" s="18" t="str">
        <f t="shared" si="108"/>
        <v>74</v>
      </c>
      <c r="O908" s="18" t="str">
        <f>INDEX(Chapter,MATCH(N908,Chapter!$A$1:$A$681,0),8)</f>
        <v>נכסים ציבוריים</v>
      </c>
      <c r="P908" s="18" t="str">
        <f t="shared" si="109"/>
        <v>747</v>
      </c>
      <c r="Q908" s="18" t="str">
        <f>INDEX(Chapter,MATCH(P908,Chapter!$A$1:$A$681,0),8)</f>
        <v>חופים, בריכות ומרחצאות</v>
      </c>
      <c r="R908" s="18" t="str">
        <f t="shared" si="110"/>
        <v>7472</v>
      </c>
      <c r="S908" s="18" t="str">
        <f>INDEX(Chapter,MATCH(R908,Chapter!$A$1:$A$681,0),8)</f>
        <v>חופי רחצה</v>
      </c>
      <c r="T908" s="18"/>
      <c r="U908" s="18" t="str">
        <f t="shared" si="111"/>
        <v>5</v>
      </c>
      <c r="V908" s="18" t="str">
        <f>IF($L908&lt;"6",INDEX(Revenue_type,MATCH(U908*1,type!$A$118:$A$168,0),8),INDEX(Expenditure_type,MATCH(U908*1,type!$A$2:$A$117,0),8))</f>
        <v>הוצאות מנהליות</v>
      </c>
      <c r="W908" s="18" t="str">
        <f t="shared" si="112"/>
        <v>50</v>
      </c>
      <c r="X908" s="18" t="e">
        <f>IF($L908&lt;"6",INDEX(Revenue_type,MATCH(W908*1,type!$A$118:$A$168,0),8),INDEX(Expenditure_type,MATCH(W908*1,type!$A$2:$A$117,0),8))</f>
        <v>#N/A</v>
      </c>
      <c r="Y908" s="18" t="str">
        <f t="shared" si="113"/>
        <v>500</v>
      </c>
      <c r="Z908" s="18" t="e">
        <f>IF($L908&lt;"6",INDEX(Revenue_type,MATCH(Y908*1,type!$A$118:$A$168,0),8),INDEX(Expenditure_type,MATCH(Y908*1,type!$A$2:$A$117,0),8))</f>
        <v>#N/A</v>
      </c>
    </row>
    <row r="909" spans="1:26" ht="15.75" hidden="1" customHeight="1" outlineLevel="2">
      <c r="A909">
        <v>700</v>
      </c>
      <c r="B909" s="249">
        <v>747200</v>
      </c>
      <c r="C909">
        <v>1</v>
      </c>
      <c r="D909" t="str">
        <f t="shared" si="106"/>
        <v>1747200.700</v>
      </c>
      <c r="E909" s="382" t="s">
        <v>8571</v>
      </c>
      <c r="F909" s="242"/>
      <c r="G909"/>
      <c r="H909" s="322">
        <v>2912400</v>
      </c>
      <c r="I909" s="322">
        <v>2912400</v>
      </c>
      <c r="J909" s="242">
        <v>2789000</v>
      </c>
      <c r="K909" s="18" t="e">
        <f>INDEX(תקציב_2013,MATCH(D909,'תקציב 2015'!$D$3:$D$5960,0),8)</f>
        <v>#N/A</v>
      </c>
      <c r="L909" s="18" t="str">
        <f t="shared" si="107"/>
        <v>7</v>
      </c>
      <c r="M909" s="18" t="str">
        <f>INDEX(Chapter,MATCH(L909,Chapter!$A$1:$A$681,0),8)</f>
        <v>שירותים מקומיים</v>
      </c>
      <c r="N909" s="18" t="str">
        <f t="shared" si="108"/>
        <v>74</v>
      </c>
      <c r="O909" s="18" t="str">
        <f>INDEX(Chapter,MATCH(N909,Chapter!$A$1:$A$681,0),8)</f>
        <v>נכסים ציבוריים</v>
      </c>
      <c r="P909" s="18" t="str">
        <f t="shared" si="109"/>
        <v>747</v>
      </c>
      <c r="Q909" s="18" t="str">
        <f>INDEX(Chapter,MATCH(P909,Chapter!$A$1:$A$681,0),8)</f>
        <v>חופים, בריכות ומרחצאות</v>
      </c>
      <c r="R909" s="18" t="str">
        <f t="shared" si="110"/>
        <v>7472</v>
      </c>
      <c r="S909" s="18" t="str">
        <f>INDEX(Chapter,MATCH(R909,Chapter!$A$1:$A$681,0),8)</f>
        <v>חופי רחצה</v>
      </c>
      <c r="T909" s="18"/>
      <c r="U909" s="18" t="str">
        <f t="shared" si="111"/>
        <v>7</v>
      </c>
      <c r="V909" s="18" t="str">
        <f>IF($L909&lt;"6",INDEX(Revenue_type,MATCH(U909*1,type!$A$118:$A$168,0),8),INDEX(Expenditure_type,MATCH(U909*1,type!$A$2:$A$117,0),8))</f>
        <v>הוצאות לפעולות</v>
      </c>
      <c r="W909" s="18" t="str">
        <f t="shared" si="112"/>
        <v>70</v>
      </c>
      <c r="X909" s="18" t="e">
        <f>IF($L909&lt;"6",INDEX(Revenue_type,MATCH(W909*1,type!$A$118:$A$168,0),8),INDEX(Expenditure_type,MATCH(W909*1,type!$A$2:$A$117,0),8))</f>
        <v>#N/A</v>
      </c>
      <c r="Y909" s="18" t="str">
        <f t="shared" si="113"/>
        <v>700</v>
      </c>
      <c r="Z909" s="18" t="e">
        <f>IF($L909&lt;"6",INDEX(Revenue_type,MATCH(Y909*1,type!$A$118:$A$168,0),8),INDEX(Expenditure_type,MATCH(Y909*1,type!$A$2:$A$117,0),8))</f>
        <v>#N/A</v>
      </c>
    </row>
    <row r="910" spans="1:26" ht="15.75" hidden="1" customHeight="1" outlineLevel="2">
      <c r="A910">
        <v>100</v>
      </c>
      <c r="B910" s="249">
        <v>781000</v>
      </c>
      <c r="C910">
        <v>1</v>
      </c>
      <c r="D910" t="str">
        <f t="shared" si="106"/>
        <v>1781000.100</v>
      </c>
      <c r="E910" s="382" t="s">
        <v>8572</v>
      </c>
      <c r="F910" s="242"/>
      <c r="G910"/>
      <c r="H910" s="322">
        <v>11638300</v>
      </c>
      <c r="I910" s="322">
        <v>11202300</v>
      </c>
      <c r="J910" s="242">
        <v>10613500</v>
      </c>
      <c r="K910" s="18" t="e">
        <f>INDEX(תקציב_2013,MATCH(D910,'תקציב 2015'!$D$3:$D$5960,0),8)</f>
        <v>#N/A</v>
      </c>
      <c r="L910" s="18" t="str">
        <f t="shared" si="107"/>
        <v>7</v>
      </c>
      <c r="M910" s="18" t="str">
        <f>INDEX(Chapter,MATCH(L910,Chapter!$A$1:$A$681,0),8)</f>
        <v>שירותים מקומיים</v>
      </c>
      <c r="N910" s="18" t="str">
        <f t="shared" si="108"/>
        <v>78</v>
      </c>
      <c r="O910" s="18" t="str">
        <f>INDEX(Chapter,MATCH(N910,Chapter!$A$1:$A$681,0),8)</f>
        <v>פיקוח עירוני</v>
      </c>
      <c r="P910" s="18" t="str">
        <f t="shared" si="109"/>
        <v>781</v>
      </c>
      <c r="Q910" s="18" t="str">
        <f>INDEX(Chapter,MATCH(P910,Chapter!$A$1:$A$681,0),8)</f>
        <v>פיקוח על חוקי עזר</v>
      </c>
      <c r="R910" s="18" t="str">
        <f t="shared" si="110"/>
        <v>7810</v>
      </c>
      <c r="S910" s="18" t="e">
        <f>INDEX(Chapter,MATCH(R910,Chapter!$A$1:$A$681,0),8)</f>
        <v>#N/A</v>
      </c>
      <c r="T910" s="18"/>
      <c r="U910" s="18" t="str">
        <f t="shared" si="111"/>
        <v>1</v>
      </c>
      <c r="V910" s="18" t="str">
        <f>IF($L910&lt;"6",INDEX(Revenue_type,MATCH(U910*1,type!$A$118:$A$168,0),8),INDEX(Expenditure_type,MATCH(U910*1,type!$A$2:$A$117,0),8))</f>
        <v>משכורות וש"ע לעובדים לפי תקן</v>
      </c>
      <c r="W910" s="18" t="str">
        <f t="shared" si="112"/>
        <v>10</v>
      </c>
      <c r="X910" s="18" t="e">
        <f>IF($L910&lt;"6",INDEX(Revenue_type,MATCH(W910*1,type!$A$118:$A$168,0),8),INDEX(Expenditure_type,MATCH(W910*1,type!$A$2:$A$117,0),8))</f>
        <v>#N/A</v>
      </c>
      <c r="Y910" s="18" t="str">
        <f t="shared" si="113"/>
        <v>100</v>
      </c>
      <c r="Z910" s="18" t="e">
        <f>IF($L910&lt;"6",INDEX(Revenue_type,MATCH(Y910*1,type!$A$118:$A$168,0),8),INDEX(Expenditure_type,MATCH(Y910*1,type!$A$2:$A$117,0),8))</f>
        <v>#N/A</v>
      </c>
    </row>
    <row r="911" spans="1:26" ht="15.75" hidden="1" customHeight="1" outlineLevel="2">
      <c r="A911">
        <v>120</v>
      </c>
      <c r="B911" s="249">
        <v>781000</v>
      </c>
      <c r="C911">
        <v>1</v>
      </c>
      <c r="D911" t="str">
        <f t="shared" si="106"/>
        <v>1781000.120</v>
      </c>
      <c r="E911" s="381" t="s">
        <v>8573</v>
      </c>
      <c r="F911" s="242"/>
      <c r="G911"/>
      <c r="H911" s="322">
        <v>1033700</v>
      </c>
      <c r="I911" s="322">
        <v>1033700</v>
      </c>
      <c r="J911" s="242">
        <v>1055400</v>
      </c>
      <c r="K911" s="18">
        <f>INDEX(תקציב_2013,MATCH(D911,'תקציב 2015'!$D$3:$D$5960,0),8)</f>
        <v>341981</v>
      </c>
      <c r="L911" s="18" t="str">
        <f t="shared" si="107"/>
        <v>7</v>
      </c>
      <c r="M911" s="18" t="str">
        <f>INDEX(Chapter,MATCH(L911,Chapter!$A$1:$A$681,0),8)</f>
        <v>שירותים מקומיים</v>
      </c>
      <c r="N911" s="18" t="str">
        <f t="shared" si="108"/>
        <v>78</v>
      </c>
      <c r="O911" s="18" t="str">
        <f>INDEX(Chapter,MATCH(N911,Chapter!$A$1:$A$681,0),8)</f>
        <v>פיקוח עירוני</v>
      </c>
      <c r="P911" s="18" t="str">
        <f t="shared" si="109"/>
        <v>781</v>
      </c>
      <c r="Q911" s="18" t="str">
        <f>INDEX(Chapter,MATCH(P911,Chapter!$A$1:$A$681,0),8)</f>
        <v>פיקוח על חוקי עזר</v>
      </c>
      <c r="R911" s="18" t="str">
        <f t="shared" si="110"/>
        <v>7810</v>
      </c>
      <c r="S911" s="18" t="e">
        <f>INDEX(Chapter,MATCH(R911,Chapter!$A$1:$A$681,0),8)</f>
        <v>#N/A</v>
      </c>
      <c r="T911" s="18"/>
      <c r="U911" s="18" t="str">
        <f t="shared" si="111"/>
        <v>1</v>
      </c>
      <c r="V911" s="18" t="str">
        <f>IF($L911&lt;"6",INDEX(Revenue_type,MATCH(U911*1,type!$A$118:$A$168,0),8),INDEX(Expenditure_type,MATCH(U911*1,type!$A$2:$A$117,0),8))</f>
        <v>משכורות וש"ע לעובדים לפי תקן</v>
      </c>
      <c r="W911" s="18" t="str">
        <f t="shared" si="112"/>
        <v>12</v>
      </c>
      <c r="X911" s="18" t="str">
        <f>IF($L911&lt;"6",INDEX(Revenue_type,MATCH(W911*1,type!$A$118:$A$168,0),8),INDEX(Expenditure_type,MATCH(W911*1,type!$A$2:$A$117,0),8))</f>
        <v>תוספות שאינן נכללות בשכר הקובע</v>
      </c>
      <c r="Y911" s="18" t="str">
        <f t="shared" si="113"/>
        <v>120</v>
      </c>
      <c r="Z911" s="18" t="e">
        <f>IF($L911&lt;"6",INDEX(Revenue_type,MATCH(Y911*1,type!$A$118:$A$168,0),8),INDEX(Expenditure_type,MATCH(Y911*1,type!$A$2:$A$117,0),8))</f>
        <v>#N/A</v>
      </c>
    </row>
    <row r="912" spans="1:26" ht="15.75" hidden="1" customHeight="1" outlineLevel="2">
      <c r="A912">
        <v>400</v>
      </c>
      <c r="B912" s="249">
        <v>781000</v>
      </c>
      <c r="C912">
        <v>1</v>
      </c>
      <c r="D912" t="str">
        <f t="shared" si="106"/>
        <v>1781000.400</v>
      </c>
      <c r="E912" s="382" t="s">
        <v>8574</v>
      </c>
      <c r="F912" s="242"/>
      <c r="G912"/>
      <c r="H912" s="322">
        <v>161300</v>
      </c>
      <c r="I912" s="322">
        <v>161300</v>
      </c>
      <c r="J912" s="242">
        <v>83900</v>
      </c>
      <c r="K912" s="18" t="e">
        <f>INDEX(תקציב_2013,MATCH(D912,'תקציב 2015'!$D$3:$D$5960,0),8)</f>
        <v>#N/A</v>
      </c>
      <c r="L912" s="18" t="str">
        <f t="shared" si="107"/>
        <v>7</v>
      </c>
      <c r="M912" s="18" t="str">
        <f>INDEX(Chapter,MATCH(L912,Chapter!$A$1:$A$681,0),8)</f>
        <v>שירותים מקומיים</v>
      </c>
      <c r="N912" s="18" t="str">
        <f t="shared" si="108"/>
        <v>78</v>
      </c>
      <c r="O912" s="18" t="str">
        <f>INDEX(Chapter,MATCH(N912,Chapter!$A$1:$A$681,0),8)</f>
        <v>פיקוח עירוני</v>
      </c>
      <c r="P912" s="18" t="str">
        <f t="shared" si="109"/>
        <v>781</v>
      </c>
      <c r="Q912" s="18" t="str">
        <f>INDEX(Chapter,MATCH(P912,Chapter!$A$1:$A$681,0),8)</f>
        <v>פיקוח על חוקי עזר</v>
      </c>
      <c r="R912" s="18" t="str">
        <f t="shared" si="110"/>
        <v>7810</v>
      </c>
      <c r="S912" s="18" t="e">
        <f>INDEX(Chapter,MATCH(R912,Chapter!$A$1:$A$681,0),8)</f>
        <v>#N/A</v>
      </c>
      <c r="T912" s="18"/>
      <c r="U912" s="18" t="str">
        <f t="shared" si="111"/>
        <v>4</v>
      </c>
      <c r="V912" s="18" t="str">
        <f>IF($L912&lt;"6",INDEX(Revenue_type,MATCH(U912*1,type!$A$118:$A$168,0),8),INDEX(Expenditure_type,MATCH(U912*1,type!$A$2:$A$117,0),8))</f>
        <v>אחזקת בינים ואספקת ציוד</v>
      </c>
      <c r="W912" s="18" t="str">
        <f t="shared" si="112"/>
        <v>40</v>
      </c>
      <c r="X912" s="18" t="e">
        <f>IF($L912&lt;"6",INDEX(Revenue_type,MATCH(W912*1,type!$A$118:$A$168,0),8),INDEX(Expenditure_type,MATCH(W912*1,type!$A$2:$A$117,0),8))</f>
        <v>#N/A</v>
      </c>
      <c r="Y912" s="18" t="str">
        <f t="shared" si="113"/>
        <v>400</v>
      </c>
      <c r="Z912" s="18" t="e">
        <f>IF($L912&lt;"6",INDEX(Revenue_type,MATCH(Y912*1,type!$A$118:$A$168,0),8),INDEX(Expenditure_type,MATCH(Y912*1,type!$A$2:$A$117,0),8))</f>
        <v>#N/A</v>
      </c>
    </row>
    <row r="913" spans="1:26" ht="15.75" hidden="1" customHeight="1" outlineLevel="2">
      <c r="A913">
        <v>500</v>
      </c>
      <c r="B913" s="249">
        <v>781000</v>
      </c>
      <c r="C913">
        <v>1</v>
      </c>
      <c r="D913" t="str">
        <f t="shared" si="106"/>
        <v>1781000.500</v>
      </c>
      <c r="E913" s="382" t="s">
        <v>8575</v>
      </c>
      <c r="F913" s="242"/>
      <c r="G913"/>
      <c r="H913" s="322">
        <v>427400</v>
      </c>
      <c r="I913" s="322">
        <v>427400</v>
      </c>
      <c r="J913" s="242">
        <v>368300</v>
      </c>
      <c r="K913" s="18" t="e">
        <f>INDEX(תקציב_2013,MATCH(D913,'תקציב 2015'!$D$3:$D$5960,0),8)</f>
        <v>#N/A</v>
      </c>
      <c r="L913" s="18" t="str">
        <f t="shared" si="107"/>
        <v>7</v>
      </c>
      <c r="M913" s="18" t="str">
        <f>INDEX(Chapter,MATCH(L913,Chapter!$A$1:$A$681,0),8)</f>
        <v>שירותים מקומיים</v>
      </c>
      <c r="N913" s="18" t="str">
        <f t="shared" si="108"/>
        <v>78</v>
      </c>
      <c r="O913" s="18" t="str">
        <f>INDEX(Chapter,MATCH(N913,Chapter!$A$1:$A$681,0),8)</f>
        <v>פיקוח עירוני</v>
      </c>
      <c r="P913" s="18" t="str">
        <f t="shared" si="109"/>
        <v>781</v>
      </c>
      <c r="Q913" s="18" t="str">
        <f>INDEX(Chapter,MATCH(P913,Chapter!$A$1:$A$681,0),8)</f>
        <v>פיקוח על חוקי עזר</v>
      </c>
      <c r="R913" s="18" t="str">
        <f t="shared" si="110"/>
        <v>7810</v>
      </c>
      <c r="S913" s="18" t="e">
        <f>INDEX(Chapter,MATCH(R913,Chapter!$A$1:$A$681,0),8)</f>
        <v>#N/A</v>
      </c>
      <c r="T913" s="18"/>
      <c r="U913" s="18" t="str">
        <f t="shared" si="111"/>
        <v>5</v>
      </c>
      <c r="V913" s="18" t="str">
        <f>IF($L913&lt;"6",INDEX(Revenue_type,MATCH(U913*1,type!$A$118:$A$168,0),8),INDEX(Expenditure_type,MATCH(U913*1,type!$A$2:$A$117,0),8))</f>
        <v>הוצאות מנהליות</v>
      </c>
      <c r="W913" s="18" t="str">
        <f t="shared" si="112"/>
        <v>50</v>
      </c>
      <c r="X913" s="18" t="e">
        <f>IF($L913&lt;"6",INDEX(Revenue_type,MATCH(W913*1,type!$A$118:$A$168,0),8),INDEX(Expenditure_type,MATCH(W913*1,type!$A$2:$A$117,0),8))</f>
        <v>#N/A</v>
      </c>
      <c r="Y913" s="18" t="str">
        <f t="shared" si="113"/>
        <v>500</v>
      </c>
      <c r="Z913" s="18" t="e">
        <f>IF($L913&lt;"6",INDEX(Revenue_type,MATCH(Y913*1,type!$A$118:$A$168,0),8),INDEX(Expenditure_type,MATCH(Y913*1,type!$A$2:$A$117,0),8))</f>
        <v>#N/A</v>
      </c>
    </row>
    <row r="914" spans="1:26" ht="15.75" hidden="1" customHeight="1" outlineLevel="2">
      <c r="A914">
        <v>500</v>
      </c>
      <c r="B914" s="249">
        <v>781000</v>
      </c>
      <c r="C914">
        <v>1</v>
      </c>
      <c r="D914" t="str">
        <f t="shared" si="106"/>
        <v>1781000.500</v>
      </c>
      <c r="E914" s="382" t="s">
        <v>8576</v>
      </c>
      <c r="F914" s="242"/>
      <c r="G914"/>
      <c r="H914" s="322">
        <v>2000</v>
      </c>
      <c r="I914" s="322">
        <v>2000</v>
      </c>
      <c r="J914" s="242">
        <v>1200</v>
      </c>
      <c r="K914" s="18" t="e">
        <f>INDEX(תקציב_2013,MATCH(D914,'תקציב 2015'!$D$3:$D$5960,0),8)</f>
        <v>#N/A</v>
      </c>
      <c r="L914" s="18" t="str">
        <f t="shared" si="107"/>
        <v>7</v>
      </c>
      <c r="M914" s="18" t="str">
        <f>INDEX(Chapter,MATCH(L914,Chapter!$A$1:$A$681,0),8)</f>
        <v>שירותים מקומיים</v>
      </c>
      <c r="N914" s="18" t="str">
        <f t="shared" si="108"/>
        <v>78</v>
      </c>
      <c r="O914" s="18" t="str">
        <f>INDEX(Chapter,MATCH(N914,Chapter!$A$1:$A$681,0),8)</f>
        <v>פיקוח עירוני</v>
      </c>
      <c r="P914" s="18" t="str">
        <f t="shared" si="109"/>
        <v>781</v>
      </c>
      <c r="Q914" s="18" t="str">
        <f>INDEX(Chapter,MATCH(P914,Chapter!$A$1:$A$681,0),8)</f>
        <v>פיקוח על חוקי עזר</v>
      </c>
      <c r="R914" s="18" t="str">
        <f t="shared" si="110"/>
        <v>7810</v>
      </c>
      <c r="S914" s="18" t="e">
        <f>INDEX(Chapter,MATCH(R914,Chapter!$A$1:$A$681,0),8)</f>
        <v>#N/A</v>
      </c>
      <c r="T914" s="18"/>
      <c r="U914" s="18" t="str">
        <f t="shared" si="111"/>
        <v>5</v>
      </c>
      <c r="V914" s="18" t="str">
        <f>IF($L914&lt;"6",INDEX(Revenue_type,MATCH(U914*1,type!$A$118:$A$168,0),8),INDEX(Expenditure_type,MATCH(U914*1,type!$A$2:$A$117,0),8))</f>
        <v>הוצאות מנהליות</v>
      </c>
      <c r="W914" s="18" t="str">
        <f t="shared" si="112"/>
        <v>50</v>
      </c>
      <c r="X914" s="18" t="e">
        <f>IF($L914&lt;"6",INDEX(Revenue_type,MATCH(W914*1,type!$A$118:$A$168,0),8),INDEX(Expenditure_type,MATCH(W914*1,type!$A$2:$A$117,0),8))</f>
        <v>#N/A</v>
      </c>
      <c r="Y914" s="18" t="str">
        <f t="shared" si="113"/>
        <v>500</v>
      </c>
      <c r="Z914" s="18" t="e">
        <f>IF($L914&lt;"6",INDEX(Revenue_type,MATCH(Y914*1,type!$A$118:$A$168,0),8),INDEX(Expenditure_type,MATCH(Y914*1,type!$A$2:$A$117,0),8))</f>
        <v>#N/A</v>
      </c>
    </row>
    <row r="915" spans="1:26" ht="15.75" hidden="1" customHeight="1" outlineLevel="2">
      <c r="A915">
        <v>700</v>
      </c>
      <c r="B915" s="249">
        <v>781000</v>
      </c>
      <c r="C915">
        <v>1</v>
      </c>
      <c r="D915" t="str">
        <f t="shared" ref="D915:D978" si="114">C915&amp;B915&amp;"."&amp;A915</f>
        <v>1781000.700</v>
      </c>
      <c r="E915" s="382" t="s">
        <v>8577</v>
      </c>
      <c r="F915" s="242"/>
      <c r="G915"/>
      <c r="H915" s="322">
        <v>172500</v>
      </c>
      <c r="I915" s="322">
        <v>194900</v>
      </c>
      <c r="J915" s="242">
        <v>138300</v>
      </c>
      <c r="K915" s="18" t="e">
        <f>INDEX(תקציב_2013,MATCH(D915,'תקציב 2015'!$D$3:$D$5960,0),8)</f>
        <v>#N/A</v>
      </c>
      <c r="L915" s="18" t="str">
        <f t="shared" si="107"/>
        <v>7</v>
      </c>
      <c r="M915" s="18" t="str">
        <f>INDEX(Chapter,MATCH(L915,Chapter!$A$1:$A$681,0),8)</f>
        <v>שירותים מקומיים</v>
      </c>
      <c r="N915" s="18" t="str">
        <f t="shared" si="108"/>
        <v>78</v>
      </c>
      <c r="O915" s="18" t="str">
        <f>INDEX(Chapter,MATCH(N915,Chapter!$A$1:$A$681,0),8)</f>
        <v>פיקוח עירוני</v>
      </c>
      <c r="P915" s="18" t="str">
        <f t="shared" si="109"/>
        <v>781</v>
      </c>
      <c r="Q915" s="18" t="str">
        <f>INDEX(Chapter,MATCH(P915,Chapter!$A$1:$A$681,0),8)</f>
        <v>פיקוח על חוקי עזר</v>
      </c>
      <c r="R915" s="18" t="str">
        <f t="shared" si="110"/>
        <v>7810</v>
      </c>
      <c r="S915" s="18" t="e">
        <f>INDEX(Chapter,MATCH(R915,Chapter!$A$1:$A$681,0),8)</f>
        <v>#N/A</v>
      </c>
      <c r="T915" s="18"/>
      <c r="U915" s="18" t="str">
        <f t="shared" si="111"/>
        <v>7</v>
      </c>
      <c r="V915" s="18" t="str">
        <f>IF($L915&lt;"6",INDEX(Revenue_type,MATCH(U915*1,type!$A$118:$A$168,0),8),INDEX(Expenditure_type,MATCH(U915*1,type!$A$2:$A$117,0),8))</f>
        <v>הוצאות לפעולות</v>
      </c>
      <c r="W915" s="18" t="str">
        <f t="shared" si="112"/>
        <v>70</v>
      </c>
      <c r="X915" s="18" t="e">
        <f>IF($L915&lt;"6",INDEX(Revenue_type,MATCH(W915*1,type!$A$118:$A$168,0),8),INDEX(Expenditure_type,MATCH(W915*1,type!$A$2:$A$117,0),8))</f>
        <v>#N/A</v>
      </c>
      <c r="Y915" s="18" t="str">
        <f t="shared" si="113"/>
        <v>700</v>
      </c>
      <c r="Z915" s="18" t="e">
        <f>IF($L915&lt;"6",INDEX(Revenue_type,MATCH(Y915*1,type!$A$118:$A$168,0),8),INDEX(Expenditure_type,MATCH(Y915*1,type!$A$2:$A$117,0),8))</f>
        <v>#N/A</v>
      </c>
    </row>
    <row r="916" spans="1:26" ht="15.75" hidden="1" customHeight="1" outlineLevel="2">
      <c r="A916">
        <v>700</v>
      </c>
      <c r="B916" s="249">
        <v>781005</v>
      </c>
      <c r="C916">
        <v>1</v>
      </c>
      <c r="D916" t="str">
        <f t="shared" si="114"/>
        <v>1781005.700</v>
      </c>
      <c r="E916" s="382" t="s">
        <v>8578</v>
      </c>
      <c r="F916" s="242"/>
      <c r="G916"/>
      <c r="H916" s="322">
        <v>20000</v>
      </c>
      <c r="I916" s="322">
        <v>20000</v>
      </c>
      <c r="J916" s="242">
        <v>9100</v>
      </c>
      <c r="K916" s="18" t="e">
        <f>INDEX(תקציב_2013,MATCH(D916,'תקציב 2015'!$D$3:$D$5960,0),8)</f>
        <v>#N/A</v>
      </c>
      <c r="L916" s="18" t="str">
        <f t="shared" si="107"/>
        <v>7</v>
      </c>
      <c r="M916" s="18" t="str">
        <f>INDEX(Chapter,MATCH(L916,Chapter!$A$1:$A$681,0),8)</f>
        <v>שירותים מקומיים</v>
      </c>
      <c r="N916" s="18" t="str">
        <f t="shared" si="108"/>
        <v>78</v>
      </c>
      <c r="O916" s="18" t="str">
        <f>INDEX(Chapter,MATCH(N916,Chapter!$A$1:$A$681,0),8)</f>
        <v>פיקוח עירוני</v>
      </c>
      <c r="P916" s="18" t="str">
        <f t="shared" si="109"/>
        <v>781</v>
      </c>
      <c r="Q916" s="18" t="str">
        <f>INDEX(Chapter,MATCH(P916,Chapter!$A$1:$A$681,0),8)</f>
        <v>פיקוח על חוקי עזר</v>
      </c>
      <c r="R916" s="18" t="str">
        <f t="shared" si="110"/>
        <v>7810</v>
      </c>
      <c r="S916" s="18" t="e">
        <f>INDEX(Chapter,MATCH(R916,Chapter!$A$1:$A$681,0),8)</f>
        <v>#N/A</v>
      </c>
      <c r="T916" s="18"/>
      <c r="U916" s="18" t="str">
        <f t="shared" si="111"/>
        <v>7</v>
      </c>
      <c r="V916" s="18" t="str">
        <f>IF($L916&lt;"6",INDEX(Revenue_type,MATCH(U916*1,type!$A$118:$A$168,0),8),INDEX(Expenditure_type,MATCH(U916*1,type!$A$2:$A$117,0),8))</f>
        <v>הוצאות לפעולות</v>
      </c>
      <c r="W916" s="18" t="str">
        <f t="shared" si="112"/>
        <v>70</v>
      </c>
      <c r="X916" s="18" t="e">
        <f>IF($L916&lt;"6",INDEX(Revenue_type,MATCH(W916*1,type!$A$118:$A$168,0),8),INDEX(Expenditure_type,MATCH(W916*1,type!$A$2:$A$117,0),8))</f>
        <v>#N/A</v>
      </c>
      <c r="Y916" s="18" t="str">
        <f t="shared" si="113"/>
        <v>700</v>
      </c>
      <c r="Z916" s="18" t="e">
        <f>IF($L916&lt;"6",INDEX(Revenue_type,MATCH(Y916*1,type!$A$118:$A$168,0),8),INDEX(Expenditure_type,MATCH(Y916*1,type!$A$2:$A$117,0),8))</f>
        <v>#N/A</v>
      </c>
    </row>
    <row r="917" spans="1:26" ht="15.75" hidden="1" customHeight="1" outlineLevel="2">
      <c r="A917">
        <v>100</v>
      </c>
      <c r="B917" s="249">
        <v>781100</v>
      </c>
      <c r="C917">
        <v>1</v>
      </c>
      <c r="D917" t="str">
        <f t="shared" si="114"/>
        <v>1781100.100</v>
      </c>
      <c r="E917" s="378" t="s">
        <v>8579</v>
      </c>
      <c r="F917" s="242"/>
      <c r="G917"/>
      <c r="H917" s="322">
        <v>7999100</v>
      </c>
      <c r="I917" s="322">
        <v>7903100</v>
      </c>
      <c r="J917" s="242">
        <v>7425700</v>
      </c>
      <c r="K917" s="18" t="e">
        <f>INDEX(תקציב_2013,MATCH(D917,'תקציב 2015'!$D$3:$D$5960,0),8)</f>
        <v>#N/A</v>
      </c>
      <c r="L917" s="18" t="str">
        <f t="shared" si="107"/>
        <v>7</v>
      </c>
      <c r="M917" s="18" t="str">
        <f>INDEX(Chapter,MATCH(L917,Chapter!$A$1:$A$681,0),8)</f>
        <v>שירותים מקומיים</v>
      </c>
      <c r="N917" s="18" t="str">
        <f t="shared" si="108"/>
        <v>78</v>
      </c>
      <c r="O917" s="18" t="str">
        <f>INDEX(Chapter,MATCH(N917,Chapter!$A$1:$A$681,0),8)</f>
        <v>פיקוח עירוני</v>
      </c>
      <c r="P917" s="18" t="str">
        <f t="shared" si="109"/>
        <v>781</v>
      </c>
      <c r="Q917" s="18" t="str">
        <f>INDEX(Chapter,MATCH(P917,Chapter!$A$1:$A$681,0),8)</f>
        <v>פיקוח על חוקי עזר</v>
      </c>
      <c r="R917" s="18" t="str">
        <f t="shared" si="110"/>
        <v>7811</v>
      </c>
      <c r="S917" s="18" t="e">
        <f>INDEX(Chapter,MATCH(R917,Chapter!$A$1:$A$681,0),8)</f>
        <v>#N/A</v>
      </c>
      <c r="T917" s="18"/>
      <c r="U917" s="18" t="str">
        <f t="shared" si="111"/>
        <v>1</v>
      </c>
      <c r="V917" s="18" t="str">
        <f>IF($L917&lt;"6",INDEX(Revenue_type,MATCH(U917*1,type!$A$118:$A$168,0),8),INDEX(Expenditure_type,MATCH(U917*1,type!$A$2:$A$117,0),8))</f>
        <v>משכורות וש"ע לעובדים לפי תקן</v>
      </c>
      <c r="W917" s="18" t="str">
        <f t="shared" si="112"/>
        <v>10</v>
      </c>
      <c r="X917" s="18" t="e">
        <f>IF($L917&lt;"6",INDEX(Revenue_type,MATCH(W917*1,type!$A$118:$A$168,0),8),INDEX(Expenditure_type,MATCH(W917*1,type!$A$2:$A$117,0),8))</f>
        <v>#N/A</v>
      </c>
      <c r="Y917" s="18" t="str">
        <f t="shared" si="113"/>
        <v>100</v>
      </c>
      <c r="Z917" s="18" t="e">
        <f>IF($L917&lt;"6",INDEX(Revenue_type,MATCH(Y917*1,type!$A$118:$A$168,0),8),INDEX(Expenditure_type,MATCH(Y917*1,type!$A$2:$A$117,0),8))</f>
        <v>#N/A</v>
      </c>
    </row>
    <row r="918" spans="1:26" ht="15.75" hidden="1" customHeight="1" outlineLevel="2">
      <c r="A918">
        <v>120</v>
      </c>
      <c r="B918" s="249">
        <v>781100</v>
      </c>
      <c r="C918">
        <v>1</v>
      </c>
      <c r="D918" t="str">
        <f t="shared" si="114"/>
        <v>1781100.120</v>
      </c>
      <c r="E918" s="381" t="s">
        <v>8580</v>
      </c>
      <c r="F918" s="242"/>
      <c r="G918"/>
      <c r="H918" s="322">
        <v>749900</v>
      </c>
      <c r="I918" s="322">
        <v>749900</v>
      </c>
      <c r="J918" s="242">
        <v>782600</v>
      </c>
      <c r="K918" s="18" t="e">
        <f>INDEX(תקציב_2013,MATCH(D918,'תקציב 2015'!$D$3:$D$5960,0),8)</f>
        <v>#N/A</v>
      </c>
      <c r="L918" s="18" t="str">
        <f t="shared" si="107"/>
        <v>7</v>
      </c>
      <c r="M918" s="18" t="str">
        <f>INDEX(Chapter,MATCH(L918,Chapter!$A$1:$A$681,0),8)</f>
        <v>שירותים מקומיים</v>
      </c>
      <c r="N918" s="18" t="str">
        <f t="shared" si="108"/>
        <v>78</v>
      </c>
      <c r="O918" s="18" t="str">
        <f>INDEX(Chapter,MATCH(N918,Chapter!$A$1:$A$681,0),8)</f>
        <v>פיקוח עירוני</v>
      </c>
      <c r="P918" s="18" t="str">
        <f t="shared" si="109"/>
        <v>781</v>
      </c>
      <c r="Q918" s="18" t="str">
        <f>INDEX(Chapter,MATCH(P918,Chapter!$A$1:$A$681,0),8)</f>
        <v>פיקוח על חוקי עזר</v>
      </c>
      <c r="R918" s="18" t="str">
        <f t="shared" si="110"/>
        <v>7811</v>
      </c>
      <c r="S918" s="18" t="e">
        <f>INDEX(Chapter,MATCH(R918,Chapter!$A$1:$A$681,0),8)</f>
        <v>#N/A</v>
      </c>
      <c r="T918" s="18"/>
      <c r="U918" s="18" t="str">
        <f t="shared" si="111"/>
        <v>1</v>
      </c>
      <c r="V918" s="18" t="str">
        <f>IF($L918&lt;"6",INDEX(Revenue_type,MATCH(U918*1,type!$A$118:$A$168,0),8),INDEX(Expenditure_type,MATCH(U918*1,type!$A$2:$A$117,0),8))</f>
        <v>משכורות וש"ע לעובדים לפי תקן</v>
      </c>
      <c r="W918" s="18" t="str">
        <f t="shared" si="112"/>
        <v>12</v>
      </c>
      <c r="X918" s="18" t="str">
        <f>IF($L918&lt;"6",INDEX(Revenue_type,MATCH(W918*1,type!$A$118:$A$168,0),8),INDEX(Expenditure_type,MATCH(W918*1,type!$A$2:$A$117,0),8))</f>
        <v>תוספות שאינן נכללות בשכר הקובע</v>
      </c>
      <c r="Y918" s="18" t="str">
        <f t="shared" si="113"/>
        <v>120</v>
      </c>
      <c r="Z918" s="18" t="e">
        <f>IF($L918&lt;"6",INDEX(Revenue_type,MATCH(Y918*1,type!$A$118:$A$168,0),8),INDEX(Expenditure_type,MATCH(Y918*1,type!$A$2:$A$117,0),8))</f>
        <v>#N/A</v>
      </c>
    </row>
    <row r="919" spans="1:26" ht="15.75" hidden="1" customHeight="1" outlineLevel="2">
      <c r="A919">
        <v>400</v>
      </c>
      <c r="B919" s="249">
        <v>781100</v>
      </c>
      <c r="C919">
        <v>1</v>
      </c>
      <c r="D919" t="str">
        <f t="shared" si="114"/>
        <v>1781100.400</v>
      </c>
      <c r="E919" s="382" t="s">
        <v>8581</v>
      </c>
      <c r="F919" s="242"/>
      <c r="G919"/>
      <c r="H919" s="322">
        <v>262000</v>
      </c>
      <c r="I919" s="322">
        <v>262000</v>
      </c>
      <c r="J919" s="242">
        <v>162900</v>
      </c>
      <c r="K919" s="18" t="e">
        <f>INDEX(תקציב_2013,MATCH(D919,'תקציב 2015'!$D$3:$D$5960,0),8)</f>
        <v>#N/A</v>
      </c>
      <c r="L919" s="18" t="str">
        <f t="shared" ref="L919:L982" si="115">IF(LEFT($B919,1)*1=0,LEFT($B919,2),LEFT($B919,1))</f>
        <v>7</v>
      </c>
      <c r="M919" s="18" t="str">
        <f>INDEX(Chapter,MATCH(L919,Chapter!$A$1:$A$681,0),8)</f>
        <v>שירותים מקומיים</v>
      </c>
      <c r="N919" s="18" t="str">
        <f t="shared" ref="N919:N982" si="116">IF(LEFT($B919,1)*1=0,LEFT($B919,3),LEFT($B919,2))</f>
        <v>78</v>
      </c>
      <c r="O919" s="18" t="str">
        <f>INDEX(Chapter,MATCH(N919,Chapter!$A$1:$A$681,0),8)</f>
        <v>פיקוח עירוני</v>
      </c>
      <c r="P919" s="18" t="str">
        <f t="shared" ref="P919:P982" si="117">IF(LEFT($B919,1)*1=0,LEFT($B919,4),LEFT($B919,3))</f>
        <v>781</v>
      </c>
      <c r="Q919" s="18" t="str">
        <f>INDEX(Chapter,MATCH(P919,Chapter!$A$1:$A$681,0),8)</f>
        <v>פיקוח על חוקי עזר</v>
      </c>
      <c r="R919" s="18" t="str">
        <f t="shared" ref="R919:R982" si="118">LEFT($B919,4)</f>
        <v>7811</v>
      </c>
      <c r="S919" s="18" t="e">
        <f>INDEX(Chapter,MATCH(R919,Chapter!$A$1:$A$681,0),8)</f>
        <v>#N/A</v>
      </c>
      <c r="T919" s="18"/>
      <c r="U919" s="18" t="str">
        <f t="shared" ref="U919:U982" si="119">LEFT($A919,1)</f>
        <v>4</v>
      </c>
      <c r="V919" s="18" t="str">
        <f>IF($L919&lt;"6",INDEX(Revenue_type,MATCH(U919*1,type!$A$118:$A$168,0),8),INDEX(Expenditure_type,MATCH(U919*1,type!$A$2:$A$117,0),8))</f>
        <v>אחזקת בינים ואספקת ציוד</v>
      </c>
      <c r="W919" s="18" t="str">
        <f t="shared" ref="W919:W982" si="120">LEFT($A919,2)</f>
        <v>40</v>
      </c>
      <c r="X919" s="18" t="e">
        <f>IF($L919&lt;"6",INDEX(Revenue_type,MATCH(W919*1,type!$A$118:$A$168,0),8),INDEX(Expenditure_type,MATCH(W919*1,type!$A$2:$A$117,0),8))</f>
        <v>#N/A</v>
      </c>
      <c r="Y919" s="18" t="str">
        <f t="shared" ref="Y919:Y982" si="121">LEFT($A919,3)</f>
        <v>400</v>
      </c>
      <c r="Z919" s="18" t="e">
        <f>IF($L919&lt;"6",INDEX(Revenue_type,MATCH(Y919*1,type!$A$118:$A$168,0),8),INDEX(Expenditure_type,MATCH(Y919*1,type!$A$2:$A$117,0),8))</f>
        <v>#N/A</v>
      </c>
    </row>
    <row r="920" spans="1:26" ht="15.75" hidden="1" customHeight="1" outlineLevel="2">
      <c r="A920">
        <v>500</v>
      </c>
      <c r="B920" s="249">
        <v>781100</v>
      </c>
      <c r="C920">
        <v>1</v>
      </c>
      <c r="D920" t="str">
        <f t="shared" si="114"/>
        <v>1781100.500</v>
      </c>
      <c r="E920" s="382" t="s">
        <v>8582</v>
      </c>
      <c r="F920" s="242"/>
      <c r="G920"/>
      <c r="H920" s="322">
        <v>982000</v>
      </c>
      <c r="I920" s="322">
        <v>982000</v>
      </c>
      <c r="J920" s="242">
        <v>1157700</v>
      </c>
      <c r="K920" s="18" t="e">
        <f>INDEX(תקציב_2013,MATCH(D920,'תקציב 2015'!$D$3:$D$5960,0),8)</f>
        <v>#N/A</v>
      </c>
      <c r="L920" s="18" t="str">
        <f t="shared" si="115"/>
        <v>7</v>
      </c>
      <c r="M920" s="18" t="str">
        <f>INDEX(Chapter,MATCH(L920,Chapter!$A$1:$A$681,0),8)</f>
        <v>שירותים מקומיים</v>
      </c>
      <c r="N920" s="18" t="str">
        <f t="shared" si="116"/>
        <v>78</v>
      </c>
      <c r="O920" s="18" t="str">
        <f>INDEX(Chapter,MATCH(N920,Chapter!$A$1:$A$681,0),8)</f>
        <v>פיקוח עירוני</v>
      </c>
      <c r="P920" s="18" t="str">
        <f t="shared" si="117"/>
        <v>781</v>
      </c>
      <c r="Q920" s="18" t="str">
        <f>INDEX(Chapter,MATCH(P920,Chapter!$A$1:$A$681,0),8)</f>
        <v>פיקוח על חוקי עזר</v>
      </c>
      <c r="R920" s="18" t="str">
        <f t="shared" si="118"/>
        <v>7811</v>
      </c>
      <c r="S920" s="18" t="e">
        <f>INDEX(Chapter,MATCH(R920,Chapter!$A$1:$A$681,0),8)</f>
        <v>#N/A</v>
      </c>
      <c r="T920" s="18"/>
      <c r="U920" s="18" t="str">
        <f t="shared" si="119"/>
        <v>5</v>
      </c>
      <c r="V920" s="18" t="str">
        <f>IF($L920&lt;"6",INDEX(Revenue_type,MATCH(U920*1,type!$A$118:$A$168,0),8),INDEX(Expenditure_type,MATCH(U920*1,type!$A$2:$A$117,0),8))</f>
        <v>הוצאות מנהליות</v>
      </c>
      <c r="W920" s="18" t="str">
        <f t="shared" si="120"/>
        <v>50</v>
      </c>
      <c r="X920" s="18" t="e">
        <f>IF($L920&lt;"6",INDEX(Revenue_type,MATCH(W920*1,type!$A$118:$A$168,0),8),INDEX(Expenditure_type,MATCH(W920*1,type!$A$2:$A$117,0),8))</f>
        <v>#N/A</v>
      </c>
      <c r="Y920" s="18" t="str">
        <f t="shared" si="121"/>
        <v>500</v>
      </c>
      <c r="Z920" s="18" t="e">
        <f>IF($L920&lt;"6",INDEX(Revenue_type,MATCH(Y920*1,type!$A$118:$A$168,0),8),INDEX(Expenditure_type,MATCH(Y920*1,type!$A$2:$A$117,0),8))</f>
        <v>#N/A</v>
      </c>
    </row>
    <row r="921" spans="1:26" ht="15.75" hidden="1" customHeight="1" outlineLevel="2">
      <c r="A921">
        <v>500</v>
      </c>
      <c r="B921" s="249">
        <v>781100</v>
      </c>
      <c r="C921">
        <v>1</v>
      </c>
      <c r="D921" t="str">
        <f t="shared" si="114"/>
        <v>1781100.500</v>
      </c>
      <c r="E921" s="382" t="s">
        <v>8583</v>
      </c>
      <c r="F921" s="242"/>
      <c r="G921"/>
      <c r="H921" s="322">
        <v>14000</v>
      </c>
      <c r="I921" s="322">
        <v>14000</v>
      </c>
      <c r="J921" s="242">
        <v>3700</v>
      </c>
      <c r="K921" s="18" t="e">
        <f>INDEX(תקציב_2013,MATCH(D921,'תקציב 2015'!$D$3:$D$5960,0),8)</f>
        <v>#N/A</v>
      </c>
      <c r="L921" s="18" t="str">
        <f t="shared" si="115"/>
        <v>7</v>
      </c>
      <c r="M921" s="18" t="str">
        <f>INDEX(Chapter,MATCH(L921,Chapter!$A$1:$A$681,0),8)</f>
        <v>שירותים מקומיים</v>
      </c>
      <c r="N921" s="18" t="str">
        <f t="shared" si="116"/>
        <v>78</v>
      </c>
      <c r="O921" s="18" t="str">
        <f>INDEX(Chapter,MATCH(N921,Chapter!$A$1:$A$681,0),8)</f>
        <v>פיקוח עירוני</v>
      </c>
      <c r="P921" s="18" t="str">
        <f t="shared" si="117"/>
        <v>781</v>
      </c>
      <c r="Q921" s="18" t="str">
        <f>INDEX(Chapter,MATCH(P921,Chapter!$A$1:$A$681,0),8)</f>
        <v>פיקוח על חוקי עזר</v>
      </c>
      <c r="R921" s="18" t="str">
        <f t="shared" si="118"/>
        <v>7811</v>
      </c>
      <c r="S921" s="18" t="e">
        <f>INDEX(Chapter,MATCH(R921,Chapter!$A$1:$A$681,0),8)</f>
        <v>#N/A</v>
      </c>
      <c r="T921" s="18"/>
      <c r="U921" s="18" t="str">
        <f t="shared" si="119"/>
        <v>5</v>
      </c>
      <c r="V921" s="18" t="str">
        <f>IF($L921&lt;"6",INDEX(Revenue_type,MATCH(U921*1,type!$A$118:$A$168,0),8),INDEX(Expenditure_type,MATCH(U921*1,type!$A$2:$A$117,0),8))</f>
        <v>הוצאות מנהליות</v>
      </c>
      <c r="W921" s="18" t="str">
        <f t="shared" si="120"/>
        <v>50</v>
      </c>
      <c r="X921" s="18" t="e">
        <f>IF($L921&lt;"6",INDEX(Revenue_type,MATCH(W921*1,type!$A$118:$A$168,0),8),INDEX(Expenditure_type,MATCH(W921*1,type!$A$2:$A$117,0),8))</f>
        <v>#N/A</v>
      </c>
      <c r="Y921" s="18" t="str">
        <f t="shared" si="121"/>
        <v>500</v>
      </c>
      <c r="Z921" s="18" t="e">
        <f>IF($L921&lt;"6",INDEX(Revenue_type,MATCH(Y921*1,type!$A$118:$A$168,0),8),INDEX(Expenditure_type,MATCH(Y921*1,type!$A$2:$A$117,0),8))</f>
        <v>#N/A</v>
      </c>
    </row>
    <row r="922" spans="1:26" ht="15.75" hidden="1" customHeight="1" outlineLevel="2">
      <c r="A922">
        <v>700</v>
      </c>
      <c r="B922" s="249">
        <v>781100</v>
      </c>
      <c r="C922">
        <v>1</v>
      </c>
      <c r="D922" t="str">
        <f t="shared" si="114"/>
        <v>1781100.700</v>
      </c>
      <c r="E922" s="454" t="s">
        <v>8584</v>
      </c>
      <c r="F922" s="242"/>
      <c r="G922"/>
      <c r="H922" s="322">
        <v>1086100</v>
      </c>
      <c r="I922" s="322">
        <v>1155000</v>
      </c>
      <c r="J922" s="242">
        <v>1080400</v>
      </c>
      <c r="K922" s="18" t="e">
        <f>INDEX(תקציב_2013,MATCH(D922,'תקציב 2015'!$D$3:$D$5960,0),8)</f>
        <v>#N/A</v>
      </c>
      <c r="L922" s="18" t="str">
        <f t="shared" si="115"/>
        <v>7</v>
      </c>
      <c r="M922" s="18" t="str">
        <f>INDEX(Chapter,MATCH(L922,Chapter!$A$1:$A$681,0),8)</f>
        <v>שירותים מקומיים</v>
      </c>
      <c r="N922" s="18" t="str">
        <f t="shared" si="116"/>
        <v>78</v>
      </c>
      <c r="O922" s="18" t="str">
        <f>INDEX(Chapter,MATCH(N922,Chapter!$A$1:$A$681,0),8)</f>
        <v>פיקוח עירוני</v>
      </c>
      <c r="P922" s="18" t="str">
        <f t="shared" si="117"/>
        <v>781</v>
      </c>
      <c r="Q922" s="18" t="str">
        <f>INDEX(Chapter,MATCH(P922,Chapter!$A$1:$A$681,0),8)</f>
        <v>פיקוח על חוקי עזר</v>
      </c>
      <c r="R922" s="18" t="str">
        <f t="shared" si="118"/>
        <v>7811</v>
      </c>
      <c r="S922" s="18" t="e">
        <f>INDEX(Chapter,MATCH(R922,Chapter!$A$1:$A$681,0),8)</f>
        <v>#N/A</v>
      </c>
      <c r="T922" s="18"/>
      <c r="U922" s="18" t="str">
        <f t="shared" si="119"/>
        <v>7</v>
      </c>
      <c r="V922" s="18" t="str">
        <f>IF($L922&lt;"6",INDEX(Revenue_type,MATCH(U922*1,type!$A$118:$A$168,0),8),INDEX(Expenditure_type,MATCH(U922*1,type!$A$2:$A$117,0),8))</f>
        <v>הוצאות לפעולות</v>
      </c>
      <c r="W922" s="18" t="str">
        <f t="shared" si="120"/>
        <v>70</v>
      </c>
      <c r="X922" s="18" t="e">
        <f>IF($L922&lt;"6",INDEX(Revenue_type,MATCH(W922*1,type!$A$118:$A$168,0),8),INDEX(Expenditure_type,MATCH(W922*1,type!$A$2:$A$117,0),8))</f>
        <v>#N/A</v>
      </c>
      <c r="Y922" s="18" t="str">
        <f t="shared" si="121"/>
        <v>700</v>
      </c>
      <c r="Z922" s="18" t="e">
        <f>IF($L922&lt;"6",INDEX(Revenue_type,MATCH(Y922*1,type!$A$118:$A$168,0),8),INDEX(Expenditure_type,MATCH(Y922*1,type!$A$2:$A$117,0),8))</f>
        <v>#N/A</v>
      </c>
    </row>
    <row r="923" spans="1:26" ht="15.75" hidden="1" customHeight="1" outlineLevel="2">
      <c r="A923">
        <v>100</v>
      </c>
      <c r="B923" s="249">
        <v>721000</v>
      </c>
      <c r="C923">
        <v>1</v>
      </c>
      <c r="D923" t="str">
        <f t="shared" si="114"/>
        <v>1721000.100</v>
      </c>
      <c r="E923" s="462" t="s">
        <v>8585</v>
      </c>
      <c r="F923" s="242"/>
      <c r="G923"/>
      <c r="H923" s="322">
        <v>1104100</v>
      </c>
      <c r="I923" s="322">
        <v>1092100</v>
      </c>
      <c r="J923" s="242">
        <v>1109400</v>
      </c>
      <c r="K923" s="18" t="e">
        <f>INDEX(תקציב_2013,MATCH(D923,'תקציב 2015'!$D$3:$D$5960,0),8)</f>
        <v>#N/A</v>
      </c>
      <c r="L923" s="18" t="str">
        <f t="shared" si="115"/>
        <v>7</v>
      </c>
      <c r="M923" s="18" t="str">
        <f>INDEX(Chapter,MATCH(L923,Chapter!$A$1:$A$681,0),8)</f>
        <v>שירותים מקומיים</v>
      </c>
      <c r="N923" s="18" t="str">
        <f t="shared" si="116"/>
        <v>72</v>
      </c>
      <c r="O923" s="18" t="str">
        <f>INDEX(Chapter,MATCH(N923,Chapter!$A$1:$A$681,0),8)</f>
        <v>שמירה ובטחון</v>
      </c>
      <c r="P923" s="18" t="str">
        <f t="shared" si="117"/>
        <v>721</v>
      </c>
      <c r="Q923" s="18" t="str">
        <f>INDEX(Chapter,MATCH(P923,Chapter!$A$1:$A$681,0),8)</f>
        <v>מינהל שמירה ובטחון</v>
      </c>
      <c r="R923" s="18" t="str">
        <f t="shared" si="118"/>
        <v>7210</v>
      </c>
      <c r="S923" s="18" t="e">
        <f>INDEX(Chapter,MATCH(R923,Chapter!$A$1:$A$681,0),8)</f>
        <v>#N/A</v>
      </c>
      <c r="T923" s="18"/>
      <c r="U923" s="18" t="str">
        <f t="shared" si="119"/>
        <v>1</v>
      </c>
      <c r="V923" s="18" t="str">
        <f>IF($L923&lt;"6",INDEX(Revenue_type,MATCH(U923*1,type!$A$118:$A$168,0),8),INDEX(Expenditure_type,MATCH(U923*1,type!$A$2:$A$117,0),8))</f>
        <v>משכורות וש"ע לעובדים לפי תקן</v>
      </c>
      <c r="W923" s="18" t="str">
        <f t="shared" si="120"/>
        <v>10</v>
      </c>
      <c r="X923" s="18" t="e">
        <f>IF($L923&lt;"6",INDEX(Revenue_type,MATCH(W923*1,type!$A$118:$A$168,0),8),INDEX(Expenditure_type,MATCH(W923*1,type!$A$2:$A$117,0),8))</f>
        <v>#N/A</v>
      </c>
      <c r="Y923" s="18" t="str">
        <f t="shared" si="121"/>
        <v>100</v>
      </c>
      <c r="Z923" s="18" t="e">
        <f>IF($L923&lt;"6",INDEX(Revenue_type,MATCH(Y923*1,type!$A$118:$A$168,0),8),INDEX(Expenditure_type,MATCH(Y923*1,type!$A$2:$A$117,0),8))</f>
        <v>#N/A</v>
      </c>
    </row>
    <row r="924" spans="1:26" ht="15.75" hidden="1" customHeight="1" outlineLevel="2">
      <c r="A924">
        <v>120</v>
      </c>
      <c r="B924" s="249">
        <v>721000</v>
      </c>
      <c r="C924">
        <v>1</v>
      </c>
      <c r="D924" t="str">
        <f t="shared" si="114"/>
        <v>1721000.120</v>
      </c>
      <c r="E924" s="382" t="s">
        <v>8586</v>
      </c>
      <c r="F924" s="242"/>
      <c r="G924"/>
      <c r="H924" s="322">
        <v>6900</v>
      </c>
      <c r="I924" s="322">
        <v>6900</v>
      </c>
      <c r="J924" s="242">
        <v>9400</v>
      </c>
      <c r="K924" s="18">
        <f>INDEX(תקציב_2013,MATCH(D924,'תקציב 2015'!$D$3:$D$5960,0),8)</f>
        <v>112947</v>
      </c>
      <c r="L924" s="18" t="str">
        <f t="shared" si="115"/>
        <v>7</v>
      </c>
      <c r="M924" s="18" t="str">
        <f>INDEX(Chapter,MATCH(L924,Chapter!$A$1:$A$681,0),8)</f>
        <v>שירותים מקומיים</v>
      </c>
      <c r="N924" s="18" t="str">
        <f t="shared" si="116"/>
        <v>72</v>
      </c>
      <c r="O924" s="18" t="str">
        <f>INDEX(Chapter,MATCH(N924,Chapter!$A$1:$A$681,0),8)</f>
        <v>שמירה ובטחון</v>
      </c>
      <c r="P924" s="18" t="str">
        <f t="shared" si="117"/>
        <v>721</v>
      </c>
      <c r="Q924" s="18" t="str">
        <f>INDEX(Chapter,MATCH(P924,Chapter!$A$1:$A$681,0),8)</f>
        <v>מינהל שמירה ובטחון</v>
      </c>
      <c r="R924" s="18" t="str">
        <f t="shared" si="118"/>
        <v>7210</v>
      </c>
      <c r="S924" s="18" t="e">
        <f>INDEX(Chapter,MATCH(R924,Chapter!$A$1:$A$681,0),8)</f>
        <v>#N/A</v>
      </c>
      <c r="T924" s="18"/>
      <c r="U924" s="18" t="str">
        <f t="shared" si="119"/>
        <v>1</v>
      </c>
      <c r="V924" s="18" t="str">
        <f>IF($L924&lt;"6",INDEX(Revenue_type,MATCH(U924*1,type!$A$118:$A$168,0),8),INDEX(Expenditure_type,MATCH(U924*1,type!$A$2:$A$117,0),8))</f>
        <v>משכורות וש"ע לעובדים לפי תקן</v>
      </c>
      <c r="W924" s="18" t="str">
        <f t="shared" si="120"/>
        <v>12</v>
      </c>
      <c r="X924" s="18" t="str">
        <f>IF($L924&lt;"6",INDEX(Revenue_type,MATCH(W924*1,type!$A$118:$A$168,0),8),INDEX(Expenditure_type,MATCH(W924*1,type!$A$2:$A$117,0),8))</f>
        <v>תוספות שאינן נכללות בשכר הקובע</v>
      </c>
      <c r="Y924" s="18" t="str">
        <f t="shared" si="121"/>
        <v>120</v>
      </c>
      <c r="Z924" s="18" t="e">
        <f>IF($L924&lt;"6",INDEX(Revenue_type,MATCH(Y924*1,type!$A$118:$A$168,0),8),INDEX(Expenditure_type,MATCH(Y924*1,type!$A$2:$A$117,0),8))</f>
        <v>#N/A</v>
      </c>
    </row>
    <row r="925" spans="1:26" ht="15.75" hidden="1" customHeight="1" outlineLevel="2">
      <c r="A925">
        <v>400</v>
      </c>
      <c r="B925" s="249">
        <v>721000</v>
      </c>
      <c r="C925">
        <v>1</v>
      </c>
      <c r="D925" t="str">
        <f t="shared" si="114"/>
        <v>1721000.400</v>
      </c>
      <c r="E925" s="382" t="s">
        <v>8587</v>
      </c>
      <c r="F925" s="242"/>
      <c r="G925"/>
      <c r="H925" s="322">
        <v>154500</v>
      </c>
      <c r="I925" s="322">
        <v>154500</v>
      </c>
      <c r="J925" s="242">
        <v>173700</v>
      </c>
      <c r="K925" s="18" t="e">
        <f>INDEX(תקציב_2013,MATCH(D925,'תקציב 2015'!$D$3:$D$5960,0),8)</f>
        <v>#N/A</v>
      </c>
      <c r="L925" s="18" t="str">
        <f t="shared" si="115"/>
        <v>7</v>
      </c>
      <c r="M925" s="18" t="str">
        <f>INDEX(Chapter,MATCH(L925,Chapter!$A$1:$A$681,0),8)</f>
        <v>שירותים מקומיים</v>
      </c>
      <c r="N925" s="18" t="str">
        <f t="shared" si="116"/>
        <v>72</v>
      </c>
      <c r="O925" s="18" t="str">
        <f>INDEX(Chapter,MATCH(N925,Chapter!$A$1:$A$681,0),8)</f>
        <v>שמירה ובטחון</v>
      </c>
      <c r="P925" s="18" t="str">
        <f t="shared" si="117"/>
        <v>721</v>
      </c>
      <c r="Q925" s="18" t="str">
        <f>INDEX(Chapter,MATCH(P925,Chapter!$A$1:$A$681,0),8)</f>
        <v>מינהל שמירה ובטחון</v>
      </c>
      <c r="R925" s="18" t="str">
        <f t="shared" si="118"/>
        <v>7210</v>
      </c>
      <c r="S925" s="18" t="e">
        <f>INDEX(Chapter,MATCH(R925,Chapter!$A$1:$A$681,0),8)</f>
        <v>#N/A</v>
      </c>
      <c r="T925" s="18"/>
      <c r="U925" s="18" t="str">
        <f t="shared" si="119"/>
        <v>4</v>
      </c>
      <c r="V925" s="18" t="str">
        <f>IF($L925&lt;"6",INDEX(Revenue_type,MATCH(U925*1,type!$A$118:$A$168,0),8),INDEX(Expenditure_type,MATCH(U925*1,type!$A$2:$A$117,0),8))</f>
        <v>אחזקת בינים ואספקת ציוד</v>
      </c>
      <c r="W925" s="18" t="str">
        <f t="shared" si="120"/>
        <v>40</v>
      </c>
      <c r="X925" s="18" t="e">
        <f>IF($L925&lt;"6",INDEX(Revenue_type,MATCH(W925*1,type!$A$118:$A$168,0),8),INDEX(Expenditure_type,MATCH(W925*1,type!$A$2:$A$117,0),8))</f>
        <v>#N/A</v>
      </c>
      <c r="Y925" s="18" t="str">
        <f t="shared" si="121"/>
        <v>400</v>
      </c>
      <c r="Z925" s="18" t="e">
        <f>IF($L925&lt;"6",INDEX(Revenue_type,MATCH(Y925*1,type!$A$118:$A$168,0),8),INDEX(Expenditure_type,MATCH(Y925*1,type!$A$2:$A$117,0),8))</f>
        <v>#N/A</v>
      </c>
    </row>
    <row r="926" spans="1:26" ht="15.75" hidden="1" customHeight="1" outlineLevel="2">
      <c r="A926">
        <v>500</v>
      </c>
      <c r="B926" s="249">
        <v>721000</v>
      </c>
      <c r="C926">
        <v>1</v>
      </c>
      <c r="D926" t="str">
        <f t="shared" si="114"/>
        <v>1721000.500</v>
      </c>
      <c r="E926" s="382" t="s">
        <v>8588</v>
      </c>
      <c r="F926" s="242"/>
      <c r="G926"/>
      <c r="H926" s="322">
        <v>60500</v>
      </c>
      <c r="I926" s="322">
        <v>64500</v>
      </c>
      <c r="J926" s="242">
        <v>68100</v>
      </c>
      <c r="K926" s="18" t="e">
        <f>INDEX(תקציב_2013,MATCH(D926,'תקציב 2015'!$D$3:$D$5960,0),8)</f>
        <v>#N/A</v>
      </c>
      <c r="L926" s="18" t="str">
        <f t="shared" si="115"/>
        <v>7</v>
      </c>
      <c r="M926" s="18" t="str">
        <f>INDEX(Chapter,MATCH(L926,Chapter!$A$1:$A$681,0),8)</f>
        <v>שירותים מקומיים</v>
      </c>
      <c r="N926" s="18" t="str">
        <f t="shared" si="116"/>
        <v>72</v>
      </c>
      <c r="O926" s="18" t="str">
        <f>INDEX(Chapter,MATCH(N926,Chapter!$A$1:$A$681,0),8)</f>
        <v>שמירה ובטחון</v>
      </c>
      <c r="P926" s="18" t="str">
        <f t="shared" si="117"/>
        <v>721</v>
      </c>
      <c r="Q926" s="18" t="str">
        <f>INDEX(Chapter,MATCH(P926,Chapter!$A$1:$A$681,0),8)</f>
        <v>מינהל שמירה ובטחון</v>
      </c>
      <c r="R926" s="18" t="str">
        <f t="shared" si="118"/>
        <v>7210</v>
      </c>
      <c r="S926" s="18" t="e">
        <f>INDEX(Chapter,MATCH(R926,Chapter!$A$1:$A$681,0),8)</f>
        <v>#N/A</v>
      </c>
      <c r="T926" s="18"/>
      <c r="U926" s="18" t="str">
        <f t="shared" si="119"/>
        <v>5</v>
      </c>
      <c r="V926" s="18" t="str">
        <f>IF($L926&lt;"6",INDEX(Revenue_type,MATCH(U926*1,type!$A$118:$A$168,0),8),INDEX(Expenditure_type,MATCH(U926*1,type!$A$2:$A$117,0),8))</f>
        <v>הוצאות מנהליות</v>
      </c>
      <c r="W926" s="18" t="str">
        <f t="shared" si="120"/>
        <v>50</v>
      </c>
      <c r="X926" s="18" t="e">
        <f>IF($L926&lt;"6",INDEX(Revenue_type,MATCH(W926*1,type!$A$118:$A$168,0),8),INDEX(Expenditure_type,MATCH(W926*1,type!$A$2:$A$117,0),8))</f>
        <v>#N/A</v>
      </c>
      <c r="Y926" s="18" t="str">
        <f t="shared" si="121"/>
        <v>500</v>
      </c>
      <c r="Z926" s="18" t="e">
        <f>IF($L926&lt;"6",INDEX(Revenue_type,MATCH(Y926*1,type!$A$118:$A$168,0),8),INDEX(Expenditure_type,MATCH(Y926*1,type!$A$2:$A$117,0),8))</f>
        <v>#N/A</v>
      </c>
    </row>
    <row r="927" spans="1:26" ht="15.75" hidden="1" customHeight="1" outlineLevel="2">
      <c r="A927">
        <v>500</v>
      </c>
      <c r="B927" s="249">
        <v>721000</v>
      </c>
      <c r="C927">
        <v>1</v>
      </c>
      <c r="D927" t="str">
        <f t="shared" si="114"/>
        <v>1721000.500</v>
      </c>
      <c r="E927" s="382" t="s">
        <v>8589</v>
      </c>
      <c r="F927" s="242"/>
      <c r="G927"/>
      <c r="H927" s="322">
        <v>3500</v>
      </c>
      <c r="I927" s="322">
        <v>3500</v>
      </c>
      <c r="J927" s="242">
        <v>2500</v>
      </c>
      <c r="K927" s="18" t="e">
        <f>INDEX(תקציב_2013,MATCH(D927,'תקציב 2015'!$D$3:$D$5960,0),8)</f>
        <v>#N/A</v>
      </c>
      <c r="L927" s="18" t="str">
        <f t="shared" si="115"/>
        <v>7</v>
      </c>
      <c r="M927" s="18" t="str">
        <f>INDEX(Chapter,MATCH(L927,Chapter!$A$1:$A$681,0),8)</f>
        <v>שירותים מקומיים</v>
      </c>
      <c r="N927" s="18" t="str">
        <f t="shared" si="116"/>
        <v>72</v>
      </c>
      <c r="O927" s="18" t="str">
        <f>INDEX(Chapter,MATCH(N927,Chapter!$A$1:$A$681,0),8)</f>
        <v>שמירה ובטחון</v>
      </c>
      <c r="P927" s="18" t="str">
        <f t="shared" si="117"/>
        <v>721</v>
      </c>
      <c r="Q927" s="18" t="str">
        <f>INDEX(Chapter,MATCH(P927,Chapter!$A$1:$A$681,0),8)</f>
        <v>מינהל שמירה ובטחון</v>
      </c>
      <c r="R927" s="18" t="str">
        <f t="shared" si="118"/>
        <v>7210</v>
      </c>
      <c r="S927" s="18" t="e">
        <f>INDEX(Chapter,MATCH(R927,Chapter!$A$1:$A$681,0),8)</f>
        <v>#N/A</v>
      </c>
      <c r="T927" s="18"/>
      <c r="U927" s="18" t="str">
        <f t="shared" si="119"/>
        <v>5</v>
      </c>
      <c r="V927" s="18" t="str">
        <f>IF($L927&lt;"6",INDEX(Revenue_type,MATCH(U927*1,type!$A$118:$A$168,0),8),INDEX(Expenditure_type,MATCH(U927*1,type!$A$2:$A$117,0),8))</f>
        <v>הוצאות מנהליות</v>
      </c>
      <c r="W927" s="18" t="str">
        <f t="shared" si="120"/>
        <v>50</v>
      </c>
      <c r="X927" s="18" t="e">
        <f>IF($L927&lt;"6",INDEX(Revenue_type,MATCH(W927*1,type!$A$118:$A$168,0),8),INDEX(Expenditure_type,MATCH(W927*1,type!$A$2:$A$117,0),8))</f>
        <v>#N/A</v>
      </c>
      <c r="Y927" s="18" t="str">
        <f t="shared" si="121"/>
        <v>500</v>
      </c>
      <c r="Z927" s="18" t="e">
        <f>IF($L927&lt;"6",INDEX(Revenue_type,MATCH(Y927*1,type!$A$118:$A$168,0),8),INDEX(Expenditure_type,MATCH(Y927*1,type!$A$2:$A$117,0),8))</f>
        <v>#N/A</v>
      </c>
    </row>
    <row r="928" spans="1:26" ht="15.75" hidden="1" customHeight="1" outlineLevel="2">
      <c r="A928">
        <v>700</v>
      </c>
      <c r="B928" s="249">
        <v>721000</v>
      </c>
      <c r="C928">
        <v>1</v>
      </c>
      <c r="D928" t="str">
        <f t="shared" si="114"/>
        <v>1721000.700</v>
      </c>
      <c r="E928" s="382" t="s">
        <v>8590</v>
      </c>
      <c r="F928" s="242"/>
      <c r="G928"/>
      <c r="H928" s="322">
        <v>35800</v>
      </c>
      <c r="I928" s="322">
        <v>39300</v>
      </c>
      <c r="J928" s="242">
        <v>33600</v>
      </c>
      <c r="K928" s="18" t="e">
        <f>INDEX(תקציב_2013,MATCH(D928,'תקציב 2015'!$D$3:$D$5960,0),8)</f>
        <v>#N/A</v>
      </c>
      <c r="L928" s="18" t="str">
        <f t="shared" si="115"/>
        <v>7</v>
      </c>
      <c r="M928" s="18" t="str">
        <f>INDEX(Chapter,MATCH(L928,Chapter!$A$1:$A$681,0),8)</f>
        <v>שירותים מקומיים</v>
      </c>
      <c r="N928" s="18" t="str">
        <f t="shared" si="116"/>
        <v>72</v>
      </c>
      <c r="O928" s="18" t="str">
        <f>INDEX(Chapter,MATCH(N928,Chapter!$A$1:$A$681,0),8)</f>
        <v>שמירה ובטחון</v>
      </c>
      <c r="P928" s="18" t="str">
        <f t="shared" si="117"/>
        <v>721</v>
      </c>
      <c r="Q928" s="18" t="str">
        <f>INDEX(Chapter,MATCH(P928,Chapter!$A$1:$A$681,0),8)</f>
        <v>מינהל שמירה ובטחון</v>
      </c>
      <c r="R928" s="18" t="str">
        <f t="shared" si="118"/>
        <v>7210</v>
      </c>
      <c r="S928" s="18" t="e">
        <f>INDEX(Chapter,MATCH(R928,Chapter!$A$1:$A$681,0),8)</f>
        <v>#N/A</v>
      </c>
      <c r="T928" s="18"/>
      <c r="U928" s="18" t="str">
        <f t="shared" si="119"/>
        <v>7</v>
      </c>
      <c r="V928" s="18" t="str">
        <f>IF($L928&lt;"6",INDEX(Revenue_type,MATCH(U928*1,type!$A$118:$A$168,0),8),INDEX(Expenditure_type,MATCH(U928*1,type!$A$2:$A$117,0),8))</f>
        <v>הוצאות לפעולות</v>
      </c>
      <c r="W928" s="18" t="str">
        <f t="shared" si="120"/>
        <v>70</v>
      </c>
      <c r="X928" s="18" t="e">
        <f>IF($L928&lt;"6",INDEX(Revenue_type,MATCH(W928*1,type!$A$118:$A$168,0),8),INDEX(Expenditure_type,MATCH(W928*1,type!$A$2:$A$117,0),8))</f>
        <v>#N/A</v>
      </c>
      <c r="Y928" s="18" t="str">
        <f t="shared" si="121"/>
        <v>700</v>
      </c>
      <c r="Z928" s="18" t="e">
        <f>IF($L928&lt;"6",INDEX(Revenue_type,MATCH(Y928*1,type!$A$118:$A$168,0),8),INDEX(Expenditure_type,MATCH(Y928*1,type!$A$2:$A$117,0),8))</f>
        <v>#N/A</v>
      </c>
    </row>
    <row r="929" spans="1:26" ht="15.75" hidden="1" customHeight="1" outlineLevel="2">
      <c r="A929">
        <v>100</v>
      </c>
      <c r="B929" s="249">
        <v>722000</v>
      </c>
      <c r="C929">
        <v>1</v>
      </c>
      <c r="D929" t="str">
        <f t="shared" si="114"/>
        <v>1722000.100</v>
      </c>
      <c r="E929" s="382" t="s">
        <v>8591</v>
      </c>
      <c r="F929" s="242"/>
      <c r="G929"/>
      <c r="H929" s="322">
        <v>2790300</v>
      </c>
      <c r="I929" s="322">
        <v>2755300</v>
      </c>
      <c r="J929" s="242">
        <v>2473100</v>
      </c>
      <c r="K929" s="18" t="e">
        <f>INDEX(תקציב_2013,MATCH(D929,'תקציב 2015'!$D$3:$D$5960,0),8)</f>
        <v>#N/A</v>
      </c>
      <c r="L929" s="18" t="str">
        <f t="shared" si="115"/>
        <v>7</v>
      </c>
      <c r="M929" s="18" t="str">
        <f>INDEX(Chapter,MATCH(L929,Chapter!$A$1:$A$681,0),8)</f>
        <v>שירותים מקומיים</v>
      </c>
      <c r="N929" s="18" t="str">
        <f t="shared" si="116"/>
        <v>72</v>
      </c>
      <c r="O929" s="18" t="str">
        <f>INDEX(Chapter,MATCH(N929,Chapter!$A$1:$A$681,0),8)</f>
        <v>שמירה ובטחון</v>
      </c>
      <c r="P929" s="18" t="str">
        <f t="shared" si="117"/>
        <v>722</v>
      </c>
      <c r="Q929" s="18" t="str">
        <f>INDEX(Chapter,MATCH(P929,Chapter!$A$1:$A$681,0),8)</f>
        <v>שמירה ביטחונית</v>
      </c>
      <c r="R929" s="18" t="str">
        <f t="shared" si="118"/>
        <v>7220</v>
      </c>
      <c r="S929" s="18" t="e">
        <f>INDEX(Chapter,MATCH(R929,Chapter!$A$1:$A$681,0),8)</f>
        <v>#N/A</v>
      </c>
      <c r="T929" s="18"/>
      <c r="U929" s="18" t="str">
        <f t="shared" si="119"/>
        <v>1</v>
      </c>
      <c r="V929" s="18" t="str">
        <f>IF($L929&lt;"6",INDEX(Revenue_type,MATCH(U929*1,type!$A$118:$A$168,0),8),INDEX(Expenditure_type,MATCH(U929*1,type!$A$2:$A$117,0),8))</f>
        <v>משכורות וש"ע לעובדים לפי תקן</v>
      </c>
      <c r="W929" s="18" t="str">
        <f t="shared" si="120"/>
        <v>10</v>
      </c>
      <c r="X929" s="18" t="e">
        <f>IF($L929&lt;"6",INDEX(Revenue_type,MATCH(W929*1,type!$A$118:$A$168,0),8),INDEX(Expenditure_type,MATCH(W929*1,type!$A$2:$A$117,0),8))</f>
        <v>#N/A</v>
      </c>
      <c r="Y929" s="18" t="str">
        <f t="shared" si="121"/>
        <v>100</v>
      </c>
      <c r="Z929" s="18" t="e">
        <f>IF($L929&lt;"6",INDEX(Revenue_type,MATCH(Y929*1,type!$A$118:$A$168,0),8),INDEX(Expenditure_type,MATCH(Y929*1,type!$A$2:$A$117,0),8))</f>
        <v>#N/A</v>
      </c>
    </row>
    <row r="930" spans="1:26" ht="15.75" hidden="1" customHeight="1" outlineLevel="2">
      <c r="A930">
        <v>120</v>
      </c>
      <c r="B930" s="249">
        <v>722000</v>
      </c>
      <c r="C930">
        <v>1</v>
      </c>
      <c r="D930" t="str">
        <f t="shared" si="114"/>
        <v>1722000.120</v>
      </c>
      <c r="E930" s="382" t="s">
        <v>8592</v>
      </c>
      <c r="F930" s="242"/>
      <c r="G930"/>
      <c r="H930" s="322">
        <v>445700</v>
      </c>
      <c r="I930" s="322">
        <v>445700</v>
      </c>
      <c r="J930" s="242">
        <v>567800</v>
      </c>
      <c r="K930" s="18" t="e">
        <f>INDEX(תקציב_2013,MATCH(D930,'תקציב 2015'!$D$3:$D$5960,0),8)</f>
        <v>#N/A</v>
      </c>
      <c r="L930" s="18" t="str">
        <f t="shared" si="115"/>
        <v>7</v>
      </c>
      <c r="M930" s="18" t="str">
        <f>INDEX(Chapter,MATCH(L930,Chapter!$A$1:$A$681,0),8)</f>
        <v>שירותים מקומיים</v>
      </c>
      <c r="N930" s="18" t="str">
        <f t="shared" si="116"/>
        <v>72</v>
      </c>
      <c r="O930" s="18" t="str">
        <f>INDEX(Chapter,MATCH(N930,Chapter!$A$1:$A$681,0),8)</f>
        <v>שמירה ובטחון</v>
      </c>
      <c r="P930" s="18" t="str">
        <f t="shared" si="117"/>
        <v>722</v>
      </c>
      <c r="Q930" s="18" t="str">
        <f>INDEX(Chapter,MATCH(P930,Chapter!$A$1:$A$681,0),8)</f>
        <v>שמירה ביטחונית</v>
      </c>
      <c r="R930" s="18" t="str">
        <f t="shared" si="118"/>
        <v>7220</v>
      </c>
      <c r="S930" s="18" t="e">
        <f>INDEX(Chapter,MATCH(R930,Chapter!$A$1:$A$681,0),8)</f>
        <v>#N/A</v>
      </c>
      <c r="T930" s="18"/>
      <c r="U930" s="18" t="str">
        <f t="shared" si="119"/>
        <v>1</v>
      </c>
      <c r="V930" s="18" t="str">
        <f>IF($L930&lt;"6",INDEX(Revenue_type,MATCH(U930*1,type!$A$118:$A$168,0),8),INDEX(Expenditure_type,MATCH(U930*1,type!$A$2:$A$117,0),8))</f>
        <v>משכורות וש"ע לעובדים לפי תקן</v>
      </c>
      <c r="W930" s="18" t="str">
        <f t="shared" si="120"/>
        <v>12</v>
      </c>
      <c r="X930" s="18" t="str">
        <f>IF($L930&lt;"6",INDEX(Revenue_type,MATCH(W930*1,type!$A$118:$A$168,0),8),INDEX(Expenditure_type,MATCH(W930*1,type!$A$2:$A$117,0),8))</f>
        <v>תוספות שאינן נכללות בשכר הקובע</v>
      </c>
      <c r="Y930" s="18" t="str">
        <f t="shared" si="121"/>
        <v>120</v>
      </c>
      <c r="Z930" s="18" t="e">
        <f>IF($L930&lt;"6",INDEX(Revenue_type,MATCH(Y930*1,type!$A$118:$A$168,0),8),INDEX(Expenditure_type,MATCH(Y930*1,type!$A$2:$A$117,0),8))</f>
        <v>#N/A</v>
      </c>
    </row>
    <row r="931" spans="1:26" ht="15.75" hidden="1" customHeight="1" outlineLevel="2">
      <c r="A931">
        <v>700</v>
      </c>
      <c r="B931" s="249">
        <v>722000</v>
      </c>
      <c r="C931">
        <v>1</v>
      </c>
      <c r="D931" t="str">
        <f t="shared" si="114"/>
        <v>1722000.700</v>
      </c>
      <c r="E931" s="382" t="s">
        <v>8593</v>
      </c>
      <c r="F931" s="242"/>
      <c r="G931"/>
      <c r="H931" s="322">
        <v>777200</v>
      </c>
      <c r="I931" s="322">
        <v>800000</v>
      </c>
      <c r="J931" s="242">
        <v>691400</v>
      </c>
      <c r="K931" s="18" t="e">
        <f>INDEX(תקציב_2013,MATCH(D931,'תקציב 2015'!$D$3:$D$5960,0),8)</f>
        <v>#N/A</v>
      </c>
      <c r="L931" s="18" t="str">
        <f t="shared" si="115"/>
        <v>7</v>
      </c>
      <c r="M931" s="18" t="str">
        <f>INDEX(Chapter,MATCH(L931,Chapter!$A$1:$A$681,0),8)</f>
        <v>שירותים מקומיים</v>
      </c>
      <c r="N931" s="18" t="str">
        <f t="shared" si="116"/>
        <v>72</v>
      </c>
      <c r="O931" s="18" t="str">
        <f>INDEX(Chapter,MATCH(N931,Chapter!$A$1:$A$681,0),8)</f>
        <v>שמירה ובטחון</v>
      </c>
      <c r="P931" s="18" t="str">
        <f t="shared" si="117"/>
        <v>722</v>
      </c>
      <c r="Q931" s="18" t="str">
        <f>INDEX(Chapter,MATCH(P931,Chapter!$A$1:$A$681,0),8)</f>
        <v>שמירה ביטחונית</v>
      </c>
      <c r="R931" s="18" t="str">
        <f t="shared" si="118"/>
        <v>7220</v>
      </c>
      <c r="S931" s="18" t="e">
        <f>INDEX(Chapter,MATCH(R931,Chapter!$A$1:$A$681,0),8)</f>
        <v>#N/A</v>
      </c>
      <c r="T931" s="18"/>
      <c r="U931" s="18" t="str">
        <f t="shared" si="119"/>
        <v>7</v>
      </c>
      <c r="V931" s="18" t="str">
        <f>IF($L931&lt;"6",INDEX(Revenue_type,MATCH(U931*1,type!$A$118:$A$168,0),8),INDEX(Expenditure_type,MATCH(U931*1,type!$A$2:$A$117,0),8))</f>
        <v>הוצאות לפעולות</v>
      </c>
      <c r="W931" s="18" t="str">
        <f t="shared" si="120"/>
        <v>70</v>
      </c>
      <c r="X931" s="18" t="e">
        <f>IF($L931&lt;"6",INDEX(Revenue_type,MATCH(W931*1,type!$A$118:$A$168,0),8),INDEX(Expenditure_type,MATCH(W931*1,type!$A$2:$A$117,0),8))</f>
        <v>#N/A</v>
      </c>
      <c r="Y931" s="18" t="str">
        <f t="shared" si="121"/>
        <v>700</v>
      </c>
      <c r="Z931" s="18" t="e">
        <f>IF($L931&lt;"6",INDEX(Revenue_type,MATCH(Y931*1,type!$A$118:$A$168,0),8),INDEX(Expenditure_type,MATCH(Y931*1,type!$A$2:$A$117,0),8))</f>
        <v>#N/A</v>
      </c>
    </row>
    <row r="932" spans="1:26" ht="15.75" hidden="1" customHeight="1" outlineLevel="2">
      <c r="A932">
        <v>100</v>
      </c>
      <c r="B932" s="249">
        <v>723000</v>
      </c>
      <c r="C932">
        <v>1</v>
      </c>
      <c r="D932" t="str">
        <f t="shared" si="114"/>
        <v>1723000.100</v>
      </c>
      <c r="E932" s="382" t="s">
        <v>8594</v>
      </c>
      <c r="F932" s="242"/>
      <c r="G932"/>
      <c r="H932" s="322">
        <v>2362200</v>
      </c>
      <c r="I932" s="322">
        <v>2335200</v>
      </c>
      <c r="J932" s="242">
        <v>2810700</v>
      </c>
      <c r="K932" s="18"/>
      <c r="L932" s="18" t="str">
        <f t="shared" si="115"/>
        <v>7</v>
      </c>
      <c r="M932" s="18" t="str">
        <f>INDEX(Chapter,MATCH(L932,Chapter!$A$1:$A$681,0),8)</f>
        <v>שירותים מקומיים</v>
      </c>
      <c r="N932" s="18" t="str">
        <f t="shared" si="116"/>
        <v>72</v>
      </c>
      <c r="O932" s="18" t="str">
        <f>INDEX(Chapter,MATCH(N932,Chapter!$A$1:$A$681,0),8)</f>
        <v>שמירה ובטחון</v>
      </c>
      <c r="P932" s="18" t="str">
        <f t="shared" si="117"/>
        <v>723</v>
      </c>
      <c r="Q932" s="18" t="str">
        <f>INDEX(Chapter,MATCH(P932,Chapter!$A$1:$A$681,0),8)</f>
        <v>הג״א</v>
      </c>
      <c r="R932" s="18" t="str">
        <f t="shared" si="118"/>
        <v>7230</v>
      </c>
      <c r="S932" s="18" t="e">
        <f>INDEX(Chapter,MATCH(R932,Chapter!$A$1:$A$681,0),8)</f>
        <v>#N/A</v>
      </c>
      <c r="T932" s="18"/>
      <c r="U932" s="18" t="str">
        <f t="shared" si="119"/>
        <v>1</v>
      </c>
      <c r="V932" s="18" t="str">
        <f>IF($L932&lt;"6",INDEX(Revenue_type,MATCH(U932*1,type!$A$118:$A$168,0),8),INDEX(Expenditure_type,MATCH(U932*1,type!$A$2:$A$117,0),8))</f>
        <v>משכורות וש"ע לעובדים לפי תקן</v>
      </c>
      <c r="W932" s="18" t="str">
        <f t="shared" si="120"/>
        <v>10</v>
      </c>
      <c r="X932" s="18" t="e">
        <f>IF($L932&lt;"6",INDEX(Revenue_type,MATCH(W932*1,type!$A$118:$A$168,0),8),INDEX(Expenditure_type,MATCH(W932*1,type!$A$2:$A$117,0),8))</f>
        <v>#N/A</v>
      </c>
      <c r="Y932" s="18" t="str">
        <f t="shared" si="121"/>
        <v>100</v>
      </c>
      <c r="Z932" s="18" t="e">
        <f>IF($L932&lt;"6",INDEX(Revenue_type,MATCH(Y932*1,type!$A$118:$A$168,0),8),INDEX(Expenditure_type,MATCH(Y932*1,type!$A$2:$A$117,0),8))</f>
        <v>#N/A</v>
      </c>
    </row>
    <row r="933" spans="1:26" ht="15.75" hidden="1" customHeight="1" outlineLevel="2">
      <c r="A933">
        <v>120</v>
      </c>
      <c r="B933" s="249">
        <v>723000</v>
      </c>
      <c r="C933">
        <v>1</v>
      </c>
      <c r="D933" t="str">
        <f t="shared" si="114"/>
        <v>1723000.120</v>
      </c>
      <c r="E933" s="381" t="s">
        <v>8595</v>
      </c>
      <c r="F933" s="242"/>
      <c r="G933"/>
      <c r="H933" s="322">
        <v>120800</v>
      </c>
      <c r="I933" s="322">
        <v>120800</v>
      </c>
      <c r="J933" s="242">
        <v>124600</v>
      </c>
      <c r="K933" s="18" t="e">
        <f>INDEX(תקציב_2013,MATCH(D933,'תקציב 2015'!$D$3:$D$5960,0),8)</f>
        <v>#N/A</v>
      </c>
      <c r="L933" s="18" t="str">
        <f t="shared" si="115"/>
        <v>7</v>
      </c>
      <c r="M933" s="18" t="str">
        <f>INDEX(Chapter,MATCH(L933,Chapter!$A$1:$A$681,0),8)</f>
        <v>שירותים מקומיים</v>
      </c>
      <c r="N933" s="18" t="str">
        <f t="shared" si="116"/>
        <v>72</v>
      </c>
      <c r="O933" s="18" t="str">
        <f>INDEX(Chapter,MATCH(N933,Chapter!$A$1:$A$681,0),8)</f>
        <v>שמירה ובטחון</v>
      </c>
      <c r="P933" s="18" t="str">
        <f t="shared" si="117"/>
        <v>723</v>
      </c>
      <c r="Q933" s="18" t="str">
        <f>INDEX(Chapter,MATCH(P933,Chapter!$A$1:$A$681,0),8)</f>
        <v>הג״א</v>
      </c>
      <c r="R933" s="18" t="str">
        <f t="shared" si="118"/>
        <v>7230</v>
      </c>
      <c r="S933" s="18" t="e">
        <f>INDEX(Chapter,MATCH(R933,Chapter!$A$1:$A$681,0),8)</f>
        <v>#N/A</v>
      </c>
      <c r="T933" s="18"/>
      <c r="U933" s="18" t="str">
        <f t="shared" si="119"/>
        <v>1</v>
      </c>
      <c r="V933" s="18" t="str">
        <f>IF($L933&lt;"6",INDEX(Revenue_type,MATCH(U933*1,type!$A$118:$A$168,0),8),INDEX(Expenditure_type,MATCH(U933*1,type!$A$2:$A$117,0),8))</f>
        <v>משכורות וש"ע לעובדים לפי תקן</v>
      </c>
      <c r="W933" s="18" t="str">
        <f t="shared" si="120"/>
        <v>12</v>
      </c>
      <c r="X933" s="18" t="str">
        <f>IF($L933&lt;"6",INDEX(Revenue_type,MATCH(W933*1,type!$A$118:$A$168,0),8),INDEX(Expenditure_type,MATCH(W933*1,type!$A$2:$A$117,0),8))</f>
        <v>תוספות שאינן נכללות בשכר הקובע</v>
      </c>
      <c r="Y933" s="18" t="str">
        <f t="shared" si="121"/>
        <v>120</v>
      </c>
      <c r="Z933" s="18" t="e">
        <f>IF($L933&lt;"6",INDEX(Revenue_type,MATCH(Y933*1,type!$A$118:$A$168,0),8),INDEX(Expenditure_type,MATCH(Y933*1,type!$A$2:$A$117,0),8))</f>
        <v>#N/A</v>
      </c>
    </row>
    <row r="934" spans="1:26" ht="15.75" hidden="1" customHeight="1" outlineLevel="2">
      <c r="A934">
        <v>400</v>
      </c>
      <c r="B934" s="249">
        <v>723000</v>
      </c>
      <c r="C934">
        <v>1</v>
      </c>
      <c r="D934" t="str">
        <f t="shared" si="114"/>
        <v>1723000.400</v>
      </c>
      <c r="E934" s="382" t="s">
        <v>8596</v>
      </c>
      <c r="F934" s="242"/>
      <c r="G934"/>
      <c r="H934" s="322">
        <v>552300</v>
      </c>
      <c r="I934" s="322">
        <v>562300</v>
      </c>
      <c r="J934" s="242">
        <v>729500</v>
      </c>
      <c r="K934" s="18" t="e">
        <f>INDEX(תקציב_2013,MATCH(D934,'תקציב 2015'!$D$3:$D$5960,0),8)</f>
        <v>#N/A</v>
      </c>
      <c r="L934" s="18" t="str">
        <f t="shared" si="115"/>
        <v>7</v>
      </c>
      <c r="M934" s="18" t="str">
        <f>INDEX(Chapter,MATCH(L934,Chapter!$A$1:$A$681,0),8)</f>
        <v>שירותים מקומיים</v>
      </c>
      <c r="N934" s="18" t="str">
        <f t="shared" si="116"/>
        <v>72</v>
      </c>
      <c r="O934" s="18" t="str">
        <f>INDEX(Chapter,MATCH(N934,Chapter!$A$1:$A$681,0),8)</f>
        <v>שמירה ובטחון</v>
      </c>
      <c r="P934" s="18" t="str">
        <f t="shared" si="117"/>
        <v>723</v>
      </c>
      <c r="Q934" s="18" t="str">
        <f>INDEX(Chapter,MATCH(P934,Chapter!$A$1:$A$681,0),8)</f>
        <v>הג״א</v>
      </c>
      <c r="R934" s="18" t="str">
        <f t="shared" si="118"/>
        <v>7230</v>
      </c>
      <c r="S934" s="18" t="e">
        <f>INDEX(Chapter,MATCH(R934,Chapter!$A$1:$A$681,0),8)</f>
        <v>#N/A</v>
      </c>
      <c r="T934" s="18"/>
      <c r="U934" s="18" t="str">
        <f t="shared" si="119"/>
        <v>4</v>
      </c>
      <c r="V934" s="18" t="str">
        <f>IF($L934&lt;"6",INDEX(Revenue_type,MATCH(U934*1,type!$A$118:$A$168,0),8),INDEX(Expenditure_type,MATCH(U934*1,type!$A$2:$A$117,0),8))</f>
        <v>אחזקת בינים ואספקת ציוד</v>
      </c>
      <c r="W934" s="18" t="str">
        <f t="shared" si="120"/>
        <v>40</v>
      </c>
      <c r="X934" s="18" t="e">
        <f>IF($L934&lt;"6",INDEX(Revenue_type,MATCH(W934*1,type!$A$118:$A$168,0),8),INDEX(Expenditure_type,MATCH(W934*1,type!$A$2:$A$117,0),8))</f>
        <v>#N/A</v>
      </c>
      <c r="Y934" s="18" t="str">
        <f t="shared" si="121"/>
        <v>400</v>
      </c>
      <c r="Z934" s="18" t="e">
        <f>IF($L934&lt;"6",INDEX(Revenue_type,MATCH(Y934*1,type!$A$118:$A$168,0),8),INDEX(Expenditure_type,MATCH(Y934*1,type!$A$2:$A$117,0),8))</f>
        <v>#N/A</v>
      </c>
    </row>
    <row r="935" spans="1:26" ht="15.75" hidden="1" customHeight="1" outlineLevel="2">
      <c r="A935">
        <v>500</v>
      </c>
      <c r="B935" s="249">
        <v>723000</v>
      </c>
      <c r="C935">
        <v>1</v>
      </c>
      <c r="D935" t="str">
        <f t="shared" si="114"/>
        <v>1723000.500</v>
      </c>
      <c r="E935" s="382" t="s">
        <v>8597</v>
      </c>
      <c r="F935" s="242"/>
      <c r="G935"/>
      <c r="H935" s="322">
        <v>20000</v>
      </c>
      <c r="I935" s="322">
        <v>20000</v>
      </c>
      <c r="J935" s="242">
        <v>15200</v>
      </c>
      <c r="K935" s="18" t="e">
        <f>INDEX(תקציב_2013,MATCH(D935,'תקציב 2015'!$D$3:$D$5960,0),8)</f>
        <v>#N/A</v>
      </c>
      <c r="L935" s="18" t="str">
        <f t="shared" si="115"/>
        <v>7</v>
      </c>
      <c r="M935" s="18" t="str">
        <f>INDEX(Chapter,MATCH(L935,Chapter!$A$1:$A$681,0),8)</f>
        <v>שירותים מקומיים</v>
      </c>
      <c r="N935" s="18" t="str">
        <f t="shared" si="116"/>
        <v>72</v>
      </c>
      <c r="O935" s="18" t="str">
        <f>INDEX(Chapter,MATCH(N935,Chapter!$A$1:$A$681,0),8)</f>
        <v>שמירה ובטחון</v>
      </c>
      <c r="P935" s="18" t="str">
        <f t="shared" si="117"/>
        <v>723</v>
      </c>
      <c r="Q935" s="18" t="str">
        <f>INDEX(Chapter,MATCH(P935,Chapter!$A$1:$A$681,0),8)</f>
        <v>הג״א</v>
      </c>
      <c r="R935" s="18" t="str">
        <f t="shared" si="118"/>
        <v>7230</v>
      </c>
      <c r="S935" s="18" t="e">
        <f>INDEX(Chapter,MATCH(R935,Chapter!$A$1:$A$681,0),8)</f>
        <v>#N/A</v>
      </c>
      <c r="T935" s="18"/>
      <c r="U935" s="18" t="str">
        <f t="shared" si="119"/>
        <v>5</v>
      </c>
      <c r="V935" s="18" t="str">
        <f>IF($L935&lt;"6",INDEX(Revenue_type,MATCH(U935*1,type!$A$118:$A$168,0),8),INDEX(Expenditure_type,MATCH(U935*1,type!$A$2:$A$117,0),8))</f>
        <v>הוצאות מנהליות</v>
      </c>
      <c r="W935" s="18" t="str">
        <f t="shared" si="120"/>
        <v>50</v>
      </c>
      <c r="X935" s="18" t="e">
        <f>IF($L935&lt;"6",INDEX(Revenue_type,MATCH(W935*1,type!$A$118:$A$168,0),8),INDEX(Expenditure_type,MATCH(W935*1,type!$A$2:$A$117,0),8))</f>
        <v>#N/A</v>
      </c>
      <c r="Y935" s="18" t="str">
        <f t="shared" si="121"/>
        <v>500</v>
      </c>
      <c r="Z935" s="18" t="e">
        <f>IF($L935&lt;"6",INDEX(Revenue_type,MATCH(Y935*1,type!$A$118:$A$168,0),8),INDEX(Expenditure_type,MATCH(Y935*1,type!$A$2:$A$117,0),8))</f>
        <v>#N/A</v>
      </c>
    </row>
    <row r="936" spans="1:26" ht="15.75" hidden="1" customHeight="1" outlineLevel="2">
      <c r="A936">
        <v>500</v>
      </c>
      <c r="B936" s="249">
        <v>723000</v>
      </c>
      <c r="C936">
        <v>1</v>
      </c>
      <c r="D936" t="str">
        <f t="shared" si="114"/>
        <v>1723000.500</v>
      </c>
      <c r="E936" s="348" t="s">
        <v>8598</v>
      </c>
      <c r="F936" s="242"/>
      <c r="G936"/>
      <c r="H936" s="322">
        <v>63300</v>
      </c>
      <c r="I936" s="322">
        <v>68300</v>
      </c>
      <c r="J936" s="242">
        <v>0</v>
      </c>
      <c r="K936" s="18" t="e">
        <f>INDEX(תקציב_2013,MATCH(D936,'תקציב 2015'!$D$3:$D$5960,0),8)</f>
        <v>#N/A</v>
      </c>
      <c r="L936" s="18" t="str">
        <f t="shared" si="115"/>
        <v>7</v>
      </c>
      <c r="M936" s="18" t="str">
        <f>INDEX(Chapter,MATCH(L936,Chapter!$A$1:$A$681,0),8)</f>
        <v>שירותים מקומיים</v>
      </c>
      <c r="N936" s="18" t="str">
        <f t="shared" si="116"/>
        <v>72</v>
      </c>
      <c r="O936" s="18" t="str">
        <f>INDEX(Chapter,MATCH(N936,Chapter!$A$1:$A$681,0),8)</f>
        <v>שמירה ובטחון</v>
      </c>
      <c r="P936" s="18" t="str">
        <f t="shared" si="117"/>
        <v>723</v>
      </c>
      <c r="Q936" s="18" t="str">
        <f>INDEX(Chapter,MATCH(P936,Chapter!$A$1:$A$681,0),8)</f>
        <v>הג״א</v>
      </c>
      <c r="R936" s="18" t="str">
        <f t="shared" si="118"/>
        <v>7230</v>
      </c>
      <c r="S936" s="18" t="e">
        <f>INDEX(Chapter,MATCH(R936,Chapter!$A$1:$A$681,0),8)</f>
        <v>#N/A</v>
      </c>
      <c r="T936" s="18"/>
      <c r="U936" s="18" t="str">
        <f t="shared" si="119"/>
        <v>5</v>
      </c>
      <c r="V936" s="18" t="str">
        <f>IF($L936&lt;"6",INDEX(Revenue_type,MATCH(U936*1,type!$A$118:$A$168,0),8),INDEX(Expenditure_type,MATCH(U936*1,type!$A$2:$A$117,0),8))</f>
        <v>הוצאות מנהליות</v>
      </c>
      <c r="W936" s="18" t="str">
        <f t="shared" si="120"/>
        <v>50</v>
      </c>
      <c r="X936" s="18" t="e">
        <f>IF($L936&lt;"6",INDEX(Revenue_type,MATCH(W936*1,type!$A$118:$A$168,0),8),INDEX(Expenditure_type,MATCH(W936*1,type!$A$2:$A$117,0),8))</f>
        <v>#N/A</v>
      </c>
      <c r="Y936" s="18" t="str">
        <f t="shared" si="121"/>
        <v>500</v>
      </c>
      <c r="Z936" s="18" t="e">
        <f>IF($L936&lt;"6",INDEX(Revenue_type,MATCH(Y936*1,type!$A$118:$A$168,0),8),INDEX(Expenditure_type,MATCH(Y936*1,type!$A$2:$A$117,0),8))</f>
        <v>#N/A</v>
      </c>
    </row>
    <row r="937" spans="1:26" ht="15.75" hidden="1" customHeight="1" outlineLevel="2">
      <c r="A937">
        <v>700</v>
      </c>
      <c r="B937" s="249">
        <v>723000</v>
      </c>
      <c r="C937">
        <v>1</v>
      </c>
      <c r="D937" t="str">
        <f t="shared" si="114"/>
        <v>1723000.700</v>
      </c>
      <c r="E937" s="382" t="s">
        <v>8599</v>
      </c>
      <c r="F937" s="242"/>
      <c r="G937"/>
      <c r="H937" s="322">
        <v>27400</v>
      </c>
      <c r="I937" s="322">
        <v>31900</v>
      </c>
      <c r="J937" s="242">
        <v>12000</v>
      </c>
      <c r="K937" s="18" t="e">
        <f>INDEX(תקציב_2013,MATCH(D937,'תקציב 2015'!$D$3:$D$5960,0),8)</f>
        <v>#N/A</v>
      </c>
      <c r="L937" s="18" t="str">
        <f t="shared" si="115"/>
        <v>7</v>
      </c>
      <c r="M937" s="18" t="str">
        <f>INDEX(Chapter,MATCH(L937,Chapter!$A$1:$A$681,0),8)</f>
        <v>שירותים מקומיים</v>
      </c>
      <c r="N937" s="18" t="str">
        <f t="shared" si="116"/>
        <v>72</v>
      </c>
      <c r="O937" s="18" t="str">
        <f>INDEX(Chapter,MATCH(N937,Chapter!$A$1:$A$681,0),8)</f>
        <v>שמירה ובטחון</v>
      </c>
      <c r="P937" s="18" t="str">
        <f t="shared" si="117"/>
        <v>723</v>
      </c>
      <c r="Q937" s="18" t="str">
        <f>INDEX(Chapter,MATCH(P937,Chapter!$A$1:$A$681,0),8)</f>
        <v>הג״א</v>
      </c>
      <c r="R937" s="18" t="str">
        <f t="shared" si="118"/>
        <v>7230</v>
      </c>
      <c r="S937" s="18" t="e">
        <f>INDEX(Chapter,MATCH(R937,Chapter!$A$1:$A$681,0),8)</f>
        <v>#N/A</v>
      </c>
      <c r="T937" s="18"/>
      <c r="U937" s="18" t="str">
        <f t="shared" si="119"/>
        <v>7</v>
      </c>
      <c r="V937" s="18" t="str">
        <f>IF($L937&lt;"6",INDEX(Revenue_type,MATCH(U937*1,type!$A$118:$A$168,0),8),INDEX(Expenditure_type,MATCH(U937*1,type!$A$2:$A$117,0),8))</f>
        <v>הוצאות לפעולות</v>
      </c>
      <c r="W937" s="18" t="str">
        <f t="shared" si="120"/>
        <v>70</v>
      </c>
      <c r="X937" s="18" t="e">
        <f>IF($L937&lt;"6",INDEX(Revenue_type,MATCH(W937*1,type!$A$118:$A$168,0),8),INDEX(Expenditure_type,MATCH(W937*1,type!$A$2:$A$117,0),8))</f>
        <v>#N/A</v>
      </c>
      <c r="Y937" s="18" t="str">
        <f t="shared" si="121"/>
        <v>700</v>
      </c>
      <c r="Z937" s="18" t="e">
        <f>IF($L937&lt;"6",INDEX(Revenue_type,MATCH(Y937*1,type!$A$118:$A$168,0),8),INDEX(Expenditure_type,MATCH(Y937*1,type!$A$2:$A$117,0),8))</f>
        <v>#N/A</v>
      </c>
    </row>
    <row r="938" spans="1:26" ht="15.75" hidden="1" customHeight="1" outlineLevel="2">
      <c r="A938">
        <v>800</v>
      </c>
      <c r="B938" s="249">
        <v>723500</v>
      </c>
      <c r="C938">
        <v>1</v>
      </c>
      <c r="D938" t="str">
        <f t="shared" si="114"/>
        <v>1723500.800</v>
      </c>
      <c r="E938" s="391" t="s">
        <v>8600</v>
      </c>
      <c r="F938" s="242"/>
      <c r="G938"/>
      <c r="H938" s="322">
        <v>1710700</v>
      </c>
      <c r="I938" s="322">
        <v>1761000</v>
      </c>
      <c r="J938" s="242">
        <v>1832800</v>
      </c>
      <c r="K938" s="18" t="e">
        <f>INDEX(תקציב_2013,MATCH(D938,'תקציב 2015'!$D$3:$D$5960,0),8)</f>
        <v>#N/A</v>
      </c>
      <c r="L938" s="18" t="str">
        <f t="shared" si="115"/>
        <v>7</v>
      </c>
      <c r="M938" s="18" t="str">
        <f>INDEX(Chapter,MATCH(L938,Chapter!$A$1:$A$681,0),8)</f>
        <v>שירותים מקומיים</v>
      </c>
      <c r="N938" s="18" t="str">
        <f t="shared" si="116"/>
        <v>72</v>
      </c>
      <c r="O938" s="18" t="str">
        <f>INDEX(Chapter,MATCH(N938,Chapter!$A$1:$A$681,0),8)</f>
        <v>שמירה ובטחון</v>
      </c>
      <c r="P938" s="18" t="str">
        <f t="shared" si="117"/>
        <v>723</v>
      </c>
      <c r="Q938" s="18" t="str">
        <f>INDEX(Chapter,MATCH(P938,Chapter!$A$1:$A$681,0),8)</f>
        <v>הג״א</v>
      </c>
      <c r="R938" s="18" t="str">
        <f t="shared" si="118"/>
        <v>7235</v>
      </c>
      <c r="S938" s="18" t="e">
        <f>INDEX(Chapter,MATCH(R938,Chapter!$A$1:$A$681,0),8)</f>
        <v>#N/A</v>
      </c>
      <c r="T938" s="18"/>
      <c r="U938" s="18" t="str">
        <f t="shared" si="119"/>
        <v>8</v>
      </c>
      <c r="V938" s="18" t="str">
        <f>IF($L938&lt;"6",INDEX(Revenue_type,MATCH(U938*1,type!$A$118:$A$168,0),8),INDEX(Expenditure_type,MATCH(U938*1,type!$A$2:$A$117,0),8))</f>
        <v>השתתפויות תמיכות ותרומות</v>
      </c>
      <c r="W938" s="18" t="str">
        <f t="shared" si="120"/>
        <v>80</v>
      </c>
      <c r="X938" s="18" t="e">
        <f>IF($L938&lt;"6",INDEX(Revenue_type,MATCH(W938*1,type!$A$118:$A$168,0),8),INDEX(Expenditure_type,MATCH(W938*1,type!$A$2:$A$117,0),8))</f>
        <v>#N/A</v>
      </c>
      <c r="Y938" s="18" t="str">
        <f t="shared" si="121"/>
        <v>800</v>
      </c>
      <c r="Z938" s="18" t="e">
        <f>IF($L938&lt;"6",INDEX(Revenue_type,MATCH(Y938*1,type!$A$118:$A$168,0),8),INDEX(Expenditure_type,MATCH(Y938*1,type!$A$2:$A$117,0),8))</f>
        <v>#N/A</v>
      </c>
    </row>
    <row r="939" spans="1:26" ht="15.75" hidden="1" customHeight="1" outlineLevel="2">
      <c r="A939">
        <v>100</v>
      </c>
      <c r="B939" s="249">
        <v>722100</v>
      </c>
      <c r="C939">
        <v>1</v>
      </c>
      <c r="D939" t="str">
        <f t="shared" si="114"/>
        <v>1722100.100</v>
      </c>
      <c r="E939" s="454" t="s">
        <v>8601</v>
      </c>
      <c r="F939" s="242"/>
      <c r="G939"/>
      <c r="H939" s="322">
        <v>345800</v>
      </c>
      <c r="I939" s="322">
        <v>349600</v>
      </c>
      <c r="J939" s="242">
        <v>340900</v>
      </c>
      <c r="K939" s="18" t="e">
        <f>INDEX(תקציב_2013,MATCH(D939,'תקציב 2015'!$D$3:$D$5960,0),8)</f>
        <v>#N/A</v>
      </c>
      <c r="L939" s="18" t="str">
        <f t="shared" si="115"/>
        <v>7</v>
      </c>
      <c r="M939" s="18" t="str">
        <f>INDEX(Chapter,MATCH(L939,Chapter!$A$1:$A$681,0),8)</f>
        <v>שירותים מקומיים</v>
      </c>
      <c r="N939" s="18" t="str">
        <f t="shared" si="116"/>
        <v>72</v>
      </c>
      <c r="O939" s="18" t="str">
        <f>INDEX(Chapter,MATCH(N939,Chapter!$A$1:$A$681,0),8)</f>
        <v>שמירה ובטחון</v>
      </c>
      <c r="P939" s="18" t="str">
        <f t="shared" si="117"/>
        <v>722</v>
      </c>
      <c r="Q939" s="18" t="str">
        <f>INDEX(Chapter,MATCH(P939,Chapter!$A$1:$A$681,0),8)</f>
        <v>שמירה ביטחונית</v>
      </c>
      <c r="R939" s="18" t="str">
        <f t="shared" si="118"/>
        <v>7221</v>
      </c>
      <c r="S939" s="18" t="str">
        <f>INDEX(Chapter,MATCH(R939,Chapter!$A$1:$A$681,0),8)</f>
        <v>משמר אזרחי</v>
      </c>
      <c r="T939" s="18"/>
      <c r="U939" s="18" t="str">
        <f t="shared" si="119"/>
        <v>1</v>
      </c>
      <c r="V939" s="18" t="str">
        <f>IF($L939&lt;"6",INDEX(Revenue_type,MATCH(U939*1,type!$A$118:$A$168,0),8),INDEX(Expenditure_type,MATCH(U939*1,type!$A$2:$A$117,0),8))</f>
        <v>משכורות וש"ע לעובדים לפי תקן</v>
      </c>
      <c r="W939" s="18" t="str">
        <f t="shared" si="120"/>
        <v>10</v>
      </c>
      <c r="X939" s="18" t="e">
        <f>IF($L939&lt;"6",INDEX(Revenue_type,MATCH(W939*1,type!$A$118:$A$168,0),8),INDEX(Expenditure_type,MATCH(W939*1,type!$A$2:$A$117,0),8))</f>
        <v>#N/A</v>
      </c>
      <c r="Y939" s="18" t="str">
        <f t="shared" si="121"/>
        <v>100</v>
      </c>
      <c r="Z939" s="18" t="e">
        <f>IF($L939&lt;"6",INDEX(Revenue_type,MATCH(Y939*1,type!$A$118:$A$168,0),8),INDEX(Expenditure_type,MATCH(Y939*1,type!$A$2:$A$117,0),8))</f>
        <v>#N/A</v>
      </c>
    </row>
    <row r="940" spans="1:26" ht="15.75" hidden="1" customHeight="1" outlineLevel="2">
      <c r="A940">
        <v>120</v>
      </c>
      <c r="B940" s="249">
        <v>722100</v>
      </c>
      <c r="C940">
        <v>1</v>
      </c>
      <c r="D940" t="str">
        <f t="shared" si="114"/>
        <v>1722100.120</v>
      </c>
      <c r="E940" s="382" t="s">
        <v>8602</v>
      </c>
      <c r="F940" s="242"/>
      <c r="G940"/>
      <c r="H940" s="322">
        <v>19200</v>
      </c>
      <c r="I940" s="322">
        <v>19200</v>
      </c>
      <c r="J940" s="242">
        <v>18100</v>
      </c>
      <c r="K940" s="18" t="e">
        <f>INDEX(תקציב_2013,MATCH(D940,'תקציב 2015'!$D$3:$D$5960,0),8)</f>
        <v>#N/A</v>
      </c>
      <c r="L940" s="18" t="str">
        <f t="shared" si="115"/>
        <v>7</v>
      </c>
      <c r="M940" s="18" t="str">
        <f>INDEX(Chapter,MATCH(L940,Chapter!$A$1:$A$681,0),8)</f>
        <v>שירותים מקומיים</v>
      </c>
      <c r="N940" s="18" t="str">
        <f t="shared" si="116"/>
        <v>72</v>
      </c>
      <c r="O940" s="18" t="str">
        <f>INDEX(Chapter,MATCH(N940,Chapter!$A$1:$A$681,0),8)</f>
        <v>שמירה ובטחון</v>
      </c>
      <c r="P940" s="18" t="str">
        <f t="shared" si="117"/>
        <v>722</v>
      </c>
      <c r="Q940" s="18" t="str">
        <f>INDEX(Chapter,MATCH(P940,Chapter!$A$1:$A$681,0),8)</f>
        <v>שמירה ביטחונית</v>
      </c>
      <c r="R940" s="18" t="str">
        <f t="shared" si="118"/>
        <v>7221</v>
      </c>
      <c r="S940" s="18" t="str">
        <f>INDEX(Chapter,MATCH(R940,Chapter!$A$1:$A$681,0),8)</f>
        <v>משמר אזרחי</v>
      </c>
      <c r="T940" s="18"/>
      <c r="U940" s="18" t="str">
        <f t="shared" si="119"/>
        <v>1</v>
      </c>
      <c r="V940" s="18" t="str">
        <f>IF($L940&lt;"6",INDEX(Revenue_type,MATCH(U940*1,type!$A$118:$A$168,0),8),INDEX(Expenditure_type,MATCH(U940*1,type!$A$2:$A$117,0),8))</f>
        <v>משכורות וש"ע לעובדים לפי תקן</v>
      </c>
      <c r="W940" s="18" t="str">
        <f t="shared" si="120"/>
        <v>12</v>
      </c>
      <c r="X940" s="18" t="str">
        <f>IF($L940&lt;"6",INDEX(Revenue_type,MATCH(W940*1,type!$A$118:$A$168,0),8),INDEX(Expenditure_type,MATCH(W940*1,type!$A$2:$A$117,0),8))</f>
        <v>תוספות שאינן נכללות בשכר הקובע</v>
      </c>
      <c r="Y940" s="18" t="str">
        <f t="shared" si="121"/>
        <v>120</v>
      </c>
      <c r="Z940" s="18" t="e">
        <f>IF($L940&lt;"6",INDEX(Revenue_type,MATCH(Y940*1,type!$A$118:$A$168,0),8),INDEX(Expenditure_type,MATCH(Y940*1,type!$A$2:$A$117,0),8))</f>
        <v>#N/A</v>
      </c>
    </row>
    <row r="941" spans="1:26" ht="15.75" hidden="1" customHeight="1" outlineLevel="2">
      <c r="A941">
        <v>700</v>
      </c>
      <c r="B941" s="249">
        <v>722100</v>
      </c>
      <c r="C941">
        <v>1</v>
      </c>
      <c r="D941" t="str">
        <f t="shared" si="114"/>
        <v>1722100.700</v>
      </c>
      <c r="E941" s="382" t="s">
        <v>8603</v>
      </c>
      <c r="F941" s="242"/>
      <c r="G941"/>
      <c r="H941" s="322">
        <v>462400</v>
      </c>
      <c r="I941" s="322">
        <v>476000</v>
      </c>
      <c r="J941" s="242">
        <v>469100</v>
      </c>
      <c r="K941" s="18"/>
      <c r="L941" s="18" t="str">
        <f t="shared" si="115"/>
        <v>7</v>
      </c>
      <c r="M941" s="18" t="str">
        <f>INDEX(Chapter,MATCH(L941,Chapter!$A$1:$A$681,0),8)</f>
        <v>שירותים מקומיים</v>
      </c>
      <c r="N941" s="18" t="str">
        <f t="shared" si="116"/>
        <v>72</v>
      </c>
      <c r="O941" s="18" t="str">
        <f>INDEX(Chapter,MATCH(N941,Chapter!$A$1:$A$681,0),8)</f>
        <v>שמירה ובטחון</v>
      </c>
      <c r="P941" s="18" t="str">
        <f t="shared" si="117"/>
        <v>722</v>
      </c>
      <c r="Q941" s="18" t="str">
        <f>INDEX(Chapter,MATCH(P941,Chapter!$A$1:$A$681,0),8)</f>
        <v>שמירה ביטחונית</v>
      </c>
      <c r="R941" s="18" t="str">
        <f t="shared" si="118"/>
        <v>7221</v>
      </c>
      <c r="S941" s="18" t="str">
        <f>INDEX(Chapter,MATCH(R941,Chapter!$A$1:$A$681,0),8)</f>
        <v>משמר אזרחי</v>
      </c>
      <c r="T941" s="18"/>
      <c r="U941" s="18" t="str">
        <f t="shared" si="119"/>
        <v>7</v>
      </c>
      <c r="V941" s="18" t="str">
        <f>IF($L941&lt;"6",INDEX(Revenue_type,MATCH(U941*1,type!$A$118:$A$168,0),8),INDEX(Expenditure_type,MATCH(U941*1,type!$A$2:$A$117,0),8))</f>
        <v>הוצאות לפעולות</v>
      </c>
      <c r="W941" s="18" t="str">
        <f t="shared" si="120"/>
        <v>70</v>
      </c>
      <c r="X941" s="18" t="e">
        <f>IF($L941&lt;"6",INDEX(Revenue_type,MATCH(W941*1,type!$A$118:$A$168,0),8),INDEX(Expenditure_type,MATCH(W941*1,type!$A$2:$A$117,0),8))</f>
        <v>#N/A</v>
      </c>
      <c r="Y941" s="18" t="str">
        <f t="shared" si="121"/>
        <v>700</v>
      </c>
      <c r="Z941" s="18" t="e">
        <f>IF($L941&lt;"6",INDEX(Revenue_type,MATCH(Y941*1,type!$A$118:$A$168,0),8),INDEX(Expenditure_type,MATCH(Y941*1,type!$A$2:$A$117,0),8))</f>
        <v>#N/A</v>
      </c>
    </row>
    <row r="942" spans="1:26" ht="15.75" hidden="1" customHeight="1" outlineLevel="2">
      <c r="A942">
        <v>100</v>
      </c>
      <c r="B942" s="249">
        <v>725000</v>
      </c>
      <c r="C942">
        <v>1</v>
      </c>
      <c r="D942" t="str">
        <f t="shared" si="114"/>
        <v>1725000.100</v>
      </c>
      <c r="E942" s="382" t="s">
        <v>8604</v>
      </c>
      <c r="F942" s="242"/>
      <c r="G942"/>
      <c r="H942" s="322">
        <v>676900</v>
      </c>
      <c r="I942" s="322">
        <v>668900</v>
      </c>
      <c r="J942" s="242">
        <v>789100</v>
      </c>
      <c r="K942" s="18"/>
      <c r="L942" s="18" t="str">
        <f t="shared" si="115"/>
        <v>7</v>
      </c>
      <c r="M942" s="18" t="str">
        <f>INDEX(Chapter,MATCH(L942,Chapter!$A$1:$A$681,0),8)</f>
        <v>שירותים מקומיים</v>
      </c>
      <c r="N942" s="18" t="str">
        <f t="shared" si="116"/>
        <v>72</v>
      </c>
      <c r="O942" s="18" t="str">
        <f>INDEX(Chapter,MATCH(N942,Chapter!$A$1:$A$681,0),8)</f>
        <v>שמירה ובטחון</v>
      </c>
      <c r="P942" s="18" t="str">
        <f t="shared" si="117"/>
        <v>725</v>
      </c>
      <c r="Q942" s="18" t="str">
        <f>INDEX(Chapter,MATCH(P942,Chapter!$A$1:$A$681,0),8)</f>
        <v>בטיחות</v>
      </c>
      <c r="R942" s="18" t="str">
        <f t="shared" si="118"/>
        <v>7250</v>
      </c>
      <c r="S942" s="18" t="e">
        <f>INDEX(Chapter,MATCH(R942,Chapter!$A$1:$A$681,0),8)</f>
        <v>#N/A</v>
      </c>
      <c r="T942" s="18"/>
      <c r="U942" s="18" t="str">
        <f t="shared" si="119"/>
        <v>1</v>
      </c>
      <c r="V942" s="18" t="str">
        <f>IF($L942&lt;"6",INDEX(Revenue_type,MATCH(U942*1,type!$A$118:$A$168,0),8),INDEX(Expenditure_type,MATCH(U942*1,type!$A$2:$A$117,0),8))</f>
        <v>משכורות וש"ע לעובדים לפי תקן</v>
      </c>
      <c r="W942" s="18" t="str">
        <f t="shared" si="120"/>
        <v>10</v>
      </c>
      <c r="X942" s="18" t="e">
        <f>IF($L942&lt;"6",INDEX(Revenue_type,MATCH(W942*1,type!$A$118:$A$168,0),8),INDEX(Expenditure_type,MATCH(W942*1,type!$A$2:$A$117,0),8))</f>
        <v>#N/A</v>
      </c>
      <c r="Y942" s="18" t="str">
        <f t="shared" si="121"/>
        <v>100</v>
      </c>
      <c r="Z942" s="18" t="e">
        <f>IF($L942&lt;"6",INDEX(Revenue_type,MATCH(Y942*1,type!$A$118:$A$168,0),8),INDEX(Expenditure_type,MATCH(Y942*1,type!$A$2:$A$117,0),8))</f>
        <v>#N/A</v>
      </c>
    </row>
    <row r="943" spans="1:26" ht="15.75" hidden="1" customHeight="1" outlineLevel="2">
      <c r="A943">
        <v>120</v>
      </c>
      <c r="B943" s="249">
        <v>725000</v>
      </c>
      <c r="C943">
        <v>1</v>
      </c>
      <c r="D943" t="str">
        <f t="shared" si="114"/>
        <v>1725000.120</v>
      </c>
      <c r="E943" s="385" t="s">
        <v>8605</v>
      </c>
      <c r="F943" s="242"/>
      <c r="G943"/>
      <c r="H943" s="322">
        <v>75100</v>
      </c>
      <c r="I943" s="322">
        <v>75100</v>
      </c>
      <c r="J943" s="242">
        <v>59900</v>
      </c>
      <c r="K943" s="18" t="e">
        <f>INDEX(תקציב_2013,MATCH(D943,'תקציב 2015'!$D$3:$D$5960,0),8)</f>
        <v>#N/A</v>
      </c>
      <c r="L943" s="18" t="str">
        <f t="shared" si="115"/>
        <v>7</v>
      </c>
      <c r="M943" s="18" t="str">
        <f>INDEX(Chapter,MATCH(L943,Chapter!$A$1:$A$681,0),8)</f>
        <v>שירותים מקומיים</v>
      </c>
      <c r="N943" s="18" t="str">
        <f t="shared" si="116"/>
        <v>72</v>
      </c>
      <c r="O943" s="18" t="str">
        <f>INDEX(Chapter,MATCH(N943,Chapter!$A$1:$A$681,0),8)</f>
        <v>שמירה ובטחון</v>
      </c>
      <c r="P943" s="18" t="str">
        <f t="shared" si="117"/>
        <v>725</v>
      </c>
      <c r="Q943" s="18" t="str">
        <f>INDEX(Chapter,MATCH(P943,Chapter!$A$1:$A$681,0),8)</f>
        <v>בטיחות</v>
      </c>
      <c r="R943" s="18" t="str">
        <f t="shared" si="118"/>
        <v>7250</v>
      </c>
      <c r="S943" s="18" t="e">
        <f>INDEX(Chapter,MATCH(R943,Chapter!$A$1:$A$681,0),8)</f>
        <v>#N/A</v>
      </c>
      <c r="T943" s="18"/>
      <c r="U943" s="18" t="str">
        <f t="shared" si="119"/>
        <v>1</v>
      </c>
      <c r="V943" s="18" t="str">
        <f>IF($L943&lt;"6",INDEX(Revenue_type,MATCH(U943*1,type!$A$118:$A$168,0),8),INDEX(Expenditure_type,MATCH(U943*1,type!$A$2:$A$117,0),8))</f>
        <v>משכורות וש"ע לעובדים לפי תקן</v>
      </c>
      <c r="W943" s="18" t="str">
        <f t="shared" si="120"/>
        <v>12</v>
      </c>
      <c r="X943" s="18" t="str">
        <f>IF($L943&lt;"6",INDEX(Revenue_type,MATCH(W943*1,type!$A$118:$A$168,0),8),INDEX(Expenditure_type,MATCH(W943*1,type!$A$2:$A$117,0),8))</f>
        <v>תוספות שאינן נכללות בשכר הקובע</v>
      </c>
      <c r="Y943" s="18" t="str">
        <f t="shared" si="121"/>
        <v>120</v>
      </c>
      <c r="Z943" s="18" t="e">
        <f>IF($L943&lt;"6",INDEX(Revenue_type,MATCH(Y943*1,type!$A$118:$A$168,0),8),INDEX(Expenditure_type,MATCH(Y943*1,type!$A$2:$A$117,0),8))</f>
        <v>#N/A</v>
      </c>
    </row>
    <row r="944" spans="1:26" ht="15.75" hidden="1" customHeight="1" outlineLevel="2">
      <c r="A944">
        <v>400</v>
      </c>
      <c r="B944" s="249">
        <v>725000</v>
      </c>
      <c r="C944">
        <v>1</v>
      </c>
      <c r="D944" t="str">
        <f t="shared" si="114"/>
        <v>1725000.400</v>
      </c>
      <c r="E944" s="382" t="s">
        <v>8606</v>
      </c>
      <c r="F944" s="242"/>
      <c r="G944"/>
      <c r="H944" s="322">
        <v>3300</v>
      </c>
      <c r="I944" s="322">
        <v>3900</v>
      </c>
      <c r="J944" s="242">
        <v>3600</v>
      </c>
      <c r="K944" s="18" t="e">
        <f>INDEX(תקציב_2013,MATCH(D944,'תקציב 2015'!$D$3:$D$5960,0),8)</f>
        <v>#N/A</v>
      </c>
      <c r="L944" s="18" t="str">
        <f t="shared" si="115"/>
        <v>7</v>
      </c>
      <c r="M944" s="18" t="str">
        <f>INDEX(Chapter,MATCH(L944,Chapter!$A$1:$A$681,0),8)</f>
        <v>שירותים מקומיים</v>
      </c>
      <c r="N944" s="18" t="str">
        <f t="shared" si="116"/>
        <v>72</v>
      </c>
      <c r="O944" s="18" t="str">
        <f>INDEX(Chapter,MATCH(N944,Chapter!$A$1:$A$681,0),8)</f>
        <v>שמירה ובטחון</v>
      </c>
      <c r="P944" s="18" t="str">
        <f t="shared" si="117"/>
        <v>725</v>
      </c>
      <c r="Q944" s="18" t="str">
        <f>INDEX(Chapter,MATCH(P944,Chapter!$A$1:$A$681,0),8)</f>
        <v>בטיחות</v>
      </c>
      <c r="R944" s="18" t="str">
        <f t="shared" si="118"/>
        <v>7250</v>
      </c>
      <c r="S944" s="18" t="e">
        <f>INDEX(Chapter,MATCH(R944,Chapter!$A$1:$A$681,0),8)</f>
        <v>#N/A</v>
      </c>
      <c r="T944" s="18"/>
      <c r="U944" s="18" t="str">
        <f t="shared" si="119"/>
        <v>4</v>
      </c>
      <c r="V944" s="18" t="str">
        <f>IF($L944&lt;"6",INDEX(Revenue_type,MATCH(U944*1,type!$A$118:$A$168,0),8),INDEX(Expenditure_type,MATCH(U944*1,type!$A$2:$A$117,0),8))</f>
        <v>אחזקת בינים ואספקת ציוד</v>
      </c>
      <c r="W944" s="18" t="str">
        <f t="shared" si="120"/>
        <v>40</v>
      </c>
      <c r="X944" s="18" t="e">
        <f>IF($L944&lt;"6",INDEX(Revenue_type,MATCH(W944*1,type!$A$118:$A$168,0),8),INDEX(Expenditure_type,MATCH(W944*1,type!$A$2:$A$117,0),8))</f>
        <v>#N/A</v>
      </c>
      <c r="Y944" s="18" t="str">
        <f t="shared" si="121"/>
        <v>400</v>
      </c>
      <c r="Z944" s="18" t="e">
        <f>IF($L944&lt;"6",INDEX(Revenue_type,MATCH(Y944*1,type!$A$118:$A$168,0),8),INDEX(Expenditure_type,MATCH(Y944*1,type!$A$2:$A$117,0),8))</f>
        <v>#N/A</v>
      </c>
    </row>
    <row r="945" spans="1:26" ht="15.75" hidden="1" customHeight="1" outlineLevel="2">
      <c r="A945">
        <v>500</v>
      </c>
      <c r="B945" s="249">
        <v>725000</v>
      </c>
      <c r="C945">
        <v>1</v>
      </c>
      <c r="D945" t="str">
        <f t="shared" si="114"/>
        <v>1725000.500</v>
      </c>
      <c r="E945" s="382" t="s">
        <v>8607</v>
      </c>
      <c r="F945" s="242"/>
      <c r="G945"/>
      <c r="H945" s="322">
        <v>3400</v>
      </c>
      <c r="I945" s="322">
        <v>3400</v>
      </c>
      <c r="J945" s="242">
        <v>2600</v>
      </c>
      <c r="K945" s="18" t="e">
        <f>INDEX(תקציב_2013,MATCH(D945,'תקציב 2015'!$D$3:$D$5960,0),8)</f>
        <v>#N/A</v>
      </c>
      <c r="L945" s="18" t="str">
        <f t="shared" si="115"/>
        <v>7</v>
      </c>
      <c r="M945" s="18" t="str">
        <f>INDEX(Chapter,MATCH(L945,Chapter!$A$1:$A$681,0),8)</f>
        <v>שירותים מקומיים</v>
      </c>
      <c r="N945" s="18" t="str">
        <f t="shared" si="116"/>
        <v>72</v>
      </c>
      <c r="O945" s="18" t="str">
        <f>INDEX(Chapter,MATCH(N945,Chapter!$A$1:$A$681,0),8)</f>
        <v>שמירה ובטחון</v>
      </c>
      <c r="P945" s="18" t="str">
        <f t="shared" si="117"/>
        <v>725</v>
      </c>
      <c r="Q945" s="18" t="str">
        <f>INDEX(Chapter,MATCH(P945,Chapter!$A$1:$A$681,0),8)</f>
        <v>בטיחות</v>
      </c>
      <c r="R945" s="18" t="str">
        <f t="shared" si="118"/>
        <v>7250</v>
      </c>
      <c r="S945" s="18" t="e">
        <f>INDEX(Chapter,MATCH(R945,Chapter!$A$1:$A$681,0),8)</f>
        <v>#N/A</v>
      </c>
      <c r="T945" s="18"/>
      <c r="U945" s="18" t="str">
        <f t="shared" si="119"/>
        <v>5</v>
      </c>
      <c r="V945" s="18" t="str">
        <f>IF($L945&lt;"6",INDEX(Revenue_type,MATCH(U945*1,type!$A$118:$A$168,0),8),INDEX(Expenditure_type,MATCH(U945*1,type!$A$2:$A$117,0),8))</f>
        <v>הוצאות מנהליות</v>
      </c>
      <c r="W945" s="18" t="str">
        <f t="shared" si="120"/>
        <v>50</v>
      </c>
      <c r="X945" s="18" t="e">
        <f>IF($L945&lt;"6",INDEX(Revenue_type,MATCH(W945*1,type!$A$118:$A$168,0),8),INDEX(Expenditure_type,MATCH(W945*1,type!$A$2:$A$117,0),8))</f>
        <v>#N/A</v>
      </c>
      <c r="Y945" s="18" t="str">
        <f t="shared" si="121"/>
        <v>500</v>
      </c>
      <c r="Z945" s="18" t="e">
        <f>IF($L945&lt;"6",INDEX(Revenue_type,MATCH(Y945*1,type!$A$118:$A$168,0),8),INDEX(Expenditure_type,MATCH(Y945*1,type!$A$2:$A$117,0),8))</f>
        <v>#N/A</v>
      </c>
    </row>
    <row r="946" spans="1:26" ht="15.75" hidden="1" customHeight="1" outlineLevel="2">
      <c r="A946">
        <v>700</v>
      </c>
      <c r="B946" s="249">
        <v>725000</v>
      </c>
      <c r="C946">
        <v>1</v>
      </c>
      <c r="D946" t="str">
        <f t="shared" si="114"/>
        <v>1725000.700</v>
      </c>
      <c r="E946" s="348" t="s">
        <v>8608</v>
      </c>
      <c r="F946" s="242"/>
      <c r="G946"/>
      <c r="H946" s="322">
        <v>12500</v>
      </c>
      <c r="I946" s="322">
        <v>12500</v>
      </c>
      <c r="J946" s="242">
        <v>9900</v>
      </c>
      <c r="K946" s="18" t="e">
        <f>INDEX(תקציב_2013,MATCH(D946,'תקציב 2015'!$D$3:$D$5960,0),8)</f>
        <v>#N/A</v>
      </c>
      <c r="L946" s="18" t="str">
        <f t="shared" si="115"/>
        <v>7</v>
      </c>
      <c r="M946" s="18" t="str">
        <f>INDEX(Chapter,MATCH(L946,Chapter!$A$1:$A$681,0),8)</f>
        <v>שירותים מקומיים</v>
      </c>
      <c r="N946" s="18" t="str">
        <f t="shared" si="116"/>
        <v>72</v>
      </c>
      <c r="O946" s="18" t="str">
        <f>INDEX(Chapter,MATCH(N946,Chapter!$A$1:$A$681,0),8)</f>
        <v>שמירה ובטחון</v>
      </c>
      <c r="P946" s="18" t="str">
        <f t="shared" si="117"/>
        <v>725</v>
      </c>
      <c r="Q946" s="18" t="str">
        <f>INDEX(Chapter,MATCH(P946,Chapter!$A$1:$A$681,0),8)</f>
        <v>בטיחות</v>
      </c>
      <c r="R946" s="18" t="str">
        <f t="shared" si="118"/>
        <v>7250</v>
      </c>
      <c r="S946" s="18" t="e">
        <f>INDEX(Chapter,MATCH(R946,Chapter!$A$1:$A$681,0),8)</f>
        <v>#N/A</v>
      </c>
      <c r="T946" s="18"/>
      <c r="U946" s="18" t="str">
        <f t="shared" si="119"/>
        <v>7</v>
      </c>
      <c r="V946" s="18" t="str">
        <f>IF($L946&lt;"6",INDEX(Revenue_type,MATCH(U946*1,type!$A$118:$A$168,0),8),INDEX(Expenditure_type,MATCH(U946*1,type!$A$2:$A$117,0),8))</f>
        <v>הוצאות לפעולות</v>
      </c>
      <c r="W946" s="18" t="str">
        <f t="shared" si="120"/>
        <v>70</v>
      </c>
      <c r="X946" s="18" t="e">
        <f>IF($L946&lt;"6",INDEX(Revenue_type,MATCH(W946*1,type!$A$118:$A$168,0),8),INDEX(Expenditure_type,MATCH(W946*1,type!$A$2:$A$117,0),8))</f>
        <v>#N/A</v>
      </c>
      <c r="Y946" s="18" t="str">
        <f t="shared" si="121"/>
        <v>700</v>
      </c>
      <c r="Z946" s="18" t="e">
        <f>IF($L946&lt;"6",INDEX(Revenue_type,MATCH(Y946*1,type!$A$118:$A$168,0),8),INDEX(Expenditure_type,MATCH(Y946*1,type!$A$2:$A$117,0),8))</f>
        <v>#N/A</v>
      </c>
    </row>
    <row r="947" spans="1:26" ht="15.75" hidden="1" customHeight="1" outlineLevel="2">
      <c r="A947">
        <v>100</v>
      </c>
      <c r="B947" s="249">
        <v>727000</v>
      </c>
      <c r="C947">
        <v>1</v>
      </c>
      <c r="D947" t="str">
        <f t="shared" si="114"/>
        <v>1727000.100</v>
      </c>
      <c r="E947" s="348" t="s">
        <v>8609</v>
      </c>
      <c r="F947" s="242"/>
      <c r="G947"/>
      <c r="H947" s="322">
        <v>1720800</v>
      </c>
      <c r="I947" s="322">
        <v>1699800</v>
      </c>
      <c r="J947" s="242">
        <v>1644600</v>
      </c>
      <c r="K947" s="18" t="e">
        <f>INDEX(תקציב_2013,MATCH(D947,'תקציב 2015'!$D$3:$D$5960,0),8)</f>
        <v>#N/A</v>
      </c>
      <c r="L947" s="18" t="str">
        <f t="shared" si="115"/>
        <v>7</v>
      </c>
      <c r="M947" s="18" t="str">
        <f>INDEX(Chapter,MATCH(L947,Chapter!$A$1:$A$681,0),8)</f>
        <v>שירותים מקומיים</v>
      </c>
      <c r="N947" s="18" t="str">
        <f t="shared" si="116"/>
        <v>72</v>
      </c>
      <c r="O947" s="18" t="str">
        <f>INDEX(Chapter,MATCH(N947,Chapter!$A$1:$A$681,0),8)</f>
        <v>שמירה ובטחון</v>
      </c>
      <c r="P947" s="18" t="str">
        <f t="shared" si="117"/>
        <v>727</v>
      </c>
      <c r="Q947" s="18" t="str">
        <f>INDEX(Chapter,MATCH(P947,Chapter!$A$1:$A$681,0),8)</f>
        <v>הגמ״ר</v>
      </c>
      <c r="R947" s="18" t="str">
        <f t="shared" si="118"/>
        <v>7270</v>
      </c>
      <c r="S947" s="18" t="e">
        <f>INDEX(Chapter,MATCH(R947,Chapter!$A$1:$A$681,0),8)</f>
        <v>#N/A</v>
      </c>
      <c r="T947" s="18"/>
      <c r="U947" s="18" t="str">
        <f t="shared" si="119"/>
        <v>1</v>
      </c>
      <c r="V947" s="18" t="str">
        <f>IF($L947&lt;"6",INDEX(Revenue_type,MATCH(U947*1,type!$A$118:$A$168,0),8),INDEX(Expenditure_type,MATCH(U947*1,type!$A$2:$A$117,0),8))</f>
        <v>משכורות וש"ע לעובדים לפי תקן</v>
      </c>
      <c r="W947" s="18" t="str">
        <f t="shared" si="120"/>
        <v>10</v>
      </c>
      <c r="X947" s="18" t="e">
        <f>IF($L947&lt;"6",INDEX(Revenue_type,MATCH(W947*1,type!$A$118:$A$168,0),8),INDEX(Expenditure_type,MATCH(W947*1,type!$A$2:$A$117,0),8))</f>
        <v>#N/A</v>
      </c>
      <c r="Y947" s="18" t="str">
        <f t="shared" si="121"/>
        <v>100</v>
      </c>
      <c r="Z947" s="18" t="e">
        <f>IF($L947&lt;"6",INDEX(Revenue_type,MATCH(Y947*1,type!$A$118:$A$168,0),8),INDEX(Expenditure_type,MATCH(Y947*1,type!$A$2:$A$117,0),8))</f>
        <v>#N/A</v>
      </c>
    </row>
    <row r="948" spans="1:26" ht="15.75" hidden="1" customHeight="1" outlineLevel="2">
      <c r="A948">
        <v>120</v>
      </c>
      <c r="B948" s="249">
        <v>727000</v>
      </c>
      <c r="C948">
        <v>1</v>
      </c>
      <c r="D948" t="str">
        <f t="shared" si="114"/>
        <v>1727000.120</v>
      </c>
      <c r="E948" s="348" t="s">
        <v>8610</v>
      </c>
      <c r="F948" s="242"/>
      <c r="G948"/>
      <c r="H948" s="322">
        <v>155200</v>
      </c>
      <c r="I948" s="322">
        <v>155200</v>
      </c>
      <c r="J948" s="242">
        <v>146700</v>
      </c>
      <c r="K948" s="18" t="e">
        <f>INDEX(תקציב_2013,MATCH(D948,'תקציב 2015'!$D$3:$D$5960,0),8)</f>
        <v>#N/A</v>
      </c>
      <c r="L948" s="18" t="str">
        <f t="shared" si="115"/>
        <v>7</v>
      </c>
      <c r="M948" s="18" t="str">
        <f>INDEX(Chapter,MATCH(L948,Chapter!$A$1:$A$681,0),8)</f>
        <v>שירותים מקומיים</v>
      </c>
      <c r="N948" s="18" t="str">
        <f t="shared" si="116"/>
        <v>72</v>
      </c>
      <c r="O948" s="18" t="str">
        <f>INDEX(Chapter,MATCH(N948,Chapter!$A$1:$A$681,0),8)</f>
        <v>שמירה ובטחון</v>
      </c>
      <c r="P948" s="18" t="str">
        <f t="shared" si="117"/>
        <v>727</v>
      </c>
      <c r="Q948" s="18" t="str">
        <f>INDEX(Chapter,MATCH(P948,Chapter!$A$1:$A$681,0),8)</f>
        <v>הגמ״ר</v>
      </c>
      <c r="R948" s="18" t="str">
        <f t="shared" si="118"/>
        <v>7270</v>
      </c>
      <c r="S948" s="18" t="e">
        <f>INDEX(Chapter,MATCH(R948,Chapter!$A$1:$A$681,0),8)</f>
        <v>#N/A</v>
      </c>
      <c r="T948" s="18"/>
      <c r="U948" s="18" t="str">
        <f t="shared" si="119"/>
        <v>1</v>
      </c>
      <c r="V948" s="18" t="str">
        <f>IF($L948&lt;"6",INDEX(Revenue_type,MATCH(U948*1,type!$A$118:$A$168,0),8),INDEX(Expenditure_type,MATCH(U948*1,type!$A$2:$A$117,0),8))</f>
        <v>משכורות וש"ע לעובדים לפי תקן</v>
      </c>
      <c r="W948" s="18" t="str">
        <f t="shared" si="120"/>
        <v>12</v>
      </c>
      <c r="X948" s="18" t="str">
        <f>IF($L948&lt;"6",INDEX(Revenue_type,MATCH(W948*1,type!$A$118:$A$168,0),8),INDEX(Expenditure_type,MATCH(W948*1,type!$A$2:$A$117,0),8))</f>
        <v>תוספות שאינן נכללות בשכר הקובע</v>
      </c>
      <c r="Y948" s="18" t="str">
        <f t="shared" si="121"/>
        <v>120</v>
      </c>
      <c r="Z948" s="18" t="e">
        <f>IF($L948&lt;"6",INDEX(Revenue_type,MATCH(Y948*1,type!$A$118:$A$168,0),8),INDEX(Expenditure_type,MATCH(Y948*1,type!$A$2:$A$117,0),8))</f>
        <v>#N/A</v>
      </c>
    </row>
    <row r="949" spans="1:26" ht="15.75" hidden="1" customHeight="1" outlineLevel="2">
      <c r="A949">
        <v>500</v>
      </c>
      <c r="B949" s="249">
        <v>727000</v>
      </c>
      <c r="C949">
        <v>1</v>
      </c>
      <c r="D949" t="str">
        <f t="shared" si="114"/>
        <v>1727000.500</v>
      </c>
      <c r="E949" s="382" t="s">
        <v>8611</v>
      </c>
      <c r="F949" s="242"/>
      <c r="G949"/>
      <c r="H949" s="322">
        <v>23500</v>
      </c>
      <c r="I949" s="322">
        <v>24000</v>
      </c>
      <c r="J949" s="242">
        <v>20400</v>
      </c>
      <c r="K949" s="18" t="e">
        <f>INDEX(תקציב_2013,MATCH(D949,'תקציב 2015'!$D$3:$D$5960,0),8)</f>
        <v>#N/A</v>
      </c>
      <c r="L949" s="18" t="str">
        <f t="shared" si="115"/>
        <v>7</v>
      </c>
      <c r="M949" s="18" t="str">
        <f>INDEX(Chapter,MATCH(L949,Chapter!$A$1:$A$681,0),8)</f>
        <v>שירותים מקומיים</v>
      </c>
      <c r="N949" s="18" t="str">
        <f t="shared" si="116"/>
        <v>72</v>
      </c>
      <c r="O949" s="18" t="str">
        <f>INDEX(Chapter,MATCH(N949,Chapter!$A$1:$A$681,0),8)</f>
        <v>שמירה ובטחון</v>
      </c>
      <c r="P949" s="18" t="str">
        <f t="shared" si="117"/>
        <v>727</v>
      </c>
      <c r="Q949" s="18" t="str">
        <f>INDEX(Chapter,MATCH(P949,Chapter!$A$1:$A$681,0),8)</f>
        <v>הגמ״ר</v>
      </c>
      <c r="R949" s="18" t="str">
        <f t="shared" si="118"/>
        <v>7270</v>
      </c>
      <c r="S949" s="18" t="e">
        <f>INDEX(Chapter,MATCH(R949,Chapter!$A$1:$A$681,0),8)</f>
        <v>#N/A</v>
      </c>
      <c r="T949" s="18"/>
      <c r="U949" s="18" t="str">
        <f t="shared" si="119"/>
        <v>5</v>
      </c>
      <c r="V949" s="18" t="str">
        <f>IF($L949&lt;"6",INDEX(Revenue_type,MATCH(U949*1,type!$A$118:$A$168,0),8),INDEX(Expenditure_type,MATCH(U949*1,type!$A$2:$A$117,0),8))</f>
        <v>הוצאות מנהליות</v>
      </c>
      <c r="W949" s="18" t="str">
        <f t="shared" si="120"/>
        <v>50</v>
      </c>
      <c r="X949" s="18" t="e">
        <f>IF($L949&lt;"6",INDEX(Revenue_type,MATCH(W949*1,type!$A$118:$A$168,0),8),INDEX(Expenditure_type,MATCH(W949*1,type!$A$2:$A$117,0),8))</f>
        <v>#N/A</v>
      </c>
      <c r="Y949" s="18" t="str">
        <f t="shared" si="121"/>
        <v>500</v>
      </c>
      <c r="Z949" s="18" t="e">
        <f>IF($L949&lt;"6",INDEX(Revenue_type,MATCH(Y949*1,type!$A$118:$A$168,0),8),INDEX(Expenditure_type,MATCH(Y949*1,type!$A$2:$A$117,0),8))</f>
        <v>#N/A</v>
      </c>
    </row>
    <row r="950" spans="1:26" ht="15.75" hidden="1" customHeight="1" outlineLevel="2">
      <c r="A950">
        <v>700</v>
      </c>
      <c r="B950" s="249">
        <v>727000</v>
      </c>
      <c r="C950">
        <v>1</v>
      </c>
      <c r="D950" t="str">
        <f t="shared" si="114"/>
        <v>1727000.700</v>
      </c>
      <c r="E950" s="382" t="s">
        <v>8612</v>
      </c>
      <c r="F950" s="242"/>
      <c r="G950"/>
      <c r="H950" s="322">
        <v>6300</v>
      </c>
      <c r="I950" s="322">
        <v>6700</v>
      </c>
      <c r="J950" s="242">
        <v>9300</v>
      </c>
      <c r="K950" s="18" t="e">
        <f>INDEX(תקציב_2013,MATCH(D950,'תקציב 2015'!$D$3:$D$5960,0),8)</f>
        <v>#N/A</v>
      </c>
      <c r="L950" s="18" t="str">
        <f t="shared" si="115"/>
        <v>7</v>
      </c>
      <c r="M950" s="18" t="str">
        <f>INDEX(Chapter,MATCH(L950,Chapter!$A$1:$A$681,0),8)</f>
        <v>שירותים מקומיים</v>
      </c>
      <c r="N950" s="18" t="str">
        <f t="shared" si="116"/>
        <v>72</v>
      </c>
      <c r="O950" s="18" t="str">
        <f>INDEX(Chapter,MATCH(N950,Chapter!$A$1:$A$681,0),8)</f>
        <v>שמירה ובטחון</v>
      </c>
      <c r="P950" s="18" t="str">
        <f t="shared" si="117"/>
        <v>727</v>
      </c>
      <c r="Q950" s="18" t="str">
        <f>INDEX(Chapter,MATCH(P950,Chapter!$A$1:$A$681,0),8)</f>
        <v>הגמ״ר</v>
      </c>
      <c r="R950" s="18" t="str">
        <f t="shared" si="118"/>
        <v>7270</v>
      </c>
      <c r="S950" s="18" t="e">
        <f>INDEX(Chapter,MATCH(R950,Chapter!$A$1:$A$681,0),8)</f>
        <v>#N/A</v>
      </c>
      <c r="T950" s="18"/>
      <c r="U950" s="18" t="str">
        <f t="shared" si="119"/>
        <v>7</v>
      </c>
      <c r="V950" s="18" t="str">
        <f>IF($L950&lt;"6",INDEX(Revenue_type,MATCH(U950*1,type!$A$118:$A$168,0),8),INDEX(Expenditure_type,MATCH(U950*1,type!$A$2:$A$117,0),8))</f>
        <v>הוצאות לפעולות</v>
      </c>
      <c r="W950" s="18" t="str">
        <f t="shared" si="120"/>
        <v>70</v>
      </c>
      <c r="X950" s="18" t="e">
        <f>IF($L950&lt;"6",INDEX(Revenue_type,MATCH(W950*1,type!$A$118:$A$168,0),8),INDEX(Expenditure_type,MATCH(W950*1,type!$A$2:$A$117,0),8))</f>
        <v>#N/A</v>
      </c>
      <c r="Y950" s="18" t="str">
        <f t="shared" si="121"/>
        <v>700</v>
      </c>
      <c r="Z950" s="18" t="e">
        <f>IF($L950&lt;"6",INDEX(Revenue_type,MATCH(Y950*1,type!$A$118:$A$168,0),8),INDEX(Expenditure_type,MATCH(Y950*1,type!$A$2:$A$117,0),8))</f>
        <v>#N/A</v>
      </c>
    </row>
    <row r="951" spans="1:26" ht="15.75" customHeight="1" outlineLevel="2">
      <c r="A951">
        <v>100</v>
      </c>
      <c r="B951" s="249">
        <v>938100</v>
      </c>
      <c r="C951">
        <v>1</v>
      </c>
      <c r="D951" t="str">
        <f t="shared" si="114"/>
        <v>1938100.100</v>
      </c>
      <c r="E951" s="382" t="s">
        <v>8613</v>
      </c>
      <c r="F951" s="242"/>
      <c r="G951"/>
      <c r="H951" s="322">
        <v>1984900</v>
      </c>
      <c r="I951" s="322">
        <v>1952100</v>
      </c>
      <c r="J951" s="242">
        <v>1994800</v>
      </c>
      <c r="K951" s="18" t="e">
        <f>INDEX(תקציב_2013,MATCH(D951,'תקציב 2015'!$D$3:$D$5960,0),8)</f>
        <v>#N/A</v>
      </c>
      <c r="L951" s="18" t="str">
        <f t="shared" si="115"/>
        <v>9</v>
      </c>
      <c r="M951" s="18" t="str">
        <f>INDEX(Chapter,MATCH(L951,Chapter!$A$1:$A$681,0),8)</f>
        <v>מפעלים</v>
      </c>
      <c r="N951" s="18" t="str">
        <f t="shared" si="116"/>
        <v>93</v>
      </c>
      <c r="O951" s="18" t="str">
        <f>INDEX(Chapter,MATCH(N951,Chapter!$A$1:$A$681,0),8)</f>
        <v>נכסים</v>
      </c>
      <c r="P951" s="18" t="str">
        <f t="shared" si="117"/>
        <v>938</v>
      </c>
      <c r="Q951" s="18" t="str">
        <f>INDEX(Chapter,MATCH(P951,Chapter!$A$1:$A$681,0),8)</f>
        <v>משרדי הרשות</v>
      </c>
      <c r="R951" s="18" t="str">
        <f t="shared" si="118"/>
        <v>9381</v>
      </c>
      <c r="S951" s="18" t="e">
        <f>INDEX(Chapter,MATCH(R951,Chapter!$A$1:$A$681,0),8)</f>
        <v>#N/A</v>
      </c>
      <c r="T951" s="18"/>
      <c r="U951" s="18" t="str">
        <f t="shared" si="119"/>
        <v>1</v>
      </c>
      <c r="V951" s="18" t="str">
        <f>IF($L951&lt;"6",INDEX(Revenue_type,MATCH(U951*1,type!$A$118:$A$168,0),8),INDEX(Expenditure_type,MATCH(U951*1,type!$A$2:$A$117,0),8))</f>
        <v>משכורות וש"ע לעובדים לפי תקן</v>
      </c>
      <c r="W951" s="18" t="str">
        <f t="shared" si="120"/>
        <v>10</v>
      </c>
      <c r="X951" s="18" t="e">
        <f>IF($L951&lt;"6",INDEX(Revenue_type,MATCH(W951*1,type!$A$118:$A$168,0),8),INDEX(Expenditure_type,MATCH(W951*1,type!$A$2:$A$117,0),8))</f>
        <v>#N/A</v>
      </c>
      <c r="Y951" s="18" t="str">
        <f t="shared" si="121"/>
        <v>100</v>
      </c>
      <c r="Z951" s="18" t="e">
        <f>IF($L951&lt;"6",INDEX(Revenue_type,MATCH(Y951*1,type!$A$118:$A$168,0),8),INDEX(Expenditure_type,MATCH(Y951*1,type!$A$2:$A$117,0),8))</f>
        <v>#N/A</v>
      </c>
    </row>
    <row r="952" spans="1:26" ht="15.75" customHeight="1" outlineLevel="2">
      <c r="A952">
        <v>120</v>
      </c>
      <c r="B952" s="249">
        <v>938100</v>
      </c>
      <c r="C952">
        <v>1</v>
      </c>
      <c r="D952" t="str">
        <f t="shared" si="114"/>
        <v>1938100.120</v>
      </c>
      <c r="E952" s="382" t="s">
        <v>8614</v>
      </c>
      <c r="F952" s="242"/>
      <c r="G952"/>
      <c r="H952" s="322">
        <v>308100</v>
      </c>
      <c r="I952" s="322">
        <v>308100</v>
      </c>
      <c r="J952" s="242">
        <v>401400</v>
      </c>
      <c r="K952" s="18" t="e">
        <f>INDEX(תקציב_2013,MATCH(D952,'תקציב 2015'!$D$3:$D$5960,0),8)</f>
        <v>#N/A</v>
      </c>
      <c r="L952" s="18" t="str">
        <f t="shared" si="115"/>
        <v>9</v>
      </c>
      <c r="M952" s="18" t="str">
        <f>INDEX(Chapter,MATCH(L952,Chapter!$A$1:$A$681,0),8)</f>
        <v>מפעלים</v>
      </c>
      <c r="N952" s="18" t="str">
        <f t="shared" si="116"/>
        <v>93</v>
      </c>
      <c r="O952" s="18" t="str">
        <f>INDEX(Chapter,MATCH(N952,Chapter!$A$1:$A$681,0),8)</f>
        <v>נכסים</v>
      </c>
      <c r="P952" s="18" t="str">
        <f t="shared" si="117"/>
        <v>938</v>
      </c>
      <c r="Q952" s="18" t="str">
        <f>INDEX(Chapter,MATCH(P952,Chapter!$A$1:$A$681,0),8)</f>
        <v>משרדי הרשות</v>
      </c>
      <c r="R952" s="18" t="str">
        <f t="shared" si="118"/>
        <v>9381</v>
      </c>
      <c r="S952" s="18" t="e">
        <f>INDEX(Chapter,MATCH(R952,Chapter!$A$1:$A$681,0),8)</f>
        <v>#N/A</v>
      </c>
      <c r="T952" s="18"/>
      <c r="U952" s="18" t="str">
        <f t="shared" si="119"/>
        <v>1</v>
      </c>
      <c r="V952" s="18" t="str">
        <f>IF($L952&lt;"6",INDEX(Revenue_type,MATCH(U952*1,type!$A$118:$A$168,0),8),INDEX(Expenditure_type,MATCH(U952*1,type!$A$2:$A$117,0),8))</f>
        <v>משכורות וש"ע לעובדים לפי תקן</v>
      </c>
      <c r="W952" s="18" t="str">
        <f t="shared" si="120"/>
        <v>12</v>
      </c>
      <c r="X952" s="18" t="str">
        <f>IF($L952&lt;"6",INDEX(Revenue_type,MATCH(W952*1,type!$A$118:$A$168,0),8),INDEX(Expenditure_type,MATCH(W952*1,type!$A$2:$A$117,0),8))</f>
        <v>תוספות שאינן נכללות בשכר הקובע</v>
      </c>
      <c r="Y952" s="18" t="str">
        <f t="shared" si="121"/>
        <v>120</v>
      </c>
      <c r="Z952" s="18" t="e">
        <f>IF($L952&lt;"6",INDEX(Revenue_type,MATCH(Y952*1,type!$A$118:$A$168,0),8),INDEX(Expenditure_type,MATCH(Y952*1,type!$A$2:$A$117,0),8))</f>
        <v>#N/A</v>
      </c>
    </row>
    <row r="953" spans="1:26" ht="15.75" customHeight="1" outlineLevel="2">
      <c r="A953">
        <v>700</v>
      </c>
      <c r="B953" s="249">
        <v>938100</v>
      </c>
      <c r="C953">
        <v>1</v>
      </c>
      <c r="D953" t="str">
        <f t="shared" si="114"/>
        <v>1938100.700</v>
      </c>
      <c r="E953" s="382" t="s">
        <v>8615</v>
      </c>
      <c r="F953" s="242"/>
      <c r="G953"/>
      <c r="H953" s="322">
        <v>24000</v>
      </c>
      <c r="I953" s="322">
        <v>25000</v>
      </c>
      <c r="J953" s="242">
        <v>11700</v>
      </c>
      <c r="K953" s="18" t="e">
        <f>INDEX(תקציב_2013,MATCH(D953,'תקציב 2015'!$D$3:$D$5960,0),8)</f>
        <v>#N/A</v>
      </c>
      <c r="L953" s="18" t="str">
        <f t="shared" si="115"/>
        <v>9</v>
      </c>
      <c r="M953" s="18" t="str">
        <f>INDEX(Chapter,MATCH(L953,Chapter!$A$1:$A$681,0),8)</f>
        <v>מפעלים</v>
      </c>
      <c r="N953" s="18" t="str">
        <f t="shared" si="116"/>
        <v>93</v>
      </c>
      <c r="O953" s="18" t="str">
        <f>INDEX(Chapter,MATCH(N953,Chapter!$A$1:$A$681,0),8)</f>
        <v>נכסים</v>
      </c>
      <c r="P953" s="18" t="str">
        <f t="shared" si="117"/>
        <v>938</v>
      </c>
      <c r="Q953" s="18" t="str">
        <f>INDEX(Chapter,MATCH(P953,Chapter!$A$1:$A$681,0),8)</f>
        <v>משרדי הרשות</v>
      </c>
      <c r="R953" s="18" t="str">
        <f t="shared" si="118"/>
        <v>9381</v>
      </c>
      <c r="S953" s="18" t="e">
        <f>INDEX(Chapter,MATCH(R953,Chapter!$A$1:$A$681,0),8)</f>
        <v>#N/A</v>
      </c>
      <c r="T953" s="18"/>
      <c r="U953" s="18" t="str">
        <f t="shared" si="119"/>
        <v>7</v>
      </c>
      <c r="V953" s="18" t="str">
        <f>IF($L953&lt;"6",INDEX(Revenue_type,MATCH(U953*1,type!$A$118:$A$168,0),8),INDEX(Expenditure_type,MATCH(U953*1,type!$A$2:$A$117,0),8))</f>
        <v>הוצאות לפעולות</v>
      </c>
      <c r="W953" s="18" t="str">
        <f t="shared" si="120"/>
        <v>70</v>
      </c>
      <c r="X953" s="18" t="e">
        <f>IF($L953&lt;"6",INDEX(Revenue_type,MATCH(W953*1,type!$A$118:$A$168,0),8),INDEX(Expenditure_type,MATCH(W953*1,type!$A$2:$A$117,0),8))</f>
        <v>#N/A</v>
      </c>
      <c r="Y953" s="18" t="str">
        <f t="shared" si="121"/>
        <v>700</v>
      </c>
      <c r="Z953" s="18" t="e">
        <f>IF($L953&lt;"6",INDEX(Revenue_type,MATCH(Y953*1,type!$A$118:$A$168,0),8),INDEX(Expenditure_type,MATCH(Y953*1,type!$A$2:$A$117,0),8))</f>
        <v>#N/A</v>
      </c>
    </row>
    <row r="954" spans="1:26" ht="15.75" hidden="1" customHeight="1" outlineLevel="2">
      <c r="A954">
        <v>100</v>
      </c>
      <c r="B954" s="249">
        <v>811100</v>
      </c>
      <c r="C954">
        <v>1</v>
      </c>
      <c r="D954" t="str">
        <f t="shared" si="114"/>
        <v>1811100.100</v>
      </c>
      <c r="E954" s="382" t="s">
        <v>8616</v>
      </c>
      <c r="F954" s="242"/>
      <c r="G954"/>
      <c r="H954" s="322">
        <v>1930700</v>
      </c>
      <c r="I954" s="322">
        <v>1779700</v>
      </c>
      <c r="J954" s="242">
        <v>1416900</v>
      </c>
      <c r="K954" s="18" t="e">
        <f>INDEX(תקציב_2013,MATCH(D954,'תקציב 2015'!$D$3:$D$5960,0),8)</f>
        <v>#N/A</v>
      </c>
      <c r="L954" s="18" t="str">
        <f t="shared" si="115"/>
        <v>8</v>
      </c>
      <c r="M954" s="18" t="str">
        <f>INDEX(Chapter,MATCH(L954,Chapter!$A$1:$A$681,0),8)</f>
        <v>שירותים ממלכתיים</v>
      </c>
      <c r="N954" s="18" t="str">
        <f t="shared" si="116"/>
        <v>81</v>
      </c>
      <c r="O954" s="18" t="str">
        <f>INDEX(Chapter,MATCH(N954,Chapter!$A$1:$A$681,0),8)</f>
        <v>חינוך</v>
      </c>
      <c r="P954" s="18" t="str">
        <f t="shared" si="117"/>
        <v>811</v>
      </c>
      <c r="Q954" s="18" t="str">
        <f>INDEX(Chapter,MATCH(P954,Chapter!$A$1:$A$681,0),8)</f>
        <v>מינהל החינוך</v>
      </c>
      <c r="R954" s="18" t="str">
        <f t="shared" si="118"/>
        <v>8111</v>
      </c>
      <c r="S954" s="18" t="e">
        <f>INDEX(Chapter,MATCH(R954,Chapter!$A$1:$A$681,0),8)</f>
        <v>#N/A</v>
      </c>
      <c r="T954" s="18"/>
      <c r="U954" s="18" t="str">
        <f t="shared" si="119"/>
        <v>1</v>
      </c>
      <c r="V954" s="18" t="str">
        <f>IF($L954&lt;"6",INDEX(Revenue_type,MATCH(U954*1,type!$A$118:$A$168,0),8),INDEX(Expenditure_type,MATCH(U954*1,type!$A$2:$A$117,0),8))</f>
        <v>משכורות וש"ע לעובדים לפי תקן</v>
      </c>
      <c r="W954" s="18" t="str">
        <f t="shared" si="120"/>
        <v>10</v>
      </c>
      <c r="X954" s="18" t="e">
        <f>IF($L954&lt;"6",INDEX(Revenue_type,MATCH(W954*1,type!$A$118:$A$168,0),8),INDEX(Expenditure_type,MATCH(W954*1,type!$A$2:$A$117,0),8))</f>
        <v>#N/A</v>
      </c>
      <c r="Y954" s="18" t="str">
        <f t="shared" si="121"/>
        <v>100</v>
      </c>
      <c r="Z954" s="18" t="e">
        <f>IF($L954&lt;"6",INDEX(Revenue_type,MATCH(Y954*1,type!$A$118:$A$168,0),8),INDEX(Expenditure_type,MATCH(Y954*1,type!$A$2:$A$117,0),8))</f>
        <v>#N/A</v>
      </c>
    </row>
    <row r="955" spans="1:26" ht="15.75" hidden="1" customHeight="1" outlineLevel="2">
      <c r="A955">
        <v>120</v>
      </c>
      <c r="B955" s="249">
        <v>811100</v>
      </c>
      <c r="C955">
        <v>1</v>
      </c>
      <c r="D955" t="str">
        <f t="shared" si="114"/>
        <v>1811100.120</v>
      </c>
      <c r="E955" s="382" t="s">
        <v>8617</v>
      </c>
      <c r="F955" s="242"/>
      <c r="G955"/>
      <c r="H955" s="322">
        <v>71300</v>
      </c>
      <c r="I955" s="322">
        <v>71300</v>
      </c>
      <c r="J955" s="242">
        <v>78700</v>
      </c>
      <c r="K955" s="18" t="e">
        <f>INDEX(תקציב_2013,MATCH(D955,'תקציב 2015'!$D$3:$D$5960,0),8)</f>
        <v>#N/A</v>
      </c>
      <c r="L955" s="18" t="str">
        <f t="shared" si="115"/>
        <v>8</v>
      </c>
      <c r="M955" s="18" t="str">
        <f>INDEX(Chapter,MATCH(L955,Chapter!$A$1:$A$681,0),8)</f>
        <v>שירותים ממלכתיים</v>
      </c>
      <c r="N955" s="18" t="str">
        <f t="shared" si="116"/>
        <v>81</v>
      </c>
      <c r="O955" s="18" t="str">
        <f>INDEX(Chapter,MATCH(N955,Chapter!$A$1:$A$681,0),8)</f>
        <v>חינוך</v>
      </c>
      <c r="P955" s="18" t="str">
        <f t="shared" si="117"/>
        <v>811</v>
      </c>
      <c r="Q955" s="18" t="str">
        <f>INDEX(Chapter,MATCH(P955,Chapter!$A$1:$A$681,0),8)</f>
        <v>מינהל החינוך</v>
      </c>
      <c r="R955" s="18" t="str">
        <f t="shared" si="118"/>
        <v>8111</v>
      </c>
      <c r="S955" s="18" t="e">
        <f>INDEX(Chapter,MATCH(R955,Chapter!$A$1:$A$681,0),8)</f>
        <v>#N/A</v>
      </c>
      <c r="T955" s="18"/>
      <c r="U955" s="18" t="str">
        <f t="shared" si="119"/>
        <v>1</v>
      </c>
      <c r="V955" s="18" t="str">
        <f>IF($L955&lt;"6",INDEX(Revenue_type,MATCH(U955*1,type!$A$118:$A$168,0),8),INDEX(Expenditure_type,MATCH(U955*1,type!$A$2:$A$117,0),8))</f>
        <v>משכורות וש"ע לעובדים לפי תקן</v>
      </c>
      <c r="W955" s="18" t="str">
        <f t="shared" si="120"/>
        <v>12</v>
      </c>
      <c r="X955" s="18" t="str">
        <f>IF($L955&lt;"6",INDEX(Revenue_type,MATCH(W955*1,type!$A$118:$A$168,0),8),INDEX(Expenditure_type,MATCH(W955*1,type!$A$2:$A$117,0),8))</f>
        <v>תוספות שאינן נכללות בשכר הקובע</v>
      </c>
      <c r="Y955" s="18" t="str">
        <f t="shared" si="121"/>
        <v>120</v>
      </c>
      <c r="Z955" s="18" t="e">
        <f>IF($L955&lt;"6",INDEX(Revenue_type,MATCH(Y955*1,type!$A$118:$A$168,0),8),INDEX(Expenditure_type,MATCH(Y955*1,type!$A$2:$A$117,0),8))</f>
        <v>#N/A</v>
      </c>
    </row>
    <row r="956" spans="1:26" ht="15.75" hidden="1" customHeight="1" outlineLevel="2">
      <c r="A956">
        <v>400</v>
      </c>
      <c r="B956" s="249">
        <v>811100</v>
      </c>
      <c r="C956">
        <v>1</v>
      </c>
      <c r="D956" t="str">
        <f t="shared" si="114"/>
        <v>1811100.400</v>
      </c>
      <c r="E956" s="382" t="s">
        <v>8618</v>
      </c>
      <c r="F956" s="242"/>
      <c r="G956"/>
      <c r="H956" s="322">
        <v>32300</v>
      </c>
      <c r="I956" s="322">
        <v>32300</v>
      </c>
      <c r="J956" s="242">
        <v>32300</v>
      </c>
      <c r="K956" s="18" t="e">
        <f>INDEX(תקציב_2013,MATCH(D956,'תקציב 2015'!$D$3:$D$5960,0),8)</f>
        <v>#N/A</v>
      </c>
      <c r="L956" s="18" t="str">
        <f t="shared" si="115"/>
        <v>8</v>
      </c>
      <c r="M956" s="18" t="str">
        <f>INDEX(Chapter,MATCH(L956,Chapter!$A$1:$A$681,0),8)</f>
        <v>שירותים ממלכתיים</v>
      </c>
      <c r="N956" s="18" t="str">
        <f t="shared" si="116"/>
        <v>81</v>
      </c>
      <c r="O956" s="18" t="str">
        <f>INDEX(Chapter,MATCH(N956,Chapter!$A$1:$A$681,0),8)</f>
        <v>חינוך</v>
      </c>
      <c r="P956" s="18" t="str">
        <f t="shared" si="117"/>
        <v>811</v>
      </c>
      <c r="Q956" s="18" t="str">
        <f>INDEX(Chapter,MATCH(P956,Chapter!$A$1:$A$681,0),8)</f>
        <v>מינהל החינוך</v>
      </c>
      <c r="R956" s="18" t="str">
        <f t="shared" si="118"/>
        <v>8111</v>
      </c>
      <c r="S956" s="18" t="e">
        <f>INDEX(Chapter,MATCH(R956,Chapter!$A$1:$A$681,0),8)</f>
        <v>#N/A</v>
      </c>
      <c r="T956" s="18"/>
      <c r="U956" s="18" t="str">
        <f t="shared" si="119"/>
        <v>4</v>
      </c>
      <c r="V956" s="18" t="str">
        <f>IF($L956&lt;"6",INDEX(Revenue_type,MATCH(U956*1,type!$A$118:$A$168,0),8),INDEX(Expenditure_type,MATCH(U956*1,type!$A$2:$A$117,0),8))</f>
        <v>אחזקת בינים ואספקת ציוד</v>
      </c>
      <c r="W956" s="18" t="str">
        <f t="shared" si="120"/>
        <v>40</v>
      </c>
      <c r="X956" s="18" t="e">
        <f>IF($L956&lt;"6",INDEX(Revenue_type,MATCH(W956*1,type!$A$118:$A$168,0),8),INDEX(Expenditure_type,MATCH(W956*1,type!$A$2:$A$117,0),8))</f>
        <v>#N/A</v>
      </c>
      <c r="Y956" s="18" t="str">
        <f t="shared" si="121"/>
        <v>400</v>
      </c>
      <c r="Z956" s="18" t="e">
        <f>IF($L956&lt;"6",INDEX(Revenue_type,MATCH(Y956*1,type!$A$118:$A$168,0),8),INDEX(Expenditure_type,MATCH(Y956*1,type!$A$2:$A$117,0),8))</f>
        <v>#N/A</v>
      </c>
    </row>
    <row r="957" spans="1:26" ht="15.75" hidden="1" customHeight="1" outlineLevel="2">
      <c r="A957">
        <v>500</v>
      </c>
      <c r="B957" s="249">
        <v>811100</v>
      </c>
      <c r="C957">
        <v>1</v>
      </c>
      <c r="D957" t="str">
        <f t="shared" si="114"/>
        <v>1811100.500</v>
      </c>
      <c r="E957" s="382" t="s">
        <v>8619</v>
      </c>
      <c r="F957" s="242"/>
      <c r="G957"/>
      <c r="H957" s="322">
        <v>65500</v>
      </c>
      <c r="I957" s="322">
        <v>69000</v>
      </c>
      <c r="J957" s="242">
        <v>37900</v>
      </c>
      <c r="K957" s="18" t="e">
        <f>INDEX(תקציב_2013,MATCH(D957,'תקציב 2015'!$D$3:$D$5960,0),8)</f>
        <v>#N/A</v>
      </c>
      <c r="L957" s="18" t="str">
        <f t="shared" si="115"/>
        <v>8</v>
      </c>
      <c r="M957" s="18" t="str">
        <f>INDEX(Chapter,MATCH(L957,Chapter!$A$1:$A$681,0),8)</f>
        <v>שירותים ממלכתיים</v>
      </c>
      <c r="N957" s="18" t="str">
        <f t="shared" si="116"/>
        <v>81</v>
      </c>
      <c r="O957" s="18" t="str">
        <f>INDEX(Chapter,MATCH(N957,Chapter!$A$1:$A$681,0),8)</f>
        <v>חינוך</v>
      </c>
      <c r="P957" s="18" t="str">
        <f t="shared" si="117"/>
        <v>811</v>
      </c>
      <c r="Q957" s="18" t="str">
        <f>INDEX(Chapter,MATCH(P957,Chapter!$A$1:$A$681,0),8)</f>
        <v>מינהל החינוך</v>
      </c>
      <c r="R957" s="18" t="str">
        <f t="shared" si="118"/>
        <v>8111</v>
      </c>
      <c r="S957" s="18" t="e">
        <f>INDEX(Chapter,MATCH(R957,Chapter!$A$1:$A$681,0),8)</f>
        <v>#N/A</v>
      </c>
      <c r="T957" s="18"/>
      <c r="U957" s="18" t="str">
        <f t="shared" si="119"/>
        <v>5</v>
      </c>
      <c r="V957" s="18" t="str">
        <f>IF($L957&lt;"6",INDEX(Revenue_type,MATCH(U957*1,type!$A$118:$A$168,0),8),INDEX(Expenditure_type,MATCH(U957*1,type!$A$2:$A$117,0),8))</f>
        <v>הוצאות מנהליות</v>
      </c>
      <c r="W957" s="18" t="str">
        <f t="shared" si="120"/>
        <v>50</v>
      </c>
      <c r="X957" s="18" t="e">
        <f>IF($L957&lt;"6",INDEX(Revenue_type,MATCH(W957*1,type!$A$118:$A$168,0),8),INDEX(Expenditure_type,MATCH(W957*1,type!$A$2:$A$117,0),8))</f>
        <v>#N/A</v>
      </c>
      <c r="Y957" s="18" t="str">
        <f t="shared" si="121"/>
        <v>500</v>
      </c>
      <c r="Z957" s="18" t="e">
        <f>IF($L957&lt;"6",INDEX(Revenue_type,MATCH(Y957*1,type!$A$118:$A$168,0),8),INDEX(Expenditure_type,MATCH(Y957*1,type!$A$2:$A$117,0),8))</f>
        <v>#N/A</v>
      </c>
    </row>
    <row r="958" spans="1:26" ht="15.75" hidden="1" customHeight="1" outlineLevel="2">
      <c r="A958">
        <v>500</v>
      </c>
      <c r="B958" s="249">
        <v>811100</v>
      </c>
      <c r="C958">
        <v>1</v>
      </c>
      <c r="D958" t="str">
        <f t="shared" si="114"/>
        <v>1811100.500</v>
      </c>
      <c r="E958" s="382" t="s">
        <v>8620</v>
      </c>
      <c r="F958" s="242"/>
      <c r="G958"/>
      <c r="H958" s="322">
        <v>49700</v>
      </c>
      <c r="I958" s="322">
        <v>49700</v>
      </c>
      <c r="J958" s="242">
        <v>39100</v>
      </c>
      <c r="K958" s="18" t="e">
        <f>INDEX(תקציב_2013,MATCH(D958,'תקציב 2015'!$D$3:$D$5960,0),8)</f>
        <v>#N/A</v>
      </c>
      <c r="L958" s="18" t="str">
        <f t="shared" si="115"/>
        <v>8</v>
      </c>
      <c r="M958" s="18" t="str">
        <f>INDEX(Chapter,MATCH(L958,Chapter!$A$1:$A$681,0),8)</f>
        <v>שירותים ממלכתיים</v>
      </c>
      <c r="N958" s="18" t="str">
        <f t="shared" si="116"/>
        <v>81</v>
      </c>
      <c r="O958" s="18" t="str">
        <f>INDEX(Chapter,MATCH(N958,Chapter!$A$1:$A$681,0),8)</f>
        <v>חינוך</v>
      </c>
      <c r="P958" s="18" t="str">
        <f t="shared" si="117"/>
        <v>811</v>
      </c>
      <c r="Q958" s="18" t="str">
        <f>INDEX(Chapter,MATCH(P958,Chapter!$A$1:$A$681,0),8)</f>
        <v>מינהל החינוך</v>
      </c>
      <c r="R958" s="18" t="str">
        <f t="shared" si="118"/>
        <v>8111</v>
      </c>
      <c r="S958" s="18" t="e">
        <f>INDEX(Chapter,MATCH(R958,Chapter!$A$1:$A$681,0),8)</f>
        <v>#N/A</v>
      </c>
      <c r="T958" s="18"/>
      <c r="U958" s="18" t="str">
        <f t="shared" si="119"/>
        <v>5</v>
      </c>
      <c r="V958" s="18" t="str">
        <f>IF($L958&lt;"6",INDEX(Revenue_type,MATCH(U958*1,type!$A$118:$A$168,0),8),INDEX(Expenditure_type,MATCH(U958*1,type!$A$2:$A$117,0),8))</f>
        <v>הוצאות מנהליות</v>
      </c>
      <c r="W958" s="18" t="str">
        <f t="shared" si="120"/>
        <v>50</v>
      </c>
      <c r="X958" s="18" t="e">
        <f>IF($L958&lt;"6",INDEX(Revenue_type,MATCH(W958*1,type!$A$118:$A$168,0),8),INDEX(Expenditure_type,MATCH(W958*1,type!$A$2:$A$117,0),8))</f>
        <v>#N/A</v>
      </c>
      <c r="Y958" s="18" t="str">
        <f t="shared" si="121"/>
        <v>500</v>
      </c>
      <c r="Z958" s="18" t="e">
        <f>IF($L958&lt;"6",INDEX(Revenue_type,MATCH(Y958*1,type!$A$118:$A$168,0),8),INDEX(Expenditure_type,MATCH(Y958*1,type!$A$2:$A$117,0),8))</f>
        <v>#N/A</v>
      </c>
    </row>
    <row r="959" spans="1:26" ht="15.75" hidden="1" customHeight="1" outlineLevel="2">
      <c r="A959">
        <v>700</v>
      </c>
      <c r="B959" s="249">
        <v>811100</v>
      </c>
      <c r="C959">
        <v>1</v>
      </c>
      <c r="D959" t="str">
        <f t="shared" si="114"/>
        <v>1811100.700</v>
      </c>
      <c r="E959" s="382" t="s">
        <v>8621</v>
      </c>
      <c r="F959" s="242"/>
      <c r="G959"/>
      <c r="H959" s="322">
        <v>91600</v>
      </c>
      <c r="I959" s="322">
        <v>95100</v>
      </c>
      <c r="J959" s="242">
        <v>85700</v>
      </c>
      <c r="K959" s="18" t="e">
        <f>INDEX(תקציב_2013,MATCH(D959,'תקציב 2015'!$D$3:$D$5960,0),8)</f>
        <v>#N/A</v>
      </c>
      <c r="L959" s="18" t="str">
        <f t="shared" si="115"/>
        <v>8</v>
      </c>
      <c r="M959" s="18" t="str">
        <f>INDEX(Chapter,MATCH(L959,Chapter!$A$1:$A$681,0),8)</f>
        <v>שירותים ממלכתיים</v>
      </c>
      <c r="N959" s="18" t="str">
        <f t="shared" si="116"/>
        <v>81</v>
      </c>
      <c r="O959" s="18" t="str">
        <f>INDEX(Chapter,MATCH(N959,Chapter!$A$1:$A$681,0),8)</f>
        <v>חינוך</v>
      </c>
      <c r="P959" s="18" t="str">
        <f t="shared" si="117"/>
        <v>811</v>
      </c>
      <c r="Q959" s="18" t="str">
        <f>INDEX(Chapter,MATCH(P959,Chapter!$A$1:$A$681,0),8)</f>
        <v>מינהל החינוך</v>
      </c>
      <c r="R959" s="18" t="str">
        <f t="shared" si="118"/>
        <v>8111</v>
      </c>
      <c r="S959" s="18" t="e">
        <f>INDEX(Chapter,MATCH(R959,Chapter!$A$1:$A$681,0),8)</f>
        <v>#N/A</v>
      </c>
      <c r="T959" s="18"/>
      <c r="U959" s="18" t="str">
        <f t="shared" si="119"/>
        <v>7</v>
      </c>
      <c r="V959" s="18" t="str">
        <f>IF($L959&lt;"6",INDEX(Revenue_type,MATCH(U959*1,type!$A$118:$A$168,0),8),INDEX(Expenditure_type,MATCH(U959*1,type!$A$2:$A$117,0),8))</f>
        <v>הוצאות לפעולות</v>
      </c>
      <c r="W959" s="18" t="str">
        <f t="shared" si="120"/>
        <v>70</v>
      </c>
      <c r="X959" s="18" t="e">
        <f>IF($L959&lt;"6",INDEX(Revenue_type,MATCH(W959*1,type!$A$118:$A$168,0),8),INDEX(Expenditure_type,MATCH(W959*1,type!$A$2:$A$117,0),8))</f>
        <v>#N/A</v>
      </c>
      <c r="Y959" s="18" t="str">
        <f t="shared" si="121"/>
        <v>700</v>
      </c>
      <c r="Z959" s="18" t="e">
        <f>IF($L959&lt;"6",INDEX(Revenue_type,MATCH(Y959*1,type!$A$118:$A$168,0),8),INDEX(Expenditure_type,MATCH(Y959*1,type!$A$2:$A$117,0),8))</f>
        <v>#N/A</v>
      </c>
    </row>
    <row r="960" spans="1:26" ht="15.75" hidden="1" customHeight="1" outlineLevel="2">
      <c r="A960">
        <v>100</v>
      </c>
      <c r="B960" s="249">
        <v>817311</v>
      </c>
      <c r="C960">
        <v>1</v>
      </c>
      <c r="D960" t="str">
        <f t="shared" si="114"/>
        <v>1817311.100</v>
      </c>
      <c r="E960" s="382" t="s">
        <v>8622</v>
      </c>
      <c r="F960" s="242"/>
      <c r="G960"/>
      <c r="H960" s="322">
        <v>131000</v>
      </c>
      <c r="I960" s="322">
        <v>130000</v>
      </c>
      <c r="J960" s="242">
        <v>115100</v>
      </c>
      <c r="K960" s="18" t="e">
        <f>INDEX(תקציב_2013,MATCH(D960,'תקציב 2015'!$D$3:$D$5960,0),8)</f>
        <v>#N/A</v>
      </c>
      <c r="L960" s="18" t="str">
        <f t="shared" si="115"/>
        <v>8</v>
      </c>
      <c r="M960" s="18" t="str">
        <f>INDEX(Chapter,MATCH(L960,Chapter!$A$1:$A$681,0),8)</f>
        <v>שירותים ממלכתיים</v>
      </c>
      <c r="N960" s="18" t="str">
        <f t="shared" si="116"/>
        <v>81</v>
      </c>
      <c r="O960" s="18" t="str">
        <f>INDEX(Chapter,MATCH(N960,Chapter!$A$1:$A$681,0),8)</f>
        <v>חינוך</v>
      </c>
      <c r="P960" s="18" t="str">
        <f t="shared" si="117"/>
        <v>817</v>
      </c>
      <c r="Q960" s="18" t="str">
        <f>INDEX(Chapter,MATCH(P960,Chapter!$A$1:$A$681,0),8)</f>
        <v>שירותים נוספים לבתי״ס וגנ״י</v>
      </c>
      <c r="R960" s="18" t="str">
        <f t="shared" si="118"/>
        <v>8173</v>
      </c>
      <c r="S960" s="18" t="str">
        <f>INDEX(Chapter,MATCH(R960,Chapter!$A$1:$A$681,0),8)</f>
        <v>שרות פסיכולוגי חינוכי</v>
      </c>
      <c r="T960" s="18"/>
      <c r="U960" s="18" t="str">
        <f t="shared" si="119"/>
        <v>1</v>
      </c>
      <c r="V960" s="18" t="str">
        <f>IF($L960&lt;"6",INDEX(Revenue_type,MATCH(U960*1,type!$A$118:$A$168,0),8),INDEX(Expenditure_type,MATCH(U960*1,type!$A$2:$A$117,0),8))</f>
        <v>משכורות וש"ע לעובדים לפי תקן</v>
      </c>
      <c r="W960" s="18" t="str">
        <f t="shared" si="120"/>
        <v>10</v>
      </c>
      <c r="X960" s="18" t="e">
        <f>IF($L960&lt;"6",INDEX(Revenue_type,MATCH(W960*1,type!$A$118:$A$168,0),8),INDEX(Expenditure_type,MATCH(W960*1,type!$A$2:$A$117,0),8))</f>
        <v>#N/A</v>
      </c>
      <c r="Y960" s="18" t="str">
        <f t="shared" si="121"/>
        <v>100</v>
      </c>
      <c r="Z960" s="18" t="e">
        <f>IF($L960&lt;"6",INDEX(Revenue_type,MATCH(Y960*1,type!$A$118:$A$168,0),8),INDEX(Expenditure_type,MATCH(Y960*1,type!$A$2:$A$117,0),8))</f>
        <v>#N/A</v>
      </c>
    </row>
    <row r="961" spans="1:26" ht="15.75" hidden="1" customHeight="1" outlineLevel="2">
      <c r="A961">
        <v>100</v>
      </c>
      <c r="B961" s="249">
        <v>811130</v>
      </c>
      <c r="C961">
        <v>1</v>
      </c>
      <c r="D961" t="str">
        <f t="shared" si="114"/>
        <v>1811130.100</v>
      </c>
      <c r="E961" s="382" t="s">
        <v>8623</v>
      </c>
      <c r="F961" s="242"/>
      <c r="G961"/>
      <c r="H961" s="322">
        <v>1617600</v>
      </c>
      <c r="I961" s="322">
        <v>1599600</v>
      </c>
      <c r="J961" s="242">
        <v>1558800</v>
      </c>
      <c r="K961" s="18" t="e">
        <f>INDEX(תקציב_2013,MATCH(D961,'תקציב 2015'!$D$3:$D$5960,0),8)</f>
        <v>#N/A</v>
      </c>
      <c r="L961" s="18" t="str">
        <f t="shared" si="115"/>
        <v>8</v>
      </c>
      <c r="M961" s="18" t="str">
        <f>INDEX(Chapter,MATCH(L961,Chapter!$A$1:$A$681,0),8)</f>
        <v>שירותים ממלכתיים</v>
      </c>
      <c r="N961" s="18" t="str">
        <f t="shared" si="116"/>
        <v>81</v>
      </c>
      <c r="O961" s="18" t="str">
        <f>INDEX(Chapter,MATCH(N961,Chapter!$A$1:$A$681,0),8)</f>
        <v>חינוך</v>
      </c>
      <c r="P961" s="18" t="str">
        <f t="shared" si="117"/>
        <v>811</v>
      </c>
      <c r="Q961" s="18" t="str">
        <f>INDEX(Chapter,MATCH(P961,Chapter!$A$1:$A$681,0),8)</f>
        <v>מינהל החינוך</v>
      </c>
      <c r="R961" s="18" t="str">
        <f t="shared" si="118"/>
        <v>8111</v>
      </c>
      <c r="S961" s="18" t="e">
        <f>INDEX(Chapter,MATCH(R961,Chapter!$A$1:$A$681,0),8)</f>
        <v>#N/A</v>
      </c>
      <c r="T961" s="18"/>
      <c r="U961" s="18" t="str">
        <f t="shared" si="119"/>
        <v>1</v>
      </c>
      <c r="V961" s="18" t="str">
        <f>IF($L961&lt;"6",INDEX(Revenue_type,MATCH(U961*1,type!$A$118:$A$168,0),8),INDEX(Expenditure_type,MATCH(U961*1,type!$A$2:$A$117,0),8))</f>
        <v>משכורות וש"ע לעובדים לפי תקן</v>
      </c>
      <c r="W961" s="18" t="str">
        <f t="shared" si="120"/>
        <v>10</v>
      </c>
      <c r="X961" s="18" t="e">
        <f>IF($L961&lt;"6",INDEX(Revenue_type,MATCH(W961*1,type!$A$118:$A$168,0),8),INDEX(Expenditure_type,MATCH(W961*1,type!$A$2:$A$117,0),8))</f>
        <v>#N/A</v>
      </c>
      <c r="Y961" s="18" t="str">
        <f t="shared" si="121"/>
        <v>100</v>
      </c>
      <c r="Z961" s="18" t="e">
        <f>IF($L961&lt;"6",INDEX(Revenue_type,MATCH(Y961*1,type!$A$118:$A$168,0),8),INDEX(Expenditure_type,MATCH(Y961*1,type!$A$2:$A$117,0),8))</f>
        <v>#N/A</v>
      </c>
    </row>
    <row r="962" spans="1:26" ht="15.75" hidden="1" customHeight="1" outlineLevel="2">
      <c r="A962">
        <v>120</v>
      </c>
      <c r="B962" s="249">
        <v>811130</v>
      </c>
      <c r="C962">
        <v>1</v>
      </c>
      <c r="D962" t="str">
        <f t="shared" si="114"/>
        <v>1811130.120</v>
      </c>
      <c r="E962" s="382" t="s">
        <v>8624</v>
      </c>
      <c r="F962" s="242"/>
      <c r="G962"/>
      <c r="H962" s="322">
        <v>23400</v>
      </c>
      <c r="I962" s="322">
        <v>23400</v>
      </c>
      <c r="J962" s="242">
        <v>23100</v>
      </c>
      <c r="K962" s="18" t="e">
        <f>INDEX(תקציב_2013,MATCH(D962,'תקציב 2015'!$D$3:$D$5960,0),8)</f>
        <v>#N/A</v>
      </c>
      <c r="L962" s="18" t="str">
        <f t="shared" si="115"/>
        <v>8</v>
      </c>
      <c r="M962" s="18" t="str">
        <f>INDEX(Chapter,MATCH(L962,Chapter!$A$1:$A$681,0),8)</f>
        <v>שירותים ממלכתיים</v>
      </c>
      <c r="N962" s="18" t="str">
        <f t="shared" si="116"/>
        <v>81</v>
      </c>
      <c r="O962" s="18" t="str">
        <f>INDEX(Chapter,MATCH(N962,Chapter!$A$1:$A$681,0),8)</f>
        <v>חינוך</v>
      </c>
      <c r="P962" s="18" t="str">
        <f t="shared" si="117"/>
        <v>811</v>
      </c>
      <c r="Q962" s="18" t="str">
        <f>INDEX(Chapter,MATCH(P962,Chapter!$A$1:$A$681,0),8)</f>
        <v>מינהל החינוך</v>
      </c>
      <c r="R962" s="18" t="str">
        <f t="shared" si="118"/>
        <v>8111</v>
      </c>
      <c r="S962" s="18" t="e">
        <f>INDEX(Chapter,MATCH(R962,Chapter!$A$1:$A$681,0),8)</f>
        <v>#N/A</v>
      </c>
      <c r="T962" s="18"/>
      <c r="U962" s="18" t="str">
        <f t="shared" si="119"/>
        <v>1</v>
      </c>
      <c r="V962" s="18" t="str">
        <f>IF($L962&lt;"6",INDEX(Revenue_type,MATCH(U962*1,type!$A$118:$A$168,0),8),INDEX(Expenditure_type,MATCH(U962*1,type!$A$2:$A$117,0),8))</f>
        <v>משכורות וש"ע לעובדים לפי תקן</v>
      </c>
      <c r="W962" s="18" t="str">
        <f t="shared" si="120"/>
        <v>12</v>
      </c>
      <c r="X962" s="18" t="str">
        <f>IF($L962&lt;"6",INDEX(Revenue_type,MATCH(W962*1,type!$A$118:$A$168,0),8),INDEX(Expenditure_type,MATCH(W962*1,type!$A$2:$A$117,0),8))</f>
        <v>תוספות שאינן נכללות בשכר הקובע</v>
      </c>
      <c r="Y962" s="18" t="str">
        <f t="shared" si="121"/>
        <v>120</v>
      </c>
      <c r="Z962" s="18" t="e">
        <f>IF($L962&lt;"6",INDEX(Revenue_type,MATCH(Y962*1,type!$A$118:$A$168,0),8),INDEX(Expenditure_type,MATCH(Y962*1,type!$A$2:$A$117,0),8))</f>
        <v>#N/A</v>
      </c>
    </row>
    <row r="963" spans="1:26" ht="15.75" hidden="1" customHeight="1" outlineLevel="2">
      <c r="A963">
        <v>700</v>
      </c>
      <c r="B963" s="249">
        <v>811130</v>
      </c>
      <c r="C963">
        <v>1</v>
      </c>
      <c r="D963" t="str">
        <f t="shared" si="114"/>
        <v>1811130.700</v>
      </c>
      <c r="E963" s="382" t="s">
        <v>8625</v>
      </c>
      <c r="F963" s="242"/>
      <c r="G963"/>
      <c r="H963" s="322">
        <v>184600</v>
      </c>
      <c r="I963" s="322">
        <v>190000</v>
      </c>
      <c r="J963" s="242">
        <v>188400</v>
      </c>
      <c r="K963" s="18" t="e">
        <f>INDEX(תקציב_2013,MATCH(D963,'תקציב 2015'!$D$3:$D$5960,0),8)</f>
        <v>#N/A</v>
      </c>
      <c r="L963" s="18" t="str">
        <f t="shared" si="115"/>
        <v>8</v>
      </c>
      <c r="M963" s="18" t="str">
        <f>INDEX(Chapter,MATCH(L963,Chapter!$A$1:$A$681,0),8)</f>
        <v>שירותים ממלכתיים</v>
      </c>
      <c r="N963" s="18" t="str">
        <f t="shared" si="116"/>
        <v>81</v>
      </c>
      <c r="O963" s="18" t="str">
        <f>INDEX(Chapter,MATCH(N963,Chapter!$A$1:$A$681,0),8)</f>
        <v>חינוך</v>
      </c>
      <c r="P963" s="18" t="str">
        <f t="shared" si="117"/>
        <v>811</v>
      </c>
      <c r="Q963" s="18" t="str">
        <f>INDEX(Chapter,MATCH(P963,Chapter!$A$1:$A$681,0),8)</f>
        <v>מינהל החינוך</v>
      </c>
      <c r="R963" s="18" t="str">
        <f t="shared" si="118"/>
        <v>8111</v>
      </c>
      <c r="S963" s="18" t="e">
        <f>INDEX(Chapter,MATCH(R963,Chapter!$A$1:$A$681,0),8)</f>
        <v>#N/A</v>
      </c>
      <c r="T963" s="18"/>
      <c r="U963" s="18" t="str">
        <f t="shared" si="119"/>
        <v>7</v>
      </c>
      <c r="V963" s="18" t="str">
        <f>IF($L963&lt;"6",INDEX(Revenue_type,MATCH(U963*1,type!$A$118:$A$168,0),8),INDEX(Expenditure_type,MATCH(U963*1,type!$A$2:$A$117,0),8))</f>
        <v>הוצאות לפעולות</v>
      </c>
      <c r="W963" s="18" t="str">
        <f t="shared" si="120"/>
        <v>70</v>
      </c>
      <c r="X963" s="18" t="e">
        <f>IF($L963&lt;"6",INDEX(Revenue_type,MATCH(W963*1,type!$A$118:$A$168,0),8),INDEX(Expenditure_type,MATCH(W963*1,type!$A$2:$A$117,0),8))</f>
        <v>#N/A</v>
      </c>
      <c r="Y963" s="18" t="str">
        <f t="shared" si="121"/>
        <v>700</v>
      </c>
      <c r="Z963" s="18" t="e">
        <f>IF($L963&lt;"6",INDEX(Revenue_type,MATCH(Y963*1,type!$A$118:$A$168,0),8),INDEX(Expenditure_type,MATCH(Y963*1,type!$A$2:$A$117,0),8))</f>
        <v>#N/A</v>
      </c>
    </row>
    <row r="964" spans="1:26" ht="15.75" hidden="1" customHeight="1" outlineLevel="2">
      <c r="A964">
        <v>100</v>
      </c>
      <c r="B964" s="249">
        <v>811006</v>
      </c>
      <c r="C964">
        <v>1</v>
      </c>
      <c r="D964" t="str">
        <f t="shared" si="114"/>
        <v>1811006.100</v>
      </c>
      <c r="E964" s="454" t="s">
        <v>8626</v>
      </c>
      <c r="F964" s="242"/>
      <c r="G964"/>
      <c r="H964" s="322">
        <v>2948200</v>
      </c>
      <c r="I964" s="322">
        <v>2915200</v>
      </c>
      <c r="J964" s="242">
        <v>3302300</v>
      </c>
      <c r="K964" s="18" t="e">
        <f>INDEX(תקציב_2013,MATCH(D964,'תקציב 2015'!$D$3:$D$5960,0),8)</f>
        <v>#N/A</v>
      </c>
      <c r="L964" s="18" t="str">
        <f t="shared" si="115"/>
        <v>8</v>
      </c>
      <c r="M964" s="18" t="str">
        <f>INDEX(Chapter,MATCH(L964,Chapter!$A$1:$A$681,0),8)</f>
        <v>שירותים ממלכתיים</v>
      </c>
      <c r="N964" s="18" t="str">
        <f t="shared" si="116"/>
        <v>81</v>
      </c>
      <c r="O964" s="18" t="str">
        <f>INDEX(Chapter,MATCH(N964,Chapter!$A$1:$A$681,0),8)</f>
        <v>חינוך</v>
      </c>
      <c r="P964" s="18" t="str">
        <f t="shared" si="117"/>
        <v>811</v>
      </c>
      <c r="Q964" s="18" t="str">
        <f>INDEX(Chapter,MATCH(P964,Chapter!$A$1:$A$681,0),8)</f>
        <v>מינהל החינוך</v>
      </c>
      <c r="R964" s="18" t="str">
        <f t="shared" si="118"/>
        <v>8110</v>
      </c>
      <c r="S964" s="18" t="e">
        <f>INDEX(Chapter,MATCH(R964,Chapter!$A$1:$A$681,0),8)</f>
        <v>#N/A</v>
      </c>
      <c r="T964" s="18"/>
      <c r="U964" s="18" t="str">
        <f t="shared" si="119"/>
        <v>1</v>
      </c>
      <c r="V964" s="18" t="str">
        <f>IF($L964&lt;"6",INDEX(Revenue_type,MATCH(U964*1,type!$A$118:$A$168,0),8),INDEX(Expenditure_type,MATCH(U964*1,type!$A$2:$A$117,0),8))</f>
        <v>משכורות וש"ע לעובדים לפי תקן</v>
      </c>
      <c r="W964" s="18" t="str">
        <f t="shared" si="120"/>
        <v>10</v>
      </c>
      <c r="X964" s="18" t="e">
        <f>IF($L964&lt;"6",INDEX(Revenue_type,MATCH(W964*1,type!$A$118:$A$168,0),8),INDEX(Expenditure_type,MATCH(W964*1,type!$A$2:$A$117,0),8))</f>
        <v>#N/A</v>
      </c>
      <c r="Y964" s="18" t="str">
        <f t="shared" si="121"/>
        <v>100</v>
      </c>
      <c r="Z964" s="18" t="e">
        <f>IF($L964&lt;"6",INDEX(Revenue_type,MATCH(Y964*1,type!$A$118:$A$168,0),8),INDEX(Expenditure_type,MATCH(Y964*1,type!$A$2:$A$117,0),8))</f>
        <v>#N/A</v>
      </c>
    </row>
    <row r="965" spans="1:26" ht="15.75" hidden="1" customHeight="1" outlineLevel="2">
      <c r="A965">
        <v>120</v>
      </c>
      <c r="B965" s="249">
        <v>811006</v>
      </c>
      <c r="C965">
        <v>1</v>
      </c>
      <c r="D965" t="str">
        <f t="shared" si="114"/>
        <v>1811006.120</v>
      </c>
      <c r="E965" s="382" t="s">
        <v>8627</v>
      </c>
      <c r="F965" s="242"/>
      <c r="G965"/>
      <c r="H965" s="322">
        <v>21800</v>
      </c>
      <c r="I965" s="322">
        <v>21800</v>
      </c>
      <c r="J965" s="242">
        <v>30000</v>
      </c>
      <c r="K965" s="18" t="e">
        <f>INDEX(תקציב_2013,MATCH(D965,'תקציב 2015'!$D$3:$D$5960,0),8)</f>
        <v>#N/A</v>
      </c>
      <c r="L965" s="18" t="str">
        <f t="shared" si="115"/>
        <v>8</v>
      </c>
      <c r="M965" s="18" t="str">
        <f>INDEX(Chapter,MATCH(L965,Chapter!$A$1:$A$681,0),8)</f>
        <v>שירותים ממלכתיים</v>
      </c>
      <c r="N965" s="18" t="str">
        <f t="shared" si="116"/>
        <v>81</v>
      </c>
      <c r="O965" s="18" t="str">
        <f>INDEX(Chapter,MATCH(N965,Chapter!$A$1:$A$681,0),8)</f>
        <v>חינוך</v>
      </c>
      <c r="P965" s="18" t="str">
        <f t="shared" si="117"/>
        <v>811</v>
      </c>
      <c r="Q965" s="18" t="str">
        <f>INDEX(Chapter,MATCH(P965,Chapter!$A$1:$A$681,0),8)</f>
        <v>מינהל החינוך</v>
      </c>
      <c r="R965" s="18" t="str">
        <f t="shared" si="118"/>
        <v>8110</v>
      </c>
      <c r="S965" s="18" t="e">
        <f>INDEX(Chapter,MATCH(R965,Chapter!$A$1:$A$681,0),8)</f>
        <v>#N/A</v>
      </c>
      <c r="T965" s="18"/>
      <c r="U965" s="18" t="str">
        <f t="shared" si="119"/>
        <v>1</v>
      </c>
      <c r="V965" s="18" t="str">
        <f>IF($L965&lt;"6",INDEX(Revenue_type,MATCH(U965*1,type!$A$118:$A$168,0),8),INDEX(Expenditure_type,MATCH(U965*1,type!$A$2:$A$117,0),8))</f>
        <v>משכורות וש"ע לעובדים לפי תקן</v>
      </c>
      <c r="W965" s="18" t="str">
        <f t="shared" si="120"/>
        <v>12</v>
      </c>
      <c r="X965" s="18" t="str">
        <f>IF($L965&lt;"6",INDEX(Revenue_type,MATCH(W965*1,type!$A$118:$A$168,0),8),INDEX(Expenditure_type,MATCH(W965*1,type!$A$2:$A$117,0),8))</f>
        <v>תוספות שאינן נכללות בשכר הקובע</v>
      </c>
      <c r="Y965" s="18" t="str">
        <f t="shared" si="121"/>
        <v>120</v>
      </c>
      <c r="Z965" s="18" t="e">
        <f>IF($L965&lt;"6",INDEX(Revenue_type,MATCH(Y965*1,type!$A$118:$A$168,0),8),INDEX(Expenditure_type,MATCH(Y965*1,type!$A$2:$A$117,0),8))</f>
        <v>#N/A</v>
      </c>
    </row>
    <row r="966" spans="1:26" ht="15.75" hidden="1" customHeight="1" outlineLevel="2">
      <c r="A966">
        <v>400</v>
      </c>
      <c r="B966" s="249">
        <v>811006</v>
      </c>
      <c r="C966">
        <v>1</v>
      </c>
      <c r="D966" t="str">
        <f t="shared" si="114"/>
        <v>1811006.400</v>
      </c>
      <c r="E966" s="454" t="s">
        <v>8628</v>
      </c>
      <c r="F966" s="242"/>
      <c r="G966"/>
      <c r="H966" s="322">
        <v>7000</v>
      </c>
      <c r="I966" s="322">
        <v>7000</v>
      </c>
      <c r="J966" s="242">
        <v>100</v>
      </c>
      <c r="K966" s="18" t="e">
        <f>INDEX(תקציב_2013,MATCH(D966,'תקציב 2015'!$D$3:$D$5960,0),8)</f>
        <v>#N/A</v>
      </c>
      <c r="L966" s="18" t="str">
        <f t="shared" si="115"/>
        <v>8</v>
      </c>
      <c r="M966" s="18" t="str">
        <f>INDEX(Chapter,MATCH(L966,Chapter!$A$1:$A$681,0),8)</f>
        <v>שירותים ממלכתיים</v>
      </c>
      <c r="N966" s="18" t="str">
        <f t="shared" si="116"/>
        <v>81</v>
      </c>
      <c r="O966" s="18" t="str">
        <f>INDEX(Chapter,MATCH(N966,Chapter!$A$1:$A$681,0),8)</f>
        <v>חינוך</v>
      </c>
      <c r="P966" s="18" t="str">
        <f t="shared" si="117"/>
        <v>811</v>
      </c>
      <c r="Q966" s="18" t="str">
        <f>INDEX(Chapter,MATCH(P966,Chapter!$A$1:$A$681,0),8)</f>
        <v>מינהל החינוך</v>
      </c>
      <c r="R966" s="18" t="str">
        <f t="shared" si="118"/>
        <v>8110</v>
      </c>
      <c r="S966" s="18" t="e">
        <f>INDEX(Chapter,MATCH(R966,Chapter!$A$1:$A$681,0),8)</f>
        <v>#N/A</v>
      </c>
      <c r="T966" s="18"/>
      <c r="U966" s="18" t="str">
        <f t="shared" si="119"/>
        <v>4</v>
      </c>
      <c r="V966" s="18" t="str">
        <f>IF($L966&lt;"6",INDEX(Revenue_type,MATCH(U966*1,type!$A$118:$A$168,0),8),INDEX(Expenditure_type,MATCH(U966*1,type!$A$2:$A$117,0),8))</f>
        <v>אחזקת בינים ואספקת ציוד</v>
      </c>
      <c r="W966" s="18" t="str">
        <f t="shared" si="120"/>
        <v>40</v>
      </c>
      <c r="X966" s="18" t="e">
        <f>IF($L966&lt;"6",INDEX(Revenue_type,MATCH(W966*1,type!$A$118:$A$168,0),8),INDEX(Expenditure_type,MATCH(W966*1,type!$A$2:$A$117,0),8))</f>
        <v>#N/A</v>
      </c>
      <c r="Y966" s="18" t="str">
        <f t="shared" si="121"/>
        <v>400</v>
      </c>
      <c r="Z966" s="18" t="e">
        <f>IF($L966&lt;"6",INDEX(Revenue_type,MATCH(Y966*1,type!$A$118:$A$168,0),8),INDEX(Expenditure_type,MATCH(Y966*1,type!$A$2:$A$117,0),8))</f>
        <v>#N/A</v>
      </c>
    </row>
    <row r="967" spans="1:26" ht="15.75" hidden="1" customHeight="1" outlineLevel="2">
      <c r="A967">
        <v>700</v>
      </c>
      <c r="B967" s="249">
        <v>811006</v>
      </c>
      <c r="C967">
        <v>1</v>
      </c>
      <c r="D967" t="str">
        <f t="shared" si="114"/>
        <v>1811006.700</v>
      </c>
      <c r="E967" s="454" t="s">
        <v>8629</v>
      </c>
      <c r="F967" s="242"/>
      <c r="G967"/>
      <c r="H967" s="322">
        <v>368900</v>
      </c>
      <c r="I967" s="322">
        <v>380000</v>
      </c>
      <c r="J967" s="242">
        <v>304900</v>
      </c>
      <c r="K967" s="18" t="e">
        <f>INDEX(תקציב_2013,MATCH(D967,'תקציב 2015'!$D$3:$D$5960,0),8)</f>
        <v>#N/A</v>
      </c>
      <c r="L967" s="18" t="str">
        <f t="shared" si="115"/>
        <v>8</v>
      </c>
      <c r="M967" s="18" t="str">
        <f>INDEX(Chapter,MATCH(L967,Chapter!$A$1:$A$681,0),8)</f>
        <v>שירותים ממלכתיים</v>
      </c>
      <c r="N967" s="18" t="str">
        <f t="shared" si="116"/>
        <v>81</v>
      </c>
      <c r="O967" s="18" t="str">
        <f>INDEX(Chapter,MATCH(N967,Chapter!$A$1:$A$681,0),8)</f>
        <v>חינוך</v>
      </c>
      <c r="P967" s="18" t="str">
        <f t="shared" si="117"/>
        <v>811</v>
      </c>
      <c r="Q967" s="18" t="str">
        <f>INDEX(Chapter,MATCH(P967,Chapter!$A$1:$A$681,0),8)</f>
        <v>מינהל החינוך</v>
      </c>
      <c r="R967" s="18" t="str">
        <f t="shared" si="118"/>
        <v>8110</v>
      </c>
      <c r="S967" s="18" t="e">
        <f>INDEX(Chapter,MATCH(R967,Chapter!$A$1:$A$681,0),8)</f>
        <v>#N/A</v>
      </c>
      <c r="T967" s="18"/>
      <c r="U967" s="18" t="str">
        <f t="shared" si="119"/>
        <v>7</v>
      </c>
      <c r="V967" s="18" t="str">
        <f>IF($L967&lt;"6",INDEX(Revenue_type,MATCH(U967*1,type!$A$118:$A$168,0),8),INDEX(Expenditure_type,MATCH(U967*1,type!$A$2:$A$117,0),8))</f>
        <v>הוצאות לפעולות</v>
      </c>
      <c r="W967" s="18" t="str">
        <f t="shared" si="120"/>
        <v>70</v>
      </c>
      <c r="X967" s="18" t="e">
        <f>IF($L967&lt;"6",INDEX(Revenue_type,MATCH(W967*1,type!$A$118:$A$168,0),8),INDEX(Expenditure_type,MATCH(W967*1,type!$A$2:$A$117,0),8))</f>
        <v>#N/A</v>
      </c>
      <c r="Y967" s="18" t="str">
        <f t="shared" si="121"/>
        <v>700</v>
      </c>
      <c r="Z967" s="18" t="e">
        <f>IF($L967&lt;"6",INDEX(Revenue_type,MATCH(Y967*1,type!$A$118:$A$168,0),8),INDEX(Expenditure_type,MATCH(Y967*1,type!$A$2:$A$117,0),8))</f>
        <v>#N/A</v>
      </c>
    </row>
    <row r="968" spans="1:26" ht="15.75" hidden="1" customHeight="1" outlineLevel="2">
      <c r="A968">
        <v>100</v>
      </c>
      <c r="B968" s="249">
        <v>817310</v>
      </c>
      <c r="C968">
        <v>1</v>
      </c>
      <c r="D968" t="str">
        <f t="shared" si="114"/>
        <v>1817310.100</v>
      </c>
      <c r="E968" s="454" t="s">
        <v>8630</v>
      </c>
      <c r="F968" s="242"/>
      <c r="G968"/>
      <c r="H968" s="322">
        <v>1092900</v>
      </c>
      <c r="I968" s="322">
        <v>1080900</v>
      </c>
      <c r="J968" s="242">
        <v>1056500</v>
      </c>
      <c r="K968" s="18" t="e">
        <f>INDEX(תקציב_2013,MATCH(D968,'תקציב 2015'!$D$3:$D$5960,0),8)</f>
        <v>#N/A</v>
      </c>
      <c r="L968" s="18" t="str">
        <f t="shared" si="115"/>
        <v>8</v>
      </c>
      <c r="M968" s="18" t="str">
        <f>INDEX(Chapter,MATCH(L968,Chapter!$A$1:$A$681,0),8)</f>
        <v>שירותים ממלכתיים</v>
      </c>
      <c r="N968" s="18" t="str">
        <f t="shared" si="116"/>
        <v>81</v>
      </c>
      <c r="O968" s="18" t="str">
        <f>INDEX(Chapter,MATCH(N968,Chapter!$A$1:$A$681,0),8)</f>
        <v>חינוך</v>
      </c>
      <c r="P968" s="18" t="str">
        <f t="shared" si="117"/>
        <v>817</v>
      </c>
      <c r="Q968" s="18" t="str">
        <f>INDEX(Chapter,MATCH(P968,Chapter!$A$1:$A$681,0),8)</f>
        <v>שירותים נוספים לבתי״ס וגנ״י</v>
      </c>
      <c r="R968" s="18" t="str">
        <f t="shared" si="118"/>
        <v>8173</v>
      </c>
      <c r="S968" s="18" t="str">
        <f>INDEX(Chapter,MATCH(R968,Chapter!$A$1:$A$681,0),8)</f>
        <v>שרות פסיכולוגי חינוכי</v>
      </c>
      <c r="T968" s="18"/>
      <c r="U968" s="18" t="str">
        <f t="shared" si="119"/>
        <v>1</v>
      </c>
      <c r="V968" s="18" t="str">
        <f>IF($L968&lt;"6",INDEX(Revenue_type,MATCH(U968*1,type!$A$118:$A$168,0),8),INDEX(Expenditure_type,MATCH(U968*1,type!$A$2:$A$117,0),8))</f>
        <v>משכורות וש"ע לעובדים לפי תקן</v>
      </c>
      <c r="W968" s="18" t="str">
        <f t="shared" si="120"/>
        <v>10</v>
      </c>
      <c r="X968" s="18" t="e">
        <f>IF($L968&lt;"6",INDEX(Revenue_type,MATCH(W968*1,type!$A$118:$A$168,0),8),INDEX(Expenditure_type,MATCH(W968*1,type!$A$2:$A$117,0),8))</f>
        <v>#N/A</v>
      </c>
      <c r="Y968" s="18" t="str">
        <f t="shared" si="121"/>
        <v>100</v>
      </c>
      <c r="Z968" s="18" t="e">
        <f>IF($L968&lt;"6",INDEX(Revenue_type,MATCH(Y968*1,type!$A$118:$A$168,0),8),INDEX(Expenditure_type,MATCH(Y968*1,type!$A$2:$A$117,0),8))</f>
        <v>#N/A</v>
      </c>
    </row>
    <row r="969" spans="1:26" ht="15.75" hidden="1" customHeight="1" outlineLevel="2">
      <c r="A969">
        <v>120</v>
      </c>
      <c r="B969" s="249">
        <v>817310</v>
      </c>
      <c r="C969">
        <v>1</v>
      </c>
      <c r="D969" t="str">
        <f t="shared" si="114"/>
        <v>1817310.120</v>
      </c>
      <c r="E969" s="382" t="s">
        <v>8631</v>
      </c>
      <c r="F969" s="242"/>
      <c r="G969"/>
      <c r="H969" s="322">
        <v>23100</v>
      </c>
      <c r="I969" s="322">
        <v>23100</v>
      </c>
      <c r="J969" s="242">
        <v>27800</v>
      </c>
      <c r="K969" s="18">
        <f>INDEX(תקציב_2013,MATCH(D969,'תקציב 2015'!$D$3:$D$5960,0),8)</f>
        <v>36203</v>
      </c>
      <c r="L969" s="18" t="str">
        <f t="shared" si="115"/>
        <v>8</v>
      </c>
      <c r="M969" s="18" t="str">
        <f>INDEX(Chapter,MATCH(L969,Chapter!$A$1:$A$681,0),8)</f>
        <v>שירותים ממלכתיים</v>
      </c>
      <c r="N969" s="18" t="str">
        <f t="shared" si="116"/>
        <v>81</v>
      </c>
      <c r="O969" s="18" t="str">
        <f>INDEX(Chapter,MATCH(N969,Chapter!$A$1:$A$681,0),8)</f>
        <v>חינוך</v>
      </c>
      <c r="P969" s="18" t="str">
        <f t="shared" si="117"/>
        <v>817</v>
      </c>
      <c r="Q969" s="18" t="str">
        <f>INDEX(Chapter,MATCH(P969,Chapter!$A$1:$A$681,0),8)</f>
        <v>שירותים נוספים לבתי״ס וגנ״י</v>
      </c>
      <c r="R969" s="18" t="str">
        <f t="shared" si="118"/>
        <v>8173</v>
      </c>
      <c r="S969" s="18" t="str">
        <f>INDEX(Chapter,MATCH(R969,Chapter!$A$1:$A$681,0),8)</f>
        <v>שרות פסיכולוגי חינוכי</v>
      </c>
      <c r="T969" s="18"/>
      <c r="U969" s="18" t="str">
        <f t="shared" si="119"/>
        <v>1</v>
      </c>
      <c r="V969" s="18" t="str">
        <f>IF($L969&lt;"6",INDEX(Revenue_type,MATCH(U969*1,type!$A$118:$A$168,0),8),INDEX(Expenditure_type,MATCH(U969*1,type!$A$2:$A$117,0),8))</f>
        <v>משכורות וש"ע לעובדים לפי תקן</v>
      </c>
      <c r="W969" s="18" t="str">
        <f t="shared" si="120"/>
        <v>12</v>
      </c>
      <c r="X969" s="18" t="str">
        <f>IF($L969&lt;"6",INDEX(Revenue_type,MATCH(W969*1,type!$A$118:$A$168,0),8),INDEX(Expenditure_type,MATCH(W969*1,type!$A$2:$A$117,0),8))</f>
        <v>תוספות שאינן נכללות בשכר הקובע</v>
      </c>
      <c r="Y969" s="18" t="str">
        <f t="shared" si="121"/>
        <v>120</v>
      </c>
      <c r="Z969" s="18" t="e">
        <f>IF($L969&lt;"6",INDEX(Revenue_type,MATCH(Y969*1,type!$A$118:$A$168,0),8),INDEX(Expenditure_type,MATCH(Y969*1,type!$A$2:$A$117,0),8))</f>
        <v>#N/A</v>
      </c>
    </row>
    <row r="970" spans="1:26" ht="15.75" hidden="1" customHeight="1" outlineLevel="2">
      <c r="A970">
        <v>400</v>
      </c>
      <c r="B970" s="249">
        <v>817310</v>
      </c>
      <c r="C970">
        <v>1</v>
      </c>
      <c r="D970" t="str">
        <f t="shared" si="114"/>
        <v>1817310.400</v>
      </c>
      <c r="E970" s="382" t="s">
        <v>8632</v>
      </c>
      <c r="F970" s="242"/>
      <c r="G970"/>
      <c r="H970" s="322">
        <v>26800</v>
      </c>
      <c r="I970" s="322">
        <v>27400</v>
      </c>
      <c r="J970" s="242">
        <v>31100</v>
      </c>
      <c r="K970" s="18" t="e">
        <f>INDEX(תקציב_2013,MATCH(D970,'תקציב 2015'!$D$3:$D$5960,0),8)</f>
        <v>#N/A</v>
      </c>
      <c r="L970" s="18" t="str">
        <f t="shared" si="115"/>
        <v>8</v>
      </c>
      <c r="M970" s="18" t="str">
        <f>INDEX(Chapter,MATCH(L970,Chapter!$A$1:$A$681,0),8)</f>
        <v>שירותים ממלכתיים</v>
      </c>
      <c r="N970" s="18" t="str">
        <f t="shared" si="116"/>
        <v>81</v>
      </c>
      <c r="O970" s="18" t="str">
        <f>INDEX(Chapter,MATCH(N970,Chapter!$A$1:$A$681,0),8)</f>
        <v>חינוך</v>
      </c>
      <c r="P970" s="18" t="str">
        <f t="shared" si="117"/>
        <v>817</v>
      </c>
      <c r="Q970" s="18" t="str">
        <f>INDEX(Chapter,MATCH(P970,Chapter!$A$1:$A$681,0),8)</f>
        <v>שירותים נוספים לבתי״ס וגנ״י</v>
      </c>
      <c r="R970" s="18" t="str">
        <f t="shared" si="118"/>
        <v>8173</v>
      </c>
      <c r="S970" s="18" t="str">
        <f>INDEX(Chapter,MATCH(R970,Chapter!$A$1:$A$681,0),8)</f>
        <v>שרות פסיכולוגי חינוכי</v>
      </c>
      <c r="T970" s="18"/>
      <c r="U970" s="18" t="str">
        <f t="shared" si="119"/>
        <v>4</v>
      </c>
      <c r="V970" s="18" t="str">
        <f>IF($L970&lt;"6",INDEX(Revenue_type,MATCH(U970*1,type!$A$118:$A$168,0),8),INDEX(Expenditure_type,MATCH(U970*1,type!$A$2:$A$117,0),8))</f>
        <v>אחזקת בינים ואספקת ציוד</v>
      </c>
      <c r="W970" s="18" t="str">
        <f t="shared" si="120"/>
        <v>40</v>
      </c>
      <c r="X970" s="18" t="e">
        <f>IF($L970&lt;"6",INDEX(Revenue_type,MATCH(W970*1,type!$A$118:$A$168,0),8),INDEX(Expenditure_type,MATCH(W970*1,type!$A$2:$A$117,0),8))</f>
        <v>#N/A</v>
      </c>
      <c r="Y970" s="18" t="str">
        <f t="shared" si="121"/>
        <v>400</v>
      </c>
      <c r="Z970" s="18" t="e">
        <f>IF($L970&lt;"6",INDEX(Revenue_type,MATCH(Y970*1,type!$A$118:$A$168,0),8),INDEX(Expenditure_type,MATCH(Y970*1,type!$A$2:$A$117,0),8))</f>
        <v>#N/A</v>
      </c>
    </row>
    <row r="971" spans="1:26" ht="15.75" hidden="1" customHeight="1" outlineLevel="2">
      <c r="A971">
        <v>500</v>
      </c>
      <c r="B971" s="249">
        <v>817310</v>
      </c>
      <c r="C971">
        <v>1</v>
      </c>
      <c r="D971" t="str">
        <f t="shared" si="114"/>
        <v>1817310.500</v>
      </c>
      <c r="E971" s="382" t="s">
        <v>8633</v>
      </c>
      <c r="F971" s="242"/>
      <c r="G971"/>
      <c r="H971" s="322">
        <v>53100</v>
      </c>
      <c r="I971" s="322">
        <v>53100</v>
      </c>
      <c r="J971" s="242">
        <v>47100</v>
      </c>
      <c r="K971" s="18" t="e">
        <f>INDEX(תקציב_2013,MATCH(D971,'תקציב 2015'!$D$3:$D$5960,0),8)</f>
        <v>#N/A</v>
      </c>
      <c r="L971" s="18" t="str">
        <f t="shared" si="115"/>
        <v>8</v>
      </c>
      <c r="M971" s="18" t="str">
        <f>INDEX(Chapter,MATCH(L971,Chapter!$A$1:$A$681,0),8)</f>
        <v>שירותים ממלכתיים</v>
      </c>
      <c r="N971" s="18" t="str">
        <f t="shared" si="116"/>
        <v>81</v>
      </c>
      <c r="O971" s="18" t="str">
        <f>INDEX(Chapter,MATCH(N971,Chapter!$A$1:$A$681,0),8)</f>
        <v>חינוך</v>
      </c>
      <c r="P971" s="18" t="str">
        <f t="shared" si="117"/>
        <v>817</v>
      </c>
      <c r="Q971" s="18" t="str">
        <f>INDEX(Chapter,MATCH(P971,Chapter!$A$1:$A$681,0),8)</f>
        <v>שירותים נוספים לבתי״ס וגנ״י</v>
      </c>
      <c r="R971" s="18" t="str">
        <f t="shared" si="118"/>
        <v>8173</v>
      </c>
      <c r="S971" s="18" t="str">
        <f>INDEX(Chapter,MATCH(R971,Chapter!$A$1:$A$681,0),8)</f>
        <v>שרות פסיכולוגי חינוכי</v>
      </c>
      <c r="T971" s="18"/>
      <c r="U971" s="18" t="str">
        <f t="shared" si="119"/>
        <v>5</v>
      </c>
      <c r="V971" s="18" t="str">
        <f>IF($L971&lt;"6",INDEX(Revenue_type,MATCH(U971*1,type!$A$118:$A$168,0),8),INDEX(Expenditure_type,MATCH(U971*1,type!$A$2:$A$117,0),8))</f>
        <v>הוצאות מנהליות</v>
      </c>
      <c r="W971" s="18" t="str">
        <f t="shared" si="120"/>
        <v>50</v>
      </c>
      <c r="X971" s="18" t="e">
        <f>IF($L971&lt;"6",INDEX(Revenue_type,MATCH(W971*1,type!$A$118:$A$168,0),8),INDEX(Expenditure_type,MATCH(W971*1,type!$A$2:$A$117,0),8))</f>
        <v>#N/A</v>
      </c>
      <c r="Y971" s="18" t="str">
        <f t="shared" si="121"/>
        <v>500</v>
      </c>
      <c r="Z971" s="18" t="e">
        <f>IF($L971&lt;"6",INDEX(Revenue_type,MATCH(Y971*1,type!$A$118:$A$168,0),8),INDEX(Expenditure_type,MATCH(Y971*1,type!$A$2:$A$117,0),8))</f>
        <v>#N/A</v>
      </c>
    </row>
    <row r="972" spans="1:26" ht="15.75" hidden="1" customHeight="1" outlineLevel="2">
      <c r="A972">
        <v>700</v>
      </c>
      <c r="B972" s="249">
        <v>817310</v>
      </c>
      <c r="C972">
        <v>1</v>
      </c>
      <c r="D972" t="str">
        <f t="shared" si="114"/>
        <v>1817310.700</v>
      </c>
      <c r="E972" s="382" t="s">
        <v>8634</v>
      </c>
      <c r="F972" s="242"/>
      <c r="G972"/>
      <c r="H972" s="322">
        <v>1129500</v>
      </c>
      <c r="I972" s="322">
        <v>1164500</v>
      </c>
      <c r="J972" s="242">
        <v>1117500</v>
      </c>
      <c r="K972" s="18" t="e">
        <f>INDEX(תקציב_2013,MATCH(D972,'תקציב 2015'!$D$3:$D$5960,0),8)</f>
        <v>#N/A</v>
      </c>
      <c r="L972" s="18" t="str">
        <f t="shared" si="115"/>
        <v>8</v>
      </c>
      <c r="M972" s="18" t="str">
        <f>INDEX(Chapter,MATCH(L972,Chapter!$A$1:$A$681,0),8)</f>
        <v>שירותים ממלכתיים</v>
      </c>
      <c r="N972" s="18" t="str">
        <f t="shared" si="116"/>
        <v>81</v>
      </c>
      <c r="O972" s="18" t="str">
        <f>INDEX(Chapter,MATCH(N972,Chapter!$A$1:$A$681,0),8)</f>
        <v>חינוך</v>
      </c>
      <c r="P972" s="18" t="str">
        <f t="shared" si="117"/>
        <v>817</v>
      </c>
      <c r="Q972" s="18" t="str">
        <f>INDEX(Chapter,MATCH(P972,Chapter!$A$1:$A$681,0),8)</f>
        <v>שירותים נוספים לבתי״ס וגנ״י</v>
      </c>
      <c r="R972" s="18" t="str">
        <f t="shared" si="118"/>
        <v>8173</v>
      </c>
      <c r="S972" s="18" t="str">
        <f>INDEX(Chapter,MATCH(R972,Chapter!$A$1:$A$681,0),8)</f>
        <v>שרות פסיכולוגי חינוכי</v>
      </c>
      <c r="T972" s="18"/>
      <c r="U972" s="18" t="str">
        <f t="shared" si="119"/>
        <v>7</v>
      </c>
      <c r="V972" s="18" t="str">
        <f>IF($L972&lt;"6",INDEX(Revenue_type,MATCH(U972*1,type!$A$118:$A$168,0),8),INDEX(Expenditure_type,MATCH(U972*1,type!$A$2:$A$117,0),8))</f>
        <v>הוצאות לפעולות</v>
      </c>
      <c r="W972" s="18" t="str">
        <f t="shared" si="120"/>
        <v>70</v>
      </c>
      <c r="X972" s="18" t="e">
        <f>IF($L972&lt;"6",INDEX(Revenue_type,MATCH(W972*1,type!$A$118:$A$168,0),8),INDEX(Expenditure_type,MATCH(W972*1,type!$A$2:$A$117,0),8))</f>
        <v>#N/A</v>
      </c>
      <c r="Y972" s="18" t="str">
        <f t="shared" si="121"/>
        <v>700</v>
      </c>
      <c r="Z972" s="18" t="e">
        <f>IF($L972&lt;"6",INDEX(Revenue_type,MATCH(Y972*1,type!$A$118:$A$168,0),8),INDEX(Expenditure_type,MATCH(Y972*1,type!$A$2:$A$117,0),8))</f>
        <v>#N/A</v>
      </c>
    </row>
    <row r="973" spans="1:26" ht="15.75" hidden="1" customHeight="1" outlineLevel="2">
      <c r="A973">
        <v>700</v>
      </c>
      <c r="B973" s="249">
        <v>811007</v>
      </c>
      <c r="C973">
        <v>1</v>
      </c>
      <c r="D973" t="str">
        <f t="shared" si="114"/>
        <v>1811007.700</v>
      </c>
      <c r="E973" s="382" t="s">
        <v>8635</v>
      </c>
      <c r="F973" s="242"/>
      <c r="G973"/>
      <c r="H973" s="322">
        <v>670300</v>
      </c>
      <c r="I973" s="322">
        <v>690000</v>
      </c>
      <c r="J973" s="242">
        <v>0</v>
      </c>
      <c r="K973" s="18" t="e">
        <f>INDEX(תקציב_2013,MATCH(D973,'תקציב 2015'!$D$3:$D$5960,0),8)</f>
        <v>#N/A</v>
      </c>
      <c r="L973" s="18" t="str">
        <f t="shared" si="115"/>
        <v>8</v>
      </c>
      <c r="M973" s="18" t="str">
        <f>INDEX(Chapter,MATCH(L973,Chapter!$A$1:$A$681,0),8)</f>
        <v>שירותים ממלכתיים</v>
      </c>
      <c r="N973" s="18" t="str">
        <f t="shared" si="116"/>
        <v>81</v>
      </c>
      <c r="O973" s="18" t="str">
        <f>INDEX(Chapter,MATCH(N973,Chapter!$A$1:$A$681,0),8)</f>
        <v>חינוך</v>
      </c>
      <c r="P973" s="18" t="str">
        <f t="shared" si="117"/>
        <v>811</v>
      </c>
      <c r="Q973" s="18" t="str">
        <f>INDEX(Chapter,MATCH(P973,Chapter!$A$1:$A$681,0),8)</f>
        <v>מינהל החינוך</v>
      </c>
      <c r="R973" s="18" t="str">
        <f t="shared" si="118"/>
        <v>8110</v>
      </c>
      <c r="S973" s="18" t="e">
        <f>INDEX(Chapter,MATCH(R973,Chapter!$A$1:$A$681,0),8)</f>
        <v>#N/A</v>
      </c>
      <c r="T973" s="18"/>
      <c r="U973" s="18" t="str">
        <f t="shared" si="119"/>
        <v>7</v>
      </c>
      <c r="V973" s="18" t="str">
        <f>IF($L973&lt;"6",INDEX(Revenue_type,MATCH(U973*1,type!$A$118:$A$168,0),8),INDEX(Expenditure_type,MATCH(U973*1,type!$A$2:$A$117,0),8))</f>
        <v>הוצאות לפעולות</v>
      </c>
      <c r="W973" s="18" t="str">
        <f t="shared" si="120"/>
        <v>70</v>
      </c>
      <c r="X973" s="18" t="e">
        <f>IF($L973&lt;"6",INDEX(Revenue_type,MATCH(W973*1,type!$A$118:$A$168,0),8),INDEX(Expenditure_type,MATCH(W973*1,type!$A$2:$A$117,0),8))</f>
        <v>#N/A</v>
      </c>
      <c r="Y973" s="18" t="str">
        <f t="shared" si="121"/>
        <v>700</v>
      </c>
      <c r="Z973" s="18" t="e">
        <f>IF($L973&lt;"6",INDEX(Revenue_type,MATCH(Y973*1,type!$A$118:$A$168,0),8),INDEX(Expenditure_type,MATCH(Y973*1,type!$A$2:$A$117,0),8))</f>
        <v>#N/A</v>
      </c>
    </row>
    <row r="974" spans="1:26" ht="15.75" hidden="1" customHeight="1" outlineLevel="2">
      <c r="A974">
        <v>100</v>
      </c>
      <c r="B974" s="249">
        <v>811001</v>
      </c>
      <c r="C974">
        <v>1</v>
      </c>
      <c r="D974" t="str">
        <f t="shared" si="114"/>
        <v>1811001.100</v>
      </c>
      <c r="E974" s="382" t="s">
        <v>8636</v>
      </c>
      <c r="F974" s="242"/>
      <c r="G974"/>
      <c r="H974" s="322">
        <v>911000</v>
      </c>
      <c r="I974" s="322">
        <v>901000</v>
      </c>
      <c r="J974" s="242">
        <v>901500</v>
      </c>
      <c r="K974" s="18" t="e">
        <f>INDEX(תקציב_2013,MATCH(D974,'תקציב 2015'!$D$3:$D$5960,0),8)</f>
        <v>#N/A</v>
      </c>
      <c r="L974" s="18" t="str">
        <f t="shared" si="115"/>
        <v>8</v>
      </c>
      <c r="M974" s="18" t="str">
        <f>INDEX(Chapter,MATCH(L974,Chapter!$A$1:$A$681,0),8)</f>
        <v>שירותים ממלכתיים</v>
      </c>
      <c r="N974" s="18" t="str">
        <f t="shared" si="116"/>
        <v>81</v>
      </c>
      <c r="O974" s="18" t="str">
        <f>INDEX(Chapter,MATCH(N974,Chapter!$A$1:$A$681,0),8)</f>
        <v>חינוך</v>
      </c>
      <c r="P974" s="18" t="str">
        <f t="shared" si="117"/>
        <v>811</v>
      </c>
      <c r="Q974" s="18" t="str">
        <f>INDEX(Chapter,MATCH(P974,Chapter!$A$1:$A$681,0),8)</f>
        <v>מינהל החינוך</v>
      </c>
      <c r="R974" s="18" t="str">
        <f t="shared" si="118"/>
        <v>8110</v>
      </c>
      <c r="S974" s="18" t="e">
        <f>INDEX(Chapter,MATCH(R974,Chapter!$A$1:$A$681,0),8)</f>
        <v>#N/A</v>
      </c>
      <c r="T974" s="18"/>
      <c r="U974" s="18" t="str">
        <f t="shared" si="119"/>
        <v>1</v>
      </c>
      <c r="V974" s="18" t="str">
        <f>IF($L974&lt;"6",INDEX(Revenue_type,MATCH(U974*1,type!$A$118:$A$168,0),8),INDEX(Expenditure_type,MATCH(U974*1,type!$A$2:$A$117,0),8))</f>
        <v>משכורות וש"ע לעובדים לפי תקן</v>
      </c>
      <c r="W974" s="18" t="str">
        <f t="shared" si="120"/>
        <v>10</v>
      </c>
      <c r="X974" s="18" t="e">
        <f>IF($L974&lt;"6",INDEX(Revenue_type,MATCH(W974*1,type!$A$118:$A$168,0),8),INDEX(Expenditure_type,MATCH(W974*1,type!$A$2:$A$117,0),8))</f>
        <v>#N/A</v>
      </c>
      <c r="Y974" s="18" t="str">
        <f t="shared" si="121"/>
        <v>100</v>
      </c>
      <c r="Z974" s="18" t="e">
        <f>IF($L974&lt;"6",INDEX(Revenue_type,MATCH(Y974*1,type!$A$118:$A$168,0),8),INDEX(Expenditure_type,MATCH(Y974*1,type!$A$2:$A$117,0),8))</f>
        <v>#N/A</v>
      </c>
    </row>
    <row r="975" spans="1:26" ht="15.75" hidden="1" customHeight="1" outlineLevel="2">
      <c r="A975">
        <v>120</v>
      </c>
      <c r="B975" s="249">
        <v>811001</v>
      </c>
      <c r="C975">
        <v>1</v>
      </c>
      <c r="D975" t="str">
        <f t="shared" si="114"/>
        <v>1811001.120</v>
      </c>
      <c r="E975" s="382" t="s">
        <v>8637</v>
      </c>
      <c r="F975" s="242"/>
      <c r="G975"/>
      <c r="H975" s="322">
        <v>12000</v>
      </c>
      <c r="I975" s="322">
        <v>12000</v>
      </c>
      <c r="J975" s="242">
        <v>10400</v>
      </c>
      <c r="K975" s="18" t="e">
        <f>INDEX(תקציב_2013,MATCH(D975,'תקציב 2015'!$D$3:$D$5960,0),8)</f>
        <v>#N/A</v>
      </c>
      <c r="L975" s="18" t="str">
        <f t="shared" si="115"/>
        <v>8</v>
      </c>
      <c r="M975" s="18" t="str">
        <f>INDEX(Chapter,MATCH(L975,Chapter!$A$1:$A$681,0),8)</f>
        <v>שירותים ממלכתיים</v>
      </c>
      <c r="N975" s="18" t="str">
        <f t="shared" si="116"/>
        <v>81</v>
      </c>
      <c r="O975" s="18" t="str">
        <f>INDEX(Chapter,MATCH(N975,Chapter!$A$1:$A$681,0),8)</f>
        <v>חינוך</v>
      </c>
      <c r="P975" s="18" t="str">
        <f t="shared" si="117"/>
        <v>811</v>
      </c>
      <c r="Q975" s="18" t="str">
        <f>INDEX(Chapter,MATCH(P975,Chapter!$A$1:$A$681,0),8)</f>
        <v>מינהל החינוך</v>
      </c>
      <c r="R975" s="18" t="str">
        <f t="shared" si="118"/>
        <v>8110</v>
      </c>
      <c r="S975" s="18" t="e">
        <f>INDEX(Chapter,MATCH(R975,Chapter!$A$1:$A$681,0),8)</f>
        <v>#N/A</v>
      </c>
      <c r="T975" s="18"/>
      <c r="U975" s="18" t="str">
        <f t="shared" si="119"/>
        <v>1</v>
      </c>
      <c r="V975" s="18" t="str">
        <f>IF($L975&lt;"6",INDEX(Revenue_type,MATCH(U975*1,type!$A$118:$A$168,0),8),INDEX(Expenditure_type,MATCH(U975*1,type!$A$2:$A$117,0),8))</f>
        <v>משכורות וש"ע לעובדים לפי תקן</v>
      </c>
      <c r="W975" s="18" t="str">
        <f t="shared" si="120"/>
        <v>12</v>
      </c>
      <c r="X975" s="18" t="str">
        <f>IF($L975&lt;"6",INDEX(Revenue_type,MATCH(W975*1,type!$A$118:$A$168,0),8),INDEX(Expenditure_type,MATCH(W975*1,type!$A$2:$A$117,0),8))</f>
        <v>תוספות שאינן נכללות בשכר הקובע</v>
      </c>
      <c r="Y975" s="18" t="str">
        <f t="shared" si="121"/>
        <v>120</v>
      </c>
      <c r="Z975" s="18" t="e">
        <f>IF($L975&lt;"6",INDEX(Revenue_type,MATCH(Y975*1,type!$A$118:$A$168,0),8),INDEX(Expenditure_type,MATCH(Y975*1,type!$A$2:$A$117,0),8))</f>
        <v>#N/A</v>
      </c>
    </row>
    <row r="976" spans="1:26" ht="15.75" hidden="1" customHeight="1" outlineLevel="2">
      <c r="A976">
        <v>400</v>
      </c>
      <c r="B976" s="249">
        <v>811001</v>
      </c>
      <c r="C976">
        <v>1</v>
      </c>
      <c r="D976" t="str">
        <f t="shared" si="114"/>
        <v>1811001.400</v>
      </c>
      <c r="E976" s="382" t="s">
        <v>8638</v>
      </c>
      <c r="F976" s="242"/>
      <c r="G976"/>
      <c r="H976" s="322">
        <v>172000</v>
      </c>
      <c r="I976" s="322">
        <v>172000</v>
      </c>
      <c r="J976" s="242">
        <v>214000</v>
      </c>
      <c r="K976" s="18" t="e">
        <f>INDEX(תקציב_2013,MATCH(D976,'תקציב 2015'!$D$3:$D$5960,0),8)</f>
        <v>#N/A</v>
      </c>
      <c r="L976" s="18" t="str">
        <f t="shared" si="115"/>
        <v>8</v>
      </c>
      <c r="M976" s="18" t="str">
        <f>INDEX(Chapter,MATCH(L976,Chapter!$A$1:$A$681,0),8)</f>
        <v>שירותים ממלכתיים</v>
      </c>
      <c r="N976" s="18" t="str">
        <f t="shared" si="116"/>
        <v>81</v>
      </c>
      <c r="O976" s="18" t="str">
        <f>INDEX(Chapter,MATCH(N976,Chapter!$A$1:$A$681,0),8)</f>
        <v>חינוך</v>
      </c>
      <c r="P976" s="18" t="str">
        <f t="shared" si="117"/>
        <v>811</v>
      </c>
      <c r="Q976" s="18" t="str">
        <f>INDEX(Chapter,MATCH(P976,Chapter!$A$1:$A$681,0),8)</f>
        <v>מינהל החינוך</v>
      </c>
      <c r="R976" s="18" t="str">
        <f t="shared" si="118"/>
        <v>8110</v>
      </c>
      <c r="S976" s="18" t="e">
        <f>INDEX(Chapter,MATCH(R976,Chapter!$A$1:$A$681,0),8)</f>
        <v>#N/A</v>
      </c>
      <c r="T976" s="18"/>
      <c r="U976" s="18" t="str">
        <f t="shared" si="119"/>
        <v>4</v>
      </c>
      <c r="V976" s="18" t="str">
        <f>IF($L976&lt;"6",INDEX(Revenue_type,MATCH(U976*1,type!$A$118:$A$168,0),8),INDEX(Expenditure_type,MATCH(U976*1,type!$A$2:$A$117,0),8))</f>
        <v>אחזקת בינים ואספקת ציוד</v>
      </c>
      <c r="W976" s="18" t="str">
        <f t="shared" si="120"/>
        <v>40</v>
      </c>
      <c r="X976" s="18" t="e">
        <f>IF($L976&lt;"6",INDEX(Revenue_type,MATCH(W976*1,type!$A$118:$A$168,0),8),INDEX(Expenditure_type,MATCH(W976*1,type!$A$2:$A$117,0),8))</f>
        <v>#N/A</v>
      </c>
      <c r="Y976" s="18" t="str">
        <f t="shared" si="121"/>
        <v>400</v>
      </c>
      <c r="Z976" s="18" t="e">
        <f>IF($L976&lt;"6",INDEX(Revenue_type,MATCH(Y976*1,type!$A$118:$A$168,0),8),INDEX(Expenditure_type,MATCH(Y976*1,type!$A$2:$A$117,0),8))</f>
        <v>#N/A</v>
      </c>
    </row>
    <row r="977" spans="1:26" ht="15.75" hidden="1" customHeight="1" outlineLevel="2">
      <c r="A977">
        <v>500</v>
      </c>
      <c r="B977" s="249">
        <v>811001</v>
      </c>
      <c r="C977">
        <v>1</v>
      </c>
      <c r="D977" t="str">
        <f t="shared" si="114"/>
        <v>1811001.500</v>
      </c>
      <c r="E977" s="382" t="s">
        <v>8639</v>
      </c>
      <c r="F977" s="242"/>
      <c r="G977"/>
      <c r="H977" s="322">
        <v>355100</v>
      </c>
      <c r="I977" s="322">
        <v>365000</v>
      </c>
      <c r="J977" s="242">
        <v>352500</v>
      </c>
      <c r="K977" s="18" t="e">
        <f>INDEX(תקציב_2013,MATCH(D977,'תקציב 2015'!$D$3:$D$5960,0),8)</f>
        <v>#N/A</v>
      </c>
      <c r="L977" s="18" t="str">
        <f t="shared" si="115"/>
        <v>8</v>
      </c>
      <c r="M977" s="18" t="str">
        <f>INDEX(Chapter,MATCH(L977,Chapter!$A$1:$A$681,0),8)</f>
        <v>שירותים ממלכתיים</v>
      </c>
      <c r="N977" s="18" t="str">
        <f t="shared" si="116"/>
        <v>81</v>
      </c>
      <c r="O977" s="18" t="str">
        <f>INDEX(Chapter,MATCH(N977,Chapter!$A$1:$A$681,0),8)</f>
        <v>חינוך</v>
      </c>
      <c r="P977" s="18" t="str">
        <f t="shared" si="117"/>
        <v>811</v>
      </c>
      <c r="Q977" s="18" t="str">
        <f>INDEX(Chapter,MATCH(P977,Chapter!$A$1:$A$681,0),8)</f>
        <v>מינהל החינוך</v>
      </c>
      <c r="R977" s="18" t="str">
        <f t="shared" si="118"/>
        <v>8110</v>
      </c>
      <c r="S977" s="18" t="e">
        <f>INDEX(Chapter,MATCH(R977,Chapter!$A$1:$A$681,0),8)</f>
        <v>#N/A</v>
      </c>
      <c r="T977" s="18"/>
      <c r="U977" s="18" t="str">
        <f t="shared" si="119"/>
        <v>5</v>
      </c>
      <c r="V977" s="18" t="str">
        <f>IF($L977&lt;"6",INDEX(Revenue_type,MATCH(U977*1,type!$A$118:$A$168,0),8),INDEX(Expenditure_type,MATCH(U977*1,type!$A$2:$A$117,0),8))</f>
        <v>הוצאות מנהליות</v>
      </c>
      <c r="W977" s="18" t="str">
        <f t="shared" si="120"/>
        <v>50</v>
      </c>
      <c r="X977" s="18" t="e">
        <f>IF($L977&lt;"6",INDEX(Revenue_type,MATCH(W977*1,type!$A$118:$A$168,0),8),INDEX(Expenditure_type,MATCH(W977*1,type!$A$2:$A$117,0),8))</f>
        <v>#N/A</v>
      </c>
      <c r="Y977" s="18" t="str">
        <f t="shared" si="121"/>
        <v>500</v>
      </c>
      <c r="Z977" s="18" t="e">
        <f>IF($L977&lt;"6",INDEX(Revenue_type,MATCH(Y977*1,type!$A$118:$A$168,0),8),INDEX(Expenditure_type,MATCH(Y977*1,type!$A$2:$A$117,0),8))</f>
        <v>#N/A</v>
      </c>
    </row>
    <row r="978" spans="1:26" ht="15.75" hidden="1" customHeight="1" outlineLevel="2">
      <c r="A978">
        <v>500</v>
      </c>
      <c r="B978" s="249">
        <v>811001</v>
      </c>
      <c r="C978">
        <v>1</v>
      </c>
      <c r="D978" t="str">
        <f t="shared" si="114"/>
        <v>1811001.500</v>
      </c>
      <c r="E978" s="382" t="s">
        <v>8640</v>
      </c>
      <c r="F978" s="242"/>
      <c r="G978"/>
      <c r="H978" s="322">
        <v>3000</v>
      </c>
      <c r="I978" s="322">
        <v>3000</v>
      </c>
      <c r="J978" s="242">
        <v>1600</v>
      </c>
      <c r="K978" s="18" t="e">
        <f>INDEX(תקציב_2013,MATCH(D978,'תקציב 2015'!$D$3:$D$5960,0),8)</f>
        <v>#N/A</v>
      </c>
      <c r="L978" s="18" t="str">
        <f t="shared" si="115"/>
        <v>8</v>
      </c>
      <c r="M978" s="18" t="str">
        <f>INDEX(Chapter,MATCH(L978,Chapter!$A$1:$A$681,0),8)</f>
        <v>שירותים ממלכתיים</v>
      </c>
      <c r="N978" s="18" t="str">
        <f t="shared" si="116"/>
        <v>81</v>
      </c>
      <c r="O978" s="18" t="str">
        <f>INDEX(Chapter,MATCH(N978,Chapter!$A$1:$A$681,0),8)</f>
        <v>חינוך</v>
      </c>
      <c r="P978" s="18" t="str">
        <f t="shared" si="117"/>
        <v>811</v>
      </c>
      <c r="Q978" s="18" t="str">
        <f>INDEX(Chapter,MATCH(P978,Chapter!$A$1:$A$681,0),8)</f>
        <v>מינהל החינוך</v>
      </c>
      <c r="R978" s="18" t="str">
        <f t="shared" si="118"/>
        <v>8110</v>
      </c>
      <c r="S978" s="18" t="e">
        <f>INDEX(Chapter,MATCH(R978,Chapter!$A$1:$A$681,0),8)</f>
        <v>#N/A</v>
      </c>
      <c r="T978" s="18"/>
      <c r="U978" s="18" t="str">
        <f t="shared" si="119"/>
        <v>5</v>
      </c>
      <c r="V978" s="18" t="str">
        <f>IF($L978&lt;"6",INDEX(Revenue_type,MATCH(U978*1,type!$A$118:$A$168,0),8),INDEX(Expenditure_type,MATCH(U978*1,type!$A$2:$A$117,0),8))</f>
        <v>הוצאות מנהליות</v>
      </c>
      <c r="W978" s="18" t="str">
        <f t="shared" si="120"/>
        <v>50</v>
      </c>
      <c r="X978" s="18" t="e">
        <f>IF($L978&lt;"6",INDEX(Revenue_type,MATCH(W978*1,type!$A$118:$A$168,0),8),INDEX(Expenditure_type,MATCH(W978*1,type!$A$2:$A$117,0),8))</f>
        <v>#N/A</v>
      </c>
      <c r="Y978" s="18" t="str">
        <f t="shared" si="121"/>
        <v>500</v>
      </c>
      <c r="Z978" s="18" t="e">
        <f>IF($L978&lt;"6",INDEX(Revenue_type,MATCH(Y978*1,type!$A$118:$A$168,0),8),INDEX(Expenditure_type,MATCH(Y978*1,type!$A$2:$A$117,0),8))</f>
        <v>#N/A</v>
      </c>
    </row>
    <row r="979" spans="1:26" ht="15.75" hidden="1" customHeight="1" outlineLevel="2">
      <c r="A979">
        <v>700</v>
      </c>
      <c r="B979" s="249">
        <v>811001</v>
      </c>
      <c r="C979">
        <v>1</v>
      </c>
      <c r="D979" t="str">
        <f t="shared" ref="D979:D1042" si="122">C979&amp;B979&amp;"."&amp;A979</f>
        <v>1811001.700</v>
      </c>
      <c r="E979" s="382" t="s">
        <v>8641</v>
      </c>
      <c r="F979" s="242"/>
      <c r="G979"/>
      <c r="H979" s="322">
        <v>486000</v>
      </c>
      <c r="I979" s="322">
        <v>506000</v>
      </c>
      <c r="J979" s="242">
        <v>452200</v>
      </c>
      <c r="K979" s="18" t="e">
        <f>INDEX(תקציב_2013,MATCH(D979,'תקציב 2015'!$D$3:$D$5960,0),8)</f>
        <v>#N/A</v>
      </c>
      <c r="L979" s="18" t="str">
        <f t="shared" si="115"/>
        <v>8</v>
      </c>
      <c r="M979" s="18" t="str">
        <f>INDEX(Chapter,MATCH(L979,Chapter!$A$1:$A$681,0),8)</f>
        <v>שירותים ממלכתיים</v>
      </c>
      <c r="N979" s="18" t="str">
        <f t="shared" si="116"/>
        <v>81</v>
      </c>
      <c r="O979" s="18" t="str">
        <f>INDEX(Chapter,MATCH(N979,Chapter!$A$1:$A$681,0),8)</f>
        <v>חינוך</v>
      </c>
      <c r="P979" s="18" t="str">
        <f t="shared" si="117"/>
        <v>811</v>
      </c>
      <c r="Q979" s="18" t="str">
        <f>INDEX(Chapter,MATCH(P979,Chapter!$A$1:$A$681,0),8)</f>
        <v>מינהל החינוך</v>
      </c>
      <c r="R979" s="18" t="str">
        <f t="shared" si="118"/>
        <v>8110</v>
      </c>
      <c r="S979" s="18" t="e">
        <f>INDEX(Chapter,MATCH(R979,Chapter!$A$1:$A$681,0),8)</f>
        <v>#N/A</v>
      </c>
      <c r="T979" s="18"/>
      <c r="U979" s="18" t="str">
        <f t="shared" si="119"/>
        <v>7</v>
      </c>
      <c r="V979" s="18" t="str">
        <f>IF($L979&lt;"6",INDEX(Revenue_type,MATCH(U979*1,type!$A$118:$A$168,0),8),INDEX(Expenditure_type,MATCH(U979*1,type!$A$2:$A$117,0),8))</f>
        <v>הוצאות לפעולות</v>
      </c>
      <c r="W979" s="18" t="str">
        <f t="shared" si="120"/>
        <v>70</v>
      </c>
      <c r="X979" s="18" t="e">
        <f>IF($L979&lt;"6",INDEX(Revenue_type,MATCH(W979*1,type!$A$118:$A$168,0),8),INDEX(Expenditure_type,MATCH(W979*1,type!$A$2:$A$117,0),8))</f>
        <v>#N/A</v>
      </c>
      <c r="Y979" s="18" t="str">
        <f t="shared" si="121"/>
        <v>700</v>
      </c>
      <c r="Z979" s="18" t="e">
        <f>IF($L979&lt;"6",INDEX(Revenue_type,MATCH(Y979*1,type!$A$118:$A$168,0),8),INDEX(Expenditure_type,MATCH(Y979*1,type!$A$2:$A$117,0),8))</f>
        <v>#N/A</v>
      </c>
    </row>
    <row r="980" spans="1:26" ht="15.75" hidden="1" customHeight="1" outlineLevel="2">
      <c r="A980">
        <v>100</v>
      </c>
      <c r="B980" s="249">
        <v>811002</v>
      </c>
      <c r="C980">
        <v>1</v>
      </c>
      <c r="D980" t="str">
        <f t="shared" si="122"/>
        <v>1811002.100</v>
      </c>
      <c r="E980" s="382" t="s">
        <v>8642</v>
      </c>
      <c r="F980" s="242"/>
      <c r="G980"/>
      <c r="H980" s="322">
        <v>3423400</v>
      </c>
      <c r="I980" s="322">
        <v>3384400</v>
      </c>
      <c r="J980" s="242">
        <v>3028800</v>
      </c>
      <c r="K980" s="18" t="e">
        <f>INDEX(תקציב_2013,MATCH(D980,'תקציב 2015'!$D$3:$D$5960,0),8)</f>
        <v>#N/A</v>
      </c>
      <c r="L980" s="18" t="str">
        <f t="shared" si="115"/>
        <v>8</v>
      </c>
      <c r="M980" s="18" t="str">
        <f>INDEX(Chapter,MATCH(L980,Chapter!$A$1:$A$681,0),8)</f>
        <v>שירותים ממלכתיים</v>
      </c>
      <c r="N980" s="18" t="str">
        <f t="shared" si="116"/>
        <v>81</v>
      </c>
      <c r="O980" s="18" t="str">
        <f>INDEX(Chapter,MATCH(N980,Chapter!$A$1:$A$681,0),8)</f>
        <v>חינוך</v>
      </c>
      <c r="P980" s="18" t="str">
        <f t="shared" si="117"/>
        <v>811</v>
      </c>
      <c r="Q980" s="18" t="str">
        <f>INDEX(Chapter,MATCH(P980,Chapter!$A$1:$A$681,0),8)</f>
        <v>מינהל החינוך</v>
      </c>
      <c r="R980" s="18" t="str">
        <f t="shared" si="118"/>
        <v>8110</v>
      </c>
      <c r="S980" s="18" t="e">
        <f>INDEX(Chapter,MATCH(R980,Chapter!$A$1:$A$681,0),8)</f>
        <v>#N/A</v>
      </c>
      <c r="T980" s="18"/>
      <c r="U980" s="18" t="str">
        <f t="shared" si="119"/>
        <v>1</v>
      </c>
      <c r="V980" s="18" t="str">
        <f>IF($L980&lt;"6",INDEX(Revenue_type,MATCH(U980*1,type!$A$118:$A$168,0),8),INDEX(Expenditure_type,MATCH(U980*1,type!$A$2:$A$117,0),8))</f>
        <v>משכורות וש"ע לעובדים לפי תקן</v>
      </c>
      <c r="W980" s="18" t="str">
        <f t="shared" si="120"/>
        <v>10</v>
      </c>
      <c r="X980" s="18" t="e">
        <f>IF($L980&lt;"6",INDEX(Revenue_type,MATCH(W980*1,type!$A$118:$A$168,0),8),INDEX(Expenditure_type,MATCH(W980*1,type!$A$2:$A$117,0),8))</f>
        <v>#N/A</v>
      </c>
      <c r="Y980" s="18" t="str">
        <f t="shared" si="121"/>
        <v>100</v>
      </c>
      <c r="Z980" s="18" t="e">
        <f>IF($L980&lt;"6",INDEX(Revenue_type,MATCH(Y980*1,type!$A$118:$A$168,0),8),INDEX(Expenditure_type,MATCH(Y980*1,type!$A$2:$A$117,0),8))</f>
        <v>#N/A</v>
      </c>
    </row>
    <row r="981" spans="1:26" ht="15.75" hidden="1" customHeight="1" outlineLevel="2">
      <c r="A981">
        <v>120</v>
      </c>
      <c r="B981" s="249">
        <v>811002</v>
      </c>
      <c r="C981">
        <v>1</v>
      </c>
      <c r="D981" t="str">
        <f t="shared" si="122"/>
        <v>1811002.120</v>
      </c>
      <c r="E981" s="382" t="s">
        <v>8643</v>
      </c>
      <c r="F981" s="242"/>
      <c r="G981"/>
      <c r="H981" s="322">
        <v>105600</v>
      </c>
      <c r="I981" s="322">
        <v>105600</v>
      </c>
      <c r="J981" s="242">
        <v>155600</v>
      </c>
      <c r="K981" s="18" t="e">
        <f>INDEX(תקציב_2013,MATCH(D981,'תקציב 2015'!$D$3:$D$5960,0),8)</f>
        <v>#N/A</v>
      </c>
      <c r="L981" s="18" t="str">
        <f t="shared" si="115"/>
        <v>8</v>
      </c>
      <c r="M981" s="18" t="str">
        <f>INDEX(Chapter,MATCH(L981,Chapter!$A$1:$A$681,0),8)</f>
        <v>שירותים ממלכתיים</v>
      </c>
      <c r="N981" s="18" t="str">
        <f t="shared" si="116"/>
        <v>81</v>
      </c>
      <c r="O981" s="18" t="str">
        <f>INDEX(Chapter,MATCH(N981,Chapter!$A$1:$A$681,0),8)</f>
        <v>חינוך</v>
      </c>
      <c r="P981" s="18" t="str">
        <f t="shared" si="117"/>
        <v>811</v>
      </c>
      <c r="Q981" s="18" t="str">
        <f>INDEX(Chapter,MATCH(P981,Chapter!$A$1:$A$681,0),8)</f>
        <v>מינהל החינוך</v>
      </c>
      <c r="R981" s="18" t="str">
        <f t="shared" si="118"/>
        <v>8110</v>
      </c>
      <c r="S981" s="18" t="e">
        <f>INDEX(Chapter,MATCH(R981,Chapter!$A$1:$A$681,0),8)</f>
        <v>#N/A</v>
      </c>
      <c r="T981" s="18"/>
      <c r="U981" s="18" t="str">
        <f t="shared" si="119"/>
        <v>1</v>
      </c>
      <c r="V981" s="18" t="str">
        <f>IF($L981&lt;"6",INDEX(Revenue_type,MATCH(U981*1,type!$A$118:$A$168,0),8),INDEX(Expenditure_type,MATCH(U981*1,type!$A$2:$A$117,0),8))</f>
        <v>משכורות וש"ע לעובדים לפי תקן</v>
      </c>
      <c r="W981" s="18" t="str">
        <f t="shared" si="120"/>
        <v>12</v>
      </c>
      <c r="X981" s="18" t="str">
        <f>IF($L981&lt;"6",INDEX(Revenue_type,MATCH(W981*1,type!$A$118:$A$168,0),8),INDEX(Expenditure_type,MATCH(W981*1,type!$A$2:$A$117,0),8))</f>
        <v>תוספות שאינן נכללות בשכר הקובע</v>
      </c>
      <c r="Y981" s="18" t="str">
        <f t="shared" si="121"/>
        <v>120</v>
      </c>
      <c r="Z981" s="18" t="e">
        <f>IF($L981&lt;"6",INDEX(Revenue_type,MATCH(Y981*1,type!$A$118:$A$168,0),8),INDEX(Expenditure_type,MATCH(Y981*1,type!$A$2:$A$117,0),8))</f>
        <v>#N/A</v>
      </c>
    </row>
    <row r="982" spans="1:26" ht="15.75" hidden="1" customHeight="1" outlineLevel="2">
      <c r="A982">
        <v>700</v>
      </c>
      <c r="B982" s="249">
        <v>811002</v>
      </c>
      <c r="C982">
        <v>1</v>
      </c>
      <c r="D982" t="str">
        <f t="shared" si="122"/>
        <v>1811002.700</v>
      </c>
      <c r="E982" s="382" t="s">
        <v>8644</v>
      </c>
      <c r="F982" s="242"/>
      <c r="G982"/>
      <c r="H982" s="322">
        <v>32100</v>
      </c>
      <c r="I982" s="322">
        <v>33000</v>
      </c>
      <c r="J982" s="242">
        <v>33100</v>
      </c>
      <c r="K982" s="18" t="e">
        <f>INDEX(תקציב_2013,MATCH(D982,'תקציב 2015'!$D$3:$D$5960,0),8)</f>
        <v>#N/A</v>
      </c>
      <c r="L982" s="18" t="str">
        <f t="shared" si="115"/>
        <v>8</v>
      </c>
      <c r="M982" s="18" t="str">
        <f>INDEX(Chapter,MATCH(L982,Chapter!$A$1:$A$681,0),8)</f>
        <v>שירותים ממלכתיים</v>
      </c>
      <c r="N982" s="18" t="str">
        <f t="shared" si="116"/>
        <v>81</v>
      </c>
      <c r="O982" s="18" t="str">
        <f>INDEX(Chapter,MATCH(N982,Chapter!$A$1:$A$681,0),8)</f>
        <v>חינוך</v>
      </c>
      <c r="P982" s="18" t="str">
        <f t="shared" si="117"/>
        <v>811</v>
      </c>
      <c r="Q982" s="18" t="str">
        <f>INDEX(Chapter,MATCH(P982,Chapter!$A$1:$A$681,0),8)</f>
        <v>מינהל החינוך</v>
      </c>
      <c r="R982" s="18" t="str">
        <f t="shared" si="118"/>
        <v>8110</v>
      </c>
      <c r="S982" s="18" t="e">
        <f>INDEX(Chapter,MATCH(R982,Chapter!$A$1:$A$681,0),8)</f>
        <v>#N/A</v>
      </c>
      <c r="T982" s="18"/>
      <c r="U982" s="18" t="str">
        <f t="shared" si="119"/>
        <v>7</v>
      </c>
      <c r="V982" s="18" t="str">
        <f>IF($L982&lt;"6",INDEX(Revenue_type,MATCH(U982*1,type!$A$118:$A$168,0),8),INDEX(Expenditure_type,MATCH(U982*1,type!$A$2:$A$117,0),8))</f>
        <v>הוצאות לפעולות</v>
      </c>
      <c r="W982" s="18" t="str">
        <f t="shared" si="120"/>
        <v>70</v>
      </c>
      <c r="X982" s="18" t="e">
        <f>IF($L982&lt;"6",INDEX(Revenue_type,MATCH(W982*1,type!$A$118:$A$168,0),8),INDEX(Expenditure_type,MATCH(W982*1,type!$A$2:$A$117,0),8))</f>
        <v>#N/A</v>
      </c>
      <c r="Y982" s="18" t="str">
        <f t="shared" si="121"/>
        <v>700</v>
      </c>
      <c r="Z982" s="18" t="e">
        <f>IF($L982&lt;"6",INDEX(Revenue_type,MATCH(Y982*1,type!$A$118:$A$168,0),8),INDEX(Expenditure_type,MATCH(Y982*1,type!$A$2:$A$117,0),8))</f>
        <v>#N/A</v>
      </c>
    </row>
    <row r="983" spans="1:26" ht="15.75" hidden="1" customHeight="1" outlineLevel="2">
      <c r="A983">
        <v>200</v>
      </c>
      <c r="B983" s="249">
        <v>813841</v>
      </c>
      <c r="C983">
        <v>1</v>
      </c>
      <c r="D983" t="str">
        <f t="shared" si="122"/>
        <v>1813841.200</v>
      </c>
      <c r="E983" s="382" t="s">
        <v>8645</v>
      </c>
      <c r="F983" s="242"/>
      <c r="G983"/>
      <c r="H983" s="322">
        <v>8559000</v>
      </c>
      <c r="I983" s="322">
        <v>8465000</v>
      </c>
      <c r="J983" s="242">
        <v>5070400</v>
      </c>
      <c r="K983" s="18"/>
      <c r="L983" s="18" t="str">
        <f t="shared" ref="L983:L1046" si="123">IF(LEFT($B983,1)*1=0,LEFT($B983,2),LEFT($B983,1))</f>
        <v>8</v>
      </c>
      <c r="M983" s="18" t="str">
        <f>INDEX(Chapter,MATCH(L983,Chapter!$A$1:$A$681,0),8)</f>
        <v>שירותים ממלכתיים</v>
      </c>
      <c r="N983" s="18" t="str">
        <f t="shared" ref="N983:N1046" si="124">IF(LEFT($B983,1)*1=0,LEFT($B983,3),LEFT($B983,2))</f>
        <v>81</v>
      </c>
      <c r="O983" s="18" t="str">
        <f>INDEX(Chapter,MATCH(N983,Chapter!$A$1:$A$681,0),8)</f>
        <v>חינוך</v>
      </c>
      <c r="P983" s="18" t="str">
        <f t="shared" ref="P983:P1046" si="125">IF(LEFT($B983,1)*1=0,LEFT($B983,4),LEFT($B983,3))</f>
        <v>813</v>
      </c>
      <c r="Q983" s="18" t="str">
        <f>INDEX(Chapter,MATCH(P983,Chapter!$A$1:$A$681,0),8)</f>
        <v>חינוך יסודי</v>
      </c>
      <c r="R983" s="18" t="str">
        <f t="shared" ref="R983:R1046" si="126">LEFT($B983,4)</f>
        <v>8138</v>
      </c>
      <c r="S983" s="18" t="str">
        <f>INDEX(Chapter,MATCH(R983,Chapter!$A$1:$A$681,0),8)</f>
        <v>קייטנות לימודיות וחודש לימוד נוסף</v>
      </c>
      <c r="T983" s="18"/>
      <c r="U983" s="18" t="str">
        <f t="shared" ref="U983:U1046" si="127">LEFT($A983,1)</f>
        <v>2</v>
      </c>
      <c r="V983" s="18" t="str">
        <f>IF($L983&lt;"6",INDEX(Revenue_type,MATCH(U983*1,type!$A$118:$A$168,0),8),INDEX(Expenditure_type,MATCH(U983*1,type!$A$2:$A$117,0),8))</f>
        <v>משכורות וש"ע לעובדים בלי תקן</v>
      </c>
      <c r="W983" s="18" t="str">
        <f t="shared" ref="W983:W1046" si="128">LEFT($A983,2)</f>
        <v>20</v>
      </c>
      <c r="X983" s="18" t="e">
        <f>IF($L983&lt;"6",INDEX(Revenue_type,MATCH(W983*1,type!$A$118:$A$168,0),8),INDEX(Expenditure_type,MATCH(W983*1,type!$A$2:$A$117,0),8))</f>
        <v>#N/A</v>
      </c>
      <c r="Y983" s="18" t="str">
        <f t="shared" ref="Y983:Y1046" si="129">LEFT($A983,3)</f>
        <v>200</v>
      </c>
      <c r="Z983" s="18" t="e">
        <f>IF($L983&lt;"6",INDEX(Revenue_type,MATCH(Y983*1,type!$A$118:$A$168,0),8),INDEX(Expenditure_type,MATCH(Y983*1,type!$A$2:$A$117,0),8))</f>
        <v>#N/A</v>
      </c>
    </row>
    <row r="984" spans="1:26" ht="15.75" hidden="1" customHeight="1" outlineLevel="2">
      <c r="A984">
        <v>200</v>
      </c>
      <c r="B984" s="249">
        <v>813842</v>
      </c>
      <c r="C984">
        <v>1</v>
      </c>
      <c r="D984" t="str">
        <f t="shared" si="122"/>
        <v>1813842.200</v>
      </c>
      <c r="E984" s="382" t="s">
        <v>8646</v>
      </c>
      <c r="F984" s="242"/>
      <c r="G984"/>
      <c r="H984" s="322">
        <v>3675000</v>
      </c>
      <c r="I984" s="322">
        <v>3635000</v>
      </c>
      <c r="J984" s="242">
        <v>3482100</v>
      </c>
      <c r="K984" s="18" t="e">
        <f>INDEX(תקציב_2013,MATCH(D984,'תקציב 2015'!$D$3:$D$5960,0),8)</f>
        <v>#N/A</v>
      </c>
      <c r="L984" s="18" t="str">
        <f t="shared" si="123"/>
        <v>8</v>
      </c>
      <c r="M984" s="18" t="str">
        <f>INDEX(Chapter,MATCH(L984,Chapter!$A$1:$A$681,0),8)</f>
        <v>שירותים ממלכתיים</v>
      </c>
      <c r="N984" s="18" t="str">
        <f t="shared" si="124"/>
        <v>81</v>
      </c>
      <c r="O984" s="18" t="str">
        <f>INDEX(Chapter,MATCH(N984,Chapter!$A$1:$A$681,0),8)</f>
        <v>חינוך</v>
      </c>
      <c r="P984" s="18" t="str">
        <f t="shared" si="125"/>
        <v>813</v>
      </c>
      <c r="Q984" s="18" t="str">
        <f>INDEX(Chapter,MATCH(P984,Chapter!$A$1:$A$681,0),8)</f>
        <v>חינוך יסודי</v>
      </c>
      <c r="R984" s="18" t="str">
        <f t="shared" si="126"/>
        <v>8138</v>
      </c>
      <c r="S984" s="18" t="str">
        <f>INDEX(Chapter,MATCH(R984,Chapter!$A$1:$A$681,0),8)</f>
        <v>קייטנות לימודיות וחודש לימוד נוסף</v>
      </c>
      <c r="T984" s="18"/>
      <c r="U984" s="18" t="str">
        <f t="shared" si="127"/>
        <v>2</v>
      </c>
      <c r="V984" s="18" t="str">
        <f>IF($L984&lt;"6",INDEX(Revenue_type,MATCH(U984*1,type!$A$118:$A$168,0),8),INDEX(Expenditure_type,MATCH(U984*1,type!$A$2:$A$117,0),8))</f>
        <v>משכורות וש"ע לעובדים בלי תקן</v>
      </c>
      <c r="W984" s="18" t="str">
        <f t="shared" si="128"/>
        <v>20</v>
      </c>
      <c r="X984" s="18" t="e">
        <f>IF($L984&lt;"6",INDEX(Revenue_type,MATCH(W984*1,type!$A$118:$A$168,0),8),INDEX(Expenditure_type,MATCH(W984*1,type!$A$2:$A$117,0),8))</f>
        <v>#N/A</v>
      </c>
      <c r="Y984" s="18" t="str">
        <f t="shared" si="129"/>
        <v>200</v>
      </c>
      <c r="Z984" s="18" t="e">
        <f>IF($L984&lt;"6",INDEX(Revenue_type,MATCH(Y984*1,type!$A$118:$A$168,0),8),INDEX(Expenditure_type,MATCH(Y984*1,type!$A$2:$A$117,0),8))</f>
        <v>#N/A</v>
      </c>
    </row>
    <row r="985" spans="1:26" ht="15.75" hidden="1" customHeight="1" outlineLevel="2">
      <c r="A985">
        <v>100</v>
      </c>
      <c r="B985" s="249">
        <v>813843</v>
      </c>
      <c r="C985">
        <v>1</v>
      </c>
      <c r="D985" t="str">
        <f t="shared" si="122"/>
        <v>1813843.100</v>
      </c>
      <c r="E985" s="382" t="s">
        <v>8647</v>
      </c>
      <c r="F985" s="242"/>
      <c r="G985"/>
      <c r="H985" s="322">
        <v>32998000</v>
      </c>
      <c r="I985" s="322">
        <v>32637000</v>
      </c>
      <c r="J985" s="242">
        <v>29881900</v>
      </c>
      <c r="K985" s="18" t="e">
        <f>INDEX(תקציב_2013,MATCH(D985,'תקציב 2015'!$D$3:$D$5960,0),8)</f>
        <v>#N/A</v>
      </c>
      <c r="L985" s="18" t="str">
        <f t="shared" si="123"/>
        <v>8</v>
      </c>
      <c r="M985" s="18" t="str">
        <f>INDEX(Chapter,MATCH(L985,Chapter!$A$1:$A$681,0),8)</f>
        <v>שירותים ממלכתיים</v>
      </c>
      <c r="N985" s="18" t="str">
        <f t="shared" si="124"/>
        <v>81</v>
      </c>
      <c r="O985" s="18" t="str">
        <f>INDEX(Chapter,MATCH(N985,Chapter!$A$1:$A$681,0),8)</f>
        <v>חינוך</v>
      </c>
      <c r="P985" s="18" t="str">
        <f t="shared" si="125"/>
        <v>813</v>
      </c>
      <c r="Q985" s="18" t="str">
        <f>INDEX(Chapter,MATCH(P985,Chapter!$A$1:$A$681,0),8)</f>
        <v>חינוך יסודי</v>
      </c>
      <c r="R985" s="18" t="str">
        <f t="shared" si="126"/>
        <v>8138</v>
      </c>
      <c r="S985" s="18" t="str">
        <f>INDEX(Chapter,MATCH(R985,Chapter!$A$1:$A$681,0),8)</f>
        <v>קייטנות לימודיות וחודש לימוד נוסף</v>
      </c>
      <c r="T985" s="18"/>
      <c r="U985" s="18" t="str">
        <f t="shared" si="127"/>
        <v>1</v>
      </c>
      <c r="V985" s="18" t="str">
        <f>IF($L985&lt;"6",INDEX(Revenue_type,MATCH(U985*1,type!$A$118:$A$168,0),8),INDEX(Expenditure_type,MATCH(U985*1,type!$A$2:$A$117,0),8))</f>
        <v>משכורות וש"ע לעובדים לפי תקן</v>
      </c>
      <c r="W985" s="18" t="str">
        <f t="shared" si="128"/>
        <v>10</v>
      </c>
      <c r="X985" s="18" t="e">
        <f>IF($L985&lt;"6",INDEX(Revenue_type,MATCH(W985*1,type!$A$118:$A$168,0),8),INDEX(Expenditure_type,MATCH(W985*1,type!$A$2:$A$117,0),8))</f>
        <v>#N/A</v>
      </c>
      <c r="Y985" s="18" t="str">
        <f t="shared" si="129"/>
        <v>100</v>
      </c>
      <c r="Z985" s="18" t="e">
        <f>IF($L985&lt;"6",INDEX(Revenue_type,MATCH(Y985*1,type!$A$118:$A$168,0),8),INDEX(Expenditure_type,MATCH(Y985*1,type!$A$2:$A$117,0),8))</f>
        <v>#N/A</v>
      </c>
    </row>
    <row r="986" spans="1:26" ht="15.75" hidden="1" customHeight="1" outlineLevel="2">
      <c r="A986">
        <v>100</v>
      </c>
      <c r="B986" s="249">
        <v>813315</v>
      </c>
      <c r="C986">
        <v>1</v>
      </c>
      <c r="D986" t="str">
        <f t="shared" si="122"/>
        <v>1813315.100</v>
      </c>
      <c r="E986" s="382" t="s">
        <v>8648</v>
      </c>
      <c r="F986" s="242"/>
      <c r="G986"/>
      <c r="H986" s="322">
        <v>10620800</v>
      </c>
      <c r="I986" s="322">
        <v>10306800</v>
      </c>
      <c r="J986" s="242">
        <v>9481900</v>
      </c>
      <c r="K986" s="18" t="e">
        <f>INDEX(תקציב_2013,MATCH(D986,'תקציב 2015'!$D$3:$D$5960,0),8)</f>
        <v>#N/A</v>
      </c>
      <c r="L986" s="18" t="str">
        <f t="shared" si="123"/>
        <v>8</v>
      </c>
      <c r="M986" s="18" t="str">
        <f>INDEX(Chapter,MATCH(L986,Chapter!$A$1:$A$681,0),8)</f>
        <v>שירותים ממלכתיים</v>
      </c>
      <c r="N986" s="18" t="str">
        <f t="shared" si="124"/>
        <v>81</v>
      </c>
      <c r="O986" s="18" t="str">
        <f>INDEX(Chapter,MATCH(N986,Chapter!$A$1:$A$681,0),8)</f>
        <v>חינוך</v>
      </c>
      <c r="P986" s="18" t="str">
        <f t="shared" si="125"/>
        <v>813</v>
      </c>
      <c r="Q986" s="18" t="str">
        <f>INDEX(Chapter,MATCH(P986,Chapter!$A$1:$A$681,0),8)</f>
        <v>חינוך יסודי</v>
      </c>
      <c r="R986" s="18" t="str">
        <f t="shared" si="126"/>
        <v>8133</v>
      </c>
      <c r="S986" s="18" t="str">
        <f>INDEX(Chapter,MATCH(R986,Chapter!$A$1:$A$681,0),8)</f>
        <v>חינוך מיוחד</v>
      </c>
      <c r="T986" s="18"/>
      <c r="U986" s="18" t="str">
        <f t="shared" si="127"/>
        <v>1</v>
      </c>
      <c r="V986" s="18" t="str">
        <f>IF($L986&lt;"6",INDEX(Revenue_type,MATCH(U986*1,type!$A$118:$A$168,0),8),INDEX(Expenditure_type,MATCH(U986*1,type!$A$2:$A$117,0),8))</f>
        <v>משכורות וש"ע לעובדים לפי תקן</v>
      </c>
      <c r="W986" s="18" t="str">
        <f t="shared" si="128"/>
        <v>10</v>
      </c>
      <c r="X986" s="18" t="e">
        <f>IF($L986&lt;"6",INDEX(Revenue_type,MATCH(W986*1,type!$A$118:$A$168,0),8),INDEX(Expenditure_type,MATCH(W986*1,type!$A$2:$A$117,0),8))</f>
        <v>#N/A</v>
      </c>
      <c r="Y986" s="18" t="str">
        <f t="shared" si="129"/>
        <v>100</v>
      </c>
      <c r="Z986" s="18" t="e">
        <f>IF($L986&lt;"6",INDEX(Revenue_type,MATCH(Y986*1,type!$A$118:$A$168,0),8),INDEX(Expenditure_type,MATCH(Y986*1,type!$A$2:$A$117,0),8))</f>
        <v>#N/A</v>
      </c>
    </row>
    <row r="987" spans="1:26" ht="15.75" hidden="1" customHeight="1" outlineLevel="2">
      <c r="A987">
        <v>120</v>
      </c>
      <c r="B987" s="249">
        <v>813315</v>
      </c>
      <c r="C987">
        <v>1</v>
      </c>
      <c r="D987" t="str">
        <f t="shared" si="122"/>
        <v>1813315.120</v>
      </c>
      <c r="E987" s="382" t="s">
        <v>8649</v>
      </c>
      <c r="F987" s="242"/>
      <c r="G987"/>
      <c r="H987" s="322">
        <v>1200</v>
      </c>
      <c r="I987" s="322">
        <v>1200</v>
      </c>
      <c r="J987" s="242">
        <v>0</v>
      </c>
      <c r="K987" s="18" t="e">
        <f>INDEX(תקציב_2013,MATCH(D987,'תקציב 2015'!$D$3:$D$5960,0),8)</f>
        <v>#N/A</v>
      </c>
      <c r="L987" s="18" t="str">
        <f t="shared" si="123"/>
        <v>8</v>
      </c>
      <c r="M987" s="18" t="str">
        <f>INDEX(Chapter,MATCH(L987,Chapter!$A$1:$A$681,0),8)</f>
        <v>שירותים ממלכתיים</v>
      </c>
      <c r="N987" s="18" t="str">
        <f t="shared" si="124"/>
        <v>81</v>
      </c>
      <c r="O987" s="18" t="str">
        <f>INDEX(Chapter,MATCH(N987,Chapter!$A$1:$A$681,0),8)</f>
        <v>חינוך</v>
      </c>
      <c r="P987" s="18" t="str">
        <f t="shared" si="125"/>
        <v>813</v>
      </c>
      <c r="Q987" s="18" t="str">
        <f>INDEX(Chapter,MATCH(P987,Chapter!$A$1:$A$681,0),8)</f>
        <v>חינוך יסודי</v>
      </c>
      <c r="R987" s="18" t="str">
        <f t="shared" si="126"/>
        <v>8133</v>
      </c>
      <c r="S987" s="18" t="str">
        <f>INDEX(Chapter,MATCH(R987,Chapter!$A$1:$A$681,0),8)</f>
        <v>חינוך מיוחד</v>
      </c>
      <c r="T987" s="18"/>
      <c r="U987" s="18" t="str">
        <f t="shared" si="127"/>
        <v>1</v>
      </c>
      <c r="V987" s="18" t="str">
        <f>IF($L987&lt;"6",INDEX(Revenue_type,MATCH(U987*1,type!$A$118:$A$168,0),8),INDEX(Expenditure_type,MATCH(U987*1,type!$A$2:$A$117,0),8))</f>
        <v>משכורות וש"ע לעובדים לפי תקן</v>
      </c>
      <c r="W987" s="18" t="str">
        <f t="shared" si="128"/>
        <v>12</v>
      </c>
      <c r="X987" s="18" t="str">
        <f>IF($L987&lt;"6",INDEX(Revenue_type,MATCH(W987*1,type!$A$118:$A$168,0),8),INDEX(Expenditure_type,MATCH(W987*1,type!$A$2:$A$117,0),8))</f>
        <v>תוספות שאינן נכללות בשכר הקובע</v>
      </c>
      <c r="Y987" s="18" t="str">
        <f t="shared" si="129"/>
        <v>120</v>
      </c>
      <c r="Z987" s="18" t="e">
        <f>IF($L987&lt;"6",INDEX(Revenue_type,MATCH(Y987*1,type!$A$118:$A$168,0),8),INDEX(Expenditure_type,MATCH(Y987*1,type!$A$2:$A$117,0),8))</f>
        <v>#N/A</v>
      </c>
    </row>
    <row r="988" spans="1:26" ht="15.75" hidden="1" customHeight="1" outlineLevel="2">
      <c r="A988">
        <v>100</v>
      </c>
      <c r="B988" s="249">
        <v>813003</v>
      </c>
      <c r="C988">
        <v>1</v>
      </c>
      <c r="D988" t="str">
        <f t="shared" si="122"/>
        <v>1813003.100</v>
      </c>
      <c r="E988" s="382" t="s">
        <v>8650</v>
      </c>
      <c r="F988" s="242"/>
      <c r="G988"/>
      <c r="H988" s="322">
        <v>2899200</v>
      </c>
      <c r="I988" s="322">
        <v>2619200</v>
      </c>
      <c r="J988" s="242">
        <v>2446200</v>
      </c>
      <c r="K988" s="18" t="e">
        <f>INDEX(תקציב_2013,MATCH(D988,'תקציב 2015'!$D$3:$D$5960,0),8)</f>
        <v>#N/A</v>
      </c>
      <c r="L988" s="18" t="str">
        <f t="shared" si="123"/>
        <v>8</v>
      </c>
      <c r="M988" s="18" t="str">
        <f>INDEX(Chapter,MATCH(L988,Chapter!$A$1:$A$681,0),8)</f>
        <v>שירותים ממלכתיים</v>
      </c>
      <c r="N988" s="18" t="str">
        <f t="shared" si="124"/>
        <v>81</v>
      </c>
      <c r="O988" s="18" t="str">
        <f>INDEX(Chapter,MATCH(N988,Chapter!$A$1:$A$681,0),8)</f>
        <v>חינוך</v>
      </c>
      <c r="P988" s="18" t="str">
        <f t="shared" si="125"/>
        <v>813</v>
      </c>
      <c r="Q988" s="18" t="str">
        <f>INDEX(Chapter,MATCH(P988,Chapter!$A$1:$A$681,0),8)</f>
        <v>חינוך יסודי</v>
      </c>
      <c r="R988" s="18" t="str">
        <f t="shared" si="126"/>
        <v>8130</v>
      </c>
      <c r="S988" s="18" t="e">
        <f>INDEX(Chapter,MATCH(R988,Chapter!$A$1:$A$681,0),8)</f>
        <v>#N/A</v>
      </c>
      <c r="T988" s="18"/>
      <c r="U988" s="18" t="str">
        <f t="shared" si="127"/>
        <v>1</v>
      </c>
      <c r="V988" s="18" t="str">
        <f>IF($L988&lt;"6",INDEX(Revenue_type,MATCH(U988*1,type!$A$118:$A$168,0),8),INDEX(Expenditure_type,MATCH(U988*1,type!$A$2:$A$117,0),8))</f>
        <v>משכורות וש"ע לעובדים לפי תקן</v>
      </c>
      <c r="W988" s="18" t="str">
        <f t="shared" si="128"/>
        <v>10</v>
      </c>
      <c r="X988" s="18" t="e">
        <f>IF($L988&lt;"6",INDEX(Revenue_type,MATCH(W988*1,type!$A$118:$A$168,0),8),INDEX(Expenditure_type,MATCH(W988*1,type!$A$2:$A$117,0),8))</f>
        <v>#N/A</v>
      </c>
      <c r="Y988" s="18" t="str">
        <f t="shared" si="129"/>
        <v>100</v>
      </c>
      <c r="Z988" s="18" t="e">
        <f>IF($L988&lt;"6",INDEX(Revenue_type,MATCH(Y988*1,type!$A$118:$A$168,0),8),INDEX(Expenditure_type,MATCH(Y988*1,type!$A$2:$A$117,0),8))</f>
        <v>#N/A</v>
      </c>
    </row>
    <row r="989" spans="1:26" ht="15.75" hidden="1" customHeight="1" outlineLevel="2">
      <c r="A989">
        <v>120</v>
      </c>
      <c r="B989" s="249">
        <v>813003</v>
      </c>
      <c r="C989">
        <v>1</v>
      </c>
      <c r="D989" t="str">
        <f t="shared" si="122"/>
        <v>1813003.120</v>
      </c>
      <c r="E989" s="381" t="s">
        <v>8651</v>
      </c>
      <c r="F989" s="242"/>
      <c r="G989"/>
      <c r="H989" s="322">
        <v>93800</v>
      </c>
      <c r="I989" s="322">
        <v>93800</v>
      </c>
      <c r="J989" s="242">
        <v>117000</v>
      </c>
      <c r="K989" s="18" t="e">
        <f>INDEX(תקציב_2013,MATCH(D989,'תקציב 2015'!$D$3:$D$5960,0),8)</f>
        <v>#N/A</v>
      </c>
      <c r="L989" s="18" t="str">
        <f t="shared" si="123"/>
        <v>8</v>
      </c>
      <c r="M989" s="18" t="str">
        <f>INDEX(Chapter,MATCH(L989,Chapter!$A$1:$A$681,0),8)</f>
        <v>שירותים ממלכתיים</v>
      </c>
      <c r="N989" s="18" t="str">
        <f t="shared" si="124"/>
        <v>81</v>
      </c>
      <c r="O989" s="18" t="str">
        <f>INDEX(Chapter,MATCH(N989,Chapter!$A$1:$A$681,0),8)</f>
        <v>חינוך</v>
      </c>
      <c r="P989" s="18" t="str">
        <f t="shared" si="125"/>
        <v>813</v>
      </c>
      <c r="Q989" s="18" t="str">
        <f>INDEX(Chapter,MATCH(P989,Chapter!$A$1:$A$681,0),8)</f>
        <v>חינוך יסודי</v>
      </c>
      <c r="R989" s="18" t="str">
        <f t="shared" si="126"/>
        <v>8130</v>
      </c>
      <c r="S989" s="18" t="e">
        <f>INDEX(Chapter,MATCH(R989,Chapter!$A$1:$A$681,0),8)</f>
        <v>#N/A</v>
      </c>
      <c r="T989" s="18"/>
      <c r="U989" s="18" t="str">
        <f t="shared" si="127"/>
        <v>1</v>
      </c>
      <c r="V989" s="18" t="str">
        <f>IF($L989&lt;"6",INDEX(Revenue_type,MATCH(U989*1,type!$A$118:$A$168,0),8),INDEX(Expenditure_type,MATCH(U989*1,type!$A$2:$A$117,0),8))</f>
        <v>משכורות וש"ע לעובדים לפי תקן</v>
      </c>
      <c r="W989" s="18" t="str">
        <f t="shared" si="128"/>
        <v>12</v>
      </c>
      <c r="X989" s="18" t="str">
        <f>IF($L989&lt;"6",INDEX(Revenue_type,MATCH(W989*1,type!$A$118:$A$168,0),8),INDEX(Expenditure_type,MATCH(W989*1,type!$A$2:$A$117,0),8))</f>
        <v>תוספות שאינן נכללות בשכר הקובע</v>
      </c>
      <c r="Y989" s="18" t="str">
        <f t="shared" si="129"/>
        <v>120</v>
      </c>
      <c r="Z989" s="18" t="e">
        <f>IF($L989&lt;"6",INDEX(Revenue_type,MATCH(Y989*1,type!$A$118:$A$168,0),8),INDEX(Expenditure_type,MATCH(Y989*1,type!$A$2:$A$117,0),8))</f>
        <v>#N/A</v>
      </c>
    </row>
    <row r="990" spans="1:26" ht="15.75" hidden="1" customHeight="1" outlineLevel="2">
      <c r="A990">
        <v>400</v>
      </c>
      <c r="B990" s="249">
        <v>813003</v>
      </c>
      <c r="C990">
        <v>1</v>
      </c>
      <c r="D990" t="str">
        <f t="shared" si="122"/>
        <v>1813003.400</v>
      </c>
      <c r="E990" s="381" t="s">
        <v>8652</v>
      </c>
      <c r="F990" s="242"/>
      <c r="G990"/>
      <c r="H990" s="322">
        <v>102700</v>
      </c>
      <c r="I990" s="322">
        <v>107000</v>
      </c>
      <c r="J990" s="242">
        <v>95300</v>
      </c>
      <c r="K990" s="18" t="e">
        <f>INDEX(תקציב_2013,MATCH(D990,'תקציב 2015'!$D$3:$D$5960,0),8)</f>
        <v>#N/A</v>
      </c>
      <c r="L990" s="18" t="str">
        <f t="shared" si="123"/>
        <v>8</v>
      </c>
      <c r="M990" s="18" t="str">
        <f>INDEX(Chapter,MATCH(L990,Chapter!$A$1:$A$681,0),8)</f>
        <v>שירותים ממלכתיים</v>
      </c>
      <c r="N990" s="18" t="str">
        <f t="shared" si="124"/>
        <v>81</v>
      </c>
      <c r="O990" s="18" t="str">
        <f>INDEX(Chapter,MATCH(N990,Chapter!$A$1:$A$681,0),8)</f>
        <v>חינוך</v>
      </c>
      <c r="P990" s="18" t="str">
        <f t="shared" si="125"/>
        <v>813</v>
      </c>
      <c r="Q990" s="18" t="str">
        <f>INDEX(Chapter,MATCH(P990,Chapter!$A$1:$A$681,0),8)</f>
        <v>חינוך יסודי</v>
      </c>
      <c r="R990" s="18" t="str">
        <f t="shared" si="126"/>
        <v>8130</v>
      </c>
      <c r="S990" s="18" t="e">
        <f>INDEX(Chapter,MATCH(R990,Chapter!$A$1:$A$681,0),8)</f>
        <v>#N/A</v>
      </c>
      <c r="T990" s="18"/>
      <c r="U990" s="18" t="str">
        <f t="shared" si="127"/>
        <v>4</v>
      </c>
      <c r="V990" s="18" t="str">
        <f>IF($L990&lt;"6",INDEX(Revenue_type,MATCH(U990*1,type!$A$118:$A$168,0),8),INDEX(Expenditure_type,MATCH(U990*1,type!$A$2:$A$117,0),8))</f>
        <v>אחזקת בינים ואספקת ציוד</v>
      </c>
      <c r="W990" s="18" t="str">
        <f t="shared" si="128"/>
        <v>40</v>
      </c>
      <c r="X990" s="18" t="e">
        <f>IF($L990&lt;"6",INDEX(Revenue_type,MATCH(W990*1,type!$A$118:$A$168,0),8),INDEX(Expenditure_type,MATCH(W990*1,type!$A$2:$A$117,0),8))</f>
        <v>#N/A</v>
      </c>
      <c r="Y990" s="18" t="str">
        <f t="shared" si="129"/>
        <v>400</v>
      </c>
      <c r="Z990" s="18" t="e">
        <f>IF($L990&lt;"6",INDEX(Revenue_type,MATCH(Y990*1,type!$A$118:$A$168,0),8),INDEX(Expenditure_type,MATCH(Y990*1,type!$A$2:$A$117,0),8))</f>
        <v>#N/A</v>
      </c>
    </row>
    <row r="991" spans="1:26" ht="15.75" hidden="1" customHeight="1" outlineLevel="2">
      <c r="A991">
        <v>700</v>
      </c>
      <c r="B991" s="249">
        <v>813003</v>
      </c>
      <c r="C991">
        <v>1</v>
      </c>
      <c r="D991" t="str">
        <f t="shared" si="122"/>
        <v>1813003.700</v>
      </c>
      <c r="E991" s="382" t="s">
        <v>8653</v>
      </c>
      <c r="F991" s="242"/>
      <c r="G991"/>
      <c r="H991" s="322">
        <v>44000</v>
      </c>
      <c r="I991" s="322">
        <v>44000</v>
      </c>
      <c r="J991" s="242">
        <v>34900</v>
      </c>
      <c r="K991" s="18" t="e">
        <f>INDEX(תקציב_2013,MATCH(D991,'תקציב 2015'!$D$3:$D$5960,0),8)</f>
        <v>#N/A</v>
      </c>
      <c r="L991" s="18" t="str">
        <f t="shared" si="123"/>
        <v>8</v>
      </c>
      <c r="M991" s="18" t="str">
        <f>INDEX(Chapter,MATCH(L991,Chapter!$A$1:$A$681,0),8)</f>
        <v>שירותים ממלכתיים</v>
      </c>
      <c r="N991" s="18" t="str">
        <f t="shared" si="124"/>
        <v>81</v>
      </c>
      <c r="O991" s="18" t="str">
        <f>INDEX(Chapter,MATCH(N991,Chapter!$A$1:$A$681,0),8)</f>
        <v>חינוך</v>
      </c>
      <c r="P991" s="18" t="str">
        <f t="shared" si="125"/>
        <v>813</v>
      </c>
      <c r="Q991" s="18" t="str">
        <f>INDEX(Chapter,MATCH(P991,Chapter!$A$1:$A$681,0),8)</f>
        <v>חינוך יסודי</v>
      </c>
      <c r="R991" s="18" t="str">
        <f t="shared" si="126"/>
        <v>8130</v>
      </c>
      <c r="S991" s="18" t="e">
        <f>INDEX(Chapter,MATCH(R991,Chapter!$A$1:$A$681,0),8)</f>
        <v>#N/A</v>
      </c>
      <c r="T991" s="18"/>
      <c r="U991" s="18" t="str">
        <f t="shared" si="127"/>
        <v>7</v>
      </c>
      <c r="V991" s="18" t="str">
        <f>IF($L991&lt;"6",INDEX(Revenue_type,MATCH(U991*1,type!$A$118:$A$168,0),8),INDEX(Expenditure_type,MATCH(U991*1,type!$A$2:$A$117,0),8))</f>
        <v>הוצאות לפעולות</v>
      </c>
      <c r="W991" s="18" t="str">
        <f t="shared" si="128"/>
        <v>70</v>
      </c>
      <c r="X991" s="18" t="e">
        <f>IF($L991&lt;"6",INDEX(Revenue_type,MATCH(W991*1,type!$A$118:$A$168,0),8),INDEX(Expenditure_type,MATCH(W991*1,type!$A$2:$A$117,0),8))</f>
        <v>#N/A</v>
      </c>
      <c r="Y991" s="18" t="str">
        <f t="shared" si="129"/>
        <v>700</v>
      </c>
      <c r="Z991" s="18" t="e">
        <f>IF($L991&lt;"6",INDEX(Revenue_type,MATCH(Y991*1,type!$A$118:$A$168,0),8),INDEX(Expenditure_type,MATCH(Y991*1,type!$A$2:$A$117,0),8))</f>
        <v>#N/A</v>
      </c>
    </row>
    <row r="992" spans="1:26" ht="15.75" hidden="1" customHeight="1" outlineLevel="2">
      <c r="A992">
        <v>710</v>
      </c>
      <c r="B992" s="249">
        <v>817800</v>
      </c>
      <c r="C992">
        <v>1</v>
      </c>
      <c r="D992" t="str">
        <f t="shared" si="122"/>
        <v>1817800.710</v>
      </c>
      <c r="E992" s="382" t="s">
        <v>8654</v>
      </c>
      <c r="F992" s="242"/>
      <c r="G992"/>
      <c r="H992" s="322">
        <v>22322700</v>
      </c>
      <c r="I992" s="322">
        <v>22979000</v>
      </c>
      <c r="J992" s="242">
        <v>21121200</v>
      </c>
      <c r="K992" s="18">
        <f>INDEX(תקציב_2013,MATCH(D992,'תקציב 2015'!$D$3:$D$5960,0),8)</f>
        <v>3240000</v>
      </c>
      <c r="L992" s="18" t="str">
        <f t="shared" si="123"/>
        <v>8</v>
      </c>
      <c r="M992" s="18" t="str">
        <f>INDEX(Chapter,MATCH(L992,Chapter!$A$1:$A$681,0),8)</f>
        <v>שירותים ממלכתיים</v>
      </c>
      <c r="N992" s="18" t="str">
        <f t="shared" si="124"/>
        <v>81</v>
      </c>
      <c r="O992" s="18" t="str">
        <f>INDEX(Chapter,MATCH(N992,Chapter!$A$1:$A$681,0),8)</f>
        <v>חינוך</v>
      </c>
      <c r="P992" s="18" t="str">
        <f t="shared" si="125"/>
        <v>817</v>
      </c>
      <c r="Q992" s="18" t="str">
        <f>INDEX(Chapter,MATCH(P992,Chapter!$A$1:$A$681,0),8)</f>
        <v>שירותים נוספים לבתי״ס וגנ״י</v>
      </c>
      <c r="R992" s="18" t="str">
        <f t="shared" si="126"/>
        <v>8178</v>
      </c>
      <c r="S992" s="18" t="str">
        <f>INDEX(Chapter,MATCH(R992,Chapter!$A$1:$A$681,0),8)</f>
        <v>הסעות ילדים</v>
      </c>
      <c r="T992" s="18"/>
      <c r="U992" s="18" t="str">
        <f t="shared" si="127"/>
        <v>7</v>
      </c>
      <c r="V992" s="18" t="str">
        <f>IF($L992&lt;"6",INDEX(Revenue_type,MATCH(U992*1,type!$A$118:$A$168,0),8),INDEX(Expenditure_type,MATCH(U992*1,type!$A$2:$A$117,0),8))</f>
        <v>הוצאות לפעולות</v>
      </c>
      <c r="W992" s="18" t="str">
        <f t="shared" si="128"/>
        <v>71</v>
      </c>
      <c r="X992" s="18" t="str">
        <f>IF($L992&lt;"6",INDEX(Revenue_type,MATCH(W992*1,type!$A$118:$A$168,0),8),INDEX(Expenditure_type,MATCH(W992*1,type!$A$2:$A$117,0),8))</f>
        <v>הובלות והסעות קבלניות</v>
      </c>
      <c r="Y992" s="18" t="str">
        <f t="shared" si="129"/>
        <v>710</v>
      </c>
      <c r="Z992" s="18" t="e">
        <f>IF($L992&lt;"6",INDEX(Revenue_type,MATCH(Y992*1,type!$A$118:$A$168,0),8),INDEX(Expenditure_type,MATCH(Y992*1,type!$A$2:$A$117,0),8))</f>
        <v>#N/A</v>
      </c>
    </row>
    <row r="993" spans="1:26" ht="15.75" hidden="1" customHeight="1" outlineLevel="2">
      <c r="A993">
        <v>750</v>
      </c>
      <c r="B993" s="249">
        <v>817100</v>
      </c>
      <c r="C993">
        <v>1</v>
      </c>
      <c r="D993" t="str">
        <f t="shared" si="122"/>
        <v>1817100.750</v>
      </c>
      <c r="E993" s="454" t="s">
        <v>8655</v>
      </c>
      <c r="F993" s="242"/>
      <c r="G993"/>
      <c r="H993" s="322">
        <v>13580700</v>
      </c>
      <c r="I993" s="322">
        <v>15480000</v>
      </c>
      <c r="J993" s="242">
        <v>13078900</v>
      </c>
      <c r="K993" s="18" t="e">
        <f>INDEX(תקציב_2013,MATCH(D993,'תקציב 2015'!$D$3:$D$5960,0),8)</f>
        <v>#N/A</v>
      </c>
      <c r="L993" s="18" t="str">
        <f t="shared" si="123"/>
        <v>8</v>
      </c>
      <c r="M993" s="18" t="str">
        <f>INDEX(Chapter,MATCH(L993,Chapter!$A$1:$A$681,0),8)</f>
        <v>שירותים ממלכתיים</v>
      </c>
      <c r="N993" s="18" t="str">
        <f t="shared" si="124"/>
        <v>81</v>
      </c>
      <c r="O993" s="18" t="str">
        <f>INDEX(Chapter,MATCH(N993,Chapter!$A$1:$A$681,0),8)</f>
        <v>חינוך</v>
      </c>
      <c r="P993" s="18" t="str">
        <f t="shared" si="125"/>
        <v>817</v>
      </c>
      <c r="Q993" s="18" t="str">
        <f>INDEX(Chapter,MATCH(P993,Chapter!$A$1:$A$681,0),8)</f>
        <v>שירותים נוספים לבתי״ס וגנ״י</v>
      </c>
      <c r="R993" s="18" t="str">
        <f t="shared" si="126"/>
        <v>8171</v>
      </c>
      <c r="S993" s="18" t="str">
        <f>INDEX(Chapter,MATCH(R993,Chapter!$A$1:$A$681,0),8)</f>
        <v>קב״ט שמירח ובטחון מוסדות חינוך</v>
      </c>
      <c r="T993" s="18"/>
      <c r="U993" s="18" t="str">
        <f t="shared" si="127"/>
        <v>7</v>
      </c>
      <c r="V993" s="18" t="str">
        <f>IF($L993&lt;"6",INDEX(Revenue_type,MATCH(U993*1,type!$A$118:$A$168,0),8),INDEX(Expenditure_type,MATCH(U993*1,type!$A$2:$A$117,0),8))</f>
        <v>הוצאות לפעולות</v>
      </c>
      <c r="W993" s="18" t="str">
        <f t="shared" si="128"/>
        <v>75</v>
      </c>
      <c r="X993" s="18" t="str">
        <f>IF($L993&lt;"6",INDEX(Revenue_type,MATCH(W993*1,type!$A$118:$A$168,0),8),INDEX(Expenditure_type,MATCH(W993*1,type!$A$2:$A$117,0),8))</f>
        <v>עבודות קבלניות</v>
      </c>
      <c r="Y993" s="18" t="str">
        <f t="shared" si="129"/>
        <v>750</v>
      </c>
      <c r="Z993" s="18" t="e">
        <f>IF($L993&lt;"6",INDEX(Revenue_type,MATCH(Y993*1,type!$A$118:$A$168,0),8),INDEX(Expenditure_type,MATCH(Y993*1,type!$A$2:$A$117,0),8))</f>
        <v>#N/A</v>
      </c>
    </row>
    <row r="994" spans="1:26" ht="15.75" hidden="1" customHeight="1" outlineLevel="2">
      <c r="A994">
        <v>200</v>
      </c>
      <c r="B994" s="249">
        <v>816910</v>
      </c>
      <c r="C994">
        <v>1</v>
      </c>
      <c r="D994" t="str">
        <f t="shared" si="122"/>
        <v>1816910.200</v>
      </c>
      <c r="E994" s="385" t="s">
        <v>8656</v>
      </c>
      <c r="F994" s="242"/>
      <c r="G994"/>
      <c r="H994" s="322">
        <v>880500</v>
      </c>
      <c r="I994" s="322">
        <v>880500</v>
      </c>
      <c r="J994" s="242">
        <v>739700</v>
      </c>
      <c r="K994" s="18" t="e">
        <f>INDEX(תקציב_2013,MATCH(D994,'תקציב 2015'!$D$3:$D$5960,0),8)</f>
        <v>#N/A</v>
      </c>
      <c r="L994" s="18" t="str">
        <f t="shared" si="123"/>
        <v>8</v>
      </c>
      <c r="M994" s="18" t="str">
        <f>INDEX(Chapter,MATCH(L994,Chapter!$A$1:$A$681,0),8)</f>
        <v>שירותים ממלכתיים</v>
      </c>
      <c r="N994" s="18" t="str">
        <f t="shared" si="124"/>
        <v>81</v>
      </c>
      <c r="O994" s="18" t="str">
        <f>INDEX(Chapter,MATCH(N994,Chapter!$A$1:$A$681,0),8)</f>
        <v>חינוך</v>
      </c>
      <c r="P994" s="18" t="str">
        <f t="shared" si="125"/>
        <v>816</v>
      </c>
      <c r="Q994" s="18" t="str">
        <f>INDEX(Chapter,MATCH(P994,Chapter!$A$1:$A$681,0),8)</f>
        <v>חינוך גבוה</v>
      </c>
      <c r="R994" s="18" t="str">
        <f t="shared" si="126"/>
        <v>8169</v>
      </c>
      <c r="S994" s="18" t="e">
        <f>INDEX(Chapter,MATCH(R994,Chapter!$A$1:$A$681,0),8)</f>
        <v>#N/A</v>
      </c>
      <c r="T994" s="18"/>
      <c r="U994" s="18" t="str">
        <f t="shared" si="127"/>
        <v>2</v>
      </c>
      <c r="V994" s="18" t="str">
        <f>IF($L994&lt;"6",INDEX(Revenue_type,MATCH(U994*1,type!$A$118:$A$168,0),8),INDEX(Expenditure_type,MATCH(U994*1,type!$A$2:$A$117,0),8))</f>
        <v>משכורות וש"ע לעובדים בלי תקן</v>
      </c>
      <c r="W994" s="18" t="str">
        <f t="shared" si="128"/>
        <v>20</v>
      </c>
      <c r="X994" s="18" t="e">
        <f>IF($L994&lt;"6",INDEX(Revenue_type,MATCH(W994*1,type!$A$118:$A$168,0),8),INDEX(Expenditure_type,MATCH(W994*1,type!$A$2:$A$117,0),8))</f>
        <v>#N/A</v>
      </c>
      <c r="Y994" s="18" t="str">
        <f t="shared" si="129"/>
        <v>200</v>
      </c>
      <c r="Z994" s="18" t="e">
        <f>IF($L994&lt;"6",INDEX(Revenue_type,MATCH(Y994*1,type!$A$118:$A$168,0),8),INDEX(Expenditure_type,MATCH(Y994*1,type!$A$2:$A$117,0),8))</f>
        <v>#N/A</v>
      </c>
    </row>
    <row r="995" spans="1:26" ht="15.75" hidden="1" customHeight="1" outlineLevel="2">
      <c r="A995">
        <v>120</v>
      </c>
      <c r="B995" s="249">
        <v>816910</v>
      </c>
      <c r="C995">
        <v>1</v>
      </c>
      <c r="D995" t="str">
        <f t="shared" si="122"/>
        <v>1816910.120</v>
      </c>
      <c r="E995" s="385" t="s">
        <v>8657</v>
      </c>
      <c r="F995" s="242"/>
      <c r="G995"/>
      <c r="H995" s="322">
        <v>19500</v>
      </c>
      <c r="I995" s="322">
        <v>19500</v>
      </c>
      <c r="J995" s="242">
        <v>4700</v>
      </c>
      <c r="K995" s="18" t="e">
        <f>INDEX(תקציב_2013,MATCH(D995,'תקציב 2015'!$D$3:$D$5960,0),8)</f>
        <v>#N/A</v>
      </c>
      <c r="L995" s="18" t="str">
        <f t="shared" si="123"/>
        <v>8</v>
      </c>
      <c r="M995" s="18" t="str">
        <f>INDEX(Chapter,MATCH(L995,Chapter!$A$1:$A$681,0),8)</f>
        <v>שירותים ממלכתיים</v>
      </c>
      <c r="N995" s="18" t="str">
        <f t="shared" si="124"/>
        <v>81</v>
      </c>
      <c r="O995" s="18" t="str">
        <f>INDEX(Chapter,MATCH(N995,Chapter!$A$1:$A$681,0),8)</f>
        <v>חינוך</v>
      </c>
      <c r="P995" s="18" t="str">
        <f t="shared" si="125"/>
        <v>816</v>
      </c>
      <c r="Q995" s="18" t="str">
        <f>INDEX(Chapter,MATCH(P995,Chapter!$A$1:$A$681,0),8)</f>
        <v>חינוך גבוה</v>
      </c>
      <c r="R995" s="18" t="str">
        <f t="shared" si="126"/>
        <v>8169</v>
      </c>
      <c r="S995" s="18" t="e">
        <f>INDEX(Chapter,MATCH(R995,Chapter!$A$1:$A$681,0),8)</f>
        <v>#N/A</v>
      </c>
      <c r="T995" s="18"/>
      <c r="U995" s="18" t="str">
        <f t="shared" si="127"/>
        <v>1</v>
      </c>
      <c r="V995" s="18" t="str">
        <f>IF($L995&lt;"6",INDEX(Revenue_type,MATCH(U995*1,type!$A$118:$A$168,0),8),INDEX(Expenditure_type,MATCH(U995*1,type!$A$2:$A$117,0),8))</f>
        <v>משכורות וש"ע לעובדים לפי תקן</v>
      </c>
      <c r="W995" s="18" t="str">
        <f t="shared" si="128"/>
        <v>12</v>
      </c>
      <c r="X995" s="18" t="str">
        <f>IF($L995&lt;"6",INDEX(Revenue_type,MATCH(W995*1,type!$A$118:$A$168,0),8),INDEX(Expenditure_type,MATCH(W995*1,type!$A$2:$A$117,0),8))</f>
        <v>תוספות שאינן נכללות בשכר הקובע</v>
      </c>
      <c r="Y995" s="18" t="str">
        <f t="shared" si="129"/>
        <v>120</v>
      </c>
      <c r="Z995" s="18" t="e">
        <f>IF($L995&lt;"6",INDEX(Revenue_type,MATCH(Y995*1,type!$A$118:$A$168,0),8),INDEX(Expenditure_type,MATCH(Y995*1,type!$A$2:$A$117,0),8))</f>
        <v>#N/A</v>
      </c>
    </row>
    <row r="996" spans="1:26" ht="15.75" hidden="1" customHeight="1" outlineLevel="2">
      <c r="A996">
        <v>700</v>
      </c>
      <c r="B996" s="249">
        <v>816910</v>
      </c>
      <c r="C996">
        <v>1</v>
      </c>
      <c r="D996" t="str">
        <f t="shared" si="122"/>
        <v>1816910.700</v>
      </c>
      <c r="E996" s="385" t="s">
        <v>8658</v>
      </c>
      <c r="F996" s="242"/>
      <c r="G996"/>
      <c r="H996" s="322">
        <v>1149700</v>
      </c>
      <c r="I996" s="322">
        <v>1183500</v>
      </c>
      <c r="J996" s="242">
        <v>743700</v>
      </c>
      <c r="K996" s="18" t="e">
        <f>INDEX(תקציב_2013,MATCH(D996,'תקציב 2015'!$D$3:$D$5960,0),8)</f>
        <v>#N/A</v>
      </c>
      <c r="L996" s="18" t="str">
        <f t="shared" si="123"/>
        <v>8</v>
      </c>
      <c r="M996" s="18" t="str">
        <f>INDEX(Chapter,MATCH(L996,Chapter!$A$1:$A$681,0),8)</f>
        <v>שירותים ממלכתיים</v>
      </c>
      <c r="N996" s="18" t="str">
        <f t="shared" si="124"/>
        <v>81</v>
      </c>
      <c r="O996" s="18" t="str">
        <f>INDEX(Chapter,MATCH(N996,Chapter!$A$1:$A$681,0),8)</f>
        <v>חינוך</v>
      </c>
      <c r="P996" s="18" t="str">
        <f t="shared" si="125"/>
        <v>816</v>
      </c>
      <c r="Q996" s="18" t="str">
        <f>INDEX(Chapter,MATCH(P996,Chapter!$A$1:$A$681,0),8)</f>
        <v>חינוך גבוה</v>
      </c>
      <c r="R996" s="18" t="str">
        <f t="shared" si="126"/>
        <v>8169</v>
      </c>
      <c r="S996" s="18" t="e">
        <f>INDEX(Chapter,MATCH(R996,Chapter!$A$1:$A$681,0),8)</f>
        <v>#N/A</v>
      </c>
      <c r="T996" s="18"/>
      <c r="U996" s="18" t="str">
        <f t="shared" si="127"/>
        <v>7</v>
      </c>
      <c r="V996" s="18" t="str">
        <f>IF($L996&lt;"6",INDEX(Revenue_type,MATCH(U996*1,type!$A$118:$A$168,0),8),INDEX(Expenditure_type,MATCH(U996*1,type!$A$2:$A$117,0),8))</f>
        <v>הוצאות לפעולות</v>
      </c>
      <c r="W996" s="18" t="str">
        <f t="shared" si="128"/>
        <v>70</v>
      </c>
      <c r="X996" s="18" t="e">
        <f>IF($L996&lt;"6",INDEX(Revenue_type,MATCH(W996*1,type!$A$118:$A$168,0),8),INDEX(Expenditure_type,MATCH(W996*1,type!$A$2:$A$117,0),8))</f>
        <v>#N/A</v>
      </c>
      <c r="Y996" s="18" t="str">
        <f t="shared" si="129"/>
        <v>700</v>
      </c>
      <c r="Z996" s="18" t="e">
        <f>IF($L996&lt;"6",INDEX(Revenue_type,MATCH(Y996*1,type!$A$118:$A$168,0),8),INDEX(Expenditure_type,MATCH(Y996*1,type!$A$2:$A$117,0),8))</f>
        <v>#N/A</v>
      </c>
    </row>
    <row r="997" spans="1:26" ht="15.75" hidden="1" customHeight="1" outlineLevel="2">
      <c r="A997">
        <v>200</v>
      </c>
      <c r="B997" s="249">
        <v>816920</v>
      </c>
      <c r="C997">
        <v>1</v>
      </c>
      <c r="D997" t="str">
        <f t="shared" si="122"/>
        <v>1816920.200</v>
      </c>
      <c r="E997" s="385" t="s">
        <v>8659</v>
      </c>
      <c r="F997" s="242"/>
      <c r="G997"/>
      <c r="H997" s="322">
        <v>465000</v>
      </c>
      <c r="I997" s="322">
        <v>460000</v>
      </c>
      <c r="J997" s="242">
        <v>455200</v>
      </c>
      <c r="K997" s="18" t="e">
        <f>INDEX(תקציב_2013,MATCH(D997,'תקציב 2015'!$D$3:$D$5960,0),8)</f>
        <v>#N/A</v>
      </c>
      <c r="L997" s="18" t="str">
        <f t="shared" si="123"/>
        <v>8</v>
      </c>
      <c r="M997" s="18" t="str">
        <f>INDEX(Chapter,MATCH(L997,Chapter!$A$1:$A$681,0),8)</f>
        <v>שירותים ממלכתיים</v>
      </c>
      <c r="N997" s="18" t="str">
        <f t="shared" si="124"/>
        <v>81</v>
      </c>
      <c r="O997" s="18" t="str">
        <f>INDEX(Chapter,MATCH(N997,Chapter!$A$1:$A$681,0),8)</f>
        <v>חינוך</v>
      </c>
      <c r="P997" s="18" t="str">
        <f t="shared" si="125"/>
        <v>816</v>
      </c>
      <c r="Q997" s="18" t="str">
        <f>INDEX(Chapter,MATCH(P997,Chapter!$A$1:$A$681,0),8)</f>
        <v>חינוך גבוה</v>
      </c>
      <c r="R997" s="18" t="str">
        <f t="shared" si="126"/>
        <v>8169</v>
      </c>
      <c r="S997" s="18" t="e">
        <f>INDEX(Chapter,MATCH(R997,Chapter!$A$1:$A$681,0),8)</f>
        <v>#N/A</v>
      </c>
      <c r="T997" s="18"/>
      <c r="U997" s="18" t="str">
        <f t="shared" si="127"/>
        <v>2</v>
      </c>
      <c r="V997" s="18" t="str">
        <f>IF($L997&lt;"6",INDEX(Revenue_type,MATCH(U997*1,type!$A$118:$A$168,0),8),INDEX(Expenditure_type,MATCH(U997*1,type!$A$2:$A$117,0),8))</f>
        <v>משכורות וש"ע לעובדים בלי תקן</v>
      </c>
      <c r="W997" s="18" t="str">
        <f t="shared" si="128"/>
        <v>20</v>
      </c>
      <c r="X997" s="18" t="e">
        <f>IF($L997&lt;"6",INDEX(Revenue_type,MATCH(W997*1,type!$A$118:$A$168,0),8),INDEX(Expenditure_type,MATCH(W997*1,type!$A$2:$A$117,0),8))</f>
        <v>#N/A</v>
      </c>
      <c r="Y997" s="18" t="str">
        <f t="shared" si="129"/>
        <v>200</v>
      </c>
      <c r="Z997" s="18" t="e">
        <f>IF($L997&lt;"6",INDEX(Revenue_type,MATCH(Y997*1,type!$A$118:$A$168,0),8),INDEX(Expenditure_type,MATCH(Y997*1,type!$A$2:$A$117,0),8))</f>
        <v>#N/A</v>
      </c>
    </row>
    <row r="998" spans="1:26" ht="15.75" hidden="1" customHeight="1" outlineLevel="2">
      <c r="A998">
        <v>120</v>
      </c>
      <c r="B998" s="249">
        <v>816920</v>
      </c>
      <c r="C998">
        <v>1</v>
      </c>
      <c r="D998" t="str">
        <f t="shared" si="122"/>
        <v>1816920.120</v>
      </c>
      <c r="E998" s="382" t="s">
        <v>8660</v>
      </c>
      <c r="F998" s="242"/>
      <c r="G998"/>
      <c r="H998" s="322">
        <v>6000</v>
      </c>
      <c r="I998" s="322">
        <v>6000</v>
      </c>
      <c r="J998" s="242">
        <v>30200</v>
      </c>
      <c r="K998" s="18" t="e">
        <f>INDEX(תקציב_2013,MATCH(D998,'תקציב 2015'!$D$3:$D$5960,0),8)</f>
        <v>#N/A</v>
      </c>
      <c r="L998" s="18" t="str">
        <f t="shared" si="123"/>
        <v>8</v>
      </c>
      <c r="M998" s="18" t="str">
        <f>INDEX(Chapter,MATCH(L998,Chapter!$A$1:$A$681,0),8)</f>
        <v>שירותים ממלכתיים</v>
      </c>
      <c r="N998" s="18" t="str">
        <f t="shared" si="124"/>
        <v>81</v>
      </c>
      <c r="O998" s="18" t="str">
        <f>INDEX(Chapter,MATCH(N998,Chapter!$A$1:$A$681,0),8)</f>
        <v>חינוך</v>
      </c>
      <c r="P998" s="18" t="str">
        <f t="shared" si="125"/>
        <v>816</v>
      </c>
      <c r="Q998" s="18" t="str">
        <f>INDEX(Chapter,MATCH(P998,Chapter!$A$1:$A$681,0),8)</f>
        <v>חינוך גבוה</v>
      </c>
      <c r="R998" s="18" t="str">
        <f t="shared" si="126"/>
        <v>8169</v>
      </c>
      <c r="S998" s="18" t="e">
        <f>INDEX(Chapter,MATCH(R998,Chapter!$A$1:$A$681,0),8)</f>
        <v>#N/A</v>
      </c>
      <c r="T998" s="18"/>
      <c r="U998" s="18" t="str">
        <f t="shared" si="127"/>
        <v>1</v>
      </c>
      <c r="V998" s="18" t="str">
        <f>IF($L998&lt;"6",INDEX(Revenue_type,MATCH(U998*1,type!$A$118:$A$168,0),8),INDEX(Expenditure_type,MATCH(U998*1,type!$A$2:$A$117,0),8))</f>
        <v>משכורות וש"ע לעובדים לפי תקן</v>
      </c>
      <c r="W998" s="18" t="str">
        <f t="shared" si="128"/>
        <v>12</v>
      </c>
      <c r="X998" s="18" t="str">
        <f>IF($L998&lt;"6",INDEX(Revenue_type,MATCH(W998*1,type!$A$118:$A$168,0),8),INDEX(Expenditure_type,MATCH(W998*1,type!$A$2:$A$117,0),8))</f>
        <v>תוספות שאינן נכללות בשכר הקובע</v>
      </c>
      <c r="Y998" s="18" t="str">
        <f t="shared" si="129"/>
        <v>120</v>
      </c>
      <c r="Z998" s="18" t="e">
        <f>IF($L998&lt;"6",INDEX(Revenue_type,MATCH(Y998*1,type!$A$118:$A$168,0),8),INDEX(Expenditure_type,MATCH(Y998*1,type!$A$2:$A$117,0),8))</f>
        <v>#N/A</v>
      </c>
    </row>
    <row r="999" spans="1:26" ht="15.75" hidden="1" customHeight="1" outlineLevel="2">
      <c r="A999">
        <v>700</v>
      </c>
      <c r="B999" s="249">
        <v>816920</v>
      </c>
      <c r="C999">
        <v>1</v>
      </c>
      <c r="D999" t="str">
        <f t="shared" si="122"/>
        <v>1816920.700</v>
      </c>
      <c r="E999" s="382" t="s">
        <v>8661</v>
      </c>
      <c r="F999" s="242"/>
      <c r="G999"/>
      <c r="H999" s="322">
        <v>240900</v>
      </c>
      <c r="I999" s="322">
        <v>248000</v>
      </c>
      <c r="J999" s="242">
        <v>32200</v>
      </c>
      <c r="K999" s="18" t="e">
        <f>INDEX(תקציב_2013,MATCH(D999,'תקציב 2015'!$D$3:$D$5960,0),8)</f>
        <v>#N/A</v>
      </c>
      <c r="L999" s="18" t="str">
        <f t="shared" si="123"/>
        <v>8</v>
      </c>
      <c r="M999" s="18" t="str">
        <f>INDEX(Chapter,MATCH(L999,Chapter!$A$1:$A$681,0),8)</f>
        <v>שירותים ממלכתיים</v>
      </c>
      <c r="N999" s="18" t="str">
        <f t="shared" si="124"/>
        <v>81</v>
      </c>
      <c r="O999" s="18" t="str">
        <f>INDEX(Chapter,MATCH(N999,Chapter!$A$1:$A$681,0),8)</f>
        <v>חינוך</v>
      </c>
      <c r="P999" s="18" t="str">
        <f t="shared" si="125"/>
        <v>816</v>
      </c>
      <c r="Q999" s="18" t="str">
        <f>INDEX(Chapter,MATCH(P999,Chapter!$A$1:$A$681,0),8)</f>
        <v>חינוך גבוה</v>
      </c>
      <c r="R999" s="18" t="str">
        <f t="shared" si="126"/>
        <v>8169</v>
      </c>
      <c r="S999" s="18" t="e">
        <f>INDEX(Chapter,MATCH(R999,Chapter!$A$1:$A$681,0),8)</f>
        <v>#N/A</v>
      </c>
      <c r="T999" s="18"/>
      <c r="U999" s="18" t="str">
        <f t="shared" si="127"/>
        <v>7</v>
      </c>
      <c r="V999" s="18" t="str">
        <f>IF($L999&lt;"6",INDEX(Revenue_type,MATCH(U999*1,type!$A$118:$A$168,0),8),INDEX(Expenditure_type,MATCH(U999*1,type!$A$2:$A$117,0),8))</f>
        <v>הוצאות לפעולות</v>
      </c>
      <c r="W999" s="18" t="str">
        <f t="shared" si="128"/>
        <v>70</v>
      </c>
      <c r="X999" s="18" t="e">
        <f>IF($L999&lt;"6",INDEX(Revenue_type,MATCH(W999*1,type!$A$118:$A$168,0),8),INDEX(Expenditure_type,MATCH(W999*1,type!$A$2:$A$117,0),8))</f>
        <v>#N/A</v>
      </c>
      <c r="Y999" s="18" t="str">
        <f t="shared" si="129"/>
        <v>700</v>
      </c>
      <c r="Z999" s="18" t="e">
        <f>IF($L999&lt;"6",INDEX(Revenue_type,MATCH(Y999*1,type!$A$118:$A$168,0),8),INDEX(Expenditure_type,MATCH(Y999*1,type!$A$2:$A$117,0),8))</f>
        <v>#N/A</v>
      </c>
    </row>
    <row r="1000" spans="1:26" ht="15.75" hidden="1" customHeight="1" outlineLevel="2">
      <c r="A1000">
        <v>700</v>
      </c>
      <c r="B1000" s="249">
        <v>816930</v>
      </c>
      <c r="C1000">
        <v>1</v>
      </c>
      <c r="D1000" t="str">
        <f t="shared" si="122"/>
        <v>1816930.700</v>
      </c>
      <c r="E1000" s="382" t="s">
        <v>8662</v>
      </c>
      <c r="F1000" s="242"/>
      <c r="G1000"/>
      <c r="H1000" s="322">
        <v>2043700</v>
      </c>
      <c r="I1000" s="322">
        <v>2103800</v>
      </c>
      <c r="J1000" s="242">
        <v>1722400</v>
      </c>
      <c r="K1000" s="18" t="e">
        <f>INDEX(תקציב_2013,MATCH(D1000,'תקציב 2015'!$D$3:$D$5960,0),8)</f>
        <v>#N/A</v>
      </c>
      <c r="L1000" s="18" t="str">
        <f t="shared" si="123"/>
        <v>8</v>
      </c>
      <c r="M1000" s="18" t="str">
        <f>INDEX(Chapter,MATCH(L1000,Chapter!$A$1:$A$681,0),8)</f>
        <v>שירותים ממלכתיים</v>
      </c>
      <c r="N1000" s="18" t="str">
        <f t="shared" si="124"/>
        <v>81</v>
      </c>
      <c r="O1000" s="18" t="str">
        <f>INDEX(Chapter,MATCH(N1000,Chapter!$A$1:$A$681,0),8)</f>
        <v>חינוך</v>
      </c>
      <c r="P1000" s="18" t="str">
        <f t="shared" si="125"/>
        <v>816</v>
      </c>
      <c r="Q1000" s="18" t="str">
        <f>INDEX(Chapter,MATCH(P1000,Chapter!$A$1:$A$681,0),8)</f>
        <v>חינוך גבוה</v>
      </c>
      <c r="R1000" s="18" t="str">
        <f t="shared" si="126"/>
        <v>8169</v>
      </c>
      <c r="S1000" s="18" t="e">
        <f>INDEX(Chapter,MATCH(R1000,Chapter!$A$1:$A$681,0),8)</f>
        <v>#N/A</v>
      </c>
      <c r="T1000" s="18"/>
      <c r="U1000" s="18" t="str">
        <f t="shared" si="127"/>
        <v>7</v>
      </c>
      <c r="V1000" s="18" t="str">
        <f>IF($L1000&lt;"6",INDEX(Revenue_type,MATCH(U1000*1,type!$A$118:$A$168,0),8),INDEX(Expenditure_type,MATCH(U1000*1,type!$A$2:$A$117,0),8))</f>
        <v>הוצאות לפעולות</v>
      </c>
      <c r="W1000" s="18" t="str">
        <f t="shared" si="128"/>
        <v>70</v>
      </c>
      <c r="X1000" s="18" t="e">
        <f>IF($L1000&lt;"6",INDEX(Revenue_type,MATCH(W1000*1,type!$A$118:$A$168,0),8),INDEX(Expenditure_type,MATCH(W1000*1,type!$A$2:$A$117,0),8))</f>
        <v>#N/A</v>
      </c>
      <c r="Y1000" s="18" t="str">
        <f t="shared" si="129"/>
        <v>700</v>
      </c>
      <c r="Z1000" s="18" t="e">
        <f>IF($L1000&lt;"6",INDEX(Revenue_type,MATCH(Y1000*1,type!$A$118:$A$168,0),8),INDEX(Expenditure_type,MATCH(Y1000*1,type!$A$2:$A$117,0),8))</f>
        <v>#N/A</v>
      </c>
    </row>
    <row r="1001" spans="1:26" ht="15.75" hidden="1" customHeight="1" outlineLevel="2">
      <c r="A1001">
        <v>700</v>
      </c>
      <c r="B1001" s="249">
        <v>816900</v>
      </c>
      <c r="C1001">
        <v>1</v>
      </c>
      <c r="D1001" t="str">
        <f t="shared" si="122"/>
        <v>1816900.700</v>
      </c>
      <c r="E1001" s="382" t="s">
        <v>8663</v>
      </c>
      <c r="F1001" s="242"/>
      <c r="G1001"/>
      <c r="H1001" s="322">
        <v>388600</v>
      </c>
      <c r="I1001" s="322">
        <v>400000</v>
      </c>
      <c r="J1001" s="242">
        <v>123500</v>
      </c>
      <c r="K1001" s="18" t="e">
        <f>INDEX(תקציב_2013,MATCH(D1001,'תקציב 2015'!$D$3:$D$5960,0),8)</f>
        <v>#N/A</v>
      </c>
      <c r="L1001" s="18" t="str">
        <f t="shared" si="123"/>
        <v>8</v>
      </c>
      <c r="M1001" s="18" t="str">
        <f>INDEX(Chapter,MATCH(L1001,Chapter!$A$1:$A$681,0),8)</f>
        <v>שירותים ממלכתיים</v>
      </c>
      <c r="N1001" s="18" t="str">
        <f t="shared" si="124"/>
        <v>81</v>
      </c>
      <c r="O1001" s="18" t="str">
        <f>INDEX(Chapter,MATCH(N1001,Chapter!$A$1:$A$681,0),8)</f>
        <v>חינוך</v>
      </c>
      <c r="P1001" s="18" t="str">
        <f t="shared" si="125"/>
        <v>816</v>
      </c>
      <c r="Q1001" s="18" t="str">
        <f>INDEX(Chapter,MATCH(P1001,Chapter!$A$1:$A$681,0),8)</f>
        <v>חינוך גבוה</v>
      </c>
      <c r="R1001" s="18" t="str">
        <f t="shared" si="126"/>
        <v>8169</v>
      </c>
      <c r="S1001" s="18" t="e">
        <f>INDEX(Chapter,MATCH(R1001,Chapter!$A$1:$A$681,0),8)</f>
        <v>#N/A</v>
      </c>
      <c r="T1001" s="18"/>
      <c r="U1001" s="18" t="str">
        <f t="shared" si="127"/>
        <v>7</v>
      </c>
      <c r="V1001" s="18" t="str">
        <f>IF($L1001&lt;"6",INDEX(Revenue_type,MATCH(U1001*1,type!$A$118:$A$168,0),8),INDEX(Expenditure_type,MATCH(U1001*1,type!$A$2:$A$117,0),8))</f>
        <v>הוצאות לפעולות</v>
      </c>
      <c r="W1001" s="18" t="str">
        <f t="shared" si="128"/>
        <v>70</v>
      </c>
      <c r="X1001" s="18" t="e">
        <f>IF($L1001&lt;"6",INDEX(Revenue_type,MATCH(W1001*1,type!$A$118:$A$168,0),8),INDEX(Expenditure_type,MATCH(W1001*1,type!$A$2:$A$117,0),8))</f>
        <v>#N/A</v>
      </c>
      <c r="Y1001" s="18" t="str">
        <f t="shared" si="129"/>
        <v>700</v>
      </c>
      <c r="Z1001" s="18" t="e">
        <f>IF($L1001&lt;"6",INDEX(Revenue_type,MATCH(Y1001*1,type!$A$118:$A$168,0),8),INDEX(Expenditure_type,MATCH(Y1001*1,type!$A$2:$A$117,0),8))</f>
        <v>#N/A</v>
      </c>
    </row>
    <row r="1002" spans="1:26" ht="15.75" hidden="1" customHeight="1" outlineLevel="2">
      <c r="A1002">
        <v>700</v>
      </c>
      <c r="B1002" s="249">
        <v>811160</v>
      </c>
      <c r="C1002">
        <v>1</v>
      </c>
      <c r="D1002" t="str">
        <f t="shared" si="122"/>
        <v>1811160.700</v>
      </c>
      <c r="E1002" s="385" t="s">
        <v>8664</v>
      </c>
      <c r="F1002" s="242"/>
      <c r="G1002"/>
      <c r="H1002" s="322">
        <v>1413400</v>
      </c>
      <c r="I1002" s="322">
        <v>1455000</v>
      </c>
      <c r="J1002" s="242">
        <v>1574400</v>
      </c>
      <c r="K1002" s="18" t="e">
        <f>INDEX(תקציב_2013,MATCH(D1002,'תקציב 2015'!$D$3:$D$5960,0),8)</f>
        <v>#N/A</v>
      </c>
      <c r="L1002" s="18" t="str">
        <f t="shared" si="123"/>
        <v>8</v>
      </c>
      <c r="M1002" s="18" t="str">
        <f>INDEX(Chapter,MATCH(L1002,Chapter!$A$1:$A$681,0),8)</f>
        <v>שירותים ממלכתיים</v>
      </c>
      <c r="N1002" s="18" t="str">
        <f t="shared" si="124"/>
        <v>81</v>
      </c>
      <c r="O1002" s="18" t="str">
        <f>INDEX(Chapter,MATCH(N1002,Chapter!$A$1:$A$681,0),8)</f>
        <v>חינוך</v>
      </c>
      <c r="P1002" s="18" t="str">
        <f t="shared" si="125"/>
        <v>811</v>
      </c>
      <c r="Q1002" s="18" t="str">
        <f>INDEX(Chapter,MATCH(P1002,Chapter!$A$1:$A$681,0),8)</f>
        <v>מינהל החינוך</v>
      </c>
      <c r="R1002" s="18" t="str">
        <f t="shared" si="126"/>
        <v>8111</v>
      </c>
      <c r="S1002" s="18" t="e">
        <f>INDEX(Chapter,MATCH(R1002,Chapter!$A$1:$A$681,0),8)</f>
        <v>#N/A</v>
      </c>
      <c r="T1002" s="18"/>
      <c r="U1002" s="18" t="str">
        <f t="shared" si="127"/>
        <v>7</v>
      </c>
      <c r="V1002" s="18" t="str">
        <f>IF($L1002&lt;"6",INDEX(Revenue_type,MATCH(U1002*1,type!$A$118:$A$168,0),8),INDEX(Expenditure_type,MATCH(U1002*1,type!$A$2:$A$117,0),8))</f>
        <v>הוצאות לפעולות</v>
      </c>
      <c r="W1002" s="18" t="str">
        <f t="shared" si="128"/>
        <v>70</v>
      </c>
      <c r="X1002" s="18" t="e">
        <f>IF($L1002&lt;"6",INDEX(Revenue_type,MATCH(W1002*1,type!$A$118:$A$168,0),8),INDEX(Expenditure_type,MATCH(W1002*1,type!$A$2:$A$117,0),8))</f>
        <v>#N/A</v>
      </c>
      <c r="Y1002" s="18" t="str">
        <f t="shared" si="129"/>
        <v>700</v>
      </c>
      <c r="Z1002" s="18" t="e">
        <f>IF($L1002&lt;"6",INDEX(Revenue_type,MATCH(Y1002*1,type!$A$118:$A$168,0),8),INDEX(Expenditure_type,MATCH(Y1002*1,type!$A$2:$A$117,0),8))</f>
        <v>#N/A</v>
      </c>
    </row>
    <row r="1003" spans="1:26" ht="15.75" hidden="1" customHeight="1" outlineLevel="2">
      <c r="A1003">
        <v>200</v>
      </c>
      <c r="B1003" s="249">
        <v>817319</v>
      </c>
      <c r="C1003">
        <v>1</v>
      </c>
      <c r="D1003" t="str">
        <f t="shared" si="122"/>
        <v>1817319.200</v>
      </c>
      <c r="E1003" s="382" t="s">
        <v>8665</v>
      </c>
      <c r="F1003" s="242"/>
      <c r="G1003"/>
      <c r="H1003" s="322">
        <v>400000</v>
      </c>
      <c r="I1003" s="322">
        <v>400000</v>
      </c>
      <c r="J1003" s="242">
        <v>105700</v>
      </c>
      <c r="K1003" s="18" t="e">
        <f>INDEX(תקציב_2013,MATCH(D1003,'תקציב 2015'!$D$3:$D$5960,0),8)</f>
        <v>#N/A</v>
      </c>
      <c r="L1003" s="18" t="str">
        <f t="shared" si="123"/>
        <v>8</v>
      </c>
      <c r="M1003" s="18" t="str">
        <f>INDEX(Chapter,MATCH(L1003,Chapter!$A$1:$A$681,0),8)</f>
        <v>שירותים ממלכתיים</v>
      </c>
      <c r="N1003" s="18" t="str">
        <f t="shared" si="124"/>
        <v>81</v>
      </c>
      <c r="O1003" s="18" t="str">
        <f>INDEX(Chapter,MATCH(N1003,Chapter!$A$1:$A$681,0),8)</f>
        <v>חינוך</v>
      </c>
      <c r="P1003" s="18" t="str">
        <f t="shared" si="125"/>
        <v>817</v>
      </c>
      <c r="Q1003" s="18" t="str">
        <f>INDEX(Chapter,MATCH(P1003,Chapter!$A$1:$A$681,0),8)</f>
        <v>שירותים נוספים לבתי״ס וגנ״י</v>
      </c>
      <c r="R1003" s="18" t="str">
        <f t="shared" si="126"/>
        <v>8173</v>
      </c>
      <c r="S1003" s="18" t="str">
        <f>INDEX(Chapter,MATCH(R1003,Chapter!$A$1:$A$681,0),8)</f>
        <v>שרות פסיכולוגי חינוכי</v>
      </c>
      <c r="T1003" s="18"/>
      <c r="U1003" s="18" t="str">
        <f t="shared" si="127"/>
        <v>2</v>
      </c>
      <c r="V1003" s="18" t="str">
        <f>IF($L1003&lt;"6",INDEX(Revenue_type,MATCH(U1003*1,type!$A$118:$A$168,0),8),INDEX(Expenditure_type,MATCH(U1003*1,type!$A$2:$A$117,0),8))</f>
        <v>משכורות וש"ע לעובדים בלי תקן</v>
      </c>
      <c r="W1003" s="18" t="str">
        <f t="shared" si="128"/>
        <v>20</v>
      </c>
      <c r="X1003" s="18" t="e">
        <f>IF($L1003&lt;"6",INDEX(Revenue_type,MATCH(W1003*1,type!$A$118:$A$168,0),8),INDEX(Expenditure_type,MATCH(W1003*1,type!$A$2:$A$117,0),8))</f>
        <v>#N/A</v>
      </c>
      <c r="Y1003" s="18" t="str">
        <f t="shared" si="129"/>
        <v>200</v>
      </c>
      <c r="Z1003" s="18" t="e">
        <f>IF($L1003&lt;"6",INDEX(Revenue_type,MATCH(Y1003*1,type!$A$118:$A$168,0),8),INDEX(Expenditure_type,MATCH(Y1003*1,type!$A$2:$A$117,0),8))</f>
        <v>#N/A</v>
      </c>
    </row>
    <row r="1004" spans="1:26" ht="15.75" hidden="1" customHeight="1" outlineLevel="2">
      <c r="A1004">
        <v>500</v>
      </c>
      <c r="B1004" s="249">
        <v>817319</v>
      </c>
      <c r="C1004">
        <v>1</v>
      </c>
      <c r="D1004" t="str">
        <f t="shared" si="122"/>
        <v>1817319.500</v>
      </c>
      <c r="E1004" s="382" t="s">
        <v>8666</v>
      </c>
      <c r="F1004" s="242"/>
      <c r="G1004"/>
      <c r="H1004" s="322">
        <v>805000</v>
      </c>
      <c r="I1004" s="322">
        <v>805000</v>
      </c>
      <c r="J1004" s="242">
        <v>648600</v>
      </c>
      <c r="K1004" s="18" t="e">
        <f>INDEX(תקציב_2013,MATCH(D1004,'תקציב 2015'!$D$3:$D$5960,0),8)</f>
        <v>#N/A</v>
      </c>
      <c r="L1004" s="18" t="str">
        <f t="shared" si="123"/>
        <v>8</v>
      </c>
      <c r="M1004" s="18" t="str">
        <f>INDEX(Chapter,MATCH(L1004,Chapter!$A$1:$A$681,0),8)</f>
        <v>שירותים ממלכתיים</v>
      </c>
      <c r="N1004" s="18" t="str">
        <f t="shared" si="124"/>
        <v>81</v>
      </c>
      <c r="O1004" s="18" t="str">
        <f>INDEX(Chapter,MATCH(N1004,Chapter!$A$1:$A$681,0),8)</f>
        <v>חינוך</v>
      </c>
      <c r="P1004" s="18" t="str">
        <f t="shared" si="125"/>
        <v>817</v>
      </c>
      <c r="Q1004" s="18" t="str">
        <f>INDEX(Chapter,MATCH(P1004,Chapter!$A$1:$A$681,0),8)</f>
        <v>שירותים נוספים לבתי״ס וגנ״י</v>
      </c>
      <c r="R1004" s="18" t="str">
        <f t="shared" si="126"/>
        <v>8173</v>
      </c>
      <c r="S1004" s="18" t="str">
        <f>INDEX(Chapter,MATCH(R1004,Chapter!$A$1:$A$681,0),8)</f>
        <v>שרות פסיכולוגי חינוכי</v>
      </c>
      <c r="T1004" s="18"/>
      <c r="U1004" s="18" t="str">
        <f t="shared" si="127"/>
        <v>5</v>
      </c>
      <c r="V1004" s="18" t="str">
        <f>IF($L1004&lt;"6",INDEX(Revenue_type,MATCH(U1004*1,type!$A$118:$A$168,0),8),INDEX(Expenditure_type,MATCH(U1004*1,type!$A$2:$A$117,0),8))</f>
        <v>הוצאות מנהליות</v>
      </c>
      <c r="W1004" s="18" t="str">
        <f t="shared" si="128"/>
        <v>50</v>
      </c>
      <c r="X1004" s="18" t="e">
        <f>IF($L1004&lt;"6",INDEX(Revenue_type,MATCH(W1004*1,type!$A$118:$A$168,0),8),INDEX(Expenditure_type,MATCH(W1004*1,type!$A$2:$A$117,0),8))</f>
        <v>#N/A</v>
      </c>
      <c r="Y1004" s="18" t="str">
        <f t="shared" si="129"/>
        <v>500</v>
      </c>
      <c r="Z1004" s="18" t="e">
        <f>IF($L1004&lt;"6",INDEX(Revenue_type,MATCH(Y1004*1,type!$A$118:$A$168,0),8),INDEX(Expenditure_type,MATCH(Y1004*1,type!$A$2:$A$117,0),8))</f>
        <v>#N/A</v>
      </c>
    </row>
    <row r="1005" spans="1:26" ht="15.75" hidden="1" customHeight="1" outlineLevel="2">
      <c r="A1005">
        <v>100</v>
      </c>
      <c r="B1005" s="249">
        <v>811004</v>
      </c>
      <c r="C1005">
        <v>1</v>
      </c>
      <c r="D1005" t="str">
        <f t="shared" si="122"/>
        <v>1811004.100</v>
      </c>
      <c r="E1005" s="382" t="s">
        <v>8667</v>
      </c>
      <c r="F1005" s="242"/>
      <c r="G1005"/>
      <c r="H1005" s="322">
        <v>2766700</v>
      </c>
      <c r="I1005" s="322">
        <v>2735700</v>
      </c>
      <c r="J1005" s="242">
        <v>2727800</v>
      </c>
      <c r="K1005" s="18" t="e">
        <f>INDEX(תקציב_2013,MATCH(D1005,'תקציב 2015'!$D$3:$D$5960,0),8)</f>
        <v>#N/A</v>
      </c>
      <c r="L1005" s="18" t="str">
        <f t="shared" si="123"/>
        <v>8</v>
      </c>
      <c r="M1005" s="18" t="str">
        <f>INDEX(Chapter,MATCH(L1005,Chapter!$A$1:$A$681,0),8)</f>
        <v>שירותים ממלכתיים</v>
      </c>
      <c r="N1005" s="18" t="str">
        <f t="shared" si="124"/>
        <v>81</v>
      </c>
      <c r="O1005" s="18" t="str">
        <f>INDEX(Chapter,MATCH(N1005,Chapter!$A$1:$A$681,0),8)</f>
        <v>חינוך</v>
      </c>
      <c r="P1005" s="18" t="str">
        <f t="shared" si="125"/>
        <v>811</v>
      </c>
      <c r="Q1005" s="18" t="str">
        <f>INDEX(Chapter,MATCH(P1005,Chapter!$A$1:$A$681,0),8)</f>
        <v>מינהל החינוך</v>
      </c>
      <c r="R1005" s="18" t="str">
        <f t="shared" si="126"/>
        <v>8110</v>
      </c>
      <c r="S1005" s="18" t="e">
        <f>INDEX(Chapter,MATCH(R1005,Chapter!$A$1:$A$681,0),8)</f>
        <v>#N/A</v>
      </c>
      <c r="T1005" s="18"/>
      <c r="U1005" s="18" t="str">
        <f t="shared" si="127"/>
        <v>1</v>
      </c>
      <c r="V1005" s="18" t="str">
        <f>IF($L1005&lt;"6",INDEX(Revenue_type,MATCH(U1005*1,type!$A$118:$A$168,0),8),INDEX(Expenditure_type,MATCH(U1005*1,type!$A$2:$A$117,0),8))</f>
        <v>משכורות וש"ע לעובדים לפי תקן</v>
      </c>
      <c r="W1005" s="18" t="str">
        <f t="shared" si="128"/>
        <v>10</v>
      </c>
      <c r="X1005" s="18" t="e">
        <f>IF($L1005&lt;"6",INDEX(Revenue_type,MATCH(W1005*1,type!$A$118:$A$168,0),8),INDEX(Expenditure_type,MATCH(W1005*1,type!$A$2:$A$117,0),8))</f>
        <v>#N/A</v>
      </c>
      <c r="Y1005" s="18" t="str">
        <f t="shared" si="129"/>
        <v>100</v>
      </c>
      <c r="Z1005" s="18" t="e">
        <f>IF($L1005&lt;"6",INDEX(Revenue_type,MATCH(Y1005*1,type!$A$118:$A$168,0),8),INDEX(Expenditure_type,MATCH(Y1005*1,type!$A$2:$A$117,0),8))</f>
        <v>#N/A</v>
      </c>
    </row>
    <row r="1006" spans="1:26" ht="15.75" hidden="1" customHeight="1" outlineLevel="2">
      <c r="A1006">
        <v>120</v>
      </c>
      <c r="B1006" s="249">
        <v>811004</v>
      </c>
      <c r="C1006">
        <v>1</v>
      </c>
      <c r="D1006" t="str">
        <f t="shared" si="122"/>
        <v>1811004.120</v>
      </c>
      <c r="E1006" s="382" t="s">
        <v>8668</v>
      </c>
      <c r="F1006" s="242"/>
      <c r="G1006"/>
      <c r="H1006" s="322">
        <v>22300</v>
      </c>
      <c r="I1006" s="322">
        <v>22300</v>
      </c>
      <c r="J1006" s="242">
        <v>29200</v>
      </c>
      <c r="K1006" s="18" t="e">
        <f>INDEX(תקציב_2013,MATCH(D1006,'תקציב 2015'!$D$3:$D$5960,0),8)</f>
        <v>#N/A</v>
      </c>
      <c r="L1006" s="18" t="str">
        <f t="shared" si="123"/>
        <v>8</v>
      </c>
      <c r="M1006" s="18" t="str">
        <f>INDEX(Chapter,MATCH(L1006,Chapter!$A$1:$A$681,0),8)</f>
        <v>שירותים ממלכתיים</v>
      </c>
      <c r="N1006" s="18" t="str">
        <f t="shared" si="124"/>
        <v>81</v>
      </c>
      <c r="O1006" s="18" t="str">
        <f>INDEX(Chapter,MATCH(N1006,Chapter!$A$1:$A$681,0),8)</f>
        <v>חינוך</v>
      </c>
      <c r="P1006" s="18" t="str">
        <f t="shared" si="125"/>
        <v>811</v>
      </c>
      <c r="Q1006" s="18" t="str">
        <f>INDEX(Chapter,MATCH(P1006,Chapter!$A$1:$A$681,0),8)</f>
        <v>מינהל החינוך</v>
      </c>
      <c r="R1006" s="18" t="str">
        <f t="shared" si="126"/>
        <v>8110</v>
      </c>
      <c r="S1006" s="18" t="e">
        <f>INDEX(Chapter,MATCH(R1006,Chapter!$A$1:$A$681,0),8)</f>
        <v>#N/A</v>
      </c>
      <c r="T1006" s="18"/>
      <c r="U1006" s="18" t="str">
        <f t="shared" si="127"/>
        <v>1</v>
      </c>
      <c r="V1006" s="18" t="str">
        <f>IF($L1006&lt;"6",INDEX(Revenue_type,MATCH(U1006*1,type!$A$118:$A$168,0),8),INDEX(Expenditure_type,MATCH(U1006*1,type!$A$2:$A$117,0),8))</f>
        <v>משכורות וש"ע לעובדים לפי תקן</v>
      </c>
      <c r="W1006" s="18" t="str">
        <f t="shared" si="128"/>
        <v>12</v>
      </c>
      <c r="X1006" s="18" t="str">
        <f>IF($L1006&lt;"6",INDEX(Revenue_type,MATCH(W1006*1,type!$A$118:$A$168,0),8),INDEX(Expenditure_type,MATCH(W1006*1,type!$A$2:$A$117,0),8))</f>
        <v>תוספות שאינן נכללות בשכר הקובע</v>
      </c>
      <c r="Y1006" s="18" t="str">
        <f t="shared" si="129"/>
        <v>120</v>
      </c>
      <c r="Z1006" s="18" t="e">
        <f>IF($L1006&lt;"6",INDEX(Revenue_type,MATCH(Y1006*1,type!$A$118:$A$168,0),8),INDEX(Expenditure_type,MATCH(Y1006*1,type!$A$2:$A$117,0),8))</f>
        <v>#N/A</v>
      </c>
    </row>
    <row r="1007" spans="1:26" ht="15.75" hidden="1" customHeight="1" outlineLevel="2">
      <c r="A1007">
        <v>700</v>
      </c>
      <c r="B1007" s="249">
        <v>811004</v>
      </c>
      <c r="C1007">
        <v>1</v>
      </c>
      <c r="D1007" t="str">
        <f t="shared" si="122"/>
        <v>1811004.700</v>
      </c>
      <c r="E1007" s="382" t="s">
        <v>8669</v>
      </c>
      <c r="F1007" s="242"/>
      <c r="G1007"/>
      <c r="H1007" s="322">
        <v>36900</v>
      </c>
      <c r="I1007" s="322">
        <v>38000</v>
      </c>
      <c r="J1007" s="242">
        <v>33700</v>
      </c>
      <c r="K1007" s="18" t="e">
        <f>INDEX(תקציב_2013,MATCH(D1007,'תקציב 2015'!$D$3:$D$5960,0),8)</f>
        <v>#N/A</v>
      </c>
      <c r="L1007" s="18" t="str">
        <f t="shared" si="123"/>
        <v>8</v>
      </c>
      <c r="M1007" s="18" t="str">
        <f>INDEX(Chapter,MATCH(L1007,Chapter!$A$1:$A$681,0),8)</f>
        <v>שירותים ממלכתיים</v>
      </c>
      <c r="N1007" s="18" t="str">
        <f t="shared" si="124"/>
        <v>81</v>
      </c>
      <c r="O1007" s="18" t="str">
        <f>INDEX(Chapter,MATCH(N1007,Chapter!$A$1:$A$681,0),8)</f>
        <v>חינוך</v>
      </c>
      <c r="P1007" s="18" t="str">
        <f t="shared" si="125"/>
        <v>811</v>
      </c>
      <c r="Q1007" s="18" t="str">
        <f>INDEX(Chapter,MATCH(P1007,Chapter!$A$1:$A$681,0),8)</f>
        <v>מינהל החינוך</v>
      </c>
      <c r="R1007" s="18" t="str">
        <f t="shared" si="126"/>
        <v>8110</v>
      </c>
      <c r="S1007" s="18" t="e">
        <f>INDEX(Chapter,MATCH(R1007,Chapter!$A$1:$A$681,0),8)</f>
        <v>#N/A</v>
      </c>
      <c r="T1007" s="18"/>
      <c r="U1007" s="18" t="str">
        <f t="shared" si="127"/>
        <v>7</v>
      </c>
      <c r="V1007" s="18" t="str">
        <f>IF($L1007&lt;"6",INDEX(Revenue_type,MATCH(U1007*1,type!$A$118:$A$168,0),8),INDEX(Expenditure_type,MATCH(U1007*1,type!$A$2:$A$117,0),8))</f>
        <v>הוצאות לפעולות</v>
      </c>
      <c r="W1007" s="18" t="str">
        <f t="shared" si="128"/>
        <v>70</v>
      </c>
      <c r="X1007" s="18" t="e">
        <f>IF($L1007&lt;"6",INDEX(Revenue_type,MATCH(W1007*1,type!$A$118:$A$168,0),8),INDEX(Expenditure_type,MATCH(W1007*1,type!$A$2:$A$117,0),8))</f>
        <v>#N/A</v>
      </c>
      <c r="Y1007" s="18" t="str">
        <f t="shared" si="129"/>
        <v>700</v>
      </c>
      <c r="Z1007" s="18" t="e">
        <f>IF($L1007&lt;"6",INDEX(Revenue_type,MATCH(Y1007*1,type!$A$118:$A$168,0),8),INDEX(Expenditure_type,MATCH(Y1007*1,type!$A$2:$A$117,0),8))</f>
        <v>#N/A</v>
      </c>
    </row>
    <row r="1008" spans="1:26" ht="15.75" hidden="1" customHeight="1" outlineLevel="2">
      <c r="A1008">
        <v>700</v>
      </c>
      <c r="B1008" s="249">
        <v>817110</v>
      </c>
      <c r="C1008">
        <v>1</v>
      </c>
      <c r="D1008" t="str">
        <f t="shared" si="122"/>
        <v>1817110.700</v>
      </c>
      <c r="E1008" s="382" t="s">
        <v>8670</v>
      </c>
      <c r="F1008" s="242"/>
      <c r="G1008"/>
      <c r="H1008" s="322">
        <v>8290000</v>
      </c>
      <c r="I1008" s="322">
        <v>8440000</v>
      </c>
      <c r="J1008" s="242">
        <v>8998300</v>
      </c>
      <c r="K1008" s="18" t="e">
        <f>INDEX(תקציב_2013,MATCH(D1008,'תקציב 2015'!$D$3:$D$5960,0),8)</f>
        <v>#N/A</v>
      </c>
      <c r="L1008" s="18" t="str">
        <f t="shared" si="123"/>
        <v>8</v>
      </c>
      <c r="M1008" s="18" t="str">
        <f>INDEX(Chapter,MATCH(L1008,Chapter!$A$1:$A$681,0),8)</f>
        <v>שירותים ממלכתיים</v>
      </c>
      <c r="N1008" s="18" t="str">
        <f t="shared" si="124"/>
        <v>81</v>
      </c>
      <c r="O1008" s="18" t="str">
        <f>INDEX(Chapter,MATCH(N1008,Chapter!$A$1:$A$681,0),8)</f>
        <v>חינוך</v>
      </c>
      <c r="P1008" s="18" t="str">
        <f t="shared" si="125"/>
        <v>817</v>
      </c>
      <c r="Q1008" s="18" t="str">
        <f>INDEX(Chapter,MATCH(P1008,Chapter!$A$1:$A$681,0),8)</f>
        <v>שירותים נוספים לבתי״ס וגנ״י</v>
      </c>
      <c r="R1008" s="18" t="str">
        <f t="shared" si="126"/>
        <v>8171</v>
      </c>
      <c r="S1008" s="18" t="str">
        <f>INDEX(Chapter,MATCH(R1008,Chapter!$A$1:$A$681,0),8)</f>
        <v>קב״ט שמירח ובטחון מוסדות חינוך</v>
      </c>
      <c r="T1008" s="18"/>
      <c r="U1008" s="18" t="str">
        <f t="shared" si="127"/>
        <v>7</v>
      </c>
      <c r="V1008" s="18" t="str">
        <f>IF($L1008&lt;"6",INDEX(Revenue_type,MATCH(U1008*1,type!$A$118:$A$168,0),8),INDEX(Expenditure_type,MATCH(U1008*1,type!$A$2:$A$117,0),8))</f>
        <v>הוצאות לפעולות</v>
      </c>
      <c r="W1008" s="18" t="str">
        <f t="shared" si="128"/>
        <v>70</v>
      </c>
      <c r="X1008" s="18" t="e">
        <f>IF($L1008&lt;"6",INDEX(Revenue_type,MATCH(W1008*1,type!$A$118:$A$168,0),8),INDEX(Expenditure_type,MATCH(W1008*1,type!$A$2:$A$117,0),8))</f>
        <v>#N/A</v>
      </c>
      <c r="Y1008" s="18" t="str">
        <f t="shared" si="129"/>
        <v>700</v>
      </c>
      <c r="Z1008" s="18" t="e">
        <f>IF($L1008&lt;"6",INDEX(Revenue_type,MATCH(Y1008*1,type!$A$118:$A$168,0),8),INDEX(Expenditure_type,MATCH(Y1008*1,type!$A$2:$A$117,0),8))</f>
        <v>#N/A</v>
      </c>
    </row>
    <row r="1009" spans="1:26" ht="15.75" hidden="1" customHeight="1" outlineLevel="2">
      <c r="A1009">
        <v>500</v>
      </c>
      <c r="B1009" s="249">
        <v>815390</v>
      </c>
      <c r="C1009">
        <v>1</v>
      </c>
      <c r="D1009" t="str">
        <f t="shared" si="122"/>
        <v>1815390.500</v>
      </c>
      <c r="E1009" s="382" t="s">
        <v>8671</v>
      </c>
      <c r="F1009" s="242"/>
      <c r="G1009"/>
      <c r="H1009" s="322">
        <v>3400000</v>
      </c>
      <c r="I1009" s="322">
        <v>3500000</v>
      </c>
      <c r="J1009" s="242">
        <v>3204800</v>
      </c>
      <c r="K1009" s="18" t="e">
        <f>INDEX(תקציב_2013,MATCH(D1009,'תקציב 2015'!$D$3:$D$5960,0),8)</f>
        <v>#N/A</v>
      </c>
      <c r="L1009" s="18" t="str">
        <f t="shared" si="123"/>
        <v>8</v>
      </c>
      <c r="M1009" s="18" t="str">
        <f>INDEX(Chapter,MATCH(L1009,Chapter!$A$1:$A$681,0),8)</f>
        <v>שירותים ממלכתיים</v>
      </c>
      <c r="N1009" s="18" t="str">
        <f t="shared" si="124"/>
        <v>81</v>
      </c>
      <c r="O1009" s="18" t="str">
        <f>INDEX(Chapter,MATCH(N1009,Chapter!$A$1:$A$681,0),8)</f>
        <v>חינוך</v>
      </c>
      <c r="P1009" s="18" t="str">
        <f t="shared" si="125"/>
        <v>815</v>
      </c>
      <c r="Q1009" s="18" t="str">
        <f>INDEX(Chapter,MATCH(P1009,Chapter!$A$1:$A$681,0),8)</f>
        <v>חינוך על יסודי</v>
      </c>
      <c r="R1009" s="18" t="str">
        <f t="shared" si="126"/>
        <v>8153</v>
      </c>
      <c r="S1009" s="18" t="str">
        <f>INDEX(Chapter,MATCH(R1009,Chapter!$A$1:$A$681,0),8)</f>
        <v>בתי״ס ערב על יסודיים</v>
      </c>
      <c r="T1009" s="18"/>
      <c r="U1009" s="18" t="str">
        <f t="shared" si="127"/>
        <v>5</v>
      </c>
      <c r="V1009" s="18" t="str">
        <f>IF($L1009&lt;"6",INDEX(Revenue_type,MATCH(U1009*1,type!$A$118:$A$168,0),8),INDEX(Expenditure_type,MATCH(U1009*1,type!$A$2:$A$117,0),8))</f>
        <v>הוצאות מנהליות</v>
      </c>
      <c r="W1009" s="18" t="str">
        <f t="shared" si="128"/>
        <v>50</v>
      </c>
      <c r="X1009" s="18" t="e">
        <f>IF($L1009&lt;"6",INDEX(Revenue_type,MATCH(W1009*1,type!$A$118:$A$168,0),8),INDEX(Expenditure_type,MATCH(W1009*1,type!$A$2:$A$117,0),8))</f>
        <v>#N/A</v>
      </c>
      <c r="Y1009" s="18" t="str">
        <f t="shared" si="129"/>
        <v>500</v>
      </c>
      <c r="Z1009" s="18" t="e">
        <f>IF($L1009&lt;"6",INDEX(Revenue_type,MATCH(Y1009*1,type!$A$118:$A$168,0),8),INDEX(Expenditure_type,MATCH(Y1009*1,type!$A$2:$A$117,0),8))</f>
        <v>#N/A</v>
      </c>
    </row>
    <row r="1010" spans="1:26" ht="15.75" hidden="1" customHeight="1" outlineLevel="2">
      <c r="A1010">
        <v>700</v>
      </c>
      <c r="B1010" s="249">
        <v>818820</v>
      </c>
      <c r="C1010">
        <v>1</v>
      </c>
      <c r="D1010" t="str">
        <f t="shared" si="122"/>
        <v>1818820.700</v>
      </c>
      <c r="E1010" s="382" t="s">
        <v>8672</v>
      </c>
      <c r="F1010" s="242"/>
      <c r="G1010"/>
      <c r="H1010" s="322">
        <v>971400</v>
      </c>
      <c r="I1010" s="322">
        <v>1000000</v>
      </c>
      <c r="J1010" s="242">
        <v>850200</v>
      </c>
      <c r="K1010" s="18" t="e">
        <f>INDEX(תקציב_2013,MATCH(D1010,'תקציב 2015'!$D$3:$D$5960,0),8)</f>
        <v>#N/A</v>
      </c>
      <c r="L1010" s="18" t="str">
        <f t="shared" si="123"/>
        <v>8</v>
      </c>
      <c r="M1010" s="18" t="str">
        <f>INDEX(Chapter,MATCH(L1010,Chapter!$A$1:$A$681,0),8)</f>
        <v>שירותים ממלכתיים</v>
      </c>
      <c r="N1010" s="18" t="str">
        <f t="shared" si="124"/>
        <v>81</v>
      </c>
      <c r="O1010" s="18" t="str">
        <f>INDEX(Chapter,MATCH(N1010,Chapter!$A$1:$A$681,0),8)</f>
        <v>חינוך</v>
      </c>
      <c r="P1010" s="18" t="str">
        <f t="shared" si="125"/>
        <v>818</v>
      </c>
      <c r="Q1010" s="18" t="str">
        <f>INDEX(Chapter,MATCH(P1010,Chapter!$A$1:$A$681,0),8)</f>
        <v>חינוך מבוגרים</v>
      </c>
      <c r="R1010" s="18" t="str">
        <f t="shared" si="126"/>
        <v>8188</v>
      </c>
      <c r="S1010" s="18" t="e">
        <f>INDEX(Chapter,MATCH(R1010,Chapter!$A$1:$A$681,0),8)</f>
        <v>#N/A</v>
      </c>
      <c r="T1010" s="18"/>
      <c r="U1010" s="18" t="str">
        <f t="shared" si="127"/>
        <v>7</v>
      </c>
      <c r="V1010" s="18" t="str">
        <f>IF($L1010&lt;"6",INDEX(Revenue_type,MATCH(U1010*1,type!$A$118:$A$168,0),8),INDEX(Expenditure_type,MATCH(U1010*1,type!$A$2:$A$117,0),8))</f>
        <v>הוצאות לפעולות</v>
      </c>
      <c r="W1010" s="18" t="str">
        <f t="shared" si="128"/>
        <v>70</v>
      </c>
      <c r="X1010" s="18" t="e">
        <f>IF($L1010&lt;"6",INDEX(Revenue_type,MATCH(W1010*1,type!$A$118:$A$168,0),8),INDEX(Expenditure_type,MATCH(W1010*1,type!$A$2:$A$117,0),8))</f>
        <v>#N/A</v>
      </c>
      <c r="Y1010" s="18" t="str">
        <f t="shared" si="129"/>
        <v>700</v>
      </c>
      <c r="Z1010" s="18" t="e">
        <f>IF($L1010&lt;"6",INDEX(Revenue_type,MATCH(Y1010*1,type!$A$118:$A$168,0),8),INDEX(Expenditure_type,MATCH(Y1010*1,type!$A$2:$A$117,0),8))</f>
        <v>#N/A</v>
      </c>
    </row>
    <row r="1011" spans="1:26" ht="15.75" hidden="1" customHeight="1" outlineLevel="2">
      <c r="A1011">
        <v>700</v>
      </c>
      <c r="B1011" s="249">
        <v>813288</v>
      </c>
      <c r="C1011">
        <v>1</v>
      </c>
      <c r="D1011" t="str">
        <f t="shared" si="122"/>
        <v>1813288.700</v>
      </c>
      <c r="E1011" s="388" t="s">
        <v>8673</v>
      </c>
      <c r="F1011" s="242"/>
      <c r="G1011"/>
      <c r="H1011" s="322">
        <v>412900</v>
      </c>
      <c r="I1011" s="322">
        <v>425000</v>
      </c>
      <c r="J1011" s="242">
        <v>129000</v>
      </c>
      <c r="K1011" s="18" t="e">
        <f>INDEX(תקציב_2013,MATCH(D1011,'תקציב 2015'!$D$3:$D$5960,0),8)</f>
        <v>#N/A</v>
      </c>
      <c r="L1011" s="18" t="str">
        <f t="shared" si="123"/>
        <v>8</v>
      </c>
      <c r="M1011" s="18" t="str">
        <f>INDEX(Chapter,MATCH(L1011,Chapter!$A$1:$A$681,0),8)</f>
        <v>שירותים ממלכתיים</v>
      </c>
      <c r="N1011" s="18" t="str">
        <f t="shared" si="124"/>
        <v>81</v>
      </c>
      <c r="O1011" s="18" t="str">
        <f>INDEX(Chapter,MATCH(N1011,Chapter!$A$1:$A$681,0),8)</f>
        <v>חינוך</v>
      </c>
      <c r="P1011" s="18" t="str">
        <f t="shared" si="125"/>
        <v>813</v>
      </c>
      <c r="Q1011" s="18" t="str">
        <f>INDEX(Chapter,MATCH(P1011,Chapter!$A$1:$A$681,0),8)</f>
        <v>חינוך יסודי</v>
      </c>
      <c r="R1011" s="18" t="str">
        <f t="shared" si="126"/>
        <v>8132</v>
      </c>
      <c r="S1011" s="18" t="str">
        <f>INDEX(Chapter,MATCH(R1011,Chapter!$A$1:$A$681,0),8)</f>
        <v>בתי״ס יסודיים</v>
      </c>
      <c r="T1011" s="18"/>
      <c r="U1011" s="18" t="str">
        <f t="shared" si="127"/>
        <v>7</v>
      </c>
      <c r="V1011" s="18" t="str">
        <f>IF($L1011&lt;"6",INDEX(Revenue_type,MATCH(U1011*1,type!$A$118:$A$168,0),8),INDEX(Expenditure_type,MATCH(U1011*1,type!$A$2:$A$117,0),8))</f>
        <v>הוצאות לפעולות</v>
      </c>
      <c r="W1011" s="18" t="str">
        <f t="shared" si="128"/>
        <v>70</v>
      </c>
      <c r="X1011" s="18" t="e">
        <f>IF($L1011&lt;"6",INDEX(Revenue_type,MATCH(W1011*1,type!$A$118:$A$168,0),8),INDEX(Expenditure_type,MATCH(W1011*1,type!$A$2:$A$117,0),8))</f>
        <v>#N/A</v>
      </c>
      <c r="Y1011" s="18" t="str">
        <f t="shared" si="129"/>
        <v>700</v>
      </c>
      <c r="Z1011" s="18" t="e">
        <f>IF($L1011&lt;"6",INDEX(Revenue_type,MATCH(Y1011*1,type!$A$118:$A$168,0),8),INDEX(Expenditure_type,MATCH(Y1011*1,type!$A$2:$A$117,0),8))</f>
        <v>#N/A</v>
      </c>
    </row>
    <row r="1012" spans="1:26" ht="15.75" hidden="1" customHeight="1" outlineLevel="2">
      <c r="A1012">
        <v>700</v>
      </c>
      <c r="B1012" s="249">
        <v>818300</v>
      </c>
      <c r="C1012">
        <v>1</v>
      </c>
      <c r="D1012" t="str">
        <f t="shared" si="122"/>
        <v>1818300.700</v>
      </c>
      <c r="E1012" s="381" t="s">
        <v>8674</v>
      </c>
      <c r="F1012" s="242"/>
      <c r="G1012"/>
      <c r="H1012" s="322">
        <v>477900</v>
      </c>
      <c r="I1012" s="322">
        <v>492000</v>
      </c>
      <c r="J1012" s="242">
        <v>468400</v>
      </c>
      <c r="K1012" s="18" t="e">
        <f>INDEX(תקציב_2013,MATCH(D1012,'תקציב 2015'!$D$3:$D$5960,0),8)</f>
        <v>#N/A</v>
      </c>
      <c r="L1012" s="18" t="str">
        <f t="shared" si="123"/>
        <v>8</v>
      </c>
      <c r="M1012" s="18" t="str">
        <f>INDEX(Chapter,MATCH(L1012,Chapter!$A$1:$A$681,0),8)</f>
        <v>שירותים ממלכתיים</v>
      </c>
      <c r="N1012" s="18" t="str">
        <f t="shared" si="124"/>
        <v>81</v>
      </c>
      <c r="O1012" s="18" t="str">
        <f>INDEX(Chapter,MATCH(N1012,Chapter!$A$1:$A$681,0),8)</f>
        <v>חינוך</v>
      </c>
      <c r="P1012" s="18" t="str">
        <f t="shared" si="125"/>
        <v>818</v>
      </c>
      <c r="Q1012" s="18" t="str">
        <f>INDEX(Chapter,MATCH(P1012,Chapter!$A$1:$A$681,0),8)</f>
        <v>חינוך מבוגרים</v>
      </c>
      <c r="R1012" s="18" t="str">
        <f t="shared" si="126"/>
        <v>8183</v>
      </c>
      <c r="S1012" s="18" t="e">
        <f>INDEX(Chapter,MATCH(R1012,Chapter!$A$1:$A$681,0),8)</f>
        <v>#N/A</v>
      </c>
      <c r="T1012" s="18"/>
      <c r="U1012" s="18" t="str">
        <f t="shared" si="127"/>
        <v>7</v>
      </c>
      <c r="V1012" s="18" t="str">
        <f>IF($L1012&lt;"6",INDEX(Revenue_type,MATCH(U1012*1,type!$A$118:$A$168,0),8),INDEX(Expenditure_type,MATCH(U1012*1,type!$A$2:$A$117,0),8))</f>
        <v>הוצאות לפעולות</v>
      </c>
      <c r="W1012" s="18" t="str">
        <f t="shared" si="128"/>
        <v>70</v>
      </c>
      <c r="X1012" s="18" t="e">
        <f>IF($L1012&lt;"6",INDEX(Revenue_type,MATCH(W1012*1,type!$A$118:$A$168,0),8),INDEX(Expenditure_type,MATCH(W1012*1,type!$A$2:$A$117,0),8))</f>
        <v>#N/A</v>
      </c>
      <c r="Y1012" s="18" t="str">
        <f t="shared" si="129"/>
        <v>700</v>
      </c>
      <c r="Z1012" s="18" t="e">
        <f>IF($L1012&lt;"6",INDEX(Revenue_type,MATCH(Y1012*1,type!$A$118:$A$168,0),8),INDEX(Expenditure_type,MATCH(Y1012*1,type!$A$2:$A$117,0),8))</f>
        <v>#N/A</v>
      </c>
    </row>
    <row r="1013" spans="1:26" ht="15.75" hidden="1" customHeight="1" outlineLevel="2">
      <c r="A1013">
        <v>500</v>
      </c>
      <c r="B1013" s="249">
        <v>817390</v>
      </c>
      <c r="C1013">
        <v>1</v>
      </c>
      <c r="D1013" t="str">
        <f t="shared" si="122"/>
        <v>1817390.500</v>
      </c>
      <c r="E1013" s="382" t="s">
        <v>8675</v>
      </c>
      <c r="F1013" s="242"/>
      <c r="G1013"/>
      <c r="H1013" s="322">
        <v>99000</v>
      </c>
      <c r="I1013" s="322">
        <v>99000</v>
      </c>
      <c r="J1013" s="242">
        <v>211300</v>
      </c>
      <c r="K1013" s="18" t="e">
        <f>INDEX(תקציב_2013,MATCH(D1013,'תקציב 2015'!$D$3:$D$5960,0),8)</f>
        <v>#N/A</v>
      </c>
      <c r="L1013" s="18" t="str">
        <f t="shared" si="123"/>
        <v>8</v>
      </c>
      <c r="M1013" s="18" t="str">
        <f>INDEX(Chapter,MATCH(L1013,Chapter!$A$1:$A$681,0),8)</f>
        <v>שירותים ממלכתיים</v>
      </c>
      <c r="N1013" s="18" t="str">
        <f t="shared" si="124"/>
        <v>81</v>
      </c>
      <c r="O1013" s="18" t="str">
        <f>INDEX(Chapter,MATCH(N1013,Chapter!$A$1:$A$681,0),8)</f>
        <v>חינוך</v>
      </c>
      <c r="P1013" s="18" t="str">
        <f t="shared" si="125"/>
        <v>817</v>
      </c>
      <c r="Q1013" s="18" t="str">
        <f>INDEX(Chapter,MATCH(P1013,Chapter!$A$1:$A$681,0),8)</f>
        <v>שירותים נוספים לבתי״ס וגנ״י</v>
      </c>
      <c r="R1013" s="18" t="str">
        <f t="shared" si="126"/>
        <v>8173</v>
      </c>
      <c r="S1013" s="18" t="str">
        <f>INDEX(Chapter,MATCH(R1013,Chapter!$A$1:$A$681,0),8)</f>
        <v>שרות פסיכולוגי חינוכי</v>
      </c>
      <c r="T1013" s="18"/>
      <c r="U1013" s="18" t="str">
        <f t="shared" si="127"/>
        <v>5</v>
      </c>
      <c r="V1013" s="18" t="str">
        <f>IF($L1013&lt;"6",INDEX(Revenue_type,MATCH(U1013*1,type!$A$118:$A$168,0),8),INDEX(Expenditure_type,MATCH(U1013*1,type!$A$2:$A$117,0),8))</f>
        <v>הוצאות מנהליות</v>
      </c>
      <c r="W1013" s="18" t="str">
        <f t="shared" si="128"/>
        <v>50</v>
      </c>
      <c r="X1013" s="18" t="e">
        <f>IF($L1013&lt;"6",INDEX(Revenue_type,MATCH(W1013*1,type!$A$118:$A$168,0),8),INDEX(Expenditure_type,MATCH(W1013*1,type!$A$2:$A$117,0),8))</f>
        <v>#N/A</v>
      </c>
      <c r="Y1013" s="18" t="str">
        <f t="shared" si="129"/>
        <v>500</v>
      </c>
      <c r="Z1013" s="18" t="e">
        <f>IF($L1013&lt;"6",INDEX(Revenue_type,MATCH(Y1013*1,type!$A$118:$A$168,0),8),INDEX(Expenditure_type,MATCH(Y1013*1,type!$A$2:$A$117,0),8))</f>
        <v>#N/A</v>
      </c>
    </row>
    <row r="1014" spans="1:26" ht="15.75" hidden="1" customHeight="1" outlineLevel="2">
      <c r="A1014">
        <v>100</v>
      </c>
      <c r="B1014" s="249">
        <v>817300</v>
      </c>
      <c r="C1014">
        <v>1</v>
      </c>
      <c r="D1014" t="str">
        <f t="shared" si="122"/>
        <v>1817300.100</v>
      </c>
      <c r="E1014" s="382" t="s">
        <v>8676</v>
      </c>
      <c r="F1014" s="242"/>
      <c r="G1014"/>
      <c r="H1014" s="322">
        <v>8537700</v>
      </c>
      <c r="I1014" s="322">
        <v>8443700</v>
      </c>
      <c r="J1014" s="242">
        <v>8405500</v>
      </c>
      <c r="K1014" s="18" t="e">
        <f>INDEX(תקציב_2013,MATCH(D1014,'תקציב 2015'!$D$3:$D$5960,0),8)</f>
        <v>#N/A</v>
      </c>
      <c r="L1014" s="18" t="str">
        <f t="shared" si="123"/>
        <v>8</v>
      </c>
      <c r="M1014" s="18" t="str">
        <f>INDEX(Chapter,MATCH(L1014,Chapter!$A$1:$A$681,0),8)</f>
        <v>שירותים ממלכתיים</v>
      </c>
      <c r="N1014" s="18" t="str">
        <f t="shared" si="124"/>
        <v>81</v>
      </c>
      <c r="O1014" s="18" t="str">
        <f>INDEX(Chapter,MATCH(N1014,Chapter!$A$1:$A$681,0),8)</f>
        <v>חינוך</v>
      </c>
      <c r="P1014" s="18" t="str">
        <f t="shared" si="125"/>
        <v>817</v>
      </c>
      <c r="Q1014" s="18" t="str">
        <f>INDEX(Chapter,MATCH(P1014,Chapter!$A$1:$A$681,0),8)</f>
        <v>שירותים נוספים לבתי״ס וגנ״י</v>
      </c>
      <c r="R1014" s="18" t="str">
        <f t="shared" si="126"/>
        <v>8173</v>
      </c>
      <c r="S1014" s="18" t="str">
        <f>INDEX(Chapter,MATCH(R1014,Chapter!$A$1:$A$681,0),8)</f>
        <v>שרות פסיכולוגי חינוכי</v>
      </c>
      <c r="T1014" s="18"/>
      <c r="U1014" s="18" t="str">
        <f t="shared" si="127"/>
        <v>1</v>
      </c>
      <c r="V1014" s="18" t="str">
        <f>IF($L1014&lt;"6",INDEX(Revenue_type,MATCH(U1014*1,type!$A$118:$A$168,0),8),INDEX(Expenditure_type,MATCH(U1014*1,type!$A$2:$A$117,0),8))</f>
        <v>משכורות וש"ע לעובדים לפי תקן</v>
      </c>
      <c r="W1014" s="18" t="str">
        <f t="shared" si="128"/>
        <v>10</v>
      </c>
      <c r="X1014" s="18" t="e">
        <f>IF($L1014&lt;"6",INDEX(Revenue_type,MATCH(W1014*1,type!$A$118:$A$168,0),8),INDEX(Expenditure_type,MATCH(W1014*1,type!$A$2:$A$117,0),8))</f>
        <v>#N/A</v>
      </c>
      <c r="Y1014" s="18" t="str">
        <f t="shared" si="129"/>
        <v>100</v>
      </c>
      <c r="Z1014" s="18" t="e">
        <f>IF($L1014&lt;"6",INDEX(Revenue_type,MATCH(Y1014*1,type!$A$118:$A$168,0),8),INDEX(Expenditure_type,MATCH(Y1014*1,type!$A$2:$A$117,0),8))</f>
        <v>#N/A</v>
      </c>
    </row>
    <row r="1015" spans="1:26" ht="15.75" hidden="1" customHeight="1" outlineLevel="2">
      <c r="A1015">
        <v>120</v>
      </c>
      <c r="B1015" s="249">
        <v>817300</v>
      </c>
      <c r="C1015">
        <v>1</v>
      </c>
      <c r="D1015" t="str">
        <f t="shared" si="122"/>
        <v>1817300.120</v>
      </c>
      <c r="E1015" s="392" t="s">
        <v>8677</v>
      </c>
      <c r="F1015" s="242"/>
      <c r="G1015"/>
      <c r="H1015" s="322">
        <v>86300</v>
      </c>
      <c r="I1015" s="322">
        <v>86300</v>
      </c>
      <c r="J1015" s="242">
        <v>97600</v>
      </c>
      <c r="K1015" s="18" t="e">
        <f>INDEX(תקציב_2013,MATCH(D1015,'תקציב 2015'!$D$3:$D$5960,0),8)</f>
        <v>#N/A</v>
      </c>
      <c r="L1015" s="18" t="str">
        <f t="shared" si="123"/>
        <v>8</v>
      </c>
      <c r="M1015" s="18" t="str">
        <f>INDEX(Chapter,MATCH(L1015,Chapter!$A$1:$A$681,0),8)</f>
        <v>שירותים ממלכתיים</v>
      </c>
      <c r="N1015" s="18" t="str">
        <f t="shared" si="124"/>
        <v>81</v>
      </c>
      <c r="O1015" s="18" t="str">
        <f>INDEX(Chapter,MATCH(N1015,Chapter!$A$1:$A$681,0),8)</f>
        <v>חינוך</v>
      </c>
      <c r="P1015" s="18" t="str">
        <f t="shared" si="125"/>
        <v>817</v>
      </c>
      <c r="Q1015" s="18" t="str">
        <f>INDEX(Chapter,MATCH(P1015,Chapter!$A$1:$A$681,0),8)</f>
        <v>שירותים נוספים לבתי״ס וגנ״י</v>
      </c>
      <c r="R1015" s="18" t="str">
        <f t="shared" si="126"/>
        <v>8173</v>
      </c>
      <c r="S1015" s="18" t="str">
        <f>INDEX(Chapter,MATCH(R1015,Chapter!$A$1:$A$681,0),8)</f>
        <v>שרות פסיכולוגי חינוכי</v>
      </c>
      <c r="T1015" s="18"/>
      <c r="U1015" s="18" t="str">
        <f t="shared" si="127"/>
        <v>1</v>
      </c>
      <c r="V1015" s="18" t="str">
        <f>IF($L1015&lt;"6",INDEX(Revenue_type,MATCH(U1015*1,type!$A$118:$A$168,0),8),INDEX(Expenditure_type,MATCH(U1015*1,type!$A$2:$A$117,0),8))</f>
        <v>משכורות וש"ע לעובדים לפי תקן</v>
      </c>
      <c r="W1015" s="18" t="str">
        <f t="shared" si="128"/>
        <v>12</v>
      </c>
      <c r="X1015" s="18" t="str">
        <f>IF($L1015&lt;"6",INDEX(Revenue_type,MATCH(W1015*1,type!$A$118:$A$168,0),8),INDEX(Expenditure_type,MATCH(W1015*1,type!$A$2:$A$117,0),8))</f>
        <v>תוספות שאינן נכללות בשכר הקובע</v>
      </c>
      <c r="Y1015" s="18" t="str">
        <f t="shared" si="129"/>
        <v>120</v>
      </c>
      <c r="Z1015" s="18" t="e">
        <f>IF($L1015&lt;"6",INDEX(Revenue_type,MATCH(Y1015*1,type!$A$118:$A$168,0),8),INDEX(Expenditure_type,MATCH(Y1015*1,type!$A$2:$A$117,0),8))</f>
        <v>#N/A</v>
      </c>
    </row>
    <row r="1016" spans="1:26" ht="15.75" hidden="1" customHeight="1" outlineLevel="2">
      <c r="A1016">
        <v>400</v>
      </c>
      <c r="B1016" s="249">
        <v>817300</v>
      </c>
      <c r="C1016">
        <v>1</v>
      </c>
      <c r="D1016" t="str">
        <f t="shared" si="122"/>
        <v>1817300.400</v>
      </c>
      <c r="E1016" s="382" t="s">
        <v>8678</v>
      </c>
      <c r="F1016" s="242"/>
      <c r="G1016"/>
      <c r="H1016" s="322">
        <v>100000</v>
      </c>
      <c r="I1016" s="322">
        <v>100000</v>
      </c>
      <c r="J1016" s="242">
        <v>101300</v>
      </c>
      <c r="K1016" s="18" t="e">
        <f>INDEX(תקציב_2013,MATCH(D1016,'תקציב 2015'!$D$3:$D$5960,0),8)</f>
        <v>#N/A</v>
      </c>
      <c r="L1016" s="18" t="str">
        <f t="shared" si="123"/>
        <v>8</v>
      </c>
      <c r="M1016" s="18" t="str">
        <f>INDEX(Chapter,MATCH(L1016,Chapter!$A$1:$A$681,0),8)</f>
        <v>שירותים ממלכתיים</v>
      </c>
      <c r="N1016" s="18" t="str">
        <f t="shared" si="124"/>
        <v>81</v>
      </c>
      <c r="O1016" s="18" t="str">
        <f>INDEX(Chapter,MATCH(N1016,Chapter!$A$1:$A$681,0),8)</f>
        <v>חינוך</v>
      </c>
      <c r="P1016" s="18" t="str">
        <f t="shared" si="125"/>
        <v>817</v>
      </c>
      <c r="Q1016" s="18" t="str">
        <f>INDEX(Chapter,MATCH(P1016,Chapter!$A$1:$A$681,0),8)</f>
        <v>שירותים נוספים לבתי״ס וגנ״י</v>
      </c>
      <c r="R1016" s="18" t="str">
        <f t="shared" si="126"/>
        <v>8173</v>
      </c>
      <c r="S1016" s="18" t="str">
        <f>INDEX(Chapter,MATCH(R1016,Chapter!$A$1:$A$681,0),8)</f>
        <v>שרות פסיכולוגי חינוכי</v>
      </c>
      <c r="T1016" s="18"/>
      <c r="U1016" s="18" t="str">
        <f t="shared" si="127"/>
        <v>4</v>
      </c>
      <c r="V1016" s="18" t="str">
        <f>IF($L1016&lt;"6",INDEX(Revenue_type,MATCH(U1016*1,type!$A$118:$A$168,0),8),INDEX(Expenditure_type,MATCH(U1016*1,type!$A$2:$A$117,0),8))</f>
        <v>אחזקת בינים ואספקת ציוד</v>
      </c>
      <c r="W1016" s="18" t="str">
        <f t="shared" si="128"/>
        <v>40</v>
      </c>
      <c r="X1016" s="18" t="e">
        <f>IF($L1016&lt;"6",INDEX(Revenue_type,MATCH(W1016*1,type!$A$118:$A$168,0),8),INDEX(Expenditure_type,MATCH(W1016*1,type!$A$2:$A$117,0),8))</f>
        <v>#N/A</v>
      </c>
      <c r="Y1016" s="18" t="str">
        <f t="shared" si="129"/>
        <v>400</v>
      </c>
      <c r="Z1016" s="18" t="e">
        <f>IF($L1016&lt;"6",INDEX(Revenue_type,MATCH(Y1016*1,type!$A$118:$A$168,0),8),INDEX(Expenditure_type,MATCH(Y1016*1,type!$A$2:$A$117,0),8))</f>
        <v>#N/A</v>
      </c>
    </row>
    <row r="1017" spans="1:26" ht="15.75" hidden="1" customHeight="1" outlineLevel="2">
      <c r="A1017">
        <v>500</v>
      </c>
      <c r="B1017" s="249">
        <v>817300</v>
      </c>
      <c r="C1017">
        <v>1</v>
      </c>
      <c r="D1017" t="str">
        <f t="shared" si="122"/>
        <v>1817300.500</v>
      </c>
      <c r="E1017" s="382" t="s">
        <v>8679</v>
      </c>
      <c r="F1017" s="242"/>
      <c r="G1017"/>
      <c r="H1017" s="322">
        <v>41500</v>
      </c>
      <c r="I1017" s="322">
        <v>41500</v>
      </c>
      <c r="J1017" s="242">
        <v>40500</v>
      </c>
      <c r="K1017" s="18" t="e">
        <f>INDEX(תקציב_2013,MATCH(D1017,'תקציב 2015'!$D$3:$D$5960,0),8)</f>
        <v>#N/A</v>
      </c>
      <c r="L1017" s="18" t="str">
        <f t="shared" si="123"/>
        <v>8</v>
      </c>
      <c r="M1017" s="18" t="str">
        <f>INDEX(Chapter,MATCH(L1017,Chapter!$A$1:$A$681,0),8)</f>
        <v>שירותים ממלכתיים</v>
      </c>
      <c r="N1017" s="18" t="str">
        <f t="shared" si="124"/>
        <v>81</v>
      </c>
      <c r="O1017" s="18" t="str">
        <f>INDEX(Chapter,MATCH(N1017,Chapter!$A$1:$A$681,0),8)</f>
        <v>חינוך</v>
      </c>
      <c r="P1017" s="18" t="str">
        <f t="shared" si="125"/>
        <v>817</v>
      </c>
      <c r="Q1017" s="18" t="str">
        <f>INDEX(Chapter,MATCH(P1017,Chapter!$A$1:$A$681,0),8)</f>
        <v>שירותים נוספים לבתי״ס וגנ״י</v>
      </c>
      <c r="R1017" s="18" t="str">
        <f t="shared" si="126"/>
        <v>8173</v>
      </c>
      <c r="S1017" s="18" t="str">
        <f>INDEX(Chapter,MATCH(R1017,Chapter!$A$1:$A$681,0),8)</f>
        <v>שרות פסיכולוגי חינוכי</v>
      </c>
      <c r="T1017" s="18"/>
      <c r="U1017" s="18" t="str">
        <f t="shared" si="127"/>
        <v>5</v>
      </c>
      <c r="V1017" s="18" t="str">
        <f>IF($L1017&lt;"6",INDEX(Revenue_type,MATCH(U1017*1,type!$A$118:$A$168,0),8),INDEX(Expenditure_type,MATCH(U1017*1,type!$A$2:$A$117,0),8))</f>
        <v>הוצאות מנהליות</v>
      </c>
      <c r="W1017" s="18" t="str">
        <f t="shared" si="128"/>
        <v>50</v>
      </c>
      <c r="X1017" s="18" t="e">
        <f>IF($L1017&lt;"6",INDEX(Revenue_type,MATCH(W1017*1,type!$A$118:$A$168,0),8),INDEX(Expenditure_type,MATCH(W1017*1,type!$A$2:$A$117,0),8))</f>
        <v>#N/A</v>
      </c>
      <c r="Y1017" s="18" t="str">
        <f t="shared" si="129"/>
        <v>500</v>
      </c>
      <c r="Z1017" s="18" t="e">
        <f>IF($L1017&lt;"6",INDEX(Revenue_type,MATCH(Y1017*1,type!$A$118:$A$168,0),8),INDEX(Expenditure_type,MATCH(Y1017*1,type!$A$2:$A$117,0),8))</f>
        <v>#N/A</v>
      </c>
    </row>
    <row r="1018" spans="1:26" ht="15.75" hidden="1" customHeight="1" outlineLevel="2">
      <c r="A1018">
        <v>500</v>
      </c>
      <c r="B1018" s="249">
        <v>817300</v>
      </c>
      <c r="C1018">
        <v>1</v>
      </c>
      <c r="D1018" t="str">
        <f t="shared" si="122"/>
        <v>1817300.500</v>
      </c>
      <c r="E1018" s="381" t="s">
        <v>8680</v>
      </c>
      <c r="F1018" s="242"/>
      <c r="G1018"/>
      <c r="H1018" s="322">
        <v>1000</v>
      </c>
      <c r="I1018" s="322">
        <v>1000</v>
      </c>
      <c r="J1018" s="242">
        <v>800</v>
      </c>
      <c r="K1018" s="18" t="e">
        <f>INDEX(תקציב_2013,MATCH(D1018,'תקציב 2015'!$D$3:$D$5960,0),8)</f>
        <v>#N/A</v>
      </c>
      <c r="L1018" s="18" t="str">
        <f t="shared" si="123"/>
        <v>8</v>
      </c>
      <c r="M1018" s="18" t="str">
        <f>INDEX(Chapter,MATCH(L1018,Chapter!$A$1:$A$681,0),8)</f>
        <v>שירותים ממלכתיים</v>
      </c>
      <c r="N1018" s="18" t="str">
        <f t="shared" si="124"/>
        <v>81</v>
      </c>
      <c r="O1018" s="18" t="str">
        <f>INDEX(Chapter,MATCH(N1018,Chapter!$A$1:$A$681,0),8)</f>
        <v>חינוך</v>
      </c>
      <c r="P1018" s="18" t="str">
        <f t="shared" si="125"/>
        <v>817</v>
      </c>
      <c r="Q1018" s="18" t="str">
        <f>INDEX(Chapter,MATCH(P1018,Chapter!$A$1:$A$681,0),8)</f>
        <v>שירותים נוספים לבתי״ס וגנ״י</v>
      </c>
      <c r="R1018" s="18" t="str">
        <f t="shared" si="126"/>
        <v>8173</v>
      </c>
      <c r="S1018" s="18" t="str">
        <f>INDEX(Chapter,MATCH(R1018,Chapter!$A$1:$A$681,0),8)</f>
        <v>שרות פסיכולוגי חינוכי</v>
      </c>
      <c r="T1018" s="18"/>
      <c r="U1018" s="18" t="str">
        <f t="shared" si="127"/>
        <v>5</v>
      </c>
      <c r="V1018" s="18" t="str">
        <f>IF($L1018&lt;"6",INDEX(Revenue_type,MATCH(U1018*1,type!$A$118:$A$168,0),8),INDEX(Expenditure_type,MATCH(U1018*1,type!$A$2:$A$117,0),8))</f>
        <v>הוצאות מנהליות</v>
      </c>
      <c r="W1018" s="18" t="str">
        <f t="shared" si="128"/>
        <v>50</v>
      </c>
      <c r="X1018" s="18" t="e">
        <f>IF($L1018&lt;"6",INDEX(Revenue_type,MATCH(W1018*1,type!$A$118:$A$168,0),8),INDEX(Expenditure_type,MATCH(W1018*1,type!$A$2:$A$117,0),8))</f>
        <v>#N/A</v>
      </c>
      <c r="Y1018" s="18" t="str">
        <f t="shared" si="129"/>
        <v>500</v>
      </c>
      <c r="Z1018" s="18" t="e">
        <f>IF($L1018&lt;"6",INDEX(Revenue_type,MATCH(Y1018*1,type!$A$118:$A$168,0),8),INDEX(Expenditure_type,MATCH(Y1018*1,type!$A$2:$A$117,0),8))</f>
        <v>#N/A</v>
      </c>
    </row>
    <row r="1019" spans="1:26" ht="15.75" hidden="1" customHeight="1" outlineLevel="2">
      <c r="A1019">
        <v>700</v>
      </c>
      <c r="B1019" s="249">
        <v>817300</v>
      </c>
      <c r="C1019">
        <v>1</v>
      </c>
      <c r="D1019" t="str">
        <f t="shared" si="122"/>
        <v>1817300.700</v>
      </c>
      <c r="E1019" s="382" t="s">
        <v>8681</v>
      </c>
      <c r="F1019" s="242"/>
      <c r="G1019"/>
      <c r="H1019" s="322">
        <v>597700</v>
      </c>
      <c r="I1019" s="322">
        <v>619500</v>
      </c>
      <c r="J1019" s="242">
        <v>305200</v>
      </c>
      <c r="K1019" s="18" t="e">
        <f>INDEX(תקציב_2013,MATCH(D1019,'תקציב 2015'!$D$3:$D$5960,0),8)</f>
        <v>#N/A</v>
      </c>
      <c r="L1019" s="18" t="str">
        <f t="shared" si="123"/>
        <v>8</v>
      </c>
      <c r="M1019" s="18" t="str">
        <f>INDEX(Chapter,MATCH(L1019,Chapter!$A$1:$A$681,0),8)</f>
        <v>שירותים ממלכתיים</v>
      </c>
      <c r="N1019" s="18" t="str">
        <f t="shared" si="124"/>
        <v>81</v>
      </c>
      <c r="O1019" s="18" t="str">
        <f>INDEX(Chapter,MATCH(N1019,Chapter!$A$1:$A$681,0),8)</f>
        <v>חינוך</v>
      </c>
      <c r="P1019" s="18" t="str">
        <f t="shared" si="125"/>
        <v>817</v>
      </c>
      <c r="Q1019" s="18" t="str">
        <f>INDEX(Chapter,MATCH(P1019,Chapter!$A$1:$A$681,0),8)</f>
        <v>שירותים נוספים לבתי״ס וגנ״י</v>
      </c>
      <c r="R1019" s="18" t="str">
        <f t="shared" si="126"/>
        <v>8173</v>
      </c>
      <c r="S1019" s="18" t="str">
        <f>INDEX(Chapter,MATCH(R1019,Chapter!$A$1:$A$681,0),8)</f>
        <v>שרות פסיכולוגי חינוכי</v>
      </c>
      <c r="T1019" s="18"/>
      <c r="U1019" s="18" t="str">
        <f t="shared" si="127"/>
        <v>7</v>
      </c>
      <c r="V1019" s="18" t="str">
        <f>IF($L1019&lt;"6",INDEX(Revenue_type,MATCH(U1019*1,type!$A$118:$A$168,0),8),INDEX(Expenditure_type,MATCH(U1019*1,type!$A$2:$A$117,0),8))</f>
        <v>הוצאות לפעולות</v>
      </c>
      <c r="W1019" s="18" t="str">
        <f t="shared" si="128"/>
        <v>70</v>
      </c>
      <c r="X1019" s="18" t="e">
        <f>IF($L1019&lt;"6",INDEX(Revenue_type,MATCH(W1019*1,type!$A$118:$A$168,0),8),INDEX(Expenditure_type,MATCH(W1019*1,type!$A$2:$A$117,0),8))</f>
        <v>#N/A</v>
      </c>
      <c r="Y1019" s="18" t="str">
        <f t="shared" si="129"/>
        <v>700</v>
      </c>
      <c r="Z1019" s="18" t="e">
        <f>IF($L1019&lt;"6",INDEX(Revenue_type,MATCH(Y1019*1,type!$A$118:$A$168,0),8),INDEX(Expenditure_type,MATCH(Y1019*1,type!$A$2:$A$117,0),8))</f>
        <v>#N/A</v>
      </c>
    </row>
    <row r="1020" spans="1:26" ht="15.75" hidden="1" customHeight="1" outlineLevel="2">
      <c r="A1020">
        <v>100</v>
      </c>
      <c r="B1020" s="249">
        <v>813311</v>
      </c>
      <c r="C1020">
        <v>1</v>
      </c>
      <c r="D1020" t="str">
        <f t="shared" si="122"/>
        <v>1813311.100</v>
      </c>
      <c r="E1020" s="382" t="s">
        <v>8682</v>
      </c>
      <c r="F1020" s="242"/>
      <c r="G1020"/>
      <c r="H1020" s="322">
        <v>566200</v>
      </c>
      <c r="I1020" s="322">
        <v>557800</v>
      </c>
      <c r="J1020" s="242">
        <v>580100</v>
      </c>
      <c r="K1020" s="18" t="e">
        <f>INDEX(תקציב_2013,MATCH(D1020,'תקציב 2015'!$D$3:$D$5960,0),8)</f>
        <v>#N/A</v>
      </c>
      <c r="L1020" s="18" t="str">
        <f t="shared" si="123"/>
        <v>8</v>
      </c>
      <c r="M1020" s="18" t="str">
        <f>INDEX(Chapter,MATCH(L1020,Chapter!$A$1:$A$681,0),8)</f>
        <v>שירותים ממלכתיים</v>
      </c>
      <c r="N1020" s="18" t="str">
        <f t="shared" si="124"/>
        <v>81</v>
      </c>
      <c r="O1020" s="18" t="str">
        <f>INDEX(Chapter,MATCH(N1020,Chapter!$A$1:$A$681,0),8)</f>
        <v>חינוך</v>
      </c>
      <c r="P1020" s="18" t="str">
        <f t="shared" si="125"/>
        <v>813</v>
      </c>
      <c r="Q1020" s="18" t="str">
        <f>INDEX(Chapter,MATCH(P1020,Chapter!$A$1:$A$681,0),8)</f>
        <v>חינוך יסודי</v>
      </c>
      <c r="R1020" s="18" t="str">
        <f t="shared" si="126"/>
        <v>8133</v>
      </c>
      <c r="S1020" s="18" t="str">
        <f>INDEX(Chapter,MATCH(R1020,Chapter!$A$1:$A$681,0),8)</f>
        <v>חינוך מיוחד</v>
      </c>
      <c r="T1020" s="18"/>
      <c r="U1020" s="18" t="str">
        <f t="shared" si="127"/>
        <v>1</v>
      </c>
      <c r="V1020" s="18" t="str">
        <f>IF($L1020&lt;"6",INDEX(Revenue_type,MATCH(U1020*1,type!$A$118:$A$168,0),8),INDEX(Expenditure_type,MATCH(U1020*1,type!$A$2:$A$117,0),8))</f>
        <v>משכורות וש"ע לעובדים לפי תקן</v>
      </c>
      <c r="W1020" s="18" t="str">
        <f t="shared" si="128"/>
        <v>10</v>
      </c>
      <c r="X1020" s="18" t="e">
        <f>IF($L1020&lt;"6",INDEX(Revenue_type,MATCH(W1020*1,type!$A$118:$A$168,0),8),INDEX(Expenditure_type,MATCH(W1020*1,type!$A$2:$A$117,0),8))</f>
        <v>#N/A</v>
      </c>
      <c r="Y1020" s="18" t="str">
        <f t="shared" si="129"/>
        <v>100</v>
      </c>
      <c r="Z1020" s="18" t="e">
        <f>IF($L1020&lt;"6",INDEX(Revenue_type,MATCH(Y1020*1,type!$A$118:$A$168,0),8),INDEX(Expenditure_type,MATCH(Y1020*1,type!$A$2:$A$117,0),8))</f>
        <v>#N/A</v>
      </c>
    </row>
    <row r="1021" spans="1:26" ht="15.75" hidden="1" customHeight="1" outlineLevel="2">
      <c r="A1021">
        <v>120</v>
      </c>
      <c r="B1021" s="249">
        <v>813311</v>
      </c>
      <c r="C1021">
        <v>1</v>
      </c>
      <c r="D1021" t="str">
        <f t="shared" si="122"/>
        <v>1813311.120</v>
      </c>
      <c r="E1021" s="393" t="s">
        <v>8683</v>
      </c>
      <c r="F1021" s="242"/>
      <c r="G1021"/>
      <c r="H1021" s="322">
        <v>31800</v>
      </c>
      <c r="I1021" s="322">
        <v>31800</v>
      </c>
      <c r="J1021" s="242">
        <v>34100</v>
      </c>
      <c r="K1021" s="18" t="e">
        <f>INDEX(תקציב_2013,MATCH(D1021,'תקציב 2015'!$D$3:$D$5960,0),8)</f>
        <v>#N/A</v>
      </c>
      <c r="L1021" s="18" t="str">
        <f t="shared" si="123"/>
        <v>8</v>
      </c>
      <c r="M1021" s="18" t="str">
        <f>INDEX(Chapter,MATCH(L1021,Chapter!$A$1:$A$681,0),8)</f>
        <v>שירותים ממלכתיים</v>
      </c>
      <c r="N1021" s="18" t="str">
        <f t="shared" si="124"/>
        <v>81</v>
      </c>
      <c r="O1021" s="18" t="str">
        <f>INDEX(Chapter,MATCH(N1021,Chapter!$A$1:$A$681,0),8)</f>
        <v>חינוך</v>
      </c>
      <c r="P1021" s="18" t="str">
        <f t="shared" si="125"/>
        <v>813</v>
      </c>
      <c r="Q1021" s="18" t="str">
        <f>INDEX(Chapter,MATCH(P1021,Chapter!$A$1:$A$681,0),8)</f>
        <v>חינוך יסודי</v>
      </c>
      <c r="R1021" s="18" t="str">
        <f t="shared" si="126"/>
        <v>8133</v>
      </c>
      <c r="S1021" s="18" t="str">
        <f>INDEX(Chapter,MATCH(R1021,Chapter!$A$1:$A$681,0),8)</f>
        <v>חינוך מיוחד</v>
      </c>
      <c r="T1021" s="18"/>
      <c r="U1021" s="18" t="str">
        <f t="shared" si="127"/>
        <v>1</v>
      </c>
      <c r="V1021" s="18" t="str">
        <f>IF($L1021&lt;"6",INDEX(Revenue_type,MATCH(U1021*1,type!$A$118:$A$168,0),8),INDEX(Expenditure_type,MATCH(U1021*1,type!$A$2:$A$117,0),8))</f>
        <v>משכורות וש"ע לעובדים לפי תקן</v>
      </c>
      <c r="W1021" s="18" t="str">
        <f t="shared" si="128"/>
        <v>12</v>
      </c>
      <c r="X1021" s="18" t="str">
        <f>IF($L1021&lt;"6",INDEX(Revenue_type,MATCH(W1021*1,type!$A$118:$A$168,0),8),INDEX(Expenditure_type,MATCH(W1021*1,type!$A$2:$A$117,0),8))</f>
        <v>תוספות שאינן נכללות בשכר הקובע</v>
      </c>
      <c r="Y1021" s="18" t="str">
        <f t="shared" si="129"/>
        <v>120</v>
      </c>
      <c r="Z1021" s="18" t="e">
        <f>IF($L1021&lt;"6",INDEX(Revenue_type,MATCH(Y1021*1,type!$A$118:$A$168,0),8),INDEX(Expenditure_type,MATCH(Y1021*1,type!$A$2:$A$117,0),8))</f>
        <v>#N/A</v>
      </c>
    </row>
    <row r="1022" spans="1:26" ht="15.75" hidden="1" customHeight="1" outlineLevel="2">
      <c r="A1022">
        <v>700</v>
      </c>
      <c r="B1022" s="249">
        <v>813311</v>
      </c>
      <c r="C1022">
        <v>1</v>
      </c>
      <c r="D1022" t="str">
        <f t="shared" si="122"/>
        <v>1813311.700</v>
      </c>
      <c r="E1022" s="382" t="s">
        <v>8684</v>
      </c>
      <c r="F1022" s="242"/>
      <c r="G1022"/>
      <c r="H1022" s="322">
        <v>8700</v>
      </c>
      <c r="I1022" s="322">
        <v>9000</v>
      </c>
      <c r="J1022" s="242">
        <v>7200</v>
      </c>
      <c r="K1022" s="18" t="e">
        <f>INDEX(תקציב_2013,MATCH(D1022,'תקציב 2015'!$D$3:$D$5960,0),8)</f>
        <v>#N/A</v>
      </c>
      <c r="L1022" s="18" t="str">
        <f t="shared" si="123"/>
        <v>8</v>
      </c>
      <c r="M1022" s="18" t="str">
        <f>INDEX(Chapter,MATCH(L1022,Chapter!$A$1:$A$681,0),8)</f>
        <v>שירותים ממלכתיים</v>
      </c>
      <c r="N1022" s="18" t="str">
        <f t="shared" si="124"/>
        <v>81</v>
      </c>
      <c r="O1022" s="18" t="str">
        <f>INDEX(Chapter,MATCH(N1022,Chapter!$A$1:$A$681,0),8)</f>
        <v>חינוך</v>
      </c>
      <c r="P1022" s="18" t="str">
        <f t="shared" si="125"/>
        <v>813</v>
      </c>
      <c r="Q1022" s="18" t="str">
        <f>INDEX(Chapter,MATCH(P1022,Chapter!$A$1:$A$681,0),8)</f>
        <v>חינוך יסודי</v>
      </c>
      <c r="R1022" s="18" t="str">
        <f t="shared" si="126"/>
        <v>8133</v>
      </c>
      <c r="S1022" s="18" t="str">
        <f>INDEX(Chapter,MATCH(R1022,Chapter!$A$1:$A$681,0),8)</f>
        <v>חינוך מיוחד</v>
      </c>
      <c r="T1022" s="18"/>
      <c r="U1022" s="18" t="str">
        <f t="shared" si="127"/>
        <v>7</v>
      </c>
      <c r="V1022" s="18" t="str">
        <f>IF($L1022&lt;"6",INDEX(Revenue_type,MATCH(U1022*1,type!$A$118:$A$168,0),8),INDEX(Expenditure_type,MATCH(U1022*1,type!$A$2:$A$117,0),8))</f>
        <v>הוצאות לפעולות</v>
      </c>
      <c r="W1022" s="18" t="str">
        <f t="shared" si="128"/>
        <v>70</v>
      </c>
      <c r="X1022" s="18" t="e">
        <f>IF($L1022&lt;"6",INDEX(Revenue_type,MATCH(W1022*1,type!$A$118:$A$168,0),8),INDEX(Expenditure_type,MATCH(W1022*1,type!$A$2:$A$117,0),8))</f>
        <v>#N/A</v>
      </c>
      <c r="Y1022" s="18" t="str">
        <f t="shared" si="129"/>
        <v>700</v>
      </c>
      <c r="Z1022" s="18" t="e">
        <f>IF($L1022&lt;"6",INDEX(Revenue_type,MATCH(Y1022*1,type!$A$118:$A$168,0),8),INDEX(Expenditure_type,MATCH(Y1022*1,type!$A$2:$A$117,0),8))</f>
        <v>#N/A</v>
      </c>
    </row>
    <row r="1023" spans="1:26" ht="15.75" hidden="1" customHeight="1" outlineLevel="2">
      <c r="A1023">
        <v>200</v>
      </c>
      <c r="B1023" s="249">
        <v>817360</v>
      </c>
      <c r="C1023">
        <v>1</v>
      </c>
      <c r="D1023" t="str">
        <f t="shared" si="122"/>
        <v>1817360.200</v>
      </c>
      <c r="E1023" s="382" t="s">
        <v>8685</v>
      </c>
      <c r="F1023" s="242"/>
      <c r="G1023"/>
      <c r="H1023" s="322">
        <v>95000</v>
      </c>
      <c r="I1023" s="322">
        <v>95400</v>
      </c>
      <c r="J1023" s="242">
        <v>88500</v>
      </c>
      <c r="K1023" s="18" t="e">
        <f>INDEX(תקציב_2013,MATCH(D1023,'תקציב 2015'!$D$3:$D$5960,0),8)</f>
        <v>#N/A</v>
      </c>
      <c r="L1023" s="18" t="str">
        <f t="shared" si="123"/>
        <v>8</v>
      </c>
      <c r="M1023" s="18" t="str">
        <f>INDEX(Chapter,MATCH(L1023,Chapter!$A$1:$A$681,0),8)</f>
        <v>שירותים ממלכתיים</v>
      </c>
      <c r="N1023" s="18" t="str">
        <f t="shared" si="124"/>
        <v>81</v>
      </c>
      <c r="O1023" s="18" t="str">
        <f>INDEX(Chapter,MATCH(N1023,Chapter!$A$1:$A$681,0),8)</f>
        <v>חינוך</v>
      </c>
      <c r="P1023" s="18" t="str">
        <f t="shared" si="125"/>
        <v>817</v>
      </c>
      <c r="Q1023" s="18" t="str">
        <f>INDEX(Chapter,MATCH(P1023,Chapter!$A$1:$A$681,0),8)</f>
        <v>שירותים נוספים לבתי״ס וגנ״י</v>
      </c>
      <c r="R1023" s="18" t="str">
        <f t="shared" si="126"/>
        <v>8173</v>
      </c>
      <c r="S1023" s="18" t="str">
        <f>INDEX(Chapter,MATCH(R1023,Chapter!$A$1:$A$681,0),8)</f>
        <v>שרות פסיכולוגי חינוכי</v>
      </c>
      <c r="T1023" s="18"/>
      <c r="U1023" s="18" t="str">
        <f t="shared" si="127"/>
        <v>2</v>
      </c>
      <c r="V1023" s="18" t="str">
        <f>IF($L1023&lt;"6",INDEX(Revenue_type,MATCH(U1023*1,type!$A$118:$A$168,0),8),INDEX(Expenditure_type,MATCH(U1023*1,type!$A$2:$A$117,0),8))</f>
        <v>משכורות וש"ע לעובדים בלי תקן</v>
      </c>
      <c r="W1023" s="18" t="str">
        <f t="shared" si="128"/>
        <v>20</v>
      </c>
      <c r="X1023" s="18" t="e">
        <f>IF($L1023&lt;"6",INDEX(Revenue_type,MATCH(W1023*1,type!$A$118:$A$168,0),8),INDEX(Expenditure_type,MATCH(W1023*1,type!$A$2:$A$117,0),8))</f>
        <v>#N/A</v>
      </c>
      <c r="Y1023" s="18" t="str">
        <f t="shared" si="129"/>
        <v>200</v>
      </c>
      <c r="Z1023" s="18" t="e">
        <f>IF($L1023&lt;"6",INDEX(Revenue_type,MATCH(Y1023*1,type!$A$118:$A$168,0),8),INDEX(Expenditure_type,MATCH(Y1023*1,type!$A$2:$A$117,0),8))</f>
        <v>#N/A</v>
      </c>
    </row>
    <row r="1024" spans="1:26" ht="15.75" hidden="1" customHeight="1" outlineLevel="2">
      <c r="A1024">
        <v>700</v>
      </c>
      <c r="B1024" s="249">
        <v>817360</v>
      </c>
      <c r="C1024">
        <v>1</v>
      </c>
      <c r="D1024" t="str">
        <f t="shared" si="122"/>
        <v>1817360.700</v>
      </c>
      <c r="E1024" s="381" t="s">
        <v>8686</v>
      </c>
      <c r="F1024" s="242"/>
      <c r="G1024"/>
      <c r="H1024" s="322">
        <v>1223000</v>
      </c>
      <c r="I1024" s="322">
        <v>1259000</v>
      </c>
      <c r="J1024" s="242">
        <v>1151700</v>
      </c>
      <c r="K1024" s="18" t="e">
        <f>INDEX(תקציב_2013,MATCH(D1024,'תקציב 2015'!$D$3:$D$5960,0),8)</f>
        <v>#N/A</v>
      </c>
      <c r="L1024" s="18" t="str">
        <f t="shared" si="123"/>
        <v>8</v>
      </c>
      <c r="M1024" s="18" t="str">
        <f>INDEX(Chapter,MATCH(L1024,Chapter!$A$1:$A$681,0),8)</f>
        <v>שירותים ממלכתיים</v>
      </c>
      <c r="N1024" s="18" t="str">
        <f t="shared" si="124"/>
        <v>81</v>
      </c>
      <c r="O1024" s="18" t="str">
        <f>INDEX(Chapter,MATCH(N1024,Chapter!$A$1:$A$681,0),8)</f>
        <v>חינוך</v>
      </c>
      <c r="P1024" s="18" t="str">
        <f t="shared" si="125"/>
        <v>817</v>
      </c>
      <c r="Q1024" s="18" t="str">
        <f>INDEX(Chapter,MATCH(P1024,Chapter!$A$1:$A$681,0),8)</f>
        <v>שירותים נוספים לבתי״ס וגנ״י</v>
      </c>
      <c r="R1024" s="18" t="str">
        <f t="shared" si="126"/>
        <v>8173</v>
      </c>
      <c r="S1024" s="18" t="str">
        <f>INDEX(Chapter,MATCH(R1024,Chapter!$A$1:$A$681,0),8)</f>
        <v>שרות פסיכולוגי חינוכי</v>
      </c>
      <c r="T1024" s="18"/>
      <c r="U1024" s="18" t="str">
        <f t="shared" si="127"/>
        <v>7</v>
      </c>
      <c r="V1024" s="18" t="str">
        <f>IF($L1024&lt;"6",INDEX(Revenue_type,MATCH(U1024*1,type!$A$118:$A$168,0),8),INDEX(Expenditure_type,MATCH(U1024*1,type!$A$2:$A$117,0),8))</f>
        <v>הוצאות לפעולות</v>
      </c>
      <c r="W1024" s="18" t="str">
        <f t="shared" si="128"/>
        <v>70</v>
      </c>
      <c r="X1024" s="18" t="e">
        <f>IF($L1024&lt;"6",INDEX(Revenue_type,MATCH(W1024*1,type!$A$118:$A$168,0),8),INDEX(Expenditure_type,MATCH(W1024*1,type!$A$2:$A$117,0),8))</f>
        <v>#N/A</v>
      </c>
      <c r="Y1024" s="18" t="str">
        <f t="shared" si="129"/>
        <v>700</v>
      </c>
      <c r="Z1024" s="18" t="e">
        <f>IF($L1024&lt;"6",INDEX(Revenue_type,MATCH(Y1024*1,type!$A$118:$A$168,0),8),INDEX(Expenditure_type,MATCH(Y1024*1,type!$A$2:$A$117,0),8))</f>
        <v>#N/A</v>
      </c>
    </row>
    <row r="1025" spans="1:26" ht="15.75" hidden="1" customHeight="1" outlineLevel="2">
      <c r="A1025">
        <v>100</v>
      </c>
      <c r="B1025" s="249">
        <v>813289</v>
      </c>
      <c r="C1025">
        <v>1</v>
      </c>
      <c r="D1025" t="str">
        <f t="shared" si="122"/>
        <v>1813289.100</v>
      </c>
      <c r="E1025" s="382" t="s">
        <v>8687</v>
      </c>
      <c r="F1025" s="242"/>
      <c r="G1025"/>
      <c r="H1025" s="322">
        <v>398000</v>
      </c>
      <c r="I1025" s="322">
        <v>394000</v>
      </c>
      <c r="J1025" s="242">
        <v>321500</v>
      </c>
      <c r="K1025" s="18" t="e">
        <f>INDEX(תקציב_2013,MATCH(D1025,'תקציב 2015'!$D$3:$D$5960,0),8)</f>
        <v>#N/A</v>
      </c>
      <c r="L1025" s="18" t="str">
        <f t="shared" si="123"/>
        <v>8</v>
      </c>
      <c r="M1025" s="18" t="str">
        <f>INDEX(Chapter,MATCH(L1025,Chapter!$A$1:$A$681,0),8)</f>
        <v>שירותים ממלכתיים</v>
      </c>
      <c r="N1025" s="18" t="str">
        <f t="shared" si="124"/>
        <v>81</v>
      </c>
      <c r="O1025" s="18" t="str">
        <f>INDEX(Chapter,MATCH(N1025,Chapter!$A$1:$A$681,0),8)</f>
        <v>חינוך</v>
      </c>
      <c r="P1025" s="18" t="str">
        <f t="shared" si="125"/>
        <v>813</v>
      </c>
      <c r="Q1025" s="18" t="str">
        <f>INDEX(Chapter,MATCH(P1025,Chapter!$A$1:$A$681,0),8)</f>
        <v>חינוך יסודי</v>
      </c>
      <c r="R1025" s="18" t="str">
        <f t="shared" si="126"/>
        <v>8132</v>
      </c>
      <c r="S1025" s="18" t="str">
        <f>INDEX(Chapter,MATCH(R1025,Chapter!$A$1:$A$681,0),8)</f>
        <v>בתי״ס יסודיים</v>
      </c>
      <c r="T1025" s="18"/>
      <c r="U1025" s="18" t="str">
        <f t="shared" si="127"/>
        <v>1</v>
      </c>
      <c r="V1025" s="18" t="str">
        <f>IF($L1025&lt;"6",INDEX(Revenue_type,MATCH(U1025*1,type!$A$118:$A$168,0),8),INDEX(Expenditure_type,MATCH(U1025*1,type!$A$2:$A$117,0),8))</f>
        <v>משכורות וש"ע לעובדים לפי תקן</v>
      </c>
      <c r="W1025" s="18" t="str">
        <f t="shared" si="128"/>
        <v>10</v>
      </c>
      <c r="X1025" s="18" t="e">
        <f>IF($L1025&lt;"6",INDEX(Revenue_type,MATCH(W1025*1,type!$A$118:$A$168,0),8),INDEX(Expenditure_type,MATCH(W1025*1,type!$A$2:$A$117,0),8))</f>
        <v>#N/A</v>
      </c>
      <c r="Y1025" s="18" t="str">
        <f t="shared" si="129"/>
        <v>100</v>
      </c>
      <c r="Z1025" s="18" t="e">
        <f>IF($L1025&lt;"6",INDEX(Revenue_type,MATCH(Y1025*1,type!$A$118:$A$168,0),8),INDEX(Expenditure_type,MATCH(Y1025*1,type!$A$2:$A$117,0),8))</f>
        <v>#N/A</v>
      </c>
    </row>
    <row r="1026" spans="1:26" ht="15.75" hidden="1" customHeight="1" outlineLevel="2">
      <c r="A1026">
        <v>800</v>
      </c>
      <c r="B1026" s="249">
        <v>818710</v>
      </c>
      <c r="C1026">
        <v>1</v>
      </c>
      <c r="D1026" t="str">
        <f t="shared" si="122"/>
        <v>1818710.800</v>
      </c>
      <c r="E1026" s="382" t="s">
        <v>8688</v>
      </c>
      <c r="F1026" s="242"/>
      <c r="G1026"/>
      <c r="H1026" s="322">
        <v>126300</v>
      </c>
      <c r="I1026" s="322">
        <v>130000</v>
      </c>
      <c r="J1026" s="242">
        <v>129700</v>
      </c>
      <c r="K1026" s="18"/>
      <c r="L1026" s="18" t="str">
        <f t="shared" si="123"/>
        <v>8</v>
      </c>
      <c r="M1026" s="18" t="str">
        <f>INDEX(Chapter,MATCH(L1026,Chapter!$A$1:$A$681,0),8)</f>
        <v>שירותים ממלכתיים</v>
      </c>
      <c r="N1026" s="18" t="str">
        <f t="shared" si="124"/>
        <v>81</v>
      </c>
      <c r="O1026" s="18" t="str">
        <f>INDEX(Chapter,MATCH(N1026,Chapter!$A$1:$A$681,0),8)</f>
        <v>חינוך</v>
      </c>
      <c r="P1026" s="18" t="str">
        <f t="shared" si="125"/>
        <v>818</v>
      </c>
      <c r="Q1026" s="18" t="str">
        <f>INDEX(Chapter,MATCH(P1026,Chapter!$A$1:$A$681,0),8)</f>
        <v>חינוך מבוגרים</v>
      </c>
      <c r="R1026" s="18" t="str">
        <f t="shared" si="126"/>
        <v>8187</v>
      </c>
      <c r="S1026" s="18" t="e">
        <f>INDEX(Chapter,MATCH(R1026,Chapter!$A$1:$A$681,0),8)</f>
        <v>#N/A</v>
      </c>
      <c r="T1026" s="18"/>
      <c r="U1026" s="18" t="str">
        <f t="shared" si="127"/>
        <v>8</v>
      </c>
      <c r="V1026" s="18" t="str">
        <f>IF($L1026&lt;"6",INDEX(Revenue_type,MATCH(U1026*1,type!$A$118:$A$168,0),8),INDEX(Expenditure_type,MATCH(U1026*1,type!$A$2:$A$117,0),8))</f>
        <v>השתתפויות תמיכות ותרומות</v>
      </c>
      <c r="W1026" s="18" t="str">
        <f t="shared" si="128"/>
        <v>80</v>
      </c>
      <c r="X1026" s="18" t="e">
        <f>IF($L1026&lt;"6",INDEX(Revenue_type,MATCH(W1026*1,type!$A$118:$A$168,0),8),INDEX(Expenditure_type,MATCH(W1026*1,type!$A$2:$A$117,0),8))</f>
        <v>#N/A</v>
      </c>
      <c r="Y1026" s="18" t="str">
        <f t="shared" si="129"/>
        <v>800</v>
      </c>
      <c r="Z1026" s="18" t="e">
        <f>IF($L1026&lt;"6",INDEX(Revenue_type,MATCH(Y1026*1,type!$A$118:$A$168,0),8),INDEX(Expenditure_type,MATCH(Y1026*1,type!$A$2:$A$117,0),8))</f>
        <v>#N/A</v>
      </c>
    </row>
    <row r="1027" spans="1:26" ht="15.75" hidden="1" customHeight="1" outlineLevel="2">
      <c r="A1027">
        <v>800</v>
      </c>
      <c r="B1027" s="249">
        <v>818720</v>
      </c>
      <c r="C1027">
        <v>1</v>
      </c>
      <c r="D1027" t="str">
        <f t="shared" si="122"/>
        <v>1818720.800</v>
      </c>
      <c r="E1027" s="382" t="s">
        <v>8689</v>
      </c>
      <c r="F1027" s="242"/>
      <c r="G1027"/>
      <c r="H1027" s="322">
        <v>116400</v>
      </c>
      <c r="I1027" s="322">
        <v>119800</v>
      </c>
      <c r="J1027" s="242">
        <v>119800</v>
      </c>
      <c r="K1027" s="18" t="e">
        <f>INDEX(תקציב_2013,MATCH(D1027,'תקציב 2015'!$D$3:$D$5960,0),8)</f>
        <v>#N/A</v>
      </c>
      <c r="L1027" s="18" t="str">
        <f t="shared" si="123"/>
        <v>8</v>
      </c>
      <c r="M1027" s="18" t="str">
        <f>INDEX(Chapter,MATCH(L1027,Chapter!$A$1:$A$681,0),8)</f>
        <v>שירותים ממלכתיים</v>
      </c>
      <c r="N1027" s="18" t="str">
        <f t="shared" si="124"/>
        <v>81</v>
      </c>
      <c r="O1027" s="18" t="str">
        <f>INDEX(Chapter,MATCH(N1027,Chapter!$A$1:$A$681,0),8)</f>
        <v>חינוך</v>
      </c>
      <c r="P1027" s="18" t="str">
        <f t="shared" si="125"/>
        <v>818</v>
      </c>
      <c r="Q1027" s="18" t="str">
        <f>INDEX(Chapter,MATCH(P1027,Chapter!$A$1:$A$681,0),8)</f>
        <v>חינוך מבוגרים</v>
      </c>
      <c r="R1027" s="18" t="str">
        <f t="shared" si="126"/>
        <v>8187</v>
      </c>
      <c r="S1027" s="18" t="e">
        <f>INDEX(Chapter,MATCH(R1027,Chapter!$A$1:$A$681,0),8)</f>
        <v>#N/A</v>
      </c>
      <c r="T1027" s="18"/>
      <c r="U1027" s="18" t="str">
        <f t="shared" si="127"/>
        <v>8</v>
      </c>
      <c r="V1027" s="18" t="str">
        <f>IF($L1027&lt;"6",INDEX(Revenue_type,MATCH(U1027*1,type!$A$118:$A$168,0),8),INDEX(Expenditure_type,MATCH(U1027*1,type!$A$2:$A$117,0),8))</f>
        <v>השתתפויות תמיכות ותרומות</v>
      </c>
      <c r="W1027" s="18" t="str">
        <f t="shared" si="128"/>
        <v>80</v>
      </c>
      <c r="X1027" s="18" t="e">
        <f>IF($L1027&lt;"6",INDEX(Revenue_type,MATCH(W1027*1,type!$A$118:$A$168,0),8),INDEX(Expenditure_type,MATCH(W1027*1,type!$A$2:$A$117,0),8))</f>
        <v>#N/A</v>
      </c>
      <c r="Y1027" s="18" t="str">
        <f t="shared" si="129"/>
        <v>800</v>
      </c>
      <c r="Z1027" s="18" t="e">
        <f>IF($L1027&lt;"6",INDEX(Revenue_type,MATCH(Y1027*1,type!$A$118:$A$168,0),8),INDEX(Expenditure_type,MATCH(Y1027*1,type!$A$2:$A$117,0),8))</f>
        <v>#N/A</v>
      </c>
    </row>
    <row r="1028" spans="1:26" ht="15.75" hidden="1" customHeight="1" outlineLevel="2">
      <c r="A1028">
        <v>100</v>
      </c>
      <c r="B1028" s="249">
        <v>815217</v>
      </c>
      <c r="C1028">
        <v>1</v>
      </c>
      <c r="D1028" t="str">
        <f t="shared" si="122"/>
        <v>1815217.100</v>
      </c>
      <c r="E1028" s="382" t="s">
        <v>8690</v>
      </c>
      <c r="F1028" s="242"/>
      <c r="G1028"/>
      <c r="H1028" s="322">
        <v>9245500</v>
      </c>
      <c r="I1028" s="322">
        <v>9144500</v>
      </c>
      <c r="J1028" s="242">
        <v>8754300</v>
      </c>
      <c r="K1028" s="18" t="e">
        <f>INDEX(תקציב_2013,MATCH(D1028,'תקציב 2015'!$D$3:$D$5960,0),8)</f>
        <v>#N/A</v>
      </c>
      <c r="L1028" s="18" t="str">
        <f t="shared" si="123"/>
        <v>8</v>
      </c>
      <c r="M1028" s="18" t="str">
        <f>INDEX(Chapter,MATCH(L1028,Chapter!$A$1:$A$681,0),8)</f>
        <v>שירותים ממלכתיים</v>
      </c>
      <c r="N1028" s="18" t="str">
        <f t="shared" si="124"/>
        <v>81</v>
      </c>
      <c r="O1028" s="18" t="str">
        <f>INDEX(Chapter,MATCH(N1028,Chapter!$A$1:$A$681,0),8)</f>
        <v>חינוך</v>
      </c>
      <c r="P1028" s="18" t="str">
        <f t="shared" si="125"/>
        <v>815</v>
      </c>
      <c r="Q1028" s="18" t="str">
        <f>INDEX(Chapter,MATCH(P1028,Chapter!$A$1:$A$681,0),8)</f>
        <v>חינוך על יסודי</v>
      </c>
      <c r="R1028" s="18" t="str">
        <f t="shared" si="126"/>
        <v>8152</v>
      </c>
      <c r="S1028" s="18" t="str">
        <f>INDEX(Chapter,MATCH(R1028,Chapter!$A$1:$A$681,0),8)</f>
        <v>בתי״ס על יסודיים עיוניים</v>
      </c>
      <c r="T1028" s="18"/>
      <c r="U1028" s="18" t="str">
        <f t="shared" si="127"/>
        <v>1</v>
      </c>
      <c r="V1028" s="18" t="str">
        <f>IF($L1028&lt;"6",INDEX(Revenue_type,MATCH(U1028*1,type!$A$118:$A$168,0),8),INDEX(Expenditure_type,MATCH(U1028*1,type!$A$2:$A$117,0),8))</f>
        <v>משכורות וש"ע לעובדים לפי תקן</v>
      </c>
      <c r="W1028" s="18" t="str">
        <f t="shared" si="128"/>
        <v>10</v>
      </c>
      <c r="X1028" s="18" t="e">
        <f>IF($L1028&lt;"6",INDEX(Revenue_type,MATCH(W1028*1,type!$A$118:$A$168,0),8),INDEX(Expenditure_type,MATCH(W1028*1,type!$A$2:$A$117,0),8))</f>
        <v>#N/A</v>
      </c>
      <c r="Y1028" s="18" t="str">
        <f t="shared" si="129"/>
        <v>100</v>
      </c>
      <c r="Z1028" s="18" t="e">
        <f>IF($L1028&lt;"6",INDEX(Revenue_type,MATCH(Y1028*1,type!$A$118:$A$168,0),8),INDEX(Expenditure_type,MATCH(Y1028*1,type!$A$2:$A$117,0),8))</f>
        <v>#N/A</v>
      </c>
    </row>
    <row r="1029" spans="1:26" ht="15.75" hidden="1" customHeight="1" outlineLevel="2">
      <c r="A1029">
        <v>120</v>
      </c>
      <c r="B1029" s="249">
        <v>815217</v>
      </c>
      <c r="C1029">
        <v>1</v>
      </c>
      <c r="D1029" t="str">
        <f t="shared" si="122"/>
        <v>1815217.120</v>
      </c>
      <c r="E1029" s="387" t="s">
        <v>8691</v>
      </c>
      <c r="F1029" s="242"/>
      <c r="G1029"/>
      <c r="H1029" s="322">
        <v>5500</v>
      </c>
      <c r="I1029" s="322">
        <v>5500</v>
      </c>
      <c r="J1029" s="242">
        <v>7600</v>
      </c>
      <c r="K1029" s="18" t="e">
        <f>INDEX(תקציב_2013,MATCH(D1029,'תקציב 2015'!$D$3:$D$5960,0),8)</f>
        <v>#N/A</v>
      </c>
      <c r="L1029" s="18" t="str">
        <f t="shared" si="123"/>
        <v>8</v>
      </c>
      <c r="M1029" s="18" t="str">
        <f>INDEX(Chapter,MATCH(L1029,Chapter!$A$1:$A$681,0),8)</f>
        <v>שירותים ממלכתיים</v>
      </c>
      <c r="N1029" s="18" t="str">
        <f t="shared" si="124"/>
        <v>81</v>
      </c>
      <c r="O1029" s="18" t="str">
        <f>INDEX(Chapter,MATCH(N1029,Chapter!$A$1:$A$681,0),8)</f>
        <v>חינוך</v>
      </c>
      <c r="P1029" s="18" t="str">
        <f t="shared" si="125"/>
        <v>815</v>
      </c>
      <c r="Q1029" s="18" t="str">
        <f>INDEX(Chapter,MATCH(P1029,Chapter!$A$1:$A$681,0),8)</f>
        <v>חינוך על יסודי</v>
      </c>
      <c r="R1029" s="18" t="str">
        <f t="shared" si="126"/>
        <v>8152</v>
      </c>
      <c r="S1029" s="18" t="str">
        <f>INDEX(Chapter,MATCH(R1029,Chapter!$A$1:$A$681,0),8)</f>
        <v>בתי״ס על יסודיים עיוניים</v>
      </c>
      <c r="T1029" s="18"/>
      <c r="U1029" s="18" t="str">
        <f t="shared" si="127"/>
        <v>1</v>
      </c>
      <c r="V1029" s="18" t="str">
        <f>IF($L1029&lt;"6",INDEX(Revenue_type,MATCH(U1029*1,type!$A$118:$A$168,0),8),INDEX(Expenditure_type,MATCH(U1029*1,type!$A$2:$A$117,0),8))</f>
        <v>משכורות וש"ע לעובדים לפי תקן</v>
      </c>
      <c r="W1029" s="18" t="str">
        <f t="shared" si="128"/>
        <v>12</v>
      </c>
      <c r="X1029" s="18" t="str">
        <f>IF($L1029&lt;"6",INDEX(Revenue_type,MATCH(W1029*1,type!$A$118:$A$168,0),8),INDEX(Expenditure_type,MATCH(W1029*1,type!$A$2:$A$117,0),8))</f>
        <v>תוספות שאינן נכללות בשכר הקובע</v>
      </c>
      <c r="Y1029" s="18" t="str">
        <f t="shared" si="129"/>
        <v>120</v>
      </c>
      <c r="Z1029" s="18" t="e">
        <f>IF($L1029&lt;"6",INDEX(Revenue_type,MATCH(Y1029*1,type!$A$118:$A$168,0),8),INDEX(Expenditure_type,MATCH(Y1029*1,type!$A$2:$A$117,0),8))</f>
        <v>#N/A</v>
      </c>
    </row>
    <row r="1030" spans="1:26" ht="15.75" hidden="1" customHeight="1" outlineLevel="2">
      <c r="A1030">
        <v>400</v>
      </c>
      <c r="B1030" s="249">
        <v>815217</v>
      </c>
      <c r="C1030">
        <v>1</v>
      </c>
      <c r="D1030" t="str">
        <f t="shared" si="122"/>
        <v>1815217.400</v>
      </c>
      <c r="E1030" s="382" t="s">
        <v>8692</v>
      </c>
      <c r="F1030" s="242"/>
      <c r="G1030"/>
      <c r="H1030" s="322">
        <v>312100</v>
      </c>
      <c r="I1030" s="322">
        <v>320000</v>
      </c>
      <c r="J1030" s="242">
        <v>320500</v>
      </c>
      <c r="K1030" s="18" t="e">
        <f>INDEX(תקציב_2013,MATCH(D1030,'תקציב 2015'!$D$3:$D$5960,0),8)</f>
        <v>#N/A</v>
      </c>
      <c r="L1030" s="18" t="str">
        <f t="shared" si="123"/>
        <v>8</v>
      </c>
      <c r="M1030" s="18" t="str">
        <f>INDEX(Chapter,MATCH(L1030,Chapter!$A$1:$A$681,0),8)</f>
        <v>שירותים ממלכתיים</v>
      </c>
      <c r="N1030" s="18" t="str">
        <f t="shared" si="124"/>
        <v>81</v>
      </c>
      <c r="O1030" s="18" t="str">
        <f>INDEX(Chapter,MATCH(N1030,Chapter!$A$1:$A$681,0),8)</f>
        <v>חינוך</v>
      </c>
      <c r="P1030" s="18" t="str">
        <f t="shared" si="125"/>
        <v>815</v>
      </c>
      <c r="Q1030" s="18" t="str">
        <f>INDEX(Chapter,MATCH(P1030,Chapter!$A$1:$A$681,0),8)</f>
        <v>חינוך על יסודי</v>
      </c>
      <c r="R1030" s="18" t="str">
        <f t="shared" si="126"/>
        <v>8152</v>
      </c>
      <c r="S1030" s="18" t="str">
        <f>INDEX(Chapter,MATCH(R1030,Chapter!$A$1:$A$681,0),8)</f>
        <v>בתי״ס על יסודיים עיוניים</v>
      </c>
      <c r="T1030" s="18"/>
      <c r="U1030" s="18" t="str">
        <f t="shared" si="127"/>
        <v>4</v>
      </c>
      <c r="V1030" s="18" t="str">
        <f>IF($L1030&lt;"6",INDEX(Revenue_type,MATCH(U1030*1,type!$A$118:$A$168,0),8),INDEX(Expenditure_type,MATCH(U1030*1,type!$A$2:$A$117,0),8))</f>
        <v>אחזקת בינים ואספקת ציוד</v>
      </c>
      <c r="W1030" s="18" t="str">
        <f t="shared" si="128"/>
        <v>40</v>
      </c>
      <c r="X1030" s="18" t="e">
        <f>IF($L1030&lt;"6",INDEX(Revenue_type,MATCH(W1030*1,type!$A$118:$A$168,0),8),INDEX(Expenditure_type,MATCH(W1030*1,type!$A$2:$A$117,0),8))</f>
        <v>#N/A</v>
      </c>
      <c r="Y1030" s="18" t="str">
        <f t="shared" si="129"/>
        <v>400</v>
      </c>
      <c r="Z1030" s="18" t="e">
        <f>IF($L1030&lt;"6",INDEX(Revenue_type,MATCH(Y1030*1,type!$A$118:$A$168,0),8),INDEX(Expenditure_type,MATCH(Y1030*1,type!$A$2:$A$117,0),8))</f>
        <v>#N/A</v>
      </c>
    </row>
    <row r="1031" spans="1:26" ht="15.75" hidden="1" customHeight="1" outlineLevel="2">
      <c r="A1031">
        <v>700</v>
      </c>
      <c r="B1031" s="249">
        <v>815217</v>
      </c>
      <c r="C1031">
        <v>1</v>
      </c>
      <c r="D1031" t="str">
        <f t="shared" si="122"/>
        <v>1815217.700</v>
      </c>
      <c r="E1031" s="394" t="s">
        <v>8693</v>
      </c>
      <c r="F1031" s="242"/>
      <c r="G1031"/>
      <c r="H1031" s="322">
        <v>144500</v>
      </c>
      <c r="I1031" s="322">
        <v>150000</v>
      </c>
      <c r="J1031" s="242">
        <v>181100</v>
      </c>
      <c r="K1031" s="18" t="e">
        <f>INDEX(תקציב_2013,MATCH(D1031,'תקציב 2015'!$D$3:$D$5960,0),8)</f>
        <v>#N/A</v>
      </c>
      <c r="L1031" s="18" t="str">
        <f t="shared" si="123"/>
        <v>8</v>
      </c>
      <c r="M1031" s="18" t="str">
        <f>INDEX(Chapter,MATCH(L1031,Chapter!$A$1:$A$681,0),8)</f>
        <v>שירותים ממלכתיים</v>
      </c>
      <c r="N1031" s="18" t="str">
        <f t="shared" si="124"/>
        <v>81</v>
      </c>
      <c r="O1031" s="18" t="str">
        <f>INDEX(Chapter,MATCH(N1031,Chapter!$A$1:$A$681,0),8)</f>
        <v>חינוך</v>
      </c>
      <c r="P1031" s="18" t="str">
        <f t="shared" si="125"/>
        <v>815</v>
      </c>
      <c r="Q1031" s="18" t="str">
        <f>INDEX(Chapter,MATCH(P1031,Chapter!$A$1:$A$681,0),8)</f>
        <v>חינוך על יסודי</v>
      </c>
      <c r="R1031" s="18" t="str">
        <f t="shared" si="126"/>
        <v>8152</v>
      </c>
      <c r="S1031" s="18" t="str">
        <f>INDEX(Chapter,MATCH(R1031,Chapter!$A$1:$A$681,0),8)</f>
        <v>בתי״ס על יסודיים עיוניים</v>
      </c>
      <c r="T1031" s="18"/>
      <c r="U1031" s="18" t="str">
        <f t="shared" si="127"/>
        <v>7</v>
      </c>
      <c r="V1031" s="18" t="str">
        <f>IF($L1031&lt;"6",INDEX(Revenue_type,MATCH(U1031*1,type!$A$118:$A$168,0),8),INDEX(Expenditure_type,MATCH(U1031*1,type!$A$2:$A$117,0),8))</f>
        <v>הוצאות לפעולות</v>
      </c>
      <c r="W1031" s="18" t="str">
        <f t="shared" si="128"/>
        <v>70</v>
      </c>
      <c r="X1031" s="18" t="e">
        <f>IF($L1031&lt;"6",INDEX(Revenue_type,MATCH(W1031*1,type!$A$118:$A$168,0),8),INDEX(Expenditure_type,MATCH(W1031*1,type!$A$2:$A$117,0),8))</f>
        <v>#N/A</v>
      </c>
      <c r="Y1031" s="18" t="str">
        <f t="shared" si="129"/>
        <v>700</v>
      </c>
      <c r="Z1031" s="18" t="e">
        <f>IF($L1031&lt;"6",INDEX(Revenue_type,MATCH(Y1031*1,type!$A$118:$A$168,0),8),INDEX(Expenditure_type,MATCH(Y1031*1,type!$A$2:$A$117,0),8))</f>
        <v>#N/A</v>
      </c>
    </row>
    <row r="1032" spans="1:26" ht="15.75" hidden="1" customHeight="1" outlineLevel="2">
      <c r="A1032">
        <v>100</v>
      </c>
      <c r="B1032" s="249">
        <v>815540</v>
      </c>
      <c r="C1032">
        <v>1</v>
      </c>
      <c r="D1032" t="str">
        <f t="shared" si="122"/>
        <v>1815540.100</v>
      </c>
      <c r="E1032" s="385" t="s">
        <v>8694</v>
      </c>
      <c r="F1032" s="242"/>
      <c r="G1032"/>
      <c r="H1032" s="322">
        <v>2396000</v>
      </c>
      <c r="I1032" s="322">
        <v>688000</v>
      </c>
      <c r="J1032" s="242">
        <v>0</v>
      </c>
      <c r="K1032" s="18" t="e">
        <f>INDEX(תקציב_2013,MATCH(D1032,'תקציב 2015'!$D$3:$D$5960,0),8)</f>
        <v>#N/A</v>
      </c>
      <c r="L1032" s="18" t="str">
        <f t="shared" si="123"/>
        <v>8</v>
      </c>
      <c r="M1032" s="18" t="str">
        <f>INDEX(Chapter,MATCH(L1032,Chapter!$A$1:$A$681,0),8)</f>
        <v>שירותים ממלכתיים</v>
      </c>
      <c r="N1032" s="18" t="str">
        <f t="shared" si="124"/>
        <v>81</v>
      </c>
      <c r="O1032" s="18" t="str">
        <f>INDEX(Chapter,MATCH(N1032,Chapter!$A$1:$A$681,0),8)</f>
        <v>חינוך</v>
      </c>
      <c r="P1032" s="18" t="str">
        <f t="shared" si="125"/>
        <v>815</v>
      </c>
      <c r="Q1032" s="18" t="str">
        <f>INDEX(Chapter,MATCH(P1032,Chapter!$A$1:$A$681,0),8)</f>
        <v>חינוך על יסודי</v>
      </c>
      <c r="R1032" s="18" t="str">
        <f t="shared" si="126"/>
        <v>8155</v>
      </c>
      <c r="S1032" s="18" t="str">
        <f>INDEX(Chapter,MATCH(R1032,Chapter!$A$1:$A$681,0),8)</f>
        <v>בתי״ס על יסודיים מקצועיים</v>
      </c>
      <c r="T1032" s="18"/>
      <c r="U1032" s="18" t="str">
        <f t="shared" si="127"/>
        <v>1</v>
      </c>
      <c r="V1032" s="18" t="str">
        <f>IF($L1032&lt;"6",INDEX(Revenue_type,MATCH(U1032*1,type!$A$118:$A$168,0),8),INDEX(Expenditure_type,MATCH(U1032*1,type!$A$2:$A$117,0),8))</f>
        <v>משכורות וש"ע לעובדים לפי תקן</v>
      </c>
      <c r="W1032" s="18" t="str">
        <f t="shared" si="128"/>
        <v>10</v>
      </c>
      <c r="X1032" s="18" t="e">
        <f>IF($L1032&lt;"6",INDEX(Revenue_type,MATCH(W1032*1,type!$A$118:$A$168,0),8),INDEX(Expenditure_type,MATCH(W1032*1,type!$A$2:$A$117,0),8))</f>
        <v>#N/A</v>
      </c>
      <c r="Y1032" s="18" t="str">
        <f t="shared" si="129"/>
        <v>100</v>
      </c>
      <c r="Z1032" s="18" t="e">
        <f>IF($L1032&lt;"6",INDEX(Revenue_type,MATCH(Y1032*1,type!$A$118:$A$168,0),8),INDEX(Expenditure_type,MATCH(Y1032*1,type!$A$2:$A$117,0),8))</f>
        <v>#N/A</v>
      </c>
    </row>
    <row r="1033" spans="1:26" ht="15.75" hidden="1" customHeight="1" outlineLevel="2">
      <c r="A1033">
        <v>700</v>
      </c>
      <c r="B1033" s="249">
        <v>815540</v>
      </c>
      <c r="C1033">
        <v>1</v>
      </c>
      <c r="D1033" t="str">
        <f t="shared" si="122"/>
        <v>1815540.700</v>
      </c>
      <c r="E1033" s="392" t="s">
        <v>8695</v>
      </c>
      <c r="F1033" s="242"/>
      <c r="G1033"/>
      <c r="H1033" s="322">
        <v>77700</v>
      </c>
      <c r="I1033" s="322">
        <v>80000</v>
      </c>
      <c r="J1033" s="242">
        <v>69400</v>
      </c>
      <c r="K1033" s="18" t="e">
        <f>INDEX(תקציב_2013,MATCH(D1033,'תקציב 2015'!$D$3:$D$5960,0),8)</f>
        <v>#N/A</v>
      </c>
      <c r="L1033" s="18" t="str">
        <f t="shared" si="123"/>
        <v>8</v>
      </c>
      <c r="M1033" s="18" t="str">
        <f>INDEX(Chapter,MATCH(L1033,Chapter!$A$1:$A$681,0),8)</f>
        <v>שירותים ממלכתיים</v>
      </c>
      <c r="N1033" s="18" t="str">
        <f t="shared" si="124"/>
        <v>81</v>
      </c>
      <c r="O1033" s="18" t="str">
        <f>INDEX(Chapter,MATCH(N1033,Chapter!$A$1:$A$681,0),8)</f>
        <v>חינוך</v>
      </c>
      <c r="P1033" s="18" t="str">
        <f t="shared" si="125"/>
        <v>815</v>
      </c>
      <c r="Q1033" s="18" t="str">
        <f>INDEX(Chapter,MATCH(P1033,Chapter!$A$1:$A$681,0),8)</f>
        <v>חינוך על יסודי</v>
      </c>
      <c r="R1033" s="18" t="str">
        <f t="shared" si="126"/>
        <v>8155</v>
      </c>
      <c r="S1033" s="18" t="str">
        <f>INDEX(Chapter,MATCH(R1033,Chapter!$A$1:$A$681,0),8)</f>
        <v>בתי״ס על יסודיים מקצועיים</v>
      </c>
      <c r="T1033" s="18"/>
      <c r="U1033" s="18" t="str">
        <f t="shared" si="127"/>
        <v>7</v>
      </c>
      <c r="V1033" s="18" t="str">
        <f>IF($L1033&lt;"6",INDEX(Revenue_type,MATCH(U1033*1,type!$A$118:$A$168,0),8),INDEX(Expenditure_type,MATCH(U1033*1,type!$A$2:$A$117,0),8))</f>
        <v>הוצאות לפעולות</v>
      </c>
      <c r="W1033" s="18" t="str">
        <f t="shared" si="128"/>
        <v>70</v>
      </c>
      <c r="X1033" s="18" t="e">
        <f>IF($L1033&lt;"6",INDEX(Revenue_type,MATCH(W1033*1,type!$A$118:$A$168,0),8),INDEX(Expenditure_type,MATCH(W1033*1,type!$A$2:$A$117,0),8))</f>
        <v>#N/A</v>
      </c>
      <c r="Y1033" s="18" t="str">
        <f t="shared" si="129"/>
        <v>700</v>
      </c>
      <c r="Z1033" s="18" t="e">
        <f>IF($L1033&lt;"6",INDEX(Revenue_type,MATCH(Y1033*1,type!$A$118:$A$168,0),8),INDEX(Expenditure_type,MATCH(Y1033*1,type!$A$2:$A$117,0),8))</f>
        <v>#N/A</v>
      </c>
    </row>
    <row r="1034" spans="1:26" ht="15.75" hidden="1" customHeight="1" outlineLevel="2">
      <c r="A1034">
        <v>100</v>
      </c>
      <c r="B1034" s="249">
        <v>813310</v>
      </c>
      <c r="C1034">
        <v>1</v>
      </c>
      <c r="D1034" t="str">
        <f t="shared" si="122"/>
        <v>1813310.100</v>
      </c>
      <c r="E1034" s="382" t="s">
        <v>8696</v>
      </c>
      <c r="F1034" s="242"/>
      <c r="G1034"/>
      <c r="H1034" s="322">
        <v>209000</v>
      </c>
      <c r="I1034" s="322">
        <v>207000</v>
      </c>
      <c r="J1034" s="242">
        <v>192700</v>
      </c>
      <c r="K1034" s="18" t="e">
        <f>INDEX(תקציב_2013,MATCH(D1034,'תקציב 2015'!$D$3:$D$5960,0),8)</f>
        <v>#N/A</v>
      </c>
      <c r="L1034" s="18" t="str">
        <f t="shared" si="123"/>
        <v>8</v>
      </c>
      <c r="M1034" s="18" t="str">
        <f>INDEX(Chapter,MATCH(L1034,Chapter!$A$1:$A$681,0),8)</f>
        <v>שירותים ממלכתיים</v>
      </c>
      <c r="N1034" s="18" t="str">
        <f t="shared" si="124"/>
        <v>81</v>
      </c>
      <c r="O1034" s="18" t="str">
        <f>INDEX(Chapter,MATCH(N1034,Chapter!$A$1:$A$681,0),8)</f>
        <v>חינוך</v>
      </c>
      <c r="P1034" s="18" t="str">
        <f t="shared" si="125"/>
        <v>813</v>
      </c>
      <c r="Q1034" s="18" t="str">
        <f>INDEX(Chapter,MATCH(P1034,Chapter!$A$1:$A$681,0),8)</f>
        <v>חינוך יסודי</v>
      </c>
      <c r="R1034" s="18" t="str">
        <f t="shared" si="126"/>
        <v>8133</v>
      </c>
      <c r="S1034" s="18" t="str">
        <f>INDEX(Chapter,MATCH(R1034,Chapter!$A$1:$A$681,0),8)</f>
        <v>חינוך מיוחד</v>
      </c>
      <c r="T1034" s="18"/>
      <c r="U1034" s="18" t="str">
        <f t="shared" si="127"/>
        <v>1</v>
      </c>
      <c r="V1034" s="18" t="str">
        <f>IF($L1034&lt;"6",INDEX(Revenue_type,MATCH(U1034*1,type!$A$118:$A$168,0),8),INDEX(Expenditure_type,MATCH(U1034*1,type!$A$2:$A$117,0),8))</f>
        <v>משכורות וש"ע לעובדים לפי תקן</v>
      </c>
      <c r="W1034" s="18" t="str">
        <f t="shared" si="128"/>
        <v>10</v>
      </c>
      <c r="X1034" s="18" t="e">
        <f>IF($L1034&lt;"6",INDEX(Revenue_type,MATCH(W1034*1,type!$A$118:$A$168,0),8),INDEX(Expenditure_type,MATCH(W1034*1,type!$A$2:$A$117,0),8))</f>
        <v>#N/A</v>
      </c>
      <c r="Y1034" s="18" t="str">
        <f t="shared" si="129"/>
        <v>100</v>
      </c>
      <c r="Z1034" s="18" t="e">
        <f>IF($L1034&lt;"6",INDEX(Revenue_type,MATCH(Y1034*1,type!$A$118:$A$168,0),8),INDEX(Expenditure_type,MATCH(Y1034*1,type!$A$2:$A$117,0),8))</f>
        <v>#N/A</v>
      </c>
    </row>
    <row r="1035" spans="1:26" ht="15.75" hidden="1" customHeight="1" outlineLevel="2">
      <c r="A1035">
        <v>100</v>
      </c>
      <c r="B1035" s="249">
        <v>813312</v>
      </c>
      <c r="C1035">
        <v>1</v>
      </c>
      <c r="D1035" t="str">
        <f t="shared" si="122"/>
        <v>1813312.100</v>
      </c>
      <c r="E1035" s="382" t="s">
        <v>8697</v>
      </c>
      <c r="F1035" s="242"/>
      <c r="G1035"/>
      <c r="H1035" s="322">
        <v>2426400</v>
      </c>
      <c r="I1035" s="322">
        <v>2399400</v>
      </c>
      <c r="J1035" s="242">
        <v>2383500</v>
      </c>
      <c r="K1035" s="18" t="e">
        <f>INDEX(תקציב_2013,MATCH(D1035,'תקציב 2015'!$D$3:$D$5960,0),8)</f>
        <v>#N/A</v>
      </c>
      <c r="L1035" s="18" t="str">
        <f t="shared" si="123"/>
        <v>8</v>
      </c>
      <c r="M1035" s="18" t="str">
        <f>INDEX(Chapter,MATCH(L1035,Chapter!$A$1:$A$681,0),8)</f>
        <v>שירותים ממלכתיים</v>
      </c>
      <c r="N1035" s="18" t="str">
        <f t="shared" si="124"/>
        <v>81</v>
      </c>
      <c r="O1035" s="18" t="str">
        <f>INDEX(Chapter,MATCH(N1035,Chapter!$A$1:$A$681,0),8)</f>
        <v>חינוך</v>
      </c>
      <c r="P1035" s="18" t="str">
        <f t="shared" si="125"/>
        <v>813</v>
      </c>
      <c r="Q1035" s="18" t="str">
        <f>INDEX(Chapter,MATCH(P1035,Chapter!$A$1:$A$681,0),8)</f>
        <v>חינוך יסודי</v>
      </c>
      <c r="R1035" s="18" t="str">
        <f t="shared" si="126"/>
        <v>8133</v>
      </c>
      <c r="S1035" s="18" t="str">
        <f>INDEX(Chapter,MATCH(R1035,Chapter!$A$1:$A$681,0),8)</f>
        <v>חינוך מיוחד</v>
      </c>
      <c r="T1035" s="18"/>
      <c r="U1035" s="18" t="str">
        <f t="shared" si="127"/>
        <v>1</v>
      </c>
      <c r="V1035" s="18" t="str">
        <f>IF($L1035&lt;"6",INDEX(Revenue_type,MATCH(U1035*1,type!$A$118:$A$168,0),8),INDEX(Expenditure_type,MATCH(U1035*1,type!$A$2:$A$117,0),8))</f>
        <v>משכורות וש"ע לעובדים לפי תקן</v>
      </c>
      <c r="W1035" s="18" t="str">
        <f t="shared" si="128"/>
        <v>10</v>
      </c>
      <c r="X1035" s="18" t="e">
        <f>IF($L1035&lt;"6",INDEX(Revenue_type,MATCH(W1035*1,type!$A$118:$A$168,0),8),INDEX(Expenditure_type,MATCH(W1035*1,type!$A$2:$A$117,0),8))</f>
        <v>#N/A</v>
      </c>
      <c r="Y1035" s="18" t="str">
        <f t="shared" si="129"/>
        <v>100</v>
      </c>
      <c r="Z1035" s="18" t="e">
        <f>IF($L1035&lt;"6",INDEX(Revenue_type,MATCH(Y1035*1,type!$A$118:$A$168,0),8),INDEX(Expenditure_type,MATCH(Y1035*1,type!$A$2:$A$117,0),8))</f>
        <v>#N/A</v>
      </c>
    </row>
    <row r="1036" spans="1:26" ht="15.75" hidden="1" customHeight="1" outlineLevel="2">
      <c r="A1036">
        <v>120</v>
      </c>
      <c r="B1036" s="249">
        <v>813312</v>
      </c>
      <c r="C1036">
        <v>1</v>
      </c>
      <c r="D1036" t="str">
        <f t="shared" si="122"/>
        <v>1813312.120</v>
      </c>
      <c r="E1036" s="382" t="s">
        <v>8698</v>
      </c>
      <c r="F1036" s="242"/>
      <c r="G1036"/>
      <c r="H1036" s="322">
        <v>3600</v>
      </c>
      <c r="I1036" s="322">
        <v>3600</v>
      </c>
      <c r="J1036" s="242">
        <v>4200</v>
      </c>
      <c r="K1036" s="18" t="e">
        <f>INDEX(תקציב_2013,MATCH(D1036,'תקציב 2015'!$D$3:$D$5960,0),8)</f>
        <v>#N/A</v>
      </c>
      <c r="L1036" s="18" t="str">
        <f t="shared" si="123"/>
        <v>8</v>
      </c>
      <c r="M1036" s="18" t="str">
        <f>INDEX(Chapter,MATCH(L1036,Chapter!$A$1:$A$681,0),8)</f>
        <v>שירותים ממלכתיים</v>
      </c>
      <c r="N1036" s="18" t="str">
        <f t="shared" si="124"/>
        <v>81</v>
      </c>
      <c r="O1036" s="18" t="str">
        <f>INDEX(Chapter,MATCH(N1036,Chapter!$A$1:$A$681,0),8)</f>
        <v>חינוך</v>
      </c>
      <c r="P1036" s="18" t="str">
        <f t="shared" si="125"/>
        <v>813</v>
      </c>
      <c r="Q1036" s="18" t="str">
        <f>INDEX(Chapter,MATCH(P1036,Chapter!$A$1:$A$681,0),8)</f>
        <v>חינוך יסודי</v>
      </c>
      <c r="R1036" s="18" t="str">
        <f t="shared" si="126"/>
        <v>8133</v>
      </c>
      <c r="S1036" s="18" t="str">
        <f>INDEX(Chapter,MATCH(R1036,Chapter!$A$1:$A$681,0),8)</f>
        <v>חינוך מיוחד</v>
      </c>
      <c r="T1036" s="18"/>
      <c r="U1036" s="18" t="str">
        <f t="shared" si="127"/>
        <v>1</v>
      </c>
      <c r="V1036" s="18" t="str">
        <f>IF($L1036&lt;"6",INDEX(Revenue_type,MATCH(U1036*1,type!$A$118:$A$168,0),8),INDEX(Expenditure_type,MATCH(U1036*1,type!$A$2:$A$117,0),8))</f>
        <v>משכורות וש"ע לעובדים לפי תקן</v>
      </c>
      <c r="W1036" s="18" t="str">
        <f t="shared" si="128"/>
        <v>12</v>
      </c>
      <c r="X1036" s="18" t="str">
        <f>IF($L1036&lt;"6",INDEX(Revenue_type,MATCH(W1036*1,type!$A$118:$A$168,0),8),INDEX(Expenditure_type,MATCH(W1036*1,type!$A$2:$A$117,0),8))</f>
        <v>תוספות שאינן נכללות בשכר הקובע</v>
      </c>
      <c r="Y1036" s="18" t="str">
        <f t="shared" si="129"/>
        <v>120</v>
      </c>
      <c r="Z1036" s="18" t="e">
        <f>IF($L1036&lt;"6",INDEX(Revenue_type,MATCH(Y1036*1,type!$A$118:$A$168,0),8),INDEX(Expenditure_type,MATCH(Y1036*1,type!$A$2:$A$117,0),8))</f>
        <v>#N/A</v>
      </c>
    </row>
    <row r="1037" spans="1:26" ht="15.75" hidden="1" customHeight="1" outlineLevel="2">
      <c r="A1037">
        <v>400</v>
      </c>
      <c r="B1037" s="249">
        <v>813312</v>
      </c>
      <c r="C1037">
        <v>1</v>
      </c>
      <c r="D1037" t="str">
        <f t="shared" si="122"/>
        <v>1813312.400</v>
      </c>
      <c r="E1037" s="382" t="s">
        <v>8699</v>
      </c>
      <c r="F1037" s="242"/>
      <c r="G1037"/>
      <c r="H1037" s="322">
        <v>247000</v>
      </c>
      <c r="I1037" s="322">
        <v>247000</v>
      </c>
      <c r="J1037" s="242">
        <v>255700</v>
      </c>
      <c r="K1037" s="18" t="e">
        <f>INDEX(תקציב_2013,MATCH(D1037,'תקציב 2015'!$D$3:$D$5960,0),8)</f>
        <v>#N/A</v>
      </c>
      <c r="L1037" s="18" t="str">
        <f t="shared" si="123"/>
        <v>8</v>
      </c>
      <c r="M1037" s="18" t="str">
        <f>INDEX(Chapter,MATCH(L1037,Chapter!$A$1:$A$681,0),8)</f>
        <v>שירותים ממלכתיים</v>
      </c>
      <c r="N1037" s="18" t="str">
        <f t="shared" si="124"/>
        <v>81</v>
      </c>
      <c r="O1037" s="18" t="str">
        <f>INDEX(Chapter,MATCH(N1037,Chapter!$A$1:$A$681,0),8)</f>
        <v>חינוך</v>
      </c>
      <c r="P1037" s="18" t="str">
        <f t="shared" si="125"/>
        <v>813</v>
      </c>
      <c r="Q1037" s="18" t="str">
        <f>INDEX(Chapter,MATCH(P1037,Chapter!$A$1:$A$681,0),8)</f>
        <v>חינוך יסודי</v>
      </c>
      <c r="R1037" s="18" t="str">
        <f t="shared" si="126"/>
        <v>8133</v>
      </c>
      <c r="S1037" s="18" t="str">
        <f>INDEX(Chapter,MATCH(R1037,Chapter!$A$1:$A$681,0),8)</f>
        <v>חינוך מיוחד</v>
      </c>
      <c r="T1037" s="18"/>
      <c r="U1037" s="18" t="str">
        <f t="shared" si="127"/>
        <v>4</v>
      </c>
      <c r="V1037" s="18" t="str">
        <f>IF($L1037&lt;"6",INDEX(Revenue_type,MATCH(U1037*1,type!$A$118:$A$168,0),8),INDEX(Expenditure_type,MATCH(U1037*1,type!$A$2:$A$117,0),8))</f>
        <v>אחזקת בינים ואספקת ציוד</v>
      </c>
      <c r="W1037" s="18" t="str">
        <f t="shared" si="128"/>
        <v>40</v>
      </c>
      <c r="X1037" s="18" t="e">
        <f>IF($L1037&lt;"6",INDEX(Revenue_type,MATCH(W1037*1,type!$A$118:$A$168,0),8),INDEX(Expenditure_type,MATCH(W1037*1,type!$A$2:$A$117,0),8))</f>
        <v>#N/A</v>
      </c>
      <c r="Y1037" s="18" t="str">
        <f t="shared" si="129"/>
        <v>400</v>
      </c>
      <c r="Z1037" s="18" t="e">
        <f>IF($L1037&lt;"6",INDEX(Revenue_type,MATCH(Y1037*1,type!$A$118:$A$168,0),8),INDEX(Expenditure_type,MATCH(Y1037*1,type!$A$2:$A$117,0),8))</f>
        <v>#N/A</v>
      </c>
    </row>
    <row r="1038" spans="1:26" ht="15.75" hidden="1" customHeight="1" outlineLevel="2">
      <c r="A1038">
        <v>500</v>
      </c>
      <c r="B1038" s="249">
        <v>813312</v>
      </c>
      <c r="C1038">
        <v>1</v>
      </c>
      <c r="D1038" t="str">
        <f t="shared" si="122"/>
        <v>1813312.500</v>
      </c>
      <c r="E1038" s="382" t="s">
        <v>8700</v>
      </c>
      <c r="F1038" s="242"/>
      <c r="G1038"/>
      <c r="H1038" s="322">
        <v>40000</v>
      </c>
      <c r="I1038" s="322">
        <v>40000</v>
      </c>
      <c r="J1038" s="242">
        <v>30900</v>
      </c>
      <c r="K1038" s="18" t="e">
        <f>INDEX(תקציב_2013,MATCH(D1038,'תקציב 2015'!$D$3:$D$5960,0),8)</f>
        <v>#N/A</v>
      </c>
      <c r="L1038" s="18" t="str">
        <f t="shared" si="123"/>
        <v>8</v>
      </c>
      <c r="M1038" s="18" t="str">
        <f>INDEX(Chapter,MATCH(L1038,Chapter!$A$1:$A$681,0),8)</f>
        <v>שירותים ממלכתיים</v>
      </c>
      <c r="N1038" s="18" t="str">
        <f t="shared" si="124"/>
        <v>81</v>
      </c>
      <c r="O1038" s="18" t="str">
        <f>INDEX(Chapter,MATCH(N1038,Chapter!$A$1:$A$681,0),8)</f>
        <v>חינוך</v>
      </c>
      <c r="P1038" s="18" t="str">
        <f t="shared" si="125"/>
        <v>813</v>
      </c>
      <c r="Q1038" s="18" t="str">
        <f>INDEX(Chapter,MATCH(P1038,Chapter!$A$1:$A$681,0),8)</f>
        <v>חינוך יסודי</v>
      </c>
      <c r="R1038" s="18" t="str">
        <f t="shared" si="126"/>
        <v>8133</v>
      </c>
      <c r="S1038" s="18" t="str">
        <f>INDEX(Chapter,MATCH(R1038,Chapter!$A$1:$A$681,0),8)</f>
        <v>חינוך מיוחד</v>
      </c>
      <c r="T1038" s="18"/>
      <c r="U1038" s="18" t="str">
        <f t="shared" si="127"/>
        <v>5</v>
      </c>
      <c r="V1038" s="18" t="str">
        <f>IF($L1038&lt;"6",INDEX(Revenue_type,MATCH(U1038*1,type!$A$118:$A$168,0),8),INDEX(Expenditure_type,MATCH(U1038*1,type!$A$2:$A$117,0),8))</f>
        <v>הוצאות מנהליות</v>
      </c>
      <c r="W1038" s="18" t="str">
        <f t="shared" si="128"/>
        <v>50</v>
      </c>
      <c r="X1038" s="18" t="e">
        <f>IF($L1038&lt;"6",INDEX(Revenue_type,MATCH(W1038*1,type!$A$118:$A$168,0),8),INDEX(Expenditure_type,MATCH(W1038*1,type!$A$2:$A$117,0),8))</f>
        <v>#N/A</v>
      </c>
      <c r="Y1038" s="18" t="str">
        <f t="shared" si="129"/>
        <v>500</v>
      </c>
      <c r="Z1038" s="18" t="e">
        <f>IF($L1038&lt;"6",INDEX(Revenue_type,MATCH(Y1038*1,type!$A$118:$A$168,0),8),INDEX(Expenditure_type,MATCH(Y1038*1,type!$A$2:$A$117,0),8))</f>
        <v>#N/A</v>
      </c>
    </row>
    <row r="1039" spans="1:26" ht="15.75" hidden="1" customHeight="1" outlineLevel="2">
      <c r="A1039">
        <v>700</v>
      </c>
      <c r="B1039" s="249">
        <v>813312</v>
      </c>
      <c r="C1039">
        <v>1</v>
      </c>
      <c r="D1039" t="str">
        <f t="shared" si="122"/>
        <v>1813312.700</v>
      </c>
      <c r="E1039" s="382" t="s">
        <v>8701</v>
      </c>
      <c r="F1039" s="242"/>
      <c r="G1039"/>
      <c r="H1039" s="322">
        <v>514400</v>
      </c>
      <c r="I1039" s="322">
        <v>538000</v>
      </c>
      <c r="J1039" s="242">
        <v>486500</v>
      </c>
      <c r="K1039" s="18" t="e">
        <f>INDEX(תקציב_2013,MATCH(D1039,'תקציב 2015'!$D$3:$D$5960,0),8)</f>
        <v>#N/A</v>
      </c>
      <c r="L1039" s="18" t="str">
        <f t="shared" si="123"/>
        <v>8</v>
      </c>
      <c r="M1039" s="18" t="str">
        <f>INDEX(Chapter,MATCH(L1039,Chapter!$A$1:$A$681,0),8)</f>
        <v>שירותים ממלכתיים</v>
      </c>
      <c r="N1039" s="18" t="str">
        <f t="shared" si="124"/>
        <v>81</v>
      </c>
      <c r="O1039" s="18" t="str">
        <f>INDEX(Chapter,MATCH(N1039,Chapter!$A$1:$A$681,0),8)</f>
        <v>חינוך</v>
      </c>
      <c r="P1039" s="18" t="str">
        <f t="shared" si="125"/>
        <v>813</v>
      </c>
      <c r="Q1039" s="18" t="str">
        <f>INDEX(Chapter,MATCH(P1039,Chapter!$A$1:$A$681,0),8)</f>
        <v>חינוך יסודי</v>
      </c>
      <c r="R1039" s="18" t="str">
        <f t="shared" si="126"/>
        <v>8133</v>
      </c>
      <c r="S1039" s="18" t="str">
        <f>INDEX(Chapter,MATCH(R1039,Chapter!$A$1:$A$681,0),8)</f>
        <v>חינוך מיוחד</v>
      </c>
      <c r="T1039" s="18"/>
      <c r="U1039" s="18" t="str">
        <f t="shared" si="127"/>
        <v>7</v>
      </c>
      <c r="V1039" s="18" t="str">
        <f>IF($L1039&lt;"6",INDEX(Revenue_type,MATCH(U1039*1,type!$A$118:$A$168,0),8),INDEX(Expenditure_type,MATCH(U1039*1,type!$A$2:$A$117,0),8))</f>
        <v>הוצאות לפעולות</v>
      </c>
      <c r="W1039" s="18" t="str">
        <f t="shared" si="128"/>
        <v>70</v>
      </c>
      <c r="X1039" s="18" t="e">
        <f>IF($L1039&lt;"6",INDEX(Revenue_type,MATCH(W1039*1,type!$A$118:$A$168,0),8),INDEX(Expenditure_type,MATCH(W1039*1,type!$A$2:$A$117,0),8))</f>
        <v>#N/A</v>
      </c>
      <c r="Y1039" s="18" t="str">
        <f t="shared" si="129"/>
        <v>700</v>
      </c>
      <c r="Z1039" s="18" t="e">
        <f>IF($L1039&lt;"6",INDEX(Revenue_type,MATCH(Y1039*1,type!$A$118:$A$168,0),8),INDEX(Expenditure_type,MATCH(Y1039*1,type!$A$2:$A$117,0),8))</f>
        <v>#N/A</v>
      </c>
    </row>
    <row r="1040" spans="1:26" ht="15.75" hidden="1" customHeight="1" outlineLevel="2">
      <c r="A1040">
        <v>500</v>
      </c>
      <c r="B1040" s="249">
        <v>813390</v>
      </c>
      <c r="C1040">
        <v>1</v>
      </c>
      <c r="D1040" t="str">
        <f t="shared" si="122"/>
        <v>1813390.500</v>
      </c>
      <c r="E1040" s="382" t="s">
        <v>8702</v>
      </c>
      <c r="F1040" s="242"/>
      <c r="G1040"/>
      <c r="H1040" s="322">
        <v>410000</v>
      </c>
      <c r="I1040" s="322">
        <v>410000</v>
      </c>
      <c r="J1040" s="242">
        <v>336500</v>
      </c>
      <c r="K1040" s="18" t="e">
        <f>INDEX(תקציב_2013,MATCH(D1040,'תקציב 2015'!$D$3:$D$5960,0),8)</f>
        <v>#N/A</v>
      </c>
      <c r="L1040" s="18" t="str">
        <f t="shared" si="123"/>
        <v>8</v>
      </c>
      <c r="M1040" s="18" t="str">
        <f>INDEX(Chapter,MATCH(L1040,Chapter!$A$1:$A$681,0),8)</f>
        <v>שירותים ממלכתיים</v>
      </c>
      <c r="N1040" s="18" t="str">
        <f t="shared" si="124"/>
        <v>81</v>
      </c>
      <c r="O1040" s="18" t="str">
        <f>INDEX(Chapter,MATCH(N1040,Chapter!$A$1:$A$681,0),8)</f>
        <v>חינוך</v>
      </c>
      <c r="P1040" s="18" t="str">
        <f t="shared" si="125"/>
        <v>813</v>
      </c>
      <c r="Q1040" s="18" t="str">
        <f>INDEX(Chapter,MATCH(P1040,Chapter!$A$1:$A$681,0),8)</f>
        <v>חינוך יסודי</v>
      </c>
      <c r="R1040" s="18" t="str">
        <f t="shared" si="126"/>
        <v>8133</v>
      </c>
      <c r="S1040" s="18" t="str">
        <f>INDEX(Chapter,MATCH(R1040,Chapter!$A$1:$A$681,0),8)</f>
        <v>חינוך מיוחד</v>
      </c>
      <c r="T1040" s="18"/>
      <c r="U1040" s="18" t="str">
        <f t="shared" si="127"/>
        <v>5</v>
      </c>
      <c r="V1040" s="18" t="str">
        <f>IF($L1040&lt;"6",INDEX(Revenue_type,MATCH(U1040*1,type!$A$118:$A$168,0),8),INDEX(Expenditure_type,MATCH(U1040*1,type!$A$2:$A$117,0),8))</f>
        <v>הוצאות מנהליות</v>
      </c>
      <c r="W1040" s="18" t="str">
        <f t="shared" si="128"/>
        <v>50</v>
      </c>
      <c r="X1040" s="18" t="e">
        <f>IF($L1040&lt;"6",INDEX(Revenue_type,MATCH(W1040*1,type!$A$118:$A$168,0),8),INDEX(Expenditure_type,MATCH(W1040*1,type!$A$2:$A$117,0),8))</f>
        <v>#N/A</v>
      </c>
      <c r="Y1040" s="18" t="str">
        <f t="shared" si="129"/>
        <v>500</v>
      </c>
      <c r="Z1040" s="18" t="e">
        <f>IF($L1040&lt;"6",INDEX(Revenue_type,MATCH(Y1040*1,type!$A$118:$A$168,0),8),INDEX(Expenditure_type,MATCH(Y1040*1,type!$A$2:$A$117,0),8))</f>
        <v>#N/A</v>
      </c>
    </row>
    <row r="1041" spans="1:26" ht="15.75" hidden="1" customHeight="1" outlineLevel="2">
      <c r="A1041">
        <v>800</v>
      </c>
      <c r="B1041" s="249">
        <v>813390</v>
      </c>
      <c r="C1041">
        <v>1</v>
      </c>
      <c r="D1041" t="str">
        <f t="shared" si="122"/>
        <v>1813390.800</v>
      </c>
      <c r="E1041" s="382" t="s">
        <v>8703</v>
      </c>
      <c r="F1041" s="242"/>
      <c r="G1041"/>
      <c r="H1041" s="322">
        <v>80000</v>
      </c>
      <c r="I1041" s="322">
        <v>80000</v>
      </c>
      <c r="J1041" s="242">
        <v>82000</v>
      </c>
      <c r="K1041" s="18" t="e">
        <f>INDEX(תקציב_2013,MATCH(D1041,'תקציב 2015'!$D$3:$D$5960,0),8)</f>
        <v>#N/A</v>
      </c>
      <c r="L1041" s="18" t="str">
        <f t="shared" si="123"/>
        <v>8</v>
      </c>
      <c r="M1041" s="18" t="str">
        <f>INDEX(Chapter,MATCH(L1041,Chapter!$A$1:$A$681,0),8)</f>
        <v>שירותים ממלכתיים</v>
      </c>
      <c r="N1041" s="18" t="str">
        <f t="shared" si="124"/>
        <v>81</v>
      </c>
      <c r="O1041" s="18" t="str">
        <f>INDEX(Chapter,MATCH(N1041,Chapter!$A$1:$A$681,0),8)</f>
        <v>חינוך</v>
      </c>
      <c r="P1041" s="18" t="str">
        <f t="shared" si="125"/>
        <v>813</v>
      </c>
      <c r="Q1041" s="18" t="str">
        <f>INDEX(Chapter,MATCH(P1041,Chapter!$A$1:$A$681,0),8)</f>
        <v>חינוך יסודי</v>
      </c>
      <c r="R1041" s="18" t="str">
        <f t="shared" si="126"/>
        <v>8133</v>
      </c>
      <c r="S1041" s="18" t="str">
        <f>INDEX(Chapter,MATCH(R1041,Chapter!$A$1:$A$681,0),8)</f>
        <v>חינוך מיוחד</v>
      </c>
      <c r="T1041" s="18"/>
      <c r="U1041" s="18" t="str">
        <f t="shared" si="127"/>
        <v>8</v>
      </c>
      <c r="V1041" s="18" t="str">
        <f>IF($L1041&lt;"6",INDEX(Revenue_type,MATCH(U1041*1,type!$A$118:$A$168,0),8),INDEX(Expenditure_type,MATCH(U1041*1,type!$A$2:$A$117,0),8))</f>
        <v>השתתפויות תמיכות ותרומות</v>
      </c>
      <c r="W1041" s="18" t="str">
        <f t="shared" si="128"/>
        <v>80</v>
      </c>
      <c r="X1041" s="18" t="e">
        <f>IF($L1041&lt;"6",INDEX(Revenue_type,MATCH(W1041*1,type!$A$118:$A$168,0),8),INDEX(Expenditure_type,MATCH(W1041*1,type!$A$2:$A$117,0),8))</f>
        <v>#N/A</v>
      </c>
      <c r="Y1041" s="18" t="str">
        <f t="shared" si="129"/>
        <v>800</v>
      </c>
      <c r="Z1041" s="18" t="e">
        <f>IF($L1041&lt;"6",INDEX(Revenue_type,MATCH(Y1041*1,type!$A$118:$A$168,0),8),INDEX(Expenditure_type,MATCH(Y1041*1,type!$A$2:$A$117,0),8))</f>
        <v>#N/A</v>
      </c>
    </row>
    <row r="1042" spans="1:26" ht="15.75" hidden="1" customHeight="1" outlineLevel="2">
      <c r="A1042">
        <v>100</v>
      </c>
      <c r="B1042" s="249">
        <v>813320</v>
      </c>
      <c r="C1042">
        <v>1</v>
      </c>
      <c r="D1042" t="str">
        <f t="shared" si="122"/>
        <v>1813320.100</v>
      </c>
      <c r="E1042" s="381" t="s">
        <v>8704</v>
      </c>
      <c r="F1042" s="242"/>
      <c r="G1042"/>
      <c r="H1042" s="322">
        <v>765000</v>
      </c>
      <c r="I1042" s="322">
        <v>757000</v>
      </c>
      <c r="J1042" s="242">
        <v>737700</v>
      </c>
      <c r="K1042" s="18" t="e">
        <f>INDEX(תקציב_2013,MATCH(D1042,'תקציב 2015'!$D$3:$D$5960,0),8)</f>
        <v>#N/A</v>
      </c>
      <c r="L1042" s="18" t="str">
        <f t="shared" si="123"/>
        <v>8</v>
      </c>
      <c r="M1042" s="18" t="str">
        <f>INDEX(Chapter,MATCH(L1042,Chapter!$A$1:$A$681,0),8)</f>
        <v>שירותים ממלכתיים</v>
      </c>
      <c r="N1042" s="18" t="str">
        <f t="shared" si="124"/>
        <v>81</v>
      </c>
      <c r="O1042" s="18" t="str">
        <f>INDEX(Chapter,MATCH(N1042,Chapter!$A$1:$A$681,0),8)</f>
        <v>חינוך</v>
      </c>
      <c r="P1042" s="18" t="str">
        <f t="shared" si="125"/>
        <v>813</v>
      </c>
      <c r="Q1042" s="18" t="str">
        <f>INDEX(Chapter,MATCH(P1042,Chapter!$A$1:$A$681,0),8)</f>
        <v>חינוך יסודי</v>
      </c>
      <c r="R1042" s="18" t="str">
        <f t="shared" si="126"/>
        <v>8133</v>
      </c>
      <c r="S1042" s="18" t="str">
        <f>INDEX(Chapter,MATCH(R1042,Chapter!$A$1:$A$681,0),8)</f>
        <v>חינוך מיוחד</v>
      </c>
      <c r="T1042" s="18"/>
      <c r="U1042" s="18" t="str">
        <f t="shared" si="127"/>
        <v>1</v>
      </c>
      <c r="V1042" s="18" t="str">
        <f>IF($L1042&lt;"6",INDEX(Revenue_type,MATCH(U1042*1,type!$A$118:$A$168,0),8),INDEX(Expenditure_type,MATCH(U1042*1,type!$A$2:$A$117,0),8))</f>
        <v>משכורות וש"ע לעובדים לפי תקן</v>
      </c>
      <c r="W1042" s="18" t="str">
        <f t="shared" si="128"/>
        <v>10</v>
      </c>
      <c r="X1042" s="18" t="e">
        <f>IF($L1042&lt;"6",INDEX(Revenue_type,MATCH(W1042*1,type!$A$118:$A$168,0),8),INDEX(Expenditure_type,MATCH(W1042*1,type!$A$2:$A$117,0),8))</f>
        <v>#N/A</v>
      </c>
      <c r="Y1042" s="18" t="str">
        <f t="shared" si="129"/>
        <v>100</v>
      </c>
      <c r="Z1042" s="18" t="e">
        <f>IF($L1042&lt;"6",INDEX(Revenue_type,MATCH(Y1042*1,type!$A$118:$A$168,0),8),INDEX(Expenditure_type,MATCH(Y1042*1,type!$A$2:$A$117,0),8))</f>
        <v>#N/A</v>
      </c>
    </row>
    <row r="1043" spans="1:26" ht="15.75" hidden="1" customHeight="1" outlineLevel="2">
      <c r="A1043">
        <v>400</v>
      </c>
      <c r="B1043" s="249">
        <v>813320</v>
      </c>
      <c r="C1043">
        <v>1</v>
      </c>
      <c r="D1043" t="str">
        <f t="shared" ref="D1043:D1106" si="130">C1043&amp;B1043&amp;"."&amp;A1043</f>
        <v>1813320.400</v>
      </c>
      <c r="E1043" s="382" t="s">
        <v>8705</v>
      </c>
      <c r="F1043" s="242"/>
      <c r="G1043"/>
      <c r="H1043" s="322">
        <v>90300</v>
      </c>
      <c r="I1043" s="322">
        <v>95000</v>
      </c>
      <c r="J1043" s="242">
        <v>106800</v>
      </c>
      <c r="K1043" s="18" t="e">
        <f>INDEX(תקציב_2013,MATCH(D1043,'תקציב 2015'!$D$3:$D$5960,0),8)</f>
        <v>#N/A</v>
      </c>
      <c r="L1043" s="18" t="str">
        <f t="shared" si="123"/>
        <v>8</v>
      </c>
      <c r="M1043" s="18" t="str">
        <f>INDEX(Chapter,MATCH(L1043,Chapter!$A$1:$A$681,0),8)</f>
        <v>שירותים ממלכתיים</v>
      </c>
      <c r="N1043" s="18" t="str">
        <f t="shared" si="124"/>
        <v>81</v>
      </c>
      <c r="O1043" s="18" t="str">
        <f>INDEX(Chapter,MATCH(N1043,Chapter!$A$1:$A$681,0),8)</f>
        <v>חינוך</v>
      </c>
      <c r="P1043" s="18" t="str">
        <f t="shared" si="125"/>
        <v>813</v>
      </c>
      <c r="Q1043" s="18" t="str">
        <f>INDEX(Chapter,MATCH(P1043,Chapter!$A$1:$A$681,0),8)</f>
        <v>חינוך יסודי</v>
      </c>
      <c r="R1043" s="18" t="str">
        <f t="shared" si="126"/>
        <v>8133</v>
      </c>
      <c r="S1043" s="18" t="str">
        <f>INDEX(Chapter,MATCH(R1043,Chapter!$A$1:$A$681,0),8)</f>
        <v>חינוך מיוחד</v>
      </c>
      <c r="T1043" s="18"/>
      <c r="U1043" s="18" t="str">
        <f t="shared" si="127"/>
        <v>4</v>
      </c>
      <c r="V1043" s="18" t="str">
        <f>IF($L1043&lt;"6",INDEX(Revenue_type,MATCH(U1043*1,type!$A$118:$A$168,0),8),INDEX(Expenditure_type,MATCH(U1043*1,type!$A$2:$A$117,0),8))</f>
        <v>אחזקת בינים ואספקת ציוד</v>
      </c>
      <c r="W1043" s="18" t="str">
        <f t="shared" si="128"/>
        <v>40</v>
      </c>
      <c r="X1043" s="18" t="e">
        <f>IF($L1043&lt;"6",INDEX(Revenue_type,MATCH(W1043*1,type!$A$118:$A$168,0),8),INDEX(Expenditure_type,MATCH(W1043*1,type!$A$2:$A$117,0),8))</f>
        <v>#N/A</v>
      </c>
      <c r="Y1043" s="18" t="str">
        <f t="shared" si="129"/>
        <v>400</v>
      </c>
      <c r="Z1043" s="18" t="e">
        <f>IF($L1043&lt;"6",INDEX(Revenue_type,MATCH(Y1043*1,type!$A$118:$A$168,0),8),INDEX(Expenditure_type,MATCH(Y1043*1,type!$A$2:$A$117,0),8))</f>
        <v>#N/A</v>
      </c>
    </row>
    <row r="1044" spans="1:26" ht="15.75" hidden="1" customHeight="1" outlineLevel="2">
      <c r="A1044">
        <v>700</v>
      </c>
      <c r="B1044" s="249">
        <v>813320</v>
      </c>
      <c r="C1044">
        <v>1</v>
      </c>
      <c r="D1044" t="str">
        <f t="shared" si="130"/>
        <v>1813320.700</v>
      </c>
      <c r="E1044" s="382" t="s">
        <v>8706</v>
      </c>
      <c r="F1044" s="242"/>
      <c r="G1044"/>
      <c r="H1044" s="322">
        <v>70000</v>
      </c>
      <c r="I1044" s="322">
        <v>70000</v>
      </c>
      <c r="J1044" s="242">
        <v>70000</v>
      </c>
      <c r="K1044" s="18" t="e">
        <f>INDEX(תקציב_2013,MATCH(D1044,'תקציב 2015'!$D$3:$D$5960,0),8)</f>
        <v>#N/A</v>
      </c>
      <c r="L1044" s="18" t="str">
        <f t="shared" si="123"/>
        <v>8</v>
      </c>
      <c r="M1044" s="18" t="str">
        <f>INDEX(Chapter,MATCH(L1044,Chapter!$A$1:$A$681,0),8)</f>
        <v>שירותים ממלכתיים</v>
      </c>
      <c r="N1044" s="18" t="str">
        <f t="shared" si="124"/>
        <v>81</v>
      </c>
      <c r="O1044" s="18" t="str">
        <f>INDEX(Chapter,MATCH(N1044,Chapter!$A$1:$A$681,0),8)</f>
        <v>חינוך</v>
      </c>
      <c r="P1044" s="18" t="str">
        <f t="shared" si="125"/>
        <v>813</v>
      </c>
      <c r="Q1044" s="18" t="str">
        <f>INDEX(Chapter,MATCH(P1044,Chapter!$A$1:$A$681,0),8)</f>
        <v>חינוך יסודי</v>
      </c>
      <c r="R1044" s="18" t="str">
        <f t="shared" si="126"/>
        <v>8133</v>
      </c>
      <c r="S1044" s="18" t="str">
        <f>INDEX(Chapter,MATCH(R1044,Chapter!$A$1:$A$681,0),8)</f>
        <v>חינוך מיוחד</v>
      </c>
      <c r="T1044" s="18"/>
      <c r="U1044" s="18" t="str">
        <f t="shared" si="127"/>
        <v>7</v>
      </c>
      <c r="V1044" s="18" t="str">
        <f>IF($L1044&lt;"6",INDEX(Revenue_type,MATCH(U1044*1,type!$A$118:$A$168,0),8),INDEX(Expenditure_type,MATCH(U1044*1,type!$A$2:$A$117,0),8))</f>
        <v>הוצאות לפעולות</v>
      </c>
      <c r="W1044" s="18" t="str">
        <f t="shared" si="128"/>
        <v>70</v>
      </c>
      <c r="X1044" s="18" t="e">
        <f>IF($L1044&lt;"6",INDEX(Revenue_type,MATCH(W1044*1,type!$A$118:$A$168,0),8),INDEX(Expenditure_type,MATCH(W1044*1,type!$A$2:$A$117,0),8))</f>
        <v>#N/A</v>
      </c>
      <c r="Y1044" s="18" t="str">
        <f t="shared" si="129"/>
        <v>700</v>
      </c>
      <c r="Z1044" s="18" t="e">
        <f>IF($L1044&lt;"6",INDEX(Revenue_type,MATCH(Y1044*1,type!$A$118:$A$168,0),8),INDEX(Expenditure_type,MATCH(Y1044*1,type!$A$2:$A$117,0),8))</f>
        <v>#N/A</v>
      </c>
    </row>
    <row r="1045" spans="1:26" ht="15.75" hidden="1" customHeight="1" outlineLevel="2">
      <c r="A1045">
        <v>100</v>
      </c>
      <c r="B1045" s="249">
        <v>813314</v>
      </c>
      <c r="C1045">
        <v>1</v>
      </c>
      <c r="D1045" t="str">
        <f t="shared" si="130"/>
        <v>1813314.100</v>
      </c>
      <c r="E1045" s="382" t="s">
        <v>8707</v>
      </c>
      <c r="F1045" s="242"/>
      <c r="G1045"/>
      <c r="H1045" s="322">
        <v>347100</v>
      </c>
      <c r="I1045" s="322">
        <v>343100</v>
      </c>
      <c r="J1045" s="242">
        <v>415600</v>
      </c>
      <c r="K1045" s="18" t="e">
        <f>INDEX(תקציב_2013,MATCH(D1045,'תקציב 2015'!$D$3:$D$5960,0),8)</f>
        <v>#N/A</v>
      </c>
      <c r="L1045" s="18" t="str">
        <f t="shared" si="123"/>
        <v>8</v>
      </c>
      <c r="M1045" s="18" t="str">
        <f>INDEX(Chapter,MATCH(L1045,Chapter!$A$1:$A$681,0),8)</f>
        <v>שירותים ממלכתיים</v>
      </c>
      <c r="N1045" s="18" t="str">
        <f t="shared" si="124"/>
        <v>81</v>
      </c>
      <c r="O1045" s="18" t="str">
        <f>INDEX(Chapter,MATCH(N1045,Chapter!$A$1:$A$681,0),8)</f>
        <v>חינוך</v>
      </c>
      <c r="P1045" s="18" t="str">
        <f t="shared" si="125"/>
        <v>813</v>
      </c>
      <c r="Q1045" s="18" t="str">
        <f>INDEX(Chapter,MATCH(P1045,Chapter!$A$1:$A$681,0),8)</f>
        <v>חינוך יסודי</v>
      </c>
      <c r="R1045" s="18" t="str">
        <f t="shared" si="126"/>
        <v>8133</v>
      </c>
      <c r="S1045" s="18" t="str">
        <f>INDEX(Chapter,MATCH(R1045,Chapter!$A$1:$A$681,0),8)</f>
        <v>חינוך מיוחד</v>
      </c>
      <c r="T1045" s="18"/>
      <c r="U1045" s="18" t="str">
        <f t="shared" si="127"/>
        <v>1</v>
      </c>
      <c r="V1045" s="18" t="str">
        <f>IF($L1045&lt;"6",INDEX(Revenue_type,MATCH(U1045*1,type!$A$118:$A$168,0),8),INDEX(Expenditure_type,MATCH(U1045*1,type!$A$2:$A$117,0),8))</f>
        <v>משכורות וש"ע לעובדים לפי תקן</v>
      </c>
      <c r="W1045" s="18" t="str">
        <f t="shared" si="128"/>
        <v>10</v>
      </c>
      <c r="X1045" s="18" t="e">
        <f>IF($L1045&lt;"6",INDEX(Revenue_type,MATCH(W1045*1,type!$A$118:$A$168,0),8),INDEX(Expenditure_type,MATCH(W1045*1,type!$A$2:$A$117,0),8))</f>
        <v>#N/A</v>
      </c>
      <c r="Y1045" s="18" t="str">
        <f t="shared" si="129"/>
        <v>100</v>
      </c>
      <c r="Z1045" s="18" t="e">
        <f>IF($L1045&lt;"6",INDEX(Revenue_type,MATCH(Y1045*1,type!$A$118:$A$168,0),8),INDEX(Expenditure_type,MATCH(Y1045*1,type!$A$2:$A$117,0),8))</f>
        <v>#N/A</v>
      </c>
    </row>
    <row r="1046" spans="1:26" ht="15.75" hidden="1" customHeight="1" outlineLevel="2">
      <c r="A1046">
        <v>120</v>
      </c>
      <c r="B1046" s="249">
        <v>813314</v>
      </c>
      <c r="C1046">
        <v>1</v>
      </c>
      <c r="D1046" t="str">
        <f t="shared" si="130"/>
        <v>1813314.120</v>
      </c>
      <c r="E1046" s="382" t="s">
        <v>8708</v>
      </c>
      <c r="F1046" s="242"/>
      <c r="G1046"/>
      <c r="H1046" s="322">
        <v>900</v>
      </c>
      <c r="I1046" s="322">
        <v>900</v>
      </c>
      <c r="J1046" s="242">
        <v>800</v>
      </c>
      <c r="K1046" s="18" t="e">
        <f>INDEX(תקציב_2013,MATCH(D1046,'תקציב 2015'!$D$3:$D$5960,0),8)</f>
        <v>#N/A</v>
      </c>
      <c r="L1046" s="18" t="str">
        <f t="shared" si="123"/>
        <v>8</v>
      </c>
      <c r="M1046" s="18" t="str">
        <f>INDEX(Chapter,MATCH(L1046,Chapter!$A$1:$A$681,0),8)</f>
        <v>שירותים ממלכתיים</v>
      </c>
      <c r="N1046" s="18" t="str">
        <f t="shared" si="124"/>
        <v>81</v>
      </c>
      <c r="O1046" s="18" t="str">
        <f>INDEX(Chapter,MATCH(N1046,Chapter!$A$1:$A$681,0),8)</f>
        <v>חינוך</v>
      </c>
      <c r="P1046" s="18" t="str">
        <f t="shared" si="125"/>
        <v>813</v>
      </c>
      <c r="Q1046" s="18" t="str">
        <f>INDEX(Chapter,MATCH(P1046,Chapter!$A$1:$A$681,0),8)</f>
        <v>חינוך יסודי</v>
      </c>
      <c r="R1046" s="18" t="str">
        <f t="shared" si="126"/>
        <v>8133</v>
      </c>
      <c r="S1046" s="18" t="str">
        <f>INDEX(Chapter,MATCH(R1046,Chapter!$A$1:$A$681,0),8)</f>
        <v>חינוך מיוחד</v>
      </c>
      <c r="T1046" s="18"/>
      <c r="U1046" s="18" t="str">
        <f t="shared" si="127"/>
        <v>1</v>
      </c>
      <c r="V1046" s="18" t="str">
        <f>IF($L1046&lt;"6",INDEX(Revenue_type,MATCH(U1046*1,type!$A$118:$A$168,0),8),INDEX(Expenditure_type,MATCH(U1046*1,type!$A$2:$A$117,0),8))</f>
        <v>משכורות וש"ע לעובדים לפי תקן</v>
      </c>
      <c r="W1046" s="18" t="str">
        <f t="shared" si="128"/>
        <v>12</v>
      </c>
      <c r="X1046" s="18" t="str">
        <f>IF($L1046&lt;"6",INDEX(Revenue_type,MATCH(W1046*1,type!$A$118:$A$168,0),8),INDEX(Expenditure_type,MATCH(W1046*1,type!$A$2:$A$117,0),8))</f>
        <v>תוספות שאינן נכללות בשכר הקובע</v>
      </c>
      <c r="Y1046" s="18" t="str">
        <f t="shared" si="129"/>
        <v>120</v>
      </c>
      <c r="Z1046" s="18" t="e">
        <f>IF($L1046&lt;"6",INDEX(Revenue_type,MATCH(Y1046*1,type!$A$118:$A$168,0),8),INDEX(Expenditure_type,MATCH(Y1046*1,type!$A$2:$A$117,0),8))</f>
        <v>#N/A</v>
      </c>
    </row>
    <row r="1047" spans="1:26" ht="15.75" hidden="1" customHeight="1" outlineLevel="2">
      <c r="A1047">
        <v>400</v>
      </c>
      <c r="B1047" s="249">
        <v>813330</v>
      </c>
      <c r="C1047">
        <v>1</v>
      </c>
      <c r="D1047" t="str">
        <f t="shared" si="130"/>
        <v>1813330.400</v>
      </c>
      <c r="E1047" s="382" t="s">
        <v>8709</v>
      </c>
      <c r="F1047" s="242"/>
      <c r="G1047"/>
      <c r="H1047" s="322">
        <v>116700</v>
      </c>
      <c r="I1047" s="322">
        <v>119300</v>
      </c>
      <c r="J1047" s="242">
        <v>194200</v>
      </c>
      <c r="K1047" s="18" t="e">
        <f>INDEX(תקציב_2013,MATCH(D1047,'תקציב 2015'!$D$3:$D$5960,0),8)</f>
        <v>#N/A</v>
      </c>
      <c r="L1047" s="18" t="str">
        <f t="shared" ref="L1047:L1110" si="131">IF(LEFT($B1047,1)*1=0,LEFT($B1047,2),LEFT($B1047,1))</f>
        <v>8</v>
      </c>
      <c r="M1047" s="18" t="str">
        <f>INDEX(Chapter,MATCH(L1047,Chapter!$A$1:$A$681,0),8)</f>
        <v>שירותים ממלכתיים</v>
      </c>
      <c r="N1047" s="18" t="str">
        <f t="shared" ref="N1047:N1110" si="132">IF(LEFT($B1047,1)*1=0,LEFT($B1047,3),LEFT($B1047,2))</f>
        <v>81</v>
      </c>
      <c r="O1047" s="18" t="str">
        <f>INDEX(Chapter,MATCH(N1047,Chapter!$A$1:$A$681,0),8)</f>
        <v>חינוך</v>
      </c>
      <c r="P1047" s="18" t="str">
        <f t="shared" ref="P1047:P1110" si="133">IF(LEFT($B1047,1)*1=0,LEFT($B1047,4),LEFT($B1047,3))</f>
        <v>813</v>
      </c>
      <c r="Q1047" s="18" t="str">
        <f>INDEX(Chapter,MATCH(P1047,Chapter!$A$1:$A$681,0),8)</f>
        <v>חינוך יסודי</v>
      </c>
      <c r="R1047" s="18" t="str">
        <f t="shared" ref="R1047:R1110" si="134">LEFT($B1047,4)</f>
        <v>8133</v>
      </c>
      <c r="S1047" s="18" t="str">
        <f>INDEX(Chapter,MATCH(R1047,Chapter!$A$1:$A$681,0),8)</f>
        <v>חינוך מיוחד</v>
      </c>
      <c r="T1047" s="18"/>
      <c r="U1047" s="18" t="str">
        <f t="shared" ref="U1047:U1110" si="135">LEFT($A1047,1)</f>
        <v>4</v>
      </c>
      <c r="V1047" s="18" t="str">
        <f>IF($L1047&lt;"6",INDEX(Revenue_type,MATCH(U1047*1,type!$A$118:$A$168,0),8),INDEX(Expenditure_type,MATCH(U1047*1,type!$A$2:$A$117,0),8))</f>
        <v>אחזקת בינים ואספקת ציוד</v>
      </c>
      <c r="W1047" s="18" t="str">
        <f t="shared" ref="W1047:W1110" si="136">LEFT($A1047,2)</f>
        <v>40</v>
      </c>
      <c r="X1047" s="18" t="e">
        <f>IF($L1047&lt;"6",INDEX(Revenue_type,MATCH(W1047*1,type!$A$118:$A$168,0),8),INDEX(Expenditure_type,MATCH(W1047*1,type!$A$2:$A$117,0),8))</f>
        <v>#N/A</v>
      </c>
      <c r="Y1047" s="18" t="str">
        <f t="shared" ref="Y1047:Y1110" si="137">LEFT($A1047,3)</f>
        <v>400</v>
      </c>
      <c r="Z1047" s="18" t="e">
        <f>IF($L1047&lt;"6",INDEX(Revenue_type,MATCH(Y1047*1,type!$A$118:$A$168,0),8),INDEX(Expenditure_type,MATCH(Y1047*1,type!$A$2:$A$117,0),8))</f>
        <v>#N/A</v>
      </c>
    </row>
    <row r="1048" spans="1:26" ht="15.75" hidden="1" customHeight="1" outlineLevel="2">
      <c r="A1048">
        <v>700</v>
      </c>
      <c r="B1048" s="249">
        <v>813330</v>
      </c>
      <c r="C1048">
        <v>1</v>
      </c>
      <c r="D1048" t="str">
        <f t="shared" si="130"/>
        <v>1813330.700</v>
      </c>
      <c r="E1048" s="382" t="s">
        <v>8710</v>
      </c>
      <c r="F1048" s="242"/>
      <c r="G1048"/>
      <c r="H1048" s="322">
        <v>93700</v>
      </c>
      <c r="I1048" s="322">
        <v>97300</v>
      </c>
      <c r="J1048" s="242">
        <v>93400</v>
      </c>
      <c r="K1048" s="18" t="e">
        <f>INDEX(תקציב_2013,MATCH(D1048,'תקציב 2015'!$D$3:$D$5960,0),8)</f>
        <v>#N/A</v>
      </c>
      <c r="L1048" s="18" t="str">
        <f t="shared" si="131"/>
        <v>8</v>
      </c>
      <c r="M1048" s="18" t="str">
        <f>INDEX(Chapter,MATCH(L1048,Chapter!$A$1:$A$681,0),8)</f>
        <v>שירותים ממלכתיים</v>
      </c>
      <c r="N1048" s="18" t="str">
        <f t="shared" si="132"/>
        <v>81</v>
      </c>
      <c r="O1048" s="18" t="str">
        <f>INDEX(Chapter,MATCH(N1048,Chapter!$A$1:$A$681,0),8)</f>
        <v>חינוך</v>
      </c>
      <c r="P1048" s="18" t="str">
        <f t="shared" si="133"/>
        <v>813</v>
      </c>
      <c r="Q1048" s="18" t="str">
        <f>INDEX(Chapter,MATCH(P1048,Chapter!$A$1:$A$681,0),8)</f>
        <v>חינוך יסודי</v>
      </c>
      <c r="R1048" s="18" t="str">
        <f t="shared" si="134"/>
        <v>8133</v>
      </c>
      <c r="S1048" s="18" t="str">
        <f>INDEX(Chapter,MATCH(R1048,Chapter!$A$1:$A$681,0),8)</f>
        <v>חינוך מיוחד</v>
      </c>
      <c r="T1048" s="18"/>
      <c r="U1048" s="18" t="str">
        <f t="shared" si="135"/>
        <v>7</v>
      </c>
      <c r="V1048" s="18" t="str">
        <f>IF($L1048&lt;"6",INDEX(Revenue_type,MATCH(U1048*1,type!$A$118:$A$168,0),8),INDEX(Expenditure_type,MATCH(U1048*1,type!$A$2:$A$117,0),8))</f>
        <v>הוצאות לפעולות</v>
      </c>
      <c r="W1048" s="18" t="str">
        <f t="shared" si="136"/>
        <v>70</v>
      </c>
      <c r="X1048" s="18" t="e">
        <f>IF($L1048&lt;"6",INDEX(Revenue_type,MATCH(W1048*1,type!$A$118:$A$168,0),8),INDEX(Expenditure_type,MATCH(W1048*1,type!$A$2:$A$117,0),8))</f>
        <v>#N/A</v>
      </c>
      <c r="Y1048" s="18" t="str">
        <f t="shared" si="137"/>
        <v>700</v>
      </c>
      <c r="Z1048" s="18" t="e">
        <f>IF($L1048&lt;"6",INDEX(Revenue_type,MATCH(Y1048*1,type!$A$118:$A$168,0),8),INDEX(Expenditure_type,MATCH(Y1048*1,type!$A$2:$A$117,0),8))</f>
        <v>#N/A</v>
      </c>
    </row>
    <row r="1049" spans="1:26" ht="15.75" hidden="1" customHeight="1" outlineLevel="2">
      <c r="A1049">
        <v>700</v>
      </c>
      <c r="B1049" s="249">
        <v>813316</v>
      </c>
      <c r="C1049">
        <v>1</v>
      </c>
      <c r="D1049" t="str">
        <f t="shared" si="130"/>
        <v>1813316.700</v>
      </c>
      <c r="E1049" s="382" t="s">
        <v>8711</v>
      </c>
      <c r="F1049" s="242"/>
      <c r="G1049"/>
      <c r="H1049" s="322">
        <v>2331500</v>
      </c>
      <c r="I1049" s="322">
        <v>2650000</v>
      </c>
      <c r="J1049" s="242">
        <v>2300400</v>
      </c>
      <c r="K1049" s="18" t="e">
        <f>INDEX(תקציב_2013,MATCH(D1049,'תקציב 2015'!$D$3:$D$5960,0),8)</f>
        <v>#N/A</v>
      </c>
      <c r="L1049" s="18" t="str">
        <f t="shared" si="131"/>
        <v>8</v>
      </c>
      <c r="M1049" s="18" t="str">
        <f>INDEX(Chapter,MATCH(L1049,Chapter!$A$1:$A$681,0),8)</f>
        <v>שירותים ממלכתיים</v>
      </c>
      <c r="N1049" s="18" t="str">
        <f t="shared" si="132"/>
        <v>81</v>
      </c>
      <c r="O1049" s="18" t="str">
        <f>INDEX(Chapter,MATCH(N1049,Chapter!$A$1:$A$681,0),8)</f>
        <v>חינוך</v>
      </c>
      <c r="P1049" s="18" t="str">
        <f t="shared" si="133"/>
        <v>813</v>
      </c>
      <c r="Q1049" s="18" t="str">
        <f>INDEX(Chapter,MATCH(P1049,Chapter!$A$1:$A$681,0),8)</f>
        <v>חינוך יסודי</v>
      </c>
      <c r="R1049" s="18" t="str">
        <f t="shared" si="134"/>
        <v>8133</v>
      </c>
      <c r="S1049" s="18" t="str">
        <f>INDEX(Chapter,MATCH(R1049,Chapter!$A$1:$A$681,0),8)</f>
        <v>חינוך מיוחד</v>
      </c>
      <c r="T1049" s="18"/>
      <c r="U1049" s="18" t="str">
        <f t="shared" si="135"/>
        <v>7</v>
      </c>
      <c r="V1049" s="18" t="str">
        <f>IF($L1049&lt;"6",INDEX(Revenue_type,MATCH(U1049*1,type!$A$118:$A$168,0),8),INDEX(Expenditure_type,MATCH(U1049*1,type!$A$2:$A$117,0),8))</f>
        <v>הוצאות לפעולות</v>
      </c>
      <c r="W1049" s="18" t="str">
        <f t="shared" si="136"/>
        <v>70</v>
      </c>
      <c r="X1049" s="18" t="e">
        <f>IF($L1049&lt;"6",INDEX(Revenue_type,MATCH(W1049*1,type!$A$118:$A$168,0),8),INDEX(Expenditure_type,MATCH(W1049*1,type!$A$2:$A$117,0),8))</f>
        <v>#N/A</v>
      </c>
      <c r="Y1049" s="18" t="str">
        <f t="shared" si="137"/>
        <v>700</v>
      </c>
      <c r="Z1049" s="18" t="e">
        <f>IF($L1049&lt;"6",INDEX(Revenue_type,MATCH(Y1049*1,type!$A$118:$A$168,0),8),INDEX(Expenditure_type,MATCH(Y1049*1,type!$A$2:$A$117,0),8))</f>
        <v>#N/A</v>
      </c>
    </row>
    <row r="1050" spans="1:26" ht="15.75" hidden="1" customHeight="1" outlineLevel="2">
      <c r="A1050">
        <v>100</v>
      </c>
      <c r="B1050" s="249">
        <v>812210</v>
      </c>
      <c r="C1050">
        <v>1</v>
      </c>
      <c r="D1050" t="str">
        <f t="shared" si="130"/>
        <v>1812210.100</v>
      </c>
      <c r="E1050" s="382" t="s">
        <v>8712</v>
      </c>
      <c r="F1050" s="242"/>
      <c r="G1050"/>
      <c r="H1050" s="322">
        <v>3473400</v>
      </c>
      <c r="I1050" s="322">
        <v>3177400</v>
      </c>
      <c r="J1050" s="242">
        <v>2876600</v>
      </c>
      <c r="K1050" s="18" t="e">
        <f>INDEX(תקציב_2013,MATCH(D1050,'תקציב 2015'!$D$3:$D$5960,0),8)</f>
        <v>#N/A</v>
      </c>
      <c r="L1050" s="18" t="str">
        <f t="shared" si="131"/>
        <v>8</v>
      </c>
      <c r="M1050" s="18" t="str">
        <f>INDEX(Chapter,MATCH(L1050,Chapter!$A$1:$A$681,0),8)</f>
        <v>שירותים ממלכתיים</v>
      </c>
      <c r="N1050" s="18" t="str">
        <f t="shared" si="132"/>
        <v>81</v>
      </c>
      <c r="O1050" s="18" t="str">
        <f>INDEX(Chapter,MATCH(N1050,Chapter!$A$1:$A$681,0),8)</f>
        <v>חינוך</v>
      </c>
      <c r="P1050" s="18" t="str">
        <f t="shared" si="133"/>
        <v>812</v>
      </c>
      <c r="Q1050" s="18" t="str">
        <f>INDEX(Chapter,MATCH(P1050,Chapter!$A$1:$A$681,0),8)</f>
        <v>חינוך קדם יסודי</v>
      </c>
      <c r="R1050" s="18" t="str">
        <f t="shared" si="134"/>
        <v>8122</v>
      </c>
      <c r="S1050" s="18" t="str">
        <f>INDEX(Chapter,MATCH(R1050,Chapter!$A$1:$A$681,0),8)</f>
        <v>גני ילדים גיל חובה</v>
      </c>
      <c r="T1050" s="18"/>
      <c r="U1050" s="18" t="str">
        <f t="shared" si="135"/>
        <v>1</v>
      </c>
      <c r="V1050" s="18" t="str">
        <f>IF($L1050&lt;"6",INDEX(Revenue_type,MATCH(U1050*1,type!$A$118:$A$168,0),8),INDEX(Expenditure_type,MATCH(U1050*1,type!$A$2:$A$117,0),8))</f>
        <v>משכורות וש"ע לעובדים לפי תקן</v>
      </c>
      <c r="W1050" s="18" t="str">
        <f t="shared" si="136"/>
        <v>10</v>
      </c>
      <c r="X1050" s="18" t="e">
        <f>IF($L1050&lt;"6",INDEX(Revenue_type,MATCH(W1050*1,type!$A$118:$A$168,0),8),INDEX(Expenditure_type,MATCH(W1050*1,type!$A$2:$A$117,0),8))</f>
        <v>#N/A</v>
      </c>
      <c r="Y1050" s="18" t="str">
        <f t="shared" si="137"/>
        <v>100</v>
      </c>
      <c r="Z1050" s="18" t="e">
        <f>IF($L1050&lt;"6",INDEX(Revenue_type,MATCH(Y1050*1,type!$A$118:$A$168,0),8),INDEX(Expenditure_type,MATCH(Y1050*1,type!$A$2:$A$117,0),8))</f>
        <v>#N/A</v>
      </c>
    </row>
    <row r="1051" spans="1:26" ht="15.75" hidden="1" customHeight="1" outlineLevel="2">
      <c r="A1051">
        <v>120</v>
      </c>
      <c r="B1051" s="249">
        <v>812210</v>
      </c>
      <c r="C1051">
        <v>1</v>
      </c>
      <c r="D1051" t="str">
        <f t="shared" si="130"/>
        <v>1812210.120</v>
      </c>
      <c r="E1051" s="382" t="s">
        <v>8713</v>
      </c>
      <c r="F1051" s="242"/>
      <c r="G1051"/>
      <c r="H1051" s="322">
        <v>78600</v>
      </c>
      <c r="I1051" s="322">
        <v>78600</v>
      </c>
      <c r="J1051" s="242">
        <v>102500</v>
      </c>
      <c r="K1051" s="18" t="e">
        <f>INDEX(תקציב_2013,MATCH(D1051,'תקציב 2015'!$D$3:$D$5960,0),8)</f>
        <v>#N/A</v>
      </c>
      <c r="L1051" s="18" t="str">
        <f t="shared" si="131"/>
        <v>8</v>
      </c>
      <c r="M1051" s="18" t="str">
        <f>INDEX(Chapter,MATCH(L1051,Chapter!$A$1:$A$681,0),8)</f>
        <v>שירותים ממלכתיים</v>
      </c>
      <c r="N1051" s="18" t="str">
        <f t="shared" si="132"/>
        <v>81</v>
      </c>
      <c r="O1051" s="18" t="str">
        <f>INDEX(Chapter,MATCH(N1051,Chapter!$A$1:$A$681,0),8)</f>
        <v>חינוך</v>
      </c>
      <c r="P1051" s="18" t="str">
        <f t="shared" si="133"/>
        <v>812</v>
      </c>
      <c r="Q1051" s="18" t="str">
        <f>INDEX(Chapter,MATCH(P1051,Chapter!$A$1:$A$681,0),8)</f>
        <v>חינוך קדם יסודי</v>
      </c>
      <c r="R1051" s="18" t="str">
        <f t="shared" si="134"/>
        <v>8122</v>
      </c>
      <c r="S1051" s="18" t="str">
        <f>INDEX(Chapter,MATCH(R1051,Chapter!$A$1:$A$681,0),8)</f>
        <v>גני ילדים גיל חובה</v>
      </c>
      <c r="T1051" s="18"/>
      <c r="U1051" s="18" t="str">
        <f t="shared" si="135"/>
        <v>1</v>
      </c>
      <c r="V1051" s="18" t="str">
        <f>IF($L1051&lt;"6",INDEX(Revenue_type,MATCH(U1051*1,type!$A$118:$A$168,0),8),INDEX(Expenditure_type,MATCH(U1051*1,type!$A$2:$A$117,0),8))</f>
        <v>משכורות וש"ע לעובדים לפי תקן</v>
      </c>
      <c r="W1051" s="18" t="str">
        <f t="shared" si="136"/>
        <v>12</v>
      </c>
      <c r="X1051" s="18" t="str">
        <f>IF($L1051&lt;"6",INDEX(Revenue_type,MATCH(W1051*1,type!$A$118:$A$168,0),8),INDEX(Expenditure_type,MATCH(W1051*1,type!$A$2:$A$117,0),8))</f>
        <v>תוספות שאינן נכללות בשכר הקובע</v>
      </c>
      <c r="Y1051" s="18" t="str">
        <f t="shared" si="137"/>
        <v>120</v>
      </c>
      <c r="Z1051" s="18" t="e">
        <f>IF($L1051&lt;"6",INDEX(Revenue_type,MATCH(Y1051*1,type!$A$118:$A$168,0),8),INDEX(Expenditure_type,MATCH(Y1051*1,type!$A$2:$A$117,0),8))</f>
        <v>#N/A</v>
      </c>
    </row>
    <row r="1052" spans="1:26" ht="15.75" hidden="1" customHeight="1" outlineLevel="2">
      <c r="A1052">
        <v>700</v>
      </c>
      <c r="B1052" s="249">
        <v>812210</v>
      </c>
      <c r="C1052">
        <v>1</v>
      </c>
      <c r="D1052" t="str">
        <f t="shared" si="130"/>
        <v>1812210.700</v>
      </c>
      <c r="E1052" s="382" t="s">
        <v>8714</v>
      </c>
      <c r="F1052" s="242"/>
      <c r="G1052"/>
      <c r="H1052" s="322">
        <v>21900</v>
      </c>
      <c r="I1052" s="322">
        <v>22500</v>
      </c>
      <c r="J1052" s="242">
        <v>22600</v>
      </c>
      <c r="K1052" s="18" t="e">
        <f>INDEX(תקציב_2013,MATCH(D1052,'תקציב 2015'!$D$3:$D$5960,0),8)</f>
        <v>#N/A</v>
      </c>
      <c r="L1052" s="18" t="str">
        <f t="shared" si="131"/>
        <v>8</v>
      </c>
      <c r="M1052" s="18" t="str">
        <f>INDEX(Chapter,MATCH(L1052,Chapter!$A$1:$A$681,0),8)</f>
        <v>שירותים ממלכתיים</v>
      </c>
      <c r="N1052" s="18" t="str">
        <f t="shared" si="132"/>
        <v>81</v>
      </c>
      <c r="O1052" s="18" t="str">
        <f>INDEX(Chapter,MATCH(N1052,Chapter!$A$1:$A$681,0),8)</f>
        <v>חינוך</v>
      </c>
      <c r="P1052" s="18" t="str">
        <f t="shared" si="133"/>
        <v>812</v>
      </c>
      <c r="Q1052" s="18" t="str">
        <f>INDEX(Chapter,MATCH(P1052,Chapter!$A$1:$A$681,0),8)</f>
        <v>חינוך קדם יסודי</v>
      </c>
      <c r="R1052" s="18" t="str">
        <f t="shared" si="134"/>
        <v>8122</v>
      </c>
      <c r="S1052" s="18" t="str">
        <f>INDEX(Chapter,MATCH(R1052,Chapter!$A$1:$A$681,0),8)</f>
        <v>גני ילדים גיל חובה</v>
      </c>
      <c r="T1052" s="18"/>
      <c r="U1052" s="18" t="str">
        <f t="shared" si="135"/>
        <v>7</v>
      </c>
      <c r="V1052" s="18" t="str">
        <f>IF($L1052&lt;"6",INDEX(Revenue_type,MATCH(U1052*1,type!$A$118:$A$168,0),8),INDEX(Expenditure_type,MATCH(U1052*1,type!$A$2:$A$117,0),8))</f>
        <v>הוצאות לפעולות</v>
      </c>
      <c r="W1052" s="18" t="str">
        <f t="shared" si="136"/>
        <v>70</v>
      </c>
      <c r="X1052" s="18" t="e">
        <f>IF($L1052&lt;"6",INDEX(Revenue_type,MATCH(W1052*1,type!$A$118:$A$168,0),8),INDEX(Expenditure_type,MATCH(W1052*1,type!$A$2:$A$117,0),8))</f>
        <v>#N/A</v>
      </c>
      <c r="Y1052" s="18" t="str">
        <f t="shared" si="137"/>
        <v>700</v>
      </c>
      <c r="Z1052" s="18" t="e">
        <f>IF($L1052&lt;"6",INDEX(Revenue_type,MATCH(Y1052*1,type!$A$118:$A$168,0),8),INDEX(Expenditure_type,MATCH(Y1052*1,type!$A$2:$A$117,0),8))</f>
        <v>#N/A</v>
      </c>
    </row>
    <row r="1053" spans="1:26" ht="15.75" hidden="1" customHeight="1" outlineLevel="2">
      <c r="A1053">
        <v>500</v>
      </c>
      <c r="B1053" s="249">
        <v>812229</v>
      </c>
      <c r="C1053">
        <v>1</v>
      </c>
      <c r="D1053" t="str">
        <f t="shared" si="130"/>
        <v>1812229.500</v>
      </c>
      <c r="E1053" s="382" t="s">
        <v>8715</v>
      </c>
      <c r="F1053" s="242"/>
      <c r="G1053"/>
      <c r="H1053" s="322">
        <v>300000</v>
      </c>
      <c r="I1053" s="322">
        <v>300000</v>
      </c>
      <c r="J1053" s="242">
        <v>128200</v>
      </c>
      <c r="K1053" s="18" t="e">
        <f>INDEX(תקציב_2013,MATCH(D1053,'תקציב 2015'!$D$3:$D$5960,0),8)</f>
        <v>#N/A</v>
      </c>
      <c r="L1053" s="18" t="str">
        <f t="shared" si="131"/>
        <v>8</v>
      </c>
      <c r="M1053" s="18" t="str">
        <f>INDEX(Chapter,MATCH(L1053,Chapter!$A$1:$A$681,0),8)</f>
        <v>שירותים ממלכתיים</v>
      </c>
      <c r="N1053" s="18" t="str">
        <f t="shared" si="132"/>
        <v>81</v>
      </c>
      <c r="O1053" s="18" t="str">
        <f>INDEX(Chapter,MATCH(N1053,Chapter!$A$1:$A$681,0),8)</f>
        <v>חינוך</v>
      </c>
      <c r="P1053" s="18" t="str">
        <f t="shared" si="133"/>
        <v>812</v>
      </c>
      <c r="Q1053" s="18" t="str">
        <f>INDEX(Chapter,MATCH(P1053,Chapter!$A$1:$A$681,0),8)</f>
        <v>חינוך קדם יסודי</v>
      </c>
      <c r="R1053" s="18" t="str">
        <f t="shared" si="134"/>
        <v>8122</v>
      </c>
      <c r="S1053" s="18" t="str">
        <f>INDEX(Chapter,MATCH(R1053,Chapter!$A$1:$A$681,0),8)</f>
        <v>גני ילדים גיל חובה</v>
      </c>
      <c r="T1053" s="18"/>
      <c r="U1053" s="18" t="str">
        <f t="shared" si="135"/>
        <v>5</v>
      </c>
      <c r="V1053" s="18" t="str">
        <f>IF($L1053&lt;"6",INDEX(Revenue_type,MATCH(U1053*1,type!$A$118:$A$168,0),8),INDEX(Expenditure_type,MATCH(U1053*1,type!$A$2:$A$117,0),8))</f>
        <v>הוצאות מנהליות</v>
      </c>
      <c r="W1053" s="18" t="str">
        <f t="shared" si="136"/>
        <v>50</v>
      </c>
      <c r="X1053" s="18" t="e">
        <f>IF($L1053&lt;"6",INDEX(Revenue_type,MATCH(W1053*1,type!$A$118:$A$168,0),8),INDEX(Expenditure_type,MATCH(W1053*1,type!$A$2:$A$117,0),8))</f>
        <v>#N/A</v>
      </c>
      <c r="Y1053" s="18" t="str">
        <f t="shared" si="137"/>
        <v>500</v>
      </c>
      <c r="Z1053" s="18" t="e">
        <f>IF($L1053&lt;"6",INDEX(Revenue_type,MATCH(Y1053*1,type!$A$118:$A$168,0),8),INDEX(Expenditure_type,MATCH(Y1053*1,type!$A$2:$A$117,0),8))</f>
        <v>#N/A</v>
      </c>
    </row>
    <row r="1054" spans="1:26" ht="15.75" hidden="1" customHeight="1" outlineLevel="2">
      <c r="A1054">
        <v>100</v>
      </c>
      <c r="B1054" s="249">
        <v>812220</v>
      </c>
      <c r="C1054">
        <v>1</v>
      </c>
      <c r="D1054" t="str">
        <f t="shared" si="130"/>
        <v>1812220.100</v>
      </c>
      <c r="E1054" s="382" t="s">
        <v>8716</v>
      </c>
      <c r="F1054" s="242"/>
      <c r="G1054"/>
      <c r="H1054" s="322">
        <v>43783300</v>
      </c>
      <c r="I1054" s="322">
        <v>39159300</v>
      </c>
      <c r="J1054" s="242">
        <v>35879000</v>
      </c>
      <c r="K1054" s="18" t="e">
        <f>INDEX(תקציב_2013,MATCH(D1054,'תקציב 2015'!$D$3:$D$5960,0),8)</f>
        <v>#N/A</v>
      </c>
      <c r="L1054" s="18" t="str">
        <f t="shared" si="131"/>
        <v>8</v>
      </c>
      <c r="M1054" s="18" t="str">
        <f>INDEX(Chapter,MATCH(L1054,Chapter!$A$1:$A$681,0),8)</f>
        <v>שירותים ממלכתיים</v>
      </c>
      <c r="N1054" s="18" t="str">
        <f t="shared" si="132"/>
        <v>81</v>
      </c>
      <c r="O1054" s="18" t="str">
        <f>INDEX(Chapter,MATCH(N1054,Chapter!$A$1:$A$681,0),8)</f>
        <v>חינוך</v>
      </c>
      <c r="P1054" s="18" t="str">
        <f t="shared" si="133"/>
        <v>812</v>
      </c>
      <c r="Q1054" s="18" t="str">
        <f>INDEX(Chapter,MATCH(P1054,Chapter!$A$1:$A$681,0),8)</f>
        <v>חינוך קדם יסודי</v>
      </c>
      <c r="R1054" s="18" t="str">
        <f t="shared" si="134"/>
        <v>8122</v>
      </c>
      <c r="S1054" s="18" t="str">
        <f>INDEX(Chapter,MATCH(R1054,Chapter!$A$1:$A$681,0),8)</f>
        <v>גני ילדים גיל חובה</v>
      </c>
      <c r="T1054" s="18"/>
      <c r="U1054" s="18" t="str">
        <f t="shared" si="135"/>
        <v>1</v>
      </c>
      <c r="V1054" s="18" t="str">
        <f>IF($L1054&lt;"6",INDEX(Revenue_type,MATCH(U1054*1,type!$A$118:$A$168,0),8),INDEX(Expenditure_type,MATCH(U1054*1,type!$A$2:$A$117,0),8))</f>
        <v>משכורות וש"ע לעובדים לפי תקן</v>
      </c>
      <c r="W1054" s="18" t="str">
        <f t="shared" si="136"/>
        <v>10</v>
      </c>
      <c r="X1054" s="18" t="e">
        <f>IF($L1054&lt;"6",INDEX(Revenue_type,MATCH(W1054*1,type!$A$118:$A$168,0),8),INDEX(Expenditure_type,MATCH(W1054*1,type!$A$2:$A$117,0),8))</f>
        <v>#N/A</v>
      </c>
      <c r="Y1054" s="18" t="str">
        <f t="shared" si="137"/>
        <v>100</v>
      </c>
      <c r="Z1054" s="18" t="e">
        <f>IF($L1054&lt;"6",INDEX(Revenue_type,MATCH(Y1054*1,type!$A$118:$A$168,0),8),INDEX(Expenditure_type,MATCH(Y1054*1,type!$A$2:$A$117,0),8))</f>
        <v>#N/A</v>
      </c>
    </row>
    <row r="1055" spans="1:26" ht="15.75" hidden="1" customHeight="1" outlineLevel="2">
      <c r="A1055">
        <v>120</v>
      </c>
      <c r="B1055" s="249">
        <v>812220</v>
      </c>
      <c r="C1055">
        <v>1</v>
      </c>
      <c r="D1055" t="str">
        <f t="shared" si="130"/>
        <v>1812220.120</v>
      </c>
      <c r="E1055" s="382" t="s">
        <v>8717</v>
      </c>
      <c r="F1055" s="242"/>
      <c r="G1055"/>
      <c r="H1055" s="322">
        <v>22700</v>
      </c>
      <c r="I1055" s="322">
        <v>22700</v>
      </c>
      <c r="J1055" s="242">
        <v>13800</v>
      </c>
      <c r="K1055" s="18" t="e">
        <f>INDEX(תקציב_2013,MATCH(D1055,'תקציב 2015'!$D$3:$D$5960,0),8)</f>
        <v>#N/A</v>
      </c>
      <c r="L1055" s="18" t="str">
        <f t="shared" si="131"/>
        <v>8</v>
      </c>
      <c r="M1055" s="18" t="str">
        <f>INDEX(Chapter,MATCH(L1055,Chapter!$A$1:$A$681,0),8)</f>
        <v>שירותים ממלכתיים</v>
      </c>
      <c r="N1055" s="18" t="str">
        <f t="shared" si="132"/>
        <v>81</v>
      </c>
      <c r="O1055" s="18" t="str">
        <f>INDEX(Chapter,MATCH(N1055,Chapter!$A$1:$A$681,0),8)</f>
        <v>חינוך</v>
      </c>
      <c r="P1055" s="18" t="str">
        <f t="shared" si="133"/>
        <v>812</v>
      </c>
      <c r="Q1055" s="18" t="str">
        <f>INDEX(Chapter,MATCH(P1055,Chapter!$A$1:$A$681,0),8)</f>
        <v>חינוך קדם יסודי</v>
      </c>
      <c r="R1055" s="18" t="str">
        <f t="shared" si="134"/>
        <v>8122</v>
      </c>
      <c r="S1055" s="18" t="str">
        <f>INDEX(Chapter,MATCH(R1055,Chapter!$A$1:$A$681,0),8)</f>
        <v>גני ילדים גיל חובה</v>
      </c>
      <c r="T1055" s="18"/>
      <c r="U1055" s="18" t="str">
        <f t="shared" si="135"/>
        <v>1</v>
      </c>
      <c r="V1055" s="18" t="str">
        <f>IF($L1055&lt;"6",INDEX(Revenue_type,MATCH(U1055*1,type!$A$118:$A$168,0),8),INDEX(Expenditure_type,MATCH(U1055*1,type!$A$2:$A$117,0),8))</f>
        <v>משכורות וש"ע לעובדים לפי תקן</v>
      </c>
      <c r="W1055" s="18" t="str">
        <f t="shared" si="136"/>
        <v>12</v>
      </c>
      <c r="X1055" s="18" t="str">
        <f>IF($L1055&lt;"6",INDEX(Revenue_type,MATCH(W1055*1,type!$A$118:$A$168,0),8),INDEX(Expenditure_type,MATCH(W1055*1,type!$A$2:$A$117,0),8))</f>
        <v>תוספות שאינן נכללות בשכר הקובע</v>
      </c>
      <c r="Y1055" s="18" t="str">
        <f t="shared" si="137"/>
        <v>120</v>
      </c>
      <c r="Z1055" s="18" t="e">
        <f>IF($L1055&lt;"6",INDEX(Revenue_type,MATCH(Y1055*1,type!$A$118:$A$168,0),8),INDEX(Expenditure_type,MATCH(Y1055*1,type!$A$2:$A$117,0),8))</f>
        <v>#N/A</v>
      </c>
    </row>
    <row r="1056" spans="1:26" ht="15.75" hidden="1" customHeight="1" outlineLevel="2">
      <c r="A1056">
        <v>400</v>
      </c>
      <c r="B1056" s="249">
        <v>812220</v>
      </c>
      <c r="C1056">
        <v>1</v>
      </c>
      <c r="D1056" t="str">
        <f t="shared" si="130"/>
        <v>1812220.400</v>
      </c>
      <c r="E1056" s="382" t="s">
        <v>8718</v>
      </c>
      <c r="F1056" s="242"/>
      <c r="G1056"/>
      <c r="H1056" s="322">
        <v>2434000</v>
      </c>
      <c r="I1056" s="322">
        <v>2434000</v>
      </c>
      <c r="J1056" s="242">
        <v>2458500</v>
      </c>
      <c r="K1056" s="18" t="e">
        <f>INDEX(תקציב_2013,MATCH(D1056,'תקציב 2015'!$D$3:$D$5960,0),8)</f>
        <v>#N/A</v>
      </c>
      <c r="L1056" s="18" t="str">
        <f t="shared" si="131"/>
        <v>8</v>
      </c>
      <c r="M1056" s="18" t="str">
        <f>INDEX(Chapter,MATCH(L1056,Chapter!$A$1:$A$681,0),8)</f>
        <v>שירותים ממלכתיים</v>
      </c>
      <c r="N1056" s="18" t="str">
        <f t="shared" si="132"/>
        <v>81</v>
      </c>
      <c r="O1056" s="18" t="str">
        <f>INDEX(Chapter,MATCH(N1056,Chapter!$A$1:$A$681,0),8)</f>
        <v>חינוך</v>
      </c>
      <c r="P1056" s="18" t="str">
        <f t="shared" si="133"/>
        <v>812</v>
      </c>
      <c r="Q1056" s="18" t="str">
        <f>INDEX(Chapter,MATCH(P1056,Chapter!$A$1:$A$681,0),8)</f>
        <v>חינוך קדם יסודי</v>
      </c>
      <c r="R1056" s="18" t="str">
        <f t="shared" si="134"/>
        <v>8122</v>
      </c>
      <c r="S1056" s="18" t="str">
        <f>INDEX(Chapter,MATCH(R1056,Chapter!$A$1:$A$681,0),8)</f>
        <v>גני ילדים גיל חובה</v>
      </c>
      <c r="T1056" s="18"/>
      <c r="U1056" s="18" t="str">
        <f t="shared" si="135"/>
        <v>4</v>
      </c>
      <c r="V1056" s="18" t="str">
        <f>IF($L1056&lt;"6",INDEX(Revenue_type,MATCH(U1056*1,type!$A$118:$A$168,0),8),INDEX(Expenditure_type,MATCH(U1056*1,type!$A$2:$A$117,0),8))</f>
        <v>אחזקת בינים ואספקת ציוד</v>
      </c>
      <c r="W1056" s="18" t="str">
        <f t="shared" si="136"/>
        <v>40</v>
      </c>
      <c r="X1056" s="18" t="e">
        <f>IF($L1056&lt;"6",INDEX(Revenue_type,MATCH(W1056*1,type!$A$118:$A$168,0),8),INDEX(Expenditure_type,MATCH(W1056*1,type!$A$2:$A$117,0),8))</f>
        <v>#N/A</v>
      </c>
      <c r="Y1056" s="18" t="str">
        <f t="shared" si="137"/>
        <v>400</v>
      </c>
      <c r="Z1056" s="18" t="e">
        <f>IF($L1056&lt;"6",INDEX(Revenue_type,MATCH(Y1056*1,type!$A$118:$A$168,0),8),INDEX(Expenditure_type,MATCH(Y1056*1,type!$A$2:$A$117,0),8))</f>
        <v>#N/A</v>
      </c>
    </row>
    <row r="1057" spans="1:26" ht="15.75" hidden="1" customHeight="1" outlineLevel="2">
      <c r="A1057">
        <v>500</v>
      </c>
      <c r="B1057" s="249">
        <v>812220</v>
      </c>
      <c r="C1057">
        <v>1</v>
      </c>
      <c r="D1057" t="str">
        <f t="shared" si="130"/>
        <v>1812220.500</v>
      </c>
      <c r="E1057" s="382" t="s">
        <v>8719</v>
      </c>
      <c r="F1057" s="242"/>
      <c r="G1057"/>
      <c r="H1057" s="322">
        <v>430000</v>
      </c>
      <c r="I1057" s="322">
        <v>430000</v>
      </c>
      <c r="J1057" s="242">
        <v>402100</v>
      </c>
      <c r="K1057" s="18" t="e">
        <f>INDEX(תקציב_2013,MATCH(D1057,'תקציב 2015'!$D$3:$D$5960,0),8)</f>
        <v>#N/A</v>
      </c>
      <c r="L1057" s="18" t="str">
        <f t="shared" si="131"/>
        <v>8</v>
      </c>
      <c r="M1057" s="18" t="str">
        <f>INDEX(Chapter,MATCH(L1057,Chapter!$A$1:$A$681,0),8)</f>
        <v>שירותים ממלכתיים</v>
      </c>
      <c r="N1057" s="18" t="str">
        <f t="shared" si="132"/>
        <v>81</v>
      </c>
      <c r="O1057" s="18" t="str">
        <f>INDEX(Chapter,MATCH(N1057,Chapter!$A$1:$A$681,0),8)</f>
        <v>חינוך</v>
      </c>
      <c r="P1057" s="18" t="str">
        <f t="shared" si="133"/>
        <v>812</v>
      </c>
      <c r="Q1057" s="18" t="str">
        <f>INDEX(Chapter,MATCH(P1057,Chapter!$A$1:$A$681,0),8)</f>
        <v>חינוך קדם יסודי</v>
      </c>
      <c r="R1057" s="18" t="str">
        <f t="shared" si="134"/>
        <v>8122</v>
      </c>
      <c r="S1057" s="18" t="str">
        <f>INDEX(Chapter,MATCH(R1057,Chapter!$A$1:$A$681,0),8)</f>
        <v>גני ילדים גיל חובה</v>
      </c>
      <c r="T1057" s="18"/>
      <c r="U1057" s="18" t="str">
        <f t="shared" si="135"/>
        <v>5</v>
      </c>
      <c r="V1057" s="18" t="str">
        <f>IF($L1057&lt;"6",INDEX(Revenue_type,MATCH(U1057*1,type!$A$118:$A$168,0),8),INDEX(Expenditure_type,MATCH(U1057*1,type!$A$2:$A$117,0),8))</f>
        <v>הוצאות מנהליות</v>
      </c>
      <c r="W1057" s="18" t="str">
        <f t="shared" si="136"/>
        <v>50</v>
      </c>
      <c r="X1057" s="18" t="e">
        <f>IF($L1057&lt;"6",INDEX(Revenue_type,MATCH(W1057*1,type!$A$118:$A$168,0),8),INDEX(Expenditure_type,MATCH(W1057*1,type!$A$2:$A$117,0),8))</f>
        <v>#N/A</v>
      </c>
      <c r="Y1057" s="18" t="str">
        <f t="shared" si="137"/>
        <v>500</v>
      </c>
      <c r="Z1057" s="18" t="e">
        <f>IF($L1057&lt;"6",INDEX(Revenue_type,MATCH(Y1057*1,type!$A$118:$A$168,0),8),INDEX(Expenditure_type,MATCH(Y1057*1,type!$A$2:$A$117,0),8))</f>
        <v>#N/A</v>
      </c>
    </row>
    <row r="1058" spans="1:26" ht="15.75" hidden="1" customHeight="1" outlineLevel="2">
      <c r="A1058">
        <v>500</v>
      </c>
      <c r="B1058" s="249">
        <v>812220</v>
      </c>
      <c r="C1058">
        <v>1</v>
      </c>
      <c r="D1058" t="str">
        <f t="shared" si="130"/>
        <v>1812220.500</v>
      </c>
      <c r="E1058" s="382" t="s">
        <v>8720</v>
      </c>
      <c r="F1058" s="242"/>
      <c r="G1058"/>
      <c r="H1058" s="322">
        <v>129000</v>
      </c>
      <c r="I1058" s="322">
        <v>129000</v>
      </c>
      <c r="J1058" s="242">
        <v>137700</v>
      </c>
      <c r="K1058" s="18" t="e">
        <f>INDEX(תקציב_2013,MATCH(D1058,'תקציב 2015'!$D$3:$D$5960,0),8)</f>
        <v>#N/A</v>
      </c>
      <c r="L1058" s="18" t="str">
        <f t="shared" si="131"/>
        <v>8</v>
      </c>
      <c r="M1058" s="18" t="str">
        <f>INDEX(Chapter,MATCH(L1058,Chapter!$A$1:$A$681,0),8)</f>
        <v>שירותים ממלכתיים</v>
      </c>
      <c r="N1058" s="18" t="str">
        <f t="shared" si="132"/>
        <v>81</v>
      </c>
      <c r="O1058" s="18" t="str">
        <f>INDEX(Chapter,MATCH(N1058,Chapter!$A$1:$A$681,0),8)</f>
        <v>חינוך</v>
      </c>
      <c r="P1058" s="18" t="str">
        <f t="shared" si="133"/>
        <v>812</v>
      </c>
      <c r="Q1058" s="18" t="str">
        <f>INDEX(Chapter,MATCH(P1058,Chapter!$A$1:$A$681,0),8)</f>
        <v>חינוך קדם יסודי</v>
      </c>
      <c r="R1058" s="18" t="str">
        <f t="shared" si="134"/>
        <v>8122</v>
      </c>
      <c r="S1058" s="18" t="str">
        <f>INDEX(Chapter,MATCH(R1058,Chapter!$A$1:$A$681,0),8)</f>
        <v>גני ילדים גיל חובה</v>
      </c>
      <c r="T1058" s="18"/>
      <c r="U1058" s="18" t="str">
        <f t="shared" si="135"/>
        <v>5</v>
      </c>
      <c r="V1058" s="18" t="str">
        <f>IF($L1058&lt;"6",INDEX(Revenue_type,MATCH(U1058*1,type!$A$118:$A$168,0),8),INDEX(Expenditure_type,MATCH(U1058*1,type!$A$2:$A$117,0),8))</f>
        <v>הוצאות מנהליות</v>
      </c>
      <c r="W1058" s="18" t="str">
        <f t="shared" si="136"/>
        <v>50</v>
      </c>
      <c r="X1058" s="18" t="e">
        <f>IF($L1058&lt;"6",INDEX(Revenue_type,MATCH(W1058*1,type!$A$118:$A$168,0),8),INDEX(Expenditure_type,MATCH(W1058*1,type!$A$2:$A$117,0),8))</f>
        <v>#N/A</v>
      </c>
      <c r="Y1058" s="18" t="str">
        <f t="shared" si="137"/>
        <v>500</v>
      </c>
      <c r="Z1058" s="18" t="e">
        <f>IF($L1058&lt;"6",INDEX(Revenue_type,MATCH(Y1058*1,type!$A$118:$A$168,0),8),INDEX(Expenditure_type,MATCH(Y1058*1,type!$A$2:$A$117,0),8))</f>
        <v>#N/A</v>
      </c>
    </row>
    <row r="1059" spans="1:26" ht="15.75" hidden="1" customHeight="1" outlineLevel="2">
      <c r="A1059">
        <v>700</v>
      </c>
      <c r="B1059" s="249">
        <v>812220</v>
      </c>
      <c r="C1059">
        <v>1</v>
      </c>
      <c r="D1059" t="str">
        <f t="shared" si="130"/>
        <v>1812220.700</v>
      </c>
      <c r="E1059" s="382" t="s">
        <v>8721</v>
      </c>
      <c r="F1059" s="242"/>
      <c r="G1059"/>
      <c r="H1059" s="322">
        <v>33840000</v>
      </c>
      <c r="I1059" s="322">
        <v>34923000</v>
      </c>
      <c r="J1059" s="242">
        <v>39108000</v>
      </c>
      <c r="K1059" s="18" t="e">
        <f>INDEX(תקציב_2013,MATCH(D1059,'תקציב 2015'!$D$3:$D$5960,0),8)</f>
        <v>#N/A</v>
      </c>
      <c r="L1059" s="18" t="str">
        <f t="shared" si="131"/>
        <v>8</v>
      </c>
      <c r="M1059" s="18" t="str">
        <f>INDEX(Chapter,MATCH(L1059,Chapter!$A$1:$A$681,0),8)</f>
        <v>שירותים ממלכתיים</v>
      </c>
      <c r="N1059" s="18" t="str">
        <f t="shared" si="132"/>
        <v>81</v>
      </c>
      <c r="O1059" s="18" t="str">
        <f>INDEX(Chapter,MATCH(N1059,Chapter!$A$1:$A$681,0),8)</f>
        <v>חינוך</v>
      </c>
      <c r="P1059" s="18" t="str">
        <f t="shared" si="133"/>
        <v>812</v>
      </c>
      <c r="Q1059" s="18" t="str">
        <f>INDEX(Chapter,MATCH(P1059,Chapter!$A$1:$A$681,0),8)</f>
        <v>חינוך קדם יסודי</v>
      </c>
      <c r="R1059" s="18" t="str">
        <f t="shared" si="134"/>
        <v>8122</v>
      </c>
      <c r="S1059" s="18" t="str">
        <f>INDEX(Chapter,MATCH(R1059,Chapter!$A$1:$A$681,0),8)</f>
        <v>גני ילדים גיל חובה</v>
      </c>
      <c r="T1059" s="18"/>
      <c r="U1059" s="18" t="str">
        <f t="shared" si="135"/>
        <v>7</v>
      </c>
      <c r="V1059" s="18" t="str">
        <f>IF($L1059&lt;"6",INDEX(Revenue_type,MATCH(U1059*1,type!$A$118:$A$168,0),8),INDEX(Expenditure_type,MATCH(U1059*1,type!$A$2:$A$117,0),8))</f>
        <v>הוצאות לפעולות</v>
      </c>
      <c r="W1059" s="18" t="str">
        <f t="shared" si="136"/>
        <v>70</v>
      </c>
      <c r="X1059" s="18" t="e">
        <f>IF($L1059&lt;"6",INDEX(Revenue_type,MATCH(W1059*1,type!$A$118:$A$168,0),8),INDEX(Expenditure_type,MATCH(W1059*1,type!$A$2:$A$117,0),8))</f>
        <v>#N/A</v>
      </c>
      <c r="Y1059" s="18" t="str">
        <f t="shared" si="137"/>
        <v>700</v>
      </c>
      <c r="Z1059" s="18" t="e">
        <f>IF($L1059&lt;"6",INDEX(Revenue_type,MATCH(Y1059*1,type!$A$118:$A$168,0),8),INDEX(Expenditure_type,MATCH(Y1059*1,type!$A$2:$A$117,0),8))</f>
        <v>#N/A</v>
      </c>
    </row>
    <row r="1060" spans="1:26" ht="15.75" hidden="1" customHeight="1" outlineLevel="2">
      <c r="A1060">
        <v>400</v>
      </c>
      <c r="B1060" s="249">
        <v>812221</v>
      </c>
      <c r="C1060">
        <v>1</v>
      </c>
      <c r="D1060" t="str">
        <f t="shared" si="130"/>
        <v>1812221.400</v>
      </c>
      <c r="E1060" s="382" t="s">
        <v>8722</v>
      </c>
      <c r="F1060" s="242"/>
      <c r="G1060"/>
      <c r="H1060" s="322">
        <v>5000</v>
      </c>
      <c r="I1060" s="322">
        <v>5000</v>
      </c>
      <c r="J1060" s="242">
        <v>5000</v>
      </c>
      <c r="K1060" s="18" t="e">
        <f>INDEX(תקציב_2013,MATCH(D1060,'תקציב 2015'!$D$3:$D$5960,0),8)</f>
        <v>#N/A</v>
      </c>
      <c r="L1060" s="18" t="str">
        <f t="shared" si="131"/>
        <v>8</v>
      </c>
      <c r="M1060" s="18" t="str">
        <f>INDEX(Chapter,MATCH(L1060,Chapter!$A$1:$A$681,0),8)</f>
        <v>שירותים ממלכתיים</v>
      </c>
      <c r="N1060" s="18" t="str">
        <f t="shared" si="132"/>
        <v>81</v>
      </c>
      <c r="O1060" s="18" t="str">
        <f>INDEX(Chapter,MATCH(N1060,Chapter!$A$1:$A$681,0),8)</f>
        <v>חינוך</v>
      </c>
      <c r="P1060" s="18" t="str">
        <f t="shared" si="133"/>
        <v>812</v>
      </c>
      <c r="Q1060" s="18" t="str">
        <f>INDEX(Chapter,MATCH(P1060,Chapter!$A$1:$A$681,0),8)</f>
        <v>חינוך קדם יסודי</v>
      </c>
      <c r="R1060" s="18" t="str">
        <f t="shared" si="134"/>
        <v>8122</v>
      </c>
      <c r="S1060" s="18" t="str">
        <f>INDEX(Chapter,MATCH(R1060,Chapter!$A$1:$A$681,0),8)</f>
        <v>גני ילדים גיל חובה</v>
      </c>
      <c r="T1060" s="18"/>
      <c r="U1060" s="18" t="str">
        <f t="shared" si="135"/>
        <v>4</v>
      </c>
      <c r="V1060" s="18" t="str">
        <f>IF($L1060&lt;"6",INDEX(Revenue_type,MATCH(U1060*1,type!$A$118:$A$168,0),8),INDEX(Expenditure_type,MATCH(U1060*1,type!$A$2:$A$117,0),8))</f>
        <v>אחזקת בינים ואספקת ציוד</v>
      </c>
      <c r="W1060" s="18" t="str">
        <f t="shared" si="136"/>
        <v>40</v>
      </c>
      <c r="X1060" s="18" t="e">
        <f>IF($L1060&lt;"6",INDEX(Revenue_type,MATCH(W1060*1,type!$A$118:$A$168,0),8),INDEX(Expenditure_type,MATCH(W1060*1,type!$A$2:$A$117,0),8))</f>
        <v>#N/A</v>
      </c>
      <c r="Y1060" s="18" t="str">
        <f t="shared" si="137"/>
        <v>400</v>
      </c>
      <c r="Z1060" s="18" t="e">
        <f>IF($L1060&lt;"6",INDEX(Revenue_type,MATCH(Y1060*1,type!$A$118:$A$168,0),8),INDEX(Expenditure_type,MATCH(Y1060*1,type!$A$2:$A$117,0),8))</f>
        <v>#N/A</v>
      </c>
    </row>
    <row r="1061" spans="1:26" ht="15.75" hidden="1" customHeight="1" outlineLevel="2">
      <c r="A1061">
        <v>500</v>
      </c>
      <c r="B1061" s="249">
        <v>812221</v>
      </c>
      <c r="C1061">
        <v>1</v>
      </c>
      <c r="D1061" t="str">
        <f t="shared" si="130"/>
        <v>1812221.500</v>
      </c>
      <c r="E1061" s="382" t="s">
        <v>8723</v>
      </c>
      <c r="F1061" s="242"/>
      <c r="G1061"/>
      <c r="H1061" s="322">
        <v>5000</v>
      </c>
      <c r="I1061" s="322">
        <v>5000</v>
      </c>
      <c r="J1061" s="242">
        <v>5000</v>
      </c>
      <c r="K1061" s="18" t="e">
        <f>INDEX(תקציב_2013,MATCH(D1061,'תקציב 2015'!$D$3:$D$5960,0),8)</f>
        <v>#N/A</v>
      </c>
      <c r="L1061" s="18" t="str">
        <f t="shared" si="131"/>
        <v>8</v>
      </c>
      <c r="M1061" s="18" t="str">
        <f>INDEX(Chapter,MATCH(L1061,Chapter!$A$1:$A$681,0),8)</f>
        <v>שירותים ממלכתיים</v>
      </c>
      <c r="N1061" s="18" t="str">
        <f t="shared" si="132"/>
        <v>81</v>
      </c>
      <c r="O1061" s="18" t="str">
        <f>INDEX(Chapter,MATCH(N1061,Chapter!$A$1:$A$681,0),8)</f>
        <v>חינוך</v>
      </c>
      <c r="P1061" s="18" t="str">
        <f t="shared" si="133"/>
        <v>812</v>
      </c>
      <c r="Q1061" s="18" t="str">
        <f>INDEX(Chapter,MATCH(P1061,Chapter!$A$1:$A$681,0),8)</f>
        <v>חינוך קדם יסודי</v>
      </c>
      <c r="R1061" s="18" t="str">
        <f t="shared" si="134"/>
        <v>8122</v>
      </c>
      <c r="S1061" s="18" t="str">
        <f>INDEX(Chapter,MATCH(R1061,Chapter!$A$1:$A$681,0),8)</f>
        <v>גני ילדים גיל חובה</v>
      </c>
      <c r="T1061" s="18"/>
      <c r="U1061" s="18" t="str">
        <f t="shared" si="135"/>
        <v>5</v>
      </c>
      <c r="V1061" s="18" t="str">
        <f>IF($L1061&lt;"6",INDEX(Revenue_type,MATCH(U1061*1,type!$A$118:$A$168,0),8),INDEX(Expenditure_type,MATCH(U1061*1,type!$A$2:$A$117,0),8))</f>
        <v>הוצאות מנהליות</v>
      </c>
      <c r="W1061" s="18" t="str">
        <f t="shared" si="136"/>
        <v>50</v>
      </c>
      <c r="X1061" s="18" t="e">
        <f>IF($L1061&lt;"6",INDEX(Revenue_type,MATCH(W1061*1,type!$A$118:$A$168,0),8),INDEX(Expenditure_type,MATCH(W1061*1,type!$A$2:$A$117,0),8))</f>
        <v>#N/A</v>
      </c>
      <c r="Y1061" s="18" t="str">
        <f t="shared" si="137"/>
        <v>500</v>
      </c>
      <c r="Z1061" s="18" t="e">
        <f>IF($L1061&lt;"6",INDEX(Revenue_type,MATCH(Y1061*1,type!$A$118:$A$168,0),8),INDEX(Expenditure_type,MATCH(Y1061*1,type!$A$2:$A$117,0),8))</f>
        <v>#N/A</v>
      </c>
    </row>
    <row r="1062" spans="1:26" ht="15.75" hidden="1" customHeight="1" outlineLevel="2">
      <c r="A1062">
        <v>700</v>
      </c>
      <c r="B1062" s="249">
        <v>812221</v>
      </c>
      <c r="C1062">
        <v>1</v>
      </c>
      <c r="D1062" t="str">
        <f t="shared" si="130"/>
        <v>1812221.700</v>
      </c>
      <c r="E1062" s="382" t="s">
        <v>8724</v>
      </c>
      <c r="F1062" s="242"/>
      <c r="G1062"/>
      <c r="H1062" s="322">
        <v>28900</v>
      </c>
      <c r="I1062" s="322">
        <v>30000</v>
      </c>
      <c r="J1062" s="242">
        <v>30000</v>
      </c>
      <c r="K1062" s="18" t="e">
        <f>INDEX(תקציב_2013,MATCH(D1062,'תקציב 2015'!$D$3:$D$5960,0),8)</f>
        <v>#N/A</v>
      </c>
      <c r="L1062" s="18" t="str">
        <f t="shared" si="131"/>
        <v>8</v>
      </c>
      <c r="M1062" s="18" t="str">
        <f>INDEX(Chapter,MATCH(L1062,Chapter!$A$1:$A$681,0),8)</f>
        <v>שירותים ממלכתיים</v>
      </c>
      <c r="N1062" s="18" t="str">
        <f t="shared" si="132"/>
        <v>81</v>
      </c>
      <c r="O1062" s="18" t="str">
        <f>INDEX(Chapter,MATCH(N1062,Chapter!$A$1:$A$681,0),8)</f>
        <v>חינוך</v>
      </c>
      <c r="P1062" s="18" t="str">
        <f t="shared" si="133"/>
        <v>812</v>
      </c>
      <c r="Q1062" s="18" t="str">
        <f>INDEX(Chapter,MATCH(P1062,Chapter!$A$1:$A$681,0),8)</f>
        <v>חינוך קדם יסודי</v>
      </c>
      <c r="R1062" s="18" t="str">
        <f t="shared" si="134"/>
        <v>8122</v>
      </c>
      <c r="S1062" s="18" t="str">
        <f>INDEX(Chapter,MATCH(R1062,Chapter!$A$1:$A$681,0),8)</f>
        <v>גני ילדים גיל חובה</v>
      </c>
      <c r="T1062" s="18"/>
      <c r="U1062" s="18" t="str">
        <f t="shared" si="135"/>
        <v>7</v>
      </c>
      <c r="V1062" s="18" t="str">
        <f>IF($L1062&lt;"6",INDEX(Revenue_type,MATCH(U1062*1,type!$A$118:$A$168,0),8),INDEX(Expenditure_type,MATCH(U1062*1,type!$A$2:$A$117,0),8))</f>
        <v>הוצאות לפעולות</v>
      </c>
      <c r="W1062" s="18" t="str">
        <f t="shared" si="136"/>
        <v>70</v>
      </c>
      <c r="X1062" s="18" t="e">
        <f>IF($L1062&lt;"6",INDEX(Revenue_type,MATCH(W1062*1,type!$A$118:$A$168,0),8),INDEX(Expenditure_type,MATCH(W1062*1,type!$A$2:$A$117,0),8))</f>
        <v>#N/A</v>
      </c>
      <c r="Y1062" s="18" t="str">
        <f t="shared" si="137"/>
        <v>700</v>
      </c>
      <c r="Z1062" s="18" t="e">
        <f>IF($L1062&lt;"6",INDEX(Revenue_type,MATCH(Y1062*1,type!$A$118:$A$168,0),8),INDEX(Expenditure_type,MATCH(Y1062*1,type!$A$2:$A$117,0),8))</f>
        <v>#N/A</v>
      </c>
    </row>
    <row r="1063" spans="1:26" ht="15.75" hidden="1" customHeight="1" outlineLevel="2">
      <c r="A1063">
        <v>100</v>
      </c>
      <c r="B1063" s="249">
        <v>812222</v>
      </c>
      <c r="C1063">
        <v>1</v>
      </c>
      <c r="D1063" t="str">
        <f t="shared" si="130"/>
        <v>1812222.100</v>
      </c>
      <c r="E1063" s="382" t="s">
        <v>8725</v>
      </c>
      <c r="F1063" s="242"/>
      <c r="G1063"/>
      <c r="H1063" s="322">
        <v>180000</v>
      </c>
      <c r="I1063" s="322">
        <v>0</v>
      </c>
      <c r="J1063" s="242">
        <v>0</v>
      </c>
      <c r="K1063" s="18" t="e">
        <f>INDEX(תקציב_2013,MATCH(D1063,'תקציב 2015'!$D$3:$D$5960,0),8)</f>
        <v>#N/A</v>
      </c>
      <c r="L1063" s="18" t="str">
        <f t="shared" si="131"/>
        <v>8</v>
      </c>
      <c r="M1063" s="18" t="str">
        <f>INDEX(Chapter,MATCH(L1063,Chapter!$A$1:$A$681,0),8)</f>
        <v>שירותים ממלכתיים</v>
      </c>
      <c r="N1063" s="18" t="str">
        <f t="shared" si="132"/>
        <v>81</v>
      </c>
      <c r="O1063" s="18" t="str">
        <f>INDEX(Chapter,MATCH(N1063,Chapter!$A$1:$A$681,0),8)</f>
        <v>חינוך</v>
      </c>
      <c r="P1063" s="18" t="str">
        <f t="shared" si="133"/>
        <v>812</v>
      </c>
      <c r="Q1063" s="18" t="str">
        <f>INDEX(Chapter,MATCH(P1063,Chapter!$A$1:$A$681,0),8)</f>
        <v>חינוך קדם יסודי</v>
      </c>
      <c r="R1063" s="18" t="str">
        <f t="shared" si="134"/>
        <v>8122</v>
      </c>
      <c r="S1063" s="18" t="str">
        <f>INDEX(Chapter,MATCH(R1063,Chapter!$A$1:$A$681,0),8)</f>
        <v>גני ילדים גיל חובה</v>
      </c>
      <c r="T1063" s="18"/>
      <c r="U1063" s="18" t="str">
        <f t="shared" si="135"/>
        <v>1</v>
      </c>
      <c r="V1063" s="18" t="str">
        <f>IF($L1063&lt;"6",INDEX(Revenue_type,MATCH(U1063*1,type!$A$118:$A$168,0),8),INDEX(Expenditure_type,MATCH(U1063*1,type!$A$2:$A$117,0),8))</f>
        <v>משכורות וש"ע לעובדים לפי תקן</v>
      </c>
      <c r="W1063" s="18" t="str">
        <f t="shared" si="136"/>
        <v>10</v>
      </c>
      <c r="X1063" s="18" t="e">
        <f>IF($L1063&lt;"6",INDEX(Revenue_type,MATCH(W1063*1,type!$A$118:$A$168,0),8),INDEX(Expenditure_type,MATCH(W1063*1,type!$A$2:$A$117,0),8))</f>
        <v>#N/A</v>
      </c>
      <c r="Y1063" s="18" t="str">
        <f t="shared" si="137"/>
        <v>100</v>
      </c>
      <c r="Z1063" s="18" t="e">
        <f>IF($L1063&lt;"6",INDEX(Revenue_type,MATCH(Y1063*1,type!$A$118:$A$168,0),8),INDEX(Expenditure_type,MATCH(Y1063*1,type!$A$2:$A$117,0),8))</f>
        <v>#N/A</v>
      </c>
    </row>
    <row r="1064" spans="1:26" ht="15.75" hidden="1" customHeight="1" outlineLevel="2">
      <c r="A1064">
        <v>700</v>
      </c>
      <c r="B1064" s="249">
        <v>812222</v>
      </c>
      <c r="C1064">
        <v>1</v>
      </c>
      <c r="D1064" t="str">
        <f t="shared" si="130"/>
        <v>1812222.700</v>
      </c>
      <c r="E1064" s="382" t="s">
        <v>8726</v>
      </c>
      <c r="F1064" s="242"/>
      <c r="G1064"/>
      <c r="H1064" s="322">
        <v>388600</v>
      </c>
      <c r="I1064" s="322">
        <v>400000</v>
      </c>
      <c r="J1064" s="242">
        <v>0</v>
      </c>
      <c r="K1064" s="18" t="e">
        <f>INDEX(תקציב_2013,MATCH(D1064,'תקציב 2015'!$D$3:$D$5960,0),8)</f>
        <v>#N/A</v>
      </c>
      <c r="L1064" s="18" t="str">
        <f t="shared" si="131"/>
        <v>8</v>
      </c>
      <c r="M1064" s="18" t="str">
        <f>INDEX(Chapter,MATCH(L1064,Chapter!$A$1:$A$681,0),8)</f>
        <v>שירותים ממלכתיים</v>
      </c>
      <c r="N1064" s="18" t="str">
        <f t="shared" si="132"/>
        <v>81</v>
      </c>
      <c r="O1064" s="18" t="str">
        <f>INDEX(Chapter,MATCH(N1064,Chapter!$A$1:$A$681,0),8)</f>
        <v>חינוך</v>
      </c>
      <c r="P1064" s="18" t="str">
        <f t="shared" si="133"/>
        <v>812</v>
      </c>
      <c r="Q1064" s="18" t="str">
        <f>INDEX(Chapter,MATCH(P1064,Chapter!$A$1:$A$681,0),8)</f>
        <v>חינוך קדם יסודי</v>
      </c>
      <c r="R1064" s="18" t="str">
        <f t="shared" si="134"/>
        <v>8122</v>
      </c>
      <c r="S1064" s="18" t="str">
        <f>INDEX(Chapter,MATCH(R1064,Chapter!$A$1:$A$681,0),8)</f>
        <v>גני ילדים גיל חובה</v>
      </c>
      <c r="T1064" s="18"/>
      <c r="U1064" s="18" t="str">
        <f t="shared" si="135"/>
        <v>7</v>
      </c>
      <c r="V1064" s="18" t="str">
        <f>IF($L1064&lt;"6",INDEX(Revenue_type,MATCH(U1064*1,type!$A$118:$A$168,0),8),INDEX(Expenditure_type,MATCH(U1064*1,type!$A$2:$A$117,0),8))</f>
        <v>הוצאות לפעולות</v>
      </c>
      <c r="W1064" s="18" t="str">
        <f t="shared" si="136"/>
        <v>70</v>
      </c>
      <c r="X1064" s="18" t="e">
        <f>IF($L1064&lt;"6",INDEX(Revenue_type,MATCH(W1064*1,type!$A$118:$A$168,0),8),INDEX(Expenditure_type,MATCH(W1064*1,type!$A$2:$A$117,0),8))</f>
        <v>#N/A</v>
      </c>
      <c r="Y1064" s="18" t="str">
        <f t="shared" si="137"/>
        <v>700</v>
      </c>
      <c r="Z1064" s="18" t="e">
        <f>IF($L1064&lt;"6",INDEX(Revenue_type,MATCH(Y1064*1,type!$A$118:$A$168,0),8),INDEX(Expenditure_type,MATCH(Y1064*1,type!$A$2:$A$117,0),8))</f>
        <v>#N/A</v>
      </c>
    </row>
    <row r="1065" spans="1:26" ht="15.75" hidden="1" customHeight="1" outlineLevel="2">
      <c r="A1065">
        <v>700</v>
      </c>
      <c r="B1065" s="249">
        <v>812223</v>
      </c>
      <c r="C1065">
        <v>1</v>
      </c>
      <c r="D1065" t="str">
        <f t="shared" si="130"/>
        <v>1812223.700</v>
      </c>
      <c r="E1065" s="382" t="s">
        <v>8727</v>
      </c>
      <c r="F1065" s="242"/>
      <c r="G1065"/>
      <c r="H1065" s="322">
        <v>1389200</v>
      </c>
      <c r="I1065" s="322">
        <v>1430000</v>
      </c>
      <c r="J1065" s="242">
        <v>1280000</v>
      </c>
      <c r="K1065" s="18" t="e">
        <f>INDEX(תקציב_2013,MATCH(D1065,'תקציב 2015'!$D$3:$D$5960,0),8)</f>
        <v>#N/A</v>
      </c>
      <c r="L1065" s="18" t="str">
        <f t="shared" si="131"/>
        <v>8</v>
      </c>
      <c r="M1065" s="18" t="str">
        <f>INDEX(Chapter,MATCH(L1065,Chapter!$A$1:$A$681,0),8)</f>
        <v>שירותים ממלכתיים</v>
      </c>
      <c r="N1065" s="18" t="str">
        <f t="shared" si="132"/>
        <v>81</v>
      </c>
      <c r="O1065" s="18" t="str">
        <f>INDEX(Chapter,MATCH(N1065,Chapter!$A$1:$A$681,0),8)</f>
        <v>חינוך</v>
      </c>
      <c r="P1065" s="18" t="str">
        <f t="shared" si="133"/>
        <v>812</v>
      </c>
      <c r="Q1065" s="18" t="str">
        <f>INDEX(Chapter,MATCH(P1065,Chapter!$A$1:$A$681,0),8)</f>
        <v>חינוך קדם יסודי</v>
      </c>
      <c r="R1065" s="18" t="str">
        <f t="shared" si="134"/>
        <v>8122</v>
      </c>
      <c r="S1065" s="18" t="str">
        <f>INDEX(Chapter,MATCH(R1065,Chapter!$A$1:$A$681,0),8)</f>
        <v>גני ילדים גיל חובה</v>
      </c>
      <c r="T1065" s="18"/>
      <c r="U1065" s="18" t="str">
        <f t="shared" si="135"/>
        <v>7</v>
      </c>
      <c r="V1065" s="18" t="str">
        <f>IF($L1065&lt;"6",INDEX(Revenue_type,MATCH(U1065*1,type!$A$118:$A$168,0),8),INDEX(Expenditure_type,MATCH(U1065*1,type!$A$2:$A$117,0),8))</f>
        <v>הוצאות לפעולות</v>
      </c>
      <c r="W1065" s="18" t="str">
        <f t="shared" si="136"/>
        <v>70</v>
      </c>
      <c r="X1065" s="18" t="e">
        <f>IF($L1065&lt;"6",INDEX(Revenue_type,MATCH(W1065*1,type!$A$118:$A$168,0),8),INDEX(Expenditure_type,MATCH(W1065*1,type!$A$2:$A$117,0),8))</f>
        <v>#N/A</v>
      </c>
      <c r="Y1065" s="18" t="str">
        <f t="shared" si="137"/>
        <v>700</v>
      </c>
      <c r="Z1065" s="18" t="e">
        <f>IF($L1065&lt;"6",INDEX(Revenue_type,MATCH(Y1065*1,type!$A$118:$A$168,0),8),INDEX(Expenditure_type,MATCH(Y1065*1,type!$A$2:$A$117,0),8))</f>
        <v>#N/A</v>
      </c>
    </row>
    <row r="1066" spans="1:26" ht="15.75" hidden="1" customHeight="1" outlineLevel="2">
      <c r="A1066">
        <v>100</v>
      </c>
      <c r="B1066" s="249">
        <v>813210</v>
      </c>
      <c r="C1066">
        <v>1</v>
      </c>
      <c r="D1066" t="str">
        <f t="shared" si="130"/>
        <v>1813210.100</v>
      </c>
      <c r="E1066" s="381" t="s">
        <v>8728</v>
      </c>
      <c r="F1066" s="242"/>
      <c r="G1066"/>
      <c r="H1066" s="322">
        <v>2691200</v>
      </c>
      <c r="I1066" s="322">
        <v>2660200</v>
      </c>
      <c r="J1066" s="242">
        <v>2386300</v>
      </c>
      <c r="K1066" s="18" t="e">
        <f>INDEX(תקציב_2013,MATCH(D1066,'תקציב 2015'!$D$3:$D$5960,0),8)</f>
        <v>#N/A</v>
      </c>
      <c r="L1066" s="18" t="str">
        <f t="shared" si="131"/>
        <v>8</v>
      </c>
      <c r="M1066" s="18" t="str">
        <f>INDEX(Chapter,MATCH(L1066,Chapter!$A$1:$A$681,0),8)</f>
        <v>שירותים ממלכתיים</v>
      </c>
      <c r="N1066" s="18" t="str">
        <f t="shared" si="132"/>
        <v>81</v>
      </c>
      <c r="O1066" s="18" t="str">
        <f>INDEX(Chapter,MATCH(N1066,Chapter!$A$1:$A$681,0),8)</f>
        <v>חינוך</v>
      </c>
      <c r="P1066" s="18" t="str">
        <f t="shared" si="133"/>
        <v>813</v>
      </c>
      <c r="Q1066" s="18" t="str">
        <f>INDEX(Chapter,MATCH(P1066,Chapter!$A$1:$A$681,0),8)</f>
        <v>חינוך יסודי</v>
      </c>
      <c r="R1066" s="18" t="str">
        <f t="shared" si="134"/>
        <v>8132</v>
      </c>
      <c r="S1066" s="18" t="str">
        <f>INDEX(Chapter,MATCH(R1066,Chapter!$A$1:$A$681,0),8)</f>
        <v>בתי״ס יסודיים</v>
      </c>
      <c r="T1066" s="18"/>
      <c r="U1066" s="18" t="str">
        <f t="shared" si="135"/>
        <v>1</v>
      </c>
      <c r="V1066" s="18" t="str">
        <f>IF($L1066&lt;"6",INDEX(Revenue_type,MATCH(U1066*1,type!$A$118:$A$168,0),8),INDEX(Expenditure_type,MATCH(U1066*1,type!$A$2:$A$117,0),8))</f>
        <v>משכורות וש"ע לעובדים לפי תקן</v>
      </c>
      <c r="W1066" s="18" t="str">
        <f t="shared" si="136"/>
        <v>10</v>
      </c>
      <c r="X1066" s="18" t="e">
        <f>IF($L1066&lt;"6",INDEX(Revenue_type,MATCH(W1066*1,type!$A$118:$A$168,0),8),INDEX(Expenditure_type,MATCH(W1066*1,type!$A$2:$A$117,0),8))</f>
        <v>#N/A</v>
      </c>
      <c r="Y1066" s="18" t="str">
        <f t="shared" si="137"/>
        <v>100</v>
      </c>
      <c r="Z1066" s="18" t="e">
        <f>IF($L1066&lt;"6",INDEX(Revenue_type,MATCH(Y1066*1,type!$A$118:$A$168,0),8),INDEX(Expenditure_type,MATCH(Y1066*1,type!$A$2:$A$117,0),8))</f>
        <v>#N/A</v>
      </c>
    </row>
    <row r="1067" spans="1:26" ht="15.75" hidden="1" customHeight="1" outlineLevel="2">
      <c r="A1067">
        <v>120</v>
      </c>
      <c r="B1067" s="249">
        <v>813210</v>
      </c>
      <c r="C1067">
        <v>1</v>
      </c>
      <c r="D1067" t="str">
        <f t="shared" si="130"/>
        <v>1813210.120</v>
      </c>
      <c r="E1067" s="381" t="s">
        <v>8729</v>
      </c>
      <c r="F1067" s="242"/>
      <c r="G1067"/>
      <c r="H1067" s="322">
        <v>95800</v>
      </c>
      <c r="I1067" s="322">
        <v>95800</v>
      </c>
      <c r="J1067" s="242">
        <v>122900</v>
      </c>
      <c r="K1067" s="18">
        <f>INDEX(תקציב_2013,MATCH(D1067,'תקציב 2015'!$D$3:$D$5960,0),8)</f>
        <v>10217</v>
      </c>
      <c r="L1067" s="18" t="str">
        <f t="shared" si="131"/>
        <v>8</v>
      </c>
      <c r="M1067" s="18" t="str">
        <f>INDEX(Chapter,MATCH(L1067,Chapter!$A$1:$A$681,0),8)</f>
        <v>שירותים ממלכתיים</v>
      </c>
      <c r="N1067" s="18" t="str">
        <f t="shared" si="132"/>
        <v>81</v>
      </c>
      <c r="O1067" s="18" t="str">
        <f>INDEX(Chapter,MATCH(N1067,Chapter!$A$1:$A$681,0),8)</f>
        <v>חינוך</v>
      </c>
      <c r="P1067" s="18" t="str">
        <f t="shared" si="133"/>
        <v>813</v>
      </c>
      <c r="Q1067" s="18" t="str">
        <f>INDEX(Chapter,MATCH(P1067,Chapter!$A$1:$A$681,0),8)</f>
        <v>חינוך יסודי</v>
      </c>
      <c r="R1067" s="18" t="str">
        <f t="shared" si="134"/>
        <v>8132</v>
      </c>
      <c r="S1067" s="18" t="str">
        <f>INDEX(Chapter,MATCH(R1067,Chapter!$A$1:$A$681,0),8)</f>
        <v>בתי״ס יסודיים</v>
      </c>
      <c r="T1067" s="18"/>
      <c r="U1067" s="18" t="str">
        <f t="shared" si="135"/>
        <v>1</v>
      </c>
      <c r="V1067" s="18" t="str">
        <f>IF($L1067&lt;"6",INDEX(Revenue_type,MATCH(U1067*1,type!$A$118:$A$168,0),8),INDEX(Expenditure_type,MATCH(U1067*1,type!$A$2:$A$117,0),8))</f>
        <v>משכורות וש"ע לעובדים לפי תקן</v>
      </c>
      <c r="W1067" s="18" t="str">
        <f t="shared" si="136"/>
        <v>12</v>
      </c>
      <c r="X1067" s="18" t="str">
        <f>IF($L1067&lt;"6",INDEX(Revenue_type,MATCH(W1067*1,type!$A$118:$A$168,0),8),INDEX(Expenditure_type,MATCH(W1067*1,type!$A$2:$A$117,0),8))</f>
        <v>תוספות שאינן נכללות בשכר הקובע</v>
      </c>
      <c r="Y1067" s="18" t="str">
        <f t="shared" si="137"/>
        <v>120</v>
      </c>
      <c r="Z1067" s="18" t="e">
        <f>IF($L1067&lt;"6",INDEX(Revenue_type,MATCH(Y1067*1,type!$A$118:$A$168,0),8),INDEX(Expenditure_type,MATCH(Y1067*1,type!$A$2:$A$117,0),8))</f>
        <v>#N/A</v>
      </c>
    </row>
    <row r="1068" spans="1:26" ht="15.75" hidden="1" customHeight="1" outlineLevel="2">
      <c r="A1068">
        <v>700</v>
      </c>
      <c r="B1068" s="249">
        <v>813210</v>
      </c>
      <c r="C1068">
        <v>1</v>
      </c>
      <c r="D1068" t="str">
        <f t="shared" si="130"/>
        <v>1813210.700</v>
      </c>
      <c r="E1068" s="382" t="s">
        <v>8730</v>
      </c>
      <c r="F1068" s="242"/>
      <c r="G1068"/>
      <c r="H1068" s="322">
        <v>29100</v>
      </c>
      <c r="I1068" s="322">
        <v>30000</v>
      </c>
      <c r="J1068" s="242">
        <v>32800</v>
      </c>
      <c r="K1068" s="18" t="e">
        <f>INDEX(תקציב_2013,MATCH(D1068,'תקציב 2015'!$D$3:$D$5960,0),8)</f>
        <v>#N/A</v>
      </c>
      <c r="L1068" s="18" t="str">
        <f t="shared" si="131"/>
        <v>8</v>
      </c>
      <c r="M1068" s="18" t="str">
        <f>INDEX(Chapter,MATCH(L1068,Chapter!$A$1:$A$681,0),8)</f>
        <v>שירותים ממלכתיים</v>
      </c>
      <c r="N1068" s="18" t="str">
        <f t="shared" si="132"/>
        <v>81</v>
      </c>
      <c r="O1068" s="18" t="str">
        <f>INDEX(Chapter,MATCH(N1068,Chapter!$A$1:$A$681,0),8)</f>
        <v>חינוך</v>
      </c>
      <c r="P1068" s="18" t="str">
        <f t="shared" si="133"/>
        <v>813</v>
      </c>
      <c r="Q1068" s="18" t="str">
        <f>INDEX(Chapter,MATCH(P1068,Chapter!$A$1:$A$681,0),8)</f>
        <v>חינוך יסודי</v>
      </c>
      <c r="R1068" s="18" t="str">
        <f t="shared" si="134"/>
        <v>8132</v>
      </c>
      <c r="S1068" s="18" t="str">
        <f>INDEX(Chapter,MATCH(R1068,Chapter!$A$1:$A$681,0),8)</f>
        <v>בתי״ס יסודיים</v>
      </c>
      <c r="T1068" s="18"/>
      <c r="U1068" s="18" t="str">
        <f t="shared" si="135"/>
        <v>7</v>
      </c>
      <c r="V1068" s="18" t="str">
        <f>IF($L1068&lt;"6",INDEX(Revenue_type,MATCH(U1068*1,type!$A$118:$A$168,0),8),INDEX(Expenditure_type,MATCH(U1068*1,type!$A$2:$A$117,0),8))</f>
        <v>הוצאות לפעולות</v>
      </c>
      <c r="W1068" s="18" t="str">
        <f t="shared" si="136"/>
        <v>70</v>
      </c>
      <c r="X1068" s="18" t="e">
        <f>IF($L1068&lt;"6",INDEX(Revenue_type,MATCH(W1068*1,type!$A$118:$A$168,0),8),INDEX(Expenditure_type,MATCH(W1068*1,type!$A$2:$A$117,0),8))</f>
        <v>#N/A</v>
      </c>
      <c r="Y1068" s="18" t="str">
        <f t="shared" si="137"/>
        <v>700</v>
      </c>
      <c r="Z1068" s="18" t="e">
        <f>IF($L1068&lt;"6",INDEX(Revenue_type,MATCH(Y1068*1,type!$A$118:$A$168,0),8),INDEX(Expenditure_type,MATCH(Y1068*1,type!$A$2:$A$117,0),8))</f>
        <v>#N/A</v>
      </c>
    </row>
    <row r="1069" spans="1:26" ht="15.75" hidden="1" customHeight="1" outlineLevel="2">
      <c r="A1069">
        <v>200</v>
      </c>
      <c r="B1069" s="249">
        <v>813290</v>
      </c>
      <c r="C1069">
        <v>1</v>
      </c>
      <c r="D1069" t="str">
        <f t="shared" si="130"/>
        <v>1813290.200</v>
      </c>
      <c r="E1069" s="382" t="s">
        <v>8731</v>
      </c>
      <c r="F1069" s="242"/>
      <c r="G1069"/>
      <c r="H1069" s="322">
        <v>84400</v>
      </c>
      <c r="I1069" s="322">
        <v>84400</v>
      </c>
      <c r="J1069" s="242">
        <v>449400</v>
      </c>
      <c r="K1069" s="18" t="e">
        <f>INDEX(תקציב_2013,MATCH(D1069,'תקציב 2015'!$D$3:$D$5960,0),8)</f>
        <v>#N/A</v>
      </c>
      <c r="L1069" s="18" t="str">
        <f t="shared" si="131"/>
        <v>8</v>
      </c>
      <c r="M1069" s="18" t="str">
        <f>INDEX(Chapter,MATCH(L1069,Chapter!$A$1:$A$681,0),8)</f>
        <v>שירותים ממלכתיים</v>
      </c>
      <c r="N1069" s="18" t="str">
        <f t="shared" si="132"/>
        <v>81</v>
      </c>
      <c r="O1069" s="18" t="str">
        <f>INDEX(Chapter,MATCH(N1069,Chapter!$A$1:$A$681,0),8)</f>
        <v>חינוך</v>
      </c>
      <c r="P1069" s="18" t="str">
        <f t="shared" si="133"/>
        <v>813</v>
      </c>
      <c r="Q1069" s="18" t="str">
        <f>INDEX(Chapter,MATCH(P1069,Chapter!$A$1:$A$681,0),8)</f>
        <v>חינוך יסודי</v>
      </c>
      <c r="R1069" s="18" t="str">
        <f t="shared" si="134"/>
        <v>8132</v>
      </c>
      <c r="S1069" s="18" t="str">
        <f>INDEX(Chapter,MATCH(R1069,Chapter!$A$1:$A$681,0),8)</f>
        <v>בתי״ס יסודיים</v>
      </c>
      <c r="T1069" s="18"/>
      <c r="U1069" s="18" t="str">
        <f t="shared" si="135"/>
        <v>2</v>
      </c>
      <c r="V1069" s="18" t="str">
        <f>IF($L1069&lt;"6",INDEX(Revenue_type,MATCH(U1069*1,type!$A$118:$A$168,0),8),INDEX(Expenditure_type,MATCH(U1069*1,type!$A$2:$A$117,0),8))</f>
        <v>משכורות וש"ע לעובדים בלי תקן</v>
      </c>
      <c r="W1069" s="18" t="str">
        <f t="shared" si="136"/>
        <v>20</v>
      </c>
      <c r="X1069" s="18" t="e">
        <f>IF($L1069&lt;"6",INDEX(Revenue_type,MATCH(W1069*1,type!$A$118:$A$168,0),8),INDEX(Expenditure_type,MATCH(W1069*1,type!$A$2:$A$117,0),8))</f>
        <v>#N/A</v>
      </c>
      <c r="Y1069" s="18" t="str">
        <f t="shared" si="137"/>
        <v>200</v>
      </c>
      <c r="Z1069" s="18" t="e">
        <f>IF($L1069&lt;"6",INDEX(Revenue_type,MATCH(Y1069*1,type!$A$118:$A$168,0),8),INDEX(Expenditure_type,MATCH(Y1069*1,type!$A$2:$A$117,0),8))</f>
        <v>#N/A</v>
      </c>
    </row>
    <row r="1070" spans="1:26" ht="15.75" hidden="1" customHeight="1" outlineLevel="2">
      <c r="A1070">
        <v>120</v>
      </c>
      <c r="B1070" s="249">
        <v>813290</v>
      </c>
      <c r="C1070">
        <v>1</v>
      </c>
      <c r="D1070" t="str">
        <f t="shared" si="130"/>
        <v>1813290.120</v>
      </c>
      <c r="E1070" s="382" t="s">
        <v>8732</v>
      </c>
      <c r="F1070" s="242"/>
      <c r="G1070"/>
      <c r="H1070" s="322">
        <v>15600</v>
      </c>
      <c r="I1070" s="322">
        <v>15600</v>
      </c>
      <c r="J1070" s="242">
        <v>48900</v>
      </c>
      <c r="K1070" s="18" t="e">
        <f>INDEX(תקציב_2013,MATCH(D1070,'תקציב 2015'!$D$3:$D$5960,0),8)</f>
        <v>#N/A</v>
      </c>
      <c r="L1070" s="18" t="str">
        <f t="shared" si="131"/>
        <v>8</v>
      </c>
      <c r="M1070" s="18" t="str">
        <f>INDEX(Chapter,MATCH(L1070,Chapter!$A$1:$A$681,0),8)</f>
        <v>שירותים ממלכתיים</v>
      </c>
      <c r="N1070" s="18" t="str">
        <f t="shared" si="132"/>
        <v>81</v>
      </c>
      <c r="O1070" s="18" t="str">
        <f>INDEX(Chapter,MATCH(N1070,Chapter!$A$1:$A$681,0),8)</f>
        <v>חינוך</v>
      </c>
      <c r="P1070" s="18" t="str">
        <f t="shared" si="133"/>
        <v>813</v>
      </c>
      <c r="Q1070" s="18" t="str">
        <f>INDEX(Chapter,MATCH(P1070,Chapter!$A$1:$A$681,0),8)</f>
        <v>חינוך יסודי</v>
      </c>
      <c r="R1070" s="18" t="str">
        <f t="shared" si="134"/>
        <v>8132</v>
      </c>
      <c r="S1070" s="18" t="str">
        <f>INDEX(Chapter,MATCH(R1070,Chapter!$A$1:$A$681,0),8)</f>
        <v>בתי״ס יסודיים</v>
      </c>
      <c r="T1070" s="18"/>
      <c r="U1070" s="18" t="str">
        <f t="shared" si="135"/>
        <v>1</v>
      </c>
      <c r="V1070" s="18" t="str">
        <f>IF($L1070&lt;"6",INDEX(Revenue_type,MATCH(U1070*1,type!$A$118:$A$168,0),8),INDEX(Expenditure_type,MATCH(U1070*1,type!$A$2:$A$117,0),8))</f>
        <v>משכורות וש"ע לעובדים לפי תקן</v>
      </c>
      <c r="W1070" s="18" t="str">
        <f t="shared" si="136"/>
        <v>12</v>
      </c>
      <c r="X1070" s="18" t="str">
        <f>IF($L1070&lt;"6",INDEX(Revenue_type,MATCH(W1070*1,type!$A$118:$A$168,0),8),INDEX(Expenditure_type,MATCH(W1070*1,type!$A$2:$A$117,0),8))</f>
        <v>תוספות שאינן נכללות בשכר הקובע</v>
      </c>
      <c r="Y1070" s="18" t="str">
        <f t="shared" si="137"/>
        <v>120</v>
      </c>
      <c r="Z1070" s="18" t="e">
        <f>IF($L1070&lt;"6",INDEX(Revenue_type,MATCH(Y1070*1,type!$A$118:$A$168,0),8),INDEX(Expenditure_type,MATCH(Y1070*1,type!$A$2:$A$117,0),8))</f>
        <v>#N/A</v>
      </c>
    </row>
    <row r="1071" spans="1:26" ht="15.75" hidden="1" customHeight="1" outlineLevel="2">
      <c r="A1071">
        <v>500</v>
      </c>
      <c r="B1071" s="249">
        <v>813290</v>
      </c>
      <c r="C1071">
        <v>1</v>
      </c>
      <c r="D1071" t="str">
        <f t="shared" si="130"/>
        <v>1813290.500</v>
      </c>
      <c r="E1071" s="382" t="s">
        <v>8733</v>
      </c>
      <c r="F1071" s="242"/>
      <c r="G1071"/>
      <c r="H1071" s="322">
        <v>3381000</v>
      </c>
      <c r="I1071" s="322">
        <v>3381000</v>
      </c>
      <c r="J1071" s="242">
        <v>2796900</v>
      </c>
      <c r="K1071" s="18" t="e">
        <f>INDEX(תקציב_2013,MATCH(D1071,'תקציב 2015'!$D$3:$D$5960,0),8)</f>
        <v>#N/A</v>
      </c>
      <c r="L1071" s="18" t="str">
        <f t="shared" si="131"/>
        <v>8</v>
      </c>
      <c r="M1071" s="18" t="str">
        <f>INDEX(Chapter,MATCH(L1071,Chapter!$A$1:$A$681,0),8)</f>
        <v>שירותים ממלכתיים</v>
      </c>
      <c r="N1071" s="18" t="str">
        <f t="shared" si="132"/>
        <v>81</v>
      </c>
      <c r="O1071" s="18" t="str">
        <f>INDEX(Chapter,MATCH(N1071,Chapter!$A$1:$A$681,0),8)</f>
        <v>חינוך</v>
      </c>
      <c r="P1071" s="18" t="str">
        <f t="shared" si="133"/>
        <v>813</v>
      </c>
      <c r="Q1071" s="18" t="str">
        <f>INDEX(Chapter,MATCH(P1071,Chapter!$A$1:$A$681,0),8)</f>
        <v>חינוך יסודי</v>
      </c>
      <c r="R1071" s="18" t="str">
        <f t="shared" si="134"/>
        <v>8132</v>
      </c>
      <c r="S1071" s="18" t="str">
        <f>INDEX(Chapter,MATCH(R1071,Chapter!$A$1:$A$681,0),8)</f>
        <v>בתי״ס יסודיים</v>
      </c>
      <c r="T1071" s="18"/>
      <c r="U1071" s="18" t="str">
        <f t="shared" si="135"/>
        <v>5</v>
      </c>
      <c r="V1071" s="18" t="str">
        <f>IF($L1071&lt;"6",INDEX(Revenue_type,MATCH(U1071*1,type!$A$118:$A$168,0),8),INDEX(Expenditure_type,MATCH(U1071*1,type!$A$2:$A$117,0),8))</f>
        <v>הוצאות מנהליות</v>
      </c>
      <c r="W1071" s="18" t="str">
        <f t="shared" si="136"/>
        <v>50</v>
      </c>
      <c r="X1071" s="18" t="e">
        <f>IF($L1071&lt;"6",INDEX(Revenue_type,MATCH(W1071*1,type!$A$118:$A$168,0),8),INDEX(Expenditure_type,MATCH(W1071*1,type!$A$2:$A$117,0),8))</f>
        <v>#N/A</v>
      </c>
      <c r="Y1071" s="18" t="str">
        <f t="shared" si="137"/>
        <v>500</v>
      </c>
      <c r="Z1071" s="18" t="e">
        <f>IF($L1071&lt;"6",INDEX(Revenue_type,MATCH(Y1071*1,type!$A$118:$A$168,0),8),INDEX(Expenditure_type,MATCH(Y1071*1,type!$A$2:$A$117,0),8))</f>
        <v>#N/A</v>
      </c>
    </row>
    <row r="1072" spans="1:26" ht="15.75" hidden="1" customHeight="1" outlineLevel="2">
      <c r="A1072">
        <v>100</v>
      </c>
      <c r="B1072" s="249">
        <v>811120</v>
      </c>
      <c r="C1072">
        <v>1</v>
      </c>
      <c r="D1072" t="str">
        <f t="shared" si="130"/>
        <v>1811120.100</v>
      </c>
      <c r="E1072" s="382" t="s">
        <v>8734</v>
      </c>
      <c r="F1072" s="242"/>
      <c r="G1072"/>
      <c r="H1072" s="322">
        <v>534000</v>
      </c>
      <c r="I1072" s="322">
        <v>593000</v>
      </c>
      <c r="J1072" s="242">
        <v>531200</v>
      </c>
      <c r="K1072" s="18" t="e">
        <f>INDEX(תקציב_2013,MATCH(D1072,'תקציב 2015'!$D$3:$D$5960,0),8)</f>
        <v>#N/A</v>
      </c>
      <c r="L1072" s="18" t="str">
        <f t="shared" si="131"/>
        <v>8</v>
      </c>
      <c r="M1072" s="18" t="str">
        <f>INDEX(Chapter,MATCH(L1072,Chapter!$A$1:$A$681,0),8)</f>
        <v>שירותים ממלכתיים</v>
      </c>
      <c r="N1072" s="18" t="str">
        <f t="shared" si="132"/>
        <v>81</v>
      </c>
      <c r="O1072" s="18" t="str">
        <f>INDEX(Chapter,MATCH(N1072,Chapter!$A$1:$A$681,0),8)</f>
        <v>חינוך</v>
      </c>
      <c r="P1072" s="18" t="str">
        <f t="shared" si="133"/>
        <v>811</v>
      </c>
      <c r="Q1072" s="18" t="str">
        <f>INDEX(Chapter,MATCH(P1072,Chapter!$A$1:$A$681,0),8)</f>
        <v>מינהל החינוך</v>
      </c>
      <c r="R1072" s="18" t="str">
        <f t="shared" si="134"/>
        <v>8111</v>
      </c>
      <c r="S1072" s="18" t="e">
        <f>INDEX(Chapter,MATCH(R1072,Chapter!$A$1:$A$681,0),8)</f>
        <v>#N/A</v>
      </c>
      <c r="T1072" s="18"/>
      <c r="U1072" s="18" t="str">
        <f t="shared" si="135"/>
        <v>1</v>
      </c>
      <c r="V1072" s="18" t="str">
        <f>IF($L1072&lt;"6",INDEX(Revenue_type,MATCH(U1072*1,type!$A$118:$A$168,0),8),INDEX(Expenditure_type,MATCH(U1072*1,type!$A$2:$A$117,0),8))</f>
        <v>משכורות וש"ע לעובדים לפי תקן</v>
      </c>
      <c r="W1072" s="18" t="str">
        <f t="shared" si="136"/>
        <v>10</v>
      </c>
      <c r="X1072" s="18" t="e">
        <f>IF($L1072&lt;"6",INDEX(Revenue_type,MATCH(W1072*1,type!$A$118:$A$168,0),8),INDEX(Expenditure_type,MATCH(W1072*1,type!$A$2:$A$117,0),8))</f>
        <v>#N/A</v>
      </c>
      <c r="Y1072" s="18" t="str">
        <f t="shared" si="137"/>
        <v>100</v>
      </c>
      <c r="Z1072" s="18" t="e">
        <f>IF($L1072&lt;"6",INDEX(Revenue_type,MATCH(Y1072*1,type!$A$118:$A$168,0),8),INDEX(Expenditure_type,MATCH(Y1072*1,type!$A$2:$A$117,0),8))</f>
        <v>#N/A</v>
      </c>
    </row>
    <row r="1073" spans="1:26" ht="15.75" hidden="1" customHeight="1" outlineLevel="2">
      <c r="A1073">
        <v>120</v>
      </c>
      <c r="B1073" s="249">
        <v>811120</v>
      </c>
      <c r="C1073">
        <v>1</v>
      </c>
      <c r="D1073" t="str">
        <f t="shared" si="130"/>
        <v>1811120.120</v>
      </c>
      <c r="E1073" s="382" t="s">
        <v>8735</v>
      </c>
      <c r="F1073" s="242"/>
      <c r="G1073"/>
      <c r="H1073" s="322">
        <v>10000</v>
      </c>
      <c r="I1073" s="322">
        <v>10000</v>
      </c>
      <c r="J1073" s="242">
        <v>8600</v>
      </c>
      <c r="K1073" s="18" t="e">
        <f>INDEX(תקציב_2013,MATCH(D1073,'תקציב 2015'!$D$3:$D$5960,0),8)</f>
        <v>#N/A</v>
      </c>
      <c r="L1073" s="18" t="str">
        <f t="shared" si="131"/>
        <v>8</v>
      </c>
      <c r="M1073" s="18" t="str">
        <f>INDEX(Chapter,MATCH(L1073,Chapter!$A$1:$A$681,0),8)</f>
        <v>שירותים ממלכתיים</v>
      </c>
      <c r="N1073" s="18" t="str">
        <f t="shared" si="132"/>
        <v>81</v>
      </c>
      <c r="O1073" s="18" t="str">
        <f>INDEX(Chapter,MATCH(N1073,Chapter!$A$1:$A$681,0),8)</f>
        <v>חינוך</v>
      </c>
      <c r="P1073" s="18" t="str">
        <f t="shared" si="133"/>
        <v>811</v>
      </c>
      <c r="Q1073" s="18" t="str">
        <f>INDEX(Chapter,MATCH(P1073,Chapter!$A$1:$A$681,0),8)</f>
        <v>מינהל החינוך</v>
      </c>
      <c r="R1073" s="18" t="str">
        <f t="shared" si="134"/>
        <v>8111</v>
      </c>
      <c r="S1073" s="18" t="e">
        <f>INDEX(Chapter,MATCH(R1073,Chapter!$A$1:$A$681,0),8)</f>
        <v>#N/A</v>
      </c>
      <c r="T1073" s="18"/>
      <c r="U1073" s="18" t="str">
        <f t="shared" si="135"/>
        <v>1</v>
      </c>
      <c r="V1073" s="18" t="str">
        <f>IF($L1073&lt;"6",INDEX(Revenue_type,MATCH(U1073*1,type!$A$118:$A$168,0),8),INDEX(Expenditure_type,MATCH(U1073*1,type!$A$2:$A$117,0),8))</f>
        <v>משכורות וש"ע לעובדים לפי תקן</v>
      </c>
      <c r="W1073" s="18" t="str">
        <f t="shared" si="136"/>
        <v>12</v>
      </c>
      <c r="X1073" s="18" t="str">
        <f>IF($L1073&lt;"6",INDEX(Revenue_type,MATCH(W1073*1,type!$A$118:$A$168,0),8),INDEX(Expenditure_type,MATCH(W1073*1,type!$A$2:$A$117,0),8))</f>
        <v>תוספות שאינן נכללות בשכר הקובע</v>
      </c>
      <c r="Y1073" s="18" t="str">
        <f t="shared" si="137"/>
        <v>120</v>
      </c>
      <c r="Z1073" s="18" t="e">
        <f>IF($L1073&lt;"6",INDEX(Revenue_type,MATCH(Y1073*1,type!$A$118:$A$168,0),8),INDEX(Expenditure_type,MATCH(Y1073*1,type!$A$2:$A$117,0),8))</f>
        <v>#N/A</v>
      </c>
    </row>
    <row r="1074" spans="1:26" ht="15.75" hidden="1" customHeight="1" outlineLevel="2">
      <c r="A1074">
        <v>500</v>
      </c>
      <c r="B1074" s="249">
        <v>811120</v>
      </c>
      <c r="C1074">
        <v>1</v>
      </c>
      <c r="D1074" t="str">
        <f t="shared" si="130"/>
        <v>1811120.500</v>
      </c>
      <c r="E1074" s="382" t="s">
        <v>8736</v>
      </c>
      <c r="F1074" s="242"/>
      <c r="G1074"/>
      <c r="H1074" s="322">
        <v>4000</v>
      </c>
      <c r="I1074" s="322">
        <v>4000</v>
      </c>
      <c r="J1074" s="242">
        <v>0</v>
      </c>
      <c r="K1074" s="18"/>
      <c r="L1074" s="18" t="str">
        <f t="shared" si="131"/>
        <v>8</v>
      </c>
      <c r="M1074" s="18" t="str">
        <f>INDEX(Chapter,MATCH(L1074,Chapter!$A$1:$A$681,0),8)</f>
        <v>שירותים ממלכתיים</v>
      </c>
      <c r="N1074" s="18" t="str">
        <f t="shared" si="132"/>
        <v>81</v>
      </c>
      <c r="O1074" s="18" t="str">
        <f>INDEX(Chapter,MATCH(N1074,Chapter!$A$1:$A$681,0),8)</f>
        <v>חינוך</v>
      </c>
      <c r="P1074" s="18" t="str">
        <f t="shared" si="133"/>
        <v>811</v>
      </c>
      <c r="Q1074" s="18" t="str">
        <f>INDEX(Chapter,MATCH(P1074,Chapter!$A$1:$A$681,0),8)</f>
        <v>מינהל החינוך</v>
      </c>
      <c r="R1074" s="18" t="str">
        <f t="shared" si="134"/>
        <v>8111</v>
      </c>
      <c r="S1074" s="18" t="e">
        <f>INDEX(Chapter,MATCH(R1074,Chapter!$A$1:$A$681,0),8)</f>
        <v>#N/A</v>
      </c>
      <c r="T1074" s="18"/>
      <c r="U1074" s="18" t="str">
        <f t="shared" si="135"/>
        <v>5</v>
      </c>
      <c r="V1074" s="18" t="str">
        <f>IF($L1074&lt;"6",INDEX(Revenue_type,MATCH(U1074*1,type!$A$118:$A$168,0),8),INDEX(Expenditure_type,MATCH(U1074*1,type!$A$2:$A$117,0),8))</f>
        <v>הוצאות מנהליות</v>
      </c>
      <c r="W1074" s="18" t="str">
        <f t="shared" si="136"/>
        <v>50</v>
      </c>
      <c r="X1074" s="18" t="e">
        <f>IF($L1074&lt;"6",INDEX(Revenue_type,MATCH(W1074*1,type!$A$118:$A$168,0),8),INDEX(Expenditure_type,MATCH(W1074*1,type!$A$2:$A$117,0),8))</f>
        <v>#N/A</v>
      </c>
      <c r="Y1074" s="18" t="str">
        <f t="shared" si="137"/>
        <v>500</v>
      </c>
      <c r="Z1074" s="18" t="e">
        <f>IF($L1074&lt;"6",INDEX(Revenue_type,MATCH(Y1074*1,type!$A$118:$A$168,0),8),INDEX(Expenditure_type,MATCH(Y1074*1,type!$A$2:$A$117,0),8))</f>
        <v>#N/A</v>
      </c>
    </row>
    <row r="1075" spans="1:26" ht="15.75" hidden="1" customHeight="1" outlineLevel="2">
      <c r="A1075">
        <v>700</v>
      </c>
      <c r="B1075" s="249">
        <v>811120</v>
      </c>
      <c r="C1075">
        <v>1</v>
      </c>
      <c r="D1075" t="str">
        <f t="shared" si="130"/>
        <v>1811120.700</v>
      </c>
      <c r="E1075" s="382" t="s">
        <v>8737</v>
      </c>
      <c r="F1075" s="242"/>
      <c r="G1075"/>
      <c r="H1075" s="322">
        <v>7900</v>
      </c>
      <c r="I1075" s="322">
        <v>8200</v>
      </c>
      <c r="J1075" s="242">
        <v>7600</v>
      </c>
      <c r="K1075" s="18" t="e">
        <f>INDEX(תקציב_2013,MATCH(D1075,'תקציב 2015'!$D$3:$D$5960,0),8)</f>
        <v>#N/A</v>
      </c>
      <c r="L1075" s="18" t="str">
        <f t="shared" si="131"/>
        <v>8</v>
      </c>
      <c r="M1075" s="18" t="str">
        <f>INDEX(Chapter,MATCH(L1075,Chapter!$A$1:$A$681,0),8)</f>
        <v>שירותים ממלכתיים</v>
      </c>
      <c r="N1075" s="18" t="str">
        <f t="shared" si="132"/>
        <v>81</v>
      </c>
      <c r="O1075" s="18" t="str">
        <f>INDEX(Chapter,MATCH(N1075,Chapter!$A$1:$A$681,0),8)</f>
        <v>חינוך</v>
      </c>
      <c r="P1075" s="18" t="str">
        <f t="shared" si="133"/>
        <v>811</v>
      </c>
      <c r="Q1075" s="18" t="str">
        <f>INDEX(Chapter,MATCH(P1075,Chapter!$A$1:$A$681,0),8)</f>
        <v>מינהל החינוך</v>
      </c>
      <c r="R1075" s="18" t="str">
        <f t="shared" si="134"/>
        <v>8111</v>
      </c>
      <c r="S1075" s="18" t="e">
        <f>INDEX(Chapter,MATCH(R1075,Chapter!$A$1:$A$681,0),8)</f>
        <v>#N/A</v>
      </c>
      <c r="T1075" s="18"/>
      <c r="U1075" s="18" t="str">
        <f t="shared" si="135"/>
        <v>7</v>
      </c>
      <c r="V1075" s="18" t="str">
        <f>IF($L1075&lt;"6",INDEX(Revenue_type,MATCH(U1075*1,type!$A$118:$A$168,0),8),INDEX(Expenditure_type,MATCH(U1075*1,type!$A$2:$A$117,0),8))</f>
        <v>הוצאות לפעולות</v>
      </c>
      <c r="W1075" s="18" t="str">
        <f t="shared" si="136"/>
        <v>70</v>
      </c>
      <c r="X1075" s="18" t="e">
        <f>IF($L1075&lt;"6",INDEX(Revenue_type,MATCH(W1075*1,type!$A$118:$A$168,0),8),INDEX(Expenditure_type,MATCH(W1075*1,type!$A$2:$A$117,0),8))</f>
        <v>#N/A</v>
      </c>
      <c r="Y1075" s="18" t="str">
        <f t="shared" si="137"/>
        <v>700</v>
      </c>
      <c r="Z1075" s="18" t="e">
        <f>IF($L1075&lt;"6",INDEX(Revenue_type,MATCH(Y1075*1,type!$A$118:$A$168,0),8),INDEX(Expenditure_type,MATCH(Y1075*1,type!$A$2:$A$117,0),8))</f>
        <v>#N/A</v>
      </c>
    </row>
    <row r="1076" spans="1:26" ht="15.75" hidden="1" customHeight="1" outlineLevel="2">
      <c r="A1076">
        <v>100</v>
      </c>
      <c r="B1076" s="249">
        <v>813220</v>
      </c>
      <c r="C1076">
        <v>1</v>
      </c>
      <c r="D1076" t="str">
        <f t="shared" si="130"/>
        <v>1813220.100</v>
      </c>
      <c r="E1076" s="382" t="s">
        <v>8738</v>
      </c>
      <c r="F1076" s="242"/>
      <c r="G1076"/>
      <c r="H1076" s="322">
        <v>5813100</v>
      </c>
      <c r="I1076" s="322">
        <v>5749100</v>
      </c>
      <c r="J1076" s="242">
        <v>5273600</v>
      </c>
      <c r="K1076" s="18" t="e">
        <f>INDEX(תקציב_2013,MATCH(D1076,'תקציב 2015'!$D$3:$D$5960,0),8)</f>
        <v>#N/A</v>
      </c>
      <c r="L1076" s="18" t="str">
        <f t="shared" si="131"/>
        <v>8</v>
      </c>
      <c r="M1076" s="18" t="str">
        <f>INDEX(Chapter,MATCH(L1076,Chapter!$A$1:$A$681,0),8)</f>
        <v>שירותים ממלכתיים</v>
      </c>
      <c r="N1076" s="18" t="str">
        <f t="shared" si="132"/>
        <v>81</v>
      </c>
      <c r="O1076" s="18" t="str">
        <f>INDEX(Chapter,MATCH(N1076,Chapter!$A$1:$A$681,0),8)</f>
        <v>חינוך</v>
      </c>
      <c r="P1076" s="18" t="str">
        <f t="shared" si="133"/>
        <v>813</v>
      </c>
      <c r="Q1076" s="18" t="str">
        <f>INDEX(Chapter,MATCH(P1076,Chapter!$A$1:$A$681,0),8)</f>
        <v>חינוך יסודי</v>
      </c>
      <c r="R1076" s="18" t="str">
        <f t="shared" si="134"/>
        <v>8132</v>
      </c>
      <c r="S1076" s="18" t="str">
        <f>INDEX(Chapter,MATCH(R1076,Chapter!$A$1:$A$681,0),8)</f>
        <v>בתי״ס יסודיים</v>
      </c>
      <c r="T1076" s="18"/>
      <c r="U1076" s="18" t="str">
        <f t="shared" si="135"/>
        <v>1</v>
      </c>
      <c r="V1076" s="18" t="str">
        <f>IF($L1076&lt;"6",INDEX(Revenue_type,MATCH(U1076*1,type!$A$118:$A$168,0),8),INDEX(Expenditure_type,MATCH(U1076*1,type!$A$2:$A$117,0),8))</f>
        <v>משכורות וש"ע לעובדים לפי תקן</v>
      </c>
      <c r="W1076" s="18" t="str">
        <f t="shared" si="136"/>
        <v>10</v>
      </c>
      <c r="X1076" s="18" t="e">
        <f>IF($L1076&lt;"6",INDEX(Revenue_type,MATCH(W1076*1,type!$A$118:$A$168,0),8),INDEX(Expenditure_type,MATCH(W1076*1,type!$A$2:$A$117,0),8))</f>
        <v>#N/A</v>
      </c>
      <c r="Y1076" s="18" t="str">
        <f t="shared" si="137"/>
        <v>100</v>
      </c>
      <c r="Z1076" s="18" t="e">
        <f>IF($L1076&lt;"6",INDEX(Revenue_type,MATCH(Y1076*1,type!$A$118:$A$168,0),8),INDEX(Expenditure_type,MATCH(Y1076*1,type!$A$2:$A$117,0),8))</f>
        <v>#N/A</v>
      </c>
    </row>
    <row r="1077" spans="1:26" ht="15.75" hidden="1" customHeight="1" outlineLevel="2">
      <c r="A1077">
        <v>120</v>
      </c>
      <c r="B1077" s="249">
        <v>813220</v>
      </c>
      <c r="C1077">
        <v>1</v>
      </c>
      <c r="D1077" t="str">
        <f t="shared" si="130"/>
        <v>1813220.120</v>
      </c>
      <c r="E1077" s="382" t="s">
        <v>8739</v>
      </c>
      <c r="F1077" s="242"/>
      <c r="G1077"/>
      <c r="H1077" s="322">
        <v>14900</v>
      </c>
      <c r="I1077" s="322">
        <v>14900</v>
      </c>
      <c r="J1077" s="242">
        <v>11700</v>
      </c>
      <c r="K1077" s="18" t="e">
        <f>INDEX(תקציב_2013,MATCH(D1077,'תקציב 2015'!$D$3:$D$5960,0),8)</f>
        <v>#N/A</v>
      </c>
      <c r="L1077" s="18" t="str">
        <f t="shared" si="131"/>
        <v>8</v>
      </c>
      <c r="M1077" s="18" t="str">
        <f>INDEX(Chapter,MATCH(L1077,Chapter!$A$1:$A$681,0),8)</f>
        <v>שירותים ממלכתיים</v>
      </c>
      <c r="N1077" s="18" t="str">
        <f t="shared" si="132"/>
        <v>81</v>
      </c>
      <c r="O1077" s="18" t="str">
        <f>INDEX(Chapter,MATCH(N1077,Chapter!$A$1:$A$681,0),8)</f>
        <v>חינוך</v>
      </c>
      <c r="P1077" s="18" t="str">
        <f t="shared" si="133"/>
        <v>813</v>
      </c>
      <c r="Q1077" s="18" t="str">
        <f>INDEX(Chapter,MATCH(P1077,Chapter!$A$1:$A$681,0),8)</f>
        <v>חינוך יסודי</v>
      </c>
      <c r="R1077" s="18" t="str">
        <f t="shared" si="134"/>
        <v>8132</v>
      </c>
      <c r="S1077" s="18" t="str">
        <f>INDEX(Chapter,MATCH(R1077,Chapter!$A$1:$A$681,0),8)</f>
        <v>בתי״ס יסודיים</v>
      </c>
      <c r="T1077" s="18"/>
      <c r="U1077" s="18" t="str">
        <f t="shared" si="135"/>
        <v>1</v>
      </c>
      <c r="V1077" s="18" t="str">
        <f>IF($L1077&lt;"6",INDEX(Revenue_type,MATCH(U1077*1,type!$A$118:$A$168,0),8),INDEX(Expenditure_type,MATCH(U1077*1,type!$A$2:$A$117,0),8))</f>
        <v>משכורות וש"ע לעובדים לפי תקן</v>
      </c>
      <c r="W1077" s="18" t="str">
        <f t="shared" si="136"/>
        <v>12</v>
      </c>
      <c r="X1077" s="18" t="str">
        <f>IF($L1077&lt;"6",INDEX(Revenue_type,MATCH(W1077*1,type!$A$118:$A$168,0),8),INDEX(Expenditure_type,MATCH(W1077*1,type!$A$2:$A$117,0),8))</f>
        <v>תוספות שאינן נכללות בשכר הקובע</v>
      </c>
      <c r="Y1077" s="18" t="str">
        <f t="shared" si="137"/>
        <v>120</v>
      </c>
      <c r="Z1077" s="18" t="e">
        <f>IF($L1077&lt;"6",INDEX(Revenue_type,MATCH(Y1077*1,type!$A$118:$A$168,0),8),INDEX(Expenditure_type,MATCH(Y1077*1,type!$A$2:$A$117,0),8))</f>
        <v>#N/A</v>
      </c>
    </row>
    <row r="1078" spans="1:26" ht="15.75" hidden="1" customHeight="1" outlineLevel="2">
      <c r="A1078">
        <v>400</v>
      </c>
      <c r="B1078" s="249">
        <v>813220</v>
      </c>
      <c r="C1078">
        <v>1</v>
      </c>
      <c r="D1078" t="str">
        <f t="shared" si="130"/>
        <v>1813220.400</v>
      </c>
      <c r="E1078" s="382" t="s">
        <v>8740</v>
      </c>
      <c r="F1078" s="242"/>
      <c r="G1078"/>
      <c r="H1078" s="322">
        <v>190000</v>
      </c>
      <c r="I1078" s="322">
        <v>190000</v>
      </c>
      <c r="J1078" s="242">
        <v>294000</v>
      </c>
      <c r="K1078" s="18" t="e">
        <f>INDEX(תקציב_2013,MATCH(D1078,'תקציב 2015'!$D$3:$D$5960,0),8)</f>
        <v>#N/A</v>
      </c>
      <c r="L1078" s="18" t="str">
        <f t="shared" si="131"/>
        <v>8</v>
      </c>
      <c r="M1078" s="18" t="str">
        <f>INDEX(Chapter,MATCH(L1078,Chapter!$A$1:$A$681,0),8)</f>
        <v>שירותים ממלכתיים</v>
      </c>
      <c r="N1078" s="18" t="str">
        <f t="shared" si="132"/>
        <v>81</v>
      </c>
      <c r="O1078" s="18" t="str">
        <f>INDEX(Chapter,MATCH(N1078,Chapter!$A$1:$A$681,0),8)</f>
        <v>חינוך</v>
      </c>
      <c r="P1078" s="18" t="str">
        <f t="shared" si="133"/>
        <v>813</v>
      </c>
      <c r="Q1078" s="18" t="str">
        <f>INDEX(Chapter,MATCH(P1078,Chapter!$A$1:$A$681,0),8)</f>
        <v>חינוך יסודי</v>
      </c>
      <c r="R1078" s="18" t="str">
        <f t="shared" si="134"/>
        <v>8132</v>
      </c>
      <c r="S1078" s="18" t="str">
        <f>INDEX(Chapter,MATCH(R1078,Chapter!$A$1:$A$681,0),8)</f>
        <v>בתי״ס יסודיים</v>
      </c>
      <c r="T1078" s="18"/>
      <c r="U1078" s="18" t="str">
        <f t="shared" si="135"/>
        <v>4</v>
      </c>
      <c r="V1078" s="18" t="str">
        <f>IF($L1078&lt;"6",INDEX(Revenue_type,MATCH(U1078*1,type!$A$118:$A$168,0),8),INDEX(Expenditure_type,MATCH(U1078*1,type!$A$2:$A$117,0),8))</f>
        <v>אחזקת בינים ואספקת ציוד</v>
      </c>
      <c r="W1078" s="18" t="str">
        <f t="shared" si="136"/>
        <v>40</v>
      </c>
      <c r="X1078" s="18" t="e">
        <f>IF($L1078&lt;"6",INDEX(Revenue_type,MATCH(W1078*1,type!$A$118:$A$168,0),8),INDEX(Expenditure_type,MATCH(W1078*1,type!$A$2:$A$117,0),8))</f>
        <v>#N/A</v>
      </c>
      <c r="Y1078" s="18" t="str">
        <f t="shared" si="137"/>
        <v>400</v>
      </c>
      <c r="Z1078" s="18" t="e">
        <f>IF($L1078&lt;"6",INDEX(Revenue_type,MATCH(Y1078*1,type!$A$118:$A$168,0),8),INDEX(Expenditure_type,MATCH(Y1078*1,type!$A$2:$A$117,0),8))</f>
        <v>#N/A</v>
      </c>
    </row>
    <row r="1079" spans="1:26" ht="15.75" hidden="1" customHeight="1" outlineLevel="2">
      <c r="A1079">
        <v>700</v>
      </c>
      <c r="B1079" s="249">
        <v>813220</v>
      </c>
      <c r="C1079">
        <v>1</v>
      </c>
      <c r="D1079" t="str">
        <f t="shared" si="130"/>
        <v>1813220.700</v>
      </c>
      <c r="E1079" s="382" t="s">
        <v>8741</v>
      </c>
      <c r="F1079" s="242"/>
      <c r="G1079"/>
      <c r="H1079" s="322">
        <v>729000</v>
      </c>
      <c r="I1079" s="322">
        <v>756000</v>
      </c>
      <c r="J1079" s="242">
        <v>647900</v>
      </c>
      <c r="K1079" s="18" t="e">
        <f>INDEX(תקציב_2013,MATCH(D1079,'תקציב 2015'!$D$3:$D$5960,0),8)</f>
        <v>#N/A</v>
      </c>
      <c r="L1079" s="18" t="str">
        <f t="shared" si="131"/>
        <v>8</v>
      </c>
      <c r="M1079" s="18" t="str">
        <f>INDEX(Chapter,MATCH(L1079,Chapter!$A$1:$A$681,0),8)</f>
        <v>שירותים ממלכתיים</v>
      </c>
      <c r="N1079" s="18" t="str">
        <f t="shared" si="132"/>
        <v>81</v>
      </c>
      <c r="O1079" s="18" t="str">
        <f>INDEX(Chapter,MATCH(N1079,Chapter!$A$1:$A$681,0),8)</f>
        <v>חינוך</v>
      </c>
      <c r="P1079" s="18" t="str">
        <f t="shared" si="133"/>
        <v>813</v>
      </c>
      <c r="Q1079" s="18" t="str">
        <f>INDEX(Chapter,MATCH(P1079,Chapter!$A$1:$A$681,0),8)</f>
        <v>חינוך יסודי</v>
      </c>
      <c r="R1079" s="18" t="str">
        <f t="shared" si="134"/>
        <v>8132</v>
      </c>
      <c r="S1079" s="18" t="str">
        <f>INDEX(Chapter,MATCH(R1079,Chapter!$A$1:$A$681,0),8)</f>
        <v>בתי״ס יסודיים</v>
      </c>
      <c r="T1079" s="18"/>
      <c r="U1079" s="18" t="str">
        <f t="shared" si="135"/>
        <v>7</v>
      </c>
      <c r="V1079" s="18" t="str">
        <f>IF($L1079&lt;"6",INDEX(Revenue_type,MATCH(U1079*1,type!$A$118:$A$168,0),8),INDEX(Expenditure_type,MATCH(U1079*1,type!$A$2:$A$117,0),8))</f>
        <v>הוצאות לפעולות</v>
      </c>
      <c r="W1079" s="18" t="str">
        <f t="shared" si="136"/>
        <v>70</v>
      </c>
      <c r="X1079" s="18" t="e">
        <f>IF($L1079&lt;"6",INDEX(Revenue_type,MATCH(W1079*1,type!$A$118:$A$168,0),8),INDEX(Expenditure_type,MATCH(W1079*1,type!$A$2:$A$117,0),8))</f>
        <v>#N/A</v>
      </c>
      <c r="Y1079" s="18" t="str">
        <f t="shared" si="137"/>
        <v>700</v>
      </c>
      <c r="Z1079" s="18" t="e">
        <f>IF($L1079&lt;"6",INDEX(Revenue_type,MATCH(Y1079*1,type!$A$118:$A$168,0),8),INDEX(Expenditure_type,MATCH(Y1079*1,type!$A$2:$A$117,0),8))</f>
        <v>#N/A</v>
      </c>
    </row>
    <row r="1080" spans="1:26" ht="15.75" hidden="1" customHeight="1" outlineLevel="2">
      <c r="A1080">
        <v>100</v>
      </c>
      <c r="B1080" s="249">
        <v>813221</v>
      </c>
      <c r="C1080">
        <v>1</v>
      </c>
      <c r="D1080" t="str">
        <f t="shared" si="130"/>
        <v>1813221.100</v>
      </c>
      <c r="E1080" s="387" t="s">
        <v>8742</v>
      </c>
      <c r="F1080" s="242"/>
      <c r="G1080"/>
      <c r="H1080" s="322">
        <v>28369100</v>
      </c>
      <c r="I1080" s="322">
        <v>29739100</v>
      </c>
      <c r="J1080" s="242">
        <v>29427200</v>
      </c>
      <c r="K1080" s="18" t="e">
        <f>INDEX(תקציב_2013,MATCH(D1080,'תקציב 2015'!$D$3:$D$5960,0),8)</f>
        <v>#N/A</v>
      </c>
      <c r="L1080" s="18" t="str">
        <f t="shared" si="131"/>
        <v>8</v>
      </c>
      <c r="M1080" s="18" t="str">
        <f>INDEX(Chapter,MATCH(L1080,Chapter!$A$1:$A$681,0),8)</f>
        <v>שירותים ממלכתיים</v>
      </c>
      <c r="N1080" s="18" t="str">
        <f t="shared" si="132"/>
        <v>81</v>
      </c>
      <c r="O1080" s="18" t="str">
        <f>INDEX(Chapter,MATCH(N1080,Chapter!$A$1:$A$681,0),8)</f>
        <v>חינוך</v>
      </c>
      <c r="P1080" s="18" t="str">
        <f t="shared" si="133"/>
        <v>813</v>
      </c>
      <c r="Q1080" s="18" t="str">
        <f>INDEX(Chapter,MATCH(P1080,Chapter!$A$1:$A$681,0),8)</f>
        <v>חינוך יסודי</v>
      </c>
      <c r="R1080" s="18" t="str">
        <f t="shared" si="134"/>
        <v>8132</v>
      </c>
      <c r="S1080" s="18" t="str">
        <f>INDEX(Chapter,MATCH(R1080,Chapter!$A$1:$A$681,0),8)</f>
        <v>בתי״ס יסודיים</v>
      </c>
      <c r="T1080" s="18"/>
      <c r="U1080" s="18" t="str">
        <f t="shared" si="135"/>
        <v>1</v>
      </c>
      <c r="V1080" s="18" t="str">
        <f>IF($L1080&lt;"6",INDEX(Revenue_type,MATCH(U1080*1,type!$A$118:$A$168,0),8),INDEX(Expenditure_type,MATCH(U1080*1,type!$A$2:$A$117,0),8))</f>
        <v>משכורות וש"ע לעובדים לפי תקן</v>
      </c>
      <c r="W1080" s="18" t="str">
        <f t="shared" si="136"/>
        <v>10</v>
      </c>
      <c r="X1080" s="18" t="e">
        <f>IF($L1080&lt;"6",INDEX(Revenue_type,MATCH(W1080*1,type!$A$118:$A$168,0),8),INDEX(Expenditure_type,MATCH(W1080*1,type!$A$2:$A$117,0),8))</f>
        <v>#N/A</v>
      </c>
      <c r="Y1080" s="18" t="str">
        <f t="shared" si="137"/>
        <v>100</v>
      </c>
      <c r="Z1080" s="18" t="e">
        <f>IF($L1080&lt;"6",INDEX(Revenue_type,MATCH(Y1080*1,type!$A$118:$A$168,0),8),INDEX(Expenditure_type,MATCH(Y1080*1,type!$A$2:$A$117,0),8))</f>
        <v>#N/A</v>
      </c>
    </row>
    <row r="1081" spans="1:26" ht="15.75" hidden="1" customHeight="1" outlineLevel="2">
      <c r="A1081">
        <v>120</v>
      </c>
      <c r="B1081" s="249">
        <v>813221</v>
      </c>
      <c r="C1081">
        <v>1</v>
      </c>
      <c r="D1081" t="str">
        <f t="shared" si="130"/>
        <v>1813221.120</v>
      </c>
      <c r="E1081" s="382" t="s">
        <v>8743</v>
      </c>
      <c r="F1081" s="242"/>
      <c r="G1081"/>
      <c r="H1081" s="322">
        <v>22900</v>
      </c>
      <c r="I1081" s="322">
        <v>22900</v>
      </c>
      <c r="J1081" s="242">
        <v>39600</v>
      </c>
      <c r="K1081" s="18">
        <f>INDEX(תקציב_2013,MATCH(D1081,'תקציב 2015'!$D$3:$D$5960,0),8)</f>
        <v>107925</v>
      </c>
      <c r="L1081" s="18" t="str">
        <f t="shared" si="131"/>
        <v>8</v>
      </c>
      <c r="M1081" s="18" t="str">
        <f>INDEX(Chapter,MATCH(L1081,Chapter!$A$1:$A$681,0),8)</f>
        <v>שירותים ממלכתיים</v>
      </c>
      <c r="N1081" s="18" t="str">
        <f t="shared" si="132"/>
        <v>81</v>
      </c>
      <c r="O1081" s="18" t="str">
        <f>INDEX(Chapter,MATCH(N1081,Chapter!$A$1:$A$681,0),8)</f>
        <v>חינוך</v>
      </c>
      <c r="P1081" s="18" t="str">
        <f t="shared" si="133"/>
        <v>813</v>
      </c>
      <c r="Q1081" s="18" t="str">
        <f>INDEX(Chapter,MATCH(P1081,Chapter!$A$1:$A$681,0),8)</f>
        <v>חינוך יסודי</v>
      </c>
      <c r="R1081" s="18" t="str">
        <f t="shared" si="134"/>
        <v>8132</v>
      </c>
      <c r="S1081" s="18" t="str">
        <f>INDEX(Chapter,MATCH(R1081,Chapter!$A$1:$A$681,0),8)</f>
        <v>בתי״ס יסודיים</v>
      </c>
      <c r="T1081" s="18"/>
      <c r="U1081" s="18" t="str">
        <f t="shared" si="135"/>
        <v>1</v>
      </c>
      <c r="V1081" s="18" t="str">
        <f>IF($L1081&lt;"6",INDEX(Revenue_type,MATCH(U1081*1,type!$A$118:$A$168,0),8),INDEX(Expenditure_type,MATCH(U1081*1,type!$A$2:$A$117,0),8))</f>
        <v>משכורות וש"ע לעובדים לפי תקן</v>
      </c>
      <c r="W1081" s="18" t="str">
        <f t="shared" si="136"/>
        <v>12</v>
      </c>
      <c r="X1081" s="18" t="str">
        <f>IF($L1081&lt;"6",INDEX(Revenue_type,MATCH(W1081*1,type!$A$118:$A$168,0),8),INDEX(Expenditure_type,MATCH(W1081*1,type!$A$2:$A$117,0),8))</f>
        <v>תוספות שאינן נכללות בשכר הקובע</v>
      </c>
      <c r="Y1081" s="18" t="str">
        <f t="shared" si="137"/>
        <v>120</v>
      </c>
      <c r="Z1081" s="18" t="e">
        <f>IF($L1081&lt;"6",INDEX(Revenue_type,MATCH(Y1081*1,type!$A$118:$A$168,0),8),INDEX(Expenditure_type,MATCH(Y1081*1,type!$A$2:$A$117,0),8))</f>
        <v>#N/A</v>
      </c>
    </row>
    <row r="1082" spans="1:26" ht="15.75" hidden="1" customHeight="1" outlineLevel="2">
      <c r="A1082">
        <v>400</v>
      </c>
      <c r="B1082" s="249">
        <v>813221</v>
      </c>
      <c r="C1082">
        <v>1</v>
      </c>
      <c r="D1082" t="str">
        <f t="shared" si="130"/>
        <v>1813221.400</v>
      </c>
      <c r="E1082" s="382" t="s">
        <v>8744</v>
      </c>
      <c r="F1082" s="242"/>
      <c r="G1082"/>
      <c r="H1082" s="322">
        <v>4560300</v>
      </c>
      <c r="I1082" s="322">
        <v>4686900</v>
      </c>
      <c r="J1082" s="242">
        <v>4900000</v>
      </c>
      <c r="K1082" s="18" t="e">
        <f>INDEX(תקציב_2013,MATCH(D1082,'תקציב 2015'!$D$3:$D$5960,0),8)</f>
        <v>#N/A</v>
      </c>
      <c r="L1082" s="18" t="str">
        <f t="shared" si="131"/>
        <v>8</v>
      </c>
      <c r="M1082" s="18" t="str">
        <f>INDEX(Chapter,MATCH(L1082,Chapter!$A$1:$A$681,0),8)</f>
        <v>שירותים ממלכתיים</v>
      </c>
      <c r="N1082" s="18" t="str">
        <f t="shared" si="132"/>
        <v>81</v>
      </c>
      <c r="O1082" s="18" t="str">
        <f>INDEX(Chapter,MATCH(N1082,Chapter!$A$1:$A$681,0),8)</f>
        <v>חינוך</v>
      </c>
      <c r="P1082" s="18" t="str">
        <f t="shared" si="133"/>
        <v>813</v>
      </c>
      <c r="Q1082" s="18" t="str">
        <f>INDEX(Chapter,MATCH(P1082,Chapter!$A$1:$A$681,0),8)</f>
        <v>חינוך יסודי</v>
      </c>
      <c r="R1082" s="18" t="str">
        <f t="shared" si="134"/>
        <v>8132</v>
      </c>
      <c r="S1082" s="18" t="str">
        <f>INDEX(Chapter,MATCH(R1082,Chapter!$A$1:$A$681,0),8)</f>
        <v>בתי״ס יסודיים</v>
      </c>
      <c r="T1082" s="18"/>
      <c r="U1082" s="18" t="str">
        <f t="shared" si="135"/>
        <v>4</v>
      </c>
      <c r="V1082" s="18" t="str">
        <f>IF($L1082&lt;"6",INDEX(Revenue_type,MATCH(U1082*1,type!$A$118:$A$168,0),8),INDEX(Expenditure_type,MATCH(U1082*1,type!$A$2:$A$117,0),8))</f>
        <v>אחזקת בינים ואספקת ציוד</v>
      </c>
      <c r="W1082" s="18" t="str">
        <f t="shared" si="136"/>
        <v>40</v>
      </c>
      <c r="X1082" s="18" t="e">
        <f>IF($L1082&lt;"6",INDEX(Revenue_type,MATCH(W1082*1,type!$A$118:$A$168,0),8),INDEX(Expenditure_type,MATCH(W1082*1,type!$A$2:$A$117,0),8))</f>
        <v>#N/A</v>
      </c>
      <c r="Y1082" s="18" t="str">
        <f t="shared" si="137"/>
        <v>400</v>
      </c>
      <c r="Z1082" s="18" t="e">
        <f>IF($L1082&lt;"6",INDEX(Revenue_type,MATCH(Y1082*1,type!$A$118:$A$168,0),8),INDEX(Expenditure_type,MATCH(Y1082*1,type!$A$2:$A$117,0),8))</f>
        <v>#N/A</v>
      </c>
    </row>
    <row r="1083" spans="1:26" ht="15.75" hidden="1" customHeight="1" outlineLevel="2">
      <c r="A1083">
        <v>500</v>
      </c>
      <c r="B1083" s="249">
        <v>813221</v>
      </c>
      <c r="C1083">
        <v>1</v>
      </c>
      <c r="D1083" t="str">
        <f t="shared" si="130"/>
        <v>1813221.500</v>
      </c>
      <c r="E1083" s="382" t="s">
        <v>8745</v>
      </c>
      <c r="F1083" s="242"/>
      <c r="G1083"/>
      <c r="H1083" s="322">
        <v>2908400</v>
      </c>
      <c r="I1083" s="322">
        <v>2998400</v>
      </c>
      <c r="J1083" s="242">
        <v>2749000</v>
      </c>
      <c r="K1083" s="18" t="e">
        <f>INDEX(תקציב_2013,MATCH(D1083,'תקציב 2015'!$D$3:$D$5960,0),8)</f>
        <v>#N/A</v>
      </c>
      <c r="L1083" s="18" t="str">
        <f t="shared" si="131"/>
        <v>8</v>
      </c>
      <c r="M1083" s="18" t="str">
        <f>INDEX(Chapter,MATCH(L1083,Chapter!$A$1:$A$681,0),8)</f>
        <v>שירותים ממלכתיים</v>
      </c>
      <c r="N1083" s="18" t="str">
        <f t="shared" si="132"/>
        <v>81</v>
      </c>
      <c r="O1083" s="18" t="str">
        <f>INDEX(Chapter,MATCH(N1083,Chapter!$A$1:$A$681,0),8)</f>
        <v>חינוך</v>
      </c>
      <c r="P1083" s="18" t="str">
        <f t="shared" si="133"/>
        <v>813</v>
      </c>
      <c r="Q1083" s="18" t="str">
        <f>INDEX(Chapter,MATCH(P1083,Chapter!$A$1:$A$681,0),8)</f>
        <v>חינוך יסודי</v>
      </c>
      <c r="R1083" s="18" t="str">
        <f t="shared" si="134"/>
        <v>8132</v>
      </c>
      <c r="S1083" s="18" t="str">
        <f>INDEX(Chapter,MATCH(R1083,Chapter!$A$1:$A$681,0),8)</f>
        <v>בתי״ס יסודיים</v>
      </c>
      <c r="T1083" s="18"/>
      <c r="U1083" s="18" t="str">
        <f t="shared" si="135"/>
        <v>5</v>
      </c>
      <c r="V1083" s="18" t="str">
        <f>IF($L1083&lt;"6",INDEX(Revenue_type,MATCH(U1083*1,type!$A$118:$A$168,0),8),INDEX(Expenditure_type,MATCH(U1083*1,type!$A$2:$A$117,0),8))</f>
        <v>הוצאות מנהליות</v>
      </c>
      <c r="W1083" s="18" t="str">
        <f t="shared" si="136"/>
        <v>50</v>
      </c>
      <c r="X1083" s="18" t="e">
        <f>IF($L1083&lt;"6",INDEX(Revenue_type,MATCH(W1083*1,type!$A$118:$A$168,0),8),INDEX(Expenditure_type,MATCH(W1083*1,type!$A$2:$A$117,0),8))</f>
        <v>#N/A</v>
      </c>
      <c r="Y1083" s="18" t="str">
        <f t="shared" si="137"/>
        <v>500</v>
      </c>
      <c r="Z1083" s="18" t="e">
        <f>IF($L1083&lt;"6",INDEX(Revenue_type,MATCH(Y1083*1,type!$A$118:$A$168,0),8),INDEX(Expenditure_type,MATCH(Y1083*1,type!$A$2:$A$117,0),8))</f>
        <v>#N/A</v>
      </c>
    </row>
    <row r="1084" spans="1:26" ht="15.75" hidden="1" customHeight="1" outlineLevel="2">
      <c r="A1084">
        <v>500</v>
      </c>
      <c r="B1084" s="249">
        <v>813221</v>
      </c>
      <c r="C1084">
        <v>1</v>
      </c>
      <c r="D1084" t="str">
        <f t="shared" si="130"/>
        <v>1813221.500</v>
      </c>
      <c r="E1084" s="382" t="s">
        <v>8746</v>
      </c>
      <c r="F1084" s="242"/>
      <c r="G1084"/>
      <c r="H1084" s="322">
        <v>1325000</v>
      </c>
      <c r="I1084" s="322">
        <v>1366000</v>
      </c>
      <c r="J1084" s="242">
        <v>1316000</v>
      </c>
      <c r="K1084" s="18" t="e">
        <f>INDEX(תקציב_2013,MATCH(D1084,'תקציב 2015'!$D$3:$D$5960,0),8)</f>
        <v>#N/A</v>
      </c>
      <c r="L1084" s="18" t="str">
        <f t="shared" si="131"/>
        <v>8</v>
      </c>
      <c r="M1084" s="18" t="str">
        <f>INDEX(Chapter,MATCH(L1084,Chapter!$A$1:$A$681,0),8)</f>
        <v>שירותים ממלכתיים</v>
      </c>
      <c r="N1084" s="18" t="str">
        <f t="shared" si="132"/>
        <v>81</v>
      </c>
      <c r="O1084" s="18" t="str">
        <f>INDEX(Chapter,MATCH(N1084,Chapter!$A$1:$A$681,0),8)</f>
        <v>חינוך</v>
      </c>
      <c r="P1084" s="18" t="str">
        <f t="shared" si="133"/>
        <v>813</v>
      </c>
      <c r="Q1084" s="18" t="str">
        <f>INDEX(Chapter,MATCH(P1084,Chapter!$A$1:$A$681,0),8)</f>
        <v>חינוך יסודי</v>
      </c>
      <c r="R1084" s="18" t="str">
        <f t="shared" si="134"/>
        <v>8132</v>
      </c>
      <c r="S1084" s="18" t="str">
        <f>INDEX(Chapter,MATCH(R1084,Chapter!$A$1:$A$681,0),8)</f>
        <v>בתי״ס יסודיים</v>
      </c>
      <c r="T1084" s="18"/>
      <c r="U1084" s="18" t="str">
        <f t="shared" si="135"/>
        <v>5</v>
      </c>
      <c r="V1084" s="18" t="str">
        <f>IF($L1084&lt;"6",INDEX(Revenue_type,MATCH(U1084*1,type!$A$118:$A$168,0),8),INDEX(Expenditure_type,MATCH(U1084*1,type!$A$2:$A$117,0),8))</f>
        <v>הוצאות מנהליות</v>
      </c>
      <c r="W1084" s="18" t="str">
        <f t="shared" si="136"/>
        <v>50</v>
      </c>
      <c r="X1084" s="18" t="e">
        <f>IF($L1084&lt;"6",INDEX(Revenue_type,MATCH(W1084*1,type!$A$118:$A$168,0),8),INDEX(Expenditure_type,MATCH(W1084*1,type!$A$2:$A$117,0),8))</f>
        <v>#N/A</v>
      </c>
      <c r="Y1084" s="18" t="str">
        <f t="shared" si="137"/>
        <v>500</v>
      </c>
      <c r="Z1084" s="18" t="e">
        <f>IF($L1084&lt;"6",INDEX(Revenue_type,MATCH(Y1084*1,type!$A$118:$A$168,0),8),INDEX(Expenditure_type,MATCH(Y1084*1,type!$A$2:$A$117,0),8))</f>
        <v>#N/A</v>
      </c>
    </row>
    <row r="1085" spans="1:26" ht="15.75" hidden="1" customHeight="1" outlineLevel="2">
      <c r="A1085">
        <v>700</v>
      </c>
      <c r="B1085" s="249">
        <v>813221</v>
      </c>
      <c r="C1085">
        <v>1</v>
      </c>
      <c r="D1085" t="str">
        <f t="shared" si="130"/>
        <v>1813221.700</v>
      </c>
      <c r="E1085" s="382" t="s">
        <v>8747</v>
      </c>
      <c r="F1085" s="242"/>
      <c r="G1085"/>
      <c r="H1085" s="322">
        <v>163100</v>
      </c>
      <c r="I1085" s="322">
        <v>167800</v>
      </c>
      <c r="J1085" s="242">
        <v>179500</v>
      </c>
      <c r="K1085" s="18" t="e">
        <f>INDEX(תקציב_2013,MATCH(D1085,'תקציב 2015'!$D$3:$D$5960,0),8)</f>
        <v>#N/A</v>
      </c>
      <c r="L1085" s="18" t="str">
        <f t="shared" si="131"/>
        <v>8</v>
      </c>
      <c r="M1085" s="18" t="str">
        <f>INDEX(Chapter,MATCH(L1085,Chapter!$A$1:$A$681,0),8)</f>
        <v>שירותים ממלכתיים</v>
      </c>
      <c r="N1085" s="18" t="str">
        <f t="shared" si="132"/>
        <v>81</v>
      </c>
      <c r="O1085" s="18" t="str">
        <f>INDEX(Chapter,MATCH(N1085,Chapter!$A$1:$A$681,0),8)</f>
        <v>חינוך</v>
      </c>
      <c r="P1085" s="18" t="str">
        <f t="shared" si="133"/>
        <v>813</v>
      </c>
      <c r="Q1085" s="18" t="str">
        <f>INDEX(Chapter,MATCH(P1085,Chapter!$A$1:$A$681,0),8)</f>
        <v>חינוך יסודי</v>
      </c>
      <c r="R1085" s="18" t="str">
        <f t="shared" si="134"/>
        <v>8132</v>
      </c>
      <c r="S1085" s="18" t="str">
        <f>INDEX(Chapter,MATCH(R1085,Chapter!$A$1:$A$681,0),8)</f>
        <v>בתי״ס יסודיים</v>
      </c>
      <c r="T1085" s="18"/>
      <c r="U1085" s="18" t="str">
        <f t="shared" si="135"/>
        <v>7</v>
      </c>
      <c r="V1085" s="18" t="str">
        <f>IF($L1085&lt;"6",INDEX(Revenue_type,MATCH(U1085*1,type!$A$118:$A$168,0),8),INDEX(Expenditure_type,MATCH(U1085*1,type!$A$2:$A$117,0),8))</f>
        <v>הוצאות לפעולות</v>
      </c>
      <c r="W1085" s="18" t="str">
        <f t="shared" si="136"/>
        <v>70</v>
      </c>
      <c r="X1085" s="18" t="e">
        <f>IF($L1085&lt;"6",INDEX(Revenue_type,MATCH(W1085*1,type!$A$118:$A$168,0),8),INDEX(Expenditure_type,MATCH(W1085*1,type!$A$2:$A$117,0),8))</f>
        <v>#N/A</v>
      </c>
      <c r="Y1085" s="18" t="str">
        <f t="shared" si="137"/>
        <v>700</v>
      </c>
      <c r="Z1085" s="18" t="e">
        <f>IF($L1085&lt;"6",INDEX(Revenue_type,MATCH(Y1085*1,type!$A$118:$A$168,0),8),INDEX(Expenditure_type,MATCH(Y1085*1,type!$A$2:$A$117,0),8))</f>
        <v>#N/A</v>
      </c>
    </row>
    <row r="1086" spans="1:26" ht="15.75" hidden="1" customHeight="1" outlineLevel="2">
      <c r="A1086">
        <v>800</v>
      </c>
      <c r="B1086" s="249">
        <v>813221</v>
      </c>
      <c r="C1086">
        <v>1</v>
      </c>
      <c r="D1086" t="str">
        <f t="shared" si="130"/>
        <v>1813221.800</v>
      </c>
      <c r="E1086" s="381" t="s">
        <v>8748</v>
      </c>
      <c r="F1086" s="242"/>
      <c r="G1086"/>
      <c r="H1086" s="322">
        <v>705000</v>
      </c>
      <c r="I1086" s="322">
        <v>726800</v>
      </c>
      <c r="J1086" s="242">
        <v>680000</v>
      </c>
      <c r="K1086" s="18" t="e">
        <f>INDEX(תקציב_2013,MATCH(D1086,'תקציב 2015'!$D$3:$D$5960,0),8)</f>
        <v>#N/A</v>
      </c>
      <c r="L1086" s="18" t="str">
        <f t="shared" si="131"/>
        <v>8</v>
      </c>
      <c r="M1086" s="18" t="str">
        <f>INDEX(Chapter,MATCH(L1086,Chapter!$A$1:$A$681,0),8)</f>
        <v>שירותים ממלכתיים</v>
      </c>
      <c r="N1086" s="18" t="str">
        <f t="shared" si="132"/>
        <v>81</v>
      </c>
      <c r="O1086" s="18" t="str">
        <f>INDEX(Chapter,MATCH(N1086,Chapter!$A$1:$A$681,0),8)</f>
        <v>חינוך</v>
      </c>
      <c r="P1086" s="18" t="str">
        <f t="shared" si="133"/>
        <v>813</v>
      </c>
      <c r="Q1086" s="18" t="str">
        <f>INDEX(Chapter,MATCH(P1086,Chapter!$A$1:$A$681,0),8)</f>
        <v>חינוך יסודי</v>
      </c>
      <c r="R1086" s="18" t="str">
        <f t="shared" si="134"/>
        <v>8132</v>
      </c>
      <c r="S1086" s="18" t="str">
        <f>INDEX(Chapter,MATCH(R1086,Chapter!$A$1:$A$681,0),8)</f>
        <v>בתי״ס יסודיים</v>
      </c>
      <c r="T1086" s="18"/>
      <c r="U1086" s="18" t="str">
        <f t="shared" si="135"/>
        <v>8</v>
      </c>
      <c r="V1086" s="18" t="str">
        <f>IF($L1086&lt;"6",INDEX(Revenue_type,MATCH(U1086*1,type!$A$118:$A$168,0),8),INDEX(Expenditure_type,MATCH(U1086*1,type!$A$2:$A$117,0),8))</f>
        <v>השתתפויות תמיכות ותרומות</v>
      </c>
      <c r="W1086" s="18" t="str">
        <f t="shared" si="136"/>
        <v>80</v>
      </c>
      <c r="X1086" s="18" t="e">
        <f>IF($L1086&lt;"6",INDEX(Revenue_type,MATCH(W1086*1,type!$A$118:$A$168,0),8),INDEX(Expenditure_type,MATCH(W1086*1,type!$A$2:$A$117,0),8))</f>
        <v>#N/A</v>
      </c>
      <c r="Y1086" s="18" t="str">
        <f t="shared" si="137"/>
        <v>800</v>
      </c>
      <c r="Z1086" s="18" t="e">
        <f>IF($L1086&lt;"6",INDEX(Revenue_type,MATCH(Y1086*1,type!$A$118:$A$168,0),8),INDEX(Expenditure_type,MATCH(Y1086*1,type!$A$2:$A$117,0),8))</f>
        <v>#N/A</v>
      </c>
    </row>
    <row r="1087" spans="1:26" ht="15.75" hidden="1" customHeight="1" outlineLevel="2">
      <c r="A1087">
        <v>200</v>
      </c>
      <c r="B1087" s="249">
        <v>819000</v>
      </c>
      <c r="C1087">
        <v>1</v>
      </c>
      <c r="D1087" t="str">
        <f t="shared" si="130"/>
        <v>1819000.200</v>
      </c>
      <c r="E1087" s="382" t="s">
        <v>8749</v>
      </c>
      <c r="F1087" s="242"/>
      <c r="G1087"/>
      <c r="H1087" s="322">
        <v>1286000</v>
      </c>
      <c r="I1087" s="322">
        <v>1286000</v>
      </c>
      <c r="J1087" s="242">
        <v>1469100</v>
      </c>
      <c r="K1087" s="18" t="e">
        <f>INDEX(תקציב_2013,MATCH(D1087,'תקציב 2015'!$D$3:$D$5960,0),8)</f>
        <v>#N/A</v>
      </c>
      <c r="L1087" s="18" t="str">
        <f t="shared" si="131"/>
        <v>8</v>
      </c>
      <c r="M1087" s="18" t="str">
        <f>INDEX(Chapter,MATCH(L1087,Chapter!$A$1:$A$681,0),8)</f>
        <v>שירותים ממלכתיים</v>
      </c>
      <c r="N1087" s="18" t="str">
        <f t="shared" si="132"/>
        <v>81</v>
      </c>
      <c r="O1087" s="18" t="str">
        <f>INDEX(Chapter,MATCH(N1087,Chapter!$A$1:$A$681,0),8)</f>
        <v>חינוך</v>
      </c>
      <c r="P1087" s="18" t="str">
        <f t="shared" si="133"/>
        <v>819</v>
      </c>
      <c r="Q1087" s="18" t="str">
        <f>INDEX(Chapter,MATCH(P1087,Chapter!$A$1:$A$681,0),8)</f>
        <v>שירותי חינוך מיוחדים</v>
      </c>
      <c r="R1087" s="18" t="str">
        <f t="shared" si="134"/>
        <v>8190</v>
      </c>
      <c r="S1087" s="18" t="e">
        <f>INDEX(Chapter,MATCH(R1087,Chapter!$A$1:$A$681,0),8)</f>
        <v>#N/A</v>
      </c>
      <c r="T1087" s="18"/>
      <c r="U1087" s="18" t="str">
        <f t="shared" si="135"/>
        <v>2</v>
      </c>
      <c r="V1087" s="18" t="str">
        <f>IF($L1087&lt;"6",INDEX(Revenue_type,MATCH(U1087*1,type!$A$118:$A$168,0),8),INDEX(Expenditure_type,MATCH(U1087*1,type!$A$2:$A$117,0),8))</f>
        <v>משכורות וש"ע לעובדים בלי תקן</v>
      </c>
      <c r="W1087" s="18" t="str">
        <f t="shared" si="136"/>
        <v>20</v>
      </c>
      <c r="X1087" s="18" t="e">
        <f>IF($L1087&lt;"6",INDEX(Revenue_type,MATCH(W1087*1,type!$A$118:$A$168,0),8),INDEX(Expenditure_type,MATCH(W1087*1,type!$A$2:$A$117,0),8))</f>
        <v>#N/A</v>
      </c>
      <c r="Y1087" s="18" t="str">
        <f t="shared" si="137"/>
        <v>200</v>
      </c>
      <c r="Z1087" s="18" t="e">
        <f>IF($L1087&lt;"6",INDEX(Revenue_type,MATCH(Y1087*1,type!$A$118:$A$168,0),8),INDEX(Expenditure_type,MATCH(Y1087*1,type!$A$2:$A$117,0),8))</f>
        <v>#N/A</v>
      </c>
    </row>
    <row r="1088" spans="1:26" ht="15.75" hidden="1" customHeight="1" outlineLevel="2">
      <c r="A1088">
        <v>500</v>
      </c>
      <c r="B1088" s="249">
        <v>819000</v>
      </c>
      <c r="C1088">
        <v>1</v>
      </c>
      <c r="D1088" t="str">
        <f t="shared" si="130"/>
        <v>1819000.500</v>
      </c>
      <c r="E1088" s="382" t="s">
        <v>8750</v>
      </c>
      <c r="F1088" s="242"/>
      <c r="G1088"/>
      <c r="H1088" s="322">
        <v>77000</v>
      </c>
      <c r="I1088" s="322">
        <v>77000</v>
      </c>
      <c r="J1088" s="242">
        <v>84400</v>
      </c>
      <c r="K1088" s="18" t="e">
        <f>INDEX(תקציב_2013,MATCH(D1088,'תקציב 2015'!$D$3:$D$5960,0),8)</f>
        <v>#N/A</v>
      </c>
      <c r="L1088" s="18" t="str">
        <f t="shared" si="131"/>
        <v>8</v>
      </c>
      <c r="M1088" s="18" t="str">
        <f>INDEX(Chapter,MATCH(L1088,Chapter!$A$1:$A$681,0),8)</f>
        <v>שירותים ממלכתיים</v>
      </c>
      <c r="N1088" s="18" t="str">
        <f t="shared" si="132"/>
        <v>81</v>
      </c>
      <c r="O1088" s="18" t="str">
        <f>INDEX(Chapter,MATCH(N1088,Chapter!$A$1:$A$681,0),8)</f>
        <v>חינוך</v>
      </c>
      <c r="P1088" s="18" t="str">
        <f t="shared" si="133"/>
        <v>819</v>
      </c>
      <c r="Q1088" s="18" t="str">
        <f>INDEX(Chapter,MATCH(P1088,Chapter!$A$1:$A$681,0),8)</f>
        <v>שירותי חינוך מיוחדים</v>
      </c>
      <c r="R1088" s="18" t="str">
        <f t="shared" si="134"/>
        <v>8190</v>
      </c>
      <c r="S1088" s="18" t="e">
        <f>INDEX(Chapter,MATCH(R1088,Chapter!$A$1:$A$681,0),8)</f>
        <v>#N/A</v>
      </c>
      <c r="T1088" s="18"/>
      <c r="U1088" s="18" t="str">
        <f t="shared" si="135"/>
        <v>5</v>
      </c>
      <c r="V1088" s="18" t="str">
        <f>IF($L1088&lt;"6",INDEX(Revenue_type,MATCH(U1088*1,type!$A$118:$A$168,0),8),INDEX(Expenditure_type,MATCH(U1088*1,type!$A$2:$A$117,0),8))</f>
        <v>הוצאות מנהליות</v>
      </c>
      <c r="W1088" s="18" t="str">
        <f t="shared" si="136"/>
        <v>50</v>
      </c>
      <c r="X1088" s="18" t="e">
        <f>IF($L1088&lt;"6",INDEX(Revenue_type,MATCH(W1088*1,type!$A$118:$A$168,0),8),INDEX(Expenditure_type,MATCH(W1088*1,type!$A$2:$A$117,0),8))</f>
        <v>#N/A</v>
      </c>
      <c r="Y1088" s="18" t="str">
        <f t="shared" si="137"/>
        <v>500</v>
      </c>
      <c r="Z1088" s="18" t="e">
        <f>IF($L1088&lt;"6",INDEX(Revenue_type,MATCH(Y1088*1,type!$A$118:$A$168,0),8),INDEX(Expenditure_type,MATCH(Y1088*1,type!$A$2:$A$117,0),8))</f>
        <v>#N/A</v>
      </c>
    </row>
    <row r="1089" spans="1:26" ht="15.75" hidden="1" customHeight="1" outlineLevel="2">
      <c r="A1089">
        <v>200</v>
      </c>
      <c r="B1089" s="249">
        <v>818490</v>
      </c>
      <c r="C1089">
        <v>1</v>
      </c>
      <c r="D1089" t="str">
        <f t="shared" si="130"/>
        <v>1818490.200</v>
      </c>
      <c r="E1089" s="382" t="s">
        <v>8751</v>
      </c>
      <c r="F1089" s="242"/>
      <c r="G1089"/>
      <c r="H1089" s="322">
        <v>350000</v>
      </c>
      <c r="I1089" s="322">
        <v>350000</v>
      </c>
      <c r="J1089" s="242">
        <v>455900</v>
      </c>
      <c r="K1089" s="18" t="e">
        <f>INDEX(תקציב_2013,MATCH(D1089,'תקציב 2015'!$D$3:$D$5960,0),8)</f>
        <v>#N/A</v>
      </c>
      <c r="L1089" s="18" t="str">
        <f t="shared" si="131"/>
        <v>8</v>
      </c>
      <c r="M1089" s="18" t="str">
        <f>INDEX(Chapter,MATCH(L1089,Chapter!$A$1:$A$681,0),8)</f>
        <v>שירותים ממלכתיים</v>
      </c>
      <c r="N1089" s="18" t="str">
        <f t="shared" si="132"/>
        <v>81</v>
      </c>
      <c r="O1089" s="18" t="str">
        <f>INDEX(Chapter,MATCH(N1089,Chapter!$A$1:$A$681,0),8)</f>
        <v>חינוך</v>
      </c>
      <c r="P1089" s="18" t="str">
        <f t="shared" si="133"/>
        <v>818</v>
      </c>
      <c r="Q1089" s="18" t="str">
        <f>INDEX(Chapter,MATCH(P1089,Chapter!$A$1:$A$681,0),8)</f>
        <v>חינוך מבוגרים</v>
      </c>
      <c r="R1089" s="18" t="str">
        <f t="shared" si="134"/>
        <v>8184</v>
      </c>
      <c r="S1089" s="18" t="e">
        <f>INDEX(Chapter,MATCH(R1089,Chapter!$A$1:$A$681,0),8)</f>
        <v>#N/A</v>
      </c>
      <c r="T1089" s="18"/>
      <c r="U1089" s="18" t="str">
        <f t="shared" si="135"/>
        <v>2</v>
      </c>
      <c r="V1089" s="18" t="str">
        <f>IF($L1089&lt;"6",INDEX(Revenue_type,MATCH(U1089*1,type!$A$118:$A$168,0),8),INDEX(Expenditure_type,MATCH(U1089*1,type!$A$2:$A$117,0),8))</f>
        <v>משכורות וש"ע לעובדים בלי תקן</v>
      </c>
      <c r="W1089" s="18" t="str">
        <f t="shared" si="136"/>
        <v>20</v>
      </c>
      <c r="X1089" s="18" t="e">
        <f>IF($L1089&lt;"6",INDEX(Revenue_type,MATCH(W1089*1,type!$A$118:$A$168,0),8),INDEX(Expenditure_type,MATCH(W1089*1,type!$A$2:$A$117,0),8))</f>
        <v>#N/A</v>
      </c>
      <c r="Y1089" s="18" t="str">
        <f t="shared" si="137"/>
        <v>200</v>
      </c>
      <c r="Z1089" s="18" t="e">
        <f>IF($L1089&lt;"6",INDEX(Revenue_type,MATCH(Y1089*1,type!$A$118:$A$168,0),8),INDEX(Expenditure_type,MATCH(Y1089*1,type!$A$2:$A$117,0),8))</f>
        <v>#N/A</v>
      </c>
    </row>
    <row r="1090" spans="1:26" ht="15.75" hidden="1" customHeight="1" outlineLevel="2">
      <c r="A1090">
        <v>500</v>
      </c>
      <c r="B1090" s="249">
        <v>818490</v>
      </c>
      <c r="C1090">
        <v>1</v>
      </c>
      <c r="D1090" t="str">
        <f t="shared" si="130"/>
        <v>1818490.500</v>
      </c>
      <c r="E1090" s="382" t="s">
        <v>8752</v>
      </c>
      <c r="F1090" s="242"/>
      <c r="G1090"/>
      <c r="H1090" s="322">
        <v>140000</v>
      </c>
      <c r="I1090" s="322">
        <v>140000</v>
      </c>
      <c r="J1090" s="242">
        <v>7500</v>
      </c>
      <c r="K1090" s="18" t="e">
        <f>INDEX(תקציב_2013,MATCH(D1090,'תקציב 2015'!$D$3:$D$5960,0),8)</f>
        <v>#N/A</v>
      </c>
      <c r="L1090" s="18" t="str">
        <f t="shared" si="131"/>
        <v>8</v>
      </c>
      <c r="M1090" s="18" t="str">
        <f>INDEX(Chapter,MATCH(L1090,Chapter!$A$1:$A$681,0),8)</f>
        <v>שירותים ממלכתיים</v>
      </c>
      <c r="N1090" s="18" t="str">
        <f t="shared" si="132"/>
        <v>81</v>
      </c>
      <c r="O1090" s="18" t="str">
        <f>INDEX(Chapter,MATCH(N1090,Chapter!$A$1:$A$681,0),8)</f>
        <v>חינוך</v>
      </c>
      <c r="P1090" s="18" t="str">
        <f t="shared" si="133"/>
        <v>818</v>
      </c>
      <c r="Q1090" s="18" t="str">
        <f>INDEX(Chapter,MATCH(P1090,Chapter!$A$1:$A$681,0),8)</f>
        <v>חינוך מבוגרים</v>
      </c>
      <c r="R1090" s="18" t="str">
        <f t="shared" si="134"/>
        <v>8184</v>
      </c>
      <c r="S1090" s="18" t="e">
        <f>INDEX(Chapter,MATCH(R1090,Chapter!$A$1:$A$681,0),8)</f>
        <v>#N/A</v>
      </c>
      <c r="T1090" s="18"/>
      <c r="U1090" s="18" t="str">
        <f t="shared" si="135"/>
        <v>5</v>
      </c>
      <c r="V1090" s="18" t="str">
        <f>IF($L1090&lt;"6",INDEX(Revenue_type,MATCH(U1090*1,type!$A$118:$A$168,0),8),INDEX(Expenditure_type,MATCH(U1090*1,type!$A$2:$A$117,0),8))</f>
        <v>הוצאות מנהליות</v>
      </c>
      <c r="W1090" s="18" t="str">
        <f t="shared" si="136"/>
        <v>50</v>
      </c>
      <c r="X1090" s="18" t="e">
        <f>IF($L1090&lt;"6",INDEX(Revenue_type,MATCH(W1090*1,type!$A$118:$A$168,0),8),INDEX(Expenditure_type,MATCH(W1090*1,type!$A$2:$A$117,0),8))</f>
        <v>#N/A</v>
      </c>
      <c r="Y1090" s="18" t="str">
        <f t="shared" si="137"/>
        <v>500</v>
      </c>
      <c r="Z1090" s="18" t="e">
        <f>IF($L1090&lt;"6",INDEX(Revenue_type,MATCH(Y1090*1,type!$A$118:$A$168,0),8),INDEX(Expenditure_type,MATCH(Y1090*1,type!$A$2:$A$117,0),8))</f>
        <v>#N/A</v>
      </c>
    </row>
    <row r="1091" spans="1:26" ht="15.75" hidden="1" customHeight="1" outlineLevel="2">
      <c r="A1091">
        <v>700</v>
      </c>
      <c r="B1091" s="249">
        <v>812255</v>
      </c>
      <c r="C1091">
        <v>1</v>
      </c>
      <c r="D1091" t="str">
        <f t="shared" si="130"/>
        <v>1812255.700</v>
      </c>
      <c r="E1091" s="382" t="s">
        <v>8753</v>
      </c>
      <c r="F1091" s="242"/>
      <c r="G1091"/>
      <c r="H1091" s="322">
        <v>2136200</v>
      </c>
      <c r="I1091" s="322">
        <v>2199000</v>
      </c>
      <c r="J1091" s="242">
        <v>2606100</v>
      </c>
      <c r="K1091" s="18" t="e">
        <f>INDEX(תקציב_2013,MATCH(D1091,'תקציב 2015'!$D$3:$D$5960,0),8)</f>
        <v>#N/A</v>
      </c>
      <c r="L1091" s="18" t="str">
        <f t="shared" si="131"/>
        <v>8</v>
      </c>
      <c r="M1091" s="18" t="str">
        <f>INDEX(Chapter,MATCH(L1091,Chapter!$A$1:$A$681,0),8)</f>
        <v>שירותים ממלכתיים</v>
      </c>
      <c r="N1091" s="18" t="str">
        <f t="shared" si="132"/>
        <v>81</v>
      </c>
      <c r="O1091" s="18" t="str">
        <f>INDEX(Chapter,MATCH(N1091,Chapter!$A$1:$A$681,0),8)</f>
        <v>חינוך</v>
      </c>
      <c r="P1091" s="18" t="str">
        <f t="shared" si="133"/>
        <v>812</v>
      </c>
      <c r="Q1091" s="18" t="str">
        <f>INDEX(Chapter,MATCH(P1091,Chapter!$A$1:$A$681,0),8)</f>
        <v>חינוך קדם יסודי</v>
      </c>
      <c r="R1091" s="18" t="str">
        <f t="shared" si="134"/>
        <v>8122</v>
      </c>
      <c r="S1091" s="18" t="str">
        <f>INDEX(Chapter,MATCH(R1091,Chapter!$A$1:$A$681,0),8)</f>
        <v>גני ילדים גיל חובה</v>
      </c>
      <c r="T1091" s="18"/>
      <c r="U1091" s="18" t="str">
        <f t="shared" si="135"/>
        <v>7</v>
      </c>
      <c r="V1091" s="18" t="str">
        <f>IF($L1091&lt;"6",INDEX(Revenue_type,MATCH(U1091*1,type!$A$118:$A$168,0),8),INDEX(Expenditure_type,MATCH(U1091*1,type!$A$2:$A$117,0),8))</f>
        <v>הוצאות לפעולות</v>
      </c>
      <c r="W1091" s="18" t="str">
        <f t="shared" si="136"/>
        <v>70</v>
      </c>
      <c r="X1091" s="18" t="e">
        <f>IF($L1091&lt;"6",INDEX(Revenue_type,MATCH(W1091*1,type!$A$118:$A$168,0),8),INDEX(Expenditure_type,MATCH(W1091*1,type!$A$2:$A$117,0),8))</f>
        <v>#N/A</v>
      </c>
      <c r="Y1091" s="18" t="str">
        <f t="shared" si="137"/>
        <v>700</v>
      </c>
      <c r="Z1091" s="18" t="e">
        <f>IF($L1091&lt;"6",INDEX(Revenue_type,MATCH(Y1091*1,type!$A$118:$A$168,0),8),INDEX(Expenditure_type,MATCH(Y1091*1,type!$A$2:$A$117,0),8))</f>
        <v>#N/A</v>
      </c>
    </row>
    <row r="1092" spans="1:26" ht="15.75" hidden="1" customHeight="1" outlineLevel="2">
      <c r="A1092">
        <v>700</v>
      </c>
      <c r="B1092" s="249">
        <v>817380</v>
      </c>
      <c r="C1092">
        <v>1</v>
      </c>
      <c r="D1092" t="str">
        <f t="shared" si="130"/>
        <v>1817380.700</v>
      </c>
      <c r="E1092" s="382" t="s">
        <v>8754</v>
      </c>
      <c r="F1092" s="242"/>
      <c r="G1092"/>
      <c r="H1092" s="322">
        <v>1394000</v>
      </c>
      <c r="I1092" s="322">
        <v>1595000</v>
      </c>
      <c r="J1092" s="242">
        <v>1232700</v>
      </c>
      <c r="K1092" s="18" t="e">
        <f>INDEX(תקציב_2013,MATCH(D1092,'תקציב 2015'!$D$3:$D$5960,0),8)</f>
        <v>#N/A</v>
      </c>
      <c r="L1092" s="18" t="str">
        <f t="shared" si="131"/>
        <v>8</v>
      </c>
      <c r="M1092" s="18" t="str">
        <f>INDEX(Chapter,MATCH(L1092,Chapter!$A$1:$A$681,0),8)</f>
        <v>שירותים ממלכתיים</v>
      </c>
      <c r="N1092" s="18" t="str">
        <f t="shared" si="132"/>
        <v>81</v>
      </c>
      <c r="O1092" s="18" t="str">
        <f>INDEX(Chapter,MATCH(N1092,Chapter!$A$1:$A$681,0),8)</f>
        <v>חינוך</v>
      </c>
      <c r="P1092" s="18" t="str">
        <f t="shared" si="133"/>
        <v>817</v>
      </c>
      <c r="Q1092" s="18" t="str">
        <f>INDEX(Chapter,MATCH(P1092,Chapter!$A$1:$A$681,0),8)</f>
        <v>שירותים נוספים לבתי״ס וגנ״י</v>
      </c>
      <c r="R1092" s="18" t="str">
        <f t="shared" si="134"/>
        <v>8173</v>
      </c>
      <c r="S1092" s="18" t="str">
        <f>INDEX(Chapter,MATCH(R1092,Chapter!$A$1:$A$681,0),8)</f>
        <v>שרות פסיכולוגי חינוכי</v>
      </c>
      <c r="T1092" s="18"/>
      <c r="U1092" s="18" t="str">
        <f t="shared" si="135"/>
        <v>7</v>
      </c>
      <c r="V1092" s="18" t="str">
        <f>IF($L1092&lt;"6",INDEX(Revenue_type,MATCH(U1092*1,type!$A$118:$A$168,0),8),INDEX(Expenditure_type,MATCH(U1092*1,type!$A$2:$A$117,0),8))</f>
        <v>הוצאות לפעולות</v>
      </c>
      <c r="W1092" s="18" t="str">
        <f t="shared" si="136"/>
        <v>70</v>
      </c>
      <c r="X1092" s="18" t="e">
        <f>IF($L1092&lt;"6",INDEX(Revenue_type,MATCH(W1092*1,type!$A$118:$A$168,0),8),INDEX(Expenditure_type,MATCH(W1092*1,type!$A$2:$A$117,0),8))</f>
        <v>#N/A</v>
      </c>
      <c r="Y1092" s="18" t="str">
        <f t="shared" si="137"/>
        <v>700</v>
      </c>
      <c r="Z1092" s="18" t="e">
        <f>IF($L1092&lt;"6",INDEX(Revenue_type,MATCH(Y1092*1,type!$A$118:$A$168,0),8),INDEX(Expenditure_type,MATCH(Y1092*1,type!$A$2:$A$117,0),8))</f>
        <v>#N/A</v>
      </c>
    </row>
    <row r="1093" spans="1:26" ht="15.75" hidden="1" customHeight="1" outlineLevel="2">
      <c r="A1093">
        <v>700</v>
      </c>
      <c r="B1093" s="249">
        <v>813270</v>
      </c>
      <c r="C1093">
        <v>1</v>
      </c>
      <c r="D1093" t="str">
        <f t="shared" si="130"/>
        <v>1813270.700</v>
      </c>
      <c r="E1093" s="382" t="s">
        <v>8755</v>
      </c>
      <c r="F1093" s="242"/>
      <c r="G1093"/>
      <c r="H1093" s="322">
        <v>242900</v>
      </c>
      <c r="I1093" s="322">
        <v>250000</v>
      </c>
      <c r="J1093" s="242">
        <v>0</v>
      </c>
      <c r="K1093" s="18" t="e">
        <f>INDEX(תקציב_2013,MATCH(D1093,'תקציב 2015'!$D$3:$D$5960,0),8)</f>
        <v>#N/A</v>
      </c>
      <c r="L1093" s="18" t="str">
        <f t="shared" si="131"/>
        <v>8</v>
      </c>
      <c r="M1093" s="18" t="str">
        <f>INDEX(Chapter,MATCH(L1093,Chapter!$A$1:$A$681,0),8)</f>
        <v>שירותים ממלכתיים</v>
      </c>
      <c r="N1093" s="18" t="str">
        <f t="shared" si="132"/>
        <v>81</v>
      </c>
      <c r="O1093" s="18" t="str">
        <f>INDEX(Chapter,MATCH(N1093,Chapter!$A$1:$A$681,0),8)</f>
        <v>חינוך</v>
      </c>
      <c r="P1093" s="18" t="str">
        <f t="shared" si="133"/>
        <v>813</v>
      </c>
      <c r="Q1093" s="18" t="str">
        <f>INDEX(Chapter,MATCH(P1093,Chapter!$A$1:$A$681,0),8)</f>
        <v>חינוך יסודי</v>
      </c>
      <c r="R1093" s="18" t="str">
        <f t="shared" si="134"/>
        <v>8132</v>
      </c>
      <c r="S1093" s="18" t="str">
        <f>INDEX(Chapter,MATCH(R1093,Chapter!$A$1:$A$681,0),8)</f>
        <v>בתי״ס יסודיים</v>
      </c>
      <c r="T1093" s="18"/>
      <c r="U1093" s="18" t="str">
        <f t="shared" si="135"/>
        <v>7</v>
      </c>
      <c r="V1093" s="18" t="str">
        <f>IF($L1093&lt;"6",INDEX(Revenue_type,MATCH(U1093*1,type!$A$118:$A$168,0),8),INDEX(Expenditure_type,MATCH(U1093*1,type!$A$2:$A$117,0),8))</f>
        <v>הוצאות לפעולות</v>
      </c>
      <c r="W1093" s="18" t="str">
        <f t="shared" si="136"/>
        <v>70</v>
      </c>
      <c r="X1093" s="18" t="e">
        <f>IF($L1093&lt;"6",INDEX(Revenue_type,MATCH(W1093*1,type!$A$118:$A$168,0),8),INDEX(Expenditure_type,MATCH(W1093*1,type!$A$2:$A$117,0),8))</f>
        <v>#N/A</v>
      </c>
      <c r="Y1093" s="18" t="str">
        <f t="shared" si="137"/>
        <v>700</v>
      </c>
      <c r="Z1093" s="18" t="e">
        <f>IF($L1093&lt;"6",INDEX(Revenue_type,MATCH(Y1093*1,type!$A$118:$A$168,0),8),INDEX(Expenditure_type,MATCH(Y1093*1,type!$A$2:$A$117,0),8))</f>
        <v>#N/A</v>
      </c>
    </row>
    <row r="1094" spans="1:26" ht="15.75" hidden="1" customHeight="1" outlineLevel="2">
      <c r="A1094">
        <v>700</v>
      </c>
      <c r="B1094" s="249">
        <v>811703</v>
      </c>
      <c r="C1094">
        <v>1</v>
      </c>
      <c r="D1094" t="str">
        <f t="shared" si="130"/>
        <v>1811703.700</v>
      </c>
      <c r="E1094" s="382" t="s">
        <v>8756</v>
      </c>
      <c r="F1094" s="242"/>
      <c r="G1094"/>
      <c r="H1094" s="322">
        <v>1068600</v>
      </c>
      <c r="I1094" s="322">
        <v>1100000</v>
      </c>
      <c r="J1094" s="242">
        <v>863800</v>
      </c>
      <c r="K1094" s="18" t="e">
        <f>INDEX(תקציב_2013,MATCH(D1094,'תקציב 2015'!$D$3:$D$5960,0),8)</f>
        <v>#N/A</v>
      </c>
      <c r="L1094" s="18" t="str">
        <f t="shared" si="131"/>
        <v>8</v>
      </c>
      <c r="M1094" s="18" t="str">
        <f>INDEX(Chapter,MATCH(L1094,Chapter!$A$1:$A$681,0),8)</f>
        <v>שירותים ממלכתיים</v>
      </c>
      <c r="N1094" s="18" t="str">
        <f t="shared" si="132"/>
        <v>81</v>
      </c>
      <c r="O1094" s="18" t="str">
        <f>INDEX(Chapter,MATCH(N1094,Chapter!$A$1:$A$681,0),8)</f>
        <v>חינוך</v>
      </c>
      <c r="P1094" s="18" t="str">
        <f t="shared" si="133"/>
        <v>811</v>
      </c>
      <c r="Q1094" s="18" t="str">
        <f>INDEX(Chapter,MATCH(P1094,Chapter!$A$1:$A$681,0),8)</f>
        <v>מינהל החינוך</v>
      </c>
      <c r="R1094" s="18" t="str">
        <f t="shared" si="134"/>
        <v>8117</v>
      </c>
      <c r="S1094" s="18" t="e">
        <f>INDEX(Chapter,MATCH(R1094,Chapter!$A$1:$A$681,0),8)</f>
        <v>#N/A</v>
      </c>
      <c r="T1094" s="18"/>
      <c r="U1094" s="18" t="str">
        <f t="shared" si="135"/>
        <v>7</v>
      </c>
      <c r="V1094" s="18" t="str">
        <f>IF($L1094&lt;"6",INDEX(Revenue_type,MATCH(U1094*1,type!$A$118:$A$168,0),8),INDEX(Expenditure_type,MATCH(U1094*1,type!$A$2:$A$117,0),8))</f>
        <v>הוצאות לפעולות</v>
      </c>
      <c r="W1094" s="18" t="str">
        <f t="shared" si="136"/>
        <v>70</v>
      </c>
      <c r="X1094" s="18" t="e">
        <f>IF($L1094&lt;"6",INDEX(Revenue_type,MATCH(W1094*1,type!$A$118:$A$168,0),8),INDEX(Expenditure_type,MATCH(W1094*1,type!$A$2:$A$117,0),8))</f>
        <v>#N/A</v>
      </c>
      <c r="Y1094" s="18" t="str">
        <f t="shared" si="137"/>
        <v>700</v>
      </c>
      <c r="Z1094" s="18" t="e">
        <f>IF($L1094&lt;"6",INDEX(Revenue_type,MATCH(Y1094*1,type!$A$118:$A$168,0),8),INDEX(Expenditure_type,MATCH(Y1094*1,type!$A$2:$A$117,0),8))</f>
        <v>#N/A</v>
      </c>
    </row>
    <row r="1095" spans="1:26" ht="15.75" hidden="1" customHeight="1" outlineLevel="2">
      <c r="A1095">
        <v>700</v>
      </c>
      <c r="B1095" s="249">
        <v>818100</v>
      </c>
      <c r="C1095">
        <v>1</v>
      </c>
      <c r="D1095" t="str">
        <f t="shared" si="130"/>
        <v>1818100.700</v>
      </c>
      <c r="E1095" s="385" t="s">
        <v>8757</v>
      </c>
      <c r="F1095" s="242"/>
      <c r="G1095"/>
      <c r="H1095" s="322">
        <v>388600</v>
      </c>
      <c r="I1095" s="322">
        <v>400000</v>
      </c>
      <c r="J1095" s="242">
        <v>400000</v>
      </c>
      <c r="K1095" s="18" t="e">
        <f>INDEX(תקציב_2013,MATCH(D1095,'תקציב 2015'!$D$3:$D$5960,0),8)</f>
        <v>#N/A</v>
      </c>
      <c r="L1095" s="18" t="str">
        <f t="shared" si="131"/>
        <v>8</v>
      </c>
      <c r="M1095" s="18" t="str">
        <f>INDEX(Chapter,MATCH(L1095,Chapter!$A$1:$A$681,0),8)</f>
        <v>שירותים ממלכתיים</v>
      </c>
      <c r="N1095" s="18" t="str">
        <f t="shared" si="132"/>
        <v>81</v>
      </c>
      <c r="O1095" s="18" t="str">
        <f>INDEX(Chapter,MATCH(N1095,Chapter!$A$1:$A$681,0),8)</f>
        <v>חינוך</v>
      </c>
      <c r="P1095" s="18" t="str">
        <f t="shared" si="133"/>
        <v>818</v>
      </c>
      <c r="Q1095" s="18" t="str">
        <f>INDEX(Chapter,MATCH(P1095,Chapter!$A$1:$A$681,0),8)</f>
        <v>חינוך מבוגרים</v>
      </c>
      <c r="R1095" s="18" t="str">
        <f t="shared" si="134"/>
        <v>8181</v>
      </c>
      <c r="S1095" s="18" t="e">
        <f>INDEX(Chapter,MATCH(R1095,Chapter!$A$1:$A$681,0),8)</f>
        <v>#N/A</v>
      </c>
      <c r="T1095" s="18"/>
      <c r="U1095" s="18" t="str">
        <f t="shared" si="135"/>
        <v>7</v>
      </c>
      <c r="V1095" s="18" t="str">
        <f>IF($L1095&lt;"6",INDEX(Revenue_type,MATCH(U1095*1,type!$A$118:$A$168,0),8),INDEX(Expenditure_type,MATCH(U1095*1,type!$A$2:$A$117,0),8))</f>
        <v>הוצאות לפעולות</v>
      </c>
      <c r="W1095" s="18" t="str">
        <f t="shared" si="136"/>
        <v>70</v>
      </c>
      <c r="X1095" s="18" t="e">
        <f>IF($L1095&lt;"6",INDEX(Revenue_type,MATCH(W1095*1,type!$A$118:$A$168,0),8),INDEX(Expenditure_type,MATCH(W1095*1,type!$A$2:$A$117,0),8))</f>
        <v>#N/A</v>
      </c>
      <c r="Y1095" s="18" t="str">
        <f t="shared" si="137"/>
        <v>700</v>
      </c>
      <c r="Z1095" s="18" t="e">
        <f>IF($L1095&lt;"6",INDEX(Revenue_type,MATCH(Y1095*1,type!$A$118:$A$168,0),8),INDEX(Expenditure_type,MATCH(Y1095*1,type!$A$2:$A$117,0),8))</f>
        <v>#N/A</v>
      </c>
    </row>
    <row r="1096" spans="1:26" ht="15.75" hidden="1" customHeight="1" outlineLevel="2">
      <c r="A1096">
        <v>700</v>
      </c>
      <c r="B1096" s="249">
        <v>813271</v>
      </c>
      <c r="C1096">
        <v>1</v>
      </c>
      <c r="D1096" t="str">
        <f t="shared" si="130"/>
        <v>1813271.700</v>
      </c>
      <c r="E1096" s="391" t="s">
        <v>8758</v>
      </c>
      <c r="F1096" s="242"/>
      <c r="G1096"/>
      <c r="H1096" s="322">
        <v>2137200</v>
      </c>
      <c r="I1096" s="322">
        <v>2200000</v>
      </c>
      <c r="J1096" s="242">
        <v>1943700</v>
      </c>
      <c r="K1096" s="18" t="e">
        <f>INDEX(תקציב_2013,MATCH(D1096,'תקציב 2015'!$D$3:$D$5960,0),8)</f>
        <v>#N/A</v>
      </c>
      <c r="L1096" s="18" t="str">
        <f t="shared" si="131"/>
        <v>8</v>
      </c>
      <c r="M1096" s="18" t="str">
        <f>INDEX(Chapter,MATCH(L1096,Chapter!$A$1:$A$681,0),8)</f>
        <v>שירותים ממלכתיים</v>
      </c>
      <c r="N1096" s="18" t="str">
        <f t="shared" si="132"/>
        <v>81</v>
      </c>
      <c r="O1096" s="18" t="str">
        <f>INDEX(Chapter,MATCH(N1096,Chapter!$A$1:$A$681,0),8)</f>
        <v>חינוך</v>
      </c>
      <c r="P1096" s="18" t="str">
        <f t="shared" si="133"/>
        <v>813</v>
      </c>
      <c r="Q1096" s="18" t="str">
        <f>INDEX(Chapter,MATCH(P1096,Chapter!$A$1:$A$681,0),8)</f>
        <v>חינוך יסודי</v>
      </c>
      <c r="R1096" s="18" t="str">
        <f t="shared" si="134"/>
        <v>8132</v>
      </c>
      <c r="S1096" s="18" t="str">
        <f>INDEX(Chapter,MATCH(R1096,Chapter!$A$1:$A$681,0),8)</f>
        <v>בתי״ס יסודיים</v>
      </c>
      <c r="T1096" s="18"/>
      <c r="U1096" s="18" t="str">
        <f t="shared" si="135"/>
        <v>7</v>
      </c>
      <c r="V1096" s="18" t="str">
        <f>IF($L1096&lt;"6",INDEX(Revenue_type,MATCH(U1096*1,type!$A$118:$A$168,0),8),INDEX(Expenditure_type,MATCH(U1096*1,type!$A$2:$A$117,0),8))</f>
        <v>הוצאות לפעולות</v>
      </c>
      <c r="W1096" s="18" t="str">
        <f t="shared" si="136"/>
        <v>70</v>
      </c>
      <c r="X1096" s="18" t="e">
        <f>IF($L1096&lt;"6",INDEX(Revenue_type,MATCH(W1096*1,type!$A$118:$A$168,0),8),INDEX(Expenditure_type,MATCH(W1096*1,type!$A$2:$A$117,0),8))</f>
        <v>#N/A</v>
      </c>
      <c r="Y1096" s="18" t="str">
        <f t="shared" si="137"/>
        <v>700</v>
      </c>
      <c r="Z1096" s="18" t="e">
        <f>IF($L1096&lt;"6",INDEX(Revenue_type,MATCH(Y1096*1,type!$A$118:$A$168,0),8),INDEX(Expenditure_type,MATCH(Y1096*1,type!$A$2:$A$117,0),8))</f>
        <v>#N/A</v>
      </c>
    </row>
    <row r="1097" spans="1:26" ht="15.75" hidden="1" customHeight="1" outlineLevel="2">
      <c r="A1097">
        <v>700</v>
      </c>
      <c r="B1097" s="249">
        <v>813272</v>
      </c>
      <c r="C1097">
        <v>1</v>
      </c>
      <c r="D1097" t="str">
        <f t="shared" si="130"/>
        <v>1813272.700</v>
      </c>
      <c r="E1097" s="391" t="s">
        <v>8759</v>
      </c>
      <c r="F1097" s="242"/>
      <c r="G1097"/>
      <c r="H1097" s="322">
        <v>0</v>
      </c>
      <c r="I1097" s="322">
        <v>350000</v>
      </c>
      <c r="J1097" s="242">
        <v>0</v>
      </c>
      <c r="K1097" s="18" t="e">
        <f>INDEX(תקציב_2013,MATCH(D1097,'תקציב 2015'!$D$3:$D$5960,0),8)</f>
        <v>#N/A</v>
      </c>
      <c r="L1097" s="18" t="str">
        <f t="shared" si="131"/>
        <v>8</v>
      </c>
      <c r="M1097" s="18" t="str">
        <f>INDEX(Chapter,MATCH(L1097,Chapter!$A$1:$A$681,0),8)</f>
        <v>שירותים ממלכתיים</v>
      </c>
      <c r="N1097" s="18" t="str">
        <f t="shared" si="132"/>
        <v>81</v>
      </c>
      <c r="O1097" s="18" t="str">
        <f>INDEX(Chapter,MATCH(N1097,Chapter!$A$1:$A$681,0),8)</f>
        <v>חינוך</v>
      </c>
      <c r="P1097" s="18" t="str">
        <f t="shared" si="133"/>
        <v>813</v>
      </c>
      <c r="Q1097" s="18" t="str">
        <f>INDEX(Chapter,MATCH(P1097,Chapter!$A$1:$A$681,0),8)</f>
        <v>חינוך יסודי</v>
      </c>
      <c r="R1097" s="18" t="str">
        <f t="shared" si="134"/>
        <v>8132</v>
      </c>
      <c r="S1097" s="18" t="str">
        <f>INDEX(Chapter,MATCH(R1097,Chapter!$A$1:$A$681,0),8)</f>
        <v>בתי״ס יסודיים</v>
      </c>
      <c r="T1097" s="18"/>
      <c r="U1097" s="18" t="str">
        <f t="shared" si="135"/>
        <v>7</v>
      </c>
      <c r="V1097" s="18" t="str">
        <f>IF($L1097&lt;"6",INDEX(Revenue_type,MATCH(U1097*1,type!$A$118:$A$168,0),8),INDEX(Expenditure_type,MATCH(U1097*1,type!$A$2:$A$117,0),8))</f>
        <v>הוצאות לפעולות</v>
      </c>
      <c r="W1097" s="18" t="str">
        <f t="shared" si="136"/>
        <v>70</v>
      </c>
      <c r="X1097" s="18" t="e">
        <f>IF($L1097&lt;"6",INDEX(Revenue_type,MATCH(W1097*1,type!$A$118:$A$168,0),8),INDEX(Expenditure_type,MATCH(W1097*1,type!$A$2:$A$117,0),8))</f>
        <v>#N/A</v>
      </c>
      <c r="Y1097" s="18" t="str">
        <f t="shared" si="137"/>
        <v>700</v>
      </c>
      <c r="Z1097" s="18" t="e">
        <f>IF($L1097&lt;"6",INDEX(Revenue_type,MATCH(Y1097*1,type!$A$118:$A$168,0),8),INDEX(Expenditure_type,MATCH(Y1097*1,type!$A$2:$A$117,0),8))</f>
        <v>#N/A</v>
      </c>
    </row>
    <row r="1098" spans="1:26" ht="15.75" hidden="1" customHeight="1" outlineLevel="2">
      <c r="A1098">
        <v>700</v>
      </c>
      <c r="B1098" s="249">
        <v>813273</v>
      </c>
      <c r="C1098">
        <v>1</v>
      </c>
      <c r="D1098" t="str">
        <f t="shared" si="130"/>
        <v>1813273.700</v>
      </c>
      <c r="E1098" s="382" t="s">
        <v>8760</v>
      </c>
      <c r="F1098" s="242"/>
      <c r="G1098"/>
      <c r="H1098" s="322">
        <v>6411500</v>
      </c>
      <c r="I1098" s="322">
        <v>6600000</v>
      </c>
      <c r="J1098" s="242">
        <v>3207300</v>
      </c>
      <c r="K1098" s="18" t="e">
        <f>INDEX(תקציב_2013,MATCH(D1098,'תקציב 2015'!$D$3:$D$5960,0),8)</f>
        <v>#N/A</v>
      </c>
      <c r="L1098" s="18" t="str">
        <f t="shared" si="131"/>
        <v>8</v>
      </c>
      <c r="M1098" s="18" t="str">
        <f>INDEX(Chapter,MATCH(L1098,Chapter!$A$1:$A$681,0),8)</f>
        <v>שירותים ממלכתיים</v>
      </c>
      <c r="N1098" s="18" t="str">
        <f t="shared" si="132"/>
        <v>81</v>
      </c>
      <c r="O1098" s="18" t="str">
        <f>INDEX(Chapter,MATCH(N1098,Chapter!$A$1:$A$681,0),8)</f>
        <v>חינוך</v>
      </c>
      <c r="P1098" s="18" t="str">
        <f t="shared" si="133"/>
        <v>813</v>
      </c>
      <c r="Q1098" s="18" t="str">
        <f>INDEX(Chapter,MATCH(P1098,Chapter!$A$1:$A$681,0),8)</f>
        <v>חינוך יסודי</v>
      </c>
      <c r="R1098" s="18" t="str">
        <f t="shared" si="134"/>
        <v>8132</v>
      </c>
      <c r="S1098" s="18" t="str">
        <f>INDEX(Chapter,MATCH(R1098,Chapter!$A$1:$A$681,0),8)</f>
        <v>בתי״ס יסודיים</v>
      </c>
      <c r="T1098" s="18"/>
      <c r="U1098" s="18" t="str">
        <f t="shared" si="135"/>
        <v>7</v>
      </c>
      <c r="V1098" s="18" t="str">
        <f>IF($L1098&lt;"6",INDEX(Revenue_type,MATCH(U1098*1,type!$A$118:$A$168,0),8),INDEX(Expenditure_type,MATCH(U1098*1,type!$A$2:$A$117,0),8))</f>
        <v>הוצאות לפעולות</v>
      </c>
      <c r="W1098" s="18" t="str">
        <f t="shared" si="136"/>
        <v>70</v>
      </c>
      <c r="X1098" s="18" t="e">
        <f>IF($L1098&lt;"6",INDEX(Revenue_type,MATCH(W1098*1,type!$A$118:$A$168,0),8),INDEX(Expenditure_type,MATCH(W1098*1,type!$A$2:$A$117,0),8))</f>
        <v>#N/A</v>
      </c>
      <c r="Y1098" s="18" t="str">
        <f t="shared" si="137"/>
        <v>700</v>
      </c>
      <c r="Z1098" s="18" t="e">
        <f>IF($L1098&lt;"6",INDEX(Revenue_type,MATCH(Y1098*1,type!$A$118:$A$168,0),8),INDEX(Expenditure_type,MATCH(Y1098*1,type!$A$2:$A$117,0),8))</f>
        <v>#N/A</v>
      </c>
    </row>
    <row r="1099" spans="1:26" ht="15.75" hidden="1" customHeight="1" outlineLevel="2">
      <c r="A1099">
        <v>400</v>
      </c>
      <c r="B1099" s="249">
        <v>815700</v>
      </c>
      <c r="C1099">
        <v>1</v>
      </c>
      <c r="D1099" t="str">
        <f t="shared" si="130"/>
        <v>1815700.400</v>
      </c>
      <c r="E1099" s="391" t="s">
        <v>8761</v>
      </c>
      <c r="F1099" s="242"/>
      <c r="G1099"/>
      <c r="H1099" s="322">
        <v>68000</v>
      </c>
      <c r="I1099" s="322">
        <v>68000</v>
      </c>
      <c r="J1099" s="242">
        <v>115300</v>
      </c>
      <c r="K1099" s="18" t="e">
        <f>INDEX(תקציב_2013,MATCH(D1099,'תקציב 2015'!$D$3:$D$5960,0),8)</f>
        <v>#N/A</v>
      </c>
      <c r="L1099" s="18" t="str">
        <f t="shared" si="131"/>
        <v>8</v>
      </c>
      <c r="M1099" s="18" t="str">
        <f>INDEX(Chapter,MATCH(L1099,Chapter!$A$1:$A$681,0),8)</f>
        <v>שירותים ממלכתיים</v>
      </c>
      <c r="N1099" s="18" t="str">
        <f t="shared" si="132"/>
        <v>81</v>
      </c>
      <c r="O1099" s="18" t="str">
        <f>INDEX(Chapter,MATCH(N1099,Chapter!$A$1:$A$681,0),8)</f>
        <v>חינוך</v>
      </c>
      <c r="P1099" s="18" t="str">
        <f t="shared" si="133"/>
        <v>815</v>
      </c>
      <c r="Q1099" s="18" t="str">
        <f>INDEX(Chapter,MATCH(P1099,Chapter!$A$1:$A$681,0),8)</f>
        <v>חינוך על יסודי</v>
      </c>
      <c r="R1099" s="18" t="str">
        <f t="shared" si="134"/>
        <v>8157</v>
      </c>
      <c r="S1099" s="18" t="str">
        <f>INDEX(Chapter,MATCH(R1099,Chapter!$A$1:$A$681,0),8)</f>
        <v>בתי״ס על יסודיים מקיפים</v>
      </c>
      <c r="T1099" s="18"/>
      <c r="U1099" s="18" t="str">
        <f t="shared" si="135"/>
        <v>4</v>
      </c>
      <c r="V1099" s="18" t="str">
        <f>IF($L1099&lt;"6",INDEX(Revenue_type,MATCH(U1099*1,type!$A$118:$A$168,0),8),INDEX(Expenditure_type,MATCH(U1099*1,type!$A$2:$A$117,0),8))</f>
        <v>אחזקת בינים ואספקת ציוד</v>
      </c>
      <c r="W1099" s="18" t="str">
        <f t="shared" si="136"/>
        <v>40</v>
      </c>
      <c r="X1099" s="18" t="e">
        <f>IF($L1099&lt;"6",INDEX(Revenue_type,MATCH(W1099*1,type!$A$118:$A$168,0),8),INDEX(Expenditure_type,MATCH(W1099*1,type!$A$2:$A$117,0),8))</f>
        <v>#N/A</v>
      </c>
      <c r="Y1099" s="18" t="str">
        <f t="shared" si="137"/>
        <v>400</v>
      </c>
      <c r="Z1099" s="18" t="e">
        <f>IF($L1099&lt;"6",INDEX(Revenue_type,MATCH(Y1099*1,type!$A$118:$A$168,0),8),INDEX(Expenditure_type,MATCH(Y1099*1,type!$A$2:$A$117,0),8))</f>
        <v>#N/A</v>
      </c>
    </row>
    <row r="1100" spans="1:26" ht="15.75" hidden="1" customHeight="1" outlineLevel="2">
      <c r="A1100">
        <v>500</v>
      </c>
      <c r="B1100" s="249">
        <v>815700</v>
      </c>
      <c r="C1100">
        <v>1</v>
      </c>
      <c r="D1100" t="str">
        <f t="shared" si="130"/>
        <v>1815700.500</v>
      </c>
      <c r="E1100" s="382" t="s">
        <v>8762</v>
      </c>
      <c r="F1100" s="242"/>
      <c r="G1100"/>
      <c r="H1100" s="322">
        <v>1000</v>
      </c>
      <c r="I1100" s="322">
        <v>1000</v>
      </c>
      <c r="J1100" s="242">
        <v>400</v>
      </c>
      <c r="K1100" s="18" t="e">
        <f>INDEX(תקציב_2013,MATCH(D1100,'תקציב 2015'!$D$3:$D$5960,0),8)</f>
        <v>#N/A</v>
      </c>
      <c r="L1100" s="18" t="str">
        <f t="shared" si="131"/>
        <v>8</v>
      </c>
      <c r="M1100" s="18" t="str">
        <f>INDEX(Chapter,MATCH(L1100,Chapter!$A$1:$A$681,0),8)</f>
        <v>שירותים ממלכתיים</v>
      </c>
      <c r="N1100" s="18" t="str">
        <f t="shared" si="132"/>
        <v>81</v>
      </c>
      <c r="O1100" s="18" t="str">
        <f>INDEX(Chapter,MATCH(N1100,Chapter!$A$1:$A$681,0),8)</f>
        <v>חינוך</v>
      </c>
      <c r="P1100" s="18" t="str">
        <f t="shared" si="133"/>
        <v>815</v>
      </c>
      <c r="Q1100" s="18" t="str">
        <f>INDEX(Chapter,MATCH(P1100,Chapter!$A$1:$A$681,0),8)</f>
        <v>חינוך על יסודי</v>
      </c>
      <c r="R1100" s="18" t="str">
        <f t="shared" si="134"/>
        <v>8157</v>
      </c>
      <c r="S1100" s="18" t="str">
        <f>INDEX(Chapter,MATCH(R1100,Chapter!$A$1:$A$681,0),8)</f>
        <v>בתי״ס על יסודיים מקיפים</v>
      </c>
      <c r="T1100" s="18"/>
      <c r="U1100" s="18" t="str">
        <f t="shared" si="135"/>
        <v>5</v>
      </c>
      <c r="V1100" s="18" t="str">
        <f>IF($L1100&lt;"6",INDEX(Revenue_type,MATCH(U1100*1,type!$A$118:$A$168,0),8),INDEX(Expenditure_type,MATCH(U1100*1,type!$A$2:$A$117,0),8))</f>
        <v>הוצאות מנהליות</v>
      </c>
      <c r="W1100" s="18" t="str">
        <f t="shared" si="136"/>
        <v>50</v>
      </c>
      <c r="X1100" s="18" t="e">
        <f>IF($L1100&lt;"6",INDEX(Revenue_type,MATCH(W1100*1,type!$A$118:$A$168,0),8),INDEX(Expenditure_type,MATCH(W1100*1,type!$A$2:$A$117,0),8))</f>
        <v>#N/A</v>
      </c>
      <c r="Y1100" s="18" t="str">
        <f t="shared" si="137"/>
        <v>500</v>
      </c>
      <c r="Z1100" s="18" t="e">
        <f>IF($L1100&lt;"6",INDEX(Revenue_type,MATCH(Y1100*1,type!$A$118:$A$168,0),8),INDEX(Expenditure_type,MATCH(Y1100*1,type!$A$2:$A$117,0),8))</f>
        <v>#N/A</v>
      </c>
    </row>
    <row r="1101" spans="1:26" ht="15.75" hidden="1" customHeight="1" outlineLevel="2">
      <c r="A1101">
        <v>700</v>
      </c>
      <c r="B1101" s="249">
        <v>815700</v>
      </c>
      <c r="C1101">
        <v>1</v>
      </c>
      <c r="D1101" t="str">
        <f t="shared" si="130"/>
        <v>1815700.700</v>
      </c>
      <c r="E1101" s="382" t="s">
        <v>8763</v>
      </c>
      <c r="F1101" s="242"/>
      <c r="G1101"/>
      <c r="H1101" s="322">
        <v>340500</v>
      </c>
      <c r="I1101" s="322">
        <v>352500</v>
      </c>
      <c r="J1101" s="242">
        <v>296600</v>
      </c>
      <c r="K1101" s="18" t="e">
        <f>INDEX(תקציב_2013,MATCH(D1101,'תקציב 2015'!$D$3:$D$5960,0),8)</f>
        <v>#N/A</v>
      </c>
      <c r="L1101" s="18" t="str">
        <f t="shared" si="131"/>
        <v>8</v>
      </c>
      <c r="M1101" s="18" t="str">
        <f>INDEX(Chapter,MATCH(L1101,Chapter!$A$1:$A$681,0),8)</f>
        <v>שירותים ממלכתיים</v>
      </c>
      <c r="N1101" s="18" t="str">
        <f t="shared" si="132"/>
        <v>81</v>
      </c>
      <c r="O1101" s="18" t="str">
        <f>INDEX(Chapter,MATCH(N1101,Chapter!$A$1:$A$681,0),8)</f>
        <v>חינוך</v>
      </c>
      <c r="P1101" s="18" t="str">
        <f t="shared" si="133"/>
        <v>815</v>
      </c>
      <c r="Q1101" s="18" t="str">
        <f>INDEX(Chapter,MATCH(P1101,Chapter!$A$1:$A$681,0),8)</f>
        <v>חינוך על יסודי</v>
      </c>
      <c r="R1101" s="18" t="str">
        <f t="shared" si="134"/>
        <v>8157</v>
      </c>
      <c r="S1101" s="18" t="str">
        <f>INDEX(Chapter,MATCH(R1101,Chapter!$A$1:$A$681,0),8)</f>
        <v>בתי״ס על יסודיים מקיפים</v>
      </c>
      <c r="T1101" s="18"/>
      <c r="U1101" s="18" t="str">
        <f t="shared" si="135"/>
        <v>7</v>
      </c>
      <c r="V1101" s="18" t="str">
        <f>IF($L1101&lt;"6",INDEX(Revenue_type,MATCH(U1101*1,type!$A$118:$A$168,0),8),INDEX(Expenditure_type,MATCH(U1101*1,type!$A$2:$A$117,0),8))</f>
        <v>הוצאות לפעולות</v>
      </c>
      <c r="W1101" s="18" t="str">
        <f t="shared" si="136"/>
        <v>70</v>
      </c>
      <c r="X1101" s="18" t="e">
        <f>IF($L1101&lt;"6",INDEX(Revenue_type,MATCH(W1101*1,type!$A$118:$A$168,0),8),INDEX(Expenditure_type,MATCH(W1101*1,type!$A$2:$A$117,0),8))</f>
        <v>#N/A</v>
      </c>
      <c r="Y1101" s="18" t="str">
        <f t="shared" si="137"/>
        <v>700</v>
      </c>
      <c r="Z1101" s="18" t="e">
        <f>IF($L1101&lt;"6",INDEX(Revenue_type,MATCH(Y1101*1,type!$A$118:$A$168,0),8),INDEX(Expenditure_type,MATCH(Y1101*1,type!$A$2:$A$117,0),8))</f>
        <v>#N/A</v>
      </c>
    </row>
    <row r="1102" spans="1:26" ht="15.75" hidden="1" customHeight="1" outlineLevel="2">
      <c r="A1102">
        <v>100</v>
      </c>
      <c r="B1102" s="249">
        <v>815710</v>
      </c>
      <c r="C1102">
        <v>1</v>
      </c>
      <c r="D1102" t="str">
        <f t="shared" si="130"/>
        <v>1815710.100</v>
      </c>
      <c r="E1102" s="387" t="s">
        <v>8764</v>
      </c>
      <c r="F1102" s="242"/>
      <c r="G1102"/>
      <c r="H1102" s="322">
        <v>2135000</v>
      </c>
      <c r="I1102" s="322">
        <v>2112000</v>
      </c>
      <c r="J1102" s="242">
        <v>2062500</v>
      </c>
      <c r="K1102" s="18"/>
      <c r="L1102" s="18" t="str">
        <f t="shared" si="131"/>
        <v>8</v>
      </c>
      <c r="M1102" s="18" t="str">
        <f>INDEX(Chapter,MATCH(L1102,Chapter!$A$1:$A$681,0),8)</f>
        <v>שירותים ממלכתיים</v>
      </c>
      <c r="N1102" s="18" t="str">
        <f t="shared" si="132"/>
        <v>81</v>
      </c>
      <c r="O1102" s="18" t="str">
        <f>INDEX(Chapter,MATCH(N1102,Chapter!$A$1:$A$681,0),8)</f>
        <v>חינוך</v>
      </c>
      <c r="P1102" s="18" t="str">
        <f t="shared" si="133"/>
        <v>815</v>
      </c>
      <c r="Q1102" s="18" t="str">
        <f>INDEX(Chapter,MATCH(P1102,Chapter!$A$1:$A$681,0),8)</f>
        <v>חינוך על יסודי</v>
      </c>
      <c r="R1102" s="18" t="str">
        <f t="shared" si="134"/>
        <v>8157</v>
      </c>
      <c r="S1102" s="18" t="str">
        <f>INDEX(Chapter,MATCH(R1102,Chapter!$A$1:$A$681,0),8)</f>
        <v>בתי״ס על יסודיים מקיפים</v>
      </c>
      <c r="T1102" s="18"/>
      <c r="U1102" s="18" t="str">
        <f t="shared" si="135"/>
        <v>1</v>
      </c>
      <c r="V1102" s="18" t="str">
        <f>IF($L1102&lt;"6",INDEX(Revenue_type,MATCH(U1102*1,type!$A$118:$A$168,0),8),INDEX(Expenditure_type,MATCH(U1102*1,type!$A$2:$A$117,0),8))</f>
        <v>משכורות וש"ע לעובדים לפי תקן</v>
      </c>
      <c r="W1102" s="18" t="str">
        <f t="shared" si="136"/>
        <v>10</v>
      </c>
      <c r="X1102" s="18" t="e">
        <f>IF($L1102&lt;"6",INDEX(Revenue_type,MATCH(W1102*1,type!$A$118:$A$168,0),8),INDEX(Expenditure_type,MATCH(W1102*1,type!$A$2:$A$117,0),8))</f>
        <v>#N/A</v>
      </c>
      <c r="Y1102" s="18" t="str">
        <f t="shared" si="137"/>
        <v>100</v>
      </c>
      <c r="Z1102" s="18" t="e">
        <f>IF($L1102&lt;"6",INDEX(Revenue_type,MATCH(Y1102*1,type!$A$118:$A$168,0),8),INDEX(Expenditure_type,MATCH(Y1102*1,type!$A$2:$A$117,0),8))</f>
        <v>#N/A</v>
      </c>
    </row>
    <row r="1103" spans="1:26" ht="15.75" hidden="1" customHeight="1" outlineLevel="2">
      <c r="A1103">
        <v>120</v>
      </c>
      <c r="B1103" s="249">
        <v>815710</v>
      </c>
      <c r="C1103">
        <v>1</v>
      </c>
      <c r="D1103" t="str">
        <f t="shared" si="130"/>
        <v>1815710.120</v>
      </c>
      <c r="E1103" s="382" t="s">
        <v>8765</v>
      </c>
      <c r="F1103" s="242"/>
      <c r="G1103"/>
      <c r="H1103" s="322">
        <v>1000</v>
      </c>
      <c r="I1103" s="322">
        <v>1000</v>
      </c>
      <c r="J1103" s="242">
        <v>700</v>
      </c>
      <c r="K1103" s="18"/>
      <c r="L1103" s="18" t="str">
        <f t="shared" si="131"/>
        <v>8</v>
      </c>
      <c r="M1103" s="18" t="str">
        <f>INDEX(Chapter,MATCH(L1103,Chapter!$A$1:$A$681,0),8)</f>
        <v>שירותים ממלכתיים</v>
      </c>
      <c r="N1103" s="18" t="str">
        <f t="shared" si="132"/>
        <v>81</v>
      </c>
      <c r="O1103" s="18" t="str">
        <f>INDEX(Chapter,MATCH(N1103,Chapter!$A$1:$A$681,0),8)</f>
        <v>חינוך</v>
      </c>
      <c r="P1103" s="18" t="str">
        <f t="shared" si="133"/>
        <v>815</v>
      </c>
      <c r="Q1103" s="18" t="str">
        <f>INDEX(Chapter,MATCH(P1103,Chapter!$A$1:$A$681,0),8)</f>
        <v>חינוך על יסודי</v>
      </c>
      <c r="R1103" s="18" t="str">
        <f t="shared" si="134"/>
        <v>8157</v>
      </c>
      <c r="S1103" s="18" t="str">
        <f>INDEX(Chapter,MATCH(R1103,Chapter!$A$1:$A$681,0),8)</f>
        <v>בתי״ס על יסודיים מקיפים</v>
      </c>
      <c r="T1103" s="18"/>
      <c r="U1103" s="18" t="str">
        <f t="shared" si="135"/>
        <v>1</v>
      </c>
      <c r="V1103" s="18" t="str">
        <f>IF($L1103&lt;"6",INDEX(Revenue_type,MATCH(U1103*1,type!$A$118:$A$168,0),8),INDEX(Expenditure_type,MATCH(U1103*1,type!$A$2:$A$117,0),8))</f>
        <v>משכורות וש"ע לעובדים לפי תקן</v>
      </c>
      <c r="W1103" s="18" t="str">
        <f t="shared" si="136"/>
        <v>12</v>
      </c>
      <c r="X1103" s="18" t="str">
        <f>IF($L1103&lt;"6",INDEX(Revenue_type,MATCH(W1103*1,type!$A$118:$A$168,0),8),INDEX(Expenditure_type,MATCH(W1103*1,type!$A$2:$A$117,0),8))</f>
        <v>תוספות שאינן נכללות בשכר הקובע</v>
      </c>
      <c r="Y1103" s="18" t="str">
        <f t="shared" si="137"/>
        <v>120</v>
      </c>
      <c r="Z1103" s="18" t="e">
        <f>IF($L1103&lt;"6",INDEX(Revenue_type,MATCH(Y1103*1,type!$A$118:$A$168,0),8),INDEX(Expenditure_type,MATCH(Y1103*1,type!$A$2:$A$117,0),8))</f>
        <v>#N/A</v>
      </c>
    </row>
    <row r="1104" spans="1:26" ht="15.75" hidden="1" customHeight="1" outlineLevel="2">
      <c r="A1104">
        <v>400</v>
      </c>
      <c r="B1104" s="249">
        <v>815710</v>
      </c>
      <c r="C1104">
        <v>1</v>
      </c>
      <c r="D1104" t="str">
        <f t="shared" si="130"/>
        <v>1815710.400</v>
      </c>
      <c r="E1104" s="385" t="s">
        <v>8766</v>
      </c>
      <c r="F1104" s="242"/>
      <c r="G1104"/>
      <c r="H1104" s="322">
        <v>233000</v>
      </c>
      <c r="I1104" s="322">
        <v>233000</v>
      </c>
      <c r="J1104" s="242">
        <v>330800</v>
      </c>
      <c r="K1104" s="18"/>
      <c r="L1104" s="18" t="str">
        <f t="shared" si="131"/>
        <v>8</v>
      </c>
      <c r="M1104" s="18" t="str">
        <f>INDEX(Chapter,MATCH(L1104,Chapter!$A$1:$A$681,0),8)</f>
        <v>שירותים ממלכתיים</v>
      </c>
      <c r="N1104" s="18" t="str">
        <f t="shared" si="132"/>
        <v>81</v>
      </c>
      <c r="O1104" s="18" t="str">
        <f>INDEX(Chapter,MATCH(N1104,Chapter!$A$1:$A$681,0),8)</f>
        <v>חינוך</v>
      </c>
      <c r="P1104" s="18" t="str">
        <f t="shared" si="133"/>
        <v>815</v>
      </c>
      <c r="Q1104" s="18" t="str">
        <f>INDEX(Chapter,MATCH(P1104,Chapter!$A$1:$A$681,0),8)</f>
        <v>חינוך על יסודי</v>
      </c>
      <c r="R1104" s="18" t="str">
        <f t="shared" si="134"/>
        <v>8157</v>
      </c>
      <c r="S1104" s="18" t="str">
        <f>INDEX(Chapter,MATCH(R1104,Chapter!$A$1:$A$681,0),8)</f>
        <v>בתי״ס על יסודיים מקיפים</v>
      </c>
      <c r="T1104" s="18"/>
      <c r="U1104" s="18" t="str">
        <f t="shared" si="135"/>
        <v>4</v>
      </c>
      <c r="V1104" s="18" t="str">
        <f>IF($L1104&lt;"6",INDEX(Revenue_type,MATCH(U1104*1,type!$A$118:$A$168,0),8),INDEX(Expenditure_type,MATCH(U1104*1,type!$A$2:$A$117,0),8))</f>
        <v>אחזקת בינים ואספקת ציוד</v>
      </c>
      <c r="W1104" s="18" t="str">
        <f t="shared" si="136"/>
        <v>40</v>
      </c>
      <c r="X1104" s="18" t="e">
        <f>IF($L1104&lt;"6",INDEX(Revenue_type,MATCH(W1104*1,type!$A$118:$A$168,0),8),INDEX(Expenditure_type,MATCH(W1104*1,type!$A$2:$A$117,0),8))</f>
        <v>#N/A</v>
      </c>
      <c r="Y1104" s="18" t="str">
        <f t="shared" si="137"/>
        <v>400</v>
      </c>
      <c r="Z1104" s="18" t="e">
        <f>IF($L1104&lt;"6",INDEX(Revenue_type,MATCH(Y1104*1,type!$A$118:$A$168,0),8),INDEX(Expenditure_type,MATCH(Y1104*1,type!$A$2:$A$117,0),8))</f>
        <v>#N/A</v>
      </c>
    </row>
    <row r="1105" spans="1:26" ht="15.75" hidden="1" customHeight="1" outlineLevel="2">
      <c r="A1105">
        <v>500</v>
      </c>
      <c r="B1105" s="249">
        <v>815710</v>
      </c>
      <c r="C1105">
        <v>1</v>
      </c>
      <c r="D1105" t="str">
        <f t="shared" si="130"/>
        <v>1815710.500</v>
      </c>
      <c r="E1105" s="378" t="s">
        <v>8767</v>
      </c>
      <c r="F1105" s="242"/>
      <c r="G1105"/>
      <c r="H1105" s="322">
        <v>48400</v>
      </c>
      <c r="I1105" s="322">
        <v>48500</v>
      </c>
      <c r="J1105" s="242">
        <v>16100</v>
      </c>
      <c r="K1105" s="18"/>
      <c r="L1105" s="18" t="str">
        <f t="shared" si="131"/>
        <v>8</v>
      </c>
      <c r="M1105" s="18" t="str">
        <f>INDEX(Chapter,MATCH(L1105,Chapter!$A$1:$A$681,0),8)</f>
        <v>שירותים ממלכתיים</v>
      </c>
      <c r="N1105" s="18" t="str">
        <f t="shared" si="132"/>
        <v>81</v>
      </c>
      <c r="O1105" s="18" t="str">
        <f>INDEX(Chapter,MATCH(N1105,Chapter!$A$1:$A$681,0),8)</f>
        <v>חינוך</v>
      </c>
      <c r="P1105" s="18" t="str">
        <f t="shared" si="133"/>
        <v>815</v>
      </c>
      <c r="Q1105" s="18" t="str">
        <f>INDEX(Chapter,MATCH(P1105,Chapter!$A$1:$A$681,0),8)</f>
        <v>חינוך על יסודי</v>
      </c>
      <c r="R1105" s="18" t="str">
        <f t="shared" si="134"/>
        <v>8157</v>
      </c>
      <c r="S1105" s="18" t="str">
        <f>INDEX(Chapter,MATCH(R1105,Chapter!$A$1:$A$681,0),8)</f>
        <v>בתי״ס על יסודיים מקיפים</v>
      </c>
      <c r="T1105" s="18"/>
      <c r="U1105" s="18" t="str">
        <f t="shared" si="135"/>
        <v>5</v>
      </c>
      <c r="V1105" s="18" t="str">
        <f>IF($L1105&lt;"6",INDEX(Revenue_type,MATCH(U1105*1,type!$A$118:$A$168,0),8),INDEX(Expenditure_type,MATCH(U1105*1,type!$A$2:$A$117,0),8))</f>
        <v>הוצאות מנהליות</v>
      </c>
      <c r="W1105" s="18" t="str">
        <f t="shared" si="136"/>
        <v>50</v>
      </c>
      <c r="X1105" s="18" t="e">
        <f>IF($L1105&lt;"6",INDEX(Revenue_type,MATCH(W1105*1,type!$A$118:$A$168,0),8),INDEX(Expenditure_type,MATCH(W1105*1,type!$A$2:$A$117,0),8))</f>
        <v>#N/A</v>
      </c>
      <c r="Y1105" s="18" t="str">
        <f t="shared" si="137"/>
        <v>500</v>
      </c>
      <c r="Z1105" s="18" t="e">
        <f>IF($L1105&lt;"6",INDEX(Revenue_type,MATCH(Y1105*1,type!$A$118:$A$168,0),8),INDEX(Expenditure_type,MATCH(Y1105*1,type!$A$2:$A$117,0),8))</f>
        <v>#N/A</v>
      </c>
    </row>
    <row r="1106" spans="1:26" ht="15.75" hidden="1" customHeight="1" outlineLevel="2">
      <c r="A1106">
        <v>700</v>
      </c>
      <c r="B1106" s="249">
        <v>815710</v>
      </c>
      <c r="C1106">
        <v>1</v>
      </c>
      <c r="D1106" t="str">
        <f t="shared" si="130"/>
        <v>1815710.700</v>
      </c>
      <c r="E1106" s="382" t="s">
        <v>8768</v>
      </c>
      <c r="F1106" s="242"/>
      <c r="G1106"/>
      <c r="H1106" s="322">
        <v>336000</v>
      </c>
      <c r="I1106" s="322">
        <v>354000</v>
      </c>
      <c r="J1106" s="242">
        <v>329000</v>
      </c>
      <c r="K1106" s="18"/>
      <c r="L1106" s="18" t="str">
        <f t="shared" si="131"/>
        <v>8</v>
      </c>
      <c r="M1106" s="18" t="str">
        <f>INDEX(Chapter,MATCH(L1106,Chapter!$A$1:$A$681,0),8)</f>
        <v>שירותים ממלכתיים</v>
      </c>
      <c r="N1106" s="18" t="str">
        <f t="shared" si="132"/>
        <v>81</v>
      </c>
      <c r="O1106" s="18" t="str">
        <f>INDEX(Chapter,MATCH(N1106,Chapter!$A$1:$A$681,0),8)</f>
        <v>חינוך</v>
      </c>
      <c r="P1106" s="18" t="str">
        <f t="shared" si="133"/>
        <v>815</v>
      </c>
      <c r="Q1106" s="18" t="str">
        <f>INDEX(Chapter,MATCH(P1106,Chapter!$A$1:$A$681,0),8)</f>
        <v>חינוך על יסודי</v>
      </c>
      <c r="R1106" s="18" t="str">
        <f t="shared" si="134"/>
        <v>8157</v>
      </c>
      <c r="S1106" s="18" t="str">
        <f>INDEX(Chapter,MATCH(R1106,Chapter!$A$1:$A$681,0),8)</f>
        <v>בתי״ס על יסודיים מקיפים</v>
      </c>
      <c r="T1106" s="18"/>
      <c r="U1106" s="18" t="str">
        <f t="shared" si="135"/>
        <v>7</v>
      </c>
      <c r="V1106" s="18" t="str">
        <f>IF($L1106&lt;"6",INDEX(Revenue_type,MATCH(U1106*1,type!$A$118:$A$168,0),8),INDEX(Expenditure_type,MATCH(U1106*1,type!$A$2:$A$117,0),8))</f>
        <v>הוצאות לפעולות</v>
      </c>
      <c r="W1106" s="18" t="str">
        <f t="shared" si="136"/>
        <v>70</v>
      </c>
      <c r="X1106" s="18" t="e">
        <f>IF($L1106&lt;"6",INDEX(Revenue_type,MATCH(W1106*1,type!$A$118:$A$168,0),8),INDEX(Expenditure_type,MATCH(W1106*1,type!$A$2:$A$117,0),8))</f>
        <v>#N/A</v>
      </c>
      <c r="Y1106" s="18" t="str">
        <f t="shared" si="137"/>
        <v>700</v>
      </c>
      <c r="Z1106" s="18" t="e">
        <f>IF($L1106&lt;"6",INDEX(Revenue_type,MATCH(Y1106*1,type!$A$118:$A$168,0),8),INDEX(Expenditure_type,MATCH(Y1106*1,type!$A$2:$A$117,0),8))</f>
        <v>#N/A</v>
      </c>
    </row>
    <row r="1107" spans="1:26" ht="15.75" hidden="1" customHeight="1" outlineLevel="2">
      <c r="A1107">
        <v>400</v>
      </c>
      <c r="B1107" s="249">
        <v>815720</v>
      </c>
      <c r="C1107">
        <v>1</v>
      </c>
      <c r="D1107" t="str">
        <f t="shared" ref="D1107:D1170" si="138">C1107&amp;B1107&amp;"."&amp;A1107</f>
        <v>1815720.400</v>
      </c>
      <c r="E1107" s="378" t="s">
        <v>8769</v>
      </c>
      <c r="F1107" s="242"/>
      <c r="G1107"/>
      <c r="H1107" s="322">
        <v>0</v>
      </c>
      <c r="I1107" s="322">
        <v>0</v>
      </c>
      <c r="J1107" s="242">
        <v>152000</v>
      </c>
      <c r="K1107" s="18"/>
      <c r="L1107" s="18" t="str">
        <f t="shared" si="131"/>
        <v>8</v>
      </c>
      <c r="M1107" s="18" t="str">
        <f>INDEX(Chapter,MATCH(L1107,Chapter!$A$1:$A$681,0),8)</f>
        <v>שירותים ממלכתיים</v>
      </c>
      <c r="N1107" s="18" t="str">
        <f t="shared" si="132"/>
        <v>81</v>
      </c>
      <c r="O1107" s="18" t="str">
        <f>INDEX(Chapter,MATCH(N1107,Chapter!$A$1:$A$681,0),8)</f>
        <v>חינוך</v>
      </c>
      <c r="P1107" s="18" t="str">
        <f t="shared" si="133"/>
        <v>815</v>
      </c>
      <c r="Q1107" s="18" t="str">
        <f>INDEX(Chapter,MATCH(P1107,Chapter!$A$1:$A$681,0),8)</f>
        <v>חינוך על יסודי</v>
      </c>
      <c r="R1107" s="18" t="str">
        <f t="shared" si="134"/>
        <v>8157</v>
      </c>
      <c r="S1107" s="18" t="str">
        <f>INDEX(Chapter,MATCH(R1107,Chapter!$A$1:$A$681,0),8)</f>
        <v>בתי״ס על יסודיים מקיפים</v>
      </c>
      <c r="T1107" s="18"/>
      <c r="U1107" s="18" t="str">
        <f t="shared" si="135"/>
        <v>4</v>
      </c>
      <c r="V1107" s="18" t="str">
        <f>IF($L1107&lt;"6",INDEX(Revenue_type,MATCH(U1107*1,type!$A$118:$A$168,0),8),INDEX(Expenditure_type,MATCH(U1107*1,type!$A$2:$A$117,0),8))</f>
        <v>אחזקת בינים ואספקת ציוד</v>
      </c>
      <c r="W1107" s="18" t="str">
        <f t="shared" si="136"/>
        <v>40</v>
      </c>
      <c r="X1107" s="18" t="e">
        <f>IF($L1107&lt;"6",INDEX(Revenue_type,MATCH(W1107*1,type!$A$118:$A$168,0),8),INDEX(Expenditure_type,MATCH(W1107*1,type!$A$2:$A$117,0),8))</f>
        <v>#N/A</v>
      </c>
      <c r="Y1107" s="18" t="str">
        <f t="shared" si="137"/>
        <v>400</v>
      </c>
      <c r="Z1107" s="18" t="e">
        <f>IF($L1107&lt;"6",INDEX(Revenue_type,MATCH(Y1107*1,type!$A$118:$A$168,0),8),INDEX(Expenditure_type,MATCH(Y1107*1,type!$A$2:$A$117,0),8))</f>
        <v>#N/A</v>
      </c>
    </row>
    <row r="1108" spans="1:26" ht="15.75" hidden="1" customHeight="1" outlineLevel="2">
      <c r="A1108">
        <v>100</v>
      </c>
      <c r="B1108" s="249">
        <v>815730</v>
      </c>
      <c r="C1108">
        <v>1</v>
      </c>
      <c r="D1108" t="str">
        <f t="shared" si="138"/>
        <v>1815730.100</v>
      </c>
      <c r="E1108" s="382" t="s">
        <v>8770</v>
      </c>
      <c r="F1108" s="242"/>
      <c r="G1108"/>
      <c r="H1108" s="322">
        <v>9599200</v>
      </c>
      <c r="I1108" s="322">
        <v>9494200</v>
      </c>
      <c r="J1108" s="242">
        <v>9547200</v>
      </c>
      <c r="K1108" s="18"/>
      <c r="L1108" s="18" t="str">
        <f t="shared" si="131"/>
        <v>8</v>
      </c>
      <c r="M1108" s="18" t="str">
        <f>INDEX(Chapter,MATCH(L1108,Chapter!$A$1:$A$681,0),8)</f>
        <v>שירותים ממלכתיים</v>
      </c>
      <c r="N1108" s="18" t="str">
        <f t="shared" si="132"/>
        <v>81</v>
      </c>
      <c r="O1108" s="18" t="str">
        <f>INDEX(Chapter,MATCH(N1108,Chapter!$A$1:$A$681,0),8)</f>
        <v>חינוך</v>
      </c>
      <c r="P1108" s="18" t="str">
        <f t="shared" si="133"/>
        <v>815</v>
      </c>
      <c r="Q1108" s="18" t="str">
        <f>INDEX(Chapter,MATCH(P1108,Chapter!$A$1:$A$681,0),8)</f>
        <v>חינוך על יסודי</v>
      </c>
      <c r="R1108" s="18" t="str">
        <f t="shared" si="134"/>
        <v>8157</v>
      </c>
      <c r="S1108" s="18" t="str">
        <f>INDEX(Chapter,MATCH(R1108,Chapter!$A$1:$A$681,0),8)</f>
        <v>בתי״ס על יסודיים מקיפים</v>
      </c>
      <c r="T1108" s="18"/>
      <c r="U1108" s="18" t="str">
        <f t="shared" si="135"/>
        <v>1</v>
      </c>
      <c r="V1108" s="18" t="str">
        <f>IF($L1108&lt;"6",INDEX(Revenue_type,MATCH(U1108*1,type!$A$118:$A$168,0),8),INDEX(Expenditure_type,MATCH(U1108*1,type!$A$2:$A$117,0),8))</f>
        <v>משכורות וש"ע לעובדים לפי תקן</v>
      </c>
      <c r="W1108" s="18" t="str">
        <f t="shared" si="136"/>
        <v>10</v>
      </c>
      <c r="X1108" s="18" t="e">
        <f>IF($L1108&lt;"6",INDEX(Revenue_type,MATCH(W1108*1,type!$A$118:$A$168,0),8),INDEX(Expenditure_type,MATCH(W1108*1,type!$A$2:$A$117,0),8))</f>
        <v>#N/A</v>
      </c>
      <c r="Y1108" s="18" t="str">
        <f t="shared" si="137"/>
        <v>100</v>
      </c>
      <c r="Z1108" s="18" t="e">
        <f>IF($L1108&lt;"6",INDEX(Revenue_type,MATCH(Y1108*1,type!$A$118:$A$168,0),8),INDEX(Expenditure_type,MATCH(Y1108*1,type!$A$2:$A$117,0),8))</f>
        <v>#N/A</v>
      </c>
    </row>
    <row r="1109" spans="1:26" ht="15.75" hidden="1" customHeight="1" outlineLevel="2">
      <c r="A1109">
        <v>120</v>
      </c>
      <c r="B1109" s="249">
        <v>815730</v>
      </c>
      <c r="C1109">
        <v>1</v>
      </c>
      <c r="D1109" t="str">
        <f t="shared" si="138"/>
        <v>1815730.120</v>
      </c>
      <c r="E1109" s="382" t="s">
        <v>8771</v>
      </c>
      <c r="F1109" s="242"/>
      <c r="G1109"/>
      <c r="H1109" s="322">
        <v>7800</v>
      </c>
      <c r="I1109" s="322">
        <v>7800</v>
      </c>
      <c r="J1109" s="242">
        <v>9300</v>
      </c>
      <c r="K1109" s="18">
        <f>INDEX(תקציב_2013,MATCH(D1109,'תקציב 2015'!$D$3:$D$5960,0),8)</f>
        <v>197574</v>
      </c>
      <c r="L1109" s="18" t="str">
        <f t="shared" si="131"/>
        <v>8</v>
      </c>
      <c r="M1109" s="18" t="str">
        <f>INDEX(Chapter,MATCH(L1109,Chapter!$A$1:$A$681,0),8)</f>
        <v>שירותים ממלכתיים</v>
      </c>
      <c r="N1109" s="18" t="str">
        <f t="shared" si="132"/>
        <v>81</v>
      </c>
      <c r="O1109" s="18" t="str">
        <f>INDEX(Chapter,MATCH(N1109,Chapter!$A$1:$A$681,0),8)</f>
        <v>חינוך</v>
      </c>
      <c r="P1109" s="18" t="str">
        <f t="shared" si="133"/>
        <v>815</v>
      </c>
      <c r="Q1109" s="18" t="str">
        <f>INDEX(Chapter,MATCH(P1109,Chapter!$A$1:$A$681,0),8)</f>
        <v>חינוך על יסודי</v>
      </c>
      <c r="R1109" s="18" t="str">
        <f t="shared" si="134"/>
        <v>8157</v>
      </c>
      <c r="S1109" s="18" t="str">
        <f>INDEX(Chapter,MATCH(R1109,Chapter!$A$1:$A$681,0),8)</f>
        <v>בתי״ס על יסודיים מקיפים</v>
      </c>
      <c r="T1109" s="18"/>
      <c r="U1109" s="18" t="str">
        <f t="shared" si="135"/>
        <v>1</v>
      </c>
      <c r="V1109" s="18" t="str">
        <f>IF($L1109&lt;"6",INDEX(Revenue_type,MATCH(U1109*1,type!$A$118:$A$168,0),8),INDEX(Expenditure_type,MATCH(U1109*1,type!$A$2:$A$117,0),8))</f>
        <v>משכורות וש"ע לעובדים לפי תקן</v>
      </c>
      <c r="W1109" s="18" t="str">
        <f t="shared" si="136"/>
        <v>12</v>
      </c>
      <c r="X1109" s="18" t="str">
        <f>IF($L1109&lt;"6",INDEX(Revenue_type,MATCH(W1109*1,type!$A$118:$A$168,0),8),INDEX(Expenditure_type,MATCH(W1109*1,type!$A$2:$A$117,0),8))</f>
        <v>תוספות שאינן נכללות בשכר הקובע</v>
      </c>
      <c r="Y1109" s="18" t="str">
        <f t="shared" si="137"/>
        <v>120</v>
      </c>
      <c r="Z1109" s="18" t="e">
        <f>IF($L1109&lt;"6",INDEX(Revenue_type,MATCH(Y1109*1,type!$A$118:$A$168,0),8),INDEX(Expenditure_type,MATCH(Y1109*1,type!$A$2:$A$117,0),8))</f>
        <v>#N/A</v>
      </c>
    </row>
    <row r="1110" spans="1:26" ht="15.75" hidden="1" customHeight="1" outlineLevel="2">
      <c r="A1110">
        <v>100</v>
      </c>
      <c r="B1110" s="249">
        <v>815740</v>
      </c>
      <c r="C1110">
        <v>1</v>
      </c>
      <c r="D1110" t="str">
        <f t="shared" si="138"/>
        <v>1815740.100</v>
      </c>
      <c r="E1110" s="382" t="s">
        <v>8772</v>
      </c>
      <c r="F1110" s="242"/>
      <c r="G1110"/>
      <c r="H1110" s="322">
        <v>2026100</v>
      </c>
      <c r="I1110" s="322">
        <v>1707100</v>
      </c>
      <c r="J1110" s="242">
        <v>1630100</v>
      </c>
      <c r="K1110" s="18" t="e">
        <f>INDEX(תקציב_2013,MATCH(D1110,'תקציב 2015'!$D$3:$D$5960,0),8)</f>
        <v>#N/A</v>
      </c>
      <c r="L1110" s="18" t="str">
        <f t="shared" si="131"/>
        <v>8</v>
      </c>
      <c r="M1110" s="18" t="str">
        <f>INDEX(Chapter,MATCH(L1110,Chapter!$A$1:$A$681,0),8)</f>
        <v>שירותים ממלכתיים</v>
      </c>
      <c r="N1110" s="18" t="str">
        <f t="shared" si="132"/>
        <v>81</v>
      </c>
      <c r="O1110" s="18" t="str">
        <f>INDEX(Chapter,MATCH(N1110,Chapter!$A$1:$A$681,0),8)</f>
        <v>חינוך</v>
      </c>
      <c r="P1110" s="18" t="str">
        <f t="shared" si="133"/>
        <v>815</v>
      </c>
      <c r="Q1110" s="18" t="str">
        <f>INDEX(Chapter,MATCH(P1110,Chapter!$A$1:$A$681,0),8)</f>
        <v>חינוך על יסודי</v>
      </c>
      <c r="R1110" s="18" t="str">
        <f t="shared" si="134"/>
        <v>8157</v>
      </c>
      <c r="S1110" s="18" t="str">
        <f>INDEX(Chapter,MATCH(R1110,Chapter!$A$1:$A$681,0),8)</f>
        <v>בתי״ס על יסודיים מקיפים</v>
      </c>
      <c r="T1110" s="18"/>
      <c r="U1110" s="18" t="str">
        <f t="shared" si="135"/>
        <v>1</v>
      </c>
      <c r="V1110" s="18" t="str">
        <f>IF($L1110&lt;"6",INDEX(Revenue_type,MATCH(U1110*1,type!$A$118:$A$168,0),8),INDEX(Expenditure_type,MATCH(U1110*1,type!$A$2:$A$117,0),8))</f>
        <v>משכורות וש"ע לעובדים לפי תקן</v>
      </c>
      <c r="W1110" s="18" t="str">
        <f t="shared" si="136"/>
        <v>10</v>
      </c>
      <c r="X1110" s="18" t="e">
        <f>IF($L1110&lt;"6",INDEX(Revenue_type,MATCH(W1110*1,type!$A$118:$A$168,0),8),INDEX(Expenditure_type,MATCH(W1110*1,type!$A$2:$A$117,0),8))</f>
        <v>#N/A</v>
      </c>
      <c r="Y1110" s="18" t="str">
        <f t="shared" si="137"/>
        <v>100</v>
      </c>
      <c r="Z1110" s="18" t="e">
        <f>IF($L1110&lt;"6",INDEX(Revenue_type,MATCH(Y1110*1,type!$A$118:$A$168,0),8),INDEX(Expenditure_type,MATCH(Y1110*1,type!$A$2:$A$117,0),8))</f>
        <v>#N/A</v>
      </c>
    </row>
    <row r="1111" spans="1:26" ht="15.75" hidden="1" customHeight="1" outlineLevel="2">
      <c r="A1111">
        <v>120</v>
      </c>
      <c r="B1111" s="249">
        <v>815740</v>
      </c>
      <c r="C1111">
        <v>1</v>
      </c>
      <c r="D1111" t="str">
        <f t="shared" si="138"/>
        <v>1815740.120</v>
      </c>
      <c r="E1111" s="382" t="s">
        <v>8773</v>
      </c>
      <c r="F1111" s="242"/>
      <c r="G1111"/>
      <c r="H1111" s="322">
        <v>2900</v>
      </c>
      <c r="I1111" s="322">
        <v>2900</v>
      </c>
      <c r="J1111" s="242">
        <v>1300</v>
      </c>
      <c r="K1111" s="18" t="e">
        <f>INDEX(תקציב_2013,MATCH(D1111,'תקציב 2015'!$D$3:$D$5960,0),8)</f>
        <v>#N/A</v>
      </c>
      <c r="L1111" s="18" t="str">
        <f t="shared" ref="L1111:L1174" si="139">IF(LEFT($B1111,1)*1=0,LEFT($B1111,2),LEFT($B1111,1))</f>
        <v>8</v>
      </c>
      <c r="M1111" s="18" t="str">
        <f>INDEX(Chapter,MATCH(L1111,Chapter!$A$1:$A$681,0),8)</f>
        <v>שירותים ממלכתיים</v>
      </c>
      <c r="N1111" s="18" t="str">
        <f t="shared" ref="N1111:N1174" si="140">IF(LEFT($B1111,1)*1=0,LEFT($B1111,3),LEFT($B1111,2))</f>
        <v>81</v>
      </c>
      <c r="O1111" s="18" t="str">
        <f>INDEX(Chapter,MATCH(N1111,Chapter!$A$1:$A$681,0),8)</f>
        <v>חינוך</v>
      </c>
      <c r="P1111" s="18" t="str">
        <f t="shared" ref="P1111:P1174" si="141">IF(LEFT($B1111,1)*1=0,LEFT($B1111,4),LEFT($B1111,3))</f>
        <v>815</v>
      </c>
      <c r="Q1111" s="18" t="str">
        <f>INDEX(Chapter,MATCH(P1111,Chapter!$A$1:$A$681,0),8)</f>
        <v>חינוך על יסודי</v>
      </c>
      <c r="R1111" s="18" t="str">
        <f t="shared" ref="R1111:R1174" si="142">LEFT($B1111,4)</f>
        <v>8157</v>
      </c>
      <c r="S1111" s="18" t="str">
        <f>INDEX(Chapter,MATCH(R1111,Chapter!$A$1:$A$681,0),8)</f>
        <v>בתי״ס על יסודיים מקיפים</v>
      </c>
      <c r="T1111" s="18"/>
      <c r="U1111" s="18" t="str">
        <f t="shared" ref="U1111:U1174" si="143">LEFT($A1111,1)</f>
        <v>1</v>
      </c>
      <c r="V1111" s="18" t="str">
        <f>IF($L1111&lt;"6",INDEX(Revenue_type,MATCH(U1111*1,type!$A$118:$A$168,0),8),INDEX(Expenditure_type,MATCH(U1111*1,type!$A$2:$A$117,0),8))</f>
        <v>משכורות וש"ע לעובדים לפי תקן</v>
      </c>
      <c r="W1111" s="18" t="str">
        <f t="shared" ref="W1111:W1174" si="144">LEFT($A1111,2)</f>
        <v>12</v>
      </c>
      <c r="X1111" s="18" t="str">
        <f>IF($L1111&lt;"6",INDEX(Revenue_type,MATCH(W1111*1,type!$A$118:$A$168,0),8),INDEX(Expenditure_type,MATCH(W1111*1,type!$A$2:$A$117,0),8))</f>
        <v>תוספות שאינן נכללות בשכר הקובע</v>
      </c>
      <c r="Y1111" s="18" t="str">
        <f t="shared" ref="Y1111:Y1174" si="145">LEFT($A1111,3)</f>
        <v>120</v>
      </c>
      <c r="Z1111" s="18" t="e">
        <f>IF($L1111&lt;"6",INDEX(Revenue_type,MATCH(Y1111*1,type!$A$118:$A$168,0),8),INDEX(Expenditure_type,MATCH(Y1111*1,type!$A$2:$A$117,0),8))</f>
        <v>#N/A</v>
      </c>
    </row>
    <row r="1112" spans="1:26" ht="15.75" hidden="1" customHeight="1" outlineLevel="2">
      <c r="A1112">
        <v>100</v>
      </c>
      <c r="B1112" s="249">
        <v>815750</v>
      </c>
      <c r="C1112">
        <v>1</v>
      </c>
      <c r="D1112" t="str">
        <f t="shared" si="138"/>
        <v>1815750.100</v>
      </c>
      <c r="E1112" s="382" t="s">
        <v>8774</v>
      </c>
      <c r="F1112" s="242"/>
      <c r="G1112"/>
      <c r="H1112" s="322">
        <v>3988000</v>
      </c>
      <c r="I1112" s="322">
        <v>3944000</v>
      </c>
      <c r="J1112" s="242">
        <v>3614100</v>
      </c>
      <c r="K1112" s="18" t="e">
        <f>INDEX(תקציב_2013,MATCH(D1112,'תקציב 2015'!$D$3:$D$5960,0),8)</f>
        <v>#N/A</v>
      </c>
      <c r="L1112" s="18" t="str">
        <f t="shared" si="139"/>
        <v>8</v>
      </c>
      <c r="M1112" s="18" t="str">
        <f>INDEX(Chapter,MATCH(L1112,Chapter!$A$1:$A$681,0),8)</f>
        <v>שירותים ממלכתיים</v>
      </c>
      <c r="N1112" s="18" t="str">
        <f t="shared" si="140"/>
        <v>81</v>
      </c>
      <c r="O1112" s="18" t="str">
        <f>INDEX(Chapter,MATCH(N1112,Chapter!$A$1:$A$681,0),8)</f>
        <v>חינוך</v>
      </c>
      <c r="P1112" s="18" t="str">
        <f t="shared" si="141"/>
        <v>815</v>
      </c>
      <c r="Q1112" s="18" t="str">
        <f>INDEX(Chapter,MATCH(P1112,Chapter!$A$1:$A$681,0),8)</f>
        <v>חינוך על יסודי</v>
      </c>
      <c r="R1112" s="18" t="str">
        <f t="shared" si="142"/>
        <v>8157</v>
      </c>
      <c r="S1112" s="18" t="str">
        <f>INDEX(Chapter,MATCH(R1112,Chapter!$A$1:$A$681,0),8)</f>
        <v>בתי״ס על יסודיים מקיפים</v>
      </c>
      <c r="T1112" s="18"/>
      <c r="U1112" s="18" t="str">
        <f t="shared" si="143"/>
        <v>1</v>
      </c>
      <c r="V1112" s="18" t="str">
        <f>IF($L1112&lt;"6",INDEX(Revenue_type,MATCH(U1112*1,type!$A$118:$A$168,0),8),INDEX(Expenditure_type,MATCH(U1112*1,type!$A$2:$A$117,0),8))</f>
        <v>משכורות וש"ע לעובדים לפי תקן</v>
      </c>
      <c r="W1112" s="18" t="str">
        <f t="shared" si="144"/>
        <v>10</v>
      </c>
      <c r="X1112" s="18" t="e">
        <f>IF($L1112&lt;"6",INDEX(Revenue_type,MATCH(W1112*1,type!$A$118:$A$168,0),8),INDEX(Expenditure_type,MATCH(W1112*1,type!$A$2:$A$117,0),8))</f>
        <v>#N/A</v>
      </c>
      <c r="Y1112" s="18" t="str">
        <f t="shared" si="145"/>
        <v>100</v>
      </c>
      <c r="Z1112" s="18" t="e">
        <f>IF($L1112&lt;"6",INDEX(Revenue_type,MATCH(Y1112*1,type!$A$118:$A$168,0),8),INDEX(Expenditure_type,MATCH(Y1112*1,type!$A$2:$A$117,0),8))</f>
        <v>#N/A</v>
      </c>
    </row>
    <row r="1113" spans="1:26" ht="15.75" hidden="1" customHeight="1" outlineLevel="2">
      <c r="A1113">
        <v>100</v>
      </c>
      <c r="B1113" s="249">
        <v>815760</v>
      </c>
      <c r="C1113">
        <v>1</v>
      </c>
      <c r="D1113" t="str">
        <f t="shared" si="138"/>
        <v>1815760.100</v>
      </c>
      <c r="E1113" s="382" t="s">
        <v>8775</v>
      </c>
      <c r="F1113" s="242"/>
      <c r="G1113"/>
      <c r="H1113" s="322">
        <v>2116000</v>
      </c>
      <c r="I1113" s="322">
        <v>2093000</v>
      </c>
      <c r="J1113" s="242">
        <v>2395200</v>
      </c>
      <c r="K1113" s="18" t="e">
        <f>INDEX(תקציב_2013,MATCH(D1113,'תקציב 2015'!$D$3:$D$5960,0),8)</f>
        <v>#N/A</v>
      </c>
      <c r="L1113" s="18" t="str">
        <f t="shared" si="139"/>
        <v>8</v>
      </c>
      <c r="M1113" s="18" t="str">
        <f>INDEX(Chapter,MATCH(L1113,Chapter!$A$1:$A$681,0),8)</f>
        <v>שירותים ממלכתיים</v>
      </c>
      <c r="N1113" s="18" t="str">
        <f t="shared" si="140"/>
        <v>81</v>
      </c>
      <c r="O1113" s="18" t="str">
        <f>INDEX(Chapter,MATCH(N1113,Chapter!$A$1:$A$681,0),8)</f>
        <v>חינוך</v>
      </c>
      <c r="P1113" s="18" t="str">
        <f t="shared" si="141"/>
        <v>815</v>
      </c>
      <c r="Q1113" s="18" t="str">
        <f>INDEX(Chapter,MATCH(P1113,Chapter!$A$1:$A$681,0),8)</f>
        <v>חינוך על יסודי</v>
      </c>
      <c r="R1113" s="18" t="str">
        <f t="shared" si="142"/>
        <v>8157</v>
      </c>
      <c r="S1113" s="18" t="str">
        <f>INDEX(Chapter,MATCH(R1113,Chapter!$A$1:$A$681,0),8)</f>
        <v>בתי״ס על יסודיים מקיפים</v>
      </c>
      <c r="T1113" s="18"/>
      <c r="U1113" s="18" t="str">
        <f t="shared" si="143"/>
        <v>1</v>
      </c>
      <c r="V1113" s="18" t="str">
        <f>IF($L1113&lt;"6",INDEX(Revenue_type,MATCH(U1113*1,type!$A$118:$A$168,0),8),INDEX(Expenditure_type,MATCH(U1113*1,type!$A$2:$A$117,0),8))</f>
        <v>משכורות וש"ע לעובדים לפי תקן</v>
      </c>
      <c r="W1113" s="18" t="str">
        <f t="shared" si="144"/>
        <v>10</v>
      </c>
      <c r="X1113" s="18" t="e">
        <f>IF($L1113&lt;"6",INDEX(Revenue_type,MATCH(W1113*1,type!$A$118:$A$168,0),8),INDEX(Expenditure_type,MATCH(W1113*1,type!$A$2:$A$117,0),8))</f>
        <v>#N/A</v>
      </c>
      <c r="Y1113" s="18" t="str">
        <f t="shared" si="145"/>
        <v>100</v>
      </c>
      <c r="Z1113" s="18" t="e">
        <f>IF($L1113&lt;"6",INDEX(Revenue_type,MATCH(Y1113*1,type!$A$118:$A$168,0),8),INDEX(Expenditure_type,MATCH(Y1113*1,type!$A$2:$A$117,0),8))</f>
        <v>#N/A</v>
      </c>
    </row>
    <row r="1114" spans="1:26" ht="15.75" hidden="1" customHeight="1" outlineLevel="2">
      <c r="A1114">
        <v>200</v>
      </c>
      <c r="B1114" s="249">
        <v>815790</v>
      </c>
      <c r="C1114">
        <v>1</v>
      </c>
      <c r="D1114" t="str">
        <f t="shared" si="138"/>
        <v>1815790.200</v>
      </c>
      <c r="E1114" s="382" t="s">
        <v>8776</v>
      </c>
      <c r="F1114" s="242"/>
      <c r="G1114"/>
      <c r="H1114" s="322">
        <v>300000</v>
      </c>
      <c r="I1114" s="322">
        <v>300000</v>
      </c>
      <c r="J1114" s="242">
        <v>0</v>
      </c>
      <c r="K1114" s="18" t="e">
        <f>INDEX(תקציב_2013,MATCH(D1114,'תקציב 2015'!$D$3:$D$5960,0),8)</f>
        <v>#N/A</v>
      </c>
      <c r="L1114" s="18" t="str">
        <f t="shared" si="139"/>
        <v>8</v>
      </c>
      <c r="M1114" s="18" t="str">
        <f>INDEX(Chapter,MATCH(L1114,Chapter!$A$1:$A$681,0),8)</f>
        <v>שירותים ממלכתיים</v>
      </c>
      <c r="N1114" s="18" t="str">
        <f t="shared" si="140"/>
        <v>81</v>
      </c>
      <c r="O1114" s="18" t="str">
        <f>INDEX(Chapter,MATCH(N1114,Chapter!$A$1:$A$681,0),8)</f>
        <v>חינוך</v>
      </c>
      <c r="P1114" s="18" t="str">
        <f t="shared" si="141"/>
        <v>815</v>
      </c>
      <c r="Q1114" s="18" t="str">
        <f>INDEX(Chapter,MATCH(P1114,Chapter!$A$1:$A$681,0),8)</f>
        <v>חינוך על יסודי</v>
      </c>
      <c r="R1114" s="18" t="str">
        <f t="shared" si="142"/>
        <v>8157</v>
      </c>
      <c r="S1114" s="18" t="str">
        <f>INDEX(Chapter,MATCH(R1114,Chapter!$A$1:$A$681,0),8)</f>
        <v>בתי״ס על יסודיים מקיפים</v>
      </c>
      <c r="T1114" s="18"/>
      <c r="U1114" s="18" t="str">
        <f t="shared" si="143"/>
        <v>2</v>
      </c>
      <c r="V1114" s="18" t="str">
        <f>IF($L1114&lt;"6",INDEX(Revenue_type,MATCH(U1114*1,type!$A$118:$A$168,0),8),INDEX(Expenditure_type,MATCH(U1114*1,type!$A$2:$A$117,0),8))</f>
        <v>משכורות וש"ע לעובדים בלי תקן</v>
      </c>
      <c r="W1114" s="18" t="str">
        <f t="shared" si="144"/>
        <v>20</v>
      </c>
      <c r="X1114" s="18" t="e">
        <f>IF($L1114&lt;"6",INDEX(Revenue_type,MATCH(W1114*1,type!$A$118:$A$168,0),8),INDEX(Expenditure_type,MATCH(W1114*1,type!$A$2:$A$117,0),8))</f>
        <v>#N/A</v>
      </c>
      <c r="Y1114" s="18" t="str">
        <f t="shared" si="145"/>
        <v>200</v>
      </c>
      <c r="Z1114" s="18" t="e">
        <f>IF($L1114&lt;"6",INDEX(Revenue_type,MATCH(Y1114*1,type!$A$118:$A$168,0),8),INDEX(Expenditure_type,MATCH(Y1114*1,type!$A$2:$A$117,0),8))</f>
        <v>#N/A</v>
      </c>
    </row>
    <row r="1115" spans="1:26" ht="15.75" hidden="1" customHeight="1" outlineLevel="2">
      <c r="A1115">
        <v>500</v>
      </c>
      <c r="B1115" s="249">
        <v>815790</v>
      </c>
      <c r="C1115">
        <v>1</v>
      </c>
      <c r="D1115" t="str">
        <f t="shared" si="138"/>
        <v>1815790.500</v>
      </c>
      <c r="E1115" s="382" t="s">
        <v>8777</v>
      </c>
      <c r="F1115" s="242"/>
      <c r="G1115"/>
      <c r="H1115" s="322">
        <v>850000</v>
      </c>
      <c r="I1115" s="322">
        <v>850000</v>
      </c>
      <c r="J1115" s="242">
        <v>354700</v>
      </c>
      <c r="K1115" s="18" t="e">
        <f>INDEX(תקציב_2013,MATCH(D1115,'תקציב 2015'!$D$3:$D$5960,0),8)</f>
        <v>#N/A</v>
      </c>
      <c r="L1115" s="18" t="str">
        <f t="shared" si="139"/>
        <v>8</v>
      </c>
      <c r="M1115" s="18" t="str">
        <f>INDEX(Chapter,MATCH(L1115,Chapter!$A$1:$A$681,0),8)</f>
        <v>שירותים ממלכתיים</v>
      </c>
      <c r="N1115" s="18" t="str">
        <f t="shared" si="140"/>
        <v>81</v>
      </c>
      <c r="O1115" s="18" t="str">
        <f>INDEX(Chapter,MATCH(N1115,Chapter!$A$1:$A$681,0),8)</f>
        <v>חינוך</v>
      </c>
      <c r="P1115" s="18" t="str">
        <f t="shared" si="141"/>
        <v>815</v>
      </c>
      <c r="Q1115" s="18" t="str">
        <f>INDEX(Chapter,MATCH(P1115,Chapter!$A$1:$A$681,0),8)</f>
        <v>חינוך על יסודי</v>
      </c>
      <c r="R1115" s="18" t="str">
        <f t="shared" si="142"/>
        <v>8157</v>
      </c>
      <c r="S1115" s="18" t="str">
        <f>INDEX(Chapter,MATCH(R1115,Chapter!$A$1:$A$681,0),8)</f>
        <v>בתי״ס על יסודיים מקיפים</v>
      </c>
      <c r="T1115" s="18"/>
      <c r="U1115" s="18" t="str">
        <f t="shared" si="143"/>
        <v>5</v>
      </c>
      <c r="V1115" s="18" t="str">
        <f>IF($L1115&lt;"6",INDEX(Revenue_type,MATCH(U1115*1,type!$A$118:$A$168,0),8),INDEX(Expenditure_type,MATCH(U1115*1,type!$A$2:$A$117,0),8))</f>
        <v>הוצאות מנהליות</v>
      </c>
      <c r="W1115" s="18" t="str">
        <f t="shared" si="144"/>
        <v>50</v>
      </c>
      <c r="X1115" s="18" t="e">
        <f>IF($L1115&lt;"6",INDEX(Revenue_type,MATCH(W1115*1,type!$A$118:$A$168,0),8),INDEX(Expenditure_type,MATCH(W1115*1,type!$A$2:$A$117,0),8))</f>
        <v>#N/A</v>
      </c>
      <c r="Y1115" s="18" t="str">
        <f t="shared" si="145"/>
        <v>500</v>
      </c>
      <c r="Z1115" s="18" t="e">
        <f>IF($L1115&lt;"6",INDEX(Revenue_type,MATCH(Y1115*1,type!$A$118:$A$168,0),8),INDEX(Expenditure_type,MATCH(Y1115*1,type!$A$2:$A$117,0),8))</f>
        <v>#N/A</v>
      </c>
    </row>
    <row r="1116" spans="1:26" ht="15.75" hidden="1" customHeight="1" outlineLevel="2">
      <c r="A1116">
        <v>100</v>
      </c>
      <c r="B1116" s="249">
        <v>813710</v>
      </c>
      <c r="C1116">
        <v>1</v>
      </c>
      <c r="D1116" t="str">
        <f t="shared" si="138"/>
        <v>1813710.100</v>
      </c>
      <c r="E1116" s="382" t="s">
        <v>8778</v>
      </c>
      <c r="F1116" s="242"/>
      <c r="G1116"/>
      <c r="H1116" s="322">
        <v>383000</v>
      </c>
      <c r="I1116" s="322">
        <v>379000</v>
      </c>
      <c r="J1116" s="242">
        <v>348900</v>
      </c>
      <c r="K1116" s="18" t="e">
        <f>INDEX(תקציב_2013,MATCH(D1116,'תקציב 2015'!$D$3:$D$5960,0),8)</f>
        <v>#N/A</v>
      </c>
      <c r="L1116" s="18" t="str">
        <f t="shared" si="139"/>
        <v>8</v>
      </c>
      <c r="M1116" s="18" t="str">
        <f>INDEX(Chapter,MATCH(L1116,Chapter!$A$1:$A$681,0),8)</f>
        <v>שירותים ממלכתיים</v>
      </c>
      <c r="N1116" s="18" t="str">
        <f t="shared" si="140"/>
        <v>81</v>
      </c>
      <c r="O1116" s="18" t="str">
        <f>INDEX(Chapter,MATCH(N1116,Chapter!$A$1:$A$681,0),8)</f>
        <v>חינוך</v>
      </c>
      <c r="P1116" s="18" t="str">
        <f t="shared" si="141"/>
        <v>813</v>
      </c>
      <c r="Q1116" s="18" t="str">
        <f>INDEX(Chapter,MATCH(P1116,Chapter!$A$1:$A$681,0),8)</f>
        <v>חינוך יסודי</v>
      </c>
      <c r="R1116" s="18" t="str">
        <f t="shared" si="142"/>
        <v>8137</v>
      </c>
      <c r="S1116" s="18" t="str">
        <f>INDEX(Chapter,MATCH(R1116,Chapter!$A$1:$A$681,0),8)</f>
        <v>חוות חקלאיות</v>
      </c>
      <c r="T1116" s="18"/>
      <c r="U1116" s="18" t="str">
        <f t="shared" si="143"/>
        <v>1</v>
      </c>
      <c r="V1116" s="18" t="str">
        <f>IF($L1116&lt;"6",INDEX(Revenue_type,MATCH(U1116*1,type!$A$118:$A$168,0),8),INDEX(Expenditure_type,MATCH(U1116*1,type!$A$2:$A$117,0),8))</f>
        <v>משכורות וש"ע לעובדים לפי תקן</v>
      </c>
      <c r="W1116" s="18" t="str">
        <f t="shared" si="144"/>
        <v>10</v>
      </c>
      <c r="X1116" s="18" t="e">
        <f>IF($L1116&lt;"6",INDEX(Revenue_type,MATCH(W1116*1,type!$A$118:$A$168,0),8),INDEX(Expenditure_type,MATCH(W1116*1,type!$A$2:$A$117,0),8))</f>
        <v>#N/A</v>
      </c>
      <c r="Y1116" s="18" t="str">
        <f t="shared" si="145"/>
        <v>100</v>
      </c>
      <c r="Z1116" s="18" t="e">
        <f>IF($L1116&lt;"6",INDEX(Revenue_type,MATCH(Y1116*1,type!$A$118:$A$168,0),8),INDEX(Expenditure_type,MATCH(Y1116*1,type!$A$2:$A$117,0),8))</f>
        <v>#N/A</v>
      </c>
    </row>
    <row r="1117" spans="1:26" ht="15.75" hidden="1" customHeight="1" outlineLevel="2">
      <c r="A1117">
        <v>400</v>
      </c>
      <c r="B1117" s="249">
        <v>813710</v>
      </c>
      <c r="C1117">
        <v>1</v>
      </c>
      <c r="D1117" t="str">
        <f t="shared" si="138"/>
        <v>1813710.400</v>
      </c>
      <c r="E1117" s="382" t="s">
        <v>8779</v>
      </c>
      <c r="F1117" s="242"/>
      <c r="G1117"/>
      <c r="H1117" s="322">
        <v>64000</v>
      </c>
      <c r="I1117" s="322">
        <v>64000</v>
      </c>
      <c r="J1117" s="242">
        <v>26300</v>
      </c>
      <c r="K1117" s="18" t="e">
        <f>INDEX(תקציב_2013,MATCH(D1117,'תקציב 2015'!$D$3:$D$5960,0),8)</f>
        <v>#N/A</v>
      </c>
      <c r="L1117" s="18" t="str">
        <f t="shared" si="139"/>
        <v>8</v>
      </c>
      <c r="M1117" s="18" t="str">
        <f>INDEX(Chapter,MATCH(L1117,Chapter!$A$1:$A$681,0),8)</f>
        <v>שירותים ממלכתיים</v>
      </c>
      <c r="N1117" s="18" t="str">
        <f t="shared" si="140"/>
        <v>81</v>
      </c>
      <c r="O1117" s="18" t="str">
        <f>INDEX(Chapter,MATCH(N1117,Chapter!$A$1:$A$681,0),8)</f>
        <v>חינוך</v>
      </c>
      <c r="P1117" s="18" t="str">
        <f t="shared" si="141"/>
        <v>813</v>
      </c>
      <c r="Q1117" s="18" t="str">
        <f>INDEX(Chapter,MATCH(P1117,Chapter!$A$1:$A$681,0),8)</f>
        <v>חינוך יסודי</v>
      </c>
      <c r="R1117" s="18" t="str">
        <f t="shared" si="142"/>
        <v>8137</v>
      </c>
      <c r="S1117" s="18" t="str">
        <f>INDEX(Chapter,MATCH(R1117,Chapter!$A$1:$A$681,0),8)</f>
        <v>חוות חקלאיות</v>
      </c>
      <c r="T1117" s="18"/>
      <c r="U1117" s="18" t="str">
        <f t="shared" si="143"/>
        <v>4</v>
      </c>
      <c r="V1117" s="18" t="str">
        <f>IF($L1117&lt;"6",INDEX(Revenue_type,MATCH(U1117*1,type!$A$118:$A$168,0),8),INDEX(Expenditure_type,MATCH(U1117*1,type!$A$2:$A$117,0),8))</f>
        <v>אחזקת בינים ואספקת ציוד</v>
      </c>
      <c r="W1117" s="18" t="str">
        <f t="shared" si="144"/>
        <v>40</v>
      </c>
      <c r="X1117" s="18" t="e">
        <f>IF($L1117&lt;"6",INDEX(Revenue_type,MATCH(W1117*1,type!$A$118:$A$168,0),8),INDEX(Expenditure_type,MATCH(W1117*1,type!$A$2:$A$117,0),8))</f>
        <v>#N/A</v>
      </c>
      <c r="Y1117" s="18" t="str">
        <f t="shared" si="145"/>
        <v>400</v>
      </c>
      <c r="Z1117" s="18" t="e">
        <f>IF($L1117&lt;"6",INDEX(Revenue_type,MATCH(Y1117*1,type!$A$118:$A$168,0),8),INDEX(Expenditure_type,MATCH(Y1117*1,type!$A$2:$A$117,0),8))</f>
        <v>#N/A</v>
      </c>
    </row>
    <row r="1118" spans="1:26" ht="15.75" hidden="1" customHeight="1" outlineLevel="2">
      <c r="A1118">
        <v>700</v>
      </c>
      <c r="B1118" s="249">
        <v>813710</v>
      </c>
      <c r="C1118">
        <v>1</v>
      </c>
      <c r="D1118" t="str">
        <f t="shared" si="138"/>
        <v>1813710.700</v>
      </c>
      <c r="E1118" s="382" t="s">
        <v>8780</v>
      </c>
      <c r="F1118" s="242"/>
      <c r="G1118"/>
      <c r="H1118" s="322">
        <v>44300</v>
      </c>
      <c r="I1118" s="322">
        <v>47500</v>
      </c>
      <c r="J1118" s="242">
        <v>32100</v>
      </c>
      <c r="K1118" s="18" t="e">
        <f>INDEX(תקציב_2013,MATCH(D1118,'תקציב 2015'!$D$3:$D$5960,0),8)</f>
        <v>#N/A</v>
      </c>
      <c r="L1118" s="18" t="str">
        <f t="shared" si="139"/>
        <v>8</v>
      </c>
      <c r="M1118" s="18" t="str">
        <f>INDEX(Chapter,MATCH(L1118,Chapter!$A$1:$A$681,0),8)</f>
        <v>שירותים ממלכתיים</v>
      </c>
      <c r="N1118" s="18" t="str">
        <f t="shared" si="140"/>
        <v>81</v>
      </c>
      <c r="O1118" s="18" t="str">
        <f>INDEX(Chapter,MATCH(N1118,Chapter!$A$1:$A$681,0),8)</f>
        <v>חינוך</v>
      </c>
      <c r="P1118" s="18" t="str">
        <f t="shared" si="141"/>
        <v>813</v>
      </c>
      <c r="Q1118" s="18" t="str">
        <f>INDEX(Chapter,MATCH(P1118,Chapter!$A$1:$A$681,0),8)</f>
        <v>חינוך יסודי</v>
      </c>
      <c r="R1118" s="18" t="str">
        <f t="shared" si="142"/>
        <v>8137</v>
      </c>
      <c r="S1118" s="18" t="str">
        <f>INDEX(Chapter,MATCH(R1118,Chapter!$A$1:$A$681,0),8)</f>
        <v>חוות חקלאיות</v>
      </c>
      <c r="T1118" s="18"/>
      <c r="U1118" s="18" t="str">
        <f t="shared" si="143"/>
        <v>7</v>
      </c>
      <c r="V1118" s="18" t="str">
        <f>IF($L1118&lt;"6",INDEX(Revenue_type,MATCH(U1118*1,type!$A$118:$A$168,0),8),INDEX(Expenditure_type,MATCH(U1118*1,type!$A$2:$A$117,0),8))</f>
        <v>הוצאות לפעולות</v>
      </c>
      <c r="W1118" s="18" t="str">
        <f t="shared" si="144"/>
        <v>70</v>
      </c>
      <c r="X1118" s="18" t="e">
        <f>IF($L1118&lt;"6",INDEX(Revenue_type,MATCH(W1118*1,type!$A$118:$A$168,0),8),INDEX(Expenditure_type,MATCH(W1118*1,type!$A$2:$A$117,0),8))</f>
        <v>#N/A</v>
      </c>
      <c r="Y1118" s="18" t="str">
        <f t="shared" si="145"/>
        <v>700</v>
      </c>
      <c r="Z1118" s="18" t="e">
        <f>IF($L1118&lt;"6",INDEX(Revenue_type,MATCH(Y1118*1,type!$A$118:$A$168,0),8),INDEX(Expenditure_type,MATCH(Y1118*1,type!$A$2:$A$117,0),8))</f>
        <v>#N/A</v>
      </c>
    </row>
    <row r="1119" spans="1:26" ht="15.75" hidden="1" customHeight="1" outlineLevel="2">
      <c r="A1119">
        <v>500</v>
      </c>
      <c r="B1119" s="249">
        <v>813719</v>
      </c>
      <c r="C1119">
        <v>1</v>
      </c>
      <c r="D1119" t="str">
        <f t="shared" si="138"/>
        <v>1813719.500</v>
      </c>
      <c r="E1119" s="382" t="s">
        <v>8781</v>
      </c>
      <c r="F1119" s="242"/>
      <c r="G1119"/>
      <c r="H1119" s="322">
        <v>30000</v>
      </c>
      <c r="I1119" s="322">
        <v>30000</v>
      </c>
      <c r="J1119" s="242">
        <v>16800</v>
      </c>
      <c r="K1119" s="18" t="e">
        <f>INDEX(תקציב_2013,MATCH(D1119,'תקציב 2015'!$D$3:$D$5960,0),8)</f>
        <v>#N/A</v>
      </c>
      <c r="L1119" s="18" t="str">
        <f t="shared" si="139"/>
        <v>8</v>
      </c>
      <c r="M1119" s="18" t="str">
        <f>INDEX(Chapter,MATCH(L1119,Chapter!$A$1:$A$681,0),8)</f>
        <v>שירותים ממלכתיים</v>
      </c>
      <c r="N1119" s="18" t="str">
        <f t="shared" si="140"/>
        <v>81</v>
      </c>
      <c r="O1119" s="18" t="str">
        <f>INDEX(Chapter,MATCH(N1119,Chapter!$A$1:$A$681,0),8)</f>
        <v>חינוך</v>
      </c>
      <c r="P1119" s="18" t="str">
        <f t="shared" si="141"/>
        <v>813</v>
      </c>
      <c r="Q1119" s="18" t="str">
        <f>INDEX(Chapter,MATCH(P1119,Chapter!$A$1:$A$681,0),8)</f>
        <v>חינוך יסודי</v>
      </c>
      <c r="R1119" s="18" t="str">
        <f t="shared" si="142"/>
        <v>8137</v>
      </c>
      <c r="S1119" s="18" t="str">
        <f>INDEX(Chapter,MATCH(R1119,Chapter!$A$1:$A$681,0),8)</f>
        <v>חוות חקלאיות</v>
      </c>
      <c r="T1119" s="18"/>
      <c r="U1119" s="18" t="str">
        <f t="shared" si="143"/>
        <v>5</v>
      </c>
      <c r="V1119" s="18" t="str">
        <f>IF($L1119&lt;"6",INDEX(Revenue_type,MATCH(U1119*1,type!$A$118:$A$168,0),8),INDEX(Expenditure_type,MATCH(U1119*1,type!$A$2:$A$117,0),8))</f>
        <v>הוצאות מנהליות</v>
      </c>
      <c r="W1119" s="18" t="str">
        <f t="shared" si="144"/>
        <v>50</v>
      </c>
      <c r="X1119" s="18" t="e">
        <f>IF($L1119&lt;"6",INDEX(Revenue_type,MATCH(W1119*1,type!$A$118:$A$168,0),8),INDEX(Expenditure_type,MATCH(W1119*1,type!$A$2:$A$117,0),8))</f>
        <v>#N/A</v>
      </c>
      <c r="Y1119" s="18" t="str">
        <f t="shared" si="145"/>
        <v>500</v>
      </c>
      <c r="Z1119" s="18" t="e">
        <f>IF($L1119&lt;"6",INDEX(Revenue_type,MATCH(Y1119*1,type!$A$118:$A$168,0),8),INDEX(Expenditure_type,MATCH(Y1119*1,type!$A$2:$A$117,0),8))</f>
        <v>#N/A</v>
      </c>
    </row>
    <row r="1120" spans="1:26" ht="15.75" hidden="1" customHeight="1" outlineLevel="2">
      <c r="A1120">
        <v>100</v>
      </c>
      <c r="B1120" s="249">
        <v>813720</v>
      </c>
      <c r="C1120">
        <v>1</v>
      </c>
      <c r="D1120" t="str">
        <f t="shared" si="138"/>
        <v>1813720.100</v>
      </c>
      <c r="E1120" s="382" t="s">
        <v>8782</v>
      </c>
      <c r="F1120" s="242"/>
      <c r="G1120"/>
      <c r="H1120" s="322">
        <v>519000</v>
      </c>
      <c r="I1120" s="322">
        <v>642000</v>
      </c>
      <c r="J1120" s="242">
        <v>481800</v>
      </c>
      <c r="K1120" s="18"/>
      <c r="L1120" s="18" t="str">
        <f t="shared" si="139"/>
        <v>8</v>
      </c>
      <c r="M1120" s="18" t="str">
        <f>INDEX(Chapter,MATCH(L1120,Chapter!$A$1:$A$681,0),8)</f>
        <v>שירותים ממלכתיים</v>
      </c>
      <c r="N1120" s="18" t="str">
        <f t="shared" si="140"/>
        <v>81</v>
      </c>
      <c r="O1120" s="18" t="str">
        <f>INDEX(Chapter,MATCH(N1120,Chapter!$A$1:$A$681,0),8)</f>
        <v>חינוך</v>
      </c>
      <c r="P1120" s="18" t="str">
        <f t="shared" si="141"/>
        <v>813</v>
      </c>
      <c r="Q1120" s="18" t="str">
        <f>INDEX(Chapter,MATCH(P1120,Chapter!$A$1:$A$681,0),8)</f>
        <v>חינוך יסודי</v>
      </c>
      <c r="R1120" s="18" t="str">
        <f t="shared" si="142"/>
        <v>8137</v>
      </c>
      <c r="S1120" s="18" t="str">
        <f>INDEX(Chapter,MATCH(R1120,Chapter!$A$1:$A$681,0),8)</f>
        <v>חוות חקלאיות</v>
      </c>
      <c r="T1120" s="18"/>
      <c r="U1120" s="18" t="str">
        <f t="shared" si="143"/>
        <v>1</v>
      </c>
      <c r="V1120" s="18" t="str">
        <f>IF($L1120&lt;"6",INDEX(Revenue_type,MATCH(U1120*1,type!$A$118:$A$168,0),8),INDEX(Expenditure_type,MATCH(U1120*1,type!$A$2:$A$117,0),8))</f>
        <v>משכורות וש"ע לעובדים לפי תקן</v>
      </c>
      <c r="W1120" s="18" t="str">
        <f t="shared" si="144"/>
        <v>10</v>
      </c>
      <c r="X1120" s="18" t="e">
        <f>IF($L1120&lt;"6",INDEX(Revenue_type,MATCH(W1120*1,type!$A$118:$A$168,0),8),INDEX(Expenditure_type,MATCH(W1120*1,type!$A$2:$A$117,0),8))</f>
        <v>#N/A</v>
      </c>
      <c r="Y1120" s="18" t="str">
        <f t="shared" si="145"/>
        <v>100</v>
      </c>
      <c r="Z1120" s="18" t="e">
        <f>IF($L1120&lt;"6",INDEX(Revenue_type,MATCH(Y1120*1,type!$A$118:$A$168,0),8),INDEX(Expenditure_type,MATCH(Y1120*1,type!$A$2:$A$117,0),8))</f>
        <v>#N/A</v>
      </c>
    </row>
    <row r="1121" spans="1:26" ht="15.75" hidden="1" customHeight="1" outlineLevel="2">
      <c r="A1121">
        <v>400</v>
      </c>
      <c r="B1121" s="249">
        <v>813720</v>
      </c>
      <c r="C1121">
        <v>1</v>
      </c>
      <c r="D1121" t="str">
        <f t="shared" si="138"/>
        <v>1813720.400</v>
      </c>
      <c r="E1121" s="382" t="s">
        <v>8783</v>
      </c>
      <c r="F1121" s="242"/>
      <c r="G1121"/>
      <c r="H1121" s="322">
        <v>28500</v>
      </c>
      <c r="I1121" s="322">
        <v>28500</v>
      </c>
      <c r="J1121" s="242">
        <v>35600</v>
      </c>
      <c r="K1121" s="18"/>
      <c r="L1121" s="18" t="str">
        <f t="shared" si="139"/>
        <v>8</v>
      </c>
      <c r="M1121" s="18" t="str">
        <f>INDEX(Chapter,MATCH(L1121,Chapter!$A$1:$A$681,0),8)</f>
        <v>שירותים ממלכתיים</v>
      </c>
      <c r="N1121" s="18" t="str">
        <f t="shared" si="140"/>
        <v>81</v>
      </c>
      <c r="O1121" s="18" t="str">
        <f>INDEX(Chapter,MATCH(N1121,Chapter!$A$1:$A$681,0),8)</f>
        <v>חינוך</v>
      </c>
      <c r="P1121" s="18" t="str">
        <f t="shared" si="141"/>
        <v>813</v>
      </c>
      <c r="Q1121" s="18" t="str">
        <f>INDEX(Chapter,MATCH(P1121,Chapter!$A$1:$A$681,0),8)</f>
        <v>חינוך יסודי</v>
      </c>
      <c r="R1121" s="18" t="str">
        <f t="shared" si="142"/>
        <v>8137</v>
      </c>
      <c r="S1121" s="18" t="str">
        <f>INDEX(Chapter,MATCH(R1121,Chapter!$A$1:$A$681,0),8)</f>
        <v>חוות חקלאיות</v>
      </c>
      <c r="T1121" s="18"/>
      <c r="U1121" s="18" t="str">
        <f t="shared" si="143"/>
        <v>4</v>
      </c>
      <c r="V1121" s="18" t="str">
        <f>IF($L1121&lt;"6",INDEX(Revenue_type,MATCH(U1121*1,type!$A$118:$A$168,0),8),INDEX(Expenditure_type,MATCH(U1121*1,type!$A$2:$A$117,0),8))</f>
        <v>אחזקת בינים ואספקת ציוד</v>
      </c>
      <c r="W1121" s="18" t="str">
        <f t="shared" si="144"/>
        <v>40</v>
      </c>
      <c r="X1121" s="18" t="e">
        <f>IF($L1121&lt;"6",INDEX(Revenue_type,MATCH(W1121*1,type!$A$118:$A$168,0),8),INDEX(Expenditure_type,MATCH(W1121*1,type!$A$2:$A$117,0),8))</f>
        <v>#N/A</v>
      </c>
      <c r="Y1121" s="18" t="str">
        <f t="shared" si="145"/>
        <v>400</v>
      </c>
      <c r="Z1121" s="18" t="e">
        <f>IF($L1121&lt;"6",INDEX(Revenue_type,MATCH(Y1121*1,type!$A$118:$A$168,0),8),INDEX(Expenditure_type,MATCH(Y1121*1,type!$A$2:$A$117,0),8))</f>
        <v>#N/A</v>
      </c>
    </row>
    <row r="1122" spans="1:26" ht="15.75" hidden="1" customHeight="1" outlineLevel="2">
      <c r="A1122">
        <v>700</v>
      </c>
      <c r="B1122" s="249">
        <v>813720</v>
      </c>
      <c r="C1122">
        <v>1</v>
      </c>
      <c r="D1122" t="str">
        <f t="shared" si="138"/>
        <v>1813720.700</v>
      </c>
      <c r="E1122" s="382" t="s">
        <v>8784</v>
      </c>
      <c r="F1122" s="242"/>
      <c r="G1122"/>
      <c r="H1122" s="322">
        <v>64600</v>
      </c>
      <c r="I1122" s="322">
        <v>67300</v>
      </c>
      <c r="J1122" s="242">
        <v>55800</v>
      </c>
      <c r="K1122" s="18"/>
      <c r="L1122" s="18" t="str">
        <f t="shared" si="139"/>
        <v>8</v>
      </c>
      <c r="M1122" s="18" t="str">
        <f>INDEX(Chapter,MATCH(L1122,Chapter!$A$1:$A$681,0),8)</f>
        <v>שירותים ממלכתיים</v>
      </c>
      <c r="N1122" s="18" t="str">
        <f t="shared" si="140"/>
        <v>81</v>
      </c>
      <c r="O1122" s="18" t="str">
        <f>INDEX(Chapter,MATCH(N1122,Chapter!$A$1:$A$681,0),8)</f>
        <v>חינוך</v>
      </c>
      <c r="P1122" s="18" t="str">
        <f t="shared" si="141"/>
        <v>813</v>
      </c>
      <c r="Q1122" s="18" t="str">
        <f>INDEX(Chapter,MATCH(P1122,Chapter!$A$1:$A$681,0),8)</f>
        <v>חינוך יסודי</v>
      </c>
      <c r="R1122" s="18" t="str">
        <f t="shared" si="142"/>
        <v>8137</v>
      </c>
      <c r="S1122" s="18" t="str">
        <f>INDEX(Chapter,MATCH(R1122,Chapter!$A$1:$A$681,0),8)</f>
        <v>חוות חקלאיות</v>
      </c>
      <c r="T1122" s="18"/>
      <c r="U1122" s="18" t="str">
        <f t="shared" si="143"/>
        <v>7</v>
      </c>
      <c r="V1122" s="18" t="str">
        <f>IF($L1122&lt;"6",INDEX(Revenue_type,MATCH(U1122*1,type!$A$118:$A$168,0),8),INDEX(Expenditure_type,MATCH(U1122*1,type!$A$2:$A$117,0),8))</f>
        <v>הוצאות לפעולות</v>
      </c>
      <c r="W1122" s="18" t="str">
        <f t="shared" si="144"/>
        <v>70</v>
      </c>
      <c r="X1122" s="18" t="e">
        <f>IF($L1122&lt;"6",INDEX(Revenue_type,MATCH(W1122*1,type!$A$118:$A$168,0),8),INDEX(Expenditure_type,MATCH(W1122*1,type!$A$2:$A$117,0),8))</f>
        <v>#N/A</v>
      </c>
      <c r="Y1122" s="18" t="str">
        <f t="shared" si="145"/>
        <v>700</v>
      </c>
      <c r="Z1122" s="18" t="e">
        <f>IF($L1122&lt;"6",INDEX(Revenue_type,MATCH(Y1122*1,type!$A$118:$A$168,0),8),INDEX(Expenditure_type,MATCH(Y1122*1,type!$A$2:$A$117,0),8))</f>
        <v>#N/A</v>
      </c>
    </row>
    <row r="1123" spans="1:26" ht="15.75" hidden="1" customHeight="1" outlineLevel="2">
      <c r="A1123">
        <v>500</v>
      </c>
      <c r="B1123" s="249">
        <v>813729</v>
      </c>
      <c r="C1123">
        <v>1</v>
      </c>
      <c r="D1123" t="str">
        <f t="shared" si="138"/>
        <v>1813729.500</v>
      </c>
      <c r="E1123" s="382" t="s">
        <v>8785</v>
      </c>
      <c r="F1123" s="242"/>
      <c r="G1123"/>
      <c r="H1123" s="322">
        <v>155000</v>
      </c>
      <c r="I1123" s="322">
        <v>155000</v>
      </c>
      <c r="J1123" s="242">
        <v>19200</v>
      </c>
      <c r="K1123" s="18"/>
      <c r="L1123" s="18" t="str">
        <f t="shared" si="139"/>
        <v>8</v>
      </c>
      <c r="M1123" s="18" t="str">
        <f>INDEX(Chapter,MATCH(L1123,Chapter!$A$1:$A$681,0),8)</f>
        <v>שירותים ממלכתיים</v>
      </c>
      <c r="N1123" s="18" t="str">
        <f t="shared" si="140"/>
        <v>81</v>
      </c>
      <c r="O1123" s="18" t="str">
        <f>INDEX(Chapter,MATCH(N1123,Chapter!$A$1:$A$681,0),8)</f>
        <v>חינוך</v>
      </c>
      <c r="P1123" s="18" t="str">
        <f t="shared" si="141"/>
        <v>813</v>
      </c>
      <c r="Q1123" s="18" t="str">
        <f>INDEX(Chapter,MATCH(P1123,Chapter!$A$1:$A$681,0),8)</f>
        <v>חינוך יסודי</v>
      </c>
      <c r="R1123" s="18" t="str">
        <f t="shared" si="142"/>
        <v>8137</v>
      </c>
      <c r="S1123" s="18" t="str">
        <f>INDEX(Chapter,MATCH(R1123,Chapter!$A$1:$A$681,0),8)</f>
        <v>חוות חקלאיות</v>
      </c>
      <c r="T1123" s="18"/>
      <c r="U1123" s="18" t="str">
        <f t="shared" si="143"/>
        <v>5</v>
      </c>
      <c r="V1123" s="18" t="str">
        <f>IF($L1123&lt;"6",INDEX(Revenue_type,MATCH(U1123*1,type!$A$118:$A$168,0),8),INDEX(Expenditure_type,MATCH(U1123*1,type!$A$2:$A$117,0),8))</f>
        <v>הוצאות מנהליות</v>
      </c>
      <c r="W1123" s="18" t="str">
        <f t="shared" si="144"/>
        <v>50</v>
      </c>
      <c r="X1123" s="18" t="e">
        <f>IF($L1123&lt;"6",INDEX(Revenue_type,MATCH(W1123*1,type!$A$118:$A$168,0),8),INDEX(Expenditure_type,MATCH(W1123*1,type!$A$2:$A$117,0),8))</f>
        <v>#N/A</v>
      </c>
      <c r="Y1123" s="18" t="str">
        <f t="shared" si="145"/>
        <v>500</v>
      </c>
      <c r="Z1123" s="18" t="e">
        <f>IF($L1123&lt;"6",INDEX(Revenue_type,MATCH(Y1123*1,type!$A$118:$A$168,0),8),INDEX(Expenditure_type,MATCH(Y1123*1,type!$A$2:$A$117,0),8))</f>
        <v>#N/A</v>
      </c>
    </row>
    <row r="1124" spans="1:26" ht="15.75" hidden="1" customHeight="1" outlineLevel="2">
      <c r="A1124">
        <v>700</v>
      </c>
      <c r="B1124" s="249">
        <v>815510</v>
      </c>
      <c r="C1124">
        <v>1</v>
      </c>
      <c r="D1124" t="str">
        <f t="shared" si="138"/>
        <v>1815510.700</v>
      </c>
      <c r="E1124" s="382" t="s">
        <v>8786</v>
      </c>
      <c r="F1124" s="242"/>
      <c r="G1124"/>
      <c r="H1124" s="322">
        <v>1214300</v>
      </c>
      <c r="I1124" s="322">
        <v>1250000</v>
      </c>
      <c r="J1124" s="242">
        <v>0</v>
      </c>
      <c r="K1124" s="18"/>
      <c r="L1124" s="18" t="str">
        <f t="shared" si="139"/>
        <v>8</v>
      </c>
      <c r="M1124" s="18" t="str">
        <f>INDEX(Chapter,MATCH(L1124,Chapter!$A$1:$A$681,0),8)</f>
        <v>שירותים ממלכתיים</v>
      </c>
      <c r="N1124" s="18" t="str">
        <f t="shared" si="140"/>
        <v>81</v>
      </c>
      <c r="O1124" s="18" t="str">
        <f>INDEX(Chapter,MATCH(N1124,Chapter!$A$1:$A$681,0),8)</f>
        <v>חינוך</v>
      </c>
      <c r="P1124" s="18" t="str">
        <f t="shared" si="141"/>
        <v>815</v>
      </c>
      <c r="Q1124" s="18" t="str">
        <f>INDEX(Chapter,MATCH(P1124,Chapter!$A$1:$A$681,0),8)</f>
        <v>חינוך על יסודי</v>
      </c>
      <c r="R1124" s="18" t="str">
        <f t="shared" si="142"/>
        <v>8155</v>
      </c>
      <c r="S1124" s="18" t="str">
        <f>INDEX(Chapter,MATCH(R1124,Chapter!$A$1:$A$681,0),8)</f>
        <v>בתי״ס על יסודיים מקצועיים</v>
      </c>
      <c r="T1124" s="18"/>
      <c r="U1124" s="18" t="str">
        <f t="shared" si="143"/>
        <v>7</v>
      </c>
      <c r="V1124" s="18" t="str">
        <f>IF($L1124&lt;"6",INDEX(Revenue_type,MATCH(U1124*1,type!$A$118:$A$168,0),8),INDEX(Expenditure_type,MATCH(U1124*1,type!$A$2:$A$117,0),8))</f>
        <v>הוצאות לפעולות</v>
      </c>
      <c r="W1124" s="18" t="str">
        <f t="shared" si="144"/>
        <v>70</v>
      </c>
      <c r="X1124" s="18" t="e">
        <f>IF($L1124&lt;"6",INDEX(Revenue_type,MATCH(W1124*1,type!$A$118:$A$168,0),8),INDEX(Expenditure_type,MATCH(W1124*1,type!$A$2:$A$117,0),8))</f>
        <v>#N/A</v>
      </c>
      <c r="Y1124" s="18" t="str">
        <f t="shared" si="145"/>
        <v>700</v>
      </c>
      <c r="Z1124" s="18" t="e">
        <f>IF($L1124&lt;"6",INDEX(Revenue_type,MATCH(Y1124*1,type!$A$118:$A$168,0),8),INDEX(Expenditure_type,MATCH(Y1124*1,type!$A$2:$A$117,0),8))</f>
        <v>#N/A</v>
      </c>
    </row>
    <row r="1125" spans="1:26" ht="15.75" hidden="1" customHeight="1" outlineLevel="2">
      <c r="A1125">
        <v>100</v>
      </c>
      <c r="B1125" s="249">
        <v>813830</v>
      </c>
      <c r="C1125">
        <v>1</v>
      </c>
      <c r="D1125" t="str">
        <f t="shared" si="138"/>
        <v>1813830.100</v>
      </c>
      <c r="E1125" s="382" t="s">
        <v>8787</v>
      </c>
      <c r="F1125" s="242"/>
      <c r="G1125"/>
      <c r="H1125" s="322">
        <v>456000</v>
      </c>
      <c r="I1125" s="322">
        <v>451000</v>
      </c>
      <c r="J1125" s="242">
        <v>405700</v>
      </c>
      <c r="K1125" s="18"/>
      <c r="L1125" s="18" t="str">
        <f t="shared" si="139"/>
        <v>8</v>
      </c>
      <c r="M1125" s="18" t="str">
        <f>INDEX(Chapter,MATCH(L1125,Chapter!$A$1:$A$681,0),8)</f>
        <v>שירותים ממלכתיים</v>
      </c>
      <c r="N1125" s="18" t="str">
        <f t="shared" si="140"/>
        <v>81</v>
      </c>
      <c r="O1125" s="18" t="str">
        <f>INDEX(Chapter,MATCH(N1125,Chapter!$A$1:$A$681,0),8)</f>
        <v>חינוך</v>
      </c>
      <c r="P1125" s="18" t="str">
        <f t="shared" si="141"/>
        <v>813</v>
      </c>
      <c r="Q1125" s="18" t="str">
        <f>INDEX(Chapter,MATCH(P1125,Chapter!$A$1:$A$681,0),8)</f>
        <v>חינוך יסודי</v>
      </c>
      <c r="R1125" s="18" t="str">
        <f t="shared" si="142"/>
        <v>8138</v>
      </c>
      <c r="S1125" s="18" t="str">
        <f>INDEX(Chapter,MATCH(R1125,Chapter!$A$1:$A$681,0),8)</f>
        <v>קייטנות לימודיות וחודש לימוד נוסף</v>
      </c>
      <c r="T1125" s="18"/>
      <c r="U1125" s="18" t="str">
        <f t="shared" si="143"/>
        <v>1</v>
      </c>
      <c r="V1125" s="18" t="str">
        <f>IF($L1125&lt;"6",INDEX(Revenue_type,MATCH(U1125*1,type!$A$118:$A$168,0),8),INDEX(Expenditure_type,MATCH(U1125*1,type!$A$2:$A$117,0),8))</f>
        <v>משכורות וש"ע לעובדים לפי תקן</v>
      </c>
      <c r="W1125" s="18" t="str">
        <f t="shared" si="144"/>
        <v>10</v>
      </c>
      <c r="X1125" s="18" t="e">
        <f>IF($L1125&lt;"6",INDEX(Revenue_type,MATCH(W1125*1,type!$A$118:$A$168,0),8),INDEX(Expenditure_type,MATCH(W1125*1,type!$A$2:$A$117,0),8))</f>
        <v>#N/A</v>
      </c>
      <c r="Y1125" s="18" t="str">
        <f t="shared" si="145"/>
        <v>100</v>
      </c>
      <c r="Z1125" s="18" t="e">
        <f>IF($L1125&lt;"6",INDEX(Revenue_type,MATCH(Y1125*1,type!$A$118:$A$168,0),8),INDEX(Expenditure_type,MATCH(Y1125*1,type!$A$2:$A$117,0),8))</f>
        <v>#N/A</v>
      </c>
    </row>
    <row r="1126" spans="1:26" ht="15.75" hidden="1" customHeight="1" outlineLevel="2">
      <c r="A1126">
        <v>400</v>
      </c>
      <c r="B1126" s="249">
        <v>813830</v>
      </c>
      <c r="C1126">
        <v>1</v>
      </c>
      <c r="D1126" t="str">
        <f t="shared" si="138"/>
        <v>1813830.400</v>
      </c>
      <c r="E1126" s="382" t="s">
        <v>8788</v>
      </c>
      <c r="F1126" s="242"/>
      <c r="G1126"/>
      <c r="H1126" s="322">
        <v>24000</v>
      </c>
      <c r="I1126" s="322">
        <v>24000</v>
      </c>
      <c r="J1126" s="242">
        <v>31400</v>
      </c>
      <c r="K1126" s="18"/>
      <c r="L1126" s="18" t="str">
        <f t="shared" si="139"/>
        <v>8</v>
      </c>
      <c r="M1126" s="18" t="str">
        <f>INDEX(Chapter,MATCH(L1126,Chapter!$A$1:$A$681,0),8)</f>
        <v>שירותים ממלכתיים</v>
      </c>
      <c r="N1126" s="18" t="str">
        <f t="shared" si="140"/>
        <v>81</v>
      </c>
      <c r="O1126" s="18" t="str">
        <f>INDEX(Chapter,MATCH(N1126,Chapter!$A$1:$A$681,0),8)</f>
        <v>חינוך</v>
      </c>
      <c r="P1126" s="18" t="str">
        <f t="shared" si="141"/>
        <v>813</v>
      </c>
      <c r="Q1126" s="18" t="str">
        <f>INDEX(Chapter,MATCH(P1126,Chapter!$A$1:$A$681,0),8)</f>
        <v>חינוך יסודי</v>
      </c>
      <c r="R1126" s="18" t="str">
        <f t="shared" si="142"/>
        <v>8138</v>
      </c>
      <c r="S1126" s="18" t="str">
        <f>INDEX(Chapter,MATCH(R1126,Chapter!$A$1:$A$681,0),8)</f>
        <v>קייטנות לימודיות וחודש לימוד נוסף</v>
      </c>
      <c r="T1126" s="18"/>
      <c r="U1126" s="18" t="str">
        <f t="shared" si="143"/>
        <v>4</v>
      </c>
      <c r="V1126" s="18" t="str">
        <f>IF($L1126&lt;"6",INDEX(Revenue_type,MATCH(U1126*1,type!$A$118:$A$168,0),8),INDEX(Expenditure_type,MATCH(U1126*1,type!$A$2:$A$117,0),8))</f>
        <v>אחזקת בינים ואספקת ציוד</v>
      </c>
      <c r="W1126" s="18" t="str">
        <f t="shared" si="144"/>
        <v>40</v>
      </c>
      <c r="X1126" s="18" t="e">
        <f>IF($L1126&lt;"6",INDEX(Revenue_type,MATCH(W1126*1,type!$A$118:$A$168,0),8),INDEX(Expenditure_type,MATCH(W1126*1,type!$A$2:$A$117,0),8))</f>
        <v>#N/A</v>
      </c>
      <c r="Y1126" s="18" t="str">
        <f t="shared" si="145"/>
        <v>400</v>
      </c>
      <c r="Z1126" s="18" t="e">
        <f>IF($L1126&lt;"6",INDEX(Revenue_type,MATCH(Y1126*1,type!$A$118:$A$168,0),8),INDEX(Expenditure_type,MATCH(Y1126*1,type!$A$2:$A$117,0),8))</f>
        <v>#N/A</v>
      </c>
    </row>
    <row r="1127" spans="1:26" ht="15.75" hidden="1" customHeight="1" outlineLevel="2">
      <c r="A1127">
        <v>700</v>
      </c>
      <c r="B1127" s="249">
        <v>813830</v>
      </c>
      <c r="C1127">
        <v>1</v>
      </c>
      <c r="D1127" t="str">
        <f t="shared" si="138"/>
        <v>1813830.700</v>
      </c>
      <c r="E1127" s="382" t="s">
        <v>8789</v>
      </c>
      <c r="F1127" s="242"/>
      <c r="G1127"/>
      <c r="H1127" s="322">
        <v>108100</v>
      </c>
      <c r="I1127" s="322">
        <v>112000</v>
      </c>
      <c r="J1127" s="242">
        <v>110900</v>
      </c>
      <c r="K1127" s="18"/>
      <c r="L1127" s="18" t="str">
        <f t="shared" si="139"/>
        <v>8</v>
      </c>
      <c r="M1127" s="18" t="str">
        <f>INDEX(Chapter,MATCH(L1127,Chapter!$A$1:$A$681,0),8)</f>
        <v>שירותים ממלכתיים</v>
      </c>
      <c r="N1127" s="18" t="str">
        <f t="shared" si="140"/>
        <v>81</v>
      </c>
      <c r="O1127" s="18" t="str">
        <f>INDEX(Chapter,MATCH(N1127,Chapter!$A$1:$A$681,0),8)</f>
        <v>חינוך</v>
      </c>
      <c r="P1127" s="18" t="str">
        <f t="shared" si="141"/>
        <v>813</v>
      </c>
      <c r="Q1127" s="18" t="str">
        <f>INDEX(Chapter,MATCH(P1127,Chapter!$A$1:$A$681,0),8)</f>
        <v>חינוך יסודי</v>
      </c>
      <c r="R1127" s="18" t="str">
        <f t="shared" si="142"/>
        <v>8138</v>
      </c>
      <c r="S1127" s="18" t="str">
        <f>INDEX(Chapter,MATCH(R1127,Chapter!$A$1:$A$681,0),8)</f>
        <v>קייטנות לימודיות וחודש לימוד נוסף</v>
      </c>
      <c r="T1127" s="18"/>
      <c r="U1127" s="18" t="str">
        <f t="shared" si="143"/>
        <v>7</v>
      </c>
      <c r="V1127" s="18" t="str">
        <f>IF($L1127&lt;"6",INDEX(Revenue_type,MATCH(U1127*1,type!$A$118:$A$168,0),8),INDEX(Expenditure_type,MATCH(U1127*1,type!$A$2:$A$117,0),8))</f>
        <v>הוצאות לפעולות</v>
      </c>
      <c r="W1127" s="18" t="str">
        <f t="shared" si="144"/>
        <v>70</v>
      </c>
      <c r="X1127" s="18" t="e">
        <f>IF($L1127&lt;"6",INDEX(Revenue_type,MATCH(W1127*1,type!$A$118:$A$168,0),8),INDEX(Expenditure_type,MATCH(W1127*1,type!$A$2:$A$117,0),8))</f>
        <v>#N/A</v>
      </c>
      <c r="Y1127" s="18" t="str">
        <f t="shared" si="145"/>
        <v>700</v>
      </c>
      <c r="Z1127" s="18" t="e">
        <f>IF($L1127&lt;"6",INDEX(Revenue_type,MATCH(Y1127*1,type!$A$118:$A$168,0),8),INDEX(Expenditure_type,MATCH(Y1127*1,type!$A$2:$A$117,0),8))</f>
        <v>#N/A</v>
      </c>
    </row>
    <row r="1128" spans="1:26" ht="15.75" hidden="1" customHeight="1" outlineLevel="2">
      <c r="A1128">
        <v>500</v>
      </c>
      <c r="B1128" s="249">
        <v>813839</v>
      </c>
      <c r="C1128">
        <v>1</v>
      </c>
      <c r="D1128" t="str">
        <f t="shared" si="138"/>
        <v>1813839.500</v>
      </c>
      <c r="E1128" s="382" t="s">
        <v>8790</v>
      </c>
      <c r="F1128" s="242"/>
      <c r="G1128"/>
      <c r="H1128" s="322">
        <v>20000</v>
      </c>
      <c r="I1128" s="322">
        <v>20000</v>
      </c>
      <c r="J1128" s="242">
        <v>500</v>
      </c>
      <c r="K1128" s="18"/>
      <c r="L1128" s="18" t="str">
        <f t="shared" si="139"/>
        <v>8</v>
      </c>
      <c r="M1128" s="18" t="str">
        <f>INDEX(Chapter,MATCH(L1128,Chapter!$A$1:$A$681,0),8)</f>
        <v>שירותים ממלכתיים</v>
      </c>
      <c r="N1128" s="18" t="str">
        <f t="shared" si="140"/>
        <v>81</v>
      </c>
      <c r="O1128" s="18" t="str">
        <f>INDEX(Chapter,MATCH(N1128,Chapter!$A$1:$A$681,0),8)</f>
        <v>חינוך</v>
      </c>
      <c r="P1128" s="18" t="str">
        <f t="shared" si="141"/>
        <v>813</v>
      </c>
      <c r="Q1128" s="18" t="str">
        <f>INDEX(Chapter,MATCH(P1128,Chapter!$A$1:$A$681,0),8)</f>
        <v>חינוך יסודי</v>
      </c>
      <c r="R1128" s="18" t="str">
        <f t="shared" si="142"/>
        <v>8138</v>
      </c>
      <c r="S1128" s="18" t="str">
        <f>INDEX(Chapter,MATCH(R1128,Chapter!$A$1:$A$681,0),8)</f>
        <v>קייטנות לימודיות וחודש לימוד נוסף</v>
      </c>
      <c r="T1128" s="18"/>
      <c r="U1128" s="18" t="str">
        <f t="shared" si="143"/>
        <v>5</v>
      </c>
      <c r="V1128" s="18" t="str">
        <f>IF($L1128&lt;"6",INDEX(Revenue_type,MATCH(U1128*1,type!$A$118:$A$168,0),8),INDEX(Expenditure_type,MATCH(U1128*1,type!$A$2:$A$117,0),8))</f>
        <v>הוצאות מנהליות</v>
      </c>
      <c r="W1128" s="18" t="str">
        <f t="shared" si="144"/>
        <v>50</v>
      </c>
      <c r="X1128" s="18" t="e">
        <f>IF($L1128&lt;"6",INDEX(Revenue_type,MATCH(W1128*1,type!$A$118:$A$168,0),8),INDEX(Expenditure_type,MATCH(W1128*1,type!$A$2:$A$117,0),8))</f>
        <v>#N/A</v>
      </c>
      <c r="Y1128" s="18" t="str">
        <f t="shared" si="145"/>
        <v>500</v>
      </c>
      <c r="Z1128" s="18" t="e">
        <f>IF($L1128&lt;"6",INDEX(Revenue_type,MATCH(Y1128*1,type!$A$118:$A$168,0),8),INDEX(Expenditure_type,MATCH(Y1128*1,type!$A$2:$A$117,0),8))</f>
        <v>#N/A</v>
      </c>
    </row>
    <row r="1129" spans="1:26" ht="15.75" hidden="1" customHeight="1" outlineLevel="2">
      <c r="A1129">
        <v>100</v>
      </c>
      <c r="B1129" s="249">
        <v>813287</v>
      </c>
      <c r="C1129">
        <v>1</v>
      </c>
      <c r="D1129" t="str">
        <f t="shared" si="138"/>
        <v>1813287.100</v>
      </c>
      <c r="E1129" s="382" t="s">
        <v>8791</v>
      </c>
      <c r="F1129" s="242"/>
      <c r="G1129"/>
      <c r="H1129" s="322">
        <v>284000</v>
      </c>
      <c r="I1129" s="322">
        <v>281000</v>
      </c>
      <c r="J1129" s="242">
        <v>284600</v>
      </c>
      <c r="K1129" s="18"/>
      <c r="L1129" s="18" t="str">
        <f t="shared" si="139"/>
        <v>8</v>
      </c>
      <c r="M1129" s="18" t="str">
        <f>INDEX(Chapter,MATCH(L1129,Chapter!$A$1:$A$681,0),8)</f>
        <v>שירותים ממלכתיים</v>
      </c>
      <c r="N1129" s="18" t="str">
        <f t="shared" si="140"/>
        <v>81</v>
      </c>
      <c r="O1129" s="18" t="str">
        <f>INDEX(Chapter,MATCH(N1129,Chapter!$A$1:$A$681,0),8)</f>
        <v>חינוך</v>
      </c>
      <c r="P1129" s="18" t="str">
        <f t="shared" si="141"/>
        <v>813</v>
      </c>
      <c r="Q1129" s="18" t="str">
        <f>INDEX(Chapter,MATCH(P1129,Chapter!$A$1:$A$681,0),8)</f>
        <v>חינוך יסודי</v>
      </c>
      <c r="R1129" s="18" t="str">
        <f t="shared" si="142"/>
        <v>8132</v>
      </c>
      <c r="S1129" s="18" t="str">
        <f>INDEX(Chapter,MATCH(R1129,Chapter!$A$1:$A$681,0),8)</f>
        <v>בתי״ס יסודיים</v>
      </c>
      <c r="T1129" s="18"/>
      <c r="U1129" s="18" t="str">
        <f t="shared" si="143"/>
        <v>1</v>
      </c>
      <c r="V1129" s="18" t="str">
        <f>IF($L1129&lt;"6",INDEX(Revenue_type,MATCH(U1129*1,type!$A$118:$A$168,0),8),INDEX(Expenditure_type,MATCH(U1129*1,type!$A$2:$A$117,0),8))</f>
        <v>משכורות וש"ע לעובדים לפי תקן</v>
      </c>
      <c r="W1129" s="18" t="str">
        <f t="shared" si="144"/>
        <v>10</v>
      </c>
      <c r="X1129" s="18" t="e">
        <f>IF($L1129&lt;"6",INDEX(Revenue_type,MATCH(W1129*1,type!$A$118:$A$168,0),8),INDEX(Expenditure_type,MATCH(W1129*1,type!$A$2:$A$117,0),8))</f>
        <v>#N/A</v>
      </c>
      <c r="Y1129" s="18" t="str">
        <f t="shared" si="145"/>
        <v>100</v>
      </c>
      <c r="Z1129" s="18" t="e">
        <f>IF($L1129&lt;"6",INDEX(Revenue_type,MATCH(Y1129*1,type!$A$118:$A$168,0),8),INDEX(Expenditure_type,MATCH(Y1129*1,type!$A$2:$A$117,0),8))</f>
        <v>#N/A</v>
      </c>
    </row>
    <row r="1130" spans="1:26" ht="15.75" hidden="1" customHeight="1" outlineLevel="2">
      <c r="A1130">
        <v>700</v>
      </c>
      <c r="B1130" s="249">
        <v>813287</v>
      </c>
      <c r="C1130">
        <v>1</v>
      </c>
      <c r="D1130" t="str">
        <f t="shared" si="138"/>
        <v>1813287.700</v>
      </c>
      <c r="E1130" s="382" t="s">
        <v>8792</v>
      </c>
      <c r="F1130" s="242"/>
      <c r="G1130"/>
      <c r="H1130" s="322">
        <v>43700</v>
      </c>
      <c r="I1130" s="322">
        <v>45000</v>
      </c>
      <c r="J1130" s="242">
        <v>45000</v>
      </c>
      <c r="K1130" s="18"/>
      <c r="L1130" s="18" t="str">
        <f t="shared" si="139"/>
        <v>8</v>
      </c>
      <c r="M1130" s="18" t="str">
        <f>INDEX(Chapter,MATCH(L1130,Chapter!$A$1:$A$681,0),8)</f>
        <v>שירותים ממלכתיים</v>
      </c>
      <c r="N1130" s="18" t="str">
        <f t="shared" si="140"/>
        <v>81</v>
      </c>
      <c r="O1130" s="18" t="str">
        <f>INDEX(Chapter,MATCH(N1130,Chapter!$A$1:$A$681,0),8)</f>
        <v>חינוך</v>
      </c>
      <c r="P1130" s="18" t="str">
        <f t="shared" si="141"/>
        <v>813</v>
      </c>
      <c r="Q1130" s="18" t="str">
        <f>INDEX(Chapter,MATCH(P1130,Chapter!$A$1:$A$681,0),8)</f>
        <v>חינוך יסודי</v>
      </c>
      <c r="R1130" s="18" t="str">
        <f t="shared" si="142"/>
        <v>8132</v>
      </c>
      <c r="S1130" s="18" t="str">
        <f>INDEX(Chapter,MATCH(R1130,Chapter!$A$1:$A$681,0),8)</f>
        <v>בתי״ס יסודיים</v>
      </c>
      <c r="T1130" s="18"/>
      <c r="U1130" s="18" t="str">
        <f t="shared" si="143"/>
        <v>7</v>
      </c>
      <c r="V1130" s="18" t="str">
        <f>IF($L1130&lt;"6",INDEX(Revenue_type,MATCH(U1130*1,type!$A$118:$A$168,0),8),INDEX(Expenditure_type,MATCH(U1130*1,type!$A$2:$A$117,0),8))</f>
        <v>הוצאות לפעולות</v>
      </c>
      <c r="W1130" s="18" t="str">
        <f t="shared" si="144"/>
        <v>70</v>
      </c>
      <c r="X1130" s="18" t="e">
        <f>IF($L1130&lt;"6",INDEX(Revenue_type,MATCH(W1130*1,type!$A$118:$A$168,0),8),INDEX(Expenditure_type,MATCH(W1130*1,type!$A$2:$A$117,0),8))</f>
        <v>#N/A</v>
      </c>
      <c r="Y1130" s="18" t="str">
        <f t="shared" si="145"/>
        <v>700</v>
      </c>
      <c r="Z1130" s="18" t="e">
        <f>IF($L1130&lt;"6",INDEX(Revenue_type,MATCH(Y1130*1,type!$A$118:$A$168,0),8),INDEX(Expenditure_type,MATCH(Y1130*1,type!$A$2:$A$117,0),8))</f>
        <v>#N/A</v>
      </c>
    </row>
    <row r="1131" spans="1:26" ht="15.75" hidden="1" customHeight="1" outlineLevel="2">
      <c r="A1131">
        <v>100</v>
      </c>
      <c r="B1131" s="249">
        <v>815100</v>
      </c>
      <c r="C1131">
        <v>1</v>
      </c>
      <c r="D1131" t="str">
        <f t="shared" si="138"/>
        <v>1815100.100</v>
      </c>
      <c r="E1131" s="382" t="s">
        <v>8793</v>
      </c>
      <c r="F1131" s="242"/>
      <c r="G1131"/>
      <c r="H1131" s="322">
        <v>1169100</v>
      </c>
      <c r="I1131" s="322">
        <v>1156100</v>
      </c>
      <c r="J1131" s="242">
        <v>1463500</v>
      </c>
      <c r="K1131" s="18"/>
      <c r="L1131" s="18" t="str">
        <f t="shared" si="139"/>
        <v>8</v>
      </c>
      <c r="M1131" s="18" t="str">
        <f>INDEX(Chapter,MATCH(L1131,Chapter!$A$1:$A$681,0),8)</f>
        <v>שירותים ממלכתיים</v>
      </c>
      <c r="N1131" s="18" t="str">
        <f t="shared" si="140"/>
        <v>81</v>
      </c>
      <c r="O1131" s="18" t="str">
        <f>INDEX(Chapter,MATCH(N1131,Chapter!$A$1:$A$681,0),8)</f>
        <v>חינוך</v>
      </c>
      <c r="P1131" s="18" t="str">
        <f t="shared" si="141"/>
        <v>815</v>
      </c>
      <c r="Q1131" s="18" t="str">
        <f>INDEX(Chapter,MATCH(P1131,Chapter!$A$1:$A$681,0),8)</f>
        <v>חינוך על יסודי</v>
      </c>
      <c r="R1131" s="18" t="str">
        <f t="shared" si="142"/>
        <v>8151</v>
      </c>
      <c r="S1131" s="18" t="str">
        <f>INDEX(Chapter,MATCH(R1131,Chapter!$A$1:$A$681,0),8)</f>
        <v>מינהל החינוך העל יסודי</v>
      </c>
      <c r="T1131" s="18"/>
      <c r="U1131" s="18" t="str">
        <f t="shared" si="143"/>
        <v>1</v>
      </c>
      <c r="V1131" s="18" t="str">
        <f>IF($L1131&lt;"6",INDEX(Revenue_type,MATCH(U1131*1,type!$A$118:$A$168,0),8),INDEX(Expenditure_type,MATCH(U1131*1,type!$A$2:$A$117,0),8))</f>
        <v>משכורות וש"ע לעובדים לפי תקן</v>
      </c>
      <c r="W1131" s="18" t="str">
        <f t="shared" si="144"/>
        <v>10</v>
      </c>
      <c r="X1131" s="18" t="e">
        <f>IF($L1131&lt;"6",INDEX(Revenue_type,MATCH(W1131*1,type!$A$118:$A$168,0),8),INDEX(Expenditure_type,MATCH(W1131*1,type!$A$2:$A$117,0),8))</f>
        <v>#N/A</v>
      </c>
      <c r="Y1131" s="18" t="str">
        <f t="shared" si="145"/>
        <v>100</v>
      </c>
      <c r="Z1131" s="18" t="e">
        <f>IF($L1131&lt;"6",INDEX(Revenue_type,MATCH(Y1131*1,type!$A$118:$A$168,0),8),INDEX(Expenditure_type,MATCH(Y1131*1,type!$A$2:$A$117,0),8))</f>
        <v>#N/A</v>
      </c>
    </row>
    <row r="1132" spans="1:26" ht="15.75" hidden="1" customHeight="1" outlineLevel="2">
      <c r="A1132">
        <v>120</v>
      </c>
      <c r="B1132" s="249">
        <v>815100</v>
      </c>
      <c r="C1132">
        <v>1</v>
      </c>
      <c r="D1132" t="str">
        <f t="shared" si="138"/>
        <v>1815100.120</v>
      </c>
      <c r="E1132" s="382" t="s">
        <v>8794</v>
      </c>
      <c r="F1132" s="242"/>
      <c r="G1132"/>
      <c r="H1132" s="322">
        <v>31900</v>
      </c>
      <c r="I1132" s="322">
        <v>31900</v>
      </c>
      <c r="J1132" s="242">
        <v>34700</v>
      </c>
      <c r="K1132" s="18"/>
      <c r="L1132" s="18" t="str">
        <f t="shared" si="139"/>
        <v>8</v>
      </c>
      <c r="M1132" s="18" t="str">
        <f>INDEX(Chapter,MATCH(L1132,Chapter!$A$1:$A$681,0),8)</f>
        <v>שירותים ממלכתיים</v>
      </c>
      <c r="N1132" s="18" t="str">
        <f t="shared" si="140"/>
        <v>81</v>
      </c>
      <c r="O1132" s="18" t="str">
        <f>INDEX(Chapter,MATCH(N1132,Chapter!$A$1:$A$681,0),8)</f>
        <v>חינוך</v>
      </c>
      <c r="P1132" s="18" t="str">
        <f t="shared" si="141"/>
        <v>815</v>
      </c>
      <c r="Q1132" s="18" t="str">
        <f>INDEX(Chapter,MATCH(P1132,Chapter!$A$1:$A$681,0),8)</f>
        <v>חינוך על יסודי</v>
      </c>
      <c r="R1132" s="18" t="str">
        <f t="shared" si="142"/>
        <v>8151</v>
      </c>
      <c r="S1132" s="18" t="str">
        <f>INDEX(Chapter,MATCH(R1132,Chapter!$A$1:$A$681,0),8)</f>
        <v>מינהל החינוך העל יסודי</v>
      </c>
      <c r="T1132" s="18"/>
      <c r="U1132" s="18" t="str">
        <f t="shared" si="143"/>
        <v>1</v>
      </c>
      <c r="V1132" s="18" t="str">
        <f>IF($L1132&lt;"6",INDEX(Revenue_type,MATCH(U1132*1,type!$A$118:$A$168,0),8),INDEX(Expenditure_type,MATCH(U1132*1,type!$A$2:$A$117,0),8))</f>
        <v>משכורות וש"ע לעובדים לפי תקן</v>
      </c>
      <c r="W1132" s="18" t="str">
        <f t="shared" si="144"/>
        <v>12</v>
      </c>
      <c r="X1132" s="18" t="str">
        <f>IF($L1132&lt;"6",INDEX(Revenue_type,MATCH(W1132*1,type!$A$118:$A$168,0),8),INDEX(Expenditure_type,MATCH(W1132*1,type!$A$2:$A$117,0),8))</f>
        <v>תוספות שאינן נכללות בשכר הקובע</v>
      </c>
      <c r="Y1132" s="18" t="str">
        <f t="shared" si="145"/>
        <v>120</v>
      </c>
      <c r="Z1132" s="18" t="e">
        <f>IF($L1132&lt;"6",INDEX(Revenue_type,MATCH(Y1132*1,type!$A$118:$A$168,0),8),INDEX(Expenditure_type,MATCH(Y1132*1,type!$A$2:$A$117,0),8))</f>
        <v>#N/A</v>
      </c>
    </row>
    <row r="1133" spans="1:26" ht="15.75" hidden="1" customHeight="1" outlineLevel="2">
      <c r="A1133">
        <v>500</v>
      </c>
      <c r="B1133" s="249">
        <v>815100</v>
      </c>
      <c r="C1133">
        <v>1</v>
      </c>
      <c r="D1133" t="str">
        <f t="shared" si="138"/>
        <v>1815100.500</v>
      </c>
      <c r="E1133" s="382" t="s">
        <v>8795</v>
      </c>
      <c r="F1133" s="242"/>
      <c r="G1133"/>
      <c r="H1133" s="322">
        <v>1000</v>
      </c>
      <c r="I1133" s="322">
        <v>1000</v>
      </c>
      <c r="J1133" s="242">
        <v>600</v>
      </c>
      <c r="K1133" s="18"/>
      <c r="L1133" s="18" t="str">
        <f t="shared" si="139"/>
        <v>8</v>
      </c>
      <c r="M1133" s="18" t="str">
        <f>INDEX(Chapter,MATCH(L1133,Chapter!$A$1:$A$681,0),8)</f>
        <v>שירותים ממלכתיים</v>
      </c>
      <c r="N1133" s="18" t="str">
        <f t="shared" si="140"/>
        <v>81</v>
      </c>
      <c r="O1133" s="18" t="str">
        <f>INDEX(Chapter,MATCH(N1133,Chapter!$A$1:$A$681,0),8)</f>
        <v>חינוך</v>
      </c>
      <c r="P1133" s="18" t="str">
        <f t="shared" si="141"/>
        <v>815</v>
      </c>
      <c r="Q1133" s="18" t="str">
        <f>INDEX(Chapter,MATCH(P1133,Chapter!$A$1:$A$681,0),8)</f>
        <v>חינוך על יסודי</v>
      </c>
      <c r="R1133" s="18" t="str">
        <f t="shared" si="142"/>
        <v>8151</v>
      </c>
      <c r="S1133" s="18" t="str">
        <f>INDEX(Chapter,MATCH(R1133,Chapter!$A$1:$A$681,0),8)</f>
        <v>מינהל החינוך העל יסודי</v>
      </c>
      <c r="T1133" s="18"/>
      <c r="U1133" s="18" t="str">
        <f t="shared" si="143"/>
        <v>5</v>
      </c>
      <c r="V1133" s="18" t="str">
        <f>IF($L1133&lt;"6",INDEX(Revenue_type,MATCH(U1133*1,type!$A$118:$A$168,0),8),INDEX(Expenditure_type,MATCH(U1133*1,type!$A$2:$A$117,0),8))</f>
        <v>הוצאות מנהליות</v>
      </c>
      <c r="W1133" s="18" t="str">
        <f t="shared" si="144"/>
        <v>50</v>
      </c>
      <c r="X1133" s="18" t="e">
        <f>IF($L1133&lt;"6",INDEX(Revenue_type,MATCH(W1133*1,type!$A$118:$A$168,0),8),INDEX(Expenditure_type,MATCH(W1133*1,type!$A$2:$A$117,0),8))</f>
        <v>#N/A</v>
      </c>
      <c r="Y1133" s="18" t="str">
        <f t="shared" si="145"/>
        <v>500</v>
      </c>
      <c r="Z1133" s="18" t="e">
        <f>IF($L1133&lt;"6",INDEX(Revenue_type,MATCH(Y1133*1,type!$A$118:$A$168,0),8),INDEX(Expenditure_type,MATCH(Y1133*1,type!$A$2:$A$117,0),8))</f>
        <v>#N/A</v>
      </c>
    </row>
    <row r="1134" spans="1:26" ht="15.75" hidden="1" customHeight="1" outlineLevel="2">
      <c r="A1134">
        <v>700</v>
      </c>
      <c r="B1134" s="249">
        <v>815100</v>
      </c>
      <c r="C1134">
        <v>1</v>
      </c>
      <c r="D1134" t="str">
        <f t="shared" si="138"/>
        <v>1815100.700</v>
      </c>
      <c r="E1134" s="382" t="s">
        <v>8796</v>
      </c>
      <c r="F1134" s="242"/>
      <c r="G1134"/>
      <c r="H1134" s="322">
        <v>23300</v>
      </c>
      <c r="I1134" s="322">
        <v>24000</v>
      </c>
      <c r="J1134" s="242">
        <v>21000</v>
      </c>
      <c r="K1134" s="18"/>
      <c r="L1134" s="18" t="str">
        <f t="shared" si="139"/>
        <v>8</v>
      </c>
      <c r="M1134" s="18" t="str">
        <f>INDEX(Chapter,MATCH(L1134,Chapter!$A$1:$A$681,0),8)</f>
        <v>שירותים ממלכתיים</v>
      </c>
      <c r="N1134" s="18" t="str">
        <f t="shared" si="140"/>
        <v>81</v>
      </c>
      <c r="O1134" s="18" t="str">
        <f>INDEX(Chapter,MATCH(N1134,Chapter!$A$1:$A$681,0),8)</f>
        <v>חינוך</v>
      </c>
      <c r="P1134" s="18" t="str">
        <f t="shared" si="141"/>
        <v>815</v>
      </c>
      <c r="Q1134" s="18" t="str">
        <f>INDEX(Chapter,MATCH(P1134,Chapter!$A$1:$A$681,0),8)</f>
        <v>חינוך על יסודי</v>
      </c>
      <c r="R1134" s="18" t="str">
        <f t="shared" si="142"/>
        <v>8151</v>
      </c>
      <c r="S1134" s="18" t="str">
        <f>INDEX(Chapter,MATCH(R1134,Chapter!$A$1:$A$681,0),8)</f>
        <v>מינהל החינוך העל יסודי</v>
      </c>
      <c r="T1134" s="18"/>
      <c r="U1134" s="18" t="str">
        <f t="shared" si="143"/>
        <v>7</v>
      </c>
      <c r="V1134" s="18" t="str">
        <f>IF($L1134&lt;"6",INDEX(Revenue_type,MATCH(U1134*1,type!$A$118:$A$168,0),8),INDEX(Expenditure_type,MATCH(U1134*1,type!$A$2:$A$117,0),8))</f>
        <v>הוצאות לפעולות</v>
      </c>
      <c r="W1134" s="18" t="str">
        <f t="shared" si="144"/>
        <v>70</v>
      </c>
      <c r="X1134" s="18" t="e">
        <f>IF($L1134&lt;"6",INDEX(Revenue_type,MATCH(W1134*1,type!$A$118:$A$168,0),8),INDEX(Expenditure_type,MATCH(W1134*1,type!$A$2:$A$117,0),8))</f>
        <v>#N/A</v>
      </c>
      <c r="Y1134" s="18" t="str">
        <f t="shared" si="145"/>
        <v>700</v>
      </c>
      <c r="Z1134" s="18" t="e">
        <f>IF($L1134&lt;"6",INDEX(Revenue_type,MATCH(Y1134*1,type!$A$118:$A$168,0),8),INDEX(Expenditure_type,MATCH(Y1134*1,type!$A$2:$A$117,0),8))</f>
        <v>#N/A</v>
      </c>
    </row>
    <row r="1135" spans="1:26" ht="15.75" hidden="1" customHeight="1" outlineLevel="2">
      <c r="A1135">
        <v>700</v>
      </c>
      <c r="B1135" s="249">
        <v>815120</v>
      </c>
      <c r="C1135">
        <v>1</v>
      </c>
      <c r="D1135" t="str">
        <f t="shared" si="138"/>
        <v>1815120.700</v>
      </c>
      <c r="E1135" s="382" t="s">
        <v>8797</v>
      </c>
      <c r="F1135" s="242"/>
      <c r="G1135"/>
      <c r="H1135" s="322">
        <v>534300</v>
      </c>
      <c r="I1135" s="322">
        <v>550000</v>
      </c>
      <c r="J1135" s="242">
        <v>447000</v>
      </c>
      <c r="K1135" s="18"/>
      <c r="L1135" s="18" t="str">
        <f t="shared" si="139"/>
        <v>8</v>
      </c>
      <c r="M1135" s="18" t="str">
        <f>INDEX(Chapter,MATCH(L1135,Chapter!$A$1:$A$681,0),8)</f>
        <v>שירותים ממלכתיים</v>
      </c>
      <c r="N1135" s="18" t="str">
        <f t="shared" si="140"/>
        <v>81</v>
      </c>
      <c r="O1135" s="18" t="str">
        <f>INDEX(Chapter,MATCH(N1135,Chapter!$A$1:$A$681,0),8)</f>
        <v>חינוך</v>
      </c>
      <c r="P1135" s="18" t="str">
        <f t="shared" si="141"/>
        <v>815</v>
      </c>
      <c r="Q1135" s="18" t="str">
        <f>INDEX(Chapter,MATCH(P1135,Chapter!$A$1:$A$681,0),8)</f>
        <v>חינוך על יסודי</v>
      </c>
      <c r="R1135" s="18" t="str">
        <f t="shared" si="142"/>
        <v>8151</v>
      </c>
      <c r="S1135" s="18" t="str">
        <f>INDEX(Chapter,MATCH(R1135,Chapter!$A$1:$A$681,0),8)</f>
        <v>מינהל החינוך העל יסודי</v>
      </c>
      <c r="T1135" s="18"/>
      <c r="U1135" s="18" t="str">
        <f t="shared" si="143"/>
        <v>7</v>
      </c>
      <c r="V1135" s="18" t="str">
        <f>IF($L1135&lt;"6",INDEX(Revenue_type,MATCH(U1135*1,type!$A$118:$A$168,0),8),INDEX(Expenditure_type,MATCH(U1135*1,type!$A$2:$A$117,0),8))</f>
        <v>הוצאות לפעולות</v>
      </c>
      <c r="W1135" s="18" t="str">
        <f t="shared" si="144"/>
        <v>70</v>
      </c>
      <c r="X1135" s="18" t="e">
        <f>IF($L1135&lt;"6",INDEX(Revenue_type,MATCH(W1135*1,type!$A$118:$A$168,0),8),INDEX(Expenditure_type,MATCH(W1135*1,type!$A$2:$A$117,0),8))</f>
        <v>#N/A</v>
      </c>
      <c r="Y1135" s="18" t="str">
        <f t="shared" si="145"/>
        <v>700</v>
      </c>
      <c r="Z1135" s="18" t="e">
        <f>IF($L1135&lt;"6",INDEX(Revenue_type,MATCH(Y1135*1,type!$A$118:$A$168,0),8),INDEX(Expenditure_type,MATCH(Y1135*1,type!$A$2:$A$117,0),8))</f>
        <v>#N/A</v>
      </c>
    </row>
    <row r="1136" spans="1:26" ht="15.75" hidden="1" customHeight="1" outlineLevel="2">
      <c r="A1136">
        <v>200</v>
      </c>
      <c r="B1136" s="249">
        <v>815190</v>
      </c>
      <c r="C1136">
        <v>1</v>
      </c>
      <c r="D1136" t="str">
        <f t="shared" si="138"/>
        <v>1815190.200</v>
      </c>
      <c r="E1136" s="382" t="s">
        <v>8798</v>
      </c>
      <c r="F1136" s="242"/>
      <c r="G1136"/>
      <c r="H1136" s="322">
        <v>100000</v>
      </c>
      <c r="I1136" s="322">
        <v>100000</v>
      </c>
      <c r="J1136" s="242">
        <v>0</v>
      </c>
      <c r="K1136" s="18"/>
      <c r="L1136" s="18" t="str">
        <f t="shared" si="139"/>
        <v>8</v>
      </c>
      <c r="M1136" s="18" t="str">
        <f>INDEX(Chapter,MATCH(L1136,Chapter!$A$1:$A$681,0),8)</f>
        <v>שירותים ממלכתיים</v>
      </c>
      <c r="N1136" s="18" t="str">
        <f t="shared" si="140"/>
        <v>81</v>
      </c>
      <c r="O1136" s="18" t="str">
        <f>INDEX(Chapter,MATCH(N1136,Chapter!$A$1:$A$681,0),8)</f>
        <v>חינוך</v>
      </c>
      <c r="P1136" s="18" t="str">
        <f t="shared" si="141"/>
        <v>815</v>
      </c>
      <c r="Q1136" s="18" t="str">
        <f>INDEX(Chapter,MATCH(P1136,Chapter!$A$1:$A$681,0),8)</f>
        <v>חינוך על יסודי</v>
      </c>
      <c r="R1136" s="18" t="str">
        <f t="shared" si="142"/>
        <v>8151</v>
      </c>
      <c r="S1136" s="18" t="str">
        <f>INDEX(Chapter,MATCH(R1136,Chapter!$A$1:$A$681,0),8)</f>
        <v>מינהל החינוך העל יסודי</v>
      </c>
      <c r="T1136" s="18"/>
      <c r="U1136" s="18" t="str">
        <f t="shared" si="143"/>
        <v>2</v>
      </c>
      <c r="V1136" s="18" t="str">
        <f>IF($L1136&lt;"6",INDEX(Revenue_type,MATCH(U1136*1,type!$A$118:$A$168,0),8),INDEX(Expenditure_type,MATCH(U1136*1,type!$A$2:$A$117,0),8))</f>
        <v>משכורות וש"ע לעובדים בלי תקן</v>
      </c>
      <c r="W1136" s="18" t="str">
        <f t="shared" si="144"/>
        <v>20</v>
      </c>
      <c r="X1136" s="18" t="e">
        <f>IF($L1136&lt;"6",INDEX(Revenue_type,MATCH(W1136*1,type!$A$118:$A$168,0),8),INDEX(Expenditure_type,MATCH(W1136*1,type!$A$2:$A$117,0),8))</f>
        <v>#N/A</v>
      </c>
      <c r="Y1136" s="18" t="str">
        <f t="shared" si="145"/>
        <v>200</v>
      </c>
      <c r="Z1136" s="18" t="e">
        <f>IF($L1136&lt;"6",INDEX(Revenue_type,MATCH(Y1136*1,type!$A$118:$A$168,0),8),INDEX(Expenditure_type,MATCH(Y1136*1,type!$A$2:$A$117,0),8))</f>
        <v>#N/A</v>
      </c>
    </row>
    <row r="1137" spans="1:26" ht="15.75" hidden="1" customHeight="1" outlineLevel="2">
      <c r="A1137">
        <v>500</v>
      </c>
      <c r="B1137" s="249">
        <v>815190</v>
      </c>
      <c r="C1137">
        <v>1</v>
      </c>
      <c r="D1137" t="str">
        <f t="shared" si="138"/>
        <v>1815190.500</v>
      </c>
      <c r="E1137" s="382" t="s">
        <v>8799</v>
      </c>
      <c r="F1137" s="242"/>
      <c r="G1137"/>
      <c r="H1137" s="322">
        <v>2090000</v>
      </c>
      <c r="I1137" s="322">
        <v>2090000</v>
      </c>
      <c r="J1137" s="242">
        <v>1398900</v>
      </c>
      <c r="K1137" s="18"/>
      <c r="L1137" s="18" t="str">
        <f t="shared" si="139"/>
        <v>8</v>
      </c>
      <c r="M1137" s="18" t="str">
        <f>INDEX(Chapter,MATCH(L1137,Chapter!$A$1:$A$681,0),8)</f>
        <v>שירותים ממלכתיים</v>
      </c>
      <c r="N1137" s="18" t="str">
        <f t="shared" si="140"/>
        <v>81</v>
      </c>
      <c r="O1137" s="18" t="str">
        <f>INDEX(Chapter,MATCH(N1137,Chapter!$A$1:$A$681,0),8)</f>
        <v>חינוך</v>
      </c>
      <c r="P1137" s="18" t="str">
        <f t="shared" si="141"/>
        <v>815</v>
      </c>
      <c r="Q1137" s="18" t="str">
        <f>INDEX(Chapter,MATCH(P1137,Chapter!$A$1:$A$681,0),8)</f>
        <v>חינוך על יסודי</v>
      </c>
      <c r="R1137" s="18" t="str">
        <f t="shared" si="142"/>
        <v>8151</v>
      </c>
      <c r="S1137" s="18" t="str">
        <f>INDEX(Chapter,MATCH(R1137,Chapter!$A$1:$A$681,0),8)</f>
        <v>מינהל החינוך העל יסודי</v>
      </c>
      <c r="T1137" s="18"/>
      <c r="U1137" s="18" t="str">
        <f t="shared" si="143"/>
        <v>5</v>
      </c>
      <c r="V1137" s="18" t="str">
        <f>IF($L1137&lt;"6",INDEX(Revenue_type,MATCH(U1137*1,type!$A$118:$A$168,0),8),INDEX(Expenditure_type,MATCH(U1137*1,type!$A$2:$A$117,0),8))</f>
        <v>הוצאות מנהליות</v>
      </c>
      <c r="W1137" s="18" t="str">
        <f t="shared" si="144"/>
        <v>50</v>
      </c>
      <c r="X1137" s="18" t="e">
        <f>IF($L1137&lt;"6",INDEX(Revenue_type,MATCH(W1137*1,type!$A$118:$A$168,0),8),INDEX(Expenditure_type,MATCH(W1137*1,type!$A$2:$A$117,0),8))</f>
        <v>#N/A</v>
      </c>
      <c r="Y1137" s="18" t="str">
        <f t="shared" si="145"/>
        <v>500</v>
      </c>
      <c r="Z1137" s="18" t="e">
        <f>IF($L1137&lt;"6",INDEX(Revenue_type,MATCH(Y1137*1,type!$A$118:$A$168,0),8),INDEX(Expenditure_type,MATCH(Y1137*1,type!$A$2:$A$117,0),8))</f>
        <v>#N/A</v>
      </c>
    </row>
    <row r="1138" spans="1:26" ht="15.75" hidden="1" customHeight="1" outlineLevel="2">
      <c r="A1138">
        <v>700</v>
      </c>
      <c r="B1138" s="249">
        <v>815190</v>
      </c>
      <c r="C1138">
        <v>1</v>
      </c>
      <c r="D1138" t="str">
        <f t="shared" si="138"/>
        <v>1815190.700</v>
      </c>
      <c r="E1138" s="382" t="s">
        <v>8800</v>
      </c>
      <c r="F1138" s="242"/>
      <c r="G1138"/>
      <c r="H1138" s="322">
        <v>12000</v>
      </c>
      <c r="I1138" s="322">
        <v>12000</v>
      </c>
      <c r="J1138" s="242">
        <v>14800</v>
      </c>
      <c r="K1138" s="18"/>
      <c r="L1138" s="18" t="str">
        <f t="shared" si="139"/>
        <v>8</v>
      </c>
      <c r="M1138" s="18" t="str">
        <f>INDEX(Chapter,MATCH(L1138,Chapter!$A$1:$A$681,0),8)</f>
        <v>שירותים ממלכתיים</v>
      </c>
      <c r="N1138" s="18" t="str">
        <f t="shared" si="140"/>
        <v>81</v>
      </c>
      <c r="O1138" s="18" t="str">
        <f>INDEX(Chapter,MATCH(N1138,Chapter!$A$1:$A$681,0),8)</f>
        <v>חינוך</v>
      </c>
      <c r="P1138" s="18" t="str">
        <f t="shared" si="141"/>
        <v>815</v>
      </c>
      <c r="Q1138" s="18" t="str">
        <f>INDEX(Chapter,MATCH(P1138,Chapter!$A$1:$A$681,0),8)</f>
        <v>חינוך על יסודי</v>
      </c>
      <c r="R1138" s="18" t="str">
        <f t="shared" si="142"/>
        <v>8151</v>
      </c>
      <c r="S1138" s="18" t="str">
        <f>INDEX(Chapter,MATCH(R1138,Chapter!$A$1:$A$681,0),8)</f>
        <v>מינהל החינוך העל יסודי</v>
      </c>
      <c r="T1138" s="18"/>
      <c r="U1138" s="18" t="str">
        <f t="shared" si="143"/>
        <v>7</v>
      </c>
      <c r="V1138" s="18" t="str">
        <f>IF($L1138&lt;"6",INDEX(Revenue_type,MATCH(U1138*1,type!$A$118:$A$168,0),8),INDEX(Expenditure_type,MATCH(U1138*1,type!$A$2:$A$117,0),8))</f>
        <v>הוצאות לפעולות</v>
      </c>
      <c r="W1138" s="18" t="str">
        <f t="shared" si="144"/>
        <v>70</v>
      </c>
      <c r="X1138" s="18" t="e">
        <f>IF($L1138&lt;"6",INDEX(Revenue_type,MATCH(W1138*1,type!$A$118:$A$168,0),8),INDEX(Expenditure_type,MATCH(W1138*1,type!$A$2:$A$117,0),8))</f>
        <v>#N/A</v>
      </c>
      <c r="Y1138" s="18" t="str">
        <f t="shared" si="145"/>
        <v>700</v>
      </c>
      <c r="Z1138" s="18" t="e">
        <f>IF($L1138&lt;"6",INDEX(Revenue_type,MATCH(Y1138*1,type!$A$118:$A$168,0),8),INDEX(Expenditure_type,MATCH(Y1138*1,type!$A$2:$A$117,0),8))</f>
        <v>#N/A</v>
      </c>
    </row>
    <row r="1139" spans="1:26" ht="15.75" hidden="1" customHeight="1" outlineLevel="2">
      <c r="A1139">
        <v>100</v>
      </c>
      <c r="B1139" s="249">
        <v>815210</v>
      </c>
      <c r="C1139">
        <v>1</v>
      </c>
      <c r="D1139" t="str">
        <f t="shared" si="138"/>
        <v>1815210.100</v>
      </c>
      <c r="E1139" s="382" t="s">
        <v>8801</v>
      </c>
      <c r="F1139" s="242"/>
      <c r="G1139"/>
      <c r="H1139" s="322">
        <v>11786400</v>
      </c>
      <c r="I1139" s="322">
        <v>11657400</v>
      </c>
      <c r="J1139" s="242">
        <v>10823000</v>
      </c>
      <c r="K1139" s="18"/>
      <c r="L1139" s="18" t="str">
        <f t="shared" si="139"/>
        <v>8</v>
      </c>
      <c r="M1139" s="18" t="str">
        <f>INDEX(Chapter,MATCH(L1139,Chapter!$A$1:$A$681,0),8)</f>
        <v>שירותים ממלכתיים</v>
      </c>
      <c r="N1139" s="18" t="str">
        <f t="shared" si="140"/>
        <v>81</v>
      </c>
      <c r="O1139" s="18" t="str">
        <f>INDEX(Chapter,MATCH(N1139,Chapter!$A$1:$A$681,0),8)</f>
        <v>חינוך</v>
      </c>
      <c r="P1139" s="18" t="str">
        <f t="shared" si="141"/>
        <v>815</v>
      </c>
      <c r="Q1139" s="18" t="str">
        <f>INDEX(Chapter,MATCH(P1139,Chapter!$A$1:$A$681,0),8)</f>
        <v>חינוך על יסודי</v>
      </c>
      <c r="R1139" s="18" t="str">
        <f t="shared" si="142"/>
        <v>8152</v>
      </c>
      <c r="S1139" s="18" t="str">
        <f>INDEX(Chapter,MATCH(R1139,Chapter!$A$1:$A$681,0),8)</f>
        <v>בתי״ס על יסודיים עיוניים</v>
      </c>
      <c r="T1139" s="18"/>
      <c r="U1139" s="18" t="str">
        <f t="shared" si="143"/>
        <v>1</v>
      </c>
      <c r="V1139" s="18" t="str">
        <f>IF($L1139&lt;"6",INDEX(Revenue_type,MATCH(U1139*1,type!$A$118:$A$168,0),8),INDEX(Expenditure_type,MATCH(U1139*1,type!$A$2:$A$117,0),8))</f>
        <v>משכורות וש"ע לעובדים לפי תקן</v>
      </c>
      <c r="W1139" s="18" t="str">
        <f t="shared" si="144"/>
        <v>10</v>
      </c>
      <c r="X1139" s="18" t="e">
        <f>IF($L1139&lt;"6",INDEX(Revenue_type,MATCH(W1139*1,type!$A$118:$A$168,0),8),INDEX(Expenditure_type,MATCH(W1139*1,type!$A$2:$A$117,0),8))</f>
        <v>#N/A</v>
      </c>
      <c r="Y1139" s="18" t="str">
        <f t="shared" si="145"/>
        <v>100</v>
      </c>
      <c r="Z1139" s="18" t="e">
        <f>IF($L1139&lt;"6",INDEX(Revenue_type,MATCH(Y1139*1,type!$A$118:$A$168,0),8),INDEX(Expenditure_type,MATCH(Y1139*1,type!$A$2:$A$117,0),8))</f>
        <v>#N/A</v>
      </c>
    </row>
    <row r="1140" spans="1:26" ht="15.75" hidden="1" customHeight="1" outlineLevel="2">
      <c r="A1140">
        <v>120</v>
      </c>
      <c r="B1140" s="249">
        <v>815210</v>
      </c>
      <c r="C1140">
        <v>1</v>
      </c>
      <c r="D1140" t="str">
        <f t="shared" si="138"/>
        <v>1815210.120</v>
      </c>
      <c r="E1140" s="382" t="s">
        <v>8802</v>
      </c>
      <c r="F1140" s="242"/>
      <c r="G1140"/>
      <c r="H1140" s="322">
        <v>4600</v>
      </c>
      <c r="I1140" s="322">
        <v>4600</v>
      </c>
      <c r="J1140" s="242">
        <v>700</v>
      </c>
      <c r="K1140" s="18"/>
      <c r="L1140" s="18" t="str">
        <f t="shared" si="139"/>
        <v>8</v>
      </c>
      <c r="M1140" s="18" t="str">
        <f>INDEX(Chapter,MATCH(L1140,Chapter!$A$1:$A$681,0),8)</f>
        <v>שירותים ממלכתיים</v>
      </c>
      <c r="N1140" s="18" t="str">
        <f t="shared" si="140"/>
        <v>81</v>
      </c>
      <c r="O1140" s="18" t="str">
        <f>INDEX(Chapter,MATCH(N1140,Chapter!$A$1:$A$681,0),8)</f>
        <v>חינוך</v>
      </c>
      <c r="P1140" s="18" t="str">
        <f t="shared" si="141"/>
        <v>815</v>
      </c>
      <c r="Q1140" s="18" t="str">
        <f>INDEX(Chapter,MATCH(P1140,Chapter!$A$1:$A$681,0),8)</f>
        <v>חינוך על יסודי</v>
      </c>
      <c r="R1140" s="18" t="str">
        <f t="shared" si="142"/>
        <v>8152</v>
      </c>
      <c r="S1140" s="18" t="str">
        <f>INDEX(Chapter,MATCH(R1140,Chapter!$A$1:$A$681,0),8)</f>
        <v>בתי״ס על יסודיים עיוניים</v>
      </c>
      <c r="T1140" s="18"/>
      <c r="U1140" s="18" t="str">
        <f t="shared" si="143"/>
        <v>1</v>
      </c>
      <c r="V1140" s="18" t="str">
        <f>IF($L1140&lt;"6",INDEX(Revenue_type,MATCH(U1140*1,type!$A$118:$A$168,0),8),INDEX(Expenditure_type,MATCH(U1140*1,type!$A$2:$A$117,0),8))</f>
        <v>משכורות וש"ע לעובדים לפי תקן</v>
      </c>
      <c r="W1140" s="18" t="str">
        <f t="shared" si="144"/>
        <v>12</v>
      </c>
      <c r="X1140" s="18" t="str">
        <f>IF($L1140&lt;"6",INDEX(Revenue_type,MATCH(W1140*1,type!$A$118:$A$168,0),8),INDEX(Expenditure_type,MATCH(W1140*1,type!$A$2:$A$117,0),8))</f>
        <v>תוספות שאינן נכללות בשכר הקובע</v>
      </c>
      <c r="Y1140" s="18" t="str">
        <f t="shared" si="145"/>
        <v>120</v>
      </c>
      <c r="Z1140" s="18" t="e">
        <f>IF($L1140&lt;"6",INDEX(Revenue_type,MATCH(Y1140*1,type!$A$118:$A$168,0),8),INDEX(Expenditure_type,MATCH(Y1140*1,type!$A$2:$A$117,0),8))</f>
        <v>#N/A</v>
      </c>
    </row>
    <row r="1141" spans="1:26" ht="15.75" hidden="1" customHeight="1" outlineLevel="2">
      <c r="A1141">
        <v>400</v>
      </c>
      <c r="B1141" s="249">
        <v>815210</v>
      </c>
      <c r="C1141">
        <v>1</v>
      </c>
      <c r="D1141" t="str">
        <f t="shared" si="138"/>
        <v>1815210.400</v>
      </c>
      <c r="E1141" s="382" t="s">
        <v>8803</v>
      </c>
      <c r="F1141" s="242"/>
      <c r="G1141"/>
      <c r="H1141" s="322">
        <v>300000</v>
      </c>
      <c r="I1141" s="322">
        <v>330000</v>
      </c>
      <c r="J1141" s="242">
        <v>406000</v>
      </c>
      <c r="K1141" s="18"/>
      <c r="L1141" s="18" t="str">
        <f t="shared" si="139"/>
        <v>8</v>
      </c>
      <c r="M1141" s="18" t="str">
        <f>INDEX(Chapter,MATCH(L1141,Chapter!$A$1:$A$681,0),8)</f>
        <v>שירותים ממלכתיים</v>
      </c>
      <c r="N1141" s="18" t="str">
        <f t="shared" si="140"/>
        <v>81</v>
      </c>
      <c r="O1141" s="18" t="str">
        <f>INDEX(Chapter,MATCH(N1141,Chapter!$A$1:$A$681,0),8)</f>
        <v>חינוך</v>
      </c>
      <c r="P1141" s="18" t="str">
        <f t="shared" si="141"/>
        <v>815</v>
      </c>
      <c r="Q1141" s="18" t="str">
        <f>INDEX(Chapter,MATCH(P1141,Chapter!$A$1:$A$681,0),8)</f>
        <v>חינוך על יסודי</v>
      </c>
      <c r="R1141" s="18" t="str">
        <f t="shared" si="142"/>
        <v>8152</v>
      </c>
      <c r="S1141" s="18" t="str">
        <f>INDEX(Chapter,MATCH(R1141,Chapter!$A$1:$A$681,0),8)</f>
        <v>בתי״ס על יסודיים עיוניים</v>
      </c>
      <c r="T1141" s="18"/>
      <c r="U1141" s="18" t="str">
        <f t="shared" si="143"/>
        <v>4</v>
      </c>
      <c r="V1141" s="18" t="str">
        <f>IF($L1141&lt;"6",INDEX(Revenue_type,MATCH(U1141*1,type!$A$118:$A$168,0),8),INDEX(Expenditure_type,MATCH(U1141*1,type!$A$2:$A$117,0),8))</f>
        <v>אחזקת בינים ואספקת ציוד</v>
      </c>
      <c r="W1141" s="18" t="str">
        <f t="shared" si="144"/>
        <v>40</v>
      </c>
      <c r="X1141" s="18" t="e">
        <f>IF($L1141&lt;"6",INDEX(Revenue_type,MATCH(W1141*1,type!$A$118:$A$168,0),8),INDEX(Expenditure_type,MATCH(W1141*1,type!$A$2:$A$117,0),8))</f>
        <v>#N/A</v>
      </c>
      <c r="Y1141" s="18" t="str">
        <f t="shared" si="145"/>
        <v>400</v>
      </c>
      <c r="Z1141" s="18" t="e">
        <f>IF($L1141&lt;"6",INDEX(Revenue_type,MATCH(Y1141*1,type!$A$118:$A$168,0),8),INDEX(Expenditure_type,MATCH(Y1141*1,type!$A$2:$A$117,0),8))</f>
        <v>#N/A</v>
      </c>
    </row>
    <row r="1142" spans="1:26" ht="15.75" hidden="1" customHeight="1" outlineLevel="2">
      <c r="A1142">
        <v>500</v>
      </c>
      <c r="B1142" s="249">
        <v>815210</v>
      </c>
      <c r="C1142">
        <v>1</v>
      </c>
      <c r="D1142" t="str">
        <f t="shared" si="138"/>
        <v>1815210.500</v>
      </c>
      <c r="E1142" s="382" t="s">
        <v>8804</v>
      </c>
      <c r="F1142" s="242"/>
      <c r="G1142"/>
      <c r="H1142" s="322">
        <v>10000</v>
      </c>
      <c r="I1142" s="322">
        <v>9000</v>
      </c>
      <c r="J1142" s="242">
        <v>2700</v>
      </c>
      <c r="K1142" s="18"/>
      <c r="L1142" s="18" t="str">
        <f t="shared" si="139"/>
        <v>8</v>
      </c>
      <c r="M1142" s="18" t="str">
        <f>INDEX(Chapter,MATCH(L1142,Chapter!$A$1:$A$681,0),8)</f>
        <v>שירותים ממלכתיים</v>
      </c>
      <c r="N1142" s="18" t="str">
        <f t="shared" si="140"/>
        <v>81</v>
      </c>
      <c r="O1142" s="18" t="str">
        <f>INDEX(Chapter,MATCH(N1142,Chapter!$A$1:$A$681,0),8)</f>
        <v>חינוך</v>
      </c>
      <c r="P1142" s="18" t="str">
        <f t="shared" si="141"/>
        <v>815</v>
      </c>
      <c r="Q1142" s="18" t="str">
        <f>INDEX(Chapter,MATCH(P1142,Chapter!$A$1:$A$681,0),8)</f>
        <v>חינוך על יסודי</v>
      </c>
      <c r="R1142" s="18" t="str">
        <f t="shared" si="142"/>
        <v>8152</v>
      </c>
      <c r="S1142" s="18" t="str">
        <f>INDEX(Chapter,MATCH(R1142,Chapter!$A$1:$A$681,0),8)</f>
        <v>בתי״ס על יסודיים עיוניים</v>
      </c>
      <c r="T1142" s="18"/>
      <c r="U1142" s="18" t="str">
        <f t="shared" si="143"/>
        <v>5</v>
      </c>
      <c r="V1142" s="18" t="str">
        <f>IF($L1142&lt;"6",INDEX(Revenue_type,MATCH(U1142*1,type!$A$118:$A$168,0),8),INDEX(Expenditure_type,MATCH(U1142*1,type!$A$2:$A$117,0),8))</f>
        <v>הוצאות מנהליות</v>
      </c>
      <c r="W1142" s="18" t="str">
        <f t="shared" si="144"/>
        <v>50</v>
      </c>
      <c r="X1142" s="18" t="e">
        <f>IF($L1142&lt;"6",INDEX(Revenue_type,MATCH(W1142*1,type!$A$118:$A$168,0),8),INDEX(Expenditure_type,MATCH(W1142*1,type!$A$2:$A$117,0),8))</f>
        <v>#N/A</v>
      </c>
      <c r="Y1142" s="18" t="str">
        <f t="shared" si="145"/>
        <v>500</v>
      </c>
      <c r="Z1142" s="18" t="e">
        <f>IF($L1142&lt;"6",INDEX(Revenue_type,MATCH(Y1142*1,type!$A$118:$A$168,0),8),INDEX(Expenditure_type,MATCH(Y1142*1,type!$A$2:$A$117,0),8))</f>
        <v>#N/A</v>
      </c>
    </row>
    <row r="1143" spans="1:26" ht="15.75" hidden="1" customHeight="1" outlineLevel="2">
      <c r="A1143">
        <v>700</v>
      </c>
      <c r="B1143" s="249">
        <v>815210</v>
      </c>
      <c r="C1143">
        <v>1</v>
      </c>
      <c r="D1143" t="str">
        <f t="shared" si="138"/>
        <v>1815210.700</v>
      </c>
      <c r="E1143" s="382" t="s">
        <v>8805</v>
      </c>
      <c r="F1143" s="242"/>
      <c r="G1143"/>
      <c r="H1143" s="322">
        <v>2558600</v>
      </c>
      <c r="I1143" s="322">
        <v>2613900</v>
      </c>
      <c r="J1143" s="242">
        <v>2357400</v>
      </c>
      <c r="K1143" s="18"/>
      <c r="L1143" s="18" t="str">
        <f t="shared" si="139"/>
        <v>8</v>
      </c>
      <c r="M1143" s="18" t="str">
        <f>INDEX(Chapter,MATCH(L1143,Chapter!$A$1:$A$681,0),8)</f>
        <v>שירותים ממלכתיים</v>
      </c>
      <c r="N1143" s="18" t="str">
        <f t="shared" si="140"/>
        <v>81</v>
      </c>
      <c r="O1143" s="18" t="str">
        <f>INDEX(Chapter,MATCH(N1143,Chapter!$A$1:$A$681,0),8)</f>
        <v>חינוך</v>
      </c>
      <c r="P1143" s="18" t="str">
        <f t="shared" si="141"/>
        <v>815</v>
      </c>
      <c r="Q1143" s="18" t="str">
        <f>INDEX(Chapter,MATCH(P1143,Chapter!$A$1:$A$681,0),8)</f>
        <v>חינוך על יסודי</v>
      </c>
      <c r="R1143" s="18" t="str">
        <f t="shared" si="142"/>
        <v>8152</v>
      </c>
      <c r="S1143" s="18" t="str">
        <f>INDEX(Chapter,MATCH(R1143,Chapter!$A$1:$A$681,0),8)</f>
        <v>בתי״ס על יסודיים עיוניים</v>
      </c>
      <c r="T1143" s="18"/>
      <c r="U1143" s="18" t="str">
        <f t="shared" si="143"/>
        <v>7</v>
      </c>
      <c r="V1143" s="18" t="str">
        <f>IF($L1143&lt;"6",INDEX(Revenue_type,MATCH(U1143*1,type!$A$118:$A$168,0),8),INDEX(Expenditure_type,MATCH(U1143*1,type!$A$2:$A$117,0),8))</f>
        <v>הוצאות לפעולות</v>
      </c>
      <c r="W1143" s="18" t="str">
        <f t="shared" si="144"/>
        <v>70</v>
      </c>
      <c r="X1143" s="18" t="e">
        <f>IF($L1143&lt;"6",INDEX(Revenue_type,MATCH(W1143*1,type!$A$118:$A$168,0),8),INDEX(Expenditure_type,MATCH(W1143*1,type!$A$2:$A$117,0),8))</f>
        <v>#N/A</v>
      </c>
      <c r="Y1143" s="18" t="str">
        <f t="shared" si="145"/>
        <v>700</v>
      </c>
      <c r="Z1143" s="18" t="e">
        <f>IF($L1143&lt;"6",INDEX(Revenue_type,MATCH(Y1143*1,type!$A$118:$A$168,0),8),INDEX(Expenditure_type,MATCH(Y1143*1,type!$A$2:$A$117,0),8))</f>
        <v>#N/A</v>
      </c>
    </row>
    <row r="1144" spans="1:26" ht="15.75" hidden="1" customHeight="1" outlineLevel="2">
      <c r="A1144">
        <v>100</v>
      </c>
      <c r="B1144" s="249">
        <v>815220</v>
      </c>
      <c r="C1144">
        <v>1</v>
      </c>
      <c r="D1144" t="str">
        <f t="shared" si="138"/>
        <v>1815220.100</v>
      </c>
      <c r="E1144" s="382" t="s">
        <v>8806</v>
      </c>
      <c r="F1144" s="242"/>
      <c r="G1144"/>
      <c r="H1144" s="322">
        <v>5186000</v>
      </c>
      <c r="I1144" s="322">
        <v>5129000</v>
      </c>
      <c r="J1144" s="242">
        <v>4593500</v>
      </c>
      <c r="K1144" s="18"/>
      <c r="L1144" s="18" t="str">
        <f t="shared" si="139"/>
        <v>8</v>
      </c>
      <c r="M1144" s="18" t="str">
        <f>INDEX(Chapter,MATCH(L1144,Chapter!$A$1:$A$681,0),8)</f>
        <v>שירותים ממלכתיים</v>
      </c>
      <c r="N1144" s="18" t="str">
        <f t="shared" si="140"/>
        <v>81</v>
      </c>
      <c r="O1144" s="18" t="str">
        <f>INDEX(Chapter,MATCH(N1144,Chapter!$A$1:$A$681,0),8)</f>
        <v>חינוך</v>
      </c>
      <c r="P1144" s="18" t="str">
        <f t="shared" si="141"/>
        <v>815</v>
      </c>
      <c r="Q1144" s="18" t="str">
        <f>INDEX(Chapter,MATCH(P1144,Chapter!$A$1:$A$681,0),8)</f>
        <v>חינוך על יסודי</v>
      </c>
      <c r="R1144" s="18" t="str">
        <f t="shared" si="142"/>
        <v>8152</v>
      </c>
      <c r="S1144" s="18" t="str">
        <f>INDEX(Chapter,MATCH(R1144,Chapter!$A$1:$A$681,0),8)</f>
        <v>בתי״ס על יסודיים עיוניים</v>
      </c>
      <c r="T1144" s="18"/>
      <c r="U1144" s="18" t="str">
        <f t="shared" si="143"/>
        <v>1</v>
      </c>
      <c r="V1144" s="18" t="str">
        <f>IF($L1144&lt;"6",INDEX(Revenue_type,MATCH(U1144*1,type!$A$118:$A$168,0),8),INDEX(Expenditure_type,MATCH(U1144*1,type!$A$2:$A$117,0),8))</f>
        <v>משכורות וש"ע לעובדים לפי תקן</v>
      </c>
      <c r="W1144" s="18" t="str">
        <f t="shared" si="144"/>
        <v>10</v>
      </c>
      <c r="X1144" s="18" t="e">
        <f>IF($L1144&lt;"6",INDEX(Revenue_type,MATCH(W1144*1,type!$A$118:$A$168,0),8),INDEX(Expenditure_type,MATCH(W1144*1,type!$A$2:$A$117,0),8))</f>
        <v>#N/A</v>
      </c>
      <c r="Y1144" s="18" t="str">
        <f t="shared" si="145"/>
        <v>100</v>
      </c>
      <c r="Z1144" s="18" t="e">
        <f>IF($L1144&lt;"6",INDEX(Revenue_type,MATCH(Y1144*1,type!$A$118:$A$168,0),8),INDEX(Expenditure_type,MATCH(Y1144*1,type!$A$2:$A$117,0),8))</f>
        <v>#N/A</v>
      </c>
    </row>
    <row r="1145" spans="1:26" ht="15.75" hidden="1" customHeight="1" outlineLevel="2">
      <c r="A1145">
        <v>400</v>
      </c>
      <c r="B1145" s="249">
        <v>815220</v>
      </c>
      <c r="C1145">
        <v>1</v>
      </c>
      <c r="D1145" t="str">
        <f t="shared" si="138"/>
        <v>1815220.400</v>
      </c>
      <c r="E1145" s="382" t="s">
        <v>8807</v>
      </c>
      <c r="F1145" s="242"/>
      <c r="G1145"/>
      <c r="H1145" s="322">
        <v>215000</v>
      </c>
      <c r="I1145" s="322">
        <v>224000</v>
      </c>
      <c r="J1145" s="242">
        <v>322300</v>
      </c>
      <c r="K1145" s="18"/>
      <c r="L1145" s="18" t="str">
        <f t="shared" si="139"/>
        <v>8</v>
      </c>
      <c r="M1145" s="18" t="str">
        <f>INDEX(Chapter,MATCH(L1145,Chapter!$A$1:$A$681,0),8)</f>
        <v>שירותים ממלכתיים</v>
      </c>
      <c r="N1145" s="18" t="str">
        <f t="shared" si="140"/>
        <v>81</v>
      </c>
      <c r="O1145" s="18" t="str">
        <f>INDEX(Chapter,MATCH(N1145,Chapter!$A$1:$A$681,0),8)</f>
        <v>חינוך</v>
      </c>
      <c r="P1145" s="18" t="str">
        <f t="shared" si="141"/>
        <v>815</v>
      </c>
      <c r="Q1145" s="18" t="str">
        <f>INDEX(Chapter,MATCH(P1145,Chapter!$A$1:$A$681,0),8)</f>
        <v>חינוך על יסודי</v>
      </c>
      <c r="R1145" s="18" t="str">
        <f t="shared" si="142"/>
        <v>8152</v>
      </c>
      <c r="S1145" s="18" t="str">
        <f>INDEX(Chapter,MATCH(R1145,Chapter!$A$1:$A$681,0),8)</f>
        <v>בתי״ס על יסודיים עיוניים</v>
      </c>
      <c r="T1145" s="18"/>
      <c r="U1145" s="18" t="str">
        <f t="shared" si="143"/>
        <v>4</v>
      </c>
      <c r="V1145" s="18" t="str">
        <f>IF($L1145&lt;"6",INDEX(Revenue_type,MATCH(U1145*1,type!$A$118:$A$168,0),8),INDEX(Expenditure_type,MATCH(U1145*1,type!$A$2:$A$117,0),8))</f>
        <v>אחזקת בינים ואספקת ציוד</v>
      </c>
      <c r="W1145" s="18" t="str">
        <f t="shared" si="144"/>
        <v>40</v>
      </c>
      <c r="X1145" s="18" t="e">
        <f>IF($L1145&lt;"6",INDEX(Revenue_type,MATCH(W1145*1,type!$A$118:$A$168,0),8),INDEX(Expenditure_type,MATCH(W1145*1,type!$A$2:$A$117,0),8))</f>
        <v>#N/A</v>
      </c>
      <c r="Y1145" s="18" t="str">
        <f t="shared" si="145"/>
        <v>400</v>
      </c>
      <c r="Z1145" s="18" t="e">
        <f>IF($L1145&lt;"6",INDEX(Revenue_type,MATCH(Y1145*1,type!$A$118:$A$168,0),8),INDEX(Expenditure_type,MATCH(Y1145*1,type!$A$2:$A$117,0),8))</f>
        <v>#N/A</v>
      </c>
    </row>
    <row r="1146" spans="1:26" ht="15.75" hidden="1" customHeight="1" outlineLevel="2">
      <c r="A1146">
        <v>700</v>
      </c>
      <c r="B1146" s="249">
        <v>815220</v>
      </c>
      <c r="C1146">
        <v>1</v>
      </c>
      <c r="D1146" t="str">
        <f t="shared" si="138"/>
        <v>1815220.700</v>
      </c>
      <c r="E1146" s="382" t="s">
        <v>8808</v>
      </c>
      <c r="F1146" s="242"/>
      <c r="G1146"/>
      <c r="H1146" s="322">
        <v>406700</v>
      </c>
      <c r="I1146" s="322">
        <v>416000</v>
      </c>
      <c r="J1146" s="242">
        <v>386300</v>
      </c>
      <c r="K1146" s="18"/>
      <c r="L1146" s="18" t="str">
        <f t="shared" si="139"/>
        <v>8</v>
      </c>
      <c r="M1146" s="18" t="str">
        <f>INDEX(Chapter,MATCH(L1146,Chapter!$A$1:$A$681,0),8)</f>
        <v>שירותים ממלכתיים</v>
      </c>
      <c r="N1146" s="18" t="str">
        <f t="shared" si="140"/>
        <v>81</v>
      </c>
      <c r="O1146" s="18" t="str">
        <f>INDEX(Chapter,MATCH(N1146,Chapter!$A$1:$A$681,0),8)</f>
        <v>חינוך</v>
      </c>
      <c r="P1146" s="18" t="str">
        <f t="shared" si="141"/>
        <v>815</v>
      </c>
      <c r="Q1146" s="18" t="str">
        <f>INDEX(Chapter,MATCH(P1146,Chapter!$A$1:$A$681,0),8)</f>
        <v>חינוך על יסודי</v>
      </c>
      <c r="R1146" s="18" t="str">
        <f t="shared" si="142"/>
        <v>8152</v>
      </c>
      <c r="S1146" s="18" t="str">
        <f>INDEX(Chapter,MATCH(R1146,Chapter!$A$1:$A$681,0),8)</f>
        <v>בתי״ס על יסודיים עיוניים</v>
      </c>
      <c r="T1146" s="18"/>
      <c r="U1146" s="18" t="str">
        <f t="shared" si="143"/>
        <v>7</v>
      </c>
      <c r="V1146" s="18" t="str">
        <f>IF($L1146&lt;"6",INDEX(Revenue_type,MATCH(U1146*1,type!$A$118:$A$168,0),8),INDEX(Expenditure_type,MATCH(U1146*1,type!$A$2:$A$117,0),8))</f>
        <v>הוצאות לפעולות</v>
      </c>
      <c r="W1146" s="18" t="str">
        <f t="shared" si="144"/>
        <v>70</v>
      </c>
      <c r="X1146" s="18" t="e">
        <f>IF($L1146&lt;"6",INDEX(Revenue_type,MATCH(W1146*1,type!$A$118:$A$168,0),8),INDEX(Expenditure_type,MATCH(W1146*1,type!$A$2:$A$117,0),8))</f>
        <v>#N/A</v>
      </c>
      <c r="Y1146" s="18" t="str">
        <f t="shared" si="145"/>
        <v>700</v>
      </c>
      <c r="Z1146" s="18" t="e">
        <f>IF($L1146&lt;"6",INDEX(Revenue_type,MATCH(Y1146*1,type!$A$118:$A$168,0),8),INDEX(Expenditure_type,MATCH(Y1146*1,type!$A$2:$A$117,0),8))</f>
        <v>#N/A</v>
      </c>
    </row>
    <row r="1147" spans="1:26" ht="15.75" hidden="1" customHeight="1" outlineLevel="2">
      <c r="A1147">
        <v>100</v>
      </c>
      <c r="B1147" s="249">
        <v>815230</v>
      </c>
      <c r="C1147">
        <v>1</v>
      </c>
      <c r="D1147" t="str">
        <f t="shared" si="138"/>
        <v>1815230.100</v>
      </c>
      <c r="E1147" s="382" t="s">
        <v>8809</v>
      </c>
      <c r="F1147" s="242"/>
      <c r="G1147"/>
      <c r="H1147" s="322">
        <v>7080400</v>
      </c>
      <c r="I1147" s="322">
        <v>7002400</v>
      </c>
      <c r="J1147" s="242">
        <v>7035900</v>
      </c>
      <c r="K1147" s="18"/>
      <c r="L1147" s="18" t="str">
        <f t="shared" si="139"/>
        <v>8</v>
      </c>
      <c r="M1147" s="18" t="str">
        <f>INDEX(Chapter,MATCH(L1147,Chapter!$A$1:$A$681,0),8)</f>
        <v>שירותים ממלכתיים</v>
      </c>
      <c r="N1147" s="18" t="str">
        <f t="shared" si="140"/>
        <v>81</v>
      </c>
      <c r="O1147" s="18" t="str">
        <f>INDEX(Chapter,MATCH(N1147,Chapter!$A$1:$A$681,0),8)</f>
        <v>חינוך</v>
      </c>
      <c r="P1147" s="18" t="str">
        <f t="shared" si="141"/>
        <v>815</v>
      </c>
      <c r="Q1147" s="18" t="str">
        <f>INDEX(Chapter,MATCH(P1147,Chapter!$A$1:$A$681,0),8)</f>
        <v>חינוך על יסודי</v>
      </c>
      <c r="R1147" s="18" t="str">
        <f t="shared" si="142"/>
        <v>8152</v>
      </c>
      <c r="S1147" s="18" t="str">
        <f>INDEX(Chapter,MATCH(R1147,Chapter!$A$1:$A$681,0),8)</f>
        <v>בתי״ס על יסודיים עיוניים</v>
      </c>
      <c r="T1147" s="18"/>
      <c r="U1147" s="18" t="str">
        <f t="shared" si="143"/>
        <v>1</v>
      </c>
      <c r="V1147" s="18" t="str">
        <f>IF($L1147&lt;"6",INDEX(Revenue_type,MATCH(U1147*1,type!$A$118:$A$168,0),8),INDEX(Expenditure_type,MATCH(U1147*1,type!$A$2:$A$117,0),8))</f>
        <v>משכורות וש"ע לעובדים לפי תקן</v>
      </c>
      <c r="W1147" s="18" t="str">
        <f t="shared" si="144"/>
        <v>10</v>
      </c>
      <c r="X1147" s="18" t="e">
        <f>IF($L1147&lt;"6",INDEX(Revenue_type,MATCH(W1147*1,type!$A$118:$A$168,0),8),INDEX(Expenditure_type,MATCH(W1147*1,type!$A$2:$A$117,0),8))</f>
        <v>#N/A</v>
      </c>
      <c r="Y1147" s="18" t="str">
        <f t="shared" si="145"/>
        <v>100</v>
      </c>
      <c r="Z1147" s="18" t="e">
        <f>IF($L1147&lt;"6",INDEX(Revenue_type,MATCH(Y1147*1,type!$A$118:$A$168,0),8),INDEX(Expenditure_type,MATCH(Y1147*1,type!$A$2:$A$117,0),8))</f>
        <v>#N/A</v>
      </c>
    </row>
    <row r="1148" spans="1:26" ht="15.75" hidden="1" customHeight="1" outlineLevel="2">
      <c r="A1148">
        <v>120</v>
      </c>
      <c r="B1148" s="249">
        <v>815230</v>
      </c>
      <c r="C1148">
        <v>1</v>
      </c>
      <c r="D1148" t="str">
        <f t="shared" si="138"/>
        <v>1815230.120</v>
      </c>
      <c r="E1148" s="382" t="s">
        <v>8810</v>
      </c>
      <c r="F1148" s="242"/>
      <c r="G1148"/>
      <c r="H1148" s="322">
        <v>3600</v>
      </c>
      <c r="I1148" s="322">
        <v>3600</v>
      </c>
      <c r="J1148" s="242">
        <v>8200</v>
      </c>
      <c r="K1148" s="18"/>
      <c r="L1148" s="18" t="str">
        <f t="shared" si="139"/>
        <v>8</v>
      </c>
      <c r="M1148" s="18" t="str">
        <f>INDEX(Chapter,MATCH(L1148,Chapter!$A$1:$A$681,0),8)</f>
        <v>שירותים ממלכתיים</v>
      </c>
      <c r="N1148" s="18" t="str">
        <f t="shared" si="140"/>
        <v>81</v>
      </c>
      <c r="O1148" s="18" t="str">
        <f>INDEX(Chapter,MATCH(N1148,Chapter!$A$1:$A$681,0),8)</f>
        <v>חינוך</v>
      </c>
      <c r="P1148" s="18" t="str">
        <f t="shared" si="141"/>
        <v>815</v>
      </c>
      <c r="Q1148" s="18" t="str">
        <f>INDEX(Chapter,MATCH(P1148,Chapter!$A$1:$A$681,0),8)</f>
        <v>חינוך על יסודי</v>
      </c>
      <c r="R1148" s="18" t="str">
        <f t="shared" si="142"/>
        <v>8152</v>
      </c>
      <c r="S1148" s="18" t="str">
        <f>INDEX(Chapter,MATCH(R1148,Chapter!$A$1:$A$681,0),8)</f>
        <v>בתי״ס על יסודיים עיוניים</v>
      </c>
      <c r="T1148" s="18"/>
      <c r="U1148" s="18" t="str">
        <f t="shared" si="143"/>
        <v>1</v>
      </c>
      <c r="V1148" s="18" t="str">
        <f>IF($L1148&lt;"6",INDEX(Revenue_type,MATCH(U1148*1,type!$A$118:$A$168,0),8),INDEX(Expenditure_type,MATCH(U1148*1,type!$A$2:$A$117,0),8))</f>
        <v>משכורות וש"ע לעובדים לפי תקן</v>
      </c>
      <c r="W1148" s="18" t="str">
        <f t="shared" si="144"/>
        <v>12</v>
      </c>
      <c r="X1148" s="18" t="str">
        <f>IF($L1148&lt;"6",INDEX(Revenue_type,MATCH(W1148*1,type!$A$118:$A$168,0),8),INDEX(Expenditure_type,MATCH(W1148*1,type!$A$2:$A$117,0),8))</f>
        <v>תוספות שאינן נכללות בשכר הקובע</v>
      </c>
      <c r="Y1148" s="18" t="str">
        <f t="shared" si="145"/>
        <v>120</v>
      </c>
      <c r="Z1148" s="18" t="e">
        <f>IF($L1148&lt;"6",INDEX(Revenue_type,MATCH(Y1148*1,type!$A$118:$A$168,0),8),INDEX(Expenditure_type,MATCH(Y1148*1,type!$A$2:$A$117,0),8))</f>
        <v>#N/A</v>
      </c>
    </row>
    <row r="1149" spans="1:26" ht="15.75" hidden="1" customHeight="1" outlineLevel="2">
      <c r="A1149">
        <v>400</v>
      </c>
      <c r="B1149" s="249">
        <v>815230</v>
      </c>
      <c r="C1149">
        <v>1</v>
      </c>
      <c r="D1149" t="str">
        <f t="shared" si="138"/>
        <v>1815230.400</v>
      </c>
      <c r="E1149" s="382" t="s">
        <v>8811</v>
      </c>
      <c r="F1149" s="242"/>
      <c r="G1149"/>
      <c r="H1149" s="322">
        <v>279300</v>
      </c>
      <c r="I1149" s="322">
        <v>310000</v>
      </c>
      <c r="J1149" s="242">
        <v>538900</v>
      </c>
      <c r="K1149" s="18"/>
      <c r="L1149" s="18" t="str">
        <f t="shared" si="139"/>
        <v>8</v>
      </c>
      <c r="M1149" s="18" t="str">
        <f>INDEX(Chapter,MATCH(L1149,Chapter!$A$1:$A$681,0),8)</f>
        <v>שירותים ממלכתיים</v>
      </c>
      <c r="N1149" s="18" t="str">
        <f t="shared" si="140"/>
        <v>81</v>
      </c>
      <c r="O1149" s="18" t="str">
        <f>INDEX(Chapter,MATCH(N1149,Chapter!$A$1:$A$681,0),8)</f>
        <v>חינוך</v>
      </c>
      <c r="P1149" s="18" t="str">
        <f t="shared" si="141"/>
        <v>815</v>
      </c>
      <c r="Q1149" s="18" t="str">
        <f>INDEX(Chapter,MATCH(P1149,Chapter!$A$1:$A$681,0),8)</f>
        <v>חינוך על יסודי</v>
      </c>
      <c r="R1149" s="18" t="str">
        <f t="shared" si="142"/>
        <v>8152</v>
      </c>
      <c r="S1149" s="18" t="str">
        <f>INDEX(Chapter,MATCH(R1149,Chapter!$A$1:$A$681,0),8)</f>
        <v>בתי״ס על יסודיים עיוניים</v>
      </c>
      <c r="T1149" s="18"/>
      <c r="U1149" s="18" t="str">
        <f t="shared" si="143"/>
        <v>4</v>
      </c>
      <c r="V1149" s="18" t="str">
        <f>IF($L1149&lt;"6",INDEX(Revenue_type,MATCH(U1149*1,type!$A$118:$A$168,0),8),INDEX(Expenditure_type,MATCH(U1149*1,type!$A$2:$A$117,0),8))</f>
        <v>אחזקת בינים ואספקת ציוד</v>
      </c>
      <c r="W1149" s="18" t="str">
        <f t="shared" si="144"/>
        <v>40</v>
      </c>
      <c r="X1149" s="18" t="e">
        <f>IF($L1149&lt;"6",INDEX(Revenue_type,MATCH(W1149*1,type!$A$118:$A$168,0),8),INDEX(Expenditure_type,MATCH(W1149*1,type!$A$2:$A$117,0),8))</f>
        <v>#N/A</v>
      </c>
      <c r="Y1149" s="18" t="str">
        <f t="shared" si="145"/>
        <v>400</v>
      </c>
      <c r="Z1149" s="18" t="e">
        <f>IF($L1149&lt;"6",INDEX(Revenue_type,MATCH(Y1149*1,type!$A$118:$A$168,0),8),INDEX(Expenditure_type,MATCH(Y1149*1,type!$A$2:$A$117,0),8))</f>
        <v>#N/A</v>
      </c>
    </row>
    <row r="1150" spans="1:26" ht="15.75" hidden="1" customHeight="1" outlineLevel="2">
      <c r="A1150">
        <v>700</v>
      </c>
      <c r="B1150" s="249">
        <v>815230</v>
      </c>
      <c r="C1150">
        <v>1</v>
      </c>
      <c r="D1150" t="str">
        <f t="shared" si="138"/>
        <v>1815230.700</v>
      </c>
      <c r="E1150" s="382" t="s">
        <v>8812</v>
      </c>
      <c r="F1150" s="242"/>
      <c r="G1150"/>
      <c r="H1150" s="322">
        <v>2807000</v>
      </c>
      <c r="I1150" s="322">
        <v>2867000</v>
      </c>
      <c r="J1150" s="242">
        <v>3774000</v>
      </c>
      <c r="K1150" s="18"/>
      <c r="L1150" s="18" t="str">
        <f t="shared" si="139"/>
        <v>8</v>
      </c>
      <c r="M1150" s="18" t="str">
        <f>INDEX(Chapter,MATCH(L1150,Chapter!$A$1:$A$681,0),8)</f>
        <v>שירותים ממלכתיים</v>
      </c>
      <c r="N1150" s="18" t="str">
        <f t="shared" si="140"/>
        <v>81</v>
      </c>
      <c r="O1150" s="18" t="str">
        <f>INDEX(Chapter,MATCH(N1150,Chapter!$A$1:$A$681,0),8)</f>
        <v>חינוך</v>
      </c>
      <c r="P1150" s="18" t="str">
        <f t="shared" si="141"/>
        <v>815</v>
      </c>
      <c r="Q1150" s="18" t="str">
        <f>INDEX(Chapter,MATCH(P1150,Chapter!$A$1:$A$681,0),8)</f>
        <v>חינוך על יסודי</v>
      </c>
      <c r="R1150" s="18" t="str">
        <f t="shared" si="142"/>
        <v>8152</v>
      </c>
      <c r="S1150" s="18" t="str">
        <f>INDEX(Chapter,MATCH(R1150,Chapter!$A$1:$A$681,0),8)</f>
        <v>בתי״ס על יסודיים עיוניים</v>
      </c>
      <c r="T1150" s="18"/>
      <c r="U1150" s="18" t="str">
        <f t="shared" si="143"/>
        <v>7</v>
      </c>
      <c r="V1150" s="18" t="str">
        <f>IF($L1150&lt;"6",INDEX(Revenue_type,MATCH(U1150*1,type!$A$118:$A$168,0),8),INDEX(Expenditure_type,MATCH(U1150*1,type!$A$2:$A$117,0),8))</f>
        <v>הוצאות לפעולות</v>
      </c>
      <c r="W1150" s="18" t="str">
        <f t="shared" si="144"/>
        <v>70</v>
      </c>
      <c r="X1150" s="18" t="e">
        <f>IF($L1150&lt;"6",INDEX(Revenue_type,MATCH(W1150*1,type!$A$118:$A$168,0),8),INDEX(Expenditure_type,MATCH(W1150*1,type!$A$2:$A$117,0),8))</f>
        <v>#N/A</v>
      </c>
      <c r="Y1150" s="18" t="str">
        <f t="shared" si="145"/>
        <v>700</v>
      </c>
      <c r="Z1150" s="18" t="e">
        <f>IF($L1150&lt;"6",INDEX(Revenue_type,MATCH(Y1150*1,type!$A$118:$A$168,0),8),INDEX(Expenditure_type,MATCH(Y1150*1,type!$A$2:$A$117,0),8))</f>
        <v>#N/A</v>
      </c>
    </row>
    <row r="1151" spans="1:26" ht="15.75" hidden="1" customHeight="1" outlineLevel="2">
      <c r="A1151">
        <v>100</v>
      </c>
      <c r="B1151" s="249">
        <v>815240</v>
      </c>
      <c r="C1151">
        <v>1</v>
      </c>
      <c r="D1151" t="str">
        <f t="shared" si="138"/>
        <v>1815240.100</v>
      </c>
      <c r="E1151" s="382" t="s">
        <v>8813</v>
      </c>
      <c r="F1151" s="242"/>
      <c r="G1151"/>
      <c r="H1151" s="322">
        <v>11297600</v>
      </c>
      <c r="I1151" s="322">
        <v>11173600</v>
      </c>
      <c r="J1151" s="242">
        <v>10389000</v>
      </c>
      <c r="K1151" s="18"/>
      <c r="L1151" s="18" t="str">
        <f t="shared" si="139"/>
        <v>8</v>
      </c>
      <c r="M1151" s="18" t="str">
        <f>INDEX(Chapter,MATCH(L1151,Chapter!$A$1:$A$681,0),8)</f>
        <v>שירותים ממלכתיים</v>
      </c>
      <c r="N1151" s="18" t="str">
        <f t="shared" si="140"/>
        <v>81</v>
      </c>
      <c r="O1151" s="18" t="str">
        <f>INDEX(Chapter,MATCH(N1151,Chapter!$A$1:$A$681,0),8)</f>
        <v>חינוך</v>
      </c>
      <c r="P1151" s="18" t="str">
        <f t="shared" si="141"/>
        <v>815</v>
      </c>
      <c r="Q1151" s="18" t="str">
        <f>INDEX(Chapter,MATCH(P1151,Chapter!$A$1:$A$681,0),8)</f>
        <v>חינוך על יסודי</v>
      </c>
      <c r="R1151" s="18" t="str">
        <f t="shared" si="142"/>
        <v>8152</v>
      </c>
      <c r="S1151" s="18" t="str">
        <f>INDEX(Chapter,MATCH(R1151,Chapter!$A$1:$A$681,0),8)</f>
        <v>בתי״ס על יסודיים עיוניים</v>
      </c>
      <c r="T1151" s="18"/>
      <c r="U1151" s="18" t="str">
        <f t="shared" si="143"/>
        <v>1</v>
      </c>
      <c r="V1151" s="18" t="str">
        <f>IF($L1151&lt;"6",INDEX(Revenue_type,MATCH(U1151*1,type!$A$118:$A$168,0),8),INDEX(Expenditure_type,MATCH(U1151*1,type!$A$2:$A$117,0),8))</f>
        <v>משכורות וש"ע לעובדים לפי תקן</v>
      </c>
      <c r="W1151" s="18" t="str">
        <f t="shared" si="144"/>
        <v>10</v>
      </c>
      <c r="X1151" s="18" t="e">
        <f>IF($L1151&lt;"6",INDEX(Revenue_type,MATCH(W1151*1,type!$A$118:$A$168,0),8),INDEX(Expenditure_type,MATCH(W1151*1,type!$A$2:$A$117,0),8))</f>
        <v>#N/A</v>
      </c>
      <c r="Y1151" s="18" t="str">
        <f t="shared" si="145"/>
        <v>100</v>
      </c>
      <c r="Z1151" s="18" t="e">
        <f>IF($L1151&lt;"6",INDEX(Revenue_type,MATCH(Y1151*1,type!$A$118:$A$168,0),8),INDEX(Expenditure_type,MATCH(Y1151*1,type!$A$2:$A$117,0),8))</f>
        <v>#N/A</v>
      </c>
    </row>
    <row r="1152" spans="1:26" ht="15.75" hidden="1" customHeight="1" outlineLevel="2">
      <c r="A1152">
        <v>120</v>
      </c>
      <c r="B1152" s="249">
        <v>815240</v>
      </c>
      <c r="C1152">
        <v>1</v>
      </c>
      <c r="D1152" t="str">
        <f t="shared" si="138"/>
        <v>1815240.120</v>
      </c>
      <c r="E1152" s="382" t="s">
        <v>8814</v>
      </c>
      <c r="F1152" s="242"/>
      <c r="G1152"/>
      <c r="H1152" s="322">
        <v>5400</v>
      </c>
      <c r="I1152" s="322">
        <v>5400</v>
      </c>
      <c r="J1152" s="242">
        <v>7500</v>
      </c>
      <c r="K1152" s="18"/>
      <c r="L1152" s="18" t="str">
        <f t="shared" si="139"/>
        <v>8</v>
      </c>
      <c r="M1152" s="18" t="str">
        <f>INDEX(Chapter,MATCH(L1152,Chapter!$A$1:$A$681,0),8)</f>
        <v>שירותים ממלכתיים</v>
      </c>
      <c r="N1152" s="18" t="str">
        <f t="shared" si="140"/>
        <v>81</v>
      </c>
      <c r="O1152" s="18" t="str">
        <f>INDEX(Chapter,MATCH(N1152,Chapter!$A$1:$A$681,0),8)</f>
        <v>חינוך</v>
      </c>
      <c r="P1152" s="18" t="str">
        <f t="shared" si="141"/>
        <v>815</v>
      </c>
      <c r="Q1152" s="18" t="str">
        <f>INDEX(Chapter,MATCH(P1152,Chapter!$A$1:$A$681,0),8)</f>
        <v>חינוך על יסודי</v>
      </c>
      <c r="R1152" s="18" t="str">
        <f t="shared" si="142"/>
        <v>8152</v>
      </c>
      <c r="S1152" s="18" t="str">
        <f>INDEX(Chapter,MATCH(R1152,Chapter!$A$1:$A$681,0),8)</f>
        <v>בתי״ס על יסודיים עיוניים</v>
      </c>
      <c r="T1152" s="18"/>
      <c r="U1152" s="18" t="str">
        <f t="shared" si="143"/>
        <v>1</v>
      </c>
      <c r="V1152" s="18" t="str">
        <f>IF($L1152&lt;"6",INDEX(Revenue_type,MATCH(U1152*1,type!$A$118:$A$168,0),8),INDEX(Expenditure_type,MATCH(U1152*1,type!$A$2:$A$117,0),8))</f>
        <v>משכורות וש"ע לעובדים לפי תקן</v>
      </c>
      <c r="W1152" s="18" t="str">
        <f t="shared" si="144"/>
        <v>12</v>
      </c>
      <c r="X1152" s="18" t="str">
        <f>IF($L1152&lt;"6",INDEX(Revenue_type,MATCH(W1152*1,type!$A$118:$A$168,0),8),INDEX(Expenditure_type,MATCH(W1152*1,type!$A$2:$A$117,0),8))</f>
        <v>תוספות שאינן נכללות בשכר הקובע</v>
      </c>
      <c r="Y1152" s="18" t="str">
        <f t="shared" si="145"/>
        <v>120</v>
      </c>
      <c r="Z1152" s="18" t="e">
        <f>IF($L1152&lt;"6",INDEX(Revenue_type,MATCH(Y1152*1,type!$A$118:$A$168,0),8),INDEX(Expenditure_type,MATCH(Y1152*1,type!$A$2:$A$117,0),8))</f>
        <v>#N/A</v>
      </c>
    </row>
    <row r="1153" spans="1:26" ht="15.75" hidden="1" customHeight="1" outlineLevel="2">
      <c r="A1153">
        <v>400</v>
      </c>
      <c r="B1153" s="249">
        <v>815240</v>
      </c>
      <c r="C1153">
        <v>1</v>
      </c>
      <c r="D1153" t="str">
        <f t="shared" si="138"/>
        <v>1815240.400</v>
      </c>
      <c r="E1153" s="382" t="s">
        <v>8815</v>
      </c>
      <c r="F1153" s="242"/>
      <c r="G1153"/>
      <c r="H1153" s="322">
        <v>213000</v>
      </c>
      <c r="I1153" s="322">
        <v>213000</v>
      </c>
      <c r="J1153" s="242">
        <v>202900</v>
      </c>
      <c r="K1153" s="18"/>
      <c r="L1153" s="18" t="str">
        <f t="shared" si="139"/>
        <v>8</v>
      </c>
      <c r="M1153" s="18" t="str">
        <f>INDEX(Chapter,MATCH(L1153,Chapter!$A$1:$A$681,0),8)</f>
        <v>שירותים ממלכתיים</v>
      </c>
      <c r="N1153" s="18" t="str">
        <f t="shared" si="140"/>
        <v>81</v>
      </c>
      <c r="O1153" s="18" t="str">
        <f>INDEX(Chapter,MATCH(N1153,Chapter!$A$1:$A$681,0),8)</f>
        <v>חינוך</v>
      </c>
      <c r="P1153" s="18" t="str">
        <f t="shared" si="141"/>
        <v>815</v>
      </c>
      <c r="Q1153" s="18" t="str">
        <f>INDEX(Chapter,MATCH(P1153,Chapter!$A$1:$A$681,0),8)</f>
        <v>חינוך על יסודי</v>
      </c>
      <c r="R1153" s="18" t="str">
        <f t="shared" si="142"/>
        <v>8152</v>
      </c>
      <c r="S1153" s="18" t="str">
        <f>INDEX(Chapter,MATCH(R1153,Chapter!$A$1:$A$681,0),8)</f>
        <v>בתי״ס על יסודיים עיוניים</v>
      </c>
      <c r="T1153" s="18"/>
      <c r="U1153" s="18" t="str">
        <f t="shared" si="143"/>
        <v>4</v>
      </c>
      <c r="V1153" s="18" t="str">
        <f>IF($L1153&lt;"6",INDEX(Revenue_type,MATCH(U1153*1,type!$A$118:$A$168,0),8),INDEX(Expenditure_type,MATCH(U1153*1,type!$A$2:$A$117,0),8))</f>
        <v>אחזקת בינים ואספקת ציוד</v>
      </c>
      <c r="W1153" s="18" t="str">
        <f t="shared" si="144"/>
        <v>40</v>
      </c>
      <c r="X1153" s="18" t="e">
        <f>IF($L1153&lt;"6",INDEX(Revenue_type,MATCH(W1153*1,type!$A$118:$A$168,0),8),INDEX(Expenditure_type,MATCH(W1153*1,type!$A$2:$A$117,0),8))</f>
        <v>#N/A</v>
      </c>
      <c r="Y1153" s="18" t="str">
        <f t="shared" si="145"/>
        <v>400</v>
      </c>
      <c r="Z1153" s="18" t="e">
        <f>IF($L1153&lt;"6",INDEX(Revenue_type,MATCH(Y1153*1,type!$A$118:$A$168,0),8),INDEX(Expenditure_type,MATCH(Y1153*1,type!$A$2:$A$117,0),8))</f>
        <v>#N/A</v>
      </c>
    </row>
    <row r="1154" spans="1:26" ht="15.75" hidden="1" customHeight="1" outlineLevel="2">
      <c r="A1154">
        <v>500</v>
      </c>
      <c r="B1154" s="249">
        <v>815240</v>
      </c>
      <c r="C1154">
        <v>1</v>
      </c>
      <c r="D1154" t="str">
        <f t="shared" si="138"/>
        <v>1815240.500</v>
      </c>
      <c r="E1154" s="382" t="s">
        <v>8816</v>
      </c>
      <c r="F1154" s="242"/>
      <c r="G1154"/>
      <c r="H1154" s="322">
        <v>10000</v>
      </c>
      <c r="I1154" s="322">
        <v>10000</v>
      </c>
      <c r="J1154" s="242">
        <v>3500</v>
      </c>
      <c r="K1154" s="18"/>
      <c r="L1154" s="18" t="str">
        <f t="shared" si="139"/>
        <v>8</v>
      </c>
      <c r="M1154" s="18" t="str">
        <f>INDEX(Chapter,MATCH(L1154,Chapter!$A$1:$A$681,0),8)</f>
        <v>שירותים ממלכתיים</v>
      </c>
      <c r="N1154" s="18" t="str">
        <f t="shared" si="140"/>
        <v>81</v>
      </c>
      <c r="O1154" s="18" t="str">
        <f>INDEX(Chapter,MATCH(N1154,Chapter!$A$1:$A$681,0),8)</f>
        <v>חינוך</v>
      </c>
      <c r="P1154" s="18" t="str">
        <f t="shared" si="141"/>
        <v>815</v>
      </c>
      <c r="Q1154" s="18" t="str">
        <f>INDEX(Chapter,MATCH(P1154,Chapter!$A$1:$A$681,0),8)</f>
        <v>חינוך על יסודי</v>
      </c>
      <c r="R1154" s="18" t="str">
        <f t="shared" si="142"/>
        <v>8152</v>
      </c>
      <c r="S1154" s="18" t="str">
        <f>INDEX(Chapter,MATCH(R1154,Chapter!$A$1:$A$681,0),8)</f>
        <v>בתי״ס על יסודיים עיוניים</v>
      </c>
      <c r="T1154" s="18"/>
      <c r="U1154" s="18" t="str">
        <f t="shared" si="143"/>
        <v>5</v>
      </c>
      <c r="V1154" s="18" t="str">
        <f>IF($L1154&lt;"6",INDEX(Revenue_type,MATCH(U1154*1,type!$A$118:$A$168,0),8),INDEX(Expenditure_type,MATCH(U1154*1,type!$A$2:$A$117,0),8))</f>
        <v>הוצאות מנהליות</v>
      </c>
      <c r="W1154" s="18" t="str">
        <f t="shared" si="144"/>
        <v>50</v>
      </c>
      <c r="X1154" s="18" t="e">
        <f>IF($L1154&lt;"6",INDEX(Revenue_type,MATCH(W1154*1,type!$A$118:$A$168,0),8),INDEX(Expenditure_type,MATCH(W1154*1,type!$A$2:$A$117,0),8))</f>
        <v>#N/A</v>
      </c>
      <c r="Y1154" s="18" t="str">
        <f t="shared" si="145"/>
        <v>500</v>
      </c>
      <c r="Z1154" s="18" t="e">
        <f>IF($L1154&lt;"6",INDEX(Revenue_type,MATCH(Y1154*1,type!$A$118:$A$168,0),8),INDEX(Expenditure_type,MATCH(Y1154*1,type!$A$2:$A$117,0),8))</f>
        <v>#N/A</v>
      </c>
    </row>
    <row r="1155" spans="1:26" ht="15.75" hidden="1" customHeight="1" outlineLevel="2">
      <c r="A1155">
        <v>700</v>
      </c>
      <c r="B1155" s="249">
        <v>815240</v>
      </c>
      <c r="C1155">
        <v>1</v>
      </c>
      <c r="D1155" t="str">
        <f t="shared" si="138"/>
        <v>1815240.700</v>
      </c>
      <c r="E1155" s="382" t="s">
        <v>8817</v>
      </c>
      <c r="F1155" s="242"/>
      <c r="G1155"/>
      <c r="H1155" s="322">
        <v>2671900</v>
      </c>
      <c r="I1155" s="322">
        <v>2757000</v>
      </c>
      <c r="J1155" s="242">
        <v>2874000</v>
      </c>
      <c r="K1155" s="18"/>
      <c r="L1155" s="18" t="str">
        <f t="shared" si="139"/>
        <v>8</v>
      </c>
      <c r="M1155" s="18" t="str">
        <f>INDEX(Chapter,MATCH(L1155,Chapter!$A$1:$A$681,0),8)</f>
        <v>שירותים ממלכתיים</v>
      </c>
      <c r="N1155" s="18" t="str">
        <f t="shared" si="140"/>
        <v>81</v>
      </c>
      <c r="O1155" s="18" t="str">
        <f>INDEX(Chapter,MATCH(N1155,Chapter!$A$1:$A$681,0),8)</f>
        <v>חינוך</v>
      </c>
      <c r="P1155" s="18" t="str">
        <f t="shared" si="141"/>
        <v>815</v>
      </c>
      <c r="Q1155" s="18" t="str">
        <f>INDEX(Chapter,MATCH(P1155,Chapter!$A$1:$A$681,0),8)</f>
        <v>חינוך על יסודי</v>
      </c>
      <c r="R1155" s="18" t="str">
        <f t="shared" si="142"/>
        <v>8152</v>
      </c>
      <c r="S1155" s="18" t="str">
        <f>INDEX(Chapter,MATCH(R1155,Chapter!$A$1:$A$681,0),8)</f>
        <v>בתי״ס על יסודיים עיוניים</v>
      </c>
      <c r="T1155" s="18"/>
      <c r="U1155" s="18" t="str">
        <f t="shared" si="143"/>
        <v>7</v>
      </c>
      <c r="V1155" s="18" t="str">
        <f>IF($L1155&lt;"6",INDEX(Revenue_type,MATCH(U1155*1,type!$A$118:$A$168,0),8),INDEX(Expenditure_type,MATCH(U1155*1,type!$A$2:$A$117,0),8))</f>
        <v>הוצאות לפעולות</v>
      </c>
      <c r="W1155" s="18" t="str">
        <f t="shared" si="144"/>
        <v>70</v>
      </c>
      <c r="X1155" s="18" t="e">
        <f>IF($L1155&lt;"6",INDEX(Revenue_type,MATCH(W1155*1,type!$A$118:$A$168,0),8),INDEX(Expenditure_type,MATCH(W1155*1,type!$A$2:$A$117,0),8))</f>
        <v>#N/A</v>
      </c>
      <c r="Y1155" s="18" t="str">
        <f t="shared" si="145"/>
        <v>700</v>
      </c>
      <c r="Z1155" s="18" t="e">
        <f>IF($L1155&lt;"6",INDEX(Revenue_type,MATCH(Y1155*1,type!$A$118:$A$168,0),8),INDEX(Expenditure_type,MATCH(Y1155*1,type!$A$2:$A$117,0),8))</f>
        <v>#N/A</v>
      </c>
    </row>
    <row r="1156" spans="1:26" ht="15.75" hidden="1" customHeight="1" outlineLevel="2">
      <c r="A1156">
        <v>100</v>
      </c>
      <c r="B1156" s="249">
        <v>815250</v>
      </c>
      <c r="C1156">
        <v>1</v>
      </c>
      <c r="D1156" t="str">
        <f t="shared" si="138"/>
        <v>1815250.100</v>
      </c>
      <c r="E1156" s="391" t="s">
        <v>8818</v>
      </c>
      <c r="F1156" s="242"/>
      <c r="G1156"/>
      <c r="H1156" s="322">
        <v>12115400</v>
      </c>
      <c r="I1156" s="322">
        <v>11982400</v>
      </c>
      <c r="J1156" s="242">
        <v>12113200</v>
      </c>
      <c r="K1156" s="18"/>
      <c r="L1156" s="18" t="str">
        <f t="shared" si="139"/>
        <v>8</v>
      </c>
      <c r="M1156" s="18" t="str">
        <f>INDEX(Chapter,MATCH(L1156,Chapter!$A$1:$A$681,0),8)</f>
        <v>שירותים ממלכתיים</v>
      </c>
      <c r="N1156" s="18" t="str">
        <f t="shared" si="140"/>
        <v>81</v>
      </c>
      <c r="O1156" s="18" t="str">
        <f>INDEX(Chapter,MATCH(N1156,Chapter!$A$1:$A$681,0),8)</f>
        <v>חינוך</v>
      </c>
      <c r="P1156" s="18" t="str">
        <f t="shared" si="141"/>
        <v>815</v>
      </c>
      <c r="Q1156" s="18" t="str">
        <f>INDEX(Chapter,MATCH(P1156,Chapter!$A$1:$A$681,0),8)</f>
        <v>חינוך על יסודי</v>
      </c>
      <c r="R1156" s="18" t="str">
        <f t="shared" si="142"/>
        <v>8152</v>
      </c>
      <c r="S1156" s="18" t="str">
        <f>INDEX(Chapter,MATCH(R1156,Chapter!$A$1:$A$681,0),8)</f>
        <v>בתי״ס על יסודיים עיוניים</v>
      </c>
      <c r="T1156" s="18"/>
      <c r="U1156" s="18" t="str">
        <f t="shared" si="143"/>
        <v>1</v>
      </c>
      <c r="V1156" s="18" t="str">
        <f>IF($L1156&lt;"6",INDEX(Revenue_type,MATCH(U1156*1,type!$A$118:$A$168,0),8),INDEX(Expenditure_type,MATCH(U1156*1,type!$A$2:$A$117,0),8))</f>
        <v>משכורות וש"ע לעובדים לפי תקן</v>
      </c>
      <c r="W1156" s="18" t="str">
        <f t="shared" si="144"/>
        <v>10</v>
      </c>
      <c r="X1156" s="18" t="e">
        <f>IF($L1156&lt;"6",INDEX(Revenue_type,MATCH(W1156*1,type!$A$118:$A$168,0),8),INDEX(Expenditure_type,MATCH(W1156*1,type!$A$2:$A$117,0),8))</f>
        <v>#N/A</v>
      </c>
      <c r="Y1156" s="18" t="str">
        <f t="shared" si="145"/>
        <v>100</v>
      </c>
      <c r="Z1156" s="18" t="e">
        <f>IF($L1156&lt;"6",INDEX(Revenue_type,MATCH(Y1156*1,type!$A$118:$A$168,0),8),INDEX(Expenditure_type,MATCH(Y1156*1,type!$A$2:$A$117,0),8))</f>
        <v>#N/A</v>
      </c>
    </row>
    <row r="1157" spans="1:26" ht="15.75" hidden="1" customHeight="1" outlineLevel="2">
      <c r="A1157">
        <v>120</v>
      </c>
      <c r="B1157" s="249">
        <v>815250</v>
      </c>
      <c r="C1157">
        <v>1</v>
      </c>
      <c r="D1157" t="str">
        <f t="shared" si="138"/>
        <v>1815250.120</v>
      </c>
      <c r="E1157" s="387" t="s">
        <v>8819</v>
      </c>
      <c r="F1157" s="242"/>
      <c r="G1157"/>
      <c r="H1157" s="322">
        <v>36600</v>
      </c>
      <c r="I1157" s="322">
        <v>36600</v>
      </c>
      <c r="J1157" s="242">
        <v>44300</v>
      </c>
      <c r="K1157" s="18"/>
      <c r="L1157" s="18" t="str">
        <f t="shared" si="139"/>
        <v>8</v>
      </c>
      <c r="M1157" s="18" t="str">
        <f>INDEX(Chapter,MATCH(L1157,Chapter!$A$1:$A$681,0),8)</f>
        <v>שירותים ממלכתיים</v>
      </c>
      <c r="N1157" s="18" t="str">
        <f t="shared" si="140"/>
        <v>81</v>
      </c>
      <c r="O1157" s="18" t="str">
        <f>INDEX(Chapter,MATCH(N1157,Chapter!$A$1:$A$681,0),8)</f>
        <v>חינוך</v>
      </c>
      <c r="P1157" s="18" t="str">
        <f t="shared" si="141"/>
        <v>815</v>
      </c>
      <c r="Q1157" s="18" t="str">
        <f>INDEX(Chapter,MATCH(P1157,Chapter!$A$1:$A$681,0),8)</f>
        <v>חינוך על יסודי</v>
      </c>
      <c r="R1157" s="18" t="str">
        <f t="shared" si="142"/>
        <v>8152</v>
      </c>
      <c r="S1157" s="18" t="str">
        <f>INDEX(Chapter,MATCH(R1157,Chapter!$A$1:$A$681,0),8)</f>
        <v>בתי״ס על יסודיים עיוניים</v>
      </c>
      <c r="T1157" s="18"/>
      <c r="U1157" s="18" t="str">
        <f t="shared" si="143"/>
        <v>1</v>
      </c>
      <c r="V1157" s="18" t="str">
        <f>IF($L1157&lt;"6",INDEX(Revenue_type,MATCH(U1157*1,type!$A$118:$A$168,0),8),INDEX(Expenditure_type,MATCH(U1157*1,type!$A$2:$A$117,0),8))</f>
        <v>משכורות וש"ע לעובדים לפי תקן</v>
      </c>
      <c r="W1157" s="18" t="str">
        <f t="shared" si="144"/>
        <v>12</v>
      </c>
      <c r="X1157" s="18" t="str">
        <f>IF($L1157&lt;"6",INDEX(Revenue_type,MATCH(W1157*1,type!$A$118:$A$168,0),8),INDEX(Expenditure_type,MATCH(W1157*1,type!$A$2:$A$117,0),8))</f>
        <v>תוספות שאינן נכללות בשכר הקובע</v>
      </c>
      <c r="Y1157" s="18" t="str">
        <f t="shared" si="145"/>
        <v>120</v>
      </c>
      <c r="Z1157" s="18" t="e">
        <f>IF($L1157&lt;"6",INDEX(Revenue_type,MATCH(Y1157*1,type!$A$118:$A$168,0),8),INDEX(Expenditure_type,MATCH(Y1157*1,type!$A$2:$A$117,0),8))</f>
        <v>#N/A</v>
      </c>
    </row>
    <row r="1158" spans="1:26" ht="15.75" hidden="1" customHeight="1" outlineLevel="2">
      <c r="A1158">
        <v>400</v>
      </c>
      <c r="B1158" s="249">
        <v>815250</v>
      </c>
      <c r="C1158">
        <v>1</v>
      </c>
      <c r="D1158" t="str">
        <f t="shared" si="138"/>
        <v>1815250.400</v>
      </c>
      <c r="E1158" s="382" t="s">
        <v>8820</v>
      </c>
      <c r="F1158" s="242"/>
      <c r="G1158"/>
      <c r="H1158" s="322">
        <v>366000</v>
      </c>
      <c r="I1158" s="322">
        <v>411500</v>
      </c>
      <c r="J1158" s="242">
        <v>439200</v>
      </c>
      <c r="K1158" s="18"/>
      <c r="L1158" s="18" t="str">
        <f t="shared" si="139"/>
        <v>8</v>
      </c>
      <c r="M1158" s="18" t="str">
        <f>INDEX(Chapter,MATCH(L1158,Chapter!$A$1:$A$681,0),8)</f>
        <v>שירותים ממלכתיים</v>
      </c>
      <c r="N1158" s="18" t="str">
        <f t="shared" si="140"/>
        <v>81</v>
      </c>
      <c r="O1158" s="18" t="str">
        <f>INDEX(Chapter,MATCH(N1158,Chapter!$A$1:$A$681,0),8)</f>
        <v>חינוך</v>
      </c>
      <c r="P1158" s="18" t="str">
        <f t="shared" si="141"/>
        <v>815</v>
      </c>
      <c r="Q1158" s="18" t="str">
        <f>INDEX(Chapter,MATCH(P1158,Chapter!$A$1:$A$681,0),8)</f>
        <v>חינוך על יסודי</v>
      </c>
      <c r="R1158" s="18" t="str">
        <f t="shared" si="142"/>
        <v>8152</v>
      </c>
      <c r="S1158" s="18" t="str">
        <f>INDEX(Chapter,MATCH(R1158,Chapter!$A$1:$A$681,0),8)</f>
        <v>בתי״ס על יסודיים עיוניים</v>
      </c>
      <c r="T1158" s="18"/>
      <c r="U1158" s="18" t="str">
        <f t="shared" si="143"/>
        <v>4</v>
      </c>
      <c r="V1158" s="18" t="str">
        <f>IF($L1158&lt;"6",INDEX(Revenue_type,MATCH(U1158*1,type!$A$118:$A$168,0),8),INDEX(Expenditure_type,MATCH(U1158*1,type!$A$2:$A$117,0),8))</f>
        <v>אחזקת בינים ואספקת ציוד</v>
      </c>
      <c r="W1158" s="18" t="str">
        <f t="shared" si="144"/>
        <v>40</v>
      </c>
      <c r="X1158" s="18" t="e">
        <f>IF($L1158&lt;"6",INDEX(Revenue_type,MATCH(W1158*1,type!$A$118:$A$168,0),8),INDEX(Expenditure_type,MATCH(W1158*1,type!$A$2:$A$117,0),8))</f>
        <v>#N/A</v>
      </c>
      <c r="Y1158" s="18" t="str">
        <f t="shared" si="145"/>
        <v>400</v>
      </c>
      <c r="Z1158" s="18" t="e">
        <f>IF($L1158&lt;"6",INDEX(Revenue_type,MATCH(Y1158*1,type!$A$118:$A$168,0),8),INDEX(Expenditure_type,MATCH(Y1158*1,type!$A$2:$A$117,0),8))</f>
        <v>#N/A</v>
      </c>
    </row>
    <row r="1159" spans="1:26" ht="15.75" hidden="1" customHeight="1" outlineLevel="2">
      <c r="A1159">
        <v>500</v>
      </c>
      <c r="B1159" s="249">
        <v>815250</v>
      </c>
      <c r="C1159">
        <v>1</v>
      </c>
      <c r="D1159" t="str">
        <f t="shared" si="138"/>
        <v>1815250.500</v>
      </c>
      <c r="E1159" s="391" t="s">
        <v>8821</v>
      </c>
      <c r="F1159" s="242"/>
      <c r="G1159"/>
      <c r="H1159" s="322">
        <v>8000</v>
      </c>
      <c r="I1159" s="322">
        <v>8000</v>
      </c>
      <c r="J1159" s="242">
        <v>1500</v>
      </c>
      <c r="K1159" s="18"/>
      <c r="L1159" s="18" t="str">
        <f t="shared" si="139"/>
        <v>8</v>
      </c>
      <c r="M1159" s="18" t="str">
        <f>INDEX(Chapter,MATCH(L1159,Chapter!$A$1:$A$681,0),8)</f>
        <v>שירותים ממלכתיים</v>
      </c>
      <c r="N1159" s="18" t="str">
        <f t="shared" si="140"/>
        <v>81</v>
      </c>
      <c r="O1159" s="18" t="str">
        <f>INDEX(Chapter,MATCH(N1159,Chapter!$A$1:$A$681,0),8)</f>
        <v>חינוך</v>
      </c>
      <c r="P1159" s="18" t="str">
        <f t="shared" si="141"/>
        <v>815</v>
      </c>
      <c r="Q1159" s="18" t="str">
        <f>INDEX(Chapter,MATCH(P1159,Chapter!$A$1:$A$681,0),8)</f>
        <v>חינוך על יסודי</v>
      </c>
      <c r="R1159" s="18" t="str">
        <f t="shared" si="142"/>
        <v>8152</v>
      </c>
      <c r="S1159" s="18" t="str">
        <f>INDEX(Chapter,MATCH(R1159,Chapter!$A$1:$A$681,0),8)</f>
        <v>בתי״ס על יסודיים עיוניים</v>
      </c>
      <c r="T1159" s="18"/>
      <c r="U1159" s="18" t="str">
        <f t="shared" si="143"/>
        <v>5</v>
      </c>
      <c r="V1159" s="18" t="str">
        <f>IF($L1159&lt;"6",INDEX(Revenue_type,MATCH(U1159*1,type!$A$118:$A$168,0),8),INDEX(Expenditure_type,MATCH(U1159*1,type!$A$2:$A$117,0),8))</f>
        <v>הוצאות מנהליות</v>
      </c>
      <c r="W1159" s="18" t="str">
        <f t="shared" si="144"/>
        <v>50</v>
      </c>
      <c r="X1159" s="18" t="e">
        <f>IF($L1159&lt;"6",INDEX(Revenue_type,MATCH(W1159*1,type!$A$118:$A$168,0),8),INDEX(Expenditure_type,MATCH(W1159*1,type!$A$2:$A$117,0),8))</f>
        <v>#N/A</v>
      </c>
      <c r="Y1159" s="18" t="str">
        <f t="shared" si="145"/>
        <v>500</v>
      </c>
      <c r="Z1159" s="18" t="e">
        <f>IF($L1159&lt;"6",INDEX(Revenue_type,MATCH(Y1159*1,type!$A$118:$A$168,0),8),INDEX(Expenditure_type,MATCH(Y1159*1,type!$A$2:$A$117,0),8))</f>
        <v>#N/A</v>
      </c>
    </row>
    <row r="1160" spans="1:26" ht="15.75" hidden="1" customHeight="1" outlineLevel="2">
      <c r="A1160">
        <v>700</v>
      </c>
      <c r="B1160" s="249">
        <v>815250</v>
      </c>
      <c r="C1160">
        <v>1</v>
      </c>
      <c r="D1160" t="str">
        <f t="shared" si="138"/>
        <v>1815250.700</v>
      </c>
      <c r="E1160" s="382" t="s">
        <v>8822</v>
      </c>
      <c r="F1160" s="242"/>
      <c r="G1160"/>
      <c r="H1160" s="322">
        <v>3553000</v>
      </c>
      <c r="I1160" s="322">
        <v>3623000</v>
      </c>
      <c r="J1160" s="242">
        <v>4220500</v>
      </c>
      <c r="K1160" s="18"/>
      <c r="L1160" s="18" t="str">
        <f t="shared" si="139"/>
        <v>8</v>
      </c>
      <c r="M1160" s="18" t="str">
        <f>INDEX(Chapter,MATCH(L1160,Chapter!$A$1:$A$681,0),8)</f>
        <v>שירותים ממלכתיים</v>
      </c>
      <c r="N1160" s="18" t="str">
        <f t="shared" si="140"/>
        <v>81</v>
      </c>
      <c r="O1160" s="18" t="str">
        <f>INDEX(Chapter,MATCH(N1160,Chapter!$A$1:$A$681,0),8)</f>
        <v>חינוך</v>
      </c>
      <c r="P1160" s="18" t="str">
        <f t="shared" si="141"/>
        <v>815</v>
      </c>
      <c r="Q1160" s="18" t="str">
        <f>INDEX(Chapter,MATCH(P1160,Chapter!$A$1:$A$681,0),8)</f>
        <v>חינוך על יסודי</v>
      </c>
      <c r="R1160" s="18" t="str">
        <f t="shared" si="142"/>
        <v>8152</v>
      </c>
      <c r="S1160" s="18" t="str">
        <f>INDEX(Chapter,MATCH(R1160,Chapter!$A$1:$A$681,0),8)</f>
        <v>בתי״ס על יסודיים עיוניים</v>
      </c>
      <c r="T1160" s="18"/>
      <c r="U1160" s="18" t="str">
        <f t="shared" si="143"/>
        <v>7</v>
      </c>
      <c r="V1160" s="18" t="str">
        <f>IF($L1160&lt;"6",INDEX(Revenue_type,MATCH(U1160*1,type!$A$118:$A$168,0),8),INDEX(Expenditure_type,MATCH(U1160*1,type!$A$2:$A$117,0),8))</f>
        <v>הוצאות לפעולות</v>
      </c>
      <c r="W1160" s="18" t="str">
        <f t="shared" si="144"/>
        <v>70</v>
      </c>
      <c r="X1160" s="18" t="e">
        <f>IF($L1160&lt;"6",INDEX(Revenue_type,MATCH(W1160*1,type!$A$118:$A$168,0),8),INDEX(Expenditure_type,MATCH(W1160*1,type!$A$2:$A$117,0),8))</f>
        <v>#N/A</v>
      </c>
      <c r="Y1160" s="18" t="str">
        <f t="shared" si="145"/>
        <v>700</v>
      </c>
      <c r="Z1160" s="18" t="e">
        <f>IF($L1160&lt;"6",INDEX(Revenue_type,MATCH(Y1160*1,type!$A$118:$A$168,0),8),INDEX(Expenditure_type,MATCH(Y1160*1,type!$A$2:$A$117,0),8))</f>
        <v>#N/A</v>
      </c>
    </row>
    <row r="1161" spans="1:26" ht="15.75" hidden="1" customHeight="1" outlineLevel="2">
      <c r="A1161">
        <v>100</v>
      </c>
      <c r="B1161" s="249">
        <v>815260</v>
      </c>
      <c r="C1161">
        <v>1</v>
      </c>
      <c r="D1161" t="str">
        <f t="shared" si="138"/>
        <v>1815260.100</v>
      </c>
      <c r="E1161" s="382" t="s">
        <v>8823</v>
      </c>
      <c r="F1161" s="242"/>
      <c r="G1161"/>
      <c r="H1161" s="322">
        <v>985000</v>
      </c>
      <c r="I1161" s="322">
        <v>974000</v>
      </c>
      <c r="J1161" s="242">
        <v>939100</v>
      </c>
      <c r="K1161" s="18"/>
      <c r="L1161" s="18" t="str">
        <f t="shared" si="139"/>
        <v>8</v>
      </c>
      <c r="M1161" s="18" t="str">
        <f>INDEX(Chapter,MATCH(L1161,Chapter!$A$1:$A$681,0),8)</f>
        <v>שירותים ממלכתיים</v>
      </c>
      <c r="N1161" s="18" t="str">
        <f t="shared" si="140"/>
        <v>81</v>
      </c>
      <c r="O1161" s="18" t="str">
        <f>INDEX(Chapter,MATCH(N1161,Chapter!$A$1:$A$681,0),8)</f>
        <v>חינוך</v>
      </c>
      <c r="P1161" s="18" t="str">
        <f t="shared" si="141"/>
        <v>815</v>
      </c>
      <c r="Q1161" s="18" t="str">
        <f>INDEX(Chapter,MATCH(P1161,Chapter!$A$1:$A$681,0),8)</f>
        <v>חינוך על יסודי</v>
      </c>
      <c r="R1161" s="18" t="str">
        <f t="shared" si="142"/>
        <v>8152</v>
      </c>
      <c r="S1161" s="18" t="str">
        <f>INDEX(Chapter,MATCH(R1161,Chapter!$A$1:$A$681,0),8)</f>
        <v>בתי״ס על יסודיים עיוניים</v>
      </c>
      <c r="T1161" s="18"/>
      <c r="U1161" s="18" t="str">
        <f t="shared" si="143"/>
        <v>1</v>
      </c>
      <c r="V1161" s="18" t="str">
        <f>IF($L1161&lt;"6",INDEX(Revenue_type,MATCH(U1161*1,type!$A$118:$A$168,0),8),INDEX(Expenditure_type,MATCH(U1161*1,type!$A$2:$A$117,0),8))</f>
        <v>משכורות וש"ע לעובדים לפי תקן</v>
      </c>
      <c r="W1161" s="18" t="str">
        <f t="shared" si="144"/>
        <v>10</v>
      </c>
      <c r="X1161" s="18" t="e">
        <f>IF($L1161&lt;"6",INDEX(Revenue_type,MATCH(W1161*1,type!$A$118:$A$168,0),8),INDEX(Expenditure_type,MATCH(W1161*1,type!$A$2:$A$117,0),8))</f>
        <v>#N/A</v>
      </c>
      <c r="Y1161" s="18" t="str">
        <f t="shared" si="145"/>
        <v>100</v>
      </c>
      <c r="Z1161" s="18" t="e">
        <f>IF($L1161&lt;"6",INDEX(Revenue_type,MATCH(Y1161*1,type!$A$118:$A$168,0),8),INDEX(Expenditure_type,MATCH(Y1161*1,type!$A$2:$A$117,0),8))</f>
        <v>#N/A</v>
      </c>
    </row>
    <row r="1162" spans="1:26" ht="15.75" hidden="1" customHeight="1" outlineLevel="2">
      <c r="A1162">
        <v>400</v>
      </c>
      <c r="B1162" s="249">
        <v>815260</v>
      </c>
      <c r="C1162">
        <v>1</v>
      </c>
      <c r="D1162" t="str">
        <f t="shared" si="138"/>
        <v>1815260.400</v>
      </c>
      <c r="E1162" s="382" t="s">
        <v>8824</v>
      </c>
      <c r="F1162" s="242"/>
      <c r="G1162"/>
      <c r="H1162" s="322">
        <v>158600</v>
      </c>
      <c r="I1162" s="322">
        <v>163400</v>
      </c>
      <c r="J1162" s="242">
        <v>15700</v>
      </c>
      <c r="K1162" s="18"/>
      <c r="L1162" s="18" t="str">
        <f t="shared" si="139"/>
        <v>8</v>
      </c>
      <c r="M1162" s="18" t="str">
        <f>INDEX(Chapter,MATCH(L1162,Chapter!$A$1:$A$681,0),8)</f>
        <v>שירותים ממלכתיים</v>
      </c>
      <c r="N1162" s="18" t="str">
        <f t="shared" si="140"/>
        <v>81</v>
      </c>
      <c r="O1162" s="18" t="str">
        <f>INDEX(Chapter,MATCH(N1162,Chapter!$A$1:$A$681,0),8)</f>
        <v>חינוך</v>
      </c>
      <c r="P1162" s="18" t="str">
        <f t="shared" si="141"/>
        <v>815</v>
      </c>
      <c r="Q1162" s="18" t="str">
        <f>INDEX(Chapter,MATCH(P1162,Chapter!$A$1:$A$681,0),8)</f>
        <v>חינוך על יסודי</v>
      </c>
      <c r="R1162" s="18" t="str">
        <f t="shared" si="142"/>
        <v>8152</v>
      </c>
      <c r="S1162" s="18" t="str">
        <f>INDEX(Chapter,MATCH(R1162,Chapter!$A$1:$A$681,0),8)</f>
        <v>בתי״ס על יסודיים עיוניים</v>
      </c>
      <c r="T1162" s="18"/>
      <c r="U1162" s="18" t="str">
        <f t="shared" si="143"/>
        <v>4</v>
      </c>
      <c r="V1162" s="18" t="str">
        <f>IF($L1162&lt;"6",INDEX(Revenue_type,MATCH(U1162*1,type!$A$118:$A$168,0),8),INDEX(Expenditure_type,MATCH(U1162*1,type!$A$2:$A$117,0),8))</f>
        <v>אחזקת בינים ואספקת ציוד</v>
      </c>
      <c r="W1162" s="18" t="str">
        <f t="shared" si="144"/>
        <v>40</v>
      </c>
      <c r="X1162" s="18" t="e">
        <f>IF($L1162&lt;"6",INDEX(Revenue_type,MATCH(W1162*1,type!$A$118:$A$168,0),8),INDEX(Expenditure_type,MATCH(W1162*1,type!$A$2:$A$117,0),8))</f>
        <v>#N/A</v>
      </c>
      <c r="Y1162" s="18" t="str">
        <f t="shared" si="145"/>
        <v>400</v>
      </c>
      <c r="Z1162" s="18" t="e">
        <f>IF($L1162&lt;"6",INDEX(Revenue_type,MATCH(Y1162*1,type!$A$118:$A$168,0),8),INDEX(Expenditure_type,MATCH(Y1162*1,type!$A$2:$A$117,0),8))</f>
        <v>#N/A</v>
      </c>
    </row>
    <row r="1163" spans="1:26" ht="15.75" hidden="1" customHeight="1" outlineLevel="2">
      <c r="A1163">
        <v>500</v>
      </c>
      <c r="B1163" s="249">
        <v>815260</v>
      </c>
      <c r="C1163">
        <v>1</v>
      </c>
      <c r="D1163" t="str">
        <f t="shared" si="138"/>
        <v>1815260.500</v>
      </c>
      <c r="E1163" s="382" t="s">
        <v>8825</v>
      </c>
      <c r="F1163" s="242"/>
      <c r="G1163"/>
      <c r="H1163" s="322">
        <v>3600</v>
      </c>
      <c r="I1163" s="322">
        <v>3600</v>
      </c>
      <c r="J1163" s="242">
        <v>0</v>
      </c>
      <c r="K1163" s="18"/>
      <c r="L1163" s="18" t="str">
        <f t="shared" si="139"/>
        <v>8</v>
      </c>
      <c r="M1163" s="18" t="str">
        <f>INDEX(Chapter,MATCH(L1163,Chapter!$A$1:$A$681,0),8)</f>
        <v>שירותים ממלכתיים</v>
      </c>
      <c r="N1163" s="18" t="str">
        <f t="shared" si="140"/>
        <v>81</v>
      </c>
      <c r="O1163" s="18" t="str">
        <f>INDEX(Chapter,MATCH(N1163,Chapter!$A$1:$A$681,0),8)</f>
        <v>חינוך</v>
      </c>
      <c r="P1163" s="18" t="str">
        <f t="shared" si="141"/>
        <v>815</v>
      </c>
      <c r="Q1163" s="18" t="str">
        <f>INDEX(Chapter,MATCH(P1163,Chapter!$A$1:$A$681,0),8)</f>
        <v>חינוך על יסודי</v>
      </c>
      <c r="R1163" s="18" t="str">
        <f t="shared" si="142"/>
        <v>8152</v>
      </c>
      <c r="S1163" s="18" t="str">
        <f>INDEX(Chapter,MATCH(R1163,Chapter!$A$1:$A$681,0),8)</f>
        <v>בתי״ס על יסודיים עיוניים</v>
      </c>
      <c r="T1163" s="18"/>
      <c r="U1163" s="18" t="str">
        <f t="shared" si="143"/>
        <v>5</v>
      </c>
      <c r="V1163" s="18" t="str">
        <f>IF($L1163&lt;"6",INDEX(Revenue_type,MATCH(U1163*1,type!$A$118:$A$168,0),8),INDEX(Expenditure_type,MATCH(U1163*1,type!$A$2:$A$117,0),8))</f>
        <v>הוצאות מנהליות</v>
      </c>
      <c r="W1163" s="18" t="str">
        <f t="shared" si="144"/>
        <v>50</v>
      </c>
      <c r="X1163" s="18" t="e">
        <f>IF($L1163&lt;"6",INDEX(Revenue_type,MATCH(W1163*1,type!$A$118:$A$168,0),8),INDEX(Expenditure_type,MATCH(W1163*1,type!$A$2:$A$117,0),8))</f>
        <v>#N/A</v>
      </c>
      <c r="Y1163" s="18" t="str">
        <f t="shared" si="145"/>
        <v>500</v>
      </c>
      <c r="Z1163" s="18" t="e">
        <f>IF($L1163&lt;"6",INDEX(Revenue_type,MATCH(Y1163*1,type!$A$118:$A$168,0),8),INDEX(Expenditure_type,MATCH(Y1163*1,type!$A$2:$A$117,0),8))</f>
        <v>#N/A</v>
      </c>
    </row>
    <row r="1164" spans="1:26" ht="15.75" hidden="1" customHeight="1" outlineLevel="2">
      <c r="A1164">
        <v>700</v>
      </c>
      <c r="B1164" s="249">
        <v>815260</v>
      </c>
      <c r="C1164">
        <v>1</v>
      </c>
      <c r="D1164" t="str">
        <f t="shared" si="138"/>
        <v>1815260.700</v>
      </c>
      <c r="E1164" s="382" t="s">
        <v>8826</v>
      </c>
      <c r="F1164" s="242"/>
      <c r="G1164"/>
      <c r="H1164" s="322">
        <v>680000</v>
      </c>
      <c r="I1164" s="322">
        <v>700000</v>
      </c>
      <c r="J1164" s="242">
        <v>663900</v>
      </c>
      <c r="K1164" s="18"/>
      <c r="L1164" s="18" t="str">
        <f t="shared" si="139"/>
        <v>8</v>
      </c>
      <c r="M1164" s="18" t="str">
        <f>INDEX(Chapter,MATCH(L1164,Chapter!$A$1:$A$681,0),8)</f>
        <v>שירותים ממלכתיים</v>
      </c>
      <c r="N1164" s="18" t="str">
        <f t="shared" si="140"/>
        <v>81</v>
      </c>
      <c r="O1164" s="18" t="str">
        <f>INDEX(Chapter,MATCH(N1164,Chapter!$A$1:$A$681,0),8)</f>
        <v>חינוך</v>
      </c>
      <c r="P1164" s="18" t="str">
        <f t="shared" si="141"/>
        <v>815</v>
      </c>
      <c r="Q1164" s="18" t="str">
        <f>INDEX(Chapter,MATCH(P1164,Chapter!$A$1:$A$681,0),8)</f>
        <v>חינוך על יסודי</v>
      </c>
      <c r="R1164" s="18" t="str">
        <f t="shared" si="142"/>
        <v>8152</v>
      </c>
      <c r="S1164" s="18" t="str">
        <f>INDEX(Chapter,MATCH(R1164,Chapter!$A$1:$A$681,0),8)</f>
        <v>בתי״ס על יסודיים עיוניים</v>
      </c>
      <c r="T1164" s="18"/>
      <c r="U1164" s="18" t="str">
        <f t="shared" si="143"/>
        <v>7</v>
      </c>
      <c r="V1164" s="18" t="str">
        <f>IF($L1164&lt;"6",INDEX(Revenue_type,MATCH(U1164*1,type!$A$118:$A$168,0),8),INDEX(Expenditure_type,MATCH(U1164*1,type!$A$2:$A$117,0),8))</f>
        <v>הוצאות לפעולות</v>
      </c>
      <c r="W1164" s="18" t="str">
        <f t="shared" si="144"/>
        <v>70</v>
      </c>
      <c r="X1164" s="18" t="e">
        <f>IF($L1164&lt;"6",INDEX(Revenue_type,MATCH(W1164*1,type!$A$118:$A$168,0),8),INDEX(Expenditure_type,MATCH(W1164*1,type!$A$2:$A$117,0),8))</f>
        <v>#N/A</v>
      </c>
      <c r="Y1164" s="18" t="str">
        <f t="shared" si="145"/>
        <v>700</v>
      </c>
      <c r="Z1164" s="18" t="e">
        <f>IF($L1164&lt;"6",INDEX(Revenue_type,MATCH(Y1164*1,type!$A$118:$A$168,0),8),INDEX(Expenditure_type,MATCH(Y1164*1,type!$A$2:$A$117,0),8))</f>
        <v>#N/A</v>
      </c>
    </row>
    <row r="1165" spans="1:26" ht="15.75" hidden="1" customHeight="1" outlineLevel="2">
      <c r="A1165">
        <v>100</v>
      </c>
      <c r="B1165" s="249">
        <v>815270</v>
      </c>
      <c r="C1165">
        <v>1</v>
      </c>
      <c r="D1165" t="str">
        <f t="shared" si="138"/>
        <v>1815270.100</v>
      </c>
      <c r="E1165" s="382" t="s">
        <v>8827</v>
      </c>
      <c r="F1165" s="242"/>
      <c r="G1165"/>
      <c r="H1165" s="322">
        <v>4820000</v>
      </c>
      <c r="I1165" s="322">
        <v>4767000</v>
      </c>
      <c r="J1165" s="242">
        <v>4330500</v>
      </c>
      <c r="K1165" s="18"/>
      <c r="L1165" s="18" t="str">
        <f t="shared" si="139"/>
        <v>8</v>
      </c>
      <c r="M1165" s="18" t="str">
        <f>INDEX(Chapter,MATCH(L1165,Chapter!$A$1:$A$681,0),8)</f>
        <v>שירותים ממלכתיים</v>
      </c>
      <c r="N1165" s="18" t="str">
        <f t="shared" si="140"/>
        <v>81</v>
      </c>
      <c r="O1165" s="18" t="str">
        <f>INDEX(Chapter,MATCH(N1165,Chapter!$A$1:$A$681,0),8)</f>
        <v>חינוך</v>
      </c>
      <c r="P1165" s="18" t="str">
        <f t="shared" si="141"/>
        <v>815</v>
      </c>
      <c r="Q1165" s="18" t="str">
        <f>INDEX(Chapter,MATCH(P1165,Chapter!$A$1:$A$681,0),8)</f>
        <v>חינוך על יסודי</v>
      </c>
      <c r="R1165" s="18" t="str">
        <f t="shared" si="142"/>
        <v>8152</v>
      </c>
      <c r="S1165" s="18" t="str">
        <f>INDEX(Chapter,MATCH(R1165,Chapter!$A$1:$A$681,0),8)</f>
        <v>בתי״ס על יסודיים עיוניים</v>
      </c>
      <c r="T1165" s="18"/>
      <c r="U1165" s="18" t="str">
        <f t="shared" si="143"/>
        <v>1</v>
      </c>
      <c r="V1165" s="18" t="str">
        <f>IF($L1165&lt;"6",INDEX(Revenue_type,MATCH(U1165*1,type!$A$118:$A$168,0),8),INDEX(Expenditure_type,MATCH(U1165*1,type!$A$2:$A$117,0),8))</f>
        <v>משכורות וש"ע לעובדים לפי תקן</v>
      </c>
      <c r="W1165" s="18" t="str">
        <f t="shared" si="144"/>
        <v>10</v>
      </c>
      <c r="X1165" s="18" t="e">
        <f>IF($L1165&lt;"6",INDEX(Revenue_type,MATCH(W1165*1,type!$A$118:$A$168,0),8),INDEX(Expenditure_type,MATCH(W1165*1,type!$A$2:$A$117,0),8))</f>
        <v>#N/A</v>
      </c>
      <c r="Y1165" s="18" t="str">
        <f t="shared" si="145"/>
        <v>100</v>
      </c>
      <c r="Z1165" s="18" t="e">
        <f>IF($L1165&lt;"6",INDEX(Revenue_type,MATCH(Y1165*1,type!$A$118:$A$168,0),8),INDEX(Expenditure_type,MATCH(Y1165*1,type!$A$2:$A$117,0),8))</f>
        <v>#N/A</v>
      </c>
    </row>
    <row r="1166" spans="1:26" ht="15.75" hidden="1" customHeight="1" outlineLevel="2">
      <c r="A1166">
        <v>400</v>
      </c>
      <c r="B1166" s="249">
        <v>815270</v>
      </c>
      <c r="C1166">
        <v>1</v>
      </c>
      <c r="D1166" t="str">
        <f t="shared" si="138"/>
        <v>1815270.400</v>
      </c>
      <c r="E1166" s="382" t="s">
        <v>8828</v>
      </c>
      <c r="F1166" s="242"/>
      <c r="G1166"/>
      <c r="H1166" s="322">
        <v>176700</v>
      </c>
      <c r="I1166" s="322">
        <v>189000</v>
      </c>
      <c r="J1166" s="242">
        <v>204900</v>
      </c>
      <c r="K1166" s="18"/>
      <c r="L1166" s="18" t="str">
        <f t="shared" si="139"/>
        <v>8</v>
      </c>
      <c r="M1166" s="18" t="str">
        <f>INDEX(Chapter,MATCH(L1166,Chapter!$A$1:$A$681,0),8)</f>
        <v>שירותים ממלכתיים</v>
      </c>
      <c r="N1166" s="18" t="str">
        <f t="shared" si="140"/>
        <v>81</v>
      </c>
      <c r="O1166" s="18" t="str">
        <f>INDEX(Chapter,MATCH(N1166,Chapter!$A$1:$A$681,0),8)</f>
        <v>חינוך</v>
      </c>
      <c r="P1166" s="18" t="str">
        <f t="shared" si="141"/>
        <v>815</v>
      </c>
      <c r="Q1166" s="18" t="str">
        <f>INDEX(Chapter,MATCH(P1166,Chapter!$A$1:$A$681,0),8)</f>
        <v>חינוך על יסודי</v>
      </c>
      <c r="R1166" s="18" t="str">
        <f t="shared" si="142"/>
        <v>8152</v>
      </c>
      <c r="S1166" s="18" t="str">
        <f>INDEX(Chapter,MATCH(R1166,Chapter!$A$1:$A$681,0),8)</f>
        <v>בתי״ס על יסודיים עיוניים</v>
      </c>
      <c r="T1166" s="18"/>
      <c r="U1166" s="18" t="str">
        <f t="shared" si="143"/>
        <v>4</v>
      </c>
      <c r="V1166" s="18" t="str">
        <f>IF($L1166&lt;"6",INDEX(Revenue_type,MATCH(U1166*1,type!$A$118:$A$168,0),8),INDEX(Expenditure_type,MATCH(U1166*1,type!$A$2:$A$117,0),8))</f>
        <v>אחזקת בינים ואספקת ציוד</v>
      </c>
      <c r="W1166" s="18" t="str">
        <f t="shared" si="144"/>
        <v>40</v>
      </c>
      <c r="X1166" s="18" t="e">
        <f>IF($L1166&lt;"6",INDEX(Revenue_type,MATCH(W1166*1,type!$A$118:$A$168,0),8),INDEX(Expenditure_type,MATCH(W1166*1,type!$A$2:$A$117,0),8))</f>
        <v>#N/A</v>
      </c>
      <c r="Y1166" s="18" t="str">
        <f t="shared" si="145"/>
        <v>400</v>
      </c>
      <c r="Z1166" s="18" t="e">
        <f>IF($L1166&lt;"6",INDEX(Revenue_type,MATCH(Y1166*1,type!$A$118:$A$168,0),8),INDEX(Expenditure_type,MATCH(Y1166*1,type!$A$2:$A$117,0),8))</f>
        <v>#N/A</v>
      </c>
    </row>
    <row r="1167" spans="1:26" ht="15.75" hidden="1" customHeight="1" outlineLevel="2">
      <c r="A1167">
        <v>500</v>
      </c>
      <c r="B1167" s="249">
        <v>815270</v>
      </c>
      <c r="C1167">
        <v>1</v>
      </c>
      <c r="D1167" t="str">
        <f t="shared" si="138"/>
        <v>1815270.500</v>
      </c>
      <c r="E1167" s="382" t="s">
        <v>8829</v>
      </c>
      <c r="F1167" s="242"/>
      <c r="G1167"/>
      <c r="H1167" s="322">
        <v>1000</v>
      </c>
      <c r="I1167" s="322">
        <v>1000</v>
      </c>
      <c r="J1167" s="242">
        <v>0</v>
      </c>
      <c r="K1167" s="18"/>
      <c r="L1167" s="18" t="str">
        <f t="shared" si="139"/>
        <v>8</v>
      </c>
      <c r="M1167" s="18" t="str">
        <f>INDEX(Chapter,MATCH(L1167,Chapter!$A$1:$A$681,0),8)</f>
        <v>שירותים ממלכתיים</v>
      </c>
      <c r="N1167" s="18" t="str">
        <f t="shared" si="140"/>
        <v>81</v>
      </c>
      <c r="O1167" s="18" t="str">
        <f>INDEX(Chapter,MATCH(N1167,Chapter!$A$1:$A$681,0),8)</f>
        <v>חינוך</v>
      </c>
      <c r="P1167" s="18" t="str">
        <f t="shared" si="141"/>
        <v>815</v>
      </c>
      <c r="Q1167" s="18" t="str">
        <f>INDEX(Chapter,MATCH(P1167,Chapter!$A$1:$A$681,0),8)</f>
        <v>חינוך על יסודי</v>
      </c>
      <c r="R1167" s="18" t="str">
        <f t="shared" si="142"/>
        <v>8152</v>
      </c>
      <c r="S1167" s="18" t="str">
        <f>INDEX(Chapter,MATCH(R1167,Chapter!$A$1:$A$681,0),8)</f>
        <v>בתי״ס על יסודיים עיוניים</v>
      </c>
      <c r="T1167" s="18"/>
      <c r="U1167" s="18" t="str">
        <f t="shared" si="143"/>
        <v>5</v>
      </c>
      <c r="V1167" s="18" t="str">
        <f>IF($L1167&lt;"6",INDEX(Revenue_type,MATCH(U1167*1,type!$A$118:$A$168,0),8),INDEX(Expenditure_type,MATCH(U1167*1,type!$A$2:$A$117,0),8))</f>
        <v>הוצאות מנהליות</v>
      </c>
      <c r="W1167" s="18" t="str">
        <f t="shared" si="144"/>
        <v>50</v>
      </c>
      <c r="X1167" s="18" t="e">
        <f>IF($L1167&lt;"6",INDEX(Revenue_type,MATCH(W1167*1,type!$A$118:$A$168,0),8),INDEX(Expenditure_type,MATCH(W1167*1,type!$A$2:$A$117,0),8))</f>
        <v>#N/A</v>
      </c>
      <c r="Y1167" s="18" t="str">
        <f t="shared" si="145"/>
        <v>500</v>
      </c>
      <c r="Z1167" s="18" t="e">
        <f>IF($L1167&lt;"6",INDEX(Revenue_type,MATCH(Y1167*1,type!$A$118:$A$168,0),8),INDEX(Expenditure_type,MATCH(Y1167*1,type!$A$2:$A$117,0),8))</f>
        <v>#N/A</v>
      </c>
    </row>
    <row r="1168" spans="1:26" ht="15.75" hidden="1" customHeight="1" outlineLevel="2">
      <c r="A1168">
        <v>700</v>
      </c>
      <c r="B1168" s="249">
        <v>815270</v>
      </c>
      <c r="C1168">
        <v>1</v>
      </c>
      <c r="D1168" t="str">
        <f t="shared" si="138"/>
        <v>1815270.700</v>
      </c>
      <c r="E1168" s="382" t="s">
        <v>8830</v>
      </c>
      <c r="F1168" s="242"/>
      <c r="G1168"/>
      <c r="H1168" s="322">
        <v>241000</v>
      </c>
      <c r="I1168" s="322">
        <v>241000</v>
      </c>
      <c r="J1168" s="242">
        <v>210200</v>
      </c>
      <c r="K1168" s="18"/>
      <c r="L1168" s="18" t="str">
        <f t="shared" si="139"/>
        <v>8</v>
      </c>
      <c r="M1168" s="18" t="str">
        <f>INDEX(Chapter,MATCH(L1168,Chapter!$A$1:$A$681,0),8)</f>
        <v>שירותים ממלכתיים</v>
      </c>
      <c r="N1168" s="18" t="str">
        <f t="shared" si="140"/>
        <v>81</v>
      </c>
      <c r="O1168" s="18" t="str">
        <f>INDEX(Chapter,MATCH(N1168,Chapter!$A$1:$A$681,0),8)</f>
        <v>חינוך</v>
      </c>
      <c r="P1168" s="18" t="str">
        <f t="shared" si="141"/>
        <v>815</v>
      </c>
      <c r="Q1168" s="18" t="str">
        <f>INDEX(Chapter,MATCH(P1168,Chapter!$A$1:$A$681,0),8)</f>
        <v>חינוך על יסודי</v>
      </c>
      <c r="R1168" s="18" t="str">
        <f t="shared" si="142"/>
        <v>8152</v>
      </c>
      <c r="S1168" s="18" t="str">
        <f>INDEX(Chapter,MATCH(R1168,Chapter!$A$1:$A$681,0),8)</f>
        <v>בתי״ס על יסודיים עיוניים</v>
      </c>
      <c r="T1168" s="18"/>
      <c r="U1168" s="18" t="str">
        <f t="shared" si="143"/>
        <v>7</v>
      </c>
      <c r="V1168" s="18" t="str">
        <f>IF($L1168&lt;"6",INDEX(Revenue_type,MATCH(U1168*1,type!$A$118:$A$168,0),8),INDEX(Expenditure_type,MATCH(U1168*1,type!$A$2:$A$117,0),8))</f>
        <v>הוצאות לפעולות</v>
      </c>
      <c r="W1168" s="18" t="str">
        <f t="shared" si="144"/>
        <v>70</v>
      </c>
      <c r="X1168" s="18" t="e">
        <f>IF($L1168&lt;"6",INDEX(Revenue_type,MATCH(W1168*1,type!$A$118:$A$168,0),8),INDEX(Expenditure_type,MATCH(W1168*1,type!$A$2:$A$117,0),8))</f>
        <v>#N/A</v>
      </c>
      <c r="Y1168" s="18" t="str">
        <f t="shared" si="145"/>
        <v>700</v>
      </c>
      <c r="Z1168" s="18" t="e">
        <f>IF($L1168&lt;"6",INDEX(Revenue_type,MATCH(Y1168*1,type!$A$118:$A$168,0),8),INDEX(Expenditure_type,MATCH(Y1168*1,type!$A$2:$A$117,0),8))</f>
        <v>#N/A</v>
      </c>
    </row>
    <row r="1169" spans="1:26" ht="15.75" hidden="1" customHeight="1" outlineLevel="2">
      <c r="A1169">
        <v>100</v>
      </c>
      <c r="B1169" s="249">
        <v>815280</v>
      </c>
      <c r="C1169">
        <v>1</v>
      </c>
      <c r="D1169" t="str">
        <f t="shared" si="138"/>
        <v>1815280.100</v>
      </c>
      <c r="E1169" s="385" t="s">
        <v>8831</v>
      </c>
      <c r="F1169" s="242"/>
      <c r="G1169"/>
      <c r="H1169" s="322">
        <v>11441100</v>
      </c>
      <c r="I1169" s="322">
        <v>11316100</v>
      </c>
      <c r="J1169" s="242">
        <v>9620100</v>
      </c>
      <c r="K1169" s="18"/>
      <c r="L1169" s="18" t="str">
        <f t="shared" si="139"/>
        <v>8</v>
      </c>
      <c r="M1169" s="18" t="str">
        <f>INDEX(Chapter,MATCH(L1169,Chapter!$A$1:$A$681,0),8)</f>
        <v>שירותים ממלכתיים</v>
      </c>
      <c r="N1169" s="18" t="str">
        <f t="shared" si="140"/>
        <v>81</v>
      </c>
      <c r="O1169" s="18" t="str">
        <f>INDEX(Chapter,MATCH(N1169,Chapter!$A$1:$A$681,0),8)</f>
        <v>חינוך</v>
      </c>
      <c r="P1169" s="18" t="str">
        <f t="shared" si="141"/>
        <v>815</v>
      </c>
      <c r="Q1169" s="18" t="str">
        <f>INDEX(Chapter,MATCH(P1169,Chapter!$A$1:$A$681,0),8)</f>
        <v>חינוך על יסודי</v>
      </c>
      <c r="R1169" s="18" t="str">
        <f t="shared" si="142"/>
        <v>8152</v>
      </c>
      <c r="S1169" s="18" t="str">
        <f>INDEX(Chapter,MATCH(R1169,Chapter!$A$1:$A$681,0),8)</f>
        <v>בתי״ס על יסודיים עיוניים</v>
      </c>
      <c r="T1169" s="18"/>
      <c r="U1169" s="18" t="str">
        <f t="shared" si="143"/>
        <v>1</v>
      </c>
      <c r="V1169" s="18" t="str">
        <f>IF($L1169&lt;"6",INDEX(Revenue_type,MATCH(U1169*1,type!$A$118:$A$168,0),8),INDEX(Expenditure_type,MATCH(U1169*1,type!$A$2:$A$117,0),8))</f>
        <v>משכורות וש"ע לעובדים לפי תקן</v>
      </c>
      <c r="W1169" s="18" t="str">
        <f t="shared" si="144"/>
        <v>10</v>
      </c>
      <c r="X1169" s="18" t="e">
        <f>IF($L1169&lt;"6",INDEX(Revenue_type,MATCH(W1169*1,type!$A$118:$A$168,0),8),INDEX(Expenditure_type,MATCH(W1169*1,type!$A$2:$A$117,0),8))</f>
        <v>#N/A</v>
      </c>
      <c r="Y1169" s="18" t="str">
        <f t="shared" si="145"/>
        <v>100</v>
      </c>
      <c r="Z1169" s="18" t="e">
        <f>IF($L1169&lt;"6",INDEX(Revenue_type,MATCH(Y1169*1,type!$A$118:$A$168,0),8),INDEX(Expenditure_type,MATCH(Y1169*1,type!$A$2:$A$117,0),8))</f>
        <v>#N/A</v>
      </c>
    </row>
    <row r="1170" spans="1:26" ht="15.75" hidden="1" customHeight="1" outlineLevel="2">
      <c r="A1170">
        <v>120</v>
      </c>
      <c r="B1170" s="249">
        <v>815280</v>
      </c>
      <c r="C1170">
        <v>1</v>
      </c>
      <c r="D1170" t="str">
        <f t="shared" si="138"/>
        <v>1815280.120</v>
      </c>
      <c r="E1170" s="382" t="s">
        <v>8832</v>
      </c>
      <c r="F1170" s="242"/>
      <c r="G1170"/>
      <c r="H1170" s="322">
        <v>11900</v>
      </c>
      <c r="I1170" s="322">
        <v>11900</v>
      </c>
      <c r="J1170" s="242">
        <v>11300</v>
      </c>
      <c r="K1170" s="18"/>
      <c r="L1170" s="18" t="str">
        <f t="shared" si="139"/>
        <v>8</v>
      </c>
      <c r="M1170" s="18" t="str">
        <f>INDEX(Chapter,MATCH(L1170,Chapter!$A$1:$A$681,0),8)</f>
        <v>שירותים ממלכתיים</v>
      </c>
      <c r="N1170" s="18" t="str">
        <f t="shared" si="140"/>
        <v>81</v>
      </c>
      <c r="O1170" s="18" t="str">
        <f>INDEX(Chapter,MATCH(N1170,Chapter!$A$1:$A$681,0),8)</f>
        <v>חינוך</v>
      </c>
      <c r="P1170" s="18" t="str">
        <f t="shared" si="141"/>
        <v>815</v>
      </c>
      <c r="Q1170" s="18" t="str">
        <f>INDEX(Chapter,MATCH(P1170,Chapter!$A$1:$A$681,0),8)</f>
        <v>חינוך על יסודי</v>
      </c>
      <c r="R1170" s="18" t="str">
        <f t="shared" si="142"/>
        <v>8152</v>
      </c>
      <c r="S1170" s="18" t="str">
        <f>INDEX(Chapter,MATCH(R1170,Chapter!$A$1:$A$681,0),8)</f>
        <v>בתי״ס על יסודיים עיוניים</v>
      </c>
      <c r="T1170" s="18"/>
      <c r="U1170" s="18" t="str">
        <f t="shared" si="143"/>
        <v>1</v>
      </c>
      <c r="V1170" s="18" t="str">
        <f>IF($L1170&lt;"6",INDEX(Revenue_type,MATCH(U1170*1,type!$A$118:$A$168,0),8),INDEX(Expenditure_type,MATCH(U1170*1,type!$A$2:$A$117,0),8))</f>
        <v>משכורות וש"ע לעובדים לפי תקן</v>
      </c>
      <c r="W1170" s="18" t="str">
        <f t="shared" si="144"/>
        <v>12</v>
      </c>
      <c r="X1170" s="18" t="str">
        <f>IF($L1170&lt;"6",INDEX(Revenue_type,MATCH(W1170*1,type!$A$118:$A$168,0),8),INDEX(Expenditure_type,MATCH(W1170*1,type!$A$2:$A$117,0),8))</f>
        <v>תוספות שאינן נכללות בשכר הקובע</v>
      </c>
      <c r="Y1170" s="18" t="str">
        <f t="shared" si="145"/>
        <v>120</v>
      </c>
      <c r="Z1170" s="18" t="e">
        <f>IF($L1170&lt;"6",INDEX(Revenue_type,MATCH(Y1170*1,type!$A$118:$A$168,0),8),INDEX(Expenditure_type,MATCH(Y1170*1,type!$A$2:$A$117,0),8))</f>
        <v>#N/A</v>
      </c>
    </row>
    <row r="1171" spans="1:26" ht="15.75" hidden="1" customHeight="1" outlineLevel="2">
      <c r="A1171">
        <v>400</v>
      </c>
      <c r="B1171" s="249">
        <v>815280</v>
      </c>
      <c r="C1171">
        <v>1</v>
      </c>
      <c r="D1171" t="str">
        <f t="shared" ref="D1171:D1234" si="146">C1171&amp;B1171&amp;"."&amp;A1171</f>
        <v>1815280.400</v>
      </c>
      <c r="E1171" s="382" t="s">
        <v>8833</v>
      </c>
      <c r="F1171" s="242"/>
      <c r="G1171"/>
      <c r="H1171" s="322">
        <v>150000</v>
      </c>
      <c r="I1171" s="322">
        <v>150000</v>
      </c>
      <c r="J1171" s="242">
        <v>205700</v>
      </c>
      <c r="K1171" s="18"/>
      <c r="L1171" s="18" t="str">
        <f t="shared" si="139"/>
        <v>8</v>
      </c>
      <c r="M1171" s="18" t="str">
        <f>INDEX(Chapter,MATCH(L1171,Chapter!$A$1:$A$681,0),8)</f>
        <v>שירותים ממלכתיים</v>
      </c>
      <c r="N1171" s="18" t="str">
        <f t="shared" si="140"/>
        <v>81</v>
      </c>
      <c r="O1171" s="18" t="str">
        <f>INDEX(Chapter,MATCH(N1171,Chapter!$A$1:$A$681,0),8)</f>
        <v>חינוך</v>
      </c>
      <c r="P1171" s="18" t="str">
        <f t="shared" si="141"/>
        <v>815</v>
      </c>
      <c r="Q1171" s="18" t="str">
        <f>INDEX(Chapter,MATCH(P1171,Chapter!$A$1:$A$681,0),8)</f>
        <v>חינוך על יסודי</v>
      </c>
      <c r="R1171" s="18" t="str">
        <f t="shared" si="142"/>
        <v>8152</v>
      </c>
      <c r="S1171" s="18" t="str">
        <f>INDEX(Chapter,MATCH(R1171,Chapter!$A$1:$A$681,0),8)</f>
        <v>בתי״ס על יסודיים עיוניים</v>
      </c>
      <c r="T1171" s="18"/>
      <c r="U1171" s="18" t="str">
        <f t="shared" si="143"/>
        <v>4</v>
      </c>
      <c r="V1171" s="18" t="str">
        <f>IF($L1171&lt;"6",INDEX(Revenue_type,MATCH(U1171*1,type!$A$118:$A$168,0),8),INDEX(Expenditure_type,MATCH(U1171*1,type!$A$2:$A$117,0),8))</f>
        <v>אחזקת בינים ואספקת ציוד</v>
      </c>
      <c r="W1171" s="18" t="str">
        <f t="shared" si="144"/>
        <v>40</v>
      </c>
      <c r="X1171" s="18" t="e">
        <f>IF($L1171&lt;"6",INDEX(Revenue_type,MATCH(W1171*1,type!$A$118:$A$168,0),8),INDEX(Expenditure_type,MATCH(W1171*1,type!$A$2:$A$117,0),8))</f>
        <v>#N/A</v>
      </c>
      <c r="Y1171" s="18" t="str">
        <f t="shared" si="145"/>
        <v>400</v>
      </c>
      <c r="Z1171" s="18" t="e">
        <f>IF($L1171&lt;"6",INDEX(Revenue_type,MATCH(Y1171*1,type!$A$118:$A$168,0),8),INDEX(Expenditure_type,MATCH(Y1171*1,type!$A$2:$A$117,0),8))</f>
        <v>#N/A</v>
      </c>
    </row>
    <row r="1172" spans="1:26" ht="15.75" hidden="1" customHeight="1" outlineLevel="2">
      <c r="A1172">
        <v>700</v>
      </c>
      <c r="B1172" s="249">
        <v>815280</v>
      </c>
      <c r="C1172">
        <v>1</v>
      </c>
      <c r="D1172" t="str">
        <f t="shared" si="146"/>
        <v>1815280.700</v>
      </c>
      <c r="E1172" s="381" t="s">
        <v>8834</v>
      </c>
      <c r="F1172" s="242"/>
      <c r="G1172"/>
      <c r="H1172" s="322">
        <v>1452900</v>
      </c>
      <c r="I1172" s="322">
        <v>1500000</v>
      </c>
      <c r="J1172" s="242">
        <v>1186900</v>
      </c>
      <c r="K1172" s="18"/>
      <c r="L1172" s="18" t="str">
        <f t="shared" si="139"/>
        <v>8</v>
      </c>
      <c r="M1172" s="18" t="str">
        <f>INDEX(Chapter,MATCH(L1172,Chapter!$A$1:$A$681,0),8)</f>
        <v>שירותים ממלכתיים</v>
      </c>
      <c r="N1172" s="18" t="str">
        <f t="shared" si="140"/>
        <v>81</v>
      </c>
      <c r="O1172" s="18" t="str">
        <f>INDEX(Chapter,MATCH(N1172,Chapter!$A$1:$A$681,0),8)</f>
        <v>חינוך</v>
      </c>
      <c r="P1172" s="18" t="str">
        <f t="shared" si="141"/>
        <v>815</v>
      </c>
      <c r="Q1172" s="18" t="str">
        <f>INDEX(Chapter,MATCH(P1172,Chapter!$A$1:$A$681,0),8)</f>
        <v>חינוך על יסודי</v>
      </c>
      <c r="R1172" s="18" t="str">
        <f t="shared" si="142"/>
        <v>8152</v>
      </c>
      <c r="S1172" s="18" t="str">
        <f>INDEX(Chapter,MATCH(R1172,Chapter!$A$1:$A$681,0),8)</f>
        <v>בתי״ס על יסודיים עיוניים</v>
      </c>
      <c r="T1172" s="18"/>
      <c r="U1172" s="18" t="str">
        <f t="shared" si="143"/>
        <v>7</v>
      </c>
      <c r="V1172" s="18" t="str">
        <f>IF($L1172&lt;"6",INDEX(Revenue_type,MATCH(U1172*1,type!$A$118:$A$168,0),8),INDEX(Expenditure_type,MATCH(U1172*1,type!$A$2:$A$117,0),8))</f>
        <v>הוצאות לפעולות</v>
      </c>
      <c r="W1172" s="18" t="str">
        <f t="shared" si="144"/>
        <v>70</v>
      </c>
      <c r="X1172" s="18" t="e">
        <f>IF($L1172&lt;"6",INDEX(Revenue_type,MATCH(W1172*1,type!$A$118:$A$168,0),8),INDEX(Expenditure_type,MATCH(W1172*1,type!$A$2:$A$117,0),8))</f>
        <v>#N/A</v>
      </c>
      <c r="Y1172" s="18" t="str">
        <f t="shared" si="145"/>
        <v>700</v>
      </c>
      <c r="Z1172" s="18" t="e">
        <f>IF($L1172&lt;"6",INDEX(Revenue_type,MATCH(Y1172*1,type!$A$118:$A$168,0),8),INDEX(Expenditure_type,MATCH(Y1172*1,type!$A$2:$A$117,0),8))</f>
        <v>#N/A</v>
      </c>
    </row>
    <row r="1173" spans="1:26" ht="15.75" hidden="1" customHeight="1" outlineLevel="2">
      <c r="A1173">
        <v>100</v>
      </c>
      <c r="B1173" s="249">
        <v>815290</v>
      </c>
      <c r="C1173">
        <v>1</v>
      </c>
      <c r="D1173" t="str">
        <f t="shared" si="146"/>
        <v>1815290.100</v>
      </c>
      <c r="E1173" s="381" t="s">
        <v>8835</v>
      </c>
      <c r="F1173" s="242"/>
      <c r="G1173"/>
      <c r="H1173" s="322">
        <v>18296200</v>
      </c>
      <c r="I1173" s="322">
        <v>18095200</v>
      </c>
      <c r="J1173" s="242">
        <v>16621100</v>
      </c>
      <c r="K1173" s="18"/>
      <c r="L1173" s="18" t="str">
        <f t="shared" si="139"/>
        <v>8</v>
      </c>
      <c r="M1173" s="18" t="str">
        <f>INDEX(Chapter,MATCH(L1173,Chapter!$A$1:$A$681,0),8)</f>
        <v>שירותים ממלכתיים</v>
      </c>
      <c r="N1173" s="18" t="str">
        <f t="shared" si="140"/>
        <v>81</v>
      </c>
      <c r="O1173" s="18" t="str">
        <f>INDEX(Chapter,MATCH(N1173,Chapter!$A$1:$A$681,0),8)</f>
        <v>חינוך</v>
      </c>
      <c r="P1173" s="18" t="str">
        <f t="shared" si="141"/>
        <v>815</v>
      </c>
      <c r="Q1173" s="18" t="str">
        <f>INDEX(Chapter,MATCH(P1173,Chapter!$A$1:$A$681,0),8)</f>
        <v>חינוך על יסודי</v>
      </c>
      <c r="R1173" s="18" t="str">
        <f t="shared" si="142"/>
        <v>8152</v>
      </c>
      <c r="S1173" s="18" t="str">
        <f>INDEX(Chapter,MATCH(R1173,Chapter!$A$1:$A$681,0),8)</f>
        <v>בתי״ס על יסודיים עיוניים</v>
      </c>
      <c r="T1173" s="18"/>
      <c r="U1173" s="18" t="str">
        <f t="shared" si="143"/>
        <v>1</v>
      </c>
      <c r="V1173" s="18" t="str">
        <f>IF($L1173&lt;"6",INDEX(Revenue_type,MATCH(U1173*1,type!$A$118:$A$168,0),8),INDEX(Expenditure_type,MATCH(U1173*1,type!$A$2:$A$117,0),8))</f>
        <v>משכורות וש"ע לעובדים לפי תקן</v>
      </c>
      <c r="W1173" s="18" t="str">
        <f t="shared" si="144"/>
        <v>10</v>
      </c>
      <c r="X1173" s="18" t="e">
        <f>IF($L1173&lt;"6",INDEX(Revenue_type,MATCH(W1173*1,type!$A$118:$A$168,0),8),INDEX(Expenditure_type,MATCH(W1173*1,type!$A$2:$A$117,0),8))</f>
        <v>#N/A</v>
      </c>
      <c r="Y1173" s="18" t="str">
        <f t="shared" si="145"/>
        <v>100</v>
      </c>
      <c r="Z1173" s="18" t="e">
        <f>IF($L1173&lt;"6",INDEX(Revenue_type,MATCH(Y1173*1,type!$A$118:$A$168,0),8),INDEX(Expenditure_type,MATCH(Y1173*1,type!$A$2:$A$117,0),8))</f>
        <v>#N/A</v>
      </c>
    </row>
    <row r="1174" spans="1:26" ht="15.75" hidden="1" customHeight="1" outlineLevel="2">
      <c r="A1174">
        <v>120</v>
      </c>
      <c r="B1174" s="249">
        <v>815290</v>
      </c>
      <c r="C1174">
        <v>1</v>
      </c>
      <c r="D1174" t="str">
        <f t="shared" si="146"/>
        <v>1815290.120</v>
      </c>
      <c r="E1174" s="382" t="s">
        <v>8836</v>
      </c>
      <c r="F1174" s="242"/>
      <c r="G1174"/>
      <c r="H1174" s="322">
        <v>20800</v>
      </c>
      <c r="I1174" s="322">
        <v>20800</v>
      </c>
      <c r="J1174" s="242">
        <v>23400</v>
      </c>
      <c r="K1174" s="18"/>
      <c r="L1174" s="18" t="str">
        <f t="shared" si="139"/>
        <v>8</v>
      </c>
      <c r="M1174" s="18" t="str">
        <f>INDEX(Chapter,MATCH(L1174,Chapter!$A$1:$A$681,0),8)</f>
        <v>שירותים ממלכתיים</v>
      </c>
      <c r="N1174" s="18" t="str">
        <f t="shared" si="140"/>
        <v>81</v>
      </c>
      <c r="O1174" s="18" t="str">
        <f>INDEX(Chapter,MATCH(N1174,Chapter!$A$1:$A$681,0),8)</f>
        <v>חינוך</v>
      </c>
      <c r="P1174" s="18" t="str">
        <f t="shared" si="141"/>
        <v>815</v>
      </c>
      <c r="Q1174" s="18" t="str">
        <f>INDEX(Chapter,MATCH(P1174,Chapter!$A$1:$A$681,0),8)</f>
        <v>חינוך על יסודי</v>
      </c>
      <c r="R1174" s="18" t="str">
        <f t="shared" si="142"/>
        <v>8152</v>
      </c>
      <c r="S1174" s="18" t="str">
        <f>INDEX(Chapter,MATCH(R1174,Chapter!$A$1:$A$681,0),8)</f>
        <v>בתי״ס על יסודיים עיוניים</v>
      </c>
      <c r="T1174" s="18"/>
      <c r="U1174" s="18" t="str">
        <f t="shared" si="143"/>
        <v>1</v>
      </c>
      <c r="V1174" s="18" t="str">
        <f>IF($L1174&lt;"6",INDEX(Revenue_type,MATCH(U1174*1,type!$A$118:$A$168,0),8),INDEX(Expenditure_type,MATCH(U1174*1,type!$A$2:$A$117,0),8))</f>
        <v>משכורות וש"ע לעובדים לפי תקן</v>
      </c>
      <c r="W1174" s="18" t="str">
        <f t="shared" si="144"/>
        <v>12</v>
      </c>
      <c r="X1174" s="18" t="str">
        <f>IF($L1174&lt;"6",INDEX(Revenue_type,MATCH(W1174*1,type!$A$118:$A$168,0),8),INDEX(Expenditure_type,MATCH(W1174*1,type!$A$2:$A$117,0),8))</f>
        <v>תוספות שאינן נכללות בשכר הקובע</v>
      </c>
      <c r="Y1174" s="18" t="str">
        <f t="shared" si="145"/>
        <v>120</v>
      </c>
      <c r="Z1174" s="18" t="e">
        <f>IF($L1174&lt;"6",INDEX(Revenue_type,MATCH(Y1174*1,type!$A$118:$A$168,0),8),INDEX(Expenditure_type,MATCH(Y1174*1,type!$A$2:$A$117,0),8))</f>
        <v>#N/A</v>
      </c>
    </row>
    <row r="1175" spans="1:26" ht="15.75" hidden="1" customHeight="1" outlineLevel="2">
      <c r="A1175">
        <v>400</v>
      </c>
      <c r="B1175" s="249">
        <v>815290</v>
      </c>
      <c r="C1175">
        <v>1</v>
      </c>
      <c r="D1175" t="str">
        <f t="shared" si="146"/>
        <v>1815290.400</v>
      </c>
      <c r="E1175" s="382" t="s">
        <v>8837</v>
      </c>
      <c r="F1175" s="242"/>
      <c r="G1175"/>
      <c r="H1175" s="322">
        <v>520100</v>
      </c>
      <c r="I1175" s="322">
        <v>546000</v>
      </c>
      <c r="J1175" s="242">
        <v>613600</v>
      </c>
      <c r="K1175" s="18"/>
      <c r="L1175" s="18" t="str">
        <f t="shared" ref="L1175:L1232" si="147">IF(LEFT($B1175,1)*1=0,LEFT($B1175,2),LEFT($B1175,1))</f>
        <v>8</v>
      </c>
      <c r="M1175" s="18" t="str">
        <f>INDEX(Chapter,MATCH(L1175,Chapter!$A$1:$A$681,0),8)</f>
        <v>שירותים ממלכתיים</v>
      </c>
      <c r="N1175" s="18" t="str">
        <f t="shared" ref="N1175:N1232" si="148">IF(LEFT($B1175,1)*1=0,LEFT($B1175,3),LEFT($B1175,2))</f>
        <v>81</v>
      </c>
      <c r="O1175" s="18" t="str">
        <f>INDEX(Chapter,MATCH(N1175,Chapter!$A$1:$A$681,0),8)</f>
        <v>חינוך</v>
      </c>
      <c r="P1175" s="18" t="str">
        <f t="shared" ref="P1175:P1232" si="149">IF(LEFT($B1175,1)*1=0,LEFT($B1175,4),LEFT($B1175,3))</f>
        <v>815</v>
      </c>
      <c r="Q1175" s="18" t="str">
        <f>INDEX(Chapter,MATCH(P1175,Chapter!$A$1:$A$681,0),8)</f>
        <v>חינוך על יסודי</v>
      </c>
      <c r="R1175" s="18" t="str">
        <f t="shared" ref="R1175:R1232" si="150">LEFT($B1175,4)</f>
        <v>8152</v>
      </c>
      <c r="S1175" s="18" t="str">
        <f>INDEX(Chapter,MATCH(R1175,Chapter!$A$1:$A$681,0),8)</f>
        <v>בתי״ס על יסודיים עיוניים</v>
      </c>
      <c r="T1175" s="18"/>
      <c r="U1175" s="18" t="str">
        <f t="shared" ref="U1175:U1232" si="151">LEFT($A1175,1)</f>
        <v>4</v>
      </c>
      <c r="V1175" s="18" t="str">
        <f>IF($L1175&lt;"6",INDEX(Revenue_type,MATCH(U1175*1,type!$A$118:$A$168,0),8),INDEX(Expenditure_type,MATCH(U1175*1,type!$A$2:$A$117,0),8))</f>
        <v>אחזקת בינים ואספקת ציוד</v>
      </c>
      <c r="W1175" s="18" t="str">
        <f t="shared" ref="W1175:W1232" si="152">LEFT($A1175,2)</f>
        <v>40</v>
      </c>
      <c r="X1175" s="18" t="e">
        <f>IF($L1175&lt;"6",INDEX(Revenue_type,MATCH(W1175*1,type!$A$118:$A$168,0),8),INDEX(Expenditure_type,MATCH(W1175*1,type!$A$2:$A$117,0),8))</f>
        <v>#N/A</v>
      </c>
      <c r="Y1175" s="18" t="str">
        <f t="shared" ref="Y1175:Y1232" si="153">LEFT($A1175,3)</f>
        <v>400</v>
      </c>
      <c r="Z1175" s="18" t="e">
        <f>IF($L1175&lt;"6",INDEX(Revenue_type,MATCH(Y1175*1,type!$A$118:$A$168,0),8),INDEX(Expenditure_type,MATCH(Y1175*1,type!$A$2:$A$117,0),8))</f>
        <v>#N/A</v>
      </c>
    </row>
    <row r="1176" spans="1:26" ht="15.75" hidden="1" customHeight="1" outlineLevel="2">
      <c r="A1176">
        <v>500</v>
      </c>
      <c r="B1176" s="249">
        <v>815290</v>
      </c>
      <c r="C1176">
        <v>1</v>
      </c>
      <c r="D1176" t="str">
        <f t="shared" si="146"/>
        <v>1815290.500</v>
      </c>
      <c r="E1176" s="382" t="s">
        <v>8838</v>
      </c>
      <c r="F1176" s="242"/>
      <c r="G1176"/>
      <c r="H1176" s="322">
        <v>8000</v>
      </c>
      <c r="I1176" s="322">
        <v>8000</v>
      </c>
      <c r="J1176" s="242">
        <v>8100</v>
      </c>
      <c r="K1176" s="18"/>
      <c r="L1176" s="18" t="str">
        <f t="shared" si="147"/>
        <v>8</v>
      </c>
      <c r="M1176" s="18" t="str">
        <f>INDEX(Chapter,MATCH(L1176,Chapter!$A$1:$A$681,0),8)</f>
        <v>שירותים ממלכתיים</v>
      </c>
      <c r="N1176" s="18" t="str">
        <f t="shared" si="148"/>
        <v>81</v>
      </c>
      <c r="O1176" s="18" t="str">
        <f>INDEX(Chapter,MATCH(N1176,Chapter!$A$1:$A$681,0),8)</f>
        <v>חינוך</v>
      </c>
      <c r="P1176" s="18" t="str">
        <f t="shared" si="149"/>
        <v>815</v>
      </c>
      <c r="Q1176" s="18" t="str">
        <f>INDEX(Chapter,MATCH(P1176,Chapter!$A$1:$A$681,0),8)</f>
        <v>חינוך על יסודי</v>
      </c>
      <c r="R1176" s="18" t="str">
        <f t="shared" si="150"/>
        <v>8152</v>
      </c>
      <c r="S1176" s="18" t="str">
        <f>INDEX(Chapter,MATCH(R1176,Chapter!$A$1:$A$681,0),8)</f>
        <v>בתי״ס על יסודיים עיוניים</v>
      </c>
      <c r="T1176" s="18"/>
      <c r="U1176" s="18" t="str">
        <f t="shared" si="151"/>
        <v>5</v>
      </c>
      <c r="V1176" s="18" t="str">
        <f>IF($L1176&lt;"6",INDEX(Revenue_type,MATCH(U1176*1,type!$A$118:$A$168,0),8),INDEX(Expenditure_type,MATCH(U1176*1,type!$A$2:$A$117,0),8))</f>
        <v>הוצאות מנהליות</v>
      </c>
      <c r="W1176" s="18" t="str">
        <f t="shared" si="152"/>
        <v>50</v>
      </c>
      <c r="X1176" s="18" t="e">
        <f>IF($L1176&lt;"6",INDEX(Revenue_type,MATCH(W1176*1,type!$A$118:$A$168,0),8),INDEX(Expenditure_type,MATCH(W1176*1,type!$A$2:$A$117,0),8))</f>
        <v>#N/A</v>
      </c>
      <c r="Y1176" s="18" t="str">
        <f t="shared" si="153"/>
        <v>500</v>
      </c>
      <c r="Z1176" s="18" t="e">
        <f>IF($L1176&lt;"6",INDEX(Revenue_type,MATCH(Y1176*1,type!$A$118:$A$168,0),8),INDEX(Expenditure_type,MATCH(Y1176*1,type!$A$2:$A$117,0),8))</f>
        <v>#N/A</v>
      </c>
    </row>
    <row r="1177" spans="1:26" ht="15.75" hidden="1" customHeight="1" outlineLevel="2">
      <c r="A1177">
        <v>700</v>
      </c>
      <c r="B1177" s="249">
        <v>815290</v>
      </c>
      <c r="C1177">
        <v>1</v>
      </c>
      <c r="D1177" t="str">
        <f t="shared" si="146"/>
        <v>1815290.700</v>
      </c>
      <c r="E1177" s="382" t="s">
        <v>8839</v>
      </c>
      <c r="F1177" s="242"/>
      <c r="G1177"/>
      <c r="H1177" s="322">
        <v>2393000</v>
      </c>
      <c r="I1177" s="322">
        <v>2453000</v>
      </c>
      <c r="J1177" s="242">
        <v>2524700</v>
      </c>
      <c r="K1177" s="18"/>
      <c r="L1177" s="18" t="str">
        <f t="shared" si="147"/>
        <v>8</v>
      </c>
      <c r="M1177" s="18" t="str">
        <f>INDEX(Chapter,MATCH(L1177,Chapter!$A$1:$A$681,0),8)</f>
        <v>שירותים ממלכתיים</v>
      </c>
      <c r="N1177" s="18" t="str">
        <f t="shared" si="148"/>
        <v>81</v>
      </c>
      <c r="O1177" s="18" t="str">
        <f>INDEX(Chapter,MATCH(N1177,Chapter!$A$1:$A$681,0),8)</f>
        <v>חינוך</v>
      </c>
      <c r="P1177" s="18" t="str">
        <f t="shared" si="149"/>
        <v>815</v>
      </c>
      <c r="Q1177" s="18" t="str">
        <f>INDEX(Chapter,MATCH(P1177,Chapter!$A$1:$A$681,0),8)</f>
        <v>חינוך על יסודי</v>
      </c>
      <c r="R1177" s="18" t="str">
        <f t="shared" si="150"/>
        <v>8152</v>
      </c>
      <c r="S1177" s="18" t="str">
        <f>INDEX(Chapter,MATCH(R1177,Chapter!$A$1:$A$681,0),8)</f>
        <v>בתי״ס על יסודיים עיוניים</v>
      </c>
      <c r="T1177" s="18"/>
      <c r="U1177" s="18" t="str">
        <f t="shared" si="151"/>
        <v>7</v>
      </c>
      <c r="V1177" s="18" t="str">
        <f>IF($L1177&lt;"6",INDEX(Revenue_type,MATCH(U1177*1,type!$A$118:$A$168,0),8),INDEX(Expenditure_type,MATCH(U1177*1,type!$A$2:$A$117,0),8))</f>
        <v>הוצאות לפעולות</v>
      </c>
      <c r="W1177" s="18" t="str">
        <f t="shared" si="152"/>
        <v>70</v>
      </c>
      <c r="X1177" s="18" t="e">
        <f>IF($L1177&lt;"6",INDEX(Revenue_type,MATCH(W1177*1,type!$A$118:$A$168,0),8),INDEX(Expenditure_type,MATCH(W1177*1,type!$A$2:$A$117,0),8))</f>
        <v>#N/A</v>
      </c>
      <c r="Y1177" s="18" t="str">
        <f t="shared" si="153"/>
        <v>700</v>
      </c>
      <c r="Z1177" s="18" t="e">
        <f>IF($L1177&lt;"6",INDEX(Revenue_type,MATCH(Y1177*1,type!$A$118:$A$168,0),8),INDEX(Expenditure_type,MATCH(Y1177*1,type!$A$2:$A$117,0),8))</f>
        <v>#N/A</v>
      </c>
    </row>
    <row r="1178" spans="1:26" ht="15.75" hidden="1" customHeight="1" outlineLevel="2">
      <c r="A1178">
        <v>100</v>
      </c>
      <c r="B1178" s="249">
        <v>815520</v>
      </c>
      <c r="C1178">
        <v>1</v>
      </c>
      <c r="D1178" t="str">
        <f t="shared" si="146"/>
        <v>1815520.100</v>
      </c>
      <c r="E1178" s="391" t="s">
        <v>8840</v>
      </c>
      <c r="F1178" s="242"/>
      <c r="G1178"/>
      <c r="H1178" s="322">
        <v>5360000</v>
      </c>
      <c r="I1178" s="322">
        <v>5301000</v>
      </c>
      <c r="J1178" s="242">
        <v>4473300</v>
      </c>
      <c r="K1178" s="18"/>
      <c r="L1178" s="18" t="str">
        <f t="shared" si="147"/>
        <v>8</v>
      </c>
      <c r="M1178" s="18" t="str">
        <f>INDEX(Chapter,MATCH(L1178,Chapter!$A$1:$A$681,0),8)</f>
        <v>שירותים ממלכתיים</v>
      </c>
      <c r="N1178" s="18" t="str">
        <f t="shared" si="148"/>
        <v>81</v>
      </c>
      <c r="O1178" s="18" t="str">
        <f>INDEX(Chapter,MATCH(N1178,Chapter!$A$1:$A$681,0),8)</f>
        <v>חינוך</v>
      </c>
      <c r="P1178" s="18" t="str">
        <f t="shared" si="149"/>
        <v>815</v>
      </c>
      <c r="Q1178" s="18" t="str">
        <f>INDEX(Chapter,MATCH(P1178,Chapter!$A$1:$A$681,0),8)</f>
        <v>חינוך על יסודי</v>
      </c>
      <c r="R1178" s="18" t="str">
        <f t="shared" si="150"/>
        <v>8155</v>
      </c>
      <c r="S1178" s="18" t="str">
        <f>INDEX(Chapter,MATCH(R1178,Chapter!$A$1:$A$681,0),8)</f>
        <v>בתי״ס על יסודיים מקצועיים</v>
      </c>
      <c r="T1178" s="18"/>
      <c r="U1178" s="18" t="str">
        <f t="shared" si="151"/>
        <v>1</v>
      </c>
      <c r="V1178" s="18" t="str">
        <f>IF($L1178&lt;"6",INDEX(Revenue_type,MATCH(U1178*1,type!$A$118:$A$168,0),8),INDEX(Expenditure_type,MATCH(U1178*1,type!$A$2:$A$117,0),8))</f>
        <v>משכורות וש"ע לעובדים לפי תקן</v>
      </c>
      <c r="W1178" s="18" t="str">
        <f t="shared" si="152"/>
        <v>10</v>
      </c>
      <c r="X1178" s="18" t="e">
        <f>IF($L1178&lt;"6",INDEX(Revenue_type,MATCH(W1178*1,type!$A$118:$A$168,0),8),INDEX(Expenditure_type,MATCH(W1178*1,type!$A$2:$A$117,0),8))</f>
        <v>#N/A</v>
      </c>
      <c r="Y1178" s="18" t="str">
        <f t="shared" si="153"/>
        <v>100</v>
      </c>
      <c r="Z1178" s="18" t="e">
        <f>IF($L1178&lt;"6",INDEX(Revenue_type,MATCH(Y1178*1,type!$A$118:$A$168,0),8),INDEX(Expenditure_type,MATCH(Y1178*1,type!$A$2:$A$117,0),8))</f>
        <v>#N/A</v>
      </c>
    </row>
    <row r="1179" spans="1:26" ht="15.75" hidden="1" customHeight="1" outlineLevel="2">
      <c r="A1179">
        <v>400</v>
      </c>
      <c r="B1179" s="249">
        <v>815520</v>
      </c>
      <c r="C1179">
        <v>1</v>
      </c>
      <c r="D1179" t="str">
        <f t="shared" si="146"/>
        <v>1815520.400</v>
      </c>
      <c r="E1179" s="391" t="s">
        <v>8841</v>
      </c>
      <c r="F1179" s="242"/>
      <c r="G1179"/>
      <c r="H1179" s="322">
        <v>99000</v>
      </c>
      <c r="I1179" s="322">
        <v>99000</v>
      </c>
      <c r="J1179" s="242">
        <v>100800</v>
      </c>
      <c r="K1179" s="18"/>
      <c r="L1179" s="18" t="str">
        <f t="shared" si="147"/>
        <v>8</v>
      </c>
      <c r="M1179" s="18" t="str">
        <f>INDEX(Chapter,MATCH(L1179,Chapter!$A$1:$A$681,0),8)</f>
        <v>שירותים ממלכתיים</v>
      </c>
      <c r="N1179" s="18" t="str">
        <f t="shared" si="148"/>
        <v>81</v>
      </c>
      <c r="O1179" s="18" t="str">
        <f>INDEX(Chapter,MATCH(N1179,Chapter!$A$1:$A$681,0),8)</f>
        <v>חינוך</v>
      </c>
      <c r="P1179" s="18" t="str">
        <f t="shared" si="149"/>
        <v>815</v>
      </c>
      <c r="Q1179" s="18" t="str">
        <f>INDEX(Chapter,MATCH(P1179,Chapter!$A$1:$A$681,0),8)</f>
        <v>חינוך על יסודי</v>
      </c>
      <c r="R1179" s="18" t="str">
        <f t="shared" si="150"/>
        <v>8155</v>
      </c>
      <c r="S1179" s="18" t="str">
        <f>INDEX(Chapter,MATCH(R1179,Chapter!$A$1:$A$681,0),8)</f>
        <v>בתי״ס על יסודיים מקצועיים</v>
      </c>
      <c r="T1179" s="18"/>
      <c r="U1179" s="18" t="str">
        <f t="shared" si="151"/>
        <v>4</v>
      </c>
      <c r="V1179" s="18" t="str">
        <f>IF($L1179&lt;"6",INDEX(Revenue_type,MATCH(U1179*1,type!$A$118:$A$168,0),8),INDEX(Expenditure_type,MATCH(U1179*1,type!$A$2:$A$117,0),8))</f>
        <v>אחזקת בינים ואספקת ציוד</v>
      </c>
      <c r="W1179" s="18" t="str">
        <f t="shared" si="152"/>
        <v>40</v>
      </c>
      <c r="X1179" s="18" t="e">
        <f>IF($L1179&lt;"6",INDEX(Revenue_type,MATCH(W1179*1,type!$A$118:$A$168,0),8),INDEX(Expenditure_type,MATCH(W1179*1,type!$A$2:$A$117,0),8))</f>
        <v>#N/A</v>
      </c>
      <c r="Y1179" s="18" t="str">
        <f t="shared" si="153"/>
        <v>400</v>
      </c>
      <c r="Z1179" s="18" t="e">
        <f>IF($L1179&lt;"6",INDEX(Revenue_type,MATCH(Y1179*1,type!$A$118:$A$168,0),8),INDEX(Expenditure_type,MATCH(Y1179*1,type!$A$2:$A$117,0),8))</f>
        <v>#N/A</v>
      </c>
    </row>
    <row r="1180" spans="1:26" ht="15.75" hidden="1" customHeight="1" outlineLevel="2">
      <c r="A1180">
        <v>500</v>
      </c>
      <c r="B1180" s="249">
        <v>815520</v>
      </c>
      <c r="C1180">
        <v>1</v>
      </c>
      <c r="D1180" t="str">
        <f t="shared" si="146"/>
        <v>1815520.500</v>
      </c>
      <c r="E1180" s="382" t="s">
        <v>8842</v>
      </c>
      <c r="F1180" s="242"/>
      <c r="G1180"/>
      <c r="H1180" s="322">
        <v>3000</v>
      </c>
      <c r="I1180" s="322">
        <v>3000</v>
      </c>
      <c r="J1180" s="242">
        <v>200</v>
      </c>
      <c r="K1180" s="18"/>
      <c r="L1180" s="18" t="str">
        <f t="shared" si="147"/>
        <v>8</v>
      </c>
      <c r="M1180" s="18" t="str">
        <f>INDEX(Chapter,MATCH(L1180,Chapter!$A$1:$A$681,0),8)</f>
        <v>שירותים ממלכתיים</v>
      </c>
      <c r="N1180" s="18" t="str">
        <f t="shared" si="148"/>
        <v>81</v>
      </c>
      <c r="O1180" s="18" t="str">
        <f>INDEX(Chapter,MATCH(N1180,Chapter!$A$1:$A$681,0),8)</f>
        <v>חינוך</v>
      </c>
      <c r="P1180" s="18" t="str">
        <f t="shared" si="149"/>
        <v>815</v>
      </c>
      <c r="Q1180" s="18" t="str">
        <f>INDEX(Chapter,MATCH(P1180,Chapter!$A$1:$A$681,0),8)</f>
        <v>חינוך על יסודי</v>
      </c>
      <c r="R1180" s="18" t="str">
        <f t="shared" si="150"/>
        <v>8155</v>
      </c>
      <c r="S1180" s="18" t="str">
        <f>INDEX(Chapter,MATCH(R1180,Chapter!$A$1:$A$681,0),8)</f>
        <v>בתי״ס על יסודיים מקצועיים</v>
      </c>
      <c r="T1180" s="18"/>
      <c r="U1180" s="18" t="str">
        <f t="shared" si="151"/>
        <v>5</v>
      </c>
      <c r="V1180" s="18" t="str">
        <f>IF($L1180&lt;"6",INDEX(Revenue_type,MATCH(U1180*1,type!$A$118:$A$168,0),8),INDEX(Expenditure_type,MATCH(U1180*1,type!$A$2:$A$117,0),8))</f>
        <v>הוצאות מנהליות</v>
      </c>
      <c r="W1180" s="18" t="str">
        <f t="shared" si="152"/>
        <v>50</v>
      </c>
      <c r="X1180" s="18" t="e">
        <f>IF($L1180&lt;"6",INDEX(Revenue_type,MATCH(W1180*1,type!$A$118:$A$168,0),8),INDEX(Expenditure_type,MATCH(W1180*1,type!$A$2:$A$117,0),8))</f>
        <v>#N/A</v>
      </c>
      <c r="Y1180" s="18" t="str">
        <f t="shared" si="153"/>
        <v>500</v>
      </c>
      <c r="Z1180" s="18" t="e">
        <f>IF($L1180&lt;"6",INDEX(Revenue_type,MATCH(Y1180*1,type!$A$118:$A$168,0),8),INDEX(Expenditure_type,MATCH(Y1180*1,type!$A$2:$A$117,0),8))</f>
        <v>#N/A</v>
      </c>
    </row>
    <row r="1181" spans="1:26" ht="15.75" hidden="1" customHeight="1" outlineLevel="2">
      <c r="A1181">
        <v>700</v>
      </c>
      <c r="B1181" s="249">
        <v>815520</v>
      </c>
      <c r="C1181">
        <v>1</v>
      </c>
      <c r="D1181" t="str">
        <f t="shared" si="146"/>
        <v>1815520.700</v>
      </c>
      <c r="E1181" s="382" t="s">
        <v>8843</v>
      </c>
      <c r="F1181" s="242"/>
      <c r="G1181"/>
      <c r="H1181" s="322">
        <v>1121000</v>
      </c>
      <c r="I1181" s="322">
        <v>1157000</v>
      </c>
      <c r="J1181" s="242">
        <v>969800</v>
      </c>
      <c r="K1181" s="18"/>
      <c r="L1181" s="18" t="str">
        <f t="shared" si="147"/>
        <v>8</v>
      </c>
      <c r="M1181" s="18" t="str">
        <f>INDEX(Chapter,MATCH(L1181,Chapter!$A$1:$A$681,0),8)</f>
        <v>שירותים ממלכתיים</v>
      </c>
      <c r="N1181" s="18" t="str">
        <f t="shared" si="148"/>
        <v>81</v>
      </c>
      <c r="O1181" s="18" t="str">
        <f>INDEX(Chapter,MATCH(N1181,Chapter!$A$1:$A$681,0),8)</f>
        <v>חינוך</v>
      </c>
      <c r="P1181" s="18" t="str">
        <f t="shared" si="149"/>
        <v>815</v>
      </c>
      <c r="Q1181" s="18" t="str">
        <f>INDEX(Chapter,MATCH(P1181,Chapter!$A$1:$A$681,0),8)</f>
        <v>חינוך על יסודי</v>
      </c>
      <c r="R1181" s="18" t="str">
        <f t="shared" si="150"/>
        <v>8155</v>
      </c>
      <c r="S1181" s="18" t="str">
        <f>INDEX(Chapter,MATCH(R1181,Chapter!$A$1:$A$681,0),8)</f>
        <v>בתי״ס על יסודיים מקצועיים</v>
      </c>
      <c r="T1181" s="18"/>
      <c r="U1181" s="18" t="str">
        <f t="shared" si="151"/>
        <v>7</v>
      </c>
      <c r="V1181" s="18" t="str">
        <f>IF($L1181&lt;"6",INDEX(Revenue_type,MATCH(U1181*1,type!$A$118:$A$168,0),8),INDEX(Expenditure_type,MATCH(U1181*1,type!$A$2:$A$117,0),8))</f>
        <v>הוצאות לפעולות</v>
      </c>
      <c r="W1181" s="18" t="str">
        <f t="shared" si="152"/>
        <v>70</v>
      </c>
      <c r="X1181" s="18" t="e">
        <f>IF($L1181&lt;"6",INDEX(Revenue_type,MATCH(W1181*1,type!$A$118:$A$168,0),8),INDEX(Expenditure_type,MATCH(W1181*1,type!$A$2:$A$117,0),8))</f>
        <v>#N/A</v>
      </c>
      <c r="Y1181" s="18" t="str">
        <f t="shared" si="153"/>
        <v>700</v>
      </c>
      <c r="Z1181" s="18" t="e">
        <f>IF($L1181&lt;"6",INDEX(Revenue_type,MATCH(Y1181*1,type!$A$118:$A$168,0),8),INDEX(Expenditure_type,MATCH(Y1181*1,type!$A$2:$A$117,0),8))</f>
        <v>#N/A</v>
      </c>
    </row>
    <row r="1182" spans="1:26" ht="15.75" hidden="1" customHeight="1" outlineLevel="2">
      <c r="A1182">
        <v>700</v>
      </c>
      <c r="B1182" s="249">
        <v>815530</v>
      </c>
      <c r="C1182">
        <v>1</v>
      </c>
      <c r="D1182" t="str">
        <f t="shared" si="146"/>
        <v>1815530.700</v>
      </c>
      <c r="E1182" s="391" t="s">
        <v>8844</v>
      </c>
      <c r="F1182" s="242"/>
      <c r="G1182"/>
      <c r="H1182" s="322">
        <v>971400</v>
      </c>
      <c r="I1182" s="322">
        <v>1000000</v>
      </c>
      <c r="J1182" s="242">
        <v>184000</v>
      </c>
      <c r="K1182" s="18"/>
      <c r="L1182" s="18" t="str">
        <f t="shared" si="147"/>
        <v>8</v>
      </c>
      <c r="M1182" s="18" t="str">
        <f>INDEX(Chapter,MATCH(L1182,Chapter!$A$1:$A$681,0),8)</f>
        <v>שירותים ממלכתיים</v>
      </c>
      <c r="N1182" s="18" t="str">
        <f t="shared" si="148"/>
        <v>81</v>
      </c>
      <c r="O1182" s="18" t="str">
        <f>INDEX(Chapter,MATCH(N1182,Chapter!$A$1:$A$681,0),8)</f>
        <v>חינוך</v>
      </c>
      <c r="P1182" s="18" t="str">
        <f t="shared" si="149"/>
        <v>815</v>
      </c>
      <c r="Q1182" s="18" t="str">
        <f>INDEX(Chapter,MATCH(P1182,Chapter!$A$1:$A$681,0),8)</f>
        <v>חינוך על יסודי</v>
      </c>
      <c r="R1182" s="18" t="str">
        <f t="shared" si="150"/>
        <v>8155</v>
      </c>
      <c r="S1182" s="18" t="str">
        <f>INDEX(Chapter,MATCH(R1182,Chapter!$A$1:$A$681,0),8)</f>
        <v>בתי״ס על יסודיים מקצועיים</v>
      </c>
      <c r="T1182" s="18"/>
      <c r="U1182" s="18" t="str">
        <f t="shared" si="151"/>
        <v>7</v>
      </c>
      <c r="V1182" s="18" t="str">
        <f>IF($L1182&lt;"6",INDEX(Revenue_type,MATCH(U1182*1,type!$A$118:$A$168,0),8),INDEX(Expenditure_type,MATCH(U1182*1,type!$A$2:$A$117,0),8))</f>
        <v>הוצאות לפעולות</v>
      </c>
      <c r="W1182" s="18" t="str">
        <f t="shared" si="152"/>
        <v>70</v>
      </c>
      <c r="X1182" s="18" t="e">
        <f>IF($L1182&lt;"6",INDEX(Revenue_type,MATCH(W1182*1,type!$A$118:$A$168,0),8),INDEX(Expenditure_type,MATCH(W1182*1,type!$A$2:$A$117,0),8))</f>
        <v>#N/A</v>
      </c>
      <c r="Y1182" s="18" t="str">
        <f t="shared" si="153"/>
        <v>700</v>
      </c>
      <c r="Z1182" s="18" t="e">
        <f>IF($L1182&lt;"6",INDEX(Revenue_type,MATCH(Y1182*1,type!$A$118:$A$168,0),8),INDEX(Expenditure_type,MATCH(Y1182*1,type!$A$2:$A$117,0),8))</f>
        <v>#N/A</v>
      </c>
    </row>
    <row r="1183" spans="1:26" ht="15.75" hidden="1" customHeight="1" outlineLevel="2">
      <c r="A1183">
        <v>100</v>
      </c>
      <c r="B1183" s="249">
        <v>818110</v>
      </c>
      <c r="C1183">
        <v>1</v>
      </c>
      <c r="D1183" t="str">
        <f t="shared" si="146"/>
        <v>1818110.100</v>
      </c>
      <c r="E1183" s="382" t="s">
        <v>8845</v>
      </c>
      <c r="F1183" s="242"/>
      <c r="G1183"/>
      <c r="H1183" s="322">
        <v>3914100</v>
      </c>
      <c r="I1183" s="322">
        <v>3871100</v>
      </c>
      <c r="J1183" s="242">
        <v>3602000</v>
      </c>
      <c r="K1183" s="18"/>
      <c r="L1183" s="18" t="str">
        <f t="shared" si="147"/>
        <v>8</v>
      </c>
      <c r="M1183" s="18" t="str">
        <f>INDEX(Chapter,MATCH(L1183,Chapter!$A$1:$A$681,0),8)</f>
        <v>שירותים ממלכתיים</v>
      </c>
      <c r="N1183" s="18" t="str">
        <f t="shared" si="148"/>
        <v>81</v>
      </c>
      <c r="O1183" s="18" t="str">
        <f>INDEX(Chapter,MATCH(N1183,Chapter!$A$1:$A$681,0),8)</f>
        <v>חינוך</v>
      </c>
      <c r="P1183" s="18" t="str">
        <f t="shared" si="149"/>
        <v>818</v>
      </c>
      <c r="Q1183" s="18" t="str">
        <f>INDEX(Chapter,MATCH(P1183,Chapter!$A$1:$A$681,0),8)</f>
        <v>חינוך מבוגרים</v>
      </c>
      <c r="R1183" s="18" t="str">
        <f t="shared" si="150"/>
        <v>8181</v>
      </c>
      <c r="S1183" s="18" t="e">
        <f>INDEX(Chapter,MATCH(R1183,Chapter!$A$1:$A$681,0),8)</f>
        <v>#N/A</v>
      </c>
      <c r="T1183" s="18"/>
      <c r="U1183" s="18" t="str">
        <f t="shared" si="151"/>
        <v>1</v>
      </c>
      <c r="V1183" s="18" t="str">
        <f>IF($L1183&lt;"6",INDEX(Revenue_type,MATCH(U1183*1,type!$A$118:$A$168,0),8),INDEX(Expenditure_type,MATCH(U1183*1,type!$A$2:$A$117,0),8))</f>
        <v>משכורות וש"ע לעובדים לפי תקן</v>
      </c>
      <c r="W1183" s="18" t="str">
        <f t="shared" si="152"/>
        <v>10</v>
      </c>
      <c r="X1183" s="18" t="e">
        <f>IF($L1183&lt;"6",INDEX(Revenue_type,MATCH(W1183*1,type!$A$118:$A$168,0),8),INDEX(Expenditure_type,MATCH(W1183*1,type!$A$2:$A$117,0),8))</f>
        <v>#N/A</v>
      </c>
      <c r="Y1183" s="18" t="str">
        <f t="shared" si="153"/>
        <v>100</v>
      </c>
      <c r="Z1183" s="18" t="e">
        <f>IF($L1183&lt;"6",INDEX(Revenue_type,MATCH(Y1183*1,type!$A$118:$A$168,0),8),INDEX(Expenditure_type,MATCH(Y1183*1,type!$A$2:$A$117,0),8))</f>
        <v>#N/A</v>
      </c>
    </row>
    <row r="1184" spans="1:26" ht="15.75" hidden="1" customHeight="1" outlineLevel="2">
      <c r="A1184">
        <v>120</v>
      </c>
      <c r="B1184" s="249">
        <v>818110</v>
      </c>
      <c r="C1184">
        <v>1</v>
      </c>
      <c r="D1184" t="str">
        <f t="shared" si="146"/>
        <v>1818110.120</v>
      </c>
      <c r="E1184" s="391" t="s">
        <v>8846</v>
      </c>
      <c r="F1184" s="242"/>
      <c r="G1184"/>
      <c r="H1184" s="322">
        <v>18900</v>
      </c>
      <c r="I1184" s="322">
        <v>18900</v>
      </c>
      <c r="J1184" s="242">
        <v>17000</v>
      </c>
      <c r="K1184" s="18"/>
      <c r="L1184" s="18" t="str">
        <f t="shared" si="147"/>
        <v>8</v>
      </c>
      <c r="M1184" s="18" t="str">
        <f>INDEX(Chapter,MATCH(L1184,Chapter!$A$1:$A$681,0),8)</f>
        <v>שירותים ממלכתיים</v>
      </c>
      <c r="N1184" s="18" t="str">
        <f t="shared" si="148"/>
        <v>81</v>
      </c>
      <c r="O1184" s="18" t="str">
        <f>INDEX(Chapter,MATCH(N1184,Chapter!$A$1:$A$681,0),8)</f>
        <v>חינוך</v>
      </c>
      <c r="P1184" s="18" t="str">
        <f t="shared" si="149"/>
        <v>818</v>
      </c>
      <c r="Q1184" s="18" t="str">
        <f>INDEX(Chapter,MATCH(P1184,Chapter!$A$1:$A$681,0),8)</f>
        <v>חינוך מבוגרים</v>
      </c>
      <c r="R1184" s="18" t="str">
        <f t="shared" si="150"/>
        <v>8181</v>
      </c>
      <c r="S1184" s="18" t="e">
        <f>INDEX(Chapter,MATCH(R1184,Chapter!$A$1:$A$681,0),8)</f>
        <v>#N/A</v>
      </c>
      <c r="T1184" s="18"/>
      <c r="U1184" s="18" t="str">
        <f t="shared" si="151"/>
        <v>1</v>
      </c>
      <c r="V1184" s="18" t="str">
        <f>IF($L1184&lt;"6",INDEX(Revenue_type,MATCH(U1184*1,type!$A$118:$A$168,0),8),INDEX(Expenditure_type,MATCH(U1184*1,type!$A$2:$A$117,0),8))</f>
        <v>משכורות וש"ע לעובדים לפי תקן</v>
      </c>
      <c r="W1184" s="18" t="str">
        <f t="shared" si="152"/>
        <v>12</v>
      </c>
      <c r="X1184" s="18" t="str">
        <f>IF($L1184&lt;"6",INDEX(Revenue_type,MATCH(W1184*1,type!$A$118:$A$168,0),8),INDEX(Expenditure_type,MATCH(W1184*1,type!$A$2:$A$117,0),8))</f>
        <v>תוספות שאינן נכללות בשכר הקובע</v>
      </c>
      <c r="Y1184" s="18" t="str">
        <f t="shared" si="153"/>
        <v>120</v>
      </c>
      <c r="Z1184" s="18" t="e">
        <f>IF($L1184&lt;"6",INDEX(Revenue_type,MATCH(Y1184*1,type!$A$118:$A$168,0),8),INDEX(Expenditure_type,MATCH(Y1184*1,type!$A$2:$A$117,0),8))</f>
        <v>#N/A</v>
      </c>
    </row>
    <row r="1185" spans="1:26" ht="15.75" hidden="1" customHeight="1" outlineLevel="2">
      <c r="A1185">
        <v>700</v>
      </c>
      <c r="B1185" s="249">
        <v>818110</v>
      </c>
      <c r="C1185">
        <v>1</v>
      </c>
      <c r="D1185" t="str">
        <f t="shared" si="146"/>
        <v>1818110.700</v>
      </c>
      <c r="E1185" s="391" t="s">
        <v>8847</v>
      </c>
      <c r="F1185" s="242"/>
      <c r="G1185"/>
      <c r="H1185" s="322">
        <v>32100</v>
      </c>
      <c r="I1185" s="322">
        <v>33000</v>
      </c>
      <c r="J1185" s="242">
        <v>32600</v>
      </c>
      <c r="K1185" s="18"/>
      <c r="L1185" s="18" t="str">
        <f t="shared" si="147"/>
        <v>8</v>
      </c>
      <c r="M1185" s="18" t="str">
        <f>INDEX(Chapter,MATCH(L1185,Chapter!$A$1:$A$681,0),8)</f>
        <v>שירותים ממלכתיים</v>
      </c>
      <c r="N1185" s="18" t="str">
        <f t="shared" si="148"/>
        <v>81</v>
      </c>
      <c r="O1185" s="18" t="str">
        <f>INDEX(Chapter,MATCH(N1185,Chapter!$A$1:$A$681,0),8)</f>
        <v>חינוך</v>
      </c>
      <c r="P1185" s="18" t="str">
        <f t="shared" si="149"/>
        <v>818</v>
      </c>
      <c r="Q1185" s="18" t="str">
        <f>INDEX(Chapter,MATCH(P1185,Chapter!$A$1:$A$681,0),8)</f>
        <v>חינוך מבוגרים</v>
      </c>
      <c r="R1185" s="18" t="str">
        <f t="shared" si="150"/>
        <v>8181</v>
      </c>
      <c r="S1185" s="18" t="e">
        <f>INDEX(Chapter,MATCH(R1185,Chapter!$A$1:$A$681,0),8)</f>
        <v>#N/A</v>
      </c>
      <c r="T1185" s="18"/>
      <c r="U1185" s="18" t="str">
        <f t="shared" si="151"/>
        <v>7</v>
      </c>
      <c r="V1185" s="18" t="str">
        <f>IF($L1185&lt;"6",INDEX(Revenue_type,MATCH(U1185*1,type!$A$118:$A$168,0),8),INDEX(Expenditure_type,MATCH(U1185*1,type!$A$2:$A$117,0),8))</f>
        <v>הוצאות לפעולות</v>
      </c>
      <c r="W1185" s="18" t="str">
        <f t="shared" si="152"/>
        <v>70</v>
      </c>
      <c r="X1185" s="18" t="e">
        <f>IF($L1185&lt;"6",INDEX(Revenue_type,MATCH(W1185*1,type!$A$118:$A$168,0),8),INDEX(Expenditure_type,MATCH(W1185*1,type!$A$2:$A$117,0),8))</f>
        <v>#N/A</v>
      </c>
      <c r="Y1185" s="18" t="str">
        <f t="shared" si="153"/>
        <v>700</v>
      </c>
      <c r="Z1185" s="18" t="e">
        <f>IF($L1185&lt;"6",INDEX(Revenue_type,MATCH(Y1185*1,type!$A$118:$A$168,0),8),INDEX(Expenditure_type,MATCH(Y1185*1,type!$A$2:$A$117,0),8))</f>
        <v>#N/A</v>
      </c>
    </row>
    <row r="1186" spans="1:26" ht="15.75" hidden="1" customHeight="1" outlineLevel="2">
      <c r="A1186">
        <v>700</v>
      </c>
      <c r="B1186" s="249">
        <v>817372</v>
      </c>
      <c r="C1186">
        <v>1</v>
      </c>
      <c r="D1186" t="str">
        <f t="shared" si="146"/>
        <v>1817372.700</v>
      </c>
      <c r="E1186" s="391" t="s">
        <v>8848</v>
      </c>
      <c r="F1186" s="242"/>
      <c r="G1186"/>
      <c r="H1186" s="322">
        <v>1880700</v>
      </c>
      <c r="I1186" s="322">
        <v>1936000</v>
      </c>
      <c r="J1186" s="242">
        <v>1665600</v>
      </c>
      <c r="K1186" s="18"/>
      <c r="L1186" s="18" t="str">
        <f t="shared" si="147"/>
        <v>8</v>
      </c>
      <c r="M1186" s="18" t="str">
        <f>INDEX(Chapter,MATCH(L1186,Chapter!$A$1:$A$681,0),8)</f>
        <v>שירותים ממלכתיים</v>
      </c>
      <c r="N1186" s="18" t="str">
        <f t="shared" si="148"/>
        <v>81</v>
      </c>
      <c r="O1186" s="18" t="str">
        <f>INDEX(Chapter,MATCH(N1186,Chapter!$A$1:$A$681,0),8)</f>
        <v>חינוך</v>
      </c>
      <c r="P1186" s="18" t="str">
        <f t="shared" si="149"/>
        <v>817</v>
      </c>
      <c r="Q1186" s="18" t="str">
        <f>INDEX(Chapter,MATCH(P1186,Chapter!$A$1:$A$681,0),8)</f>
        <v>שירותים נוספים לבתי״ס וגנ״י</v>
      </c>
      <c r="R1186" s="18" t="str">
        <f t="shared" si="150"/>
        <v>8173</v>
      </c>
      <c r="S1186" s="18" t="str">
        <f>INDEX(Chapter,MATCH(R1186,Chapter!$A$1:$A$681,0),8)</f>
        <v>שרות פסיכולוגי חינוכי</v>
      </c>
      <c r="T1186" s="18"/>
      <c r="U1186" s="18" t="str">
        <f t="shared" si="151"/>
        <v>7</v>
      </c>
      <c r="V1186" s="18" t="str">
        <f>IF($L1186&lt;"6",INDEX(Revenue_type,MATCH(U1186*1,type!$A$118:$A$168,0),8),INDEX(Expenditure_type,MATCH(U1186*1,type!$A$2:$A$117,0),8))</f>
        <v>הוצאות לפעולות</v>
      </c>
      <c r="W1186" s="18" t="str">
        <f t="shared" si="152"/>
        <v>70</v>
      </c>
      <c r="X1186" s="18" t="e">
        <f>IF($L1186&lt;"6",INDEX(Revenue_type,MATCH(W1186*1,type!$A$118:$A$168,0),8),INDEX(Expenditure_type,MATCH(W1186*1,type!$A$2:$A$117,0),8))</f>
        <v>#N/A</v>
      </c>
      <c r="Y1186" s="18" t="str">
        <f t="shared" si="153"/>
        <v>700</v>
      </c>
      <c r="Z1186" s="18" t="e">
        <f>IF($L1186&lt;"6",INDEX(Revenue_type,MATCH(Y1186*1,type!$A$118:$A$168,0),8),INDEX(Expenditure_type,MATCH(Y1186*1,type!$A$2:$A$117,0),8))</f>
        <v>#N/A</v>
      </c>
    </row>
    <row r="1187" spans="1:26" ht="15.75" hidden="1" customHeight="1" outlineLevel="2">
      <c r="A1187">
        <v>700</v>
      </c>
      <c r="B1187" s="249">
        <v>817370</v>
      </c>
      <c r="C1187">
        <v>1</v>
      </c>
      <c r="D1187" t="str">
        <f t="shared" si="146"/>
        <v>1817370.700</v>
      </c>
      <c r="E1187" s="391" t="s">
        <v>8849</v>
      </c>
      <c r="F1187" s="242"/>
      <c r="G1187"/>
      <c r="H1187" s="322">
        <v>2059500</v>
      </c>
      <c r="I1187" s="322">
        <v>2120000</v>
      </c>
      <c r="J1187" s="242">
        <v>2106300</v>
      </c>
      <c r="K1187" s="18"/>
      <c r="L1187" s="18" t="str">
        <f t="shared" si="147"/>
        <v>8</v>
      </c>
      <c r="M1187" s="18" t="str">
        <f>INDEX(Chapter,MATCH(L1187,Chapter!$A$1:$A$681,0),8)</f>
        <v>שירותים ממלכתיים</v>
      </c>
      <c r="N1187" s="18" t="str">
        <f t="shared" si="148"/>
        <v>81</v>
      </c>
      <c r="O1187" s="18" t="str">
        <f>INDEX(Chapter,MATCH(N1187,Chapter!$A$1:$A$681,0),8)</f>
        <v>חינוך</v>
      </c>
      <c r="P1187" s="18" t="str">
        <f t="shared" si="149"/>
        <v>817</v>
      </c>
      <c r="Q1187" s="18" t="str">
        <f>INDEX(Chapter,MATCH(P1187,Chapter!$A$1:$A$681,0),8)</f>
        <v>שירותים נוספים לבתי״ס וגנ״י</v>
      </c>
      <c r="R1187" s="18" t="str">
        <f t="shared" si="150"/>
        <v>8173</v>
      </c>
      <c r="S1187" s="18" t="str">
        <f>INDEX(Chapter,MATCH(R1187,Chapter!$A$1:$A$681,0),8)</f>
        <v>שרות פסיכולוגי חינוכי</v>
      </c>
      <c r="T1187" s="18"/>
      <c r="U1187" s="18" t="str">
        <f t="shared" si="151"/>
        <v>7</v>
      </c>
      <c r="V1187" s="18" t="str">
        <f>IF($L1187&lt;"6",INDEX(Revenue_type,MATCH(U1187*1,type!$A$118:$A$168,0),8),INDEX(Expenditure_type,MATCH(U1187*1,type!$A$2:$A$117,0),8))</f>
        <v>הוצאות לפעולות</v>
      </c>
      <c r="W1187" s="18" t="str">
        <f t="shared" si="152"/>
        <v>70</v>
      </c>
      <c r="X1187" s="18" t="e">
        <f>IF($L1187&lt;"6",INDEX(Revenue_type,MATCH(W1187*1,type!$A$118:$A$168,0),8),INDEX(Expenditure_type,MATCH(W1187*1,type!$A$2:$A$117,0),8))</f>
        <v>#N/A</v>
      </c>
      <c r="Y1187" s="18" t="str">
        <f t="shared" si="153"/>
        <v>700</v>
      </c>
      <c r="Z1187" s="18" t="e">
        <f>IF($L1187&lt;"6",INDEX(Revenue_type,MATCH(Y1187*1,type!$A$118:$A$168,0),8),INDEX(Expenditure_type,MATCH(Y1187*1,type!$A$2:$A$117,0),8))</f>
        <v>#N/A</v>
      </c>
    </row>
    <row r="1188" spans="1:26" ht="15.75" hidden="1" customHeight="1" outlineLevel="2">
      <c r="A1188">
        <v>200</v>
      </c>
      <c r="B1188" s="249">
        <v>817371</v>
      </c>
      <c r="C1188">
        <v>1</v>
      </c>
      <c r="D1188" t="str">
        <f t="shared" si="146"/>
        <v>1817371.200</v>
      </c>
      <c r="E1188" s="381" t="s">
        <v>8850</v>
      </c>
      <c r="F1188" s="242"/>
      <c r="G1188"/>
      <c r="H1188" s="322">
        <v>213700</v>
      </c>
      <c r="I1188" s="322">
        <v>211700</v>
      </c>
      <c r="J1188" s="242">
        <v>225200</v>
      </c>
      <c r="K1188" s="18"/>
      <c r="L1188" s="18" t="str">
        <f t="shared" si="147"/>
        <v>8</v>
      </c>
      <c r="M1188" s="18" t="str">
        <f>INDEX(Chapter,MATCH(L1188,Chapter!$A$1:$A$681,0),8)</f>
        <v>שירותים ממלכתיים</v>
      </c>
      <c r="N1188" s="18" t="str">
        <f t="shared" si="148"/>
        <v>81</v>
      </c>
      <c r="O1188" s="18" t="str">
        <f>INDEX(Chapter,MATCH(N1188,Chapter!$A$1:$A$681,0),8)</f>
        <v>חינוך</v>
      </c>
      <c r="P1188" s="18" t="str">
        <f t="shared" si="149"/>
        <v>817</v>
      </c>
      <c r="Q1188" s="18" t="str">
        <f>INDEX(Chapter,MATCH(P1188,Chapter!$A$1:$A$681,0),8)</f>
        <v>שירותים נוספים לבתי״ס וגנ״י</v>
      </c>
      <c r="R1188" s="18" t="str">
        <f t="shared" si="150"/>
        <v>8173</v>
      </c>
      <c r="S1188" s="18" t="str">
        <f>INDEX(Chapter,MATCH(R1188,Chapter!$A$1:$A$681,0),8)</f>
        <v>שרות פסיכולוגי חינוכי</v>
      </c>
      <c r="T1188" s="18"/>
      <c r="U1188" s="18" t="str">
        <f t="shared" si="151"/>
        <v>2</v>
      </c>
      <c r="V1188" s="18" t="str">
        <f>IF($L1188&lt;"6",INDEX(Revenue_type,MATCH(U1188*1,type!$A$118:$A$168,0),8),INDEX(Expenditure_type,MATCH(U1188*1,type!$A$2:$A$117,0),8))</f>
        <v>משכורות וש"ע לעובדים בלי תקן</v>
      </c>
      <c r="W1188" s="18" t="str">
        <f t="shared" si="152"/>
        <v>20</v>
      </c>
      <c r="X1188" s="18" t="e">
        <f>IF($L1188&lt;"6",INDEX(Revenue_type,MATCH(W1188*1,type!$A$118:$A$168,0),8),INDEX(Expenditure_type,MATCH(W1188*1,type!$A$2:$A$117,0),8))</f>
        <v>#N/A</v>
      </c>
      <c r="Y1188" s="18" t="str">
        <f t="shared" si="153"/>
        <v>200</v>
      </c>
      <c r="Z1188" s="18" t="e">
        <f>IF($L1188&lt;"6",INDEX(Revenue_type,MATCH(Y1188*1,type!$A$118:$A$168,0),8),INDEX(Expenditure_type,MATCH(Y1188*1,type!$A$2:$A$117,0),8))</f>
        <v>#N/A</v>
      </c>
    </row>
    <row r="1189" spans="1:26" ht="15.75" hidden="1" customHeight="1" outlineLevel="2">
      <c r="A1189">
        <v>120</v>
      </c>
      <c r="B1189" s="249">
        <v>817371</v>
      </c>
      <c r="C1189">
        <v>1</v>
      </c>
      <c r="D1189" t="str">
        <f t="shared" si="146"/>
        <v>1817371.120</v>
      </c>
      <c r="E1189" s="381" t="s">
        <v>8851</v>
      </c>
      <c r="F1189" s="242"/>
      <c r="G1189"/>
      <c r="H1189" s="322">
        <v>5300</v>
      </c>
      <c r="I1189" s="322">
        <v>5300</v>
      </c>
      <c r="J1189" s="242">
        <v>1200</v>
      </c>
      <c r="K1189" s="18"/>
      <c r="L1189" s="18" t="str">
        <f t="shared" si="147"/>
        <v>8</v>
      </c>
      <c r="M1189" s="18" t="str">
        <f>INDEX(Chapter,MATCH(L1189,Chapter!$A$1:$A$681,0),8)</f>
        <v>שירותים ממלכתיים</v>
      </c>
      <c r="N1189" s="18" t="str">
        <f t="shared" si="148"/>
        <v>81</v>
      </c>
      <c r="O1189" s="18" t="str">
        <f>INDEX(Chapter,MATCH(N1189,Chapter!$A$1:$A$681,0),8)</f>
        <v>חינוך</v>
      </c>
      <c r="P1189" s="18" t="str">
        <f t="shared" si="149"/>
        <v>817</v>
      </c>
      <c r="Q1189" s="18" t="str">
        <f>INDEX(Chapter,MATCH(P1189,Chapter!$A$1:$A$681,0),8)</f>
        <v>שירותים נוספים לבתי״ס וגנ״י</v>
      </c>
      <c r="R1189" s="18" t="str">
        <f t="shared" si="150"/>
        <v>8173</v>
      </c>
      <c r="S1189" s="18" t="str">
        <f>INDEX(Chapter,MATCH(R1189,Chapter!$A$1:$A$681,0),8)</f>
        <v>שרות פסיכולוגי חינוכי</v>
      </c>
      <c r="T1189" s="18"/>
      <c r="U1189" s="18" t="str">
        <f t="shared" si="151"/>
        <v>1</v>
      </c>
      <c r="V1189" s="18" t="str">
        <f>IF($L1189&lt;"6",INDEX(Revenue_type,MATCH(U1189*1,type!$A$118:$A$168,0),8),INDEX(Expenditure_type,MATCH(U1189*1,type!$A$2:$A$117,0),8))</f>
        <v>משכורות וש"ע לעובדים לפי תקן</v>
      </c>
      <c r="W1189" s="18" t="str">
        <f t="shared" si="152"/>
        <v>12</v>
      </c>
      <c r="X1189" s="18" t="str">
        <f>IF($L1189&lt;"6",INDEX(Revenue_type,MATCH(W1189*1,type!$A$118:$A$168,0),8),INDEX(Expenditure_type,MATCH(W1189*1,type!$A$2:$A$117,0),8))</f>
        <v>תוספות שאינן נכללות בשכר הקובע</v>
      </c>
      <c r="Y1189" s="18" t="str">
        <f t="shared" si="153"/>
        <v>120</v>
      </c>
      <c r="Z1189" s="18" t="e">
        <f>IF($L1189&lt;"6",INDEX(Revenue_type,MATCH(Y1189*1,type!$A$118:$A$168,0),8),INDEX(Expenditure_type,MATCH(Y1189*1,type!$A$2:$A$117,0),8))</f>
        <v>#N/A</v>
      </c>
    </row>
    <row r="1190" spans="1:26" ht="15.75" hidden="1" customHeight="1" outlineLevel="2">
      <c r="A1190">
        <v>700</v>
      </c>
      <c r="B1190" s="249">
        <v>817371</v>
      </c>
      <c r="C1190">
        <v>1</v>
      </c>
      <c r="D1190" t="str">
        <f t="shared" si="146"/>
        <v>1817371.700</v>
      </c>
      <c r="E1190" s="391" t="s">
        <v>8852</v>
      </c>
      <c r="F1190" s="242"/>
      <c r="G1190"/>
      <c r="H1190" s="322">
        <v>453700</v>
      </c>
      <c r="I1190" s="322">
        <v>467000</v>
      </c>
      <c r="J1190" s="242">
        <v>931000</v>
      </c>
      <c r="K1190" s="18"/>
      <c r="L1190" s="18" t="str">
        <f t="shared" si="147"/>
        <v>8</v>
      </c>
      <c r="M1190" s="18" t="str">
        <f>INDEX(Chapter,MATCH(L1190,Chapter!$A$1:$A$681,0),8)</f>
        <v>שירותים ממלכתיים</v>
      </c>
      <c r="N1190" s="18" t="str">
        <f t="shared" si="148"/>
        <v>81</v>
      </c>
      <c r="O1190" s="18" t="str">
        <f>INDEX(Chapter,MATCH(N1190,Chapter!$A$1:$A$681,0),8)</f>
        <v>חינוך</v>
      </c>
      <c r="P1190" s="18" t="str">
        <f t="shared" si="149"/>
        <v>817</v>
      </c>
      <c r="Q1190" s="18" t="str">
        <f>INDEX(Chapter,MATCH(P1190,Chapter!$A$1:$A$681,0),8)</f>
        <v>שירותים נוספים לבתי״ס וגנ״י</v>
      </c>
      <c r="R1190" s="18" t="str">
        <f t="shared" si="150"/>
        <v>8173</v>
      </c>
      <c r="S1190" s="18" t="str">
        <f>INDEX(Chapter,MATCH(R1190,Chapter!$A$1:$A$681,0),8)</f>
        <v>שרות פסיכולוגי חינוכי</v>
      </c>
      <c r="T1190" s="18"/>
      <c r="U1190" s="18" t="str">
        <f t="shared" si="151"/>
        <v>7</v>
      </c>
      <c r="V1190" s="18" t="str">
        <f>IF($L1190&lt;"6",INDEX(Revenue_type,MATCH(U1190*1,type!$A$118:$A$168,0),8),INDEX(Expenditure_type,MATCH(U1190*1,type!$A$2:$A$117,0),8))</f>
        <v>הוצאות לפעולות</v>
      </c>
      <c r="W1190" s="18" t="str">
        <f t="shared" si="152"/>
        <v>70</v>
      </c>
      <c r="X1190" s="18" t="e">
        <f>IF($L1190&lt;"6",INDEX(Revenue_type,MATCH(W1190*1,type!$A$118:$A$168,0),8),INDEX(Expenditure_type,MATCH(W1190*1,type!$A$2:$A$117,0),8))</f>
        <v>#N/A</v>
      </c>
      <c r="Y1190" s="18" t="str">
        <f t="shared" si="153"/>
        <v>700</v>
      </c>
      <c r="Z1190" s="18" t="e">
        <f>IF($L1190&lt;"6",INDEX(Revenue_type,MATCH(Y1190*1,type!$A$118:$A$168,0),8),INDEX(Expenditure_type,MATCH(Y1190*1,type!$A$2:$A$117,0),8))</f>
        <v>#N/A</v>
      </c>
    </row>
    <row r="1191" spans="1:26" ht="15.75" hidden="1" customHeight="1" outlineLevel="2">
      <c r="A1191">
        <v>200</v>
      </c>
      <c r="B1191" s="249">
        <v>813190</v>
      </c>
      <c r="C1191">
        <v>1</v>
      </c>
      <c r="D1191" t="str">
        <f t="shared" si="146"/>
        <v>1813190.200</v>
      </c>
      <c r="E1191" s="382" t="s">
        <v>8853</v>
      </c>
      <c r="F1191" s="242"/>
      <c r="G1191"/>
      <c r="H1191" s="322">
        <v>850000</v>
      </c>
      <c r="I1191" s="322">
        <v>850000</v>
      </c>
      <c r="J1191" s="242">
        <v>1060600</v>
      </c>
      <c r="K1191" s="18"/>
      <c r="L1191" s="18" t="str">
        <f t="shared" si="147"/>
        <v>8</v>
      </c>
      <c r="M1191" s="18" t="str">
        <f>INDEX(Chapter,MATCH(L1191,Chapter!$A$1:$A$681,0),8)</f>
        <v>שירותים ממלכתיים</v>
      </c>
      <c r="N1191" s="18" t="str">
        <f t="shared" si="148"/>
        <v>81</v>
      </c>
      <c r="O1191" s="18" t="str">
        <f>INDEX(Chapter,MATCH(N1191,Chapter!$A$1:$A$681,0),8)</f>
        <v>חינוך</v>
      </c>
      <c r="P1191" s="18" t="str">
        <f t="shared" si="149"/>
        <v>813</v>
      </c>
      <c r="Q1191" s="18" t="str">
        <f>INDEX(Chapter,MATCH(P1191,Chapter!$A$1:$A$681,0),8)</f>
        <v>חינוך יסודי</v>
      </c>
      <c r="R1191" s="18" t="str">
        <f t="shared" si="150"/>
        <v>8131</v>
      </c>
      <c r="S1191" s="18" t="str">
        <f>INDEX(Chapter,MATCH(R1191,Chapter!$A$1:$A$681,0),8)</f>
        <v>מינהל החינוך היסודי</v>
      </c>
      <c r="T1191" s="18"/>
      <c r="U1191" s="18" t="str">
        <f t="shared" si="151"/>
        <v>2</v>
      </c>
      <c r="V1191" s="18" t="str">
        <f>IF($L1191&lt;"6",INDEX(Revenue_type,MATCH(U1191*1,type!$A$118:$A$168,0),8),INDEX(Expenditure_type,MATCH(U1191*1,type!$A$2:$A$117,0),8))</f>
        <v>משכורות וש"ע לעובדים בלי תקן</v>
      </c>
      <c r="W1191" s="18" t="str">
        <f t="shared" si="152"/>
        <v>20</v>
      </c>
      <c r="X1191" s="18" t="e">
        <f>IF($L1191&lt;"6",INDEX(Revenue_type,MATCH(W1191*1,type!$A$118:$A$168,0),8),INDEX(Expenditure_type,MATCH(W1191*1,type!$A$2:$A$117,0),8))</f>
        <v>#N/A</v>
      </c>
      <c r="Y1191" s="18" t="str">
        <f t="shared" si="153"/>
        <v>200</v>
      </c>
      <c r="Z1191" s="18" t="e">
        <f>IF($L1191&lt;"6",INDEX(Revenue_type,MATCH(Y1191*1,type!$A$118:$A$168,0),8),INDEX(Expenditure_type,MATCH(Y1191*1,type!$A$2:$A$117,0),8))</f>
        <v>#N/A</v>
      </c>
    </row>
    <row r="1192" spans="1:26" ht="15.75" hidden="1" customHeight="1" outlineLevel="2">
      <c r="A1192">
        <v>500</v>
      </c>
      <c r="B1192" s="249">
        <v>813190</v>
      </c>
      <c r="C1192">
        <v>1</v>
      </c>
      <c r="D1192" t="str">
        <f t="shared" si="146"/>
        <v>1813190.500</v>
      </c>
      <c r="E1192" s="382" t="s">
        <v>8854</v>
      </c>
      <c r="F1192" s="242"/>
      <c r="G1192"/>
      <c r="H1192" s="322">
        <v>446900</v>
      </c>
      <c r="I1192" s="322">
        <v>460000</v>
      </c>
      <c r="J1192" s="242">
        <v>459700</v>
      </c>
      <c r="K1192" s="18"/>
      <c r="L1192" s="18" t="str">
        <f t="shared" si="147"/>
        <v>8</v>
      </c>
      <c r="M1192" s="18" t="str">
        <f>INDEX(Chapter,MATCH(L1192,Chapter!$A$1:$A$681,0),8)</f>
        <v>שירותים ממלכתיים</v>
      </c>
      <c r="N1192" s="18" t="str">
        <f t="shared" si="148"/>
        <v>81</v>
      </c>
      <c r="O1192" s="18" t="str">
        <f>INDEX(Chapter,MATCH(N1192,Chapter!$A$1:$A$681,0),8)</f>
        <v>חינוך</v>
      </c>
      <c r="P1192" s="18" t="str">
        <f t="shared" si="149"/>
        <v>813</v>
      </c>
      <c r="Q1192" s="18" t="str">
        <f>INDEX(Chapter,MATCH(P1192,Chapter!$A$1:$A$681,0),8)</f>
        <v>חינוך יסודי</v>
      </c>
      <c r="R1192" s="18" t="str">
        <f t="shared" si="150"/>
        <v>8131</v>
      </c>
      <c r="S1192" s="18" t="str">
        <f>INDEX(Chapter,MATCH(R1192,Chapter!$A$1:$A$681,0),8)</f>
        <v>מינהל החינוך היסודי</v>
      </c>
      <c r="T1192" s="18"/>
      <c r="U1192" s="18" t="str">
        <f t="shared" si="151"/>
        <v>5</v>
      </c>
      <c r="V1192" s="18" t="str">
        <f>IF($L1192&lt;"6",INDEX(Revenue_type,MATCH(U1192*1,type!$A$118:$A$168,0),8),INDEX(Expenditure_type,MATCH(U1192*1,type!$A$2:$A$117,0),8))</f>
        <v>הוצאות מנהליות</v>
      </c>
      <c r="W1192" s="18" t="str">
        <f t="shared" si="152"/>
        <v>50</v>
      </c>
      <c r="X1192" s="18" t="e">
        <f>IF($L1192&lt;"6",INDEX(Revenue_type,MATCH(W1192*1,type!$A$118:$A$168,0),8),INDEX(Expenditure_type,MATCH(W1192*1,type!$A$2:$A$117,0),8))</f>
        <v>#N/A</v>
      </c>
      <c r="Y1192" s="18" t="str">
        <f t="shared" si="153"/>
        <v>500</v>
      </c>
      <c r="Z1192" s="18" t="e">
        <f>IF($L1192&lt;"6",INDEX(Revenue_type,MATCH(Y1192*1,type!$A$118:$A$168,0),8),INDEX(Expenditure_type,MATCH(Y1192*1,type!$A$2:$A$117,0),8))</f>
        <v>#N/A</v>
      </c>
    </row>
    <row r="1193" spans="1:26" ht="15.75" hidden="1" customHeight="1" outlineLevel="2">
      <c r="A1193">
        <v>100</v>
      </c>
      <c r="B1193" s="249">
        <v>817331</v>
      </c>
      <c r="C1193">
        <v>1</v>
      </c>
      <c r="D1193" t="str">
        <f t="shared" si="146"/>
        <v>1817331.100</v>
      </c>
      <c r="E1193" s="381" t="s">
        <v>8855</v>
      </c>
      <c r="F1193" s="242"/>
      <c r="G1193"/>
      <c r="H1193" s="322">
        <v>628000</v>
      </c>
      <c r="I1193" s="322">
        <v>621000</v>
      </c>
      <c r="J1193" s="242">
        <v>574900</v>
      </c>
      <c r="K1193" s="18"/>
      <c r="L1193" s="18" t="str">
        <f t="shared" si="147"/>
        <v>8</v>
      </c>
      <c r="M1193" s="18" t="str">
        <f>INDEX(Chapter,MATCH(L1193,Chapter!$A$1:$A$681,0),8)</f>
        <v>שירותים ממלכתיים</v>
      </c>
      <c r="N1193" s="18" t="str">
        <f t="shared" si="148"/>
        <v>81</v>
      </c>
      <c r="O1193" s="18" t="str">
        <f>INDEX(Chapter,MATCH(N1193,Chapter!$A$1:$A$681,0),8)</f>
        <v>חינוך</v>
      </c>
      <c r="P1193" s="18" t="str">
        <f t="shared" si="149"/>
        <v>817</v>
      </c>
      <c r="Q1193" s="18" t="str">
        <f>INDEX(Chapter,MATCH(P1193,Chapter!$A$1:$A$681,0),8)</f>
        <v>שירותים נוספים לבתי״ס וגנ״י</v>
      </c>
      <c r="R1193" s="18" t="str">
        <f t="shared" si="150"/>
        <v>8173</v>
      </c>
      <c r="S1193" s="18" t="str">
        <f>INDEX(Chapter,MATCH(R1193,Chapter!$A$1:$A$681,0),8)</f>
        <v>שרות פסיכולוגי חינוכי</v>
      </c>
      <c r="T1193" s="18"/>
      <c r="U1193" s="18" t="str">
        <f t="shared" si="151"/>
        <v>1</v>
      </c>
      <c r="V1193" s="18" t="str">
        <f>IF($L1193&lt;"6",INDEX(Revenue_type,MATCH(U1193*1,type!$A$118:$A$168,0),8),INDEX(Expenditure_type,MATCH(U1193*1,type!$A$2:$A$117,0),8))</f>
        <v>משכורות וש"ע לעובדים לפי תקן</v>
      </c>
      <c r="W1193" s="18" t="str">
        <f t="shared" si="152"/>
        <v>10</v>
      </c>
      <c r="X1193" s="18" t="e">
        <f>IF($L1193&lt;"6",INDEX(Revenue_type,MATCH(W1193*1,type!$A$118:$A$168,0),8),INDEX(Expenditure_type,MATCH(W1193*1,type!$A$2:$A$117,0),8))</f>
        <v>#N/A</v>
      </c>
      <c r="Y1193" s="18" t="str">
        <f t="shared" si="153"/>
        <v>100</v>
      </c>
      <c r="Z1193" s="18" t="e">
        <f>IF($L1193&lt;"6",INDEX(Revenue_type,MATCH(Y1193*1,type!$A$118:$A$168,0),8),INDEX(Expenditure_type,MATCH(Y1193*1,type!$A$2:$A$117,0),8))</f>
        <v>#N/A</v>
      </c>
    </row>
    <row r="1194" spans="1:26" ht="15.75" hidden="1" customHeight="1" outlineLevel="2">
      <c r="A1194">
        <v>120</v>
      </c>
      <c r="B1194" s="249">
        <v>817331</v>
      </c>
      <c r="C1194">
        <v>1</v>
      </c>
      <c r="D1194" t="str">
        <f t="shared" si="146"/>
        <v>1817331.120</v>
      </c>
      <c r="E1194" s="397" t="s">
        <v>8856</v>
      </c>
      <c r="F1194" s="242"/>
      <c r="G1194"/>
      <c r="H1194" s="322">
        <v>18000</v>
      </c>
      <c r="I1194" s="322">
        <v>18000</v>
      </c>
      <c r="J1194" s="242">
        <v>15900</v>
      </c>
      <c r="K1194" s="18"/>
      <c r="L1194" s="18" t="str">
        <f t="shared" si="147"/>
        <v>8</v>
      </c>
      <c r="M1194" s="18" t="str">
        <f>INDEX(Chapter,MATCH(L1194,Chapter!$A$1:$A$681,0),8)</f>
        <v>שירותים ממלכתיים</v>
      </c>
      <c r="N1194" s="18" t="str">
        <f t="shared" si="148"/>
        <v>81</v>
      </c>
      <c r="O1194" s="18" t="str">
        <f>INDEX(Chapter,MATCH(N1194,Chapter!$A$1:$A$681,0),8)</f>
        <v>חינוך</v>
      </c>
      <c r="P1194" s="18" t="str">
        <f t="shared" si="149"/>
        <v>817</v>
      </c>
      <c r="Q1194" s="18" t="str">
        <f>INDEX(Chapter,MATCH(P1194,Chapter!$A$1:$A$681,0),8)</f>
        <v>שירותים נוספים לבתי״ס וגנ״י</v>
      </c>
      <c r="R1194" s="18" t="str">
        <f t="shared" si="150"/>
        <v>8173</v>
      </c>
      <c r="S1194" s="18" t="str">
        <f>INDEX(Chapter,MATCH(R1194,Chapter!$A$1:$A$681,0),8)</f>
        <v>שרות פסיכולוגי חינוכי</v>
      </c>
      <c r="T1194" s="18"/>
      <c r="U1194" s="18" t="str">
        <f t="shared" si="151"/>
        <v>1</v>
      </c>
      <c r="V1194" s="18" t="str">
        <f>IF($L1194&lt;"6",INDEX(Revenue_type,MATCH(U1194*1,type!$A$118:$A$168,0),8),INDEX(Expenditure_type,MATCH(U1194*1,type!$A$2:$A$117,0),8))</f>
        <v>משכורות וש"ע לעובדים לפי תקן</v>
      </c>
      <c r="W1194" s="18" t="str">
        <f t="shared" si="152"/>
        <v>12</v>
      </c>
      <c r="X1194" s="18" t="str">
        <f>IF($L1194&lt;"6",INDEX(Revenue_type,MATCH(W1194*1,type!$A$118:$A$168,0),8),INDEX(Expenditure_type,MATCH(W1194*1,type!$A$2:$A$117,0),8))</f>
        <v>תוספות שאינן נכללות בשכר הקובע</v>
      </c>
      <c r="Y1194" s="18" t="str">
        <f t="shared" si="153"/>
        <v>120</v>
      </c>
      <c r="Z1194" s="18" t="e">
        <f>IF($L1194&lt;"6",INDEX(Revenue_type,MATCH(Y1194*1,type!$A$118:$A$168,0),8),INDEX(Expenditure_type,MATCH(Y1194*1,type!$A$2:$A$117,0),8))</f>
        <v>#N/A</v>
      </c>
    </row>
    <row r="1195" spans="1:26" ht="15.75" hidden="1" customHeight="1" outlineLevel="2">
      <c r="A1195">
        <v>700</v>
      </c>
      <c r="B1195" s="249">
        <v>817331</v>
      </c>
      <c r="C1195">
        <v>1</v>
      </c>
      <c r="D1195" t="str">
        <f t="shared" si="146"/>
        <v>1817331.700</v>
      </c>
      <c r="E1195" s="387" t="s">
        <v>8857</v>
      </c>
      <c r="F1195" s="242"/>
      <c r="G1195"/>
      <c r="H1195" s="322">
        <v>130000</v>
      </c>
      <c r="I1195" s="322">
        <v>130000</v>
      </c>
      <c r="J1195" s="242">
        <v>0</v>
      </c>
      <c r="K1195" s="18"/>
      <c r="L1195" s="18" t="str">
        <f t="shared" si="147"/>
        <v>8</v>
      </c>
      <c r="M1195" s="18" t="str">
        <f>INDEX(Chapter,MATCH(L1195,Chapter!$A$1:$A$681,0),8)</f>
        <v>שירותים ממלכתיים</v>
      </c>
      <c r="N1195" s="18" t="str">
        <f t="shared" si="148"/>
        <v>81</v>
      </c>
      <c r="O1195" s="18" t="str">
        <f>INDEX(Chapter,MATCH(N1195,Chapter!$A$1:$A$681,0),8)</f>
        <v>חינוך</v>
      </c>
      <c r="P1195" s="18" t="str">
        <f t="shared" si="149"/>
        <v>817</v>
      </c>
      <c r="Q1195" s="18" t="str">
        <f>INDEX(Chapter,MATCH(P1195,Chapter!$A$1:$A$681,0),8)</f>
        <v>שירותים נוספים לבתי״ס וגנ״י</v>
      </c>
      <c r="R1195" s="18" t="str">
        <f t="shared" si="150"/>
        <v>8173</v>
      </c>
      <c r="S1195" s="18" t="str">
        <f>INDEX(Chapter,MATCH(R1195,Chapter!$A$1:$A$681,0),8)</f>
        <v>שרות פסיכולוגי חינוכי</v>
      </c>
      <c r="T1195" s="18"/>
      <c r="U1195" s="18" t="str">
        <f t="shared" si="151"/>
        <v>7</v>
      </c>
      <c r="V1195" s="18" t="str">
        <f>IF($L1195&lt;"6",INDEX(Revenue_type,MATCH(U1195*1,type!$A$118:$A$168,0),8),INDEX(Expenditure_type,MATCH(U1195*1,type!$A$2:$A$117,0),8))</f>
        <v>הוצאות לפעולות</v>
      </c>
      <c r="W1195" s="18" t="str">
        <f t="shared" si="152"/>
        <v>70</v>
      </c>
      <c r="X1195" s="18" t="e">
        <f>IF($L1195&lt;"6",INDEX(Revenue_type,MATCH(W1195*1,type!$A$118:$A$168,0),8),INDEX(Expenditure_type,MATCH(W1195*1,type!$A$2:$A$117,0),8))</f>
        <v>#N/A</v>
      </c>
      <c r="Y1195" s="18" t="str">
        <f t="shared" si="153"/>
        <v>700</v>
      </c>
      <c r="Z1195" s="18" t="e">
        <f>IF($L1195&lt;"6",INDEX(Revenue_type,MATCH(Y1195*1,type!$A$118:$A$168,0),8),INDEX(Expenditure_type,MATCH(Y1195*1,type!$A$2:$A$117,0),8))</f>
        <v>#N/A</v>
      </c>
    </row>
    <row r="1196" spans="1:26" ht="15.75" hidden="1" customHeight="1" outlineLevel="2">
      <c r="A1196">
        <v>800</v>
      </c>
      <c r="B1196" s="249">
        <v>817331</v>
      </c>
      <c r="C1196">
        <v>1</v>
      </c>
      <c r="D1196" t="str">
        <f t="shared" si="146"/>
        <v>1817331.800</v>
      </c>
      <c r="E1196" s="385" t="s">
        <v>8858</v>
      </c>
      <c r="F1196" s="242"/>
      <c r="G1196"/>
      <c r="H1196" s="322">
        <v>64300</v>
      </c>
      <c r="I1196" s="322">
        <v>70000</v>
      </c>
      <c r="J1196" s="242">
        <v>174600</v>
      </c>
      <c r="K1196" s="18"/>
      <c r="L1196" s="18" t="str">
        <f t="shared" si="147"/>
        <v>8</v>
      </c>
      <c r="M1196" s="18" t="str">
        <f>INDEX(Chapter,MATCH(L1196,Chapter!$A$1:$A$681,0),8)</f>
        <v>שירותים ממלכתיים</v>
      </c>
      <c r="N1196" s="18" t="str">
        <f t="shared" si="148"/>
        <v>81</v>
      </c>
      <c r="O1196" s="18" t="str">
        <f>INDEX(Chapter,MATCH(N1196,Chapter!$A$1:$A$681,0),8)</f>
        <v>חינוך</v>
      </c>
      <c r="P1196" s="18" t="str">
        <f t="shared" si="149"/>
        <v>817</v>
      </c>
      <c r="Q1196" s="18" t="str">
        <f>INDEX(Chapter,MATCH(P1196,Chapter!$A$1:$A$681,0),8)</f>
        <v>שירותים נוספים לבתי״ס וגנ״י</v>
      </c>
      <c r="R1196" s="18" t="str">
        <f t="shared" si="150"/>
        <v>8173</v>
      </c>
      <c r="S1196" s="18" t="str">
        <f>INDEX(Chapter,MATCH(R1196,Chapter!$A$1:$A$681,0),8)</f>
        <v>שרות פסיכולוגי חינוכי</v>
      </c>
      <c r="T1196" s="18"/>
      <c r="U1196" s="18" t="str">
        <f t="shared" si="151"/>
        <v>8</v>
      </c>
      <c r="V1196" s="18" t="str">
        <f>IF($L1196&lt;"6",INDEX(Revenue_type,MATCH(U1196*1,type!$A$118:$A$168,0),8),INDEX(Expenditure_type,MATCH(U1196*1,type!$A$2:$A$117,0),8))</f>
        <v>השתתפויות תמיכות ותרומות</v>
      </c>
      <c r="W1196" s="18" t="str">
        <f t="shared" si="152"/>
        <v>80</v>
      </c>
      <c r="X1196" s="18" t="e">
        <f>IF($L1196&lt;"6",INDEX(Revenue_type,MATCH(W1196*1,type!$A$118:$A$168,0),8),INDEX(Expenditure_type,MATCH(W1196*1,type!$A$2:$A$117,0),8))</f>
        <v>#N/A</v>
      </c>
      <c r="Y1196" s="18" t="str">
        <f t="shared" si="153"/>
        <v>800</v>
      </c>
      <c r="Z1196" s="18" t="e">
        <f>IF($L1196&lt;"6",INDEX(Revenue_type,MATCH(Y1196*1,type!$A$118:$A$168,0),8),INDEX(Expenditure_type,MATCH(Y1196*1,type!$A$2:$A$117,0),8))</f>
        <v>#N/A</v>
      </c>
    </row>
    <row r="1197" spans="1:26" ht="15.75" hidden="1" customHeight="1" outlineLevel="2">
      <c r="A1197">
        <v>100</v>
      </c>
      <c r="B1197" s="249">
        <v>817332</v>
      </c>
      <c r="C1197">
        <v>1</v>
      </c>
      <c r="D1197" t="str">
        <f t="shared" si="146"/>
        <v>1817332.100</v>
      </c>
      <c r="E1197" s="385" t="s">
        <v>8859</v>
      </c>
      <c r="F1197" s="242"/>
      <c r="G1197"/>
      <c r="H1197" s="322">
        <v>623000</v>
      </c>
      <c r="I1197" s="322">
        <v>616000</v>
      </c>
      <c r="J1197" s="242">
        <v>836600</v>
      </c>
      <c r="K1197" s="18"/>
      <c r="L1197" s="18" t="str">
        <f t="shared" si="147"/>
        <v>8</v>
      </c>
      <c r="M1197" s="18" t="str">
        <f>INDEX(Chapter,MATCH(L1197,Chapter!$A$1:$A$681,0),8)</f>
        <v>שירותים ממלכתיים</v>
      </c>
      <c r="N1197" s="18" t="str">
        <f t="shared" si="148"/>
        <v>81</v>
      </c>
      <c r="O1197" s="18" t="str">
        <f>INDEX(Chapter,MATCH(N1197,Chapter!$A$1:$A$681,0),8)</f>
        <v>חינוך</v>
      </c>
      <c r="P1197" s="18" t="str">
        <f t="shared" si="149"/>
        <v>817</v>
      </c>
      <c r="Q1197" s="18" t="str">
        <f>INDEX(Chapter,MATCH(P1197,Chapter!$A$1:$A$681,0),8)</f>
        <v>שירותים נוספים לבתי״ס וגנ״י</v>
      </c>
      <c r="R1197" s="18" t="str">
        <f t="shared" si="150"/>
        <v>8173</v>
      </c>
      <c r="S1197" s="18" t="str">
        <f>INDEX(Chapter,MATCH(R1197,Chapter!$A$1:$A$681,0),8)</f>
        <v>שרות פסיכולוגי חינוכי</v>
      </c>
      <c r="T1197" s="18"/>
      <c r="U1197" s="18" t="str">
        <f t="shared" si="151"/>
        <v>1</v>
      </c>
      <c r="V1197" s="18" t="str">
        <f>IF($L1197&lt;"6",INDEX(Revenue_type,MATCH(U1197*1,type!$A$118:$A$168,0),8),INDEX(Expenditure_type,MATCH(U1197*1,type!$A$2:$A$117,0),8))</f>
        <v>משכורות וש"ע לעובדים לפי תקן</v>
      </c>
      <c r="W1197" s="18" t="str">
        <f t="shared" si="152"/>
        <v>10</v>
      </c>
      <c r="X1197" s="18" t="e">
        <f>IF($L1197&lt;"6",INDEX(Revenue_type,MATCH(W1197*1,type!$A$118:$A$168,0),8),INDEX(Expenditure_type,MATCH(W1197*1,type!$A$2:$A$117,0),8))</f>
        <v>#N/A</v>
      </c>
      <c r="Y1197" s="18" t="str">
        <f t="shared" si="153"/>
        <v>100</v>
      </c>
      <c r="Z1197" s="18" t="e">
        <f>IF($L1197&lt;"6",INDEX(Revenue_type,MATCH(Y1197*1,type!$A$118:$A$168,0),8),INDEX(Expenditure_type,MATCH(Y1197*1,type!$A$2:$A$117,0),8))</f>
        <v>#N/A</v>
      </c>
    </row>
    <row r="1198" spans="1:26" ht="15.75" hidden="1" customHeight="1" outlineLevel="2">
      <c r="A1198">
        <v>700</v>
      </c>
      <c r="B1198" s="249">
        <v>817332</v>
      </c>
      <c r="C1198">
        <v>1</v>
      </c>
      <c r="D1198" t="str">
        <f t="shared" si="146"/>
        <v>1817332.700</v>
      </c>
      <c r="E1198" s="385" t="s">
        <v>8860</v>
      </c>
      <c r="F1198" s="242"/>
      <c r="G1198"/>
      <c r="H1198" s="322">
        <v>130000</v>
      </c>
      <c r="I1198" s="322">
        <v>130000</v>
      </c>
      <c r="J1198" s="242">
        <v>0</v>
      </c>
      <c r="K1198" s="18"/>
      <c r="L1198" s="18" t="str">
        <f t="shared" si="147"/>
        <v>8</v>
      </c>
      <c r="M1198" s="18" t="str">
        <f>INDEX(Chapter,MATCH(L1198,Chapter!$A$1:$A$681,0),8)</f>
        <v>שירותים ממלכתיים</v>
      </c>
      <c r="N1198" s="18" t="str">
        <f t="shared" si="148"/>
        <v>81</v>
      </c>
      <c r="O1198" s="18" t="str">
        <f>INDEX(Chapter,MATCH(N1198,Chapter!$A$1:$A$681,0),8)</f>
        <v>חינוך</v>
      </c>
      <c r="P1198" s="18" t="str">
        <f t="shared" si="149"/>
        <v>817</v>
      </c>
      <c r="Q1198" s="18" t="str">
        <f>INDEX(Chapter,MATCH(P1198,Chapter!$A$1:$A$681,0),8)</f>
        <v>שירותים נוספים לבתי״ס וגנ״י</v>
      </c>
      <c r="R1198" s="18" t="str">
        <f t="shared" si="150"/>
        <v>8173</v>
      </c>
      <c r="S1198" s="18" t="str">
        <f>INDEX(Chapter,MATCH(R1198,Chapter!$A$1:$A$681,0),8)</f>
        <v>שרות פסיכולוגי חינוכי</v>
      </c>
      <c r="T1198" s="18"/>
      <c r="U1198" s="18" t="str">
        <f t="shared" si="151"/>
        <v>7</v>
      </c>
      <c r="V1198" s="18" t="str">
        <f>IF($L1198&lt;"6",INDEX(Revenue_type,MATCH(U1198*1,type!$A$118:$A$168,0),8),INDEX(Expenditure_type,MATCH(U1198*1,type!$A$2:$A$117,0),8))</f>
        <v>הוצאות לפעולות</v>
      </c>
      <c r="W1198" s="18" t="str">
        <f t="shared" si="152"/>
        <v>70</v>
      </c>
      <c r="X1198" s="18" t="e">
        <f>IF($L1198&lt;"6",INDEX(Revenue_type,MATCH(W1198*1,type!$A$118:$A$168,0),8),INDEX(Expenditure_type,MATCH(W1198*1,type!$A$2:$A$117,0),8))</f>
        <v>#N/A</v>
      </c>
      <c r="Y1198" s="18" t="str">
        <f t="shared" si="153"/>
        <v>700</v>
      </c>
      <c r="Z1198" s="18" t="e">
        <f>IF($L1198&lt;"6",INDEX(Revenue_type,MATCH(Y1198*1,type!$A$118:$A$168,0),8),INDEX(Expenditure_type,MATCH(Y1198*1,type!$A$2:$A$117,0),8))</f>
        <v>#N/A</v>
      </c>
    </row>
    <row r="1199" spans="1:26" ht="15.75" hidden="1" customHeight="1" outlineLevel="2">
      <c r="A1199">
        <v>800</v>
      </c>
      <c r="B1199" s="249">
        <v>817332</v>
      </c>
      <c r="C1199">
        <v>1</v>
      </c>
      <c r="D1199" t="str">
        <f t="shared" si="146"/>
        <v>1817332.800</v>
      </c>
      <c r="E1199" s="385" t="s">
        <v>8861</v>
      </c>
      <c r="F1199" s="242"/>
      <c r="G1199"/>
      <c r="H1199" s="322">
        <v>64300</v>
      </c>
      <c r="I1199" s="322">
        <v>70000</v>
      </c>
      <c r="J1199" s="242">
        <v>297300</v>
      </c>
      <c r="K1199" s="18"/>
      <c r="L1199" s="18" t="str">
        <f t="shared" si="147"/>
        <v>8</v>
      </c>
      <c r="M1199" s="18" t="str">
        <f>INDEX(Chapter,MATCH(L1199,Chapter!$A$1:$A$681,0),8)</f>
        <v>שירותים ממלכתיים</v>
      </c>
      <c r="N1199" s="18" t="str">
        <f t="shared" si="148"/>
        <v>81</v>
      </c>
      <c r="O1199" s="18" t="str">
        <f>INDEX(Chapter,MATCH(N1199,Chapter!$A$1:$A$681,0),8)</f>
        <v>חינוך</v>
      </c>
      <c r="P1199" s="18" t="str">
        <f t="shared" si="149"/>
        <v>817</v>
      </c>
      <c r="Q1199" s="18" t="str">
        <f>INDEX(Chapter,MATCH(P1199,Chapter!$A$1:$A$681,0),8)</f>
        <v>שירותים נוספים לבתי״ס וגנ״י</v>
      </c>
      <c r="R1199" s="18" t="str">
        <f t="shared" si="150"/>
        <v>8173</v>
      </c>
      <c r="S1199" s="18" t="str">
        <f>INDEX(Chapter,MATCH(R1199,Chapter!$A$1:$A$681,0),8)</f>
        <v>שרות פסיכולוגי חינוכי</v>
      </c>
      <c r="T1199" s="18"/>
      <c r="U1199" s="18" t="str">
        <f t="shared" si="151"/>
        <v>8</v>
      </c>
      <c r="V1199" s="18" t="str">
        <f>IF($L1199&lt;"6",INDEX(Revenue_type,MATCH(U1199*1,type!$A$118:$A$168,0),8),INDEX(Expenditure_type,MATCH(U1199*1,type!$A$2:$A$117,0),8))</f>
        <v>השתתפויות תמיכות ותרומות</v>
      </c>
      <c r="W1199" s="18" t="str">
        <f t="shared" si="152"/>
        <v>80</v>
      </c>
      <c r="X1199" s="18" t="e">
        <f>IF($L1199&lt;"6",INDEX(Revenue_type,MATCH(W1199*1,type!$A$118:$A$168,0),8),INDEX(Expenditure_type,MATCH(W1199*1,type!$A$2:$A$117,0),8))</f>
        <v>#N/A</v>
      </c>
      <c r="Y1199" s="18" t="str">
        <f t="shared" si="153"/>
        <v>800</v>
      </c>
      <c r="Z1199" s="18" t="e">
        <f>IF($L1199&lt;"6",INDEX(Revenue_type,MATCH(Y1199*1,type!$A$118:$A$168,0),8),INDEX(Expenditure_type,MATCH(Y1199*1,type!$A$2:$A$117,0),8))</f>
        <v>#N/A</v>
      </c>
    </row>
    <row r="1200" spans="1:26" ht="15.75" hidden="1" customHeight="1" outlineLevel="2">
      <c r="A1200">
        <v>200</v>
      </c>
      <c r="B1200" s="249">
        <v>817329</v>
      </c>
      <c r="C1200">
        <v>1</v>
      </c>
      <c r="D1200" t="str">
        <f t="shared" si="146"/>
        <v>1817329.200</v>
      </c>
      <c r="E1200" s="385" t="s">
        <v>8862</v>
      </c>
      <c r="F1200" s="242"/>
      <c r="G1200"/>
      <c r="H1200" s="322">
        <v>150000</v>
      </c>
      <c r="I1200" s="322">
        <v>150000</v>
      </c>
      <c r="J1200" s="242">
        <v>30400</v>
      </c>
      <c r="K1200" s="18"/>
      <c r="L1200" s="18" t="str">
        <f t="shared" si="147"/>
        <v>8</v>
      </c>
      <c r="M1200" s="18" t="str">
        <f>INDEX(Chapter,MATCH(L1200,Chapter!$A$1:$A$681,0),8)</f>
        <v>שירותים ממלכתיים</v>
      </c>
      <c r="N1200" s="18" t="str">
        <f t="shared" si="148"/>
        <v>81</v>
      </c>
      <c r="O1200" s="18" t="str">
        <f>INDEX(Chapter,MATCH(N1200,Chapter!$A$1:$A$681,0),8)</f>
        <v>חינוך</v>
      </c>
      <c r="P1200" s="18" t="str">
        <f t="shared" si="149"/>
        <v>817</v>
      </c>
      <c r="Q1200" s="18" t="str">
        <f>INDEX(Chapter,MATCH(P1200,Chapter!$A$1:$A$681,0),8)</f>
        <v>שירותים נוספים לבתי״ס וגנ״י</v>
      </c>
      <c r="R1200" s="18" t="str">
        <f t="shared" si="150"/>
        <v>8173</v>
      </c>
      <c r="S1200" s="18" t="str">
        <f>INDEX(Chapter,MATCH(R1200,Chapter!$A$1:$A$681,0),8)</f>
        <v>שרות פסיכולוגי חינוכי</v>
      </c>
      <c r="T1200" s="18"/>
      <c r="U1200" s="18" t="str">
        <f t="shared" si="151"/>
        <v>2</v>
      </c>
      <c r="V1200" s="18" t="str">
        <f>IF($L1200&lt;"6",INDEX(Revenue_type,MATCH(U1200*1,type!$A$118:$A$168,0),8),INDEX(Expenditure_type,MATCH(U1200*1,type!$A$2:$A$117,0),8))</f>
        <v>משכורות וש"ע לעובדים בלי תקן</v>
      </c>
      <c r="W1200" s="18" t="str">
        <f t="shared" si="152"/>
        <v>20</v>
      </c>
      <c r="X1200" s="18" t="e">
        <f>IF($L1200&lt;"6",INDEX(Revenue_type,MATCH(W1200*1,type!$A$118:$A$168,0),8),INDEX(Expenditure_type,MATCH(W1200*1,type!$A$2:$A$117,0),8))</f>
        <v>#N/A</v>
      </c>
      <c r="Y1200" s="18" t="str">
        <f t="shared" si="153"/>
        <v>200</v>
      </c>
      <c r="Z1200" s="18" t="e">
        <f>IF($L1200&lt;"6",INDEX(Revenue_type,MATCH(Y1200*1,type!$A$118:$A$168,0),8),INDEX(Expenditure_type,MATCH(Y1200*1,type!$A$2:$A$117,0),8))</f>
        <v>#N/A</v>
      </c>
    </row>
    <row r="1201" spans="1:26" ht="15.75" hidden="1" customHeight="1" outlineLevel="2">
      <c r="A1201">
        <v>100</v>
      </c>
      <c r="B1201" s="249">
        <v>818600</v>
      </c>
      <c r="C1201">
        <v>1</v>
      </c>
      <c r="D1201" t="str">
        <f t="shared" si="146"/>
        <v>1818600.100</v>
      </c>
      <c r="E1201" s="391" t="s">
        <v>8863</v>
      </c>
      <c r="F1201" s="242"/>
      <c r="G1201"/>
      <c r="H1201" s="322">
        <v>459000</v>
      </c>
      <c r="I1201" s="322">
        <v>454000</v>
      </c>
      <c r="J1201" s="242">
        <v>502200</v>
      </c>
      <c r="K1201" s="18"/>
      <c r="L1201" s="18" t="str">
        <f t="shared" si="147"/>
        <v>8</v>
      </c>
      <c r="M1201" s="18" t="str">
        <f>INDEX(Chapter,MATCH(L1201,Chapter!$A$1:$A$681,0),8)</f>
        <v>שירותים ממלכתיים</v>
      </c>
      <c r="N1201" s="18" t="str">
        <f t="shared" si="148"/>
        <v>81</v>
      </c>
      <c r="O1201" s="18" t="str">
        <f>INDEX(Chapter,MATCH(N1201,Chapter!$A$1:$A$681,0),8)</f>
        <v>חינוך</v>
      </c>
      <c r="P1201" s="18" t="str">
        <f t="shared" si="149"/>
        <v>818</v>
      </c>
      <c r="Q1201" s="18" t="str">
        <f>INDEX(Chapter,MATCH(P1201,Chapter!$A$1:$A$681,0),8)</f>
        <v>חינוך מבוגרים</v>
      </c>
      <c r="R1201" s="18" t="str">
        <f t="shared" si="150"/>
        <v>8186</v>
      </c>
      <c r="S1201" s="18" t="e">
        <f>INDEX(Chapter,MATCH(R1201,Chapter!$A$1:$A$681,0),8)</f>
        <v>#N/A</v>
      </c>
      <c r="T1201" s="18"/>
      <c r="U1201" s="18" t="str">
        <f t="shared" si="151"/>
        <v>1</v>
      </c>
      <c r="V1201" s="18" t="str">
        <f>IF($L1201&lt;"6",INDEX(Revenue_type,MATCH(U1201*1,type!$A$118:$A$168,0),8),INDEX(Expenditure_type,MATCH(U1201*1,type!$A$2:$A$117,0),8))</f>
        <v>משכורות וש"ע לעובדים לפי תקן</v>
      </c>
      <c r="W1201" s="18" t="str">
        <f t="shared" si="152"/>
        <v>10</v>
      </c>
      <c r="X1201" s="18" t="e">
        <f>IF($L1201&lt;"6",INDEX(Revenue_type,MATCH(W1201*1,type!$A$118:$A$168,0),8),INDEX(Expenditure_type,MATCH(W1201*1,type!$A$2:$A$117,0),8))</f>
        <v>#N/A</v>
      </c>
      <c r="Y1201" s="18" t="str">
        <f t="shared" si="153"/>
        <v>100</v>
      </c>
      <c r="Z1201" s="18" t="e">
        <f>IF($L1201&lt;"6",INDEX(Revenue_type,MATCH(Y1201*1,type!$A$118:$A$168,0),8),INDEX(Expenditure_type,MATCH(Y1201*1,type!$A$2:$A$117,0),8))</f>
        <v>#N/A</v>
      </c>
    </row>
    <row r="1202" spans="1:26" ht="15.75" hidden="1" customHeight="1" outlineLevel="2">
      <c r="A1202">
        <v>400</v>
      </c>
      <c r="B1202" s="249">
        <v>818600</v>
      </c>
      <c r="C1202">
        <v>1</v>
      </c>
      <c r="D1202" t="str">
        <f t="shared" si="146"/>
        <v>1818600.400</v>
      </c>
      <c r="E1202" s="391" t="s">
        <v>8864</v>
      </c>
      <c r="F1202" s="242"/>
      <c r="G1202"/>
      <c r="H1202" s="322">
        <v>71700</v>
      </c>
      <c r="I1202" s="322">
        <v>75000</v>
      </c>
      <c r="J1202" s="242">
        <v>89200</v>
      </c>
      <c r="K1202" s="18"/>
      <c r="L1202" s="18" t="str">
        <f t="shared" si="147"/>
        <v>8</v>
      </c>
      <c r="M1202" s="18" t="str">
        <f>INDEX(Chapter,MATCH(L1202,Chapter!$A$1:$A$681,0),8)</f>
        <v>שירותים ממלכתיים</v>
      </c>
      <c r="N1202" s="18" t="str">
        <f t="shared" si="148"/>
        <v>81</v>
      </c>
      <c r="O1202" s="18" t="str">
        <f>INDEX(Chapter,MATCH(N1202,Chapter!$A$1:$A$681,0),8)</f>
        <v>חינוך</v>
      </c>
      <c r="P1202" s="18" t="str">
        <f t="shared" si="149"/>
        <v>818</v>
      </c>
      <c r="Q1202" s="18" t="str">
        <f>INDEX(Chapter,MATCH(P1202,Chapter!$A$1:$A$681,0),8)</f>
        <v>חינוך מבוגרים</v>
      </c>
      <c r="R1202" s="18" t="str">
        <f t="shared" si="150"/>
        <v>8186</v>
      </c>
      <c r="S1202" s="18" t="e">
        <f>INDEX(Chapter,MATCH(R1202,Chapter!$A$1:$A$681,0),8)</f>
        <v>#N/A</v>
      </c>
      <c r="T1202" s="18"/>
      <c r="U1202" s="18" t="str">
        <f t="shared" si="151"/>
        <v>4</v>
      </c>
      <c r="V1202" s="18" t="str">
        <f>IF($L1202&lt;"6",INDEX(Revenue_type,MATCH(U1202*1,type!$A$118:$A$168,0),8),INDEX(Expenditure_type,MATCH(U1202*1,type!$A$2:$A$117,0),8))</f>
        <v>אחזקת בינים ואספקת ציוד</v>
      </c>
      <c r="W1202" s="18" t="str">
        <f t="shared" si="152"/>
        <v>40</v>
      </c>
      <c r="X1202" s="18" t="e">
        <f>IF($L1202&lt;"6",INDEX(Revenue_type,MATCH(W1202*1,type!$A$118:$A$168,0),8),INDEX(Expenditure_type,MATCH(W1202*1,type!$A$2:$A$117,0),8))</f>
        <v>#N/A</v>
      </c>
      <c r="Y1202" s="18" t="str">
        <f t="shared" si="153"/>
        <v>400</v>
      </c>
      <c r="Z1202" s="18" t="e">
        <f>IF($L1202&lt;"6",INDEX(Revenue_type,MATCH(Y1202*1,type!$A$118:$A$168,0),8),INDEX(Expenditure_type,MATCH(Y1202*1,type!$A$2:$A$117,0),8))</f>
        <v>#N/A</v>
      </c>
    </row>
    <row r="1203" spans="1:26" ht="15.75" hidden="1" customHeight="1" outlineLevel="2">
      <c r="A1203">
        <v>700</v>
      </c>
      <c r="B1203" s="249">
        <v>818600</v>
      </c>
      <c r="C1203">
        <v>1</v>
      </c>
      <c r="D1203" t="str">
        <f t="shared" si="146"/>
        <v>1818600.700</v>
      </c>
      <c r="E1203" s="388" t="s">
        <v>8865</v>
      </c>
      <c r="F1203" s="242"/>
      <c r="G1203"/>
      <c r="H1203" s="322">
        <v>41000</v>
      </c>
      <c r="I1203" s="322">
        <v>41000</v>
      </c>
      <c r="J1203" s="242">
        <v>41000</v>
      </c>
      <c r="K1203" s="18"/>
      <c r="L1203" s="18" t="str">
        <f t="shared" si="147"/>
        <v>8</v>
      </c>
      <c r="M1203" s="18" t="str">
        <f>INDEX(Chapter,MATCH(L1203,Chapter!$A$1:$A$681,0),8)</f>
        <v>שירותים ממלכתיים</v>
      </c>
      <c r="N1203" s="18" t="str">
        <f t="shared" si="148"/>
        <v>81</v>
      </c>
      <c r="O1203" s="18" t="str">
        <f>INDEX(Chapter,MATCH(N1203,Chapter!$A$1:$A$681,0),8)</f>
        <v>חינוך</v>
      </c>
      <c r="P1203" s="18" t="str">
        <f t="shared" si="149"/>
        <v>818</v>
      </c>
      <c r="Q1203" s="18" t="str">
        <f>INDEX(Chapter,MATCH(P1203,Chapter!$A$1:$A$681,0),8)</f>
        <v>חינוך מבוגרים</v>
      </c>
      <c r="R1203" s="18" t="str">
        <f t="shared" si="150"/>
        <v>8186</v>
      </c>
      <c r="S1203" s="18" t="e">
        <f>INDEX(Chapter,MATCH(R1203,Chapter!$A$1:$A$681,0),8)</f>
        <v>#N/A</v>
      </c>
      <c r="T1203" s="18"/>
      <c r="U1203" s="18" t="str">
        <f t="shared" si="151"/>
        <v>7</v>
      </c>
      <c r="V1203" s="18" t="str">
        <f>IF($L1203&lt;"6",INDEX(Revenue_type,MATCH(U1203*1,type!$A$118:$A$168,0),8),INDEX(Expenditure_type,MATCH(U1203*1,type!$A$2:$A$117,0),8))</f>
        <v>הוצאות לפעולות</v>
      </c>
      <c r="W1203" s="18" t="str">
        <f t="shared" si="152"/>
        <v>70</v>
      </c>
      <c r="X1203" s="18" t="e">
        <f>IF($L1203&lt;"6",INDEX(Revenue_type,MATCH(W1203*1,type!$A$118:$A$168,0),8),INDEX(Expenditure_type,MATCH(W1203*1,type!$A$2:$A$117,0),8))</f>
        <v>#N/A</v>
      </c>
      <c r="Y1203" s="18" t="str">
        <f t="shared" si="153"/>
        <v>700</v>
      </c>
      <c r="Z1203" s="18" t="e">
        <f>IF($L1203&lt;"6",INDEX(Revenue_type,MATCH(Y1203*1,type!$A$118:$A$168,0),8),INDEX(Expenditure_type,MATCH(Y1203*1,type!$A$2:$A$117,0),8))</f>
        <v>#N/A</v>
      </c>
    </row>
    <row r="1204" spans="1:26" ht="15.75" hidden="1" customHeight="1" outlineLevel="2">
      <c r="A1204">
        <v>700</v>
      </c>
      <c r="B1204" s="249">
        <v>815610</v>
      </c>
      <c r="C1204">
        <v>1</v>
      </c>
      <c r="D1204" t="str">
        <f t="shared" si="146"/>
        <v>1815610.700</v>
      </c>
      <c r="E1204" s="391" t="s">
        <v>8866</v>
      </c>
      <c r="F1204" s="242"/>
      <c r="G1204"/>
      <c r="H1204" s="322">
        <v>1045000</v>
      </c>
      <c r="I1204" s="322">
        <v>1045000</v>
      </c>
      <c r="J1204" s="242">
        <v>1045000</v>
      </c>
      <c r="K1204" s="18"/>
      <c r="L1204" s="18" t="str">
        <f t="shared" si="147"/>
        <v>8</v>
      </c>
      <c r="M1204" s="18" t="str">
        <f>INDEX(Chapter,MATCH(L1204,Chapter!$A$1:$A$681,0),8)</f>
        <v>שירותים ממלכתיים</v>
      </c>
      <c r="N1204" s="18" t="str">
        <f t="shared" si="148"/>
        <v>81</v>
      </c>
      <c r="O1204" s="18" t="str">
        <f>INDEX(Chapter,MATCH(N1204,Chapter!$A$1:$A$681,0),8)</f>
        <v>חינוך</v>
      </c>
      <c r="P1204" s="18" t="str">
        <f t="shared" si="149"/>
        <v>815</v>
      </c>
      <c r="Q1204" s="18" t="str">
        <f>INDEX(Chapter,MATCH(P1204,Chapter!$A$1:$A$681,0),8)</f>
        <v>חינוך על יסודי</v>
      </c>
      <c r="R1204" s="18" t="str">
        <f t="shared" si="150"/>
        <v>8156</v>
      </c>
      <c r="S1204" s="18" t="str">
        <f>INDEX(Chapter,MATCH(R1204,Chapter!$A$1:$A$681,0),8)</f>
        <v>בתי״ס על יסודיים חקלאיים</v>
      </c>
      <c r="T1204" s="18"/>
      <c r="U1204" s="18" t="str">
        <f t="shared" si="151"/>
        <v>7</v>
      </c>
      <c r="V1204" s="18" t="str">
        <f>IF($L1204&lt;"6",INDEX(Revenue_type,MATCH(U1204*1,type!$A$118:$A$168,0),8),INDEX(Expenditure_type,MATCH(U1204*1,type!$A$2:$A$117,0),8))</f>
        <v>הוצאות לפעולות</v>
      </c>
      <c r="W1204" s="18" t="str">
        <f t="shared" si="152"/>
        <v>70</v>
      </c>
      <c r="X1204" s="18" t="e">
        <f>IF($L1204&lt;"6",INDEX(Revenue_type,MATCH(W1204*1,type!$A$118:$A$168,0),8),INDEX(Expenditure_type,MATCH(W1204*1,type!$A$2:$A$117,0),8))</f>
        <v>#N/A</v>
      </c>
      <c r="Y1204" s="18" t="str">
        <f t="shared" si="153"/>
        <v>700</v>
      </c>
      <c r="Z1204" s="18" t="e">
        <f>IF($L1204&lt;"6",INDEX(Revenue_type,MATCH(Y1204*1,type!$A$118:$A$168,0),8),INDEX(Expenditure_type,MATCH(Y1204*1,type!$A$2:$A$117,0),8))</f>
        <v>#N/A</v>
      </c>
    </row>
    <row r="1205" spans="1:26" ht="15.75" hidden="1" customHeight="1" outlineLevel="2">
      <c r="A1205">
        <v>800</v>
      </c>
      <c r="B1205" s="249">
        <v>815610</v>
      </c>
      <c r="C1205">
        <v>1</v>
      </c>
      <c r="D1205" t="str">
        <f t="shared" si="146"/>
        <v>1815610.800</v>
      </c>
      <c r="E1205" s="391" t="s">
        <v>8867</v>
      </c>
      <c r="F1205" s="242"/>
      <c r="G1205"/>
      <c r="H1205" s="322">
        <v>713300</v>
      </c>
      <c r="I1205" s="322">
        <v>765000</v>
      </c>
      <c r="J1205" s="242">
        <v>762900</v>
      </c>
      <c r="K1205" s="18"/>
      <c r="L1205" s="18" t="str">
        <f t="shared" si="147"/>
        <v>8</v>
      </c>
      <c r="M1205" s="18" t="str">
        <f>INDEX(Chapter,MATCH(L1205,Chapter!$A$1:$A$681,0),8)</f>
        <v>שירותים ממלכתיים</v>
      </c>
      <c r="N1205" s="18" t="str">
        <f t="shared" si="148"/>
        <v>81</v>
      </c>
      <c r="O1205" s="18" t="str">
        <f>INDEX(Chapter,MATCH(N1205,Chapter!$A$1:$A$681,0),8)</f>
        <v>חינוך</v>
      </c>
      <c r="P1205" s="18" t="str">
        <f t="shared" si="149"/>
        <v>815</v>
      </c>
      <c r="Q1205" s="18" t="str">
        <f>INDEX(Chapter,MATCH(P1205,Chapter!$A$1:$A$681,0),8)</f>
        <v>חינוך על יסודי</v>
      </c>
      <c r="R1205" s="18" t="str">
        <f t="shared" si="150"/>
        <v>8156</v>
      </c>
      <c r="S1205" s="18" t="str">
        <f>INDEX(Chapter,MATCH(R1205,Chapter!$A$1:$A$681,0),8)</f>
        <v>בתי״ס על יסודיים חקלאיים</v>
      </c>
      <c r="T1205" s="18"/>
      <c r="U1205" s="18" t="str">
        <f t="shared" si="151"/>
        <v>8</v>
      </c>
      <c r="V1205" s="18" t="str">
        <f>IF($L1205&lt;"6",INDEX(Revenue_type,MATCH(U1205*1,type!$A$118:$A$168,0),8),INDEX(Expenditure_type,MATCH(U1205*1,type!$A$2:$A$117,0),8))</f>
        <v>השתתפויות תמיכות ותרומות</v>
      </c>
      <c r="W1205" s="18" t="str">
        <f t="shared" si="152"/>
        <v>80</v>
      </c>
      <c r="X1205" s="18" t="e">
        <f>IF($L1205&lt;"6",INDEX(Revenue_type,MATCH(W1205*1,type!$A$118:$A$168,0),8),INDEX(Expenditure_type,MATCH(W1205*1,type!$A$2:$A$117,0),8))</f>
        <v>#N/A</v>
      </c>
      <c r="Y1205" s="18" t="str">
        <f t="shared" si="153"/>
        <v>800</v>
      </c>
      <c r="Z1205" s="18" t="e">
        <f>IF($L1205&lt;"6",INDEX(Revenue_type,MATCH(Y1205*1,type!$A$118:$A$168,0),8),INDEX(Expenditure_type,MATCH(Y1205*1,type!$A$2:$A$117,0),8))</f>
        <v>#N/A</v>
      </c>
    </row>
    <row r="1206" spans="1:26" ht="15.75" hidden="1" customHeight="1" outlineLevel="2">
      <c r="A1206">
        <v>800</v>
      </c>
      <c r="B1206" s="249">
        <v>817650</v>
      </c>
      <c r="C1206">
        <v>1</v>
      </c>
      <c r="D1206" t="str">
        <f t="shared" si="146"/>
        <v>1817650.800</v>
      </c>
      <c r="E1206" s="391" t="s">
        <v>8868</v>
      </c>
      <c r="F1206" s="242"/>
      <c r="G1206"/>
      <c r="H1206" s="322">
        <v>2914300</v>
      </c>
      <c r="I1206" s="322">
        <v>3000000</v>
      </c>
      <c r="J1206" s="242">
        <v>1303000</v>
      </c>
      <c r="K1206" s="18"/>
      <c r="L1206" s="18" t="str">
        <f t="shared" si="147"/>
        <v>8</v>
      </c>
      <c r="M1206" s="18" t="str">
        <f>INDEX(Chapter,MATCH(L1206,Chapter!$A$1:$A$681,0),8)</f>
        <v>שירותים ממלכתיים</v>
      </c>
      <c r="N1206" s="18" t="str">
        <f t="shared" si="148"/>
        <v>81</v>
      </c>
      <c r="O1206" s="18" t="str">
        <f>INDEX(Chapter,MATCH(N1206,Chapter!$A$1:$A$681,0),8)</f>
        <v>חינוך</v>
      </c>
      <c r="P1206" s="18" t="str">
        <f t="shared" si="149"/>
        <v>817</v>
      </c>
      <c r="Q1206" s="18" t="str">
        <f>INDEX(Chapter,MATCH(P1206,Chapter!$A$1:$A$681,0),8)</f>
        <v>שירותים נוספים לבתי״ס וגנ״י</v>
      </c>
      <c r="R1206" s="18" t="str">
        <f t="shared" si="150"/>
        <v>8176</v>
      </c>
      <c r="S1206" s="18" t="str">
        <f>INDEX(Chapter,MATCH(R1206,Chapter!$A$1:$A$681,0),8)</f>
        <v>רווחה חינוכית</v>
      </c>
      <c r="T1206" s="18"/>
      <c r="U1206" s="18" t="str">
        <f t="shared" si="151"/>
        <v>8</v>
      </c>
      <c r="V1206" s="18" t="str">
        <f>IF($L1206&lt;"6",INDEX(Revenue_type,MATCH(U1206*1,type!$A$118:$A$168,0),8),INDEX(Expenditure_type,MATCH(U1206*1,type!$A$2:$A$117,0),8))</f>
        <v>השתתפויות תמיכות ותרומות</v>
      </c>
      <c r="W1206" s="18" t="str">
        <f t="shared" si="152"/>
        <v>80</v>
      </c>
      <c r="X1206" s="18" t="e">
        <f>IF($L1206&lt;"6",INDEX(Revenue_type,MATCH(W1206*1,type!$A$118:$A$168,0),8),INDEX(Expenditure_type,MATCH(W1206*1,type!$A$2:$A$117,0),8))</f>
        <v>#N/A</v>
      </c>
      <c r="Y1206" s="18" t="str">
        <f t="shared" si="153"/>
        <v>800</v>
      </c>
      <c r="Z1206" s="18" t="e">
        <f>IF($L1206&lt;"6",INDEX(Revenue_type,MATCH(Y1206*1,type!$A$118:$A$168,0),8),INDEX(Expenditure_type,MATCH(Y1206*1,type!$A$2:$A$117,0),8))</f>
        <v>#N/A</v>
      </c>
    </row>
    <row r="1207" spans="1:26" ht="15.75" hidden="1" customHeight="1" outlineLevel="2">
      <c r="A1207">
        <v>700</v>
      </c>
      <c r="B1207" s="249">
        <v>815690</v>
      </c>
      <c r="C1207">
        <v>1</v>
      </c>
      <c r="D1207" t="str">
        <f t="shared" si="146"/>
        <v>1815690.700</v>
      </c>
      <c r="E1207" s="399" t="s">
        <v>8869</v>
      </c>
      <c r="F1207" s="242"/>
      <c r="G1207"/>
      <c r="H1207" s="322">
        <v>145700</v>
      </c>
      <c r="I1207" s="322">
        <v>150000</v>
      </c>
      <c r="J1207" s="242">
        <v>134200</v>
      </c>
      <c r="K1207" s="18"/>
      <c r="L1207" s="18" t="str">
        <f t="shared" si="147"/>
        <v>8</v>
      </c>
      <c r="M1207" s="18" t="str">
        <f>INDEX(Chapter,MATCH(L1207,Chapter!$A$1:$A$681,0),8)</f>
        <v>שירותים ממלכתיים</v>
      </c>
      <c r="N1207" s="18" t="str">
        <f t="shared" si="148"/>
        <v>81</v>
      </c>
      <c r="O1207" s="18" t="str">
        <f>INDEX(Chapter,MATCH(N1207,Chapter!$A$1:$A$681,0),8)</f>
        <v>חינוך</v>
      </c>
      <c r="P1207" s="18" t="str">
        <f t="shared" si="149"/>
        <v>815</v>
      </c>
      <c r="Q1207" s="18" t="str">
        <f>INDEX(Chapter,MATCH(P1207,Chapter!$A$1:$A$681,0),8)</f>
        <v>חינוך על יסודי</v>
      </c>
      <c r="R1207" s="18" t="str">
        <f t="shared" si="150"/>
        <v>8156</v>
      </c>
      <c r="S1207" s="18" t="str">
        <f>INDEX(Chapter,MATCH(R1207,Chapter!$A$1:$A$681,0),8)</f>
        <v>בתי״ס על יסודיים חקלאיים</v>
      </c>
      <c r="T1207" s="18"/>
      <c r="U1207" s="18" t="str">
        <f t="shared" si="151"/>
        <v>7</v>
      </c>
      <c r="V1207" s="18" t="str">
        <f>IF($L1207&lt;"6",INDEX(Revenue_type,MATCH(U1207*1,type!$A$118:$A$168,0),8),INDEX(Expenditure_type,MATCH(U1207*1,type!$A$2:$A$117,0),8))</f>
        <v>הוצאות לפעולות</v>
      </c>
      <c r="W1207" s="18" t="str">
        <f t="shared" si="152"/>
        <v>70</v>
      </c>
      <c r="X1207" s="18" t="e">
        <f>IF($L1207&lt;"6",INDEX(Revenue_type,MATCH(W1207*1,type!$A$118:$A$168,0),8),INDEX(Expenditure_type,MATCH(W1207*1,type!$A$2:$A$117,0),8))</f>
        <v>#N/A</v>
      </c>
      <c r="Y1207" s="18" t="str">
        <f t="shared" si="153"/>
        <v>700</v>
      </c>
      <c r="Z1207" s="18" t="e">
        <f>IF($L1207&lt;"6",INDEX(Revenue_type,MATCH(Y1207*1,type!$A$118:$A$168,0),8),INDEX(Expenditure_type,MATCH(Y1207*1,type!$A$2:$A$117,0),8))</f>
        <v>#N/A</v>
      </c>
    </row>
    <row r="1208" spans="1:26" ht="15.75" hidden="1" customHeight="1" outlineLevel="2">
      <c r="A1208">
        <v>400</v>
      </c>
      <c r="B1208" s="249">
        <v>815680</v>
      </c>
      <c r="C1208">
        <v>1</v>
      </c>
      <c r="D1208" t="str">
        <f t="shared" si="146"/>
        <v>1815680.400</v>
      </c>
      <c r="E1208" s="391" t="s">
        <v>8870</v>
      </c>
      <c r="F1208" s="242"/>
      <c r="G1208"/>
      <c r="H1208" s="322">
        <v>0</v>
      </c>
      <c r="I1208" s="322">
        <v>0</v>
      </c>
      <c r="J1208" s="242">
        <v>169300</v>
      </c>
      <c r="K1208" s="18"/>
      <c r="L1208" s="18" t="str">
        <f t="shared" si="147"/>
        <v>8</v>
      </c>
      <c r="M1208" s="18" t="str">
        <f>INDEX(Chapter,MATCH(L1208,Chapter!$A$1:$A$681,0),8)</f>
        <v>שירותים ממלכתיים</v>
      </c>
      <c r="N1208" s="18" t="str">
        <f t="shared" si="148"/>
        <v>81</v>
      </c>
      <c r="O1208" s="18" t="str">
        <f>INDEX(Chapter,MATCH(N1208,Chapter!$A$1:$A$681,0),8)</f>
        <v>חינוך</v>
      </c>
      <c r="P1208" s="18" t="str">
        <f t="shared" si="149"/>
        <v>815</v>
      </c>
      <c r="Q1208" s="18" t="str">
        <f>INDEX(Chapter,MATCH(P1208,Chapter!$A$1:$A$681,0),8)</f>
        <v>חינוך על יסודי</v>
      </c>
      <c r="R1208" s="18" t="str">
        <f t="shared" si="150"/>
        <v>8156</v>
      </c>
      <c r="S1208" s="18" t="str">
        <f>INDEX(Chapter,MATCH(R1208,Chapter!$A$1:$A$681,0),8)</f>
        <v>בתי״ס על יסודיים חקלאיים</v>
      </c>
      <c r="T1208" s="18"/>
      <c r="U1208" s="18" t="str">
        <f t="shared" si="151"/>
        <v>4</v>
      </c>
      <c r="V1208" s="18" t="str">
        <f>IF($L1208&lt;"6",INDEX(Revenue_type,MATCH(U1208*1,type!$A$118:$A$168,0),8),INDEX(Expenditure_type,MATCH(U1208*1,type!$A$2:$A$117,0),8))</f>
        <v>אחזקת בינים ואספקת ציוד</v>
      </c>
      <c r="W1208" s="18" t="str">
        <f t="shared" si="152"/>
        <v>40</v>
      </c>
      <c r="X1208" s="18" t="e">
        <f>IF($L1208&lt;"6",INDEX(Revenue_type,MATCH(W1208*1,type!$A$118:$A$168,0),8),INDEX(Expenditure_type,MATCH(W1208*1,type!$A$2:$A$117,0),8))</f>
        <v>#N/A</v>
      </c>
      <c r="Y1208" s="18" t="str">
        <f t="shared" si="153"/>
        <v>400</v>
      </c>
      <c r="Z1208" s="18" t="e">
        <f>IF($L1208&lt;"6",INDEX(Revenue_type,MATCH(Y1208*1,type!$A$118:$A$168,0),8),INDEX(Expenditure_type,MATCH(Y1208*1,type!$A$2:$A$117,0),8))</f>
        <v>#N/A</v>
      </c>
    </row>
    <row r="1209" spans="1:26" ht="15.75" hidden="1" customHeight="1" outlineLevel="2">
      <c r="A1209">
        <v>700</v>
      </c>
      <c r="B1209" s="249">
        <v>815680</v>
      </c>
      <c r="C1209">
        <v>1</v>
      </c>
      <c r="D1209" t="str">
        <f t="shared" si="146"/>
        <v>1815680.700</v>
      </c>
      <c r="E1209" s="391" t="s">
        <v>8871</v>
      </c>
      <c r="F1209" s="242"/>
      <c r="G1209"/>
      <c r="H1209" s="322">
        <v>317600</v>
      </c>
      <c r="I1209" s="322">
        <v>337700</v>
      </c>
      <c r="J1209" s="242">
        <v>198800</v>
      </c>
      <c r="K1209" s="18"/>
      <c r="L1209" s="18" t="str">
        <f t="shared" si="147"/>
        <v>8</v>
      </c>
      <c r="M1209" s="18" t="str">
        <f>INDEX(Chapter,MATCH(L1209,Chapter!$A$1:$A$681,0),8)</f>
        <v>שירותים ממלכתיים</v>
      </c>
      <c r="N1209" s="18" t="str">
        <f t="shared" si="148"/>
        <v>81</v>
      </c>
      <c r="O1209" s="18" t="str">
        <f>INDEX(Chapter,MATCH(N1209,Chapter!$A$1:$A$681,0),8)</f>
        <v>חינוך</v>
      </c>
      <c r="P1209" s="18" t="str">
        <f t="shared" si="149"/>
        <v>815</v>
      </c>
      <c r="Q1209" s="18" t="str">
        <f>INDEX(Chapter,MATCH(P1209,Chapter!$A$1:$A$681,0),8)</f>
        <v>חינוך על יסודי</v>
      </c>
      <c r="R1209" s="18" t="str">
        <f t="shared" si="150"/>
        <v>8156</v>
      </c>
      <c r="S1209" s="18" t="str">
        <f>INDEX(Chapter,MATCH(R1209,Chapter!$A$1:$A$681,0),8)</f>
        <v>בתי״ס על יסודיים חקלאיים</v>
      </c>
      <c r="T1209" s="18"/>
      <c r="U1209" s="18" t="str">
        <f t="shared" si="151"/>
        <v>7</v>
      </c>
      <c r="V1209" s="18" t="str">
        <f>IF($L1209&lt;"6",INDEX(Revenue_type,MATCH(U1209*1,type!$A$118:$A$168,0),8),INDEX(Expenditure_type,MATCH(U1209*1,type!$A$2:$A$117,0),8))</f>
        <v>הוצאות לפעולות</v>
      </c>
      <c r="W1209" s="18" t="str">
        <f t="shared" si="152"/>
        <v>70</v>
      </c>
      <c r="X1209" s="18" t="e">
        <f>IF($L1209&lt;"6",INDEX(Revenue_type,MATCH(W1209*1,type!$A$118:$A$168,0),8),INDEX(Expenditure_type,MATCH(W1209*1,type!$A$2:$A$117,0),8))</f>
        <v>#N/A</v>
      </c>
      <c r="Y1209" s="18" t="str">
        <f t="shared" si="153"/>
        <v>700</v>
      </c>
      <c r="Z1209" s="18" t="e">
        <f>IF($L1209&lt;"6",INDEX(Revenue_type,MATCH(Y1209*1,type!$A$118:$A$168,0),8),INDEX(Expenditure_type,MATCH(Y1209*1,type!$A$2:$A$117,0),8))</f>
        <v>#N/A</v>
      </c>
    </row>
    <row r="1210" spans="1:26" ht="15.75" hidden="1" customHeight="1" outlineLevel="2">
      <c r="A1210">
        <v>800</v>
      </c>
      <c r="B1210" s="249">
        <v>815680</v>
      </c>
      <c r="C1210">
        <v>1</v>
      </c>
      <c r="D1210" t="str">
        <f t="shared" si="146"/>
        <v>1815680.800</v>
      </c>
      <c r="E1210" s="391" t="s">
        <v>8872</v>
      </c>
      <c r="F1210" s="242"/>
      <c r="G1210"/>
      <c r="H1210" s="322">
        <v>1625300</v>
      </c>
      <c r="I1210" s="322">
        <v>1662300</v>
      </c>
      <c r="J1210" s="242">
        <v>1507300</v>
      </c>
      <c r="K1210" s="18"/>
      <c r="L1210" s="18" t="str">
        <f t="shared" si="147"/>
        <v>8</v>
      </c>
      <c r="M1210" s="18" t="str">
        <f>INDEX(Chapter,MATCH(L1210,Chapter!$A$1:$A$681,0),8)</f>
        <v>שירותים ממלכתיים</v>
      </c>
      <c r="N1210" s="18" t="str">
        <f t="shared" si="148"/>
        <v>81</v>
      </c>
      <c r="O1210" s="18" t="str">
        <f>INDEX(Chapter,MATCH(N1210,Chapter!$A$1:$A$681,0),8)</f>
        <v>חינוך</v>
      </c>
      <c r="P1210" s="18" t="str">
        <f t="shared" si="149"/>
        <v>815</v>
      </c>
      <c r="Q1210" s="18" t="str">
        <f>INDEX(Chapter,MATCH(P1210,Chapter!$A$1:$A$681,0),8)</f>
        <v>חינוך על יסודי</v>
      </c>
      <c r="R1210" s="18" t="str">
        <f t="shared" si="150"/>
        <v>8156</v>
      </c>
      <c r="S1210" s="18" t="str">
        <f>INDEX(Chapter,MATCH(R1210,Chapter!$A$1:$A$681,0),8)</f>
        <v>בתי״ס על יסודיים חקלאיים</v>
      </c>
      <c r="T1210" s="18"/>
      <c r="U1210" s="18" t="str">
        <f t="shared" si="151"/>
        <v>8</v>
      </c>
      <c r="V1210" s="18" t="str">
        <f>IF($L1210&lt;"6",INDEX(Revenue_type,MATCH(U1210*1,type!$A$118:$A$168,0),8),INDEX(Expenditure_type,MATCH(U1210*1,type!$A$2:$A$117,0),8))</f>
        <v>השתתפויות תמיכות ותרומות</v>
      </c>
      <c r="W1210" s="18" t="str">
        <f t="shared" si="152"/>
        <v>80</v>
      </c>
      <c r="X1210" s="18" t="e">
        <f>IF($L1210&lt;"6",INDEX(Revenue_type,MATCH(W1210*1,type!$A$118:$A$168,0),8),INDEX(Expenditure_type,MATCH(W1210*1,type!$A$2:$A$117,0),8))</f>
        <v>#N/A</v>
      </c>
      <c r="Y1210" s="18" t="str">
        <f t="shared" si="153"/>
        <v>800</v>
      </c>
      <c r="Z1210" s="18" t="e">
        <f>IF($L1210&lt;"6",INDEX(Revenue_type,MATCH(Y1210*1,type!$A$118:$A$168,0),8),INDEX(Expenditure_type,MATCH(Y1210*1,type!$A$2:$A$117,0),8))</f>
        <v>#N/A</v>
      </c>
    </row>
    <row r="1211" spans="1:26" ht="15.75" hidden="1" customHeight="1" outlineLevel="2">
      <c r="A1211">
        <v>800</v>
      </c>
      <c r="B1211" s="249">
        <v>826500</v>
      </c>
      <c r="C1211">
        <v>1</v>
      </c>
      <c r="D1211" t="str">
        <f t="shared" si="146"/>
        <v>1826500.800</v>
      </c>
      <c r="E1211" s="391" t="s">
        <v>8873</v>
      </c>
      <c r="F1211" s="242"/>
      <c r="G1211"/>
      <c r="H1211" s="322">
        <v>1000100</v>
      </c>
      <c r="I1211" s="322">
        <v>1030000</v>
      </c>
      <c r="J1211" s="242">
        <v>1030000</v>
      </c>
      <c r="K1211" s="18"/>
      <c r="L1211" s="18" t="str">
        <f t="shared" si="147"/>
        <v>8</v>
      </c>
      <c r="M1211" s="18" t="str">
        <f>INDEX(Chapter,MATCH(L1211,Chapter!$A$1:$A$681,0),8)</f>
        <v>שירותים ממלכתיים</v>
      </c>
      <c r="N1211" s="18" t="str">
        <f t="shared" si="148"/>
        <v>82</v>
      </c>
      <c r="O1211" s="18" t="str">
        <f>INDEX(Chapter,MATCH(N1211,Chapter!$A$1:$A$681,0),8)</f>
        <v>תרבות</v>
      </c>
      <c r="P1211" s="18" t="str">
        <f t="shared" si="149"/>
        <v>826</v>
      </c>
      <c r="Q1211" s="18" t="str">
        <f>INDEX(Chapter,MATCH(P1211,Chapter!$A$1:$A$681,0),8)</f>
        <v>מוקדי תרבות</v>
      </c>
      <c r="R1211" s="18" t="str">
        <f t="shared" si="150"/>
        <v>8265</v>
      </c>
      <c r="S1211" s="18" t="e">
        <f>INDEX(Chapter,MATCH(R1211,Chapter!$A$1:$A$681,0),8)</f>
        <v>#N/A</v>
      </c>
      <c r="T1211" s="18"/>
      <c r="U1211" s="18" t="str">
        <f t="shared" si="151"/>
        <v>8</v>
      </c>
      <c r="V1211" s="18" t="str">
        <f>IF($L1211&lt;"6",INDEX(Revenue_type,MATCH(U1211*1,type!$A$118:$A$168,0),8),INDEX(Expenditure_type,MATCH(U1211*1,type!$A$2:$A$117,0),8))</f>
        <v>השתתפויות תמיכות ותרומות</v>
      </c>
      <c r="W1211" s="18" t="str">
        <f t="shared" si="152"/>
        <v>80</v>
      </c>
      <c r="X1211" s="18" t="e">
        <f>IF($L1211&lt;"6",INDEX(Revenue_type,MATCH(W1211*1,type!$A$118:$A$168,0),8),INDEX(Expenditure_type,MATCH(W1211*1,type!$A$2:$A$117,0),8))</f>
        <v>#N/A</v>
      </c>
      <c r="Y1211" s="18" t="str">
        <f t="shared" si="153"/>
        <v>800</v>
      </c>
      <c r="Z1211" s="18" t="e">
        <f>IF($L1211&lt;"6",INDEX(Revenue_type,MATCH(Y1211*1,type!$A$118:$A$168,0),8),INDEX(Expenditure_type,MATCH(Y1211*1,type!$A$2:$A$117,0),8))</f>
        <v>#N/A</v>
      </c>
    </row>
    <row r="1212" spans="1:26" ht="15.75" hidden="1" customHeight="1" outlineLevel="2">
      <c r="A1212">
        <v>800</v>
      </c>
      <c r="B1212" s="249">
        <v>826100</v>
      </c>
      <c r="C1212">
        <v>1</v>
      </c>
      <c r="D1212" t="str">
        <f t="shared" si="146"/>
        <v>1826100.800</v>
      </c>
      <c r="E1212" s="382" t="s">
        <v>8874</v>
      </c>
      <c r="F1212" s="242"/>
      <c r="G1212"/>
      <c r="H1212" s="322">
        <v>10248700</v>
      </c>
      <c r="I1212" s="322">
        <v>10550000</v>
      </c>
      <c r="J1212" s="242">
        <v>9763500</v>
      </c>
      <c r="K1212" s="18"/>
      <c r="L1212" s="18" t="str">
        <f t="shared" si="147"/>
        <v>8</v>
      </c>
      <c r="M1212" s="18" t="str">
        <f>INDEX(Chapter,MATCH(L1212,Chapter!$A$1:$A$681,0),8)</f>
        <v>שירותים ממלכתיים</v>
      </c>
      <c r="N1212" s="18" t="str">
        <f t="shared" si="148"/>
        <v>82</v>
      </c>
      <c r="O1212" s="18" t="str">
        <f>INDEX(Chapter,MATCH(N1212,Chapter!$A$1:$A$681,0),8)</f>
        <v>תרבות</v>
      </c>
      <c r="P1212" s="18" t="str">
        <f t="shared" si="149"/>
        <v>826</v>
      </c>
      <c r="Q1212" s="18" t="str">
        <f>INDEX(Chapter,MATCH(P1212,Chapter!$A$1:$A$681,0),8)</f>
        <v>מוקדי תרבות</v>
      </c>
      <c r="R1212" s="18" t="str">
        <f t="shared" si="150"/>
        <v>8261</v>
      </c>
      <c r="S1212" s="18" t="str">
        <f>INDEX(Chapter,MATCH(R1212,Chapter!$A$1:$A$681,0),8)</f>
        <v>תיאטרונים</v>
      </c>
      <c r="T1212" s="18"/>
      <c r="U1212" s="18" t="str">
        <f t="shared" si="151"/>
        <v>8</v>
      </c>
      <c r="V1212" s="18" t="str">
        <f>IF($L1212&lt;"6",INDEX(Revenue_type,MATCH(U1212*1,type!$A$118:$A$168,0),8),INDEX(Expenditure_type,MATCH(U1212*1,type!$A$2:$A$117,0),8))</f>
        <v>השתתפויות תמיכות ותרומות</v>
      </c>
      <c r="W1212" s="18" t="str">
        <f t="shared" si="152"/>
        <v>80</v>
      </c>
      <c r="X1212" s="18" t="e">
        <f>IF($L1212&lt;"6",INDEX(Revenue_type,MATCH(W1212*1,type!$A$118:$A$168,0),8),INDEX(Expenditure_type,MATCH(W1212*1,type!$A$2:$A$117,0),8))</f>
        <v>#N/A</v>
      </c>
      <c r="Y1212" s="18" t="str">
        <f t="shared" si="153"/>
        <v>800</v>
      </c>
      <c r="Z1212" s="18" t="e">
        <f>IF($L1212&lt;"6",INDEX(Revenue_type,MATCH(Y1212*1,type!$A$118:$A$168,0),8),INDEX(Expenditure_type,MATCH(Y1212*1,type!$A$2:$A$117,0),8))</f>
        <v>#N/A</v>
      </c>
    </row>
    <row r="1213" spans="1:26" ht="15.75" hidden="1" customHeight="1" outlineLevel="2">
      <c r="A1213">
        <v>700</v>
      </c>
      <c r="B1213" s="249">
        <v>826100</v>
      </c>
      <c r="C1213">
        <v>1</v>
      </c>
      <c r="D1213" t="str">
        <f t="shared" si="146"/>
        <v>1826100.700</v>
      </c>
      <c r="E1213" s="382" t="s">
        <v>8875</v>
      </c>
      <c r="F1213" s="242"/>
      <c r="G1213"/>
      <c r="H1213" s="322">
        <v>777200</v>
      </c>
      <c r="I1213" s="322">
        <v>800000</v>
      </c>
      <c r="J1213" s="242">
        <v>800000</v>
      </c>
      <c r="K1213" s="18"/>
      <c r="L1213" s="18" t="str">
        <f t="shared" si="147"/>
        <v>8</v>
      </c>
      <c r="M1213" s="18" t="str">
        <f>INDEX(Chapter,MATCH(L1213,Chapter!$A$1:$A$681,0),8)</f>
        <v>שירותים ממלכתיים</v>
      </c>
      <c r="N1213" s="18" t="str">
        <f t="shared" si="148"/>
        <v>82</v>
      </c>
      <c r="O1213" s="18" t="str">
        <f>INDEX(Chapter,MATCH(N1213,Chapter!$A$1:$A$681,0),8)</f>
        <v>תרבות</v>
      </c>
      <c r="P1213" s="18" t="str">
        <f t="shared" si="149"/>
        <v>826</v>
      </c>
      <c r="Q1213" s="18" t="str">
        <f>INDEX(Chapter,MATCH(P1213,Chapter!$A$1:$A$681,0),8)</f>
        <v>מוקדי תרבות</v>
      </c>
      <c r="R1213" s="18" t="str">
        <f t="shared" si="150"/>
        <v>8261</v>
      </c>
      <c r="S1213" s="18" t="str">
        <f>INDEX(Chapter,MATCH(R1213,Chapter!$A$1:$A$681,0),8)</f>
        <v>תיאטרונים</v>
      </c>
      <c r="T1213" s="18"/>
      <c r="U1213" s="18" t="str">
        <f t="shared" si="151"/>
        <v>7</v>
      </c>
      <c r="V1213" s="18" t="str">
        <f>IF($L1213&lt;"6",INDEX(Revenue_type,MATCH(U1213*1,type!$A$118:$A$168,0),8),INDEX(Expenditure_type,MATCH(U1213*1,type!$A$2:$A$117,0),8))</f>
        <v>הוצאות לפעולות</v>
      </c>
      <c r="W1213" s="18" t="str">
        <f t="shared" si="152"/>
        <v>70</v>
      </c>
      <c r="X1213" s="18" t="e">
        <f>IF($L1213&lt;"6",INDEX(Revenue_type,MATCH(W1213*1,type!$A$118:$A$168,0),8),INDEX(Expenditure_type,MATCH(W1213*1,type!$A$2:$A$117,0),8))</f>
        <v>#N/A</v>
      </c>
      <c r="Y1213" s="18" t="str">
        <f t="shared" si="153"/>
        <v>700</v>
      </c>
      <c r="Z1213" s="18" t="e">
        <f>IF($L1213&lt;"6",INDEX(Revenue_type,MATCH(Y1213*1,type!$A$118:$A$168,0),8),INDEX(Expenditure_type,MATCH(Y1213*1,type!$A$2:$A$117,0),8))</f>
        <v>#N/A</v>
      </c>
    </row>
    <row r="1214" spans="1:26" ht="15.75" hidden="1" customHeight="1" outlineLevel="2">
      <c r="A1214">
        <v>800</v>
      </c>
      <c r="B1214" s="249">
        <v>828300</v>
      </c>
      <c r="C1214">
        <v>1</v>
      </c>
      <c r="D1214" t="str">
        <f t="shared" si="146"/>
        <v>1828300.800</v>
      </c>
      <c r="E1214" s="382" t="s">
        <v>8876</v>
      </c>
      <c r="F1214" s="242"/>
      <c r="G1214"/>
      <c r="H1214" s="322">
        <v>418200</v>
      </c>
      <c r="I1214" s="322">
        <v>430500</v>
      </c>
      <c r="J1214" s="242">
        <v>389100</v>
      </c>
      <c r="K1214" s="18"/>
      <c r="L1214" s="18" t="str">
        <f t="shared" si="147"/>
        <v>8</v>
      </c>
      <c r="M1214" s="18" t="str">
        <f>INDEX(Chapter,MATCH(L1214,Chapter!$A$1:$A$681,0),8)</f>
        <v>שירותים ממלכתיים</v>
      </c>
      <c r="N1214" s="18" t="str">
        <f t="shared" si="148"/>
        <v>82</v>
      </c>
      <c r="O1214" s="18" t="str">
        <f>INDEX(Chapter,MATCH(N1214,Chapter!$A$1:$A$681,0),8)</f>
        <v>תרבות</v>
      </c>
      <c r="P1214" s="18" t="str">
        <f t="shared" si="149"/>
        <v>828</v>
      </c>
      <c r="Q1214" s="18" t="str">
        <f>INDEX(Chapter,MATCH(P1214,Chapter!$A$1:$A$681,0),8)</f>
        <v>נוער</v>
      </c>
      <c r="R1214" s="18" t="str">
        <f t="shared" si="150"/>
        <v>8283</v>
      </c>
      <c r="S1214" s="18" t="str">
        <f>INDEX(Chapter,MATCH(R1214,Chapter!$A$1:$A$681,0),8)</f>
        <v>חוגי נוער</v>
      </c>
      <c r="T1214" s="18"/>
      <c r="U1214" s="18" t="str">
        <f t="shared" si="151"/>
        <v>8</v>
      </c>
      <c r="V1214" s="18" t="str">
        <f>IF($L1214&lt;"6",INDEX(Revenue_type,MATCH(U1214*1,type!$A$118:$A$168,0),8),INDEX(Expenditure_type,MATCH(U1214*1,type!$A$2:$A$117,0),8))</f>
        <v>השתתפויות תמיכות ותרומות</v>
      </c>
      <c r="W1214" s="18" t="str">
        <f t="shared" si="152"/>
        <v>80</v>
      </c>
      <c r="X1214" s="18" t="e">
        <f>IF($L1214&lt;"6",INDEX(Revenue_type,MATCH(W1214*1,type!$A$118:$A$168,0),8),INDEX(Expenditure_type,MATCH(W1214*1,type!$A$2:$A$117,0),8))</f>
        <v>#N/A</v>
      </c>
      <c r="Y1214" s="18" t="str">
        <f t="shared" si="153"/>
        <v>800</v>
      </c>
      <c r="Z1214" s="18" t="e">
        <f>IF($L1214&lt;"6",INDEX(Revenue_type,MATCH(Y1214*1,type!$A$118:$A$168,0),8),INDEX(Expenditure_type,MATCH(Y1214*1,type!$A$2:$A$117,0),8))</f>
        <v>#N/A</v>
      </c>
    </row>
    <row r="1215" spans="1:26" ht="15.75" hidden="1" customHeight="1" outlineLevel="2">
      <c r="A1215">
        <v>800</v>
      </c>
      <c r="B1215" s="249">
        <v>824600</v>
      </c>
      <c r="C1215">
        <v>1</v>
      </c>
      <c r="D1215" t="str">
        <f t="shared" si="146"/>
        <v>1824600.800</v>
      </c>
      <c r="E1215" s="382" t="s">
        <v>8877</v>
      </c>
      <c r="F1215" s="242"/>
      <c r="G1215"/>
      <c r="H1215" s="322">
        <v>12822100</v>
      </c>
      <c r="I1215" s="322">
        <v>13199000</v>
      </c>
      <c r="J1215" s="242">
        <v>12669000</v>
      </c>
      <c r="K1215" s="18"/>
      <c r="L1215" s="18" t="str">
        <f t="shared" si="147"/>
        <v>8</v>
      </c>
      <c r="M1215" s="18" t="str">
        <f>INDEX(Chapter,MATCH(L1215,Chapter!$A$1:$A$681,0),8)</f>
        <v>שירותים ממלכתיים</v>
      </c>
      <c r="N1215" s="18" t="str">
        <f t="shared" si="148"/>
        <v>82</v>
      </c>
      <c r="O1215" s="18" t="str">
        <f>INDEX(Chapter,MATCH(N1215,Chapter!$A$1:$A$681,0),8)</f>
        <v>תרבות</v>
      </c>
      <c r="P1215" s="18" t="str">
        <f t="shared" si="149"/>
        <v>824</v>
      </c>
      <c r="Q1215" s="18" t="str">
        <f>INDEX(Chapter,MATCH(P1215,Chapter!$A$1:$A$681,0),8)</f>
        <v>מתנ״סים</v>
      </c>
      <c r="R1215" s="18" t="str">
        <f t="shared" si="150"/>
        <v>8246</v>
      </c>
      <c r="S1215" s="18" t="e">
        <f>INDEX(Chapter,MATCH(R1215,Chapter!$A$1:$A$681,0),8)</f>
        <v>#N/A</v>
      </c>
      <c r="T1215" s="18"/>
      <c r="U1215" s="18" t="str">
        <f t="shared" si="151"/>
        <v>8</v>
      </c>
      <c r="V1215" s="18" t="str">
        <f>IF($L1215&lt;"6",INDEX(Revenue_type,MATCH(U1215*1,type!$A$118:$A$168,0),8),INDEX(Expenditure_type,MATCH(U1215*1,type!$A$2:$A$117,0),8))</f>
        <v>השתתפויות תמיכות ותרומות</v>
      </c>
      <c r="W1215" s="18" t="str">
        <f t="shared" si="152"/>
        <v>80</v>
      </c>
      <c r="X1215" s="18" t="e">
        <f>IF($L1215&lt;"6",INDEX(Revenue_type,MATCH(W1215*1,type!$A$118:$A$168,0),8),INDEX(Expenditure_type,MATCH(W1215*1,type!$A$2:$A$117,0),8))</f>
        <v>#N/A</v>
      </c>
      <c r="Y1215" s="18" t="str">
        <f t="shared" si="153"/>
        <v>800</v>
      </c>
      <c r="Z1215" s="18" t="e">
        <f>IF($L1215&lt;"6",INDEX(Revenue_type,MATCH(Y1215*1,type!$A$118:$A$168,0),8),INDEX(Expenditure_type,MATCH(Y1215*1,type!$A$2:$A$117,0),8))</f>
        <v>#N/A</v>
      </c>
    </row>
    <row r="1216" spans="1:26" ht="15.75" hidden="1" customHeight="1" outlineLevel="2">
      <c r="A1216">
        <v>900</v>
      </c>
      <c r="B1216" s="249">
        <v>824600</v>
      </c>
      <c r="C1216">
        <v>1</v>
      </c>
      <c r="D1216" t="str">
        <f t="shared" si="146"/>
        <v>1824600.900</v>
      </c>
      <c r="E1216" s="400" t="s">
        <v>8878</v>
      </c>
      <c r="F1216" s="242"/>
      <c r="G1216"/>
      <c r="H1216" s="322"/>
      <c r="I1216" s="322">
        <v>0</v>
      </c>
      <c r="J1216" s="242">
        <v>0</v>
      </c>
      <c r="K1216" s="18"/>
      <c r="L1216" s="18" t="str">
        <f t="shared" si="147"/>
        <v>8</v>
      </c>
      <c r="M1216" s="18" t="str">
        <f>INDEX(Chapter,MATCH(L1216,Chapter!$A$1:$A$681,0),8)</f>
        <v>שירותים ממלכתיים</v>
      </c>
      <c r="N1216" s="18" t="str">
        <f t="shared" si="148"/>
        <v>82</v>
      </c>
      <c r="O1216" s="18" t="str">
        <f>INDEX(Chapter,MATCH(N1216,Chapter!$A$1:$A$681,0),8)</f>
        <v>תרבות</v>
      </c>
      <c r="P1216" s="18" t="str">
        <f t="shared" si="149"/>
        <v>824</v>
      </c>
      <c r="Q1216" s="18" t="str">
        <f>INDEX(Chapter,MATCH(P1216,Chapter!$A$1:$A$681,0),8)</f>
        <v>מתנ״סים</v>
      </c>
      <c r="R1216" s="18" t="str">
        <f t="shared" si="150"/>
        <v>8246</v>
      </c>
      <c r="S1216" s="18" t="e">
        <f>INDEX(Chapter,MATCH(R1216,Chapter!$A$1:$A$681,0),8)</f>
        <v>#N/A</v>
      </c>
      <c r="T1216" s="18"/>
      <c r="U1216" s="18" t="str">
        <f t="shared" si="151"/>
        <v>9</v>
      </c>
      <c r="V1216" s="18" t="str">
        <f>IF($L1216&lt;"6",INDEX(Revenue_type,MATCH(U1216*1,type!$A$118:$A$168,0),8),INDEX(Expenditure_type,MATCH(U1216*1,type!$A$2:$A$117,0),8))</f>
        <v>הוצאות חד פעמיות</v>
      </c>
      <c r="W1216" s="18" t="str">
        <f t="shared" si="152"/>
        <v>90</v>
      </c>
      <c r="X1216" s="18" t="e">
        <f>IF($L1216&lt;"6",INDEX(Revenue_type,MATCH(W1216*1,type!$A$118:$A$168,0),8),INDEX(Expenditure_type,MATCH(W1216*1,type!$A$2:$A$117,0),8))</f>
        <v>#N/A</v>
      </c>
      <c r="Y1216" s="18" t="str">
        <f t="shared" si="153"/>
        <v>900</v>
      </c>
      <c r="Z1216" s="18" t="e">
        <f>IF($L1216&lt;"6",INDEX(Revenue_type,MATCH(Y1216*1,type!$A$118:$A$168,0),8),INDEX(Expenditure_type,MATCH(Y1216*1,type!$A$2:$A$117,0),8))</f>
        <v>#N/A</v>
      </c>
    </row>
    <row r="1217" spans="1:26" ht="15.75" hidden="1" customHeight="1" outlineLevel="2">
      <c r="A1217">
        <v>800</v>
      </c>
      <c r="B1217" s="249">
        <v>824609</v>
      </c>
      <c r="C1217">
        <v>1</v>
      </c>
      <c r="D1217" t="str">
        <f t="shared" si="146"/>
        <v>1824609.800</v>
      </c>
      <c r="E1217" s="391" t="s">
        <v>8879</v>
      </c>
      <c r="F1217" s="242"/>
      <c r="G1217"/>
      <c r="H1217" s="322">
        <v>1165700</v>
      </c>
      <c r="I1217" s="322">
        <v>1200000</v>
      </c>
      <c r="J1217" s="242">
        <v>1200000</v>
      </c>
      <c r="K1217" s="18"/>
      <c r="L1217" s="18" t="str">
        <f t="shared" si="147"/>
        <v>8</v>
      </c>
      <c r="M1217" s="18" t="str">
        <f>INDEX(Chapter,MATCH(L1217,Chapter!$A$1:$A$681,0),8)</f>
        <v>שירותים ממלכתיים</v>
      </c>
      <c r="N1217" s="18" t="str">
        <f t="shared" si="148"/>
        <v>82</v>
      </c>
      <c r="O1217" s="18" t="str">
        <f>INDEX(Chapter,MATCH(N1217,Chapter!$A$1:$A$681,0),8)</f>
        <v>תרבות</v>
      </c>
      <c r="P1217" s="18" t="str">
        <f t="shared" si="149"/>
        <v>824</v>
      </c>
      <c r="Q1217" s="18" t="str">
        <f>INDEX(Chapter,MATCH(P1217,Chapter!$A$1:$A$681,0),8)</f>
        <v>מתנ״סים</v>
      </c>
      <c r="R1217" s="18" t="str">
        <f t="shared" si="150"/>
        <v>8246</v>
      </c>
      <c r="S1217" s="18" t="e">
        <f>INDEX(Chapter,MATCH(R1217,Chapter!$A$1:$A$681,0),8)</f>
        <v>#N/A</v>
      </c>
      <c r="T1217" s="18"/>
      <c r="U1217" s="18" t="str">
        <f t="shared" si="151"/>
        <v>8</v>
      </c>
      <c r="V1217" s="18" t="str">
        <f>IF($L1217&lt;"6",INDEX(Revenue_type,MATCH(U1217*1,type!$A$118:$A$168,0),8),INDEX(Expenditure_type,MATCH(U1217*1,type!$A$2:$A$117,0),8))</f>
        <v>השתתפויות תמיכות ותרומות</v>
      </c>
      <c r="W1217" s="18" t="str">
        <f t="shared" si="152"/>
        <v>80</v>
      </c>
      <c r="X1217" s="18" t="e">
        <f>IF($L1217&lt;"6",INDEX(Revenue_type,MATCH(W1217*1,type!$A$118:$A$168,0),8),INDEX(Expenditure_type,MATCH(W1217*1,type!$A$2:$A$117,0),8))</f>
        <v>#N/A</v>
      </c>
      <c r="Y1217" s="18" t="str">
        <f t="shared" si="153"/>
        <v>800</v>
      </c>
      <c r="Z1217" s="18" t="e">
        <f>IF($L1217&lt;"6",INDEX(Revenue_type,MATCH(Y1217*1,type!$A$118:$A$168,0),8),INDEX(Expenditure_type,MATCH(Y1217*1,type!$A$2:$A$117,0),8))</f>
        <v>#N/A</v>
      </c>
    </row>
    <row r="1218" spans="1:26" ht="15.75" hidden="1" customHeight="1" outlineLevel="2">
      <c r="A1218">
        <v>800</v>
      </c>
      <c r="B1218" s="249">
        <v>826200</v>
      </c>
      <c r="C1218">
        <v>1</v>
      </c>
      <c r="D1218" t="str">
        <f t="shared" si="146"/>
        <v>1826200.800</v>
      </c>
      <c r="E1218" s="391" t="s">
        <v>8880</v>
      </c>
      <c r="F1218" s="242"/>
      <c r="G1218"/>
      <c r="H1218" s="322">
        <v>4285800</v>
      </c>
      <c r="I1218" s="322">
        <v>4000000</v>
      </c>
      <c r="J1218" s="242">
        <v>4000000</v>
      </c>
      <c r="K1218" s="18"/>
      <c r="L1218" s="18" t="str">
        <f t="shared" si="147"/>
        <v>8</v>
      </c>
      <c r="M1218" s="18" t="str">
        <f>INDEX(Chapter,MATCH(L1218,Chapter!$A$1:$A$681,0),8)</f>
        <v>שירותים ממלכתיים</v>
      </c>
      <c r="N1218" s="18" t="str">
        <f t="shared" si="148"/>
        <v>82</v>
      </c>
      <c r="O1218" s="18" t="str">
        <f>INDEX(Chapter,MATCH(N1218,Chapter!$A$1:$A$681,0),8)</f>
        <v>תרבות</v>
      </c>
      <c r="P1218" s="18" t="str">
        <f t="shared" si="149"/>
        <v>826</v>
      </c>
      <c r="Q1218" s="18" t="str">
        <f>INDEX(Chapter,MATCH(P1218,Chapter!$A$1:$A$681,0),8)</f>
        <v>מוקדי תרבות</v>
      </c>
      <c r="R1218" s="18" t="str">
        <f t="shared" si="150"/>
        <v>8262</v>
      </c>
      <c r="S1218" s="18" t="str">
        <f>INDEX(Chapter,MATCH(R1218,Chapter!$A$1:$A$681,0),8)</f>
        <v>מוזיאונים</v>
      </c>
      <c r="T1218" s="18"/>
      <c r="U1218" s="18" t="str">
        <f t="shared" si="151"/>
        <v>8</v>
      </c>
      <c r="V1218" s="18" t="str">
        <f>IF($L1218&lt;"6",INDEX(Revenue_type,MATCH(U1218*1,type!$A$118:$A$168,0),8),INDEX(Expenditure_type,MATCH(U1218*1,type!$A$2:$A$117,0),8))</f>
        <v>השתתפויות תמיכות ותרומות</v>
      </c>
      <c r="W1218" s="18" t="str">
        <f t="shared" si="152"/>
        <v>80</v>
      </c>
      <c r="X1218" s="18" t="e">
        <f>IF($L1218&lt;"6",INDEX(Revenue_type,MATCH(W1218*1,type!$A$118:$A$168,0),8),INDEX(Expenditure_type,MATCH(W1218*1,type!$A$2:$A$117,0),8))</f>
        <v>#N/A</v>
      </c>
      <c r="Y1218" s="18" t="str">
        <f t="shared" si="153"/>
        <v>800</v>
      </c>
      <c r="Z1218" s="18" t="e">
        <f>IF($L1218&lt;"6",INDEX(Revenue_type,MATCH(Y1218*1,type!$A$118:$A$168,0),8),INDEX(Expenditure_type,MATCH(Y1218*1,type!$A$2:$A$117,0),8))</f>
        <v>#N/A</v>
      </c>
    </row>
    <row r="1219" spans="1:26" ht="15.75" hidden="1" customHeight="1" outlineLevel="2">
      <c r="A1219">
        <v>800</v>
      </c>
      <c r="B1219" s="249">
        <v>825000</v>
      </c>
      <c r="C1219">
        <v>1</v>
      </c>
      <c r="D1219" t="str">
        <f t="shared" si="146"/>
        <v>1825000.800</v>
      </c>
      <c r="E1219" s="391" t="s">
        <v>8881</v>
      </c>
      <c r="F1219" s="242"/>
      <c r="G1219"/>
      <c r="H1219" s="322">
        <v>10703000</v>
      </c>
      <c r="I1219" s="322">
        <v>10503000</v>
      </c>
      <c r="J1219" s="242">
        <v>9505800</v>
      </c>
      <c r="K1219" s="18"/>
      <c r="L1219" s="18" t="str">
        <f t="shared" si="147"/>
        <v>8</v>
      </c>
      <c r="M1219" s="18" t="str">
        <f>INDEX(Chapter,MATCH(L1219,Chapter!$A$1:$A$681,0),8)</f>
        <v>שירותים ממלכתיים</v>
      </c>
      <c r="N1219" s="18" t="str">
        <f t="shared" si="148"/>
        <v>82</v>
      </c>
      <c r="O1219" s="18" t="str">
        <f>INDEX(Chapter,MATCH(N1219,Chapter!$A$1:$A$681,0),8)</f>
        <v>תרבות</v>
      </c>
      <c r="P1219" s="18" t="str">
        <f t="shared" si="149"/>
        <v>825</v>
      </c>
      <c r="Q1219" s="18" t="str">
        <f>INDEX(Chapter,MATCH(P1219,Chapter!$A$1:$A$681,0),8)</f>
        <v>מוסיקה ומחול</v>
      </c>
      <c r="R1219" s="18" t="str">
        <f t="shared" si="150"/>
        <v>8250</v>
      </c>
      <c r="S1219" s="18" t="e">
        <f>INDEX(Chapter,MATCH(R1219,Chapter!$A$1:$A$681,0),8)</f>
        <v>#N/A</v>
      </c>
      <c r="T1219" s="18"/>
      <c r="U1219" s="18" t="str">
        <f t="shared" si="151"/>
        <v>8</v>
      </c>
      <c r="V1219" s="18" t="str">
        <f>IF($L1219&lt;"6",INDEX(Revenue_type,MATCH(U1219*1,type!$A$118:$A$168,0),8),INDEX(Expenditure_type,MATCH(U1219*1,type!$A$2:$A$117,0),8))</f>
        <v>השתתפויות תמיכות ותרומות</v>
      </c>
      <c r="W1219" s="18" t="str">
        <f t="shared" si="152"/>
        <v>80</v>
      </c>
      <c r="X1219" s="18" t="e">
        <f>IF($L1219&lt;"6",INDEX(Revenue_type,MATCH(W1219*1,type!$A$118:$A$168,0),8),INDEX(Expenditure_type,MATCH(W1219*1,type!$A$2:$A$117,0),8))</f>
        <v>#N/A</v>
      </c>
      <c r="Y1219" s="18" t="str">
        <f t="shared" si="153"/>
        <v>800</v>
      </c>
      <c r="Z1219" s="18" t="e">
        <f>IF($L1219&lt;"6",INDEX(Revenue_type,MATCH(Y1219*1,type!$A$118:$A$168,0),8),INDEX(Expenditure_type,MATCH(Y1219*1,type!$A$2:$A$117,0),8))</f>
        <v>#N/A</v>
      </c>
    </row>
    <row r="1220" spans="1:26" ht="15.75" hidden="1" customHeight="1" outlineLevel="2">
      <c r="A1220">
        <v>800</v>
      </c>
      <c r="B1220" s="249">
        <v>851000</v>
      </c>
      <c r="C1220">
        <v>1</v>
      </c>
      <c r="D1220" t="str">
        <f t="shared" si="146"/>
        <v>1851000.800</v>
      </c>
      <c r="E1220" s="391" t="s">
        <v>8882</v>
      </c>
      <c r="F1220" s="242"/>
      <c r="G1220"/>
      <c r="H1220" s="322">
        <v>9604300</v>
      </c>
      <c r="I1220" s="322">
        <v>9831700</v>
      </c>
      <c r="J1220" s="242">
        <v>9232000</v>
      </c>
      <c r="K1220" s="18"/>
      <c r="L1220" s="18" t="str">
        <f t="shared" si="147"/>
        <v>8</v>
      </c>
      <c r="M1220" s="18" t="str">
        <f>INDEX(Chapter,MATCH(L1220,Chapter!$A$1:$A$681,0),8)</f>
        <v>שירותים ממלכתיים</v>
      </c>
      <c r="N1220" s="18" t="str">
        <f t="shared" si="148"/>
        <v>85</v>
      </c>
      <c r="O1220" s="18" t="str">
        <f>INDEX(Chapter,MATCH(N1220,Chapter!$A$1:$A$681,0),8)</f>
        <v>דת</v>
      </c>
      <c r="P1220" s="18" t="str">
        <f t="shared" si="149"/>
        <v>851</v>
      </c>
      <c r="Q1220" s="18" t="str">
        <f>INDEX(Chapter,MATCH(P1220,Chapter!$A$1:$A$681,0),8)</f>
        <v>השתתפות בתקציב המועצה הדתית</v>
      </c>
      <c r="R1220" s="18" t="str">
        <f t="shared" si="150"/>
        <v>8510</v>
      </c>
      <c r="S1220" s="18" t="e">
        <f>INDEX(Chapter,MATCH(R1220,Chapter!$A$1:$A$681,0),8)</f>
        <v>#N/A</v>
      </c>
      <c r="T1220" s="18"/>
      <c r="U1220" s="18" t="str">
        <f t="shared" si="151"/>
        <v>8</v>
      </c>
      <c r="V1220" s="18" t="str">
        <f>IF($L1220&lt;"6",INDEX(Revenue_type,MATCH(U1220*1,type!$A$118:$A$168,0),8),INDEX(Expenditure_type,MATCH(U1220*1,type!$A$2:$A$117,0),8))</f>
        <v>השתתפויות תמיכות ותרומות</v>
      </c>
      <c r="W1220" s="18" t="str">
        <f t="shared" si="152"/>
        <v>80</v>
      </c>
      <c r="X1220" s="18" t="e">
        <f>IF($L1220&lt;"6",INDEX(Revenue_type,MATCH(W1220*1,type!$A$118:$A$168,0),8),INDEX(Expenditure_type,MATCH(W1220*1,type!$A$2:$A$117,0),8))</f>
        <v>#N/A</v>
      </c>
      <c r="Y1220" s="18" t="str">
        <f t="shared" si="153"/>
        <v>800</v>
      </c>
      <c r="Z1220" s="18" t="e">
        <f>IF($L1220&lt;"6",INDEX(Revenue_type,MATCH(Y1220*1,type!$A$118:$A$168,0),8),INDEX(Expenditure_type,MATCH(Y1220*1,type!$A$2:$A$117,0),8))</f>
        <v>#N/A</v>
      </c>
    </row>
    <row r="1221" spans="1:26" ht="15.75" hidden="1" customHeight="1" outlineLevel="2">
      <c r="A1221">
        <v>800</v>
      </c>
      <c r="B1221" s="249">
        <v>836000</v>
      </c>
      <c r="C1221">
        <v>1</v>
      </c>
      <c r="D1221" t="str">
        <f t="shared" si="146"/>
        <v>1836000.800</v>
      </c>
      <c r="E1221" s="382" t="s">
        <v>8883</v>
      </c>
      <c r="F1221" s="242"/>
      <c r="G1221"/>
      <c r="H1221" s="322">
        <v>499900</v>
      </c>
      <c r="I1221" s="322">
        <v>474900</v>
      </c>
      <c r="J1221" s="242">
        <v>473300</v>
      </c>
      <c r="K1221" s="18"/>
      <c r="L1221" s="18" t="str">
        <f t="shared" si="147"/>
        <v>8</v>
      </c>
      <c r="M1221" s="18" t="str">
        <f>INDEX(Chapter,MATCH(L1221,Chapter!$A$1:$A$681,0),8)</f>
        <v>שירותים ממלכתיים</v>
      </c>
      <c r="N1221" s="18" t="str">
        <f t="shared" si="148"/>
        <v>83</v>
      </c>
      <c r="O1221" s="18" t="str">
        <f>INDEX(Chapter,MATCH(N1221,Chapter!$A$1:$A$681,0),8)</f>
        <v>בריאות</v>
      </c>
      <c r="P1221" s="18" t="str">
        <f t="shared" si="149"/>
        <v>836</v>
      </c>
      <c r="Q1221" s="18" t="str">
        <f>INDEX(Chapter,MATCH(P1221,Chapter!$A$1:$A$681,0),8)</f>
        <v>שירותי חירום ריפואים</v>
      </c>
      <c r="R1221" s="18" t="str">
        <f t="shared" si="150"/>
        <v>8360</v>
      </c>
      <c r="S1221" s="18" t="e">
        <f>INDEX(Chapter,MATCH(R1221,Chapter!$A$1:$A$681,0),8)</f>
        <v>#N/A</v>
      </c>
      <c r="T1221" s="18"/>
      <c r="U1221" s="18" t="str">
        <f t="shared" si="151"/>
        <v>8</v>
      </c>
      <c r="V1221" s="18" t="str">
        <f>IF($L1221&lt;"6",INDEX(Revenue_type,MATCH(U1221*1,type!$A$118:$A$168,0),8),INDEX(Expenditure_type,MATCH(U1221*1,type!$A$2:$A$117,0),8))</f>
        <v>השתתפויות תמיכות ותרומות</v>
      </c>
      <c r="W1221" s="18" t="str">
        <f t="shared" si="152"/>
        <v>80</v>
      </c>
      <c r="X1221" s="18" t="e">
        <f>IF($L1221&lt;"6",INDEX(Revenue_type,MATCH(W1221*1,type!$A$118:$A$168,0),8),INDEX(Expenditure_type,MATCH(W1221*1,type!$A$2:$A$117,0),8))</f>
        <v>#N/A</v>
      </c>
      <c r="Y1221" s="18" t="str">
        <f t="shared" si="153"/>
        <v>800</v>
      </c>
      <c r="Z1221" s="18" t="e">
        <f>IF($L1221&lt;"6",INDEX(Revenue_type,MATCH(Y1221*1,type!$A$118:$A$168,0),8),INDEX(Expenditure_type,MATCH(Y1221*1,type!$A$2:$A$117,0),8))</f>
        <v>#N/A</v>
      </c>
    </row>
    <row r="1222" spans="1:26" ht="15.75" hidden="1" customHeight="1" outlineLevel="2">
      <c r="A1222">
        <v>800</v>
      </c>
      <c r="B1222" s="249">
        <v>769610</v>
      </c>
      <c r="C1222">
        <v>1</v>
      </c>
      <c r="D1222" t="str">
        <f t="shared" si="146"/>
        <v>1769610.800</v>
      </c>
      <c r="E1222" s="382" t="s">
        <v>8884</v>
      </c>
      <c r="F1222" s="242"/>
      <c r="G1222"/>
      <c r="H1222" s="322">
        <v>417700</v>
      </c>
      <c r="I1222" s="322">
        <v>430000</v>
      </c>
      <c r="J1222" s="242">
        <v>430000</v>
      </c>
      <c r="K1222" s="18"/>
      <c r="L1222" s="18" t="str">
        <f t="shared" si="147"/>
        <v>7</v>
      </c>
      <c r="M1222" s="18" t="str">
        <f>INDEX(Chapter,MATCH(L1222,Chapter!$A$1:$A$681,0),8)</f>
        <v>שירותים מקומיים</v>
      </c>
      <c r="N1222" s="18" t="str">
        <f t="shared" si="148"/>
        <v>76</v>
      </c>
      <c r="O1222" s="18" t="str">
        <f>INDEX(Chapter,MATCH(N1222,Chapter!$A$1:$A$681,0),8)</f>
        <v>שירותים עירוניים שונים</v>
      </c>
      <c r="P1222" s="18" t="str">
        <f t="shared" si="149"/>
        <v>769</v>
      </c>
      <c r="Q1222" s="18" t="str">
        <f>INDEX(Chapter,MATCH(P1222,Chapter!$A$1:$A$681,0),8)</f>
        <v>שירותים שונים</v>
      </c>
      <c r="R1222" s="18" t="str">
        <f t="shared" si="150"/>
        <v>7696</v>
      </c>
      <c r="S1222" s="18" t="e">
        <f>INDEX(Chapter,MATCH(R1222,Chapter!$A$1:$A$681,0),8)</f>
        <v>#N/A</v>
      </c>
      <c r="T1222" s="18"/>
      <c r="U1222" s="18" t="str">
        <f t="shared" si="151"/>
        <v>8</v>
      </c>
      <c r="V1222" s="18" t="str">
        <f>IF($L1222&lt;"6",INDEX(Revenue_type,MATCH(U1222*1,type!$A$118:$A$168,0),8),INDEX(Expenditure_type,MATCH(U1222*1,type!$A$2:$A$117,0),8))</f>
        <v>השתתפויות תמיכות ותרומות</v>
      </c>
      <c r="W1222" s="18" t="str">
        <f t="shared" si="152"/>
        <v>80</v>
      </c>
      <c r="X1222" s="18" t="e">
        <f>IF($L1222&lt;"6",INDEX(Revenue_type,MATCH(W1222*1,type!$A$118:$A$168,0),8),INDEX(Expenditure_type,MATCH(W1222*1,type!$A$2:$A$117,0),8))</f>
        <v>#N/A</v>
      </c>
      <c r="Y1222" s="18" t="str">
        <f t="shared" si="153"/>
        <v>800</v>
      </c>
      <c r="Z1222" s="18" t="e">
        <f>IF($L1222&lt;"6",INDEX(Revenue_type,MATCH(Y1222*1,type!$A$118:$A$168,0),8),INDEX(Expenditure_type,MATCH(Y1222*1,type!$A$2:$A$117,0),8))</f>
        <v>#N/A</v>
      </c>
    </row>
    <row r="1223" spans="1:26" ht="15.75" hidden="1" customHeight="1" outlineLevel="2">
      <c r="A1223">
        <v>800</v>
      </c>
      <c r="B1223" s="249">
        <v>771600</v>
      </c>
      <c r="C1223">
        <v>1</v>
      </c>
      <c r="D1223" t="str">
        <f t="shared" si="146"/>
        <v>1771600.800</v>
      </c>
      <c r="E1223" s="391" t="s">
        <v>8885</v>
      </c>
      <c r="F1223" s="242"/>
      <c r="G1223"/>
      <c r="H1223" s="322">
        <v>2273200</v>
      </c>
      <c r="I1223" s="322">
        <v>2340000</v>
      </c>
      <c r="J1223" s="242">
        <v>2340000</v>
      </c>
      <c r="K1223" s="18"/>
      <c r="L1223" s="18" t="str">
        <f t="shared" si="147"/>
        <v>7</v>
      </c>
      <c r="M1223" s="18" t="str">
        <f>INDEX(Chapter,MATCH(L1223,Chapter!$A$1:$A$681,0),8)</f>
        <v>שירותים מקומיים</v>
      </c>
      <c r="N1223" s="18" t="str">
        <f t="shared" si="148"/>
        <v>77</v>
      </c>
      <c r="O1223" s="18" t="str">
        <f>INDEX(Chapter,MATCH(N1223,Chapter!$A$1:$A$681,0),8)</f>
        <v>פיתוח כלכלי</v>
      </c>
      <c r="P1223" s="18" t="str">
        <f t="shared" si="149"/>
        <v>771</v>
      </c>
      <c r="Q1223" s="18" t="str">
        <f>INDEX(Chapter,MATCH(P1223,Chapter!$A$1:$A$681,0),8)</f>
        <v>עידוד קייט ותיירות</v>
      </c>
      <c r="R1223" s="18" t="str">
        <f t="shared" si="150"/>
        <v>7716</v>
      </c>
      <c r="S1223" s="18" t="e">
        <f>INDEX(Chapter,MATCH(R1223,Chapter!$A$1:$A$681,0),8)</f>
        <v>#N/A</v>
      </c>
      <c r="T1223" s="18"/>
      <c r="U1223" s="18" t="str">
        <f t="shared" si="151"/>
        <v>8</v>
      </c>
      <c r="V1223" s="18" t="str">
        <f>IF($L1223&lt;"6",INDEX(Revenue_type,MATCH(U1223*1,type!$A$118:$A$168,0),8),INDEX(Expenditure_type,MATCH(U1223*1,type!$A$2:$A$117,0),8))</f>
        <v>השתתפויות תמיכות ותרומות</v>
      </c>
      <c r="W1223" s="18" t="str">
        <f t="shared" si="152"/>
        <v>80</v>
      </c>
      <c r="X1223" s="18" t="e">
        <f>IF($L1223&lt;"6",INDEX(Revenue_type,MATCH(W1223*1,type!$A$118:$A$168,0),8),INDEX(Expenditure_type,MATCH(W1223*1,type!$A$2:$A$117,0),8))</f>
        <v>#N/A</v>
      </c>
      <c r="Y1223" s="18" t="str">
        <f t="shared" si="153"/>
        <v>800</v>
      </c>
      <c r="Z1223" s="18" t="e">
        <f>IF($L1223&lt;"6",INDEX(Revenue_type,MATCH(Y1223*1,type!$A$118:$A$168,0),8),INDEX(Expenditure_type,MATCH(Y1223*1,type!$A$2:$A$117,0),8))</f>
        <v>#N/A</v>
      </c>
    </row>
    <row r="1224" spans="1:26" ht="15.75" hidden="1" customHeight="1" outlineLevel="2">
      <c r="A1224">
        <v>800</v>
      </c>
      <c r="B1224" s="249">
        <v>824620</v>
      </c>
      <c r="C1224">
        <v>1</v>
      </c>
      <c r="D1224" t="str">
        <f t="shared" si="146"/>
        <v>1824620.800</v>
      </c>
      <c r="E1224" s="391" t="s">
        <v>8886</v>
      </c>
      <c r="F1224" s="242"/>
      <c r="G1224"/>
      <c r="H1224" s="322">
        <v>7500000</v>
      </c>
      <c r="I1224" s="322">
        <v>7000000</v>
      </c>
      <c r="J1224" s="242">
        <v>0</v>
      </c>
      <c r="K1224" s="18"/>
      <c r="L1224" s="18" t="str">
        <f t="shared" si="147"/>
        <v>8</v>
      </c>
      <c r="M1224" s="18" t="str">
        <f>INDEX(Chapter,MATCH(L1224,Chapter!$A$1:$A$681,0),8)</f>
        <v>שירותים ממלכתיים</v>
      </c>
      <c r="N1224" s="18" t="str">
        <f t="shared" si="148"/>
        <v>82</v>
      </c>
      <c r="O1224" s="18" t="str">
        <f>INDEX(Chapter,MATCH(N1224,Chapter!$A$1:$A$681,0),8)</f>
        <v>תרבות</v>
      </c>
      <c r="P1224" s="18" t="str">
        <f t="shared" si="149"/>
        <v>824</v>
      </c>
      <c r="Q1224" s="18" t="str">
        <f>INDEX(Chapter,MATCH(P1224,Chapter!$A$1:$A$681,0),8)</f>
        <v>מתנ״סים</v>
      </c>
      <c r="R1224" s="18" t="str">
        <f t="shared" si="150"/>
        <v>8246</v>
      </c>
      <c r="S1224" s="18" t="e">
        <f>INDEX(Chapter,MATCH(R1224,Chapter!$A$1:$A$681,0),8)</f>
        <v>#N/A</v>
      </c>
      <c r="T1224" s="18"/>
      <c r="U1224" s="18" t="str">
        <f t="shared" si="151"/>
        <v>8</v>
      </c>
      <c r="V1224" s="18" t="str">
        <f>IF($L1224&lt;"6",INDEX(Revenue_type,MATCH(U1224*1,type!$A$118:$A$168,0),8),INDEX(Expenditure_type,MATCH(U1224*1,type!$A$2:$A$117,0),8))</f>
        <v>השתתפויות תמיכות ותרומות</v>
      </c>
      <c r="W1224" s="18" t="str">
        <f t="shared" si="152"/>
        <v>80</v>
      </c>
      <c r="X1224" s="18" t="e">
        <f>IF($L1224&lt;"6",INDEX(Revenue_type,MATCH(W1224*1,type!$A$118:$A$168,0),8),INDEX(Expenditure_type,MATCH(W1224*1,type!$A$2:$A$117,0),8))</f>
        <v>#N/A</v>
      </c>
      <c r="Y1224" s="18" t="str">
        <f t="shared" si="153"/>
        <v>800</v>
      </c>
      <c r="Z1224" s="18" t="e">
        <f>IF($L1224&lt;"6",INDEX(Revenue_type,MATCH(Y1224*1,type!$A$118:$A$168,0),8),INDEX(Expenditure_type,MATCH(Y1224*1,type!$A$2:$A$117,0),8))</f>
        <v>#N/A</v>
      </c>
    </row>
    <row r="1225" spans="1:26" ht="15.75" hidden="1" customHeight="1" outlineLevel="2">
      <c r="A1225">
        <v>800</v>
      </c>
      <c r="B1225" s="249">
        <v>813630</v>
      </c>
      <c r="C1225">
        <v>1</v>
      </c>
      <c r="D1225" t="str">
        <f t="shared" si="146"/>
        <v>1813630.800</v>
      </c>
      <c r="E1225" s="391" t="s">
        <v>8887</v>
      </c>
      <c r="F1225" s="242"/>
      <c r="G1225"/>
      <c r="H1225" s="322">
        <v>230000</v>
      </c>
      <c r="I1225" s="322">
        <v>230000</v>
      </c>
      <c r="J1225" s="242">
        <v>0</v>
      </c>
      <c r="K1225" s="18"/>
      <c r="L1225" s="18" t="str">
        <f t="shared" si="147"/>
        <v>8</v>
      </c>
      <c r="M1225" s="18" t="str">
        <f>INDEX(Chapter,MATCH(L1225,Chapter!$A$1:$A$681,0),8)</f>
        <v>שירותים ממלכתיים</v>
      </c>
      <c r="N1225" s="18" t="str">
        <f t="shared" si="148"/>
        <v>81</v>
      </c>
      <c r="O1225" s="18" t="str">
        <f>INDEX(Chapter,MATCH(N1225,Chapter!$A$1:$A$681,0),8)</f>
        <v>חינוך</v>
      </c>
      <c r="P1225" s="18" t="str">
        <f t="shared" si="149"/>
        <v>813</v>
      </c>
      <c r="Q1225" s="18" t="str">
        <f>INDEX(Chapter,MATCH(P1225,Chapter!$A$1:$A$681,0),8)</f>
        <v>חינוך יסודי</v>
      </c>
      <c r="R1225" s="18" t="str">
        <f t="shared" si="150"/>
        <v>8136</v>
      </c>
      <c r="S1225" s="18" t="str">
        <f>INDEX(Chapter,MATCH(R1225,Chapter!$A$1:$A$681,0),8)</f>
        <v>חינוך משלים בבתי״ס</v>
      </c>
      <c r="T1225" s="18"/>
      <c r="U1225" s="18" t="str">
        <f t="shared" si="151"/>
        <v>8</v>
      </c>
      <c r="V1225" s="18" t="str">
        <f>IF($L1225&lt;"6",INDEX(Revenue_type,MATCH(U1225*1,type!$A$118:$A$168,0),8),INDEX(Expenditure_type,MATCH(U1225*1,type!$A$2:$A$117,0),8))</f>
        <v>השתתפויות תמיכות ותרומות</v>
      </c>
      <c r="W1225" s="18" t="str">
        <f t="shared" si="152"/>
        <v>80</v>
      </c>
      <c r="X1225" s="18" t="e">
        <f>IF($L1225&lt;"6",INDEX(Revenue_type,MATCH(W1225*1,type!$A$118:$A$168,0),8),INDEX(Expenditure_type,MATCH(W1225*1,type!$A$2:$A$117,0),8))</f>
        <v>#N/A</v>
      </c>
      <c r="Y1225" s="18" t="str">
        <f t="shared" si="153"/>
        <v>800</v>
      </c>
      <c r="Z1225" s="18" t="e">
        <f>IF($L1225&lt;"6",INDEX(Revenue_type,MATCH(Y1225*1,type!$A$118:$A$168,0),8),INDEX(Expenditure_type,MATCH(Y1225*1,type!$A$2:$A$117,0),8))</f>
        <v>#N/A</v>
      </c>
    </row>
    <row r="1226" spans="1:26" ht="15.75" hidden="1" customHeight="1" outlineLevel="2">
      <c r="A1226">
        <v>800</v>
      </c>
      <c r="B1226" s="249">
        <v>724000</v>
      </c>
      <c r="C1226">
        <v>1</v>
      </c>
      <c r="D1226" t="str">
        <f t="shared" si="146"/>
        <v>1724000.800</v>
      </c>
      <c r="E1226" s="385" t="s">
        <v>8888</v>
      </c>
      <c r="F1226" s="242"/>
      <c r="G1226"/>
      <c r="H1226" s="322">
        <v>13500000</v>
      </c>
      <c r="I1226" s="322">
        <v>13500000</v>
      </c>
      <c r="J1226" s="242">
        <v>14685600</v>
      </c>
      <c r="K1226" s="18"/>
      <c r="L1226" s="18" t="str">
        <f t="shared" si="147"/>
        <v>7</v>
      </c>
      <c r="M1226" s="18" t="str">
        <f>INDEX(Chapter,MATCH(L1226,Chapter!$A$1:$A$681,0),8)</f>
        <v>שירותים מקומיים</v>
      </c>
      <c r="N1226" s="18" t="str">
        <f t="shared" si="148"/>
        <v>72</v>
      </c>
      <c r="O1226" s="18" t="str">
        <f>INDEX(Chapter,MATCH(N1226,Chapter!$A$1:$A$681,0),8)</f>
        <v>שמירה ובטחון</v>
      </c>
      <c r="P1226" s="18" t="str">
        <f t="shared" si="149"/>
        <v>724</v>
      </c>
      <c r="Q1226" s="18" t="str">
        <f>INDEX(Chapter,MATCH(P1226,Chapter!$A$1:$A$681,0),8)</f>
        <v>כבוי אש</v>
      </c>
      <c r="R1226" s="18" t="str">
        <f t="shared" si="150"/>
        <v>7240</v>
      </c>
      <c r="S1226" s="18" t="e">
        <f>INDEX(Chapter,MATCH(R1226,Chapter!$A$1:$A$681,0),8)</f>
        <v>#N/A</v>
      </c>
      <c r="T1226" s="18"/>
      <c r="U1226" s="18" t="str">
        <f t="shared" si="151"/>
        <v>8</v>
      </c>
      <c r="V1226" s="18" t="str">
        <f>IF($L1226&lt;"6",INDEX(Revenue_type,MATCH(U1226*1,type!$A$118:$A$168,0),8),INDEX(Expenditure_type,MATCH(U1226*1,type!$A$2:$A$117,0),8))</f>
        <v>השתתפויות תמיכות ותרומות</v>
      </c>
      <c r="W1226" s="18" t="str">
        <f t="shared" si="152"/>
        <v>80</v>
      </c>
      <c r="X1226" s="18" t="e">
        <f>IF($L1226&lt;"6",INDEX(Revenue_type,MATCH(W1226*1,type!$A$118:$A$168,0),8),INDEX(Expenditure_type,MATCH(W1226*1,type!$A$2:$A$117,0),8))</f>
        <v>#N/A</v>
      </c>
      <c r="Y1226" s="18" t="str">
        <f t="shared" si="153"/>
        <v>800</v>
      </c>
      <c r="Z1226" s="18" t="e">
        <f>IF($L1226&lt;"6",INDEX(Revenue_type,MATCH(Y1226*1,type!$A$118:$A$168,0),8),INDEX(Expenditure_type,MATCH(Y1226*1,type!$A$2:$A$117,0),8))</f>
        <v>#N/A</v>
      </c>
    </row>
    <row r="1227" spans="1:26" ht="15.75" hidden="1" customHeight="1" outlineLevel="2">
      <c r="A1227">
        <v>800</v>
      </c>
      <c r="B1227" s="249">
        <v>879000</v>
      </c>
      <c r="C1227">
        <v>1</v>
      </c>
      <c r="D1227" t="str">
        <f t="shared" si="146"/>
        <v>1879000.800</v>
      </c>
      <c r="E1227" s="385" t="s">
        <v>8889</v>
      </c>
      <c r="F1227" s="242"/>
      <c r="G1227"/>
      <c r="H1227" s="322">
        <v>710000</v>
      </c>
      <c r="I1227" s="322">
        <v>710000</v>
      </c>
      <c r="J1227" s="242">
        <v>486100</v>
      </c>
      <c r="K1227" s="18"/>
      <c r="L1227" s="18" t="str">
        <f t="shared" si="147"/>
        <v>8</v>
      </c>
      <c r="M1227" s="18" t="str">
        <f>INDEX(Chapter,MATCH(L1227,Chapter!$A$1:$A$681,0),8)</f>
        <v>שירותים ממלכתיים</v>
      </c>
      <c r="N1227" s="18" t="str">
        <f t="shared" si="148"/>
        <v>87</v>
      </c>
      <c r="O1227" s="18" t="str">
        <f>INDEX(Chapter,MATCH(N1227,Chapter!$A$1:$A$681,0),8)</f>
        <v>איכות הסביבה</v>
      </c>
      <c r="P1227" s="18" t="str">
        <f t="shared" si="149"/>
        <v>879</v>
      </c>
      <c r="Q1227" s="18" t="str">
        <f>INDEX(Chapter,MATCH(P1227,Chapter!$A$1:$A$681,0),8)</f>
        <v>שירותים שונים לאיכות הסביבה</v>
      </c>
      <c r="R1227" s="18" t="str">
        <f t="shared" si="150"/>
        <v>8790</v>
      </c>
      <c r="S1227" s="18" t="e">
        <f>INDEX(Chapter,MATCH(R1227,Chapter!$A$1:$A$681,0),8)</f>
        <v>#N/A</v>
      </c>
      <c r="T1227" s="18"/>
      <c r="U1227" s="18" t="str">
        <f t="shared" si="151"/>
        <v>8</v>
      </c>
      <c r="V1227" s="18" t="str">
        <f>IF($L1227&lt;"6",INDEX(Revenue_type,MATCH(U1227*1,type!$A$118:$A$168,0),8),INDEX(Expenditure_type,MATCH(U1227*1,type!$A$2:$A$117,0),8))</f>
        <v>השתתפויות תמיכות ותרומות</v>
      </c>
      <c r="W1227" s="18" t="str">
        <f t="shared" si="152"/>
        <v>80</v>
      </c>
      <c r="X1227" s="18" t="e">
        <f>IF($L1227&lt;"6",INDEX(Revenue_type,MATCH(W1227*1,type!$A$118:$A$168,0),8),INDEX(Expenditure_type,MATCH(W1227*1,type!$A$2:$A$117,0),8))</f>
        <v>#N/A</v>
      </c>
      <c r="Y1227" s="18" t="str">
        <f t="shared" si="153"/>
        <v>800</v>
      </c>
      <c r="Z1227" s="18" t="e">
        <f>IF($L1227&lt;"6",INDEX(Revenue_type,MATCH(Y1227*1,type!$A$118:$A$168,0),8),INDEX(Expenditure_type,MATCH(Y1227*1,type!$A$2:$A$117,0),8))</f>
        <v>#N/A</v>
      </c>
    </row>
    <row r="1228" spans="1:26" ht="15.75" customHeight="1" outlineLevel="2">
      <c r="A1228">
        <v>800</v>
      </c>
      <c r="B1228" s="249">
        <v>911000</v>
      </c>
      <c r="C1228">
        <v>1</v>
      </c>
      <c r="D1228" t="str">
        <f t="shared" si="146"/>
        <v>1911000.800</v>
      </c>
      <c r="E1228" s="391" t="s">
        <v>8890</v>
      </c>
      <c r="F1228" s="242"/>
      <c r="G1228"/>
      <c r="H1228" s="322">
        <v>450000</v>
      </c>
      <c r="I1228" s="322">
        <v>450000</v>
      </c>
      <c r="J1228" s="242">
        <v>424800</v>
      </c>
      <c r="K1228" s="18"/>
      <c r="L1228" s="18" t="str">
        <f t="shared" si="147"/>
        <v>9</v>
      </c>
      <c r="M1228" s="18" t="str">
        <f>INDEX(Chapter,MATCH(L1228,Chapter!$A$1:$A$681,0),8)</f>
        <v>מפעלים</v>
      </c>
      <c r="N1228" s="18" t="str">
        <f t="shared" si="148"/>
        <v>91</v>
      </c>
      <c r="O1228" s="18" t="str">
        <f>INDEX(Chapter,MATCH(N1228,Chapter!$A$1:$A$681,0),8)</f>
        <v>מים</v>
      </c>
      <c r="P1228" s="18" t="str">
        <f t="shared" si="149"/>
        <v>911</v>
      </c>
      <c r="Q1228" s="18" t="str">
        <f>INDEX(Chapter,MATCH(P1228,Chapter!$A$1:$A$681,0),8)</f>
        <v>מינהל המים</v>
      </c>
      <c r="R1228" s="18" t="str">
        <f t="shared" si="150"/>
        <v>9110</v>
      </c>
      <c r="S1228" s="18" t="e">
        <f>INDEX(Chapter,MATCH(R1228,Chapter!$A$1:$A$681,0),8)</f>
        <v>#N/A</v>
      </c>
      <c r="T1228" s="18"/>
      <c r="U1228" s="18" t="str">
        <f t="shared" si="151"/>
        <v>8</v>
      </c>
      <c r="V1228" s="18" t="str">
        <f>IF($L1228&lt;"6",INDEX(Revenue_type,MATCH(U1228*1,type!$A$118:$A$168,0),8),INDEX(Expenditure_type,MATCH(U1228*1,type!$A$2:$A$117,0),8))</f>
        <v>השתתפויות תמיכות ותרומות</v>
      </c>
      <c r="W1228" s="18" t="str">
        <f t="shared" si="152"/>
        <v>80</v>
      </c>
      <c r="X1228" s="18" t="e">
        <f>IF($L1228&lt;"6",INDEX(Revenue_type,MATCH(W1228*1,type!$A$118:$A$168,0),8),INDEX(Expenditure_type,MATCH(W1228*1,type!$A$2:$A$117,0),8))</f>
        <v>#N/A</v>
      </c>
      <c r="Y1228" s="18" t="str">
        <f t="shared" si="153"/>
        <v>800</v>
      </c>
      <c r="Z1228" s="18" t="e">
        <f>IF($L1228&lt;"6",INDEX(Revenue_type,MATCH(Y1228*1,type!$A$118:$A$168,0),8),INDEX(Expenditure_type,MATCH(Y1228*1,type!$A$2:$A$117,0),8))</f>
        <v>#N/A</v>
      </c>
    </row>
    <row r="1229" spans="1:26" ht="15.75" hidden="1" customHeight="1" outlineLevel="2">
      <c r="A1229">
        <v>800</v>
      </c>
      <c r="B1229" s="249">
        <v>745200</v>
      </c>
      <c r="C1229">
        <v>1</v>
      </c>
      <c r="D1229" t="str">
        <f t="shared" si="146"/>
        <v>1745200.800</v>
      </c>
      <c r="E1229" s="391" t="s">
        <v>8891</v>
      </c>
      <c r="F1229" s="242"/>
      <c r="G1229"/>
      <c r="H1229" s="322">
        <v>1642100</v>
      </c>
      <c r="I1229" s="322">
        <v>1642100</v>
      </c>
      <c r="J1229" s="242">
        <v>2407600</v>
      </c>
      <c r="K1229" s="18"/>
      <c r="L1229" s="18" t="str">
        <f t="shared" si="147"/>
        <v>7</v>
      </c>
      <c r="M1229" s="18" t="str">
        <f>INDEX(Chapter,MATCH(L1229,Chapter!$A$1:$A$681,0),8)</f>
        <v>שירותים מקומיים</v>
      </c>
      <c r="N1229" s="18" t="str">
        <f t="shared" si="148"/>
        <v>74</v>
      </c>
      <c r="O1229" s="18" t="str">
        <f>INDEX(Chapter,MATCH(N1229,Chapter!$A$1:$A$681,0),8)</f>
        <v>נכסים ציבוריים</v>
      </c>
      <c r="P1229" s="18" t="str">
        <f t="shared" si="149"/>
        <v>745</v>
      </c>
      <c r="Q1229" s="18" t="str">
        <f>INDEX(Chapter,MATCH(P1229,Chapter!$A$1:$A$681,0),8)</f>
        <v>תיעול וניקוז</v>
      </c>
      <c r="R1229" s="18" t="str">
        <f t="shared" si="150"/>
        <v>7452</v>
      </c>
      <c r="S1229" s="18" t="e">
        <f>INDEX(Chapter,MATCH(R1229,Chapter!$A$1:$A$681,0),8)</f>
        <v>#N/A</v>
      </c>
      <c r="T1229" s="18"/>
      <c r="U1229" s="18" t="str">
        <f t="shared" si="151"/>
        <v>8</v>
      </c>
      <c r="V1229" s="18" t="str">
        <f>IF($L1229&lt;"6",INDEX(Revenue_type,MATCH(U1229*1,type!$A$118:$A$168,0),8),INDEX(Expenditure_type,MATCH(U1229*1,type!$A$2:$A$117,0),8))</f>
        <v>השתתפויות תמיכות ותרומות</v>
      </c>
      <c r="W1229" s="18" t="str">
        <f t="shared" si="152"/>
        <v>80</v>
      </c>
      <c r="X1229" s="18" t="e">
        <f>IF($L1229&lt;"6",INDEX(Revenue_type,MATCH(W1229*1,type!$A$118:$A$168,0),8),INDEX(Expenditure_type,MATCH(W1229*1,type!$A$2:$A$117,0),8))</f>
        <v>#N/A</v>
      </c>
      <c r="Y1229" s="18" t="str">
        <f t="shared" si="153"/>
        <v>800</v>
      </c>
      <c r="Z1229" s="18" t="e">
        <f>IF($L1229&lt;"6",INDEX(Revenue_type,MATCH(Y1229*1,type!$A$118:$A$168,0),8),INDEX(Expenditure_type,MATCH(Y1229*1,type!$A$2:$A$117,0),8))</f>
        <v>#N/A</v>
      </c>
    </row>
    <row r="1230" spans="1:26" ht="15.75" customHeight="1" outlineLevel="2">
      <c r="A1230">
        <v>800</v>
      </c>
      <c r="B1230" s="249">
        <v>942000</v>
      </c>
      <c r="C1230">
        <v>1</v>
      </c>
      <c r="D1230" t="str">
        <f t="shared" si="146"/>
        <v>1942000.800</v>
      </c>
      <c r="E1230" s="391" t="s">
        <v>8892</v>
      </c>
      <c r="F1230" s="242"/>
      <c r="G1230"/>
      <c r="H1230" s="322">
        <v>2625000</v>
      </c>
      <c r="I1230" s="322">
        <v>2695000</v>
      </c>
      <c r="J1230" s="242">
        <v>2695000</v>
      </c>
      <c r="K1230" s="18"/>
      <c r="L1230" s="18" t="str">
        <f t="shared" si="147"/>
        <v>9</v>
      </c>
      <c r="M1230" s="18" t="str">
        <f>INDEX(Chapter,MATCH(L1230,Chapter!$A$1:$A$681,0),8)</f>
        <v>מפעלים</v>
      </c>
      <c r="N1230" s="18" t="str">
        <f t="shared" si="148"/>
        <v>94</v>
      </c>
      <c r="O1230" s="18" t="str">
        <f>INDEX(Chapter,MATCH(N1230,Chapter!$A$1:$A$681,0),8)</f>
        <v>תחבורה</v>
      </c>
      <c r="P1230" s="18" t="str">
        <f t="shared" si="149"/>
        <v>942</v>
      </c>
      <c r="Q1230" s="18" t="str">
        <f>INDEX(Chapter,MATCH(P1230,Chapter!$A$1:$A$681,0),8)</f>
        <v>אוטובוסים</v>
      </c>
      <c r="R1230" s="18" t="str">
        <f t="shared" si="150"/>
        <v>9420</v>
      </c>
      <c r="S1230" s="18" t="e">
        <f>INDEX(Chapter,MATCH(R1230,Chapter!$A$1:$A$681,0),8)</f>
        <v>#N/A</v>
      </c>
      <c r="T1230" s="18"/>
      <c r="U1230" s="18" t="str">
        <f t="shared" si="151"/>
        <v>8</v>
      </c>
      <c r="V1230" s="18" t="str">
        <f>IF($L1230&lt;"6",INDEX(Revenue_type,MATCH(U1230*1,type!$A$118:$A$168,0),8),INDEX(Expenditure_type,MATCH(U1230*1,type!$A$2:$A$117,0),8))</f>
        <v>השתתפויות תמיכות ותרומות</v>
      </c>
      <c r="W1230" s="18" t="str">
        <f t="shared" si="152"/>
        <v>80</v>
      </c>
      <c r="X1230" s="18" t="e">
        <f>IF($L1230&lt;"6",INDEX(Revenue_type,MATCH(W1230*1,type!$A$118:$A$168,0),8),INDEX(Expenditure_type,MATCH(W1230*1,type!$A$2:$A$117,0),8))</f>
        <v>#N/A</v>
      </c>
      <c r="Y1230" s="18" t="str">
        <f t="shared" si="153"/>
        <v>800</v>
      </c>
      <c r="Z1230" s="18" t="e">
        <f>IF($L1230&lt;"6",INDEX(Revenue_type,MATCH(Y1230*1,type!$A$118:$A$168,0),8),INDEX(Expenditure_type,MATCH(Y1230*1,type!$A$2:$A$117,0),8))</f>
        <v>#N/A</v>
      </c>
    </row>
    <row r="1231" spans="1:26" ht="15.75" hidden="1" customHeight="1" outlineLevel="2">
      <c r="A1231">
        <v>800</v>
      </c>
      <c r="B1231" s="249">
        <v>816200</v>
      </c>
      <c r="C1231">
        <v>1</v>
      </c>
      <c r="D1231" t="str">
        <f t="shared" si="146"/>
        <v>1816200.800</v>
      </c>
      <c r="E1231" s="391" t="s">
        <v>8893</v>
      </c>
      <c r="F1231" s="242"/>
      <c r="G1231"/>
      <c r="H1231" s="322">
        <v>5000000</v>
      </c>
      <c r="I1231" s="322">
        <v>5000000</v>
      </c>
      <c r="J1231" s="242">
        <v>610400</v>
      </c>
      <c r="K1231" s="18"/>
      <c r="L1231" s="18" t="str">
        <f t="shared" si="147"/>
        <v>8</v>
      </c>
      <c r="M1231" s="18" t="str">
        <f>INDEX(Chapter,MATCH(L1231,Chapter!$A$1:$A$681,0),8)</f>
        <v>שירותים ממלכתיים</v>
      </c>
      <c r="N1231" s="18" t="str">
        <f t="shared" si="148"/>
        <v>81</v>
      </c>
      <c r="O1231" s="18" t="str">
        <f>INDEX(Chapter,MATCH(N1231,Chapter!$A$1:$A$681,0),8)</f>
        <v>חינוך</v>
      </c>
      <c r="P1231" s="18" t="str">
        <f t="shared" si="149"/>
        <v>816</v>
      </c>
      <c r="Q1231" s="18" t="str">
        <f>INDEX(Chapter,MATCH(P1231,Chapter!$A$1:$A$681,0),8)</f>
        <v>חינוך גבוה</v>
      </c>
      <c r="R1231" s="18" t="str">
        <f t="shared" si="150"/>
        <v>8162</v>
      </c>
      <c r="S1231" s="18" t="str">
        <f>INDEX(Chapter,MATCH(R1231,Chapter!$A$1:$A$681,0),8)</f>
        <v>אוניברסיטאות</v>
      </c>
      <c r="T1231" s="18"/>
      <c r="U1231" s="18" t="str">
        <f t="shared" si="151"/>
        <v>8</v>
      </c>
      <c r="V1231" s="18" t="str">
        <f>IF($L1231&lt;"6",INDEX(Revenue_type,MATCH(U1231*1,type!$A$118:$A$168,0),8),INDEX(Expenditure_type,MATCH(U1231*1,type!$A$2:$A$117,0),8))</f>
        <v>השתתפויות תמיכות ותרומות</v>
      </c>
      <c r="W1231" s="18" t="str">
        <f t="shared" si="152"/>
        <v>80</v>
      </c>
      <c r="X1231" s="18" t="e">
        <f>IF($L1231&lt;"6",INDEX(Revenue_type,MATCH(W1231*1,type!$A$118:$A$168,0),8),INDEX(Expenditure_type,MATCH(W1231*1,type!$A$2:$A$117,0),8))</f>
        <v>#N/A</v>
      </c>
      <c r="Y1231" s="18" t="str">
        <f t="shared" si="153"/>
        <v>800</v>
      </c>
      <c r="Z1231" s="18" t="e">
        <f>IF($L1231&lt;"6",INDEX(Revenue_type,MATCH(Y1231*1,type!$A$118:$A$168,0),8),INDEX(Expenditure_type,MATCH(Y1231*1,type!$A$2:$A$117,0),8))</f>
        <v>#N/A</v>
      </c>
    </row>
    <row r="1232" spans="1:26" ht="15.75" hidden="1" customHeight="1" outlineLevel="2">
      <c r="A1232">
        <v>700</v>
      </c>
      <c r="B1232" s="249">
        <v>862000</v>
      </c>
      <c r="C1232">
        <v>1</v>
      </c>
      <c r="D1232" t="str">
        <f t="shared" si="146"/>
        <v>1862000.700</v>
      </c>
      <c r="E1232" s="382" t="s">
        <v>8894</v>
      </c>
      <c r="F1232" s="242"/>
      <c r="G1232"/>
      <c r="H1232" s="322">
        <v>2040000</v>
      </c>
      <c r="I1232" s="322">
        <v>2100000</v>
      </c>
      <c r="J1232" s="242">
        <v>2100000</v>
      </c>
      <c r="K1232" s="18"/>
      <c r="L1232" s="18" t="str">
        <f t="shared" si="147"/>
        <v>8</v>
      </c>
      <c r="M1232" s="18" t="str">
        <f>INDEX(Chapter,MATCH(L1232,Chapter!$A$1:$A$681,0),8)</f>
        <v>שירותים ממלכתיים</v>
      </c>
      <c r="N1232" s="18" t="str">
        <f t="shared" si="148"/>
        <v>86</v>
      </c>
      <c r="O1232" s="18" t="str">
        <f>INDEX(Chapter,MATCH(N1232,Chapter!$A$1:$A$681,0),8)</f>
        <v>קליטת עליה</v>
      </c>
      <c r="P1232" s="18" t="str">
        <f t="shared" si="149"/>
        <v>862</v>
      </c>
      <c r="Q1232" s="18" t="e">
        <f>INDEX(Chapter,MATCH(P1232,Chapter!$A$1:$A$681,0),8)</f>
        <v>#N/A</v>
      </c>
      <c r="R1232" s="18" t="str">
        <f t="shared" si="150"/>
        <v>8620</v>
      </c>
      <c r="S1232" s="18" t="e">
        <f>INDEX(Chapter,MATCH(R1232,Chapter!$A$1:$A$681,0),8)</f>
        <v>#N/A</v>
      </c>
      <c r="T1232" s="18"/>
      <c r="U1232" s="18" t="str">
        <f t="shared" si="151"/>
        <v>7</v>
      </c>
      <c r="V1232" s="18" t="str">
        <f>IF($L1232&lt;"6",INDEX(Revenue_type,MATCH(U1232*1,type!$A$118:$A$168,0),8),INDEX(Expenditure_type,MATCH(U1232*1,type!$A$2:$A$117,0),8))</f>
        <v>הוצאות לפעולות</v>
      </c>
      <c r="W1232" s="18" t="str">
        <f t="shared" si="152"/>
        <v>70</v>
      </c>
      <c r="X1232" s="18" t="e">
        <f>IF($L1232&lt;"6",INDEX(Revenue_type,MATCH(W1232*1,type!$A$118:$A$168,0),8),INDEX(Expenditure_type,MATCH(W1232*1,type!$A$2:$A$117,0),8))</f>
        <v>#N/A</v>
      </c>
      <c r="Y1232" s="18" t="str">
        <f t="shared" si="153"/>
        <v>700</v>
      </c>
      <c r="Z1232" s="18" t="e">
        <f>IF($L1232&lt;"6",INDEX(Revenue_type,MATCH(Y1232*1,type!$A$118:$A$168,0),8),INDEX(Expenditure_type,MATCH(Y1232*1,type!$A$2:$A$117,0),8))</f>
        <v>#N/A</v>
      </c>
    </row>
    <row r="1233" spans="1:26" ht="15.75" hidden="1" customHeight="1" outlineLevel="2">
      <c r="A1233">
        <v>800</v>
      </c>
      <c r="B1233" s="249">
        <v>862000</v>
      </c>
      <c r="C1233">
        <v>1</v>
      </c>
      <c r="D1233" t="str">
        <f t="shared" si="146"/>
        <v>1862000.800</v>
      </c>
      <c r="E1233" s="391" t="s">
        <v>8895</v>
      </c>
      <c r="F1233" s="242"/>
      <c r="G1233"/>
      <c r="H1233" s="322">
        <v>5177800</v>
      </c>
      <c r="I1233" s="322">
        <v>5330000</v>
      </c>
      <c r="J1233" s="242">
        <v>5322400</v>
      </c>
      <c r="K1233" s="18"/>
      <c r="L1233" s="18" t="str">
        <f t="shared" ref="L1233:L1234" si="154">IF(LEFT($B1233,1)*1=0,LEFT($B1233,2),LEFT($B1233,1))</f>
        <v>8</v>
      </c>
      <c r="M1233" s="18" t="str">
        <f>INDEX(Chapter,MATCH(L1233,Chapter!$A$1:$A$681,0),8)</f>
        <v>שירותים ממלכתיים</v>
      </c>
      <c r="N1233" s="18" t="str">
        <f t="shared" ref="N1233:N1234" si="155">IF(LEFT($B1233,1)*1=0,LEFT($B1233,3),LEFT($B1233,2))</f>
        <v>86</v>
      </c>
      <c r="O1233" s="18" t="str">
        <f>INDEX(Chapter,MATCH(N1233,Chapter!$A$1:$A$681,0),8)</f>
        <v>קליטת עליה</v>
      </c>
      <c r="P1233" s="18" t="str">
        <f t="shared" ref="P1233:P1234" si="156">IF(LEFT($B1233,1)*1=0,LEFT($B1233,4),LEFT($B1233,3))</f>
        <v>862</v>
      </c>
      <c r="Q1233" s="18" t="e">
        <f>INDEX(Chapter,MATCH(P1233,Chapter!$A$1:$A$681,0),8)</f>
        <v>#N/A</v>
      </c>
      <c r="R1233" s="18" t="str">
        <f t="shared" ref="R1233:R1234" si="157">LEFT($B1233,4)</f>
        <v>8620</v>
      </c>
      <c r="S1233" s="18" t="e">
        <f>INDEX(Chapter,MATCH(R1233,Chapter!$A$1:$A$681,0),8)</f>
        <v>#N/A</v>
      </c>
      <c r="T1233" s="18"/>
      <c r="U1233" s="18" t="str">
        <f t="shared" ref="U1233:U1234" si="158">LEFT($A1233,1)</f>
        <v>8</v>
      </c>
      <c r="V1233" s="18" t="str">
        <f>IF($L1233&lt;"6",INDEX(Revenue_type,MATCH(U1233*1,type!$A$118:$A$168,0),8),INDEX(Expenditure_type,MATCH(U1233*1,type!$A$2:$A$117,0),8))</f>
        <v>השתתפויות תמיכות ותרומות</v>
      </c>
      <c r="W1233" s="18" t="str">
        <f t="shared" ref="W1233:W1234" si="159">LEFT($A1233,2)</f>
        <v>80</v>
      </c>
      <c r="X1233" s="18" t="e">
        <f>IF($L1233&lt;"6",INDEX(Revenue_type,MATCH(W1233*1,type!$A$118:$A$168,0),8),INDEX(Expenditure_type,MATCH(W1233*1,type!$A$2:$A$117,0),8))</f>
        <v>#N/A</v>
      </c>
      <c r="Y1233" s="18" t="str">
        <f t="shared" ref="Y1233:Y1234" si="160">LEFT($A1233,3)</f>
        <v>800</v>
      </c>
      <c r="Z1233" s="18" t="e">
        <f>IF($L1233&lt;"6",INDEX(Revenue_type,MATCH(Y1233*1,type!$A$118:$A$168,0),8),INDEX(Expenditure_type,MATCH(Y1233*1,type!$A$2:$A$117,0),8))</f>
        <v>#N/A</v>
      </c>
    </row>
    <row r="1234" spans="1:26" ht="15.75" customHeight="1" outlineLevel="2">
      <c r="A1234">
        <v>861</v>
      </c>
      <c r="B1234" s="249">
        <v>995000</v>
      </c>
      <c r="C1234">
        <v>1</v>
      </c>
      <c r="D1234" t="str">
        <f t="shared" si="146"/>
        <v>1995000.861</v>
      </c>
      <c r="E1234" s="391" t="s">
        <v>8906</v>
      </c>
      <c r="F1234" s="242"/>
      <c r="G1234"/>
      <c r="H1234" s="322">
        <v>160000000</v>
      </c>
      <c r="I1234" s="322">
        <v>160000000</v>
      </c>
      <c r="J1234" s="242">
        <v>159636000</v>
      </c>
      <c r="K1234" s="18"/>
      <c r="L1234" s="18" t="str">
        <f t="shared" si="154"/>
        <v>9</v>
      </c>
      <c r="M1234" s="18" t="str">
        <f>INDEX(Chapter,MATCH(L1234,Chapter!$A$1:$A$681,0),8)</f>
        <v>מפעלים</v>
      </c>
      <c r="N1234" s="18" t="str">
        <f t="shared" si="155"/>
        <v>99</v>
      </c>
      <c r="O1234" s="18" t="str">
        <f>INDEX(Chapter,MATCH(N1234,Chapter!$A$1:$A$681,0),8)</f>
        <v>תשלומים בלתי רגילים</v>
      </c>
      <c r="P1234" s="18" t="str">
        <f t="shared" si="156"/>
        <v>995</v>
      </c>
      <c r="Q1234" s="18" t="str">
        <f>INDEX(Chapter,MATCH(P1234,Chapter!$A$1:$A$681,0),8)</f>
        <v>הנחות ממיסים לפי חוק או תקנות</v>
      </c>
      <c r="R1234" s="18" t="str">
        <f t="shared" si="157"/>
        <v>9950</v>
      </c>
      <c r="S1234" s="18" t="e">
        <f>INDEX(Chapter,MATCH(R1234,Chapter!$A$1:$A$681,0),8)</f>
        <v>#N/A</v>
      </c>
      <c r="T1234" s="18"/>
      <c r="U1234" s="18" t="str">
        <f t="shared" si="158"/>
        <v>8</v>
      </c>
      <c r="V1234" s="18" t="str">
        <f>IF($L1234&lt;"6",INDEX(Revenue_type,MATCH(U1234*1,type!$A$118:$A$168,0),8),INDEX(Expenditure_type,MATCH(U1234*1,type!$A$2:$A$117,0),8))</f>
        <v>השתתפויות תמיכות ותרומות</v>
      </c>
      <c r="W1234" s="18" t="str">
        <f t="shared" si="159"/>
        <v>86</v>
      </c>
      <c r="X1234" s="18" t="str">
        <f>IF($L1234&lt;"6",INDEX(Revenue_type,MATCH(W1234*1,type!$A$118:$A$168,0),8),INDEX(Expenditure_type,MATCH(W1234*1,type!$A$2:$A$117,0),8))</f>
        <v>הנחות</v>
      </c>
      <c r="Y1234" s="18" t="str">
        <f t="shared" si="160"/>
        <v>861</v>
      </c>
      <c r="Z1234" s="18" t="e">
        <f>IF($L1234&lt;"6",INDEX(Revenue_type,MATCH(Y1234*1,type!$A$118:$A$168,0),8),INDEX(Expenditure_type,MATCH(Y1234*1,type!$A$2:$A$117,0),8))</f>
        <v>#N/A</v>
      </c>
    </row>
    <row r="1235" spans="1:26" ht="15.75" hidden="1" customHeight="1" outlineLevel="2">
      <c r="A1235" s="443"/>
      <c r="B1235" s="444"/>
      <c r="C1235"/>
      <c r="D1235"/>
      <c r="E1235" s="400"/>
      <c r="F1235" s="242"/>
      <c r="G1235"/>
      <c r="H1235" s="322">
        <f>SUBTOTAL(9,H3:H1234)</f>
        <v>389325100</v>
      </c>
      <c r="I1235" s="322">
        <f>SUBTOTAL(9,I3:I1234)</f>
        <v>384201200</v>
      </c>
      <c r="J1235" s="322">
        <f>SUBTOTAL(9,J3:J1234)</f>
        <v>381781700</v>
      </c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</row>
    <row r="1236" spans="1:26" ht="15.75" hidden="1" customHeight="1" outlineLevel="2">
      <c r="A1236" s="443"/>
      <c r="B1236" s="444"/>
      <c r="C1236"/>
      <c r="D1236"/>
      <c r="E1236" s="382"/>
      <c r="F1236" s="242"/>
      <c r="G1236"/>
      <c r="H1236" s="322">
        <f>H1235+H690+H350+H349</f>
        <v>391490800</v>
      </c>
      <c r="I1236" s="322"/>
      <c r="J1236" s="242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</row>
    <row r="1237" spans="1:26" ht="15.75" hidden="1" customHeight="1" outlineLevel="2">
      <c r="A1237" s="443"/>
      <c r="B1237" s="444"/>
      <c r="C1237"/>
      <c r="D1237"/>
      <c r="E1237" s="382"/>
      <c r="F1237" s="242"/>
      <c r="G1237"/>
      <c r="H1237" s="322"/>
      <c r="I1237" s="322"/>
      <c r="J1237" s="242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</row>
    <row r="1238" spans="1:26" ht="15.75" hidden="1" customHeight="1" outlineLevel="2">
      <c r="A1238" s="443"/>
      <c r="B1238" s="444"/>
      <c r="C1238"/>
      <c r="D1238"/>
      <c r="E1238" s="391"/>
      <c r="F1238" s="242"/>
      <c r="G1238"/>
      <c r="H1238" s="322"/>
      <c r="I1238" s="322"/>
      <c r="J1238" s="242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</row>
    <row r="1239" spans="1:26" ht="15.75" hidden="1" customHeight="1" outlineLevel="2">
      <c r="A1239" s="443"/>
      <c r="B1239" s="444"/>
      <c r="C1239"/>
      <c r="D1239"/>
      <c r="E1239" s="382"/>
      <c r="F1239" s="242"/>
      <c r="G1239"/>
      <c r="H1239" s="322"/>
      <c r="I1239" s="322"/>
      <c r="J1239" s="242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</row>
    <row r="1240" spans="1:26" ht="15.75" hidden="1" customHeight="1" outlineLevel="2">
      <c r="A1240" s="443"/>
      <c r="B1240" s="444"/>
      <c r="C1240"/>
      <c r="D1240"/>
      <c r="E1240" s="382"/>
      <c r="F1240" s="242"/>
      <c r="G1240"/>
      <c r="H1240" s="322"/>
      <c r="I1240" s="322"/>
      <c r="J1240" s="242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</row>
    <row r="1241" spans="1:26" ht="15.75" hidden="1" customHeight="1" outlineLevel="2">
      <c r="A1241" s="443"/>
      <c r="B1241" s="444"/>
      <c r="C1241"/>
      <c r="D1241"/>
      <c r="E1241" s="382"/>
      <c r="F1241" s="242"/>
      <c r="G1241"/>
      <c r="H1241" s="322"/>
      <c r="I1241" s="322"/>
      <c r="J1241" s="242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</row>
    <row r="1242" spans="1:26" ht="15.75" hidden="1" customHeight="1" outlineLevel="2">
      <c r="A1242" s="443"/>
      <c r="B1242" s="444"/>
      <c r="C1242"/>
      <c r="D1242"/>
      <c r="E1242" s="385"/>
      <c r="F1242" s="242"/>
      <c r="G1242"/>
      <c r="H1242" s="322"/>
      <c r="I1242" s="322"/>
      <c r="J1242" s="242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</row>
    <row r="1243" spans="1:26" ht="15.75" hidden="1" customHeight="1" outlineLevel="2">
      <c r="A1243" s="443"/>
      <c r="B1243" s="444"/>
      <c r="C1243"/>
      <c r="D1243"/>
      <c r="E1243" s="385"/>
      <c r="F1243" s="242"/>
      <c r="G1243"/>
      <c r="H1243" s="322"/>
      <c r="I1243" s="322"/>
      <c r="J1243" s="242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</row>
    <row r="1244" spans="1:26" ht="15.75" hidden="1" customHeight="1" outlineLevel="2">
      <c r="A1244" s="443"/>
      <c r="B1244" s="444"/>
      <c r="C1244"/>
      <c r="D1244"/>
      <c r="E1244" s="391"/>
      <c r="F1244" s="242"/>
      <c r="G1244"/>
      <c r="H1244" s="322"/>
      <c r="I1244" s="322"/>
      <c r="J1244" s="242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</row>
    <row r="1245" spans="1:26" ht="15.75" hidden="1" customHeight="1" outlineLevel="2">
      <c r="A1245" s="443"/>
      <c r="B1245" s="444"/>
      <c r="C1245"/>
      <c r="D1245"/>
      <c r="E1245" s="391"/>
      <c r="F1245" s="242"/>
      <c r="G1245"/>
      <c r="H1245" s="322"/>
      <c r="I1245" s="322"/>
      <c r="J1245" s="242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</row>
    <row r="1246" spans="1:26" ht="15.75" hidden="1" customHeight="1" outlineLevel="2">
      <c r="A1246" s="443"/>
      <c r="B1246" s="444"/>
      <c r="C1246"/>
      <c r="D1246"/>
      <c r="E1246" s="382"/>
      <c r="F1246" s="242"/>
      <c r="G1246"/>
      <c r="H1246" s="322"/>
      <c r="I1246" s="322"/>
      <c r="J1246" s="242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</row>
    <row r="1247" spans="1:26" ht="15.75" hidden="1" customHeight="1" outlineLevel="2">
      <c r="A1247" s="443"/>
      <c r="B1247" s="444"/>
      <c r="C1247"/>
      <c r="D1247"/>
      <c r="E1247" s="382"/>
      <c r="F1247" s="242"/>
      <c r="G1247"/>
      <c r="H1247" s="322"/>
      <c r="I1247" s="322"/>
      <c r="J1247" s="242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</row>
    <row r="1248" spans="1:26" ht="15.75" hidden="1" customHeight="1" outlineLevel="2">
      <c r="A1248" s="443"/>
      <c r="B1248" s="444"/>
      <c r="C1248"/>
      <c r="D1248"/>
      <c r="E1248" s="382"/>
      <c r="F1248" s="242"/>
      <c r="G1248"/>
      <c r="H1248" s="322"/>
      <c r="I1248" s="322"/>
      <c r="J1248" s="242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</row>
    <row r="1249" spans="1:26" ht="15.75" hidden="1" customHeight="1" outlineLevel="2">
      <c r="A1249" s="443"/>
      <c r="B1249" s="444"/>
      <c r="C1249"/>
      <c r="D1249"/>
      <c r="E1249" s="391"/>
      <c r="F1249" s="242"/>
      <c r="G1249"/>
      <c r="H1249" s="322"/>
      <c r="I1249" s="322"/>
      <c r="J1249" s="242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</row>
    <row r="1250" spans="1:26" ht="15.75" hidden="1" customHeight="1" outlineLevel="2">
      <c r="A1250" s="443"/>
      <c r="B1250" s="444"/>
      <c r="C1250"/>
      <c r="D1250"/>
      <c r="E1250" s="382"/>
      <c r="F1250" s="242"/>
      <c r="G1250"/>
      <c r="H1250" s="322"/>
      <c r="I1250" s="322"/>
      <c r="J1250" s="242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</row>
    <row r="1251" spans="1:26" ht="15.75" hidden="1" customHeight="1" outlineLevel="2">
      <c r="A1251" s="443"/>
      <c r="B1251" s="444"/>
      <c r="C1251"/>
      <c r="D1251"/>
      <c r="E1251" s="391"/>
      <c r="F1251" s="242"/>
      <c r="G1251"/>
      <c r="H1251" s="322"/>
      <c r="I1251" s="322"/>
      <c r="J1251" s="242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</row>
    <row r="1252" spans="1:26" ht="15.75" hidden="1" customHeight="1" outlineLevel="2">
      <c r="A1252" s="443"/>
      <c r="B1252" s="444"/>
      <c r="C1252"/>
      <c r="D1252"/>
      <c r="E1252" s="391"/>
      <c r="F1252" s="242"/>
      <c r="G1252"/>
      <c r="H1252" s="322"/>
      <c r="I1252" s="322"/>
      <c r="J1252" s="242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</row>
    <row r="1253" spans="1:26" ht="15.75" hidden="1" customHeight="1" outlineLevel="2">
      <c r="A1253" s="443"/>
      <c r="B1253" s="444"/>
      <c r="C1253"/>
      <c r="D1253"/>
      <c r="E1253" s="382"/>
      <c r="F1253" s="242"/>
      <c r="G1253"/>
      <c r="H1253" s="322"/>
      <c r="I1253" s="322"/>
      <c r="J1253" s="242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</row>
    <row r="1254" spans="1:26" ht="15.75" hidden="1" customHeight="1" outlineLevel="2">
      <c r="A1254" s="443"/>
      <c r="B1254" s="444"/>
      <c r="C1254"/>
      <c r="D1254"/>
      <c r="E1254" s="391"/>
      <c r="F1254" s="242"/>
      <c r="G1254"/>
      <c r="H1254" s="322"/>
      <c r="I1254" s="322"/>
      <c r="J1254" s="242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</row>
    <row r="1255" spans="1:26" ht="15.75" hidden="1" customHeight="1" outlineLevel="2">
      <c r="A1255" s="443"/>
      <c r="B1255" s="444"/>
      <c r="C1255"/>
      <c r="D1255"/>
      <c r="E1255" s="387"/>
      <c r="F1255" s="242"/>
      <c r="G1255"/>
      <c r="H1255" s="322"/>
      <c r="I1255" s="322"/>
      <c r="J1255" s="242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</row>
    <row r="1256" spans="1:26" ht="15.75" hidden="1" customHeight="1" outlineLevel="2">
      <c r="A1256" s="443"/>
      <c r="B1256" s="444"/>
      <c r="C1256"/>
      <c r="D1256"/>
      <c r="E1256" s="391"/>
      <c r="F1256" s="242"/>
      <c r="G1256"/>
      <c r="H1256" s="322"/>
      <c r="I1256" s="322"/>
      <c r="J1256" s="242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</row>
    <row r="1257" spans="1:26" ht="15.75" hidden="1" customHeight="1" outlineLevel="2">
      <c r="A1257" s="443"/>
      <c r="B1257" s="444"/>
      <c r="C1257"/>
      <c r="D1257"/>
      <c r="E1257" s="397"/>
      <c r="F1257" s="242"/>
      <c r="G1257"/>
      <c r="H1257" s="322"/>
      <c r="I1257" s="322"/>
      <c r="J1257" s="242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</row>
    <row r="1258" spans="1:26" ht="15.75" hidden="1" customHeight="1" outlineLevel="2">
      <c r="A1258" s="443"/>
      <c r="B1258" s="444"/>
      <c r="C1258"/>
      <c r="D1258"/>
      <c r="E1258" s="391"/>
      <c r="F1258" s="242"/>
      <c r="G1258"/>
      <c r="H1258" s="322"/>
      <c r="I1258" s="322"/>
      <c r="J1258" s="242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</row>
    <row r="1259" spans="1:26" ht="15.75" hidden="1" customHeight="1" outlineLevel="2">
      <c r="A1259" s="443"/>
      <c r="B1259" s="444"/>
      <c r="C1259"/>
      <c r="D1259"/>
      <c r="E1259" s="391"/>
      <c r="F1259" s="242"/>
      <c r="G1259"/>
      <c r="H1259" s="322"/>
      <c r="I1259" s="322"/>
      <c r="J1259" s="242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</row>
    <row r="1260" spans="1:26" ht="15.75" hidden="1" customHeight="1" outlineLevel="2">
      <c r="A1260" s="443"/>
      <c r="B1260" s="444"/>
      <c r="C1260"/>
      <c r="D1260"/>
      <c r="E1260" s="382"/>
      <c r="F1260" s="242"/>
      <c r="G1260"/>
      <c r="H1260" s="322"/>
      <c r="I1260" s="322"/>
      <c r="J1260" s="242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</row>
    <row r="1261" spans="1:26" ht="15.75" hidden="1" customHeight="1" outlineLevel="2">
      <c r="A1261" s="443"/>
      <c r="B1261" s="444"/>
      <c r="C1261"/>
      <c r="D1261"/>
      <c r="E1261" s="382"/>
      <c r="F1261" s="242"/>
      <c r="G1261"/>
      <c r="H1261" s="322"/>
      <c r="I1261" s="322"/>
      <c r="J1261" s="242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</row>
    <row r="1262" spans="1:26" ht="15.75" hidden="1" customHeight="1" outlineLevel="2">
      <c r="A1262" s="443"/>
      <c r="B1262" s="444"/>
      <c r="C1262"/>
      <c r="D1262"/>
      <c r="E1262" s="391"/>
      <c r="F1262" s="242"/>
      <c r="G1262"/>
      <c r="H1262" s="322"/>
      <c r="I1262" s="322"/>
      <c r="J1262" s="242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</row>
    <row r="1263" spans="1:26" ht="15.75" hidden="1" customHeight="1" outlineLevel="2">
      <c r="A1263" s="443"/>
      <c r="B1263" s="444"/>
      <c r="C1263"/>
      <c r="D1263"/>
      <c r="E1263" s="391"/>
      <c r="F1263" s="242"/>
      <c r="G1263"/>
      <c r="H1263" s="322"/>
      <c r="I1263" s="322"/>
      <c r="J1263" s="242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</row>
    <row r="1264" spans="1:26" ht="15.75" hidden="1" customHeight="1" outlineLevel="2">
      <c r="A1264" s="443"/>
      <c r="B1264" s="444"/>
      <c r="C1264"/>
      <c r="D1264"/>
      <c r="E1264" s="391"/>
      <c r="F1264" s="242"/>
      <c r="G1264"/>
      <c r="H1264" s="322"/>
      <c r="I1264" s="322"/>
      <c r="J1264" s="242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</row>
    <row r="1265" spans="1:26" ht="15.75" hidden="1" customHeight="1" outlineLevel="2">
      <c r="A1265" s="443"/>
      <c r="B1265" s="444"/>
      <c r="C1265"/>
      <c r="D1265"/>
      <c r="E1265" s="391"/>
      <c r="F1265" s="242"/>
      <c r="G1265"/>
      <c r="H1265" s="322"/>
      <c r="I1265" s="322"/>
      <c r="J1265" s="242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</row>
    <row r="1266" spans="1:26" ht="15.75" hidden="1" customHeight="1" outlineLevel="2">
      <c r="A1266" s="443"/>
      <c r="B1266" s="444"/>
      <c r="C1266"/>
      <c r="D1266"/>
      <c r="E1266" s="382"/>
      <c r="F1266" s="242"/>
      <c r="G1266"/>
      <c r="H1266" s="322"/>
      <c r="I1266" s="322"/>
      <c r="J1266" s="242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</row>
    <row r="1267" spans="1:26" ht="15.75" hidden="1" customHeight="1" outlineLevel="2">
      <c r="A1267" s="443"/>
      <c r="B1267" s="444"/>
      <c r="C1267"/>
      <c r="D1267"/>
      <c r="E1267" s="382"/>
      <c r="F1267" s="242"/>
      <c r="G1267"/>
      <c r="H1267" s="322"/>
      <c r="I1267" s="322"/>
      <c r="J1267" s="242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</row>
    <row r="1268" spans="1:26" ht="15.75" hidden="1" customHeight="1" outlineLevel="2">
      <c r="A1268" s="443"/>
      <c r="B1268" s="444"/>
      <c r="C1268"/>
      <c r="D1268"/>
      <c r="E1268" s="391"/>
      <c r="F1268" s="242"/>
      <c r="G1268"/>
      <c r="H1268" s="322"/>
      <c r="I1268" s="322"/>
      <c r="J1268" s="242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</row>
    <row r="1269" spans="1:26" ht="15.75" hidden="1" customHeight="1" outlineLevel="2">
      <c r="A1269" s="443"/>
      <c r="B1269" s="444"/>
      <c r="C1269"/>
      <c r="D1269"/>
      <c r="E1269" s="391"/>
      <c r="F1269" s="242"/>
      <c r="G1269"/>
      <c r="H1269" s="322"/>
      <c r="I1269" s="322"/>
      <c r="J1269" s="242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</row>
    <row r="1270" spans="1:26" ht="15.75" hidden="1" customHeight="1" outlineLevel="2">
      <c r="A1270" s="443"/>
      <c r="B1270" s="444"/>
      <c r="C1270"/>
      <c r="D1270"/>
      <c r="E1270" s="391"/>
      <c r="F1270" s="242"/>
      <c r="G1270"/>
      <c r="H1270" s="322"/>
      <c r="I1270" s="322"/>
      <c r="J1270" s="242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</row>
    <row r="1271" spans="1:26" ht="15.75" hidden="1" customHeight="1" outlineLevel="2">
      <c r="A1271" s="443"/>
      <c r="B1271" s="444"/>
      <c r="C1271"/>
      <c r="D1271"/>
      <c r="E1271" s="382"/>
      <c r="F1271" s="242"/>
      <c r="G1271"/>
      <c r="H1271" s="322"/>
      <c r="I1271" s="322"/>
      <c r="J1271" s="242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</row>
    <row r="1272" spans="1:26" ht="15.75" hidden="1" customHeight="1" outlineLevel="2">
      <c r="A1272" s="443"/>
      <c r="B1272" s="444"/>
      <c r="C1272"/>
      <c r="D1272"/>
      <c r="E1272" s="385"/>
      <c r="F1272" s="242"/>
      <c r="G1272"/>
      <c r="H1272" s="322"/>
      <c r="I1272" s="322"/>
      <c r="J1272" s="242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</row>
    <row r="1273" spans="1:26" ht="15.75" hidden="1" customHeight="1" outlineLevel="2">
      <c r="A1273" s="443"/>
      <c r="B1273" s="444"/>
      <c r="C1273"/>
      <c r="D1273"/>
      <c r="E1273" s="405"/>
      <c r="F1273" s="242"/>
      <c r="G1273"/>
      <c r="H1273" s="322"/>
      <c r="I1273" s="322"/>
      <c r="J1273" s="242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</row>
    <row r="1274" spans="1:26" ht="15.75" hidden="1" customHeight="1" outlineLevel="2">
      <c r="A1274" s="443"/>
      <c r="B1274" s="444"/>
      <c r="C1274"/>
      <c r="D1274"/>
      <c r="E1274" s="382"/>
      <c r="F1274" s="242"/>
      <c r="G1274"/>
      <c r="H1274" s="322"/>
      <c r="I1274" s="322"/>
      <c r="J1274" s="242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</row>
    <row r="1275" spans="1:26" ht="15.75" hidden="1" customHeight="1" outlineLevel="2">
      <c r="A1275" s="443"/>
      <c r="B1275" s="444"/>
      <c r="C1275"/>
      <c r="D1275"/>
      <c r="E1275" s="405"/>
      <c r="F1275" s="242"/>
      <c r="G1275"/>
      <c r="H1275" s="322"/>
      <c r="I1275" s="322"/>
      <c r="J1275" s="242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</row>
    <row r="1276" spans="1:26" ht="15.75" hidden="1" customHeight="1" outlineLevel="2">
      <c r="A1276" s="443"/>
      <c r="B1276" s="444"/>
      <c r="C1276"/>
      <c r="D1276"/>
      <c r="E1276" s="405"/>
      <c r="F1276" s="242"/>
      <c r="G1276"/>
      <c r="H1276" s="322"/>
      <c r="I1276" s="322"/>
      <c r="J1276" s="242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</row>
    <row r="1277" spans="1:26" ht="15.75" hidden="1" customHeight="1" outlineLevel="2">
      <c r="A1277" s="443"/>
      <c r="B1277" s="444"/>
      <c r="C1277"/>
      <c r="D1277"/>
      <c r="E1277" s="405"/>
      <c r="F1277" s="242"/>
      <c r="G1277"/>
      <c r="H1277" s="322"/>
      <c r="I1277" s="322"/>
      <c r="J1277" s="242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</row>
    <row r="1278" spans="1:26" ht="15.75" hidden="1" customHeight="1" outlineLevel="2">
      <c r="A1278" s="443"/>
      <c r="B1278" s="444"/>
      <c r="C1278"/>
      <c r="D1278"/>
      <c r="E1278" s="405"/>
      <c r="F1278" s="242"/>
      <c r="G1278"/>
      <c r="H1278" s="322"/>
      <c r="I1278" s="322"/>
      <c r="J1278" s="242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</row>
    <row r="1279" spans="1:26" ht="15.75" hidden="1" customHeight="1" outlineLevel="2">
      <c r="A1279" s="443"/>
      <c r="B1279" s="444"/>
      <c r="C1279"/>
      <c r="D1279"/>
      <c r="E1279" s="405"/>
      <c r="F1279" s="242"/>
      <c r="G1279"/>
      <c r="H1279" s="322"/>
      <c r="I1279" s="322"/>
      <c r="J1279" s="242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</row>
    <row r="1280" spans="1:26" ht="15.75" hidden="1" customHeight="1" outlineLevel="2">
      <c r="A1280" s="443"/>
      <c r="B1280" s="444"/>
      <c r="C1280"/>
      <c r="D1280"/>
      <c r="E1280" s="405"/>
      <c r="F1280" s="242"/>
      <c r="G1280"/>
      <c r="H1280" s="322"/>
      <c r="I1280" s="322"/>
      <c r="J1280" s="242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</row>
    <row r="1281" spans="1:26" ht="15.75" hidden="1" customHeight="1" outlineLevel="2">
      <c r="A1281" s="443"/>
      <c r="B1281" s="444"/>
      <c r="C1281"/>
      <c r="D1281"/>
      <c r="E1281" s="385"/>
      <c r="F1281" s="242"/>
      <c r="G1281"/>
      <c r="H1281" s="322"/>
      <c r="I1281" s="322"/>
      <c r="J1281" s="242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</row>
    <row r="1282" spans="1:26" ht="15.75" hidden="1" customHeight="1" outlineLevel="2">
      <c r="A1282" s="443"/>
      <c r="B1282" s="444"/>
      <c r="C1282"/>
      <c r="D1282"/>
      <c r="E1282" s="385"/>
      <c r="F1282" s="242"/>
      <c r="G1282"/>
      <c r="H1282" s="322"/>
      <c r="I1282" s="322"/>
      <c r="J1282" s="242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</row>
    <row r="1283" spans="1:26" ht="15.75" hidden="1" customHeight="1" outlineLevel="2">
      <c r="A1283" s="443"/>
      <c r="B1283" s="444"/>
      <c r="C1283"/>
      <c r="D1283"/>
      <c r="E1283" s="385"/>
      <c r="F1283" s="242"/>
      <c r="G1283"/>
      <c r="H1283" s="322"/>
      <c r="I1283" s="322"/>
      <c r="J1283" s="242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</row>
    <row r="1284" spans="1:26" ht="15.75" hidden="1" customHeight="1" outlineLevel="2">
      <c r="A1284" s="443"/>
      <c r="B1284" s="444"/>
      <c r="C1284"/>
      <c r="D1284"/>
      <c r="E1284" s="385"/>
      <c r="F1284" s="242"/>
      <c r="G1284"/>
      <c r="H1284" s="322"/>
      <c r="I1284" s="322"/>
      <c r="J1284" s="242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</row>
    <row r="1285" spans="1:26" ht="15.75" hidden="1" customHeight="1" outlineLevel="2">
      <c r="A1285" s="443"/>
      <c r="B1285" s="444"/>
      <c r="C1285"/>
      <c r="D1285"/>
      <c r="E1285" s="397"/>
      <c r="F1285" s="242"/>
      <c r="G1285"/>
      <c r="H1285" s="322"/>
      <c r="I1285" s="322"/>
      <c r="J1285" s="242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</row>
    <row r="1286" spans="1:26" ht="15.75" hidden="1" customHeight="1" outlineLevel="2">
      <c r="A1286" s="443"/>
      <c r="B1286" s="444"/>
      <c r="C1286"/>
      <c r="D1286"/>
      <c r="E1286" s="385"/>
      <c r="F1286" s="242"/>
      <c r="G1286"/>
      <c r="H1286" s="322"/>
      <c r="I1286" s="322"/>
      <c r="J1286" s="242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</row>
    <row r="1287" spans="1:26" ht="15.75" hidden="1" customHeight="1" outlineLevel="2">
      <c r="A1287" s="443"/>
      <c r="B1287" s="444"/>
      <c r="C1287"/>
      <c r="D1287"/>
      <c r="E1287" s="385"/>
      <c r="F1287" s="242"/>
      <c r="G1287"/>
      <c r="H1287" s="322"/>
      <c r="I1287" s="322"/>
      <c r="J1287" s="242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</row>
    <row r="1288" spans="1:26" ht="15.75" hidden="1" customHeight="1" outlineLevel="2">
      <c r="A1288" s="443"/>
      <c r="B1288" s="444"/>
      <c r="C1288"/>
      <c r="D1288"/>
      <c r="E1288" s="385"/>
      <c r="F1288" s="242"/>
      <c r="G1288"/>
      <c r="H1288" s="322"/>
      <c r="I1288" s="322"/>
      <c r="J1288" s="242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</row>
    <row r="1289" spans="1:26" ht="15.75" hidden="1" customHeight="1" outlineLevel="2">
      <c r="A1289" s="443"/>
      <c r="B1289" s="444"/>
      <c r="C1289"/>
      <c r="D1289"/>
      <c r="E1289" s="385"/>
      <c r="F1289" s="242"/>
      <c r="G1289"/>
      <c r="H1289" s="322"/>
      <c r="I1289" s="322"/>
      <c r="J1289" s="242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</row>
    <row r="1290" spans="1:26" ht="15.75" hidden="1" customHeight="1" outlineLevel="2">
      <c r="A1290" s="443"/>
      <c r="B1290" s="444"/>
      <c r="C1290"/>
      <c r="D1290"/>
      <c r="E1290" s="385"/>
      <c r="F1290" s="242"/>
      <c r="G1290"/>
      <c r="H1290" s="322"/>
      <c r="I1290" s="322"/>
      <c r="J1290" s="242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</row>
    <row r="1291" spans="1:26" ht="15.75" hidden="1" customHeight="1" outlineLevel="2">
      <c r="A1291" s="443"/>
      <c r="B1291" s="444"/>
      <c r="C1291"/>
      <c r="D1291"/>
      <c r="E1291" s="385"/>
      <c r="F1291" s="242"/>
      <c r="G1291"/>
      <c r="H1291" s="322"/>
      <c r="I1291" s="322"/>
      <c r="J1291" s="242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</row>
    <row r="1292" spans="1:26" ht="15.75" hidden="1" customHeight="1" outlineLevel="2">
      <c r="A1292" s="443"/>
      <c r="B1292" s="444"/>
      <c r="C1292"/>
      <c r="D1292"/>
      <c r="E1292" s="381"/>
      <c r="F1292" s="242"/>
      <c r="G1292"/>
      <c r="H1292" s="322"/>
      <c r="I1292" s="322"/>
      <c r="J1292" s="242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</row>
    <row r="1293" spans="1:26" ht="15.75" hidden="1" customHeight="1" outlineLevel="2">
      <c r="A1293" s="443"/>
      <c r="B1293" s="444"/>
      <c r="C1293"/>
      <c r="D1293"/>
      <c r="E1293" s="391"/>
      <c r="F1293" s="242"/>
      <c r="G1293"/>
      <c r="H1293" s="322"/>
      <c r="I1293" s="322"/>
      <c r="J1293" s="242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</row>
    <row r="1294" spans="1:26" ht="15.75" hidden="1" customHeight="1" outlineLevel="2">
      <c r="A1294" s="443"/>
      <c r="B1294" s="444"/>
      <c r="C1294"/>
      <c r="D1294"/>
      <c r="E1294" s="391"/>
      <c r="F1294" s="242"/>
      <c r="G1294"/>
      <c r="H1294" s="322"/>
      <c r="I1294" s="322"/>
      <c r="J1294" s="242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</row>
    <row r="1295" spans="1:26" ht="15.75" hidden="1" customHeight="1" outlineLevel="2">
      <c r="A1295" s="443"/>
      <c r="B1295" s="444"/>
      <c r="C1295"/>
      <c r="D1295"/>
      <c r="E1295" s="391"/>
      <c r="F1295" s="242"/>
      <c r="G1295"/>
      <c r="H1295" s="322"/>
      <c r="I1295" s="322"/>
      <c r="J1295" s="242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</row>
    <row r="1296" spans="1:26" ht="15.75" hidden="1" customHeight="1" outlineLevel="2">
      <c r="A1296" s="443"/>
      <c r="B1296" s="444"/>
      <c r="C1296"/>
      <c r="D1296"/>
      <c r="E1296" s="382"/>
      <c r="F1296" s="242"/>
      <c r="G1296"/>
      <c r="H1296" s="322"/>
      <c r="I1296" s="322"/>
      <c r="J1296" s="242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</row>
    <row r="1297" spans="1:26" ht="15.75" hidden="1" customHeight="1" outlineLevel="2">
      <c r="A1297" s="443"/>
      <c r="B1297" s="444"/>
      <c r="C1297"/>
      <c r="D1297"/>
      <c r="E1297" s="400"/>
      <c r="F1297" s="242"/>
      <c r="G1297"/>
      <c r="H1297" s="322"/>
      <c r="I1297" s="322"/>
      <c r="J1297" s="242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</row>
    <row r="1298" spans="1:26" ht="15.75" hidden="1" customHeight="1" outlineLevel="2">
      <c r="A1298" s="443"/>
      <c r="B1298" s="444"/>
      <c r="C1298"/>
      <c r="D1298"/>
      <c r="E1298" s="391"/>
      <c r="F1298" s="242"/>
      <c r="G1298"/>
      <c r="H1298" s="322"/>
      <c r="I1298" s="322"/>
      <c r="J1298" s="242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</row>
    <row r="1299" spans="1:26" ht="15.75" hidden="1" customHeight="1" outlineLevel="2">
      <c r="A1299" s="443"/>
      <c r="B1299" s="444"/>
      <c r="C1299"/>
      <c r="D1299"/>
      <c r="E1299" s="391"/>
      <c r="F1299" s="242"/>
      <c r="G1299"/>
      <c r="H1299" s="322"/>
      <c r="I1299" s="322"/>
      <c r="J1299" s="242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</row>
    <row r="1300" spans="1:26" ht="15.75" hidden="1" customHeight="1" outlineLevel="2">
      <c r="A1300" s="443"/>
      <c r="B1300" s="444"/>
      <c r="C1300"/>
      <c r="D1300"/>
      <c r="E1300" s="391"/>
      <c r="F1300" s="242"/>
      <c r="G1300"/>
      <c r="H1300" s="322"/>
      <c r="I1300" s="322"/>
      <c r="J1300" s="242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</row>
    <row r="1301" spans="1:26" ht="15.75" hidden="1" customHeight="1" outlineLevel="2">
      <c r="A1301" s="443"/>
      <c r="B1301" s="444"/>
      <c r="C1301"/>
      <c r="D1301"/>
      <c r="E1301" s="382"/>
      <c r="F1301" s="242"/>
      <c r="G1301"/>
      <c r="H1301" s="322"/>
      <c r="I1301" s="322"/>
      <c r="J1301" s="242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</row>
    <row r="1302" spans="1:26" ht="15.75" hidden="1" customHeight="1" outlineLevel="2">
      <c r="A1302" s="443"/>
      <c r="B1302" s="444"/>
      <c r="C1302"/>
      <c r="D1302"/>
      <c r="E1302" s="382"/>
      <c r="F1302" s="242"/>
      <c r="G1302"/>
      <c r="H1302" s="322"/>
      <c r="I1302" s="322"/>
      <c r="J1302" s="242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</row>
    <row r="1303" spans="1:26" ht="15.75" hidden="1" customHeight="1" outlineLevel="2">
      <c r="A1303" s="443"/>
      <c r="B1303" s="444"/>
      <c r="C1303"/>
      <c r="D1303"/>
      <c r="E1303" s="382"/>
      <c r="F1303" s="242"/>
      <c r="G1303"/>
      <c r="H1303" s="322"/>
      <c r="I1303" s="322"/>
      <c r="J1303" s="242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</row>
    <row r="1304" spans="1:26" ht="15.75" hidden="1" customHeight="1" outlineLevel="2">
      <c r="A1304" s="443"/>
      <c r="B1304" s="444"/>
      <c r="C1304"/>
      <c r="D1304"/>
      <c r="E1304" s="382"/>
      <c r="F1304" s="242"/>
      <c r="G1304"/>
      <c r="H1304" s="322"/>
      <c r="I1304" s="322"/>
      <c r="J1304" s="242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</row>
    <row r="1305" spans="1:26" ht="15.75" hidden="1" customHeight="1" outlineLevel="2">
      <c r="A1305" s="443"/>
      <c r="B1305" s="444"/>
      <c r="C1305"/>
      <c r="D1305"/>
      <c r="E1305" s="382"/>
      <c r="F1305" s="242"/>
      <c r="G1305"/>
      <c r="H1305" s="322"/>
      <c r="I1305" s="322"/>
      <c r="J1305" s="242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</row>
    <row r="1306" spans="1:26" ht="15.75" hidden="1" customHeight="1" outlineLevel="2">
      <c r="A1306" s="443"/>
      <c r="B1306" s="444"/>
      <c r="C1306"/>
      <c r="D1306"/>
      <c r="E1306" s="382"/>
      <c r="F1306" s="242"/>
      <c r="G1306"/>
      <c r="H1306" s="322"/>
      <c r="I1306" s="322"/>
      <c r="J1306" s="242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</row>
    <row r="1307" spans="1:26" ht="15.75" hidden="1" customHeight="1" outlineLevel="2">
      <c r="A1307" s="443"/>
      <c r="B1307" s="444"/>
      <c r="C1307"/>
      <c r="D1307"/>
      <c r="E1307" s="382"/>
      <c r="F1307" s="242"/>
      <c r="G1307"/>
      <c r="H1307" s="322"/>
      <c r="I1307" s="322"/>
      <c r="J1307" s="242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</row>
    <row r="1308" spans="1:26" ht="15.75" hidden="1" customHeight="1" outlineLevel="2">
      <c r="A1308" s="443"/>
      <c r="B1308" s="444"/>
      <c r="C1308"/>
      <c r="D1308"/>
      <c r="E1308" s="400"/>
      <c r="F1308" s="242"/>
      <c r="G1308"/>
      <c r="H1308" s="322"/>
      <c r="I1308" s="322"/>
      <c r="J1308" s="242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</row>
    <row r="1309" spans="1:26" ht="15.75" hidden="1" customHeight="1" outlineLevel="2">
      <c r="A1309" s="443"/>
      <c r="B1309" s="444"/>
      <c r="C1309"/>
      <c r="D1309"/>
      <c r="E1309" s="413"/>
      <c r="F1309" s="242"/>
      <c r="G1309"/>
      <c r="H1309" s="322"/>
      <c r="I1309" s="322"/>
      <c r="J1309" s="242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</row>
    <row r="1310" spans="1:26" ht="15.75" hidden="1" customHeight="1" outlineLevel="2">
      <c r="A1310" s="443"/>
      <c r="B1310" s="444"/>
      <c r="C1310"/>
      <c r="D1310"/>
      <c r="E1310" s="382"/>
      <c r="F1310" s="242"/>
      <c r="G1310"/>
      <c r="H1310" s="322"/>
      <c r="I1310" s="322"/>
      <c r="J1310" s="242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</row>
    <row r="1311" spans="1:26" ht="15.75" hidden="1" customHeight="1" outlineLevel="2">
      <c r="A1311" s="443"/>
      <c r="B1311" s="444"/>
      <c r="C1311"/>
      <c r="D1311"/>
      <c r="E1311" s="382"/>
      <c r="F1311" s="242"/>
      <c r="G1311"/>
      <c r="H1311" s="322"/>
      <c r="I1311" s="322"/>
      <c r="J1311" s="242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</row>
    <row r="1312" spans="1:26" ht="15.75" hidden="1" customHeight="1" outlineLevel="2">
      <c r="A1312" s="443"/>
      <c r="B1312" s="444"/>
      <c r="C1312"/>
      <c r="D1312"/>
      <c r="E1312" s="382"/>
      <c r="F1312" s="242"/>
      <c r="G1312"/>
      <c r="H1312" s="322"/>
      <c r="I1312" s="322"/>
      <c r="J1312" s="242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</row>
    <row r="1313" spans="1:26" ht="15.75" hidden="1" customHeight="1" outlineLevel="2">
      <c r="A1313" s="443"/>
      <c r="B1313" s="444"/>
      <c r="C1313"/>
      <c r="D1313"/>
      <c r="E1313" s="385"/>
      <c r="F1313" s="242"/>
      <c r="G1313"/>
      <c r="H1313" s="322"/>
      <c r="I1313" s="322"/>
      <c r="J1313" s="242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</row>
    <row r="1314" spans="1:26" ht="15.75" hidden="1" customHeight="1" outlineLevel="2">
      <c r="A1314" s="443"/>
      <c r="B1314" s="444"/>
      <c r="C1314"/>
      <c r="D1314"/>
      <c r="E1314" s="382"/>
      <c r="F1314" s="242"/>
      <c r="G1314"/>
      <c r="H1314" s="322"/>
      <c r="I1314" s="322"/>
      <c r="J1314" s="242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</row>
    <row r="1315" spans="1:26" ht="15.75" hidden="1" customHeight="1" outlineLevel="2">
      <c r="A1315" s="443"/>
      <c r="B1315" s="444"/>
      <c r="C1315"/>
      <c r="D1315"/>
      <c r="E1315" s="382"/>
      <c r="F1315" s="242"/>
      <c r="G1315"/>
      <c r="H1315" s="322"/>
      <c r="I1315" s="322"/>
      <c r="J1315" s="242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</row>
    <row r="1316" spans="1:26" ht="15.75" hidden="1" customHeight="1" outlineLevel="2">
      <c r="A1316" s="443"/>
      <c r="B1316" s="444"/>
      <c r="C1316"/>
      <c r="D1316"/>
      <c r="E1316" s="381"/>
      <c r="F1316" s="242"/>
      <c r="G1316"/>
      <c r="H1316" s="322"/>
      <c r="I1316" s="322"/>
      <c r="J1316" s="242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</row>
    <row r="1317" spans="1:26" ht="15.75" hidden="1" customHeight="1" outlineLevel="2">
      <c r="A1317" s="443"/>
      <c r="B1317" s="444"/>
      <c r="C1317"/>
      <c r="D1317"/>
      <c r="E1317" s="381"/>
      <c r="F1317" s="242"/>
      <c r="G1317"/>
      <c r="H1317" s="322"/>
      <c r="I1317" s="322"/>
      <c r="J1317" s="242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</row>
    <row r="1318" spans="1:26" ht="15.75" hidden="1" customHeight="1" outlineLevel="2">
      <c r="A1318" s="443"/>
      <c r="B1318" s="444"/>
      <c r="C1318"/>
      <c r="D1318"/>
      <c r="E1318" s="381"/>
      <c r="F1318" s="242"/>
      <c r="G1318"/>
      <c r="H1318" s="322"/>
      <c r="I1318" s="322"/>
      <c r="J1318" s="242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</row>
    <row r="1319" spans="1:26" ht="15.75" hidden="1" customHeight="1" outlineLevel="2">
      <c r="A1319" s="443"/>
      <c r="B1319" s="444"/>
      <c r="C1319"/>
      <c r="D1319"/>
      <c r="E1319" s="381"/>
      <c r="F1319" s="242"/>
      <c r="G1319"/>
      <c r="H1319" s="322"/>
      <c r="I1319" s="322"/>
      <c r="J1319" s="242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</row>
    <row r="1320" spans="1:26" ht="15.75" hidden="1" customHeight="1" outlineLevel="2">
      <c r="A1320" s="443"/>
      <c r="B1320" s="444"/>
      <c r="C1320"/>
      <c r="D1320"/>
      <c r="E1320" s="381"/>
      <c r="F1320" s="242"/>
      <c r="G1320"/>
      <c r="H1320" s="322"/>
      <c r="I1320" s="322"/>
      <c r="J1320" s="242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</row>
    <row r="1321" spans="1:26" ht="15.75" hidden="1" customHeight="1" outlineLevel="2">
      <c r="A1321" s="443"/>
      <c r="B1321" s="444"/>
      <c r="C1321"/>
      <c r="D1321"/>
      <c r="E1321" s="381"/>
      <c r="F1321" s="242"/>
      <c r="G1321"/>
      <c r="H1321" s="322"/>
      <c r="I1321" s="322"/>
      <c r="J1321" s="242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</row>
    <row r="1322" spans="1:26" ht="15.75" hidden="1" customHeight="1" outlineLevel="2">
      <c r="A1322" s="443"/>
      <c r="B1322" s="444"/>
      <c r="C1322"/>
      <c r="D1322"/>
      <c r="E1322" s="391"/>
      <c r="F1322" s="242"/>
      <c r="G1322"/>
      <c r="H1322" s="322"/>
      <c r="I1322" s="322"/>
      <c r="J1322" s="242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</row>
    <row r="1323" spans="1:26" ht="15.75" hidden="1" customHeight="1" outlineLevel="2">
      <c r="A1323" s="443"/>
      <c r="B1323" s="444"/>
      <c r="C1323"/>
      <c r="D1323"/>
      <c r="E1323" s="382"/>
      <c r="F1323" s="242"/>
      <c r="G1323"/>
      <c r="H1323" s="322"/>
      <c r="I1323" s="322"/>
      <c r="J1323" s="242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</row>
    <row r="1324" spans="1:26" ht="15.75" hidden="1" customHeight="1" outlineLevel="2">
      <c r="A1324" s="443"/>
      <c r="B1324" s="444"/>
      <c r="C1324"/>
      <c r="D1324"/>
      <c r="E1324" s="382"/>
      <c r="F1324" s="242"/>
      <c r="G1324"/>
      <c r="H1324" s="322"/>
      <c r="I1324" s="322"/>
      <c r="J1324" s="242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</row>
    <row r="1325" spans="1:26" ht="15.75" hidden="1" customHeight="1" outlineLevel="2">
      <c r="A1325" s="443"/>
      <c r="B1325" s="444"/>
      <c r="C1325"/>
      <c r="D1325"/>
      <c r="E1325" s="381"/>
      <c r="F1325" s="242"/>
      <c r="G1325"/>
      <c r="H1325" s="322"/>
      <c r="I1325" s="322"/>
      <c r="J1325" s="242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</row>
    <row r="1326" spans="1:26" ht="15.75" hidden="1" customHeight="1" outlineLevel="2">
      <c r="A1326" s="443"/>
      <c r="B1326" s="444"/>
      <c r="C1326"/>
      <c r="D1326"/>
      <c r="E1326" s="414"/>
      <c r="F1326" s="242"/>
      <c r="G1326"/>
      <c r="H1326" s="322"/>
      <c r="I1326" s="322"/>
      <c r="J1326" s="242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</row>
    <row r="1327" spans="1:26" ht="15.75" hidden="1" customHeight="1" outlineLevel="2">
      <c r="A1327" s="443"/>
      <c r="B1327" s="444"/>
      <c r="C1327"/>
      <c r="D1327"/>
      <c r="E1327" s="414"/>
      <c r="F1327" s="242"/>
      <c r="G1327"/>
      <c r="H1327" s="322"/>
      <c r="I1327" s="322"/>
      <c r="J1327" s="242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</row>
    <row r="1328" spans="1:26" ht="15.75" hidden="1" customHeight="1" outlineLevel="2">
      <c r="A1328" s="443"/>
      <c r="B1328" s="444"/>
      <c r="C1328"/>
      <c r="D1328"/>
      <c r="E1328" s="378"/>
      <c r="F1328" s="242"/>
      <c r="G1328"/>
      <c r="H1328" s="322"/>
      <c r="I1328" s="322"/>
      <c r="J1328" s="242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</row>
    <row r="1329" spans="1:26" ht="15.75" hidden="1" customHeight="1" outlineLevel="2">
      <c r="A1329" s="443"/>
      <c r="B1329" s="444"/>
      <c r="C1329"/>
      <c r="D1329"/>
      <c r="E1329" s="378"/>
      <c r="F1329" s="242"/>
      <c r="G1329"/>
      <c r="H1329" s="322"/>
      <c r="I1329" s="322"/>
      <c r="J1329" s="242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</row>
    <row r="1330" spans="1:26" ht="15.75" hidden="1" customHeight="1" outlineLevel="2">
      <c r="A1330" s="443"/>
      <c r="B1330" s="444"/>
      <c r="C1330"/>
      <c r="D1330"/>
      <c r="E1330" s="378"/>
      <c r="F1330" s="242"/>
      <c r="G1330"/>
      <c r="H1330" s="322"/>
      <c r="I1330" s="322"/>
      <c r="J1330" s="242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</row>
    <row r="1331" spans="1:26" ht="15.75" hidden="1" customHeight="1" outlineLevel="2">
      <c r="A1331" s="443"/>
      <c r="B1331" s="444"/>
      <c r="C1331"/>
      <c r="D1331"/>
      <c r="E1331" s="382"/>
      <c r="F1331" s="242"/>
      <c r="G1331"/>
      <c r="H1331" s="322"/>
      <c r="I1331" s="322"/>
      <c r="J1331" s="242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</row>
    <row r="1332" spans="1:26" ht="15.75" hidden="1" customHeight="1" outlineLevel="2">
      <c r="A1332" s="443"/>
      <c r="B1332" s="444"/>
      <c r="C1332"/>
      <c r="D1332"/>
      <c r="E1332" s="415"/>
      <c r="F1332" s="242"/>
      <c r="G1332"/>
      <c r="H1332" s="322"/>
      <c r="I1332" s="322"/>
      <c r="J1332" s="242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</row>
    <row r="1333" spans="1:26" ht="15.75" hidden="1" customHeight="1" outlineLevel="2">
      <c r="A1333" s="443"/>
      <c r="B1333" s="444"/>
      <c r="C1333"/>
      <c r="D1333"/>
      <c r="E1333" s="413"/>
      <c r="F1333" s="242"/>
      <c r="G1333"/>
      <c r="H1333" s="322"/>
      <c r="I1333" s="322"/>
      <c r="J1333" s="242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</row>
    <row r="1334" spans="1:26" ht="15.75" hidden="1" customHeight="1" outlineLevel="2">
      <c r="A1334" s="443"/>
      <c r="B1334" s="444"/>
      <c r="C1334"/>
      <c r="D1334"/>
      <c r="E1334" s="378"/>
      <c r="F1334" s="242"/>
      <c r="G1334"/>
      <c r="H1334" s="322"/>
      <c r="I1334" s="322"/>
      <c r="J1334" s="242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</row>
    <row r="1335" spans="1:26" ht="15.75" hidden="1" customHeight="1" outlineLevel="2">
      <c r="A1335" s="443"/>
      <c r="B1335" s="444"/>
      <c r="C1335"/>
      <c r="D1335"/>
      <c r="E1335" s="378"/>
      <c r="F1335" s="242"/>
      <c r="G1335"/>
      <c r="H1335" s="322"/>
      <c r="I1335" s="322"/>
      <c r="J1335" s="242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</row>
    <row r="1336" spans="1:26" ht="15.75" hidden="1" customHeight="1" outlineLevel="2">
      <c r="A1336" s="443"/>
      <c r="B1336" s="444"/>
      <c r="C1336"/>
      <c r="D1336"/>
      <c r="E1336" s="378"/>
      <c r="F1336" s="242"/>
      <c r="G1336"/>
      <c r="H1336" s="322"/>
      <c r="I1336" s="322"/>
      <c r="J1336" s="242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</row>
    <row r="1337" spans="1:26" ht="15.75" hidden="1" customHeight="1" outlineLevel="2">
      <c r="A1337" s="443"/>
      <c r="B1337" s="444"/>
      <c r="C1337"/>
      <c r="D1337"/>
      <c r="E1337" s="382"/>
      <c r="F1337" s="242"/>
      <c r="G1337"/>
      <c r="H1337" s="322"/>
      <c r="I1337" s="322"/>
      <c r="J1337" s="242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</row>
    <row r="1338" spans="1:26" ht="15.75" hidden="1" customHeight="1" outlineLevel="2">
      <c r="A1338" s="443"/>
      <c r="B1338" s="444"/>
      <c r="C1338"/>
      <c r="D1338"/>
      <c r="E1338" s="382"/>
      <c r="F1338" s="242"/>
      <c r="G1338"/>
      <c r="H1338" s="322"/>
      <c r="I1338" s="322"/>
      <c r="J1338" s="242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</row>
    <row r="1339" spans="1:26" ht="15.75" hidden="1" customHeight="1" outlineLevel="2">
      <c r="A1339" s="443"/>
      <c r="B1339" s="444"/>
      <c r="C1339"/>
      <c r="D1339"/>
      <c r="E1339" s="382"/>
      <c r="F1339" s="242"/>
      <c r="G1339"/>
      <c r="H1339" s="322"/>
      <c r="I1339" s="322"/>
      <c r="J1339" s="242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</row>
    <row r="1340" spans="1:26" ht="15.75" hidden="1" customHeight="1" outlineLevel="2">
      <c r="A1340" s="443"/>
      <c r="B1340" s="444"/>
      <c r="C1340"/>
      <c r="D1340"/>
      <c r="E1340" s="382"/>
      <c r="F1340" s="242"/>
      <c r="G1340"/>
      <c r="H1340" s="322"/>
      <c r="I1340" s="322"/>
      <c r="J1340" s="242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</row>
    <row r="1341" spans="1:26" ht="15.75" hidden="1" customHeight="1" outlineLevel="2">
      <c r="A1341" s="443"/>
      <c r="B1341" s="444"/>
      <c r="C1341"/>
      <c r="D1341"/>
      <c r="E1341" s="382"/>
      <c r="F1341" s="242"/>
      <c r="G1341"/>
      <c r="H1341" s="322"/>
      <c r="I1341" s="322"/>
      <c r="J1341" s="242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</row>
    <row r="1342" spans="1:26" ht="15.75" hidden="1" customHeight="1" outlineLevel="2">
      <c r="A1342" s="443"/>
      <c r="B1342" s="444"/>
      <c r="C1342"/>
      <c r="D1342"/>
      <c r="E1342" s="382"/>
      <c r="F1342" s="242"/>
      <c r="G1342"/>
      <c r="H1342" s="322"/>
      <c r="I1342" s="322"/>
      <c r="J1342" s="242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</row>
    <row r="1343" spans="1:26" ht="15.75" hidden="1" customHeight="1" outlineLevel="2">
      <c r="A1343" s="443"/>
      <c r="B1343" s="444"/>
      <c r="C1343"/>
      <c r="D1343"/>
      <c r="E1343" s="385"/>
      <c r="F1343" s="242"/>
      <c r="G1343"/>
      <c r="H1343" s="322"/>
      <c r="I1343" s="322"/>
      <c r="J1343" s="242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</row>
    <row r="1344" spans="1:26" ht="15.75" hidden="1" customHeight="1" outlineLevel="2">
      <c r="A1344" s="443"/>
      <c r="B1344" s="444"/>
      <c r="C1344"/>
      <c r="D1344"/>
      <c r="E1344" s="385"/>
      <c r="F1344" s="242"/>
      <c r="G1344"/>
      <c r="H1344" s="322"/>
      <c r="I1344" s="322"/>
      <c r="J1344" s="242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</row>
    <row r="1345" spans="1:26" ht="15.75" hidden="1" customHeight="1" outlineLevel="2">
      <c r="A1345" s="443"/>
      <c r="B1345" s="444"/>
      <c r="C1345"/>
      <c r="D1345"/>
      <c r="E1345" s="382"/>
      <c r="F1345" s="242"/>
      <c r="G1345"/>
      <c r="H1345" s="322"/>
      <c r="I1345" s="322"/>
      <c r="J1345" s="242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</row>
    <row r="1346" spans="1:26" ht="15.75" hidden="1" customHeight="1" outlineLevel="2">
      <c r="A1346" s="443"/>
      <c r="B1346" s="444"/>
      <c r="C1346"/>
      <c r="D1346"/>
      <c r="E1346" s="381"/>
      <c r="F1346" s="242"/>
      <c r="G1346"/>
      <c r="H1346" s="322"/>
      <c r="I1346" s="322"/>
      <c r="J1346" s="242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</row>
    <row r="1347" spans="1:26" ht="15.75" hidden="1" customHeight="1" outlineLevel="2">
      <c r="A1347" s="443"/>
      <c r="B1347" s="444"/>
      <c r="C1347"/>
      <c r="D1347"/>
      <c r="E1347" s="391"/>
      <c r="F1347" s="242"/>
      <c r="G1347"/>
      <c r="H1347" s="322"/>
      <c r="I1347" s="322"/>
      <c r="J1347" s="242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</row>
    <row r="1348" spans="1:26" ht="15.75" hidden="1" customHeight="1" outlineLevel="2">
      <c r="A1348" s="443"/>
      <c r="B1348" s="444"/>
      <c r="C1348"/>
      <c r="D1348"/>
      <c r="E1348" s="391"/>
      <c r="F1348" s="242"/>
      <c r="G1348"/>
      <c r="H1348" s="322"/>
      <c r="I1348" s="322"/>
      <c r="J1348" s="242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</row>
    <row r="1349" spans="1:26" ht="15.75" hidden="1" customHeight="1" outlineLevel="2">
      <c r="A1349" s="443"/>
      <c r="B1349" s="444"/>
      <c r="C1349"/>
      <c r="D1349"/>
      <c r="E1349" s="391"/>
      <c r="F1349" s="242"/>
      <c r="G1349"/>
      <c r="H1349" s="322"/>
      <c r="I1349" s="322"/>
      <c r="J1349" s="242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</row>
    <row r="1350" spans="1:26" ht="15.75" hidden="1" customHeight="1" outlineLevel="2">
      <c r="A1350" s="443"/>
      <c r="B1350" s="444"/>
      <c r="C1350"/>
      <c r="D1350"/>
      <c r="E1350" s="391"/>
      <c r="F1350" s="242"/>
      <c r="G1350"/>
      <c r="H1350" s="322"/>
      <c r="I1350" s="322"/>
      <c r="J1350" s="242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</row>
    <row r="1351" spans="1:26" ht="15.75" hidden="1" customHeight="1" outlineLevel="2">
      <c r="A1351" s="443"/>
      <c r="B1351" s="444"/>
      <c r="C1351"/>
      <c r="D1351"/>
      <c r="E1351" s="382"/>
      <c r="F1351" s="242"/>
      <c r="G1351"/>
      <c r="H1351" s="322"/>
      <c r="I1351" s="322"/>
      <c r="J1351" s="242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</row>
    <row r="1352" spans="1:26" ht="15.75" hidden="1" customHeight="1" outlineLevel="2">
      <c r="A1352" s="443"/>
      <c r="B1352" s="444"/>
      <c r="C1352"/>
      <c r="D1352"/>
      <c r="E1352" s="391"/>
      <c r="F1352" s="242"/>
      <c r="G1352"/>
      <c r="H1352" s="322"/>
      <c r="I1352" s="322"/>
      <c r="J1352" s="242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</row>
    <row r="1353" spans="1:26" ht="15.75" hidden="1" customHeight="1" outlineLevel="2">
      <c r="A1353" s="443"/>
      <c r="B1353" s="444"/>
      <c r="C1353"/>
      <c r="D1353"/>
      <c r="E1353" s="391"/>
      <c r="F1353" s="242"/>
      <c r="G1353"/>
      <c r="H1353" s="322"/>
      <c r="I1353" s="322"/>
      <c r="J1353" s="242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</row>
    <row r="1354" spans="1:26" ht="15.75" hidden="1" customHeight="1" outlineLevel="2">
      <c r="A1354" s="443"/>
      <c r="B1354" s="444"/>
      <c r="C1354"/>
      <c r="D1354"/>
      <c r="E1354" s="391"/>
      <c r="F1354" s="242"/>
      <c r="G1354"/>
      <c r="H1354" s="322"/>
      <c r="I1354" s="322"/>
      <c r="J1354" s="242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</row>
    <row r="1355" spans="1:26" ht="15.75" hidden="1" customHeight="1" outlineLevel="2">
      <c r="A1355" s="443"/>
      <c r="B1355" s="444"/>
      <c r="C1355"/>
      <c r="D1355"/>
      <c r="E1355" s="391"/>
      <c r="F1355" s="242"/>
      <c r="G1355"/>
      <c r="H1355" s="322"/>
      <c r="I1355" s="322"/>
      <c r="J1355" s="242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</row>
    <row r="1356" spans="1:26" ht="15.75" hidden="1" customHeight="1" outlineLevel="2">
      <c r="A1356" s="443"/>
      <c r="B1356" s="444"/>
      <c r="C1356"/>
      <c r="D1356"/>
      <c r="E1356" s="391"/>
      <c r="F1356" s="242"/>
      <c r="G1356"/>
      <c r="H1356" s="322"/>
      <c r="I1356" s="322"/>
      <c r="J1356" s="242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</row>
    <row r="1357" spans="1:26" ht="15.75" hidden="1" customHeight="1" outlineLevel="2">
      <c r="A1357" s="443"/>
      <c r="B1357" s="444"/>
      <c r="C1357"/>
      <c r="D1357"/>
      <c r="E1357" s="391"/>
      <c r="F1357" s="242"/>
      <c r="G1357"/>
      <c r="H1357" s="322"/>
      <c r="I1357" s="322"/>
      <c r="J1357" s="242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</row>
    <row r="1358" spans="1:26" ht="15.75" hidden="1" customHeight="1" outlineLevel="2">
      <c r="A1358" s="443"/>
      <c r="B1358" s="444"/>
      <c r="C1358"/>
      <c r="D1358"/>
      <c r="E1358" s="391"/>
      <c r="F1358" s="242"/>
      <c r="G1358"/>
      <c r="H1358" s="322"/>
      <c r="I1358" s="322"/>
      <c r="J1358" s="242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</row>
    <row r="1359" spans="1:26" ht="15.75" hidden="1" customHeight="1" outlineLevel="2">
      <c r="A1359" s="443"/>
      <c r="B1359" s="444"/>
      <c r="C1359"/>
      <c r="D1359"/>
      <c r="E1359" s="391"/>
      <c r="F1359" s="242"/>
      <c r="G1359"/>
      <c r="H1359" s="322"/>
      <c r="I1359" s="322"/>
      <c r="J1359" s="242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</row>
    <row r="1360" spans="1:26" ht="15.75" hidden="1" customHeight="1" outlineLevel="2">
      <c r="A1360" s="443"/>
      <c r="B1360" s="444"/>
      <c r="C1360"/>
      <c r="D1360"/>
      <c r="E1360" s="391"/>
      <c r="F1360" s="242"/>
      <c r="G1360"/>
      <c r="H1360" s="322"/>
      <c r="I1360" s="322"/>
      <c r="J1360" s="242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</row>
    <row r="1361" spans="1:26" ht="15.75" hidden="1" customHeight="1" outlineLevel="2">
      <c r="A1361" s="443"/>
      <c r="B1361" s="444"/>
      <c r="C1361"/>
      <c r="D1361"/>
      <c r="E1361" s="391"/>
      <c r="F1361" s="242"/>
      <c r="G1361"/>
      <c r="H1361" s="322"/>
      <c r="I1361" s="322"/>
      <c r="J1361" s="242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</row>
    <row r="1362" spans="1:26" ht="15.75" hidden="1" customHeight="1" outlineLevel="2">
      <c r="A1362" s="443"/>
      <c r="B1362" s="444"/>
      <c r="C1362"/>
      <c r="D1362"/>
      <c r="E1362" s="391"/>
      <c r="F1362" s="242"/>
      <c r="G1362"/>
      <c r="H1362" s="322"/>
      <c r="I1362" s="322"/>
      <c r="J1362" s="242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</row>
    <row r="1363" spans="1:26" ht="15.75" hidden="1" customHeight="1" outlineLevel="2">
      <c r="A1363" s="443"/>
      <c r="B1363" s="444"/>
      <c r="C1363"/>
      <c r="D1363"/>
      <c r="E1363" s="391"/>
      <c r="F1363" s="242"/>
      <c r="G1363"/>
      <c r="H1363" s="322"/>
      <c r="I1363" s="322"/>
      <c r="J1363" s="242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</row>
    <row r="1364" spans="1:26" ht="15.75" hidden="1" customHeight="1" outlineLevel="2">
      <c r="A1364" s="443"/>
      <c r="B1364" s="444"/>
      <c r="C1364"/>
      <c r="D1364"/>
      <c r="E1364" s="381"/>
      <c r="F1364" s="242"/>
      <c r="G1364"/>
      <c r="H1364" s="322"/>
      <c r="I1364" s="322"/>
      <c r="J1364" s="242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</row>
    <row r="1365" spans="1:26" ht="15.75" hidden="1" customHeight="1" outlineLevel="2">
      <c r="A1365" s="443"/>
      <c r="B1365" s="444"/>
      <c r="C1365"/>
      <c r="D1365"/>
      <c r="E1365" s="382"/>
      <c r="F1365" s="242"/>
      <c r="G1365"/>
      <c r="H1365" s="322"/>
      <c r="I1365" s="322"/>
      <c r="J1365" s="242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</row>
    <row r="1366" spans="1:26" ht="15.75" hidden="1" customHeight="1" outlineLevel="2">
      <c r="A1366" s="443"/>
      <c r="B1366" s="444"/>
      <c r="C1366"/>
      <c r="D1366"/>
      <c r="E1366" s="385"/>
      <c r="F1366" s="242"/>
      <c r="G1366"/>
      <c r="H1366" s="322"/>
      <c r="I1366" s="322"/>
      <c r="J1366" s="242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</row>
    <row r="1367" spans="1:26" ht="15.75" hidden="1" customHeight="1" outlineLevel="2">
      <c r="A1367" s="443"/>
      <c r="B1367" s="444"/>
      <c r="C1367"/>
      <c r="D1367"/>
      <c r="E1367" s="385"/>
      <c r="F1367" s="242"/>
      <c r="G1367"/>
      <c r="H1367" s="322"/>
      <c r="I1367" s="322"/>
      <c r="J1367" s="242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</row>
    <row r="1368" spans="1:26" ht="15.75" hidden="1" customHeight="1" outlineLevel="2">
      <c r="A1368" s="443"/>
      <c r="B1368" s="444"/>
      <c r="C1368"/>
      <c r="D1368"/>
      <c r="E1368" s="416"/>
      <c r="F1368" s="242"/>
      <c r="G1368"/>
      <c r="H1368" s="322"/>
      <c r="I1368" s="322"/>
      <c r="J1368" s="242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</row>
    <row r="1369" spans="1:26" ht="15.75" hidden="1" customHeight="1" outlineLevel="2">
      <c r="A1369" s="443"/>
      <c r="B1369" s="444"/>
      <c r="C1369"/>
      <c r="D1369"/>
      <c r="E1369" s="385"/>
      <c r="F1369" s="242"/>
      <c r="G1369"/>
      <c r="H1369" s="322"/>
      <c r="I1369" s="322"/>
      <c r="J1369" s="242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</row>
    <row r="1370" spans="1:26" ht="15.75" hidden="1" customHeight="1" outlineLevel="2">
      <c r="A1370" s="443"/>
      <c r="B1370" s="444"/>
      <c r="C1370"/>
      <c r="D1370"/>
      <c r="E1370" s="382"/>
      <c r="F1370" s="242"/>
      <c r="G1370"/>
      <c r="H1370" s="322"/>
      <c r="I1370" s="322"/>
      <c r="J1370" s="242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</row>
    <row r="1371" spans="1:26" ht="15.75" hidden="1" customHeight="1" outlineLevel="2">
      <c r="A1371" s="443"/>
      <c r="B1371" s="444"/>
      <c r="C1371"/>
      <c r="D1371"/>
      <c r="E1371" s="391"/>
      <c r="F1371" s="242"/>
      <c r="G1371"/>
      <c r="H1371" s="322"/>
      <c r="I1371" s="322"/>
      <c r="J1371" s="242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</row>
    <row r="1372" spans="1:26" ht="15.75" hidden="1" customHeight="1" outlineLevel="2">
      <c r="A1372" s="443"/>
      <c r="B1372" s="444"/>
      <c r="C1372"/>
      <c r="D1372"/>
      <c r="E1372" s="382"/>
      <c r="F1372" s="242"/>
      <c r="G1372"/>
      <c r="H1372" s="322"/>
      <c r="I1372" s="322"/>
      <c r="J1372" s="242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</row>
    <row r="1373" spans="1:26" ht="15.75" hidden="1" customHeight="1" outlineLevel="2">
      <c r="A1373" s="443"/>
      <c r="B1373" s="444"/>
      <c r="C1373"/>
      <c r="D1373"/>
      <c r="E1373" s="391"/>
      <c r="F1373" s="242"/>
      <c r="G1373"/>
      <c r="H1373" s="322"/>
      <c r="I1373" s="322"/>
      <c r="J1373" s="242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</row>
    <row r="1374" spans="1:26" ht="15.75" hidden="1" customHeight="1" outlineLevel="2">
      <c r="A1374" s="443"/>
      <c r="B1374" s="444"/>
      <c r="C1374"/>
      <c r="D1374"/>
      <c r="E1374" s="391"/>
      <c r="F1374" s="242"/>
      <c r="G1374"/>
      <c r="H1374" s="322"/>
      <c r="I1374" s="322"/>
      <c r="J1374" s="242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</row>
    <row r="1375" spans="1:26" ht="15.75" hidden="1" customHeight="1" outlineLevel="2">
      <c r="A1375" s="443"/>
      <c r="B1375" s="444"/>
      <c r="C1375"/>
      <c r="D1375"/>
      <c r="E1375" s="391"/>
      <c r="F1375" s="242"/>
      <c r="G1375"/>
      <c r="H1375" s="322"/>
      <c r="I1375" s="322"/>
      <c r="J1375" s="242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</row>
    <row r="1376" spans="1:26" ht="15.75" hidden="1" customHeight="1" outlineLevel="2">
      <c r="A1376" s="443"/>
      <c r="B1376" s="444"/>
      <c r="C1376"/>
      <c r="D1376"/>
      <c r="E1376" s="391"/>
      <c r="F1376" s="242"/>
      <c r="G1376"/>
      <c r="H1376" s="322"/>
      <c r="I1376" s="322"/>
      <c r="J1376" s="242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</row>
    <row r="1377" spans="1:26" ht="15.75" hidden="1" customHeight="1" outlineLevel="2">
      <c r="A1377" s="443"/>
      <c r="B1377" s="444"/>
      <c r="C1377"/>
      <c r="D1377"/>
      <c r="E1377" s="391"/>
      <c r="F1377" s="242"/>
      <c r="G1377"/>
      <c r="H1377" s="322"/>
      <c r="I1377" s="322"/>
      <c r="J1377" s="242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</row>
    <row r="1378" spans="1:26" ht="15.75" hidden="1" customHeight="1" outlineLevel="2">
      <c r="A1378" s="443"/>
      <c r="B1378" s="444"/>
      <c r="C1378"/>
      <c r="D1378"/>
      <c r="E1378" s="382"/>
      <c r="F1378" s="242"/>
      <c r="G1378"/>
      <c r="H1378" s="322"/>
      <c r="I1378" s="322"/>
      <c r="J1378" s="242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</row>
    <row r="1379" spans="1:26" ht="15.75" hidden="1" customHeight="1" outlineLevel="2">
      <c r="A1379" s="443"/>
      <c r="B1379" s="444"/>
      <c r="C1379"/>
      <c r="D1379"/>
      <c r="E1379" s="382"/>
      <c r="F1379" s="242"/>
      <c r="G1379"/>
      <c r="H1379" s="322"/>
      <c r="I1379" s="322"/>
      <c r="J1379" s="242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</row>
    <row r="1380" spans="1:26" ht="15.75" hidden="1" customHeight="1" outlineLevel="2">
      <c r="A1380" s="443"/>
      <c r="B1380" s="444"/>
      <c r="C1380"/>
      <c r="D1380"/>
      <c r="E1380" s="382"/>
      <c r="F1380" s="242"/>
      <c r="G1380"/>
      <c r="H1380" s="322"/>
      <c r="I1380" s="322"/>
      <c r="J1380" s="242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</row>
    <row r="1381" spans="1:26" ht="15.75" hidden="1" customHeight="1" outlineLevel="2">
      <c r="A1381" s="443"/>
      <c r="B1381" s="444"/>
      <c r="C1381"/>
      <c r="D1381"/>
      <c r="E1381" s="400"/>
      <c r="F1381" s="242"/>
      <c r="G1381"/>
      <c r="H1381" s="322"/>
      <c r="I1381" s="322"/>
      <c r="J1381" s="242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</row>
    <row r="1382" spans="1:26" ht="15.75" hidden="1" customHeight="1" outlineLevel="2">
      <c r="A1382" s="443"/>
      <c r="B1382" s="444"/>
      <c r="C1382"/>
      <c r="D1382"/>
      <c r="E1382" s="382"/>
      <c r="F1382" s="242"/>
      <c r="G1382"/>
      <c r="H1382" s="322"/>
      <c r="I1382" s="322"/>
      <c r="J1382" s="242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</row>
    <row r="1383" spans="1:26" ht="15.75" hidden="1" customHeight="1" outlineLevel="2">
      <c r="A1383" s="443"/>
      <c r="B1383" s="444"/>
      <c r="C1383"/>
      <c r="D1383"/>
      <c r="E1383" s="391"/>
      <c r="F1383" s="242"/>
      <c r="G1383"/>
      <c r="H1383" s="322"/>
      <c r="I1383" s="322"/>
      <c r="J1383" s="242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</row>
    <row r="1384" spans="1:26" ht="15.75" hidden="1" customHeight="1" outlineLevel="2">
      <c r="A1384" s="443"/>
      <c r="B1384" s="444"/>
      <c r="C1384"/>
      <c r="D1384"/>
      <c r="E1384" s="391"/>
      <c r="F1384" s="242"/>
      <c r="G1384"/>
      <c r="H1384" s="322"/>
      <c r="I1384" s="322"/>
      <c r="J1384" s="242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</row>
    <row r="1385" spans="1:26" ht="15.75" hidden="1" customHeight="1" outlineLevel="2">
      <c r="A1385" s="443"/>
      <c r="B1385" s="444"/>
      <c r="C1385"/>
      <c r="D1385"/>
      <c r="E1385" s="391"/>
      <c r="F1385" s="242"/>
      <c r="G1385"/>
      <c r="H1385" s="322"/>
      <c r="I1385" s="322"/>
      <c r="J1385" s="242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</row>
    <row r="1386" spans="1:26" ht="15.75" hidden="1" customHeight="1" outlineLevel="2">
      <c r="A1386" s="443"/>
      <c r="B1386" s="444"/>
      <c r="C1386"/>
      <c r="D1386"/>
      <c r="E1386" s="382"/>
      <c r="F1386" s="242"/>
      <c r="G1386"/>
      <c r="H1386" s="322"/>
      <c r="I1386" s="322"/>
      <c r="J1386" s="242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</row>
    <row r="1387" spans="1:26" ht="15.75" hidden="1" customHeight="1" outlineLevel="2">
      <c r="A1387" s="443"/>
      <c r="B1387" s="444"/>
      <c r="C1387"/>
      <c r="D1387"/>
      <c r="E1387" s="391"/>
      <c r="F1387" s="242"/>
      <c r="G1387"/>
      <c r="H1387" s="322"/>
      <c r="I1387" s="322"/>
      <c r="J1387" s="242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</row>
    <row r="1388" spans="1:26" ht="15.75" hidden="1" customHeight="1" outlineLevel="2">
      <c r="A1388" s="443"/>
      <c r="B1388" s="444"/>
      <c r="C1388"/>
      <c r="D1388"/>
      <c r="E1388" s="382"/>
      <c r="F1388" s="242"/>
      <c r="G1388"/>
      <c r="H1388" s="322"/>
      <c r="I1388" s="322"/>
      <c r="J1388" s="242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</row>
    <row r="1389" spans="1:26" ht="15.75" hidden="1" customHeight="1" outlineLevel="2">
      <c r="A1389" s="443"/>
      <c r="B1389" s="444"/>
      <c r="C1389"/>
      <c r="D1389"/>
      <c r="E1389" s="382"/>
      <c r="F1389" s="242"/>
      <c r="G1389"/>
      <c r="H1389" s="322"/>
      <c r="I1389" s="322"/>
      <c r="J1389" s="242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</row>
    <row r="1390" spans="1:26" ht="15.75" hidden="1" customHeight="1" outlineLevel="2">
      <c r="A1390" s="443"/>
      <c r="B1390" s="444"/>
      <c r="C1390"/>
      <c r="D1390"/>
      <c r="E1390" s="382"/>
      <c r="F1390" s="242"/>
      <c r="G1390"/>
      <c r="H1390" s="322"/>
      <c r="I1390" s="322"/>
      <c r="J1390" s="242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</row>
    <row r="1391" spans="1:26" ht="15.75" hidden="1" customHeight="1" outlineLevel="2">
      <c r="A1391" s="443"/>
      <c r="B1391" s="444"/>
      <c r="C1391"/>
      <c r="D1391"/>
      <c r="E1391" s="382"/>
      <c r="F1391" s="242"/>
      <c r="G1391"/>
      <c r="H1391" s="322"/>
      <c r="I1391" s="322"/>
      <c r="J1391" s="242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</row>
    <row r="1392" spans="1:26" ht="15.75" hidden="1" customHeight="1" outlineLevel="2">
      <c r="A1392" s="443"/>
      <c r="B1392" s="444"/>
      <c r="C1392"/>
      <c r="D1392"/>
      <c r="E1392" s="386"/>
      <c r="F1392" s="242"/>
      <c r="G1392"/>
      <c r="H1392" s="322"/>
      <c r="I1392" s="322"/>
      <c r="J1392" s="242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</row>
    <row r="1393" spans="1:26" ht="15.75" hidden="1" customHeight="1" outlineLevel="2">
      <c r="A1393" s="443"/>
      <c r="B1393" s="444"/>
      <c r="C1393"/>
      <c r="D1393"/>
      <c r="E1393" s="386"/>
      <c r="F1393" s="242"/>
      <c r="G1393"/>
      <c r="H1393" s="322"/>
      <c r="I1393" s="322"/>
      <c r="J1393" s="242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</row>
    <row r="1394" spans="1:26" ht="15.75" hidden="1" customHeight="1" outlineLevel="2">
      <c r="A1394" s="443"/>
      <c r="B1394" s="444"/>
      <c r="C1394"/>
      <c r="D1394"/>
      <c r="E1394" s="386"/>
      <c r="F1394" s="242"/>
      <c r="G1394"/>
      <c r="H1394" s="322"/>
      <c r="I1394" s="322"/>
      <c r="J1394" s="242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</row>
    <row r="1395" spans="1:26" ht="15.75" hidden="1" customHeight="1" outlineLevel="2">
      <c r="A1395" s="443"/>
      <c r="B1395" s="444"/>
      <c r="C1395"/>
      <c r="D1395"/>
      <c r="E1395" s="400"/>
      <c r="F1395" s="242"/>
      <c r="G1395"/>
      <c r="H1395" s="322"/>
      <c r="I1395" s="322"/>
      <c r="J1395" s="242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</row>
    <row r="1396" spans="1:26" ht="15.75" hidden="1" customHeight="1" outlineLevel="2">
      <c r="A1396" s="443"/>
      <c r="B1396" s="444"/>
      <c r="C1396"/>
      <c r="D1396"/>
      <c r="E1396" s="400"/>
      <c r="F1396" s="242"/>
      <c r="G1396"/>
      <c r="H1396" s="322"/>
      <c r="I1396" s="322"/>
      <c r="J1396" s="242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</row>
    <row r="1397" spans="1:26" ht="15.75" hidden="1" customHeight="1" outlineLevel="2">
      <c r="A1397" s="443"/>
      <c r="B1397" s="444"/>
      <c r="C1397"/>
      <c r="D1397"/>
      <c r="E1397" s="400"/>
      <c r="F1397" s="242"/>
      <c r="G1397"/>
      <c r="H1397" s="322"/>
      <c r="I1397" s="322"/>
      <c r="J1397" s="242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</row>
    <row r="1398" spans="1:26" ht="15.75" hidden="1" customHeight="1" outlineLevel="2">
      <c r="A1398" s="443"/>
      <c r="B1398" s="444"/>
      <c r="C1398"/>
      <c r="D1398"/>
      <c r="E1398" s="451"/>
      <c r="F1398" s="242"/>
      <c r="G1398"/>
      <c r="H1398" s="322"/>
      <c r="I1398" s="322"/>
      <c r="J1398" s="242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</row>
    <row r="1399" spans="1:26" ht="15.75" hidden="1" customHeight="1" outlineLevel="2">
      <c r="A1399" s="443"/>
      <c r="B1399" s="444"/>
      <c r="C1399"/>
      <c r="D1399"/>
      <c r="E1399" s="391"/>
      <c r="F1399" s="242"/>
      <c r="G1399"/>
      <c r="H1399" s="322"/>
      <c r="I1399" s="322"/>
      <c r="J1399" s="242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</row>
    <row r="1400" spans="1:26" ht="15.75" hidden="1" customHeight="1" outlineLevel="2">
      <c r="A1400" s="443"/>
      <c r="B1400" s="444"/>
      <c r="C1400"/>
      <c r="D1400"/>
      <c r="E1400" s="391"/>
      <c r="F1400" s="242"/>
      <c r="G1400"/>
      <c r="H1400" s="322"/>
      <c r="I1400" s="322"/>
      <c r="J1400" s="242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</row>
    <row r="1401" spans="1:26" ht="15.75" hidden="1" customHeight="1" outlineLevel="2">
      <c r="A1401" s="443"/>
      <c r="B1401" s="444"/>
      <c r="C1401"/>
      <c r="D1401"/>
      <c r="E1401" s="382"/>
      <c r="F1401" s="242"/>
      <c r="G1401"/>
      <c r="H1401" s="322"/>
      <c r="I1401" s="322"/>
      <c r="J1401" s="242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</row>
    <row r="1402" spans="1:26" ht="15.75" hidden="1" customHeight="1" outlineLevel="2">
      <c r="A1402" s="443"/>
      <c r="B1402" s="444"/>
      <c r="C1402"/>
      <c r="D1402"/>
      <c r="E1402" s="391"/>
      <c r="F1402" s="242"/>
      <c r="G1402"/>
      <c r="H1402" s="322"/>
      <c r="I1402" s="322"/>
      <c r="J1402" s="242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</row>
    <row r="1403" spans="1:26" ht="15.75" hidden="1" customHeight="1" outlineLevel="2">
      <c r="A1403" s="443"/>
      <c r="B1403" s="444"/>
      <c r="C1403"/>
      <c r="D1403"/>
      <c r="E1403" s="382"/>
      <c r="F1403" s="242"/>
      <c r="G1403"/>
      <c r="H1403" s="322"/>
      <c r="I1403" s="322"/>
      <c r="J1403" s="242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</row>
    <row r="1404" spans="1:26" ht="15.75" hidden="1" customHeight="1" outlineLevel="2">
      <c r="A1404" s="443"/>
      <c r="B1404" s="444"/>
      <c r="C1404"/>
      <c r="D1404"/>
      <c r="E1404" s="397"/>
      <c r="F1404" s="242"/>
      <c r="G1404"/>
      <c r="H1404" s="322"/>
      <c r="I1404" s="322"/>
      <c r="J1404" s="242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</row>
    <row r="1405" spans="1:26" ht="15.75" hidden="1" customHeight="1" outlineLevel="2">
      <c r="A1405" s="443"/>
      <c r="B1405" s="444"/>
      <c r="C1405"/>
      <c r="D1405"/>
      <c r="E1405" s="385"/>
      <c r="F1405" s="242"/>
      <c r="G1405"/>
      <c r="H1405" s="322"/>
      <c r="I1405" s="322"/>
      <c r="J1405" s="242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</row>
    <row r="1406" spans="1:26" ht="15.75" hidden="1" customHeight="1" outlineLevel="2">
      <c r="A1406" s="443"/>
      <c r="B1406" s="444"/>
      <c r="C1406"/>
      <c r="D1406"/>
      <c r="E1406" s="386"/>
      <c r="F1406" s="242"/>
      <c r="G1406"/>
      <c r="H1406" s="322"/>
      <c r="I1406" s="322"/>
      <c r="J1406" s="242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</row>
    <row r="1407" spans="1:26" ht="15.75" hidden="1" customHeight="1" outlineLevel="2">
      <c r="A1407" s="443"/>
      <c r="B1407" s="444"/>
      <c r="C1407"/>
      <c r="D1407"/>
      <c r="E1407" s="391"/>
      <c r="F1407" s="242"/>
      <c r="G1407"/>
      <c r="H1407" s="322"/>
      <c r="I1407" s="322"/>
      <c r="J1407" s="242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</row>
    <row r="1408" spans="1:26" ht="15.75" hidden="1" customHeight="1" outlineLevel="2">
      <c r="A1408" s="443"/>
      <c r="B1408" s="444"/>
      <c r="C1408"/>
      <c r="D1408"/>
      <c r="E1408" s="382"/>
      <c r="F1408" s="242"/>
      <c r="G1408"/>
      <c r="H1408" s="322"/>
      <c r="I1408" s="322"/>
      <c r="J1408" s="242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</row>
    <row r="1409" spans="1:26" ht="15.75" hidden="1" customHeight="1" outlineLevel="2">
      <c r="A1409" s="443"/>
      <c r="B1409" s="444"/>
      <c r="C1409"/>
      <c r="D1409"/>
      <c r="E1409" s="414"/>
      <c r="F1409" s="242"/>
      <c r="G1409"/>
      <c r="H1409" s="322"/>
      <c r="I1409" s="322"/>
      <c r="J1409" s="242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</row>
    <row r="1410" spans="1:26" ht="15.75" hidden="1" customHeight="1" outlineLevel="2">
      <c r="A1410" s="443"/>
      <c r="B1410" s="444"/>
      <c r="C1410"/>
      <c r="D1410"/>
      <c r="E1410" s="417"/>
      <c r="F1410" s="242"/>
      <c r="G1410"/>
      <c r="H1410" s="322"/>
      <c r="I1410" s="322"/>
      <c r="J1410" s="242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</row>
    <row r="1411" spans="1:26" ht="15.75" hidden="1" customHeight="1" outlineLevel="2">
      <c r="A1411" s="443"/>
      <c r="B1411" s="444"/>
      <c r="C1411"/>
      <c r="D1411"/>
      <c r="E1411" s="391"/>
      <c r="F1411" s="242"/>
      <c r="G1411"/>
      <c r="H1411" s="322"/>
      <c r="I1411" s="322"/>
      <c r="J1411" s="242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</row>
    <row r="1412" spans="1:26" ht="15.75" hidden="1" customHeight="1" outlineLevel="2">
      <c r="A1412" s="443"/>
      <c r="B1412" s="444"/>
      <c r="C1412"/>
      <c r="D1412"/>
      <c r="E1412" s="391"/>
      <c r="F1412" s="242"/>
      <c r="G1412"/>
      <c r="H1412" s="322"/>
      <c r="I1412" s="322"/>
      <c r="J1412" s="242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</row>
    <row r="1413" spans="1:26" ht="15.75" hidden="1" customHeight="1" outlineLevel="2">
      <c r="A1413" s="443"/>
      <c r="B1413" s="444"/>
      <c r="C1413"/>
      <c r="D1413"/>
      <c r="E1413" s="381"/>
      <c r="F1413" s="242"/>
      <c r="G1413"/>
      <c r="H1413" s="322"/>
      <c r="I1413" s="322"/>
      <c r="J1413" s="242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</row>
    <row r="1414" spans="1:26" ht="15.75" hidden="1" customHeight="1" outlineLevel="2">
      <c r="A1414" s="443"/>
      <c r="B1414" s="444"/>
      <c r="C1414"/>
      <c r="D1414"/>
      <c r="E1414" s="391"/>
      <c r="F1414" s="242"/>
      <c r="G1414"/>
      <c r="H1414" s="322"/>
      <c r="I1414" s="322"/>
      <c r="J1414" s="242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</row>
    <row r="1415" spans="1:26" ht="15.75" hidden="1" customHeight="1" outlineLevel="2">
      <c r="A1415" s="443"/>
      <c r="B1415" s="444"/>
      <c r="C1415"/>
      <c r="D1415"/>
      <c r="E1415" s="391"/>
      <c r="F1415" s="242"/>
      <c r="G1415"/>
      <c r="H1415" s="322"/>
      <c r="I1415" s="322"/>
      <c r="J1415" s="242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</row>
    <row r="1416" spans="1:26" ht="15.75" hidden="1" customHeight="1" outlineLevel="2">
      <c r="A1416" s="443"/>
      <c r="B1416" s="444"/>
      <c r="C1416"/>
      <c r="D1416"/>
      <c r="E1416" s="391"/>
      <c r="F1416" s="242"/>
      <c r="G1416"/>
      <c r="H1416" s="322"/>
      <c r="I1416" s="322"/>
      <c r="J1416" s="242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</row>
    <row r="1417" spans="1:26" ht="15.75" hidden="1" customHeight="1" outlineLevel="2">
      <c r="A1417" s="443"/>
      <c r="B1417" s="444"/>
      <c r="C1417"/>
      <c r="D1417"/>
      <c r="E1417" s="391"/>
      <c r="F1417" s="242"/>
      <c r="G1417"/>
      <c r="H1417" s="322"/>
      <c r="I1417" s="322"/>
      <c r="J1417" s="242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</row>
    <row r="1418" spans="1:26" ht="15.75" hidden="1" customHeight="1" outlineLevel="2">
      <c r="A1418" s="443"/>
      <c r="B1418" s="444"/>
      <c r="C1418"/>
      <c r="D1418"/>
      <c r="E1418" s="414"/>
      <c r="F1418" s="242"/>
      <c r="G1418"/>
      <c r="H1418" s="322"/>
      <c r="I1418" s="322"/>
      <c r="J1418" s="242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</row>
    <row r="1419" spans="1:26" ht="15.75" hidden="1" customHeight="1" outlineLevel="2">
      <c r="A1419" s="443"/>
      <c r="B1419" s="444"/>
      <c r="C1419"/>
      <c r="D1419"/>
      <c r="E1419" s="391"/>
      <c r="F1419" s="242"/>
      <c r="G1419"/>
      <c r="H1419" s="322"/>
      <c r="I1419" s="322"/>
      <c r="J1419" s="242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</row>
    <row r="1420" spans="1:26" ht="15.75" hidden="1" customHeight="1" outlineLevel="2">
      <c r="A1420" s="443"/>
      <c r="B1420" s="444"/>
      <c r="C1420"/>
      <c r="D1420"/>
      <c r="E1420" s="391"/>
      <c r="F1420" s="242"/>
      <c r="G1420"/>
      <c r="H1420" s="322"/>
      <c r="I1420" s="322"/>
      <c r="J1420" s="242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</row>
    <row r="1421" spans="1:26" ht="15.75" hidden="1" customHeight="1" outlineLevel="2">
      <c r="A1421" s="443"/>
      <c r="B1421" s="444"/>
      <c r="C1421"/>
      <c r="D1421"/>
      <c r="E1421" s="382"/>
      <c r="F1421" s="242"/>
      <c r="G1421"/>
      <c r="H1421" s="322"/>
      <c r="I1421" s="322"/>
      <c r="J1421" s="242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</row>
    <row r="1422" spans="1:26" ht="15.75" hidden="1" customHeight="1" outlineLevel="2">
      <c r="A1422" s="443"/>
      <c r="B1422" s="444"/>
      <c r="C1422"/>
      <c r="D1422"/>
      <c r="E1422" s="382"/>
      <c r="F1422" s="242"/>
      <c r="G1422"/>
      <c r="H1422" s="322"/>
      <c r="I1422" s="322"/>
      <c r="J1422" s="242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</row>
    <row r="1423" spans="1:26" ht="15.75" hidden="1" customHeight="1" outlineLevel="2">
      <c r="A1423" s="443"/>
      <c r="B1423" s="444"/>
      <c r="C1423"/>
      <c r="D1423"/>
      <c r="E1423" s="391"/>
      <c r="F1423" s="242"/>
      <c r="G1423"/>
      <c r="H1423" s="322"/>
      <c r="I1423" s="322"/>
      <c r="J1423" s="242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</row>
    <row r="1424" spans="1:26" ht="15.75" hidden="1" customHeight="1" outlineLevel="2">
      <c r="A1424" s="443"/>
      <c r="B1424" s="444"/>
      <c r="C1424"/>
      <c r="D1424"/>
      <c r="E1424" s="391"/>
      <c r="F1424" s="242"/>
      <c r="G1424"/>
      <c r="H1424" s="322"/>
      <c r="I1424" s="322"/>
      <c r="J1424" s="242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</row>
    <row r="1425" spans="1:26" ht="15.75" hidden="1" customHeight="1" outlineLevel="2">
      <c r="A1425" s="443"/>
      <c r="B1425" s="444"/>
      <c r="C1425"/>
      <c r="D1425"/>
      <c r="E1425" s="455"/>
      <c r="F1425" s="242"/>
      <c r="G1425"/>
      <c r="H1425" s="322"/>
      <c r="I1425" s="322"/>
      <c r="J1425" s="242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</row>
    <row r="1426" spans="1:26" ht="15.75" hidden="1" customHeight="1" outlineLevel="2">
      <c r="A1426" s="443"/>
      <c r="B1426" s="444"/>
      <c r="C1426"/>
      <c r="D1426"/>
      <c r="E1426" s="459"/>
      <c r="F1426" s="242"/>
      <c r="G1426"/>
      <c r="H1426" s="322"/>
      <c r="I1426" s="322"/>
      <c r="J1426" s="242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</row>
    <row r="1427" spans="1:26" ht="15.75" hidden="1" customHeight="1" outlineLevel="2">
      <c r="A1427" s="443"/>
      <c r="B1427" s="444"/>
      <c r="C1427"/>
      <c r="D1427"/>
      <c r="E1427" s="451"/>
      <c r="F1427" s="242"/>
      <c r="G1427"/>
      <c r="H1427" s="322"/>
      <c r="I1427" s="322"/>
      <c r="J1427" s="242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</row>
    <row r="1428" spans="1:26" ht="15.75" hidden="1" customHeight="1" outlineLevel="2">
      <c r="A1428" s="443"/>
      <c r="B1428" s="444"/>
      <c r="C1428"/>
      <c r="D1428"/>
      <c r="E1428" s="451"/>
      <c r="F1428" s="242"/>
      <c r="G1428"/>
      <c r="H1428" s="322"/>
      <c r="I1428" s="322"/>
      <c r="J1428" s="242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</row>
    <row r="1429" spans="1:26" ht="15.75" hidden="1" customHeight="1" outlineLevel="2">
      <c r="A1429" s="443"/>
      <c r="B1429" s="444"/>
      <c r="C1429"/>
      <c r="D1429"/>
      <c r="E1429" s="455"/>
      <c r="F1429" s="242"/>
      <c r="G1429"/>
      <c r="H1429" s="322"/>
      <c r="I1429" s="322"/>
      <c r="J1429" s="242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</row>
    <row r="1430" spans="1:26" ht="15.75" hidden="1" customHeight="1" outlineLevel="2">
      <c r="A1430" s="443"/>
      <c r="B1430" s="444"/>
      <c r="C1430"/>
      <c r="D1430"/>
      <c r="E1430" s="455"/>
      <c r="F1430" s="242"/>
      <c r="G1430"/>
      <c r="H1430" s="322"/>
      <c r="I1430" s="322"/>
      <c r="J1430" s="242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</row>
    <row r="1431" spans="1:26" ht="15.75" hidden="1" customHeight="1" outlineLevel="2">
      <c r="A1431" s="443"/>
      <c r="B1431" s="444"/>
      <c r="C1431"/>
      <c r="D1431"/>
      <c r="E1431" s="455"/>
      <c r="F1431" s="242"/>
      <c r="G1431"/>
      <c r="H1431" s="322"/>
      <c r="I1431" s="322"/>
      <c r="J1431" s="242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</row>
    <row r="1432" spans="1:26" ht="15.75" hidden="1" customHeight="1" outlineLevel="2">
      <c r="A1432" s="443"/>
      <c r="B1432" s="444"/>
      <c r="C1432"/>
      <c r="D1432"/>
      <c r="E1432" s="455"/>
      <c r="F1432" s="242"/>
      <c r="G1432"/>
      <c r="H1432" s="322"/>
      <c r="I1432" s="322"/>
      <c r="J1432" s="242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</row>
    <row r="1433" spans="1:26" ht="15.75" hidden="1" customHeight="1" outlineLevel="2">
      <c r="A1433" s="443"/>
      <c r="B1433" s="444"/>
      <c r="C1433"/>
      <c r="D1433"/>
      <c r="E1433" s="455"/>
      <c r="F1433" s="242"/>
      <c r="G1433"/>
      <c r="H1433" s="322"/>
      <c r="I1433" s="322"/>
      <c r="J1433" s="242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</row>
    <row r="1434" spans="1:26" ht="15.75" hidden="1" customHeight="1" outlineLevel="2">
      <c r="A1434" s="443"/>
      <c r="B1434" s="444"/>
      <c r="C1434"/>
      <c r="D1434"/>
      <c r="E1434" s="455"/>
      <c r="F1434" s="242"/>
      <c r="G1434"/>
      <c r="H1434" s="322"/>
      <c r="I1434" s="322"/>
      <c r="J1434" s="242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</row>
    <row r="1435" spans="1:26" ht="15.75" hidden="1" customHeight="1" outlineLevel="2">
      <c r="A1435" s="443"/>
      <c r="B1435" s="444"/>
      <c r="C1435"/>
      <c r="D1435"/>
      <c r="E1435" s="455"/>
      <c r="F1435" s="242"/>
      <c r="G1435"/>
      <c r="H1435" s="322"/>
      <c r="I1435" s="322"/>
      <c r="J1435" s="242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</row>
    <row r="1436" spans="1:26" ht="15.75" hidden="1" customHeight="1" outlineLevel="2">
      <c r="A1436" s="443"/>
      <c r="B1436" s="444"/>
      <c r="C1436"/>
      <c r="D1436"/>
      <c r="E1436" s="451"/>
      <c r="F1436" s="242"/>
      <c r="G1436"/>
      <c r="H1436" s="322"/>
      <c r="I1436" s="322"/>
      <c r="J1436" s="242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</row>
    <row r="1437" spans="1:26" ht="15.75" hidden="1" customHeight="1" outlineLevel="2">
      <c r="A1437" s="443"/>
      <c r="B1437" s="444"/>
      <c r="C1437"/>
      <c r="D1437"/>
      <c r="E1437" s="451"/>
      <c r="F1437" s="242"/>
      <c r="G1437"/>
      <c r="H1437" s="322"/>
      <c r="I1437" s="322"/>
      <c r="J1437" s="242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</row>
    <row r="1438" spans="1:26" ht="15.75" hidden="1" customHeight="1" outlineLevel="2">
      <c r="A1438" s="443"/>
      <c r="B1438" s="444"/>
      <c r="C1438"/>
      <c r="D1438"/>
      <c r="E1438" s="456"/>
      <c r="F1438" s="242"/>
      <c r="G1438"/>
      <c r="H1438" s="322"/>
      <c r="I1438" s="322"/>
      <c r="J1438" s="242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</row>
    <row r="1439" spans="1:26" ht="15.75" hidden="1" customHeight="1" outlineLevel="2">
      <c r="A1439" s="443"/>
      <c r="B1439" s="444"/>
      <c r="C1439"/>
      <c r="D1439"/>
      <c r="E1439" s="451"/>
      <c r="F1439" s="242"/>
      <c r="G1439"/>
      <c r="H1439" s="322"/>
      <c r="I1439" s="322"/>
      <c r="J1439" s="242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</row>
    <row r="1440" spans="1:26" ht="15.75" hidden="1" customHeight="1" outlineLevel="2">
      <c r="A1440" s="443"/>
      <c r="B1440" s="444"/>
      <c r="C1440"/>
      <c r="D1440"/>
      <c r="E1440" s="451"/>
      <c r="F1440" s="242"/>
      <c r="G1440"/>
      <c r="H1440" s="322"/>
      <c r="I1440" s="322"/>
      <c r="J1440" s="242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</row>
    <row r="1441" spans="1:26" ht="15.75" hidden="1" customHeight="1" outlineLevel="2">
      <c r="A1441" s="443"/>
      <c r="B1441" s="444"/>
      <c r="C1441"/>
      <c r="D1441"/>
      <c r="E1441" s="451"/>
      <c r="F1441" s="242"/>
      <c r="G1441"/>
      <c r="H1441" s="322"/>
      <c r="I1441" s="322"/>
      <c r="J1441" s="242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</row>
    <row r="1442" spans="1:26" ht="15.75" hidden="1" customHeight="1" outlineLevel="2">
      <c r="A1442" s="443"/>
      <c r="B1442" s="444"/>
      <c r="C1442"/>
      <c r="D1442"/>
      <c r="E1442" s="451"/>
      <c r="F1442" s="242"/>
      <c r="G1442"/>
      <c r="H1442" s="322"/>
      <c r="I1442" s="322"/>
      <c r="J1442" s="242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</row>
    <row r="1443" spans="1:26" ht="15.75" hidden="1" customHeight="1" outlineLevel="2">
      <c r="A1443" s="443"/>
      <c r="B1443" s="444"/>
      <c r="C1443"/>
      <c r="D1443"/>
      <c r="E1443" s="382"/>
      <c r="F1443" s="242"/>
      <c r="G1443"/>
      <c r="H1443" s="322"/>
      <c r="I1443" s="322"/>
      <c r="J1443" s="242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</row>
    <row r="1444" spans="1:26" ht="15.75" hidden="1" customHeight="1" outlineLevel="2">
      <c r="A1444" s="443"/>
      <c r="B1444" s="444"/>
      <c r="C1444"/>
      <c r="D1444"/>
      <c r="E1444" s="382"/>
      <c r="F1444" s="242"/>
      <c r="G1444"/>
      <c r="H1444" s="322"/>
      <c r="I1444" s="322"/>
      <c r="J1444" s="242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</row>
    <row r="1445" spans="1:26" ht="15.75" hidden="1" customHeight="1" outlineLevel="2">
      <c r="A1445" s="443"/>
      <c r="B1445" s="444"/>
      <c r="C1445"/>
      <c r="D1445"/>
      <c r="E1445" s="382"/>
      <c r="F1445" s="242"/>
      <c r="G1445"/>
      <c r="H1445" s="322"/>
      <c r="I1445" s="322"/>
      <c r="J1445" s="242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</row>
    <row r="1446" spans="1:26" ht="15.75" hidden="1" customHeight="1" outlineLevel="2">
      <c r="A1446" s="443"/>
      <c r="B1446" s="444"/>
      <c r="C1446"/>
      <c r="D1446"/>
      <c r="E1446" s="382"/>
      <c r="F1446" s="242"/>
      <c r="G1446"/>
      <c r="H1446" s="322"/>
      <c r="I1446" s="322"/>
      <c r="J1446" s="242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</row>
    <row r="1447" spans="1:26" ht="15.75" hidden="1" customHeight="1" outlineLevel="2">
      <c r="A1447" s="443"/>
      <c r="B1447" s="444"/>
      <c r="C1447"/>
      <c r="D1447"/>
      <c r="E1447" s="382"/>
      <c r="F1447" s="242"/>
      <c r="G1447"/>
      <c r="H1447" s="322"/>
      <c r="I1447" s="322"/>
      <c r="J1447" s="242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</row>
    <row r="1448" spans="1:26" ht="15.75" hidden="1" customHeight="1" outlineLevel="2">
      <c r="A1448" s="443"/>
      <c r="B1448" s="444"/>
      <c r="C1448"/>
      <c r="D1448"/>
      <c r="E1448" s="382"/>
      <c r="F1448" s="242"/>
      <c r="G1448"/>
      <c r="H1448" s="322"/>
      <c r="I1448" s="322"/>
      <c r="J1448" s="242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</row>
    <row r="1449" spans="1:26" ht="15.75" hidden="1" customHeight="1" outlineLevel="2">
      <c r="A1449" s="443"/>
      <c r="B1449" s="444"/>
      <c r="C1449"/>
      <c r="D1449"/>
      <c r="E1449" s="382"/>
      <c r="F1449" s="242"/>
      <c r="G1449"/>
      <c r="H1449" s="322"/>
      <c r="I1449" s="322"/>
      <c r="J1449" s="242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</row>
    <row r="1450" spans="1:26" ht="15.75" hidden="1" customHeight="1" outlineLevel="2">
      <c r="A1450" s="443"/>
      <c r="B1450" s="444"/>
      <c r="C1450"/>
      <c r="D1450"/>
      <c r="E1450" s="382"/>
      <c r="F1450" s="242"/>
      <c r="G1450"/>
      <c r="H1450" s="322"/>
      <c r="I1450" s="322"/>
      <c r="J1450" s="242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</row>
    <row r="1451" spans="1:26" ht="15.75" hidden="1" customHeight="1" outlineLevel="2">
      <c r="A1451" s="443"/>
      <c r="B1451" s="444"/>
      <c r="C1451"/>
      <c r="D1451"/>
      <c r="E1451" s="382"/>
      <c r="F1451" s="242"/>
      <c r="G1451"/>
      <c r="H1451" s="322"/>
      <c r="I1451" s="322"/>
      <c r="J1451" s="242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</row>
    <row r="1452" spans="1:26" ht="15.75" hidden="1" customHeight="1" outlineLevel="2">
      <c r="A1452" s="443"/>
      <c r="B1452" s="444"/>
      <c r="C1452"/>
      <c r="D1452"/>
      <c r="E1452" s="387"/>
      <c r="F1452" s="242"/>
      <c r="G1452"/>
      <c r="H1452" s="322"/>
      <c r="I1452" s="322"/>
      <c r="J1452" s="242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</row>
    <row r="1453" spans="1:26" ht="15.75" hidden="1" customHeight="1" outlineLevel="2">
      <c r="A1453" s="443"/>
      <c r="B1453" s="444"/>
      <c r="C1453"/>
      <c r="D1453"/>
      <c r="E1453" s="387"/>
      <c r="F1453" s="242"/>
      <c r="G1453"/>
      <c r="H1453" s="322"/>
      <c r="I1453" s="322"/>
      <c r="J1453" s="242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</row>
    <row r="1454" spans="1:26" ht="15.75" hidden="1" customHeight="1" outlineLevel="2">
      <c r="A1454" s="443"/>
      <c r="B1454" s="444"/>
      <c r="C1454"/>
      <c r="D1454"/>
      <c r="E1454" s="382"/>
      <c r="F1454" s="242"/>
      <c r="G1454"/>
      <c r="H1454" s="322"/>
      <c r="I1454" s="322"/>
      <c r="J1454" s="242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</row>
    <row r="1455" spans="1:26" ht="15.75" hidden="1" customHeight="1" outlineLevel="2">
      <c r="A1455" s="443"/>
      <c r="B1455" s="444"/>
      <c r="C1455"/>
      <c r="D1455"/>
      <c r="E1455" s="382"/>
      <c r="F1455" s="242"/>
      <c r="G1455"/>
      <c r="H1455" s="322"/>
      <c r="I1455" s="322"/>
      <c r="J1455" s="242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</row>
    <row r="1456" spans="1:26" ht="15.75" hidden="1" customHeight="1" outlineLevel="2">
      <c r="A1456" s="443"/>
      <c r="B1456" s="444"/>
      <c r="C1456"/>
      <c r="D1456"/>
      <c r="E1456" s="386"/>
      <c r="F1456" s="242"/>
      <c r="G1456"/>
      <c r="H1456" s="322"/>
      <c r="I1456" s="322"/>
      <c r="J1456" s="242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</row>
    <row r="1457" spans="1:26" ht="15.75" hidden="1" customHeight="1" outlineLevel="2">
      <c r="A1457" s="443"/>
      <c r="B1457" s="444"/>
      <c r="C1457"/>
      <c r="D1457"/>
      <c r="E1457" s="386"/>
      <c r="F1457" s="242"/>
      <c r="G1457"/>
      <c r="H1457" s="322"/>
      <c r="I1457" s="322"/>
      <c r="J1457" s="242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</row>
    <row r="1458" spans="1:26" ht="15.75" hidden="1" customHeight="1" outlineLevel="2">
      <c r="A1458" s="443"/>
      <c r="B1458" s="444"/>
      <c r="C1458"/>
      <c r="D1458"/>
      <c r="E1458" s="381"/>
      <c r="F1458" s="242"/>
      <c r="G1458"/>
      <c r="H1458" s="322"/>
      <c r="I1458" s="322"/>
      <c r="J1458" s="242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</row>
    <row r="1459" spans="1:26" ht="15.75" hidden="1" customHeight="1" outlineLevel="2">
      <c r="A1459" s="443"/>
      <c r="B1459" s="444"/>
      <c r="C1459"/>
      <c r="D1459"/>
      <c r="E1459" s="355"/>
      <c r="F1459" s="242"/>
      <c r="G1459"/>
      <c r="H1459" s="322"/>
      <c r="I1459" s="322"/>
      <c r="J1459" s="242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</row>
    <row r="1460" spans="1:26" ht="15.75" hidden="1" customHeight="1" outlineLevel="2">
      <c r="A1460" s="443"/>
      <c r="B1460" s="444"/>
      <c r="C1460"/>
      <c r="D1460"/>
      <c r="E1460" s="381"/>
      <c r="F1460" s="242"/>
      <c r="G1460"/>
      <c r="H1460" s="322"/>
      <c r="I1460" s="322"/>
      <c r="J1460" s="242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</row>
    <row r="1461" spans="1:26" ht="15.75" hidden="1" customHeight="1" outlineLevel="2">
      <c r="A1461" s="443"/>
      <c r="B1461" s="444"/>
      <c r="C1461"/>
      <c r="D1461"/>
      <c r="E1461" s="381"/>
      <c r="F1461" s="242"/>
      <c r="G1461"/>
      <c r="H1461" s="322"/>
      <c r="I1461" s="322"/>
      <c r="J1461" s="242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</row>
    <row r="1462" spans="1:26" ht="15.75" hidden="1" customHeight="1" outlineLevel="2">
      <c r="A1462" s="443"/>
      <c r="B1462" s="444"/>
      <c r="C1462"/>
      <c r="D1462"/>
      <c r="E1462" s="391"/>
      <c r="F1462" s="242"/>
      <c r="G1462"/>
      <c r="H1462" s="322"/>
      <c r="I1462" s="322"/>
      <c r="J1462" s="242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</row>
    <row r="1463" spans="1:26" ht="15.75" hidden="1" customHeight="1" outlineLevel="2">
      <c r="A1463" s="443"/>
      <c r="B1463" s="444"/>
      <c r="C1463"/>
      <c r="D1463"/>
      <c r="E1463" s="382"/>
      <c r="F1463" s="242"/>
      <c r="G1463"/>
      <c r="H1463" s="322"/>
      <c r="I1463" s="322"/>
      <c r="J1463" s="242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</row>
    <row r="1464" spans="1:26" ht="15.75" hidden="1" customHeight="1" outlineLevel="2">
      <c r="A1464" s="443"/>
      <c r="B1464" s="444"/>
      <c r="C1464"/>
      <c r="D1464"/>
      <c r="E1464" s="382"/>
      <c r="F1464" s="242"/>
      <c r="G1464"/>
      <c r="H1464" s="322"/>
      <c r="I1464" s="322"/>
      <c r="J1464" s="242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</row>
    <row r="1465" spans="1:26" ht="15.75" hidden="1" customHeight="1" outlineLevel="2">
      <c r="A1465" s="443"/>
      <c r="B1465" s="444"/>
      <c r="C1465"/>
      <c r="D1465"/>
      <c r="E1465" s="382"/>
      <c r="F1465" s="242"/>
      <c r="G1465"/>
      <c r="H1465" s="322"/>
      <c r="I1465" s="322"/>
      <c r="J1465" s="242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</row>
    <row r="1466" spans="1:26" ht="15.75" hidden="1" customHeight="1" outlineLevel="2">
      <c r="A1466" s="443"/>
      <c r="B1466" s="444"/>
      <c r="C1466"/>
      <c r="D1466"/>
      <c r="E1466" s="381"/>
      <c r="F1466" s="242"/>
      <c r="G1466"/>
      <c r="H1466" s="322"/>
      <c r="I1466" s="322"/>
      <c r="J1466" s="242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</row>
    <row r="1467" spans="1:26" ht="15.75" hidden="1" customHeight="1" outlineLevel="2">
      <c r="A1467" s="443"/>
      <c r="B1467" s="444"/>
      <c r="C1467"/>
      <c r="D1467"/>
      <c r="E1467" s="382"/>
      <c r="F1467" s="242"/>
      <c r="G1467"/>
      <c r="H1467" s="322"/>
      <c r="I1467" s="322"/>
      <c r="J1467" s="242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</row>
    <row r="1468" spans="1:26" ht="15.75" hidden="1" customHeight="1" outlineLevel="2">
      <c r="A1468" s="443"/>
      <c r="B1468" s="444"/>
      <c r="C1468"/>
      <c r="D1468"/>
      <c r="E1468" s="382"/>
      <c r="F1468" s="242"/>
      <c r="G1468"/>
      <c r="H1468" s="322"/>
      <c r="I1468" s="322"/>
      <c r="J1468" s="242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</row>
    <row r="1469" spans="1:26" ht="15.75" hidden="1" customHeight="1" outlineLevel="2">
      <c r="A1469" s="443"/>
      <c r="B1469" s="444"/>
      <c r="C1469"/>
      <c r="D1469"/>
      <c r="E1469" s="382"/>
      <c r="F1469" s="242"/>
      <c r="G1469"/>
      <c r="H1469" s="322"/>
      <c r="I1469" s="322"/>
      <c r="J1469" s="242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</row>
    <row r="1470" spans="1:26" ht="15.75" hidden="1" customHeight="1" outlineLevel="2">
      <c r="A1470" s="443"/>
      <c r="B1470" s="444"/>
      <c r="C1470"/>
      <c r="D1470"/>
      <c r="E1470" s="348"/>
      <c r="F1470" s="242"/>
      <c r="G1470"/>
      <c r="H1470" s="322"/>
      <c r="I1470" s="322"/>
      <c r="J1470" s="242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</row>
    <row r="1471" spans="1:26" ht="15.75" hidden="1" customHeight="1" outlineLevel="2">
      <c r="A1471" s="443"/>
      <c r="B1471" s="444"/>
      <c r="C1471"/>
      <c r="D1471"/>
      <c r="E1471" s="382"/>
      <c r="F1471" s="242"/>
      <c r="G1471"/>
      <c r="H1471" s="322"/>
      <c r="I1471" s="322"/>
      <c r="J1471" s="242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</row>
    <row r="1472" spans="1:26" ht="15.75" hidden="1" customHeight="1" outlineLevel="2">
      <c r="A1472" s="443"/>
      <c r="B1472" s="444"/>
      <c r="C1472"/>
      <c r="D1472"/>
      <c r="E1472" s="382"/>
      <c r="F1472" s="242"/>
      <c r="G1472"/>
      <c r="H1472" s="322"/>
      <c r="I1472" s="322"/>
      <c r="J1472" s="242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</row>
    <row r="1473" spans="1:26" ht="15.75" hidden="1" customHeight="1" outlineLevel="2">
      <c r="A1473" s="443"/>
      <c r="B1473" s="444"/>
      <c r="C1473"/>
      <c r="D1473"/>
      <c r="E1473" s="382"/>
      <c r="F1473" s="242"/>
      <c r="G1473"/>
      <c r="H1473" s="322"/>
      <c r="I1473" s="322"/>
      <c r="J1473" s="242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</row>
    <row r="1474" spans="1:26" ht="15.75" hidden="1" customHeight="1" outlineLevel="2">
      <c r="A1474" s="443"/>
      <c r="B1474" s="444"/>
      <c r="C1474"/>
      <c r="D1474"/>
      <c r="E1474" s="397"/>
      <c r="F1474" s="242"/>
      <c r="G1474"/>
      <c r="H1474" s="322"/>
      <c r="I1474" s="322"/>
      <c r="J1474" s="242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</row>
    <row r="1475" spans="1:26" ht="15.75" hidden="1" customHeight="1" outlineLevel="2">
      <c r="A1475" s="443"/>
      <c r="B1475" s="444"/>
      <c r="C1475"/>
      <c r="D1475"/>
      <c r="E1475" s="397"/>
      <c r="F1475" s="242"/>
      <c r="G1475"/>
      <c r="H1475" s="322"/>
      <c r="I1475" s="322"/>
      <c r="J1475" s="242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</row>
    <row r="1476" spans="1:26" ht="15.75" hidden="1" customHeight="1" outlineLevel="2">
      <c r="A1476" s="443"/>
      <c r="B1476" s="444"/>
      <c r="C1476"/>
      <c r="D1476"/>
      <c r="E1476" s="397"/>
      <c r="F1476" s="242"/>
      <c r="G1476"/>
      <c r="H1476" s="322"/>
      <c r="I1476" s="322"/>
      <c r="J1476" s="242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</row>
    <row r="1477" spans="1:26" ht="15.75" hidden="1" customHeight="1" outlineLevel="2">
      <c r="A1477" s="443"/>
      <c r="B1477" s="444"/>
      <c r="C1477"/>
      <c r="D1477"/>
      <c r="E1477" s="391"/>
      <c r="F1477" s="242"/>
      <c r="G1477"/>
      <c r="H1477" s="322"/>
      <c r="I1477" s="322"/>
      <c r="J1477" s="242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</row>
    <row r="1478" spans="1:26" ht="15.75" hidden="1" customHeight="1" outlineLevel="2">
      <c r="A1478" s="443"/>
      <c r="B1478" s="444"/>
      <c r="C1478"/>
      <c r="D1478"/>
      <c r="E1478" s="382"/>
      <c r="F1478" s="242"/>
      <c r="G1478"/>
      <c r="H1478" s="322"/>
      <c r="I1478" s="322"/>
      <c r="J1478" s="242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</row>
    <row r="1479" spans="1:26" ht="15.75" hidden="1" customHeight="1" outlineLevel="2">
      <c r="A1479" s="443"/>
      <c r="B1479" s="444"/>
      <c r="C1479"/>
      <c r="D1479"/>
      <c r="E1479" s="382"/>
      <c r="F1479" s="242"/>
      <c r="G1479"/>
      <c r="H1479" s="322"/>
      <c r="I1479" s="322"/>
      <c r="J1479" s="242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</row>
    <row r="1480" spans="1:26" ht="15.75" hidden="1" customHeight="1" outlineLevel="2">
      <c r="A1480" s="443"/>
      <c r="B1480" s="444"/>
      <c r="C1480"/>
      <c r="D1480"/>
      <c r="E1480" s="391"/>
      <c r="F1480" s="242"/>
      <c r="G1480"/>
      <c r="H1480" s="322"/>
      <c r="I1480" s="322"/>
      <c r="J1480" s="242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</row>
    <row r="1481" spans="1:26" ht="15.75" hidden="1" customHeight="1" outlineLevel="2">
      <c r="A1481" s="443"/>
      <c r="B1481" s="444"/>
      <c r="C1481"/>
      <c r="D1481"/>
      <c r="E1481" s="391"/>
      <c r="F1481" s="242"/>
      <c r="G1481"/>
      <c r="H1481" s="322"/>
      <c r="I1481" s="322"/>
      <c r="J1481" s="242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</row>
    <row r="1482" spans="1:26" ht="15.75" hidden="1" customHeight="1" outlineLevel="2">
      <c r="A1482" s="443"/>
      <c r="B1482" s="444"/>
      <c r="C1482"/>
      <c r="D1482"/>
      <c r="E1482" s="391"/>
      <c r="F1482" s="242"/>
      <c r="G1482"/>
      <c r="H1482" s="322"/>
      <c r="I1482" s="322"/>
      <c r="J1482" s="242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</row>
    <row r="1483" spans="1:26" ht="15.75" hidden="1" customHeight="1" outlineLevel="2">
      <c r="A1483" s="443"/>
      <c r="B1483" s="444"/>
      <c r="C1483"/>
      <c r="D1483"/>
      <c r="E1483" s="382"/>
      <c r="F1483" s="242"/>
      <c r="G1483"/>
      <c r="H1483" s="322"/>
      <c r="I1483" s="322"/>
      <c r="J1483" s="242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</row>
    <row r="1484" spans="1:26" ht="15.75" hidden="1" customHeight="1" outlineLevel="2">
      <c r="A1484" s="443"/>
      <c r="B1484" s="444"/>
      <c r="C1484"/>
      <c r="D1484"/>
      <c r="E1484" s="378"/>
      <c r="F1484" s="242"/>
      <c r="G1484"/>
      <c r="H1484" s="322"/>
      <c r="I1484" s="322"/>
      <c r="J1484" s="242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</row>
    <row r="1485" spans="1:26" ht="15.75" hidden="1" customHeight="1" outlineLevel="2">
      <c r="A1485" s="443"/>
      <c r="B1485" s="444"/>
      <c r="C1485"/>
      <c r="D1485"/>
      <c r="E1485" s="378"/>
      <c r="F1485" s="242"/>
      <c r="G1485"/>
      <c r="H1485" s="322"/>
      <c r="I1485" s="322"/>
      <c r="J1485" s="242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</row>
    <row r="1486" spans="1:26" ht="15.75" hidden="1" customHeight="1" outlineLevel="2">
      <c r="A1486" s="443"/>
      <c r="B1486" s="444"/>
      <c r="C1486"/>
      <c r="D1486"/>
      <c r="E1486" s="382"/>
      <c r="F1486" s="242"/>
      <c r="G1486"/>
      <c r="H1486" s="322"/>
      <c r="I1486" s="322"/>
      <c r="J1486" s="242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</row>
    <row r="1487" spans="1:26" ht="15.75" hidden="1" customHeight="1" outlineLevel="2">
      <c r="A1487" s="443"/>
      <c r="B1487" s="444"/>
      <c r="C1487"/>
      <c r="D1487"/>
      <c r="E1487" s="391"/>
      <c r="F1487" s="242"/>
      <c r="G1487"/>
      <c r="H1487" s="322"/>
      <c r="I1487" s="322"/>
      <c r="J1487" s="242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</row>
    <row r="1488" spans="1:26" ht="15.75" hidden="1" customHeight="1" outlineLevel="2">
      <c r="A1488" s="443"/>
      <c r="B1488" s="444"/>
      <c r="C1488"/>
      <c r="D1488"/>
      <c r="E1488" s="382"/>
      <c r="F1488" s="242"/>
      <c r="G1488"/>
      <c r="H1488" s="322"/>
      <c r="I1488" s="322"/>
      <c r="J1488" s="242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</row>
    <row r="1489" spans="1:26" ht="15.75" hidden="1" customHeight="1" outlineLevel="2">
      <c r="A1489" s="443"/>
      <c r="B1489" s="444"/>
      <c r="C1489"/>
      <c r="D1489"/>
      <c r="E1489" s="382"/>
      <c r="F1489" s="242"/>
      <c r="G1489"/>
      <c r="H1489" s="322"/>
      <c r="I1489" s="322"/>
      <c r="J1489" s="242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</row>
    <row r="1490" spans="1:26" ht="15.75" hidden="1" customHeight="1" outlineLevel="2">
      <c r="A1490" s="443"/>
      <c r="B1490" s="444"/>
      <c r="C1490"/>
      <c r="D1490"/>
      <c r="E1490" s="386"/>
      <c r="F1490" s="242"/>
      <c r="G1490"/>
      <c r="H1490" s="322"/>
      <c r="I1490" s="322"/>
      <c r="J1490" s="242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</row>
    <row r="1491" spans="1:26" ht="15.75" hidden="1" customHeight="1" outlineLevel="2">
      <c r="A1491" s="443"/>
      <c r="B1491" s="444"/>
      <c r="C1491"/>
      <c r="D1491"/>
      <c r="E1491" s="386"/>
      <c r="F1491" s="242"/>
      <c r="G1491"/>
      <c r="H1491" s="322"/>
      <c r="I1491" s="322"/>
      <c r="J1491" s="242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</row>
    <row r="1492" spans="1:26" ht="15.75" hidden="1" customHeight="1" outlineLevel="2">
      <c r="A1492" s="443"/>
      <c r="B1492" s="444"/>
      <c r="C1492"/>
      <c r="D1492"/>
      <c r="E1492" s="391"/>
      <c r="F1492" s="242"/>
      <c r="G1492"/>
      <c r="H1492" s="322"/>
      <c r="I1492" s="322"/>
      <c r="J1492" s="242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</row>
    <row r="1493" spans="1:26" ht="15.75" hidden="1" customHeight="1" outlineLevel="2">
      <c r="A1493" s="443"/>
      <c r="B1493" s="444"/>
      <c r="C1493"/>
      <c r="D1493"/>
      <c r="E1493" s="382"/>
      <c r="F1493" s="242"/>
      <c r="G1493"/>
      <c r="H1493" s="322"/>
      <c r="I1493" s="322"/>
      <c r="J1493" s="242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</row>
    <row r="1494" spans="1:26" ht="15.75" hidden="1" customHeight="1" outlineLevel="2">
      <c r="A1494" s="443"/>
      <c r="B1494" s="444"/>
      <c r="C1494"/>
      <c r="D1494"/>
      <c r="E1494" s="391"/>
      <c r="F1494" s="242"/>
      <c r="G1494"/>
      <c r="H1494" s="322"/>
      <c r="I1494" s="322"/>
      <c r="J1494" s="242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</row>
    <row r="1495" spans="1:26" ht="15.75" hidden="1" customHeight="1" outlineLevel="2">
      <c r="A1495" s="443"/>
      <c r="B1495" s="444"/>
      <c r="C1495"/>
      <c r="D1495"/>
      <c r="E1495" s="391"/>
      <c r="F1495" s="242"/>
      <c r="G1495"/>
      <c r="H1495" s="322"/>
      <c r="I1495" s="322"/>
      <c r="J1495" s="242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</row>
    <row r="1496" spans="1:26" ht="15.75" hidden="1" customHeight="1" outlineLevel="2">
      <c r="A1496" s="443"/>
      <c r="B1496" s="444"/>
      <c r="C1496"/>
      <c r="D1496"/>
      <c r="E1496" s="391"/>
      <c r="F1496" s="242"/>
      <c r="G1496"/>
      <c r="H1496" s="322"/>
      <c r="I1496" s="322"/>
      <c r="J1496" s="242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</row>
    <row r="1497" spans="1:26" ht="15.75" hidden="1" customHeight="1" outlineLevel="2">
      <c r="A1497" s="443"/>
      <c r="B1497" s="444"/>
      <c r="C1497"/>
      <c r="D1497"/>
      <c r="E1497" s="353"/>
      <c r="F1497" s="242"/>
      <c r="G1497"/>
      <c r="H1497" s="322"/>
      <c r="I1497" s="322"/>
      <c r="J1497" s="242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</row>
    <row r="1498" spans="1:26" ht="15.75" hidden="1" customHeight="1" outlineLevel="2">
      <c r="A1498" s="443"/>
      <c r="B1498" s="444"/>
      <c r="C1498"/>
      <c r="D1498"/>
      <c r="E1498" s="382"/>
      <c r="F1498" s="242"/>
      <c r="G1498"/>
      <c r="H1498" s="322"/>
      <c r="I1498" s="322"/>
      <c r="J1498" s="242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</row>
    <row r="1499" spans="1:26" ht="15.75" hidden="1" customHeight="1" outlineLevel="2">
      <c r="A1499" s="443"/>
      <c r="B1499" s="444"/>
      <c r="C1499"/>
      <c r="D1499"/>
      <c r="E1499" s="382"/>
      <c r="F1499" s="242"/>
      <c r="G1499"/>
      <c r="H1499" s="322"/>
      <c r="I1499" s="322"/>
      <c r="J1499" s="242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</row>
    <row r="1500" spans="1:26" ht="15.75" hidden="1" customHeight="1" outlineLevel="2">
      <c r="A1500" s="443"/>
      <c r="B1500" s="444"/>
      <c r="C1500"/>
      <c r="D1500"/>
      <c r="E1500" s="382"/>
      <c r="F1500" s="242"/>
      <c r="G1500"/>
      <c r="H1500" s="322"/>
      <c r="I1500" s="322"/>
      <c r="J1500" s="242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</row>
    <row r="1501" spans="1:26" ht="15.75" hidden="1" customHeight="1" outlineLevel="2">
      <c r="A1501" s="443"/>
      <c r="B1501" s="444"/>
      <c r="C1501"/>
      <c r="D1501"/>
      <c r="E1501" s="382"/>
      <c r="F1501" s="242"/>
      <c r="G1501"/>
      <c r="H1501" s="322"/>
      <c r="I1501" s="322"/>
      <c r="J1501" s="242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</row>
    <row r="1502" spans="1:26" ht="15.75" hidden="1" customHeight="1" outlineLevel="2">
      <c r="A1502" s="443"/>
      <c r="B1502" s="444"/>
      <c r="C1502"/>
      <c r="D1502"/>
      <c r="E1502" s="382"/>
      <c r="F1502" s="242"/>
      <c r="G1502"/>
      <c r="H1502" s="322"/>
      <c r="I1502" s="322"/>
      <c r="J1502" s="242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</row>
    <row r="1503" spans="1:26" ht="15.75" hidden="1" customHeight="1" outlineLevel="2">
      <c r="A1503" s="443"/>
      <c r="B1503" s="444"/>
      <c r="C1503"/>
      <c r="D1503"/>
      <c r="E1503" s="382"/>
      <c r="F1503" s="242"/>
      <c r="G1503"/>
      <c r="H1503" s="322"/>
      <c r="I1503" s="322"/>
      <c r="J1503" s="242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</row>
    <row r="1504" spans="1:26" ht="15.75" hidden="1" customHeight="1" outlineLevel="2">
      <c r="A1504" s="443"/>
      <c r="B1504" s="444"/>
      <c r="C1504"/>
      <c r="D1504"/>
      <c r="E1504" s="387"/>
      <c r="F1504" s="242"/>
      <c r="G1504"/>
      <c r="H1504" s="322"/>
      <c r="I1504" s="322"/>
      <c r="J1504" s="242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</row>
    <row r="1505" spans="1:26" ht="15.75" hidden="1" customHeight="1" outlineLevel="2">
      <c r="A1505" s="443"/>
      <c r="B1505" s="444"/>
      <c r="C1505"/>
      <c r="D1505"/>
      <c r="E1505" s="382"/>
      <c r="F1505" s="242"/>
      <c r="G1505"/>
      <c r="H1505" s="322"/>
      <c r="I1505" s="322"/>
      <c r="J1505" s="242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</row>
    <row r="1506" spans="1:26" ht="15.75" hidden="1" customHeight="1" outlineLevel="2">
      <c r="A1506" s="443"/>
      <c r="B1506" s="444"/>
      <c r="C1506"/>
      <c r="D1506"/>
      <c r="E1506" s="382"/>
      <c r="F1506" s="242"/>
      <c r="G1506"/>
      <c r="H1506" s="322"/>
      <c r="I1506" s="322"/>
      <c r="J1506" s="242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</row>
    <row r="1507" spans="1:26" ht="15.75" hidden="1" customHeight="1" outlineLevel="2">
      <c r="A1507" s="443"/>
      <c r="B1507" s="444"/>
      <c r="C1507"/>
      <c r="D1507"/>
      <c r="E1507" s="382"/>
      <c r="F1507" s="242"/>
      <c r="G1507"/>
      <c r="H1507" s="322"/>
      <c r="I1507" s="322"/>
      <c r="J1507" s="242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</row>
    <row r="1508" spans="1:26" ht="15.75" hidden="1" customHeight="1" outlineLevel="2">
      <c r="A1508" s="443"/>
      <c r="B1508" s="444"/>
      <c r="C1508"/>
      <c r="D1508"/>
      <c r="E1508" s="391"/>
      <c r="F1508" s="242"/>
      <c r="G1508"/>
      <c r="H1508" s="322"/>
      <c r="I1508" s="322"/>
      <c r="J1508" s="242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</row>
    <row r="1509" spans="1:26" ht="15.75" hidden="1" customHeight="1" outlineLevel="2">
      <c r="A1509" s="443"/>
      <c r="B1509" s="444"/>
      <c r="C1509"/>
      <c r="D1509"/>
      <c r="E1509" s="386"/>
      <c r="F1509" s="242"/>
      <c r="G1509"/>
      <c r="H1509" s="322"/>
      <c r="I1509" s="322"/>
      <c r="J1509" s="242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</row>
    <row r="1510" spans="1:26" ht="15.75" hidden="1" customHeight="1" outlineLevel="2">
      <c r="A1510" s="443"/>
      <c r="B1510" s="444"/>
      <c r="C1510"/>
      <c r="D1510"/>
      <c r="E1510" s="391"/>
      <c r="F1510" s="242"/>
      <c r="G1510"/>
      <c r="H1510" s="322"/>
      <c r="I1510" s="322"/>
      <c r="J1510" s="242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</row>
    <row r="1511" spans="1:26" ht="15.75" hidden="1" customHeight="1" outlineLevel="2">
      <c r="A1511" s="443"/>
      <c r="B1511" s="444"/>
      <c r="C1511"/>
      <c r="D1511"/>
      <c r="E1511" s="391"/>
      <c r="F1511" s="242"/>
      <c r="G1511"/>
      <c r="H1511" s="322"/>
      <c r="I1511" s="322"/>
      <c r="J1511" s="242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</row>
    <row r="1512" spans="1:26" ht="15.75" hidden="1" customHeight="1" outlineLevel="2">
      <c r="A1512" s="443"/>
      <c r="B1512" s="444"/>
      <c r="C1512"/>
      <c r="D1512"/>
      <c r="E1512" s="386"/>
      <c r="F1512" s="242"/>
      <c r="G1512"/>
      <c r="H1512" s="322"/>
      <c r="I1512" s="322"/>
      <c r="J1512" s="242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</row>
    <row r="1513" spans="1:26" ht="15.75" hidden="1" customHeight="1" outlineLevel="2">
      <c r="A1513" s="443"/>
      <c r="B1513" s="444"/>
      <c r="C1513"/>
      <c r="D1513"/>
      <c r="E1513" s="382"/>
      <c r="F1513" s="242"/>
      <c r="G1513"/>
      <c r="H1513" s="322"/>
      <c r="I1513" s="322"/>
      <c r="J1513" s="242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</row>
    <row r="1514" spans="1:26" ht="15.75" hidden="1" customHeight="1" outlineLevel="2">
      <c r="A1514" s="443"/>
      <c r="B1514" s="444"/>
      <c r="C1514"/>
      <c r="D1514"/>
      <c r="E1514" s="382"/>
      <c r="F1514" s="242"/>
      <c r="G1514"/>
      <c r="H1514" s="322"/>
      <c r="I1514" s="322"/>
      <c r="J1514" s="242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</row>
    <row r="1515" spans="1:26" ht="15.75" hidden="1" customHeight="1" outlineLevel="2">
      <c r="A1515" s="443"/>
      <c r="B1515" s="444"/>
      <c r="C1515"/>
      <c r="D1515"/>
      <c r="E1515" s="382"/>
      <c r="F1515" s="242"/>
      <c r="G1515"/>
      <c r="H1515" s="322"/>
      <c r="I1515" s="322"/>
      <c r="J1515" s="242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</row>
    <row r="1516" spans="1:26" ht="15.75" hidden="1" customHeight="1" outlineLevel="2">
      <c r="A1516" s="443"/>
      <c r="B1516" s="444"/>
      <c r="C1516"/>
      <c r="D1516"/>
      <c r="E1516" s="382"/>
      <c r="F1516" s="242"/>
      <c r="G1516"/>
      <c r="H1516" s="322"/>
      <c r="I1516" s="322"/>
      <c r="J1516" s="242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</row>
    <row r="1517" spans="1:26" ht="15.75" hidden="1" customHeight="1" outlineLevel="2">
      <c r="A1517" s="443"/>
      <c r="B1517" s="444"/>
      <c r="C1517"/>
      <c r="D1517"/>
      <c r="E1517" s="382"/>
      <c r="F1517" s="242"/>
      <c r="G1517"/>
      <c r="H1517" s="322"/>
      <c r="I1517" s="322"/>
      <c r="J1517" s="242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</row>
    <row r="1518" spans="1:26" ht="15.75" hidden="1" customHeight="1" outlineLevel="2">
      <c r="A1518" s="443"/>
      <c r="B1518" s="444"/>
      <c r="C1518"/>
      <c r="D1518"/>
      <c r="E1518" s="382"/>
      <c r="F1518" s="242"/>
      <c r="G1518"/>
      <c r="H1518" s="322"/>
      <c r="I1518" s="322"/>
      <c r="J1518" s="242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</row>
    <row r="1519" spans="1:26" ht="15.75" hidden="1" customHeight="1" outlineLevel="2">
      <c r="A1519" s="443"/>
      <c r="B1519" s="444"/>
      <c r="C1519"/>
      <c r="D1519"/>
      <c r="E1519" s="391"/>
      <c r="F1519" s="242"/>
      <c r="G1519"/>
      <c r="H1519" s="322"/>
      <c r="I1519" s="322"/>
      <c r="J1519" s="242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</row>
    <row r="1520" spans="1:26" ht="15.75" hidden="1" customHeight="1" outlineLevel="2">
      <c r="A1520" s="443"/>
      <c r="B1520" s="444"/>
      <c r="C1520"/>
      <c r="D1520"/>
      <c r="E1520" s="382"/>
      <c r="F1520" s="242"/>
      <c r="G1520"/>
      <c r="H1520" s="322"/>
      <c r="I1520" s="322"/>
      <c r="J1520" s="242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</row>
    <row r="1521" spans="1:26" ht="15.75" hidden="1" customHeight="1" outlineLevel="2">
      <c r="A1521" s="443"/>
      <c r="B1521" s="444"/>
      <c r="C1521"/>
      <c r="D1521"/>
      <c r="E1521" s="382"/>
      <c r="F1521" s="242"/>
      <c r="G1521"/>
      <c r="H1521" s="322"/>
      <c r="I1521" s="322"/>
      <c r="J1521" s="242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</row>
    <row r="1522" spans="1:26" ht="15.75" hidden="1" customHeight="1" outlineLevel="2">
      <c r="A1522" s="443"/>
      <c r="B1522" s="444"/>
      <c r="C1522"/>
      <c r="D1522"/>
      <c r="E1522" s="391"/>
      <c r="F1522" s="242"/>
      <c r="G1522"/>
      <c r="H1522" s="322"/>
      <c r="I1522" s="322"/>
      <c r="J1522" s="242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</row>
    <row r="1523" spans="1:26" ht="15.75" hidden="1" customHeight="1" outlineLevel="2">
      <c r="A1523" s="443"/>
      <c r="B1523" s="444"/>
      <c r="C1523"/>
      <c r="D1523"/>
      <c r="E1523" s="391"/>
      <c r="F1523" s="242"/>
      <c r="G1523"/>
      <c r="H1523" s="322"/>
      <c r="I1523" s="322"/>
      <c r="J1523" s="242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</row>
    <row r="1524" spans="1:26" ht="15.75" hidden="1" customHeight="1" outlineLevel="2">
      <c r="A1524" s="443"/>
      <c r="B1524" s="444"/>
      <c r="C1524"/>
      <c r="D1524"/>
      <c r="E1524" s="391"/>
      <c r="F1524" s="242"/>
      <c r="G1524"/>
      <c r="H1524" s="322"/>
      <c r="I1524" s="322"/>
      <c r="J1524" s="242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</row>
    <row r="1525" spans="1:26" ht="15.75" hidden="1" customHeight="1" outlineLevel="2">
      <c r="A1525" s="443"/>
      <c r="B1525" s="444"/>
      <c r="C1525"/>
      <c r="D1525"/>
      <c r="E1525" s="391"/>
      <c r="F1525" s="242"/>
      <c r="G1525"/>
      <c r="H1525" s="322"/>
      <c r="I1525" s="322"/>
      <c r="J1525" s="242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</row>
    <row r="1526" spans="1:26" ht="15.75" hidden="1" customHeight="1" outlineLevel="2">
      <c r="A1526" s="443"/>
      <c r="B1526" s="444"/>
      <c r="C1526"/>
      <c r="D1526"/>
      <c r="E1526" s="391"/>
      <c r="F1526" s="242"/>
      <c r="G1526"/>
      <c r="H1526" s="322"/>
      <c r="I1526" s="322"/>
      <c r="J1526" s="242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</row>
    <row r="1527" spans="1:26" ht="15.75" hidden="1" customHeight="1" outlineLevel="2">
      <c r="A1527" s="443"/>
      <c r="B1527" s="444"/>
      <c r="C1527"/>
      <c r="D1527"/>
      <c r="E1527" s="382"/>
      <c r="F1527" s="242"/>
      <c r="G1527"/>
      <c r="H1527" s="322"/>
      <c r="I1527" s="322"/>
      <c r="J1527" s="242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</row>
    <row r="1528" spans="1:26" ht="15.75" hidden="1" customHeight="1" outlineLevel="2">
      <c r="A1528" s="443"/>
      <c r="B1528" s="444"/>
      <c r="C1528"/>
      <c r="D1528"/>
      <c r="E1528" s="382"/>
      <c r="F1528" s="242"/>
      <c r="G1528"/>
      <c r="H1528" s="322"/>
      <c r="I1528" s="322"/>
      <c r="J1528" s="242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</row>
    <row r="1529" spans="1:26" ht="15.75" hidden="1" customHeight="1" outlineLevel="2">
      <c r="A1529" s="443"/>
      <c r="B1529" s="444"/>
      <c r="C1529"/>
      <c r="D1529"/>
      <c r="E1529" s="381"/>
      <c r="F1529" s="242"/>
      <c r="G1529"/>
      <c r="H1529" s="322"/>
      <c r="I1529" s="322"/>
      <c r="J1529" s="242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</row>
    <row r="1530" spans="1:26" ht="15.75" hidden="1" customHeight="1" outlineLevel="2">
      <c r="A1530" s="443"/>
      <c r="B1530" s="444"/>
      <c r="C1530"/>
      <c r="D1530"/>
      <c r="E1530" s="391"/>
      <c r="F1530" s="242"/>
      <c r="G1530"/>
      <c r="H1530" s="322"/>
      <c r="I1530" s="322"/>
      <c r="J1530" s="242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</row>
    <row r="1531" spans="1:26" ht="15.75" hidden="1" customHeight="1" outlineLevel="2">
      <c r="A1531" s="443"/>
      <c r="B1531" s="444"/>
      <c r="C1531"/>
      <c r="D1531"/>
      <c r="E1531" s="382"/>
      <c r="F1531" s="242"/>
      <c r="G1531"/>
      <c r="H1531" s="322"/>
      <c r="I1531" s="322"/>
      <c r="J1531" s="242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</row>
    <row r="1532" spans="1:26" ht="15.75" hidden="1" customHeight="1" outlineLevel="2">
      <c r="A1532" s="443"/>
      <c r="B1532" s="444"/>
      <c r="C1532"/>
      <c r="D1532"/>
      <c r="E1532" s="382"/>
      <c r="F1532" s="242"/>
      <c r="G1532"/>
      <c r="H1532" s="322"/>
      <c r="I1532" s="322"/>
      <c r="J1532" s="242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</row>
    <row r="1533" spans="1:26" ht="15.75" hidden="1" customHeight="1" outlineLevel="2">
      <c r="A1533" s="443"/>
      <c r="B1533" s="444"/>
      <c r="C1533"/>
      <c r="D1533"/>
      <c r="E1533" s="382"/>
      <c r="F1533" s="242"/>
      <c r="G1533"/>
      <c r="H1533" s="322"/>
      <c r="I1533" s="322"/>
      <c r="J1533" s="242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</row>
    <row r="1534" spans="1:26" ht="15.75" hidden="1" customHeight="1" outlineLevel="2">
      <c r="A1534" s="443"/>
      <c r="B1534" s="444"/>
      <c r="C1534"/>
      <c r="D1534"/>
      <c r="E1534" s="391"/>
      <c r="F1534" s="242"/>
      <c r="G1534"/>
      <c r="H1534" s="322"/>
      <c r="I1534" s="322"/>
      <c r="J1534" s="242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</row>
    <row r="1535" spans="1:26" ht="15.75" hidden="1" customHeight="1" outlineLevel="2">
      <c r="A1535" s="443"/>
      <c r="B1535" s="444"/>
      <c r="C1535"/>
      <c r="D1535"/>
      <c r="E1535" s="391"/>
      <c r="F1535" s="242"/>
      <c r="G1535"/>
      <c r="H1535" s="322"/>
      <c r="I1535" s="322"/>
      <c r="J1535" s="242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</row>
    <row r="1536" spans="1:26" ht="15.75" hidden="1" customHeight="1" outlineLevel="2">
      <c r="A1536" s="443"/>
      <c r="B1536" s="444"/>
      <c r="C1536"/>
      <c r="D1536"/>
      <c r="E1536" s="391"/>
      <c r="F1536" s="242"/>
      <c r="G1536"/>
      <c r="H1536" s="322"/>
      <c r="I1536" s="322"/>
      <c r="J1536" s="242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</row>
    <row r="1537" spans="1:26" ht="15.75" hidden="1" customHeight="1" outlineLevel="2">
      <c r="A1537" s="443"/>
      <c r="B1537" s="444"/>
      <c r="C1537"/>
      <c r="D1537"/>
      <c r="E1537" s="391"/>
      <c r="F1537" s="242"/>
      <c r="G1537"/>
      <c r="H1537" s="322"/>
      <c r="I1537" s="322"/>
      <c r="J1537" s="242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</row>
    <row r="1538" spans="1:26" ht="15.75" hidden="1" customHeight="1" outlineLevel="2">
      <c r="A1538" s="443"/>
      <c r="B1538" s="444"/>
      <c r="C1538"/>
      <c r="D1538"/>
      <c r="E1538" s="414"/>
      <c r="F1538" s="242"/>
      <c r="G1538"/>
      <c r="H1538" s="322"/>
      <c r="I1538" s="322"/>
      <c r="J1538" s="242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</row>
    <row r="1539" spans="1:26" ht="15.75" hidden="1" customHeight="1" outlineLevel="2">
      <c r="A1539" s="443"/>
      <c r="B1539" s="444"/>
      <c r="C1539"/>
      <c r="D1539"/>
      <c r="E1539" s="397"/>
      <c r="F1539" s="242"/>
      <c r="G1539"/>
      <c r="H1539" s="322"/>
      <c r="I1539" s="322"/>
      <c r="J1539" s="242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</row>
    <row r="1540" spans="1:26" ht="15.75" hidden="1" customHeight="1" outlineLevel="2">
      <c r="A1540" s="443"/>
      <c r="B1540" s="444"/>
      <c r="C1540"/>
      <c r="D1540"/>
      <c r="E1540" s="385"/>
      <c r="F1540" s="242"/>
      <c r="G1540"/>
      <c r="H1540" s="322"/>
      <c r="I1540" s="322"/>
      <c r="J1540" s="242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</row>
    <row r="1541" spans="1:26" ht="15.75" hidden="1" customHeight="1" outlineLevel="2">
      <c r="A1541" s="443"/>
      <c r="B1541" s="444"/>
      <c r="C1541"/>
      <c r="D1541"/>
      <c r="E1541" s="382"/>
      <c r="F1541" s="242"/>
      <c r="G1541"/>
      <c r="H1541" s="322"/>
      <c r="I1541" s="322"/>
      <c r="J1541" s="242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</row>
    <row r="1542" spans="1:26" ht="15.75" hidden="1" customHeight="1" outlineLevel="2">
      <c r="A1542" s="443"/>
      <c r="B1542" s="444"/>
      <c r="C1542"/>
      <c r="D1542"/>
      <c r="E1542" s="391"/>
      <c r="F1542" s="242"/>
      <c r="G1542"/>
      <c r="H1542" s="322"/>
      <c r="I1542" s="322"/>
      <c r="J1542" s="242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</row>
    <row r="1543" spans="1:26" ht="15.75" hidden="1" customHeight="1" outlineLevel="2">
      <c r="A1543" s="443"/>
      <c r="B1543" s="444"/>
      <c r="C1543"/>
      <c r="D1543"/>
      <c r="E1543" s="391"/>
      <c r="F1543" s="242"/>
      <c r="G1543"/>
      <c r="H1543" s="322"/>
      <c r="I1543" s="322"/>
      <c r="J1543" s="242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</row>
    <row r="1544" spans="1:26" ht="15.75" hidden="1" customHeight="1" outlineLevel="2">
      <c r="A1544" s="443"/>
      <c r="B1544" s="444"/>
      <c r="C1544"/>
      <c r="D1544"/>
      <c r="E1544" s="381"/>
      <c r="F1544" s="242"/>
      <c r="G1544"/>
      <c r="H1544" s="322"/>
      <c r="I1544" s="322"/>
      <c r="J1544" s="242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</row>
    <row r="1545" spans="1:26" ht="15.75" hidden="1" customHeight="1" outlineLevel="2">
      <c r="A1545" s="443"/>
      <c r="B1545" s="444"/>
      <c r="C1545"/>
      <c r="D1545"/>
      <c r="E1545" s="386"/>
      <c r="F1545" s="242"/>
      <c r="G1545"/>
      <c r="H1545" s="322"/>
      <c r="I1545" s="322"/>
      <c r="J1545" s="242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</row>
    <row r="1546" spans="1:26" ht="15.75" hidden="1" customHeight="1" outlineLevel="2">
      <c r="A1546" s="443"/>
      <c r="B1546" s="444"/>
      <c r="C1546"/>
      <c r="D1546"/>
      <c r="E1546" s="386"/>
      <c r="F1546" s="242"/>
      <c r="G1546"/>
      <c r="H1546" s="322"/>
      <c r="I1546" s="322"/>
      <c r="J1546" s="242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</row>
    <row r="1547" spans="1:26" ht="15.75" hidden="1" customHeight="1" outlineLevel="2">
      <c r="A1547" s="443"/>
      <c r="B1547" s="444"/>
      <c r="C1547"/>
      <c r="D1547"/>
      <c r="E1547" s="386"/>
      <c r="F1547" s="242"/>
      <c r="G1547"/>
      <c r="H1547" s="322"/>
      <c r="I1547" s="322"/>
      <c r="J1547" s="242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</row>
    <row r="1548" spans="1:26" ht="15.75" hidden="1" customHeight="1" outlineLevel="2">
      <c r="A1548" s="443"/>
      <c r="B1548" s="444"/>
      <c r="C1548"/>
      <c r="D1548"/>
      <c r="E1548" s="381"/>
      <c r="F1548" s="242"/>
      <c r="G1548"/>
      <c r="H1548" s="322"/>
      <c r="I1548" s="322"/>
      <c r="J1548" s="242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</row>
    <row r="1549" spans="1:26" ht="15.75" hidden="1" customHeight="1" outlineLevel="2">
      <c r="A1549" s="443"/>
      <c r="B1549" s="444"/>
      <c r="C1549"/>
      <c r="D1549"/>
      <c r="E1549" s="381"/>
      <c r="F1549" s="242"/>
      <c r="G1549"/>
      <c r="H1549" s="322"/>
      <c r="I1549" s="322"/>
      <c r="J1549" s="242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</row>
    <row r="1550" spans="1:26" ht="15.75" hidden="1" customHeight="1" outlineLevel="2">
      <c r="A1550" s="443"/>
      <c r="B1550" s="444"/>
      <c r="C1550"/>
      <c r="D1550"/>
      <c r="E1550" s="386"/>
      <c r="F1550" s="242"/>
      <c r="G1550"/>
      <c r="H1550" s="322"/>
      <c r="I1550" s="322"/>
      <c r="J1550" s="242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</row>
    <row r="1551" spans="1:26" ht="15.75" hidden="1" customHeight="1" outlineLevel="2">
      <c r="A1551" s="443"/>
      <c r="B1551" s="444"/>
      <c r="C1551"/>
      <c r="D1551"/>
      <c r="E1551" s="386"/>
      <c r="F1551" s="242"/>
      <c r="G1551"/>
      <c r="H1551" s="322"/>
      <c r="I1551" s="322"/>
      <c r="J1551" s="242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</row>
    <row r="1552" spans="1:26" ht="15.75" hidden="1" customHeight="1" outlineLevel="2">
      <c r="A1552" s="443"/>
      <c r="B1552" s="444"/>
      <c r="C1552"/>
      <c r="D1552"/>
      <c r="E1552" s="381"/>
      <c r="F1552" s="242"/>
      <c r="G1552"/>
      <c r="H1552" s="322"/>
      <c r="I1552" s="322"/>
      <c r="J1552" s="242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</row>
    <row r="1553" spans="1:26" ht="15.75" hidden="1" customHeight="1" outlineLevel="2">
      <c r="A1553" s="443"/>
      <c r="B1553" s="444"/>
      <c r="C1553"/>
      <c r="D1553"/>
      <c r="E1553" s="391"/>
      <c r="F1553" s="242"/>
      <c r="G1553"/>
      <c r="H1553" s="322"/>
      <c r="I1553" s="322"/>
      <c r="J1553" s="242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</row>
    <row r="1554" spans="1:26" ht="15.75" hidden="1" customHeight="1" outlineLevel="2">
      <c r="A1554" s="443"/>
      <c r="B1554" s="444"/>
      <c r="C1554"/>
      <c r="D1554"/>
      <c r="E1554" s="381"/>
      <c r="F1554" s="242"/>
      <c r="G1554"/>
      <c r="H1554" s="322"/>
      <c r="I1554" s="322"/>
      <c r="J1554" s="242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</row>
    <row r="1555" spans="1:26" ht="15.75" hidden="1" customHeight="1" outlineLevel="2">
      <c r="A1555" s="443"/>
      <c r="B1555" s="444"/>
      <c r="C1555"/>
      <c r="D1555"/>
      <c r="E1555" s="381"/>
      <c r="F1555" s="242"/>
      <c r="G1555"/>
      <c r="H1555" s="322"/>
      <c r="I1555" s="322"/>
      <c r="J1555" s="242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</row>
    <row r="1556" spans="1:26" ht="15.75" hidden="1" customHeight="1" outlineLevel="2">
      <c r="A1556" s="443"/>
      <c r="B1556" s="444"/>
      <c r="C1556"/>
      <c r="D1556"/>
      <c r="E1556" s="387"/>
      <c r="F1556" s="242"/>
      <c r="G1556"/>
      <c r="H1556" s="322"/>
      <c r="I1556" s="322"/>
      <c r="J1556" s="242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</row>
    <row r="1557" spans="1:26" ht="15.75" hidden="1" customHeight="1" outlineLevel="2">
      <c r="A1557" s="443"/>
      <c r="B1557" s="444"/>
      <c r="C1557"/>
      <c r="D1557"/>
      <c r="E1557" s="391"/>
      <c r="F1557" s="242"/>
      <c r="G1557"/>
      <c r="H1557" s="322"/>
      <c r="I1557" s="322"/>
      <c r="J1557" s="242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</row>
    <row r="1558" spans="1:26" ht="15.75" hidden="1" customHeight="1" outlineLevel="2">
      <c r="A1558" s="443"/>
      <c r="B1558" s="444"/>
      <c r="C1558"/>
      <c r="D1558"/>
      <c r="E1558" s="386"/>
      <c r="F1558" s="242"/>
      <c r="G1558"/>
      <c r="H1558" s="322"/>
      <c r="I1558" s="322"/>
      <c r="J1558" s="242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</row>
    <row r="1559" spans="1:26" ht="15.75" hidden="1" customHeight="1" outlineLevel="2">
      <c r="A1559" s="443"/>
      <c r="B1559" s="444"/>
      <c r="C1559"/>
      <c r="D1559"/>
      <c r="E1559" s="386"/>
      <c r="F1559" s="242"/>
      <c r="G1559"/>
      <c r="H1559" s="322"/>
      <c r="I1559" s="322"/>
      <c r="J1559" s="242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</row>
    <row r="1560" spans="1:26" ht="15.75" hidden="1" customHeight="1" outlineLevel="2">
      <c r="A1560" s="443"/>
      <c r="B1560" s="444"/>
      <c r="C1560"/>
      <c r="D1560"/>
      <c r="E1560" s="391"/>
      <c r="F1560" s="242"/>
      <c r="G1560"/>
      <c r="H1560" s="322"/>
      <c r="I1560" s="322"/>
      <c r="J1560" s="242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</row>
    <row r="1561" spans="1:26" ht="15.75" hidden="1" customHeight="1" outlineLevel="2">
      <c r="A1561" s="443"/>
      <c r="B1561" s="444"/>
      <c r="C1561"/>
      <c r="D1561"/>
      <c r="E1561" s="391"/>
      <c r="F1561" s="242"/>
      <c r="G1561"/>
      <c r="H1561" s="322"/>
      <c r="I1561" s="322"/>
      <c r="J1561" s="242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</row>
    <row r="1562" spans="1:26" ht="15.75" hidden="1" customHeight="1" outlineLevel="2">
      <c r="A1562" s="443"/>
      <c r="B1562" s="444"/>
      <c r="C1562"/>
      <c r="D1562"/>
      <c r="E1562" s="391"/>
      <c r="F1562" s="242"/>
      <c r="G1562"/>
      <c r="H1562" s="322"/>
      <c r="I1562" s="322"/>
      <c r="J1562" s="242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</row>
    <row r="1563" spans="1:26" ht="15.75" hidden="1" customHeight="1" outlineLevel="2">
      <c r="A1563" s="443"/>
      <c r="B1563" s="444"/>
      <c r="C1563"/>
      <c r="D1563"/>
      <c r="E1563" s="382"/>
      <c r="F1563" s="242"/>
      <c r="G1563"/>
      <c r="H1563" s="322"/>
      <c r="I1563" s="322"/>
      <c r="J1563" s="242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</row>
    <row r="1564" spans="1:26" ht="15.75" hidden="1" customHeight="1" outlineLevel="2">
      <c r="A1564" s="443"/>
      <c r="B1564" s="444"/>
      <c r="C1564"/>
      <c r="D1564"/>
      <c r="E1564" s="382"/>
      <c r="F1564" s="242"/>
      <c r="G1564"/>
      <c r="H1564" s="322"/>
      <c r="I1564" s="322"/>
      <c r="J1564" s="242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</row>
    <row r="1565" spans="1:26" ht="15.75" hidden="1" customHeight="1" outlineLevel="2">
      <c r="A1565" s="443"/>
      <c r="B1565" s="444"/>
      <c r="C1565"/>
      <c r="D1565"/>
      <c r="E1565" s="397"/>
      <c r="F1565" s="242"/>
      <c r="G1565"/>
      <c r="H1565" s="322"/>
      <c r="I1565" s="322"/>
      <c r="J1565" s="242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</row>
    <row r="1566" spans="1:26" ht="15.75" hidden="1" customHeight="1" outlineLevel="2">
      <c r="A1566" s="443"/>
      <c r="B1566" s="444"/>
      <c r="C1566"/>
      <c r="D1566"/>
      <c r="E1566" s="391"/>
      <c r="F1566" s="242"/>
      <c r="G1566"/>
      <c r="H1566" s="322"/>
      <c r="I1566" s="322"/>
      <c r="J1566" s="242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</row>
    <row r="1567" spans="1:26" ht="15.75" hidden="1" customHeight="1" outlineLevel="2">
      <c r="A1567" s="443"/>
      <c r="B1567" s="444"/>
      <c r="C1567"/>
      <c r="D1567"/>
      <c r="E1567" s="391"/>
      <c r="F1567" s="242"/>
      <c r="G1567"/>
      <c r="H1567" s="322"/>
      <c r="I1567" s="322"/>
      <c r="J1567" s="242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</row>
    <row r="1568" spans="1:26" ht="15.75" hidden="1" customHeight="1" outlineLevel="2">
      <c r="A1568" s="443"/>
      <c r="B1568" s="444"/>
      <c r="C1568"/>
      <c r="D1568"/>
      <c r="E1568" s="382"/>
      <c r="F1568" s="242"/>
      <c r="G1568"/>
      <c r="H1568" s="322"/>
      <c r="I1568" s="322"/>
      <c r="J1568" s="242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</row>
    <row r="1569" spans="1:26" ht="15.75" hidden="1" customHeight="1" outlineLevel="2">
      <c r="A1569" s="443"/>
      <c r="B1569" s="444"/>
      <c r="C1569"/>
      <c r="D1569"/>
      <c r="E1569" s="382"/>
      <c r="F1569" s="242"/>
      <c r="G1569"/>
      <c r="H1569" s="322"/>
      <c r="I1569" s="322"/>
      <c r="J1569" s="242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</row>
    <row r="1570" spans="1:26" ht="15.75" hidden="1" customHeight="1" outlineLevel="2">
      <c r="A1570" s="443"/>
      <c r="B1570" s="444"/>
      <c r="C1570"/>
      <c r="D1570"/>
      <c r="E1570" s="382"/>
      <c r="F1570" s="242"/>
      <c r="G1570"/>
      <c r="H1570" s="322"/>
      <c r="I1570" s="322"/>
      <c r="J1570" s="242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</row>
    <row r="1571" spans="1:26" ht="15.75" hidden="1" customHeight="1" outlineLevel="2">
      <c r="A1571" s="443"/>
      <c r="B1571" s="444"/>
      <c r="C1571"/>
      <c r="D1571"/>
      <c r="E1571" s="386"/>
      <c r="F1571" s="242"/>
      <c r="G1571"/>
      <c r="H1571" s="322"/>
      <c r="I1571" s="322"/>
      <c r="J1571" s="242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</row>
    <row r="1572" spans="1:26" ht="15.75" hidden="1" customHeight="1" outlineLevel="2">
      <c r="A1572" s="443"/>
      <c r="B1572" s="444"/>
      <c r="C1572"/>
      <c r="D1572"/>
      <c r="E1572" s="381"/>
      <c r="F1572" s="242"/>
      <c r="G1572"/>
      <c r="H1572" s="322"/>
      <c r="I1572" s="322"/>
      <c r="J1572" s="242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</row>
    <row r="1573" spans="1:26" ht="15.75" hidden="1" customHeight="1" outlineLevel="2">
      <c r="A1573" s="443"/>
      <c r="B1573" s="444"/>
      <c r="C1573"/>
      <c r="D1573"/>
      <c r="E1573" s="386"/>
      <c r="F1573" s="242"/>
      <c r="G1573"/>
      <c r="H1573" s="322"/>
      <c r="I1573" s="322"/>
      <c r="J1573" s="242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</row>
    <row r="1574" spans="1:26" ht="15.75" hidden="1" customHeight="1" outlineLevel="2">
      <c r="A1574" s="443"/>
      <c r="B1574" s="444"/>
      <c r="C1574"/>
      <c r="D1574"/>
      <c r="E1574" s="414"/>
      <c r="F1574" s="242"/>
      <c r="G1574"/>
      <c r="H1574" s="322"/>
      <c r="I1574" s="322"/>
      <c r="J1574" s="242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</row>
    <row r="1575" spans="1:26" ht="15.75" hidden="1" customHeight="1" outlineLevel="2">
      <c r="A1575" s="443"/>
      <c r="B1575" s="444"/>
      <c r="C1575"/>
      <c r="D1575"/>
      <c r="E1575" s="386"/>
      <c r="F1575" s="242"/>
      <c r="G1575"/>
      <c r="H1575" s="322"/>
      <c r="I1575" s="322"/>
      <c r="J1575" s="242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</row>
    <row r="1576" spans="1:26" ht="15.75" hidden="1" customHeight="1" outlineLevel="2">
      <c r="A1576" s="443"/>
      <c r="B1576" s="444"/>
      <c r="C1576"/>
      <c r="D1576"/>
      <c r="E1576" s="391"/>
      <c r="F1576" s="242"/>
      <c r="G1576"/>
      <c r="H1576" s="322"/>
      <c r="I1576" s="322"/>
      <c r="J1576" s="242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</row>
    <row r="1577" spans="1:26" ht="15.75" hidden="1" customHeight="1" outlineLevel="2">
      <c r="A1577" s="443"/>
      <c r="B1577" s="444"/>
      <c r="C1577"/>
      <c r="D1577"/>
      <c r="E1577" s="382"/>
      <c r="F1577" s="242"/>
      <c r="G1577"/>
      <c r="H1577" s="322"/>
      <c r="I1577" s="322"/>
      <c r="J1577" s="242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</row>
    <row r="1578" spans="1:26" ht="15.75" hidden="1" customHeight="1" outlineLevel="2">
      <c r="A1578" s="443"/>
      <c r="B1578" s="444"/>
      <c r="C1578"/>
      <c r="D1578"/>
      <c r="E1578" s="399"/>
      <c r="F1578" s="242"/>
      <c r="G1578"/>
      <c r="H1578" s="322"/>
      <c r="I1578" s="322"/>
      <c r="J1578" s="242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</row>
    <row r="1579" spans="1:26" ht="15.75" hidden="1" customHeight="1" outlineLevel="2">
      <c r="A1579" s="443"/>
      <c r="B1579" s="444"/>
      <c r="C1579"/>
      <c r="D1579"/>
      <c r="E1579" s="399"/>
      <c r="F1579" s="242"/>
      <c r="G1579"/>
      <c r="H1579" s="322"/>
      <c r="I1579" s="322"/>
      <c r="J1579" s="242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</row>
    <row r="1580" spans="1:26" ht="15.75" hidden="1" customHeight="1" outlineLevel="2">
      <c r="A1580" s="443"/>
      <c r="B1580" s="444"/>
      <c r="C1580"/>
      <c r="D1580"/>
      <c r="E1580" s="391"/>
      <c r="F1580" s="242"/>
      <c r="G1580"/>
      <c r="H1580" s="322"/>
      <c r="I1580" s="322"/>
      <c r="J1580" s="242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</row>
    <row r="1581" spans="1:26" ht="15.75" hidden="1" customHeight="1" outlineLevel="2">
      <c r="A1581" s="443"/>
      <c r="B1581" s="444"/>
      <c r="C1581"/>
      <c r="D1581"/>
      <c r="E1581" s="399"/>
      <c r="F1581" s="242"/>
      <c r="G1581"/>
      <c r="H1581" s="322"/>
      <c r="I1581" s="322"/>
      <c r="J1581" s="242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</row>
    <row r="1582" spans="1:26" ht="15.75" hidden="1" customHeight="1" outlineLevel="2">
      <c r="A1582" s="443"/>
      <c r="B1582" s="444"/>
      <c r="C1582"/>
      <c r="D1582"/>
      <c r="E1582" s="391"/>
      <c r="F1582" s="242"/>
      <c r="G1582"/>
      <c r="H1582" s="322"/>
      <c r="I1582" s="322"/>
      <c r="J1582" s="242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</row>
    <row r="1583" spans="1:26" ht="15.75" hidden="1" customHeight="1" outlineLevel="2">
      <c r="A1583" s="443"/>
      <c r="B1583" s="444"/>
      <c r="C1583"/>
      <c r="D1583"/>
      <c r="E1583" s="382"/>
      <c r="F1583" s="242"/>
      <c r="G1583"/>
      <c r="H1583" s="322"/>
      <c r="I1583" s="322"/>
      <c r="J1583" s="242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</row>
    <row r="1584" spans="1:26" ht="15.75" hidden="1" customHeight="1" outlineLevel="2">
      <c r="A1584" s="443"/>
      <c r="B1584" s="444"/>
      <c r="C1584"/>
      <c r="D1584"/>
      <c r="E1584" s="382"/>
      <c r="F1584" s="242"/>
      <c r="G1584"/>
      <c r="H1584" s="322"/>
      <c r="I1584" s="322"/>
      <c r="J1584" s="242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</row>
    <row r="1585" spans="1:26" ht="15.75" hidden="1" customHeight="1" outlineLevel="2">
      <c r="A1585" s="443"/>
      <c r="B1585" s="444"/>
      <c r="C1585"/>
      <c r="D1585"/>
      <c r="E1585" s="382"/>
      <c r="F1585" s="242"/>
      <c r="G1585"/>
      <c r="H1585" s="322"/>
      <c r="I1585" s="322"/>
      <c r="J1585" s="242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</row>
    <row r="1586" spans="1:26" ht="15.75" hidden="1" customHeight="1" outlineLevel="2">
      <c r="A1586" s="443"/>
      <c r="B1586" s="444"/>
      <c r="C1586"/>
      <c r="D1586"/>
      <c r="E1586" s="382"/>
      <c r="F1586" s="242"/>
      <c r="G1586"/>
      <c r="H1586" s="322"/>
      <c r="I1586" s="322"/>
      <c r="J1586" s="242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</row>
    <row r="1587" spans="1:26" ht="15.75" hidden="1" customHeight="1" outlineLevel="2">
      <c r="A1587" s="443"/>
      <c r="B1587" s="444"/>
      <c r="C1587"/>
      <c r="D1587"/>
      <c r="E1587" s="382"/>
      <c r="F1587" s="242"/>
      <c r="G1587"/>
      <c r="H1587" s="322"/>
      <c r="I1587" s="322"/>
      <c r="J1587" s="242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</row>
    <row r="1588" spans="1:26" ht="15.75" hidden="1" customHeight="1" outlineLevel="2">
      <c r="A1588" s="443"/>
      <c r="B1588" s="444"/>
      <c r="C1588"/>
      <c r="D1588"/>
      <c r="E1588" s="382"/>
      <c r="F1588" s="242"/>
      <c r="G1588"/>
      <c r="H1588" s="322"/>
      <c r="I1588" s="322"/>
      <c r="J1588" s="242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</row>
    <row r="1589" spans="1:26" ht="15.75" hidden="1" customHeight="1" outlineLevel="2">
      <c r="A1589" s="443"/>
      <c r="B1589" s="444"/>
      <c r="C1589"/>
      <c r="D1589"/>
      <c r="E1589" s="382"/>
      <c r="F1589" s="242"/>
      <c r="G1589"/>
      <c r="H1589" s="322"/>
      <c r="I1589" s="322"/>
      <c r="J1589" s="242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</row>
    <row r="1590" spans="1:26" ht="15.75" hidden="1" customHeight="1" outlineLevel="2">
      <c r="A1590" s="443"/>
      <c r="B1590" s="444"/>
      <c r="C1590"/>
      <c r="D1590"/>
      <c r="E1590" s="382"/>
      <c r="F1590" s="242"/>
      <c r="G1590"/>
      <c r="H1590" s="322"/>
      <c r="I1590" s="322"/>
      <c r="J1590" s="242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</row>
    <row r="1591" spans="1:26" ht="15.75" hidden="1" customHeight="1" outlineLevel="2">
      <c r="A1591" s="443"/>
      <c r="B1591" s="444"/>
      <c r="C1591"/>
      <c r="D1591"/>
      <c r="E1591" s="382"/>
      <c r="F1591" s="242"/>
      <c r="G1591"/>
      <c r="H1591" s="322"/>
      <c r="I1591" s="322"/>
      <c r="J1591" s="242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</row>
    <row r="1592" spans="1:26" ht="15.75" hidden="1" customHeight="1" outlineLevel="2">
      <c r="A1592" s="443"/>
      <c r="B1592" s="444"/>
      <c r="C1592"/>
      <c r="D1592"/>
      <c r="E1592" s="381"/>
      <c r="F1592" s="242"/>
      <c r="G1592"/>
      <c r="H1592" s="322"/>
      <c r="I1592" s="322"/>
      <c r="J1592" s="242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</row>
    <row r="1593" spans="1:26" ht="15.75" hidden="1" customHeight="1" outlineLevel="2">
      <c r="A1593" s="443"/>
      <c r="B1593" s="444"/>
      <c r="C1593"/>
      <c r="D1593"/>
      <c r="E1593" s="381"/>
      <c r="F1593" s="242"/>
      <c r="G1593"/>
      <c r="H1593" s="322"/>
      <c r="I1593" s="322"/>
      <c r="J1593" s="242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</row>
    <row r="1594" spans="1:26" ht="15.75" hidden="1" customHeight="1" outlineLevel="2">
      <c r="A1594" s="443"/>
      <c r="B1594" s="444"/>
      <c r="C1594"/>
      <c r="D1594"/>
      <c r="E1594" s="381"/>
      <c r="F1594" s="242"/>
      <c r="G1594"/>
      <c r="H1594" s="322"/>
      <c r="I1594" s="322"/>
      <c r="J1594" s="242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</row>
    <row r="1595" spans="1:26" ht="15.75" hidden="1" customHeight="1" outlineLevel="2">
      <c r="A1595" s="443"/>
      <c r="B1595" s="444"/>
      <c r="C1595"/>
      <c r="D1595"/>
      <c r="E1595" s="382"/>
      <c r="F1595" s="242"/>
      <c r="G1595"/>
      <c r="H1595" s="322"/>
      <c r="I1595" s="322"/>
      <c r="J1595" s="242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</row>
    <row r="1596" spans="1:26" ht="15.75" hidden="1" customHeight="1" outlineLevel="2">
      <c r="A1596" s="443"/>
      <c r="B1596" s="444"/>
      <c r="C1596"/>
      <c r="D1596"/>
      <c r="E1596" s="387"/>
      <c r="F1596" s="242"/>
      <c r="G1596"/>
      <c r="H1596" s="322"/>
      <c r="I1596" s="322"/>
      <c r="J1596" s="242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</row>
    <row r="1597" spans="1:26" ht="15.75" hidden="1" customHeight="1" outlineLevel="2">
      <c r="A1597" s="443"/>
      <c r="B1597" s="444"/>
      <c r="C1597"/>
      <c r="D1597"/>
      <c r="E1597" s="382"/>
      <c r="F1597" s="242"/>
      <c r="G1597"/>
      <c r="H1597" s="322"/>
      <c r="I1597" s="322"/>
      <c r="J1597" s="242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</row>
    <row r="1598" spans="1:26" ht="15.75" hidden="1" customHeight="1" outlineLevel="2">
      <c r="A1598" s="443"/>
      <c r="B1598" s="444"/>
      <c r="C1598"/>
      <c r="D1598"/>
      <c r="E1598" s="382"/>
      <c r="F1598" s="242"/>
      <c r="G1598"/>
      <c r="H1598" s="322"/>
      <c r="I1598" s="322"/>
      <c r="J1598" s="242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</row>
    <row r="1599" spans="1:26" ht="15.75" hidden="1" customHeight="1" outlineLevel="2">
      <c r="A1599" s="443"/>
      <c r="B1599" s="444"/>
      <c r="C1599"/>
      <c r="D1599"/>
      <c r="E1599" s="391"/>
      <c r="F1599" s="242"/>
      <c r="G1599"/>
      <c r="H1599" s="322"/>
      <c r="I1599" s="322"/>
      <c r="J1599" s="242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</row>
    <row r="1600" spans="1:26" ht="15.75" hidden="1" customHeight="1" outlineLevel="2">
      <c r="A1600" s="443"/>
      <c r="B1600" s="444"/>
      <c r="C1600"/>
      <c r="D1600"/>
      <c r="E1600" s="382"/>
      <c r="F1600" s="242"/>
      <c r="G1600"/>
      <c r="H1600" s="322"/>
      <c r="I1600" s="322"/>
      <c r="J1600" s="242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</row>
    <row r="1601" spans="1:26" ht="15.75" hidden="1" customHeight="1" outlineLevel="2">
      <c r="A1601" s="443"/>
      <c r="B1601" s="444"/>
      <c r="C1601"/>
      <c r="D1601"/>
      <c r="E1601" s="391"/>
      <c r="F1601" s="242"/>
      <c r="G1601"/>
      <c r="H1601" s="322"/>
      <c r="I1601" s="322"/>
      <c r="J1601" s="242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</row>
    <row r="1602" spans="1:26" ht="15.75" hidden="1" customHeight="1" outlineLevel="2">
      <c r="A1602" s="443"/>
      <c r="B1602" s="444"/>
      <c r="C1602"/>
      <c r="D1602"/>
      <c r="E1602" s="391"/>
      <c r="F1602" s="242"/>
      <c r="G1602"/>
      <c r="H1602" s="322"/>
      <c r="I1602" s="322"/>
      <c r="J1602" s="242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</row>
    <row r="1603" spans="1:26" ht="15.75" hidden="1" customHeight="1" outlineLevel="2">
      <c r="A1603" s="443"/>
      <c r="B1603" s="444"/>
      <c r="C1603"/>
      <c r="D1603"/>
      <c r="E1603" s="382"/>
      <c r="F1603" s="242"/>
      <c r="G1603"/>
      <c r="H1603" s="322"/>
      <c r="I1603" s="322"/>
      <c r="J1603" s="242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</row>
    <row r="1604" spans="1:26" ht="15.75" hidden="1" customHeight="1" outlineLevel="2">
      <c r="A1604" s="443"/>
      <c r="B1604" s="444"/>
      <c r="C1604"/>
      <c r="D1604"/>
      <c r="E1604" s="382"/>
      <c r="F1604" s="242"/>
      <c r="G1604"/>
      <c r="H1604" s="322"/>
      <c r="I1604" s="322"/>
      <c r="J1604" s="242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</row>
    <row r="1605" spans="1:26" ht="15.75" hidden="1" customHeight="1" outlineLevel="2">
      <c r="A1605" s="443"/>
      <c r="B1605" s="444"/>
      <c r="C1605"/>
      <c r="D1605"/>
      <c r="E1605" s="382"/>
      <c r="F1605" s="242"/>
      <c r="G1605"/>
      <c r="H1605" s="322"/>
      <c r="I1605" s="322"/>
      <c r="J1605" s="242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</row>
    <row r="1606" spans="1:26" ht="15.75" hidden="1" customHeight="1" outlineLevel="2">
      <c r="A1606" s="443"/>
      <c r="B1606" s="444"/>
      <c r="C1606"/>
      <c r="D1606"/>
      <c r="E1606" s="391"/>
      <c r="F1606" s="242"/>
      <c r="G1606"/>
      <c r="H1606" s="322"/>
      <c r="I1606" s="322"/>
      <c r="J1606" s="242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</row>
    <row r="1607" spans="1:26" ht="15.75" hidden="1" customHeight="1" outlineLevel="2">
      <c r="A1607" s="443"/>
      <c r="B1607" s="444"/>
      <c r="C1607"/>
      <c r="D1607"/>
      <c r="E1607" s="382"/>
      <c r="F1607" s="242"/>
      <c r="G1607"/>
      <c r="H1607" s="322"/>
      <c r="I1607" s="322"/>
      <c r="J1607" s="242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</row>
    <row r="1608" spans="1:26" ht="15.75" hidden="1" customHeight="1" outlineLevel="2">
      <c r="A1608" s="443"/>
      <c r="B1608" s="444"/>
      <c r="C1608"/>
      <c r="D1608"/>
      <c r="E1608" s="382"/>
      <c r="F1608" s="242"/>
      <c r="G1608"/>
      <c r="H1608" s="322"/>
      <c r="I1608" s="322"/>
      <c r="J1608" s="242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</row>
    <row r="1609" spans="1:26" ht="15.75" hidden="1" customHeight="1" outlineLevel="2">
      <c r="A1609" s="443"/>
      <c r="B1609" s="444"/>
      <c r="C1609"/>
      <c r="D1609"/>
      <c r="E1609" s="382"/>
      <c r="F1609" s="242"/>
      <c r="G1609"/>
      <c r="H1609" s="322"/>
      <c r="I1609" s="322"/>
      <c r="J1609" s="242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</row>
    <row r="1610" spans="1:26" ht="15.75" hidden="1" customHeight="1" outlineLevel="2">
      <c r="A1610" s="443"/>
      <c r="B1610" s="444"/>
      <c r="C1610"/>
      <c r="D1610"/>
      <c r="E1610" s="382"/>
      <c r="F1610" s="242"/>
      <c r="G1610"/>
      <c r="H1610" s="322"/>
      <c r="I1610" s="322"/>
      <c r="J1610" s="242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</row>
    <row r="1611" spans="1:26" ht="15.75" hidden="1" customHeight="1" outlineLevel="2">
      <c r="A1611" s="443"/>
      <c r="B1611" s="444"/>
      <c r="C1611"/>
      <c r="D1611"/>
      <c r="E1611" s="382"/>
      <c r="F1611" s="242"/>
      <c r="G1611"/>
      <c r="H1611" s="322"/>
      <c r="I1611" s="322"/>
      <c r="J1611" s="242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</row>
    <row r="1612" spans="1:26" ht="15.75" hidden="1" customHeight="1" outlineLevel="2">
      <c r="A1612" s="443"/>
      <c r="B1612" s="444"/>
      <c r="C1612"/>
      <c r="D1612"/>
      <c r="E1612" s="391"/>
      <c r="F1612" s="242"/>
      <c r="G1612"/>
      <c r="H1612" s="322"/>
      <c r="I1612" s="322"/>
      <c r="J1612" s="242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</row>
    <row r="1613" spans="1:26" ht="15.75" hidden="1" customHeight="1" outlineLevel="2">
      <c r="A1613" s="443"/>
      <c r="B1613" s="444"/>
      <c r="C1613"/>
      <c r="D1613"/>
      <c r="E1613" s="391"/>
      <c r="F1613" s="242"/>
      <c r="G1613"/>
      <c r="H1613" s="322"/>
      <c r="I1613" s="322"/>
      <c r="J1613" s="242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</row>
    <row r="1614" spans="1:26" ht="15.75" hidden="1" customHeight="1" outlineLevel="2">
      <c r="A1614" s="443"/>
      <c r="B1614" s="444"/>
      <c r="C1614"/>
      <c r="D1614"/>
      <c r="E1614" s="391"/>
      <c r="F1614" s="242"/>
      <c r="G1614"/>
      <c r="H1614" s="322"/>
      <c r="I1614" s="322"/>
      <c r="J1614" s="242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</row>
    <row r="1615" spans="1:26" ht="15.75" hidden="1" customHeight="1" outlineLevel="2">
      <c r="A1615" s="443"/>
      <c r="B1615" s="444"/>
      <c r="C1615"/>
      <c r="D1615"/>
      <c r="E1615" s="391"/>
      <c r="F1615" s="242"/>
      <c r="G1615"/>
      <c r="H1615" s="322"/>
      <c r="I1615" s="322"/>
      <c r="J1615" s="242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</row>
    <row r="1616" spans="1:26" ht="15.75" hidden="1" customHeight="1" outlineLevel="2">
      <c r="A1616" s="443"/>
      <c r="B1616" s="444"/>
      <c r="C1616"/>
      <c r="D1616"/>
      <c r="E1616" s="391"/>
      <c r="F1616" s="242"/>
      <c r="G1616"/>
      <c r="H1616" s="322"/>
      <c r="I1616" s="322"/>
      <c r="J1616" s="242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</row>
    <row r="1617" spans="1:26" ht="15.75" hidden="1" customHeight="1" outlineLevel="2">
      <c r="A1617" s="443"/>
      <c r="B1617" s="444"/>
      <c r="C1617"/>
      <c r="D1617"/>
      <c r="E1617" s="391"/>
      <c r="F1617" s="242"/>
      <c r="G1617"/>
      <c r="H1617" s="322"/>
      <c r="I1617" s="322"/>
      <c r="J1617" s="242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</row>
    <row r="1618" spans="1:26" ht="15.75" hidden="1" customHeight="1" outlineLevel="2">
      <c r="A1618" s="443"/>
      <c r="B1618" s="444"/>
      <c r="C1618"/>
      <c r="D1618"/>
      <c r="E1618" s="391"/>
      <c r="F1618" s="242"/>
      <c r="G1618"/>
      <c r="H1618" s="322"/>
      <c r="I1618" s="322"/>
      <c r="J1618" s="242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</row>
    <row r="1619" spans="1:26" ht="15.75" hidden="1" customHeight="1" outlineLevel="2">
      <c r="A1619" s="443"/>
      <c r="B1619" s="444"/>
      <c r="C1619"/>
      <c r="D1619"/>
      <c r="E1619" s="382"/>
      <c r="F1619" s="242"/>
      <c r="G1619"/>
      <c r="H1619" s="322"/>
      <c r="I1619" s="322"/>
      <c r="J1619" s="242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</row>
    <row r="1620" spans="1:26" ht="15.75" hidden="1" customHeight="1" outlineLevel="2">
      <c r="A1620" s="443"/>
      <c r="B1620" s="444"/>
      <c r="C1620"/>
      <c r="D1620"/>
      <c r="E1620" s="391"/>
      <c r="F1620" s="242"/>
      <c r="G1620"/>
      <c r="H1620" s="322"/>
      <c r="I1620" s="322"/>
      <c r="J1620" s="242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</row>
    <row r="1621" spans="1:26" ht="15.75" hidden="1" customHeight="1" outlineLevel="2">
      <c r="A1621" s="443"/>
      <c r="B1621" s="444"/>
      <c r="C1621"/>
      <c r="D1621"/>
      <c r="E1621" s="391"/>
      <c r="F1621" s="242"/>
      <c r="G1621"/>
      <c r="H1621" s="322"/>
      <c r="I1621" s="322"/>
      <c r="J1621" s="242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</row>
    <row r="1622" spans="1:26" ht="15.75" hidden="1" customHeight="1" outlineLevel="2">
      <c r="A1622" s="443"/>
      <c r="B1622" s="444"/>
      <c r="C1622"/>
      <c r="D1622"/>
      <c r="E1622" s="385"/>
      <c r="F1622" s="242"/>
      <c r="G1622"/>
      <c r="H1622" s="322"/>
      <c r="I1622" s="322"/>
      <c r="J1622" s="242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</row>
    <row r="1623" spans="1:26" ht="15.75" hidden="1" customHeight="1" outlineLevel="2">
      <c r="A1623" s="443"/>
      <c r="B1623" s="444"/>
      <c r="C1623"/>
      <c r="D1623"/>
      <c r="E1623" s="382"/>
      <c r="F1623" s="242"/>
      <c r="G1623"/>
      <c r="H1623" s="322"/>
      <c r="I1623" s="322"/>
      <c r="J1623" s="242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</row>
    <row r="1624" spans="1:26" ht="15.75" hidden="1" customHeight="1" outlineLevel="2">
      <c r="A1624" s="443"/>
      <c r="B1624" s="444"/>
      <c r="C1624"/>
      <c r="D1624"/>
      <c r="E1624" s="397"/>
      <c r="F1624" s="242"/>
      <c r="G1624"/>
      <c r="H1624" s="322"/>
      <c r="I1624" s="322"/>
      <c r="J1624" s="242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</row>
    <row r="1625" spans="1:26" ht="15.75" hidden="1" customHeight="1" outlineLevel="2">
      <c r="A1625" s="443"/>
      <c r="B1625" s="444"/>
      <c r="C1625"/>
      <c r="D1625"/>
      <c r="E1625" s="385"/>
      <c r="F1625" s="242"/>
      <c r="G1625"/>
      <c r="H1625" s="322"/>
      <c r="I1625" s="322"/>
      <c r="J1625" s="242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</row>
    <row r="1626" spans="1:26" ht="15.75" hidden="1" customHeight="1" outlineLevel="2">
      <c r="A1626" s="443"/>
      <c r="B1626" s="444"/>
      <c r="C1626"/>
      <c r="D1626"/>
      <c r="E1626" s="382"/>
      <c r="F1626" s="242"/>
      <c r="G1626"/>
      <c r="H1626" s="322"/>
      <c r="I1626" s="322"/>
      <c r="J1626" s="242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</row>
    <row r="1627" spans="1:26" ht="15.75" hidden="1" customHeight="1" outlineLevel="2">
      <c r="A1627" s="443"/>
      <c r="B1627" s="444"/>
      <c r="C1627"/>
      <c r="D1627"/>
      <c r="E1627" s="382"/>
      <c r="F1627" s="242"/>
      <c r="G1627"/>
      <c r="H1627" s="322"/>
      <c r="I1627" s="322"/>
      <c r="J1627" s="242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</row>
    <row r="1628" spans="1:26" ht="15.75" hidden="1" customHeight="1" outlineLevel="2">
      <c r="A1628" s="443"/>
      <c r="B1628" s="444"/>
      <c r="C1628"/>
      <c r="D1628"/>
      <c r="E1628" s="382"/>
      <c r="F1628" s="242"/>
      <c r="G1628"/>
      <c r="H1628" s="322"/>
      <c r="I1628" s="322"/>
      <c r="J1628" s="242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</row>
    <row r="1629" spans="1:26" ht="15.75" hidden="1" customHeight="1" outlineLevel="2">
      <c r="A1629" s="443"/>
      <c r="B1629" s="444"/>
      <c r="C1629"/>
      <c r="D1629"/>
      <c r="E1629" s="382"/>
      <c r="F1629" s="242"/>
      <c r="G1629"/>
      <c r="H1629" s="322"/>
      <c r="I1629" s="322"/>
      <c r="J1629" s="242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</row>
    <row r="1630" spans="1:26" ht="15.75" hidden="1" customHeight="1" outlineLevel="2">
      <c r="A1630" s="443"/>
      <c r="B1630" s="444"/>
      <c r="C1630"/>
      <c r="D1630"/>
      <c r="E1630" s="382"/>
      <c r="F1630" s="242"/>
      <c r="G1630"/>
      <c r="H1630" s="322"/>
      <c r="I1630" s="322"/>
      <c r="J1630" s="242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</row>
    <row r="1631" spans="1:26" ht="15.75" hidden="1" customHeight="1" outlineLevel="2">
      <c r="A1631" s="443"/>
      <c r="B1631" s="444"/>
      <c r="C1631"/>
      <c r="D1631"/>
      <c r="E1631" s="382"/>
      <c r="F1631" s="242"/>
      <c r="G1631"/>
      <c r="H1631" s="322"/>
      <c r="I1631" s="322"/>
      <c r="J1631" s="242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</row>
    <row r="1632" spans="1:26" ht="15.75" hidden="1" customHeight="1" outlineLevel="2">
      <c r="A1632" s="443"/>
      <c r="B1632" s="444"/>
      <c r="C1632"/>
      <c r="D1632"/>
      <c r="E1632" s="382"/>
      <c r="F1632" s="242"/>
      <c r="G1632"/>
      <c r="H1632" s="322"/>
      <c r="I1632" s="322"/>
      <c r="J1632" s="242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</row>
    <row r="1633" spans="1:26" ht="15.75" hidden="1" customHeight="1" outlineLevel="2">
      <c r="A1633" s="443"/>
      <c r="B1633" s="444"/>
      <c r="C1633"/>
      <c r="D1633"/>
      <c r="E1633" s="382"/>
      <c r="F1633" s="242"/>
      <c r="G1633"/>
      <c r="H1633" s="322"/>
      <c r="I1633" s="322"/>
      <c r="J1633" s="242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</row>
    <row r="1634" spans="1:26" ht="15.75" hidden="1" customHeight="1" outlineLevel="2">
      <c r="A1634" s="443"/>
      <c r="B1634" s="444"/>
      <c r="C1634"/>
      <c r="D1634"/>
      <c r="E1634" s="382"/>
      <c r="F1634" s="242"/>
      <c r="G1634"/>
      <c r="H1634" s="322"/>
      <c r="I1634" s="322"/>
      <c r="J1634" s="242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</row>
    <row r="1635" spans="1:26" ht="15.75" hidden="1" customHeight="1" outlineLevel="2">
      <c r="A1635" s="443"/>
      <c r="B1635" s="444"/>
      <c r="C1635"/>
      <c r="D1635"/>
      <c r="E1635" s="382"/>
      <c r="F1635" s="242"/>
      <c r="G1635"/>
      <c r="H1635" s="322"/>
      <c r="I1635" s="322"/>
      <c r="J1635" s="242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</row>
    <row r="1636" spans="1:26" ht="15.75" hidden="1" customHeight="1" outlineLevel="2">
      <c r="A1636" s="443"/>
      <c r="B1636" s="444"/>
      <c r="C1636"/>
      <c r="D1636"/>
      <c r="E1636" s="382"/>
      <c r="F1636" s="242"/>
      <c r="G1636"/>
      <c r="H1636" s="322"/>
      <c r="I1636" s="322"/>
      <c r="J1636" s="242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</row>
    <row r="1637" spans="1:26" ht="15.75" hidden="1" customHeight="1" outlineLevel="2">
      <c r="A1637" s="443"/>
      <c r="B1637" s="444"/>
      <c r="C1637"/>
      <c r="D1637"/>
      <c r="E1637" s="382"/>
      <c r="F1637" s="242"/>
      <c r="G1637"/>
      <c r="H1637" s="322"/>
      <c r="I1637" s="322"/>
      <c r="J1637" s="242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</row>
    <row r="1638" spans="1:26" ht="15.75" hidden="1" customHeight="1" outlineLevel="2">
      <c r="A1638" s="443"/>
      <c r="B1638" s="444"/>
      <c r="C1638"/>
      <c r="D1638"/>
      <c r="E1638" s="382"/>
      <c r="F1638" s="242"/>
      <c r="G1638"/>
      <c r="H1638" s="322"/>
      <c r="I1638" s="322"/>
      <c r="J1638" s="242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</row>
    <row r="1639" spans="1:26" ht="15.75" hidden="1" customHeight="1" outlineLevel="2">
      <c r="A1639" s="443"/>
      <c r="B1639" s="444"/>
      <c r="C1639"/>
      <c r="D1639"/>
      <c r="E1639" s="382"/>
      <c r="F1639" s="242"/>
      <c r="G1639"/>
      <c r="H1639" s="322"/>
      <c r="I1639" s="322"/>
      <c r="J1639" s="242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</row>
    <row r="1640" spans="1:26" ht="15.75" hidden="1" customHeight="1" outlineLevel="2">
      <c r="A1640" s="443"/>
      <c r="B1640" s="444"/>
      <c r="C1640"/>
      <c r="D1640"/>
      <c r="E1640" s="378"/>
      <c r="F1640" s="242"/>
      <c r="G1640"/>
      <c r="H1640" s="322"/>
      <c r="I1640" s="322"/>
      <c r="J1640" s="242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</row>
    <row r="1641" spans="1:26" ht="15.75" hidden="1" customHeight="1" outlineLevel="2">
      <c r="A1641" s="443"/>
      <c r="B1641" s="444"/>
      <c r="C1641"/>
      <c r="D1641"/>
      <c r="E1641" s="385"/>
      <c r="F1641" s="242"/>
      <c r="G1641"/>
      <c r="H1641" s="322"/>
      <c r="I1641" s="322"/>
      <c r="J1641" s="242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</row>
    <row r="1642" spans="1:26" ht="15.75" hidden="1" customHeight="1" outlineLevel="2">
      <c r="A1642" s="443"/>
      <c r="B1642" s="444"/>
      <c r="C1642"/>
      <c r="D1642"/>
      <c r="E1642" s="385"/>
      <c r="F1642" s="242"/>
      <c r="G1642"/>
      <c r="H1642" s="322"/>
      <c r="I1642" s="322"/>
      <c r="J1642" s="242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</row>
    <row r="1643" spans="1:26" ht="15.75" hidden="1" customHeight="1" outlineLevel="2">
      <c r="A1643" s="443"/>
      <c r="B1643" s="444"/>
      <c r="C1643"/>
      <c r="D1643"/>
      <c r="E1643" s="382"/>
      <c r="F1643" s="242"/>
      <c r="G1643"/>
      <c r="H1643" s="322"/>
      <c r="I1643" s="322"/>
      <c r="J1643" s="242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</row>
    <row r="1644" spans="1:26" ht="15.75" hidden="1" customHeight="1" outlineLevel="2">
      <c r="A1644" s="443"/>
      <c r="B1644" s="444"/>
      <c r="C1644"/>
      <c r="D1644"/>
      <c r="E1644" s="382"/>
      <c r="F1644" s="242"/>
      <c r="G1644"/>
      <c r="H1644" s="322"/>
      <c r="I1644" s="322"/>
      <c r="J1644" s="242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</row>
    <row r="1645" spans="1:26" ht="15.75" hidden="1" customHeight="1" outlineLevel="2">
      <c r="A1645" s="443"/>
      <c r="B1645" s="444"/>
      <c r="C1645"/>
      <c r="D1645"/>
      <c r="E1645" s="382"/>
      <c r="F1645" s="242"/>
      <c r="G1645"/>
      <c r="H1645" s="322"/>
      <c r="I1645" s="322"/>
      <c r="J1645" s="242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</row>
    <row r="1646" spans="1:26" ht="15.75" hidden="1" customHeight="1" outlineLevel="2">
      <c r="A1646" s="443"/>
      <c r="B1646" s="444"/>
      <c r="C1646"/>
      <c r="D1646"/>
      <c r="E1646" s="382"/>
      <c r="F1646" s="242"/>
      <c r="G1646"/>
      <c r="H1646" s="322"/>
      <c r="I1646" s="322"/>
      <c r="J1646" s="242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</row>
    <row r="1647" spans="1:26" ht="15.75" hidden="1" customHeight="1" outlineLevel="2">
      <c r="A1647" s="443"/>
      <c r="B1647" s="444"/>
      <c r="C1647"/>
      <c r="D1647"/>
      <c r="E1647" s="382"/>
      <c r="F1647" s="242"/>
      <c r="G1647"/>
      <c r="H1647" s="322"/>
      <c r="I1647" s="322"/>
      <c r="J1647" s="242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</row>
    <row r="1648" spans="1:26" ht="15.75" hidden="1" customHeight="1" outlineLevel="2">
      <c r="A1648" s="443"/>
      <c r="B1648" s="444"/>
      <c r="C1648"/>
      <c r="D1648"/>
      <c r="E1648" s="382"/>
      <c r="F1648" s="242"/>
      <c r="G1648"/>
      <c r="H1648" s="322"/>
      <c r="I1648" s="322"/>
      <c r="J1648" s="242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</row>
    <row r="1649" spans="1:26" ht="15.75" hidden="1" customHeight="1" outlineLevel="2">
      <c r="A1649" s="443"/>
      <c r="B1649" s="444"/>
      <c r="C1649"/>
      <c r="D1649"/>
      <c r="E1649" s="382"/>
      <c r="F1649" s="242"/>
      <c r="G1649"/>
      <c r="H1649" s="322"/>
      <c r="I1649" s="322"/>
      <c r="J1649" s="242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</row>
    <row r="1650" spans="1:26" ht="15.75" hidden="1" customHeight="1" outlineLevel="2">
      <c r="A1650" s="443"/>
      <c r="B1650" s="444"/>
      <c r="C1650"/>
      <c r="D1650"/>
      <c r="E1650" s="381"/>
      <c r="F1650" s="242"/>
      <c r="G1650"/>
      <c r="H1650" s="322"/>
      <c r="I1650" s="322"/>
      <c r="J1650" s="242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</row>
    <row r="1651" spans="1:26" ht="15.75" hidden="1" customHeight="1" outlineLevel="2">
      <c r="A1651" s="443"/>
      <c r="B1651" s="444"/>
      <c r="C1651"/>
      <c r="D1651"/>
      <c r="E1651" s="382"/>
      <c r="F1651" s="242"/>
      <c r="G1651"/>
      <c r="H1651" s="322"/>
      <c r="I1651" s="322"/>
      <c r="J1651" s="242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</row>
    <row r="1652" spans="1:26" ht="15.75" hidden="1" customHeight="1" outlineLevel="2">
      <c r="A1652" s="443"/>
      <c r="B1652" s="444"/>
      <c r="C1652"/>
      <c r="D1652"/>
      <c r="E1652" s="382"/>
      <c r="F1652" s="242"/>
      <c r="G1652"/>
      <c r="H1652" s="322"/>
      <c r="I1652" s="322"/>
      <c r="J1652" s="242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</row>
    <row r="1653" spans="1:26" ht="15.75" hidden="1" customHeight="1" outlineLevel="2">
      <c r="A1653" s="443"/>
      <c r="B1653" s="444"/>
      <c r="C1653"/>
      <c r="D1653"/>
      <c r="E1653" s="382"/>
      <c r="F1653" s="242"/>
      <c r="G1653"/>
      <c r="H1653" s="322"/>
      <c r="I1653" s="322"/>
      <c r="J1653" s="242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</row>
    <row r="1654" spans="1:26" ht="15.75" hidden="1" customHeight="1" outlineLevel="2">
      <c r="A1654" s="443"/>
      <c r="B1654" s="444"/>
      <c r="C1654"/>
      <c r="D1654"/>
      <c r="E1654" s="382"/>
      <c r="F1654" s="242"/>
      <c r="G1654"/>
      <c r="H1654" s="322"/>
      <c r="I1654" s="322"/>
      <c r="J1654" s="242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</row>
    <row r="1655" spans="1:26" ht="15.75" hidden="1" customHeight="1" outlineLevel="2">
      <c r="A1655" s="443"/>
      <c r="B1655" s="444"/>
      <c r="C1655"/>
      <c r="D1655"/>
      <c r="E1655" s="382"/>
      <c r="F1655" s="242"/>
      <c r="G1655"/>
      <c r="H1655" s="322"/>
      <c r="I1655" s="322"/>
      <c r="J1655" s="242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</row>
    <row r="1656" spans="1:26" ht="15.75" hidden="1" customHeight="1" outlineLevel="2">
      <c r="A1656" s="443"/>
      <c r="B1656" s="444"/>
      <c r="C1656"/>
      <c r="D1656"/>
      <c r="E1656" s="382"/>
      <c r="F1656" s="242"/>
      <c r="G1656"/>
      <c r="H1656" s="322"/>
      <c r="I1656" s="322"/>
      <c r="J1656" s="242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</row>
    <row r="1657" spans="1:26" ht="15.75" hidden="1" customHeight="1" outlineLevel="2">
      <c r="A1657" s="443"/>
      <c r="B1657" s="444"/>
      <c r="C1657"/>
      <c r="D1657"/>
      <c r="E1657" s="382"/>
      <c r="F1657" s="242"/>
      <c r="G1657"/>
      <c r="H1657" s="322"/>
      <c r="I1657" s="322"/>
      <c r="J1657" s="242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</row>
    <row r="1658" spans="1:26" ht="15.75" hidden="1" customHeight="1" outlineLevel="2">
      <c r="A1658" s="443"/>
      <c r="B1658" s="444"/>
      <c r="C1658"/>
      <c r="D1658"/>
      <c r="E1658" s="382"/>
      <c r="F1658" s="242"/>
      <c r="G1658"/>
      <c r="H1658" s="322"/>
      <c r="I1658" s="322"/>
      <c r="J1658" s="242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</row>
    <row r="1659" spans="1:26" ht="15.75" hidden="1" customHeight="1" outlineLevel="2">
      <c r="A1659" s="443"/>
      <c r="B1659" s="444"/>
      <c r="C1659"/>
      <c r="D1659"/>
      <c r="E1659" s="382"/>
      <c r="F1659" s="242"/>
      <c r="G1659"/>
      <c r="H1659" s="322"/>
      <c r="I1659" s="322"/>
      <c r="J1659" s="242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</row>
    <row r="1660" spans="1:26" ht="15.75" hidden="1" customHeight="1" outlineLevel="2">
      <c r="A1660" s="443"/>
      <c r="B1660" s="444"/>
      <c r="C1660"/>
      <c r="D1660"/>
      <c r="E1660" s="382"/>
      <c r="F1660" s="242"/>
      <c r="G1660"/>
      <c r="H1660" s="322"/>
      <c r="I1660" s="322"/>
      <c r="J1660" s="242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</row>
    <row r="1661" spans="1:26" ht="15.75" hidden="1" customHeight="1" outlineLevel="2">
      <c r="A1661" s="443"/>
      <c r="B1661" s="444"/>
      <c r="C1661"/>
      <c r="D1661"/>
      <c r="E1661" s="382"/>
      <c r="F1661" s="242"/>
      <c r="G1661"/>
      <c r="H1661" s="322"/>
      <c r="I1661" s="322"/>
      <c r="J1661" s="242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</row>
    <row r="1662" spans="1:26" ht="15.75" hidden="1" customHeight="1" outlineLevel="2">
      <c r="A1662" s="443"/>
      <c r="B1662" s="444"/>
      <c r="C1662"/>
      <c r="D1662"/>
      <c r="E1662" s="381"/>
      <c r="F1662" s="242"/>
      <c r="G1662"/>
      <c r="H1662" s="322"/>
      <c r="I1662" s="322"/>
      <c r="J1662" s="242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</row>
    <row r="1663" spans="1:26" ht="15.75" hidden="1" customHeight="1" outlineLevel="2">
      <c r="A1663" s="443"/>
      <c r="B1663" s="444"/>
      <c r="C1663"/>
      <c r="D1663"/>
      <c r="E1663" s="381"/>
      <c r="F1663" s="242"/>
      <c r="G1663"/>
      <c r="H1663" s="322"/>
      <c r="I1663" s="322"/>
      <c r="J1663" s="242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</row>
    <row r="1664" spans="1:26" ht="15.75" hidden="1" customHeight="1" outlineLevel="2">
      <c r="A1664" s="443"/>
      <c r="B1664" s="444"/>
      <c r="C1664"/>
      <c r="D1664"/>
      <c r="E1664" s="382"/>
      <c r="F1664" s="242"/>
      <c r="G1664"/>
      <c r="H1664" s="322"/>
      <c r="I1664" s="322"/>
      <c r="J1664" s="242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</row>
    <row r="1665" spans="1:26" ht="15.75" hidden="1" customHeight="1" outlineLevel="2">
      <c r="A1665" s="443"/>
      <c r="B1665" s="444"/>
      <c r="C1665"/>
      <c r="D1665"/>
      <c r="E1665" s="382"/>
      <c r="F1665" s="242"/>
      <c r="G1665"/>
      <c r="H1665" s="322"/>
      <c r="I1665" s="322"/>
      <c r="J1665" s="242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</row>
    <row r="1666" spans="1:26" ht="15.75" hidden="1" customHeight="1" outlineLevel="2">
      <c r="A1666" s="443"/>
      <c r="B1666" s="444"/>
      <c r="C1666"/>
      <c r="D1666"/>
      <c r="E1666" s="382"/>
      <c r="F1666" s="242"/>
      <c r="G1666"/>
      <c r="H1666" s="322"/>
      <c r="I1666" s="322"/>
      <c r="J1666" s="242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</row>
    <row r="1667" spans="1:26" ht="15.75" hidden="1" customHeight="1" outlineLevel="2">
      <c r="A1667" s="443"/>
      <c r="B1667" s="444"/>
      <c r="C1667"/>
      <c r="D1667"/>
      <c r="E1667" s="382"/>
      <c r="F1667" s="242"/>
      <c r="G1667"/>
      <c r="H1667" s="322"/>
      <c r="I1667" s="322"/>
      <c r="J1667" s="242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</row>
    <row r="1668" spans="1:26" ht="15.75" hidden="1" customHeight="1" outlineLevel="2">
      <c r="A1668" s="443"/>
      <c r="B1668" s="444"/>
      <c r="C1668"/>
      <c r="D1668"/>
      <c r="E1668" s="382"/>
      <c r="F1668" s="242"/>
      <c r="G1668"/>
      <c r="H1668" s="322"/>
      <c r="I1668" s="322"/>
      <c r="J1668" s="242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</row>
    <row r="1669" spans="1:26" ht="15.75" hidden="1" customHeight="1" outlineLevel="2">
      <c r="A1669" s="443"/>
      <c r="B1669" s="444"/>
      <c r="C1669"/>
      <c r="D1669"/>
      <c r="E1669" s="382"/>
      <c r="F1669" s="242"/>
      <c r="G1669"/>
      <c r="H1669" s="322"/>
      <c r="I1669" s="322"/>
      <c r="J1669" s="242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</row>
    <row r="1670" spans="1:26" ht="15.75" hidden="1" customHeight="1" outlineLevel="2">
      <c r="A1670" s="443"/>
      <c r="B1670" s="444"/>
      <c r="C1670"/>
      <c r="D1670"/>
      <c r="E1670" s="382"/>
      <c r="F1670" s="242"/>
      <c r="G1670"/>
      <c r="H1670" s="322"/>
      <c r="I1670" s="322"/>
      <c r="J1670" s="242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</row>
    <row r="1671" spans="1:26" ht="15.75" hidden="1" customHeight="1" outlineLevel="2">
      <c r="A1671" s="443"/>
      <c r="B1671" s="444"/>
      <c r="C1671"/>
      <c r="D1671"/>
      <c r="E1671" s="382"/>
      <c r="F1671" s="242"/>
      <c r="G1671"/>
      <c r="H1671" s="322"/>
      <c r="I1671" s="322"/>
      <c r="J1671" s="242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</row>
    <row r="1672" spans="1:26" ht="15.75" hidden="1" customHeight="1" outlineLevel="2">
      <c r="A1672" s="443"/>
      <c r="B1672" s="444"/>
      <c r="C1672"/>
      <c r="D1672"/>
      <c r="E1672" s="382"/>
      <c r="F1672" s="242"/>
      <c r="G1672"/>
      <c r="H1672" s="322"/>
      <c r="I1672" s="322"/>
      <c r="J1672" s="242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</row>
    <row r="1673" spans="1:26" ht="15.75" hidden="1" customHeight="1" outlineLevel="2">
      <c r="A1673" s="443"/>
      <c r="B1673" s="444"/>
      <c r="C1673"/>
      <c r="D1673"/>
      <c r="E1673" s="382"/>
      <c r="F1673" s="242"/>
      <c r="G1673"/>
      <c r="H1673" s="322"/>
      <c r="I1673" s="322"/>
      <c r="J1673" s="242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</row>
    <row r="1674" spans="1:26" ht="15.75" hidden="1" customHeight="1" outlineLevel="2">
      <c r="A1674" s="443"/>
      <c r="B1674" s="444"/>
      <c r="C1674"/>
      <c r="D1674"/>
      <c r="E1674" s="382"/>
      <c r="F1674" s="242"/>
      <c r="G1674"/>
      <c r="H1674" s="322"/>
      <c r="I1674" s="322"/>
      <c r="J1674" s="242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</row>
    <row r="1675" spans="1:26" ht="15.75" hidden="1" customHeight="1" outlineLevel="2">
      <c r="A1675" s="443"/>
      <c r="B1675" s="444"/>
      <c r="C1675"/>
      <c r="D1675"/>
      <c r="E1675" s="391"/>
      <c r="F1675" s="242"/>
      <c r="G1675"/>
      <c r="H1675" s="322"/>
      <c r="I1675" s="322"/>
      <c r="J1675" s="242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</row>
    <row r="1676" spans="1:26" ht="15.75" hidden="1" customHeight="1" outlineLevel="2">
      <c r="A1676" s="443"/>
      <c r="B1676" s="444"/>
      <c r="C1676"/>
      <c r="D1676"/>
      <c r="E1676" s="397"/>
      <c r="F1676" s="242"/>
      <c r="G1676"/>
      <c r="H1676" s="322"/>
      <c r="I1676" s="322"/>
      <c r="J1676" s="242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</row>
    <row r="1677" spans="1:26" ht="15.75" hidden="1" customHeight="1" outlineLevel="2">
      <c r="A1677" s="443"/>
      <c r="B1677" s="444"/>
      <c r="C1677"/>
      <c r="D1677"/>
      <c r="E1677" s="397"/>
      <c r="F1677" s="242"/>
      <c r="G1677"/>
      <c r="H1677" s="322"/>
      <c r="I1677" s="322"/>
      <c r="J1677" s="242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</row>
    <row r="1678" spans="1:26" ht="15.75" hidden="1" customHeight="1" outlineLevel="2">
      <c r="A1678" s="443"/>
      <c r="B1678" s="444"/>
      <c r="C1678"/>
      <c r="D1678"/>
      <c r="E1678" s="397"/>
      <c r="F1678" s="242"/>
      <c r="G1678"/>
      <c r="H1678" s="322"/>
      <c r="I1678" s="322"/>
      <c r="J1678" s="242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</row>
    <row r="1679" spans="1:26" ht="15.75" hidden="1" customHeight="1" outlineLevel="2">
      <c r="A1679" s="443"/>
      <c r="B1679" s="444"/>
      <c r="C1679"/>
      <c r="D1679"/>
      <c r="E1679" s="397"/>
      <c r="F1679" s="242"/>
      <c r="G1679"/>
      <c r="H1679" s="322"/>
      <c r="I1679" s="322"/>
      <c r="J1679" s="242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</row>
    <row r="1680" spans="1:26" ht="15.75" hidden="1" customHeight="1" outlineLevel="2">
      <c r="A1680" s="443"/>
      <c r="B1680" s="444"/>
      <c r="C1680"/>
      <c r="D1680"/>
      <c r="E1680" s="397"/>
      <c r="F1680" s="242"/>
      <c r="G1680"/>
      <c r="H1680" s="322"/>
      <c r="I1680" s="322"/>
      <c r="J1680" s="242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</row>
    <row r="1681" spans="1:26" ht="15.75" hidden="1" customHeight="1" outlineLevel="2">
      <c r="A1681" s="443"/>
      <c r="B1681" s="444"/>
      <c r="C1681"/>
      <c r="D1681"/>
      <c r="E1681" s="391"/>
      <c r="F1681" s="242"/>
      <c r="G1681"/>
      <c r="H1681" s="322"/>
      <c r="I1681" s="322"/>
      <c r="J1681" s="242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</row>
    <row r="1682" spans="1:26" ht="15.75" hidden="1" customHeight="1" outlineLevel="2">
      <c r="A1682" s="443"/>
      <c r="B1682" s="444"/>
      <c r="C1682"/>
      <c r="D1682"/>
      <c r="E1682" s="391"/>
      <c r="F1682" s="242"/>
      <c r="G1682"/>
      <c r="H1682" s="322"/>
      <c r="I1682" s="322"/>
      <c r="J1682" s="242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</row>
    <row r="1683" spans="1:26" ht="15.75" hidden="1" customHeight="1" outlineLevel="2">
      <c r="A1683" s="443"/>
      <c r="B1683" s="444"/>
      <c r="C1683"/>
      <c r="D1683"/>
      <c r="E1683" s="387"/>
      <c r="F1683" s="242"/>
      <c r="G1683"/>
      <c r="H1683" s="322"/>
      <c r="I1683" s="322"/>
      <c r="J1683" s="242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</row>
    <row r="1684" spans="1:26" ht="15.75" hidden="1" customHeight="1" outlineLevel="2">
      <c r="A1684" s="443"/>
      <c r="B1684" s="444"/>
      <c r="C1684"/>
      <c r="D1684"/>
      <c r="E1684" s="391"/>
      <c r="F1684" s="242"/>
      <c r="G1684"/>
      <c r="H1684" s="322"/>
      <c r="I1684" s="322"/>
      <c r="J1684" s="242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</row>
    <row r="1685" spans="1:26" ht="15.75" hidden="1" customHeight="1" outlineLevel="2">
      <c r="A1685" s="443"/>
      <c r="B1685" s="444"/>
      <c r="C1685"/>
      <c r="D1685"/>
      <c r="E1685" s="391"/>
      <c r="F1685" s="242"/>
      <c r="G1685"/>
      <c r="H1685" s="322"/>
      <c r="I1685" s="322"/>
      <c r="J1685" s="242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</row>
    <row r="1686" spans="1:26" ht="15.75" hidden="1" customHeight="1" outlineLevel="2">
      <c r="A1686" s="443"/>
      <c r="B1686" s="444"/>
      <c r="C1686"/>
      <c r="D1686"/>
      <c r="E1686" s="397"/>
      <c r="F1686" s="242"/>
      <c r="G1686"/>
      <c r="H1686" s="322"/>
      <c r="I1686" s="322"/>
      <c r="J1686" s="242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</row>
    <row r="1687" spans="1:26" ht="15.75" hidden="1" customHeight="1" outlineLevel="2">
      <c r="A1687" s="443"/>
      <c r="B1687" s="444"/>
      <c r="C1687"/>
      <c r="D1687"/>
      <c r="E1687" s="385"/>
      <c r="F1687" s="242"/>
      <c r="G1687"/>
      <c r="H1687" s="322"/>
      <c r="I1687" s="322"/>
      <c r="J1687" s="242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</row>
    <row r="1688" spans="1:26" ht="15.75" hidden="1" customHeight="1" outlineLevel="2">
      <c r="A1688" s="443"/>
      <c r="B1688" s="444"/>
      <c r="C1688"/>
      <c r="D1688"/>
      <c r="E1688" s="391"/>
      <c r="F1688" s="242"/>
      <c r="G1688"/>
      <c r="H1688" s="322"/>
      <c r="I1688" s="322"/>
      <c r="J1688" s="242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</row>
    <row r="1689" spans="1:26" ht="15.75" hidden="1" customHeight="1" outlineLevel="2">
      <c r="A1689" s="443"/>
      <c r="B1689" s="444"/>
      <c r="C1689"/>
      <c r="D1689"/>
      <c r="E1689" s="391"/>
      <c r="F1689" s="242"/>
      <c r="G1689"/>
      <c r="H1689" s="322"/>
      <c r="I1689" s="322"/>
      <c r="J1689" s="242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</row>
    <row r="1690" spans="1:26" ht="15.75" hidden="1" customHeight="1" outlineLevel="2">
      <c r="A1690" s="443"/>
      <c r="B1690" s="444"/>
      <c r="C1690"/>
      <c r="D1690"/>
      <c r="E1690" s="391"/>
      <c r="F1690" s="242"/>
      <c r="G1690"/>
      <c r="H1690" s="322"/>
      <c r="I1690" s="322"/>
      <c r="J1690" s="242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</row>
    <row r="1691" spans="1:26" ht="15.75" hidden="1" customHeight="1" outlineLevel="2">
      <c r="A1691" s="443"/>
      <c r="B1691" s="444"/>
      <c r="C1691"/>
      <c r="D1691"/>
      <c r="E1691" s="382"/>
      <c r="F1691" s="242"/>
      <c r="G1691"/>
      <c r="H1691" s="322"/>
      <c r="I1691" s="322"/>
      <c r="J1691" s="242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</row>
    <row r="1692" spans="1:26" ht="15.75" hidden="1" customHeight="1" outlineLevel="2">
      <c r="A1692" s="443"/>
      <c r="B1692" s="444"/>
      <c r="C1692"/>
      <c r="D1692"/>
      <c r="E1692" s="382"/>
      <c r="F1692" s="242"/>
      <c r="G1692"/>
      <c r="H1692" s="322"/>
      <c r="I1692" s="322"/>
      <c r="J1692" s="242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</row>
    <row r="1693" spans="1:26" ht="15.75" hidden="1" customHeight="1" outlineLevel="2">
      <c r="A1693" s="443"/>
      <c r="B1693" s="444"/>
      <c r="C1693"/>
      <c r="D1693"/>
      <c r="E1693" s="382"/>
      <c r="F1693" s="242"/>
      <c r="G1693"/>
      <c r="H1693" s="322"/>
      <c r="I1693" s="322"/>
      <c r="J1693" s="242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</row>
    <row r="1694" spans="1:26" ht="15.75" hidden="1" customHeight="1" outlineLevel="2">
      <c r="A1694" s="443"/>
      <c r="B1694" s="444"/>
      <c r="C1694"/>
      <c r="D1694"/>
      <c r="E1694" s="382"/>
      <c r="F1694" s="242"/>
      <c r="G1694"/>
      <c r="H1694" s="322"/>
      <c r="I1694" s="322"/>
      <c r="J1694" s="242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</row>
    <row r="1695" spans="1:26" ht="15.75" hidden="1" customHeight="1" outlineLevel="2">
      <c r="A1695" s="443"/>
      <c r="B1695" s="444"/>
      <c r="C1695"/>
      <c r="D1695"/>
      <c r="E1695" s="382"/>
      <c r="F1695" s="242"/>
      <c r="G1695"/>
      <c r="H1695" s="322"/>
      <c r="I1695" s="322"/>
      <c r="J1695" s="242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</row>
    <row r="1696" spans="1:26" ht="15.75" hidden="1" customHeight="1" outlineLevel="2">
      <c r="A1696" s="443"/>
      <c r="B1696" s="444"/>
      <c r="C1696"/>
      <c r="D1696"/>
      <c r="E1696" s="382"/>
      <c r="F1696" s="242"/>
      <c r="G1696"/>
      <c r="H1696" s="322"/>
      <c r="I1696" s="322"/>
      <c r="J1696" s="242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</row>
    <row r="1697" spans="1:26" ht="15.75" hidden="1" customHeight="1" outlineLevel="2">
      <c r="A1697" s="443"/>
      <c r="B1697" s="444"/>
      <c r="C1697"/>
      <c r="D1697"/>
      <c r="E1697" s="382"/>
      <c r="F1697" s="242"/>
      <c r="G1697"/>
      <c r="H1697" s="322"/>
      <c r="I1697" s="322"/>
      <c r="J1697" s="242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</row>
    <row r="1698" spans="1:26" ht="15.75" hidden="1" customHeight="1" outlineLevel="2">
      <c r="A1698" s="443"/>
      <c r="B1698" s="444"/>
      <c r="C1698"/>
      <c r="D1698"/>
      <c r="E1698" s="382"/>
      <c r="F1698" s="242"/>
      <c r="G1698"/>
      <c r="H1698" s="322"/>
      <c r="I1698" s="322"/>
      <c r="J1698" s="242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</row>
    <row r="1699" spans="1:26" ht="15.75" hidden="1" customHeight="1" outlineLevel="2">
      <c r="A1699" s="443"/>
      <c r="B1699" s="444"/>
      <c r="C1699"/>
      <c r="D1699"/>
      <c r="E1699" s="382"/>
      <c r="F1699" s="242"/>
      <c r="G1699"/>
      <c r="H1699" s="322"/>
      <c r="I1699" s="322"/>
      <c r="J1699" s="242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</row>
    <row r="1700" spans="1:26" ht="15.75" hidden="1" customHeight="1" outlineLevel="2">
      <c r="A1700" s="443"/>
      <c r="B1700" s="444"/>
      <c r="C1700"/>
      <c r="D1700"/>
      <c r="E1700" s="382"/>
      <c r="F1700" s="242"/>
      <c r="G1700"/>
      <c r="H1700" s="322"/>
      <c r="I1700" s="322"/>
      <c r="J1700" s="242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</row>
    <row r="1701" spans="1:26" ht="15.75" hidden="1" customHeight="1" outlineLevel="2">
      <c r="A1701" s="443"/>
      <c r="B1701" s="444"/>
      <c r="C1701"/>
      <c r="D1701"/>
      <c r="E1701" s="382"/>
      <c r="F1701" s="242"/>
      <c r="G1701"/>
      <c r="H1701" s="322"/>
      <c r="I1701" s="322"/>
      <c r="J1701" s="242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</row>
    <row r="1702" spans="1:26" ht="15.75" hidden="1" customHeight="1" outlineLevel="2">
      <c r="A1702" s="443"/>
      <c r="B1702" s="444"/>
      <c r="C1702"/>
      <c r="D1702"/>
      <c r="E1702" s="382"/>
      <c r="F1702" s="242"/>
      <c r="G1702"/>
      <c r="H1702" s="322"/>
      <c r="I1702" s="322"/>
      <c r="J1702" s="242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</row>
    <row r="1703" spans="1:26" ht="15.75" hidden="1" customHeight="1" outlineLevel="2">
      <c r="A1703" s="443"/>
      <c r="B1703" s="444"/>
      <c r="C1703"/>
      <c r="D1703"/>
      <c r="E1703" s="382"/>
      <c r="F1703" s="242"/>
      <c r="G1703"/>
      <c r="H1703" s="322"/>
      <c r="I1703" s="322"/>
      <c r="J1703" s="242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</row>
    <row r="1704" spans="1:26" ht="15.75" hidden="1" customHeight="1" outlineLevel="2">
      <c r="A1704" s="443"/>
      <c r="B1704" s="444"/>
      <c r="C1704"/>
      <c r="D1704"/>
      <c r="E1704" s="382"/>
      <c r="F1704" s="242"/>
      <c r="G1704"/>
      <c r="H1704" s="322"/>
      <c r="I1704" s="322"/>
      <c r="J1704" s="242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</row>
    <row r="1705" spans="1:26" ht="15.75" hidden="1" customHeight="1" outlineLevel="2">
      <c r="A1705" s="443"/>
      <c r="B1705" s="444"/>
      <c r="C1705"/>
      <c r="D1705"/>
      <c r="E1705" s="382"/>
      <c r="F1705" s="242"/>
      <c r="G1705"/>
      <c r="H1705" s="322"/>
      <c r="I1705" s="322"/>
      <c r="J1705" s="242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</row>
    <row r="1706" spans="1:26" ht="15.75" hidden="1" customHeight="1" outlineLevel="2">
      <c r="A1706" s="443"/>
      <c r="B1706" s="444"/>
      <c r="C1706"/>
      <c r="D1706"/>
      <c r="E1706" s="382"/>
      <c r="F1706" s="242"/>
      <c r="G1706"/>
      <c r="H1706" s="322"/>
      <c r="I1706" s="322"/>
      <c r="J1706" s="242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</row>
    <row r="1707" spans="1:26" ht="15.75" hidden="1" customHeight="1" outlineLevel="2">
      <c r="A1707" s="443"/>
      <c r="B1707" s="444"/>
      <c r="C1707"/>
      <c r="D1707"/>
      <c r="E1707" s="382"/>
      <c r="F1707" s="242"/>
      <c r="G1707"/>
      <c r="H1707" s="322"/>
      <c r="I1707" s="322"/>
      <c r="J1707" s="242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</row>
    <row r="1708" spans="1:26" ht="15.75" hidden="1" customHeight="1" outlineLevel="2">
      <c r="A1708" s="443"/>
      <c r="B1708" s="444"/>
      <c r="C1708"/>
      <c r="D1708"/>
      <c r="E1708" s="391"/>
      <c r="F1708" s="242"/>
      <c r="G1708"/>
      <c r="H1708" s="322"/>
      <c r="I1708" s="322"/>
      <c r="J1708" s="242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</row>
    <row r="1709" spans="1:26" ht="15.75" hidden="1" customHeight="1" outlineLevel="2">
      <c r="A1709" s="443"/>
      <c r="B1709" s="444"/>
      <c r="C1709"/>
      <c r="D1709"/>
      <c r="E1709" s="391"/>
      <c r="F1709" s="242"/>
      <c r="G1709"/>
      <c r="H1709" s="322"/>
      <c r="I1709" s="322"/>
      <c r="J1709" s="242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</row>
    <row r="1710" spans="1:26" ht="15.75" hidden="1" customHeight="1" outlineLevel="2">
      <c r="A1710" s="443"/>
      <c r="B1710" s="444"/>
      <c r="C1710"/>
      <c r="D1710"/>
      <c r="E1710" s="391"/>
      <c r="F1710" s="242"/>
      <c r="G1710"/>
      <c r="H1710" s="322"/>
      <c r="I1710" s="322"/>
      <c r="J1710" s="242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</row>
    <row r="1711" spans="1:26" ht="15.75" hidden="1" customHeight="1" outlineLevel="2">
      <c r="A1711" s="443"/>
      <c r="B1711" s="444"/>
      <c r="C1711"/>
      <c r="D1711"/>
      <c r="E1711" s="391"/>
      <c r="F1711" s="242"/>
      <c r="G1711"/>
      <c r="H1711" s="322"/>
      <c r="I1711" s="322"/>
      <c r="J1711" s="242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</row>
    <row r="1712" spans="1:26" ht="15.75" hidden="1" customHeight="1" outlineLevel="2">
      <c r="A1712" s="443"/>
      <c r="B1712" s="444"/>
      <c r="C1712"/>
      <c r="D1712"/>
      <c r="E1712" s="391"/>
      <c r="F1712" s="242"/>
      <c r="G1712"/>
      <c r="H1712" s="322"/>
      <c r="I1712" s="322"/>
      <c r="J1712" s="242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</row>
    <row r="1713" spans="1:26" ht="15.75" hidden="1" customHeight="1" outlineLevel="2">
      <c r="A1713" s="443"/>
      <c r="B1713" s="444"/>
      <c r="C1713"/>
      <c r="D1713"/>
      <c r="E1713" s="391"/>
      <c r="F1713" s="242"/>
      <c r="G1713"/>
      <c r="H1713" s="322"/>
      <c r="I1713" s="322"/>
      <c r="J1713" s="242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</row>
    <row r="1714" spans="1:26" ht="15.75" hidden="1" customHeight="1" outlineLevel="2">
      <c r="A1714" s="443"/>
      <c r="B1714" s="444"/>
      <c r="C1714"/>
      <c r="D1714"/>
      <c r="E1714" s="382"/>
      <c r="F1714" s="242"/>
      <c r="G1714"/>
      <c r="H1714" s="322"/>
      <c r="I1714" s="322"/>
      <c r="J1714" s="242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</row>
    <row r="1715" spans="1:26" ht="15.75" hidden="1" customHeight="1" outlineLevel="2">
      <c r="A1715" s="443"/>
      <c r="B1715" s="444"/>
      <c r="C1715"/>
      <c r="D1715"/>
      <c r="E1715" s="382"/>
      <c r="F1715" s="242"/>
      <c r="G1715"/>
      <c r="H1715" s="322"/>
      <c r="I1715" s="322"/>
      <c r="J1715" s="242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</row>
    <row r="1716" spans="1:26" ht="15.75" hidden="1" customHeight="1" outlineLevel="2">
      <c r="A1716" s="443"/>
      <c r="B1716" s="444"/>
      <c r="C1716"/>
      <c r="D1716"/>
      <c r="E1716" s="391"/>
      <c r="F1716" s="242"/>
      <c r="G1716"/>
      <c r="H1716" s="322"/>
      <c r="I1716" s="322"/>
      <c r="J1716" s="242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</row>
    <row r="1717" spans="1:26" ht="15.75" hidden="1" customHeight="1" outlineLevel="2">
      <c r="A1717" s="443"/>
      <c r="B1717" s="444"/>
      <c r="C1717"/>
      <c r="D1717"/>
      <c r="E1717" s="391"/>
      <c r="F1717" s="242"/>
      <c r="G1717"/>
      <c r="H1717" s="322"/>
      <c r="I1717" s="322"/>
      <c r="J1717" s="242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</row>
    <row r="1718" spans="1:26" ht="15.75" hidden="1" customHeight="1" outlineLevel="2">
      <c r="A1718" s="443"/>
      <c r="B1718" s="444"/>
      <c r="C1718"/>
      <c r="D1718"/>
      <c r="E1718" s="397"/>
      <c r="F1718" s="242"/>
      <c r="G1718"/>
      <c r="H1718" s="322"/>
      <c r="I1718" s="322"/>
      <c r="J1718" s="242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</row>
    <row r="1719" spans="1:26" ht="15.75" hidden="1" customHeight="1" outlineLevel="2">
      <c r="A1719" s="443"/>
      <c r="B1719" s="444"/>
      <c r="C1719"/>
      <c r="D1719"/>
      <c r="E1719" s="397"/>
      <c r="F1719" s="242"/>
      <c r="G1719"/>
      <c r="H1719" s="322"/>
      <c r="I1719" s="322"/>
      <c r="J1719" s="242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</row>
    <row r="1720" spans="1:26" ht="15.75" hidden="1" customHeight="1" outlineLevel="2">
      <c r="A1720" s="443"/>
      <c r="B1720" s="444"/>
      <c r="C1720"/>
      <c r="D1720"/>
      <c r="E1720" s="397"/>
      <c r="F1720" s="242"/>
      <c r="G1720"/>
      <c r="H1720" s="322"/>
      <c r="I1720" s="322"/>
      <c r="J1720" s="242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</row>
    <row r="1721" spans="1:26" ht="15.75" hidden="1" customHeight="1" outlineLevel="2">
      <c r="A1721" s="443"/>
      <c r="B1721" s="444"/>
      <c r="C1721"/>
      <c r="D1721"/>
      <c r="E1721" s="397"/>
      <c r="F1721" s="242"/>
      <c r="G1721"/>
      <c r="H1721" s="322"/>
      <c r="I1721" s="322"/>
      <c r="J1721" s="242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</row>
    <row r="1722" spans="1:26" ht="15.75" hidden="1" customHeight="1" outlineLevel="2">
      <c r="A1722" s="443"/>
      <c r="B1722" s="444"/>
      <c r="C1722"/>
      <c r="D1722"/>
      <c r="E1722" s="397"/>
      <c r="F1722" s="242"/>
      <c r="G1722"/>
      <c r="H1722" s="322"/>
      <c r="I1722" s="322"/>
      <c r="J1722" s="242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</row>
    <row r="1723" spans="1:26" ht="15.75" hidden="1" customHeight="1" outlineLevel="2">
      <c r="A1723" s="443"/>
      <c r="B1723" s="444"/>
      <c r="C1723"/>
      <c r="D1723"/>
      <c r="E1723" s="397"/>
      <c r="F1723" s="242"/>
      <c r="G1723"/>
      <c r="H1723" s="322"/>
      <c r="I1723" s="322"/>
      <c r="J1723" s="242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</row>
    <row r="1724" spans="1:26" ht="15.75" hidden="1" customHeight="1" outlineLevel="2">
      <c r="A1724" s="443"/>
      <c r="B1724" s="444"/>
      <c r="C1724"/>
      <c r="D1724"/>
      <c r="E1724" s="397"/>
      <c r="F1724" s="242"/>
      <c r="G1724"/>
      <c r="H1724" s="322"/>
      <c r="I1724" s="322"/>
      <c r="J1724" s="242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</row>
    <row r="1725" spans="1:26" ht="15.75" hidden="1" customHeight="1" outlineLevel="2">
      <c r="A1725" s="443"/>
      <c r="B1725" s="444"/>
      <c r="C1725"/>
      <c r="D1725"/>
      <c r="E1725" s="397"/>
      <c r="F1725" s="242"/>
      <c r="G1725"/>
      <c r="H1725" s="322"/>
      <c r="I1725" s="322"/>
      <c r="J1725" s="242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</row>
    <row r="1726" spans="1:26" ht="15.75" hidden="1" customHeight="1" outlineLevel="2">
      <c r="A1726" s="443"/>
      <c r="B1726" s="444"/>
      <c r="C1726"/>
      <c r="D1726"/>
      <c r="E1726" s="397"/>
      <c r="F1726" s="242"/>
      <c r="G1726"/>
      <c r="H1726" s="322"/>
      <c r="I1726" s="322"/>
      <c r="J1726" s="242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</row>
    <row r="1727" spans="1:26" ht="15.75" hidden="1" customHeight="1" outlineLevel="2">
      <c r="A1727" s="443"/>
      <c r="B1727" s="444"/>
      <c r="C1727"/>
      <c r="D1727"/>
      <c r="E1727" s="397"/>
      <c r="F1727" s="242"/>
      <c r="G1727"/>
      <c r="H1727" s="322"/>
      <c r="I1727" s="322"/>
      <c r="J1727" s="242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</row>
    <row r="1728" spans="1:26" ht="15.75" hidden="1" customHeight="1" outlineLevel="2">
      <c r="A1728" s="443"/>
      <c r="B1728" s="444"/>
      <c r="C1728"/>
      <c r="D1728"/>
      <c r="E1728" s="397"/>
      <c r="F1728" s="242"/>
      <c r="G1728"/>
      <c r="H1728" s="322"/>
      <c r="I1728" s="322"/>
      <c r="J1728" s="242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</row>
    <row r="1729" spans="1:26" ht="15.75" hidden="1" customHeight="1" outlineLevel="2">
      <c r="A1729" s="443"/>
      <c r="B1729" s="444"/>
      <c r="C1729"/>
      <c r="D1729"/>
      <c r="E1729" s="397"/>
      <c r="F1729" s="242"/>
      <c r="G1729"/>
      <c r="H1729" s="322"/>
      <c r="I1729" s="322"/>
      <c r="J1729" s="242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</row>
    <row r="1730" spans="1:26" ht="15.75" hidden="1" customHeight="1" outlineLevel="2">
      <c r="A1730" s="443"/>
      <c r="B1730" s="444"/>
      <c r="C1730"/>
      <c r="D1730"/>
      <c r="E1730" s="367"/>
      <c r="F1730" s="242"/>
      <c r="G1730"/>
      <c r="H1730" s="322"/>
      <c r="I1730" s="322"/>
      <c r="J1730" s="242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</row>
    <row r="1731" spans="1:26" ht="15.75" hidden="1" customHeight="1" outlineLevel="2">
      <c r="A1731" s="443"/>
      <c r="B1731" s="444"/>
      <c r="C1731"/>
      <c r="D1731"/>
      <c r="E1731" s="397"/>
      <c r="F1731" s="242"/>
      <c r="G1731"/>
      <c r="H1731" s="322"/>
      <c r="I1731" s="322"/>
      <c r="J1731" s="242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</row>
    <row r="1732" spans="1:26" ht="15.75" hidden="1" customHeight="1" outlineLevel="2">
      <c r="A1732" s="443"/>
      <c r="B1732" s="444"/>
      <c r="C1732"/>
      <c r="D1732"/>
      <c r="E1732" s="397"/>
      <c r="F1732" s="242"/>
      <c r="G1732"/>
      <c r="H1732" s="322"/>
      <c r="I1732" s="322"/>
      <c r="J1732" s="242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</row>
    <row r="1733" spans="1:26" ht="15.75" hidden="1" customHeight="1" outlineLevel="2">
      <c r="A1733" s="443"/>
      <c r="B1733" s="444"/>
      <c r="C1733"/>
      <c r="D1733"/>
      <c r="E1733" s="385"/>
      <c r="F1733" s="242"/>
      <c r="G1733"/>
      <c r="H1733" s="322"/>
      <c r="I1733" s="322"/>
      <c r="J1733" s="242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</row>
    <row r="1734" spans="1:26" ht="15.75" hidden="1" customHeight="1" outlineLevel="2">
      <c r="A1734" s="443"/>
      <c r="B1734" s="444"/>
      <c r="C1734"/>
      <c r="D1734"/>
      <c r="E1734" s="397"/>
      <c r="F1734" s="242"/>
      <c r="G1734"/>
      <c r="H1734" s="322"/>
      <c r="I1734" s="322"/>
      <c r="J1734" s="242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</row>
    <row r="1735" spans="1:26" ht="15.75" hidden="1" customHeight="1" outlineLevel="2">
      <c r="A1735" s="443"/>
      <c r="B1735" s="444"/>
      <c r="C1735"/>
      <c r="D1735"/>
      <c r="E1735" s="381"/>
      <c r="F1735" s="242"/>
      <c r="G1735"/>
      <c r="H1735" s="322"/>
      <c r="I1735" s="322"/>
      <c r="J1735" s="242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</row>
    <row r="1736" spans="1:26" ht="15.75" hidden="1" customHeight="1" outlineLevel="2">
      <c r="A1736" s="443"/>
      <c r="B1736" s="444"/>
      <c r="C1736"/>
      <c r="D1736"/>
      <c r="E1736" s="381"/>
      <c r="F1736" s="242"/>
      <c r="G1736"/>
      <c r="H1736" s="322"/>
      <c r="I1736" s="322"/>
      <c r="J1736" s="242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</row>
    <row r="1737" spans="1:26" ht="15.75" hidden="1" customHeight="1" outlineLevel="2">
      <c r="A1737" s="443"/>
      <c r="B1737" s="444"/>
      <c r="C1737"/>
      <c r="D1737"/>
      <c r="E1737" s="382"/>
      <c r="F1737" s="242"/>
      <c r="G1737"/>
      <c r="H1737" s="322"/>
      <c r="I1737" s="322"/>
      <c r="J1737" s="242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</row>
    <row r="1738" spans="1:26" ht="15.75" hidden="1" customHeight="1" outlineLevel="2">
      <c r="A1738" s="443"/>
      <c r="B1738" s="444"/>
      <c r="C1738"/>
      <c r="D1738"/>
      <c r="E1738" s="382"/>
      <c r="F1738" s="242"/>
      <c r="G1738"/>
      <c r="H1738" s="322"/>
      <c r="I1738" s="322"/>
      <c r="J1738" s="242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</row>
    <row r="1739" spans="1:26" ht="15.75" hidden="1" customHeight="1" outlineLevel="2">
      <c r="A1739" s="443"/>
      <c r="B1739" s="444"/>
      <c r="C1739"/>
      <c r="D1739"/>
      <c r="E1739" s="382"/>
      <c r="F1739" s="242"/>
      <c r="G1739"/>
      <c r="H1739" s="322"/>
      <c r="I1739" s="322"/>
      <c r="J1739" s="242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</row>
    <row r="1740" spans="1:26" ht="15.75" hidden="1" customHeight="1" outlineLevel="2">
      <c r="A1740" s="443"/>
      <c r="B1740" s="444"/>
      <c r="C1740"/>
      <c r="D1740"/>
      <c r="E1740" s="391"/>
      <c r="F1740" s="242"/>
      <c r="G1740"/>
      <c r="H1740" s="322"/>
      <c r="I1740" s="322"/>
      <c r="J1740" s="242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</row>
    <row r="1741" spans="1:26" ht="15.75" hidden="1" customHeight="1" outlineLevel="2">
      <c r="A1741" s="443"/>
      <c r="B1741" s="444"/>
      <c r="C1741"/>
      <c r="D1741"/>
      <c r="E1741" s="382"/>
      <c r="F1741" s="242"/>
      <c r="G1741"/>
      <c r="H1741" s="322"/>
      <c r="I1741" s="322"/>
      <c r="J1741" s="242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</row>
    <row r="1742" spans="1:26" ht="15.75" hidden="1" customHeight="1" outlineLevel="2">
      <c r="A1742" s="443"/>
      <c r="B1742" s="444"/>
      <c r="C1742"/>
      <c r="D1742"/>
      <c r="E1742" s="382"/>
      <c r="F1742" s="242"/>
      <c r="G1742"/>
      <c r="H1742" s="322"/>
      <c r="I1742" s="322"/>
      <c r="J1742" s="242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</row>
    <row r="1743" spans="1:26" ht="15.75" hidden="1" customHeight="1" outlineLevel="2">
      <c r="A1743" s="443"/>
      <c r="B1743" s="444"/>
      <c r="C1743"/>
      <c r="D1743"/>
      <c r="E1743" s="382"/>
      <c r="F1743" s="242"/>
      <c r="G1743"/>
      <c r="H1743" s="322"/>
      <c r="I1743" s="322"/>
      <c r="J1743" s="242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</row>
    <row r="1744" spans="1:26" ht="15.75" hidden="1" customHeight="1" outlineLevel="2">
      <c r="A1744" s="443"/>
      <c r="B1744" s="444"/>
      <c r="C1744"/>
      <c r="D1744"/>
      <c r="E1744" s="391"/>
      <c r="F1744" s="242"/>
      <c r="G1744"/>
      <c r="H1744" s="322"/>
      <c r="I1744" s="322"/>
      <c r="J1744" s="242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</row>
    <row r="1745" spans="1:26" ht="15.75" hidden="1" customHeight="1" outlineLevel="2">
      <c r="A1745" s="443"/>
      <c r="B1745" s="444"/>
      <c r="C1745"/>
      <c r="D1745"/>
      <c r="E1745" s="382"/>
      <c r="F1745" s="242"/>
      <c r="G1745"/>
      <c r="H1745" s="322"/>
      <c r="I1745" s="322"/>
      <c r="J1745" s="242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</row>
    <row r="1746" spans="1:26" ht="15.75" hidden="1" customHeight="1" outlineLevel="2">
      <c r="A1746" s="443"/>
      <c r="B1746" s="444"/>
      <c r="C1746"/>
      <c r="D1746"/>
      <c r="E1746" s="391"/>
      <c r="F1746" s="242"/>
      <c r="G1746"/>
      <c r="H1746" s="322"/>
      <c r="I1746" s="322"/>
      <c r="J1746" s="242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</row>
    <row r="1747" spans="1:26" ht="15.75" hidden="1" customHeight="1" outlineLevel="2">
      <c r="A1747" s="443"/>
      <c r="B1747" s="444"/>
      <c r="C1747"/>
      <c r="D1747"/>
      <c r="E1747" s="382"/>
      <c r="F1747" s="242"/>
      <c r="G1747"/>
      <c r="H1747" s="322"/>
      <c r="I1747" s="322"/>
      <c r="J1747" s="242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</row>
    <row r="1748" spans="1:26" ht="15.75" hidden="1" customHeight="1" outlineLevel="2">
      <c r="A1748" s="443"/>
      <c r="B1748" s="444"/>
      <c r="C1748"/>
      <c r="D1748"/>
      <c r="E1748" s="382"/>
      <c r="F1748" s="242"/>
      <c r="G1748"/>
      <c r="H1748" s="322"/>
      <c r="I1748" s="322"/>
      <c r="J1748" s="242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</row>
    <row r="1749" spans="1:26" ht="15.75" hidden="1" customHeight="1" outlineLevel="2">
      <c r="A1749" s="443"/>
      <c r="B1749" s="444"/>
      <c r="C1749"/>
      <c r="D1749"/>
      <c r="E1749" s="391"/>
      <c r="F1749" s="242"/>
      <c r="G1749"/>
      <c r="H1749" s="322"/>
      <c r="I1749" s="322"/>
      <c r="J1749" s="242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</row>
    <row r="1750" spans="1:26" ht="15.75" hidden="1" customHeight="1" outlineLevel="2">
      <c r="A1750" s="443"/>
      <c r="B1750" s="444"/>
      <c r="C1750"/>
      <c r="D1750"/>
      <c r="E1750" s="450"/>
      <c r="F1750" s="242"/>
      <c r="G1750"/>
      <c r="H1750" s="322"/>
      <c r="I1750" s="322"/>
      <c r="J1750" s="242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</row>
    <row r="1751" spans="1:26" ht="15.75" hidden="1" customHeight="1" outlineLevel="2">
      <c r="A1751" s="443"/>
      <c r="B1751" s="444"/>
      <c r="C1751"/>
      <c r="D1751"/>
      <c r="E1751" s="391"/>
      <c r="F1751" s="242"/>
      <c r="G1751"/>
      <c r="H1751" s="322"/>
      <c r="I1751" s="322"/>
      <c r="J1751" s="242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</row>
    <row r="1752" spans="1:26" ht="15.75" hidden="1" customHeight="1" outlineLevel="2">
      <c r="A1752" s="443"/>
      <c r="B1752" s="444"/>
      <c r="C1752"/>
      <c r="D1752"/>
      <c r="E1752" s="391"/>
      <c r="F1752" s="242"/>
      <c r="G1752"/>
      <c r="H1752" s="322"/>
      <c r="I1752" s="322"/>
      <c r="J1752" s="242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</row>
    <row r="1753" spans="1:26" ht="15.75" hidden="1" customHeight="1" outlineLevel="2">
      <c r="A1753" s="443"/>
      <c r="B1753" s="444"/>
      <c r="C1753"/>
      <c r="D1753"/>
      <c r="E1753" s="391"/>
      <c r="F1753" s="242"/>
      <c r="G1753"/>
      <c r="H1753" s="322"/>
      <c r="I1753" s="322"/>
      <c r="J1753" s="242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</row>
    <row r="1754" spans="1:26" ht="15.75" hidden="1" customHeight="1" outlineLevel="2">
      <c r="A1754" s="443"/>
      <c r="B1754" s="444"/>
      <c r="C1754"/>
      <c r="D1754"/>
      <c r="E1754" s="382"/>
      <c r="F1754" s="242"/>
      <c r="G1754"/>
      <c r="H1754" s="322"/>
      <c r="I1754" s="322"/>
      <c r="J1754" s="242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</row>
    <row r="1755" spans="1:26" ht="15.75" hidden="1" customHeight="1" outlineLevel="2">
      <c r="A1755" s="443"/>
      <c r="B1755" s="444"/>
      <c r="C1755"/>
      <c r="D1755"/>
      <c r="E1755" s="382"/>
      <c r="F1755" s="242"/>
      <c r="G1755"/>
      <c r="H1755" s="322"/>
      <c r="I1755" s="322"/>
      <c r="J1755" s="242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</row>
    <row r="1756" spans="1:26" ht="15.75" hidden="1" customHeight="1" outlineLevel="2">
      <c r="A1756" s="443"/>
      <c r="B1756" s="444"/>
      <c r="C1756"/>
      <c r="D1756"/>
      <c r="E1756" s="391"/>
      <c r="F1756" s="242"/>
      <c r="G1756"/>
      <c r="H1756" s="322"/>
      <c r="I1756" s="322"/>
      <c r="J1756" s="242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</row>
    <row r="1757" spans="1:26" ht="15.75" hidden="1" customHeight="1" outlineLevel="2">
      <c r="A1757" s="443"/>
      <c r="B1757" s="444"/>
      <c r="C1757"/>
      <c r="D1757"/>
      <c r="E1757" s="382"/>
      <c r="F1757" s="242"/>
      <c r="G1757"/>
      <c r="H1757" s="322"/>
      <c r="I1757" s="322"/>
      <c r="J1757" s="242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</row>
    <row r="1758" spans="1:26" ht="15.75" hidden="1" customHeight="1" outlineLevel="2">
      <c r="A1758" s="443"/>
      <c r="B1758" s="444"/>
      <c r="C1758"/>
      <c r="D1758"/>
      <c r="E1758" s="382"/>
      <c r="F1758" s="242"/>
      <c r="G1758"/>
      <c r="H1758" s="322"/>
      <c r="I1758" s="322"/>
      <c r="J1758" s="242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</row>
    <row r="1759" spans="1:26" ht="15.75" hidden="1" customHeight="1" outlineLevel="2">
      <c r="A1759" s="443"/>
      <c r="B1759" s="444"/>
      <c r="C1759"/>
      <c r="D1759"/>
      <c r="E1759" s="391"/>
      <c r="F1759" s="242"/>
      <c r="G1759"/>
      <c r="H1759" s="322"/>
      <c r="I1759" s="322"/>
      <c r="J1759" s="242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</row>
    <row r="1760" spans="1:26" ht="15.75" hidden="1" customHeight="1" outlineLevel="2">
      <c r="A1760" s="443"/>
      <c r="B1760" s="444"/>
      <c r="C1760"/>
      <c r="D1760"/>
      <c r="E1760" s="391"/>
      <c r="F1760" s="242"/>
      <c r="G1760"/>
      <c r="H1760" s="322"/>
      <c r="I1760" s="322"/>
      <c r="J1760" s="242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</row>
    <row r="1761" spans="1:26" ht="15.75" hidden="1" customHeight="1" outlineLevel="2">
      <c r="A1761" s="443"/>
      <c r="B1761" s="444"/>
      <c r="C1761"/>
      <c r="D1761"/>
      <c r="E1761" s="382"/>
      <c r="F1761" s="242"/>
      <c r="G1761"/>
      <c r="H1761" s="322"/>
      <c r="I1761" s="322"/>
      <c r="J1761" s="242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</row>
    <row r="1762" spans="1:26" ht="15.75" hidden="1" customHeight="1" outlineLevel="2">
      <c r="A1762" s="443"/>
      <c r="B1762" s="444"/>
      <c r="C1762"/>
      <c r="D1762"/>
      <c r="E1762" s="391"/>
      <c r="F1762" s="242"/>
      <c r="G1762"/>
      <c r="H1762" s="322"/>
      <c r="I1762" s="322"/>
      <c r="J1762" s="242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</row>
    <row r="1763" spans="1:26" ht="15.75" hidden="1" customHeight="1" outlineLevel="2">
      <c r="A1763" s="443"/>
      <c r="B1763" s="444"/>
      <c r="C1763"/>
      <c r="D1763"/>
      <c r="E1763" s="391"/>
      <c r="F1763" s="242"/>
      <c r="G1763"/>
      <c r="H1763" s="322"/>
      <c r="I1763" s="322"/>
      <c r="J1763" s="242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</row>
    <row r="1764" spans="1:26" ht="15.75" hidden="1" customHeight="1" outlineLevel="2">
      <c r="A1764" s="443"/>
      <c r="B1764" s="444"/>
      <c r="C1764"/>
      <c r="D1764"/>
      <c r="E1764" s="382"/>
      <c r="F1764" s="242"/>
      <c r="G1764"/>
      <c r="H1764" s="322"/>
      <c r="I1764" s="322"/>
      <c r="J1764" s="242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</row>
    <row r="1765" spans="1:26" ht="15.75" hidden="1" customHeight="1" outlineLevel="2">
      <c r="A1765" s="443"/>
      <c r="B1765" s="444"/>
      <c r="C1765"/>
      <c r="D1765"/>
      <c r="E1765" s="382"/>
      <c r="F1765" s="242"/>
      <c r="G1765"/>
      <c r="H1765" s="322"/>
      <c r="I1765" s="322"/>
      <c r="J1765" s="242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</row>
    <row r="1766" spans="1:26" ht="15.75" hidden="1" customHeight="1" outlineLevel="2">
      <c r="A1766" s="443"/>
      <c r="B1766" s="444"/>
      <c r="C1766"/>
      <c r="D1766"/>
      <c r="E1766" s="385"/>
      <c r="F1766" s="242"/>
      <c r="G1766"/>
      <c r="H1766" s="322"/>
      <c r="I1766" s="322"/>
      <c r="J1766" s="242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</row>
    <row r="1767" spans="1:26" ht="15.75" hidden="1" customHeight="1" outlineLevel="2">
      <c r="A1767" s="443"/>
      <c r="B1767" s="444"/>
      <c r="C1767"/>
      <c r="D1767"/>
      <c r="E1767" s="382"/>
      <c r="F1767" s="242"/>
      <c r="G1767"/>
      <c r="H1767" s="322"/>
      <c r="I1767" s="322"/>
      <c r="J1767" s="242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</row>
    <row r="1768" spans="1:26" ht="15.75" hidden="1" customHeight="1" outlineLevel="2">
      <c r="A1768" s="443"/>
      <c r="B1768" s="444"/>
      <c r="C1768"/>
      <c r="D1768"/>
      <c r="E1768" s="382"/>
      <c r="F1768" s="242"/>
      <c r="G1768"/>
      <c r="H1768" s="322"/>
      <c r="I1768" s="322"/>
      <c r="J1768" s="242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</row>
    <row r="1769" spans="1:26" ht="15.75" hidden="1" customHeight="1" outlineLevel="2">
      <c r="A1769" s="443"/>
      <c r="B1769" s="444"/>
      <c r="C1769"/>
      <c r="D1769"/>
      <c r="E1769" s="382"/>
      <c r="F1769" s="242"/>
      <c r="G1769"/>
      <c r="H1769" s="322"/>
      <c r="I1769" s="322"/>
      <c r="J1769" s="242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</row>
    <row r="1770" spans="1:26" ht="15.75" hidden="1" customHeight="1" outlineLevel="2">
      <c r="A1770" s="443"/>
      <c r="B1770" s="444"/>
      <c r="C1770"/>
      <c r="D1770"/>
      <c r="E1770" s="382"/>
      <c r="F1770" s="242"/>
      <c r="G1770"/>
      <c r="H1770" s="322"/>
      <c r="I1770" s="322"/>
      <c r="J1770" s="242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</row>
    <row r="1771" spans="1:26" ht="15.75" hidden="1" customHeight="1" outlineLevel="2">
      <c r="A1771" s="443"/>
      <c r="B1771" s="444"/>
      <c r="C1771"/>
      <c r="D1771"/>
      <c r="E1771" s="382"/>
      <c r="F1771" s="242"/>
      <c r="G1771"/>
      <c r="H1771" s="322"/>
      <c r="I1771" s="322"/>
      <c r="J1771" s="242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</row>
    <row r="1772" spans="1:26" ht="15.75" hidden="1" customHeight="1" outlineLevel="2">
      <c r="A1772" s="443"/>
      <c r="B1772" s="444"/>
      <c r="C1772"/>
      <c r="D1772"/>
      <c r="E1772" s="382"/>
      <c r="F1772" s="242"/>
      <c r="G1772"/>
      <c r="H1772" s="322"/>
      <c r="I1772" s="322"/>
      <c r="J1772" s="242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</row>
    <row r="1773" spans="1:26" ht="15.75" hidden="1" customHeight="1" outlineLevel="2">
      <c r="A1773" s="443"/>
      <c r="B1773" s="444"/>
      <c r="C1773"/>
      <c r="D1773"/>
      <c r="E1773" s="382"/>
      <c r="F1773" s="242"/>
      <c r="G1773"/>
      <c r="H1773" s="322"/>
      <c r="I1773" s="322"/>
      <c r="J1773" s="242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</row>
    <row r="1774" spans="1:26" ht="15.75" hidden="1" customHeight="1" outlineLevel="2">
      <c r="A1774" s="443"/>
      <c r="B1774" s="444"/>
      <c r="C1774"/>
      <c r="D1774"/>
      <c r="E1774" s="382"/>
      <c r="F1774" s="242"/>
      <c r="G1774"/>
      <c r="H1774" s="322"/>
      <c r="I1774" s="322"/>
      <c r="J1774" s="242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</row>
    <row r="1775" spans="1:26" ht="15.75" hidden="1" customHeight="1" outlineLevel="2">
      <c r="A1775" s="443"/>
      <c r="B1775" s="444"/>
      <c r="C1775"/>
      <c r="D1775"/>
      <c r="E1775" s="382"/>
      <c r="F1775" s="242"/>
      <c r="G1775"/>
      <c r="H1775" s="322"/>
      <c r="I1775" s="322"/>
      <c r="J1775" s="242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</row>
    <row r="1776" spans="1:26" ht="15.75" hidden="1" customHeight="1" outlineLevel="2">
      <c r="A1776" s="443"/>
      <c r="B1776" s="444"/>
      <c r="C1776"/>
      <c r="D1776"/>
      <c r="E1776" s="382"/>
      <c r="F1776" s="242"/>
      <c r="G1776"/>
      <c r="H1776" s="322"/>
      <c r="I1776" s="322"/>
      <c r="J1776" s="242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</row>
    <row r="1777" spans="1:26" ht="15.75" hidden="1" customHeight="1" outlineLevel="2">
      <c r="A1777" s="443"/>
      <c r="B1777" s="444"/>
      <c r="C1777"/>
      <c r="D1777"/>
      <c r="E1777" s="450"/>
      <c r="F1777" s="242"/>
      <c r="G1777"/>
      <c r="H1777" s="322"/>
      <c r="I1777" s="322"/>
      <c r="J1777" s="242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</row>
    <row r="1778" spans="1:26" ht="15.75" hidden="1" customHeight="1" outlineLevel="2">
      <c r="A1778" s="443"/>
      <c r="B1778" s="444"/>
      <c r="C1778"/>
      <c r="D1778"/>
      <c r="E1778" s="450"/>
      <c r="F1778" s="242"/>
      <c r="G1778"/>
      <c r="H1778" s="322"/>
      <c r="I1778" s="322"/>
      <c r="J1778" s="242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</row>
    <row r="1779" spans="1:26" ht="15.75" hidden="1" customHeight="1" outlineLevel="2">
      <c r="A1779" s="443"/>
      <c r="B1779" s="444"/>
      <c r="C1779"/>
      <c r="D1779"/>
      <c r="E1779" s="450"/>
      <c r="F1779" s="242"/>
      <c r="G1779"/>
      <c r="H1779" s="322"/>
      <c r="I1779" s="322"/>
      <c r="J1779" s="242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</row>
    <row r="1780" spans="1:26" ht="15.75" hidden="1" customHeight="1" outlineLevel="2">
      <c r="A1780" s="443"/>
      <c r="B1780" s="444"/>
      <c r="C1780"/>
      <c r="D1780"/>
      <c r="E1780" s="450"/>
      <c r="F1780" s="242"/>
      <c r="G1780"/>
      <c r="H1780" s="322"/>
      <c r="I1780" s="322"/>
      <c r="J1780" s="242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</row>
    <row r="1781" spans="1:26" ht="15.75" hidden="1" customHeight="1" outlineLevel="2">
      <c r="A1781" s="443"/>
      <c r="B1781" s="444"/>
      <c r="C1781"/>
      <c r="D1781"/>
      <c r="E1781" s="450"/>
      <c r="F1781" s="242"/>
      <c r="G1781"/>
      <c r="H1781" s="322"/>
      <c r="I1781" s="322"/>
      <c r="J1781" s="242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</row>
    <row r="1782" spans="1:26" ht="15.75" hidden="1" customHeight="1" outlineLevel="2">
      <c r="A1782" s="443"/>
      <c r="B1782" s="444"/>
      <c r="C1782"/>
      <c r="D1782"/>
      <c r="E1782" s="450"/>
      <c r="F1782" s="242"/>
      <c r="G1782"/>
      <c r="H1782" s="322"/>
      <c r="I1782" s="322"/>
      <c r="J1782" s="242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</row>
    <row r="1783" spans="1:26" ht="15.75" hidden="1" customHeight="1" outlineLevel="2">
      <c r="A1783" s="443"/>
      <c r="B1783" s="444"/>
      <c r="C1783"/>
      <c r="D1783"/>
      <c r="E1783" s="450"/>
      <c r="F1783" s="242"/>
      <c r="G1783"/>
      <c r="H1783" s="322"/>
      <c r="I1783" s="322"/>
      <c r="J1783" s="242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</row>
    <row r="1784" spans="1:26" ht="15.75" hidden="1" customHeight="1" outlineLevel="2">
      <c r="A1784" s="443"/>
      <c r="B1784" s="444"/>
      <c r="C1784"/>
      <c r="D1784"/>
      <c r="E1784" s="450"/>
      <c r="F1784" s="242"/>
      <c r="G1784"/>
      <c r="H1784" s="322"/>
      <c r="I1784" s="322"/>
      <c r="J1784" s="242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</row>
    <row r="1785" spans="1:26" ht="15.75" hidden="1" customHeight="1" outlineLevel="2">
      <c r="A1785" s="443"/>
      <c r="B1785" s="444"/>
      <c r="C1785"/>
      <c r="D1785"/>
      <c r="E1785" s="450"/>
      <c r="F1785" s="242"/>
      <c r="G1785"/>
      <c r="H1785" s="322"/>
      <c r="I1785" s="322"/>
      <c r="J1785" s="242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</row>
    <row r="1786" spans="1:26" ht="15.75" hidden="1" customHeight="1" outlineLevel="2">
      <c r="A1786" s="443"/>
      <c r="B1786" s="444"/>
      <c r="C1786"/>
      <c r="D1786"/>
      <c r="E1786" s="450"/>
      <c r="F1786" s="242"/>
      <c r="G1786"/>
      <c r="H1786" s="322"/>
      <c r="I1786" s="322"/>
      <c r="J1786" s="242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</row>
    <row r="1787" spans="1:26" ht="15.75" hidden="1" customHeight="1" outlineLevel="2">
      <c r="A1787" s="443"/>
      <c r="B1787" s="444"/>
      <c r="C1787"/>
      <c r="D1787"/>
      <c r="E1787" s="450"/>
      <c r="F1787" s="242"/>
      <c r="G1787"/>
      <c r="H1787" s="322"/>
      <c r="I1787" s="322"/>
      <c r="J1787" s="242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</row>
    <row r="1788" spans="1:26" ht="15.75" hidden="1" customHeight="1" outlineLevel="2">
      <c r="A1788" s="443"/>
      <c r="B1788" s="444"/>
      <c r="C1788"/>
      <c r="D1788"/>
      <c r="E1788" s="450"/>
      <c r="F1788" s="242"/>
      <c r="G1788"/>
      <c r="H1788" s="322"/>
      <c r="I1788" s="322"/>
      <c r="J1788" s="242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</row>
    <row r="1789" spans="1:26" ht="15.75" hidden="1" customHeight="1" outlineLevel="2">
      <c r="A1789" s="443"/>
      <c r="B1789" s="444"/>
      <c r="C1789"/>
      <c r="D1789"/>
      <c r="E1789" s="450"/>
      <c r="F1789" s="242"/>
      <c r="G1789"/>
      <c r="H1789" s="322"/>
      <c r="I1789" s="322"/>
      <c r="J1789" s="242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</row>
    <row r="1790" spans="1:26" ht="15.75" hidden="1" customHeight="1" outlineLevel="2">
      <c r="A1790" s="443"/>
      <c r="B1790" s="444"/>
      <c r="C1790"/>
      <c r="D1790"/>
      <c r="E1790" s="450"/>
      <c r="F1790" s="242"/>
      <c r="G1790"/>
      <c r="H1790" s="322"/>
      <c r="I1790" s="322"/>
      <c r="J1790" s="242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</row>
    <row r="1791" spans="1:26" ht="15.75" hidden="1" customHeight="1" outlineLevel="2">
      <c r="A1791" s="443"/>
      <c r="B1791" s="444"/>
      <c r="C1791"/>
      <c r="D1791"/>
      <c r="E1791" s="450"/>
      <c r="F1791" s="242"/>
      <c r="G1791"/>
      <c r="H1791" s="322"/>
      <c r="I1791" s="322"/>
      <c r="J1791" s="242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</row>
    <row r="1792" spans="1:26" ht="15.75" hidden="1" customHeight="1" outlineLevel="2">
      <c r="A1792" s="443"/>
      <c r="B1792" s="444"/>
      <c r="C1792"/>
      <c r="D1792"/>
      <c r="E1792" s="450"/>
      <c r="F1792" s="242"/>
      <c r="G1792"/>
      <c r="H1792" s="322"/>
      <c r="I1792" s="322"/>
      <c r="J1792" s="242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</row>
    <row r="1793" spans="1:26" ht="15.75" hidden="1" customHeight="1" outlineLevel="2">
      <c r="A1793" s="443"/>
      <c r="B1793" s="444"/>
      <c r="C1793"/>
      <c r="D1793"/>
      <c r="E1793" s="450"/>
      <c r="F1793" s="242"/>
      <c r="G1793"/>
      <c r="H1793" s="322"/>
      <c r="I1793" s="322"/>
      <c r="J1793" s="242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</row>
    <row r="1794" spans="1:26" ht="15.75" hidden="1" customHeight="1" outlineLevel="2">
      <c r="A1794" s="443"/>
      <c r="B1794" s="444"/>
      <c r="C1794"/>
      <c r="D1794"/>
      <c r="E1794" s="450"/>
      <c r="F1794" s="242"/>
      <c r="G1794"/>
      <c r="H1794" s="322"/>
      <c r="I1794" s="322"/>
      <c r="J1794" s="242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</row>
    <row r="1795" spans="1:26" ht="15.75" hidden="1" customHeight="1" outlineLevel="2">
      <c r="A1795" s="443"/>
      <c r="B1795" s="444"/>
      <c r="C1795"/>
      <c r="D1795"/>
      <c r="E1795" s="391"/>
      <c r="F1795" s="242"/>
      <c r="G1795"/>
      <c r="H1795" s="322"/>
      <c r="I1795" s="322"/>
      <c r="J1795" s="242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</row>
    <row r="1796" spans="1:26" ht="15.75" hidden="1" customHeight="1" outlineLevel="2">
      <c r="A1796" s="443"/>
      <c r="B1796" s="444"/>
      <c r="C1796"/>
      <c r="D1796"/>
      <c r="E1796" s="391"/>
      <c r="F1796" s="242"/>
      <c r="G1796"/>
      <c r="H1796" s="322"/>
      <c r="I1796" s="322"/>
      <c r="J1796" s="242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</row>
    <row r="1797" spans="1:26" ht="15.75" hidden="1" customHeight="1" outlineLevel="2">
      <c r="A1797" s="443"/>
      <c r="B1797" s="444"/>
      <c r="C1797"/>
      <c r="D1797"/>
      <c r="E1797" s="382"/>
      <c r="F1797" s="242"/>
      <c r="G1797"/>
      <c r="H1797" s="322"/>
      <c r="I1797" s="322"/>
      <c r="J1797" s="242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</row>
    <row r="1798" spans="1:26" ht="15.75" hidden="1" customHeight="1" outlineLevel="2">
      <c r="A1798" s="443"/>
      <c r="B1798" s="444"/>
      <c r="C1798"/>
      <c r="D1798"/>
      <c r="E1798" s="382"/>
      <c r="F1798" s="242"/>
      <c r="G1798"/>
      <c r="H1798" s="322"/>
      <c r="I1798" s="322"/>
      <c r="J1798" s="242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</row>
    <row r="1799" spans="1:26" ht="15.75" hidden="1" customHeight="1" outlineLevel="2">
      <c r="A1799" s="443"/>
      <c r="B1799" s="444"/>
      <c r="C1799"/>
      <c r="D1799"/>
      <c r="E1799" s="382"/>
      <c r="F1799" s="242"/>
      <c r="G1799"/>
      <c r="H1799" s="322"/>
      <c r="I1799" s="322"/>
      <c r="J1799" s="242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</row>
    <row r="1800" spans="1:26" ht="15.75" hidden="1" customHeight="1" outlineLevel="2">
      <c r="A1800" s="443"/>
      <c r="B1800" s="444"/>
      <c r="C1800"/>
      <c r="D1800"/>
      <c r="E1800" s="382"/>
      <c r="F1800" s="242"/>
      <c r="G1800"/>
      <c r="H1800" s="322"/>
      <c r="I1800" s="322"/>
      <c r="J1800" s="242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</row>
    <row r="1801" spans="1:26" ht="15.75" hidden="1" customHeight="1" outlineLevel="2">
      <c r="A1801" s="443"/>
      <c r="B1801" s="444"/>
      <c r="C1801"/>
      <c r="D1801"/>
      <c r="E1801" s="382"/>
      <c r="F1801" s="242"/>
      <c r="G1801"/>
      <c r="H1801" s="322"/>
      <c r="I1801" s="322"/>
      <c r="J1801" s="242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</row>
    <row r="1802" spans="1:26" ht="15.75" hidden="1" customHeight="1" outlineLevel="2">
      <c r="A1802" s="443"/>
      <c r="B1802" s="444"/>
      <c r="C1802"/>
      <c r="D1802"/>
      <c r="E1802" s="382"/>
      <c r="F1802" s="242"/>
      <c r="G1802"/>
      <c r="H1802" s="322"/>
      <c r="I1802" s="322"/>
      <c r="J1802" s="242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</row>
    <row r="1803" spans="1:26" ht="15.75" hidden="1" customHeight="1" outlineLevel="2">
      <c r="A1803" s="443"/>
      <c r="B1803" s="444"/>
      <c r="C1803"/>
      <c r="D1803"/>
      <c r="E1803" s="382"/>
      <c r="F1803" s="242"/>
      <c r="G1803"/>
      <c r="H1803" s="322"/>
      <c r="I1803" s="322"/>
      <c r="J1803" s="242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</row>
    <row r="1804" spans="1:26" ht="15.75" hidden="1" customHeight="1" outlineLevel="2">
      <c r="A1804" s="443"/>
      <c r="B1804" s="444"/>
      <c r="C1804"/>
      <c r="D1804"/>
      <c r="E1804" s="382"/>
      <c r="F1804" s="242"/>
      <c r="G1804"/>
      <c r="H1804" s="322"/>
      <c r="I1804" s="322"/>
      <c r="J1804" s="242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</row>
    <row r="1805" spans="1:26" ht="15.75" hidden="1" customHeight="1" outlineLevel="2">
      <c r="A1805" s="443"/>
      <c r="B1805" s="444"/>
      <c r="C1805"/>
      <c r="D1805"/>
      <c r="E1805" s="382"/>
      <c r="F1805" s="242"/>
      <c r="G1805"/>
      <c r="H1805" s="322"/>
      <c r="I1805" s="322"/>
      <c r="J1805" s="242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</row>
    <row r="1806" spans="1:26" ht="15.75" hidden="1" customHeight="1" outlineLevel="2">
      <c r="A1806" s="443"/>
      <c r="B1806" s="444"/>
      <c r="C1806"/>
      <c r="D1806"/>
      <c r="E1806" s="382"/>
      <c r="F1806" s="242"/>
      <c r="G1806"/>
      <c r="H1806" s="322"/>
      <c r="I1806" s="322"/>
      <c r="J1806" s="242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</row>
    <row r="1807" spans="1:26" ht="15.75" hidden="1" customHeight="1" outlineLevel="2">
      <c r="A1807" s="443"/>
      <c r="B1807" s="444"/>
      <c r="C1807"/>
      <c r="D1807"/>
      <c r="E1807" s="382"/>
      <c r="F1807" s="242"/>
      <c r="G1807"/>
      <c r="H1807" s="322"/>
      <c r="I1807" s="322"/>
      <c r="J1807" s="242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</row>
    <row r="1808" spans="1:26" ht="15.75" hidden="1" customHeight="1" outlineLevel="2">
      <c r="A1808" s="443"/>
      <c r="B1808" s="444"/>
      <c r="C1808"/>
      <c r="D1808"/>
      <c r="E1808" s="382"/>
      <c r="F1808" s="242"/>
      <c r="G1808"/>
      <c r="H1808" s="322"/>
      <c r="I1808" s="322"/>
      <c r="J1808" s="242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</row>
    <row r="1809" spans="1:26" ht="15.75" hidden="1" customHeight="1" outlineLevel="2">
      <c r="A1809" s="443"/>
      <c r="B1809" s="444"/>
      <c r="C1809"/>
      <c r="D1809"/>
      <c r="E1809" s="382"/>
      <c r="F1809" s="242"/>
      <c r="G1809"/>
      <c r="H1809" s="322"/>
      <c r="I1809" s="322"/>
      <c r="J1809" s="242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</row>
    <row r="1810" spans="1:26" ht="15.75" hidden="1" customHeight="1" outlineLevel="2">
      <c r="A1810" s="443"/>
      <c r="B1810" s="444"/>
      <c r="C1810"/>
      <c r="D1810"/>
      <c r="E1810" s="382"/>
      <c r="F1810" s="242"/>
      <c r="G1810"/>
      <c r="H1810" s="322"/>
      <c r="I1810" s="322"/>
      <c r="J1810" s="242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</row>
    <row r="1811" spans="1:26" ht="15.75" hidden="1" customHeight="1" outlineLevel="2">
      <c r="A1811" s="443"/>
      <c r="B1811" s="444"/>
      <c r="C1811"/>
      <c r="D1811"/>
      <c r="E1811" s="382"/>
      <c r="F1811" s="242"/>
      <c r="G1811"/>
      <c r="H1811" s="322"/>
      <c r="I1811" s="322"/>
      <c r="J1811" s="242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</row>
    <row r="1812" spans="1:26" ht="15.75" hidden="1" customHeight="1" outlineLevel="2">
      <c r="A1812" s="443"/>
      <c r="B1812" s="444"/>
      <c r="C1812"/>
      <c r="D1812"/>
      <c r="E1812" s="382"/>
      <c r="F1812" s="242"/>
      <c r="G1812"/>
      <c r="H1812" s="322"/>
      <c r="I1812" s="322"/>
      <c r="J1812" s="242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</row>
    <row r="1813" spans="1:26" ht="15.75" hidden="1" customHeight="1" outlineLevel="2">
      <c r="A1813" s="443"/>
      <c r="B1813" s="444"/>
      <c r="C1813"/>
      <c r="D1813"/>
      <c r="E1813" s="382"/>
      <c r="F1813" s="242"/>
      <c r="G1813"/>
      <c r="H1813" s="322"/>
      <c r="I1813" s="322"/>
      <c r="J1813" s="242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</row>
    <row r="1814" spans="1:26" ht="15.75" hidden="1" customHeight="1" outlineLevel="2">
      <c r="A1814" s="443"/>
      <c r="B1814" s="444"/>
      <c r="C1814"/>
      <c r="D1814"/>
      <c r="E1814" s="382"/>
      <c r="F1814" s="242"/>
      <c r="G1814"/>
      <c r="H1814" s="322"/>
      <c r="I1814" s="322"/>
      <c r="J1814" s="242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</row>
    <row r="1815" spans="1:26" ht="15.75" hidden="1" customHeight="1" outlineLevel="2">
      <c r="A1815" s="443"/>
      <c r="B1815" s="444"/>
      <c r="C1815"/>
      <c r="D1815"/>
      <c r="E1815" s="382"/>
      <c r="F1815" s="242"/>
      <c r="G1815"/>
      <c r="H1815" s="322"/>
      <c r="I1815" s="322"/>
      <c r="J1815" s="242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</row>
    <row r="1816" spans="1:26" ht="15.75" hidden="1" customHeight="1" outlineLevel="2">
      <c r="A1816" s="443"/>
      <c r="B1816" s="444"/>
      <c r="C1816"/>
      <c r="D1816"/>
      <c r="E1816" s="382"/>
      <c r="F1816" s="242"/>
      <c r="G1816"/>
      <c r="H1816" s="322"/>
      <c r="I1816" s="322"/>
      <c r="J1816" s="242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</row>
    <row r="1817" spans="1:26" ht="15.75" hidden="1" customHeight="1" outlineLevel="2">
      <c r="A1817" s="443"/>
      <c r="B1817" s="444"/>
      <c r="C1817"/>
      <c r="D1817"/>
      <c r="E1817" s="382"/>
      <c r="F1817" s="242"/>
      <c r="G1817"/>
      <c r="H1817" s="322"/>
      <c r="I1817" s="322"/>
      <c r="J1817" s="242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</row>
    <row r="1818" spans="1:26" ht="15.75" hidden="1" customHeight="1" outlineLevel="2">
      <c r="A1818" s="443"/>
      <c r="B1818" s="444"/>
      <c r="C1818"/>
      <c r="D1818"/>
      <c r="E1818" s="382"/>
      <c r="F1818" s="242"/>
      <c r="G1818"/>
      <c r="H1818" s="322"/>
      <c r="I1818" s="322"/>
      <c r="J1818" s="242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</row>
    <row r="1819" spans="1:26" ht="15.75" hidden="1" customHeight="1" outlineLevel="2">
      <c r="A1819" s="443"/>
      <c r="B1819" s="444"/>
      <c r="C1819"/>
      <c r="D1819"/>
      <c r="E1819" s="382"/>
      <c r="F1819" s="242"/>
      <c r="G1819"/>
      <c r="H1819" s="322"/>
      <c r="I1819" s="322"/>
      <c r="J1819" s="242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</row>
    <row r="1820" spans="1:26" ht="15.75" hidden="1" customHeight="1" outlineLevel="2">
      <c r="A1820" s="443"/>
      <c r="B1820" s="444"/>
      <c r="C1820"/>
      <c r="D1820"/>
      <c r="E1820" s="382"/>
      <c r="F1820" s="242"/>
      <c r="G1820"/>
      <c r="H1820" s="322"/>
      <c r="I1820" s="322"/>
      <c r="J1820" s="242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</row>
    <row r="1821" spans="1:26" ht="15.75" hidden="1" customHeight="1" outlineLevel="2">
      <c r="A1821" s="443"/>
      <c r="B1821" s="444"/>
      <c r="C1821"/>
      <c r="D1821"/>
      <c r="E1821" s="382"/>
      <c r="F1821" s="242"/>
      <c r="G1821"/>
      <c r="H1821" s="322"/>
      <c r="I1821" s="322"/>
      <c r="J1821" s="242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</row>
    <row r="1822" spans="1:26" ht="15.75" hidden="1" customHeight="1" outlineLevel="2">
      <c r="A1822" s="443"/>
      <c r="B1822" s="444"/>
      <c r="C1822"/>
      <c r="D1822"/>
      <c r="E1822" s="382"/>
      <c r="F1822" s="242"/>
      <c r="G1822"/>
      <c r="H1822" s="322"/>
      <c r="I1822" s="322"/>
      <c r="J1822" s="242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</row>
    <row r="1823" spans="1:26" ht="15.75" hidden="1" customHeight="1" outlineLevel="2">
      <c r="A1823" s="443"/>
      <c r="B1823" s="444"/>
      <c r="C1823"/>
      <c r="D1823"/>
      <c r="E1823" s="382"/>
      <c r="F1823" s="242"/>
      <c r="G1823"/>
      <c r="H1823" s="322"/>
      <c r="I1823" s="322"/>
      <c r="J1823" s="242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</row>
    <row r="1824" spans="1:26" ht="15.75" hidden="1" customHeight="1" outlineLevel="2">
      <c r="A1824" s="443"/>
      <c r="B1824" s="444"/>
      <c r="C1824"/>
      <c r="D1824"/>
      <c r="E1824" s="382"/>
      <c r="F1824" s="242"/>
      <c r="G1824"/>
      <c r="H1824" s="322"/>
      <c r="I1824" s="322"/>
      <c r="J1824" s="242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</row>
    <row r="1825" spans="1:26" ht="15.75" hidden="1" customHeight="1" outlineLevel="2">
      <c r="A1825" s="443"/>
      <c r="B1825" s="444"/>
      <c r="C1825"/>
      <c r="D1825"/>
      <c r="E1825" s="448"/>
      <c r="F1825" s="242"/>
      <c r="G1825"/>
      <c r="H1825" s="322"/>
      <c r="I1825" s="322"/>
      <c r="J1825" s="242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</row>
    <row r="1826" spans="1:26" ht="15.75" hidden="1" customHeight="1" outlineLevel="2">
      <c r="A1826" s="443"/>
      <c r="B1826" s="444"/>
      <c r="C1826"/>
      <c r="D1826"/>
      <c r="E1826" s="448"/>
      <c r="F1826" s="242"/>
      <c r="G1826"/>
      <c r="H1826" s="322"/>
      <c r="I1826" s="322"/>
      <c r="J1826" s="242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</row>
    <row r="1827" spans="1:26" ht="15.75" hidden="1" customHeight="1" outlineLevel="2">
      <c r="A1827" s="443"/>
      <c r="B1827" s="444"/>
      <c r="C1827"/>
      <c r="D1827"/>
      <c r="E1827" s="448"/>
      <c r="F1827" s="242"/>
      <c r="G1827"/>
      <c r="H1827" s="322"/>
      <c r="I1827" s="322"/>
      <c r="J1827" s="242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</row>
    <row r="1828" spans="1:26" ht="15.75" hidden="1" customHeight="1" outlineLevel="2">
      <c r="A1828" s="443"/>
      <c r="B1828" s="444"/>
      <c r="C1828"/>
      <c r="D1828"/>
      <c r="E1828" s="448"/>
      <c r="F1828" s="242"/>
      <c r="G1828"/>
      <c r="H1828" s="322"/>
      <c r="I1828" s="322"/>
      <c r="J1828" s="242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</row>
    <row r="1829" spans="1:26" ht="15.75" hidden="1" customHeight="1" outlineLevel="2">
      <c r="A1829" s="443"/>
      <c r="B1829" s="444"/>
      <c r="C1829"/>
      <c r="D1829"/>
      <c r="E1829" s="448"/>
      <c r="F1829" s="242"/>
      <c r="G1829"/>
      <c r="H1829" s="322"/>
      <c r="I1829" s="322"/>
      <c r="J1829" s="242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</row>
    <row r="1830" spans="1:26" ht="15.75" hidden="1" customHeight="1" outlineLevel="2">
      <c r="A1830" s="443"/>
      <c r="B1830" s="444"/>
      <c r="C1830"/>
      <c r="D1830"/>
      <c r="E1830" s="448"/>
      <c r="F1830" s="242"/>
      <c r="G1830"/>
      <c r="H1830" s="322"/>
      <c r="I1830" s="322"/>
      <c r="J1830" s="242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</row>
    <row r="1831" spans="1:26" ht="15.75" hidden="1" customHeight="1" outlineLevel="2">
      <c r="A1831" s="443"/>
      <c r="B1831" s="444"/>
      <c r="C1831"/>
      <c r="D1831"/>
      <c r="E1831" s="448"/>
      <c r="F1831" s="242"/>
      <c r="G1831"/>
      <c r="H1831" s="322"/>
      <c r="I1831" s="322"/>
      <c r="J1831" s="242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</row>
    <row r="1832" spans="1:26" ht="15.75" hidden="1" customHeight="1" outlineLevel="2">
      <c r="A1832" s="443"/>
      <c r="B1832" s="444"/>
      <c r="C1832"/>
      <c r="D1832"/>
      <c r="E1832" s="448"/>
      <c r="F1832" s="242"/>
      <c r="G1832"/>
      <c r="H1832" s="322"/>
      <c r="I1832" s="322"/>
      <c r="J1832" s="242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</row>
    <row r="1833" spans="1:26" ht="15.75" hidden="1" customHeight="1" outlineLevel="2">
      <c r="A1833" s="443"/>
      <c r="B1833" s="444"/>
      <c r="C1833"/>
      <c r="D1833"/>
      <c r="E1833" s="448"/>
      <c r="F1833" s="242"/>
      <c r="G1833"/>
      <c r="H1833" s="322"/>
      <c r="I1833" s="322"/>
      <c r="J1833" s="242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</row>
    <row r="1834" spans="1:26" ht="15.75" hidden="1" customHeight="1" outlineLevel="2">
      <c r="A1834" s="443"/>
      <c r="B1834" s="444"/>
      <c r="C1834"/>
      <c r="D1834"/>
      <c r="E1834" s="448"/>
      <c r="F1834" s="242"/>
      <c r="G1834"/>
      <c r="H1834" s="322"/>
      <c r="I1834" s="322"/>
      <c r="J1834" s="242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</row>
    <row r="1835" spans="1:26" ht="15.75" hidden="1" customHeight="1" outlineLevel="2">
      <c r="A1835" s="443"/>
      <c r="B1835" s="444"/>
      <c r="C1835"/>
      <c r="D1835"/>
      <c r="E1835" s="448"/>
      <c r="F1835" s="242"/>
      <c r="G1835"/>
      <c r="H1835" s="322"/>
      <c r="I1835" s="322"/>
      <c r="J1835" s="242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</row>
    <row r="1836" spans="1:26" ht="15.75" hidden="1" customHeight="1" outlineLevel="2">
      <c r="A1836" s="443"/>
      <c r="B1836" s="444"/>
      <c r="C1836"/>
      <c r="D1836"/>
      <c r="E1836" s="448"/>
      <c r="F1836" s="242"/>
      <c r="G1836"/>
      <c r="H1836" s="322"/>
      <c r="I1836" s="322"/>
      <c r="J1836" s="242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</row>
    <row r="1837" spans="1:26" ht="15.75" hidden="1" customHeight="1" outlineLevel="2">
      <c r="A1837" s="443"/>
      <c r="B1837" s="444"/>
      <c r="C1837"/>
      <c r="D1837"/>
      <c r="E1837" s="448"/>
      <c r="F1837" s="242"/>
      <c r="G1837"/>
      <c r="H1837" s="322"/>
      <c r="I1837" s="322"/>
      <c r="J1837" s="242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</row>
    <row r="1838" spans="1:26" ht="15.75" hidden="1" customHeight="1" outlineLevel="2">
      <c r="A1838" s="443"/>
      <c r="B1838" s="444"/>
      <c r="C1838"/>
      <c r="D1838"/>
      <c r="E1838" s="448"/>
      <c r="F1838" s="242"/>
      <c r="G1838"/>
      <c r="H1838" s="322"/>
      <c r="I1838" s="322"/>
      <c r="J1838" s="242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</row>
    <row r="1839" spans="1:26" ht="15.75" hidden="1" customHeight="1" outlineLevel="2">
      <c r="A1839" s="443"/>
      <c r="B1839" s="444"/>
      <c r="C1839"/>
      <c r="D1839"/>
      <c r="E1839" s="448"/>
      <c r="F1839" s="242"/>
      <c r="G1839"/>
      <c r="H1839" s="322"/>
      <c r="I1839" s="322"/>
      <c r="J1839" s="242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</row>
    <row r="1840" spans="1:26" ht="15.75" hidden="1" customHeight="1" outlineLevel="2">
      <c r="A1840" s="443"/>
      <c r="B1840" s="444"/>
      <c r="C1840"/>
      <c r="D1840"/>
      <c r="E1840" s="448"/>
      <c r="F1840" s="242"/>
      <c r="G1840"/>
      <c r="H1840" s="322"/>
      <c r="I1840" s="322"/>
      <c r="J1840" s="242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</row>
    <row r="1841" spans="1:26" ht="15.75" hidden="1" customHeight="1" outlineLevel="2">
      <c r="A1841" s="443"/>
      <c r="B1841" s="444"/>
      <c r="C1841"/>
      <c r="D1841"/>
      <c r="E1841" s="448"/>
      <c r="F1841" s="242"/>
      <c r="G1841"/>
      <c r="H1841" s="322"/>
      <c r="I1841" s="322"/>
      <c r="J1841" s="242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</row>
    <row r="1842" spans="1:26" ht="15.75" hidden="1" customHeight="1" outlineLevel="2">
      <c r="A1842" s="443"/>
      <c r="B1842" s="444"/>
      <c r="C1842"/>
      <c r="D1842"/>
      <c r="E1842" s="448"/>
      <c r="F1842" s="242"/>
      <c r="G1842"/>
      <c r="H1842" s="322"/>
      <c r="I1842" s="322"/>
      <c r="J1842" s="242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</row>
    <row r="1843" spans="1:26" ht="15.75" hidden="1" customHeight="1" outlineLevel="2">
      <c r="A1843" s="443"/>
      <c r="B1843" s="444"/>
      <c r="C1843"/>
      <c r="D1843"/>
      <c r="E1843" s="448"/>
      <c r="F1843" s="242"/>
      <c r="G1843"/>
      <c r="H1843" s="322"/>
      <c r="I1843" s="322"/>
      <c r="J1843" s="242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</row>
    <row r="1844" spans="1:26" ht="15.75" hidden="1" customHeight="1" outlineLevel="2">
      <c r="A1844" s="443"/>
      <c r="B1844" s="444"/>
      <c r="C1844"/>
      <c r="D1844"/>
      <c r="E1844" s="448"/>
      <c r="F1844" s="242"/>
      <c r="G1844"/>
      <c r="H1844" s="322"/>
      <c r="I1844" s="322"/>
      <c r="J1844" s="242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</row>
    <row r="1845" spans="1:26" ht="15.75" hidden="1" customHeight="1" outlineLevel="2">
      <c r="A1845" s="443"/>
      <c r="B1845" s="444"/>
      <c r="C1845"/>
      <c r="D1845"/>
      <c r="E1845" s="448"/>
      <c r="F1845" s="242"/>
      <c r="G1845"/>
      <c r="H1845" s="322"/>
      <c r="I1845" s="322"/>
      <c r="J1845" s="242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</row>
    <row r="1846" spans="1:26" ht="15.75" hidden="1" customHeight="1" outlineLevel="2">
      <c r="A1846" s="443"/>
      <c r="B1846" s="444"/>
      <c r="C1846"/>
      <c r="D1846"/>
      <c r="E1846" s="448"/>
      <c r="F1846" s="242"/>
      <c r="G1846"/>
      <c r="H1846" s="322"/>
      <c r="I1846" s="322"/>
      <c r="J1846" s="242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</row>
    <row r="1847" spans="1:26" ht="15.75" hidden="1" customHeight="1" outlineLevel="2">
      <c r="A1847" s="443"/>
      <c r="B1847" s="444"/>
      <c r="C1847"/>
      <c r="D1847"/>
      <c r="E1847" s="448"/>
      <c r="F1847" s="242"/>
      <c r="G1847"/>
      <c r="H1847" s="322"/>
      <c r="I1847" s="322"/>
      <c r="J1847" s="242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</row>
    <row r="1848" spans="1:26" ht="15.75" hidden="1" customHeight="1" outlineLevel="2">
      <c r="A1848" s="443"/>
      <c r="B1848" s="444"/>
      <c r="C1848"/>
      <c r="D1848"/>
      <c r="E1848" s="448"/>
      <c r="F1848" s="242"/>
      <c r="G1848"/>
      <c r="H1848" s="322"/>
      <c r="I1848" s="322"/>
      <c r="J1848" s="242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</row>
    <row r="1849" spans="1:26" ht="15.75" hidden="1" customHeight="1" outlineLevel="2">
      <c r="A1849" s="443"/>
      <c r="B1849" s="444"/>
      <c r="C1849"/>
      <c r="D1849"/>
      <c r="E1849" s="448"/>
      <c r="F1849" s="242"/>
      <c r="G1849"/>
      <c r="H1849" s="322"/>
      <c r="I1849" s="322"/>
      <c r="J1849" s="242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</row>
    <row r="1850" spans="1:26" ht="15.75" hidden="1" customHeight="1" outlineLevel="2">
      <c r="A1850" s="443"/>
      <c r="B1850" s="444"/>
      <c r="C1850"/>
      <c r="D1850"/>
      <c r="E1850" s="448"/>
      <c r="F1850" s="242"/>
      <c r="G1850"/>
      <c r="H1850" s="322"/>
      <c r="I1850" s="322"/>
      <c r="J1850" s="242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</row>
    <row r="1851" spans="1:26" ht="15.75" hidden="1" customHeight="1" outlineLevel="2">
      <c r="A1851" s="443"/>
      <c r="B1851" s="444"/>
      <c r="C1851"/>
      <c r="D1851"/>
      <c r="E1851" s="448"/>
      <c r="F1851" s="242"/>
      <c r="G1851"/>
      <c r="H1851" s="322"/>
      <c r="I1851" s="322"/>
      <c r="J1851" s="242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</row>
    <row r="1852" spans="1:26" ht="15.75" hidden="1" customHeight="1" outlineLevel="2">
      <c r="A1852" s="443"/>
      <c r="B1852" s="444"/>
      <c r="C1852"/>
      <c r="D1852"/>
      <c r="E1852" s="448"/>
      <c r="F1852" s="242"/>
      <c r="G1852"/>
      <c r="H1852" s="322"/>
      <c r="I1852" s="322"/>
      <c r="J1852" s="242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</row>
    <row r="1853" spans="1:26" ht="15.75" hidden="1" customHeight="1" outlineLevel="2">
      <c r="A1853" s="443"/>
      <c r="B1853" s="444"/>
      <c r="C1853"/>
      <c r="D1853"/>
      <c r="E1853" s="448"/>
      <c r="F1853" s="242"/>
      <c r="G1853"/>
      <c r="H1853" s="322"/>
      <c r="I1853" s="322"/>
      <c r="J1853" s="242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</row>
    <row r="1854" spans="1:26" ht="15.75" hidden="1" customHeight="1" outlineLevel="2">
      <c r="A1854" s="443"/>
      <c r="B1854" s="444"/>
      <c r="C1854"/>
      <c r="D1854"/>
      <c r="E1854" s="448"/>
      <c r="F1854" s="242"/>
      <c r="G1854"/>
      <c r="H1854" s="322"/>
      <c r="I1854" s="322"/>
      <c r="J1854" s="242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</row>
    <row r="1855" spans="1:26" ht="15.75" hidden="1" customHeight="1" outlineLevel="2">
      <c r="A1855" s="443"/>
      <c r="B1855" s="444"/>
      <c r="C1855"/>
      <c r="D1855"/>
      <c r="E1855" s="448"/>
      <c r="F1855" s="242"/>
      <c r="G1855"/>
      <c r="H1855" s="322"/>
      <c r="I1855" s="322"/>
      <c r="J1855" s="242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</row>
    <row r="1856" spans="1:26" ht="15.75" hidden="1" customHeight="1" outlineLevel="2">
      <c r="A1856" s="443"/>
      <c r="B1856" s="444"/>
      <c r="C1856"/>
      <c r="D1856"/>
      <c r="E1856" s="448"/>
      <c r="F1856" s="242"/>
      <c r="G1856"/>
      <c r="H1856" s="322"/>
      <c r="I1856" s="322"/>
      <c r="J1856" s="242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</row>
    <row r="1857" spans="1:26" ht="15.75" hidden="1" customHeight="1" outlineLevel="2">
      <c r="A1857" s="443"/>
      <c r="B1857" s="444"/>
      <c r="C1857"/>
      <c r="D1857"/>
      <c r="E1857" s="448"/>
      <c r="F1857" s="242"/>
      <c r="G1857"/>
      <c r="H1857" s="322"/>
      <c r="I1857" s="322"/>
      <c r="J1857" s="242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</row>
    <row r="1858" spans="1:26" ht="15.75" hidden="1" customHeight="1" outlineLevel="2">
      <c r="A1858" s="443"/>
      <c r="B1858" s="444"/>
      <c r="C1858"/>
      <c r="D1858"/>
      <c r="E1858" s="448"/>
      <c r="F1858" s="242"/>
      <c r="G1858"/>
      <c r="H1858" s="322"/>
      <c r="I1858" s="322"/>
      <c r="J1858" s="242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</row>
    <row r="1859" spans="1:26" ht="15.75" hidden="1" customHeight="1" outlineLevel="2">
      <c r="A1859" s="443"/>
      <c r="B1859" s="444"/>
      <c r="C1859"/>
      <c r="D1859"/>
      <c r="E1859" s="448"/>
      <c r="F1859" s="242"/>
      <c r="G1859"/>
      <c r="H1859" s="322"/>
      <c r="I1859" s="322"/>
      <c r="J1859" s="242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</row>
    <row r="1860" spans="1:26" ht="15.75" hidden="1" customHeight="1" outlineLevel="2">
      <c r="A1860" s="443"/>
      <c r="B1860" s="444"/>
      <c r="C1860"/>
      <c r="D1860"/>
      <c r="E1860" s="448"/>
      <c r="F1860" s="242"/>
      <c r="G1860"/>
      <c r="H1860" s="322"/>
      <c r="I1860" s="322"/>
      <c r="J1860" s="242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</row>
    <row r="1861" spans="1:26" ht="15.75" hidden="1" customHeight="1" outlineLevel="2">
      <c r="A1861" s="443"/>
      <c r="B1861" s="444"/>
      <c r="C1861"/>
      <c r="D1861"/>
      <c r="E1861" s="448"/>
      <c r="F1861" s="242"/>
      <c r="G1861"/>
      <c r="H1861" s="322"/>
      <c r="I1861" s="322"/>
      <c r="J1861" s="242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</row>
    <row r="1862" spans="1:26" ht="15.75" hidden="1" customHeight="1" outlineLevel="2">
      <c r="A1862" s="443"/>
      <c r="B1862" s="444"/>
      <c r="C1862"/>
      <c r="D1862"/>
      <c r="E1862" s="448"/>
      <c r="F1862" s="242"/>
      <c r="G1862"/>
      <c r="H1862" s="322"/>
      <c r="I1862" s="322"/>
      <c r="J1862" s="242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</row>
    <row r="1863" spans="1:26" ht="15.75" hidden="1" customHeight="1" outlineLevel="2">
      <c r="A1863" s="443"/>
      <c r="B1863" s="444"/>
      <c r="C1863"/>
      <c r="D1863"/>
      <c r="E1863" s="448"/>
      <c r="F1863" s="242"/>
      <c r="G1863"/>
      <c r="H1863" s="322"/>
      <c r="I1863" s="322"/>
      <c r="J1863" s="242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</row>
    <row r="1864" spans="1:26" ht="15.75" hidden="1" customHeight="1" outlineLevel="2">
      <c r="A1864" s="443"/>
      <c r="B1864" s="444"/>
      <c r="C1864"/>
      <c r="D1864"/>
      <c r="E1864" s="448"/>
      <c r="F1864" s="242"/>
      <c r="G1864"/>
      <c r="H1864" s="322"/>
      <c r="I1864" s="322"/>
      <c r="J1864" s="242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</row>
    <row r="1865" spans="1:26" ht="15.75" hidden="1" customHeight="1" outlineLevel="2">
      <c r="A1865" s="443"/>
      <c r="B1865" s="444"/>
      <c r="C1865"/>
      <c r="D1865"/>
      <c r="E1865" s="448"/>
      <c r="F1865" s="242"/>
      <c r="G1865"/>
      <c r="H1865" s="322"/>
      <c r="I1865" s="322"/>
      <c r="J1865" s="242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</row>
    <row r="1866" spans="1:26" ht="15.75" hidden="1" customHeight="1" outlineLevel="2">
      <c r="A1866" s="443"/>
      <c r="B1866" s="444"/>
      <c r="C1866"/>
      <c r="D1866"/>
      <c r="E1866" s="448"/>
      <c r="F1866" s="242"/>
      <c r="G1866"/>
      <c r="H1866" s="322"/>
      <c r="I1866" s="322"/>
      <c r="J1866" s="242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</row>
    <row r="1867" spans="1:26" ht="15.75" hidden="1" customHeight="1" outlineLevel="2">
      <c r="A1867" s="443"/>
      <c r="B1867" s="444"/>
      <c r="C1867"/>
      <c r="D1867"/>
      <c r="E1867" s="448"/>
      <c r="F1867" s="242"/>
      <c r="G1867"/>
      <c r="H1867" s="322"/>
      <c r="I1867" s="322"/>
      <c r="J1867" s="242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</row>
    <row r="1868" spans="1:26" ht="15.75" hidden="1" customHeight="1" outlineLevel="2">
      <c r="A1868" s="443"/>
      <c r="B1868" s="444"/>
      <c r="C1868"/>
      <c r="D1868"/>
      <c r="E1868" s="448"/>
      <c r="F1868" s="242"/>
      <c r="G1868"/>
      <c r="H1868" s="322"/>
      <c r="I1868" s="322"/>
      <c r="J1868" s="242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</row>
    <row r="1869" spans="1:26" ht="15.75" hidden="1" customHeight="1" outlineLevel="2">
      <c r="A1869" s="443"/>
      <c r="B1869" s="444"/>
      <c r="C1869"/>
      <c r="D1869"/>
      <c r="E1869" s="448"/>
      <c r="F1869" s="242"/>
      <c r="G1869"/>
      <c r="H1869" s="322"/>
      <c r="I1869" s="322"/>
      <c r="J1869" s="242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</row>
    <row r="1870" spans="1:26" ht="15.75" hidden="1" customHeight="1" outlineLevel="2">
      <c r="A1870" s="443"/>
      <c r="B1870" s="444"/>
      <c r="C1870"/>
      <c r="D1870"/>
      <c r="E1870" s="448"/>
      <c r="F1870" s="242"/>
      <c r="G1870"/>
      <c r="H1870" s="322"/>
      <c r="I1870" s="322"/>
      <c r="J1870" s="242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</row>
    <row r="1871" spans="1:26" ht="15.75" hidden="1" customHeight="1" outlineLevel="2">
      <c r="A1871" s="443"/>
      <c r="B1871" s="444"/>
      <c r="C1871"/>
      <c r="D1871"/>
      <c r="E1871" s="448"/>
      <c r="F1871" s="242"/>
      <c r="G1871"/>
      <c r="H1871" s="322"/>
      <c r="I1871" s="322"/>
      <c r="J1871" s="242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</row>
    <row r="1872" spans="1:26" ht="15.75" hidden="1" customHeight="1" outlineLevel="2">
      <c r="A1872" s="443"/>
      <c r="B1872" s="444"/>
      <c r="C1872"/>
      <c r="D1872"/>
      <c r="E1872" s="448"/>
      <c r="F1872" s="242"/>
      <c r="G1872"/>
      <c r="H1872" s="322"/>
      <c r="I1872" s="322"/>
      <c r="J1872" s="242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</row>
    <row r="1873" spans="1:26" ht="15.75" hidden="1" customHeight="1" outlineLevel="2">
      <c r="A1873" s="443"/>
      <c r="B1873" s="444"/>
      <c r="C1873"/>
      <c r="D1873"/>
      <c r="E1873" s="448"/>
      <c r="F1873" s="242"/>
      <c r="G1873"/>
      <c r="H1873" s="322"/>
      <c r="I1873" s="322"/>
      <c r="J1873" s="242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</row>
    <row r="1874" spans="1:26" ht="15.75" hidden="1" customHeight="1" outlineLevel="2">
      <c r="A1874" s="443"/>
      <c r="B1874" s="444"/>
      <c r="C1874"/>
      <c r="D1874"/>
      <c r="E1874" s="457"/>
      <c r="F1874" s="242"/>
      <c r="G1874"/>
      <c r="H1874" s="322"/>
      <c r="I1874" s="322"/>
      <c r="J1874" s="242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</row>
    <row r="1875" spans="1:26" ht="15.75" hidden="1" customHeight="1" outlineLevel="2">
      <c r="A1875" s="443"/>
      <c r="B1875" s="444"/>
      <c r="C1875"/>
      <c r="D1875"/>
      <c r="E1875" s="447"/>
      <c r="F1875" s="242"/>
      <c r="G1875"/>
      <c r="H1875" s="322"/>
      <c r="I1875" s="322"/>
      <c r="J1875" s="242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</row>
    <row r="1876" spans="1:26" ht="15.75" hidden="1" customHeight="1" outlineLevel="2">
      <c r="A1876" s="443"/>
      <c r="B1876" s="444"/>
      <c r="C1876"/>
      <c r="D1876"/>
      <c r="E1876" s="449"/>
      <c r="F1876" s="242"/>
      <c r="G1876"/>
      <c r="H1876" s="322"/>
      <c r="I1876" s="322"/>
      <c r="J1876" s="242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</row>
    <row r="1877" spans="1:26" ht="15.75" hidden="1" customHeight="1" outlineLevel="2">
      <c r="A1877" s="443"/>
      <c r="B1877" s="444"/>
      <c r="C1877"/>
      <c r="D1877"/>
      <c r="E1877" s="449"/>
      <c r="F1877" s="242"/>
      <c r="G1877"/>
      <c r="H1877" s="322"/>
      <c r="I1877" s="322"/>
      <c r="J1877" s="242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</row>
    <row r="1878" spans="1:26" ht="15.75" hidden="1" customHeight="1" outlineLevel="2">
      <c r="A1878" s="443"/>
      <c r="B1878" s="444"/>
      <c r="C1878"/>
      <c r="D1878"/>
      <c r="E1878" s="449"/>
      <c r="F1878" s="242"/>
      <c r="G1878"/>
      <c r="H1878" s="322"/>
      <c r="I1878" s="322"/>
      <c r="J1878" s="242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</row>
    <row r="1879" spans="1:26" ht="15.75" hidden="1" customHeight="1" outlineLevel="2">
      <c r="A1879" s="443"/>
      <c r="B1879" s="444"/>
      <c r="C1879"/>
      <c r="D1879"/>
      <c r="E1879" s="449"/>
      <c r="F1879" s="242"/>
      <c r="G1879"/>
      <c r="H1879" s="322"/>
      <c r="I1879" s="322"/>
      <c r="J1879" s="242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</row>
    <row r="1880" spans="1:26" ht="15.75" hidden="1" customHeight="1" outlineLevel="2">
      <c r="A1880" s="443"/>
      <c r="B1880" s="444"/>
      <c r="C1880"/>
      <c r="D1880"/>
      <c r="E1880" s="449"/>
      <c r="F1880" s="242"/>
      <c r="G1880"/>
      <c r="H1880" s="322"/>
      <c r="I1880" s="322"/>
      <c r="J1880" s="242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</row>
    <row r="1881" spans="1:26" ht="15.75" hidden="1" customHeight="1" outlineLevel="2">
      <c r="A1881" s="443"/>
      <c r="B1881" s="444"/>
      <c r="C1881"/>
      <c r="D1881"/>
      <c r="E1881" s="449"/>
      <c r="F1881" s="242"/>
      <c r="G1881"/>
      <c r="H1881" s="322"/>
      <c r="I1881" s="322"/>
      <c r="J1881" s="242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</row>
    <row r="1882" spans="1:26" ht="15.75" hidden="1" customHeight="1" outlineLevel="2">
      <c r="A1882" s="443"/>
      <c r="B1882" s="444"/>
      <c r="C1882"/>
      <c r="D1882"/>
      <c r="E1882" s="449"/>
      <c r="F1882" s="242"/>
      <c r="G1882"/>
      <c r="H1882" s="322"/>
      <c r="I1882" s="322"/>
      <c r="J1882" s="242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</row>
    <row r="1883" spans="1:26" ht="15.75" hidden="1" customHeight="1" outlineLevel="2">
      <c r="A1883" s="443"/>
      <c r="B1883" s="444"/>
      <c r="C1883"/>
      <c r="D1883"/>
      <c r="E1883" s="449"/>
      <c r="F1883" s="242"/>
      <c r="G1883"/>
      <c r="H1883" s="322"/>
      <c r="I1883" s="322"/>
      <c r="J1883" s="242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</row>
    <row r="1884" spans="1:26" ht="15.75" hidden="1" customHeight="1" outlineLevel="2">
      <c r="A1884" s="443"/>
      <c r="B1884" s="444"/>
      <c r="C1884"/>
      <c r="D1884"/>
      <c r="E1884" s="448"/>
      <c r="F1884" s="242"/>
      <c r="G1884"/>
      <c r="H1884" s="322"/>
      <c r="I1884" s="322"/>
      <c r="J1884" s="242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</row>
    <row r="1885" spans="1:26" ht="15.75" hidden="1" customHeight="1" outlineLevel="2">
      <c r="A1885" s="443"/>
      <c r="B1885" s="444"/>
      <c r="C1885"/>
      <c r="D1885"/>
      <c r="E1885" s="448"/>
      <c r="F1885" s="242"/>
      <c r="G1885"/>
      <c r="H1885" s="322"/>
      <c r="I1885" s="322"/>
      <c r="J1885" s="242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</row>
    <row r="1886" spans="1:26" ht="15.75" hidden="1" customHeight="1" outlineLevel="2">
      <c r="A1886" s="443"/>
      <c r="B1886" s="444"/>
      <c r="C1886"/>
      <c r="D1886"/>
      <c r="E1886" s="448"/>
      <c r="F1886" s="242"/>
      <c r="G1886"/>
      <c r="H1886" s="322"/>
      <c r="I1886" s="322"/>
      <c r="J1886" s="242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</row>
    <row r="1887" spans="1:26" ht="15.75" hidden="1" customHeight="1" outlineLevel="2">
      <c r="A1887" s="443"/>
      <c r="B1887" s="444"/>
      <c r="C1887"/>
      <c r="D1887"/>
      <c r="E1887" s="448"/>
      <c r="F1887" s="242"/>
      <c r="G1887"/>
      <c r="H1887" s="322"/>
      <c r="I1887" s="322"/>
      <c r="J1887" s="242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</row>
    <row r="1888" spans="1:26" ht="15.75" hidden="1" customHeight="1" outlineLevel="2">
      <c r="A1888" s="443"/>
      <c r="B1888" s="444"/>
      <c r="C1888"/>
      <c r="D1888"/>
      <c r="E1888" s="448"/>
      <c r="F1888" s="242"/>
      <c r="G1888"/>
      <c r="H1888" s="322"/>
      <c r="I1888" s="322"/>
      <c r="J1888" s="242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</row>
    <row r="1889" spans="1:26" ht="15.75" hidden="1" customHeight="1" outlineLevel="2">
      <c r="A1889" s="443"/>
      <c r="B1889" s="444"/>
      <c r="C1889"/>
      <c r="D1889"/>
      <c r="E1889" s="448"/>
      <c r="F1889" s="242"/>
      <c r="G1889"/>
      <c r="H1889" s="322"/>
      <c r="I1889" s="322"/>
      <c r="J1889" s="242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</row>
    <row r="1890" spans="1:26" ht="15.75" hidden="1" customHeight="1" outlineLevel="2">
      <c r="A1890" s="443"/>
      <c r="B1890" s="444"/>
      <c r="C1890"/>
      <c r="D1890"/>
      <c r="E1890" s="448"/>
      <c r="F1890" s="242"/>
      <c r="G1890"/>
      <c r="H1890" s="322"/>
      <c r="I1890" s="322"/>
      <c r="J1890" s="242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</row>
    <row r="1891" spans="1:26" ht="15.75" hidden="1" customHeight="1" outlineLevel="2">
      <c r="A1891" s="443"/>
      <c r="B1891" s="444"/>
      <c r="C1891"/>
      <c r="D1891"/>
      <c r="E1891" s="448"/>
      <c r="F1891" s="242"/>
      <c r="G1891"/>
      <c r="H1891" s="322"/>
      <c r="I1891" s="322"/>
      <c r="J1891" s="242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</row>
    <row r="1892" spans="1:26" ht="15.75" hidden="1" customHeight="1" outlineLevel="2">
      <c r="A1892" s="443"/>
      <c r="B1892" s="444"/>
      <c r="C1892"/>
      <c r="D1892"/>
      <c r="E1892" s="448"/>
      <c r="F1892" s="242"/>
      <c r="G1892"/>
      <c r="H1892" s="322"/>
      <c r="I1892" s="322"/>
      <c r="J1892" s="242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</row>
    <row r="1893" spans="1:26" ht="15.75" hidden="1" customHeight="1" outlineLevel="2">
      <c r="A1893" s="443"/>
      <c r="B1893" s="444"/>
      <c r="C1893"/>
      <c r="D1893"/>
      <c r="E1893" s="448"/>
      <c r="F1893" s="242"/>
      <c r="G1893"/>
      <c r="H1893" s="322"/>
      <c r="I1893" s="322"/>
      <c r="J1893" s="242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</row>
    <row r="1894" spans="1:26" ht="15.75" hidden="1" customHeight="1" outlineLevel="2">
      <c r="A1894" s="443"/>
      <c r="B1894" s="444"/>
      <c r="C1894"/>
      <c r="D1894"/>
      <c r="E1894" s="448"/>
      <c r="F1894" s="242"/>
      <c r="G1894"/>
      <c r="H1894" s="322"/>
      <c r="I1894" s="322"/>
      <c r="J1894" s="242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</row>
    <row r="1895" spans="1:26" ht="15.75" hidden="1" customHeight="1" outlineLevel="2">
      <c r="A1895" s="443"/>
      <c r="B1895" s="444"/>
      <c r="C1895"/>
      <c r="D1895"/>
      <c r="E1895" s="448"/>
      <c r="F1895" s="242"/>
      <c r="G1895"/>
      <c r="H1895" s="322"/>
      <c r="I1895" s="322"/>
      <c r="J1895" s="242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</row>
    <row r="1896" spans="1:26" ht="15.75" hidden="1" customHeight="1" outlineLevel="2">
      <c r="A1896" s="443"/>
      <c r="B1896" s="444"/>
      <c r="C1896"/>
      <c r="D1896"/>
      <c r="E1896" s="448"/>
      <c r="F1896" s="242"/>
      <c r="G1896"/>
      <c r="H1896" s="322"/>
      <c r="I1896" s="322"/>
      <c r="J1896" s="242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</row>
    <row r="1897" spans="1:26" ht="15.75" hidden="1" customHeight="1" outlineLevel="2">
      <c r="A1897" s="443"/>
      <c r="B1897" s="444"/>
      <c r="C1897"/>
      <c r="D1897"/>
      <c r="E1897" s="448"/>
      <c r="F1897" s="242"/>
      <c r="G1897"/>
      <c r="H1897" s="322"/>
      <c r="I1897" s="322"/>
      <c r="J1897" s="242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</row>
    <row r="1898" spans="1:26" ht="15.75" hidden="1" customHeight="1" outlineLevel="2">
      <c r="A1898" s="443"/>
      <c r="B1898" s="444"/>
      <c r="C1898"/>
      <c r="D1898"/>
      <c r="E1898" s="448"/>
      <c r="F1898" s="242"/>
      <c r="G1898"/>
      <c r="H1898" s="322"/>
      <c r="I1898" s="322"/>
      <c r="J1898" s="242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</row>
    <row r="1899" spans="1:26" ht="15.75" hidden="1" customHeight="1" outlineLevel="2">
      <c r="A1899" s="443"/>
      <c r="B1899" s="444"/>
      <c r="C1899"/>
      <c r="D1899"/>
      <c r="E1899" s="448"/>
      <c r="F1899" s="242"/>
      <c r="G1899"/>
      <c r="H1899" s="322"/>
      <c r="I1899" s="322"/>
      <c r="J1899" s="242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</row>
    <row r="1900" spans="1:26" ht="15.75" hidden="1" customHeight="1" outlineLevel="2">
      <c r="A1900" s="443"/>
      <c r="B1900" s="444"/>
      <c r="C1900"/>
      <c r="D1900"/>
      <c r="E1900" s="448"/>
      <c r="F1900" s="242"/>
      <c r="G1900"/>
      <c r="H1900" s="322"/>
      <c r="I1900" s="322"/>
      <c r="J1900" s="242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</row>
    <row r="1901" spans="1:26" ht="15.75" hidden="1" customHeight="1" outlineLevel="2">
      <c r="A1901" s="443"/>
      <c r="B1901" s="444"/>
      <c r="C1901"/>
      <c r="D1901"/>
      <c r="E1901" s="448"/>
      <c r="F1901" s="242"/>
      <c r="G1901"/>
      <c r="H1901" s="322"/>
      <c r="I1901" s="322"/>
      <c r="J1901" s="242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</row>
    <row r="1902" spans="1:26" ht="15.75" hidden="1" customHeight="1" outlineLevel="2">
      <c r="A1902" s="443"/>
      <c r="B1902" s="444"/>
      <c r="C1902"/>
      <c r="D1902"/>
      <c r="E1902" s="448"/>
      <c r="F1902" s="242"/>
      <c r="G1902"/>
      <c r="H1902" s="322"/>
      <c r="I1902" s="322"/>
      <c r="J1902" s="242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</row>
    <row r="1903" spans="1:26" ht="15.75" hidden="1" customHeight="1" outlineLevel="2">
      <c r="A1903" s="443"/>
      <c r="B1903" s="444"/>
      <c r="C1903"/>
      <c r="D1903"/>
      <c r="E1903" s="448"/>
      <c r="F1903" s="242"/>
      <c r="G1903"/>
      <c r="H1903" s="322"/>
      <c r="I1903" s="322"/>
      <c r="J1903" s="242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</row>
    <row r="1904" spans="1:26" ht="15.75" hidden="1" customHeight="1" outlineLevel="2">
      <c r="A1904" s="443"/>
      <c r="B1904" s="444"/>
      <c r="C1904"/>
      <c r="D1904"/>
      <c r="E1904" s="463"/>
      <c r="F1904" s="242"/>
      <c r="G1904"/>
      <c r="H1904" s="322"/>
      <c r="I1904" s="322"/>
      <c r="J1904" s="242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</row>
    <row r="1905" spans="1:26" ht="15.75" hidden="1" customHeight="1" outlineLevel="2">
      <c r="A1905" s="443"/>
      <c r="B1905" s="444"/>
      <c r="C1905"/>
      <c r="D1905"/>
      <c r="E1905" s="449"/>
      <c r="F1905" s="242"/>
      <c r="G1905"/>
      <c r="H1905" s="322"/>
      <c r="I1905" s="322"/>
      <c r="J1905" s="242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</row>
    <row r="1906" spans="1:26" ht="15.75" hidden="1" customHeight="1" outlineLevel="2">
      <c r="A1906" s="443"/>
      <c r="B1906" s="444"/>
      <c r="C1906"/>
      <c r="D1906"/>
      <c r="E1906" s="448"/>
      <c r="F1906" s="242"/>
      <c r="G1906"/>
      <c r="H1906" s="322"/>
      <c r="I1906" s="322"/>
      <c r="J1906" s="242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</row>
    <row r="1907" spans="1:26" ht="15.75" hidden="1" customHeight="1" outlineLevel="2">
      <c r="A1907" s="443"/>
      <c r="B1907" s="444"/>
      <c r="C1907"/>
      <c r="D1907"/>
      <c r="E1907" s="448"/>
      <c r="F1907" s="242"/>
      <c r="G1907"/>
      <c r="H1907" s="322"/>
      <c r="I1907" s="322"/>
      <c r="J1907" s="242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</row>
    <row r="1908" spans="1:26" ht="15.75" hidden="1" customHeight="1" outlineLevel="2">
      <c r="A1908" s="443"/>
      <c r="B1908" s="444"/>
      <c r="C1908"/>
      <c r="D1908"/>
      <c r="E1908" s="448"/>
      <c r="F1908" s="242"/>
      <c r="G1908"/>
      <c r="H1908" s="322"/>
      <c r="I1908" s="322"/>
      <c r="J1908" s="242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</row>
    <row r="1909" spans="1:26" ht="15.75" hidden="1" customHeight="1" outlineLevel="2">
      <c r="A1909" s="443"/>
      <c r="B1909" s="444"/>
      <c r="C1909"/>
      <c r="D1909"/>
      <c r="E1909" s="448"/>
      <c r="F1909" s="242"/>
      <c r="G1909"/>
      <c r="H1909" s="322"/>
      <c r="I1909" s="322"/>
      <c r="J1909" s="242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</row>
    <row r="1910" spans="1:26" ht="15.75" hidden="1" customHeight="1" outlineLevel="2">
      <c r="A1910" s="443"/>
      <c r="B1910" s="444"/>
      <c r="C1910"/>
      <c r="D1910"/>
      <c r="E1910" s="448"/>
      <c r="F1910" s="242"/>
      <c r="G1910"/>
      <c r="H1910" s="322"/>
      <c r="I1910" s="322"/>
      <c r="J1910" s="242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</row>
    <row r="1911" spans="1:26" ht="15.75" hidden="1" customHeight="1" outlineLevel="2">
      <c r="A1911" s="443"/>
      <c r="B1911" s="444"/>
      <c r="C1911"/>
      <c r="D1911"/>
      <c r="E1911" s="448"/>
      <c r="F1911" s="242"/>
      <c r="G1911"/>
      <c r="H1911" s="322"/>
      <c r="I1911" s="322"/>
      <c r="J1911" s="242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</row>
    <row r="1912" spans="1:26" ht="15.75" hidden="1" customHeight="1" outlineLevel="2">
      <c r="A1912" s="443"/>
      <c r="B1912" s="444"/>
      <c r="C1912"/>
      <c r="D1912"/>
      <c r="E1912" s="448"/>
      <c r="F1912" s="242"/>
      <c r="G1912"/>
      <c r="H1912" s="322"/>
      <c r="I1912" s="322"/>
      <c r="J1912" s="242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</row>
    <row r="1913" spans="1:26" ht="15.75" hidden="1" customHeight="1" outlineLevel="2">
      <c r="A1913" s="443"/>
      <c r="B1913" s="444"/>
      <c r="C1913"/>
      <c r="D1913"/>
      <c r="E1913" s="448"/>
      <c r="F1913" s="242"/>
      <c r="G1913"/>
      <c r="H1913" s="322"/>
      <c r="I1913" s="322"/>
      <c r="J1913" s="242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</row>
    <row r="1914" spans="1:26" ht="15.75" hidden="1" customHeight="1" outlineLevel="2">
      <c r="A1914" s="443"/>
      <c r="B1914" s="444"/>
      <c r="C1914"/>
      <c r="D1914"/>
      <c r="E1914" s="448"/>
      <c r="F1914" s="242"/>
      <c r="G1914"/>
      <c r="H1914" s="322"/>
      <c r="I1914" s="322"/>
      <c r="J1914" s="242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</row>
    <row r="1915" spans="1:26" ht="15.75" hidden="1" customHeight="1" outlineLevel="2">
      <c r="A1915" s="443"/>
      <c r="B1915" s="444"/>
      <c r="C1915"/>
      <c r="D1915"/>
      <c r="E1915" s="448"/>
      <c r="F1915" s="242"/>
      <c r="G1915"/>
      <c r="H1915" s="322"/>
      <c r="I1915" s="322"/>
      <c r="J1915" s="242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</row>
    <row r="1916" spans="1:26" ht="15.75" hidden="1" customHeight="1" outlineLevel="2">
      <c r="A1916" s="443"/>
      <c r="B1916" s="444"/>
      <c r="C1916"/>
      <c r="D1916"/>
      <c r="E1916" s="448"/>
      <c r="F1916" s="242"/>
      <c r="G1916"/>
      <c r="H1916" s="322"/>
      <c r="I1916" s="322"/>
      <c r="J1916" s="242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</row>
    <row r="1917" spans="1:26" ht="15.75" hidden="1" customHeight="1" outlineLevel="2">
      <c r="A1917" s="443"/>
      <c r="B1917" s="444"/>
      <c r="C1917"/>
      <c r="D1917"/>
      <c r="E1917" s="448"/>
      <c r="F1917" s="242"/>
      <c r="G1917"/>
      <c r="H1917" s="322"/>
      <c r="I1917" s="322"/>
      <c r="J1917" s="242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</row>
    <row r="1918" spans="1:26" ht="15.75" hidden="1" customHeight="1" outlineLevel="2">
      <c r="A1918" s="443"/>
      <c r="B1918" s="444"/>
      <c r="C1918"/>
      <c r="D1918"/>
      <c r="E1918" s="448"/>
      <c r="F1918" s="242"/>
      <c r="G1918"/>
      <c r="H1918" s="322"/>
      <c r="I1918" s="322"/>
      <c r="J1918" s="242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</row>
    <row r="1919" spans="1:26" ht="15.75" hidden="1" customHeight="1" outlineLevel="2">
      <c r="A1919" s="443"/>
      <c r="B1919" s="444"/>
      <c r="C1919"/>
      <c r="D1919"/>
      <c r="E1919" s="448"/>
      <c r="F1919" s="242"/>
      <c r="G1919"/>
      <c r="H1919" s="322"/>
      <c r="I1919" s="322"/>
      <c r="J1919" s="242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</row>
    <row r="1920" spans="1:26" ht="15.75" hidden="1" customHeight="1" outlineLevel="2">
      <c r="A1920" s="443"/>
      <c r="B1920" s="444"/>
      <c r="C1920"/>
      <c r="D1920"/>
      <c r="E1920" s="448"/>
      <c r="F1920" s="242"/>
      <c r="G1920"/>
      <c r="H1920" s="322"/>
      <c r="I1920" s="322"/>
      <c r="J1920" s="242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</row>
    <row r="1921" spans="1:26" ht="15.75" hidden="1" customHeight="1" outlineLevel="2">
      <c r="A1921" s="443"/>
      <c r="B1921" s="444"/>
      <c r="C1921"/>
      <c r="D1921"/>
      <c r="E1921" s="448"/>
      <c r="F1921" s="242"/>
      <c r="G1921"/>
      <c r="H1921" s="322"/>
      <c r="I1921" s="322"/>
      <c r="J1921" s="242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</row>
    <row r="1922" spans="1:26" ht="15.75" hidden="1" customHeight="1" outlineLevel="2">
      <c r="A1922" s="443"/>
      <c r="B1922" s="444"/>
      <c r="C1922"/>
      <c r="D1922"/>
      <c r="E1922" s="448"/>
      <c r="F1922" s="242"/>
      <c r="G1922"/>
      <c r="H1922" s="322"/>
      <c r="I1922" s="322"/>
      <c r="J1922" s="242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</row>
    <row r="1923" spans="1:26" ht="15.75" hidden="1" customHeight="1" outlineLevel="2">
      <c r="A1923" s="443"/>
      <c r="B1923" s="444"/>
      <c r="C1923"/>
      <c r="D1923"/>
      <c r="E1923" s="448"/>
      <c r="F1923" s="242"/>
      <c r="G1923"/>
      <c r="H1923" s="322"/>
      <c r="I1923" s="322"/>
      <c r="J1923" s="242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</row>
    <row r="1924" spans="1:26" ht="15.75" hidden="1" customHeight="1" outlineLevel="2">
      <c r="A1924" s="443"/>
      <c r="B1924" s="444"/>
      <c r="C1924"/>
      <c r="D1924"/>
      <c r="E1924" s="448"/>
      <c r="F1924" s="242"/>
      <c r="G1924"/>
      <c r="H1924" s="322"/>
      <c r="I1924" s="322"/>
      <c r="J1924" s="242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</row>
    <row r="1925" spans="1:26" ht="15.75" hidden="1" customHeight="1" outlineLevel="2">
      <c r="A1925" s="443"/>
      <c r="B1925" s="444"/>
      <c r="C1925"/>
      <c r="D1925"/>
      <c r="E1925" s="448"/>
      <c r="F1925" s="242"/>
      <c r="G1925"/>
      <c r="H1925" s="322"/>
      <c r="I1925" s="322"/>
      <c r="J1925" s="242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</row>
    <row r="1926" spans="1:26" ht="15.75" hidden="1" customHeight="1" outlineLevel="2">
      <c r="A1926" s="443"/>
      <c r="B1926" s="444"/>
      <c r="C1926"/>
      <c r="D1926"/>
      <c r="E1926" s="448"/>
      <c r="F1926" s="242"/>
      <c r="G1926"/>
      <c r="H1926" s="322"/>
      <c r="I1926" s="322"/>
      <c r="J1926" s="242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</row>
    <row r="1927" spans="1:26" ht="15.75" hidden="1" customHeight="1" outlineLevel="2">
      <c r="A1927" s="443"/>
      <c r="B1927" s="444"/>
      <c r="C1927"/>
      <c r="D1927"/>
      <c r="E1927" s="448"/>
      <c r="F1927" s="242"/>
      <c r="G1927"/>
      <c r="H1927" s="322"/>
      <c r="I1927" s="322"/>
      <c r="J1927" s="242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</row>
    <row r="1928" spans="1:26" ht="15.75" hidden="1" customHeight="1" outlineLevel="2">
      <c r="A1928" s="443"/>
      <c r="B1928" s="444"/>
      <c r="C1928"/>
      <c r="D1928"/>
      <c r="E1928" s="448"/>
      <c r="F1928" s="242"/>
      <c r="G1928"/>
      <c r="H1928" s="322"/>
      <c r="I1928" s="322"/>
      <c r="J1928" s="242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</row>
    <row r="1929" spans="1:26" ht="15.75" hidden="1" customHeight="1" outlineLevel="2">
      <c r="A1929" s="443"/>
      <c r="B1929" s="444"/>
      <c r="C1929"/>
      <c r="D1929"/>
      <c r="E1929" s="448"/>
      <c r="F1929" s="242"/>
      <c r="G1929"/>
      <c r="H1929" s="322"/>
      <c r="I1929" s="322"/>
      <c r="J1929" s="242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</row>
    <row r="1930" spans="1:26" ht="15.75" hidden="1" customHeight="1" outlineLevel="2">
      <c r="A1930" s="443"/>
      <c r="B1930" s="444"/>
      <c r="C1930"/>
      <c r="D1930"/>
      <c r="E1930" s="448"/>
      <c r="F1930" s="242"/>
      <c r="G1930"/>
      <c r="H1930" s="322"/>
      <c r="I1930" s="322"/>
      <c r="J1930" s="242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</row>
    <row r="1931" spans="1:26" ht="15.75" hidden="1" customHeight="1" outlineLevel="2">
      <c r="A1931" s="443"/>
      <c r="B1931" s="444"/>
      <c r="C1931"/>
      <c r="D1931"/>
      <c r="E1931" s="448"/>
      <c r="F1931" s="242"/>
      <c r="G1931"/>
      <c r="H1931" s="322"/>
      <c r="I1931" s="322"/>
      <c r="J1931" s="242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</row>
    <row r="1932" spans="1:26" ht="15.75" hidden="1" customHeight="1" outlineLevel="2">
      <c r="A1932" s="443"/>
      <c r="B1932" s="444"/>
      <c r="C1932"/>
      <c r="D1932"/>
      <c r="E1932" s="448"/>
      <c r="F1932" s="242"/>
      <c r="G1932"/>
      <c r="H1932" s="322"/>
      <c r="I1932" s="322"/>
      <c r="J1932" s="242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</row>
    <row r="1933" spans="1:26" ht="15.75" hidden="1" customHeight="1" outlineLevel="2">
      <c r="A1933" s="443"/>
      <c r="B1933" s="444"/>
      <c r="C1933"/>
      <c r="D1933"/>
      <c r="E1933" s="448"/>
      <c r="F1933" s="242"/>
      <c r="G1933"/>
      <c r="H1933" s="322"/>
      <c r="I1933" s="322"/>
      <c r="J1933" s="242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</row>
    <row r="1934" spans="1:26" ht="15.75" hidden="1" customHeight="1" outlineLevel="2">
      <c r="A1934" s="443"/>
      <c r="B1934" s="444"/>
      <c r="C1934"/>
      <c r="D1934"/>
      <c r="E1934" s="448"/>
      <c r="F1934" s="242"/>
      <c r="G1934"/>
      <c r="H1934" s="322"/>
      <c r="I1934" s="322"/>
      <c r="J1934" s="242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</row>
    <row r="1935" spans="1:26" ht="15.75" hidden="1" customHeight="1" outlineLevel="2">
      <c r="A1935" s="443"/>
      <c r="B1935" s="444"/>
      <c r="C1935"/>
      <c r="D1935"/>
      <c r="E1935" s="448"/>
      <c r="F1935" s="242"/>
      <c r="G1935"/>
      <c r="H1935" s="322"/>
      <c r="I1935" s="322"/>
      <c r="J1935" s="242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</row>
    <row r="1936" spans="1:26" ht="15.75" hidden="1" customHeight="1" outlineLevel="2">
      <c r="A1936" s="443"/>
      <c r="B1936" s="444"/>
      <c r="C1936"/>
      <c r="D1936"/>
      <c r="E1936" s="448"/>
      <c r="F1936" s="242"/>
      <c r="G1936"/>
      <c r="H1936" s="322"/>
      <c r="I1936" s="322"/>
      <c r="J1936" s="242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</row>
    <row r="1937" spans="1:26" ht="15.75" hidden="1" customHeight="1" outlineLevel="2">
      <c r="A1937" s="443"/>
      <c r="B1937" s="444"/>
      <c r="C1937"/>
      <c r="D1937"/>
      <c r="E1937" s="448"/>
      <c r="F1937" s="242"/>
      <c r="G1937"/>
      <c r="H1937" s="322"/>
      <c r="I1937" s="322"/>
      <c r="J1937" s="242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</row>
    <row r="1938" spans="1:26" ht="15.75" hidden="1" customHeight="1" outlineLevel="2">
      <c r="A1938" s="443"/>
      <c r="B1938" s="444"/>
      <c r="C1938"/>
      <c r="D1938"/>
      <c r="E1938" s="448"/>
      <c r="F1938" s="242"/>
      <c r="G1938"/>
      <c r="H1938" s="322"/>
      <c r="I1938" s="322"/>
      <c r="J1938" s="242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</row>
    <row r="1939" spans="1:26" ht="15.75" hidden="1" customHeight="1" outlineLevel="2">
      <c r="A1939" s="443"/>
      <c r="B1939" s="444"/>
      <c r="C1939"/>
      <c r="D1939"/>
      <c r="E1939" s="448"/>
      <c r="F1939" s="242"/>
      <c r="G1939"/>
      <c r="H1939" s="322"/>
      <c r="I1939" s="322"/>
      <c r="J1939" s="242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</row>
    <row r="1940" spans="1:26" ht="15.75" hidden="1" customHeight="1" outlineLevel="2">
      <c r="A1940" s="443"/>
      <c r="B1940" s="444"/>
      <c r="C1940"/>
      <c r="D1940"/>
      <c r="E1940" s="448"/>
      <c r="F1940" s="242"/>
      <c r="G1940"/>
      <c r="H1940" s="322"/>
      <c r="I1940" s="322"/>
      <c r="J1940" s="242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</row>
    <row r="1941" spans="1:26" ht="15.75" hidden="1" customHeight="1" outlineLevel="2">
      <c r="A1941" s="443"/>
      <c r="B1941" s="444"/>
      <c r="C1941"/>
      <c r="D1941"/>
      <c r="E1941" s="448"/>
      <c r="F1941" s="242"/>
      <c r="G1941"/>
      <c r="H1941" s="322"/>
      <c r="I1941" s="322"/>
      <c r="J1941" s="242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</row>
    <row r="1942" spans="1:26" ht="15.75" hidden="1" customHeight="1" outlineLevel="2">
      <c r="A1942" s="443"/>
      <c r="B1942" s="444"/>
      <c r="C1942"/>
      <c r="D1942"/>
      <c r="E1942" s="448"/>
      <c r="F1942" s="242"/>
      <c r="G1942"/>
      <c r="H1942" s="322"/>
      <c r="I1942" s="322"/>
      <c r="J1942" s="242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</row>
    <row r="1943" spans="1:26" ht="15.75" hidden="1" customHeight="1" outlineLevel="2">
      <c r="A1943" s="443"/>
      <c r="B1943" s="444"/>
      <c r="C1943"/>
      <c r="D1943"/>
      <c r="E1943" s="448"/>
      <c r="F1943" s="242"/>
      <c r="G1943"/>
      <c r="H1943" s="322"/>
      <c r="I1943" s="322"/>
      <c r="J1943" s="242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</row>
    <row r="1944" spans="1:26" ht="15.75" hidden="1" customHeight="1" outlineLevel="2">
      <c r="A1944" s="443"/>
      <c r="B1944" s="444"/>
      <c r="C1944"/>
      <c r="D1944"/>
      <c r="E1944" s="448"/>
      <c r="F1944" s="242"/>
      <c r="G1944"/>
      <c r="H1944" s="322"/>
      <c r="I1944" s="322"/>
      <c r="J1944" s="242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</row>
    <row r="1945" spans="1:26" ht="15.75" hidden="1" customHeight="1" outlineLevel="2">
      <c r="A1945" s="443"/>
      <c r="B1945" s="444"/>
      <c r="C1945"/>
      <c r="D1945"/>
      <c r="E1945" s="448"/>
      <c r="F1945" s="242"/>
      <c r="G1945"/>
      <c r="H1945" s="322"/>
      <c r="I1945" s="322"/>
      <c r="J1945" s="242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</row>
    <row r="1946" spans="1:26" ht="15.75" hidden="1" customHeight="1" outlineLevel="2">
      <c r="A1946" s="443"/>
      <c r="B1946" s="444"/>
      <c r="C1946"/>
      <c r="D1946"/>
      <c r="E1946" s="448"/>
      <c r="F1946" s="242"/>
      <c r="G1946"/>
      <c r="H1946" s="322"/>
      <c r="I1946" s="322"/>
      <c r="J1946" s="242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</row>
    <row r="1947" spans="1:26" ht="15.75" hidden="1" customHeight="1" outlineLevel="2">
      <c r="A1947" s="443"/>
      <c r="B1947" s="444"/>
      <c r="C1947"/>
      <c r="D1947"/>
      <c r="E1947" s="448"/>
      <c r="F1947" s="242"/>
      <c r="G1947"/>
      <c r="H1947" s="322"/>
      <c r="I1947" s="322"/>
      <c r="J1947" s="242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</row>
    <row r="1948" spans="1:26" ht="15.75" hidden="1" customHeight="1" outlineLevel="2">
      <c r="A1948" s="443"/>
      <c r="B1948" s="444"/>
      <c r="C1948"/>
      <c r="D1948"/>
      <c r="E1948" s="448"/>
      <c r="F1948" s="242"/>
      <c r="G1948"/>
      <c r="H1948" s="322"/>
      <c r="I1948" s="322"/>
      <c r="J1948" s="242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</row>
    <row r="1949" spans="1:26" ht="15.75" hidden="1" customHeight="1" outlineLevel="2">
      <c r="A1949" s="443"/>
      <c r="B1949" s="444"/>
      <c r="C1949"/>
      <c r="D1949"/>
      <c r="E1949" s="448"/>
      <c r="F1949" s="242"/>
      <c r="G1949"/>
      <c r="H1949" s="322"/>
      <c r="I1949" s="322"/>
      <c r="J1949" s="242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</row>
    <row r="1950" spans="1:26" ht="15.75" hidden="1" customHeight="1" outlineLevel="2">
      <c r="A1950" s="443"/>
      <c r="B1950" s="444"/>
      <c r="C1950"/>
      <c r="D1950"/>
      <c r="E1950" s="448"/>
      <c r="F1950" s="242"/>
      <c r="G1950"/>
      <c r="H1950" s="322"/>
      <c r="I1950" s="322"/>
      <c r="J1950" s="242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</row>
    <row r="1951" spans="1:26" ht="15.75" hidden="1" customHeight="1" outlineLevel="2">
      <c r="A1951" s="443"/>
      <c r="B1951" s="444"/>
      <c r="C1951"/>
      <c r="D1951"/>
      <c r="E1951" s="448"/>
      <c r="F1951" s="242"/>
      <c r="G1951"/>
      <c r="H1951" s="322"/>
      <c r="I1951" s="322"/>
      <c r="J1951" s="242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</row>
    <row r="1952" spans="1:26" ht="15.75" hidden="1" customHeight="1" outlineLevel="2">
      <c r="A1952" s="443"/>
      <c r="B1952" s="444"/>
      <c r="C1952"/>
      <c r="D1952"/>
      <c r="E1952" s="448"/>
      <c r="F1952" s="242"/>
      <c r="G1952"/>
      <c r="H1952" s="322"/>
      <c r="I1952" s="322"/>
      <c r="J1952" s="242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</row>
    <row r="1953" spans="1:26" ht="15.75" hidden="1" customHeight="1" outlineLevel="2">
      <c r="A1953" s="443"/>
      <c r="B1953" s="444"/>
      <c r="C1953"/>
      <c r="D1953"/>
      <c r="E1953" s="448"/>
      <c r="F1953" s="242"/>
      <c r="G1953"/>
      <c r="H1953" s="322"/>
      <c r="I1953" s="322"/>
      <c r="J1953" s="242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</row>
    <row r="1954" spans="1:26" ht="15.75" hidden="1" customHeight="1" outlineLevel="2">
      <c r="A1954" s="443"/>
      <c r="B1954" s="444"/>
      <c r="C1954"/>
      <c r="D1954"/>
      <c r="E1954" s="448"/>
      <c r="F1954" s="242"/>
      <c r="G1954"/>
      <c r="H1954" s="322"/>
      <c r="I1954" s="322"/>
      <c r="J1954" s="242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</row>
    <row r="1955" spans="1:26" ht="15.75" hidden="1" customHeight="1" outlineLevel="2">
      <c r="A1955" s="443"/>
      <c r="B1955" s="444"/>
      <c r="C1955"/>
      <c r="D1955"/>
      <c r="E1955" s="448"/>
      <c r="F1955" s="242"/>
      <c r="G1955"/>
      <c r="H1955" s="322"/>
      <c r="I1955" s="322"/>
      <c r="J1955" s="242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</row>
    <row r="1956" spans="1:26" ht="15.75" hidden="1" customHeight="1" outlineLevel="2">
      <c r="A1956" s="443"/>
      <c r="B1956" s="444"/>
      <c r="C1956"/>
      <c r="D1956"/>
      <c r="E1956" s="448"/>
      <c r="F1956" s="242"/>
      <c r="G1956"/>
      <c r="H1956" s="322"/>
      <c r="I1956" s="322"/>
      <c r="J1956" s="242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</row>
    <row r="1957" spans="1:26" ht="15.75" hidden="1" customHeight="1" outlineLevel="2">
      <c r="A1957" s="443"/>
      <c r="B1957" s="444"/>
      <c r="C1957"/>
      <c r="D1957"/>
      <c r="E1957" s="448"/>
      <c r="F1957" s="242"/>
      <c r="G1957"/>
      <c r="H1957" s="322"/>
      <c r="I1957" s="322"/>
      <c r="J1957" s="242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</row>
    <row r="1958" spans="1:26" ht="15.75" hidden="1" customHeight="1" outlineLevel="2">
      <c r="A1958" s="443"/>
      <c r="B1958" s="444"/>
      <c r="C1958"/>
      <c r="D1958"/>
      <c r="E1958" s="448"/>
      <c r="F1958" s="242"/>
      <c r="G1958"/>
      <c r="H1958" s="322"/>
      <c r="I1958" s="322"/>
      <c r="J1958" s="242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</row>
    <row r="1959" spans="1:26" ht="15.75" hidden="1" customHeight="1" outlineLevel="2">
      <c r="A1959" s="443"/>
      <c r="B1959" s="444"/>
      <c r="C1959"/>
      <c r="D1959"/>
      <c r="E1959" s="448"/>
      <c r="F1959" s="242"/>
      <c r="G1959"/>
      <c r="H1959" s="322"/>
      <c r="I1959" s="322"/>
      <c r="J1959" s="242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</row>
    <row r="1960" spans="1:26" ht="15.75" hidden="1" customHeight="1" outlineLevel="2">
      <c r="A1960" s="443"/>
      <c r="B1960" s="444"/>
      <c r="C1960"/>
      <c r="D1960"/>
      <c r="E1960" s="448"/>
      <c r="F1960" s="242"/>
      <c r="G1960"/>
      <c r="H1960" s="322"/>
      <c r="I1960" s="322"/>
      <c r="J1960" s="242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</row>
    <row r="1961" spans="1:26" ht="15.75" hidden="1" customHeight="1" outlineLevel="2">
      <c r="A1961" s="443"/>
      <c r="B1961" s="444"/>
      <c r="C1961"/>
      <c r="D1961"/>
      <c r="E1961" s="448"/>
      <c r="F1961" s="242"/>
      <c r="G1961"/>
      <c r="H1961" s="322"/>
      <c r="I1961" s="322"/>
      <c r="J1961" s="242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</row>
    <row r="1962" spans="1:26" ht="15.75" hidden="1" customHeight="1" outlineLevel="2">
      <c r="A1962" s="443"/>
      <c r="B1962" s="444"/>
      <c r="C1962"/>
      <c r="D1962"/>
      <c r="E1962" s="448"/>
      <c r="F1962" s="242"/>
      <c r="G1962"/>
      <c r="H1962" s="322"/>
      <c r="I1962" s="322"/>
      <c r="J1962" s="242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</row>
    <row r="1963" spans="1:26" ht="15.75" hidden="1" customHeight="1" outlineLevel="2">
      <c r="A1963" s="443"/>
      <c r="B1963" s="444"/>
      <c r="C1963"/>
      <c r="D1963"/>
      <c r="E1963" s="448"/>
      <c r="F1963" s="242"/>
      <c r="G1963"/>
      <c r="H1963" s="322"/>
      <c r="I1963" s="322"/>
      <c r="J1963" s="242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</row>
    <row r="1964" spans="1:26" ht="15.75" hidden="1" customHeight="1" outlineLevel="2">
      <c r="A1964" s="443"/>
      <c r="B1964" s="444"/>
      <c r="C1964"/>
      <c r="D1964"/>
      <c r="E1964" s="461"/>
      <c r="F1964" s="242"/>
      <c r="G1964"/>
      <c r="H1964" s="322"/>
      <c r="I1964" s="322"/>
      <c r="J1964" s="242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</row>
    <row r="1965" spans="1:26" ht="15.75" hidden="1" customHeight="1" outlineLevel="2">
      <c r="A1965" s="443"/>
      <c r="B1965" s="444"/>
      <c r="C1965"/>
      <c r="D1965"/>
      <c r="E1965" s="448"/>
      <c r="F1965" s="242"/>
      <c r="G1965"/>
      <c r="H1965" s="322"/>
      <c r="I1965" s="322"/>
      <c r="J1965" s="242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</row>
    <row r="1966" spans="1:26" ht="15.75" hidden="1" customHeight="1" outlineLevel="2">
      <c r="A1966" s="443"/>
      <c r="B1966" s="444"/>
      <c r="C1966"/>
      <c r="D1966"/>
      <c r="E1966" s="448"/>
      <c r="F1966" s="242"/>
      <c r="G1966"/>
      <c r="H1966" s="322"/>
      <c r="I1966" s="322"/>
      <c r="J1966" s="242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</row>
    <row r="1967" spans="1:26" ht="15.75" hidden="1" customHeight="1" outlineLevel="2">
      <c r="A1967" s="443"/>
      <c r="B1967" s="444"/>
      <c r="C1967"/>
      <c r="D1967"/>
      <c r="E1967" s="448"/>
      <c r="F1967" s="242"/>
      <c r="G1967"/>
      <c r="H1967" s="322"/>
      <c r="I1967" s="322"/>
      <c r="J1967" s="242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</row>
    <row r="1968" spans="1:26" ht="15.75" hidden="1" customHeight="1" outlineLevel="2">
      <c r="A1968" s="443"/>
      <c r="B1968" s="444"/>
      <c r="C1968"/>
      <c r="D1968"/>
      <c r="E1968" s="448"/>
      <c r="F1968" s="242"/>
      <c r="G1968"/>
      <c r="H1968" s="322"/>
      <c r="I1968" s="322"/>
      <c r="J1968" s="242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</row>
    <row r="1969" spans="1:26" ht="15.75" hidden="1" customHeight="1" outlineLevel="2">
      <c r="A1969" s="443"/>
      <c r="B1969" s="444"/>
      <c r="C1969"/>
      <c r="D1969"/>
      <c r="E1969" s="448"/>
      <c r="F1969" s="242"/>
      <c r="G1969"/>
      <c r="H1969" s="322"/>
      <c r="I1969" s="322"/>
      <c r="J1969" s="242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</row>
    <row r="1970" spans="1:26" ht="15.75" hidden="1" customHeight="1" outlineLevel="2">
      <c r="A1970" s="443"/>
      <c r="B1970" s="444"/>
      <c r="C1970"/>
      <c r="D1970"/>
      <c r="E1970" s="448"/>
      <c r="F1970" s="242"/>
      <c r="G1970"/>
      <c r="H1970" s="322"/>
      <c r="I1970" s="322"/>
      <c r="J1970" s="242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</row>
    <row r="1971" spans="1:26" ht="15.75" hidden="1" customHeight="1" outlineLevel="2">
      <c r="A1971" s="443"/>
      <c r="B1971" s="444"/>
      <c r="C1971"/>
      <c r="D1971"/>
      <c r="E1971" s="448"/>
      <c r="F1971" s="242"/>
      <c r="G1971"/>
      <c r="H1971" s="322"/>
      <c r="I1971" s="322"/>
      <c r="J1971" s="242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</row>
    <row r="1972" spans="1:26" ht="15.75" hidden="1" customHeight="1" outlineLevel="2">
      <c r="A1972" s="443"/>
      <c r="B1972" s="444"/>
      <c r="C1972"/>
      <c r="D1972"/>
      <c r="E1972" s="448"/>
      <c r="F1972" s="242"/>
      <c r="G1972"/>
      <c r="H1972" s="322"/>
      <c r="I1972" s="322"/>
      <c r="J1972" s="242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</row>
    <row r="1973" spans="1:26" ht="15.75" hidden="1" customHeight="1" outlineLevel="2">
      <c r="A1973" s="443"/>
      <c r="B1973" s="444"/>
      <c r="C1973"/>
      <c r="D1973"/>
      <c r="E1973" s="466"/>
      <c r="F1973" s="242"/>
      <c r="G1973"/>
      <c r="H1973" s="322"/>
      <c r="I1973" s="322"/>
      <c r="J1973" s="242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</row>
    <row r="1974" spans="1:26" ht="15.75" hidden="1" customHeight="1" outlineLevel="2">
      <c r="A1974" s="443"/>
      <c r="B1974" s="444"/>
      <c r="C1974"/>
      <c r="D1974"/>
      <c r="E1974" s="448"/>
      <c r="F1974" s="242"/>
      <c r="G1974"/>
      <c r="H1974" s="322"/>
      <c r="I1974" s="322"/>
      <c r="J1974" s="242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</row>
    <row r="1975" spans="1:26" ht="15.75" hidden="1" customHeight="1" outlineLevel="2">
      <c r="A1975" s="443"/>
      <c r="B1975" s="444"/>
      <c r="C1975"/>
      <c r="D1975"/>
      <c r="E1975" s="448"/>
      <c r="F1975" s="242"/>
      <c r="G1975"/>
      <c r="H1975" s="322"/>
      <c r="I1975" s="322"/>
      <c r="J1975" s="242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</row>
    <row r="1976" spans="1:26" ht="15.75" hidden="1" customHeight="1" outlineLevel="2">
      <c r="A1976" s="443"/>
      <c r="B1976" s="444"/>
      <c r="C1976"/>
      <c r="D1976"/>
      <c r="E1976" s="448"/>
      <c r="F1976" s="242"/>
      <c r="G1976"/>
      <c r="H1976" s="322"/>
      <c r="I1976" s="322"/>
      <c r="J1976" s="242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</row>
    <row r="1977" spans="1:26" ht="15.75" hidden="1" customHeight="1" outlineLevel="2">
      <c r="A1977" s="443"/>
      <c r="B1977" s="444"/>
      <c r="C1977"/>
      <c r="D1977"/>
      <c r="E1977" s="448"/>
      <c r="F1977" s="242"/>
      <c r="G1977"/>
      <c r="H1977" s="322"/>
      <c r="I1977" s="322"/>
      <c r="J1977" s="242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</row>
    <row r="1978" spans="1:26" ht="15.75" hidden="1" customHeight="1" outlineLevel="2">
      <c r="A1978" s="443"/>
      <c r="B1978" s="444"/>
      <c r="C1978"/>
      <c r="D1978"/>
      <c r="E1978" s="448"/>
      <c r="F1978" s="242"/>
      <c r="G1978"/>
      <c r="H1978" s="322"/>
      <c r="I1978" s="322"/>
      <c r="J1978" s="242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</row>
    <row r="1979" spans="1:26" ht="15.75" hidden="1" customHeight="1" outlineLevel="2">
      <c r="A1979" s="443"/>
      <c r="B1979" s="444"/>
      <c r="C1979"/>
      <c r="D1979"/>
      <c r="E1979" s="448"/>
      <c r="F1979" s="242"/>
      <c r="G1979"/>
      <c r="H1979" s="322"/>
      <c r="I1979" s="322"/>
      <c r="J1979" s="242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</row>
    <row r="1980" spans="1:26" ht="15.75" hidden="1" customHeight="1" outlineLevel="2">
      <c r="A1980" s="443"/>
      <c r="B1980" s="444"/>
      <c r="C1980"/>
      <c r="D1980"/>
      <c r="E1980" s="448"/>
      <c r="F1980" s="242"/>
      <c r="G1980"/>
      <c r="H1980" s="322"/>
      <c r="I1980" s="322"/>
      <c r="J1980" s="242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</row>
    <row r="1981" spans="1:26" ht="15.75" hidden="1" customHeight="1" outlineLevel="2">
      <c r="A1981" s="443"/>
      <c r="B1981" s="444"/>
      <c r="C1981"/>
      <c r="D1981"/>
      <c r="E1981" s="448"/>
      <c r="F1981" s="242"/>
      <c r="G1981"/>
      <c r="H1981" s="322"/>
      <c r="I1981" s="322"/>
      <c r="J1981" s="242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</row>
    <row r="1982" spans="1:26" ht="15.75" hidden="1" customHeight="1" outlineLevel="2">
      <c r="A1982" s="443"/>
      <c r="B1982" s="444"/>
      <c r="C1982"/>
      <c r="D1982"/>
      <c r="E1982" s="448"/>
      <c r="F1982" s="242"/>
      <c r="G1982"/>
      <c r="H1982" s="322"/>
      <c r="I1982" s="322"/>
      <c r="J1982" s="242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</row>
    <row r="1983" spans="1:26" ht="15.75" hidden="1" customHeight="1" outlineLevel="2">
      <c r="A1983" s="443"/>
      <c r="B1983" s="444"/>
      <c r="C1983"/>
      <c r="D1983"/>
      <c r="E1983" s="448"/>
      <c r="F1983" s="242"/>
      <c r="G1983"/>
      <c r="H1983" s="322"/>
      <c r="I1983" s="322"/>
      <c r="J1983" s="242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</row>
    <row r="1984" spans="1:26" ht="15.75" hidden="1" customHeight="1" outlineLevel="2">
      <c r="A1984" s="443"/>
      <c r="B1984" s="444"/>
      <c r="C1984"/>
      <c r="D1984"/>
      <c r="E1984" s="448"/>
      <c r="F1984" s="242"/>
      <c r="G1984"/>
      <c r="H1984" s="322"/>
      <c r="I1984" s="322"/>
      <c r="J1984" s="242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</row>
    <row r="1985" spans="1:26" ht="15.75" hidden="1" customHeight="1" outlineLevel="2">
      <c r="A1985" s="443"/>
      <c r="B1985" s="444"/>
      <c r="C1985"/>
      <c r="D1985"/>
      <c r="E1985" s="448"/>
      <c r="F1985" s="242"/>
      <c r="G1985"/>
      <c r="H1985" s="322"/>
      <c r="I1985" s="322"/>
      <c r="J1985" s="242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</row>
    <row r="1986" spans="1:26" ht="15.75" hidden="1" customHeight="1" outlineLevel="2">
      <c r="A1986" s="443"/>
      <c r="B1986" s="444"/>
      <c r="C1986"/>
      <c r="D1986"/>
      <c r="E1986" s="448"/>
      <c r="F1986" s="242"/>
      <c r="G1986"/>
      <c r="H1986" s="322"/>
      <c r="I1986" s="322"/>
      <c r="J1986" s="242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</row>
    <row r="1987" spans="1:26" ht="15.75" hidden="1" customHeight="1" outlineLevel="2">
      <c r="A1987" s="443"/>
      <c r="B1987" s="444"/>
      <c r="C1987"/>
      <c r="D1987"/>
      <c r="E1987" s="448"/>
      <c r="F1987" s="242"/>
      <c r="G1987"/>
      <c r="H1987" s="322"/>
      <c r="I1987" s="322"/>
      <c r="J1987" s="242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</row>
    <row r="1988" spans="1:26" ht="15.75" hidden="1" customHeight="1" outlineLevel="2">
      <c r="A1988" s="443"/>
      <c r="B1988" s="444"/>
      <c r="C1988"/>
      <c r="D1988"/>
      <c r="E1988" s="448"/>
      <c r="F1988" s="242"/>
      <c r="G1988"/>
      <c r="H1988" s="322"/>
      <c r="I1988" s="322"/>
      <c r="J1988" s="242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</row>
    <row r="1989" spans="1:26" ht="15.75" hidden="1" customHeight="1" outlineLevel="2">
      <c r="A1989" s="443"/>
      <c r="B1989" s="444"/>
      <c r="C1989"/>
      <c r="D1989"/>
      <c r="E1989" s="457"/>
      <c r="F1989" s="242"/>
      <c r="G1989"/>
      <c r="H1989" s="322"/>
      <c r="I1989" s="322"/>
      <c r="J1989" s="242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</row>
    <row r="1990" spans="1:26" ht="15.75" hidden="1" customHeight="1" outlineLevel="2">
      <c r="A1990" s="443"/>
      <c r="B1990" s="444"/>
      <c r="C1990"/>
      <c r="D1990"/>
      <c r="E1990" s="448"/>
      <c r="F1990" s="242"/>
      <c r="G1990"/>
      <c r="H1990" s="322"/>
      <c r="I1990" s="322"/>
      <c r="J1990" s="242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</row>
    <row r="1991" spans="1:26" ht="15.75" hidden="1" customHeight="1" outlineLevel="2">
      <c r="A1991" s="443"/>
      <c r="B1991" s="444"/>
      <c r="C1991"/>
      <c r="D1991"/>
      <c r="E1991" s="448"/>
      <c r="F1991" s="242"/>
      <c r="G1991"/>
      <c r="H1991" s="322"/>
      <c r="I1991" s="322"/>
      <c r="J1991" s="242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</row>
    <row r="1992" spans="1:26" ht="15.75" hidden="1" customHeight="1" outlineLevel="2">
      <c r="A1992" s="443"/>
      <c r="B1992" s="444"/>
      <c r="C1992"/>
      <c r="D1992"/>
      <c r="E1992" s="448"/>
      <c r="F1992" s="242"/>
      <c r="G1992"/>
      <c r="H1992" s="322"/>
      <c r="I1992" s="322"/>
      <c r="J1992" s="242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</row>
    <row r="1993" spans="1:26" ht="15.75" hidden="1" customHeight="1" outlineLevel="2">
      <c r="A1993" s="443"/>
      <c r="B1993" s="444"/>
      <c r="C1993"/>
      <c r="D1993"/>
      <c r="E1993" s="465"/>
      <c r="F1993" s="242"/>
      <c r="G1993"/>
      <c r="H1993" s="322"/>
      <c r="I1993" s="322"/>
      <c r="J1993" s="242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</row>
    <row r="1994" spans="1:26" ht="15.75" hidden="1" customHeight="1" outlineLevel="2">
      <c r="A1994" s="443"/>
      <c r="B1994" s="444"/>
      <c r="C1994"/>
      <c r="D1994"/>
      <c r="E1994" s="458"/>
      <c r="F1994" s="242"/>
      <c r="G1994"/>
      <c r="H1994" s="322"/>
      <c r="I1994" s="322"/>
      <c r="J1994" s="242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</row>
    <row r="1995" spans="1:26" ht="15.75" hidden="1" customHeight="1" outlineLevel="2">
      <c r="A1995" s="443"/>
      <c r="B1995" s="444"/>
      <c r="C1995"/>
      <c r="D1995"/>
      <c r="E1995" s="465"/>
      <c r="F1995" s="242"/>
      <c r="G1995"/>
      <c r="H1995" s="322"/>
      <c r="I1995" s="322"/>
      <c r="J1995" s="242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</row>
    <row r="1996" spans="1:26" ht="15.75" hidden="1" customHeight="1" outlineLevel="2">
      <c r="A1996" s="443"/>
      <c r="B1996" s="444"/>
      <c r="C1996"/>
      <c r="D1996"/>
      <c r="E1996" s="447"/>
      <c r="F1996" s="242"/>
      <c r="G1996"/>
      <c r="H1996" s="322"/>
      <c r="I1996" s="322"/>
      <c r="J1996" s="242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</row>
    <row r="1997" spans="1:26" ht="15.75" hidden="1" customHeight="1" outlineLevel="2">
      <c r="A1997" s="443"/>
      <c r="B1997" s="444"/>
      <c r="C1997"/>
      <c r="D1997"/>
      <c r="E1997" s="447"/>
      <c r="F1997" s="242"/>
      <c r="G1997"/>
      <c r="H1997" s="322"/>
      <c r="I1997" s="322"/>
      <c r="J1997" s="242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</row>
    <row r="1998" spans="1:26" ht="15.75" hidden="1" customHeight="1" outlineLevel="2">
      <c r="A1998" s="443"/>
      <c r="B1998" s="444"/>
      <c r="C1998"/>
      <c r="D1998"/>
      <c r="E1998" s="447"/>
      <c r="F1998" s="242"/>
      <c r="G1998"/>
      <c r="H1998" s="322"/>
      <c r="I1998" s="322"/>
      <c r="J1998" s="242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</row>
    <row r="1999" spans="1:26" ht="15.75" hidden="1" customHeight="1" outlineLevel="2">
      <c r="A1999" s="443"/>
      <c r="B1999" s="444"/>
      <c r="C1999"/>
      <c r="D1999"/>
      <c r="E1999" s="447"/>
      <c r="F1999" s="242"/>
      <c r="G1999"/>
      <c r="H1999" s="322"/>
      <c r="I1999" s="322"/>
      <c r="J1999" s="242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</row>
    <row r="2000" spans="1:26" ht="15.75" hidden="1" customHeight="1" outlineLevel="2">
      <c r="A2000" s="443"/>
      <c r="B2000" s="444"/>
      <c r="C2000"/>
      <c r="D2000"/>
      <c r="E2000" s="447"/>
      <c r="F2000" s="242"/>
      <c r="G2000"/>
      <c r="H2000" s="322"/>
      <c r="I2000" s="322"/>
      <c r="J2000" s="242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</row>
    <row r="2001" spans="1:26" ht="15.75" hidden="1" customHeight="1" outlineLevel="2">
      <c r="A2001" s="443"/>
      <c r="B2001" s="444"/>
      <c r="C2001"/>
      <c r="D2001"/>
      <c r="E2001" s="447"/>
      <c r="F2001" s="242"/>
      <c r="G2001"/>
      <c r="H2001" s="322"/>
      <c r="I2001" s="322"/>
      <c r="J2001" s="242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</row>
    <row r="2002" spans="1:26" ht="15.75" hidden="1" customHeight="1" outlineLevel="2">
      <c r="A2002" s="443"/>
      <c r="B2002" s="444"/>
      <c r="C2002"/>
      <c r="D2002"/>
      <c r="E2002" s="447"/>
      <c r="F2002" s="242"/>
      <c r="G2002"/>
      <c r="H2002" s="322"/>
      <c r="I2002" s="322"/>
      <c r="J2002" s="242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</row>
    <row r="2003" spans="1:26" ht="15.75" hidden="1" customHeight="1" outlineLevel="2">
      <c r="A2003" s="443"/>
      <c r="B2003" s="444"/>
      <c r="C2003"/>
      <c r="D2003"/>
      <c r="E2003" s="447"/>
      <c r="F2003" s="242"/>
      <c r="G2003"/>
      <c r="H2003" s="322"/>
      <c r="I2003" s="322"/>
      <c r="J2003" s="242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</row>
    <row r="2004" spans="1:26" ht="15.75" hidden="1" customHeight="1" outlineLevel="2">
      <c r="A2004" s="443"/>
      <c r="B2004" s="444"/>
      <c r="C2004"/>
      <c r="D2004"/>
      <c r="E2004" s="447"/>
      <c r="F2004" s="242"/>
      <c r="G2004"/>
      <c r="H2004" s="322"/>
      <c r="I2004" s="322"/>
      <c r="J2004" s="242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</row>
    <row r="2005" spans="1:26" ht="15.75" hidden="1" customHeight="1" outlineLevel="2">
      <c r="A2005" s="443"/>
      <c r="B2005" s="444"/>
      <c r="C2005"/>
      <c r="D2005"/>
      <c r="E2005" s="447"/>
      <c r="F2005" s="242"/>
      <c r="G2005"/>
      <c r="H2005" s="322"/>
      <c r="I2005" s="322"/>
      <c r="J2005" s="242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</row>
    <row r="2006" spans="1:26" ht="15.75" hidden="1" customHeight="1" outlineLevel="2">
      <c r="A2006" s="443"/>
      <c r="B2006" s="444"/>
      <c r="C2006"/>
      <c r="D2006"/>
      <c r="E2006" s="447"/>
      <c r="F2006" s="242"/>
      <c r="G2006"/>
      <c r="H2006" s="322"/>
      <c r="I2006" s="322"/>
      <c r="J2006" s="242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</row>
    <row r="2007" spans="1:26" ht="15.75" hidden="1" customHeight="1" outlineLevel="2">
      <c r="A2007" s="443"/>
      <c r="B2007" s="444"/>
      <c r="C2007"/>
      <c r="D2007"/>
      <c r="E2007" s="447"/>
      <c r="F2007" s="242"/>
      <c r="G2007"/>
      <c r="H2007" s="322"/>
      <c r="I2007" s="322"/>
      <c r="J2007" s="242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</row>
    <row r="2008" spans="1:26" ht="15.75" hidden="1" customHeight="1" outlineLevel="2">
      <c r="A2008" s="443"/>
      <c r="B2008" s="444"/>
      <c r="C2008"/>
      <c r="D2008"/>
      <c r="E2008" s="447"/>
      <c r="F2008" s="242"/>
      <c r="G2008"/>
      <c r="H2008" s="322"/>
      <c r="I2008" s="322"/>
      <c r="J2008" s="242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</row>
    <row r="2009" spans="1:26" ht="15.75" hidden="1" customHeight="1" outlineLevel="2">
      <c r="A2009" s="443"/>
      <c r="B2009" s="444"/>
      <c r="C2009"/>
      <c r="D2009"/>
      <c r="E2009" s="447"/>
      <c r="F2009" s="242"/>
      <c r="G2009"/>
      <c r="H2009" s="322"/>
      <c r="I2009" s="322"/>
      <c r="J2009" s="242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</row>
    <row r="2010" spans="1:26" ht="15.75" hidden="1" customHeight="1" outlineLevel="2">
      <c r="A2010" s="443"/>
      <c r="B2010" s="444"/>
      <c r="C2010"/>
      <c r="D2010"/>
      <c r="E2010" s="447"/>
      <c r="F2010" s="242"/>
      <c r="G2010"/>
      <c r="H2010" s="322"/>
      <c r="I2010" s="322"/>
      <c r="J2010" s="242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</row>
    <row r="2011" spans="1:26" ht="15.75" hidden="1" customHeight="1" outlineLevel="2">
      <c r="A2011" s="443"/>
      <c r="B2011" s="444"/>
      <c r="C2011"/>
      <c r="D2011"/>
      <c r="E2011" s="452"/>
      <c r="F2011" s="242"/>
      <c r="G2011"/>
      <c r="H2011" s="322"/>
      <c r="I2011" s="322"/>
      <c r="J2011" s="242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</row>
    <row r="2012" spans="1:26" ht="15.75" hidden="1" customHeight="1" outlineLevel="2">
      <c r="A2012" s="443"/>
      <c r="B2012" s="444"/>
      <c r="C2012"/>
      <c r="D2012"/>
      <c r="E2012" s="464"/>
      <c r="F2012" s="242"/>
      <c r="G2012"/>
      <c r="H2012" s="322"/>
      <c r="I2012" s="322"/>
      <c r="J2012" s="242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</row>
    <row r="2013" spans="1:26" ht="15.75" hidden="1" customHeight="1" outlineLevel="2">
      <c r="A2013" s="443"/>
      <c r="B2013" s="444"/>
      <c r="C2013"/>
      <c r="D2013"/>
      <c r="E2013" s="448"/>
      <c r="H2013" s="322"/>
      <c r="I2013" s="322"/>
      <c r="J2013" s="242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</row>
    <row r="2014" spans="1:26" ht="15.75" hidden="1" customHeight="1" outlineLevel="2">
      <c r="A2014" s="443"/>
      <c r="B2014" s="444"/>
      <c r="C2014"/>
      <c r="D2014"/>
      <c r="E2014" s="447"/>
      <c r="H2014" s="322"/>
      <c r="I2014" s="322"/>
      <c r="J2014" s="242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</row>
    <row r="2015" spans="1:26" ht="15.75" hidden="1" customHeight="1" outlineLevel="2">
      <c r="A2015" s="443"/>
      <c r="B2015" s="444"/>
      <c r="C2015"/>
      <c r="D2015"/>
      <c r="E2015" s="447"/>
      <c r="H2015" s="322"/>
      <c r="I2015" s="322"/>
      <c r="J2015" s="242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</row>
    <row r="2016" spans="1:26" ht="15.75" hidden="1" customHeight="1" outlineLevel="2">
      <c r="A2016" s="443"/>
      <c r="B2016" s="444"/>
      <c r="C2016"/>
      <c r="D2016"/>
      <c r="E2016" s="447"/>
      <c r="F2016" s="242"/>
      <c r="G2016"/>
      <c r="H2016" s="322"/>
      <c r="I2016" s="322"/>
      <c r="J2016" s="242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</row>
    <row r="2017" spans="1:26" ht="15.75" hidden="1" customHeight="1" outlineLevel="2">
      <c r="A2017" s="443"/>
      <c r="B2017" s="444"/>
      <c r="C2017"/>
      <c r="D2017"/>
      <c r="E2017" s="447"/>
      <c r="F2017" s="242"/>
      <c r="G2017"/>
      <c r="H2017" s="322"/>
      <c r="I2017" s="322"/>
      <c r="J2017" s="242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</row>
    <row r="2018" spans="1:26" ht="15.75" hidden="1" customHeight="1" outlineLevel="2">
      <c r="A2018" s="443"/>
      <c r="B2018" s="444"/>
      <c r="C2018"/>
      <c r="D2018"/>
      <c r="E2018" s="447"/>
      <c r="F2018" s="242"/>
      <c r="G2018"/>
      <c r="H2018" s="322"/>
      <c r="I2018" s="322"/>
      <c r="J2018" s="242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</row>
    <row r="2019" spans="1:26" ht="15.75" hidden="1" customHeight="1" outlineLevel="2">
      <c r="A2019" s="443"/>
      <c r="B2019" s="444"/>
      <c r="C2019"/>
      <c r="D2019"/>
      <c r="E2019" s="447"/>
      <c r="F2019" s="242"/>
      <c r="G2019"/>
      <c r="H2019" s="322"/>
      <c r="I2019" s="322"/>
      <c r="J2019" s="242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</row>
    <row r="2020" spans="1:26" ht="15.75" hidden="1" customHeight="1" outlineLevel="2">
      <c r="A2020" s="443"/>
      <c r="B2020" s="444"/>
      <c r="C2020"/>
      <c r="D2020"/>
      <c r="E2020" s="447"/>
      <c r="F2020" s="242"/>
      <c r="G2020"/>
      <c r="H2020" s="322"/>
      <c r="I2020" s="322"/>
      <c r="J2020" s="242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</row>
    <row r="2021" spans="1:26" ht="15.75" hidden="1" customHeight="1" outlineLevel="2">
      <c r="A2021" s="443"/>
      <c r="B2021" s="444"/>
      <c r="C2021"/>
      <c r="D2021"/>
      <c r="E2021" s="447"/>
      <c r="F2021" s="242"/>
      <c r="G2021"/>
      <c r="H2021" s="322"/>
      <c r="I2021" s="322"/>
      <c r="J2021" s="242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</row>
    <row r="2022" spans="1:26" ht="15.75" hidden="1" customHeight="1" outlineLevel="2">
      <c r="A2022" s="443"/>
      <c r="B2022" s="444"/>
      <c r="C2022"/>
      <c r="D2022"/>
      <c r="E2022" s="447"/>
      <c r="F2022" s="242"/>
      <c r="G2022"/>
      <c r="H2022" s="322"/>
      <c r="I2022" s="322"/>
      <c r="J2022" s="242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</row>
    <row r="2023" spans="1:26" ht="15.75" hidden="1" customHeight="1" outlineLevel="2">
      <c r="A2023" s="443"/>
      <c r="B2023" s="444"/>
      <c r="C2023"/>
      <c r="D2023"/>
      <c r="E2023" s="447"/>
      <c r="F2023" s="242"/>
      <c r="G2023"/>
      <c r="H2023" s="322"/>
      <c r="I2023" s="322"/>
      <c r="J2023" s="242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</row>
    <row r="2024" spans="1:26" ht="15.75" hidden="1" customHeight="1" outlineLevel="2">
      <c r="A2024" s="443"/>
      <c r="B2024" s="444"/>
      <c r="C2024"/>
      <c r="D2024"/>
      <c r="E2024" s="447"/>
      <c r="F2024" s="242"/>
      <c r="G2024"/>
      <c r="H2024" s="322"/>
      <c r="I2024" s="322"/>
      <c r="J2024" s="242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</row>
    <row r="2025" spans="1:26" ht="15.75" hidden="1" customHeight="1" outlineLevel="2">
      <c r="A2025" s="443"/>
      <c r="B2025" s="444"/>
      <c r="C2025"/>
      <c r="D2025"/>
      <c r="E2025" s="447"/>
      <c r="H2025" s="322"/>
      <c r="I2025" s="322"/>
      <c r="J2025" s="242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</row>
    <row r="2026" spans="1:26" ht="15.75" hidden="1" customHeight="1" outlineLevel="2">
      <c r="A2026" s="443"/>
      <c r="B2026" s="444"/>
      <c r="C2026"/>
      <c r="D2026"/>
      <c r="E2026" s="447"/>
      <c r="H2026" s="322"/>
      <c r="I2026" s="322"/>
      <c r="J2026" s="242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</row>
    <row r="2027" spans="1:26" ht="15.75" hidden="1" customHeight="1" outlineLevel="2">
      <c r="A2027" s="443"/>
      <c r="B2027" s="444"/>
      <c r="C2027"/>
      <c r="D2027"/>
      <c r="E2027" s="447"/>
      <c r="H2027" s="322"/>
      <c r="I2027" s="322"/>
      <c r="J2027" s="242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</row>
    <row r="2028" spans="1:26" ht="15.75" hidden="1" customHeight="1" outlineLevel="2">
      <c r="A2028" s="443"/>
      <c r="B2028" s="444"/>
      <c r="C2028"/>
      <c r="D2028"/>
      <c r="E2028" s="447"/>
      <c r="H2028" s="322"/>
      <c r="I2028" s="322"/>
      <c r="J2028" s="242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</row>
    <row r="2029" spans="1:26" ht="15.75" hidden="1" customHeight="1" outlineLevel="2">
      <c r="A2029" s="443"/>
      <c r="B2029" s="444"/>
      <c r="C2029"/>
      <c r="D2029"/>
      <c r="E2029" s="447"/>
      <c r="H2029" s="322"/>
      <c r="I2029" s="322"/>
      <c r="J2029" s="242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</row>
    <row r="2030" spans="1:26" ht="15.75" hidden="1" customHeight="1" outlineLevel="2">
      <c r="A2030" s="443"/>
      <c r="B2030" s="444"/>
      <c r="C2030"/>
      <c r="D2030"/>
      <c r="E2030" s="447"/>
      <c r="H2030" s="322"/>
      <c r="I2030" s="322"/>
      <c r="J2030" s="242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</row>
    <row r="2031" spans="1:26" ht="15.75" hidden="1" customHeight="1" outlineLevel="2">
      <c r="A2031" s="443"/>
      <c r="B2031" s="444"/>
      <c r="C2031"/>
      <c r="D2031"/>
      <c r="E2031" s="447"/>
      <c r="H2031" s="322"/>
      <c r="I2031" s="322"/>
      <c r="J2031" s="242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</row>
    <row r="2032" spans="1:26" ht="15.75" hidden="1" customHeight="1" outlineLevel="2">
      <c r="A2032" s="443"/>
      <c r="B2032" s="444"/>
      <c r="C2032"/>
      <c r="D2032"/>
      <c r="E2032" s="448"/>
      <c r="H2032" s="322"/>
      <c r="I2032" s="322"/>
      <c r="J2032" s="242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</row>
    <row r="2033" spans="1:26" ht="15.75" hidden="1" customHeight="1" outlineLevel="2">
      <c r="A2033" s="443"/>
      <c r="B2033" s="444"/>
      <c r="C2033"/>
      <c r="D2033"/>
      <c r="E2033" s="448"/>
      <c r="H2033" s="322"/>
      <c r="I2033" s="322"/>
      <c r="J2033" s="242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</row>
    <row r="2034" spans="1:26" ht="15.75" hidden="1" customHeight="1" outlineLevel="2">
      <c r="A2034" s="443"/>
      <c r="B2034" s="444"/>
      <c r="C2034"/>
      <c r="D2034"/>
      <c r="E2034" s="447"/>
      <c r="H2034" s="322"/>
      <c r="I2034" s="322"/>
      <c r="J2034" s="242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</row>
    <row r="2035" spans="1:26" ht="15.75" hidden="1" customHeight="1" outlineLevel="2">
      <c r="A2035" s="443"/>
      <c r="B2035" s="444"/>
      <c r="C2035"/>
      <c r="D2035"/>
      <c r="E2035" s="448"/>
      <c r="H2035" s="322"/>
      <c r="I2035" s="322"/>
      <c r="J2035" s="242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</row>
    <row r="2036" spans="1:26" ht="15.75" hidden="1" customHeight="1" outlineLevel="2">
      <c r="A2036" s="443"/>
      <c r="B2036" s="444"/>
      <c r="C2036"/>
      <c r="D2036"/>
      <c r="E2036" s="447"/>
      <c r="H2036" s="322"/>
      <c r="I2036" s="322"/>
      <c r="J2036" s="242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</row>
    <row r="2037" spans="1:26" ht="15.75" hidden="1" customHeight="1" outlineLevel="2">
      <c r="A2037" s="443"/>
      <c r="B2037" s="444"/>
      <c r="C2037"/>
      <c r="D2037"/>
      <c r="E2037" s="447"/>
      <c r="H2037" s="322"/>
      <c r="I2037" s="322"/>
      <c r="J2037" s="242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</row>
    <row r="2038" spans="1:26" ht="15.75" hidden="1" customHeight="1" outlineLevel="2">
      <c r="A2038" s="443"/>
      <c r="B2038" s="444"/>
      <c r="C2038"/>
      <c r="D2038"/>
      <c r="E2038" s="448"/>
      <c r="H2038" s="322"/>
      <c r="I2038" s="322"/>
      <c r="J2038" s="242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</row>
    <row r="2039" spans="1:26" ht="15.75" hidden="1" customHeight="1" outlineLevel="2">
      <c r="A2039" s="443"/>
      <c r="B2039" s="444"/>
      <c r="C2039"/>
      <c r="D2039"/>
      <c r="E2039" s="447"/>
      <c r="H2039" s="322"/>
      <c r="I2039" s="322"/>
      <c r="J2039" s="242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</row>
    <row r="2040" spans="1:26" ht="15.75" hidden="1" customHeight="1" outlineLevel="2">
      <c r="A2040" s="443"/>
      <c r="B2040" s="444"/>
      <c r="C2040"/>
      <c r="D2040"/>
      <c r="E2040" s="468"/>
      <c r="H2040" s="322"/>
      <c r="I2040" s="322"/>
      <c r="J2040" s="242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</row>
    <row r="2041" spans="1:26" ht="15.75" hidden="1" customHeight="1" outlineLevel="2">
      <c r="A2041" s="443"/>
      <c r="B2041" s="444"/>
      <c r="C2041"/>
      <c r="D2041"/>
      <c r="E2041" s="460"/>
      <c r="F2041" s="242"/>
      <c r="G2041"/>
      <c r="H2041" s="322"/>
      <c r="I2041" s="322"/>
      <c r="J2041" s="242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</row>
    <row r="2042" spans="1:26" ht="15.75" hidden="1" customHeight="1" outlineLevel="2">
      <c r="A2042" s="443"/>
      <c r="B2042" s="444"/>
      <c r="C2042"/>
      <c r="D2042"/>
      <c r="E2042" s="460"/>
      <c r="F2042" s="242"/>
      <c r="G2042"/>
      <c r="H2042" s="322"/>
      <c r="I2042" s="322"/>
      <c r="J2042" s="242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</row>
    <row r="2043" spans="1:26" ht="15.75" hidden="1" customHeight="1" outlineLevel="2">
      <c r="A2043" s="443"/>
      <c r="B2043" s="444"/>
      <c r="C2043"/>
      <c r="D2043"/>
      <c r="E2043" s="447"/>
      <c r="F2043" s="242"/>
      <c r="G2043"/>
      <c r="H2043" s="322"/>
      <c r="I2043" s="322"/>
      <c r="J2043" s="242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</row>
    <row r="2044" spans="1:26" ht="15.75" hidden="1" customHeight="1" outlineLevel="2">
      <c r="A2044" s="443"/>
      <c r="B2044" s="444"/>
      <c r="C2044"/>
      <c r="D2044"/>
      <c r="E2044" s="447"/>
      <c r="F2044" s="242"/>
      <c r="G2044"/>
      <c r="H2044" s="322"/>
      <c r="I2044" s="322"/>
      <c r="J2044" s="242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</row>
    <row r="2045" spans="1:26" ht="15.75" hidden="1" customHeight="1" outlineLevel="2">
      <c r="A2045" s="443"/>
      <c r="B2045" s="444"/>
      <c r="C2045"/>
      <c r="D2045"/>
      <c r="E2045" s="447"/>
      <c r="F2045" s="242"/>
      <c r="G2045"/>
      <c r="H2045" s="322"/>
      <c r="I2045" s="322"/>
      <c r="J2045" s="242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</row>
    <row r="2046" spans="1:26" ht="15.75" hidden="1" customHeight="1" outlineLevel="2">
      <c r="A2046" s="443"/>
      <c r="B2046" s="444"/>
      <c r="C2046"/>
      <c r="D2046"/>
      <c r="E2046" s="447"/>
      <c r="F2046" s="242"/>
      <c r="G2046"/>
      <c r="H2046" s="322"/>
      <c r="I2046" s="322"/>
      <c r="J2046" s="242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</row>
    <row r="2047" spans="1:26" ht="15.75" hidden="1" customHeight="1" outlineLevel="2">
      <c r="A2047" s="443"/>
      <c r="B2047" s="444"/>
      <c r="C2047"/>
      <c r="D2047"/>
      <c r="E2047" s="447"/>
      <c r="F2047" s="242"/>
      <c r="G2047"/>
      <c r="H2047" s="322"/>
      <c r="I2047" s="322"/>
      <c r="J2047" s="242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</row>
    <row r="2048" spans="1:26" ht="15.75" hidden="1" customHeight="1" outlineLevel="2">
      <c r="A2048" s="443"/>
      <c r="B2048" s="444"/>
      <c r="C2048"/>
      <c r="D2048"/>
      <c r="E2048" s="447"/>
      <c r="F2048" s="242"/>
      <c r="G2048"/>
      <c r="H2048" s="322"/>
      <c r="I2048" s="322"/>
      <c r="J2048" s="242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</row>
    <row r="2049" spans="1:26" ht="15.75" hidden="1" customHeight="1" outlineLevel="2">
      <c r="A2049" s="443"/>
      <c r="B2049" s="444"/>
      <c r="C2049"/>
      <c r="D2049"/>
      <c r="E2049" s="447"/>
      <c r="F2049" s="242"/>
      <c r="G2049"/>
      <c r="H2049" s="322"/>
      <c r="I2049" s="322"/>
      <c r="J2049" s="242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</row>
    <row r="2050" spans="1:26" ht="15.75" hidden="1" customHeight="1" outlineLevel="2">
      <c r="A2050" s="443"/>
      <c r="B2050" s="444"/>
      <c r="C2050"/>
      <c r="D2050"/>
      <c r="E2050" s="447"/>
      <c r="H2050" s="322"/>
      <c r="I2050" s="322"/>
      <c r="J2050" s="242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</row>
    <row r="2051" spans="1:26" ht="15.75" hidden="1" customHeight="1" outlineLevel="2">
      <c r="A2051" s="443"/>
      <c r="B2051" s="444"/>
      <c r="C2051"/>
      <c r="D2051"/>
      <c r="E2051" s="447"/>
      <c r="H2051" s="322"/>
      <c r="I2051" s="322"/>
      <c r="J2051" s="242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</row>
    <row r="2052" spans="1:26" ht="15.75" hidden="1" customHeight="1" outlineLevel="2">
      <c r="A2052" s="443"/>
      <c r="B2052" s="444"/>
      <c r="C2052"/>
      <c r="D2052"/>
      <c r="E2052" s="447"/>
      <c r="H2052" s="322"/>
      <c r="I2052" s="322"/>
      <c r="J2052" s="242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</row>
    <row r="2053" spans="1:26" ht="15.75" hidden="1" customHeight="1" outlineLevel="2">
      <c r="A2053" s="443"/>
      <c r="B2053" s="444"/>
      <c r="C2053"/>
      <c r="D2053"/>
      <c r="E2053" s="447"/>
      <c r="H2053" s="322"/>
      <c r="I2053" s="322"/>
      <c r="J2053" s="242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</row>
    <row r="2054" spans="1:26" ht="15.75" hidden="1" customHeight="1" outlineLevel="2">
      <c r="A2054" s="443"/>
      <c r="B2054" s="444"/>
      <c r="C2054"/>
      <c r="D2054"/>
      <c r="E2054" s="447"/>
      <c r="H2054" s="322"/>
      <c r="I2054" s="322"/>
      <c r="J2054" s="242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</row>
    <row r="2055" spans="1:26" ht="15.75" hidden="1" customHeight="1" outlineLevel="2">
      <c r="A2055" s="443"/>
      <c r="B2055" s="444"/>
      <c r="C2055"/>
      <c r="D2055"/>
      <c r="E2055" s="447"/>
      <c r="H2055" s="322"/>
      <c r="I2055" s="322"/>
      <c r="J2055" s="242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</row>
    <row r="2056" spans="1:26" ht="15.75" hidden="1" customHeight="1" outlineLevel="2">
      <c r="A2056" s="443"/>
      <c r="B2056" s="444"/>
      <c r="C2056"/>
      <c r="D2056"/>
      <c r="E2056" s="464"/>
      <c r="H2056" s="322"/>
      <c r="I2056" s="322"/>
      <c r="J2056" s="242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</row>
    <row r="2057" spans="1:26" ht="15.75" hidden="1" customHeight="1" outlineLevel="2">
      <c r="A2057" s="443"/>
      <c r="B2057" s="444"/>
      <c r="C2057"/>
      <c r="D2057"/>
      <c r="E2057" s="448"/>
      <c r="H2057" s="322"/>
      <c r="I2057" s="322"/>
      <c r="J2057" s="242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</row>
    <row r="2058" spans="1:26" ht="15.75" hidden="1" customHeight="1" outlineLevel="2">
      <c r="A2058" s="443"/>
      <c r="B2058" s="444"/>
      <c r="C2058"/>
      <c r="D2058"/>
      <c r="E2058" s="448"/>
      <c r="H2058" s="322"/>
      <c r="I2058" s="322"/>
      <c r="J2058" s="242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</row>
    <row r="2059" spans="1:26" ht="15.75" hidden="1" customHeight="1" outlineLevel="2">
      <c r="A2059" s="443"/>
      <c r="B2059" s="444"/>
      <c r="C2059"/>
      <c r="D2059"/>
      <c r="E2059" s="448"/>
      <c r="H2059" s="322"/>
      <c r="I2059" s="322"/>
      <c r="J2059" s="242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</row>
    <row r="2060" spans="1:26" ht="15.75" hidden="1" customHeight="1" outlineLevel="2">
      <c r="A2060" s="443"/>
      <c r="B2060" s="444"/>
      <c r="C2060"/>
      <c r="D2060"/>
      <c r="E2060" s="448"/>
      <c r="H2060" s="322"/>
      <c r="I2060" s="322"/>
      <c r="J2060" s="242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</row>
    <row r="2061" spans="1:26" ht="15.75" hidden="1" customHeight="1" outlineLevel="2">
      <c r="A2061" s="443"/>
      <c r="B2061" s="444"/>
      <c r="C2061"/>
      <c r="D2061"/>
      <c r="E2061" s="452"/>
      <c r="H2061" s="322"/>
      <c r="I2061" s="322"/>
      <c r="J2061" s="242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</row>
    <row r="2062" spans="1:26" ht="15.75" hidden="1" customHeight="1" outlineLevel="2">
      <c r="A2062" s="443"/>
      <c r="B2062" s="444"/>
      <c r="C2062"/>
      <c r="D2062"/>
      <c r="E2062" s="452"/>
      <c r="H2062" s="322"/>
      <c r="I2062" s="322"/>
      <c r="J2062" s="242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</row>
    <row r="2063" spans="1:26" ht="15.75" hidden="1" customHeight="1" outlineLevel="2">
      <c r="A2063" s="443"/>
      <c r="B2063" s="444"/>
      <c r="C2063"/>
      <c r="D2063"/>
      <c r="E2063" s="452"/>
      <c r="H2063" s="322"/>
      <c r="I2063" s="322"/>
      <c r="J2063" s="242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</row>
    <row r="2064" spans="1:26" ht="15.75" hidden="1" customHeight="1" outlineLevel="2">
      <c r="A2064" s="443"/>
      <c r="B2064" s="444"/>
      <c r="C2064"/>
      <c r="D2064"/>
      <c r="E2064" s="448"/>
      <c r="H2064" s="322"/>
      <c r="I2064" s="322"/>
      <c r="J2064" s="242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</row>
    <row r="2065" spans="1:26" ht="15.75" hidden="1" customHeight="1" outlineLevel="2">
      <c r="A2065" s="443"/>
      <c r="B2065" s="444"/>
      <c r="C2065"/>
      <c r="D2065"/>
      <c r="E2065" s="447"/>
      <c r="F2065" s="242"/>
      <c r="G2065"/>
      <c r="H2065" s="322"/>
      <c r="I2065" s="322"/>
      <c r="J2065" s="242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</row>
    <row r="2066" spans="1:26" ht="15.75" hidden="1" customHeight="1" outlineLevel="2">
      <c r="A2066" s="443"/>
      <c r="B2066" s="444"/>
      <c r="C2066"/>
      <c r="D2066"/>
      <c r="E2066" s="469"/>
      <c r="F2066" s="242"/>
      <c r="G2066"/>
      <c r="H2066" s="322"/>
      <c r="I2066" s="322"/>
      <c r="J2066" s="242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</row>
    <row r="2067" spans="1:26" ht="15.75" hidden="1" customHeight="1" outlineLevel="2">
      <c r="A2067" s="443"/>
      <c r="B2067" s="444"/>
      <c r="C2067"/>
      <c r="D2067"/>
      <c r="E2067" s="447"/>
      <c r="F2067" s="242"/>
      <c r="G2067"/>
      <c r="H2067" s="322"/>
      <c r="I2067" s="322"/>
      <c r="J2067" s="242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</row>
    <row r="2068" spans="1:26" ht="15.75" hidden="1" customHeight="1" outlineLevel="2">
      <c r="A2068" s="443"/>
      <c r="B2068" s="444"/>
      <c r="C2068"/>
      <c r="D2068"/>
      <c r="E2068" s="448"/>
      <c r="F2068" s="242"/>
      <c r="G2068"/>
      <c r="H2068" s="322"/>
      <c r="I2068" s="322"/>
      <c r="J2068" s="242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</row>
    <row r="2069" spans="1:26" ht="15.75" hidden="1" customHeight="1" outlineLevel="2">
      <c r="A2069" s="443"/>
      <c r="B2069" s="444"/>
      <c r="C2069"/>
      <c r="D2069"/>
      <c r="E2069" s="448"/>
      <c r="F2069" s="242"/>
      <c r="G2069"/>
      <c r="H2069" s="322"/>
      <c r="I2069" s="322"/>
      <c r="J2069" s="242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</row>
    <row r="2070" spans="1:26" ht="15.75" hidden="1" customHeight="1" outlineLevel="2">
      <c r="A2070" s="443"/>
      <c r="B2070" s="444"/>
      <c r="C2070"/>
      <c r="D2070"/>
      <c r="E2070" s="448"/>
      <c r="F2070" s="242"/>
      <c r="G2070"/>
      <c r="H2070" s="322"/>
      <c r="I2070" s="322"/>
      <c r="J2070" s="242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</row>
    <row r="2071" spans="1:26" ht="15.75" hidden="1" customHeight="1" outlineLevel="2">
      <c r="A2071" s="443"/>
      <c r="B2071" s="444"/>
      <c r="C2071"/>
      <c r="D2071"/>
      <c r="E2071" s="448"/>
      <c r="F2071" s="242"/>
      <c r="G2071"/>
      <c r="H2071" s="322"/>
      <c r="I2071" s="322"/>
      <c r="J2071" s="242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</row>
    <row r="2072" spans="1:26" ht="15.75" hidden="1" customHeight="1" outlineLevel="2">
      <c r="A2072" s="443"/>
      <c r="B2072" s="444"/>
      <c r="C2072"/>
      <c r="D2072"/>
      <c r="E2072" s="448"/>
      <c r="F2072" s="242"/>
      <c r="G2072"/>
      <c r="H2072" s="322"/>
      <c r="I2072" s="322"/>
      <c r="J2072" s="242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</row>
    <row r="2073" spans="1:26" ht="15.75" hidden="1" customHeight="1" outlineLevel="2">
      <c r="A2073" s="443"/>
      <c r="B2073" s="444"/>
      <c r="C2073"/>
      <c r="D2073"/>
      <c r="E2073" s="448"/>
      <c r="F2073" s="242"/>
      <c r="G2073"/>
      <c r="H2073" s="322"/>
      <c r="I2073" s="322"/>
      <c r="J2073" s="242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</row>
    <row r="2074" spans="1:26" ht="15.75" hidden="1" customHeight="1" outlineLevel="2">
      <c r="A2074" s="443"/>
      <c r="B2074" s="444"/>
      <c r="C2074"/>
      <c r="D2074"/>
      <c r="E2074" s="448"/>
      <c r="F2074" s="242"/>
      <c r="G2074"/>
      <c r="H2074" s="322"/>
      <c r="I2074" s="322"/>
      <c r="J2074" s="242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</row>
    <row r="2075" spans="1:26" ht="15.75" hidden="1" customHeight="1" outlineLevel="2">
      <c r="A2075" s="443"/>
      <c r="B2075" s="444"/>
      <c r="C2075"/>
      <c r="D2075"/>
      <c r="E2075" s="448"/>
      <c r="H2075" s="322"/>
      <c r="I2075" s="322"/>
      <c r="J2075" s="242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</row>
    <row r="2076" spans="1:26" ht="15.75" hidden="1" customHeight="1" outlineLevel="2">
      <c r="A2076" s="443"/>
      <c r="B2076" s="444"/>
      <c r="C2076"/>
      <c r="D2076"/>
      <c r="E2076" s="448"/>
      <c r="H2076" s="322"/>
      <c r="I2076" s="322"/>
      <c r="J2076" s="242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</row>
    <row r="2077" spans="1:26" ht="15.75" hidden="1" customHeight="1" outlineLevel="2">
      <c r="A2077" s="443"/>
      <c r="B2077" s="444"/>
      <c r="C2077"/>
      <c r="D2077"/>
      <c r="E2077" s="448"/>
      <c r="H2077" s="322"/>
      <c r="I2077" s="322"/>
      <c r="J2077" s="242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</row>
    <row r="2078" spans="1:26" ht="15.75" hidden="1" customHeight="1" outlineLevel="2">
      <c r="A2078" s="443"/>
      <c r="B2078" s="444"/>
      <c r="C2078"/>
      <c r="D2078"/>
      <c r="E2078" s="448"/>
      <c r="H2078" s="322"/>
      <c r="I2078" s="322"/>
      <c r="J2078" s="242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</row>
    <row r="2079" spans="1:26" ht="15.75" hidden="1" customHeight="1" outlineLevel="2">
      <c r="A2079" s="443"/>
      <c r="B2079" s="444"/>
      <c r="C2079"/>
      <c r="D2079"/>
      <c r="E2079" s="457"/>
      <c r="H2079" s="322"/>
      <c r="I2079" s="322"/>
      <c r="J2079" s="242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</row>
    <row r="2080" spans="1:26" ht="15.75" hidden="1" customHeight="1" outlineLevel="2">
      <c r="A2080" s="443"/>
      <c r="B2080" s="444"/>
      <c r="C2080"/>
      <c r="D2080"/>
      <c r="E2080" s="448"/>
      <c r="H2080" s="322"/>
      <c r="I2080" s="322"/>
      <c r="J2080" s="242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</row>
    <row r="2081" spans="1:26" ht="15.75" hidden="1" customHeight="1" outlineLevel="2">
      <c r="A2081" s="443"/>
      <c r="B2081" s="444"/>
      <c r="C2081"/>
      <c r="D2081"/>
      <c r="E2081" s="448"/>
      <c r="H2081" s="322"/>
      <c r="I2081" s="322"/>
      <c r="J2081" s="242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</row>
    <row r="2082" spans="1:26" ht="15.75" hidden="1" customHeight="1" outlineLevel="2">
      <c r="A2082" s="443"/>
      <c r="B2082" s="444"/>
      <c r="C2082"/>
      <c r="D2082"/>
      <c r="E2082" s="448"/>
      <c r="H2082" s="322"/>
      <c r="I2082" s="322"/>
      <c r="J2082" s="242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</row>
    <row r="2083" spans="1:26" ht="15.75" hidden="1" customHeight="1" outlineLevel="2">
      <c r="A2083" s="443"/>
      <c r="B2083" s="444"/>
      <c r="C2083"/>
      <c r="D2083"/>
      <c r="E2083" s="448"/>
      <c r="F2083" s="242"/>
      <c r="G2083"/>
      <c r="H2083" s="322"/>
      <c r="I2083" s="322"/>
      <c r="J2083" s="242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</row>
    <row r="2084" spans="1:26" ht="15.75" hidden="1" customHeight="1" outlineLevel="2">
      <c r="A2084" s="443"/>
      <c r="B2084" s="444"/>
      <c r="C2084"/>
      <c r="D2084"/>
      <c r="E2084" s="457"/>
      <c r="F2084" s="242"/>
      <c r="G2084"/>
      <c r="H2084" s="322"/>
      <c r="I2084" s="322"/>
      <c r="J2084" s="242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</row>
    <row r="2085" spans="1:26" ht="15.75" hidden="1" customHeight="1" outlineLevel="2">
      <c r="A2085" s="443"/>
      <c r="B2085" s="444"/>
      <c r="C2085"/>
      <c r="D2085"/>
      <c r="E2085" s="457"/>
      <c r="F2085" s="242"/>
      <c r="G2085"/>
      <c r="H2085" s="322"/>
      <c r="I2085" s="322"/>
      <c r="J2085" s="242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</row>
    <row r="2086" spans="1:26" ht="15.75" hidden="1" customHeight="1" outlineLevel="2">
      <c r="A2086" s="443"/>
      <c r="B2086" s="444"/>
      <c r="C2086"/>
      <c r="D2086"/>
      <c r="E2086" s="448"/>
      <c r="F2086" s="242"/>
      <c r="G2086"/>
      <c r="H2086" s="322"/>
      <c r="I2086" s="322"/>
      <c r="J2086" s="242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</row>
    <row r="2087" spans="1:26" ht="15.75" hidden="1" customHeight="1" outlineLevel="2">
      <c r="A2087" s="443"/>
      <c r="B2087" s="444"/>
      <c r="C2087"/>
      <c r="D2087"/>
      <c r="E2087" s="448"/>
      <c r="F2087" s="242"/>
      <c r="G2087"/>
      <c r="H2087" s="322"/>
      <c r="I2087" s="322"/>
      <c r="J2087" s="242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</row>
    <row r="2088" spans="1:26" ht="15.75" hidden="1" customHeight="1" outlineLevel="2">
      <c r="A2088" s="443"/>
      <c r="B2088" s="444"/>
      <c r="C2088"/>
      <c r="D2088"/>
      <c r="E2088" s="448"/>
      <c r="F2088" s="242"/>
      <c r="G2088"/>
      <c r="H2088" s="322"/>
      <c r="I2088" s="322"/>
      <c r="J2088" s="242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</row>
    <row r="2089" spans="1:26" ht="15.75" hidden="1" customHeight="1" outlineLevel="2">
      <c r="A2089" s="443"/>
      <c r="B2089" s="444"/>
      <c r="C2089"/>
      <c r="D2089"/>
      <c r="E2089" s="448"/>
      <c r="F2089" s="242"/>
      <c r="G2089"/>
      <c r="H2089" s="322"/>
      <c r="I2089" s="322"/>
      <c r="J2089" s="242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</row>
    <row r="2090" spans="1:26" ht="15.75" hidden="1" customHeight="1" outlineLevel="2">
      <c r="A2090" s="443"/>
      <c r="B2090" s="444"/>
      <c r="C2090"/>
      <c r="D2090"/>
      <c r="E2090" s="448"/>
      <c r="F2090" s="242"/>
      <c r="G2090"/>
      <c r="H2090" s="322"/>
      <c r="I2090" s="322"/>
      <c r="J2090" s="242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</row>
    <row r="2091" spans="1:26" ht="15.75" hidden="1" customHeight="1" outlineLevel="2">
      <c r="A2091" s="443"/>
      <c r="B2091" s="444"/>
      <c r="C2091"/>
      <c r="D2091"/>
      <c r="E2091" s="449"/>
      <c r="F2091" s="242"/>
      <c r="G2091"/>
      <c r="H2091" s="322"/>
      <c r="I2091" s="322"/>
      <c r="J2091" s="242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</row>
    <row r="2092" spans="1:26" ht="15.75" hidden="1" customHeight="1" outlineLevel="2">
      <c r="A2092" s="443"/>
      <c r="B2092" s="444"/>
      <c r="C2092"/>
      <c r="D2092"/>
      <c r="E2092" s="449"/>
      <c r="F2092" s="242"/>
      <c r="G2092"/>
      <c r="H2092" s="322"/>
      <c r="I2092" s="322"/>
      <c r="J2092" s="242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</row>
    <row r="2093" spans="1:26" ht="15.75" hidden="1" customHeight="1" outlineLevel="2">
      <c r="A2093" s="443"/>
      <c r="B2093" s="444"/>
      <c r="C2093"/>
      <c r="D2093"/>
      <c r="E2093" s="448"/>
      <c r="F2093" s="242"/>
      <c r="G2093"/>
      <c r="H2093" s="322"/>
      <c r="I2093" s="322"/>
      <c r="J2093" s="242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</row>
    <row r="2094" spans="1:26" ht="15.75" hidden="1" customHeight="1" outlineLevel="2">
      <c r="A2094" s="443"/>
      <c r="B2094" s="444"/>
      <c r="C2094"/>
      <c r="D2094"/>
      <c r="E2094" s="448"/>
      <c r="F2094" s="242"/>
      <c r="G2094"/>
      <c r="H2094" s="322"/>
      <c r="I2094" s="322"/>
      <c r="J2094" s="242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</row>
    <row r="2095" spans="1:26" ht="15.75" hidden="1" customHeight="1" outlineLevel="2">
      <c r="A2095" s="443"/>
      <c r="B2095" s="444"/>
      <c r="C2095"/>
      <c r="D2095"/>
      <c r="E2095" s="448"/>
      <c r="F2095" s="242"/>
      <c r="G2095"/>
      <c r="H2095" s="322"/>
      <c r="I2095" s="322"/>
      <c r="J2095" s="242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</row>
    <row r="2096" spans="1:26" ht="15.75" hidden="1" customHeight="1" outlineLevel="2">
      <c r="A2096" s="443"/>
      <c r="B2096" s="444"/>
      <c r="C2096"/>
      <c r="D2096"/>
      <c r="E2096" s="448"/>
      <c r="F2096" s="242"/>
      <c r="G2096"/>
      <c r="H2096" s="322"/>
      <c r="I2096" s="322"/>
      <c r="J2096" s="242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</row>
    <row r="2097" spans="1:26" ht="15.75" hidden="1" customHeight="1" outlineLevel="2">
      <c r="A2097" s="443"/>
      <c r="B2097" s="444"/>
      <c r="C2097"/>
      <c r="D2097"/>
      <c r="E2097" s="467"/>
      <c r="F2097" s="242"/>
      <c r="G2097"/>
      <c r="H2097" s="322"/>
      <c r="I2097" s="322"/>
      <c r="J2097" s="242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</row>
    <row r="2098" spans="1:26" ht="15.75" hidden="1" customHeight="1" outlineLevel="2">
      <c r="A2098" s="443"/>
      <c r="B2098" s="444"/>
      <c r="C2098"/>
      <c r="D2098"/>
      <c r="E2098" s="457"/>
      <c r="F2098" s="242"/>
      <c r="G2098"/>
      <c r="H2098" s="322"/>
      <c r="I2098" s="322"/>
      <c r="J2098" s="242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</row>
    <row r="2099" spans="1:26" ht="15.75" hidden="1" customHeight="1" outlineLevel="2">
      <c r="A2099" s="443"/>
      <c r="B2099" s="444"/>
      <c r="C2099"/>
      <c r="D2099"/>
      <c r="E2099" s="448"/>
      <c r="F2099" s="242"/>
      <c r="G2099"/>
      <c r="H2099" s="322"/>
      <c r="I2099" s="322"/>
      <c r="J2099" s="242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</row>
    <row r="2100" spans="1:26" ht="15.75" hidden="1" customHeight="1" outlineLevel="2">
      <c r="A2100" s="443"/>
      <c r="B2100" s="444"/>
      <c r="C2100"/>
      <c r="D2100"/>
      <c r="E2100" s="457"/>
      <c r="F2100" s="242"/>
      <c r="G2100"/>
      <c r="H2100" s="322"/>
      <c r="I2100" s="322"/>
      <c r="J2100" s="242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</row>
    <row r="2101" spans="1:26" ht="15.75" hidden="1" customHeight="1" outlineLevel="2">
      <c r="A2101" s="443"/>
      <c r="B2101" s="444"/>
      <c r="C2101"/>
      <c r="D2101"/>
      <c r="E2101" s="448"/>
      <c r="F2101" s="242"/>
      <c r="G2101"/>
      <c r="H2101" s="322"/>
      <c r="I2101" s="322"/>
      <c r="J2101" s="242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</row>
    <row r="2102" spans="1:26" ht="15.75" hidden="1" customHeight="1" outlineLevel="2">
      <c r="A2102" s="443"/>
      <c r="B2102" s="444"/>
      <c r="C2102"/>
      <c r="D2102"/>
      <c r="E2102" s="448"/>
      <c r="F2102" s="242"/>
      <c r="G2102"/>
      <c r="H2102" s="322"/>
      <c r="I2102" s="322"/>
      <c r="J2102" s="242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</row>
    <row r="2103" spans="1:26" ht="15.75" hidden="1" customHeight="1" outlineLevel="2">
      <c r="A2103" s="443"/>
      <c r="B2103" s="444"/>
      <c r="C2103"/>
      <c r="D2103"/>
      <c r="E2103" s="448"/>
      <c r="F2103" s="242"/>
      <c r="G2103"/>
      <c r="H2103" s="322"/>
      <c r="I2103" s="322"/>
      <c r="J2103" s="242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</row>
    <row r="2104" spans="1:26" ht="15.75" hidden="1" customHeight="1" outlineLevel="2">
      <c r="A2104" s="443"/>
      <c r="B2104" s="444"/>
      <c r="C2104"/>
      <c r="D2104"/>
      <c r="E2104" s="448"/>
      <c r="F2104" s="242"/>
      <c r="G2104"/>
      <c r="H2104" s="322"/>
      <c r="I2104" s="322"/>
      <c r="J2104" s="242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</row>
    <row r="2105" spans="1:26" ht="15.75" hidden="1" customHeight="1" outlineLevel="2">
      <c r="A2105" s="443"/>
      <c r="B2105" s="444"/>
      <c r="C2105"/>
      <c r="D2105"/>
      <c r="E2105" s="448"/>
      <c r="F2105" s="242"/>
      <c r="G2105"/>
      <c r="H2105" s="322"/>
      <c r="I2105" s="322"/>
      <c r="J2105" s="242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</row>
    <row r="2106" spans="1:26" ht="15.75" hidden="1" customHeight="1" outlineLevel="2">
      <c r="A2106" s="443"/>
      <c r="B2106" s="444"/>
      <c r="C2106"/>
      <c r="D2106"/>
      <c r="E2106" s="449"/>
      <c r="F2106" s="242"/>
      <c r="G2106"/>
      <c r="H2106" s="322"/>
      <c r="I2106" s="322"/>
      <c r="J2106" s="242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</row>
    <row r="2107" spans="1:26" ht="15.75" hidden="1" customHeight="1" outlineLevel="2">
      <c r="A2107" s="443"/>
      <c r="B2107" s="444"/>
      <c r="C2107"/>
      <c r="D2107"/>
      <c r="E2107" s="448"/>
      <c r="F2107" s="242"/>
      <c r="G2107"/>
      <c r="H2107" s="322"/>
      <c r="I2107" s="322"/>
      <c r="J2107" s="242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</row>
    <row r="2108" spans="1:26" ht="15.75" hidden="1" customHeight="1" outlineLevel="2">
      <c r="A2108" s="443"/>
      <c r="B2108" s="444"/>
      <c r="C2108"/>
      <c r="D2108"/>
      <c r="E2108" s="448"/>
      <c r="F2108" s="242"/>
      <c r="G2108"/>
      <c r="H2108" s="322"/>
      <c r="I2108" s="322"/>
      <c r="J2108" s="242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</row>
    <row r="2109" spans="1:26" ht="15.75" hidden="1" customHeight="1" outlineLevel="2">
      <c r="A2109" s="443"/>
      <c r="B2109" s="444"/>
      <c r="C2109"/>
      <c r="D2109"/>
      <c r="E2109" s="448"/>
      <c r="F2109" s="242"/>
      <c r="G2109"/>
      <c r="H2109" s="322"/>
      <c r="I2109" s="322"/>
      <c r="J2109" s="242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</row>
    <row r="2110" spans="1:26" ht="15.75" hidden="1" customHeight="1" outlineLevel="2">
      <c r="A2110" s="443"/>
      <c r="B2110" s="444"/>
      <c r="C2110"/>
      <c r="D2110"/>
      <c r="E2110" s="448"/>
      <c r="F2110" s="242"/>
      <c r="G2110"/>
      <c r="H2110" s="322"/>
      <c r="I2110" s="322"/>
      <c r="J2110" s="242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</row>
    <row r="2111" spans="1:26" ht="15.75" hidden="1" customHeight="1" outlineLevel="2">
      <c r="A2111" s="443"/>
      <c r="B2111" s="444"/>
      <c r="C2111"/>
      <c r="D2111"/>
      <c r="E2111" s="448"/>
      <c r="F2111" s="242"/>
      <c r="G2111"/>
      <c r="H2111" s="322"/>
      <c r="I2111" s="322"/>
      <c r="J2111" s="242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</row>
    <row r="2112" spans="1:26" ht="15.75" hidden="1" customHeight="1" outlineLevel="2">
      <c r="A2112" s="443"/>
      <c r="B2112" s="444"/>
      <c r="C2112"/>
      <c r="D2112"/>
      <c r="E2112" s="448"/>
      <c r="F2112" s="242"/>
      <c r="G2112"/>
      <c r="H2112" s="322"/>
      <c r="I2112" s="322"/>
      <c r="J2112" s="242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</row>
    <row r="2113" spans="1:26" ht="15.75" hidden="1" customHeight="1" outlineLevel="2">
      <c r="A2113" s="443"/>
      <c r="B2113" s="444"/>
      <c r="C2113"/>
      <c r="D2113"/>
      <c r="E2113" s="448"/>
      <c r="F2113" s="242"/>
      <c r="G2113"/>
      <c r="H2113" s="322"/>
      <c r="I2113" s="322"/>
      <c r="J2113" s="242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</row>
    <row r="2114" spans="1:26" ht="15.75" hidden="1" customHeight="1" outlineLevel="2">
      <c r="A2114" s="443"/>
      <c r="B2114" s="444"/>
      <c r="C2114"/>
      <c r="D2114"/>
      <c r="E2114" s="452"/>
      <c r="F2114" s="242"/>
      <c r="G2114"/>
      <c r="H2114" s="322"/>
      <c r="I2114" s="322"/>
      <c r="J2114" s="242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</row>
    <row r="2115" spans="1:26" ht="15.75" hidden="1" customHeight="1" outlineLevel="2">
      <c r="A2115" s="443"/>
      <c r="B2115" s="444"/>
      <c r="C2115"/>
      <c r="D2115"/>
      <c r="E2115" s="448"/>
      <c r="F2115" s="242"/>
      <c r="G2115"/>
      <c r="H2115" s="322"/>
      <c r="I2115" s="322"/>
      <c r="J2115" s="242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</row>
    <row r="2116" spans="1:26" ht="15.75" hidden="1" customHeight="1" outlineLevel="2">
      <c r="A2116" s="443"/>
      <c r="B2116" s="444"/>
      <c r="C2116"/>
      <c r="D2116"/>
      <c r="E2116" s="448"/>
      <c r="F2116" s="242"/>
      <c r="G2116"/>
      <c r="H2116" s="322"/>
      <c r="I2116" s="322"/>
      <c r="J2116" s="242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</row>
    <row r="2117" spans="1:26" ht="15.75" hidden="1" customHeight="1" outlineLevel="2">
      <c r="A2117" s="443"/>
      <c r="B2117" s="444"/>
      <c r="C2117"/>
      <c r="D2117"/>
      <c r="E2117" s="448"/>
      <c r="F2117" s="242"/>
      <c r="G2117"/>
      <c r="H2117" s="322"/>
      <c r="I2117" s="322"/>
      <c r="J2117" s="242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</row>
    <row r="2118" spans="1:26" ht="15.75" hidden="1" customHeight="1" outlineLevel="2">
      <c r="A2118" s="443"/>
      <c r="B2118" s="444"/>
      <c r="C2118"/>
      <c r="D2118"/>
      <c r="E2118" s="448"/>
      <c r="F2118" s="242"/>
      <c r="G2118"/>
      <c r="H2118" s="322"/>
      <c r="I2118" s="322"/>
      <c r="J2118" s="242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</row>
    <row r="2119" spans="1:26" ht="15.75" hidden="1" customHeight="1" outlineLevel="2">
      <c r="A2119" s="443"/>
      <c r="B2119" s="444"/>
      <c r="C2119"/>
      <c r="D2119"/>
      <c r="E2119" s="449"/>
      <c r="F2119" s="242"/>
      <c r="G2119"/>
      <c r="H2119" s="322"/>
      <c r="I2119" s="322"/>
      <c r="J2119" s="242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</row>
    <row r="2120" spans="1:26" ht="15.75" hidden="1" customHeight="1" outlineLevel="2">
      <c r="A2120" s="443"/>
      <c r="B2120" s="444"/>
      <c r="C2120"/>
      <c r="D2120"/>
      <c r="E2120" s="449"/>
      <c r="F2120" s="242"/>
      <c r="G2120"/>
      <c r="H2120" s="322"/>
      <c r="I2120" s="322"/>
      <c r="J2120" s="242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</row>
    <row r="2121" spans="1:26" ht="15.75" hidden="1" customHeight="1" outlineLevel="2">
      <c r="A2121" s="443"/>
      <c r="B2121" s="444"/>
      <c r="C2121"/>
      <c r="D2121"/>
      <c r="E2121" s="448"/>
      <c r="F2121" s="242"/>
      <c r="G2121"/>
      <c r="H2121" s="322"/>
      <c r="I2121" s="322"/>
      <c r="J2121" s="242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</row>
    <row r="2122" spans="1:26" ht="15.75" hidden="1" customHeight="1" outlineLevel="2">
      <c r="A2122" s="443"/>
      <c r="B2122" s="444"/>
      <c r="C2122"/>
      <c r="D2122"/>
      <c r="E2122" s="449"/>
      <c r="F2122" s="242"/>
      <c r="G2122"/>
      <c r="H2122" s="322"/>
      <c r="I2122" s="322"/>
      <c r="J2122" s="242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</row>
    <row r="2123" spans="1:26" ht="15.75" hidden="1" customHeight="1" outlineLevel="2">
      <c r="A2123" s="443"/>
      <c r="B2123" s="444"/>
      <c r="C2123"/>
      <c r="D2123"/>
      <c r="E2123" s="449"/>
      <c r="F2123" s="242"/>
      <c r="G2123"/>
      <c r="H2123" s="322"/>
      <c r="I2123" s="322"/>
      <c r="J2123" s="242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</row>
    <row r="2124" spans="1:26" ht="15.75" hidden="1" customHeight="1" outlineLevel="2">
      <c r="A2124" s="443"/>
      <c r="B2124" s="444"/>
      <c r="C2124"/>
      <c r="D2124"/>
      <c r="E2124" s="448"/>
      <c r="F2124" s="242"/>
      <c r="G2124"/>
      <c r="H2124" s="322"/>
      <c r="I2124" s="322"/>
      <c r="J2124" s="242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</row>
    <row r="2125" spans="1:26" ht="15.75" hidden="1" customHeight="1" outlineLevel="2">
      <c r="A2125" s="443"/>
      <c r="B2125" s="444"/>
      <c r="C2125"/>
      <c r="D2125"/>
      <c r="E2125" s="448"/>
      <c r="F2125" s="242"/>
      <c r="G2125"/>
      <c r="H2125" s="322"/>
      <c r="I2125" s="322"/>
      <c r="J2125" s="242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</row>
    <row r="2126" spans="1:26" ht="15.75" hidden="1" customHeight="1" outlineLevel="2">
      <c r="A2126" s="443"/>
      <c r="B2126" s="444"/>
      <c r="C2126"/>
      <c r="D2126"/>
      <c r="E2126" s="448"/>
      <c r="F2126" s="242"/>
      <c r="G2126"/>
      <c r="H2126" s="322"/>
      <c r="I2126" s="322"/>
      <c r="J2126" s="242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</row>
    <row r="2127" spans="1:26" ht="15.75" hidden="1" customHeight="1" outlineLevel="2">
      <c r="A2127" s="443"/>
      <c r="B2127" s="444"/>
      <c r="C2127"/>
      <c r="D2127"/>
      <c r="E2127" s="448"/>
      <c r="F2127" s="242"/>
      <c r="G2127"/>
      <c r="H2127" s="322"/>
      <c r="I2127" s="322"/>
      <c r="J2127" s="242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</row>
    <row r="2128" spans="1:26" ht="15.75" hidden="1" customHeight="1" outlineLevel="2">
      <c r="A2128" s="443"/>
      <c r="B2128" s="444"/>
      <c r="C2128"/>
      <c r="D2128"/>
      <c r="E2128" s="448"/>
      <c r="F2128" s="242"/>
      <c r="G2128"/>
      <c r="H2128" s="322"/>
      <c r="I2128" s="322"/>
      <c r="J2128" s="242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</row>
    <row r="2129" spans="1:26" ht="15.75" hidden="1" customHeight="1" outlineLevel="2">
      <c r="A2129" s="443"/>
      <c r="B2129" s="444"/>
      <c r="C2129"/>
      <c r="D2129"/>
      <c r="E2129" s="448"/>
      <c r="F2129" s="242"/>
      <c r="G2129"/>
      <c r="H2129" s="322"/>
      <c r="I2129" s="322"/>
      <c r="J2129" s="242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</row>
    <row r="2130" spans="1:26" ht="15.75" hidden="1" customHeight="1" outlineLevel="2">
      <c r="A2130" s="443"/>
      <c r="B2130" s="444"/>
      <c r="C2130"/>
      <c r="D2130"/>
      <c r="E2130" s="448"/>
      <c r="F2130" s="242"/>
      <c r="G2130"/>
      <c r="H2130" s="322"/>
      <c r="I2130" s="322"/>
      <c r="J2130" s="242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</row>
    <row r="2131" spans="1:26" ht="15.75" hidden="1" customHeight="1" outlineLevel="2">
      <c r="A2131" s="443"/>
      <c r="B2131" s="444"/>
      <c r="C2131"/>
      <c r="D2131"/>
      <c r="E2131" s="448"/>
      <c r="F2131" s="242"/>
      <c r="G2131"/>
      <c r="H2131" s="322"/>
      <c r="I2131" s="322"/>
      <c r="J2131" s="242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</row>
    <row r="2132" spans="1:26" ht="15.75" hidden="1" customHeight="1" outlineLevel="2">
      <c r="A2132" s="443"/>
      <c r="B2132" s="444"/>
      <c r="C2132"/>
      <c r="D2132"/>
      <c r="E2132" s="448"/>
      <c r="F2132" s="242"/>
      <c r="G2132"/>
      <c r="H2132" s="322"/>
      <c r="I2132" s="322"/>
      <c r="J2132" s="242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</row>
    <row r="2133" spans="1:26" ht="15.75" hidden="1" customHeight="1" outlineLevel="2">
      <c r="A2133" s="443"/>
      <c r="B2133" s="444"/>
      <c r="C2133"/>
      <c r="D2133"/>
      <c r="E2133" s="448"/>
      <c r="F2133" s="242"/>
      <c r="G2133"/>
      <c r="H2133" s="322"/>
      <c r="I2133" s="322"/>
      <c r="J2133" s="242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</row>
    <row r="2134" spans="1:26" ht="15.75" hidden="1" customHeight="1" outlineLevel="2">
      <c r="A2134" s="443"/>
      <c r="B2134" s="444"/>
      <c r="C2134"/>
      <c r="D2134"/>
      <c r="E2134" s="452"/>
      <c r="F2134" s="242"/>
      <c r="G2134"/>
      <c r="H2134" s="322"/>
      <c r="I2134" s="322"/>
      <c r="J2134" s="242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</row>
    <row r="2135" spans="1:26" ht="15.75" hidden="1" customHeight="1" outlineLevel="2">
      <c r="A2135" s="443"/>
      <c r="B2135" s="444"/>
      <c r="C2135"/>
      <c r="D2135"/>
      <c r="E2135" s="449"/>
      <c r="F2135" s="242"/>
      <c r="G2135"/>
      <c r="H2135" s="322"/>
      <c r="I2135" s="322"/>
      <c r="J2135" s="242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</row>
    <row r="2136" spans="1:26" ht="15.75" hidden="1" customHeight="1" outlineLevel="2">
      <c r="A2136" s="443"/>
      <c r="B2136" s="444"/>
      <c r="C2136"/>
      <c r="D2136"/>
      <c r="E2136" s="452"/>
      <c r="F2136" s="242"/>
      <c r="G2136"/>
      <c r="H2136" s="322"/>
      <c r="I2136" s="322"/>
      <c r="J2136" s="242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</row>
    <row r="2137" spans="1:26" ht="15.75" hidden="1" customHeight="1" outlineLevel="2">
      <c r="A2137" s="443"/>
      <c r="B2137" s="444"/>
      <c r="C2137"/>
      <c r="D2137"/>
      <c r="E2137" s="448"/>
      <c r="F2137" s="242"/>
      <c r="G2137"/>
      <c r="H2137" s="322"/>
      <c r="I2137" s="322"/>
      <c r="J2137" s="242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</row>
    <row r="2138" spans="1:26" ht="15.75" hidden="1" customHeight="1" outlineLevel="2">
      <c r="A2138" s="443"/>
      <c r="B2138" s="444"/>
      <c r="C2138"/>
      <c r="D2138"/>
      <c r="E2138" s="448"/>
      <c r="F2138" s="242"/>
      <c r="G2138"/>
      <c r="H2138" s="322"/>
      <c r="I2138" s="322"/>
      <c r="J2138" s="242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</row>
    <row r="2139" spans="1:26" ht="15.75" hidden="1" customHeight="1" outlineLevel="2">
      <c r="A2139" s="443"/>
      <c r="B2139" s="444"/>
      <c r="C2139"/>
      <c r="D2139"/>
      <c r="E2139" s="448"/>
      <c r="F2139" s="242"/>
      <c r="G2139"/>
      <c r="H2139" s="322"/>
      <c r="I2139" s="322"/>
      <c r="J2139" s="242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</row>
    <row r="2140" spans="1:26" ht="15.75" hidden="1" customHeight="1" outlineLevel="2">
      <c r="A2140" s="443"/>
      <c r="B2140" s="444"/>
      <c r="C2140"/>
      <c r="D2140"/>
      <c r="E2140" s="448"/>
      <c r="F2140" s="242"/>
      <c r="G2140"/>
      <c r="H2140" s="322"/>
      <c r="I2140" s="322"/>
      <c r="J2140" s="242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</row>
    <row r="2141" spans="1:26" ht="15.75" hidden="1" customHeight="1" outlineLevel="2">
      <c r="A2141" s="443"/>
      <c r="B2141" s="444"/>
      <c r="C2141"/>
      <c r="D2141"/>
      <c r="E2141" s="448"/>
      <c r="F2141" s="242"/>
      <c r="G2141"/>
      <c r="H2141" s="322"/>
      <c r="I2141" s="322"/>
      <c r="J2141" s="242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</row>
    <row r="2142" spans="1:26" ht="15.75" hidden="1" customHeight="1" outlineLevel="2">
      <c r="A2142" s="443"/>
      <c r="B2142" s="444"/>
      <c r="C2142"/>
      <c r="D2142"/>
      <c r="E2142" s="448"/>
      <c r="F2142" s="242"/>
      <c r="G2142"/>
      <c r="H2142" s="322"/>
      <c r="I2142" s="322"/>
      <c r="J2142" s="242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</row>
    <row r="2143" spans="1:26" ht="15.75" hidden="1" customHeight="1" outlineLevel="2">
      <c r="A2143" s="443"/>
      <c r="B2143" s="444"/>
      <c r="C2143"/>
      <c r="D2143"/>
      <c r="E2143" s="447"/>
      <c r="F2143" s="242"/>
      <c r="G2143"/>
      <c r="H2143" s="322"/>
      <c r="I2143" s="322"/>
      <c r="J2143" s="242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</row>
    <row r="2144" spans="1:26" ht="15.75" hidden="1" customHeight="1" outlineLevel="2">
      <c r="A2144" s="443"/>
      <c r="B2144" s="444"/>
      <c r="C2144"/>
      <c r="D2144"/>
      <c r="E2144" s="448"/>
      <c r="F2144" s="242"/>
      <c r="G2144"/>
      <c r="H2144" s="322"/>
      <c r="I2144" s="322"/>
      <c r="J2144" s="242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</row>
    <row r="2145" spans="1:26" ht="15.75" hidden="1" customHeight="1" outlineLevel="2">
      <c r="A2145" s="443"/>
      <c r="B2145" s="444"/>
      <c r="C2145"/>
      <c r="D2145"/>
      <c r="E2145" s="448"/>
      <c r="F2145" s="242"/>
      <c r="G2145"/>
      <c r="H2145" s="322"/>
      <c r="I2145" s="322"/>
      <c r="J2145" s="242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</row>
    <row r="2146" spans="1:26" ht="15.75" hidden="1" customHeight="1" outlineLevel="2">
      <c r="A2146" s="443"/>
      <c r="B2146" s="444"/>
      <c r="C2146"/>
      <c r="D2146"/>
      <c r="E2146" s="448"/>
      <c r="F2146" s="242"/>
      <c r="G2146"/>
      <c r="H2146" s="322"/>
      <c r="I2146" s="322"/>
      <c r="J2146" s="242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</row>
    <row r="2147" spans="1:26" ht="15.75" hidden="1" customHeight="1" outlineLevel="2">
      <c r="A2147" s="443"/>
      <c r="B2147" s="444"/>
      <c r="C2147"/>
      <c r="D2147"/>
      <c r="E2147" s="448"/>
      <c r="F2147" s="242"/>
      <c r="G2147"/>
      <c r="H2147" s="322"/>
      <c r="I2147" s="322"/>
      <c r="J2147" s="242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</row>
    <row r="2148" spans="1:26" ht="15.75" hidden="1" customHeight="1" outlineLevel="2">
      <c r="A2148" s="443"/>
      <c r="B2148" s="444"/>
      <c r="C2148"/>
      <c r="D2148"/>
      <c r="E2148" s="448"/>
      <c r="F2148" s="242"/>
      <c r="G2148"/>
      <c r="H2148" s="322"/>
      <c r="I2148" s="322"/>
      <c r="J2148" s="242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</row>
    <row r="2149" spans="1:26" ht="15.75" hidden="1" customHeight="1" outlineLevel="2">
      <c r="A2149" s="443"/>
      <c r="B2149" s="444"/>
      <c r="C2149"/>
      <c r="D2149"/>
      <c r="E2149" s="448"/>
      <c r="F2149" s="242"/>
      <c r="G2149"/>
      <c r="H2149" s="322"/>
      <c r="I2149" s="322"/>
      <c r="J2149" s="242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</row>
    <row r="2150" spans="1:26" ht="15.75" hidden="1" customHeight="1" outlineLevel="2">
      <c r="A2150" s="443"/>
      <c r="B2150" s="444"/>
      <c r="C2150"/>
      <c r="D2150"/>
      <c r="E2150" s="448"/>
      <c r="F2150" s="242"/>
      <c r="G2150"/>
      <c r="H2150" s="322"/>
      <c r="I2150" s="322"/>
      <c r="J2150" s="242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</row>
    <row r="2151" spans="1:26" ht="15.75" hidden="1" customHeight="1" outlineLevel="2">
      <c r="A2151" s="443"/>
      <c r="B2151" s="444"/>
      <c r="C2151"/>
      <c r="D2151"/>
      <c r="E2151" s="447"/>
      <c r="F2151" s="242"/>
      <c r="G2151"/>
      <c r="H2151" s="322"/>
      <c r="I2151" s="322"/>
      <c r="J2151" s="242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</row>
    <row r="2152" spans="1:26" ht="15.75" hidden="1" customHeight="1" outlineLevel="2">
      <c r="A2152" s="443"/>
      <c r="B2152" s="444"/>
      <c r="C2152"/>
      <c r="D2152"/>
      <c r="E2152" s="448"/>
      <c r="F2152" s="242"/>
      <c r="G2152"/>
      <c r="H2152" s="322"/>
      <c r="I2152" s="322"/>
      <c r="J2152" s="242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</row>
    <row r="2153" spans="1:26" ht="15.75" hidden="1" customHeight="1" outlineLevel="2">
      <c r="A2153" s="443"/>
      <c r="B2153" s="444"/>
      <c r="C2153"/>
      <c r="D2153"/>
      <c r="E2153" s="448"/>
      <c r="F2153" s="242"/>
      <c r="G2153"/>
      <c r="H2153" s="322"/>
      <c r="I2153" s="322"/>
      <c r="J2153" s="242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</row>
    <row r="2154" spans="1:26" ht="15.75" hidden="1" customHeight="1" outlineLevel="2">
      <c r="A2154" s="443"/>
      <c r="B2154" s="444"/>
      <c r="C2154"/>
      <c r="D2154"/>
      <c r="E2154" s="448"/>
      <c r="F2154" s="242"/>
      <c r="G2154"/>
      <c r="H2154" s="322"/>
      <c r="I2154" s="322"/>
      <c r="J2154" s="242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</row>
    <row r="2155" spans="1:26" ht="15.75" hidden="1" customHeight="1" outlineLevel="2">
      <c r="A2155" s="443"/>
      <c r="B2155" s="444"/>
      <c r="C2155"/>
      <c r="D2155"/>
      <c r="E2155" s="448"/>
      <c r="F2155" s="242"/>
      <c r="G2155"/>
      <c r="H2155" s="322"/>
      <c r="I2155" s="322"/>
      <c r="J2155" s="242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</row>
    <row r="2156" spans="1:26" ht="15.75" hidden="1" customHeight="1" outlineLevel="2">
      <c r="A2156" s="443"/>
      <c r="B2156" s="444"/>
      <c r="C2156"/>
      <c r="D2156"/>
      <c r="E2156" s="448"/>
      <c r="F2156" s="242"/>
      <c r="G2156"/>
      <c r="H2156" s="322"/>
      <c r="I2156" s="322"/>
      <c r="J2156" s="242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</row>
    <row r="2157" spans="1:26" ht="15.75" hidden="1" customHeight="1" outlineLevel="2">
      <c r="A2157" s="443"/>
      <c r="B2157" s="444"/>
      <c r="C2157"/>
      <c r="D2157"/>
      <c r="E2157" s="448"/>
      <c r="F2157" s="242"/>
      <c r="G2157"/>
      <c r="H2157" s="322"/>
      <c r="I2157" s="322"/>
      <c r="J2157" s="242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</row>
    <row r="2158" spans="1:26" ht="15.75" hidden="1" customHeight="1" outlineLevel="2">
      <c r="A2158" s="443"/>
      <c r="B2158" s="444"/>
      <c r="C2158"/>
      <c r="D2158"/>
      <c r="E2158" s="448"/>
      <c r="H2158" s="322"/>
      <c r="I2158" s="322"/>
      <c r="J2158" s="242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</row>
    <row r="2159" spans="1:26" ht="15.75" hidden="1" customHeight="1" outlineLevel="2">
      <c r="A2159" s="443"/>
      <c r="B2159" s="444"/>
      <c r="C2159"/>
      <c r="D2159"/>
      <c r="E2159" s="452"/>
      <c r="H2159" s="322"/>
      <c r="I2159" s="322"/>
      <c r="J2159" s="242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</row>
    <row r="2160" spans="1:26" ht="15.75" hidden="1" customHeight="1" outlineLevel="2">
      <c r="A2160" s="443"/>
      <c r="B2160" s="444"/>
      <c r="C2160"/>
      <c r="D2160"/>
      <c r="E2160" s="453"/>
      <c r="H2160" s="322"/>
      <c r="I2160" s="322"/>
      <c r="J2160" s="242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</row>
    <row r="2161" spans="1:26" ht="15.75" hidden="1" customHeight="1" outlineLevel="2">
      <c r="A2161" s="443"/>
      <c r="B2161" s="444"/>
      <c r="C2161"/>
      <c r="D2161"/>
      <c r="E2161" s="452"/>
      <c r="F2161" s="242"/>
      <c r="G2161"/>
      <c r="H2161" s="322"/>
      <c r="I2161" s="322"/>
      <c r="J2161" s="242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</row>
    <row r="2162" spans="1:26" ht="15.75" hidden="1" customHeight="1" outlineLevel="2">
      <c r="A2162" s="443"/>
      <c r="B2162" s="444"/>
      <c r="C2162"/>
      <c r="D2162"/>
      <c r="E2162" s="457"/>
      <c r="F2162" s="242"/>
      <c r="G2162"/>
      <c r="H2162" s="322"/>
      <c r="I2162" s="322"/>
      <c r="J2162" s="242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</row>
    <row r="2163" spans="1:26" ht="15.75" hidden="1" customHeight="1" outlineLevel="2">
      <c r="A2163" s="443"/>
      <c r="B2163" s="444"/>
      <c r="C2163"/>
      <c r="D2163"/>
      <c r="E2163" s="448"/>
      <c r="F2163" s="242"/>
      <c r="G2163"/>
      <c r="H2163" s="322"/>
      <c r="I2163" s="322"/>
      <c r="J2163" s="242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</row>
    <row r="2164" spans="1:26" ht="15.75" hidden="1" customHeight="1" outlineLevel="2">
      <c r="A2164" s="443"/>
      <c r="B2164" s="444"/>
      <c r="C2164"/>
      <c r="D2164"/>
      <c r="E2164" s="457"/>
      <c r="F2164" s="242"/>
      <c r="G2164"/>
      <c r="H2164" s="322"/>
      <c r="I2164" s="322"/>
      <c r="J2164" s="242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</row>
    <row r="2165" spans="1:26" ht="15.75" hidden="1" customHeight="1" outlineLevel="2">
      <c r="A2165" s="443"/>
      <c r="B2165" s="444"/>
      <c r="C2165"/>
      <c r="D2165"/>
      <c r="E2165" s="457"/>
      <c r="F2165" s="242"/>
      <c r="G2165"/>
      <c r="H2165" s="322"/>
      <c r="I2165" s="322"/>
      <c r="J2165" s="242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</row>
    <row r="2166" spans="1:26" ht="15.75" hidden="1" customHeight="1" outlineLevel="2">
      <c r="A2166" s="443"/>
      <c r="B2166" s="444"/>
      <c r="C2166"/>
      <c r="D2166"/>
      <c r="E2166" s="448"/>
      <c r="F2166" s="242"/>
      <c r="G2166"/>
      <c r="H2166" s="322"/>
      <c r="I2166" s="322"/>
      <c r="J2166" s="242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</row>
    <row r="2167" spans="1:26" ht="15.75" hidden="1" customHeight="1" outlineLevel="2">
      <c r="A2167" s="443"/>
      <c r="B2167" s="444"/>
      <c r="C2167"/>
      <c r="D2167"/>
      <c r="E2167" s="447"/>
      <c r="H2167" s="322"/>
      <c r="I2167" s="322"/>
      <c r="J2167" s="242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</row>
    <row r="2168" spans="1:26" ht="15.75" hidden="1" customHeight="1" outlineLevel="2">
      <c r="A2168" s="443"/>
      <c r="B2168" s="444"/>
      <c r="C2168"/>
      <c r="D2168"/>
      <c r="E2168" s="448"/>
      <c r="H2168" s="322"/>
      <c r="I2168" s="322"/>
      <c r="J2168" s="242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</row>
    <row r="2169" spans="1:26" ht="15.75" hidden="1" customHeight="1" outlineLevel="2">
      <c r="A2169" s="443"/>
      <c r="B2169" s="444"/>
      <c r="C2169"/>
      <c r="D2169"/>
      <c r="E2169" s="447"/>
      <c r="H2169" s="322"/>
      <c r="I2169" s="322"/>
      <c r="J2169" s="242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</row>
    <row r="2170" spans="1:26" ht="15.75" hidden="1" customHeight="1" outlineLevel="2">
      <c r="A2170" s="443"/>
      <c r="B2170" s="444"/>
      <c r="C2170"/>
      <c r="D2170"/>
      <c r="E2170" s="448"/>
      <c r="H2170" s="322"/>
      <c r="I2170" s="322"/>
      <c r="J2170" s="242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</row>
    <row r="2171" spans="1:26" ht="15.75" hidden="1" customHeight="1" outlineLevel="2">
      <c r="A2171" s="443"/>
      <c r="B2171" s="444"/>
      <c r="C2171"/>
      <c r="D2171"/>
      <c r="E2171" s="448"/>
      <c r="F2171" s="242"/>
      <c r="G2171"/>
      <c r="H2171" s="322"/>
      <c r="I2171" s="322"/>
      <c r="J2171" s="242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</row>
    <row r="2172" spans="1:26" ht="15.75" hidden="1" customHeight="1" outlineLevel="2">
      <c r="A2172" s="443"/>
      <c r="B2172" s="444"/>
      <c r="C2172"/>
      <c r="D2172"/>
      <c r="E2172" s="457"/>
      <c r="F2172" s="242"/>
      <c r="G2172"/>
      <c r="H2172" s="322"/>
      <c r="I2172" s="322"/>
      <c r="J2172" s="242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</row>
    <row r="2173" spans="1:26" ht="15.75" hidden="1" customHeight="1" outlineLevel="2">
      <c r="A2173" s="443"/>
      <c r="B2173" s="444"/>
      <c r="C2173"/>
      <c r="D2173"/>
      <c r="E2173" s="448"/>
      <c r="F2173" s="242"/>
      <c r="G2173"/>
      <c r="H2173" s="322"/>
      <c r="I2173" s="322"/>
      <c r="J2173" s="242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</row>
    <row r="2174" spans="1:26" ht="15.75" hidden="1" customHeight="1" outlineLevel="2">
      <c r="A2174" s="443"/>
      <c r="B2174" s="444"/>
      <c r="C2174"/>
      <c r="D2174"/>
      <c r="E2174" s="448"/>
      <c r="F2174" s="242"/>
      <c r="G2174"/>
      <c r="H2174" s="322"/>
      <c r="I2174" s="322"/>
      <c r="J2174" s="242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</row>
    <row r="2175" spans="1:26" ht="15.75" hidden="1" customHeight="1" outlineLevel="2">
      <c r="A2175" s="443"/>
      <c r="B2175" s="444"/>
      <c r="C2175"/>
      <c r="D2175"/>
      <c r="E2175" s="448"/>
      <c r="F2175" s="242"/>
      <c r="G2175"/>
      <c r="H2175" s="322"/>
      <c r="I2175" s="322"/>
      <c r="J2175" s="242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</row>
    <row r="2176" spans="1:26" ht="15.75" hidden="1" customHeight="1" outlineLevel="2">
      <c r="A2176" s="443"/>
      <c r="B2176" s="444"/>
      <c r="C2176"/>
      <c r="D2176"/>
      <c r="E2176" s="448"/>
      <c r="F2176" s="242"/>
      <c r="G2176"/>
      <c r="H2176" s="322"/>
      <c r="I2176" s="322"/>
      <c r="J2176" s="242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</row>
    <row r="2177" spans="1:26" ht="15.75" hidden="1" customHeight="1" outlineLevel="2">
      <c r="A2177" s="443"/>
      <c r="B2177" s="444"/>
      <c r="C2177"/>
      <c r="D2177"/>
      <c r="E2177" s="321"/>
      <c r="F2177" s="242"/>
      <c r="G2177"/>
      <c r="H2177" s="322"/>
      <c r="I2177" s="322"/>
      <c r="J2177" s="242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</row>
    <row r="2178" spans="1:26" ht="15.75" hidden="1" customHeight="1" outlineLevel="2">
      <c r="A2178" s="443"/>
      <c r="B2178" s="444"/>
      <c r="C2178"/>
      <c r="D2178"/>
      <c r="E2178" s="321"/>
      <c r="F2178" s="242"/>
      <c r="G2178"/>
      <c r="H2178" s="322"/>
      <c r="I2178" s="322"/>
      <c r="J2178" s="242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</row>
    <row r="2179" spans="1:26" ht="15.75" hidden="1" customHeight="1" outlineLevel="2">
      <c r="A2179" s="443"/>
      <c r="B2179" s="444"/>
      <c r="C2179"/>
      <c r="D2179"/>
      <c r="E2179" s="321"/>
      <c r="F2179" s="242"/>
      <c r="G2179"/>
      <c r="H2179" s="322"/>
      <c r="I2179" s="322"/>
      <c r="J2179" s="242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</row>
    <row r="2180" spans="1:26" ht="15.75" hidden="1" customHeight="1" outlineLevel="2">
      <c r="A2180" s="443"/>
      <c r="B2180" s="444"/>
      <c r="C2180"/>
      <c r="D2180"/>
      <c r="E2180" s="321"/>
      <c r="F2180" s="242"/>
      <c r="G2180"/>
      <c r="H2180" s="322"/>
      <c r="I2180" s="322"/>
      <c r="J2180" s="242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</row>
    <row r="2181" spans="1:26" ht="15.75" hidden="1" customHeight="1" outlineLevel="2">
      <c r="A2181" s="443"/>
      <c r="B2181" s="444"/>
      <c r="C2181"/>
      <c r="D2181"/>
      <c r="E2181" s="321"/>
      <c r="F2181" s="242"/>
      <c r="G2181"/>
      <c r="H2181" s="322"/>
      <c r="I2181" s="322"/>
      <c r="J2181" s="242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</row>
    <row r="2182" spans="1:26" ht="15.75" hidden="1" customHeight="1" outlineLevel="2">
      <c r="A2182" s="443"/>
      <c r="B2182" s="444"/>
      <c r="C2182"/>
      <c r="D2182"/>
      <c r="E2182" s="321"/>
      <c r="F2182" s="242"/>
      <c r="G2182"/>
      <c r="H2182" s="322"/>
      <c r="I2182" s="322"/>
      <c r="J2182" s="242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</row>
    <row r="2183" spans="1:26" ht="15.75" hidden="1" customHeight="1" outlineLevel="2">
      <c r="A2183" s="443"/>
      <c r="B2183" s="444"/>
      <c r="C2183"/>
      <c r="D2183"/>
      <c r="E2183" s="321"/>
      <c r="F2183" s="242"/>
      <c r="G2183"/>
      <c r="H2183" s="322"/>
      <c r="I2183" s="322"/>
      <c r="J2183" s="242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</row>
    <row r="2184" spans="1:26" ht="15.75" hidden="1" customHeight="1" outlineLevel="2">
      <c r="A2184" s="443"/>
      <c r="B2184" s="444"/>
      <c r="C2184"/>
      <c r="D2184"/>
      <c r="E2184" s="321"/>
      <c r="F2184" s="242"/>
      <c r="G2184"/>
      <c r="H2184" s="322"/>
      <c r="I2184" s="322"/>
      <c r="J2184" s="242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</row>
    <row r="2185" spans="1:26" ht="15.75" hidden="1" customHeight="1" outlineLevel="2">
      <c r="A2185" s="443"/>
      <c r="B2185" s="444"/>
      <c r="C2185"/>
      <c r="D2185"/>
      <c r="E2185" s="321"/>
      <c r="F2185" s="242"/>
      <c r="G2185"/>
      <c r="H2185" s="322"/>
      <c r="I2185" s="322"/>
      <c r="J2185" s="242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</row>
    <row r="2186" spans="1:26" ht="15.75" hidden="1" customHeight="1" outlineLevel="2">
      <c r="A2186" s="443"/>
      <c r="B2186" s="444"/>
      <c r="C2186"/>
      <c r="D2186"/>
      <c r="E2186" s="321"/>
      <c r="F2186" s="242"/>
      <c r="G2186"/>
      <c r="H2186" s="322"/>
      <c r="I2186" s="322"/>
      <c r="J2186" s="242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</row>
    <row r="2187" spans="1:26" ht="15.75" hidden="1" customHeight="1" outlineLevel="2">
      <c r="A2187" s="443"/>
      <c r="B2187" s="444"/>
      <c r="C2187"/>
      <c r="D2187"/>
      <c r="E2187" s="321"/>
      <c r="F2187" s="242"/>
      <c r="G2187"/>
      <c r="H2187" s="322"/>
      <c r="I2187" s="322"/>
      <c r="J2187" s="242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</row>
    <row r="2188" spans="1:26" ht="15.75" hidden="1" customHeight="1" outlineLevel="2">
      <c r="A2188" s="443"/>
      <c r="B2188" s="444"/>
      <c r="C2188"/>
      <c r="D2188"/>
      <c r="E2188" s="321"/>
      <c r="F2188" s="242"/>
      <c r="G2188"/>
      <c r="H2188" s="322"/>
      <c r="I2188" s="322"/>
      <c r="J2188" s="242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</row>
    <row r="2189" spans="1:26" ht="15.75" hidden="1" customHeight="1" outlineLevel="2">
      <c r="A2189" s="443"/>
      <c r="B2189" s="444"/>
      <c r="C2189"/>
      <c r="D2189"/>
      <c r="E2189" s="321"/>
      <c r="F2189" s="242"/>
      <c r="G2189"/>
      <c r="H2189" s="322"/>
      <c r="I2189" s="322"/>
      <c r="J2189" s="242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</row>
    <row r="2190" spans="1:26" ht="15.75" hidden="1" customHeight="1" outlineLevel="2">
      <c r="A2190" s="443"/>
      <c r="B2190" s="444"/>
      <c r="C2190"/>
      <c r="D2190"/>
      <c r="E2190" s="321"/>
      <c r="F2190" s="242"/>
      <c r="G2190"/>
      <c r="H2190" s="322"/>
      <c r="I2190" s="322"/>
      <c r="J2190" s="242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</row>
    <row r="2191" spans="1:26" ht="15.75" hidden="1" customHeight="1" outlineLevel="2">
      <c r="A2191" s="443"/>
      <c r="B2191" s="444"/>
      <c r="C2191"/>
      <c r="D2191"/>
      <c r="E2191" s="321"/>
      <c r="F2191" s="242"/>
      <c r="G2191"/>
      <c r="H2191" s="322"/>
      <c r="I2191" s="322"/>
      <c r="J2191" s="242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</row>
    <row r="2192" spans="1:26" ht="15.75" hidden="1" customHeight="1" outlineLevel="2">
      <c r="A2192" s="443"/>
      <c r="B2192" s="444"/>
      <c r="C2192"/>
      <c r="D2192"/>
      <c r="E2192" s="321"/>
      <c r="F2192" s="242"/>
      <c r="G2192"/>
      <c r="H2192" s="322"/>
      <c r="I2192" s="322"/>
      <c r="J2192" s="242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</row>
    <row r="2193" spans="1:26" ht="15.75" hidden="1" customHeight="1" outlineLevel="2">
      <c r="A2193" s="443"/>
      <c r="B2193" s="444"/>
      <c r="C2193"/>
      <c r="D2193"/>
      <c r="E2193" s="321"/>
      <c r="F2193" s="242"/>
      <c r="G2193"/>
      <c r="H2193" s="322"/>
      <c r="I2193" s="322"/>
      <c r="J2193" s="242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</row>
    <row r="2194" spans="1:26" ht="15.75" hidden="1" customHeight="1" outlineLevel="2">
      <c r="A2194" s="443"/>
      <c r="B2194" s="444"/>
      <c r="C2194"/>
      <c r="D2194"/>
      <c r="E2194" s="321"/>
      <c r="F2194" s="242"/>
      <c r="G2194"/>
      <c r="H2194" s="322"/>
      <c r="I2194" s="322"/>
      <c r="J2194" s="242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</row>
    <row r="2195" spans="1:26" ht="15.75" hidden="1" customHeight="1" outlineLevel="2">
      <c r="A2195" s="443"/>
      <c r="B2195" s="444"/>
      <c r="C2195"/>
      <c r="D2195"/>
      <c r="E2195" s="321"/>
      <c r="F2195" s="242"/>
      <c r="G2195"/>
      <c r="H2195" s="322"/>
      <c r="I2195" s="322"/>
      <c r="J2195" s="242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</row>
    <row r="2196" spans="1:26" ht="15.75" hidden="1" customHeight="1" outlineLevel="2">
      <c r="A2196" s="443"/>
      <c r="B2196" s="444"/>
      <c r="C2196"/>
      <c r="D2196"/>
      <c r="E2196" s="321"/>
      <c r="F2196" s="242"/>
      <c r="G2196"/>
      <c r="H2196" s="322"/>
      <c r="I2196" s="322"/>
      <c r="J2196" s="242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</row>
    <row r="2197" spans="1:26" ht="15.75" hidden="1" customHeight="1" outlineLevel="2">
      <c r="A2197" s="443"/>
      <c r="B2197" s="444"/>
      <c r="C2197"/>
      <c r="D2197"/>
      <c r="E2197" s="321"/>
      <c r="F2197" s="242"/>
      <c r="G2197"/>
      <c r="H2197" s="322"/>
      <c r="I2197" s="322"/>
      <c r="J2197" s="242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</row>
    <row r="2198" spans="1:26" ht="15.75" hidden="1" customHeight="1" outlineLevel="2">
      <c r="A2198" s="443"/>
      <c r="B2198" s="444"/>
      <c r="C2198"/>
      <c r="D2198"/>
      <c r="E2198" s="321"/>
      <c r="F2198" s="242"/>
      <c r="G2198"/>
      <c r="H2198" s="322"/>
      <c r="I2198" s="322"/>
      <c r="J2198" s="242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</row>
    <row r="2199" spans="1:26" ht="15.75" hidden="1" customHeight="1" outlineLevel="2">
      <c r="A2199" s="443"/>
      <c r="B2199" s="444"/>
      <c r="C2199"/>
      <c r="D2199"/>
      <c r="E2199" s="321"/>
      <c r="F2199" s="242"/>
      <c r="G2199"/>
      <c r="H2199" s="322"/>
      <c r="I2199" s="322"/>
      <c r="J2199" s="242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</row>
    <row r="2200" spans="1:26" ht="15.75" hidden="1" customHeight="1" outlineLevel="2">
      <c r="A2200" s="443"/>
      <c r="B2200" s="444"/>
      <c r="C2200"/>
      <c r="D2200"/>
      <c r="E2200" s="321"/>
      <c r="F2200" s="242"/>
      <c r="G2200"/>
      <c r="H2200" s="322"/>
      <c r="I2200" s="322"/>
      <c r="J2200" s="242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</row>
    <row r="2201" spans="1:26" ht="15.75" hidden="1" customHeight="1" outlineLevel="2">
      <c r="A2201" s="443"/>
      <c r="B2201" s="444"/>
      <c r="C2201"/>
      <c r="D2201"/>
      <c r="E2201" s="321"/>
      <c r="F2201" s="242"/>
      <c r="G2201"/>
      <c r="H2201" s="322"/>
      <c r="I2201" s="322"/>
      <c r="J2201" s="242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</row>
    <row r="2202" spans="1:26" ht="15.75" hidden="1" customHeight="1" outlineLevel="2">
      <c r="A2202" s="443"/>
      <c r="B2202" s="444"/>
      <c r="C2202"/>
      <c r="D2202"/>
      <c r="E2202" s="321"/>
      <c r="F2202" s="242"/>
      <c r="G2202"/>
      <c r="H2202" s="322"/>
      <c r="I2202" s="322"/>
      <c r="J2202" s="242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</row>
    <row r="2203" spans="1:26" ht="15.75" hidden="1" customHeight="1" outlineLevel="2">
      <c r="A2203" s="443"/>
      <c r="B2203" s="444"/>
      <c r="C2203"/>
      <c r="D2203"/>
      <c r="E2203" s="321"/>
      <c r="F2203" s="242"/>
      <c r="G2203"/>
      <c r="H2203" s="322"/>
      <c r="I2203" s="322"/>
      <c r="J2203" s="242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</row>
    <row r="2204" spans="1:26" ht="15.75" hidden="1" customHeight="1" outlineLevel="2">
      <c r="A2204" s="443"/>
      <c r="B2204" s="444"/>
      <c r="C2204"/>
      <c r="D2204"/>
      <c r="E2204" s="321"/>
      <c r="F2204" s="242"/>
      <c r="G2204"/>
      <c r="H2204" s="322"/>
      <c r="I2204" s="322"/>
      <c r="J2204" s="242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</row>
    <row r="2205" spans="1:26" ht="15.75" hidden="1" customHeight="1" outlineLevel="2">
      <c r="A2205" s="443"/>
      <c r="B2205" s="444"/>
      <c r="C2205"/>
      <c r="D2205"/>
      <c r="E2205" s="321"/>
      <c r="F2205" s="242"/>
      <c r="G2205"/>
      <c r="H2205" s="322"/>
      <c r="I2205" s="322"/>
      <c r="J2205" s="242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</row>
    <row r="2206" spans="1:26" ht="15.75" hidden="1" customHeight="1" outlineLevel="2">
      <c r="A2206" s="443"/>
      <c r="B2206" s="444"/>
      <c r="C2206"/>
      <c r="D2206"/>
      <c r="E2206" s="321"/>
      <c r="F2206" s="242"/>
      <c r="G2206"/>
      <c r="H2206" s="322"/>
      <c r="I2206" s="322"/>
      <c r="J2206" s="242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</row>
    <row r="2207" spans="1:26" ht="15.75" hidden="1" customHeight="1" outlineLevel="2">
      <c r="A2207" s="443"/>
      <c r="B2207" s="444"/>
      <c r="C2207"/>
      <c r="D2207"/>
      <c r="E2207" s="321"/>
      <c r="F2207" s="242"/>
      <c r="G2207"/>
      <c r="H2207" s="322"/>
      <c r="I2207" s="322"/>
      <c r="J2207" s="242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</row>
    <row r="2208" spans="1:26" ht="15.75" hidden="1" customHeight="1" outlineLevel="2">
      <c r="A2208" s="443"/>
      <c r="B2208" s="444"/>
      <c r="C2208"/>
      <c r="D2208"/>
      <c r="E2208" s="321"/>
      <c r="F2208" s="242"/>
      <c r="G2208"/>
      <c r="H2208" s="322"/>
      <c r="I2208" s="322"/>
      <c r="J2208" s="242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</row>
    <row r="2209" spans="1:26" ht="15.75" hidden="1" customHeight="1" outlineLevel="2">
      <c r="A2209" s="443"/>
      <c r="B2209" s="444"/>
      <c r="C2209"/>
      <c r="D2209"/>
      <c r="E2209" s="321"/>
      <c r="F2209" s="242"/>
      <c r="G2209"/>
      <c r="H2209" s="322"/>
      <c r="I2209" s="322"/>
      <c r="J2209" s="242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</row>
    <row r="2210" spans="1:26" ht="15.75" hidden="1" customHeight="1" outlineLevel="2">
      <c r="A2210" s="443"/>
      <c r="B2210" s="444"/>
      <c r="C2210"/>
      <c r="D2210"/>
      <c r="E2210" s="321"/>
      <c r="F2210" s="242"/>
      <c r="G2210"/>
      <c r="H2210" s="322"/>
      <c r="I2210" s="322"/>
      <c r="J2210" s="242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</row>
    <row r="2211" spans="1:26" ht="15.75" hidden="1" customHeight="1" outlineLevel="2">
      <c r="A2211" s="443"/>
      <c r="B2211" s="444"/>
      <c r="C2211"/>
      <c r="D2211"/>
      <c r="E2211" s="321"/>
      <c r="F2211" s="242"/>
      <c r="G2211"/>
      <c r="H2211" s="322"/>
      <c r="I2211" s="322"/>
      <c r="J2211" s="242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</row>
    <row r="2212" spans="1:26" ht="15.75" hidden="1" customHeight="1" outlineLevel="2">
      <c r="A2212" s="443"/>
      <c r="B2212" s="444"/>
      <c r="C2212"/>
      <c r="D2212"/>
      <c r="E2212" s="321"/>
      <c r="F2212" s="242"/>
      <c r="G2212"/>
      <c r="H2212" s="322"/>
      <c r="I2212" s="322"/>
      <c r="J2212" s="242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</row>
    <row r="2213" spans="1:26" ht="15.75" hidden="1" customHeight="1" outlineLevel="2">
      <c r="A2213" s="443"/>
      <c r="B2213" s="444"/>
      <c r="C2213"/>
      <c r="D2213"/>
      <c r="E2213" s="321"/>
      <c r="F2213" s="242"/>
      <c r="G2213"/>
      <c r="H2213" s="322"/>
      <c r="I2213" s="322"/>
      <c r="J2213" s="242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</row>
    <row r="2214" spans="1:26" ht="15.75" hidden="1" customHeight="1" outlineLevel="2">
      <c r="A2214" s="443"/>
      <c r="B2214" s="444"/>
      <c r="C2214"/>
      <c r="D2214"/>
      <c r="E2214" s="321"/>
      <c r="F2214" s="242"/>
      <c r="G2214"/>
      <c r="H2214" s="322"/>
      <c r="I2214" s="322"/>
      <c r="J2214" s="242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</row>
    <row r="2215" spans="1:26" ht="15.75" hidden="1" customHeight="1" outlineLevel="2">
      <c r="A2215" s="443"/>
      <c r="B2215" s="444"/>
      <c r="C2215"/>
      <c r="D2215"/>
      <c r="E2215" s="321"/>
      <c r="F2215" s="242"/>
      <c r="G2215"/>
      <c r="H2215" s="322"/>
      <c r="I2215" s="322"/>
      <c r="J2215" s="242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</row>
    <row r="2216" spans="1:26" ht="15.75" hidden="1" customHeight="1" outlineLevel="2">
      <c r="A2216" s="443"/>
      <c r="B2216" s="444"/>
      <c r="C2216"/>
      <c r="D2216"/>
      <c r="E2216" s="321"/>
      <c r="F2216" s="242"/>
      <c r="G2216"/>
      <c r="H2216" s="322"/>
      <c r="I2216" s="322"/>
      <c r="J2216" s="242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</row>
    <row r="2217" spans="1:26" ht="15.75" hidden="1" customHeight="1" outlineLevel="2">
      <c r="A2217" s="443"/>
      <c r="B2217" s="444"/>
      <c r="C2217"/>
      <c r="D2217"/>
      <c r="E2217" s="321"/>
      <c r="F2217" s="242"/>
      <c r="G2217"/>
      <c r="H2217" s="322"/>
      <c r="I2217" s="322"/>
      <c r="J2217" s="242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</row>
    <row r="2218" spans="1:26" ht="15.75" hidden="1" customHeight="1" outlineLevel="2">
      <c r="A2218" s="443"/>
      <c r="B2218" s="444"/>
      <c r="C2218"/>
      <c r="D2218"/>
      <c r="E2218" s="321"/>
      <c r="F2218" s="242"/>
      <c r="G2218"/>
      <c r="H2218" s="322"/>
      <c r="I2218" s="322"/>
      <c r="J2218" s="242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</row>
    <row r="2219" spans="1:26" ht="15.75" hidden="1" customHeight="1" outlineLevel="2">
      <c r="A2219" s="443"/>
      <c r="B2219" s="444"/>
      <c r="C2219"/>
      <c r="D2219"/>
      <c r="E2219" s="321"/>
      <c r="F2219" s="242"/>
      <c r="G2219"/>
      <c r="H2219" s="322"/>
      <c r="I2219" s="322"/>
      <c r="J2219" s="242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</row>
    <row r="2220" spans="1:26" ht="15.75" hidden="1" customHeight="1" outlineLevel="2">
      <c r="A2220" s="443"/>
      <c r="B2220" s="444"/>
      <c r="C2220"/>
      <c r="D2220"/>
      <c r="E2220" s="321"/>
      <c r="F2220" s="242"/>
      <c r="G2220"/>
      <c r="H2220" s="322"/>
      <c r="I2220" s="322"/>
      <c r="J2220" s="242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</row>
    <row r="2221" spans="1:26" ht="15.75" hidden="1" customHeight="1" outlineLevel="2">
      <c r="A2221" s="443"/>
      <c r="B2221" s="444"/>
      <c r="C2221"/>
      <c r="D2221"/>
      <c r="E2221" s="321"/>
      <c r="F2221" s="242"/>
      <c r="G2221"/>
      <c r="H2221" s="322"/>
      <c r="I2221" s="322"/>
      <c r="J2221" s="242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</row>
    <row r="2222" spans="1:26" ht="15.75" hidden="1" customHeight="1" outlineLevel="2">
      <c r="A2222" s="443"/>
      <c r="B2222" s="444"/>
      <c r="C2222"/>
      <c r="D2222"/>
      <c r="E2222" s="321"/>
      <c r="F2222" s="242"/>
      <c r="G2222"/>
      <c r="H2222" s="322"/>
      <c r="I2222" s="322"/>
      <c r="J2222" s="242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</row>
    <row r="2223" spans="1:26" ht="15.75" hidden="1" customHeight="1" outlineLevel="2">
      <c r="A2223" s="443"/>
      <c r="B2223" s="444"/>
      <c r="C2223"/>
      <c r="D2223"/>
      <c r="E2223" s="321"/>
      <c r="F2223" s="242"/>
      <c r="G2223"/>
      <c r="H2223" s="322"/>
      <c r="I2223" s="322"/>
      <c r="J2223" s="242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</row>
    <row r="2224" spans="1:26" ht="15.75" hidden="1" customHeight="1" outlineLevel="2">
      <c r="A2224" s="443"/>
      <c r="B2224" s="444"/>
      <c r="C2224"/>
      <c r="D2224"/>
      <c r="E2224" s="321"/>
      <c r="F2224" s="242"/>
      <c r="G2224"/>
      <c r="H2224" s="322"/>
      <c r="I2224" s="322"/>
      <c r="J2224" s="242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</row>
    <row r="2225" spans="1:26" ht="15.75" hidden="1" customHeight="1" outlineLevel="2">
      <c r="A2225" s="443"/>
      <c r="B2225" s="444"/>
      <c r="C2225"/>
      <c r="D2225"/>
      <c r="E2225" s="321"/>
      <c r="F2225" s="242"/>
      <c r="G2225"/>
      <c r="H2225" s="322"/>
      <c r="I2225" s="322"/>
      <c r="J2225" s="242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</row>
    <row r="2226" spans="1:26" ht="15.75" hidden="1" customHeight="1" outlineLevel="2">
      <c r="A2226" s="443"/>
      <c r="B2226" s="444"/>
      <c r="C2226"/>
      <c r="D2226"/>
      <c r="E2226" s="321"/>
      <c r="F2226" s="242"/>
      <c r="G2226"/>
      <c r="H2226" s="322"/>
      <c r="I2226" s="322"/>
      <c r="J2226" s="242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</row>
    <row r="2227" spans="1:26" ht="15.75" hidden="1" customHeight="1" outlineLevel="2">
      <c r="A2227" s="443"/>
      <c r="B2227" s="444"/>
      <c r="C2227"/>
      <c r="D2227"/>
      <c r="E2227" s="321"/>
      <c r="F2227" s="242"/>
      <c r="G2227"/>
      <c r="H2227" s="322"/>
      <c r="I2227" s="322"/>
      <c r="J2227" s="242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</row>
    <row r="2228" spans="1:26" ht="15.75" hidden="1" customHeight="1" outlineLevel="2">
      <c r="A2228" s="443"/>
      <c r="B2228" s="444"/>
      <c r="C2228"/>
      <c r="D2228"/>
      <c r="E2228" s="321"/>
      <c r="F2228" s="242"/>
      <c r="G2228"/>
      <c r="H2228" s="322"/>
      <c r="I2228" s="322"/>
      <c r="J2228" s="242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</row>
    <row r="2229" spans="1:26" ht="15.75" hidden="1" customHeight="1" outlineLevel="2">
      <c r="A2229" s="443"/>
      <c r="B2229" s="444"/>
      <c r="C2229"/>
      <c r="D2229"/>
      <c r="E2229" s="321"/>
      <c r="F2229" s="242"/>
      <c r="G2229"/>
      <c r="H2229" s="322"/>
      <c r="I2229" s="322"/>
      <c r="J2229" s="242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</row>
    <row r="2230" spans="1:26" ht="15.75" hidden="1" customHeight="1" outlineLevel="2">
      <c r="A2230" s="443"/>
      <c r="B2230" s="444"/>
      <c r="C2230"/>
      <c r="D2230"/>
      <c r="E2230" s="321"/>
      <c r="F2230" s="242"/>
      <c r="G2230"/>
      <c r="H2230" s="322"/>
      <c r="I2230" s="322"/>
      <c r="J2230" s="242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</row>
    <row r="2231" spans="1:26" ht="15.75" hidden="1" customHeight="1" outlineLevel="2">
      <c r="A2231" s="443"/>
      <c r="B2231" s="444"/>
      <c r="C2231"/>
      <c r="D2231"/>
      <c r="E2231" s="321"/>
      <c r="F2231" s="242"/>
      <c r="G2231"/>
      <c r="H2231" s="322"/>
      <c r="I2231" s="322"/>
      <c r="J2231" s="242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</row>
    <row r="2232" spans="1:26" ht="15.75" hidden="1" customHeight="1" outlineLevel="2">
      <c r="A2232" s="443"/>
      <c r="B2232" s="444"/>
      <c r="C2232"/>
      <c r="D2232"/>
      <c r="E2232" s="321"/>
      <c r="F2232" s="242"/>
      <c r="G2232"/>
      <c r="H2232" s="322"/>
      <c r="I2232" s="322"/>
      <c r="J2232" s="242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</row>
    <row r="2233" spans="1:26" ht="15.75" hidden="1" customHeight="1" outlineLevel="2">
      <c r="A2233" s="443"/>
      <c r="B2233" s="444"/>
      <c r="C2233"/>
      <c r="D2233"/>
      <c r="E2233" s="321"/>
      <c r="F2233" s="242"/>
      <c r="G2233"/>
      <c r="H2233" s="322"/>
      <c r="I2233" s="322"/>
      <c r="J2233" s="242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</row>
    <row r="2234" spans="1:26" ht="15.75" hidden="1" customHeight="1" outlineLevel="2">
      <c r="A2234" s="443"/>
      <c r="B2234" s="444"/>
      <c r="C2234"/>
      <c r="D2234"/>
      <c r="E2234" s="321"/>
      <c r="F2234" s="242"/>
      <c r="G2234"/>
      <c r="H2234" s="322"/>
      <c r="I2234" s="322"/>
      <c r="J2234" s="242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</row>
    <row r="2235" spans="1:26" ht="15.75" hidden="1" customHeight="1" outlineLevel="2">
      <c r="A2235" s="443"/>
      <c r="B2235" s="444"/>
      <c r="C2235"/>
      <c r="D2235"/>
      <c r="E2235" s="321"/>
      <c r="F2235" s="242"/>
      <c r="G2235"/>
      <c r="H2235" s="322"/>
      <c r="I2235" s="322"/>
      <c r="J2235" s="242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</row>
    <row r="2236" spans="1:26" ht="15.75" hidden="1" customHeight="1" outlineLevel="2">
      <c r="A2236" s="443"/>
      <c r="B2236" s="444"/>
      <c r="C2236"/>
      <c r="D2236"/>
      <c r="E2236" s="321"/>
      <c r="F2236" s="242"/>
      <c r="G2236"/>
      <c r="H2236" s="322"/>
      <c r="I2236" s="322"/>
      <c r="J2236" s="242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</row>
    <row r="2237" spans="1:26" ht="15.75" hidden="1" customHeight="1" outlineLevel="2">
      <c r="A2237" s="443"/>
      <c r="B2237" s="444"/>
      <c r="C2237"/>
      <c r="D2237"/>
      <c r="E2237" s="321"/>
      <c r="F2237" s="242"/>
      <c r="G2237"/>
      <c r="H2237" s="322"/>
      <c r="I2237" s="322"/>
      <c r="J2237" s="242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</row>
    <row r="2238" spans="1:26" ht="15.75" hidden="1" customHeight="1" outlineLevel="2">
      <c r="A2238" s="443"/>
      <c r="B2238" s="444"/>
      <c r="C2238"/>
      <c r="D2238"/>
      <c r="E2238" s="321"/>
      <c r="F2238" s="242"/>
      <c r="G2238"/>
      <c r="H2238" s="322"/>
      <c r="I2238" s="322"/>
      <c r="J2238" s="242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</row>
    <row r="2239" spans="1:26" ht="15.75" hidden="1" customHeight="1" outlineLevel="2">
      <c r="A2239" s="443"/>
      <c r="B2239" s="444"/>
      <c r="C2239"/>
      <c r="D2239"/>
      <c r="E2239" s="321"/>
      <c r="F2239" s="242"/>
      <c r="G2239"/>
      <c r="H2239" s="322"/>
      <c r="I2239" s="322"/>
      <c r="J2239" s="242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</row>
    <row r="2240" spans="1:26" ht="15.75" hidden="1" customHeight="1" outlineLevel="2">
      <c r="A2240" s="443"/>
      <c r="B2240" s="444"/>
      <c r="C2240"/>
      <c r="D2240"/>
      <c r="E2240" s="321"/>
      <c r="F2240" s="242"/>
      <c r="G2240"/>
      <c r="H2240" s="322"/>
      <c r="I2240" s="322"/>
      <c r="J2240" s="242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</row>
    <row r="2241" spans="1:26" ht="15.75" hidden="1" customHeight="1" outlineLevel="2">
      <c r="A2241" s="443"/>
      <c r="B2241" s="444"/>
      <c r="C2241"/>
      <c r="D2241"/>
      <c r="E2241" s="321"/>
      <c r="F2241" s="242"/>
      <c r="G2241"/>
      <c r="H2241" s="322"/>
      <c r="I2241" s="322"/>
      <c r="J2241" s="242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</row>
    <row r="2242" spans="1:26" ht="15.75" hidden="1" customHeight="1" outlineLevel="2">
      <c r="A2242" s="443"/>
      <c r="B2242" s="444"/>
      <c r="C2242"/>
      <c r="D2242"/>
      <c r="E2242" s="321"/>
      <c r="F2242" s="242"/>
      <c r="G2242"/>
      <c r="H2242" s="322"/>
      <c r="I2242" s="322"/>
      <c r="J2242" s="242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</row>
    <row r="2243" spans="1:26" ht="15.75" hidden="1" customHeight="1" outlineLevel="2">
      <c r="A2243" s="443"/>
      <c r="B2243" s="444"/>
      <c r="C2243"/>
      <c r="D2243"/>
      <c r="E2243" s="321"/>
      <c r="F2243" s="242"/>
      <c r="G2243"/>
      <c r="H2243" s="322"/>
      <c r="I2243" s="322"/>
      <c r="J2243" s="242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</row>
    <row r="2244" spans="1:26" ht="15.75" hidden="1" customHeight="1" outlineLevel="2">
      <c r="A2244" s="443"/>
      <c r="B2244" s="444"/>
      <c r="C2244"/>
      <c r="D2244"/>
      <c r="E2244" s="321"/>
      <c r="F2244" s="242"/>
      <c r="G2244"/>
      <c r="H2244" s="322"/>
      <c r="I2244" s="322"/>
      <c r="J2244" s="242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</row>
    <row r="2245" spans="1:26" ht="15.75" hidden="1" customHeight="1" outlineLevel="2">
      <c r="A2245" s="443"/>
      <c r="B2245" s="444"/>
      <c r="C2245"/>
      <c r="D2245"/>
      <c r="E2245" s="321"/>
      <c r="F2245" s="242"/>
      <c r="G2245"/>
      <c r="H2245" s="322"/>
      <c r="I2245" s="322"/>
      <c r="J2245" s="242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</row>
    <row r="2246" spans="1:26" ht="15.75" hidden="1" customHeight="1" outlineLevel="2">
      <c r="A2246" s="443"/>
      <c r="B2246" s="444"/>
      <c r="C2246"/>
      <c r="D2246"/>
      <c r="E2246" s="321"/>
      <c r="F2246" s="242"/>
      <c r="G2246"/>
      <c r="H2246" s="322"/>
      <c r="I2246" s="322"/>
      <c r="J2246" s="242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</row>
    <row r="2247" spans="1:26" ht="15.75" hidden="1" customHeight="1" outlineLevel="2">
      <c r="A2247" s="443"/>
      <c r="B2247" s="444"/>
      <c r="C2247"/>
      <c r="D2247"/>
      <c r="E2247" s="321"/>
      <c r="F2247" s="242"/>
      <c r="G2247"/>
      <c r="H2247" s="322"/>
      <c r="I2247" s="322"/>
      <c r="J2247" s="242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</row>
    <row r="2248" spans="1:26" ht="15.75" hidden="1" customHeight="1" outlineLevel="2">
      <c r="A2248" s="443"/>
      <c r="B2248" s="444"/>
      <c r="C2248"/>
      <c r="D2248"/>
      <c r="E2248" s="321"/>
      <c r="F2248" s="242"/>
      <c r="G2248"/>
      <c r="H2248" s="322"/>
      <c r="I2248" s="322"/>
      <c r="J2248" s="242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</row>
    <row r="2249" spans="1:26" ht="15.75" hidden="1" customHeight="1" outlineLevel="2">
      <c r="A2249" s="443"/>
      <c r="B2249" s="444"/>
      <c r="C2249"/>
      <c r="D2249"/>
      <c r="E2249" s="321"/>
      <c r="F2249" s="242"/>
      <c r="G2249"/>
      <c r="H2249" s="322"/>
      <c r="I2249" s="322"/>
      <c r="J2249" s="242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</row>
    <row r="2250" spans="1:26" ht="15.75" hidden="1" customHeight="1" outlineLevel="2">
      <c r="A2250" s="443"/>
      <c r="B2250" s="444"/>
      <c r="C2250"/>
      <c r="D2250"/>
      <c r="E2250" s="321"/>
      <c r="F2250" s="242"/>
      <c r="G2250"/>
      <c r="H2250" s="322"/>
      <c r="I2250" s="322"/>
      <c r="J2250" s="242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</row>
    <row r="2251" spans="1:26" ht="15.75" hidden="1" customHeight="1" outlineLevel="2">
      <c r="A2251" s="443"/>
      <c r="B2251" s="444"/>
      <c r="C2251"/>
      <c r="D2251"/>
      <c r="E2251" s="321"/>
      <c r="F2251" s="242"/>
      <c r="G2251"/>
      <c r="H2251" s="322"/>
      <c r="I2251" s="322"/>
      <c r="J2251" s="242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</row>
    <row r="2252" spans="1:26" ht="15.75" hidden="1" customHeight="1" outlineLevel="2">
      <c r="A2252" s="443"/>
      <c r="B2252" s="444"/>
      <c r="C2252"/>
      <c r="D2252"/>
      <c r="E2252" s="321"/>
      <c r="F2252" s="242"/>
      <c r="G2252"/>
      <c r="H2252" s="322"/>
      <c r="I2252" s="322"/>
      <c r="J2252" s="242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</row>
    <row r="2253" spans="1:26" ht="15.75" hidden="1" customHeight="1" outlineLevel="2">
      <c r="A2253" s="443"/>
      <c r="B2253" s="444"/>
      <c r="C2253"/>
      <c r="D2253"/>
      <c r="E2253" s="321"/>
      <c r="F2253" s="242"/>
      <c r="G2253"/>
      <c r="H2253" s="322"/>
      <c r="I2253" s="322"/>
      <c r="J2253" s="242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</row>
    <row r="2254" spans="1:26" ht="15.75" hidden="1" customHeight="1" outlineLevel="2">
      <c r="A2254" s="443"/>
      <c r="B2254" s="444"/>
      <c r="C2254"/>
      <c r="D2254"/>
      <c r="E2254" s="321"/>
      <c r="F2254" s="242"/>
      <c r="G2254"/>
      <c r="H2254" s="322"/>
      <c r="I2254" s="322"/>
      <c r="J2254" s="242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</row>
    <row r="2255" spans="1:26" ht="15.75" hidden="1" customHeight="1" outlineLevel="2">
      <c r="A2255" s="443"/>
      <c r="B2255" s="444"/>
      <c r="C2255"/>
      <c r="D2255"/>
      <c r="E2255" s="321"/>
      <c r="F2255" s="242"/>
      <c r="G2255"/>
      <c r="H2255" s="322"/>
      <c r="I2255" s="322"/>
      <c r="J2255" s="242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</row>
    <row r="2256" spans="1:26" ht="15.75" hidden="1" customHeight="1" outlineLevel="2">
      <c r="A2256" s="443"/>
      <c r="B2256" s="444"/>
      <c r="C2256"/>
      <c r="D2256"/>
      <c r="E2256" s="321"/>
      <c r="F2256" s="242"/>
      <c r="G2256"/>
      <c r="H2256" s="322"/>
      <c r="I2256" s="322"/>
      <c r="J2256" s="242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</row>
    <row r="2257" spans="1:26" ht="15.75" hidden="1" customHeight="1" outlineLevel="2">
      <c r="A2257" s="443"/>
      <c r="B2257" s="444"/>
      <c r="C2257"/>
      <c r="D2257"/>
      <c r="E2257" s="321"/>
      <c r="F2257" s="242"/>
      <c r="G2257"/>
      <c r="H2257" s="322"/>
      <c r="I2257" s="322"/>
      <c r="J2257" s="242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</row>
    <row r="2258" spans="1:26" ht="15.75" hidden="1" customHeight="1" outlineLevel="2">
      <c r="A2258" s="443"/>
      <c r="B2258" s="444"/>
      <c r="C2258"/>
      <c r="D2258"/>
      <c r="E2258" s="321"/>
      <c r="F2258" s="242"/>
      <c r="G2258"/>
      <c r="H2258" s="322"/>
      <c r="I2258" s="322"/>
      <c r="J2258" s="242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</row>
    <row r="2259" spans="1:26" ht="15.75" hidden="1" customHeight="1" outlineLevel="2">
      <c r="A2259" s="443"/>
      <c r="B2259" s="444"/>
      <c r="C2259"/>
      <c r="D2259"/>
      <c r="E2259" s="321"/>
      <c r="F2259" s="242"/>
      <c r="G2259"/>
      <c r="H2259" s="322"/>
      <c r="I2259" s="322"/>
      <c r="J2259" s="242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</row>
    <row r="2260" spans="1:26" ht="15.75" hidden="1" customHeight="1" outlineLevel="2">
      <c r="A2260" s="443"/>
      <c r="B2260" s="444"/>
      <c r="C2260"/>
      <c r="D2260"/>
      <c r="E2260" s="321"/>
      <c r="F2260" s="242"/>
      <c r="G2260"/>
      <c r="H2260" s="322"/>
      <c r="I2260" s="322"/>
      <c r="J2260" s="242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</row>
    <row r="2261" spans="1:26" ht="15.75" hidden="1" customHeight="1" outlineLevel="2">
      <c r="A2261" s="443"/>
      <c r="B2261" s="444"/>
      <c r="C2261"/>
      <c r="D2261"/>
      <c r="E2261" s="321"/>
      <c r="F2261" s="242"/>
      <c r="G2261"/>
      <c r="H2261" s="322"/>
      <c r="I2261" s="322"/>
      <c r="J2261" s="242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</row>
    <row r="2262" spans="1:26" ht="15.75" hidden="1" customHeight="1" outlineLevel="2">
      <c r="A2262" s="443"/>
      <c r="B2262" s="444"/>
      <c r="C2262"/>
      <c r="D2262"/>
      <c r="E2262" s="321"/>
      <c r="F2262" s="242"/>
      <c r="G2262"/>
      <c r="H2262" s="322"/>
      <c r="I2262" s="322"/>
      <c r="J2262" s="242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</row>
    <row r="2263" spans="1:26" ht="15.75" hidden="1" customHeight="1" outlineLevel="2">
      <c r="A2263" s="443"/>
      <c r="B2263" s="444"/>
      <c r="C2263"/>
      <c r="D2263"/>
      <c r="E2263" s="321"/>
      <c r="F2263" s="242"/>
      <c r="G2263"/>
      <c r="H2263" s="322"/>
      <c r="I2263" s="322"/>
      <c r="J2263" s="242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</row>
    <row r="2264" spans="1:26" ht="15.75" hidden="1" customHeight="1" outlineLevel="2">
      <c r="A2264" s="443"/>
      <c r="B2264" s="444"/>
      <c r="C2264"/>
      <c r="D2264"/>
      <c r="E2264" s="321"/>
      <c r="F2264" s="242"/>
      <c r="G2264"/>
      <c r="H2264" s="322"/>
      <c r="I2264" s="322"/>
      <c r="J2264" s="242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</row>
    <row r="2265" spans="1:26" ht="15.75" hidden="1" customHeight="1" outlineLevel="2">
      <c r="A2265" s="443"/>
      <c r="B2265" s="444"/>
      <c r="C2265"/>
      <c r="D2265"/>
      <c r="E2265" s="321"/>
      <c r="F2265" s="242"/>
      <c r="G2265"/>
      <c r="H2265" s="322"/>
      <c r="I2265" s="322"/>
      <c r="J2265" s="242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</row>
    <row r="2266" spans="1:26" ht="15.75" hidden="1" customHeight="1" outlineLevel="2">
      <c r="A2266" s="443"/>
      <c r="B2266" s="444"/>
      <c r="C2266"/>
      <c r="D2266"/>
      <c r="E2266" s="321"/>
      <c r="F2266" s="242"/>
      <c r="G2266"/>
      <c r="H2266" s="322"/>
      <c r="I2266" s="322"/>
      <c r="J2266" s="242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</row>
    <row r="2267" spans="1:26" ht="15.75" hidden="1" customHeight="1" outlineLevel="2">
      <c r="A2267" s="443"/>
      <c r="B2267" s="444"/>
      <c r="C2267"/>
      <c r="D2267"/>
      <c r="E2267" s="321"/>
      <c r="F2267" s="242"/>
      <c r="G2267"/>
      <c r="H2267" s="322"/>
      <c r="I2267" s="322"/>
      <c r="J2267" s="242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</row>
    <row r="2268" spans="1:26" ht="15.75" hidden="1" customHeight="1" outlineLevel="2">
      <c r="A2268" s="443"/>
      <c r="B2268" s="444"/>
      <c r="C2268"/>
      <c r="D2268"/>
      <c r="E2268" s="321"/>
      <c r="F2268" s="242"/>
      <c r="G2268"/>
      <c r="H2268" s="322"/>
      <c r="I2268" s="322"/>
      <c r="J2268" s="242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</row>
    <row r="2269" spans="1:26" ht="15.75" hidden="1" customHeight="1" outlineLevel="2">
      <c r="A2269" s="443"/>
      <c r="B2269" s="444"/>
      <c r="C2269"/>
      <c r="D2269"/>
      <c r="E2269" s="321"/>
      <c r="F2269" s="242"/>
      <c r="G2269"/>
      <c r="H2269" s="322"/>
      <c r="I2269" s="322"/>
      <c r="J2269" s="242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</row>
    <row r="2270" spans="1:26" ht="15.75" hidden="1" customHeight="1" outlineLevel="2">
      <c r="A2270" s="443"/>
      <c r="B2270" s="444"/>
      <c r="C2270"/>
      <c r="D2270"/>
      <c r="E2270" s="321"/>
      <c r="F2270" s="242"/>
      <c r="G2270"/>
      <c r="H2270" s="322"/>
      <c r="I2270" s="322"/>
      <c r="J2270" s="242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</row>
    <row r="2271" spans="1:26" ht="15.75" hidden="1" customHeight="1" outlineLevel="2">
      <c r="A2271" s="443"/>
      <c r="B2271" s="444"/>
      <c r="C2271"/>
      <c r="D2271"/>
      <c r="E2271" s="321"/>
      <c r="F2271" s="242"/>
      <c r="G2271"/>
      <c r="H2271" s="322"/>
      <c r="I2271" s="322"/>
      <c r="J2271" s="242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</row>
    <row r="2272" spans="1:26" ht="15.75" hidden="1" customHeight="1" outlineLevel="2">
      <c r="A2272" s="443"/>
      <c r="B2272" s="444"/>
      <c r="C2272"/>
      <c r="D2272"/>
      <c r="E2272" s="321"/>
      <c r="F2272" s="242"/>
      <c r="G2272"/>
      <c r="H2272" s="322"/>
      <c r="I2272" s="322"/>
      <c r="J2272" s="242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</row>
    <row r="2273" spans="1:26" ht="15.75" hidden="1" customHeight="1" outlineLevel="2">
      <c r="A2273" s="443"/>
      <c r="B2273" s="444"/>
      <c r="C2273"/>
      <c r="D2273"/>
      <c r="E2273" s="321"/>
      <c r="F2273" s="242"/>
      <c r="G2273"/>
      <c r="H2273" s="322"/>
      <c r="I2273" s="322"/>
      <c r="J2273" s="242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</row>
    <row r="2274" spans="1:26" ht="15.75" hidden="1" customHeight="1" outlineLevel="2">
      <c r="A2274" s="443"/>
      <c r="B2274" s="444"/>
      <c r="C2274"/>
      <c r="D2274"/>
      <c r="E2274" s="321"/>
      <c r="F2274" s="242"/>
      <c r="G2274"/>
      <c r="H2274" s="322"/>
      <c r="I2274" s="322"/>
      <c r="J2274" s="242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</row>
    <row r="2275" spans="1:26" ht="15.75" hidden="1" customHeight="1" outlineLevel="2">
      <c r="A2275" s="443"/>
      <c r="B2275" s="444"/>
      <c r="C2275"/>
      <c r="D2275"/>
      <c r="E2275" s="321"/>
      <c r="F2275" s="242"/>
      <c r="G2275"/>
      <c r="H2275" s="322"/>
      <c r="I2275" s="322"/>
      <c r="J2275" s="242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</row>
    <row r="2276" spans="1:26" ht="15.75" hidden="1" customHeight="1" outlineLevel="2">
      <c r="A2276" s="443"/>
      <c r="B2276" s="444"/>
      <c r="C2276"/>
      <c r="D2276"/>
      <c r="E2276" s="321"/>
      <c r="F2276" s="242"/>
      <c r="G2276"/>
      <c r="H2276" s="322"/>
      <c r="I2276" s="322"/>
      <c r="J2276" s="242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</row>
    <row r="2277" spans="1:26" ht="15.75" hidden="1" customHeight="1" outlineLevel="2">
      <c r="A2277" s="443"/>
      <c r="B2277" s="444"/>
      <c r="C2277"/>
      <c r="D2277"/>
      <c r="E2277" s="321"/>
      <c r="F2277" s="242"/>
      <c r="G2277"/>
      <c r="H2277" s="322"/>
      <c r="I2277" s="322"/>
      <c r="J2277" s="242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</row>
    <row r="2278" spans="1:26" ht="15.75" hidden="1" customHeight="1" outlineLevel="2">
      <c r="A2278" s="443"/>
      <c r="B2278" s="444"/>
      <c r="C2278"/>
      <c r="D2278"/>
      <c r="E2278" s="321"/>
      <c r="F2278" s="242"/>
      <c r="G2278"/>
      <c r="H2278" s="322"/>
      <c r="I2278" s="322"/>
      <c r="J2278" s="242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</row>
    <row r="2279" spans="1:26" ht="15.75" hidden="1" customHeight="1" outlineLevel="2">
      <c r="A2279" s="443"/>
      <c r="B2279" s="444"/>
      <c r="C2279"/>
      <c r="D2279"/>
      <c r="E2279" s="321"/>
      <c r="F2279" s="242"/>
      <c r="G2279"/>
      <c r="H2279" s="322"/>
      <c r="I2279" s="322"/>
      <c r="J2279" s="242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</row>
    <row r="2280" spans="1:26" ht="15.75" hidden="1" customHeight="1" outlineLevel="2">
      <c r="A2280" s="443"/>
      <c r="B2280" s="444"/>
      <c r="C2280"/>
      <c r="D2280"/>
      <c r="E2280" s="321"/>
      <c r="F2280" s="242"/>
      <c r="G2280"/>
      <c r="H2280" s="322"/>
      <c r="I2280" s="322"/>
      <c r="J2280" s="242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</row>
    <row r="2281" spans="1:26" ht="15.75" hidden="1" customHeight="1" outlineLevel="2">
      <c r="A2281" s="443"/>
      <c r="B2281" s="444"/>
      <c r="C2281"/>
      <c r="D2281"/>
      <c r="E2281" s="321"/>
      <c r="F2281" s="242"/>
      <c r="G2281"/>
      <c r="H2281" s="322"/>
      <c r="I2281" s="322"/>
      <c r="J2281" s="242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</row>
    <row r="2282" spans="1:26" ht="15.75" hidden="1" customHeight="1" outlineLevel="2">
      <c r="A2282" s="443"/>
      <c r="B2282" s="444"/>
      <c r="C2282"/>
      <c r="D2282"/>
      <c r="E2282" s="321"/>
      <c r="F2282" s="242"/>
      <c r="G2282"/>
      <c r="H2282" s="322"/>
      <c r="I2282" s="322"/>
      <c r="J2282" s="242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</row>
    <row r="2283" spans="1:26" ht="15.75" hidden="1" customHeight="1" outlineLevel="2">
      <c r="A2283" s="443"/>
      <c r="B2283" s="444"/>
      <c r="C2283"/>
      <c r="D2283"/>
      <c r="E2283" s="321"/>
      <c r="F2283" s="242"/>
      <c r="G2283"/>
      <c r="H2283" s="322"/>
      <c r="I2283" s="322"/>
      <c r="J2283" s="242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</row>
    <row r="2284" spans="1:26" ht="15.75" hidden="1" customHeight="1" outlineLevel="2">
      <c r="A2284" s="443"/>
      <c r="B2284" s="444"/>
      <c r="C2284"/>
      <c r="D2284"/>
      <c r="E2284" s="321"/>
      <c r="F2284" s="242"/>
      <c r="G2284"/>
      <c r="H2284" s="322"/>
      <c r="I2284" s="322"/>
      <c r="J2284" s="242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</row>
    <row r="2285" spans="1:26" ht="15.75" hidden="1" customHeight="1" outlineLevel="2">
      <c r="A2285" s="443"/>
      <c r="B2285" s="444"/>
      <c r="C2285"/>
      <c r="D2285"/>
      <c r="E2285" s="321"/>
      <c r="F2285" s="242"/>
      <c r="G2285"/>
      <c r="H2285" s="322"/>
      <c r="I2285" s="322"/>
      <c r="J2285" s="242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</row>
    <row r="2286" spans="1:26" ht="15.75" hidden="1" customHeight="1" outlineLevel="2">
      <c r="A2286" s="443"/>
      <c r="B2286" s="444"/>
      <c r="C2286"/>
      <c r="D2286"/>
      <c r="E2286" s="321"/>
      <c r="F2286" s="242"/>
      <c r="G2286"/>
      <c r="H2286" s="322"/>
      <c r="I2286" s="322"/>
      <c r="J2286" s="242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</row>
    <row r="2287" spans="1:26" ht="15.75" hidden="1" customHeight="1" outlineLevel="2">
      <c r="A2287" s="443"/>
      <c r="B2287" s="444"/>
      <c r="C2287"/>
      <c r="D2287"/>
      <c r="E2287" s="321"/>
      <c r="F2287" s="242"/>
      <c r="G2287"/>
      <c r="H2287" s="322"/>
      <c r="I2287" s="322"/>
      <c r="J2287" s="242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</row>
    <row r="2288" spans="1:26" ht="15.75" hidden="1" customHeight="1" outlineLevel="2">
      <c r="A2288" s="443"/>
      <c r="B2288" s="444"/>
      <c r="C2288"/>
      <c r="D2288"/>
      <c r="E2288" s="321"/>
      <c r="F2288" s="242"/>
      <c r="G2288"/>
      <c r="H2288" s="322"/>
      <c r="I2288" s="322"/>
      <c r="J2288" s="242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</row>
    <row r="2289" spans="1:26" ht="15.75" hidden="1" customHeight="1" outlineLevel="2">
      <c r="A2289" s="443"/>
      <c r="B2289" s="444"/>
      <c r="C2289"/>
      <c r="D2289"/>
      <c r="E2289" s="321"/>
      <c r="H2289" s="322"/>
      <c r="I2289" s="322"/>
      <c r="J2289" s="242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</row>
    <row r="2290" spans="1:26" ht="15.75" hidden="1" customHeight="1" outlineLevel="2">
      <c r="A2290" s="443"/>
      <c r="B2290" s="444"/>
      <c r="C2290"/>
      <c r="D2290"/>
      <c r="E2290" s="321"/>
      <c r="H2290" s="322"/>
      <c r="I2290" s="322"/>
      <c r="J2290" s="242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</row>
    <row r="2291" spans="1:26" ht="15.75" hidden="1" customHeight="1" outlineLevel="2">
      <c r="A2291" s="443"/>
      <c r="B2291" s="444"/>
      <c r="C2291"/>
      <c r="D2291"/>
      <c r="E2291" s="321"/>
      <c r="H2291" s="322"/>
      <c r="I2291" s="322"/>
      <c r="J2291" s="242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</row>
    <row r="2292" spans="1:26" ht="15.75" hidden="1" customHeight="1" outlineLevel="2">
      <c r="A2292" s="443"/>
      <c r="B2292" s="444"/>
      <c r="C2292"/>
      <c r="D2292"/>
      <c r="E2292" s="321"/>
      <c r="H2292" s="322"/>
      <c r="I2292" s="322"/>
      <c r="J2292" s="242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</row>
    <row r="2293" spans="1:26" ht="15.75" hidden="1" customHeight="1" outlineLevel="2">
      <c r="A2293" s="443"/>
      <c r="B2293" s="444"/>
      <c r="C2293"/>
      <c r="D2293"/>
      <c r="E2293" s="321"/>
      <c r="F2293" s="242"/>
      <c r="G2293"/>
      <c r="H2293" s="322"/>
      <c r="I2293" s="322"/>
      <c r="J2293" s="242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</row>
    <row r="2294" spans="1:26" ht="15.75" hidden="1" customHeight="1" outlineLevel="2">
      <c r="A2294" s="443"/>
      <c r="B2294" s="444"/>
      <c r="C2294"/>
      <c r="D2294"/>
      <c r="E2294" s="321"/>
      <c r="F2294" s="242"/>
      <c r="G2294"/>
      <c r="H2294" s="322"/>
      <c r="I2294" s="322"/>
      <c r="J2294" s="242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</row>
    <row r="2295" spans="1:26" ht="15.75" hidden="1" customHeight="1" outlineLevel="2">
      <c r="A2295" s="443"/>
      <c r="B2295" s="444"/>
      <c r="C2295"/>
      <c r="D2295"/>
      <c r="E2295" s="321"/>
      <c r="F2295" s="242"/>
      <c r="G2295"/>
      <c r="H2295" s="322"/>
      <c r="I2295" s="322"/>
      <c r="J2295" s="242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</row>
    <row r="2296" spans="1:26" ht="15.75" hidden="1" customHeight="1" outlineLevel="2">
      <c r="A2296" s="443"/>
      <c r="B2296" s="444"/>
      <c r="C2296"/>
      <c r="D2296"/>
      <c r="E2296" s="321"/>
      <c r="F2296" s="242"/>
      <c r="G2296"/>
      <c r="H2296" s="322"/>
      <c r="I2296" s="322"/>
      <c r="J2296" s="242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</row>
    <row r="2297" spans="1:26" ht="15.75" hidden="1" customHeight="1" outlineLevel="2">
      <c r="A2297" s="443"/>
      <c r="B2297" s="444"/>
      <c r="C2297"/>
      <c r="D2297"/>
      <c r="E2297" s="321"/>
      <c r="F2297" s="242"/>
      <c r="G2297"/>
      <c r="H2297" s="322"/>
      <c r="I2297" s="322"/>
      <c r="J2297" s="242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</row>
    <row r="2298" spans="1:26" ht="15.75" hidden="1" customHeight="1" outlineLevel="2">
      <c r="A2298" s="443"/>
      <c r="B2298" s="444"/>
      <c r="C2298"/>
      <c r="D2298"/>
      <c r="E2298" s="321"/>
      <c r="F2298" s="242"/>
      <c r="G2298"/>
      <c r="H2298" s="322"/>
      <c r="I2298" s="322"/>
      <c r="J2298" s="242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</row>
    <row r="2299" spans="1:26" ht="15.75" hidden="1" customHeight="1" outlineLevel="2">
      <c r="A2299" s="443"/>
      <c r="B2299" s="444"/>
      <c r="C2299"/>
      <c r="D2299"/>
      <c r="E2299" s="321"/>
      <c r="H2299" s="322"/>
      <c r="I2299" s="322"/>
      <c r="J2299" s="242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</row>
    <row r="2300" spans="1:26" ht="15.75" hidden="1" customHeight="1" outlineLevel="2">
      <c r="A2300" s="443"/>
      <c r="B2300" s="444"/>
      <c r="C2300"/>
      <c r="D2300"/>
      <c r="E2300" s="321"/>
      <c r="H2300" s="322"/>
      <c r="I2300" s="322"/>
      <c r="J2300" s="242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</row>
    <row r="2301" spans="1:26" ht="15.75" hidden="1" customHeight="1" outlineLevel="2">
      <c r="A2301" s="443"/>
      <c r="B2301" s="444"/>
      <c r="C2301"/>
      <c r="D2301"/>
      <c r="E2301" s="321"/>
      <c r="H2301" s="322"/>
      <c r="I2301" s="322"/>
      <c r="J2301" s="242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</row>
    <row r="2302" spans="1:26" ht="15.75" hidden="1" customHeight="1" outlineLevel="2">
      <c r="A2302" s="443"/>
      <c r="B2302" s="444"/>
      <c r="C2302"/>
      <c r="D2302"/>
      <c r="E2302" s="321"/>
      <c r="H2302" s="322"/>
      <c r="I2302" s="322"/>
      <c r="J2302" s="242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</row>
    <row r="2303" spans="1:26" ht="15.75" hidden="1" customHeight="1" outlineLevel="2">
      <c r="A2303" s="443"/>
      <c r="B2303" s="444"/>
      <c r="C2303"/>
      <c r="D2303"/>
      <c r="E2303" s="321"/>
      <c r="H2303" s="322"/>
      <c r="I2303" s="322"/>
      <c r="J2303" s="242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</row>
    <row r="2304" spans="1:26" ht="15.75" hidden="1" customHeight="1" outlineLevel="2">
      <c r="A2304" s="443"/>
      <c r="B2304" s="444"/>
      <c r="C2304"/>
      <c r="D2304"/>
      <c r="E2304" s="321"/>
      <c r="H2304" s="322"/>
      <c r="I2304" s="322"/>
      <c r="J2304" s="242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</row>
    <row r="2305" spans="1:26" ht="15.75" hidden="1" customHeight="1" outlineLevel="2">
      <c r="A2305" s="443"/>
      <c r="B2305" s="444"/>
      <c r="C2305"/>
      <c r="D2305"/>
      <c r="E2305" s="321"/>
      <c r="H2305" s="322"/>
      <c r="I2305" s="322"/>
      <c r="J2305" s="242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</row>
    <row r="2306" spans="1:26" ht="15.75" hidden="1" customHeight="1" outlineLevel="2">
      <c r="A2306" s="443"/>
      <c r="B2306" s="444"/>
      <c r="C2306"/>
      <c r="D2306"/>
      <c r="E2306" s="321"/>
      <c r="H2306" s="322"/>
      <c r="I2306" s="322"/>
      <c r="J2306" s="242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</row>
    <row r="2307" spans="1:26" ht="15.75" hidden="1" customHeight="1" outlineLevel="2">
      <c r="A2307" s="443"/>
      <c r="B2307" s="444"/>
      <c r="C2307"/>
      <c r="D2307"/>
      <c r="E2307" s="321"/>
      <c r="H2307" s="322"/>
      <c r="I2307" s="322"/>
      <c r="J2307" s="242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</row>
    <row r="2308" spans="1:26" ht="15.75" hidden="1" customHeight="1" outlineLevel="2">
      <c r="A2308" s="443"/>
      <c r="B2308" s="444"/>
      <c r="C2308"/>
      <c r="D2308"/>
      <c r="E2308" s="321"/>
      <c r="H2308" s="322"/>
      <c r="I2308" s="322"/>
      <c r="J2308" s="242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</row>
    <row r="2309" spans="1:26" ht="15.75" hidden="1" customHeight="1" outlineLevel="2">
      <c r="A2309" s="443"/>
      <c r="B2309" s="444"/>
      <c r="C2309"/>
      <c r="D2309"/>
      <c r="E2309" s="321"/>
      <c r="F2309" s="242"/>
      <c r="G2309"/>
      <c r="H2309" s="322"/>
      <c r="I2309" s="322"/>
      <c r="J2309" s="242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</row>
    <row r="2310" spans="1:26" ht="15.75" hidden="1" customHeight="1" outlineLevel="2">
      <c r="A2310" s="443"/>
      <c r="B2310" s="444"/>
      <c r="C2310"/>
      <c r="D2310"/>
      <c r="E2310" s="321"/>
      <c r="F2310" s="242"/>
      <c r="G2310"/>
      <c r="H2310" s="322"/>
      <c r="I2310" s="322"/>
      <c r="J2310" s="242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</row>
    <row r="2311" spans="1:26" ht="15.75" hidden="1" customHeight="1" outlineLevel="2">
      <c r="A2311" s="443"/>
      <c r="B2311" s="444"/>
      <c r="C2311"/>
      <c r="D2311"/>
      <c r="E2311" s="321"/>
      <c r="H2311" s="322"/>
      <c r="I2311" s="322"/>
      <c r="J2311" s="242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</row>
    <row r="2312" spans="1:26" ht="15.75" hidden="1" customHeight="1" outlineLevel="2">
      <c r="A2312" s="443"/>
      <c r="B2312" s="444"/>
      <c r="C2312"/>
      <c r="D2312"/>
      <c r="E2312" s="321"/>
      <c r="F2312" s="242"/>
      <c r="G2312"/>
      <c r="H2312" s="322"/>
      <c r="I2312" s="322"/>
      <c r="J2312" s="242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</row>
    <row r="2313" spans="1:26" ht="15.75" hidden="1" customHeight="1" outlineLevel="2">
      <c r="A2313" s="443"/>
      <c r="B2313" s="444"/>
      <c r="C2313"/>
      <c r="D2313"/>
      <c r="E2313" s="321"/>
      <c r="F2313" s="242"/>
      <c r="G2313"/>
      <c r="H2313" s="322"/>
      <c r="I2313" s="322"/>
      <c r="J2313" s="242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</row>
    <row r="2314" spans="1:26" ht="15.75" hidden="1" customHeight="1" outlineLevel="2">
      <c r="A2314" s="443"/>
      <c r="B2314" s="444"/>
      <c r="C2314"/>
      <c r="D2314"/>
      <c r="E2314" s="321"/>
      <c r="F2314" s="242"/>
      <c r="G2314"/>
      <c r="H2314" s="322"/>
      <c r="I2314" s="322"/>
      <c r="J2314" s="242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</row>
    <row r="2315" spans="1:26" ht="15.75" hidden="1" customHeight="1" outlineLevel="2">
      <c r="A2315" s="443"/>
      <c r="B2315" s="444"/>
      <c r="C2315"/>
      <c r="D2315"/>
      <c r="E2315" s="321"/>
      <c r="F2315" s="242"/>
      <c r="G2315"/>
      <c r="H2315" s="322"/>
      <c r="I2315" s="322"/>
      <c r="J2315" s="242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</row>
    <row r="2316" spans="1:26" ht="15.75" hidden="1" customHeight="1" outlineLevel="2">
      <c r="A2316" s="443"/>
      <c r="B2316" s="444"/>
      <c r="C2316"/>
      <c r="D2316"/>
      <c r="E2316" s="321"/>
      <c r="F2316" s="242"/>
      <c r="G2316"/>
      <c r="H2316" s="322"/>
      <c r="I2316" s="322"/>
      <c r="J2316" s="242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</row>
    <row r="2317" spans="1:26" ht="15.75" hidden="1" customHeight="1" outlineLevel="2">
      <c r="A2317" s="443"/>
      <c r="B2317" s="444"/>
      <c r="C2317"/>
      <c r="D2317"/>
      <c r="E2317" s="321"/>
      <c r="F2317" s="242"/>
      <c r="G2317"/>
      <c r="H2317" s="322"/>
      <c r="I2317" s="322"/>
      <c r="J2317" s="242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</row>
    <row r="2318" spans="1:26" ht="15.75" hidden="1" customHeight="1" outlineLevel="2">
      <c r="A2318" s="443"/>
      <c r="B2318" s="444"/>
      <c r="C2318"/>
      <c r="D2318"/>
      <c r="E2318" s="321"/>
      <c r="F2318" s="242"/>
      <c r="G2318"/>
      <c r="H2318" s="322"/>
      <c r="I2318" s="322"/>
      <c r="J2318" s="242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</row>
    <row r="2319" spans="1:26" ht="15.75" hidden="1" customHeight="1" outlineLevel="2">
      <c r="A2319" s="443"/>
      <c r="B2319" s="444"/>
      <c r="C2319"/>
      <c r="D2319"/>
      <c r="E2319" s="321"/>
      <c r="F2319" s="242"/>
      <c r="G2319"/>
      <c r="H2319" s="322"/>
      <c r="I2319" s="322"/>
      <c r="J2319" s="242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</row>
    <row r="2320" spans="1:26" ht="15.75" hidden="1" customHeight="1" outlineLevel="2">
      <c r="A2320" s="443"/>
      <c r="B2320" s="444"/>
      <c r="C2320"/>
      <c r="D2320"/>
      <c r="E2320" s="321"/>
      <c r="F2320" s="242"/>
      <c r="G2320"/>
      <c r="H2320" s="322"/>
      <c r="I2320" s="322"/>
      <c r="J2320" s="242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</row>
    <row r="2321" spans="1:26" ht="15.75" hidden="1" customHeight="1" outlineLevel="2">
      <c r="A2321" s="443"/>
      <c r="B2321" s="444"/>
      <c r="C2321"/>
      <c r="D2321"/>
      <c r="E2321" s="321"/>
      <c r="F2321" s="242"/>
      <c r="G2321"/>
      <c r="H2321" s="322"/>
      <c r="I2321" s="322"/>
      <c r="J2321" s="242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</row>
    <row r="2322" spans="1:26" ht="15.75" hidden="1" customHeight="1" outlineLevel="2">
      <c r="A2322" s="443"/>
      <c r="B2322" s="444"/>
      <c r="C2322"/>
      <c r="D2322"/>
      <c r="E2322" s="321"/>
      <c r="H2322" s="322"/>
      <c r="I2322" s="322"/>
      <c r="J2322" s="242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</row>
    <row r="2323" spans="1:26" ht="15.75" hidden="1" customHeight="1" outlineLevel="2">
      <c r="A2323" s="443"/>
      <c r="B2323" s="444"/>
      <c r="C2323"/>
      <c r="D2323"/>
      <c r="E2323" s="321"/>
      <c r="H2323" s="322"/>
      <c r="I2323" s="322"/>
      <c r="J2323" s="242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</row>
    <row r="2324" spans="1:26" ht="15.75" hidden="1" customHeight="1" outlineLevel="2">
      <c r="A2324" s="443"/>
      <c r="B2324" s="444"/>
      <c r="C2324"/>
      <c r="D2324"/>
      <c r="E2324" s="321"/>
      <c r="H2324" s="322"/>
      <c r="I2324" s="322"/>
      <c r="J2324" s="242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</row>
    <row r="2325" spans="1:26" ht="15.75" hidden="1" customHeight="1" outlineLevel="2">
      <c r="A2325" s="443"/>
      <c r="B2325" s="444"/>
      <c r="C2325"/>
      <c r="D2325"/>
      <c r="E2325" s="321"/>
      <c r="H2325" s="322"/>
      <c r="I2325" s="322"/>
      <c r="J2325" s="242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</row>
    <row r="2326" spans="1:26" ht="15.75" hidden="1" customHeight="1" outlineLevel="2">
      <c r="A2326" s="443"/>
      <c r="B2326" s="444"/>
      <c r="C2326"/>
      <c r="D2326"/>
      <c r="E2326" s="321"/>
      <c r="H2326" s="322"/>
      <c r="I2326" s="322"/>
      <c r="J2326" s="242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</row>
    <row r="2327" spans="1:26" ht="15.75" hidden="1" customHeight="1" outlineLevel="2">
      <c r="A2327" s="443"/>
      <c r="B2327" s="444"/>
      <c r="C2327"/>
      <c r="D2327"/>
      <c r="E2327" s="321"/>
      <c r="H2327" s="322"/>
      <c r="I2327" s="322"/>
      <c r="J2327" s="242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</row>
    <row r="2328" spans="1:26" ht="15.75" hidden="1" customHeight="1" outlineLevel="2">
      <c r="A2328" s="443"/>
      <c r="B2328" s="444"/>
      <c r="C2328"/>
      <c r="D2328"/>
      <c r="E2328" s="321"/>
      <c r="H2328" s="322"/>
      <c r="I2328" s="322"/>
      <c r="J2328" s="242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</row>
    <row r="2329" spans="1:26" ht="15.75" hidden="1" customHeight="1" outlineLevel="2">
      <c r="A2329" s="443"/>
      <c r="B2329" s="444"/>
      <c r="C2329"/>
      <c r="D2329"/>
      <c r="E2329" s="321"/>
      <c r="H2329" s="322"/>
      <c r="I2329" s="322"/>
      <c r="J2329" s="242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</row>
    <row r="2330" spans="1:26" ht="15.75" hidden="1" customHeight="1" outlineLevel="2">
      <c r="A2330" s="443"/>
      <c r="B2330" s="444"/>
      <c r="C2330"/>
      <c r="D2330"/>
      <c r="E2330" s="321"/>
      <c r="H2330" s="322"/>
      <c r="I2330" s="322"/>
      <c r="J2330" s="242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</row>
    <row r="2331" spans="1:26" ht="15.75" hidden="1" customHeight="1" outlineLevel="2">
      <c r="A2331" s="443"/>
      <c r="B2331" s="444"/>
      <c r="C2331"/>
      <c r="D2331"/>
      <c r="E2331" s="321"/>
      <c r="H2331" s="322"/>
      <c r="I2331" s="322"/>
      <c r="J2331" s="242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</row>
    <row r="2332" spans="1:26" ht="15.75" hidden="1" customHeight="1" outlineLevel="2">
      <c r="A2332" s="443"/>
      <c r="B2332" s="444"/>
      <c r="C2332"/>
      <c r="D2332"/>
      <c r="E2332" s="321"/>
      <c r="H2332" s="322"/>
      <c r="I2332" s="322"/>
      <c r="J2332" s="242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</row>
    <row r="2333" spans="1:26" ht="15.75" hidden="1" customHeight="1" outlineLevel="2">
      <c r="A2333" s="443"/>
      <c r="B2333" s="444"/>
      <c r="C2333"/>
      <c r="D2333"/>
      <c r="E2333" s="321"/>
      <c r="H2333" s="322"/>
      <c r="I2333" s="322"/>
      <c r="J2333" s="242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</row>
    <row r="2334" spans="1:26" ht="15.75" hidden="1" customHeight="1" outlineLevel="2">
      <c r="A2334" s="443"/>
      <c r="B2334" s="444"/>
      <c r="C2334"/>
      <c r="D2334"/>
      <c r="E2334" s="321"/>
      <c r="H2334" s="322"/>
      <c r="I2334" s="322"/>
      <c r="J2334" s="242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</row>
    <row r="2335" spans="1:26" ht="15.75" hidden="1" customHeight="1" outlineLevel="2">
      <c r="A2335" s="443"/>
      <c r="B2335" s="444"/>
      <c r="C2335"/>
      <c r="D2335"/>
      <c r="E2335" s="321"/>
      <c r="H2335" s="322"/>
      <c r="I2335" s="322"/>
      <c r="J2335" s="242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</row>
    <row r="2336" spans="1:26" ht="15.75" hidden="1" customHeight="1" outlineLevel="2">
      <c r="A2336" s="443"/>
      <c r="B2336" s="444"/>
      <c r="C2336"/>
      <c r="D2336"/>
      <c r="E2336" s="321"/>
      <c r="H2336" s="322"/>
      <c r="I2336" s="322"/>
      <c r="J2336" s="242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</row>
    <row r="2337" spans="1:26" ht="15.75" hidden="1" customHeight="1" outlineLevel="2">
      <c r="A2337" s="443"/>
      <c r="B2337" s="444"/>
      <c r="C2337"/>
      <c r="D2337"/>
      <c r="E2337" s="321"/>
      <c r="H2337" s="322"/>
      <c r="I2337" s="322"/>
      <c r="J2337" s="242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</row>
    <row r="2338" spans="1:26" ht="15.75" hidden="1" customHeight="1" outlineLevel="2">
      <c r="A2338" s="443"/>
      <c r="B2338" s="444"/>
      <c r="C2338"/>
      <c r="D2338"/>
      <c r="E2338" s="321"/>
      <c r="F2338" s="242"/>
      <c r="G2338"/>
      <c r="H2338" s="322"/>
      <c r="I2338" s="322"/>
      <c r="J2338" s="242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</row>
    <row r="2339" spans="1:26" ht="15.75" hidden="1" customHeight="1" outlineLevel="2">
      <c r="A2339" s="443"/>
      <c r="B2339" s="444"/>
      <c r="C2339"/>
      <c r="D2339"/>
      <c r="E2339" s="321"/>
      <c r="F2339" s="242"/>
      <c r="G2339"/>
      <c r="H2339" s="322"/>
      <c r="I2339" s="322"/>
      <c r="J2339" s="242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</row>
    <row r="2340" spans="1:26" ht="15.75" hidden="1" customHeight="1" outlineLevel="2">
      <c r="A2340" s="443"/>
      <c r="B2340" s="444"/>
      <c r="C2340"/>
      <c r="D2340"/>
      <c r="E2340" s="321"/>
      <c r="F2340" s="242"/>
      <c r="G2340"/>
      <c r="H2340" s="322"/>
      <c r="I2340" s="322"/>
      <c r="J2340" s="242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</row>
    <row r="2341" spans="1:26" ht="15.75" hidden="1" customHeight="1" outlineLevel="2">
      <c r="A2341" s="443"/>
      <c r="B2341" s="444"/>
      <c r="C2341"/>
      <c r="D2341"/>
      <c r="E2341" s="321"/>
      <c r="F2341" s="242"/>
      <c r="G2341"/>
      <c r="H2341" s="322"/>
      <c r="I2341" s="322"/>
      <c r="J2341" s="242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</row>
    <row r="2342" spans="1:26" ht="15.75" hidden="1" customHeight="1" outlineLevel="2">
      <c r="A2342" s="443"/>
      <c r="B2342" s="444"/>
      <c r="C2342"/>
      <c r="D2342"/>
      <c r="E2342" s="321"/>
      <c r="F2342" s="242"/>
      <c r="G2342"/>
      <c r="H2342" s="322"/>
      <c r="I2342" s="322"/>
      <c r="J2342" s="242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</row>
    <row r="2343" spans="1:26" ht="15.75" hidden="1" customHeight="1" outlineLevel="2">
      <c r="A2343" s="443"/>
      <c r="B2343" s="444"/>
      <c r="C2343"/>
      <c r="D2343"/>
      <c r="E2343" s="321"/>
      <c r="F2343" s="242"/>
      <c r="G2343"/>
      <c r="H2343" s="322"/>
      <c r="I2343" s="322"/>
      <c r="J2343" s="242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</row>
    <row r="2344" spans="1:26" ht="15.75" hidden="1" customHeight="1" outlineLevel="2">
      <c r="A2344" s="443"/>
      <c r="B2344" s="444"/>
      <c r="C2344"/>
      <c r="D2344"/>
      <c r="E2344" s="321"/>
      <c r="F2344" s="242"/>
      <c r="G2344"/>
      <c r="H2344" s="322"/>
      <c r="I2344" s="322"/>
      <c r="J2344" s="242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</row>
    <row r="2345" spans="1:26" ht="15.75" hidden="1" customHeight="1" outlineLevel="2">
      <c r="A2345" s="443"/>
      <c r="B2345" s="444"/>
      <c r="C2345"/>
      <c r="D2345"/>
      <c r="E2345" s="321"/>
      <c r="F2345" s="242"/>
      <c r="G2345"/>
      <c r="H2345" s="322"/>
      <c r="I2345" s="322"/>
      <c r="J2345" s="242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</row>
    <row r="2346" spans="1:26" ht="15.75" hidden="1" customHeight="1" outlineLevel="2">
      <c r="A2346" s="443"/>
      <c r="B2346" s="444"/>
      <c r="C2346"/>
      <c r="D2346"/>
      <c r="E2346" s="321"/>
      <c r="F2346" s="242"/>
      <c r="G2346"/>
      <c r="H2346" s="322"/>
      <c r="I2346" s="322"/>
      <c r="J2346" s="242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</row>
    <row r="2347" spans="1:26" ht="15.75" hidden="1" customHeight="1" outlineLevel="2">
      <c r="A2347" s="443"/>
      <c r="B2347" s="444"/>
      <c r="C2347"/>
      <c r="D2347"/>
      <c r="E2347" s="321"/>
      <c r="F2347" s="242"/>
      <c r="G2347"/>
      <c r="H2347" s="322"/>
      <c r="I2347" s="322"/>
      <c r="J2347" s="242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</row>
    <row r="2348" spans="1:26" ht="15.75" hidden="1" customHeight="1" outlineLevel="2">
      <c r="A2348" s="443"/>
      <c r="B2348" s="444"/>
      <c r="C2348"/>
      <c r="D2348"/>
      <c r="E2348" s="321"/>
      <c r="F2348" s="242"/>
      <c r="G2348"/>
      <c r="H2348" s="322"/>
      <c r="I2348" s="322"/>
      <c r="J2348" s="242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</row>
    <row r="2349" spans="1:26" ht="15.75" hidden="1" customHeight="1" outlineLevel="2">
      <c r="A2349" s="443"/>
      <c r="B2349" s="444"/>
      <c r="C2349"/>
      <c r="D2349"/>
      <c r="E2349" s="321"/>
      <c r="F2349" s="242"/>
      <c r="G2349"/>
      <c r="H2349" s="322"/>
      <c r="I2349" s="322"/>
      <c r="J2349" s="242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</row>
    <row r="2350" spans="1:26" ht="15.75" hidden="1" customHeight="1" outlineLevel="2">
      <c r="A2350" s="443"/>
      <c r="B2350" s="444"/>
      <c r="C2350"/>
      <c r="D2350"/>
      <c r="E2350" s="321"/>
      <c r="F2350" s="242"/>
      <c r="G2350"/>
      <c r="H2350" s="322"/>
      <c r="I2350" s="322"/>
      <c r="J2350" s="242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</row>
    <row r="2351" spans="1:26" ht="15.75" hidden="1" customHeight="1" outlineLevel="2">
      <c r="A2351" s="443"/>
      <c r="B2351" s="444"/>
      <c r="C2351"/>
      <c r="D2351"/>
      <c r="E2351" s="321"/>
      <c r="F2351" s="242"/>
      <c r="G2351"/>
      <c r="H2351" s="322"/>
      <c r="I2351" s="322"/>
      <c r="J2351" s="242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</row>
    <row r="2352" spans="1:26" ht="15.75" hidden="1" customHeight="1" outlineLevel="2">
      <c r="A2352" s="443"/>
      <c r="B2352" s="444"/>
      <c r="C2352"/>
      <c r="D2352"/>
      <c r="E2352" s="321"/>
      <c r="F2352" s="242"/>
      <c r="G2352"/>
      <c r="H2352" s="322"/>
      <c r="I2352" s="322"/>
      <c r="J2352" s="242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</row>
    <row r="2353" spans="1:26" ht="15.75" hidden="1" customHeight="1" outlineLevel="2">
      <c r="A2353" s="443"/>
      <c r="B2353" s="444"/>
      <c r="C2353"/>
      <c r="D2353"/>
      <c r="E2353" s="321"/>
      <c r="H2353" s="322"/>
      <c r="I2353" s="322"/>
      <c r="J2353" s="242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</row>
    <row r="2354" spans="1:26" ht="15.75" hidden="1" customHeight="1" outlineLevel="2">
      <c r="A2354" s="443"/>
      <c r="B2354" s="444"/>
      <c r="C2354"/>
      <c r="D2354"/>
      <c r="E2354" s="321"/>
      <c r="H2354" s="322"/>
      <c r="I2354" s="322"/>
      <c r="J2354" s="242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</row>
    <row r="2355" spans="1:26" ht="15.75" hidden="1" customHeight="1" outlineLevel="2">
      <c r="A2355" s="443"/>
      <c r="B2355" s="444"/>
      <c r="C2355"/>
      <c r="D2355"/>
      <c r="E2355" s="321"/>
      <c r="H2355" s="322"/>
      <c r="I2355" s="322"/>
      <c r="J2355" s="242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</row>
    <row r="2356" spans="1:26" ht="15.75" hidden="1" customHeight="1" outlineLevel="2">
      <c r="A2356" s="443"/>
      <c r="B2356" s="444"/>
      <c r="C2356"/>
      <c r="D2356"/>
      <c r="E2356" s="321"/>
      <c r="H2356" s="322"/>
      <c r="I2356" s="322"/>
      <c r="J2356" s="242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</row>
    <row r="2357" spans="1:26" ht="15.75" hidden="1" customHeight="1" outlineLevel="2">
      <c r="A2357" s="443"/>
      <c r="B2357" s="444"/>
      <c r="C2357"/>
      <c r="D2357"/>
      <c r="E2357" s="321"/>
      <c r="H2357" s="322"/>
      <c r="I2357" s="322"/>
      <c r="J2357" s="242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</row>
    <row r="2358" spans="1:26" ht="15.75" hidden="1" customHeight="1" outlineLevel="2">
      <c r="A2358" s="443"/>
      <c r="B2358" s="444"/>
      <c r="C2358"/>
      <c r="D2358"/>
      <c r="E2358" s="321"/>
      <c r="H2358" s="322"/>
      <c r="I2358" s="322"/>
      <c r="J2358" s="242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</row>
    <row r="2359" spans="1:26" ht="15.75" hidden="1" customHeight="1" outlineLevel="2">
      <c r="A2359" s="443"/>
      <c r="B2359" s="444"/>
      <c r="C2359"/>
      <c r="D2359"/>
      <c r="E2359" s="321"/>
      <c r="F2359" s="242"/>
      <c r="G2359"/>
      <c r="H2359" s="322"/>
      <c r="I2359" s="322"/>
      <c r="J2359" s="242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</row>
    <row r="2360" spans="1:26" ht="15.75" hidden="1" customHeight="1" outlineLevel="2">
      <c r="A2360" s="443"/>
      <c r="B2360" s="444"/>
      <c r="C2360"/>
      <c r="D2360"/>
      <c r="E2360" s="321"/>
      <c r="F2360" s="242"/>
      <c r="G2360"/>
      <c r="H2360" s="322"/>
      <c r="I2360" s="322"/>
      <c r="J2360" s="242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</row>
    <row r="2361" spans="1:26" ht="15.75" hidden="1" customHeight="1" outlineLevel="2">
      <c r="A2361" s="443"/>
      <c r="B2361" s="444"/>
      <c r="C2361"/>
      <c r="D2361"/>
      <c r="E2361" s="321"/>
      <c r="F2361" s="242"/>
      <c r="G2361"/>
      <c r="H2361" s="322"/>
      <c r="I2361" s="322"/>
      <c r="J2361" s="242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</row>
    <row r="2362" spans="1:26" ht="15.75" hidden="1" customHeight="1" outlineLevel="2">
      <c r="A2362" s="443"/>
      <c r="B2362" s="444"/>
      <c r="C2362"/>
      <c r="D2362"/>
      <c r="E2362" s="321"/>
      <c r="F2362" s="242"/>
      <c r="G2362"/>
      <c r="H2362" s="322"/>
      <c r="I2362" s="322"/>
      <c r="J2362" s="242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</row>
    <row r="2363" spans="1:26" ht="15.75" hidden="1" customHeight="1" outlineLevel="2">
      <c r="A2363" s="443"/>
      <c r="B2363" s="444"/>
      <c r="C2363"/>
      <c r="D2363"/>
      <c r="E2363" s="321"/>
      <c r="F2363" s="242"/>
      <c r="G2363"/>
      <c r="H2363" s="322"/>
      <c r="I2363" s="322"/>
      <c r="J2363" s="242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</row>
    <row r="2364" spans="1:26" ht="15.75" hidden="1" customHeight="1" outlineLevel="2">
      <c r="A2364" s="443"/>
      <c r="B2364" s="444"/>
      <c r="C2364"/>
      <c r="D2364"/>
      <c r="E2364" s="321"/>
      <c r="F2364" s="242"/>
      <c r="G2364"/>
      <c r="H2364" s="322"/>
      <c r="I2364" s="322"/>
      <c r="J2364" s="242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</row>
    <row r="2365" spans="1:26" ht="15.75" hidden="1" customHeight="1" outlineLevel="2">
      <c r="A2365" s="443"/>
      <c r="B2365" s="444"/>
      <c r="C2365"/>
      <c r="D2365"/>
      <c r="E2365" s="321"/>
      <c r="H2365" s="322"/>
      <c r="I2365" s="322"/>
      <c r="J2365" s="242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</row>
    <row r="2366" spans="1:26" ht="15.75" hidden="1" customHeight="1" outlineLevel="2">
      <c r="A2366" s="443"/>
      <c r="B2366" s="444"/>
      <c r="C2366"/>
      <c r="D2366"/>
      <c r="E2366" s="321"/>
      <c r="H2366" s="322"/>
      <c r="I2366" s="322"/>
      <c r="J2366" s="242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</row>
    <row r="2367" spans="1:26" ht="15.75" hidden="1" customHeight="1" outlineLevel="2">
      <c r="A2367" s="443"/>
      <c r="B2367" s="444"/>
      <c r="C2367"/>
      <c r="D2367"/>
      <c r="E2367" s="321"/>
      <c r="H2367" s="322"/>
      <c r="I2367" s="322"/>
      <c r="J2367" s="242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</row>
    <row r="2368" spans="1:26" ht="15.75" hidden="1" customHeight="1" outlineLevel="2">
      <c r="A2368" s="443"/>
      <c r="B2368" s="444"/>
      <c r="C2368"/>
      <c r="D2368"/>
      <c r="E2368" s="321"/>
      <c r="H2368" s="322"/>
      <c r="I2368" s="322"/>
      <c r="J2368" s="242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</row>
    <row r="2369" spans="1:26" ht="15.75" hidden="1" customHeight="1" outlineLevel="2">
      <c r="A2369" s="443"/>
      <c r="B2369" s="444"/>
      <c r="C2369"/>
      <c r="D2369"/>
      <c r="E2369" s="321"/>
      <c r="H2369" s="322"/>
      <c r="I2369" s="322"/>
      <c r="J2369" s="242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</row>
    <row r="2370" spans="1:26" ht="15.75" hidden="1" customHeight="1" outlineLevel="2">
      <c r="A2370" s="443"/>
      <c r="B2370" s="444"/>
      <c r="C2370"/>
      <c r="D2370"/>
      <c r="E2370" s="321"/>
      <c r="H2370" s="322"/>
      <c r="I2370" s="322"/>
      <c r="J2370" s="242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</row>
    <row r="2371" spans="1:26" ht="15.75" hidden="1" customHeight="1" outlineLevel="2">
      <c r="A2371" s="443"/>
      <c r="B2371" s="444"/>
      <c r="C2371"/>
      <c r="D2371"/>
      <c r="E2371" s="321"/>
      <c r="H2371" s="322"/>
      <c r="I2371" s="322"/>
      <c r="J2371" s="242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</row>
    <row r="2372" spans="1:26" ht="15.75" hidden="1" customHeight="1" outlineLevel="2">
      <c r="A2372" s="443"/>
      <c r="B2372" s="444"/>
      <c r="C2372"/>
      <c r="D2372"/>
      <c r="E2372" s="321"/>
      <c r="H2372" s="322"/>
      <c r="I2372" s="322"/>
      <c r="J2372" s="242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</row>
    <row r="2373" spans="1:26" ht="15.75" hidden="1" customHeight="1" outlineLevel="2">
      <c r="A2373" s="443"/>
      <c r="B2373" s="444"/>
      <c r="C2373"/>
      <c r="D2373"/>
      <c r="E2373" s="321"/>
      <c r="H2373" s="322"/>
      <c r="I2373" s="322"/>
      <c r="J2373" s="242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</row>
    <row r="2374" spans="1:26" ht="15.75" hidden="1" customHeight="1" outlineLevel="2">
      <c r="A2374" s="443"/>
      <c r="B2374" s="444"/>
      <c r="C2374"/>
      <c r="D2374"/>
      <c r="E2374" s="321"/>
      <c r="H2374" s="322"/>
      <c r="I2374" s="322"/>
      <c r="J2374" s="242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</row>
    <row r="2375" spans="1:26" ht="15.75" hidden="1" customHeight="1" outlineLevel="2">
      <c r="A2375" s="443"/>
      <c r="B2375" s="444"/>
      <c r="C2375"/>
      <c r="D2375"/>
      <c r="E2375" s="321"/>
      <c r="H2375" s="322"/>
      <c r="I2375" s="322"/>
      <c r="J2375" s="242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</row>
    <row r="2376" spans="1:26" ht="15.75" hidden="1" customHeight="1" outlineLevel="2">
      <c r="A2376" s="443"/>
      <c r="B2376" s="444"/>
      <c r="C2376"/>
      <c r="D2376"/>
      <c r="E2376" s="321"/>
      <c r="H2376" s="322"/>
      <c r="I2376" s="322"/>
      <c r="J2376" s="242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</row>
    <row r="2377" spans="1:26" ht="15.75" hidden="1" customHeight="1" outlineLevel="2">
      <c r="A2377" s="443"/>
      <c r="B2377" s="444"/>
      <c r="C2377"/>
      <c r="D2377"/>
      <c r="E2377" s="321"/>
      <c r="H2377" s="322"/>
      <c r="I2377" s="322"/>
      <c r="J2377" s="242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</row>
    <row r="2378" spans="1:26" ht="15.75" hidden="1" customHeight="1" outlineLevel="2">
      <c r="A2378" s="443"/>
      <c r="B2378" s="444"/>
      <c r="C2378"/>
      <c r="D2378"/>
      <c r="E2378" s="321"/>
      <c r="F2378" s="242"/>
      <c r="G2378"/>
      <c r="H2378" s="322"/>
      <c r="I2378" s="322"/>
      <c r="J2378" s="242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</row>
    <row r="2379" spans="1:26" ht="15.75" hidden="1" customHeight="1" outlineLevel="2">
      <c r="A2379" s="443"/>
      <c r="B2379" s="444"/>
      <c r="C2379"/>
      <c r="D2379"/>
      <c r="E2379" s="321"/>
      <c r="F2379" s="242"/>
      <c r="G2379"/>
      <c r="H2379" s="322"/>
      <c r="I2379" s="322"/>
      <c r="J2379" s="242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</row>
    <row r="2380" spans="1:26" ht="15.75" hidden="1" customHeight="1" outlineLevel="2">
      <c r="A2380" s="443"/>
      <c r="B2380" s="444"/>
      <c r="C2380"/>
      <c r="D2380"/>
      <c r="E2380" s="321"/>
      <c r="F2380" s="242"/>
      <c r="G2380"/>
      <c r="H2380" s="322"/>
      <c r="I2380" s="322"/>
      <c r="J2380" s="242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</row>
    <row r="2381" spans="1:26" ht="15.75" hidden="1" customHeight="1" outlineLevel="2">
      <c r="A2381" s="443"/>
      <c r="B2381" s="444"/>
      <c r="C2381"/>
      <c r="D2381"/>
      <c r="E2381" s="321"/>
      <c r="F2381" s="242"/>
      <c r="G2381"/>
      <c r="H2381" s="322"/>
      <c r="I2381" s="322"/>
      <c r="J2381" s="242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</row>
    <row r="2382" spans="1:26" ht="15.75" hidden="1" customHeight="1" outlineLevel="2">
      <c r="A2382" s="443"/>
      <c r="B2382" s="444"/>
      <c r="C2382"/>
      <c r="D2382"/>
      <c r="E2382" s="321"/>
      <c r="F2382" s="242"/>
      <c r="G2382"/>
      <c r="H2382" s="322"/>
      <c r="I2382" s="322"/>
      <c r="J2382" s="242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</row>
    <row r="2383" spans="1:26" ht="15.75" hidden="1" customHeight="1" outlineLevel="2">
      <c r="A2383" s="443"/>
      <c r="B2383" s="444"/>
      <c r="C2383"/>
      <c r="D2383"/>
      <c r="E2383" s="321"/>
      <c r="F2383" s="242"/>
      <c r="G2383"/>
      <c r="H2383" s="322"/>
      <c r="I2383" s="322"/>
      <c r="J2383" s="242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</row>
    <row r="2384" spans="1:26" ht="15.75" hidden="1" customHeight="1" outlineLevel="2">
      <c r="A2384" s="443"/>
      <c r="B2384" s="444"/>
      <c r="C2384"/>
      <c r="D2384"/>
      <c r="E2384" s="321"/>
      <c r="F2384" s="242"/>
      <c r="G2384"/>
      <c r="H2384" s="322"/>
      <c r="I2384" s="322"/>
      <c r="J2384" s="242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</row>
    <row r="2385" spans="1:26" ht="15.75" hidden="1" customHeight="1" outlineLevel="2">
      <c r="A2385" s="443"/>
      <c r="B2385" s="444"/>
      <c r="C2385"/>
      <c r="D2385"/>
      <c r="E2385" s="321"/>
      <c r="F2385" s="242"/>
      <c r="G2385"/>
      <c r="H2385" s="322"/>
      <c r="I2385" s="322"/>
      <c r="J2385" s="242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</row>
    <row r="2386" spans="1:26" ht="15.75" hidden="1" customHeight="1" outlineLevel="2">
      <c r="A2386" s="443"/>
      <c r="B2386" s="444"/>
      <c r="C2386"/>
      <c r="D2386"/>
      <c r="E2386" s="321"/>
      <c r="F2386" s="242"/>
      <c r="G2386"/>
      <c r="H2386" s="322"/>
      <c r="I2386" s="322"/>
      <c r="J2386" s="242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</row>
    <row r="2387" spans="1:26" ht="15.75" hidden="1" customHeight="1" outlineLevel="2">
      <c r="A2387" s="443"/>
      <c r="B2387" s="444"/>
      <c r="C2387"/>
      <c r="D2387"/>
      <c r="E2387" s="321"/>
      <c r="F2387" s="242"/>
      <c r="G2387"/>
      <c r="H2387" s="322"/>
      <c r="I2387" s="322"/>
      <c r="J2387" s="242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</row>
    <row r="2388" spans="1:26" ht="15.75" hidden="1" customHeight="1" outlineLevel="2">
      <c r="A2388" s="443"/>
      <c r="B2388" s="444"/>
      <c r="C2388"/>
      <c r="D2388"/>
      <c r="E2388" s="321"/>
      <c r="F2388" s="242"/>
      <c r="G2388"/>
      <c r="H2388" s="322"/>
      <c r="I2388" s="322"/>
      <c r="J2388" s="242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</row>
    <row r="2389" spans="1:26" ht="15.75" hidden="1" customHeight="1" outlineLevel="2">
      <c r="A2389" s="443"/>
      <c r="B2389" s="444"/>
      <c r="C2389"/>
      <c r="D2389"/>
      <c r="E2389" s="321"/>
      <c r="F2389" s="242"/>
      <c r="G2389"/>
      <c r="H2389" s="322"/>
      <c r="I2389" s="322"/>
      <c r="J2389" s="242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</row>
    <row r="2390" spans="1:26" ht="15.75" hidden="1" customHeight="1" outlineLevel="2">
      <c r="A2390" s="443"/>
      <c r="B2390" s="444"/>
      <c r="C2390"/>
      <c r="D2390"/>
      <c r="E2390" s="321"/>
      <c r="H2390" s="322"/>
      <c r="I2390" s="322"/>
      <c r="J2390" s="242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</row>
    <row r="2391" spans="1:26" ht="15.75" hidden="1" customHeight="1" outlineLevel="2">
      <c r="A2391" s="443"/>
      <c r="B2391" s="444"/>
      <c r="C2391"/>
      <c r="D2391"/>
      <c r="E2391" s="321"/>
      <c r="H2391" s="322"/>
      <c r="I2391" s="322"/>
      <c r="J2391" s="242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</row>
    <row r="2392" spans="1:26" ht="15.75" hidden="1" customHeight="1" outlineLevel="2">
      <c r="A2392" s="443"/>
      <c r="B2392" s="444"/>
      <c r="C2392"/>
      <c r="D2392"/>
      <c r="E2392" s="321"/>
      <c r="H2392" s="322"/>
      <c r="I2392" s="322"/>
      <c r="J2392" s="242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</row>
    <row r="2393" spans="1:26" ht="15.75" hidden="1" customHeight="1" outlineLevel="2">
      <c r="A2393" s="443"/>
      <c r="B2393" s="444"/>
      <c r="C2393"/>
      <c r="D2393"/>
      <c r="E2393" s="321"/>
      <c r="H2393" s="322"/>
      <c r="I2393" s="322"/>
      <c r="J2393" s="242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</row>
    <row r="2394" spans="1:26" ht="15.75" hidden="1" customHeight="1" outlineLevel="2">
      <c r="A2394" s="443"/>
      <c r="B2394" s="444"/>
      <c r="C2394"/>
      <c r="D2394"/>
      <c r="E2394" s="321"/>
      <c r="H2394" s="322"/>
      <c r="I2394" s="322"/>
      <c r="J2394" s="242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</row>
    <row r="2395" spans="1:26" ht="15.75" hidden="1" customHeight="1" outlineLevel="2">
      <c r="A2395" s="443"/>
      <c r="B2395" s="444"/>
      <c r="C2395"/>
      <c r="D2395"/>
      <c r="E2395" s="321"/>
      <c r="H2395" s="322"/>
      <c r="I2395" s="322"/>
      <c r="J2395" s="242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</row>
    <row r="2396" spans="1:26" ht="15.75" hidden="1" customHeight="1" outlineLevel="2">
      <c r="A2396" s="443"/>
      <c r="B2396" s="444"/>
      <c r="C2396"/>
      <c r="D2396"/>
      <c r="E2396" s="321"/>
      <c r="H2396" s="322"/>
      <c r="I2396" s="322"/>
      <c r="J2396" s="242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</row>
    <row r="2397" spans="1:26" ht="15.75" hidden="1" customHeight="1" outlineLevel="2">
      <c r="A2397" s="443"/>
      <c r="B2397" s="444"/>
      <c r="C2397"/>
      <c r="D2397"/>
      <c r="E2397" s="321"/>
      <c r="H2397" s="322"/>
      <c r="I2397" s="322"/>
      <c r="J2397" s="242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</row>
    <row r="2398" spans="1:26" ht="15.75" hidden="1" customHeight="1" outlineLevel="2">
      <c r="A2398" s="443"/>
      <c r="B2398" s="444"/>
      <c r="C2398"/>
      <c r="D2398"/>
      <c r="E2398" s="321"/>
      <c r="H2398" s="322"/>
      <c r="I2398" s="322"/>
      <c r="J2398" s="242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</row>
    <row r="2399" spans="1:26" ht="15.75" hidden="1" customHeight="1" outlineLevel="2">
      <c r="A2399" s="443"/>
      <c r="B2399" s="444"/>
      <c r="C2399"/>
      <c r="D2399"/>
      <c r="E2399" s="321"/>
      <c r="H2399" s="322"/>
      <c r="I2399" s="322"/>
      <c r="J2399" s="242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</row>
    <row r="2400" spans="1:26" ht="15.75" hidden="1" customHeight="1" outlineLevel="2">
      <c r="A2400" s="443"/>
      <c r="B2400" s="444"/>
      <c r="C2400"/>
      <c r="D2400"/>
      <c r="E2400" s="321"/>
      <c r="H2400" s="322"/>
      <c r="I2400" s="322"/>
      <c r="J2400" s="242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</row>
    <row r="2401" spans="1:26" ht="15.75" hidden="1" customHeight="1" outlineLevel="2">
      <c r="A2401" s="443"/>
      <c r="B2401" s="444"/>
      <c r="C2401"/>
      <c r="D2401"/>
      <c r="E2401" s="321"/>
      <c r="H2401" s="322"/>
      <c r="I2401" s="322"/>
      <c r="J2401" s="242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</row>
    <row r="2402" spans="1:26" ht="15.75" hidden="1" customHeight="1" outlineLevel="2">
      <c r="A2402" s="443"/>
      <c r="B2402" s="444"/>
      <c r="C2402"/>
      <c r="D2402"/>
      <c r="E2402" s="321"/>
      <c r="H2402" s="322"/>
      <c r="I2402" s="322"/>
      <c r="J2402" s="242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</row>
    <row r="2403" spans="1:26" ht="15.75" hidden="1" customHeight="1" outlineLevel="2">
      <c r="A2403" s="443"/>
      <c r="B2403" s="444"/>
      <c r="C2403"/>
      <c r="D2403"/>
      <c r="E2403" s="321"/>
      <c r="H2403" s="322"/>
      <c r="I2403" s="322"/>
      <c r="J2403" s="242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</row>
    <row r="2404" spans="1:26" ht="15.75" hidden="1" customHeight="1" outlineLevel="2">
      <c r="A2404" s="443"/>
      <c r="B2404" s="444"/>
      <c r="C2404"/>
      <c r="D2404"/>
      <c r="E2404" s="321"/>
      <c r="H2404" s="322"/>
      <c r="I2404" s="322"/>
      <c r="J2404" s="242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</row>
    <row r="2405" spans="1:26" ht="15.75" hidden="1" customHeight="1" outlineLevel="2">
      <c r="A2405" s="443"/>
      <c r="B2405" s="444"/>
      <c r="C2405"/>
      <c r="D2405"/>
      <c r="E2405" s="321"/>
      <c r="H2405" s="322"/>
      <c r="I2405" s="322"/>
      <c r="J2405" s="242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</row>
    <row r="2406" spans="1:26" ht="15.75" hidden="1" customHeight="1" outlineLevel="2">
      <c r="A2406" s="443"/>
      <c r="B2406" s="444"/>
      <c r="C2406"/>
      <c r="D2406"/>
      <c r="E2406" s="321"/>
      <c r="H2406" s="322"/>
      <c r="I2406" s="322"/>
      <c r="J2406" s="242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</row>
    <row r="2407" spans="1:26" ht="15.75" hidden="1" customHeight="1" outlineLevel="2">
      <c r="A2407" s="443"/>
      <c r="B2407" s="444"/>
      <c r="C2407"/>
      <c r="D2407"/>
      <c r="E2407" s="321"/>
      <c r="F2407" s="242"/>
      <c r="G2407"/>
      <c r="H2407" s="322"/>
      <c r="I2407" s="322"/>
      <c r="J2407" s="242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</row>
    <row r="2408" spans="1:26" ht="15.75" hidden="1" customHeight="1" outlineLevel="2">
      <c r="A2408" s="443"/>
      <c r="B2408" s="444"/>
      <c r="C2408"/>
      <c r="D2408"/>
      <c r="E2408" s="321"/>
      <c r="F2408" s="242"/>
      <c r="G2408"/>
      <c r="H2408" s="322"/>
      <c r="I2408" s="322"/>
      <c r="J2408" s="242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</row>
    <row r="2409" spans="1:26" ht="15.75" hidden="1" customHeight="1" outlineLevel="2">
      <c r="A2409" s="443"/>
      <c r="B2409" s="444"/>
      <c r="C2409"/>
      <c r="D2409"/>
      <c r="E2409" s="321"/>
      <c r="F2409" s="242"/>
      <c r="G2409"/>
      <c r="H2409" s="322"/>
      <c r="I2409" s="322"/>
      <c r="J2409" s="242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</row>
    <row r="2410" spans="1:26" ht="15.75" hidden="1" customHeight="1" outlineLevel="2">
      <c r="A2410" s="443"/>
      <c r="B2410" s="444"/>
      <c r="C2410"/>
      <c r="D2410"/>
      <c r="E2410" s="321"/>
      <c r="F2410" s="242"/>
      <c r="G2410"/>
      <c r="H2410" s="322"/>
      <c r="I2410" s="322"/>
      <c r="J2410" s="242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</row>
    <row r="2411" spans="1:26" ht="15.75" hidden="1" customHeight="1" outlineLevel="2">
      <c r="A2411" s="443"/>
      <c r="B2411" s="444"/>
      <c r="C2411"/>
      <c r="D2411"/>
      <c r="E2411" s="321"/>
      <c r="F2411" s="242"/>
      <c r="G2411"/>
      <c r="H2411" s="322"/>
      <c r="I2411" s="322"/>
      <c r="J2411" s="242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</row>
    <row r="2412" spans="1:26" ht="15.75" hidden="1" customHeight="1" outlineLevel="2">
      <c r="A2412" s="443"/>
      <c r="B2412" s="444"/>
      <c r="C2412"/>
      <c r="D2412"/>
      <c r="E2412" s="321"/>
      <c r="F2412" s="242"/>
      <c r="G2412"/>
      <c r="H2412" s="322"/>
      <c r="I2412" s="322"/>
      <c r="J2412" s="242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</row>
    <row r="2413" spans="1:26" ht="15.75" hidden="1" customHeight="1" outlineLevel="2">
      <c r="A2413" s="443"/>
      <c r="B2413" s="444"/>
      <c r="C2413"/>
      <c r="D2413"/>
      <c r="E2413" s="321"/>
      <c r="H2413" s="322"/>
      <c r="I2413" s="322"/>
      <c r="J2413" s="242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</row>
    <row r="2414" spans="1:26" ht="15.75" hidden="1" customHeight="1" outlineLevel="2">
      <c r="A2414" s="443"/>
      <c r="B2414" s="444"/>
      <c r="C2414"/>
      <c r="D2414"/>
      <c r="E2414" s="321"/>
      <c r="H2414" s="322"/>
      <c r="I2414" s="322"/>
      <c r="J2414" s="242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</row>
    <row r="2415" spans="1:26" ht="15.75" hidden="1" customHeight="1" outlineLevel="2">
      <c r="A2415" s="443"/>
      <c r="B2415" s="444"/>
      <c r="C2415"/>
      <c r="D2415"/>
      <c r="E2415" s="321"/>
      <c r="H2415" s="322"/>
      <c r="I2415" s="322"/>
      <c r="J2415" s="242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</row>
    <row r="2416" spans="1:26" ht="15.75" hidden="1" customHeight="1" outlineLevel="2">
      <c r="A2416" s="443"/>
      <c r="B2416" s="444"/>
      <c r="C2416"/>
      <c r="D2416"/>
      <c r="E2416" s="321"/>
      <c r="H2416" s="322"/>
      <c r="I2416" s="322"/>
      <c r="J2416" s="242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</row>
    <row r="2417" spans="1:26" ht="15.75" hidden="1" customHeight="1" outlineLevel="2">
      <c r="A2417" s="443"/>
      <c r="B2417" s="444"/>
      <c r="C2417"/>
      <c r="D2417"/>
      <c r="E2417" s="321"/>
      <c r="H2417" s="322"/>
      <c r="I2417" s="322"/>
      <c r="J2417" s="242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</row>
    <row r="2418" spans="1:26" ht="15.75" hidden="1" customHeight="1" outlineLevel="2">
      <c r="A2418" s="443"/>
      <c r="B2418" s="444"/>
      <c r="C2418"/>
      <c r="D2418"/>
      <c r="E2418" s="321"/>
      <c r="H2418" s="322"/>
      <c r="I2418" s="322"/>
      <c r="J2418" s="242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</row>
    <row r="2419" spans="1:26" ht="15.75" hidden="1" customHeight="1" outlineLevel="2">
      <c r="A2419" s="443"/>
      <c r="B2419" s="444"/>
      <c r="C2419"/>
      <c r="D2419"/>
      <c r="E2419" s="321"/>
      <c r="H2419" s="322"/>
      <c r="I2419" s="322"/>
      <c r="J2419" s="242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</row>
    <row r="2420" spans="1:26" ht="15.75" hidden="1" customHeight="1" outlineLevel="2">
      <c r="A2420" s="443"/>
      <c r="B2420" s="444"/>
      <c r="C2420"/>
      <c r="D2420"/>
      <c r="E2420" s="321"/>
      <c r="H2420" s="322"/>
      <c r="I2420" s="322"/>
      <c r="J2420" s="242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</row>
    <row r="2421" spans="1:26" ht="15.75" hidden="1" customHeight="1" outlineLevel="2">
      <c r="A2421" s="443"/>
      <c r="B2421" s="444"/>
      <c r="C2421"/>
      <c r="D2421"/>
      <c r="E2421" s="321"/>
      <c r="H2421" s="322"/>
      <c r="I2421" s="322"/>
      <c r="J2421" s="242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</row>
    <row r="2422" spans="1:26" ht="15.75" hidden="1" customHeight="1" outlineLevel="2">
      <c r="A2422" s="443"/>
      <c r="B2422" s="444"/>
      <c r="C2422"/>
      <c r="D2422"/>
      <c r="E2422" s="321"/>
      <c r="F2422" s="242"/>
      <c r="G2422"/>
      <c r="H2422" s="322"/>
      <c r="I2422" s="322"/>
      <c r="J2422" s="242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</row>
    <row r="2423" spans="1:26" ht="15.75" hidden="1" customHeight="1" outlineLevel="2">
      <c r="A2423" s="443"/>
      <c r="B2423" s="444"/>
      <c r="C2423"/>
      <c r="D2423"/>
      <c r="E2423" s="321"/>
      <c r="F2423" s="242"/>
      <c r="G2423"/>
      <c r="H2423" s="322"/>
      <c r="I2423" s="322"/>
      <c r="J2423" s="242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</row>
    <row r="2424" spans="1:26" ht="15.75" hidden="1" customHeight="1" outlineLevel="2">
      <c r="A2424" s="443"/>
      <c r="B2424" s="444"/>
      <c r="C2424"/>
      <c r="D2424"/>
      <c r="E2424" s="321"/>
      <c r="F2424" s="242"/>
      <c r="G2424"/>
      <c r="H2424" s="322"/>
      <c r="I2424" s="322"/>
      <c r="J2424" s="242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</row>
    <row r="2425" spans="1:26" ht="15.75" hidden="1" customHeight="1" outlineLevel="2">
      <c r="A2425" s="443"/>
      <c r="B2425" s="444"/>
      <c r="C2425"/>
      <c r="D2425"/>
      <c r="E2425" s="321"/>
      <c r="F2425" s="242"/>
      <c r="G2425"/>
      <c r="H2425" s="322"/>
      <c r="I2425" s="322"/>
      <c r="J2425" s="242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</row>
    <row r="2426" spans="1:26" ht="15.75" hidden="1" customHeight="1" outlineLevel="2">
      <c r="A2426" s="443"/>
      <c r="B2426" s="444"/>
      <c r="C2426"/>
      <c r="D2426"/>
      <c r="E2426" s="321"/>
      <c r="F2426" s="242"/>
      <c r="G2426"/>
      <c r="H2426" s="322"/>
      <c r="I2426" s="322"/>
      <c r="J2426" s="242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</row>
    <row r="2427" spans="1:26" ht="15.75" hidden="1" customHeight="1" outlineLevel="2">
      <c r="A2427" s="443"/>
      <c r="B2427" s="444"/>
      <c r="C2427"/>
      <c r="D2427"/>
      <c r="E2427" s="321"/>
      <c r="F2427" s="242"/>
      <c r="G2427"/>
      <c r="H2427" s="322"/>
      <c r="I2427" s="322"/>
      <c r="J2427" s="242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</row>
    <row r="2428" spans="1:26" ht="15.75" hidden="1" customHeight="1" outlineLevel="2">
      <c r="A2428" s="443"/>
      <c r="B2428" s="444"/>
      <c r="C2428"/>
      <c r="D2428"/>
      <c r="E2428" s="321"/>
      <c r="F2428" s="242"/>
      <c r="G2428"/>
      <c r="H2428" s="322"/>
      <c r="I2428" s="322"/>
      <c r="J2428" s="242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</row>
    <row r="2429" spans="1:26" ht="15.75" hidden="1" customHeight="1" outlineLevel="2">
      <c r="A2429" s="443"/>
      <c r="B2429" s="444"/>
      <c r="C2429"/>
      <c r="D2429"/>
      <c r="E2429" s="321"/>
      <c r="F2429" s="242"/>
      <c r="G2429"/>
      <c r="H2429" s="322"/>
      <c r="I2429" s="322"/>
      <c r="J2429" s="242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</row>
    <row r="2430" spans="1:26" ht="15.75" hidden="1" customHeight="1" outlineLevel="2">
      <c r="A2430" s="443"/>
      <c r="B2430" s="444"/>
      <c r="C2430"/>
      <c r="D2430"/>
      <c r="E2430" s="321"/>
      <c r="F2430" s="242"/>
      <c r="G2430"/>
      <c r="H2430" s="322"/>
      <c r="I2430" s="322"/>
      <c r="J2430" s="242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</row>
    <row r="2431" spans="1:26" ht="15.75" hidden="1" customHeight="1" outlineLevel="2">
      <c r="A2431" s="443"/>
      <c r="B2431" s="444"/>
      <c r="C2431"/>
      <c r="D2431"/>
      <c r="E2431" s="321"/>
      <c r="F2431" s="242"/>
      <c r="G2431"/>
      <c r="H2431" s="322"/>
      <c r="I2431" s="322"/>
      <c r="J2431" s="242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</row>
    <row r="2432" spans="1:26" ht="15.75" hidden="1" customHeight="1" outlineLevel="2">
      <c r="A2432" s="443"/>
      <c r="B2432" s="444"/>
      <c r="C2432"/>
      <c r="D2432"/>
      <c r="E2432" s="321"/>
      <c r="F2432" s="242"/>
      <c r="G2432"/>
      <c r="H2432" s="322"/>
      <c r="I2432" s="322"/>
      <c r="J2432" s="242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</row>
    <row r="2433" spans="1:26" ht="15.75" hidden="1" customHeight="1" outlineLevel="2">
      <c r="A2433" s="443"/>
      <c r="B2433" s="444"/>
      <c r="C2433"/>
      <c r="D2433"/>
      <c r="E2433" s="321"/>
      <c r="F2433" s="242"/>
      <c r="G2433"/>
      <c r="H2433" s="322"/>
      <c r="I2433" s="322"/>
      <c r="J2433" s="242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</row>
    <row r="2434" spans="1:26" ht="15.75" hidden="1" customHeight="1" outlineLevel="2">
      <c r="A2434" s="443"/>
      <c r="B2434" s="444"/>
      <c r="C2434"/>
      <c r="D2434"/>
      <c r="E2434" s="321"/>
      <c r="F2434" s="242"/>
      <c r="G2434"/>
      <c r="H2434" s="322"/>
      <c r="I2434" s="322"/>
      <c r="J2434" s="242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</row>
    <row r="2435" spans="1:26" ht="15.75" hidden="1" customHeight="1" outlineLevel="2">
      <c r="A2435" s="443"/>
      <c r="B2435" s="444"/>
      <c r="C2435"/>
      <c r="D2435"/>
      <c r="E2435" s="321"/>
      <c r="F2435" s="242"/>
      <c r="G2435"/>
      <c r="H2435" s="322"/>
      <c r="I2435" s="322"/>
      <c r="J2435" s="242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</row>
    <row r="2436" spans="1:26" ht="15.75" hidden="1" customHeight="1" outlineLevel="2">
      <c r="A2436" s="443"/>
      <c r="B2436" s="444"/>
      <c r="C2436"/>
      <c r="D2436"/>
      <c r="E2436" s="321"/>
      <c r="F2436" s="242"/>
      <c r="G2436"/>
      <c r="H2436" s="322"/>
      <c r="I2436" s="322"/>
      <c r="J2436" s="242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</row>
    <row r="2437" spans="1:26" ht="15.75" hidden="1" customHeight="1" outlineLevel="2">
      <c r="A2437" s="443"/>
      <c r="B2437" s="444"/>
      <c r="C2437"/>
      <c r="D2437"/>
      <c r="E2437" s="321"/>
      <c r="H2437" s="322"/>
      <c r="I2437" s="322"/>
      <c r="J2437" s="242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</row>
    <row r="2438" spans="1:26" ht="15.75" hidden="1" customHeight="1" outlineLevel="2">
      <c r="A2438" s="443"/>
      <c r="B2438" s="444"/>
      <c r="C2438"/>
      <c r="D2438"/>
      <c r="E2438" s="321"/>
      <c r="H2438" s="322"/>
      <c r="I2438" s="322"/>
      <c r="J2438" s="242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</row>
    <row r="2439" spans="1:26" ht="15.75" hidden="1" customHeight="1" outlineLevel="2">
      <c r="A2439" s="443"/>
      <c r="B2439" s="444"/>
      <c r="C2439"/>
      <c r="D2439"/>
      <c r="E2439" s="321"/>
      <c r="H2439" s="322"/>
      <c r="I2439" s="322"/>
      <c r="J2439" s="242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</row>
    <row r="2440" spans="1:26" ht="15.75" hidden="1" customHeight="1" outlineLevel="2">
      <c r="A2440" s="443"/>
      <c r="B2440" s="444"/>
      <c r="C2440"/>
      <c r="D2440"/>
      <c r="E2440" s="321"/>
      <c r="H2440" s="322"/>
      <c r="I2440" s="322"/>
      <c r="J2440" s="242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</row>
    <row r="2441" spans="1:26" ht="15.75" hidden="1" customHeight="1" outlineLevel="2">
      <c r="A2441" s="443"/>
      <c r="B2441" s="444"/>
      <c r="C2441"/>
      <c r="D2441"/>
      <c r="E2441" s="321"/>
      <c r="H2441" s="322"/>
      <c r="I2441" s="322"/>
      <c r="J2441" s="242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</row>
    <row r="2442" spans="1:26" ht="15.75" hidden="1" customHeight="1" outlineLevel="2">
      <c r="A2442" s="443"/>
      <c r="B2442" s="444"/>
      <c r="C2442"/>
      <c r="D2442"/>
      <c r="E2442" s="321"/>
      <c r="H2442" s="322"/>
      <c r="I2442" s="322"/>
      <c r="J2442" s="242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</row>
    <row r="2443" spans="1:26" ht="15.75" hidden="1" customHeight="1" outlineLevel="2">
      <c r="A2443" s="443"/>
      <c r="B2443" s="444"/>
      <c r="C2443"/>
      <c r="D2443"/>
      <c r="E2443" s="321"/>
      <c r="H2443" s="322"/>
      <c r="I2443" s="322"/>
      <c r="J2443" s="242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</row>
    <row r="2444" spans="1:26" ht="15.75" hidden="1" customHeight="1" outlineLevel="2">
      <c r="A2444" s="443"/>
      <c r="B2444" s="444"/>
      <c r="C2444"/>
      <c r="D2444"/>
      <c r="E2444" s="321"/>
      <c r="H2444" s="322"/>
      <c r="I2444" s="322"/>
      <c r="J2444" s="242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</row>
    <row r="2445" spans="1:26" ht="15.75" hidden="1" customHeight="1" outlineLevel="2">
      <c r="A2445" s="443"/>
      <c r="B2445" s="444"/>
      <c r="C2445"/>
      <c r="D2445"/>
      <c r="E2445" s="321"/>
      <c r="H2445" s="322"/>
      <c r="I2445" s="322"/>
      <c r="J2445" s="242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</row>
    <row r="2446" spans="1:26" ht="15.75" hidden="1" customHeight="1" outlineLevel="2">
      <c r="A2446" s="443"/>
      <c r="B2446" s="444"/>
      <c r="C2446"/>
      <c r="D2446"/>
      <c r="E2446" s="321"/>
      <c r="H2446" s="322"/>
      <c r="I2446" s="322"/>
      <c r="J2446" s="242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</row>
    <row r="2447" spans="1:26" ht="15.75" hidden="1" customHeight="1" outlineLevel="2">
      <c r="A2447" s="443"/>
      <c r="B2447" s="444"/>
      <c r="C2447"/>
      <c r="D2447"/>
      <c r="E2447" s="321"/>
      <c r="H2447" s="322"/>
      <c r="I2447" s="322"/>
      <c r="J2447" s="242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</row>
    <row r="2448" spans="1:26" ht="15.75" hidden="1" customHeight="1" outlineLevel="2">
      <c r="A2448" s="443"/>
      <c r="B2448" s="444"/>
      <c r="C2448"/>
      <c r="D2448"/>
      <c r="E2448" s="321"/>
      <c r="H2448" s="322"/>
      <c r="I2448" s="322"/>
      <c r="J2448" s="242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</row>
    <row r="2449" spans="1:26" ht="15.75" hidden="1" customHeight="1" outlineLevel="2">
      <c r="A2449" s="443"/>
      <c r="B2449" s="444"/>
      <c r="C2449"/>
      <c r="D2449"/>
      <c r="E2449" s="321"/>
      <c r="F2449" s="242"/>
      <c r="G2449"/>
      <c r="H2449" s="322"/>
      <c r="I2449" s="322"/>
      <c r="J2449" s="242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</row>
    <row r="2450" spans="1:26" ht="15.75" hidden="1" customHeight="1" outlineLevel="2">
      <c r="A2450" s="443"/>
      <c r="B2450" s="444"/>
      <c r="C2450"/>
      <c r="D2450"/>
      <c r="E2450" s="321"/>
      <c r="F2450" s="242"/>
      <c r="G2450"/>
      <c r="H2450" s="322"/>
      <c r="I2450" s="322"/>
      <c r="J2450" s="242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</row>
    <row r="2451" spans="1:26" ht="15.75" hidden="1" customHeight="1" outlineLevel="2">
      <c r="A2451" s="443"/>
      <c r="B2451" s="444"/>
      <c r="C2451"/>
      <c r="D2451"/>
      <c r="E2451" s="321"/>
      <c r="F2451" s="242"/>
      <c r="G2451"/>
      <c r="H2451" s="322"/>
      <c r="I2451" s="322"/>
      <c r="J2451" s="242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</row>
    <row r="2452" spans="1:26" ht="15.75" hidden="1" customHeight="1" outlineLevel="2">
      <c r="A2452" s="443"/>
      <c r="B2452" s="444"/>
      <c r="C2452"/>
      <c r="D2452"/>
      <c r="E2452" s="321"/>
      <c r="F2452" s="242"/>
      <c r="G2452"/>
      <c r="H2452" s="322"/>
      <c r="I2452" s="322"/>
      <c r="J2452" s="242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</row>
    <row r="2453" spans="1:26" ht="15.75" hidden="1" customHeight="1" outlineLevel="2">
      <c r="A2453" s="443"/>
      <c r="B2453" s="444"/>
      <c r="C2453"/>
      <c r="D2453"/>
      <c r="E2453" s="321"/>
      <c r="F2453" s="242"/>
      <c r="G2453"/>
      <c r="H2453" s="322"/>
      <c r="I2453" s="322"/>
      <c r="J2453" s="242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</row>
    <row r="2454" spans="1:26" ht="15.75" hidden="1" customHeight="1" outlineLevel="2">
      <c r="A2454" s="443"/>
      <c r="B2454" s="444"/>
      <c r="C2454"/>
      <c r="D2454"/>
      <c r="E2454" s="321"/>
      <c r="F2454" s="242"/>
      <c r="G2454"/>
      <c r="H2454" s="322"/>
      <c r="I2454" s="322"/>
      <c r="J2454" s="242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</row>
    <row r="2455" spans="1:26" ht="15.75" hidden="1" customHeight="1" outlineLevel="2">
      <c r="A2455" s="443"/>
      <c r="B2455" s="444"/>
      <c r="C2455"/>
      <c r="D2455"/>
      <c r="E2455" s="321"/>
      <c r="F2455" s="242"/>
      <c r="G2455"/>
      <c r="H2455" s="322"/>
      <c r="I2455" s="322"/>
      <c r="J2455" s="242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</row>
    <row r="2456" spans="1:26" ht="15.75" hidden="1" customHeight="1" outlineLevel="2">
      <c r="A2456" s="443"/>
      <c r="B2456" s="444"/>
      <c r="C2456"/>
      <c r="D2456"/>
      <c r="E2456" s="321"/>
      <c r="F2456" s="242"/>
      <c r="G2456"/>
      <c r="H2456" s="322"/>
      <c r="I2456" s="322"/>
      <c r="J2456" s="242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</row>
    <row r="2457" spans="1:26" ht="15.75" hidden="1" customHeight="1" outlineLevel="2">
      <c r="A2457" s="443"/>
      <c r="B2457" s="444"/>
      <c r="C2457"/>
      <c r="D2457"/>
      <c r="E2457" s="321"/>
      <c r="F2457" s="242"/>
      <c r="G2457"/>
      <c r="H2457" s="322"/>
      <c r="I2457" s="322"/>
      <c r="J2457" s="242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</row>
    <row r="2458" spans="1:26" ht="15.75" hidden="1" customHeight="1" outlineLevel="2">
      <c r="A2458" s="443"/>
      <c r="B2458" s="444"/>
      <c r="C2458"/>
      <c r="D2458"/>
      <c r="E2458" s="321"/>
      <c r="F2458" s="242"/>
      <c r="G2458"/>
      <c r="H2458" s="322"/>
      <c r="I2458" s="322"/>
      <c r="J2458" s="242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</row>
    <row r="2459" spans="1:26" ht="15.75" hidden="1" customHeight="1" outlineLevel="2">
      <c r="A2459" s="443"/>
      <c r="B2459" s="444"/>
      <c r="C2459"/>
      <c r="D2459"/>
      <c r="E2459" s="321"/>
      <c r="H2459" s="322"/>
      <c r="I2459" s="322"/>
      <c r="J2459" s="242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</row>
    <row r="2460" spans="1:26" ht="15.75" hidden="1" customHeight="1" outlineLevel="2">
      <c r="A2460" s="443"/>
      <c r="B2460" s="444"/>
      <c r="C2460"/>
      <c r="D2460"/>
      <c r="E2460" s="321"/>
      <c r="H2460" s="322"/>
      <c r="I2460" s="322"/>
      <c r="J2460" s="242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</row>
    <row r="2461" spans="1:26" ht="15.75" hidden="1" customHeight="1" outlineLevel="2">
      <c r="A2461" s="443"/>
      <c r="B2461" s="444"/>
      <c r="C2461"/>
      <c r="D2461"/>
      <c r="E2461" s="321"/>
      <c r="H2461" s="322"/>
      <c r="I2461" s="322"/>
      <c r="J2461" s="242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</row>
    <row r="2462" spans="1:26" ht="15.75" hidden="1" customHeight="1" outlineLevel="2">
      <c r="A2462" s="443"/>
      <c r="B2462" s="444"/>
      <c r="C2462"/>
      <c r="D2462"/>
      <c r="E2462" s="321"/>
      <c r="H2462" s="322"/>
      <c r="I2462" s="322"/>
      <c r="J2462" s="242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</row>
    <row r="2463" spans="1:26" ht="15.75" hidden="1" customHeight="1" outlineLevel="2">
      <c r="A2463" s="443"/>
      <c r="B2463" s="444"/>
      <c r="C2463"/>
      <c r="D2463"/>
      <c r="E2463" s="321"/>
      <c r="H2463" s="322"/>
      <c r="I2463" s="322"/>
      <c r="J2463" s="242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</row>
    <row r="2464" spans="1:26" ht="15.75" hidden="1" customHeight="1" outlineLevel="2">
      <c r="A2464" s="443"/>
      <c r="B2464" s="444"/>
      <c r="C2464"/>
      <c r="D2464"/>
      <c r="E2464" s="321"/>
      <c r="H2464" s="322"/>
      <c r="I2464" s="322"/>
      <c r="J2464" s="242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</row>
    <row r="2465" spans="1:26" ht="15.75" hidden="1" customHeight="1" outlineLevel="2">
      <c r="A2465" s="443"/>
      <c r="B2465" s="444"/>
      <c r="C2465"/>
      <c r="D2465"/>
      <c r="E2465" s="321"/>
      <c r="H2465" s="322"/>
      <c r="I2465" s="322"/>
      <c r="J2465" s="242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</row>
    <row r="2466" spans="1:26" ht="15.75" hidden="1" customHeight="1" outlineLevel="2">
      <c r="A2466" s="443"/>
      <c r="B2466" s="444"/>
      <c r="C2466"/>
      <c r="D2466"/>
      <c r="E2466" s="321"/>
      <c r="H2466" s="322"/>
      <c r="I2466" s="322"/>
      <c r="J2466" s="242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</row>
    <row r="2467" spans="1:26" ht="15.75" hidden="1" customHeight="1" outlineLevel="2">
      <c r="A2467" s="443"/>
      <c r="B2467" s="444"/>
      <c r="C2467"/>
      <c r="D2467"/>
      <c r="E2467" s="321"/>
      <c r="H2467" s="322"/>
      <c r="I2467" s="322"/>
      <c r="J2467" s="242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</row>
    <row r="2468" spans="1:26" ht="15.75" hidden="1" customHeight="1" outlineLevel="2">
      <c r="A2468" s="443"/>
      <c r="B2468" s="444"/>
      <c r="C2468"/>
      <c r="D2468"/>
      <c r="E2468" s="321"/>
      <c r="H2468" s="322"/>
      <c r="I2468" s="322"/>
      <c r="J2468" s="242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</row>
    <row r="2469" spans="1:26" ht="15.75" hidden="1" customHeight="1" outlineLevel="2">
      <c r="A2469" s="443"/>
      <c r="B2469" s="444"/>
      <c r="C2469"/>
      <c r="D2469"/>
      <c r="E2469" s="321"/>
      <c r="H2469" s="322"/>
      <c r="I2469" s="322"/>
      <c r="J2469" s="242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</row>
    <row r="2470" spans="1:26" ht="15.75" hidden="1" customHeight="1" outlineLevel="2">
      <c r="A2470" s="443"/>
      <c r="B2470" s="444"/>
      <c r="C2470"/>
      <c r="D2470"/>
      <c r="E2470" s="321"/>
      <c r="H2470" s="322"/>
      <c r="I2470" s="322"/>
      <c r="J2470" s="242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</row>
    <row r="2471" spans="1:26" ht="15.75" hidden="1" customHeight="1" outlineLevel="2">
      <c r="A2471" s="443"/>
      <c r="B2471" s="444"/>
      <c r="C2471"/>
      <c r="D2471"/>
      <c r="E2471" s="321"/>
      <c r="H2471" s="322"/>
      <c r="I2471" s="322"/>
      <c r="J2471" s="242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</row>
    <row r="2472" spans="1:26" ht="15.75" hidden="1" customHeight="1" outlineLevel="2">
      <c r="A2472" s="443"/>
      <c r="B2472" s="444"/>
      <c r="C2472"/>
      <c r="D2472"/>
      <c r="E2472" s="321"/>
      <c r="H2472" s="322"/>
      <c r="I2472" s="322"/>
      <c r="J2472" s="242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</row>
    <row r="2473" spans="1:26" ht="15.75" hidden="1" customHeight="1" outlineLevel="2">
      <c r="A2473" s="443"/>
      <c r="B2473" s="444"/>
      <c r="C2473"/>
      <c r="D2473"/>
      <c r="E2473" s="321"/>
      <c r="H2473" s="322"/>
      <c r="I2473" s="322"/>
      <c r="J2473" s="242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</row>
    <row r="2474" spans="1:26" ht="15.75" hidden="1" customHeight="1" outlineLevel="2">
      <c r="A2474" s="443"/>
      <c r="B2474" s="444"/>
      <c r="C2474"/>
      <c r="D2474"/>
      <c r="E2474" s="321"/>
      <c r="H2474" s="322"/>
      <c r="I2474" s="322"/>
      <c r="J2474" s="242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</row>
    <row r="2475" spans="1:26" ht="15.75" hidden="1" customHeight="1" outlineLevel="2">
      <c r="A2475" s="443"/>
      <c r="B2475" s="444"/>
      <c r="C2475"/>
      <c r="D2475"/>
      <c r="E2475" s="321"/>
      <c r="F2475" s="242"/>
      <c r="G2475"/>
      <c r="H2475" s="322"/>
      <c r="I2475" s="322"/>
      <c r="J2475" s="242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</row>
    <row r="2476" spans="1:26" ht="15.75" hidden="1" customHeight="1" outlineLevel="2">
      <c r="A2476" s="443"/>
      <c r="B2476" s="444"/>
      <c r="C2476"/>
      <c r="D2476"/>
      <c r="E2476" s="321"/>
      <c r="F2476" s="242"/>
      <c r="G2476"/>
      <c r="H2476" s="322"/>
      <c r="I2476" s="322"/>
      <c r="J2476" s="242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</row>
    <row r="2477" spans="1:26" ht="15.75" hidden="1" customHeight="1" outlineLevel="2">
      <c r="A2477" s="443"/>
      <c r="B2477" s="444"/>
      <c r="C2477"/>
      <c r="D2477"/>
      <c r="E2477" s="321"/>
      <c r="F2477" s="242"/>
      <c r="G2477"/>
      <c r="H2477" s="322"/>
      <c r="I2477" s="322"/>
      <c r="J2477" s="242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</row>
    <row r="2478" spans="1:26" ht="15.75" hidden="1" customHeight="1" outlineLevel="2">
      <c r="A2478" s="443"/>
      <c r="B2478" s="444"/>
      <c r="C2478"/>
      <c r="D2478"/>
      <c r="E2478" s="321"/>
      <c r="F2478" s="242"/>
      <c r="G2478"/>
      <c r="H2478" s="322"/>
      <c r="I2478" s="322"/>
      <c r="J2478" s="242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</row>
    <row r="2479" spans="1:26" ht="15.75" hidden="1" customHeight="1" outlineLevel="2">
      <c r="A2479" s="443"/>
      <c r="B2479" s="444"/>
      <c r="C2479"/>
      <c r="D2479"/>
      <c r="E2479" s="321"/>
      <c r="F2479" s="242"/>
      <c r="G2479"/>
      <c r="H2479" s="322"/>
      <c r="I2479" s="322"/>
      <c r="J2479" s="242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</row>
    <row r="2480" spans="1:26" ht="15.75" hidden="1" customHeight="1" outlineLevel="2">
      <c r="A2480" s="443"/>
      <c r="B2480" s="444"/>
      <c r="C2480"/>
      <c r="D2480"/>
      <c r="E2480" s="321"/>
      <c r="F2480" s="242"/>
      <c r="G2480"/>
      <c r="H2480" s="322"/>
      <c r="I2480" s="322"/>
      <c r="J2480" s="242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</row>
    <row r="2481" spans="1:26" ht="15.75" hidden="1" customHeight="1" outlineLevel="2">
      <c r="A2481" s="443"/>
      <c r="B2481" s="444"/>
      <c r="C2481"/>
      <c r="D2481"/>
      <c r="E2481" s="321"/>
      <c r="F2481" s="242"/>
      <c r="G2481"/>
      <c r="H2481" s="322"/>
      <c r="I2481" s="322"/>
      <c r="J2481" s="242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</row>
    <row r="2482" spans="1:26" ht="15.75" hidden="1" customHeight="1" outlineLevel="2">
      <c r="A2482" s="443"/>
      <c r="B2482" s="444"/>
      <c r="C2482"/>
      <c r="D2482"/>
      <c r="E2482" s="321"/>
      <c r="F2482" s="242"/>
      <c r="G2482"/>
      <c r="H2482" s="322"/>
      <c r="I2482" s="322"/>
      <c r="J2482" s="242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</row>
    <row r="2483" spans="1:26" ht="15.75" hidden="1" customHeight="1" outlineLevel="2">
      <c r="A2483" s="443"/>
      <c r="B2483" s="444"/>
      <c r="C2483"/>
      <c r="D2483"/>
      <c r="E2483" s="321"/>
      <c r="F2483" s="242"/>
      <c r="G2483"/>
      <c r="H2483" s="322"/>
      <c r="I2483" s="322"/>
      <c r="J2483" s="242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</row>
    <row r="2484" spans="1:26" ht="15.75" hidden="1" customHeight="1" outlineLevel="2">
      <c r="A2484" s="443"/>
      <c r="B2484" s="444"/>
      <c r="C2484"/>
      <c r="D2484"/>
      <c r="E2484" s="321"/>
      <c r="F2484" s="242"/>
      <c r="G2484"/>
      <c r="H2484" s="322"/>
      <c r="I2484" s="322"/>
      <c r="J2484" s="242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</row>
    <row r="2485" spans="1:26" ht="15.75" hidden="1" customHeight="1" outlineLevel="2">
      <c r="A2485" s="443"/>
      <c r="B2485" s="444"/>
      <c r="C2485"/>
      <c r="D2485"/>
      <c r="E2485" s="321"/>
      <c r="H2485" s="322"/>
      <c r="I2485" s="322"/>
      <c r="J2485" s="242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</row>
    <row r="2486" spans="1:26" ht="15.75" hidden="1" customHeight="1" outlineLevel="2">
      <c r="A2486" s="443"/>
      <c r="B2486" s="444"/>
      <c r="C2486"/>
      <c r="D2486"/>
      <c r="E2486" s="321"/>
      <c r="F2486" s="242"/>
      <c r="G2486"/>
      <c r="H2486" s="322"/>
      <c r="I2486" s="322"/>
      <c r="J2486" s="242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</row>
    <row r="2487" spans="1:26" ht="15.75" hidden="1" customHeight="1" outlineLevel="2">
      <c r="A2487" s="443"/>
      <c r="B2487" s="444"/>
      <c r="C2487"/>
      <c r="D2487"/>
      <c r="E2487" s="321"/>
      <c r="F2487" s="242"/>
      <c r="G2487"/>
      <c r="H2487" s="322"/>
      <c r="I2487" s="322"/>
      <c r="J2487" s="242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</row>
    <row r="2488" spans="1:26" ht="15.75" hidden="1" customHeight="1" outlineLevel="2">
      <c r="A2488" s="443"/>
      <c r="B2488" s="444"/>
      <c r="C2488"/>
      <c r="D2488"/>
      <c r="E2488" s="321"/>
      <c r="F2488" s="242"/>
      <c r="G2488"/>
      <c r="H2488" s="322"/>
      <c r="I2488" s="322"/>
      <c r="J2488" s="242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</row>
    <row r="2489" spans="1:26" ht="15.75" hidden="1" customHeight="1" outlineLevel="2">
      <c r="A2489" s="443"/>
      <c r="B2489" s="444"/>
      <c r="C2489"/>
      <c r="D2489"/>
      <c r="E2489" s="321"/>
      <c r="F2489" s="242"/>
      <c r="G2489"/>
      <c r="H2489" s="322"/>
      <c r="I2489" s="322"/>
      <c r="J2489" s="242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</row>
    <row r="2490" spans="1:26" ht="15.75" hidden="1" customHeight="1" outlineLevel="2">
      <c r="A2490" s="443"/>
      <c r="B2490" s="444"/>
      <c r="C2490"/>
      <c r="D2490"/>
      <c r="E2490" s="321"/>
      <c r="F2490" s="242"/>
      <c r="G2490"/>
      <c r="H2490" s="322"/>
      <c r="I2490" s="322"/>
      <c r="J2490" s="242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</row>
    <row r="2491" spans="1:26" ht="15.75" hidden="1" customHeight="1" outlineLevel="2">
      <c r="A2491" s="443"/>
      <c r="B2491" s="444"/>
      <c r="C2491"/>
      <c r="D2491"/>
      <c r="E2491" s="321"/>
      <c r="F2491" s="242"/>
      <c r="G2491"/>
      <c r="H2491" s="322"/>
      <c r="I2491" s="322"/>
      <c r="J2491" s="242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</row>
    <row r="2492" spans="1:26" ht="15.75" hidden="1" customHeight="1" outlineLevel="2">
      <c r="A2492" s="443"/>
      <c r="B2492" s="444"/>
      <c r="C2492"/>
      <c r="D2492"/>
      <c r="E2492" s="321"/>
      <c r="F2492" s="242"/>
      <c r="G2492"/>
      <c r="H2492" s="322"/>
      <c r="I2492" s="322"/>
      <c r="J2492" s="242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</row>
    <row r="2493" spans="1:26" ht="15.75" hidden="1" customHeight="1" outlineLevel="2">
      <c r="A2493" s="443"/>
      <c r="B2493" s="444"/>
      <c r="C2493"/>
      <c r="D2493"/>
      <c r="E2493" s="321"/>
      <c r="F2493" s="242"/>
      <c r="G2493"/>
      <c r="H2493" s="322"/>
      <c r="I2493" s="322"/>
      <c r="J2493" s="242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</row>
    <row r="2494" spans="1:26" ht="15.75" hidden="1" customHeight="1" outlineLevel="2">
      <c r="A2494" s="443"/>
      <c r="B2494" s="444"/>
      <c r="C2494"/>
      <c r="D2494"/>
      <c r="E2494" s="321"/>
      <c r="F2494" s="242"/>
      <c r="G2494"/>
      <c r="H2494" s="322"/>
      <c r="I2494" s="322"/>
      <c r="J2494" s="242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</row>
    <row r="2495" spans="1:26" ht="15.75" hidden="1" customHeight="1" outlineLevel="2">
      <c r="A2495" s="443"/>
      <c r="B2495" s="444"/>
      <c r="C2495"/>
      <c r="D2495"/>
      <c r="E2495" s="321"/>
      <c r="F2495" s="242"/>
      <c r="G2495"/>
      <c r="H2495" s="322"/>
      <c r="I2495" s="322"/>
      <c r="J2495" s="242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</row>
    <row r="2496" spans="1:26" ht="15.75" hidden="1" customHeight="1" outlineLevel="2">
      <c r="A2496" s="443"/>
      <c r="B2496" s="444"/>
      <c r="C2496"/>
      <c r="D2496"/>
      <c r="E2496" s="321"/>
      <c r="F2496" s="242"/>
      <c r="G2496"/>
      <c r="H2496" s="322"/>
      <c r="I2496" s="322"/>
      <c r="J2496" s="242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</row>
    <row r="2497" spans="1:26" ht="15.75" hidden="1" customHeight="1" outlineLevel="2">
      <c r="A2497" s="443"/>
      <c r="B2497" s="444"/>
      <c r="C2497"/>
      <c r="D2497"/>
      <c r="E2497" s="321"/>
      <c r="F2497" s="242"/>
      <c r="G2497"/>
      <c r="H2497" s="322"/>
      <c r="I2497" s="322"/>
      <c r="J2497" s="242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</row>
    <row r="2498" spans="1:26" ht="15.75" hidden="1" customHeight="1" outlineLevel="2">
      <c r="A2498" s="443"/>
      <c r="B2498" s="444"/>
      <c r="C2498"/>
      <c r="D2498"/>
      <c r="E2498" s="321"/>
      <c r="F2498" s="242"/>
      <c r="G2498"/>
      <c r="H2498" s="322"/>
      <c r="I2498" s="322"/>
      <c r="J2498" s="242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</row>
    <row r="2499" spans="1:26" ht="15.75" hidden="1" customHeight="1" outlineLevel="2">
      <c r="A2499" s="443"/>
      <c r="B2499" s="444"/>
      <c r="C2499"/>
      <c r="D2499"/>
      <c r="E2499" s="321"/>
      <c r="F2499" s="242"/>
      <c r="G2499"/>
      <c r="H2499" s="322"/>
      <c r="I2499" s="322"/>
      <c r="J2499" s="242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</row>
    <row r="2500" spans="1:26" ht="15.75" hidden="1" customHeight="1" outlineLevel="2">
      <c r="A2500" s="443"/>
      <c r="B2500" s="444"/>
      <c r="C2500"/>
      <c r="D2500"/>
      <c r="E2500" s="321"/>
      <c r="F2500" s="242"/>
      <c r="G2500"/>
      <c r="H2500" s="322"/>
      <c r="I2500" s="322"/>
      <c r="J2500" s="242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</row>
    <row r="2501" spans="1:26" ht="15.75" hidden="1" customHeight="1" outlineLevel="2">
      <c r="A2501" s="443"/>
      <c r="B2501" s="444"/>
      <c r="C2501"/>
      <c r="D2501"/>
      <c r="E2501" s="321"/>
      <c r="F2501" s="242"/>
      <c r="G2501"/>
      <c r="H2501" s="322"/>
      <c r="I2501" s="322"/>
      <c r="J2501" s="242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</row>
    <row r="2502" spans="1:26" ht="15.75" hidden="1" customHeight="1" outlineLevel="2">
      <c r="A2502" s="443"/>
      <c r="B2502" s="444"/>
      <c r="C2502"/>
      <c r="D2502"/>
      <c r="E2502" s="321"/>
      <c r="F2502" s="242"/>
      <c r="G2502"/>
      <c r="H2502" s="322"/>
      <c r="I2502" s="322"/>
      <c r="J2502" s="242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</row>
    <row r="2503" spans="1:26" ht="15.75" hidden="1" customHeight="1" outlineLevel="2">
      <c r="A2503" s="443"/>
      <c r="B2503" s="444"/>
      <c r="C2503"/>
      <c r="D2503"/>
      <c r="E2503" s="321"/>
      <c r="F2503" s="242"/>
      <c r="G2503"/>
      <c r="H2503" s="322"/>
      <c r="I2503" s="322"/>
      <c r="J2503" s="242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</row>
    <row r="2504" spans="1:26" ht="15.75" hidden="1" customHeight="1" outlineLevel="2">
      <c r="A2504" s="443"/>
      <c r="B2504" s="444"/>
      <c r="C2504"/>
      <c r="D2504"/>
      <c r="E2504" s="321"/>
      <c r="F2504" s="242"/>
      <c r="G2504"/>
      <c r="H2504" s="322"/>
      <c r="I2504" s="322"/>
      <c r="J2504" s="242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</row>
    <row r="2505" spans="1:26" ht="15.75" hidden="1" customHeight="1" outlineLevel="2">
      <c r="A2505" s="443"/>
      <c r="B2505" s="444"/>
      <c r="C2505"/>
      <c r="D2505"/>
      <c r="E2505" s="321"/>
      <c r="F2505" s="242"/>
      <c r="G2505"/>
      <c r="H2505" s="322"/>
      <c r="I2505" s="322"/>
      <c r="J2505" s="242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</row>
    <row r="2506" spans="1:26" ht="15.75" hidden="1" customHeight="1" outlineLevel="2">
      <c r="A2506" s="443"/>
      <c r="B2506" s="444"/>
      <c r="C2506"/>
      <c r="D2506"/>
      <c r="E2506" s="321"/>
      <c r="F2506" s="242"/>
      <c r="G2506"/>
      <c r="H2506" s="322"/>
      <c r="I2506" s="322"/>
      <c r="J2506" s="242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</row>
    <row r="2507" spans="1:26" ht="15.75" hidden="1" customHeight="1" outlineLevel="2">
      <c r="A2507" s="443"/>
      <c r="B2507" s="444"/>
      <c r="C2507"/>
      <c r="D2507"/>
      <c r="E2507" s="321"/>
      <c r="F2507" s="242"/>
      <c r="G2507"/>
      <c r="H2507" s="322"/>
      <c r="I2507" s="322"/>
      <c r="J2507" s="242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</row>
    <row r="2508" spans="1:26" ht="15.75" hidden="1" customHeight="1" outlineLevel="2">
      <c r="A2508" s="443"/>
      <c r="B2508" s="444"/>
      <c r="C2508"/>
      <c r="D2508"/>
      <c r="E2508" s="321"/>
      <c r="F2508" s="242"/>
      <c r="G2508"/>
      <c r="H2508" s="322"/>
      <c r="I2508" s="322"/>
      <c r="J2508" s="242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</row>
    <row r="2509" spans="1:26" ht="15.75" hidden="1" customHeight="1" outlineLevel="2">
      <c r="A2509" s="443"/>
      <c r="B2509" s="444"/>
      <c r="C2509"/>
      <c r="D2509"/>
      <c r="E2509" s="321"/>
      <c r="F2509" s="242"/>
      <c r="G2509"/>
      <c r="H2509" s="322"/>
      <c r="I2509" s="322"/>
      <c r="J2509" s="242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</row>
    <row r="2510" spans="1:26" ht="15.75" hidden="1" customHeight="1" outlineLevel="2">
      <c r="A2510" s="443"/>
      <c r="B2510" s="444"/>
      <c r="C2510"/>
      <c r="D2510"/>
      <c r="E2510" s="321"/>
      <c r="F2510" s="242"/>
      <c r="G2510"/>
      <c r="H2510" s="322"/>
      <c r="I2510" s="322"/>
      <c r="J2510" s="242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</row>
    <row r="2511" spans="1:26" ht="15.75" hidden="1" customHeight="1" outlineLevel="2">
      <c r="A2511" s="443"/>
      <c r="B2511" s="444"/>
      <c r="C2511"/>
      <c r="D2511"/>
      <c r="E2511" s="321"/>
      <c r="F2511" s="242"/>
      <c r="G2511"/>
      <c r="H2511" s="322"/>
      <c r="I2511" s="322"/>
      <c r="J2511" s="242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</row>
    <row r="2512" spans="1:26" ht="15.75" hidden="1" customHeight="1" outlineLevel="2">
      <c r="A2512" s="443"/>
      <c r="B2512" s="444"/>
      <c r="C2512"/>
      <c r="D2512"/>
      <c r="E2512" s="321"/>
      <c r="F2512" s="242"/>
      <c r="G2512"/>
      <c r="H2512" s="322"/>
      <c r="I2512" s="322"/>
      <c r="J2512" s="242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</row>
    <row r="2513" spans="1:26" ht="15.75" hidden="1" customHeight="1" outlineLevel="2">
      <c r="A2513" s="443"/>
      <c r="B2513" s="444"/>
      <c r="C2513"/>
      <c r="D2513"/>
      <c r="E2513" s="321"/>
      <c r="F2513" s="242"/>
      <c r="G2513"/>
      <c r="H2513" s="322"/>
      <c r="I2513" s="322"/>
      <c r="J2513" s="242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</row>
    <row r="2514" spans="1:26" ht="15.75" hidden="1" customHeight="1" outlineLevel="2">
      <c r="A2514" s="443"/>
      <c r="B2514" s="444"/>
      <c r="C2514"/>
      <c r="D2514"/>
      <c r="E2514" s="321"/>
      <c r="F2514" s="242"/>
      <c r="G2514"/>
      <c r="H2514" s="322"/>
      <c r="I2514" s="322"/>
      <c r="J2514" s="242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</row>
    <row r="2515" spans="1:26" ht="15.75" hidden="1" customHeight="1" outlineLevel="2">
      <c r="A2515" s="443"/>
      <c r="B2515" s="444"/>
      <c r="C2515"/>
      <c r="D2515"/>
      <c r="E2515" s="321"/>
      <c r="F2515" s="242"/>
      <c r="G2515"/>
      <c r="H2515" s="322"/>
      <c r="I2515" s="322"/>
      <c r="J2515" s="242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</row>
    <row r="2516" spans="1:26" ht="15.75" hidden="1" customHeight="1" outlineLevel="2">
      <c r="A2516" s="443"/>
      <c r="B2516" s="444"/>
      <c r="C2516"/>
      <c r="D2516"/>
      <c r="E2516" s="321"/>
      <c r="F2516" s="242"/>
      <c r="G2516"/>
      <c r="H2516" s="322"/>
      <c r="I2516" s="322"/>
      <c r="J2516" s="242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</row>
    <row r="2517" spans="1:26" ht="15.75" hidden="1" customHeight="1" outlineLevel="2">
      <c r="A2517" s="443"/>
      <c r="B2517" s="444"/>
      <c r="C2517"/>
      <c r="D2517"/>
      <c r="E2517" s="321"/>
      <c r="F2517" s="242"/>
      <c r="G2517"/>
      <c r="H2517" s="322"/>
      <c r="I2517" s="322"/>
      <c r="J2517" s="242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</row>
    <row r="2518" spans="1:26" ht="15.75" hidden="1" customHeight="1" outlineLevel="2">
      <c r="A2518" s="443"/>
      <c r="B2518" s="444"/>
      <c r="C2518"/>
      <c r="D2518"/>
      <c r="E2518" s="321"/>
      <c r="F2518" s="242"/>
      <c r="G2518"/>
      <c r="H2518" s="322"/>
      <c r="I2518" s="322"/>
      <c r="J2518" s="242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</row>
    <row r="2519" spans="1:26" ht="15.75" hidden="1" customHeight="1" outlineLevel="2">
      <c r="A2519" s="443"/>
      <c r="B2519" s="444"/>
      <c r="C2519"/>
      <c r="D2519"/>
      <c r="E2519" s="321"/>
      <c r="F2519" s="242"/>
      <c r="G2519"/>
      <c r="H2519" s="322"/>
      <c r="I2519" s="322"/>
      <c r="J2519" s="242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</row>
    <row r="2520" spans="1:26" ht="15.75" hidden="1" customHeight="1" outlineLevel="2">
      <c r="A2520" s="443"/>
      <c r="B2520" s="444"/>
      <c r="C2520"/>
      <c r="D2520"/>
      <c r="E2520" s="321"/>
      <c r="F2520" s="242"/>
      <c r="G2520"/>
      <c r="H2520" s="322"/>
      <c r="I2520" s="322"/>
      <c r="J2520" s="242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</row>
    <row r="2521" spans="1:26" ht="15.75" hidden="1" customHeight="1" outlineLevel="2">
      <c r="A2521" s="443"/>
      <c r="B2521" s="444"/>
      <c r="C2521"/>
      <c r="D2521"/>
      <c r="E2521" s="321"/>
      <c r="F2521" s="242"/>
      <c r="G2521"/>
      <c r="H2521" s="322"/>
      <c r="I2521" s="322"/>
      <c r="J2521" s="242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</row>
    <row r="2522" spans="1:26" ht="15.75" hidden="1" customHeight="1" outlineLevel="2">
      <c r="A2522" s="443"/>
      <c r="B2522" s="444"/>
      <c r="C2522"/>
      <c r="D2522"/>
      <c r="E2522" s="321"/>
      <c r="F2522" s="242"/>
      <c r="G2522"/>
      <c r="H2522" s="322"/>
      <c r="I2522" s="322"/>
      <c r="J2522" s="242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</row>
    <row r="2523" spans="1:26" ht="15.75" hidden="1" customHeight="1" outlineLevel="2">
      <c r="A2523" s="443"/>
      <c r="B2523" s="444"/>
      <c r="C2523"/>
      <c r="D2523"/>
      <c r="E2523" s="321"/>
      <c r="F2523" s="242"/>
      <c r="G2523"/>
      <c r="H2523" s="322"/>
      <c r="I2523" s="322"/>
      <c r="J2523" s="242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</row>
    <row r="2524" spans="1:26" ht="15.75" hidden="1" customHeight="1" outlineLevel="2">
      <c r="A2524" s="443"/>
      <c r="B2524" s="444"/>
      <c r="C2524"/>
      <c r="D2524"/>
      <c r="E2524" s="321"/>
      <c r="F2524" s="242"/>
      <c r="G2524"/>
      <c r="H2524" s="322"/>
      <c r="I2524" s="322"/>
      <c r="J2524" s="242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</row>
    <row r="2525" spans="1:26" ht="15.75" hidden="1" customHeight="1" outlineLevel="2">
      <c r="A2525" s="443"/>
      <c r="B2525" s="444"/>
      <c r="C2525"/>
      <c r="D2525"/>
      <c r="E2525" s="321"/>
      <c r="F2525" s="242"/>
      <c r="G2525"/>
      <c r="H2525" s="322"/>
      <c r="I2525" s="322"/>
      <c r="J2525" s="242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</row>
    <row r="2526" spans="1:26" ht="15.75" hidden="1" customHeight="1" outlineLevel="2">
      <c r="A2526" s="443"/>
      <c r="B2526" s="444"/>
      <c r="C2526"/>
      <c r="D2526"/>
      <c r="E2526" s="321"/>
      <c r="F2526" s="242"/>
      <c r="G2526"/>
      <c r="H2526" s="322"/>
      <c r="I2526" s="322"/>
      <c r="J2526" s="242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</row>
    <row r="2527" spans="1:26" ht="15.75" hidden="1" customHeight="1" outlineLevel="2">
      <c r="A2527" s="443"/>
      <c r="B2527" s="444"/>
      <c r="C2527"/>
      <c r="D2527"/>
      <c r="E2527" s="321"/>
      <c r="F2527" s="242"/>
      <c r="G2527"/>
      <c r="H2527" s="322"/>
      <c r="I2527" s="322"/>
      <c r="J2527" s="242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</row>
    <row r="2528" spans="1:26" ht="15.75" hidden="1" customHeight="1" outlineLevel="2">
      <c r="A2528" s="443"/>
      <c r="B2528" s="444"/>
      <c r="C2528"/>
      <c r="D2528"/>
      <c r="E2528" s="321"/>
      <c r="F2528" s="242"/>
      <c r="G2528"/>
      <c r="H2528" s="322"/>
      <c r="I2528" s="322"/>
      <c r="J2528" s="242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</row>
    <row r="2529" spans="1:26" ht="15.75" hidden="1" customHeight="1" outlineLevel="2">
      <c r="A2529" s="443"/>
      <c r="B2529" s="444"/>
      <c r="C2529"/>
      <c r="D2529"/>
      <c r="E2529" s="321"/>
      <c r="F2529" s="242"/>
      <c r="G2529"/>
      <c r="H2529" s="322"/>
      <c r="I2529" s="322"/>
      <c r="J2529" s="242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</row>
    <row r="2530" spans="1:26" ht="15.75" hidden="1" customHeight="1" outlineLevel="2">
      <c r="A2530" s="443"/>
      <c r="B2530" s="444"/>
      <c r="C2530"/>
      <c r="D2530"/>
      <c r="E2530" s="321"/>
      <c r="F2530" s="242"/>
      <c r="G2530"/>
      <c r="H2530" s="322"/>
      <c r="I2530" s="322"/>
      <c r="J2530" s="242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</row>
    <row r="2531" spans="1:26" ht="15.75" hidden="1" customHeight="1" outlineLevel="2">
      <c r="A2531" s="443"/>
      <c r="B2531" s="444"/>
      <c r="C2531"/>
      <c r="D2531"/>
      <c r="E2531" s="321"/>
      <c r="F2531" s="242"/>
      <c r="G2531"/>
      <c r="H2531" s="322"/>
      <c r="I2531" s="322"/>
      <c r="J2531" s="242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</row>
    <row r="2532" spans="1:26" ht="15.75" hidden="1" customHeight="1" outlineLevel="2">
      <c r="A2532" s="443"/>
      <c r="B2532" s="444"/>
      <c r="C2532"/>
      <c r="D2532"/>
      <c r="E2532" s="321"/>
      <c r="F2532" s="242"/>
      <c r="G2532"/>
      <c r="H2532" s="322"/>
      <c r="I2532" s="322"/>
      <c r="J2532" s="242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</row>
    <row r="2533" spans="1:26" ht="15.75" hidden="1" customHeight="1" outlineLevel="2">
      <c r="A2533" s="443"/>
      <c r="B2533" s="444"/>
      <c r="C2533"/>
      <c r="D2533"/>
      <c r="E2533" s="321"/>
      <c r="F2533" s="242"/>
      <c r="G2533"/>
      <c r="H2533" s="322"/>
      <c r="I2533" s="322"/>
      <c r="J2533" s="242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</row>
    <row r="2534" spans="1:26" ht="15.75" hidden="1" customHeight="1" outlineLevel="2">
      <c r="A2534" s="443"/>
      <c r="B2534" s="444"/>
      <c r="C2534"/>
      <c r="D2534"/>
      <c r="E2534" s="321"/>
      <c r="F2534" s="242"/>
      <c r="G2534"/>
      <c r="H2534" s="322"/>
      <c r="I2534" s="322"/>
      <c r="J2534" s="242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</row>
    <row r="2535" spans="1:26" ht="15.75" hidden="1" customHeight="1" outlineLevel="2">
      <c r="A2535" s="443"/>
      <c r="B2535" s="444"/>
      <c r="C2535"/>
      <c r="D2535"/>
      <c r="E2535" s="321"/>
      <c r="F2535" s="242"/>
      <c r="G2535"/>
      <c r="H2535" s="322"/>
      <c r="I2535" s="322"/>
      <c r="J2535" s="242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</row>
    <row r="2536" spans="1:26" ht="15.75" hidden="1" customHeight="1" outlineLevel="2">
      <c r="A2536" s="443"/>
      <c r="B2536" s="444"/>
      <c r="C2536"/>
      <c r="D2536"/>
      <c r="E2536" s="321"/>
      <c r="F2536" s="242"/>
      <c r="G2536"/>
      <c r="H2536" s="322"/>
      <c r="I2536" s="322"/>
      <c r="J2536" s="242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</row>
    <row r="2537" spans="1:26" ht="15.75" hidden="1" customHeight="1" outlineLevel="2">
      <c r="A2537" s="443"/>
      <c r="B2537" s="444"/>
      <c r="C2537"/>
      <c r="D2537"/>
      <c r="E2537" s="321"/>
      <c r="F2537" s="242"/>
      <c r="G2537"/>
      <c r="H2537" s="322"/>
      <c r="I2537" s="322"/>
      <c r="J2537" s="242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</row>
    <row r="2538" spans="1:26" ht="15.75" hidden="1" customHeight="1" outlineLevel="2">
      <c r="A2538" s="443"/>
      <c r="B2538" s="444"/>
      <c r="C2538"/>
      <c r="D2538"/>
      <c r="E2538" s="321"/>
      <c r="F2538" s="242"/>
      <c r="G2538"/>
      <c r="H2538" s="322"/>
      <c r="I2538" s="322"/>
      <c r="J2538" s="242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</row>
    <row r="2539" spans="1:26" ht="15.75" hidden="1" customHeight="1" outlineLevel="2">
      <c r="A2539" s="443"/>
      <c r="B2539" s="444"/>
      <c r="C2539"/>
      <c r="D2539"/>
      <c r="E2539" s="321"/>
      <c r="F2539" s="242"/>
      <c r="G2539"/>
      <c r="H2539" s="322"/>
      <c r="I2539" s="322"/>
      <c r="J2539" s="242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</row>
    <row r="2540" spans="1:26" ht="15.75" hidden="1" customHeight="1" outlineLevel="2">
      <c r="A2540" s="443"/>
      <c r="B2540" s="444"/>
      <c r="C2540"/>
      <c r="D2540"/>
      <c r="E2540" s="321"/>
      <c r="F2540" s="242"/>
      <c r="G2540"/>
      <c r="H2540" s="322"/>
      <c r="I2540" s="322"/>
      <c r="J2540" s="242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</row>
    <row r="2541" spans="1:26" ht="15.75" hidden="1" customHeight="1" outlineLevel="2">
      <c r="A2541" s="443"/>
      <c r="B2541" s="444"/>
      <c r="C2541"/>
      <c r="D2541"/>
      <c r="E2541" s="321"/>
      <c r="F2541" s="242"/>
      <c r="G2541"/>
      <c r="H2541" s="322"/>
      <c r="I2541" s="322"/>
      <c r="J2541" s="242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</row>
    <row r="2542" spans="1:26" ht="15.75" hidden="1" customHeight="1" outlineLevel="2">
      <c r="A2542" s="443"/>
      <c r="B2542" s="444"/>
      <c r="C2542"/>
      <c r="D2542"/>
      <c r="E2542" s="321"/>
      <c r="F2542" s="242"/>
      <c r="G2542"/>
      <c r="H2542" s="322"/>
      <c r="I2542" s="322"/>
      <c r="J2542" s="242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</row>
    <row r="2543" spans="1:26" ht="15.75" hidden="1" customHeight="1" outlineLevel="2">
      <c r="A2543" s="443"/>
      <c r="B2543" s="444"/>
      <c r="C2543"/>
      <c r="D2543"/>
      <c r="E2543" s="321"/>
      <c r="F2543" s="242"/>
      <c r="G2543"/>
      <c r="H2543" s="322"/>
      <c r="I2543" s="322"/>
      <c r="J2543" s="242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</row>
    <row r="2544" spans="1:26" ht="15.75" hidden="1" customHeight="1" outlineLevel="2">
      <c r="A2544" s="443"/>
      <c r="B2544" s="444"/>
      <c r="C2544"/>
      <c r="D2544"/>
      <c r="E2544" s="321"/>
      <c r="F2544" s="242"/>
      <c r="G2544"/>
      <c r="H2544" s="322"/>
      <c r="I2544" s="322"/>
      <c r="J2544" s="242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</row>
    <row r="2545" spans="1:26" ht="15.75" hidden="1" customHeight="1" outlineLevel="2">
      <c r="A2545" s="443"/>
      <c r="B2545" s="444"/>
      <c r="C2545"/>
      <c r="D2545"/>
      <c r="E2545" s="321"/>
      <c r="F2545" s="242"/>
      <c r="G2545"/>
      <c r="H2545" s="322"/>
      <c r="I2545" s="322"/>
      <c r="J2545" s="242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</row>
    <row r="2546" spans="1:26" ht="15.75" hidden="1" customHeight="1" outlineLevel="2">
      <c r="A2546" s="443"/>
      <c r="B2546" s="444"/>
      <c r="C2546"/>
      <c r="D2546"/>
      <c r="E2546" s="321"/>
      <c r="F2546" s="242"/>
      <c r="G2546"/>
      <c r="H2546" s="322"/>
      <c r="I2546" s="322"/>
      <c r="J2546" s="242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</row>
    <row r="2547" spans="1:26" ht="15.75" hidden="1" customHeight="1" outlineLevel="2">
      <c r="A2547" s="443"/>
      <c r="B2547" s="444"/>
      <c r="C2547"/>
      <c r="D2547"/>
      <c r="E2547" s="321"/>
      <c r="F2547" s="242"/>
      <c r="G2547"/>
      <c r="H2547" s="322"/>
      <c r="I2547" s="322"/>
      <c r="J2547" s="242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</row>
    <row r="2548" spans="1:26" ht="15.75" hidden="1" customHeight="1" outlineLevel="2">
      <c r="A2548" s="443"/>
      <c r="B2548" s="444"/>
      <c r="C2548"/>
      <c r="D2548"/>
      <c r="E2548" s="321"/>
      <c r="F2548" s="242"/>
      <c r="G2548"/>
      <c r="H2548" s="322"/>
      <c r="I2548" s="322"/>
      <c r="J2548" s="242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</row>
    <row r="2549" spans="1:26" ht="15.75" hidden="1" customHeight="1" outlineLevel="2">
      <c r="A2549" s="443"/>
      <c r="B2549" s="444"/>
      <c r="C2549"/>
      <c r="D2549"/>
      <c r="E2549" s="321"/>
      <c r="F2549" s="242"/>
      <c r="G2549"/>
      <c r="H2549" s="322"/>
      <c r="I2549" s="322"/>
      <c r="J2549" s="242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</row>
    <row r="2550" spans="1:26" ht="15.75" hidden="1" customHeight="1" outlineLevel="2">
      <c r="A2550" s="443"/>
      <c r="B2550" s="444"/>
      <c r="C2550"/>
      <c r="D2550"/>
      <c r="E2550" s="321"/>
      <c r="F2550" s="242"/>
      <c r="G2550"/>
      <c r="H2550" s="322"/>
      <c r="I2550" s="322"/>
      <c r="J2550" s="242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</row>
    <row r="2551" spans="1:26" ht="15.75" hidden="1" customHeight="1" outlineLevel="2">
      <c r="A2551" s="443"/>
      <c r="B2551" s="444"/>
      <c r="C2551"/>
      <c r="D2551"/>
      <c r="E2551" s="321"/>
      <c r="F2551" s="242"/>
      <c r="G2551"/>
      <c r="H2551" s="322"/>
      <c r="I2551" s="322"/>
      <c r="J2551" s="242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</row>
    <row r="2552" spans="1:26" ht="15.75" hidden="1" customHeight="1" outlineLevel="2">
      <c r="A2552" s="443"/>
      <c r="B2552" s="444"/>
      <c r="C2552"/>
      <c r="D2552"/>
      <c r="E2552" s="321"/>
      <c r="F2552" s="242"/>
      <c r="G2552"/>
      <c r="H2552" s="322"/>
      <c r="I2552" s="322"/>
      <c r="J2552" s="242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</row>
    <row r="2553" spans="1:26" ht="15.75" hidden="1" customHeight="1" outlineLevel="2">
      <c r="A2553" s="443"/>
      <c r="B2553" s="444"/>
      <c r="C2553"/>
      <c r="D2553"/>
      <c r="E2553" s="321"/>
      <c r="F2553" s="242"/>
      <c r="G2553"/>
      <c r="H2553" s="322"/>
      <c r="I2553" s="322"/>
      <c r="J2553" s="242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</row>
    <row r="2554" spans="1:26" ht="15.75" hidden="1" customHeight="1" outlineLevel="2">
      <c r="A2554" s="443"/>
      <c r="B2554" s="444"/>
      <c r="C2554"/>
      <c r="D2554"/>
      <c r="E2554" s="321"/>
      <c r="F2554" s="242"/>
      <c r="G2554"/>
      <c r="H2554" s="322"/>
      <c r="I2554" s="322"/>
      <c r="J2554" s="242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</row>
    <row r="2555" spans="1:26" ht="15.75" hidden="1" customHeight="1" outlineLevel="2">
      <c r="A2555" s="443"/>
      <c r="B2555" s="444"/>
      <c r="C2555"/>
      <c r="D2555"/>
      <c r="E2555" s="321"/>
      <c r="F2555" s="242"/>
      <c r="G2555"/>
      <c r="H2555" s="322"/>
      <c r="I2555" s="322"/>
      <c r="J2555" s="242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</row>
    <row r="2556" spans="1:26" ht="15.75" hidden="1" customHeight="1" outlineLevel="2">
      <c r="A2556" s="443"/>
      <c r="B2556" s="444"/>
      <c r="C2556"/>
      <c r="D2556"/>
      <c r="E2556" s="321"/>
      <c r="F2556" s="242"/>
      <c r="G2556"/>
      <c r="H2556" s="322"/>
      <c r="I2556" s="322"/>
      <c r="J2556" s="242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</row>
    <row r="2557" spans="1:26" ht="15.75" hidden="1" customHeight="1" outlineLevel="2">
      <c r="A2557" s="443"/>
      <c r="B2557" s="444"/>
      <c r="C2557"/>
      <c r="D2557"/>
      <c r="E2557" s="321"/>
      <c r="F2557" s="242"/>
      <c r="G2557"/>
      <c r="H2557" s="322"/>
      <c r="I2557" s="322"/>
      <c r="J2557" s="242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</row>
    <row r="2558" spans="1:26" ht="15.75" hidden="1" customHeight="1" outlineLevel="2">
      <c r="A2558" s="443"/>
      <c r="B2558" s="444"/>
      <c r="C2558"/>
      <c r="D2558"/>
      <c r="E2558" s="321"/>
      <c r="F2558" s="242"/>
      <c r="G2558"/>
      <c r="H2558" s="322"/>
      <c r="I2558" s="322"/>
      <c r="J2558" s="242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</row>
    <row r="2559" spans="1:26" ht="15.75" hidden="1" customHeight="1" outlineLevel="2">
      <c r="A2559" s="443"/>
      <c r="B2559" s="444"/>
      <c r="C2559"/>
      <c r="D2559"/>
      <c r="E2559" s="321"/>
      <c r="F2559" s="242"/>
      <c r="G2559"/>
      <c r="H2559" s="322"/>
      <c r="I2559" s="322"/>
      <c r="J2559" s="242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</row>
    <row r="2560" spans="1:26" ht="15.75" hidden="1" customHeight="1" outlineLevel="2">
      <c r="A2560" s="443"/>
      <c r="B2560" s="444"/>
      <c r="C2560"/>
      <c r="D2560"/>
      <c r="E2560" s="321"/>
      <c r="F2560" s="242"/>
      <c r="G2560"/>
      <c r="H2560" s="322"/>
      <c r="I2560" s="322"/>
      <c r="J2560" s="242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</row>
    <row r="2561" spans="1:26" ht="15.75" hidden="1" customHeight="1" outlineLevel="2">
      <c r="A2561" s="443"/>
      <c r="B2561" s="444"/>
      <c r="C2561"/>
      <c r="D2561"/>
      <c r="E2561" s="321"/>
      <c r="F2561" s="242"/>
      <c r="G2561"/>
      <c r="H2561" s="322"/>
      <c r="I2561" s="322"/>
      <c r="J2561" s="242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</row>
    <row r="2562" spans="1:26" ht="15.75" hidden="1" customHeight="1" outlineLevel="2">
      <c r="A2562" s="443"/>
      <c r="B2562" s="444"/>
      <c r="C2562"/>
      <c r="D2562"/>
      <c r="E2562" s="321"/>
      <c r="F2562" s="242"/>
      <c r="G2562"/>
      <c r="H2562" s="322"/>
      <c r="I2562" s="322"/>
      <c r="J2562" s="242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</row>
    <row r="2563" spans="1:26" ht="15.75" hidden="1" customHeight="1" outlineLevel="2">
      <c r="A2563" s="443"/>
      <c r="B2563" s="444"/>
      <c r="C2563"/>
      <c r="D2563"/>
      <c r="E2563" s="321"/>
      <c r="F2563" s="242"/>
      <c r="G2563"/>
      <c r="H2563" s="322"/>
      <c r="I2563" s="322"/>
      <c r="J2563" s="242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</row>
    <row r="2564" spans="1:26" ht="15.75" hidden="1" customHeight="1" outlineLevel="2">
      <c r="A2564" s="443"/>
      <c r="B2564" s="444"/>
      <c r="C2564"/>
      <c r="D2564"/>
      <c r="E2564" s="321"/>
      <c r="F2564" s="242"/>
      <c r="G2564"/>
      <c r="H2564" s="322"/>
      <c r="I2564" s="322"/>
      <c r="J2564" s="242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</row>
    <row r="2565" spans="1:26" ht="15.75" hidden="1" customHeight="1" outlineLevel="2">
      <c r="A2565" s="443"/>
      <c r="B2565" s="444"/>
      <c r="C2565"/>
      <c r="D2565"/>
      <c r="E2565" s="321"/>
      <c r="F2565" s="242"/>
      <c r="G2565"/>
      <c r="H2565" s="322"/>
      <c r="I2565" s="322"/>
      <c r="J2565" s="242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</row>
    <row r="2566" spans="1:26" ht="15.75" hidden="1" customHeight="1" outlineLevel="2">
      <c r="A2566" s="443"/>
      <c r="B2566" s="444"/>
      <c r="C2566"/>
      <c r="D2566"/>
      <c r="E2566" s="321"/>
      <c r="F2566" s="242"/>
      <c r="G2566"/>
      <c r="H2566" s="322"/>
      <c r="I2566" s="322"/>
      <c r="J2566" s="242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</row>
    <row r="2567" spans="1:26" ht="15.75" hidden="1" customHeight="1" outlineLevel="2">
      <c r="A2567" s="443"/>
      <c r="B2567" s="444"/>
      <c r="C2567"/>
      <c r="D2567"/>
      <c r="E2567" s="321"/>
      <c r="F2567" s="242"/>
      <c r="G2567"/>
      <c r="H2567" s="322"/>
      <c r="I2567" s="322"/>
      <c r="J2567" s="242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</row>
    <row r="2568" spans="1:26" ht="15.75" hidden="1" customHeight="1" outlineLevel="2">
      <c r="A2568" s="443"/>
      <c r="B2568" s="444"/>
      <c r="C2568"/>
      <c r="D2568"/>
      <c r="E2568" s="321"/>
      <c r="F2568" s="242"/>
      <c r="G2568"/>
      <c r="H2568" s="322"/>
      <c r="I2568" s="322"/>
      <c r="J2568" s="242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</row>
    <row r="2569" spans="1:26" ht="15.75" hidden="1" customHeight="1" outlineLevel="2">
      <c r="A2569" s="443"/>
      <c r="B2569" s="444"/>
      <c r="C2569"/>
      <c r="D2569"/>
      <c r="E2569" s="321"/>
      <c r="F2569" s="242"/>
      <c r="G2569"/>
      <c r="H2569" s="322"/>
      <c r="I2569" s="322"/>
      <c r="J2569" s="242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</row>
    <row r="2570" spans="1:26" ht="15.75" hidden="1" customHeight="1" outlineLevel="2">
      <c r="A2570" s="443"/>
      <c r="B2570" s="444"/>
      <c r="C2570"/>
      <c r="D2570"/>
      <c r="E2570" s="321"/>
      <c r="F2570" s="242"/>
      <c r="G2570"/>
      <c r="H2570" s="322"/>
      <c r="I2570" s="322"/>
      <c r="J2570" s="242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</row>
    <row r="2571" spans="1:26" ht="15.75" hidden="1" customHeight="1" outlineLevel="2">
      <c r="A2571" s="443"/>
      <c r="B2571" s="444"/>
      <c r="C2571"/>
      <c r="D2571"/>
      <c r="E2571" s="321"/>
      <c r="F2571" s="242"/>
      <c r="G2571"/>
      <c r="H2571" s="322"/>
      <c r="I2571" s="322"/>
      <c r="J2571" s="242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</row>
    <row r="2572" spans="1:26" ht="15.75" hidden="1" customHeight="1" outlineLevel="2">
      <c r="A2572" s="443"/>
      <c r="B2572" s="444"/>
      <c r="C2572"/>
      <c r="D2572"/>
      <c r="E2572" s="321"/>
      <c r="F2572" s="242"/>
      <c r="G2572"/>
      <c r="H2572" s="322"/>
      <c r="I2572" s="322"/>
      <c r="J2572" s="242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</row>
    <row r="2573" spans="1:26" ht="15.75" hidden="1" customHeight="1" outlineLevel="2">
      <c r="A2573" s="443"/>
      <c r="B2573" s="444"/>
      <c r="C2573"/>
      <c r="D2573"/>
      <c r="E2573" s="321"/>
      <c r="F2573" s="242"/>
      <c r="G2573"/>
      <c r="H2573" s="322"/>
      <c r="I2573" s="322"/>
      <c r="J2573" s="242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</row>
    <row r="2574" spans="1:26" ht="15.75" hidden="1" customHeight="1" outlineLevel="2">
      <c r="A2574" s="443"/>
      <c r="B2574" s="444"/>
      <c r="C2574"/>
      <c r="D2574"/>
      <c r="E2574" s="321"/>
      <c r="F2574" s="242"/>
      <c r="G2574"/>
      <c r="H2574" s="322"/>
      <c r="I2574" s="322"/>
      <c r="J2574" s="242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</row>
    <row r="2575" spans="1:26" ht="15.75" hidden="1" customHeight="1" outlineLevel="2">
      <c r="A2575" s="443"/>
      <c r="B2575" s="444"/>
      <c r="C2575"/>
      <c r="D2575"/>
      <c r="E2575" s="321"/>
      <c r="F2575" s="242"/>
      <c r="G2575"/>
      <c r="H2575" s="322"/>
      <c r="I2575" s="322"/>
      <c r="J2575" s="242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</row>
    <row r="2576" spans="1:26" ht="15.75" hidden="1" customHeight="1" outlineLevel="2">
      <c r="A2576" s="443"/>
      <c r="B2576" s="444"/>
      <c r="C2576"/>
      <c r="D2576"/>
      <c r="E2576" s="321"/>
      <c r="F2576" s="242"/>
      <c r="G2576"/>
      <c r="H2576" s="322"/>
      <c r="I2576" s="322"/>
      <c r="J2576" s="242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</row>
    <row r="2577" spans="1:26" ht="15.75" hidden="1" customHeight="1" outlineLevel="2">
      <c r="A2577" s="443"/>
      <c r="B2577" s="444"/>
      <c r="C2577"/>
      <c r="D2577"/>
      <c r="E2577" s="321"/>
      <c r="F2577" s="242"/>
      <c r="G2577"/>
      <c r="H2577" s="322"/>
      <c r="I2577" s="322"/>
      <c r="J2577" s="242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</row>
    <row r="2578" spans="1:26" ht="15.75" hidden="1" customHeight="1" outlineLevel="2">
      <c r="A2578" s="443"/>
      <c r="B2578" s="444"/>
      <c r="C2578"/>
      <c r="D2578"/>
      <c r="E2578" s="321"/>
      <c r="F2578" s="242"/>
      <c r="G2578"/>
      <c r="H2578" s="322"/>
      <c r="I2578" s="322"/>
      <c r="J2578" s="242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</row>
    <row r="2579" spans="1:26" ht="15.75" hidden="1" customHeight="1" outlineLevel="2">
      <c r="A2579" s="443"/>
      <c r="B2579" s="444"/>
      <c r="C2579"/>
      <c r="D2579"/>
      <c r="E2579" s="321"/>
      <c r="F2579" s="242"/>
      <c r="G2579"/>
      <c r="H2579" s="322"/>
      <c r="I2579" s="322"/>
      <c r="J2579" s="242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</row>
    <row r="2580" spans="1:26" ht="15.75" hidden="1" customHeight="1" outlineLevel="2">
      <c r="A2580" s="443"/>
      <c r="B2580" s="444"/>
      <c r="C2580"/>
      <c r="D2580"/>
      <c r="E2580" s="321"/>
      <c r="F2580" s="242"/>
      <c r="G2580"/>
      <c r="H2580" s="322"/>
      <c r="I2580" s="322"/>
      <c r="J2580" s="242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</row>
    <row r="2581" spans="1:26" ht="15.75" hidden="1" customHeight="1" outlineLevel="2">
      <c r="A2581" s="443"/>
      <c r="B2581" s="444"/>
      <c r="C2581"/>
      <c r="D2581"/>
      <c r="E2581" s="321"/>
      <c r="F2581" s="242"/>
      <c r="G2581"/>
      <c r="H2581" s="322"/>
      <c r="I2581" s="322"/>
      <c r="J2581" s="242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</row>
    <row r="2582" spans="1:26" ht="15.75" hidden="1" customHeight="1" outlineLevel="2">
      <c r="A2582" s="443"/>
      <c r="B2582" s="444"/>
      <c r="C2582"/>
      <c r="D2582"/>
      <c r="E2582" s="321"/>
      <c r="F2582" s="242"/>
      <c r="G2582"/>
      <c r="H2582" s="322"/>
      <c r="I2582" s="322"/>
      <c r="J2582" s="242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</row>
    <row r="2583" spans="1:26" ht="15.75" hidden="1" customHeight="1" outlineLevel="2">
      <c r="A2583" s="443"/>
      <c r="B2583" s="444"/>
      <c r="C2583"/>
      <c r="D2583"/>
      <c r="E2583" s="321"/>
      <c r="F2583" s="242"/>
      <c r="G2583"/>
      <c r="H2583" s="322"/>
      <c r="I2583" s="322"/>
      <c r="J2583" s="242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</row>
    <row r="2584" spans="1:26" ht="15.75" hidden="1" customHeight="1" outlineLevel="2">
      <c r="A2584" s="443"/>
      <c r="B2584" s="444"/>
      <c r="C2584"/>
      <c r="D2584"/>
      <c r="E2584" s="321"/>
      <c r="F2584" s="242"/>
      <c r="G2584"/>
      <c r="H2584" s="322"/>
      <c r="I2584" s="322"/>
      <c r="J2584" s="242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</row>
    <row r="2585" spans="1:26" ht="15.75" hidden="1" customHeight="1" outlineLevel="2">
      <c r="A2585" s="443"/>
      <c r="B2585" s="444"/>
      <c r="C2585"/>
      <c r="D2585"/>
      <c r="E2585" s="321"/>
      <c r="F2585" s="242"/>
      <c r="G2585"/>
      <c r="H2585" s="322"/>
      <c r="I2585" s="322"/>
      <c r="J2585" s="242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</row>
    <row r="2586" spans="1:26" ht="15.75" hidden="1" customHeight="1" outlineLevel="2">
      <c r="A2586" s="443"/>
      <c r="B2586" s="444"/>
      <c r="C2586"/>
      <c r="D2586"/>
      <c r="E2586" s="321"/>
      <c r="F2586" s="242"/>
      <c r="G2586"/>
      <c r="H2586" s="322"/>
      <c r="I2586" s="322"/>
      <c r="J2586" s="242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</row>
    <row r="2587" spans="1:26" ht="15.75" hidden="1" customHeight="1" outlineLevel="2">
      <c r="A2587" s="443"/>
      <c r="B2587" s="444"/>
      <c r="C2587"/>
      <c r="D2587"/>
      <c r="E2587" s="321"/>
      <c r="F2587" s="242"/>
      <c r="G2587"/>
      <c r="H2587" s="322"/>
      <c r="I2587" s="322"/>
      <c r="J2587" s="242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</row>
    <row r="2588" spans="1:26" ht="15.75" hidden="1" customHeight="1" outlineLevel="2">
      <c r="A2588" s="443"/>
      <c r="B2588" s="444"/>
      <c r="C2588"/>
      <c r="D2588"/>
      <c r="E2588" s="321"/>
      <c r="F2588" s="242"/>
      <c r="G2588"/>
      <c r="H2588" s="322"/>
      <c r="I2588" s="322"/>
      <c r="J2588" s="242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</row>
    <row r="2589" spans="1:26" ht="15.75" hidden="1" customHeight="1" outlineLevel="2">
      <c r="A2589" s="443"/>
      <c r="B2589" s="444"/>
      <c r="C2589"/>
      <c r="D2589"/>
      <c r="E2589" s="321"/>
      <c r="F2589" s="242"/>
      <c r="G2589"/>
      <c r="H2589" s="322"/>
      <c r="I2589" s="322"/>
      <c r="J2589" s="242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</row>
    <row r="2590" spans="1:26" ht="15.75" hidden="1" customHeight="1" outlineLevel="2">
      <c r="A2590" s="443"/>
      <c r="B2590" s="444"/>
      <c r="C2590"/>
      <c r="D2590"/>
      <c r="E2590" s="321"/>
      <c r="F2590" s="242"/>
      <c r="G2590"/>
      <c r="H2590" s="322"/>
      <c r="I2590" s="322"/>
      <c r="J2590" s="242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</row>
    <row r="2591" spans="1:26" ht="15.75" hidden="1" customHeight="1" outlineLevel="2">
      <c r="A2591" s="443"/>
      <c r="B2591" s="444"/>
      <c r="C2591"/>
      <c r="D2591"/>
      <c r="E2591" s="321"/>
      <c r="F2591" s="242"/>
      <c r="G2591"/>
      <c r="H2591" s="322"/>
      <c r="I2591" s="322"/>
      <c r="J2591" s="242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</row>
    <row r="2592" spans="1:26" ht="15.75" hidden="1" customHeight="1" outlineLevel="2">
      <c r="A2592" s="443"/>
      <c r="B2592" s="444"/>
      <c r="C2592"/>
      <c r="D2592"/>
      <c r="E2592" s="321"/>
      <c r="F2592" s="242"/>
      <c r="G2592"/>
      <c r="H2592" s="322"/>
      <c r="I2592" s="322"/>
      <c r="J2592" s="242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</row>
    <row r="2593" spans="1:26" ht="15.75" hidden="1" customHeight="1" outlineLevel="2">
      <c r="A2593" s="443"/>
      <c r="B2593" s="444"/>
      <c r="C2593"/>
      <c r="D2593"/>
      <c r="E2593" s="321"/>
      <c r="F2593" s="242"/>
      <c r="G2593"/>
      <c r="H2593" s="322"/>
      <c r="I2593" s="322"/>
      <c r="J2593" s="242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</row>
    <row r="2594" spans="1:26" ht="15.75" hidden="1" customHeight="1" outlineLevel="2">
      <c r="A2594" s="443"/>
      <c r="B2594" s="444"/>
      <c r="C2594"/>
      <c r="D2594"/>
      <c r="E2594" s="321"/>
      <c r="F2594" s="242"/>
      <c r="G2594"/>
      <c r="H2594" s="322"/>
      <c r="I2594" s="322"/>
      <c r="J2594" s="242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</row>
    <row r="2595" spans="1:26" ht="15.75" hidden="1" customHeight="1" outlineLevel="2">
      <c r="A2595" s="443"/>
      <c r="B2595" s="444"/>
      <c r="C2595"/>
      <c r="D2595"/>
      <c r="E2595" s="321"/>
      <c r="F2595" s="242"/>
      <c r="G2595"/>
      <c r="H2595" s="322"/>
      <c r="I2595" s="322"/>
      <c r="J2595" s="242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</row>
    <row r="2596" spans="1:26" ht="15.75" hidden="1" customHeight="1" outlineLevel="2">
      <c r="A2596" s="443"/>
      <c r="B2596" s="444"/>
      <c r="C2596"/>
      <c r="D2596"/>
      <c r="E2596" s="321"/>
      <c r="F2596" s="242"/>
      <c r="G2596"/>
      <c r="H2596" s="322"/>
      <c r="I2596" s="322"/>
      <c r="J2596" s="242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</row>
    <row r="2597" spans="1:26" ht="15.75" hidden="1" customHeight="1" outlineLevel="2">
      <c r="A2597" s="443"/>
      <c r="B2597" s="444"/>
      <c r="C2597"/>
      <c r="D2597"/>
      <c r="E2597" s="321"/>
      <c r="F2597" s="242"/>
      <c r="G2597"/>
      <c r="H2597" s="322"/>
      <c r="I2597" s="322"/>
      <c r="J2597" s="242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</row>
    <row r="2598" spans="1:26" ht="15.75" hidden="1" customHeight="1" outlineLevel="2">
      <c r="A2598" s="443"/>
      <c r="B2598" s="444"/>
      <c r="C2598"/>
      <c r="D2598"/>
      <c r="E2598" s="321"/>
      <c r="F2598" s="242"/>
      <c r="G2598"/>
      <c r="H2598" s="322"/>
      <c r="I2598" s="322"/>
      <c r="J2598" s="242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</row>
    <row r="2599" spans="1:26" ht="15.75" hidden="1" customHeight="1" outlineLevel="2">
      <c r="A2599" s="443"/>
      <c r="B2599" s="444"/>
      <c r="C2599"/>
      <c r="D2599"/>
      <c r="E2599" s="321"/>
      <c r="F2599" s="242"/>
      <c r="G2599"/>
      <c r="H2599" s="322"/>
      <c r="I2599" s="322"/>
      <c r="J2599" s="242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</row>
    <row r="2600" spans="1:26" ht="15.75" hidden="1" customHeight="1" outlineLevel="2">
      <c r="A2600" s="443"/>
      <c r="B2600" s="444"/>
      <c r="C2600"/>
      <c r="D2600"/>
      <c r="E2600" s="321"/>
      <c r="F2600" s="242"/>
      <c r="G2600"/>
      <c r="H2600" s="322"/>
      <c r="I2600" s="322"/>
      <c r="J2600" s="242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</row>
    <row r="2601" spans="1:26" ht="15.75" hidden="1" customHeight="1" outlineLevel="2">
      <c r="A2601" s="443"/>
      <c r="B2601" s="444"/>
      <c r="C2601"/>
      <c r="D2601"/>
      <c r="E2601" s="321"/>
      <c r="F2601" s="242"/>
      <c r="G2601"/>
      <c r="H2601" s="322"/>
      <c r="I2601" s="322"/>
      <c r="J2601" s="242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</row>
    <row r="2602" spans="1:26" ht="15.75" hidden="1" customHeight="1" outlineLevel="2">
      <c r="A2602" s="443"/>
      <c r="B2602" s="444"/>
      <c r="C2602"/>
      <c r="D2602"/>
      <c r="E2602" s="321"/>
      <c r="F2602" s="242"/>
      <c r="G2602"/>
      <c r="H2602" s="322"/>
      <c r="I2602" s="322"/>
      <c r="J2602" s="242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</row>
    <row r="2603" spans="1:26" ht="15.75" hidden="1" customHeight="1" outlineLevel="2">
      <c r="A2603" s="443"/>
      <c r="B2603" s="444"/>
      <c r="C2603"/>
      <c r="D2603"/>
      <c r="E2603" s="321"/>
      <c r="F2603" s="242"/>
      <c r="G2603"/>
      <c r="H2603" s="322"/>
      <c r="I2603" s="322"/>
      <c r="J2603" s="242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</row>
    <row r="2604" spans="1:26" ht="15.75" hidden="1" customHeight="1" outlineLevel="2">
      <c r="A2604" s="443"/>
      <c r="B2604" s="444"/>
      <c r="C2604"/>
      <c r="D2604"/>
      <c r="E2604" s="321"/>
      <c r="F2604" s="242"/>
      <c r="G2604"/>
      <c r="H2604" s="322"/>
      <c r="I2604" s="322"/>
      <c r="J2604" s="242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</row>
    <row r="2605" spans="1:26" ht="15.75" hidden="1" customHeight="1" outlineLevel="2">
      <c r="A2605" s="443"/>
      <c r="B2605" s="444"/>
      <c r="C2605"/>
      <c r="D2605"/>
      <c r="E2605" s="321"/>
      <c r="F2605" s="242"/>
      <c r="G2605"/>
      <c r="H2605" s="322"/>
      <c r="I2605" s="322"/>
      <c r="J2605" s="242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</row>
    <row r="2606" spans="1:26" ht="15.75" hidden="1" customHeight="1" outlineLevel="2">
      <c r="A2606" s="443"/>
      <c r="B2606" s="444"/>
      <c r="C2606"/>
      <c r="D2606"/>
      <c r="E2606" s="321"/>
      <c r="F2606" s="242"/>
      <c r="G2606"/>
      <c r="H2606" s="322"/>
      <c r="I2606" s="322"/>
      <c r="J2606" s="242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</row>
    <row r="2607" spans="1:26" ht="15.75" hidden="1" customHeight="1" outlineLevel="2">
      <c r="A2607" s="443"/>
      <c r="B2607" s="444"/>
      <c r="C2607"/>
      <c r="D2607"/>
      <c r="E2607" s="321"/>
      <c r="F2607" s="242"/>
      <c r="G2607"/>
      <c r="H2607" s="322"/>
      <c r="I2607" s="322"/>
      <c r="J2607" s="242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</row>
    <row r="2608" spans="1:26" ht="15.75" hidden="1" customHeight="1" outlineLevel="2">
      <c r="A2608" s="443"/>
      <c r="B2608" s="444"/>
      <c r="C2608"/>
      <c r="D2608"/>
      <c r="E2608" s="321"/>
      <c r="F2608" s="242"/>
      <c r="G2608"/>
      <c r="H2608" s="322"/>
      <c r="I2608" s="322"/>
      <c r="J2608" s="242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</row>
    <row r="2609" spans="1:26" ht="15.75" hidden="1" customHeight="1" outlineLevel="2">
      <c r="A2609" s="443"/>
      <c r="B2609" s="444"/>
      <c r="C2609"/>
      <c r="D2609"/>
      <c r="E2609" s="321"/>
      <c r="F2609" s="242"/>
      <c r="G2609"/>
      <c r="H2609" s="322"/>
      <c r="I2609" s="322"/>
      <c r="J2609" s="242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</row>
    <row r="2610" spans="1:26" ht="15.75" hidden="1" customHeight="1" outlineLevel="2">
      <c r="A2610" s="443"/>
      <c r="B2610" s="444"/>
      <c r="C2610"/>
      <c r="D2610"/>
      <c r="E2610" s="321"/>
      <c r="F2610" s="242"/>
      <c r="G2610"/>
      <c r="H2610" s="322"/>
      <c r="I2610" s="322"/>
      <c r="J2610" s="242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</row>
    <row r="2611" spans="1:26" ht="15.75" hidden="1" customHeight="1" outlineLevel="2">
      <c r="A2611" s="443"/>
      <c r="B2611" s="444"/>
      <c r="C2611"/>
      <c r="D2611"/>
      <c r="E2611" s="321"/>
      <c r="F2611" s="242"/>
      <c r="G2611"/>
      <c r="H2611" s="322"/>
      <c r="I2611" s="322"/>
      <c r="J2611" s="242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</row>
    <row r="2612" spans="1:26" ht="15.75" hidden="1" customHeight="1" outlineLevel="2">
      <c r="A2612" s="443"/>
      <c r="B2612" s="444"/>
      <c r="C2612"/>
      <c r="D2612"/>
      <c r="E2612" s="321"/>
      <c r="F2612" s="242"/>
      <c r="G2612"/>
      <c r="H2612" s="322"/>
      <c r="I2612" s="322"/>
      <c r="J2612" s="242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</row>
    <row r="2613" spans="1:26" ht="15.75" hidden="1" customHeight="1" outlineLevel="2">
      <c r="A2613" s="443"/>
      <c r="B2613" s="444"/>
      <c r="C2613"/>
      <c r="D2613"/>
      <c r="E2613" s="321"/>
      <c r="F2613" s="242"/>
      <c r="G2613"/>
      <c r="H2613" s="322"/>
      <c r="I2613" s="322"/>
      <c r="J2613" s="242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</row>
    <row r="2614" spans="1:26" ht="15.75" hidden="1" customHeight="1" outlineLevel="2">
      <c r="A2614" s="443"/>
      <c r="B2614" s="444"/>
      <c r="C2614"/>
      <c r="D2614"/>
      <c r="E2614" s="321"/>
      <c r="F2614" s="242"/>
      <c r="G2614"/>
      <c r="H2614" s="322"/>
      <c r="I2614" s="322"/>
      <c r="J2614" s="242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</row>
    <row r="2615" spans="1:26" ht="15.75" hidden="1" customHeight="1" outlineLevel="2">
      <c r="A2615" s="443"/>
      <c r="B2615" s="444"/>
      <c r="C2615"/>
      <c r="D2615"/>
      <c r="E2615" s="321"/>
      <c r="F2615" s="242"/>
      <c r="G2615"/>
      <c r="H2615" s="322"/>
      <c r="I2615" s="322"/>
      <c r="J2615" s="242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</row>
    <row r="2616" spans="1:26" ht="15.75" hidden="1" customHeight="1" outlineLevel="2">
      <c r="A2616" s="443"/>
      <c r="B2616" s="444"/>
      <c r="C2616"/>
      <c r="D2616"/>
      <c r="E2616" s="321"/>
      <c r="F2616" s="242"/>
      <c r="G2616"/>
      <c r="H2616" s="322"/>
      <c r="I2616" s="322"/>
      <c r="J2616" s="242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</row>
    <row r="2617" spans="1:26" ht="15.75" hidden="1" customHeight="1" outlineLevel="2">
      <c r="A2617" s="443"/>
      <c r="B2617" s="444"/>
      <c r="C2617"/>
      <c r="D2617"/>
      <c r="E2617" s="321"/>
      <c r="F2617" s="242"/>
      <c r="G2617"/>
      <c r="H2617" s="322"/>
      <c r="I2617" s="322"/>
      <c r="J2617" s="242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</row>
    <row r="2618" spans="1:26" ht="15.75" hidden="1" customHeight="1" outlineLevel="2">
      <c r="A2618" s="443"/>
      <c r="B2618" s="444"/>
      <c r="C2618"/>
      <c r="D2618"/>
      <c r="E2618" s="321"/>
      <c r="F2618" s="242"/>
      <c r="G2618"/>
      <c r="H2618" s="322"/>
      <c r="I2618" s="322"/>
      <c r="J2618" s="242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</row>
    <row r="2619" spans="1:26" ht="15.75" hidden="1" customHeight="1" outlineLevel="2">
      <c r="A2619" s="443"/>
      <c r="B2619" s="444"/>
      <c r="C2619"/>
      <c r="D2619"/>
      <c r="E2619" s="321"/>
      <c r="F2619" s="242"/>
      <c r="G2619"/>
      <c r="H2619" s="322"/>
      <c r="I2619" s="322"/>
      <c r="J2619" s="242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</row>
    <row r="2620" spans="1:26" ht="15.75" hidden="1" customHeight="1" outlineLevel="2">
      <c r="A2620" s="443"/>
      <c r="B2620" s="444"/>
      <c r="C2620"/>
      <c r="D2620"/>
      <c r="E2620" s="321"/>
      <c r="F2620" s="242"/>
      <c r="G2620"/>
      <c r="H2620" s="322"/>
      <c r="I2620" s="322"/>
      <c r="J2620" s="242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</row>
    <row r="2621" spans="1:26" ht="15.75" hidden="1" customHeight="1" outlineLevel="2">
      <c r="A2621" s="443"/>
      <c r="B2621" s="444"/>
      <c r="C2621"/>
      <c r="D2621"/>
      <c r="E2621" s="321"/>
      <c r="F2621" s="242"/>
      <c r="G2621"/>
      <c r="H2621" s="322"/>
      <c r="I2621" s="322"/>
      <c r="J2621" s="242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</row>
    <row r="2622" spans="1:26" ht="15.75" hidden="1" customHeight="1" outlineLevel="2">
      <c r="A2622" s="443"/>
      <c r="B2622" s="444"/>
      <c r="C2622"/>
      <c r="D2622"/>
      <c r="E2622" s="321"/>
      <c r="F2622" s="242"/>
      <c r="G2622"/>
      <c r="H2622" s="322"/>
      <c r="I2622" s="322"/>
      <c r="J2622" s="242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</row>
    <row r="2623" spans="1:26" ht="15.75" hidden="1" customHeight="1" outlineLevel="2">
      <c r="A2623" s="443"/>
      <c r="B2623" s="444"/>
      <c r="C2623"/>
      <c r="D2623"/>
      <c r="E2623" s="321"/>
      <c r="F2623" s="242"/>
      <c r="G2623"/>
      <c r="H2623" s="322"/>
      <c r="I2623" s="322"/>
      <c r="J2623" s="242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</row>
    <row r="2624" spans="1:26" ht="15.75" hidden="1" customHeight="1" outlineLevel="2">
      <c r="A2624" s="443"/>
      <c r="B2624" s="444"/>
      <c r="C2624"/>
      <c r="D2624"/>
      <c r="E2624" s="321"/>
      <c r="F2624" s="242"/>
      <c r="G2624"/>
      <c r="H2624" s="322"/>
      <c r="I2624" s="322"/>
      <c r="J2624" s="242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</row>
    <row r="2625" spans="1:26" ht="15.75" hidden="1" customHeight="1" outlineLevel="2">
      <c r="A2625" s="443"/>
      <c r="B2625" s="444"/>
      <c r="C2625"/>
      <c r="D2625"/>
      <c r="E2625" s="321"/>
      <c r="F2625" s="242"/>
      <c r="G2625"/>
      <c r="H2625" s="322"/>
      <c r="I2625" s="322"/>
      <c r="J2625" s="242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</row>
    <row r="2626" spans="1:26" ht="15.75" hidden="1" customHeight="1" outlineLevel="2">
      <c r="A2626" s="443"/>
      <c r="B2626" s="444"/>
      <c r="C2626"/>
      <c r="D2626"/>
      <c r="E2626" s="321"/>
      <c r="F2626" s="242"/>
      <c r="G2626"/>
      <c r="H2626" s="322"/>
      <c r="I2626" s="322"/>
      <c r="J2626" s="242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</row>
    <row r="2627" spans="1:26" ht="15.75" hidden="1" customHeight="1" outlineLevel="2">
      <c r="A2627" s="443"/>
      <c r="B2627" s="444"/>
      <c r="C2627"/>
      <c r="D2627"/>
      <c r="E2627" s="321"/>
      <c r="F2627" s="242"/>
      <c r="G2627"/>
      <c r="H2627" s="322"/>
      <c r="I2627" s="322"/>
      <c r="J2627" s="242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</row>
    <row r="2628" spans="1:26" ht="15.75" hidden="1" customHeight="1" outlineLevel="2">
      <c r="A2628" s="443"/>
      <c r="B2628" s="444"/>
      <c r="C2628"/>
      <c r="D2628"/>
      <c r="E2628" s="321"/>
      <c r="F2628" s="242"/>
      <c r="G2628"/>
      <c r="H2628" s="322"/>
      <c r="I2628" s="322"/>
      <c r="J2628" s="242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</row>
    <row r="2629" spans="1:26" ht="15.75" hidden="1" customHeight="1" outlineLevel="2">
      <c r="A2629" s="443"/>
      <c r="B2629" s="444"/>
      <c r="C2629"/>
      <c r="D2629"/>
      <c r="E2629" s="321"/>
      <c r="F2629" s="242"/>
      <c r="G2629"/>
      <c r="H2629" s="322"/>
      <c r="I2629" s="322"/>
      <c r="J2629" s="242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</row>
    <row r="2630" spans="1:26" ht="15.75" hidden="1" customHeight="1" outlineLevel="2">
      <c r="A2630" s="443"/>
      <c r="B2630" s="444"/>
      <c r="C2630"/>
      <c r="D2630"/>
      <c r="E2630" s="321"/>
      <c r="F2630" s="242"/>
      <c r="G2630"/>
      <c r="H2630" s="322"/>
      <c r="I2630" s="322"/>
      <c r="J2630" s="242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</row>
    <row r="2631" spans="1:26" ht="15.75" hidden="1" customHeight="1" outlineLevel="2">
      <c r="A2631" s="443"/>
      <c r="B2631" s="444"/>
      <c r="C2631"/>
      <c r="D2631"/>
      <c r="E2631" s="321"/>
      <c r="F2631" s="242"/>
      <c r="G2631"/>
      <c r="H2631" s="322"/>
      <c r="I2631" s="322"/>
      <c r="J2631" s="242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</row>
    <row r="2632" spans="1:26" ht="15.75" hidden="1" customHeight="1" outlineLevel="2">
      <c r="A2632" s="443"/>
      <c r="B2632" s="444"/>
      <c r="C2632"/>
      <c r="D2632"/>
      <c r="E2632" s="321"/>
      <c r="F2632" s="242"/>
      <c r="G2632"/>
      <c r="H2632" s="322"/>
      <c r="I2632" s="322"/>
      <c r="J2632" s="242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</row>
    <row r="2633" spans="1:26" ht="15.75" hidden="1" customHeight="1" outlineLevel="2">
      <c r="A2633" s="443"/>
      <c r="B2633" s="444"/>
      <c r="C2633"/>
      <c r="D2633"/>
      <c r="E2633" s="321"/>
      <c r="F2633" s="242"/>
      <c r="G2633"/>
      <c r="H2633" s="322"/>
      <c r="I2633" s="322"/>
      <c r="J2633" s="242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</row>
    <row r="2634" spans="1:26" ht="15.75" hidden="1" customHeight="1" outlineLevel="2">
      <c r="A2634" s="443"/>
      <c r="B2634" s="444"/>
      <c r="C2634"/>
      <c r="D2634"/>
      <c r="E2634" s="321"/>
      <c r="F2634" s="242"/>
      <c r="G2634"/>
      <c r="H2634" s="322"/>
      <c r="I2634" s="322"/>
      <c r="J2634" s="242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</row>
    <row r="2635" spans="1:26" ht="15.75" hidden="1" customHeight="1" outlineLevel="2">
      <c r="A2635" s="443"/>
      <c r="B2635" s="444"/>
      <c r="C2635"/>
      <c r="D2635"/>
      <c r="E2635" s="321"/>
      <c r="F2635" s="242"/>
      <c r="G2635"/>
      <c r="H2635" s="322"/>
      <c r="I2635" s="322"/>
      <c r="J2635" s="242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</row>
    <row r="2636" spans="1:26" ht="15.75" hidden="1" customHeight="1" outlineLevel="2">
      <c r="A2636" s="443"/>
      <c r="B2636" s="444"/>
      <c r="C2636"/>
      <c r="D2636"/>
      <c r="E2636" s="321"/>
      <c r="F2636" s="242"/>
      <c r="G2636"/>
      <c r="H2636" s="322"/>
      <c r="I2636" s="322"/>
      <c r="J2636" s="242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</row>
    <row r="2637" spans="1:26" ht="15.75" hidden="1" customHeight="1" outlineLevel="2">
      <c r="A2637" s="443"/>
      <c r="B2637" s="444"/>
      <c r="C2637"/>
      <c r="D2637"/>
      <c r="E2637" s="321"/>
      <c r="F2637" s="242"/>
      <c r="G2637"/>
      <c r="H2637" s="322"/>
      <c r="I2637" s="322"/>
      <c r="J2637" s="242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</row>
    <row r="2638" spans="1:26" ht="15.75" hidden="1" customHeight="1" outlineLevel="2">
      <c r="A2638" s="443"/>
      <c r="B2638" s="444"/>
      <c r="C2638"/>
      <c r="D2638"/>
      <c r="E2638" s="321"/>
      <c r="F2638" s="242"/>
      <c r="G2638"/>
      <c r="H2638" s="322"/>
      <c r="I2638" s="322"/>
      <c r="J2638" s="242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</row>
    <row r="2639" spans="1:26" ht="15.75" hidden="1" customHeight="1" outlineLevel="2">
      <c r="A2639" s="443"/>
      <c r="B2639" s="444"/>
      <c r="C2639"/>
      <c r="D2639"/>
      <c r="E2639" s="321"/>
      <c r="F2639" s="242"/>
      <c r="G2639"/>
      <c r="H2639" s="322"/>
      <c r="I2639" s="322"/>
      <c r="J2639" s="242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</row>
    <row r="2640" spans="1:26" ht="15.75" hidden="1" customHeight="1" outlineLevel="2">
      <c r="A2640" s="443"/>
      <c r="B2640" s="444"/>
      <c r="C2640"/>
      <c r="D2640"/>
      <c r="E2640" s="321"/>
      <c r="F2640" s="242"/>
      <c r="G2640"/>
      <c r="H2640" s="322"/>
      <c r="I2640" s="322"/>
      <c r="J2640" s="242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</row>
    <row r="2641" spans="1:26" ht="15.75" hidden="1" customHeight="1" outlineLevel="2">
      <c r="A2641" s="443"/>
      <c r="B2641" s="444"/>
      <c r="C2641"/>
      <c r="D2641"/>
      <c r="E2641" s="321"/>
      <c r="F2641" s="242"/>
      <c r="G2641"/>
      <c r="H2641" s="322"/>
      <c r="I2641" s="322"/>
      <c r="J2641" s="242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</row>
    <row r="2642" spans="1:26" ht="15.75" hidden="1" customHeight="1" outlineLevel="2">
      <c r="A2642" s="443"/>
      <c r="B2642" s="444"/>
      <c r="C2642"/>
      <c r="D2642"/>
      <c r="E2642" s="321"/>
      <c r="F2642" s="242"/>
      <c r="G2642"/>
      <c r="H2642" s="322"/>
      <c r="I2642" s="322"/>
      <c r="J2642" s="242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</row>
    <row r="2643" spans="1:26" ht="15.75" hidden="1" customHeight="1" outlineLevel="2">
      <c r="A2643" s="443"/>
      <c r="B2643" s="444"/>
      <c r="C2643"/>
      <c r="D2643"/>
      <c r="E2643" s="321"/>
      <c r="F2643" s="242"/>
      <c r="G2643"/>
      <c r="H2643" s="322"/>
      <c r="I2643" s="322"/>
      <c r="J2643" s="242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</row>
    <row r="2644" spans="1:26" ht="15.75" hidden="1" customHeight="1" outlineLevel="2">
      <c r="A2644" s="443"/>
      <c r="B2644" s="444"/>
      <c r="C2644"/>
      <c r="D2644"/>
      <c r="E2644" s="321"/>
      <c r="F2644" s="242"/>
      <c r="G2644"/>
      <c r="H2644" s="322"/>
      <c r="I2644" s="322"/>
      <c r="J2644" s="242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</row>
    <row r="2645" spans="1:26" ht="15.75" hidden="1" customHeight="1" outlineLevel="2">
      <c r="A2645" s="443"/>
      <c r="B2645" s="444"/>
      <c r="C2645"/>
      <c r="D2645"/>
      <c r="E2645" s="321"/>
      <c r="F2645" s="242"/>
      <c r="G2645"/>
      <c r="H2645" s="322"/>
      <c r="I2645" s="322"/>
      <c r="J2645" s="242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</row>
    <row r="2646" spans="1:26" ht="15.75" hidden="1" customHeight="1" outlineLevel="2">
      <c r="A2646" s="443"/>
      <c r="B2646" s="444"/>
      <c r="C2646"/>
      <c r="D2646"/>
      <c r="E2646" s="321"/>
      <c r="F2646" s="242"/>
      <c r="G2646"/>
      <c r="H2646" s="322"/>
      <c r="I2646" s="322"/>
      <c r="J2646" s="242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</row>
    <row r="2647" spans="1:26" ht="15.75" hidden="1" customHeight="1" outlineLevel="2">
      <c r="A2647" s="443"/>
      <c r="B2647" s="444"/>
      <c r="C2647"/>
      <c r="D2647"/>
      <c r="E2647" s="321"/>
      <c r="F2647" s="242"/>
      <c r="G2647"/>
      <c r="H2647" s="322"/>
      <c r="I2647" s="322"/>
      <c r="J2647" s="242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</row>
    <row r="2648" spans="1:26" ht="15.75" hidden="1" customHeight="1" outlineLevel="2">
      <c r="A2648" s="443"/>
      <c r="B2648" s="444"/>
      <c r="C2648"/>
      <c r="D2648"/>
      <c r="E2648" s="321"/>
      <c r="F2648" s="242"/>
      <c r="G2648"/>
      <c r="H2648" s="322"/>
      <c r="I2648" s="322"/>
      <c r="J2648" s="242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</row>
    <row r="2649" spans="1:26" ht="15.75" hidden="1" customHeight="1" outlineLevel="2">
      <c r="A2649" s="443"/>
      <c r="B2649" s="444"/>
      <c r="C2649"/>
      <c r="D2649"/>
      <c r="E2649" s="321"/>
      <c r="F2649" s="242"/>
      <c r="G2649"/>
      <c r="H2649" s="322"/>
      <c r="I2649" s="322"/>
      <c r="J2649" s="242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</row>
    <row r="2650" spans="1:26" ht="15.75" hidden="1" customHeight="1" outlineLevel="2">
      <c r="A2650" s="443"/>
      <c r="B2650" s="444"/>
      <c r="C2650"/>
      <c r="D2650"/>
      <c r="E2650" s="321"/>
      <c r="F2650" s="242"/>
      <c r="G2650"/>
      <c r="H2650" s="322"/>
      <c r="I2650" s="322"/>
      <c r="J2650" s="242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</row>
    <row r="2651" spans="1:26" ht="15.75" hidden="1" customHeight="1" outlineLevel="2">
      <c r="A2651" s="443"/>
      <c r="B2651" s="444"/>
      <c r="C2651"/>
      <c r="D2651"/>
      <c r="E2651" s="321"/>
      <c r="F2651" s="242"/>
      <c r="G2651"/>
      <c r="H2651" s="322"/>
      <c r="I2651" s="322"/>
      <c r="J2651" s="242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</row>
    <row r="2652" spans="1:26" ht="15.75" hidden="1" customHeight="1" outlineLevel="2">
      <c r="A2652" s="443"/>
      <c r="B2652" s="444"/>
      <c r="C2652"/>
      <c r="D2652"/>
      <c r="E2652" s="321"/>
      <c r="F2652" s="242"/>
      <c r="G2652"/>
      <c r="H2652" s="322"/>
      <c r="I2652" s="322"/>
      <c r="J2652" s="242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</row>
    <row r="2653" spans="1:26" ht="15.75" hidden="1" customHeight="1" outlineLevel="2">
      <c r="A2653" s="443"/>
      <c r="B2653" s="444"/>
      <c r="C2653"/>
      <c r="D2653"/>
      <c r="E2653" s="321"/>
      <c r="F2653" s="242"/>
      <c r="G2653"/>
      <c r="H2653" s="322"/>
      <c r="I2653" s="322"/>
      <c r="J2653" s="242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</row>
    <row r="2654" spans="1:26" ht="15.75" hidden="1" customHeight="1" outlineLevel="2">
      <c r="A2654" s="443"/>
      <c r="B2654" s="444"/>
      <c r="C2654"/>
      <c r="D2654"/>
      <c r="E2654" s="321"/>
      <c r="F2654" s="242"/>
      <c r="G2654"/>
      <c r="H2654" s="322"/>
      <c r="I2654" s="322"/>
      <c r="J2654" s="242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</row>
    <row r="2655" spans="1:26" ht="15.75" hidden="1" customHeight="1" outlineLevel="2">
      <c r="A2655" s="443"/>
      <c r="B2655" s="444"/>
      <c r="C2655"/>
      <c r="D2655"/>
      <c r="E2655" s="321"/>
      <c r="F2655" s="242"/>
      <c r="G2655"/>
      <c r="H2655" s="322"/>
      <c r="I2655" s="322"/>
      <c r="J2655" s="242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</row>
    <row r="2656" spans="1:26" ht="15.75" hidden="1" customHeight="1" outlineLevel="2">
      <c r="A2656" s="443"/>
      <c r="B2656" s="444"/>
      <c r="C2656"/>
      <c r="D2656"/>
      <c r="E2656" s="321"/>
      <c r="F2656" s="242"/>
      <c r="G2656"/>
      <c r="H2656" s="322"/>
      <c r="I2656" s="322"/>
      <c r="J2656" s="242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</row>
    <row r="2657" spans="1:26" ht="15.75" hidden="1" customHeight="1" outlineLevel="2">
      <c r="A2657" s="443"/>
      <c r="B2657" s="444"/>
      <c r="C2657"/>
      <c r="D2657"/>
      <c r="E2657" s="321"/>
      <c r="F2657" s="242"/>
      <c r="G2657"/>
      <c r="H2657" s="322"/>
      <c r="I2657" s="322"/>
      <c r="J2657" s="242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</row>
    <row r="2658" spans="1:26" ht="15.75" hidden="1" customHeight="1" outlineLevel="2">
      <c r="A2658" s="443"/>
      <c r="B2658" s="444"/>
      <c r="C2658"/>
      <c r="D2658"/>
      <c r="E2658" s="321"/>
      <c r="F2658" s="242"/>
      <c r="G2658"/>
      <c r="H2658" s="322"/>
      <c r="I2658" s="322"/>
      <c r="J2658" s="242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</row>
    <row r="2659" spans="1:26" ht="15.75" hidden="1" customHeight="1" outlineLevel="2">
      <c r="A2659" s="443"/>
      <c r="B2659" s="444"/>
      <c r="C2659"/>
      <c r="D2659"/>
      <c r="E2659" s="321"/>
      <c r="F2659" s="242"/>
      <c r="G2659"/>
      <c r="H2659" s="322"/>
      <c r="I2659" s="322"/>
      <c r="J2659" s="242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</row>
    <row r="2660" spans="1:26" ht="15.75" hidden="1" customHeight="1" outlineLevel="2">
      <c r="A2660" s="443"/>
      <c r="B2660" s="444"/>
      <c r="C2660"/>
      <c r="D2660"/>
      <c r="E2660" s="321"/>
      <c r="F2660" s="242"/>
      <c r="G2660"/>
      <c r="H2660" s="322"/>
      <c r="I2660" s="322"/>
      <c r="J2660" s="242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</row>
    <row r="2661" spans="1:26" ht="15.75" hidden="1" customHeight="1" outlineLevel="2">
      <c r="A2661" s="443"/>
      <c r="B2661" s="444"/>
      <c r="C2661"/>
      <c r="D2661"/>
      <c r="E2661" s="321"/>
      <c r="F2661" s="242"/>
      <c r="G2661"/>
      <c r="H2661" s="322"/>
      <c r="I2661" s="322"/>
      <c r="J2661" s="242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</row>
    <row r="2662" spans="1:26" ht="15.75" hidden="1" customHeight="1" outlineLevel="2">
      <c r="A2662" s="443"/>
      <c r="B2662" s="444"/>
      <c r="C2662"/>
      <c r="D2662"/>
      <c r="E2662" s="321"/>
      <c r="F2662" s="242"/>
      <c r="G2662"/>
      <c r="H2662" s="322"/>
      <c r="I2662" s="322"/>
      <c r="J2662" s="242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</row>
    <row r="2663" spans="1:26" ht="15.75" hidden="1" customHeight="1" outlineLevel="2">
      <c r="A2663" s="443"/>
      <c r="B2663" s="444"/>
      <c r="C2663"/>
      <c r="D2663"/>
      <c r="E2663" s="321"/>
      <c r="F2663" s="242"/>
      <c r="G2663"/>
      <c r="H2663" s="322"/>
      <c r="I2663" s="322"/>
      <c r="J2663" s="242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</row>
    <row r="2664" spans="1:26" ht="15.75" hidden="1" customHeight="1" outlineLevel="2">
      <c r="A2664" s="443"/>
      <c r="B2664" s="444"/>
      <c r="C2664"/>
      <c r="D2664"/>
      <c r="E2664" s="321"/>
      <c r="F2664" s="242"/>
      <c r="G2664"/>
      <c r="H2664" s="322"/>
      <c r="I2664" s="322"/>
      <c r="J2664" s="242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</row>
    <row r="2665" spans="1:26" ht="15.75" hidden="1" customHeight="1" outlineLevel="2">
      <c r="A2665" s="443"/>
      <c r="B2665" s="444"/>
      <c r="C2665"/>
      <c r="D2665"/>
      <c r="E2665" s="321"/>
      <c r="F2665" s="242"/>
      <c r="G2665"/>
      <c r="H2665" s="322"/>
      <c r="I2665" s="322"/>
      <c r="J2665" s="242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</row>
    <row r="2666" spans="1:26" ht="15.75" hidden="1" customHeight="1" outlineLevel="2">
      <c r="A2666" s="443"/>
      <c r="B2666" s="444"/>
      <c r="C2666"/>
      <c r="D2666"/>
      <c r="E2666" s="321"/>
      <c r="F2666" s="242"/>
      <c r="G2666"/>
      <c r="H2666" s="322"/>
      <c r="I2666" s="322"/>
      <c r="J2666" s="242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</row>
    <row r="2667" spans="1:26" ht="15.75" hidden="1" customHeight="1" outlineLevel="2">
      <c r="A2667" s="443"/>
      <c r="B2667" s="444"/>
      <c r="C2667"/>
      <c r="D2667"/>
      <c r="E2667" s="321"/>
      <c r="F2667" s="242"/>
      <c r="G2667"/>
      <c r="H2667" s="322"/>
      <c r="I2667" s="322"/>
      <c r="J2667" s="242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</row>
    <row r="2668" spans="1:26" ht="15.75" hidden="1" customHeight="1" outlineLevel="2">
      <c r="A2668" s="443"/>
      <c r="B2668" s="444"/>
      <c r="C2668"/>
      <c r="D2668"/>
      <c r="E2668" s="321"/>
      <c r="F2668" s="242"/>
      <c r="G2668"/>
      <c r="H2668" s="322"/>
      <c r="I2668" s="322"/>
      <c r="J2668" s="242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</row>
    <row r="2669" spans="1:26" ht="15.75" hidden="1" customHeight="1" outlineLevel="2">
      <c r="A2669" s="443"/>
      <c r="B2669" s="444"/>
      <c r="C2669"/>
      <c r="D2669"/>
      <c r="E2669" s="321"/>
      <c r="F2669" s="242"/>
      <c r="G2669"/>
      <c r="H2669" s="322"/>
      <c r="I2669" s="322"/>
      <c r="J2669" s="242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</row>
    <row r="2670" spans="1:26" ht="15.75" hidden="1" customHeight="1" outlineLevel="2">
      <c r="A2670" s="443"/>
      <c r="B2670" s="444"/>
      <c r="C2670"/>
      <c r="D2670"/>
      <c r="E2670" s="321"/>
      <c r="F2670" s="242"/>
      <c r="G2670"/>
      <c r="H2670" s="322"/>
      <c r="I2670" s="322"/>
      <c r="J2670" s="242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</row>
    <row r="2671" spans="1:26" ht="15.75" hidden="1" customHeight="1" outlineLevel="2">
      <c r="A2671" s="443"/>
      <c r="B2671" s="444"/>
      <c r="C2671"/>
      <c r="D2671"/>
      <c r="E2671" s="321"/>
      <c r="F2671" s="242"/>
      <c r="G2671"/>
      <c r="H2671" s="322"/>
      <c r="I2671" s="322"/>
      <c r="J2671" s="242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</row>
    <row r="2672" spans="1:26" ht="15.75" hidden="1" customHeight="1" outlineLevel="2">
      <c r="A2672" s="443"/>
      <c r="B2672" s="444"/>
      <c r="C2672"/>
      <c r="D2672"/>
      <c r="E2672" s="321"/>
      <c r="F2672" s="242"/>
      <c r="G2672"/>
      <c r="H2672" s="322"/>
      <c r="I2672" s="322"/>
      <c r="J2672" s="242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</row>
    <row r="2673" spans="1:26" ht="15.75" hidden="1" customHeight="1" outlineLevel="2">
      <c r="A2673" s="443"/>
      <c r="B2673" s="444"/>
      <c r="C2673"/>
      <c r="D2673"/>
      <c r="E2673" s="321"/>
      <c r="F2673" s="242"/>
      <c r="G2673"/>
      <c r="H2673" s="322"/>
      <c r="I2673" s="322"/>
      <c r="J2673" s="242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</row>
    <row r="2674" spans="1:26" ht="15.75" hidden="1" customHeight="1" outlineLevel="2">
      <c r="A2674" s="443"/>
      <c r="B2674" s="444"/>
      <c r="C2674"/>
      <c r="D2674"/>
      <c r="E2674" s="321"/>
      <c r="F2674" s="242"/>
      <c r="G2674"/>
      <c r="H2674" s="322"/>
      <c r="I2674" s="322"/>
      <c r="J2674" s="242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</row>
    <row r="2675" spans="1:26" ht="15.75" hidden="1" customHeight="1" outlineLevel="2">
      <c r="A2675" s="443"/>
      <c r="B2675" s="444"/>
      <c r="C2675"/>
      <c r="D2675"/>
      <c r="E2675" s="321"/>
      <c r="F2675" s="242"/>
      <c r="G2675"/>
      <c r="H2675" s="322"/>
      <c r="I2675" s="322"/>
      <c r="J2675" s="242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</row>
    <row r="2676" spans="1:26" ht="15.75" hidden="1" customHeight="1" outlineLevel="2">
      <c r="A2676" s="443"/>
      <c r="B2676" s="444"/>
      <c r="C2676"/>
      <c r="D2676"/>
      <c r="E2676" s="321"/>
      <c r="F2676" s="242"/>
      <c r="G2676"/>
      <c r="H2676" s="322"/>
      <c r="I2676" s="322"/>
      <c r="J2676" s="242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</row>
    <row r="2677" spans="1:26" ht="15.75" hidden="1" customHeight="1" outlineLevel="2">
      <c r="A2677" s="443"/>
      <c r="B2677" s="444"/>
      <c r="C2677"/>
      <c r="D2677"/>
      <c r="E2677" s="321"/>
      <c r="F2677" s="242"/>
      <c r="G2677"/>
      <c r="H2677" s="322"/>
      <c r="I2677" s="322"/>
      <c r="J2677" s="242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</row>
    <row r="2678" spans="1:26" ht="15.75" hidden="1" customHeight="1" outlineLevel="2">
      <c r="A2678" s="443"/>
      <c r="B2678" s="444"/>
      <c r="C2678"/>
      <c r="D2678"/>
      <c r="E2678" s="321"/>
      <c r="F2678" s="242"/>
      <c r="G2678"/>
      <c r="H2678" s="322"/>
      <c r="I2678" s="322"/>
      <c r="J2678" s="242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</row>
    <row r="2679" spans="1:26" ht="15.75" hidden="1" customHeight="1" outlineLevel="2">
      <c r="A2679" s="443"/>
      <c r="B2679" s="444"/>
      <c r="C2679"/>
      <c r="D2679"/>
      <c r="E2679" s="321"/>
      <c r="F2679" s="242"/>
      <c r="G2679"/>
      <c r="H2679" s="322"/>
      <c r="I2679" s="322"/>
      <c r="J2679" s="242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</row>
    <row r="2680" spans="1:26" ht="15.75" hidden="1" customHeight="1" outlineLevel="2">
      <c r="A2680" s="443"/>
      <c r="B2680" s="444"/>
      <c r="C2680"/>
      <c r="D2680"/>
      <c r="E2680" s="321"/>
      <c r="F2680" s="242"/>
      <c r="G2680"/>
      <c r="H2680" s="322"/>
      <c r="I2680" s="322"/>
      <c r="J2680" s="242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</row>
    <row r="2681" spans="1:26" ht="15.75" hidden="1" customHeight="1" outlineLevel="2">
      <c r="A2681" s="443"/>
      <c r="B2681" s="444"/>
      <c r="C2681"/>
      <c r="D2681"/>
      <c r="E2681" s="321"/>
      <c r="F2681" s="242"/>
      <c r="G2681"/>
      <c r="H2681" s="322"/>
      <c r="I2681" s="322"/>
      <c r="J2681" s="242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</row>
    <row r="2682" spans="1:26" ht="15.75" hidden="1" customHeight="1" outlineLevel="2">
      <c r="A2682" s="443"/>
      <c r="B2682" s="444"/>
      <c r="C2682"/>
      <c r="D2682"/>
      <c r="E2682" s="321"/>
      <c r="F2682" s="242"/>
      <c r="G2682"/>
      <c r="H2682" s="322"/>
      <c r="I2682" s="322"/>
      <c r="J2682" s="242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</row>
    <row r="2683" spans="1:26" ht="15.75" hidden="1" customHeight="1" outlineLevel="2">
      <c r="A2683" s="443"/>
      <c r="B2683" s="444"/>
      <c r="C2683"/>
      <c r="D2683"/>
      <c r="E2683" s="321"/>
      <c r="F2683" s="242"/>
      <c r="G2683"/>
      <c r="H2683" s="322"/>
      <c r="I2683" s="322"/>
      <c r="J2683" s="242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</row>
    <row r="2684" spans="1:26" ht="15.75" hidden="1" customHeight="1" outlineLevel="2">
      <c r="A2684" s="443"/>
      <c r="B2684" s="444"/>
      <c r="C2684"/>
      <c r="D2684"/>
      <c r="E2684" s="321"/>
      <c r="F2684" s="242"/>
      <c r="G2684"/>
      <c r="H2684" s="322"/>
      <c r="I2684" s="322"/>
      <c r="J2684" s="242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</row>
    <row r="2685" spans="1:26" ht="15.75" hidden="1" customHeight="1" outlineLevel="2">
      <c r="A2685" s="443"/>
      <c r="B2685" s="444"/>
      <c r="C2685"/>
      <c r="D2685"/>
      <c r="E2685" s="321"/>
      <c r="F2685" s="242"/>
      <c r="G2685"/>
      <c r="H2685" s="322"/>
      <c r="I2685" s="322"/>
      <c r="J2685" s="242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</row>
    <row r="2686" spans="1:26" ht="15.75" hidden="1" customHeight="1" outlineLevel="2">
      <c r="A2686" s="443"/>
      <c r="B2686" s="444"/>
      <c r="C2686"/>
      <c r="D2686"/>
      <c r="E2686" s="321"/>
      <c r="F2686" s="242"/>
      <c r="G2686"/>
      <c r="H2686" s="322"/>
      <c r="I2686" s="322"/>
      <c r="J2686" s="242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</row>
    <row r="2687" spans="1:26" ht="15.75" hidden="1" customHeight="1" outlineLevel="2">
      <c r="A2687" s="443"/>
      <c r="B2687" s="444"/>
      <c r="C2687"/>
      <c r="D2687"/>
      <c r="E2687" s="321"/>
      <c r="F2687" s="242"/>
      <c r="G2687"/>
      <c r="H2687" s="322"/>
      <c r="I2687" s="322"/>
      <c r="J2687" s="242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</row>
    <row r="2688" spans="1:26" ht="15.75" hidden="1" customHeight="1" outlineLevel="2">
      <c r="A2688" s="443"/>
      <c r="B2688" s="444"/>
      <c r="C2688"/>
      <c r="D2688"/>
      <c r="E2688" s="321"/>
      <c r="F2688" s="242"/>
      <c r="G2688"/>
      <c r="H2688" s="322"/>
      <c r="I2688" s="322"/>
      <c r="J2688" s="242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</row>
    <row r="2689" spans="1:26" ht="15.75" hidden="1" customHeight="1" outlineLevel="2">
      <c r="A2689" s="443"/>
      <c r="B2689" s="444"/>
      <c r="C2689"/>
      <c r="D2689"/>
      <c r="E2689" s="321"/>
      <c r="F2689" s="242"/>
      <c r="G2689"/>
      <c r="H2689" s="322"/>
      <c r="I2689" s="322"/>
      <c r="J2689" s="242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</row>
    <row r="2690" spans="1:26" ht="15.75" hidden="1" customHeight="1" outlineLevel="2">
      <c r="A2690" s="443"/>
      <c r="B2690" s="444"/>
      <c r="C2690"/>
      <c r="D2690"/>
      <c r="E2690" s="321"/>
      <c r="F2690" s="242"/>
      <c r="G2690"/>
      <c r="H2690" s="322"/>
      <c r="I2690" s="322"/>
      <c r="J2690" s="242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</row>
    <row r="2691" spans="1:26" ht="15.75" hidden="1" customHeight="1" outlineLevel="2">
      <c r="A2691" s="443"/>
      <c r="B2691" s="444"/>
      <c r="C2691"/>
      <c r="D2691"/>
      <c r="E2691" s="321"/>
      <c r="F2691" s="242"/>
      <c r="G2691"/>
      <c r="H2691" s="322"/>
      <c r="I2691" s="322"/>
      <c r="J2691" s="242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</row>
    <row r="2692" spans="1:26" ht="15.75" hidden="1" customHeight="1" outlineLevel="2">
      <c r="A2692" s="443"/>
      <c r="B2692" s="444"/>
      <c r="C2692"/>
      <c r="D2692"/>
      <c r="E2692" s="321"/>
      <c r="F2692" s="242"/>
      <c r="G2692"/>
      <c r="H2692" s="322"/>
      <c r="I2692" s="322"/>
      <c r="J2692" s="242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</row>
    <row r="2693" spans="1:26" ht="15.75" hidden="1" customHeight="1" outlineLevel="2">
      <c r="A2693" s="443"/>
      <c r="B2693" s="444"/>
      <c r="C2693"/>
      <c r="D2693"/>
      <c r="E2693" s="321"/>
      <c r="F2693" s="242"/>
      <c r="G2693"/>
      <c r="H2693" s="322"/>
      <c r="I2693" s="322"/>
      <c r="J2693" s="242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</row>
    <row r="2694" spans="1:26" ht="15.75" hidden="1" customHeight="1" outlineLevel="2">
      <c r="A2694" s="443"/>
      <c r="B2694" s="444"/>
      <c r="C2694"/>
      <c r="D2694"/>
      <c r="E2694" s="321"/>
      <c r="F2694" s="242"/>
      <c r="G2694"/>
      <c r="H2694" s="322"/>
      <c r="I2694" s="322"/>
      <c r="J2694" s="242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</row>
    <row r="2695" spans="1:26" ht="15.75" hidden="1" customHeight="1" outlineLevel="2">
      <c r="A2695" s="443"/>
      <c r="B2695" s="444"/>
      <c r="C2695"/>
      <c r="D2695"/>
      <c r="E2695" s="321"/>
      <c r="F2695" s="242"/>
      <c r="G2695"/>
      <c r="H2695" s="322"/>
      <c r="I2695" s="322"/>
      <c r="J2695" s="242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</row>
    <row r="2696" spans="1:26" ht="15.75" hidden="1" customHeight="1" outlineLevel="2">
      <c r="A2696" s="443"/>
      <c r="B2696" s="444"/>
      <c r="C2696"/>
      <c r="D2696"/>
      <c r="E2696" s="321"/>
      <c r="F2696" s="242"/>
      <c r="G2696"/>
      <c r="H2696" s="322"/>
      <c r="I2696" s="322"/>
      <c r="J2696" s="242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</row>
    <row r="2697" spans="1:26" ht="15.75" hidden="1" customHeight="1" outlineLevel="2">
      <c r="A2697" s="443"/>
      <c r="B2697" s="444"/>
      <c r="C2697"/>
      <c r="D2697"/>
      <c r="E2697" s="321"/>
      <c r="F2697" s="242"/>
      <c r="G2697"/>
      <c r="H2697" s="322"/>
      <c r="I2697" s="322"/>
      <c r="J2697" s="242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</row>
    <row r="2698" spans="1:26" ht="15.75" hidden="1" customHeight="1" outlineLevel="2">
      <c r="A2698" s="443"/>
      <c r="B2698" s="444"/>
      <c r="C2698"/>
      <c r="D2698"/>
      <c r="E2698" s="321"/>
      <c r="F2698" s="242"/>
      <c r="G2698"/>
      <c r="H2698" s="322"/>
      <c r="I2698" s="322"/>
      <c r="J2698" s="242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</row>
    <row r="2699" spans="1:26" ht="15.75" hidden="1" customHeight="1" outlineLevel="2">
      <c r="A2699" s="443"/>
      <c r="B2699" s="444"/>
      <c r="C2699"/>
      <c r="D2699"/>
      <c r="E2699" s="321"/>
      <c r="F2699" s="242"/>
      <c r="G2699"/>
      <c r="H2699" s="322"/>
      <c r="I2699" s="322"/>
      <c r="J2699" s="242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</row>
    <row r="2700" spans="1:26" ht="15.75" hidden="1" customHeight="1" outlineLevel="2">
      <c r="A2700" s="443"/>
      <c r="B2700" s="444"/>
      <c r="C2700"/>
      <c r="D2700"/>
      <c r="E2700" s="321"/>
      <c r="F2700" s="242"/>
      <c r="G2700"/>
      <c r="H2700" s="322"/>
      <c r="I2700" s="322"/>
      <c r="J2700" s="242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</row>
    <row r="2701" spans="1:26" ht="15.75" hidden="1" customHeight="1" outlineLevel="2">
      <c r="A2701" s="443"/>
      <c r="B2701" s="444"/>
      <c r="C2701"/>
      <c r="D2701"/>
      <c r="E2701" s="321"/>
      <c r="F2701" s="242"/>
      <c r="G2701"/>
      <c r="H2701" s="322"/>
      <c r="I2701" s="322"/>
      <c r="J2701" s="242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</row>
    <row r="2702" spans="1:26" ht="15.75" hidden="1" customHeight="1" outlineLevel="2">
      <c r="A2702" s="443"/>
      <c r="B2702" s="444"/>
      <c r="C2702"/>
      <c r="D2702"/>
      <c r="E2702" s="321"/>
      <c r="F2702" s="242"/>
      <c r="G2702"/>
      <c r="H2702" s="322"/>
      <c r="I2702" s="322"/>
      <c r="J2702" s="242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</row>
    <row r="2703" spans="1:26" ht="15.75" hidden="1" customHeight="1" outlineLevel="2">
      <c r="A2703" s="443"/>
      <c r="B2703" s="444"/>
      <c r="C2703"/>
      <c r="D2703"/>
      <c r="E2703" s="321"/>
      <c r="F2703" s="242"/>
      <c r="G2703"/>
      <c r="H2703" s="322"/>
      <c r="I2703" s="322"/>
      <c r="J2703" s="242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</row>
    <row r="2704" spans="1:26" ht="15.75" hidden="1" customHeight="1" outlineLevel="2">
      <c r="A2704" s="443"/>
      <c r="B2704" s="444"/>
      <c r="C2704"/>
      <c r="D2704"/>
      <c r="E2704" s="321"/>
      <c r="F2704" s="242"/>
      <c r="G2704"/>
      <c r="H2704" s="322"/>
      <c r="I2704" s="322"/>
      <c r="J2704" s="242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</row>
    <row r="2705" spans="1:26" ht="15.75" hidden="1" customHeight="1" outlineLevel="2">
      <c r="A2705" s="443"/>
      <c r="B2705" s="444"/>
      <c r="C2705"/>
      <c r="D2705"/>
      <c r="E2705" s="321"/>
      <c r="F2705" s="242"/>
      <c r="G2705"/>
      <c r="H2705" s="322"/>
      <c r="I2705" s="322"/>
      <c r="J2705" s="242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</row>
    <row r="2706" spans="1:26" ht="15.75" hidden="1" customHeight="1" outlineLevel="2">
      <c r="A2706" s="443"/>
      <c r="B2706" s="444"/>
      <c r="C2706"/>
      <c r="D2706"/>
      <c r="E2706" s="321"/>
      <c r="F2706" s="242"/>
      <c r="G2706"/>
      <c r="H2706" s="322"/>
      <c r="I2706" s="322"/>
      <c r="J2706" s="242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</row>
    <row r="2707" spans="1:26" ht="15.75" hidden="1" customHeight="1" outlineLevel="2">
      <c r="A2707" s="443"/>
      <c r="B2707" s="444"/>
      <c r="C2707"/>
      <c r="D2707"/>
      <c r="E2707" s="321"/>
      <c r="F2707" s="242"/>
      <c r="G2707"/>
      <c r="H2707" s="322"/>
      <c r="I2707" s="322"/>
      <c r="J2707" s="242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</row>
    <row r="2708" spans="1:26" ht="15.75" hidden="1" customHeight="1" outlineLevel="2">
      <c r="A2708" s="443"/>
      <c r="B2708" s="444"/>
      <c r="C2708"/>
      <c r="D2708"/>
      <c r="E2708" s="321"/>
      <c r="F2708" s="242"/>
      <c r="G2708"/>
      <c r="H2708" s="322"/>
      <c r="I2708" s="322"/>
      <c r="J2708" s="242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</row>
    <row r="2709" spans="1:26" ht="15.75" hidden="1" customHeight="1" outlineLevel="2">
      <c r="A2709" s="443"/>
      <c r="B2709" s="444"/>
      <c r="C2709"/>
      <c r="D2709"/>
      <c r="E2709" s="321"/>
      <c r="F2709" s="242"/>
      <c r="G2709"/>
      <c r="H2709" s="322"/>
      <c r="I2709" s="322"/>
      <c r="J2709" s="242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</row>
    <row r="2710" spans="1:26" ht="15.75" hidden="1" customHeight="1" outlineLevel="2">
      <c r="A2710" s="443"/>
      <c r="B2710" s="444"/>
      <c r="C2710"/>
      <c r="D2710"/>
      <c r="E2710" s="321"/>
      <c r="F2710" s="242"/>
      <c r="G2710"/>
      <c r="H2710" s="322"/>
      <c r="I2710" s="322"/>
      <c r="J2710" s="242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</row>
    <row r="2711" spans="1:26" ht="15.75" hidden="1" customHeight="1" outlineLevel="2">
      <c r="A2711" s="443"/>
      <c r="B2711" s="444"/>
      <c r="C2711"/>
      <c r="D2711"/>
      <c r="E2711" s="321"/>
      <c r="F2711" s="242"/>
      <c r="G2711"/>
      <c r="H2711" s="322"/>
      <c r="I2711" s="322"/>
      <c r="J2711" s="242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</row>
    <row r="2712" spans="1:26" ht="15.75" hidden="1" customHeight="1" outlineLevel="2">
      <c r="A2712" s="443"/>
      <c r="B2712" s="444"/>
      <c r="C2712"/>
      <c r="D2712"/>
      <c r="E2712" s="321"/>
      <c r="F2712" s="242"/>
      <c r="G2712"/>
      <c r="H2712" s="322"/>
      <c r="I2712" s="322"/>
      <c r="J2712" s="242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</row>
    <row r="2713" spans="1:26" ht="15.75" hidden="1" customHeight="1" outlineLevel="2">
      <c r="A2713" s="443"/>
      <c r="B2713" s="444"/>
      <c r="C2713"/>
      <c r="D2713"/>
      <c r="E2713" s="321"/>
      <c r="F2713" s="242"/>
      <c r="G2713"/>
      <c r="H2713" s="322"/>
      <c r="I2713" s="322"/>
      <c r="J2713" s="242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</row>
    <row r="2714" spans="1:26" ht="15.75" hidden="1" customHeight="1" outlineLevel="2">
      <c r="A2714" s="443"/>
      <c r="B2714" s="444"/>
      <c r="C2714"/>
      <c r="D2714"/>
      <c r="E2714" s="321"/>
      <c r="F2714" s="242"/>
      <c r="G2714"/>
      <c r="H2714" s="322"/>
      <c r="I2714" s="322"/>
      <c r="J2714" s="242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</row>
    <row r="2715" spans="1:26" ht="15.75" hidden="1" customHeight="1" outlineLevel="2">
      <c r="A2715" s="443"/>
      <c r="B2715" s="444"/>
      <c r="C2715"/>
      <c r="D2715"/>
      <c r="E2715" s="321"/>
      <c r="F2715" s="242"/>
      <c r="G2715"/>
      <c r="H2715" s="322"/>
      <c r="I2715" s="322"/>
      <c r="J2715" s="242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</row>
    <row r="2716" spans="1:26" ht="15.75" hidden="1" customHeight="1" outlineLevel="2">
      <c r="A2716" s="443"/>
      <c r="B2716" s="444"/>
      <c r="C2716"/>
      <c r="D2716"/>
      <c r="E2716" s="321"/>
      <c r="F2716" s="242"/>
      <c r="G2716"/>
      <c r="H2716" s="322"/>
      <c r="I2716" s="322"/>
      <c r="J2716" s="242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</row>
    <row r="2717" spans="1:26" ht="15.75" hidden="1" customHeight="1" outlineLevel="2">
      <c r="A2717" s="443"/>
      <c r="B2717" s="444"/>
      <c r="C2717"/>
      <c r="D2717"/>
      <c r="E2717" s="321"/>
      <c r="F2717" s="242"/>
      <c r="G2717"/>
      <c r="H2717" s="322"/>
      <c r="I2717" s="322"/>
      <c r="J2717" s="242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</row>
    <row r="2718" spans="1:26" ht="15.75" hidden="1" customHeight="1" outlineLevel="2">
      <c r="A2718" s="443"/>
      <c r="B2718" s="444"/>
      <c r="C2718"/>
      <c r="D2718"/>
      <c r="E2718" s="321"/>
      <c r="F2718" s="242"/>
      <c r="G2718"/>
      <c r="H2718" s="322"/>
      <c r="I2718" s="322"/>
      <c r="J2718" s="242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</row>
    <row r="2719" spans="1:26" ht="15.75" hidden="1" customHeight="1" outlineLevel="2">
      <c r="A2719" s="443"/>
      <c r="B2719" s="444"/>
      <c r="C2719"/>
      <c r="D2719"/>
      <c r="E2719" s="321"/>
      <c r="F2719" s="242"/>
      <c r="G2719"/>
      <c r="H2719" s="322"/>
      <c r="I2719" s="322"/>
      <c r="J2719" s="242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</row>
    <row r="2720" spans="1:26" ht="15.75" hidden="1" customHeight="1" outlineLevel="2">
      <c r="A2720" s="443"/>
      <c r="B2720" s="444"/>
      <c r="C2720"/>
      <c r="D2720"/>
      <c r="E2720" s="321"/>
      <c r="F2720" s="242"/>
      <c r="G2720"/>
      <c r="H2720" s="322"/>
      <c r="I2720" s="322"/>
      <c r="J2720" s="242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</row>
    <row r="2721" spans="1:26" ht="15.75" hidden="1" customHeight="1" outlineLevel="2">
      <c r="A2721" s="443"/>
      <c r="B2721" s="444"/>
      <c r="C2721"/>
      <c r="D2721"/>
      <c r="E2721" s="321"/>
      <c r="F2721" s="242"/>
      <c r="G2721"/>
      <c r="H2721" s="322"/>
      <c r="I2721" s="322"/>
      <c r="J2721" s="242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</row>
    <row r="2722" spans="1:26" ht="15.75" hidden="1" customHeight="1" outlineLevel="2">
      <c r="A2722" s="443"/>
      <c r="B2722" s="444"/>
      <c r="C2722"/>
      <c r="D2722"/>
      <c r="E2722" s="321"/>
      <c r="F2722" s="242"/>
      <c r="G2722"/>
      <c r="H2722" s="322"/>
      <c r="I2722" s="322"/>
      <c r="J2722" s="242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</row>
    <row r="2723" spans="1:26" ht="15.75" hidden="1" customHeight="1" outlineLevel="2">
      <c r="A2723" s="443"/>
      <c r="B2723" s="444"/>
      <c r="C2723"/>
      <c r="D2723"/>
      <c r="E2723" s="321"/>
      <c r="F2723" s="242"/>
      <c r="G2723"/>
      <c r="H2723" s="322"/>
      <c r="I2723" s="322"/>
      <c r="J2723" s="242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</row>
    <row r="2724" spans="1:26" ht="15.75" hidden="1" customHeight="1" outlineLevel="2">
      <c r="A2724" s="443"/>
      <c r="B2724" s="444"/>
      <c r="C2724"/>
      <c r="D2724"/>
      <c r="E2724" s="321"/>
      <c r="F2724" s="242"/>
      <c r="G2724"/>
      <c r="H2724" s="322"/>
      <c r="I2724" s="322"/>
      <c r="J2724" s="242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</row>
    <row r="2725" spans="1:26" ht="15.75" hidden="1" customHeight="1" outlineLevel="2">
      <c r="A2725" s="443"/>
      <c r="B2725" s="444"/>
      <c r="C2725"/>
      <c r="D2725"/>
      <c r="E2725" s="321"/>
      <c r="F2725" s="242"/>
      <c r="G2725"/>
      <c r="H2725" s="322"/>
      <c r="I2725" s="322"/>
      <c r="J2725" s="242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</row>
    <row r="2726" spans="1:26" ht="15.75" hidden="1" customHeight="1" outlineLevel="2">
      <c r="A2726" s="443"/>
      <c r="B2726" s="444"/>
      <c r="C2726"/>
      <c r="D2726"/>
      <c r="E2726" s="321"/>
      <c r="F2726" s="242"/>
      <c r="G2726"/>
      <c r="H2726" s="322"/>
      <c r="I2726" s="322"/>
      <c r="J2726" s="242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</row>
    <row r="2727" spans="1:26" ht="15.75" hidden="1" customHeight="1" outlineLevel="2">
      <c r="A2727" s="443"/>
      <c r="B2727" s="444"/>
      <c r="C2727"/>
      <c r="D2727"/>
      <c r="E2727" s="321"/>
      <c r="F2727" s="242"/>
      <c r="G2727"/>
      <c r="H2727" s="322"/>
      <c r="I2727" s="322"/>
      <c r="J2727" s="242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</row>
    <row r="2728" spans="1:26" ht="15.75" hidden="1" customHeight="1" outlineLevel="2">
      <c r="A2728" s="443"/>
      <c r="B2728" s="444"/>
      <c r="C2728"/>
      <c r="D2728"/>
      <c r="E2728" s="321"/>
      <c r="F2728" s="242"/>
      <c r="G2728"/>
      <c r="H2728" s="322"/>
      <c r="I2728" s="322"/>
      <c r="J2728" s="242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</row>
    <row r="2729" spans="1:26" ht="15.75" hidden="1" customHeight="1" outlineLevel="2">
      <c r="A2729" s="443"/>
      <c r="B2729" s="444"/>
      <c r="C2729"/>
      <c r="D2729"/>
      <c r="E2729" s="321"/>
      <c r="F2729" s="242"/>
      <c r="G2729"/>
      <c r="H2729" s="322"/>
      <c r="I2729" s="322"/>
      <c r="J2729" s="242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</row>
    <row r="2730" spans="1:26" ht="15.75" hidden="1" customHeight="1" outlineLevel="2">
      <c r="A2730" s="443"/>
      <c r="B2730" s="444"/>
      <c r="C2730"/>
      <c r="D2730"/>
      <c r="E2730" s="321"/>
      <c r="F2730" s="242"/>
      <c r="G2730"/>
      <c r="H2730" s="322"/>
      <c r="I2730" s="322"/>
      <c r="J2730" s="242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</row>
    <row r="2731" spans="1:26" ht="15.75" hidden="1" customHeight="1" outlineLevel="2">
      <c r="A2731" s="443"/>
      <c r="B2731" s="444"/>
      <c r="C2731"/>
      <c r="D2731"/>
      <c r="E2731" s="321"/>
      <c r="F2731" s="242"/>
      <c r="G2731"/>
      <c r="H2731" s="322"/>
      <c r="I2731" s="322"/>
      <c r="J2731" s="242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</row>
    <row r="2732" spans="1:26" ht="15.75" hidden="1" customHeight="1" outlineLevel="2">
      <c r="A2732" s="443"/>
      <c r="B2732" s="444"/>
      <c r="C2732"/>
      <c r="D2732"/>
      <c r="E2732" s="321"/>
      <c r="F2732" s="242"/>
      <c r="G2732"/>
      <c r="H2732" s="322"/>
      <c r="I2732" s="322"/>
      <c r="J2732" s="242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</row>
    <row r="2733" spans="1:26" ht="15.75" hidden="1" customHeight="1" outlineLevel="2">
      <c r="A2733" s="443"/>
      <c r="B2733" s="444"/>
      <c r="C2733"/>
      <c r="D2733"/>
      <c r="E2733" s="321"/>
      <c r="F2733" s="242"/>
      <c r="G2733"/>
      <c r="H2733" s="322"/>
      <c r="I2733" s="322"/>
      <c r="J2733" s="242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</row>
    <row r="2734" spans="1:26" ht="15.75" hidden="1" customHeight="1" outlineLevel="2">
      <c r="A2734" s="443"/>
      <c r="B2734" s="444"/>
      <c r="C2734"/>
      <c r="D2734"/>
      <c r="E2734" s="321"/>
      <c r="F2734" s="242"/>
      <c r="G2734"/>
      <c r="H2734" s="322"/>
      <c r="I2734" s="322"/>
      <c r="J2734" s="242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</row>
    <row r="2735" spans="1:26" ht="15.75" hidden="1" customHeight="1" outlineLevel="2">
      <c r="A2735" s="443"/>
      <c r="B2735" s="444"/>
      <c r="C2735"/>
      <c r="D2735"/>
      <c r="E2735" s="321"/>
      <c r="F2735" s="242"/>
      <c r="G2735"/>
      <c r="H2735" s="322"/>
      <c r="I2735" s="322"/>
      <c r="J2735" s="242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</row>
    <row r="2736" spans="1:26" ht="15.75" hidden="1" customHeight="1" outlineLevel="2">
      <c r="A2736" s="443"/>
      <c r="B2736" s="444"/>
      <c r="C2736"/>
      <c r="D2736"/>
      <c r="E2736" s="321"/>
      <c r="F2736" s="242"/>
      <c r="G2736"/>
      <c r="H2736" s="322"/>
      <c r="I2736" s="322"/>
      <c r="J2736" s="242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</row>
    <row r="2737" spans="1:26" ht="15.75" hidden="1" customHeight="1" outlineLevel="2">
      <c r="A2737" s="443"/>
      <c r="B2737" s="444"/>
      <c r="C2737"/>
      <c r="D2737"/>
      <c r="E2737" s="321"/>
      <c r="F2737" s="242"/>
      <c r="G2737"/>
      <c r="H2737" s="322"/>
      <c r="I2737" s="322"/>
      <c r="J2737" s="242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</row>
    <row r="2738" spans="1:26" ht="15.75" hidden="1" customHeight="1" outlineLevel="2">
      <c r="A2738" s="443"/>
      <c r="B2738" s="444"/>
      <c r="C2738"/>
      <c r="D2738"/>
      <c r="E2738" s="321"/>
      <c r="F2738" s="242"/>
      <c r="G2738"/>
      <c r="H2738" s="322"/>
      <c r="I2738" s="322"/>
      <c r="J2738" s="242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</row>
    <row r="2739" spans="1:26" ht="15.75" hidden="1" customHeight="1" outlineLevel="2">
      <c r="A2739" s="443"/>
      <c r="B2739" s="444"/>
      <c r="C2739"/>
      <c r="D2739"/>
      <c r="E2739" s="321"/>
      <c r="F2739" s="242"/>
      <c r="G2739"/>
      <c r="H2739" s="322"/>
      <c r="I2739" s="322"/>
      <c r="J2739" s="242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</row>
    <row r="2740" spans="1:26" ht="15.75" hidden="1" customHeight="1" outlineLevel="2">
      <c r="A2740" s="443"/>
      <c r="B2740" s="444"/>
      <c r="C2740"/>
      <c r="D2740"/>
      <c r="E2740" s="321"/>
      <c r="F2740" s="242"/>
      <c r="G2740"/>
      <c r="H2740" s="322"/>
      <c r="I2740" s="322"/>
      <c r="J2740" s="242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</row>
    <row r="2741" spans="1:26" ht="15.75" hidden="1" customHeight="1" outlineLevel="2">
      <c r="A2741" s="443"/>
      <c r="B2741" s="444"/>
      <c r="C2741"/>
      <c r="D2741"/>
      <c r="E2741" s="321"/>
      <c r="F2741" s="242"/>
      <c r="G2741"/>
      <c r="H2741" s="322"/>
      <c r="I2741" s="322"/>
      <c r="J2741" s="242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</row>
    <row r="2742" spans="1:26" ht="15.75" hidden="1" customHeight="1" outlineLevel="2">
      <c r="A2742" s="443"/>
      <c r="B2742" s="444"/>
      <c r="C2742"/>
      <c r="D2742"/>
      <c r="E2742" s="321"/>
      <c r="F2742" s="242"/>
      <c r="G2742"/>
      <c r="H2742" s="322"/>
      <c r="I2742" s="322"/>
      <c r="J2742" s="242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</row>
    <row r="2743" spans="1:26" ht="15.75" hidden="1" customHeight="1" outlineLevel="2">
      <c r="A2743" s="443"/>
      <c r="B2743" s="444"/>
      <c r="C2743"/>
      <c r="D2743"/>
      <c r="E2743" s="321"/>
      <c r="F2743" s="242"/>
      <c r="G2743"/>
      <c r="H2743" s="322"/>
      <c r="I2743" s="322"/>
      <c r="J2743" s="242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</row>
    <row r="2744" spans="1:26" ht="15.75" hidden="1" customHeight="1" outlineLevel="2">
      <c r="A2744" s="443"/>
      <c r="B2744" s="444"/>
      <c r="C2744"/>
      <c r="D2744"/>
      <c r="E2744" s="321"/>
      <c r="F2744" s="242"/>
      <c r="G2744"/>
      <c r="H2744" s="322"/>
      <c r="I2744" s="322"/>
      <c r="J2744" s="242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</row>
    <row r="2745" spans="1:26" ht="15.75" hidden="1" customHeight="1" outlineLevel="2">
      <c r="A2745" s="443"/>
      <c r="B2745" s="444"/>
      <c r="C2745"/>
      <c r="D2745"/>
      <c r="E2745" s="321"/>
      <c r="F2745" s="242"/>
      <c r="G2745"/>
      <c r="H2745" s="322"/>
      <c r="I2745" s="322"/>
      <c r="J2745" s="242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</row>
    <row r="2746" spans="1:26" ht="15.75" hidden="1" customHeight="1" outlineLevel="2">
      <c r="A2746" s="443"/>
      <c r="B2746" s="444"/>
      <c r="C2746"/>
      <c r="D2746"/>
      <c r="E2746" s="321"/>
      <c r="F2746" s="242"/>
      <c r="G2746"/>
      <c r="H2746" s="322"/>
      <c r="I2746" s="322"/>
      <c r="J2746" s="242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</row>
    <row r="2747" spans="1:26" ht="15.75" hidden="1" customHeight="1" outlineLevel="2">
      <c r="A2747" s="443"/>
      <c r="B2747" s="444"/>
      <c r="C2747"/>
      <c r="D2747"/>
      <c r="E2747" s="321"/>
      <c r="F2747" s="242"/>
      <c r="G2747"/>
      <c r="H2747" s="322"/>
      <c r="I2747" s="322"/>
      <c r="J2747" s="242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</row>
    <row r="2748" spans="1:26" ht="15.75" hidden="1" customHeight="1" outlineLevel="2">
      <c r="A2748" s="443"/>
      <c r="B2748" s="444"/>
      <c r="C2748"/>
      <c r="D2748"/>
      <c r="E2748" s="321"/>
      <c r="F2748" s="242"/>
      <c r="G2748"/>
      <c r="H2748" s="322"/>
      <c r="I2748" s="322"/>
      <c r="J2748" s="242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</row>
    <row r="2749" spans="1:26" ht="15.75" hidden="1" customHeight="1" outlineLevel="2">
      <c r="A2749" s="443"/>
      <c r="B2749" s="444"/>
      <c r="C2749"/>
      <c r="D2749"/>
      <c r="E2749" s="321"/>
      <c r="F2749" s="242"/>
      <c r="G2749"/>
      <c r="H2749" s="322"/>
      <c r="I2749" s="322"/>
      <c r="J2749" s="242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</row>
    <row r="2750" spans="1:26" ht="15.75" hidden="1" customHeight="1" outlineLevel="2">
      <c r="A2750" s="443"/>
      <c r="B2750" s="444"/>
      <c r="C2750"/>
      <c r="D2750"/>
      <c r="E2750" s="321"/>
      <c r="F2750" s="242"/>
      <c r="G2750"/>
      <c r="H2750" s="322"/>
      <c r="I2750" s="322"/>
      <c r="J2750" s="242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</row>
    <row r="2751" spans="1:26" ht="15.75" hidden="1" customHeight="1" outlineLevel="2">
      <c r="A2751" s="443"/>
      <c r="B2751" s="444"/>
      <c r="C2751"/>
      <c r="D2751"/>
      <c r="E2751" s="321"/>
      <c r="F2751" s="242"/>
      <c r="G2751"/>
      <c r="H2751" s="322"/>
      <c r="I2751" s="322"/>
      <c r="J2751" s="242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</row>
    <row r="2752" spans="1:26" ht="15.75" hidden="1" customHeight="1" outlineLevel="2">
      <c r="A2752" s="443"/>
      <c r="B2752" s="444"/>
      <c r="C2752"/>
      <c r="D2752"/>
      <c r="E2752" s="321"/>
      <c r="F2752" s="242"/>
      <c r="G2752"/>
      <c r="H2752" s="322"/>
      <c r="I2752" s="322"/>
      <c r="J2752" s="242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</row>
    <row r="2753" spans="1:26" ht="15.75" hidden="1" customHeight="1" outlineLevel="2">
      <c r="A2753" s="443"/>
      <c r="B2753" s="444"/>
      <c r="C2753"/>
      <c r="D2753"/>
      <c r="E2753" s="321"/>
      <c r="F2753" s="242"/>
      <c r="G2753"/>
      <c r="H2753" s="322"/>
      <c r="I2753" s="322"/>
      <c r="J2753" s="242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</row>
    <row r="2754" spans="1:26" ht="15.75" hidden="1" customHeight="1" outlineLevel="2">
      <c r="A2754" s="443"/>
      <c r="B2754" s="444"/>
      <c r="C2754"/>
      <c r="D2754"/>
      <c r="E2754" s="321"/>
      <c r="F2754" s="242"/>
      <c r="G2754"/>
      <c r="H2754" s="322"/>
      <c r="I2754" s="322"/>
      <c r="J2754" s="242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</row>
    <row r="2755" spans="1:26" ht="15.75" hidden="1" customHeight="1" outlineLevel="2">
      <c r="A2755" s="443"/>
      <c r="B2755" s="444"/>
      <c r="C2755"/>
      <c r="D2755"/>
      <c r="E2755" s="321"/>
      <c r="F2755" s="242"/>
      <c r="G2755"/>
      <c r="H2755" s="322"/>
      <c r="I2755" s="322"/>
      <c r="J2755" s="242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</row>
    <row r="2756" spans="1:26" ht="15.75" hidden="1" customHeight="1" outlineLevel="2">
      <c r="A2756" s="443"/>
      <c r="B2756" s="444"/>
      <c r="C2756"/>
      <c r="D2756"/>
      <c r="E2756" s="321"/>
      <c r="F2756" s="242"/>
      <c r="G2756"/>
      <c r="H2756" s="322"/>
      <c r="I2756" s="322"/>
      <c r="J2756" s="242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</row>
    <row r="2757" spans="1:26" ht="15.75" hidden="1" customHeight="1" outlineLevel="2">
      <c r="A2757" s="443"/>
      <c r="B2757" s="444"/>
      <c r="C2757"/>
      <c r="D2757"/>
      <c r="E2757" s="321"/>
      <c r="F2757" s="242"/>
      <c r="G2757"/>
      <c r="H2757" s="322"/>
      <c r="I2757" s="322"/>
      <c r="J2757" s="242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</row>
    <row r="2758" spans="1:26" ht="15.75" hidden="1" customHeight="1" outlineLevel="2">
      <c r="A2758" s="443"/>
      <c r="B2758" s="444"/>
      <c r="C2758"/>
      <c r="D2758"/>
      <c r="E2758" s="321"/>
      <c r="F2758" s="242"/>
      <c r="G2758"/>
      <c r="H2758" s="322"/>
      <c r="I2758" s="322"/>
      <c r="J2758" s="242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</row>
    <row r="2759" spans="1:26" ht="15.75" hidden="1" customHeight="1" outlineLevel="2">
      <c r="A2759" s="443"/>
      <c r="B2759" s="444"/>
      <c r="C2759"/>
      <c r="D2759"/>
      <c r="E2759" s="321"/>
      <c r="F2759" s="242"/>
      <c r="G2759"/>
      <c r="H2759" s="322"/>
      <c r="I2759" s="322"/>
      <c r="J2759" s="242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</row>
    <row r="2760" spans="1:26" ht="15.75" hidden="1" customHeight="1" outlineLevel="2">
      <c r="A2760" s="443"/>
      <c r="B2760" s="444"/>
      <c r="C2760"/>
      <c r="D2760"/>
      <c r="E2760" s="321"/>
      <c r="F2760" s="242"/>
      <c r="G2760"/>
      <c r="H2760" s="322"/>
      <c r="I2760" s="322"/>
      <c r="J2760" s="242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</row>
    <row r="2761" spans="1:26" ht="15.75" hidden="1" customHeight="1" outlineLevel="2">
      <c r="A2761" s="443"/>
      <c r="B2761" s="444"/>
      <c r="C2761"/>
      <c r="D2761"/>
      <c r="E2761" s="321"/>
      <c r="F2761" s="242"/>
      <c r="G2761"/>
      <c r="H2761" s="322"/>
      <c r="I2761" s="322"/>
      <c r="J2761" s="242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</row>
    <row r="2762" spans="1:26" ht="15.75" hidden="1" customHeight="1" outlineLevel="2">
      <c r="A2762" s="443"/>
      <c r="B2762" s="444"/>
      <c r="C2762"/>
      <c r="D2762"/>
      <c r="E2762" s="321"/>
      <c r="F2762" s="242"/>
      <c r="G2762"/>
      <c r="H2762" s="322"/>
      <c r="I2762" s="322"/>
      <c r="J2762" s="242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</row>
    <row r="2763" spans="1:26" ht="15.75" hidden="1" customHeight="1" outlineLevel="2">
      <c r="A2763" s="443"/>
      <c r="B2763" s="444"/>
      <c r="C2763"/>
      <c r="D2763"/>
      <c r="E2763" s="321"/>
      <c r="F2763" s="242"/>
      <c r="G2763"/>
      <c r="H2763" s="322"/>
      <c r="I2763" s="322"/>
      <c r="J2763" s="242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</row>
    <row r="2764" spans="1:26" ht="15.75" hidden="1" customHeight="1" outlineLevel="2">
      <c r="A2764" s="443"/>
      <c r="B2764" s="444"/>
      <c r="C2764"/>
      <c r="D2764"/>
      <c r="E2764" s="321"/>
      <c r="F2764" s="242"/>
      <c r="G2764"/>
      <c r="H2764" s="322"/>
      <c r="I2764" s="322"/>
      <c r="J2764" s="242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</row>
    <row r="2765" spans="1:26" ht="15.75" hidden="1" customHeight="1" outlineLevel="2">
      <c r="A2765" s="443"/>
      <c r="B2765" s="444"/>
      <c r="C2765"/>
      <c r="D2765"/>
      <c r="E2765" s="321"/>
      <c r="F2765" s="242"/>
      <c r="G2765"/>
      <c r="H2765" s="322"/>
      <c r="I2765" s="322"/>
      <c r="J2765" s="242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</row>
    <row r="2766" spans="1:26" ht="15.75" hidden="1" customHeight="1" outlineLevel="2">
      <c r="A2766" s="443"/>
      <c r="B2766" s="444"/>
      <c r="C2766"/>
      <c r="D2766"/>
      <c r="E2766" s="321"/>
      <c r="F2766" s="242"/>
      <c r="G2766"/>
      <c r="H2766" s="322"/>
      <c r="I2766" s="322"/>
      <c r="J2766" s="242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</row>
    <row r="2767" spans="1:26" ht="15.75" hidden="1" customHeight="1" outlineLevel="2">
      <c r="A2767" s="443"/>
      <c r="B2767" s="444"/>
      <c r="C2767"/>
      <c r="D2767"/>
      <c r="E2767" s="321"/>
      <c r="F2767" s="242"/>
      <c r="G2767"/>
      <c r="H2767" s="322"/>
      <c r="I2767" s="322"/>
      <c r="J2767" s="242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</row>
    <row r="2768" spans="1:26" ht="15.75" hidden="1" customHeight="1" outlineLevel="2">
      <c r="A2768" s="443"/>
      <c r="B2768" s="444"/>
      <c r="C2768"/>
      <c r="D2768"/>
      <c r="E2768" s="321"/>
      <c r="F2768" s="242"/>
      <c r="G2768"/>
      <c r="H2768" s="322"/>
      <c r="I2768" s="322"/>
      <c r="J2768" s="242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</row>
    <row r="2769" spans="1:26" ht="15.75" hidden="1" customHeight="1" outlineLevel="2">
      <c r="A2769" s="443"/>
      <c r="B2769" s="444"/>
      <c r="C2769"/>
      <c r="D2769"/>
      <c r="E2769" s="321"/>
      <c r="F2769" s="242"/>
      <c r="G2769"/>
      <c r="H2769" s="322"/>
      <c r="I2769" s="322"/>
      <c r="J2769" s="242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</row>
    <row r="2770" spans="1:26" ht="15.75" hidden="1" customHeight="1" outlineLevel="2">
      <c r="A2770" s="443"/>
      <c r="B2770" s="444"/>
      <c r="C2770"/>
      <c r="D2770"/>
      <c r="E2770" s="321"/>
      <c r="F2770" s="242"/>
      <c r="G2770"/>
      <c r="H2770" s="322"/>
      <c r="I2770" s="322"/>
      <c r="J2770" s="242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</row>
    <row r="2771" spans="1:26" ht="15.75" hidden="1" customHeight="1" outlineLevel="2">
      <c r="A2771" s="443"/>
      <c r="B2771" s="444"/>
      <c r="C2771"/>
      <c r="D2771"/>
      <c r="E2771" s="321"/>
      <c r="F2771" s="242"/>
      <c r="G2771"/>
      <c r="H2771" s="322"/>
      <c r="I2771" s="322"/>
      <c r="J2771" s="242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</row>
    <row r="2772" spans="1:26" ht="15.75" hidden="1" customHeight="1" outlineLevel="2">
      <c r="A2772" s="443"/>
      <c r="B2772" s="444"/>
      <c r="C2772"/>
      <c r="D2772"/>
      <c r="E2772" s="321"/>
      <c r="F2772" s="242"/>
      <c r="G2772"/>
      <c r="H2772" s="322"/>
      <c r="I2772" s="322"/>
      <c r="J2772" s="242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</row>
    <row r="2773" spans="1:26" ht="15.75" hidden="1" customHeight="1" outlineLevel="2">
      <c r="A2773" s="443"/>
      <c r="B2773" s="444"/>
      <c r="C2773"/>
      <c r="D2773"/>
      <c r="E2773" s="321"/>
      <c r="F2773" s="242"/>
      <c r="G2773"/>
      <c r="H2773" s="322"/>
      <c r="I2773" s="322"/>
      <c r="J2773" s="242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</row>
    <row r="2774" spans="1:26" ht="15.75" hidden="1" customHeight="1" outlineLevel="2">
      <c r="A2774" s="443"/>
      <c r="B2774" s="444"/>
      <c r="C2774"/>
      <c r="D2774"/>
      <c r="E2774" s="321"/>
      <c r="F2774" s="242"/>
      <c r="G2774"/>
      <c r="H2774" s="322"/>
      <c r="I2774" s="322"/>
      <c r="J2774" s="242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</row>
    <row r="2775" spans="1:26" ht="15.75" hidden="1" customHeight="1" outlineLevel="2">
      <c r="A2775" s="443"/>
      <c r="B2775" s="444"/>
      <c r="C2775"/>
      <c r="D2775"/>
      <c r="E2775" s="321"/>
      <c r="F2775" s="242"/>
      <c r="G2775"/>
      <c r="H2775" s="322"/>
      <c r="I2775" s="322"/>
      <c r="J2775" s="242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</row>
    <row r="2776" spans="1:26" ht="15.75" hidden="1" customHeight="1" outlineLevel="2">
      <c r="A2776" s="443"/>
      <c r="B2776" s="444"/>
      <c r="C2776"/>
      <c r="D2776"/>
      <c r="E2776" s="321"/>
      <c r="F2776" s="242"/>
      <c r="G2776"/>
      <c r="H2776" s="322"/>
      <c r="I2776" s="322"/>
      <c r="J2776" s="242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</row>
    <row r="2777" spans="1:26" ht="15.75" hidden="1" customHeight="1" outlineLevel="2">
      <c r="A2777" s="443"/>
      <c r="B2777" s="444"/>
      <c r="C2777"/>
      <c r="D2777"/>
      <c r="E2777" s="321"/>
      <c r="F2777" s="242"/>
      <c r="G2777"/>
      <c r="H2777" s="322"/>
      <c r="I2777" s="322"/>
      <c r="J2777" s="242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</row>
    <row r="2778" spans="1:26" ht="15.75" hidden="1" customHeight="1" outlineLevel="2">
      <c r="A2778" s="443"/>
      <c r="B2778" s="444"/>
      <c r="C2778"/>
      <c r="D2778"/>
      <c r="E2778" s="321"/>
      <c r="F2778" s="242"/>
      <c r="G2778"/>
      <c r="H2778" s="322"/>
      <c r="I2778" s="322"/>
      <c r="J2778" s="242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</row>
    <row r="2779" spans="1:26" ht="15.75" hidden="1" customHeight="1" outlineLevel="2">
      <c r="A2779" s="443"/>
      <c r="B2779" s="444"/>
      <c r="C2779"/>
      <c r="D2779"/>
      <c r="E2779" s="321"/>
      <c r="F2779" s="242"/>
      <c r="G2779"/>
      <c r="H2779" s="322"/>
      <c r="I2779" s="322"/>
      <c r="J2779" s="242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</row>
    <row r="2780" spans="1:26" ht="15.75" hidden="1" customHeight="1" outlineLevel="2">
      <c r="A2780" s="443"/>
      <c r="B2780" s="444"/>
      <c r="C2780"/>
      <c r="D2780"/>
      <c r="E2780" s="321"/>
      <c r="F2780" s="242"/>
      <c r="G2780"/>
      <c r="H2780" s="322"/>
      <c r="I2780" s="322"/>
      <c r="J2780" s="242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</row>
    <row r="2781" spans="1:26" ht="15.75" hidden="1" customHeight="1" outlineLevel="2">
      <c r="A2781" s="443"/>
      <c r="B2781" s="444"/>
      <c r="C2781"/>
      <c r="D2781"/>
      <c r="E2781" s="321"/>
      <c r="F2781" s="242"/>
      <c r="G2781"/>
      <c r="H2781" s="322"/>
      <c r="I2781" s="322"/>
      <c r="J2781" s="242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</row>
    <row r="2782" spans="1:26" ht="15.75" hidden="1" customHeight="1" outlineLevel="2">
      <c r="A2782" s="443"/>
      <c r="B2782" s="444"/>
      <c r="C2782"/>
      <c r="D2782"/>
      <c r="E2782" s="321"/>
      <c r="F2782" s="242"/>
      <c r="G2782"/>
      <c r="H2782" s="322"/>
      <c r="I2782" s="322"/>
      <c r="J2782" s="242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</row>
    <row r="2783" spans="1:26" ht="15.75" hidden="1" customHeight="1" outlineLevel="2">
      <c r="A2783" s="443"/>
      <c r="B2783" s="444"/>
      <c r="C2783"/>
      <c r="D2783"/>
      <c r="E2783" s="321"/>
      <c r="F2783" s="242"/>
      <c r="G2783"/>
      <c r="H2783" s="322"/>
      <c r="I2783" s="322"/>
      <c r="J2783" s="242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</row>
    <row r="2784" spans="1:26" ht="15.75" hidden="1" customHeight="1" outlineLevel="2">
      <c r="A2784" s="443"/>
      <c r="B2784" s="444"/>
      <c r="C2784"/>
      <c r="D2784"/>
      <c r="E2784" s="321"/>
      <c r="F2784" s="242"/>
      <c r="G2784"/>
      <c r="H2784" s="322"/>
      <c r="I2784" s="322"/>
      <c r="J2784" s="242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</row>
    <row r="2785" spans="1:26" ht="15.75" hidden="1" customHeight="1" outlineLevel="2">
      <c r="A2785" s="443"/>
      <c r="B2785" s="444"/>
      <c r="C2785"/>
      <c r="D2785"/>
      <c r="E2785" s="321"/>
      <c r="F2785" s="242"/>
      <c r="G2785"/>
      <c r="H2785" s="322"/>
      <c r="I2785" s="322"/>
      <c r="J2785" s="242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</row>
    <row r="2786" spans="1:26" ht="15.75" hidden="1" customHeight="1" outlineLevel="2">
      <c r="A2786" s="443"/>
      <c r="B2786" s="444"/>
      <c r="C2786"/>
      <c r="D2786"/>
      <c r="E2786" s="321"/>
      <c r="F2786" s="242"/>
      <c r="G2786"/>
      <c r="H2786" s="322"/>
      <c r="I2786" s="322"/>
      <c r="J2786" s="242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</row>
    <row r="2787" spans="1:26" ht="15.75" hidden="1" customHeight="1" outlineLevel="2">
      <c r="A2787" s="443"/>
      <c r="B2787" s="444"/>
      <c r="C2787"/>
      <c r="D2787"/>
      <c r="E2787" s="321"/>
      <c r="H2787" s="322"/>
      <c r="I2787" s="322"/>
      <c r="J2787" s="242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</row>
    <row r="2788" spans="1:26" ht="15.75" hidden="1" customHeight="1" outlineLevel="2">
      <c r="A2788" s="443"/>
      <c r="B2788" s="444"/>
      <c r="C2788"/>
      <c r="D2788"/>
      <c r="E2788" s="321"/>
      <c r="H2788" s="322"/>
      <c r="I2788" s="322"/>
      <c r="J2788" s="242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</row>
    <row r="2789" spans="1:26" ht="15.75" hidden="1" customHeight="1" outlineLevel="2">
      <c r="A2789" s="443"/>
      <c r="B2789" s="444"/>
      <c r="C2789"/>
      <c r="D2789"/>
      <c r="E2789" s="321"/>
      <c r="H2789" s="322"/>
      <c r="I2789" s="322"/>
      <c r="J2789" s="242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</row>
    <row r="2790" spans="1:26" ht="15.75" hidden="1" customHeight="1" outlineLevel="2">
      <c r="A2790" s="443"/>
      <c r="B2790" s="444"/>
      <c r="C2790"/>
      <c r="D2790"/>
      <c r="E2790" s="321"/>
      <c r="H2790" s="322"/>
      <c r="I2790" s="322"/>
      <c r="J2790" s="242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</row>
    <row r="2791" spans="1:26" ht="15.75" hidden="1" customHeight="1" outlineLevel="2">
      <c r="A2791" s="443"/>
      <c r="B2791" s="444"/>
      <c r="C2791"/>
      <c r="D2791"/>
      <c r="E2791" s="321"/>
      <c r="H2791" s="322"/>
      <c r="I2791" s="322"/>
      <c r="J2791" s="242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</row>
    <row r="2792" spans="1:26" ht="15.75" hidden="1" customHeight="1" outlineLevel="2">
      <c r="A2792" s="443"/>
      <c r="B2792" s="444"/>
      <c r="C2792"/>
      <c r="D2792"/>
      <c r="E2792" s="321"/>
      <c r="H2792" s="322"/>
      <c r="I2792" s="322"/>
      <c r="J2792" s="242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</row>
    <row r="2793" spans="1:26" ht="15.75" hidden="1" customHeight="1" outlineLevel="2">
      <c r="A2793" s="443"/>
      <c r="B2793" s="444"/>
      <c r="C2793"/>
      <c r="D2793"/>
      <c r="E2793" s="321"/>
      <c r="H2793" s="322"/>
      <c r="I2793" s="322"/>
      <c r="J2793" s="242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</row>
    <row r="2794" spans="1:26" ht="15.75" hidden="1" customHeight="1" outlineLevel="2">
      <c r="A2794" s="443"/>
      <c r="B2794" s="444"/>
      <c r="C2794"/>
      <c r="D2794"/>
      <c r="E2794" s="321"/>
      <c r="H2794" s="322"/>
      <c r="I2794" s="322"/>
      <c r="J2794" s="242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</row>
    <row r="2795" spans="1:26" ht="15.75" hidden="1" customHeight="1" outlineLevel="2">
      <c r="A2795" s="443"/>
      <c r="B2795" s="444"/>
      <c r="C2795"/>
      <c r="D2795"/>
      <c r="E2795" s="321"/>
      <c r="H2795" s="322"/>
      <c r="I2795" s="322"/>
      <c r="J2795" s="242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</row>
    <row r="2796" spans="1:26" ht="15.75" hidden="1" customHeight="1" outlineLevel="2">
      <c r="A2796" s="443"/>
      <c r="B2796" s="444"/>
      <c r="C2796"/>
      <c r="D2796"/>
      <c r="E2796" s="321"/>
      <c r="H2796" s="322"/>
      <c r="I2796" s="322"/>
      <c r="J2796" s="242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</row>
    <row r="2797" spans="1:26" ht="15.75" hidden="1" customHeight="1" outlineLevel="2">
      <c r="A2797" s="443"/>
      <c r="B2797" s="444"/>
      <c r="C2797"/>
      <c r="D2797"/>
      <c r="E2797" s="321"/>
      <c r="H2797" s="322"/>
      <c r="I2797" s="322"/>
      <c r="J2797" s="242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</row>
    <row r="2798" spans="1:26" ht="15.75" hidden="1" customHeight="1" outlineLevel="2">
      <c r="A2798" s="443"/>
      <c r="B2798" s="444"/>
      <c r="C2798"/>
      <c r="D2798"/>
      <c r="E2798" s="321"/>
      <c r="H2798" s="322"/>
      <c r="I2798" s="322"/>
      <c r="J2798" s="242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</row>
    <row r="2799" spans="1:26" ht="15.75" hidden="1" customHeight="1" outlineLevel="2">
      <c r="A2799" s="443"/>
      <c r="B2799" s="444"/>
      <c r="C2799"/>
      <c r="D2799"/>
      <c r="E2799" s="321"/>
      <c r="H2799" s="322"/>
      <c r="I2799" s="322"/>
      <c r="J2799" s="242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</row>
    <row r="2800" spans="1:26" ht="15.75" hidden="1" customHeight="1" outlineLevel="2">
      <c r="A2800" s="443"/>
      <c r="B2800" s="444"/>
      <c r="C2800"/>
      <c r="D2800"/>
      <c r="E2800" s="321"/>
      <c r="H2800" s="322"/>
      <c r="I2800" s="322"/>
      <c r="J2800" s="242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</row>
    <row r="2801" spans="1:26" ht="15.75" hidden="1" customHeight="1" outlineLevel="2">
      <c r="A2801" s="443"/>
      <c r="B2801" s="444"/>
      <c r="C2801"/>
      <c r="D2801"/>
      <c r="E2801" s="321"/>
      <c r="H2801" s="322"/>
      <c r="I2801" s="322"/>
      <c r="J2801" s="242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</row>
    <row r="2802" spans="1:26" ht="15.75" hidden="1" customHeight="1" outlineLevel="2">
      <c r="A2802" s="443"/>
      <c r="B2802" s="444"/>
      <c r="C2802"/>
      <c r="D2802"/>
      <c r="E2802" s="321"/>
      <c r="F2802" s="242"/>
      <c r="G2802"/>
      <c r="H2802" s="322"/>
      <c r="I2802" s="322"/>
      <c r="J2802" s="242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</row>
    <row r="2803" spans="1:26" ht="15.75" hidden="1" customHeight="1" outlineLevel="2">
      <c r="A2803" s="443"/>
      <c r="B2803" s="444"/>
      <c r="C2803"/>
      <c r="D2803"/>
      <c r="E2803" s="321"/>
      <c r="F2803" s="242"/>
      <c r="G2803"/>
      <c r="H2803" s="322"/>
      <c r="I2803" s="322"/>
      <c r="J2803" s="242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</row>
    <row r="2804" spans="1:26" ht="15.75" hidden="1" customHeight="1" outlineLevel="2">
      <c r="A2804" s="443"/>
      <c r="B2804" s="444"/>
      <c r="C2804"/>
      <c r="D2804"/>
      <c r="E2804" s="321"/>
      <c r="F2804" s="242"/>
      <c r="G2804"/>
      <c r="H2804" s="322"/>
      <c r="I2804" s="322"/>
      <c r="J2804" s="242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</row>
    <row r="2805" spans="1:26" ht="15.75" hidden="1" customHeight="1" outlineLevel="2">
      <c r="A2805" s="443"/>
      <c r="B2805" s="444"/>
      <c r="C2805"/>
      <c r="D2805"/>
      <c r="E2805" s="321"/>
      <c r="F2805" s="242"/>
      <c r="G2805"/>
      <c r="H2805" s="322"/>
      <c r="I2805" s="322"/>
      <c r="J2805" s="242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</row>
    <row r="2806" spans="1:26" ht="15.75" hidden="1" customHeight="1" outlineLevel="2">
      <c r="A2806" s="443"/>
      <c r="B2806" s="444"/>
      <c r="C2806"/>
      <c r="D2806"/>
      <c r="E2806" s="321"/>
      <c r="F2806" s="242"/>
      <c r="G2806"/>
      <c r="H2806" s="322"/>
      <c r="I2806" s="322"/>
      <c r="J2806" s="242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</row>
    <row r="2807" spans="1:26" ht="15.75" hidden="1" customHeight="1" outlineLevel="2">
      <c r="A2807" s="443"/>
      <c r="B2807" s="444"/>
      <c r="C2807"/>
      <c r="D2807"/>
      <c r="E2807" s="321"/>
      <c r="F2807" s="242"/>
      <c r="G2807"/>
      <c r="H2807" s="322"/>
      <c r="I2807" s="322"/>
      <c r="J2807" s="242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</row>
    <row r="2808" spans="1:26" ht="15.75" hidden="1" customHeight="1" outlineLevel="2">
      <c r="A2808" s="443"/>
      <c r="B2808" s="444"/>
      <c r="C2808"/>
      <c r="D2808"/>
      <c r="E2808" s="321"/>
      <c r="F2808" s="242"/>
      <c r="G2808"/>
      <c r="H2808" s="322"/>
      <c r="I2808" s="322"/>
      <c r="J2808" s="242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</row>
    <row r="2809" spans="1:26" ht="15.75" hidden="1" customHeight="1" outlineLevel="2">
      <c r="A2809" s="443"/>
      <c r="B2809" s="444"/>
      <c r="C2809"/>
      <c r="D2809"/>
      <c r="E2809" s="321"/>
      <c r="F2809" s="242"/>
      <c r="G2809"/>
      <c r="H2809" s="322"/>
      <c r="I2809" s="322"/>
      <c r="J2809" s="242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</row>
    <row r="2810" spans="1:26" ht="15.75" hidden="1" customHeight="1" outlineLevel="2">
      <c r="A2810" s="443"/>
      <c r="B2810" s="444"/>
      <c r="C2810"/>
      <c r="D2810"/>
      <c r="E2810" s="321"/>
      <c r="F2810" s="242"/>
      <c r="G2810"/>
      <c r="H2810" s="322"/>
      <c r="I2810" s="322"/>
      <c r="J2810" s="242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</row>
    <row r="2811" spans="1:26" ht="15.75" hidden="1" customHeight="1" outlineLevel="2">
      <c r="A2811" s="443"/>
      <c r="B2811" s="444"/>
      <c r="C2811"/>
      <c r="D2811"/>
      <c r="E2811" s="321"/>
      <c r="F2811" s="242"/>
      <c r="G2811"/>
      <c r="H2811" s="322"/>
      <c r="I2811" s="322"/>
      <c r="J2811" s="242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</row>
    <row r="2812" spans="1:26" ht="15.75" hidden="1" customHeight="1" outlineLevel="2">
      <c r="A2812" s="443"/>
      <c r="B2812" s="444"/>
      <c r="C2812"/>
      <c r="D2812"/>
      <c r="E2812" s="321"/>
      <c r="F2812" s="242"/>
      <c r="G2812"/>
      <c r="H2812" s="322"/>
      <c r="I2812" s="322"/>
      <c r="J2812" s="242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</row>
    <row r="2813" spans="1:26" ht="15.75" hidden="1" customHeight="1" outlineLevel="2">
      <c r="A2813" s="443"/>
      <c r="B2813" s="444"/>
      <c r="C2813"/>
      <c r="D2813"/>
      <c r="E2813" s="321"/>
      <c r="F2813" s="242"/>
      <c r="G2813"/>
      <c r="H2813" s="322"/>
      <c r="I2813" s="322"/>
      <c r="J2813" s="242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</row>
    <row r="2814" spans="1:26" ht="15.75" hidden="1" customHeight="1" outlineLevel="2">
      <c r="A2814" s="443"/>
      <c r="B2814" s="444"/>
      <c r="C2814"/>
      <c r="D2814"/>
      <c r="E2814" s="321"/>
      <c r="F2814" s="242"/>
      <c r="G2814"/>
      <c r="H2814" s="322"/>
      <c r="I2814" s="322"/>
      <c r="J2814" s="242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</row>
    <row r="2815" spans="1:26" ht="15.75" hidden="1" customHeight="1" outlineLevel="2">
      <c r="A2815" s="443"/>
      <c r="B2815" s="444"/>
      <c r="C2815"/>
      <c r="D2815"/>
      <c r="E2815" s="321"/>
      <c r="F2815" s="242"/>
      <c r="G2815"/>
      <c r="H2815" s="322"/>
      <c r="I2815" s="322"/>
      <c r="J2815" s="242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</row>
    <row r="2816" spans="1:26" ht="15.75" hidden="1" customHeight="1" outlineLevel="2">
      <c r="A2816" s="443"/>
      <c r="B2816" s="444"/>
      <c r="C2816"/>
      <c r="D2816"/>
      <c r="E2816" s="321"/>
      <c r="F2816" s="242"/>
      <c r="G2816"/>
      <c r="H2816" s="322"/>
      <c r="I2816" s="322"/>
      <c r="J2816" s="242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</row>
    <row r="2817" spans="1:26" ht="15.75" hidden="1" customHeight="1" outlineLevel="2">
      <c r="A2817" s="443"/>
      <c r="B2817" s="444"/>
      <c r="C2817"/>
      <c r="D2817"/>
      <c r="E2817" s="321"/>
      <c r="F2817" s="242"/>
      <c r="G2817"/>
      <c r="H2817" s="322"/>
      <c r="I2817" s="322"/>
      <c r="J2817" s="242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</row>
    <row r="2818" spans="1:26" ht="15.75" hidden="1" customHeight="1" outlineLevel="2">
      <c r="A2818" s="443"/>
      <c r="B2818" s="444"/>
      <c r="C2818"/>
      <c r="D2818"/>
      <c r="E2818" s="321"/>
      <c r="F2818" s="242"/>
      <c r="G2818"/>
      <c r="H2818" s="322"/>
      <c r="I2818" s="322"/>
      <c r="J2818" s="242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</row>
    <row r="2819" spans="1:26" ht="15.75" hidden="1" customHeight="1" outlineLevel="2">
      <c r="A2819" s="443"/>
      <c r="B2819" s="444"/>
      <c r="C2819"/>
      <c r="D2819"/>
      <c r="E2819" s="321"/>
      <c r="F2819" s="242"/>
      <c r="G2819"/>
      <c r="H2819" s="322"/>
      <c r="I2819" s="322"/>
      <c r="J2819" s="242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</row>
    <row r="2820" spans="1:26" ht="15.75" hidden="1" customHeight="1" outlineLevel="2">
      <c r="A2820" s="443"/>
      <c r="B2820" s="444"/>
      <c r="C2820"/>
      <c r="D2820"/>
      <c r="E2820" s="321"/>
      <c r="F2820" s="242"/>
      <c r="G2820"/>
      <c r="H2820" s="322"/>
      <c r="I2820" s="322"/>
      <c r="J2820" s="242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</row>
    <row r="2821" spans="1:26" ht="15.75" hidden="1" customHeight="1" outlineLevel="2">
      <c r="A2821" s="443"/>
      <c r="B2821" s="444"/>
      <c r="C2821"/>
      <c r="D2821"/>
      <c r="E2821" s="321"/>
      <c r="F2821" s="242"/>
      <c r="G2821"/>
      <c r="H2821" s="322"/>
      <c r="I2821" s="322"/>
      <c r="J2821" s="242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</row>
    <row r="2822" spans="1:26" ht="15.75" hidden="1" customHeight="1" outlineLevel="2">
      <c r="A2822" s="443"/>
      <c r="B2822" s="444"/>
      <c r="C2822"/>
      <c r="D2822"/>
      <c r="E2822" s="321"/>
      <c r="F2822" s="242"/>
      <c r="G2822"/>
      <c r="H2822" s="322"/>
      <c r="I2822" s="322"/>
      <c r="J2822" s="242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</row>
    <row r="2823" spans="1:26" ht="15.75" hidden="1" customHeight="1" outlineLevel="2">
      <c r="A2823" s="443"/>
      <c r="B2823" s="444"/>
      <c r="C2823"/>
      <c r="D2823"/>
      <c r="E2823" s="321"/>
      <c r="F2823" s="242"/>
      <c r="G2823"/>
      <c r="H2823" s="322"/>
      <c r="I2823" s="322"/>
      <c r="J2823" s="242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</row>
    <row r="2824" spans="1:26" ht="15.75" hidden="1" customHeight="1" outlineLevel="2">
      <c r="A2824" s="443"/>
      <c r="B2824" s="444"/>
      <c r="C2824"/>
      <c r="D2824"/>
      <c r="E2824" s="321"/>
      <c r="F2824" s="242"/>
      <c r="G2824"/>
      <c r="H2824" s="322"/>
      <c r="I2824" s="322"/>
      <c r="J2824" s="242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</row>
    <row r="2825" spans="1:26" ht="15.75" hidden="1" customHeight="1" outlineLevel="2">
      <c r="A2825" s="443"/>
      <c r="B2825" s="444"/>
      <c r="C2825"/>
      <c r="D2825"/>
      <c r="E2825" s="321"/>
      <c r="F2825" s="242"/>
      <c r="G2825"/>
      <c r="H2825" s="322"/>
      <c r="I2825" s="322"/>
      <c r="J2825" s="242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</row>
    <row r="2826" spans="1:26" ht="15.75" hidden="1" customHeight="1" outlineLevel="2">
      <c r="A2826" s="443"/>
      <c r="B2826" s="444"/>
      <c r="C2826"/>
      <c r="D2826"/>
      <c r="E2826" s="321"/>
      <c r="F2826" s="242"/>
      <c r="G2826"/>
      <c r="H2826" s="322"/>
      <c r="I2826" s="322"/>
      <c r="J2826" s="242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</row>
    <row r="2827" spans="1:26" ht="15.75" hidden="1" customHeight="1" outlineLevel="2">
      <c r="A2827" s="443"/>
      <c r="B2827" s="444"/>
      <c r="C2827"/>
      <c r="D2827"/>
      <c r="E2827" s="321"/>
      <c r="F2827" s="242"/>
      <c r="G2827"/>
      <c r="H2827" s="322"/>
      <c r="I2827" s="322"/>
      <c r="J2827" s="242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</row>
    <row r="2828" spans="1:26" ht="15.75" hidden="1" customHeight="1" outlineLevel="2">
      <c r="A2828" s="443"/>
      <c r="B2828" s="444"/>
      <c r="C2828"/>
      <c r="D2828"/>
      <c r="E2828" s="321"/>
      <c r="F2828" s="242"/>
      <c r="G2828"/>
      <c r="H2828" s="322"/>
      <c r="I2828" s="322"/>
      <c r="J2828" s="242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</row>
    <row r="2829" spans="1:26" ht="15.75" hidden="1" customHeight="1" outlineLevel="2">
      <c r="A2829" s="443"/>
      <c r="B2829" s="444"/>
      <c r="C2829"/>
      <c r="D2829"/>
      <c r="E2829" s="321"/>
      <c r="F2829" s="242"/>
      <c r="G2829"/>
      <c r="H2829" s="322"/>
      <c r="I2829" s="322"/>
      <c r="J2829" s="242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</row>
    <row r="2830" spans="1:26" ht="15.75" hidden="1" customHeight="1" outlineLevel="2">
      <c r="A2830" s="443"/>
      <c r="B2830" s="444"/>
      <c r="C2830"/>
      <c r="D2830"/>
      <c r="E2830" s="321"/>
      <c r="F2830" s="242"/>
      <c r="G2830"/>
      <c r="H2830" s="322"/>
      <c r="I2830" s="322"/>
      <c r="J2830" s="242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</row>
    <row r="2831" spans="1:26" ht="15.75" hidden="1" customHeight="1" outlineLevel="2">
      <c r="A2831" s="443"/>
      <c r="B2831" s="444"/>
      <c r="C2831"/>
      <c r="D2831"/>
      <c r="E2831" s="321"/>
      <c r="F2831" s="242"/>
      <c r="G2831"/>
      <c r="H2831" s="322"/>
      <c r="I2831" s="322"/>
      <c r="J2831" s="242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</row>
    <row r="2832" spans="1:26" ht="15.75" hidden="1" customHeight="1" outlineLevel="2">
      <c r="A2832" s="443"/>
      <c r="B2832" s="444"/>
      <c r="C2832"/>
      <c r="D2832"/>
      <c r="E2832" s="321"/>
      <c r="F2832" s="242"/>
      <c r="G2832"/>
      <c r="H2832" s="322"/>
      <c r="I2832" s="322"/>
      <c r="J2832" s="242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</row>
    <row r="2833" spans="1:26" ht="15.75" hidden="1" customHeight="1" outlineLevel="2">
      <c r="A2833" s="443"/>
      <c r="B2833" s="444"/>
      <c r="C2833"/>
      <c r="D2833"/>
      <c r="E2833" s="321"/>
      <c r="F2833" s="242"/>
      <c r="G2833"/>
      <c r="H2833" s="322"/>
      <c r="I2833" s="322"/>
      <c r="J2833" s="242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</row>
    <row r="2834" spans="1:26" ht="15.75" hidden="1" customHeight="1" outlineLevel="2">
      <c r="A2834" s="443"/>
      <c r="B2834" s="444"/>
      <c r="C2834"/>
      <c r="D2834"/>
      <c r="E2834" s="321"/>
      <c r="F2834" s="242"/>
      <c r="G2834"/>
      <c r="H2834" s="322"/>
      <c r="I2834" s="322"/>
      <c r="J2834" s="242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</row>
    <row r="2835" spans="1:26" ht="15.75" hidden="1" customHeight="1" outlineLevel="2">
      <c r="A2835" s="443"/>
      <c r="B2835" s="444"/>
      <c r="C2835"/>
      <c r="D2835"/>
      <c r="E2835" s="321"/>
      <c r="F2835" s="242"/>
      <c r="G2835"/>
      <c r="H2835" s="322"/>
      <c r="I2835" s="322"/>
      <c r="J2835" s="242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</row>
    <row r="2836" spans="1:26" ht="15.75" hidden="1" customHeight="1" outlineLevel="2">
      <c r="A2836" s="443"/>
      <c r="B2836" s="444"/>
      <c r="C2836"/>
      <c r="D2836"/>
      <c r="E2836" s="321"/>
      <c r="F2836" s="242"/>
      <c r="G2836"/>
      <c r="H2836" s="322"/>
      <c r="I2836" s="322"/>
      <c r="J2836" s="242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</row>
    <row r="2837" spans="1:26" ht="15.75" hidden="1" customHeight="1" outlineLevel="2">
      <c r="A2837" s="443"/>
      <c r="B2837" s="444"/>
      <c r="C2837"/>
      <c r="D2837"/>
      <c r="E2837" s="321"/>
      <c r="F2837" s="242"/>
      <c r="G2837"/>
      <c r="H2837" s="322"/>
      <c r="I2837" s="322"/>
      <c r="J2837" s="242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</row>
    <row r="2838" spans="1:26" ht="15.75" hidden="1" customHeight="1" outlineLevel="2">
      <c r="A2838" s="443"/>
      <c r="B2838" s="444"/>
      <c r="C2838"/>
      <c r="D2838"/>
      <c r="E2838" s="321"/>
      <c r="F2838" s="242"/>
      <c r="G2838"/>
      <c r="H2838" s="322"/>
      <c r="I2838" s="322"/>
      <c r="J2838" s="242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</row>
    <row r="2839" spans="1:26" ht="15.75" hidden="1" customHeight="1" outlineLevel="2">
      <c r="A2839" s="443"/>
      <c r="B2839" s="444"/>
      <c r="C2839"/>
      <c r="D2839"/>
      <c r="E2839" s="321"/>
      <c r="F2839" s="242"/>
      <c r="G2839"/>
      <c r="H2839" s="322"/>
      <c r="I2839" s="322"/>
      <c r="J2839" s="242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</row>
    <row r="2840" spans="1:26" ht="15.75" hidden="1" customHeight="1" outlineLevel="2">
      <c r="A2840" s="443"/>
      <c r="B2840" s="444"/>
      <c r="C2840"/>
      <c r="D2840"/>
      <c r="E2840" s="321"/>
      <c r="F2840" s="242"/>
      <c r="G2840"/>
      <c r="H2840" s="322"/>
      <c r="I2840" s="322"/>
      <c r="J2840" s="242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</row>
    <row r="2841" spans="1:26" ht="15.75" hidden="1" customHeight="1" outlineLevel="2">
      <c r="A2841" s="443"/>
      <c r="B2841" s="444"/>
      <c r="C2841"/>
      <c r="D2841"/>
      <c r="E2841" s="321"/>
      <c r="F2841" s="242"/>
      <c r="G2841"/>
      <c r="H2841" s="322"/>
      <c r="I2841" s="322"/>
      <c r="J2841" s="242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</row>
    <row r="2842" spans="1:26" ht="15.75" hidden="1" customHeight="1" outlineLevel="2">
      <c r="A2842" s="443"/>
      <c r="B2842" s="444"/>
      <c r="C2842"/>
      <c r="D2842"/>
      <c r="E2842" s="321"/>
      <c r="F2842" s="242"/>
      <c r="G2842"/>
      <c r="H2842" s="322"/>
      <c r="I2842" s="322"/>
      <c r="J2842" s="242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</row>
    <row r="2843" spans="1:26" ht="15.75" hidden="1" customHeight="1" outlineLevel="2">
      <c r="A2843" s="443"/>
      <c r="B2843" s="444"/>
      <c r="C2843"/>
      <c r="D2843"/>
      <c r="E2843" s="321"/>
      <c r="F2843" s="242"/>
      <c r="G2843"/>
      <c r="H2843" s="322"/>
      <c r="I2843" s="322"/>
      <c r="J2843" s="242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</row>
    <row r="2844" spans="1:26" ht="15.75" hidden="1" customHeight="1" outlineLevel="2">
      <c r="A2844" s="443"/>
      <c r="B2844" s="444"/>
      <c r="C2844"/>
      <c r="D2844"/>
      <c r="E2844" s="321"/>
      <c r="F2844" s="242"/>
      <c r="G2844"/>
      <c r="H2844" s="322"/>
      <c r="I2844" s="322"/>
      <c r="J2844" s="242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</row>
    <row r="2845" spans="1:26" ht="15.75" hidden="1" customHeight="1" outlineLevel="2">
      <c r="A2845" s="443"/>
      <c r="B2845" s="444"/>
      <c r="C2845"/>
      <c r="D2845"/>
      <c r="E2845" s="321"/>
      <c r="F2845" s="242"/>
      <c r="G2845"/>
      <c r="H2845" s="322"/>
      <c r="I2845" s="322"/>
      <c r="J2845" s="242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</row>
    <row r="2846" spans="1:26" ht="15.75" hidden="1" customHeight="1" outlineLevel="2">
      <c r="A2846" s="443"/>
      <c r="B2846" s="444"/>
      <c r="C2846"/>
      <c r="D2846"/>
      <c r="E2846" s="321"/>
      <c r="F2846" s="242"/>
      <c r="G2846"/>
      <c r="H2846" s="322"/>
      <c r="I2846" s="322"/>
      <c r="J2846" s="242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</row>
    <row r="2847" spans="1:26" ht="15.75" hidden="1" customHeight="1" outlineLevel="2">
      <c r="A2847" s="443"/>
      <c r="B2847" s="444"/>
      <c r="C2847"/>
      <c r="D2847"/>
      <c r="E2847" s="321"/>
      <c r="F2847" s="242"/>
      <c r="G2847"/>
      <c r="H2847" s="322"/>
      <c r="I2847" s="322"/>
      <c r="J2847" s="242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</row>
    <row r="2848" spans="1:26" ht="15.75" hidden="1" customHeight="1" outlineLevel="2">
      <c r="A2848" s="443"/>
      <c r="B2848" s="444"/>
      <c r="C2848"/>
      <c r="D2848"/>
      <c r="E2848" s="321"/>
      <c r="F2848" s="242"/>
      <c r="G2848"/>
      <c r="H2848" s="322"/>
      <c r="I2848" s="322"/>
      <c r="J2848" s="242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</row>
    <row r="2849" spans="1:26" ht="15.75" hidden="1" customHeight="1" outlineLevel="2">
      <c r="A2849" s="443"/>
      <c r="B2849" s="444"/>
      <c r="C2849"/>
      <c r="D2849"/>
      <c r="E2849" s="321"/>
      <c r="F2849" s="242"/>
      <c r="G2849"/>
      <c r="H2849" s="322"/>
      <c r="I2849" s="322"/>
      <c r="J2849" s="242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</row>
    <row r="2850" spans="1:26" ht="15.75" hidden="1" customHeight="1" outlineLevel="2">
      <c r="A2850" s="443"/>
      <c r="B2850" s="444"/>
      <c r="C2850"/>
      <c r="D2850"/>
      <c r="E2850" s="321"/>
      <c r="F2850" s="242"/>
      <c r="G2850"/>
      <c r="H2850" s="322"/>
      <c r="I2850" s="322"/>
      <c r="J2850" s="242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</row>
    <row r="2851" spans="1:26" ht="15.75" hidden="1" customHeight="1" outlineLevel="2">
      <c r="A2851" s="443"/>
      <c r="B2851" s="444"/>
      <c r="C2851"/>
      <c r="D2851"/>
      <c r="E2851" s="321"/>
      <c r="F2851" s="242"/>
      <c r="G2851"/>
      <c r="H2851" s="322"/>
      <c r="I2851" s="322"/>
      <c r="J2851" s="242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</row>
    <row r="2852" spans="1:26" ht="15.75" hidden="1" customHeight="1" outlineLevel="2">
      <c r="A2852" s="443"/>
      <c r="B2852" s="444"/>
      <c r="C2852"/>
      <c r="D2852"/>
      <c r="E2852" s="321"/>
      <c r="F2852" s="242"/>
      <c r="G2852"/>
      <c r="H2852" s="322"/>
      <c r="I2852" s="322"/>
      <c r="J2852" s="242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</row>
    <row r="2853" spans="1:26" ht="15.75" hidden="1" customHeight="1" outlineLevel="2">
      <c r="A2853" s="443"/>
      <c r="B2853" s="444"/>
      <c r="C2853"/>
      <c r="D2853"/>
      <c r="E2853" s="321"/>
      <c r="F2853" s="242"/>
      <c r="G2853"/>
      <c r="H2853" s="322"/>
      <c r="I2853" s="322"/>
      <c r="J2853" s="242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</row>
    <row r="2854" spans="1:26" ht="15.75" hidden="1" customHeight="1" outlineLevel="2">
      <c r="A2854" s="443"/>
      <c r="B2854" s="444"/>
      <c r="C2854"/>
      <c r="D2854"/>
      <c r="E2854" s="321"/>
      <c r="F2854" s="242"/>
      <c r="G2854"/>
      <c r="H2854" s="322"/>
      <c r="I2854" s="322"/>
      <c r="J2854" s="242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</row>
    <row r="2855" spans="1:26" ht="15.75" hidden="1" customHeight="1" outlineLevel="2">
      <c r="A2855" s="443"/>
      <c r="B2855" s="444"/>
      <c r="C2855"/>
      <c r="D2855"/>
      <c r="E2855" s="321"/>
      <c r="F2855" s="242"/>
      <c r="G2855"/>
      <c r="H2855" s="322"/>
      <c r="I2855" s="322"/>
      <c r="J2855" s="242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</row>
    <row r="2856" spans="1:26" ht="15.75" hidden="1" customHeight="1" outlineLevel="2">
      <c r="A2856" s="443"/>
      <c r="B2856" s="444"/>
      <c r="C2856"/>
      <c r="D2856"/>
      <c r="E2856" s="321"/>
      <c r="F2856" s="242"/>
      <c r="G2856"/>
      <c r="H2856" s="322"/>
      <c r="I2856" s="322"/>
      <c r="J2856" s="242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</row>
    <row r="2857" spans="1:26" ht="15.75" hidden="1" customHeight="1" outlineLevel="2">
      <c r="A2857" s="443"/>
      <c r="B2857" s="444"/>
      <c r="C2857"/>
      <c r="D2857"/>
      <c r="E2857" s="321"/>
      <c r="F2857" s="242"/>
      <c r="G2857"/>
      <c r="H2857" s="322"/>
      <c r="I2857" s="322"/>
      <c r="J2857" s="242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</row>
    <row r="2858" spans="1:26" ht="15.75" hidden="1" customHeight="1" outlineLevel="2">
      <c r="A2858" s="443"/>
      <c r="B2858" s="444"/>
      <c r="C2858"/>
      <c r="D2858"/>
      <c r="E2858" s="321"/>
      <c r="F2858" s="242"/>
      <c r="G2858"/>
      <c r="H2858" s="322"/>
      <c r="I2858" s="322"/>
      <c r="J2858" s="242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</row>
    <row r="2859" spans="1:26" ht="15.75" hidden="1" customHeight="1" outlineLevel="2">
      <c r="A2859" s="443"/>
      <c r="B2859" s="444"/>
      <c r="C2859"/>
      <c r="D2859"/>
      <c r="E2859" s="321"/>
      <c r="F2859" s="242"/>
      <c r="G2859"/>
      <c r="H2859" s="322"/>
      <c r="I2859" s="322"/>
      <c r="J2859" s="242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</row>
    <row r="2860" spans="1:26" ht="15.75" hidden="1" customHeight="1" outlineLevel="2">
      <c r="A2860" s="443"/>
      <c r="B2860" s="444"/>
      <c r="C2860"/>
      <c r="D2860"/>
      <c r="E2860" s="321"/>
      <c r="F2860" s="242"/>
      <c r="G2860"/>
      <c r="H2860" s="322"/>
      <c r="I2860" s="322"/>
      <c r="J2860" s="242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</row>
    <row r="2861" spans="1:26" ht="15.75" hidden="1" customHeight="1" outlineLevel="2">
      <c r="A2861" s="443"/>
      <c r="B2861" s="444"/>
      <c r="C2861"/>
      <c r="D2861"/>
      <c r="E2861" s="321"/>
      <c r="F2861" s="242"/>
      <c r="G2861"/>
      <c r="H2861" s="322"/>
      <c r="I2861" s="322"/>
      <c r="J2861" s="242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</row>
    <row r="2862" spans="1:26" ht="15.75" hidden="1" customHeight="1" outlineLevel="2">
      <c r="A2862" s="443"/>
      <c r="B2862" s="444"/>
      <c r="C2862"/>
      <c r="D2862"/>
      <c r="E2862" s="321"/>
      <c r="F2862" s="242"/>
      <c r="G2862"/>
      <c r="H2862" s="322"/>
      <c r="I2862" s="322"/>
      <c r="J2862" s="242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</row>
    <row r="2863" spans="1:26" ht="15.75" hidden="1" customHeight="1" outlineLevel="2">
      <c r="A2863" s="443"/>
      <c r="B2863" s="444"/>
      <c r="C2863"/>
      <c r="D2863"/>
      <c r="E2863" s="321"/>
      <c r="F2863" s="242"/>
      <c r="G2863"/>
      <c r="H2863" s="322"/>
      <c r="I2863" s="322"/>
      <c r="J2863" s="242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</row>
    <row r="2864" spans="1:26" ht="15.75" hidden="1" customHeight="1" outlineLevel="2">
      <c r="A2864" s="443"/>
      <c r="B2864" s="444"/>
      <c r="C2864"/>
      <c r="D2864"/>
      <c r="E2864" s="321"/>
      <c r="F2864" s="242"/>
      <c r="G2864"/>
      <c r="H2864" s="322"/>
      <c r="I2864" s="322"/>
      <c r="J2864" s="242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</row>
    <row r="2865" spans="1:26" ht="15.75" hidden="1" customHeight="1" outlineLevel="2">
      <c r="A2865" s="443"/>
      <c r="B2865" s="444"/>
      <c r="C2865"/>
      <c r="D2865"/>
      <c r="E2865" s="321"/>
      <c r="F2865" s="242"/>
      <c r="G2865"/>
      <c r="H2865" s="322"/>
      <c r="I2865" s="322"/>
      <c r="J2865" s="242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</row>
    <row r="2866" spans="1:26" ht="15.75" hidden="1" customHeight="1" outlineLevel="2">
      <c r="A2866" s="443"/>
      <c r="B2866" s="444"/>
      <c r="C2866"/>
      <c r="D2866"/>
      <c r="E2866" s="321"/>
      <c r="F2866" s="242"/>
      <c r="G2866"/>
      <c r="H2866" s="322"/>
      <c r="I2866" s="322"/>
      <c r="J2866" s="242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</row>
    <row r="2867" spans="1:26" ht="15.75" hidden="1" customHeight="1" outlineLevel="2">
      <c r="A2867" s="443"/>
      <c r="B2867" s="444"/>
      <c r="C2867"/>
      <c r="D2867"/>
      <c r="E2867" s="321"/>
      <c r="F2867" s="242"/>
      <c r="G2867"/>
      <c r="H2867" s="322"/>
      <c r="I2867" s="322"/>
      <c r="J2867" s="242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</row>
    <row r="2868" spans="1:26" ht="15.75" hidden="1" customHeight="1" outlineLevel="2">
      <c r="A2868" s="443"/>
      <c r="B2868" s="444"/>
      <c r="C2868"/>
      <c r="D2868"/>
      <c r="E2868" s="321"/>
      <c r="F2868" s="242"/>
      <c r="G2868"/>
      <c r="H2868" s="322"/>
      <c r="I2868" s="322"/>
      <c r="J2868" s="242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</row>
    <row r="2869" spans="1:26" ht="15.75" hidden="1" customHeight="1" outlineLevel="2">
      <c r="A2869" s="443"/>
      <c r="B2869" s="444"/>
      <c r="C2869"/>
      <c r="D2869"/>
      <c r="E2869" s="321"/>
      <c r="F2869" s="242"/>
      <c r="G2869"/>
      <c r="H2869" s="322"/>
      <c r="I2869" s="322"/>
      <c r="J2869" s="242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</row>
    <row r="2870" spans="1:26" ht="15.75" hidden="1" customHeight="1" outlineLevel="2">
      <c r="A2870" s="443"/>
      <c r="B2870" s="444"/>
      <c r="C2870"/>
      <c r="D2870"/>
      <c r="E2870" s="321"/>
      <c r="F2870" s="242"/>
      <c r="G2870"/>
      <c r="H2870" s="322"/>
      <c r="I2870" s="322"/>
      <c r="J2870" s="242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</row>
    <row r="2871" spans="1:26" ht="15.75" hidden="1" customHeight="1" outlineLevel="2">
      <c r="A2871" s="443"/>
      <c r="B2871" s="444"/>
      <c r="C2871"/>
      <c r="D2871"/>
      <c r="E2871" s="321"/>
      <c r="F2871" s="242"/>
      <c r="G2871"/>
      <c r="H2871" s="322"/>
      <c r="I2871" s="322"/>
      <c r="J2871" s="242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</row>
    <row r="2872" spans="1:26" ht="15.75" hidden="1" customHeight="1" outlineLevel="2">
      <c r="A2872" s="443"/>
      <c r="B2872" s="444"/>
      <c r="C2872"/>
      <c r="D2872"/>
      <c r="E2872" s="321"/>
      <c r="F2872" s="242"/>
      <c r="G2872"/>
      <c r="H2872" s="322"/>
      <c r="I2872" s="322"/>
      <c r="J2872" s="242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</row>
    <row r="2873" spans="1:26" ht="15.75" hidden="1" customHeight="1" outlineLevel="2">
      <c r="A2873" s="443"/>
      <c r="B2873" s="444"/>
      <c r="C2873"/>
      <c r="D2873"/>
      <c r="E2873" s="321"/>
      <c r="F2873" s="242"/>
      <c r="G2873"/>
      <c r="H2873" s="322"/>
      <c r="I2873" s="322"/>
      <c r="J2873" s="242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</row>
    <row r="2874" spans="1:26" ht="15.75" hidden="1" customHeight="1" outlineLevel="2">
      <c r="A2874" s="443"/>
      <c r="B2874" s="444"/>
      <c r="C2874"/>
      <c r="D2874"/>
      <c r="E2874" s="321"/>
      <c r="F2874" s="242"/>
      <c r="G2874"/>
      <c r="H2874" s="322"/>
      <c r="I2874" s="322"/>
      <c r="J2874" s="242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</row>
    <row r="2875" spans="1:26" ht="15.75" hidden="1" customHeight="1" outlineLevel="2">
      <c r="A2875" s="443"/>
      <c r="B2875" s="444"/>
      <c r="C2875"/>
      <c r="D2875"/>
      <c r="E2875" s="321"/>
      <c r="F2875" s="242"/>
      <c r="G2875"/>
      <c r="H2875" s="322"/>
      <c r="I2875" s="322"/>
      <c r="J2875" s="242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</row>
    <row r="2876" spans="1:26" ht="15.75" hidden="1" customHeight="1" outlineLevel="2">
      <c r="A2876" s="443"/>
      <c r="B2876" s="444"/>
      <c r="C2876"/>
      <c r="D2876"/>
      <c r="E2876" s="321"/>
      <c r="F2876" s="242"/>
      <c r="G2876"/>
      <c r="H2876" s="322"/>
      <c r="I2876" s="322"/>
      <c r="J2876" s="242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</row>
    <row r="2877" spans="1:26" ht="15.75" hidden="1" customHeight="1" outlineLevel="2">
      <c r="A2877" s="443"/>
      <c r="B2877" s="444"/>
      <c r="C2877"/>
      <c r="D2877"/>
      <c r="E2877" s="321"/>
      <c r="F2877" s="242"/>
      <c r="G2877"/>
      <c r="H2877" s="322"/>
      <c r="I2877" s="322"/>
      <c r="J2877" s="242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</row>
    <row r="2878" spans="1:26" ht="15.75" hidden="1" customHeight="1" outlineLevel="2">
      <c r="A2878" s="443"/>
      <c r="B2878" s="444"/>
      <c r="C2878"/>
      <c r="D2878"/>
      <c r="E2878" s="321"/>
      <c r="F2878" s="242"/>
      <c r="G2878"/>
      <c r="H2878" s="322"/>
      <c r="I2878" s="322"/>
      <c r="J2878" s="242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</row>
    <row r="2879" spans="1:26" ht="15.75" hidden="1" customHeight="1" outlineLevel="2">
      <c r="A2879" s="443"/>
      <c r="B2879" s="444"/>
      <c r="C2879"/>
      <c r="D2879"/>
      <c r="E2879" s="321"/>
      <c r="F2879" s="242"/>
      <c r="G2879"/>
      <c r="H2879" s="322"/>
      <c r="I2879" s="322"/>
      <c r="J2879" s="242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</row>
    <row r="2880" spans="1:26" ht="15.75" hidden="1" customHeight="1" outlineLevel="2">
      <c r="A2880" s="443"/>
      <c r="B2880" s="444"/>
      <c r="C2880"/>
      <c r="D2880"/>
      <c r="E2880" s="321"/>
      <c r="F2880" s="242"/>
      <c r="G2880"/>
      <c r="H2880" s="322"/>
      <c r="I2880" s="322"/>
      <c r="J2880" s="242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</row>
    <row r="2881" spans="1:26" ht="15.75" hidden="1" customHeight="1" outlineLevel="2">
      <c r="A2881" s="443"/>
      <c r="B2881" s="444"/>
      <c r="C2881"/>
      <c r="D2881"/>
      <c r="E2881" s="321"/>
      <c r="F2881" s="242"/>
      <c r="G2881"/>
      <c r="H2881" s="322"/>
      <c r="I2881" s="322"/>
      <c r="J2881" s="242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</row>
    <row r="2882" spans="1:26" ht="15.75" hidden="1" customHeight="1" outlineLevel="2">
      <c r="A2882" s="443"/>
      <c r="B2882" s="444"/>
      <c r="C2882"/>
      <c r="D2882"/>
      <c r="E2882" s="321"/>
      <c r="F2882" s="242"/>
      <c r="G2882"/>
      <c r="H2882" s="322"/>
      <c r="I2882" s="322"/>
      <c r="J2882" s="242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</row>
    <row r="2883" spans="1:26" ht="15.75" hidden="1" customHeight="1" outlineLevel="2">
      <c r="A2883" s="443"/>
      <c r="B2883" s="444"/>
      <c r="C2883"/>
      <c r="D2883"/>
      <c r="E2883" s="321"/>
      <c r="F2883" s="242"/>
      <c r="G2883"/>
      <c r="H2883" s="322"/>
      <c r="I2883" s="322"/>
      <c r="J2883" s="242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</row>
    <row r="2884" spans="1:26" ht="15.75" hidden="1" customHeight="1" outlineLevel="2">
      <c r="A2884" s="443"/>
      <c r="B2884" s="444"/>
      <c r="C2884"/>
      <c r="D2884"/>
      <c r="E2884" s="321"/>
      <c r="F2884" s="242"/>
      <c r="G2884"/>
      <c r="H2884" s="322"/>
      <c r="I2884" s="322"/>
      <c r="J2884" s="242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</row>
    <row r="2885" spans="1:26" ht="15.75" hidden="1" customHeight="1" outlineLevel="2">
      <c r="A2885" s="443"/>
      <c r="B2885" s="444"/>
      <c r="C2885"/>
      <c r="D2885"/>
      <c r="E2885" s="321"/>
      <c r="F2885" s="242"/>
      <c r="G2885"/>
      <c r="H2885" s="322"/>
      <c r="I2885" s="322"/>
      <c r="J2885" s="242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</row>
    <row r="2886" spans="1:26" ht="15.75" hidden="1" customHeight="1" outlineLevel="2">
      <c r="A2886" s="443"/>
      <c r="B2886" s="444"/>
      <c r="C2886"/>
      <c r="D2886"/>
      <c r="E2886" s="321"/>
      <c r="F2886" s="242"/>
      <c r="G2886"/>
      <c r="H2886" s="322"/>
      <c r="I2886" s="322"/>
      <c r="J2886" s="242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</row>
    <row r="2887" spans="1:26" ht="15.75" hidden="1" customHeight="1" outlineLevel="2">
      <c r="A2887" s="443"/>
      <c r="B2887" s="444"/>
      <c r="C2887"/>
      <c r="D2887"/>
      <c r="E2887" s="321"/>
      <c r="F2887" s="242"/>
      <c r="G2887"/>
      <c r="H2887" s="322"/>
      <c r="I2887" s="322"/>
      <c r="J2887" s="242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</row>
    <row r="2888" spans="1:26" ht="15.75" hidden="1" customHeight="1" outlineLevel="2">
      <c r="A2888" s="443"/>
      <c r="B2888" s="444"/>
      <c r="C2888"/>
      <c r="D2888"/>
      <c r="E2888" s="321"/>
      <c r="F2888" s="242"/>
      <c r="G2888"/>
      <c r="H2888" s="322"/>
      <c r="I2888" s="322"/>
      <c r="J2888" s="242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</row>
    <row r="2889" spans="1:26" ht="15.75" hidden="1" customHeight="1" outlineLevel="2">
      <c r="A2889" s="443"/>
      <c r="B2889" s="444"/>
      <c r="C2889"/>
      <c r="D2889"/>
      <c r="E2889" s="321"/>
      <c r="F2889" s="242"/>
      <c r="G2889"/>
      <c r="H2889" s="322"/>
      <c r="I2889" s="322"/>
      <c r="J2889" s="242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</row>
    <row r="2890" spans="1:26" ht="15.75" hidden="1" customHeight="1" outlineLevel="2">
      <c r="A2890" s="443"/>
      <c r="B2890" s="444"/>
      <c r="C2890"/>
      <c r="D2890"/>
      <c r="E2890" s="321"/>
      <c r="F2890" s="242"/>
      <c r="G2890"/>
      <c r="H2890" s="322"/>
      <c r="I2890" s="322"/>
      <c r="J2890" s="242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</row>
    <row r="2891" spans="1:26" ht="15.75" hidden="1" customHeight="1" outlineLevel="2">
      <c r="A2891" s="443"/>
      <c r="B2891" s="444"/>
      <c r="C2891"/>
      <c r="D2891"/>
      <c r="E2891" s="321"/>
      <c r="F2891" s="242"/>
      <c r="G2891"/>
      <c r="H2891" s="322"/>
      <c r="I2891" s="322"/>
      <c r="J2891" s="242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</row>
    <row r="2892" spans="1:26" ht="15.75" hidden="1" customHeight="1" outlineLevel="2">
      <c r="A2892" s="443"/>
      <c r="B2892" s="444"/>
      <c r="C2892"/>
      <c r="D2892"/>
      <c r="E2892" s="321"/>
      <c r="F2892" s="242"/>
      <c r="G2892"/>
      <c r="H2892" s="322"/>
      <c r="I2892" s="322"/>
      <c r="J2892" s="242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</row>
    <row r="2893" spans="1:26" ht="15.75" hidden="1" customHeight="1" outlineLevel="2">
      <c r="A2893" s="443"/>
      <c r="B2893" s="444"/>
      <c r="C2893"/>
      <c r="D2893"/>
      <c r="E2893" s="321"/>
      <c r="F2893" s="242"/>
      <c r="G2893"/>
      <c r="H2893" s="322"/>
      <c r="I2893" s="322"/>
      <c r="J2893" s="242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</row>
    <row r="2894" spans="1:26" ht="15.75" hidden="1" customHeight="1" outlineLevel="2">
      <c r="A2894" s="443"/>
      <c r="B2894" s="444"/>
      <c r="C2894"/>
      <c r="D2894"/>
      <c r="E2894" s="321"/>
      <c r="F2894" s="242"/>
      <c r="G2894"/>
      <c r="H2894" s="322"/>
      <c r="I2894" s="322"/>
      <c r="J2894" s="242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</row>
    <row r="2895" spans="1:26" ht="15.75" hidden="1" customHeight="1" outlineLevel="2">
      <c r="A2895" s="443"/>
      <c r="B2895" s="444"/>
      <c r="C2895"/>
      <c r="D2895"/>
      <c r="E2895" s="321"/>
      <c r="F2895" s="242"/>
      <c r="G2895"/>
      <c r="H2895" s="322"/>
      <c r="I2895" s="322"/>
      <c r="J2895" s="242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</row>
    <row r="2896" spans="1:26" ht="15.75" hidden="1" customHeight="1" outlineLevel="2">
      <c r="A2896" s="443"/>
      <c r="B2896" s="444"/>
      <c r="C2896"/>
      <c r="D2896"/>
      <c r="E2896" s="321"/>
      <c r="F2896" s="242"/>
      <c r="G2896"/>
      <c r="H2896" s="322"/>
      <c r="I2896" s="322"/>
      <c r="J2896" s="242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</row>
    <row r="2897" spans="1:26" ht="15.75" hidden="1" customHeight="1" outlineLevel="2">
      <c r="A2897" s="443"/>
      <c r="B2897" s="444"/>
      <c r="C2897"/>
      <c r="D2897"/>
      <c r="E2897" s="321"/>
      <c r="F2897" s="242"/>
      <c r="G2897"/>
      <c r="H2897" s="322"/>
      <c r="I2897" s="322"/>
      <c r="J2897" s="242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</row>
    <row r="2898" spans="1:26" ht="15.75" hidden="1" customHeight="1" outlineLevel="2">
      <c r="A2898" s="443"/>
      <c r="B2898" s="444"/>
      <c r="C2898"/>
      <c r="D2898"/>
      <c r="E2898" s="321"/>
      <c r="F2898" s="242"/>
      <c r="G2898"/>
      <c r="H2898" s="322"/>
      <c r="I2898" s="322"/>
      <c r="J2898" s="242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</row>
    <row r="2899" spans="1:26" ht="15.75" hidden="1" customHeight="1" outlineLevel="2">
      <c r="A2899" s="443"/>
      <c r="B2899" s="444"/>
      <c r="C2899"/>
      <c r="D2899"/>
      <c r="E2899" s="321"/>
      <c r="F2899" s="242"/>
      <c r="G2899"/>
      <c r="H2899" s="322"/>
      <c r="I2899" s="322"/>
      <c r="J2899" s="242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</row>
    <row r="2900" spans="1:26" ht="15.75" hidden="1" customHeight="1" outlineLevel="2">
      <c r="A2900" s="443"/>
      <c r="B2900" s="444"/>
      <c r="C2900"/>
      <c r="D2900"/>
      <c r="E2900" s="321"/>
      <c r="F2900" s="242"/>
      <c r="G2900"/>
      <c r="H2900" s="322"/>
      <c r="I2900" s="322"/>
      <c r="J2900" s="242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</row>
    <row r="2901" spans="1:26" ht="15.75" hidden="1" customHeight="1" outlineLevel="2">
      <c r="A2901" s="443"/>
      <c r="B2901" s="444"/>
      <c r="C2901"/>
      <c r="D2901"/>
      <c r="E2901" s="321"/>
      <c r="F2901" s="242"/>
      <c r="G2901"/>
      <c r="H2901" s="322"/>
      <c r="I2901" s="322"/>
      <c r="J2901" s="242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</row>
    <row r="2902" spans="1:26" ht="15.75" hidden="1" customHeight="1" outlineLevel="2">
      <c r="A2902" s="443"/>
      <c r="B2902" s="444"/>
      <c r="C2902"/>
      <c r="D2902"/>
      <c r="E2902" s="321"/>
      <c r="F2902" s="242"/>
      <c r="G2902"/>
      <c r="H2902" s="322"/>
      <c r="I2902" s="322"/>
      <c r="J2902" s="242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</row>
    <row r="2903" spans="1:26" ht="15.75" hidden="1" customHeight="1" outlineLevel="2">
      <c r="A2903" s="443"/>
      <c r="B2903" s="444"/>
      <c r="C2903"/>
      <c r="D2903"/>
      <c r="E2903" s="321"/>
      <c r="F2903" s="242"/>
      <c r="G2903"/>
      <c r="H2903" s="322"/>
      <c r="I2903" s="322"/>
      <c r="J2903" s="242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</row>
    <row r="2904" spans="1:26" ht="15.75" hidden="1" customHeight="1" outlineLevel="2">
      <c r="A2904" s="443"/>
      <c r="B2904" s="444"/>
      <c r="C2904"/>
      <c r="D2904"/>
      <c r="E2904" s="321"/>
      <c r="F2904" s="242"/>
      <c r="G2904"/>
      <c r="H2904" s="322"/>
      <c r="I2904" s="322"/>
      <c r="J2904" s="242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</row>
    <row r="2905" spans="1:26" ht="15.75" hidden="1" customHeight="1" outlineLevel="2">
      <c r="A2905" s="443"/>
      <c r="B2905" s="444"/>
      <c r="C2905"/>
      <c r="D2905"/>
      <c r="E2905" s="321"/>
      <c r="F2905" s="242"/>
      <c r="G2905"/>
      <c r="H2905" s="322"/>
      <c r="I2905" s="322"/>
      <c r="J2905" s="242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</row>
    <row r="2906" spans="1:26" ht="15.75" hidden="1" customHeight="1" outlineLevel="2">
      <c r="A2906" s="443"/>
      <c r="B2906" s="444"/>
      <c r="C2906"/>
      <c r="D2906"/>
      <c r="E2906" s="321"/>
      <c r="F2906" s="242"/>
      <c r="G2906"/>
      <c r="H2906" s="322"/>
      <c r="I2906" s="322"/>
      <c r="J2906" s="242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</row>
    <row r="2907" spans="1:26" ht="15.75" hidden="1" customHeight="1" outlineLevel="2">
      <c r="A2907" s="443"/>
      <c r="B2907" s="444"/>
      <c r="C2907"/>
      <c r="D2907"/>
      <c r="E2907" s="321"/>
      <c r="F2907" s="242"/>
      <c r="G2907"/>
      <c r="H2907" s="322"/>
      <c r="I2907" s="322"/>
      <c r="J2907" s="242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</row>
    <row r="2908" spans="1:26" ht="15.75" hidden="1" customHeight="1" outlineLevel="2">
      <c r="A2908" s="443"/>
      <c r="B2908" s="444"/>
      <c r="C2908"/>
      <c r="D2908"/>
      <c r="E2908" s="321"/>
      <c r="F2908" s="242"/>
      <c r="G2908"/>
      <c r="H2908" s="322"/>
      <c r="I2908" s="322"/>
      <c r="J2908" s="242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</row>
    <row r="2909" spans="1:26" ht="15.75" hidden="1" customHeight="1" outlineLevel="2">
      <c r="A2909" s="443"/>
      <c r="B2909" s="444"/>
      <c r="C2909"/>
      <c r="D2909"/>
      <c r="E2909" s="321"/>
      <c r="F2909" s="242"/>
      <c r="G2909"/>
      <c r="H2909" s="322"/>
      <c r="I2909" s="322"/>
      <c r="J2909" s="242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</row>
    <row r="2910" spans="1:26" ht="15.75" hidden="1" customHeight="1" outlineLevel="2">
      <c r="A2910" s="443"/>
      <c r="B2910" s="444"/>
      <c r="C2910"/>
      <c r="D2910"/>
      <c r="E2910" s="321"/>
      <c r="F2910" s="242"/>
      <c r="G2910"/>
      <c r="H2910" s="322"/>
      <c r="I2910" s="322"/>
      <c r="J2910" s="242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</row>
    <row r="2911" spans="1:26" ht="15.75" hidden="1" customHeight="1" outlineLevel="2">
      <c r="A2911" s="443"/>
      <c r="B2911" s="444"/>
      <c r="C2911"/>
      <c r="D2911"/>
      <c r="E2911" s="321"/>
      <c r="F2911" s="242"/>
      <c r="G2911"/>
      <c r="H2911" s="322"/>
      <c r="I2911" s="322"/>
      <c r="J2911" s="242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</row>
    <row r="2912" spans="1:26" ht="15.75" hidden="1" customHeight="1" outlineLevel="2">
      <c r="A2912" s="443"/>
      <c r="B2912" s="444"/>
      <c r="C2912"/>
      <c r="D2912"/>
      <c r="E2912" s="321"/>
      <c r="F2912" s="242"/>
      <c r="G2912"/>
      <c r="H2912" s="322"/>
      <c r="I2912" s="322"/>
      <c r="J2912" s="242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</row>
    <row r="2913" spans="1:26" ht="15.75" hidden="1" customHeight="1" outlineLevel="2">
      <c r="A2913" s="443"/>
      <c r="B2913" s="444"/>
      <c r="C2913"/>
      <c r="D2913"/>
      <c r="E2913" s="321"/>
      <c r="F2913" s="242"/>
      <c r="G2913"/>
      <c r="H2913" s="322"/>
      <c r="I2913" s="322"/>
      <c r="J2913" s="242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</row>
    <row r="2914" spans="1:26" ht="15.75" hidden="1" customHeight="1" outlineLevel="2">
      <c r="A2914" s="443"/>
      <c r="B2914" s="444"/>
      <c r="C2914"/>
      <c r="D2914"/>
      <c r="E2914" s="321"/>
      <c r="F2914" s="242"/>
      <c r="G2914"/>
      <c r="H2914" s="322"/>
      <c r="I2914" s="322"/>
      <c r="J2914" s="242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</row>
    <row r="2915" spans="1:26" ht="15.75" hidden="1" customHeight="1" outlineLevel="2">
      <c r="A2915" s="443"/>
      <c r="B2915" s="444"/>
      <c r="C2915"/>
      <c r="D2915"/>
      <c r="E2915" s="321"/>
      <c r="F2915" s="242"/>
      <c r="G2915"/>
      <c r="H2915" s="322"/>
      <c r="I2915" s="322"/>
      <c r="J2915" s="242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</row>
    <row r="2916" spans="1:26" ht="15.75" hidden="1" customHeight="1" outlineLevel="2">
      <c r="A2916" s="443"/>
      <c r="B2916" s="444"/>
      <c r="C2916"/>
      <c r="D2916"/>
      <c r="E2916" s="321"/>
      <c r="F2916" s="242"/>
      <c r="G2916"/>
      <c r="H2916" s="322"/>
      <c r="I2916" s="322"/>
      <c r="J2916" s="242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</row>
    <row r="2917" spans="1:26" ht="15.75" hidden="1" customHeight="1" outlineLevel="2">
      <c r="A2917" s="443"/>
      <c r="B2917" s="444"/>
      <c r="C2917"/>
      <c r="D2917"/>
      <c r="E2917" s="321"/>
      <c r="F2917" s="242"/>
      <c r="G2917"/>
      <c r="H2917" s="322"/>
      <c r="I2917" s="322"/>
      <c r="J2917" s="242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</row>
    <row r="2918" spans="1:26" ht="15.75" hidden="1" customHeight="1" outlineLevel="2">
      <c r="A2918" s="443"/>
      <c r="B2918" s="444"/>
      <c r="C2918"/>
      <c r="D2918"/>
      <c r="E2918" s="321"/>
      <c r="F2918" s="242"/>
      <c r="G2918"/>
      <c r="H2918" s="322"/>
      <c r="I2918" s="322"/>
      <c r="J2918" s="242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</row>
    <row r="2919" spans="1:26" ht="15.75" hidden="1" customHeight="1" outlineLevel="2">
      <c r="A2919" s="443"/>
      <c r="B2919" s="444"/>
      <c r="C2919"/>
      <c r="D2919"/>
      <c r="E2919" s="321"/>
      <c r="F2919" s="242"/>
      <c r="G2919"/>
      <c r="H2919" s="322"/>
      <c r="I2919" s="322"/>
      <c r="J2919" s="242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</row>
    <row r="2920" spans="1:26" ht="15.75" hidden="1" customHeight="1" outlineLevel="2">
      <c r="A2920" s="443"/>
      <c r="B2920" s="444"/>
      <c r="C2920"/>
      <c r="D2920"/>
      <c r="E2920" s="321"/>
      <c r="F2920" s="242"/>
      <c r="G2920"/>
      <c r="H2920" s="322"/>
      <c r="I2920" s="322"/>
      <c r="J2920" s="242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</row>
    <row r="2921" spans="1:26" ht="15.75" hidden="1" customHeight="1" outlineLevel="2">
      <c r="A2921" s="443"/>
      <c r="B2921" s="444"/>
      <c r="C2921"/>
      <c r="D2921"/>
      <c r="E2921" s="321"/>
      <c r="F2921" s="242"/>
      <c r="G2921"/>
      <c r="H2921" s="322"/>
      <c r="I2921" s="322"/>
      <c r="J2921" s="242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</row>
    <row r="2922" spans="1:26" ht="15.75" hidden="1" customHeight="1" outlineLevel="2">
      <c r="A2922" s="443"/>
      <c r="B2922" s="444"/>
      <c r="C2922"/>
      <c r="D2922"/>
      <c r="E2922" s="321"/>
      <c r="H2922" s="322"/>
      <c r="I2922" s="322"/>
      <c r="J2922" s="242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</row>
    <row r="2923" spans="1:26" ht="15.75" hidden="1" customHeight="1" outlineLevel="2">
      <c r="A2923" s="443"/>
      <c r="B2923" s="444"/>
      <c r="C2923"/>
      <c r="D2923"/>
      <c r="E2923" s="321"/>
      <c r="H2923" s="322"/>
      <c r="I2923" s="322"/>
      <c r="J2923" s="242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</row>
    <row r="2924" spans="1:26" ht="15.75" hidden="1" customHeight="1" outlineLevel="2">
      <c r="A2924" s="443"/>
      <c r="B2924" s="444"/>
      <c r="C2924"/>
      <c r="D2924"/>
      <c r="E2924" s="321"/>
      <c r="H2924" s="322"/>
      <c r="I2924" s="322"/>
      <c r="J2924" s="242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</row>
    <row r="2925" spans="1:26" ht="15.75" hidden="1" customHeight="1" outlineLevel="2">
      <c r="A2925" s="443"/>
      <c r="B2925" s="444"/>
      <c r="C2925"/>
      <c r="D2925"/>
      <c r="E2925" s="321"/>
      <c r="H2925" s="322"/>
      <c r="I2925" s="322"/>
      <c r="J2925" s="242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</row>
    <row r="2926" spans="1:26" ht="15.75" hidden="1" customHeight="1" outlineLevel="2">
      <c r="A2926" s="443"/>
      <c r="B2926" s="444"/>
      <c r="C2926"/>
      <c r="D2926"/>
      <c r="E2926" s="321"/>
      <c r="H2926" s="322"/>
      <c r="I2926" s="322"/>
      <c r="J2926" s="242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</row>
    <row r="2927" spans="1:26" ht="15.75" hidden="1" customHeight="1" outlineLevel="2">
      <c r="A2927" s="443"/>
      <c r="B2927" s="444"/>
      <c r="C2927"/>
      <c r="D2927"/>
      <c r="E2927" s="321"/>
      <c r="H2927" s="322"/>
      <c r="I2927" s="322"/>
      <c r="J2927" s="242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</row>
    <row r="2928" spans="1:26" ht="15.75" hidden="1" customHeight="1" outlineLevel="2">
      <c r="A2928" s="443"/>
      <c r="B2928" s="444"/>
      <c r="C2928"/>
      <c r="D2928"/>
      <c r="E2928" s="321"/>
      <c r="F2928" s="242"/>
      <c r="G2928"/>
      <c r="H2928" s="322"/>
      <c r="I2928" s="322"/>
      <c r="J2928" s="242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</row>
    <row r="2929" spans="1:26" ht="15.75" hidden="1" customHeight="1" outlineLevel="2">
      <c r="A2929" s="443"/>
      <c r="B2929" s="444"/>
      <c r="C2929"/>
      <c r="D2929"/>
      <c r="E2929" s="321"/>
      <c r="F2929" s="242"/>
      <c r="G2929"/>
      <c r="H2929" s="322"/>
      <c r="I2929" s="322"/>
      <c r="J2929" s="242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</row>
    <row r="2930" spans="1:26" ht="15.75" hidden="1" customHeight="1" outlineLevel="2">
      <c r="A2930" s="443"/>
      <c r="B2930" s="444"/>
      <c r="C2930"/>
      <c r="D2930"/>
      <c r="E2930" s="321"/>
      <c r="F2930" s="242"/>
      <c r="G2930"/>
      <c r="H2930" s="322"/>
      <c r="I2930" s="322"/>
      <c r="J2930" s="242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</row>
    <row r="2931" spans="1:26" ht="15.75" hidden="1" customHeight="1" outlineLevel="2">
      <c r="A2931" s="443"/>
      <c r="B2931" s="444"/>
      <c r="C2931"/>
      <c r="D2931"/>
      <c r="E2931" s="321"/>
      <c r="H2931" s="322"/>
      <c r="I2931" s="322"/>
      <c r="J2931" s="242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</row>
    <row r="2932" spans="1:26" ht="15.75" hidden="1" customHeight="1" outlineLevel="2">
      <c r="A2932" s="443"/>
      <c r="B2932" s="444"/>
      <c r="C2932"/>
      <c r="D2932"/>
      <c r="E2932" s="321"/>
      <c r="H2932" s="322"/>
      <c r="I2932" s="322"/>
      <c r="J2932" s="242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</row>
    <row r="2933" spans="1:26" ht="15.75" hidden="1" customHeight="1" outlineLevel="2">
      <c r="A2933" s="443"/>
      <c r="B2933" s="444"/>
      <c r="C2933"/>
      <c r="D2933"/>
      <c r="E2933" s="321"/>
      <c r="H2933" s="322"/>
      <c r="I2933" s="322"/>
      <c r="J2933" s="242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</row>
    <row r="2934" spans="1:26" ht="15.75" hidden="1" customHeight="1" outlineLevel="2">
      <c r="A2934" s="443"/>
      <c r="B2934" s="444"/>
      <c r="C2934"/>
      <c r="D2934"/>
      <c r="E2934" s="321"/>
      <c r="H2934" s="322"/>
      <c r="I2934" s="322"/>
      <c r="J2934" s="242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</row>
    <row r="2935" spans="1:26" ht="15.75" hidden="1" customHeight="1" outlineLevel="2">
      <c r="A2935" s="443"/>
      <c r="B2935" s="444"/>
      <c r="C2935"/>
      <c r="D2935"/>
      <c r="E2935" s="321"/>
      <c r="H2935" s="322"/>
      <c r="I2935" s="322"/>
      <c r="J2935" s="242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</row>
    <row r="2936" spans="1:26" ht="15.75" hidden="1" customHeight="1" outlineLevel="2">
      <c r="A2936" s="443"/>
      <c r="B2936" s="444"/>
      <c r="C2936"/>
      <c r="D2936"/>
      <c r="E2936" s="321"/>
      <c r="H2936" s="322"/>
      <c r="I2936" s="322"/>
      <c r="J2936" s="242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</row>
    <row r="2937" spans="1:26" ht="15.75" hidden="1" customHeight="1" outlineLevel="2">
      <c r="A2937" s="443"/>
      <c r="B2937" s="444"/>
      <c r="C2937"/>
      <c r="D2937"/>
      <c r="E2937" s="321"/>
      <c r="H2937" s="322"/>
      <c r="I2937" s="322"/>
      <c r="J2937" s="242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</row>
    <row r="2938" spans="1:26" ht="15.75" hidden="1" customHeight="1" outlineLevel="2">
      <c r="A2938" s="443"/>
      <c r="B2938" s="444"/>
      <c r="C2938"/>
      <c r="D2938"/>
      <c r="E2938" s="321"/>
      <c r="H2938" s="322"/>
      <c r="I2938" s="322"/>
      <c r="J2938" s="242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</row>
    <row r="2939" spans="1:26" ht="15.75" hidden="1" customHeight="1" outlineLevel="2">
      <c r="A2939" s="443"/>
      <c r="B2939" s="444"/>
      <c r="C2939"/>
      <c r="D2939"/>
      <c r="E2939" s="321"/>
      <c r="H2939" s="322"/>
      <c r="I2939" s="322"/>
      <c r="J2939" s="242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</row>
    <row r="2940" spans="1:26" ht="15.75" hidden="1" customHeight="1" outlineLevel="2">
      <c r="A2940" s="443"/>
      <c r="B2940" s="444"/>
      <c r="C2940"/>
      <c r="D2940"/>
      <c r="E2940" s="321"/>
      <c r="H2940" s="322"/>
      <c r="I2940" s="322"/>
      <c r="J2940" s="242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</row>
    <row r="2941" spans="1:26" ht="15.75" hidden="1" customHeight="1" outlineLevel="2">
      <c r="A2941" s="443"/>
      <c r="B2941" s="444"/>
      <c r="C2941"/>
      <c r="D2941"/>
      <c r="E2941" s="321"/>
      <c r="H2941" s="322"/>
      <c r="I2941" s="322"/>
      <c r="J2941" s="242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</row>
    <row r="2942" spans="1:26" ht="15.75" hidden="1" customHeight="1" outlineLevel="2">
      <c r="A2942" s="443"/>
      <c r="B2942" s="444"/>
      <c r="C2942"/>
      <c r="D2942"/>
      <c r="E2942" s="321"/>
      <c r="H2942" s="322"/>
      <c r="I2942" s="322"/>
      <c r="J2942" s="242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</row>
    <row r="2943" spans="1:26" ht="15.75" hidden="1" customHeight="1" outlineLevel="2">
      <c r="A2943" s="443"/>
      <c r="B2943" s="444"/>
      <c r="C2943"/>
      <c r="D2943"/>
      <c r="E2943" s="321"/>
      <c r="H2943" s="322"/>
      <c r="I2943" s="322"/>
      <c r="J2943" s="242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</row>
    <row r="2944" spans="1:26" ht="15.75" hidden="1" customHeight="1" outlineLevel="2">
      <c r="A2944" s="443"/>
      <c r="B2944" s="444"/>
      <c r="C2944"/>
      <c r="D2944"/>
      <c r="E2944" s="321"/>
      <c r="H2944" s="322"/>
      <c r="I2944" s="322"/>
      <c r="J2944" s="242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</row>
    <row r="2945" spans="1:26" ht="15.75" hidden="1" customHeight="1" outlineLevel="2">
      <c r="A2945" s="443"/>
      <c r="B2945" s="444"/>
      <c r="C2945"/>
      <c r="D2945"/>
      <c r="E2945" s="321"/>
      <c r="F2945" s="242"/>
      <c r="G2945"/>
      <c r="H2945" s="322"/>
      <c r="I2945" s="322"/>
      <c r="J2945" s="242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</row>
    <row r="2946" spans="1:26" ht="15.75" hidden="1" customHeight="1" outlineLevel="2">
      <c r="A2946" s="443"/>
      <c r="B2946" s="444"/>
      <c r="C2946"/>
      <c r="D2946"/>
      <c r="E2946" s="321"/>
      <c r="H2946" s="322"/>
      <c r="I2946" s="322"/>
      <c r="J2946" s="242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</row>
    <row r="2947" spans="1:26" ht="15.75" hidden="1" customHeight="1" outlineLevel="2">
      <c r="A2947" s="443"/>
      <c r="B2947" s="444"/>
      <c r="C2947"/>
      <c r="D2947"/>
      <c r="E2947" s="321"/>
      <c r="H2947" s="322"/>
      <c r="I2947" s="322"/>
      <c r="J2947" s="242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</row>
    <row r="2948" spans="1:26" ht="15.75" hidden="1" customHeight="1" outlineLevel="2">
      <c r="A2948" s="443"/>
      <c r="B2948" s="444"/>
      <c r="C2948"/>
      <c r="D2948"/>
      <c r="E2948" s="321"/>
      <c r="H2948" s="322"/>
      <c r="I2948" s="322"/>
      <c r="J2948" s="242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</row>
    <row r="2949" spans="1:26" ht="15.75" hidden="1" customHeight="1" outlineLevel="2">
      <c r="A2949" s="443"/>
      <c r="B2949" s="444"/>
      <c r="C2949"/>
      <c r="D2949"/>
      <c r="E2949" s="321"/>
      <c r="H2949" s="322"/>
      <c r="I2949" s="322"/>
      <c r="J2949" s="242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</row>
    <row r="2950" spans="1:26" ht="15.75" hidden="1" customHeight="1" outlineLevel="2">
      <c r="A2950" s="443"/>
      <c r="B2950" s="444"/>
      <c r="C2950"/>
      <c r="D2950"/>
      <c r="E2950" s="321"/>
      <c r="H2950" s="322"/>
      <c r="I2950" s="322"/>
      <c r="J2950" s="242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</row>
    <row r="2951" spans="1:26" ht="15.75" hidden="1" customHeight="1" outlineLevel="2">
      <c r="A2951" s="443"/>
      <c r="B2951" s="444"/>
      <c r="C2951"/>
      <c r="D2951"/>
      <c r="E2951" s="321"/>
      <c r="H2951" s="322"/>
      <c r="I2951" s="322"/>
      <c r="J2951" s="242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</row>
    <row r="2952" spans="1:26" ht="15.75" hidden="1" customHeight="1" outlineLevel="2">
      <c r="A2952" s="443"/>
      <c r="B2952" s="444"/>
      <c r="C2952"/>
      <c r="D2952"/>
      <c r="E2952" s="321"/>
      <c r="H2952" s="322"/>
      <c r="I2952" s="322"/>
      <c r="J2952" s="242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</row>
    <row r="2953" spans="1:26" ht="15.75" hidden="1" customHeight="1" outlineLevel="2">
      <c r="A2953" s="443"/>
      <c r="B2953" s="444"/>
      <c r="C2953"/>
      <c r="D2953"/>
      <c r="E2953" s="321"/>
      <c r="H2953" s="322"/>
      <c r="I2953" s="322"/>
      <c r="J2953" s="242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</row>
    <row r="2954" spans="1:26" ht="15.75" hidden="1" customHeight="1" outlineLevel="2">
      <c r="A2954" s="443"/>
      <c r="B2954" s="444"/>
      <c r="C2954"/>
      <c r="D2954"/>
      <c r="E2954" s="321"/>
      <c r="H2954" s="322"/>
      <c r="I2954" s="322"/>
      <c r="J2954" s="242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</row>
    <row r="2955" spans="1:26" ht="15.75" hidden="1" customHeight="1" outlineLevel="2">
      <c r="A2955" s="443"/>
      <c r="B2955" s="444"/>
      <c r="C2955"/>
      <c r="D2955"/>
      <c r="E2955" s="321"/>
      <c r="H2955" s="322"/>
      <c r="I2955" s="322"/>
      <c r="J2955" s="242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</row>
    <row r="2956" spans="1:26" ht="15.75" hidden="1" customHeight="1" outlineLevel="2">
      <c r="A2956" s="443"/>
      <c r="B2956" s="444"/>
      <c r="C2956"/>
      <c r="D2956"/>
      <c r="E2956" s="321"/>
      <c r="F2956" s="242"/>
      <c r="G2956"/>
      <c r="H2956" s="322"/>
      <c r="I2956" s="322"/>
      <c r="J2956" s="242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</row>
    <row r="2957" spans="1:26" ht="15.75" hidden="1" customHeight="1" outlineLevel="2">
      <c r="A2957" s="443"/>
      <c r="B2957" s="444"/>
      <c r="C2957"/>
      <c r="D2957"/>
      <c r="E2957" s="321"/>
      <c r="F2957" s="242"/>
      <c r="G2957"/>
      <c r="H2957" s="322"/>
      <c r="I2957" s="322"/>
      <c r="J2957" s="242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</row>
    <row r="2958" spans="1:26" ht="15.75" hidden="1" customHeight="1" outlineLevel="2">
      <c r="A2958" s="443"/>
      <c r="B2958" s="444"/>
      <c r="C2958"/>
      <c r="D2958"/>
      <c r="E2958" s="321"/>
      <c r="H2958" s="322"/>
      <c r="I2958" s="322"/>
      <c r="J2958" s="242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</row>
    <row r="2959" spans="1:26" ht="15.75" hidden="1" customHeight="1" outlineLevel="2">
      <c r="A2959" s="443"/>
      <c r="B2959" s="444"/>
      <c r="C2959"/>
      <c r="D2959"/>
      <c r="E2959" s="321"/>
      <c r="F2959" s="242"/>
      <c r="G2959"/>
      <c r="H2959" s="322"/>
      <c r="I2959" s="322"/>
      <c r="J2959" s="242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</row>
    <row r="2960" spans="1:26" ht="15.75" hidden="1" customHeight="1" outlineLevel="2">
      <c r="A2960" s="443"/>
      <c r="B2960" s="444"/>
      <c r="C2960"/>
      <c r="D2960"/>
      <c r="E2960" s="321"/>
      <c r="H2960" s="322"/>
      <c r="I2960" s="322"/>
      <c r="J2960" s="242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</row>
    <row r="2961" spans="1:26" ht="15.75" hidden="1" customHeight="1" outlineLevel="2">
      <c r="A2961" s="443"/>
      <c r="B2961" s="444"/>
      <c r="C2961"/>
      <c r="D2961"/>
      <c r="E2961" s="321"/>
      <c r="H2961" s="322"/>
      <c r="I2961" s="322"/>
      <c r="J2961" s="242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</row>
    <row r="2962" spans="1:26" ht="15.75" hidden="1" customHeight="1" outlineLevel="2">
      <c r="A2962" s="443"/>
      <c r="B2962" s="444"/>
      <c r="C2962"/>
      <c r="D2962"/>
      <c r="E2962" s="321"/>
      <c r="F2962" s="242"/>
      <c r="G2962"/>
      <c r="H2962" s="322"/>
      <c r="I2962" s="322"/>
      <c r="J2962" s="242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</row>
    <row r="2963" spans="1:26" ht="15.75" hidden="1" customHeight="1" outlineLevel="2">
      <c r="A2963" s="443"/>
      <c r="B2963" s="444"/>
      <c r="C2963"/>
      <c r="D2963"/>
      <c r="E2963" s="321"/>
      <c r="F2963" s="242"/>
      <c r="G2963"/>
      <c r="H2963" s="322"/>
      <c r="I2963" s="322"/>
      <c r="J2963" s="242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</row>
    <row r="2964" spans="1:26" ht="15.75" hidden="1" customHeight="1" outlineLevel="2">
      <c r="A2964" s="443"/>
      <c r="B2964" s="444"/>
      <c r="C2964"/>
      <c r="D2964"/>
      <c r="E2964" s="321"/>
      <c r="F2964" s="242"/>
      <c r="G2964"/>
      <c r="H2964" s="322"/>
      <c r="I2964" s="322"/>
      <c r="J2964" s="242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</row>
    <row r="2965" spans="1:26" ht="15.75" hidden="1" customHeight="1" outlineLevel="2">
      <c r="A2965" s="443"/>
      <c r="B2965" s="444"/>
      <c r="C2965"/>
      <c r="D2965"/>
      <c r="E2965" s="321"/>
      <c r="F2965" s="242"/>
      <c r="G2965"/>
      <c r="H2965" s="322"/>
      <c r="I2965" s="322"/>
      <c r="J2965" s="242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</row>
    <row r="2966" spans="1:26" ht="15.75" hidden="1" customHeight="1" outlineLevel="2">
      <c r="A2966" s="443"/>
      <c r="B2966" s="444"/>
      <c r="C2966"/>
      <c r="D2966"/>
      <c r="E2966" s="321"/>
      <c r="F2966" s="242"/>
      <c r="G2966"/>
      <c r="H2966" s="322"/>
      <c r="I2966" s="322"/>
      <c r="J2966" s="242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</row>
    <row r="2967" spans="1:26" ht="15.75" hidden="1" customHeight="1" outlineLevel="2">
      <c r="A2967" s="443"/>
      <c r="B2967" s="444"/>
      <c r="C2967"/>
      <c r="D2967"/>
      <c r="E2967" s="321"/>
      <c r="F2967" s="242"/>
      <c r="G2967"/>
      <c r="H2967" s="322"/>
      <c r="I2967" s="322"/>
      <c r="J2967" s="242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</row>
    <row r="2968" spans="1:26" ht="15.75" hidden="1" customHeight="1" outlineLevel="2">
      <c r="A2968" s="443"/>
      <c r="B2968" s="444"/>
      <c r="C2968"/>
      <c r="D2968"/>
      <c r="E2968" s="321"/>
      <c r="F2968" s="242"/>
      <c r="G2968"/>
      <c r="H2968" s="322"/>
      <c r="I2968" s="322"/>
      <c r="J2968" s="242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</row>
    <row r="2969" spans="1:26" ht="15.75" hidden="1" customHeight="1" outlineLevel="2">
      <c r="A2969" s="443"/>
      <c r="B2969" s="444"/>
      <c r="C2969"/>
      <c r="D2969"/>
      <c r="E2969" s="321"/>
      <c r="F2969" s="242"/>
      <c r="G2969"/>
      <c r="H2969" s="322"/>
      <c r="I2969" s="322"/>
      <c r="J2969" s="242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</row>
    <row r="2970" spans="1:26" ht="15.75" hidden="1" customHeight="1" outlineLevel="2">
      <c r="A2970" s="443"/>
      <c r="B2970" s="444"/>
      <c r="C2970"/>
      <c r="D2970"/>
      <c r="E2970" s="321"/>
      <c r="F2970" s="242"/>
      <c r="G2970"/>
      <c r="H2970" s="322"/>
      <c r="I2970" s="322"/>
      <c r="J2970" s="242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</row>
    <row r="2971" spans="1:26" ht="15.75" hidden="1" customHeight="1" outlineLevel="2">
      <c r="A2971" s="443"/>
      <c r="B2971" s="444"/>
      <c r="C2971"/>
      <c r="D2971"/>
      <c r="E2971" s="321"/>
      <c r="F2971" s="242"/>
      <c r="G2971"/>
      <c r="H2971" s="322"/>
      <c r="I2971" s="322"/>
      <c r="J2971" s="242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</row>
    <row r="2972" spans="1:26" ht="15.75" hidden="1" customHeight="1" outlineLevel="2">
      <c r="A2972" s="443"/>
      <c r="B2972" s="444"/>
      <c r="C2972"/>
      <c r="D2972"/>
      <c r="E2972" s="321"/>
      <c r="F2972" s="242"/>
      <c r="G2972"/>
      <c r="H2972" s="322"/>
      <c r="I2972" s="322"/>
      <c r="J2972" s="242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</row>
    <row r="2973" spans="1:26" ht="15.75" hidden="1" customHeight="1" outlineLevel="2">
      <c r="A2973" s="443"/>
      <c r="B2973" s="444"/>
      <c r="C2973"/>
      <c r="D2973"/>
      <c r="E2973" s="321"/>
      <c r="F2973" s="242"/>
      <c r="G2973"/>
      <c r="H2973" s="322"/>
      <c r="I2973" s="322"/>
      <c r="J2973" s="242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</row>
    <row r="2974" spans="1:26" ht="15.75" hidden="1" customHeight="1" outlineLevel="2">
      <c r="A2974" s="443"/>
      <c r="B2974" s="444"/>
      <c r="C2974"/>
      <c r="D2974"/>
      <c r="E2974" s="321"/>
      <c r="F2974" s="242"/>
      <c r="G2974"/>
      <c r="H2974" s="322"/>
      <c r="I2974" s="322"/>
      <c r="J2974" s="242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</row>
    <row r="2975" spans="1:26" ht="15.75" hidden="1" customHeight="1" outlineLevel="2">
      <c r="A2975" s="443"/>
      <c r="B2975" s="444"/>
      <c r="C2975"/>
      <c r="D2975"/>
      <c r="E2975" s="321"/>
      <c r="F2975" s="242"/>
      <c r="G2975"/>
      <c r="H2975" s="322"/>
      <c r="I2975" s="322"/>
      <c r="J2975" s="242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</row>
    <row r="2976" spans="1:26" ht="15.75" hidden="1" customHeight="1" outlineLevel="2">
      <c r="A2976" s="443"/>
      <c r="B2976" s="444"/>
      <c r="C2976"/>
      <c r="D2976"/>
      <c r="E2976" s="321"/>
      <c r="F2976" s="242"/>
      <c r="G2976"/>
      <c r="H2976" s="322"/>
      <c r="I2976" s="322"/>
      <c r="J2976" s="242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</row>
    <row r="2977" spans="1:26" ht="15.75" hidden="1" customHeight="1" outlineLevel="2">
      <c r="A2977" s="443"/>
      <c r="B2977" s="444"/>
      <c r="C2977"/>
      <c r="D2977"/>
      <c r="E2977" s="321"/>
      <c r="F2977" s="242"/>
      <c r="G2977"/>
      <c r="H2977" s="322"/>
      <c r="I2977" s="322"/>
      <c r="J2977" s="242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</row>
    <row r="2978" spans="1:26" ht="15.75" hidden="1" customHeight="1" outlineLevel="2">
      <c r="A2978" s="443"/>
      <c r="B2978" s="444"/>
      <c r="C2978"/>
      <c r="D2978"/>
      <c r="E2978" s="321"/>
      <c r="F2978" s="242"/>
      <c r="G2978"/>
      <c r="H2978" s="322"/>
      <c r="I2978" s="322"/>
      <c r="J2978" s="242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</row>
    <row r="2979" spans="1:26" ht="15.75" hidden="1" customHeight="1" outlineLevel="2">
      <c r="A2979" s="443"/>
      <c r="B2979" s="444"/>
      <c r="C2979"/>
      <c r="D2979"/>
      <c r="E2979" s="321"/>
      <c r="F2979" s="242"/>
      <c r="G2979"/>
      <c r="H2979" s="322"/>
      <c r="I2979" s="322"/>
      <c r="J2979" s="242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</row>
    <row r="2980" spans="1:26" ht="15.75" hidden="1" customHeight="1" outlineLevel="2">
      <c r="A2980" s="443"/>
      <c r="B2980" s="444"/>
      <c r="C2980"/>
      <c r="D2980"/>
      <c r="E2980" s="321"/>
      <c r="F2980" s="242"/>
      <c r="G2980"/>
      <c r="H2980" s="322"/>
      <c r="I2980" s="322"/>
      <c r="J2980" s="242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</row>
    <row r="2981" spans="1:26" ht="15.75" hidden="1" customHeight="1" outlineLevel="2">
      <c r="A2981" s="443"/>
      <c r="B2981" s="444"/>
      <c r="C2981"/>
      <c r="D2981"/>
      <c r="E2981" s="321"/>
      <c r="F2981" s="242"/>
      <c r="G2981"/>
      <c r="H2981" s="322"/>
      <c r="I2981" s="322"/>
      <c r="J2981" s="242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</row>
    <row r="2982" spans="1:26" ht="15.75" hidden="1" customHeight="1" outlineLevel="2">
      <c r="A2982" s="443"/>
      <c r="B2982" s="444"/>
      <c r="C2982"/>
      <c r="D2982"/>
      <c r="E2982" s="321"/>
      <c r="F2982" s="242"/>
      <c r="G2982"/>
      <c r="H2982" s="322"/>
      <c r="I2982" s="322"/>
      <c r="J2982" s="242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</row>
    <row r="2983" spans="1:26" ht="15.75" hidden="1" customHeight="1" outlineLevel="2">
      <c r="A2983" s="443"/>
      <c r="B2983" s="444"/>
      <c r="C2983"/>
      <c r="D2983"/>
      <c r="E2983" s="321"/>
      <c r="F2983" s="242"/>
      <c r="G2983"/>
      <c r="H2983" s="322"/>
      <c r="I2983" s="322"/>
      <c r="J2983" s="242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</row>
    <row r="2984" spans="1:26" ht="15.75" hidden="1" customHeight="1" outlineLevel="2">
      <c r="A2984" s="443"/>
      <c r="B2984" s="444"/>
      <c r="C2984"/>
      <c r="D2984"/>
      <c r="E2984" s="321"/>
      <c r="F2984" s="242"/>
      <c r="G2984"/>
      <c r="H2984" s="322"/>
      <c r="I2984" s="322"/>
      <c r="J2984" s="242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</row>
    <row r="2985" spans="1:26" ht="15.75" hidden="1" customHeight="1" outlineLevel="2">
      <c r="A2985" s="443"/>
      <c r="B2985" s="444"/>
      <c r="C2985"/>
      <c r="D2985"/>
      <c r="E2985" s="321"/>
      <c r="H2985" s="322"/>
      <c r="I2985" s="322"/>
      <c r="J2985" s="242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</row>
    <row r="2986" spans="1:26" ht="15.75" hidden="1" customHeight="1" outlineLevel="2">
      <c r="A2986" s="443"/>
      <c r="B2986" s="444"/>
      <c r="C2986"/>
      <c r="D2986"/>
      <c r="E2986" s="321"/>
      <c r="H2986" s="322"/>
      <c r="I2986" s="322"/>
      <c r="J2986" s="242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</row>
    <row r="2987" spans="1:26" ht="15.75" hidden="1" customHeight="1" outlineLevel="2">
      <c r="A2987" s="443"/>
      <c r="B2987" s="444"/>
      <c r="C2987"/>
      <c r="D2987"/>
      <c r="E2987" s="321"/>
      <c r="H2987" s="322"/>
      <c r="I2987" s="322"/>
      <c r="J2987" s="242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</row>
    <row r="2988" spans="1:26" ht="15.75" hidden="1" customHeight="1" outlineLevel="2">
      <c r="A2988" s="443"/>
      <c r="B2988" s="444"/>
      <c r="C2988"/>
      <c r="D2988"/>
      <c r="E2988" s="321"/>
      <c r="H2988" s="322"/>
      <c r="I2988" s="322"/>
      <c r="J2988" s="242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</row>
    <row r="2989" spans="1:26" ht="15.75" hidden="1" customHeight="1" outlineLevel="2">
      <c r="A2989" s="443"/>
      <c r="B2989" s="444"/>
      <c r="C2989"/>
      <c r="D2989"/>
      <c r="E2989" s="321"/>
      <c r="H2989" s="322"/>
      <c r="I2989" s="322"/>
      <c r="J2989" s="242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</row>
    <row r="2990" spans="1:26" ht="15.75" hidden="1" customHeight="1" outlineLevel="2">
      <c r="A2990" s="443"/>
      <c r="B2990" s="444"/>
      <c r="C2990"/>
      <c r="D2990"/>
      <c r="E2990" s="321"/>
      <c r="H2990" s="322"/>
      <c r="I2990" s="322"/>
      <c r="J2990" s="242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</row>
    <row r="2991" spans="1:26" ht="15.75" hidden="1" customHeight="1" outlineLevel="2">
      <c r="A2991" s="443"/>
      <c r="B2991" s="444"/>
      <c r="C2991"/>
      <c r="D2991"/>
      <c r="E2991" s="321"/>
      <c r="H2991" s="322"/>
      <c r="I2991" s="322"/>
      <c r="J2991" s="242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</row>
    <row r="2992" spans="1:26" ht="15.75" hidden="1" customHeight="1" outlineLevel="2">
      <c r="A2992" s="443"/>
      <c r="B2992" s="444"/>
      <c r="C2992"/>
      <c r="D2992"/>
      <c r="E2992" s="321"/>
      <c r="H2992" s="322"/>
      <c r="I2992" s="322"/>
      <c r="J2992" s="242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</row>
    <row r="2993" spans="1:26" ht="15.75" hidden="1" customHeight="1" outlineLevel="2">
      <c r="A2993" s="443"/>
      <c r="B2993" s="444"/>
      <c r="C2993"/>
      <c r="D2993"/>
      <c r="E2993" s="321"/>
      <c r="H2993" s="322"/>
      <c r="I2993" s="322"/>
      <c r="J2993" s="242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</row>
    <row r="2994" spans="1:26" ht="15.75" hidden="1" customHeight="1" outlineLevel="2">
      <c r="A2994" s="443"/>
      <c r="B2994" s="444"/>
      <c r="C2994"/>
      <c r="D2994"/>
      <c r="E2994" s="321"/>
      <c r="H2994" s="322"/>
      <c r="I2994" s="322"/>
      <c r="J2994" s="242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</row>
    <row r="2995" spans="1:26" ht="15.75" hidden="1" customHeight="1" outlineLevel="2">
      <c r="A2995" s="443"/>
      <c r="B2995" s="444"/>
      <c r="C2995"/>
      <c r="D2995"/>
      <c r="E2995" s="321"/>
      <c r="H2995" s="322"/>
      <c r="I2995" s="322"/>
      <c r="J2995" s="242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</row>
    <row r="2996" spans="1:26" ht="15.75" hidden="1" customHeight="1" outlineLevel="2">
      <c r="A2996" s="443"/>
      <c r="B2996" s="444"/>
      <c r="C2996"/>
      <c r="D2996"/>
      <c r="E2996" s="321"/>
      <c r="H2996" s="322"/>
      <c r="I2996" s="322"/>
      <c r="J2996" s="242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</row>
    <row r="2997" spans="1:26" ht="15.75" hidden="1" customHeight="1" outlineLevel="2">
      <c r="A2997" s="443"/>
      <c r="B2997" s="444"/>
      <c r="C2997"/>
      <c r="D2997"/>
      <c r="E2997" s="321"/>
      <c r="H2997" s="322"/>
      <c r="I2997" s="322"/>
      <c r="J2997" s="242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</row>
    <row r="2998" spans="1:26" ht="15.75" hidden="1" customHeight="1" outlineLevel="2">
      <c r="A2998" s="443"/>
      <c r="B2998" s="444"/>
      <c r="C2998"/>
      <c r="D2998"/>
      <c r="E2998" s="321"/>
      <c r="H2998" s="322"/>
      <c r="I2998" s="322"/>
      <c r="J2998" s="242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</row>
    <row r="2999" spans="1:26" ht="15.75" hidden="1" customHeight="1" outlineLevel="2">
      <c r="A2999" s="443"/>
      <c r="B2999" s="444"/>
      <c r="C2999"/>
      <c r="D2999"/>
      <c r="E2999" s="321"/>
      <c r="H2999" s="322"/>
      <c r="I2999" s="322"/>
      <c r="J2999" s="242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</row>
    <row r="3000" spans="1:26" ht="15.75" hidden="1" customHeight="1" outlineLevel="2">
      <c r="A3000" s="443"/>
      <c r="B3000" s="444"/>
      <c r="C3000"/>
      <c r="D3000"/>
      <c r="E3000" s="321"/>
      <c r="H3000" s="322"/>
      <c r="I3000" s="322"/>
      <c r="J3000" s="242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</row>
    <row r="3001" spans="1:26" ht="15.75" hidden="1" customHeight="1" outlineLevel="2">
      <c r="A3001" s="443"/>
      <c r="B3001" s="444"/>
      <c r="C3001"/>
      <c r="D3001"/>
      <c r="E3001" s="321"/>
      <c r="H3001" s="322"/>
      <c r="I3001" s="322"/>
      <c r="J3001" s="242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</row>
    <row r="3002" spans="1:26" ht="15.75" hidden="1" customHeight="1" outlineLevel="2">
      <c r="A3002" s="443"/>
      <c r="B3002" s="444"/>
      <c r="C3002"/>
      <c r="D3002"/>
      <c r="E3002" s="321"/>
      <c r="H3002" s="322"/>
      <c r="I3002" s="322"/>
      <c r="J3002" s="242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</row>
    <row r="3003" spans="1:26" ht="15.75" hidden="1" customHeight="1" outlineLevel="2">
      <c r="A3003" s="443"/>
      <c r="B3003" s="444"/>
      <c r="C3003"/>
      <c r="D3003"/>
      <c r="E3003" s="321"/>
      <c r="H3003" s="322"/>
      <c r="I3003" s="322"/>
      <c r="J3003" s="242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</row>
    <row r="3004" spans="1:26" ht="15.75" hidden="1" customHeight="1" outlineLevel="2">
      <c r="A3004" s="443"/>
      <c r="B3004" s="444"/>
      <c r="C3004"/>
      <c r="D3004"/>
      <c r="E3004" s="321"/>
      <c r="H3004" s="322"/>
      <c r="I3004" s="322"/>
      <c r="J3004" s="242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</row>
    <row r="3005" spans="1:26" ht="15.75" hidden="1" customHeight="1" outlineLevel="2">
      <c r="A3005" s="443"/>
      <c r="B3005" s="444"/>
      <c r="C3005"/>
      <c r="D3005"/>
      <c r="E3005" s="321"/>
      <c r="H3005" s="322"/>
      <c r="I3005" s="322"/>
      <c r="J3005" s="242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</row>
    <row r="3006" spans="1:26" ht="15.75" hidden="1" customHeight="1" outlineLevel="2">
      <c r="A3006" s="443"/>
      <c r="B3006" s="444"/>
      <c r="C3006"/>
      <c r="D3006"/>
      <c r="E3006" s="321"/>
      <c r="H3006" s="322"/>
      <c r="I3006" s="322"/>
      <c r="J3006" s="242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</row>
    <row r="3007" spans="1:26" ht="15.75" hidden="1" customHeight="1" outlineLevel="2">
      <c r="A3007" s="443"/>
      <c r="B3007" s="444"/>
      <c r="C3007"/>
      <c r="D3007"/>
      <c r="E3007" s="321"/>
      <c r="H3007" s="322"/>
      <c r="I3007" s="322"/>
      <c r="J3007" s="242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</row>
    <row r="3008" spans="1:26" ht="15.75" hidden="1" customHeight="1" outlineLevel="2">
      <c r="A3008" s="443"/>
      <c r="B3008" s="444"/>
      <c r="C3008"/>
      <c r="D3008"/>
      <c r="E3008" s="321"/>
      <c r="H3008" s="322"/>
      <c r="I3008" s="322"/>
      <c r="J3008" s="242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</row>
    <row r="3009" spans="1:26" ht="15.75" hidden="1" customHeight="1" outlineLevel="2">
      <c r="A3009" s="443"/>
      <c r="B3009" s="444"/>
      <c r="C3009"/>
      <c r="D3009"/>
      <c r="E3009" s="321"/>
      <c r="H3009" s="322"/>
      <c r="I3009" s="322"/>
      <c r="J3009" s="242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</row>
    <row r="3010" spans="1:26" ht="15.75" hidden="1" customHeight="1" outlineLevel="2">
      <c r="A3010" s="443"/>
      <c r="B3010" s="444"/>
      <c r="C3010"/>
      <c r="D3010"/>
      <c r="E3010" s="321"/>
      <c r="H3010" s="322"/>
      <c r="I3010" s="322"/>
      <c r="J3010" s="242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</row>
    <row r="3011" spans="1:26" ht="15.75" hidden="1" customHeight="1" outlineLevel="2">
      <c r="A3011" s="443"/>
      <c r="B3011" s="444"/>
      <c r="C3011"/>
      <c r="D3011"/>
      <c r="E3011" s="321"/>
      <c r="H3011" s="322"/>
      <c r="I3011" s="322"/>
      <c r="J3011" s="242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</row>
    <row r="3012" spans="1:26" ht="15.75" hidden="1" customHeight="1" outlineLevel="2">
      <c r="A3012" s="443"/>
      <c r="B3012" s="444"/>
      <c r="C3012"/>
      <c r="D3012"/>
      <c r="E3012" s="321"/>
      <c r="H3012" s="322"/>
      <c r="I3012" s="322"/>
      <c r="J3012" s="242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</row>
    <row r="3013" spans="1:26" ht="15.75" hidden="1" customHeight="1" outlineLevel="2">
      <c r="A3013" s="443"/>
      <c r="B3013" s="444"/>
      <c r="C3013"/>
      <c r="D3013"/>
      <c r="E3013" s="321"/>
      <c r="H3013" s="322"/>
      <c r="I3013" s="322"/>
      <c r="J3013" s="242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</row>
    <row r="3014" spans="1:26" ht="15.75" hidden="1" customHeight="1" outlineLevel="2">
      <c r="A3014" s="443"/>
      <c r="B3014" s="444"/>
      <c r="C3014"/>
      <c r="D3014"/>
      <c r="E3014" s="321"/>
      <c r="F3014" s="242"/>
      <c r="G3014"/>
      <c r="H3014" s="322"/>
      <c r="I3014" s="322"/>
      <c r="J3014" s="242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</row>
    <row r="3015" spans="1:26" ht="15.75" hidden="1" customHeight="1" outlineLevel="2">
      <c r="A3015" s="443"/>
      <c r="B3015" s="444"/>
      <c r="C3015"/>
      <c r="D3015"/>
      <c r="E3015" s="321"/>
      <c r="F3015" s="242"/>
      <c r="G3015"/>
      <c r="H3015" s="322"/>
      <c r="I3015" s="322"/>
      <c r="J3015" s="242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</row>
    <row r="3016" spans="1:26" ht="15.75" hidden="1" customHeight="1" outlineLevel="2">
      <c r="A3016" s="443"/>
      <c r="B3016" s="444"/>
      <c r="C3016"/>
      <c r="D3016"/>
      <c r="E3016" s="321"/>
      <c r="H3016" s="322"/>
      <c r="I3016" s="322"/>
      <c r="J3016" s="242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</row>
    <row r="3017" spans="1:26" ht="15.75" hidden="1" customHeight="1" outlineLevel="2">
      <c r="A3017" s="443"/>
      <c r="B3017" s="444"/>
      <c r="C3017"/>
      <c r="D3017"/>
      <c r="E3017" s="321"/>
      <c r="H3017" s="322"/>
      <c r="I3017" s="322"/>
      <c r="J3017" s="242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</row>
    <row r="3018" spans="1:26" ht="15.75" hidden="1" customHeight="1" outlineLevel="2">
      <c r="A3018" s="443"/>
      <c r="B3018" s="444"/>
      <c r="C3018"/>
      <c r="D3018"/>
      <c r="E3018" s="321"/>
      <c r="H3018" s="322"/>
      <c r="I3018" s="322"/>
      <c r="J3018" s="242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</row>
    <row r="3019" spans="1:26" ht="15.75" hidden="1" customHeight="1" outlineLevel="2">
      <c r="A3019" s="443"/>
      <c r="B3019" s="444"/>
      <c r="C3019"/>
      <c r="D3019"/>
      <c r="E3019" s="321"/>
      <c r="F3019" s="242"/>
      <c r="G3019"/>
      <c r="H3019" s="322"/>
      <c r="I3019" s="322"/>
      <c r="J3019" s="242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</row>
    <row r="3020" spans="1:26" ht="15.75" hidden="1" customHeight="1" outlineLevel="2">
      <c r="A3020" s="443"/>
      <c r="B3020" s="444"/>
      <c r="C3020"/>
      <c r="D3020"/>
      <c r="E3020" s="321"/>
      <c r="F3020" s="242"/>
      <c r="G3020"/>
      <c r="H3020" s="322"/>
      <c r="I3020" s="322"/>
      <c r="J3020" s="242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</row>
    <row r="3021" spans="1:26" ht="15.75" hidden="1" customHeight="1" outlineLevel="2">
      <c r="A3021" s="443"/>
      <c r="B3021" s="444"/>
      <c r="C3021"/>
      <c r="D3021"/>
      <c r="E3021" s="321"/>
      <c r="F3021" s="242"/>
      <c r="G3021"/>
      <c r="H3021" s="322"/>
      <c r="I3021" s="322"/>
      <c r="J3021" s="242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</row>
    <row r="3022" spans="1:26" ht="15.75" hidden="1" customHeight="1" outlineLevel="2">
      <c r="A3022" s="443"/>
      <c r="B3022" s="444"/>
      <c r="C3022"/>
      <c r="D3022"/>
      <c r="E3022" s="321"/>
      <c r="F3022" s="242"/>
      <c r="G3022"/>
      <c r="H3022" s="322"/>
      <c r="I3022" s="322"/>
      <c r="J3022" s="242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</row>
    <row r="3023" spans="1:26" ht="15.75" hidden="1" customHeight="1" outlineLevel="2">
      <c r="A3023" s="443"/>
      <c r="B3023" s="444"/>
      <c r="C3023"/>
      <c r="D3023"/>
      <c r="E3023" s="321"/>
      <c r="F3023" s="242"/>
      <c r="G3023"/>
      <c r="H3023" s="322"/>
      <c r="I3023" s="322"/>
      <c r="J3023" s="242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</row>
    <row r="3024" spans="1:26" ht="15.75" hidden="1" customHeight="1" outlineLevel="2">
      <c r="A3024" s="443"/>
      <c r="B3024" s="444"/>
      <c r="C3024"/>
      <c r="D3024"/>
      <c r="E3024" s="321"/>
      <c r="F3024" s="242"/>
      <c r="G3024"/>
      <c r="H3024" s="322"/>
      <c r="I3024" s="322"/>
      <c r="J3024" s="242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</row>
    <row r="3025" spans="1:26" ht="15.75" hidden="1" customHeight="1" outlineLevel="2">
      <c r="A3025" s="443"/>
      <c r="B3025" s="444"/>
      <c r="C3025"/>
      <c r="D3025"/>
      <c r="E3025" s="321"/>
      <c r="F3025" s="242"/>
      <c r="G3025"/>
      <c r="H3025" s="322"/>
      <c r="I3025" s="322"/>
      <c r="J3025" s="242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</row>
    <row r="3026" spans="1:26" ht="15.75" hidden="1" customHeight="1" outlineLevel="2">
      <c r="A3026" s="443"/>
      <c r="B3026" s="444"/>
      <c r="C3026"/>
      <c r="D3026"/>
      <c r="E3026" s="321"/>
      <c r="F3026" s="242"/>
      <c r="G3026"/>
      <c r="H3026" s="322"/>
      <c r="I3026" s="322"/>
      <c r="J3026" s="242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</row>
    <row r="3027" spans="1:26" ht="15.75" hidden="1" customHeight="1" outlineLevel="2">
      <c r="A3027" s="443"/>
      <c r="B3027" s="444"/>
      <c r="C3027"/>
      <c r="D3027"/>
      <c r="E3027" s="321"/>
      <c r="F3027" s="242"/>
      <c r="G3027"/>
      <c r="H3027" s="322"/>
      <c r="I3027" s="322"/>
      <c r="J3027" s="242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</row>
    <row r="3028" spans="1:26" ht="15.75" hidden="1" customHeight="1" outlineLevel="2">
      <c r="A3028" s="443"/>
      <c r="B3028" s="444"/>
      <c r="C3028"/>
      <c r="D3028"/>
      <c r="E3028" s="321"/>
      <c r="F3028" s="242"/>
      <c r="G3028"/>
      <c r="H3028" s="322"/>
      <c r="I3028" s="322"/>
      <c r="J3028" s="242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</row>
    <row r="3029" spans="1:26" ht="15.75" hidden="1" customHeight="1" outlineLevel="2">
      <c r="A3029" s="443"/>
      <c r="B3029" s="444"/>
      <c r="C3029"/>
      <c r="D3029"/>
      <c r="E3029" s="321"/>
      <c r="F3029" s="242"/>
      <c r="G3029"/>
      <c r="H3029" s="322"/>
      <c r="I3029" s="322"/>
      <c r="J3029" s="242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</row>
    <row r="3030" spans="1:26" ht="15.75" hidden="1" customHeight="1" outlineLevel="2">
      <c r="A3030" s="443"/>
      <c r="B3030" s="444"/>
      <c r="C3030"/>
      <c r="D3030"/>
      <c r="E3030" s="321"/>
      <c r="F3030" s="242"/>
      <c r="G3030"/>
      <c r="H3030" s="322"/>
      <c r="I3030" s="322"/>
      <c r="J3030" s="242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</row>
    <row r="3031" spans="1:26" ht="15.75" hidden="1" customHeight="1" outlineLevel="2">
      <c r="A3031" s="443"/>
      <c r="B3031" s="444"/>
      <c r="C3031"/>
      <c r="D3031"/>
      <c r="E3031" s="321"/>
      <c r="F3031" s="242"/>
      <c r="G3031"/>
      <c r="H3031" s="322"/>
      <c r="I3031" s="322"/>
      <c r="J3031" s="242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</row>
    <row r="3032" spans="1:26" ht="15.75" hidden="1" customHeight="1" outlineLevel="2">
      <c r="A3032" s="443"/>
      <c r="B3032" s="444"/>
      <c r="C3032"/>
      <c r="D3032"/>
      <c r="E3032" s="321"/>
      <c r="F3032" s="242"/>
      <c r="G3032"/>
      <c r="H3032" s="322"/>
      <c r="I3032" s="322"/>
      <c r="J3032" s="242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</row>
    <row r="3033" spans="1:26" ht="15.75" hidden="1" customHeight="1" outlineLevel="2">
      <c r="A3033" s="443"/>
      <c r="B3033" s="444"/>
      <c r="C3033"/>
      <c r="D3033"/>
      <c r="E3033" s="321"/>
      <c r="F3033" s="242"/>
      <c r="G3033"/>
      <c r="H3033" s="322"/>
      <c r="I3033" s="322"/>
      <c r="J3033" s="242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</row>
    <row r="3034" spans="1:26" ht="15.75" hidden="1" customHeight="1" outlineLevel="2">
      <c r="A3034" s="443"/>
      <c r="B3034" s="444"/>
      <c r="C3034"/>
      <c r="D3034"/>
      <c r="E3034" s="321"/>
      <c r="F3034" s="242"/>
      <c r="G3034"/>
      <c r="H3034" s="322"/>
      <c r="I3034" s="322"/>
      <c r="J3034" s="242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</row>
    <row r="3035" spans="1:26" ht="15.75" hidden="1" customHeight="1" outlineLevel="2">
      <c r="A3035" s="443"/>
      <c r="B3035" s="444"/>
      <c r="C3035"/>
      <c r="D3035"/>
      <c r="E3035" s="321"/>
      <c r="F3035" s="242"/>
      <c r="G3035"/>
      <c r="H3035" s="322"/>
      <c r="I3035" s="322"/>
      <c r="J3035" s="242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</row>
    <row r="3036" spans="1:26" ht="15.75" hidden="1" customHeight="1" outlineLevel="2">
      <c r="A3036" s="443"/>
      <c r="B3036" s="444"/>
      <c r="C3036"/>
      <c r="D3036"/>
      <c r="E3036" s="321"/>
      <c r="F3036" s="242"/>
      <c r="G3036"/>
      <c r="H3036" s="322"/>
      <c r="I3036" s="322"/>
      <c r="J3036" s="242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</row>
    <row r="3037" spans="1:26" ht="15.75" hidden="1" customHeight="1" outlineLevel="2">
      <c r="A3037" s="443"/>
      <c r="B3037" s="444"/>
      <c r="C3037"/>
      <c r="D3037"/>
      <c r="E3037" s="321"/>
      <c r="F3037" s="242"/>
      <c r="G3037"/>
      <c r="H3037" s="322"/>
      <c r="I3037" s="322"/>
      <c r="J3037" s="242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</row>
    <row r="3038" spans="1:26" ht="15.75" hidden="1" customHeight="1" outlineLevel="2">
      <c r="A3038" s="443"/>
      <c r="B3038" s="444"/>
      <c r="C3038"/>
      <c r="D3038"/>
      <c r="E3038" s="321"/>
      <c r="F3038" s="242"/>
      <c r="G3038"/>
      <c r="H3038" s="322"/>
      <c r="I3038" s="322"/>
      <c r="J3038" s="242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</row>
    <row r="3039" spans="1:26" ht="15.75" hidden="1" customHeight="1" outlineLevel="2">
      <c r="A3039" s="443"/>
      <c r="B3039" s="444"/>
      <c r="C3039"/>
      <c r="D3039"/>
      <c r="E3039" s="321"/>
      <c r="F3039" s="242"/>
      <c r="G3039"/>
      <c r="H3039" s="322"/>
      <c r="I3039" s="322"/>
      <c r="J3039" s="242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</row>
    <row r="3040" spans="1:26" ht="15.75" hidden="1" customHeight="1" outlineLevel="2">
      <c r="A3040" s="443"/>
      <c r="B3040" s="444"/>
      <c r="C3040"/>
      <c r="D3040"/>
      <c r="E3040" s="321"/>
      <c r="F3040" s="242"/>
      <c r="G3040"/>
      <c r="H3040" s="322"/>
      <c r="I3040" s="322"/>
      <c r="J3040" s="242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</row>
    <row r="3041" spans="1:26" ht="15.75" hidden="1" customHeight="1" outlineLevel="2">
      <c r="A3041" s="443"/>
      <c r="B3041" s="444"/>
      <c r="C3041"/>
      <c r="D3041"/>
      <c r="E3041" s="321"/>
      <c r="F3041" s="242"/>
      <c r="G3041"/>
      <c r="H3041" s="322"/>
      <c r="I3041" s="322"/>
      <c r="J3041" s="242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</row>
    <row r="3042" spans="1:26" ht="15.75" hidden="1" customHeight="1" outlineLevel="2">
      <c r="A3042" s="443"/>
      <c r="B3042" s="444"/>
      <c r="C3042"/>
      <c r="D3042"/>
      <c r="E3042" s="321"/>
      <c r="F3042" s="242"/>
      <c r="G3042"/>
      <c r="H3042" s="322"/>
      <c r="I3042" s="322"/>
      <c r="J3042" s="242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</row>
    <row r="3043" spans="1:26" ht="15.75" hidden="1" customHeight="1" outlineLevel="2">
      <c r="A3043" s="443"/>
      <c r="B3043" s="444"/>
      <c r="C3043"/>
      <c r="D3043"/>
      <c r="E3043" s="321"/>
      <c r="F3043" s="242"/>
      <c r="G3043"/>
      <c r="H3043" s="322"/>
      <c r="I3043" s="322"/>
      <c r="J3043" s="242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</row>
    <row r="3044" spans="1:26" ht="15.75" hidden="1" customHeight="1" outlineLevel="2">
      <c r="A3044" s="443"/>
      <c r="B3044" s="444"/>
      <c r="C3044"/>
      <c r="D3044"/>
      <c r="E3044" s="321"/>
      <c r="F3044" s="242"/>
      <c r="G3044"/>
      <c r="H3044" s="322"/>
      <c r="I3044" s="322"/>
      <c r="J3044" s="242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</row>
    <row r="3045" spans="1:26" ht="15.75" hidden="1" customHeight="1" outlineLevel="2">
      <c r="A3045" s="443"/>
      <c r="B3045" s="444"/>
      <c r="C3045"/>
      <c r="D3045"/>
      <c r="E3045" s="321"/>
      <c r="F3045" s="242"/>
      <c r="G3045"/>
      <c r="H3045" s="322"/>
      <c r="I3045" s="322"/>
      <c r="J3045" s="242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</row>
    <row r="3046" spans="1:26" ht="15.75" hidden="1" customHeight="1" outlineLevel="2">
      <c r="A3046" s="443"/>
      <c r="B3046" s="444"/>
      <c r="C3046"/>
      <c r="D3046"/>
      <c r="E3046" s="321"/>
      <c r="H3046" s="322"/>
      <c r="I3046" s="322"/>
      <c r="J3046" s="242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</row>
    <row r="3047" spans="1:26" ht="15.75" hidden="1" customHeight="1" outlineLevel="2">
      <c r="A3047" s="443"/>
      <c r="B3047" s="444"/>
      <c r="C3047"/>
      <c r="D3047"/>
      <c r="E3047" s="321"/>
      <c r="H3047" s="322"/>
      <c r="I3047" s="322"/>
      <c r="J3047" s="242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</row>
    <row r="3048" spans="1:26" ht="15.75" hidden="1" customHeight="1" outlineLevel="2">
      <c r="A3048" s="443"/>
      <c r="B3048" s="444"/>
      <c r="C3048"/>
      <c r="D3048"/>
      <c r="E3048" s="321"/>
      <c r="H3048" s="322"/>
      <c r="I3048" s="322"/>
      <c r="J3048" s="242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</row>
    <row r="3049" spans="1:26" ht="15.75" hidden="1" customHeight="1" outlineLevel="2">
      <c r="A3049" s="443"/>
      <c r="B3049" s="444"/>
      <c r="C3049"/>
      <c r="D3049"/>
      <c r="E3049" s="321"/>
      <c r="H3049" s="322"/>
      <c r="I3049" s="322"/>
      <c r="J3049" s="242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</row>
    <row r="3050" spans="1:26" ht="15.75" hidden="1" customHeight="1" outlineLevel="2">
      <c r="A3050" s="443"/>
      <c r="B3050" s="444"/>
      <c r="C3050"/>
      <c r="D3050"/>
      <c r="E3050" s="321"/>
      <c r="H3050" s="322"/>
      <c r="I3050" s="322"/>
      <c r="J3050" s="242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</row>
    <row r="3051" spans="1:26" ht="15.75" hidden="1" customHeight="1" outlineLevel="2">
      <c r="A3051" s="443"/>
      <c r="B3051" s="444"/>
      <c r="C3051"/>
      <c r="D3051"/>
      <c r="E3051" s="321"/>
      <c r="H3051" s="322"/>
      <c r="I3051" s="322"/>
      <c r="J3051" s="242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</row>
    <row r="3052" spans="1:26" ht="15.75" hidden="1" customHeight="1" outlineLevel="2">
      <c r="A3052" s="443"/>
      <c r="B3052" s="444"/>
      <c r="C3052"/>
      <c r="D3052"/>
      <c r="E3052" s="321"/>
      <c r="H3052" s="322"/>
      <c r="I3052" s="322"/>
      <c r="J3052" s="242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</row>
    <row r="3053" spans="1:26" ht="15.75" hidden="1" customHeight="1" outlineLevel="2">
      <c r="A3053" s="443"/>
      <c r="B3053" s="444"/>
      <c r="C3053"/>
      <c r="D3053"/>
      <c r="E3053" s="321"/>
      <c r="H3053" s="322"/>
      <c r="I3053" s="322"/>
      <c r="J3053" s="242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</row>
    <row r="3054" spans="1:26" ht="15.75" hidden="1" customHeight="1" outlineLevel="2">
      <c r="A3054" s="443"/>
      <c r="B3054" s="444"/>
      <c r="C3054"/>
      <c r="D3054"/>
      <c r="E3054" s="321"/>
      <c r="H3054" s="322"/>
      <c r="I3054" s="322"/>
      <c r="J3054" s="242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</row>
    <row r="3055" spans="1:26" ht="15.75" hidden="1" customHeight="1" outlineLevel="2">
      <c r="A3055" s="443"/>
      <c r="B3055" s="444"/>
      <c r="C3055"/>
      <c r="D3055"/>
      <c r="E3055" s="321"/>
      <c r="H3055" s="322"/>
      <c r="I3055" s="322"/>
      <c r="J3055" s="242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</row>
    <row r="3056" spans="1:26" ht="15.75" hidden="1" customHeight="1" outlineLevel="2">
      <c r="A3056" s="443"/>
      <c r="B3056" s="444"/>
      <c r="C3056"/>
      <c r="D3056"/>
      <c r="E3056" s="321"/>
      <c r="H3056" s="322"/>
      <c r="I3056" s="322"/>
      <c r="J3056" s="242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</row>
    <row r="3057" spans="1:26" ht="15.75" hidden="1" customHeight="1" outlineLevel="2">
      <c r="A3057" s="443"/>
      <c r="B3057" s="444"/>
      <c r="C3057"/>
      <c r="D3057"/>
      <c r="E3057" s="321"/>
      <c r="F3057" s="242"/>
      <c r="G3057"/>
      <c r="H3057" s="322"/>
      <c r="I3057" s="322"/>
      <c r="J3057" s="242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</row>
    <row r="3058" spans="1:26" ht="15.75" hidden="1" customHeight="1" outlineLevel="2">
      <c r="A3058" s="443"/>
      <c r="B3058" s="444"/>
      <c r="C3058"/>
      <c r="D3058"/>
      <c r="E3058" s="321"/>
      <c r="F3058" s="242"/>
      <c r="G3058"/>
      <c r="H3058" s="322"/>
      <c r="I3058" s="322"/>
      <c r="J3058" s="242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</row>
    <row r="3059" spans="1:26" ht="15.75" hidden="1" customHeight="1" outlineLevel="2">
      <c r="A3059" s="443"/>
      <c r="B3059" s="444"/>
      <c r="C3059"/>
      <c r="D3059"/>
      <c r="E3059" s="321"/>
      <c r="F3059" s="242"/>
      <c r="G3059"/>
      <c r="H3059" s="322"/>
      <c r="I3059" s="322"/>
      <c r="J3059" s="242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</row>
    <row r="3060" spans="1:26" ht="15.75" hidden="1" customHeight="1" outlineLevel="2">
      <c r="A3060" s="443"/>
      <c r="B3060" s="444"/>
      <c r="C3060"/>
      <c r="D3060"/>
      <c r="E3060" s="321"/>
      <c r="F3060" s="242"/>
      <c r="G3060"/>
      <c r="H3060" s="322"/>
      <c r="I3060" s="322"/>
      <c r="J3060" s="242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</row>
    <row r="3061" spans="1:26" ht="15.75" hidden="1" customHeight="1" outlineLevel="2">
      <c r="A3061" s="443"/>
      <c r="B3061" s="444"/>
      <c r="C3061"/>
      <c r="D3061"/>
      <c r="E3061" s="321"/>
      <c r="F3061" s="242"/>
      <c r="G3061"/>
      <c r="H3061" s="322"/>
      <c r="I3061" s="322"/>
      <c r="J3061" s="242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</row>
    <row r="3062" spans="1:26" ht="15.75" hidden="1" customHeight="1" outlineLevel="2">
      <c r="A3062" s="443"/>
      <c r="B3062" s="444"/>
      <c r="C3062"/>
      <c r="D3062"/>
      <c r="E3062" s="321"/>
      <c r="F3062" s="242"/>
      <c r="G3062"/>
      <c r="H3062" s="322"/>
      <c r="I3062" s="322"/>
      <c r="J3062" s="242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</row>
    <row r="3063" spans="1:26" ht="15.75" hidden="1" customHeight="1" outlineLevel="2">
      <c r="A3063" s="443"/>
      <c r="B3063" s="444"/>
      <c r="C3063"/>
      <c r="D3063"/>
      <c r="E3063" s="321"/>
      <c r="F3063" s="242"/>
      <c r="G3063"/>
      <c r="H3063" s="322"/>
      <c r="I3063" s="322"/>
      <c r="J3063" s="242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</row>
    <row r="3064" spans="1:26" ht="15.75" hidden="1" customHeight="1" outlineLevel="2">
      <c r="A3064" s="443"/>
      <c r="B3064" s="444"/>
      <c r="C3064"/>
      <c r="D3064"/>
      <c r="E3064" s="321"/>
      <c r="F3064" s="242"/>
      <c r="G3064"/>
      <c r="H3064" s="322"/>
      <c r="I3064" s="322"/>
      <c r="J3064" s="242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</row>
    <row r="3065" spans="1:26" ht="15.75" hidden="1" customHeight="1" outlineLevel="2">
      <c r="A3065" s="443"/>
      <c r="B3065" s="444"/>
      <c r="C3065"/>
      <c r="D3065"/>
      <c r="E3065" s="321"/>
      <c r="F3065" s="242"/>
      <c r="G3065"/>
      <c r="H3065" s="322"/>
      <c r="I3065" s="322"/>
      <c r="J3065" s="242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</row>
    <row r="3066" spans="1:26" ht="15.75" hidden="1" customHeight="1" outlineLevel="2">
      <c r="A3066" s="443"/>
      <c r="B3066" s="444"/>
      <c r="C3066"/>
      <c r="D3066"/>
      <c r="E3066" s="321"/>
      <c r="F3066" s="242"/>
      <c r="G3066"/>
      <c r="H3066" s="322"/>
      <c r="I3066" s="322"/>
      <c r="J3066" s="242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</row>
    <row r="3067" spans="1:26" ht="15.75" hidden="1" customHeight="1" outlineLevel="2">
      <c r="A3067" s="443"/>
      <c r="B3067" s="444"/>
      <c r="C3067"/>
      <c r="D3067"/>
      <c r="E3067" s="321"/>
      <c r="F3067" s="242"/>
      <c r="G3067"/>
      <c r="H3067" s="322"/>
      <c r="I3067" s="322"/>
      <c r="J3067" s="242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</row>
    <row r="3068" spans="1:26" ht="15.75" hidden="1" customHeight="1" outlineLevel="2">
      <c r="A3068" s="443"/>
      <c r="B3068" s="444"/>
      <c r="C3068"/>
      <c r="D3068"/>
      <c r="E3068" s="321"/>
      <c r="F3068" s="242"/>
      <c r="G3068"/>
      <c r="H3068" s="322"/>
      <c r="I3068" s="322"/>
      <c r="J3068" s="242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</row>
    <row r="3069" spans="1:26" ht="15.75" hidden="1" customHeight="1" outlineLevel="2">
      <c r="A3069"/>
      <c r="B3069" s="249"/>
      <c r="C3069"/>
      <c r="D3069"/>
      <c r="E3069" s="321"/>
      <c r="F3069" s="242"/>
      <c r="G3069"/>
      <c r="H3069" s="322"/>
      <c r="I3069" s="322"/>
      <c r="J3069" s="242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</row>
    <row r="3070" spans="1:26" ht="15.75" hidden="1" customHeight="1" outlineLevel="2">
      <c r="A3070"/>
      <c r="B3070" s="249"/>
      <c r="C3070"/>
      <c r="D3070"/>
      <c r="E3070" s="321"/>
      <c r="F3070" s="242"/>
      <c r="G3070"/>
      <c r="H3070" s="322"/>
      <c r="I3070" s="322"/>
      <c r="J3070" s="242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</row>
    <row r="3071" spans="1:26" ht="15.75" hidden="1" customHeight="1" outlineLevel="2">
      <c r="A3071"/>
      <c r="B3071" s="249"/>
      <c r="C3071"/>
      <c r="D3071"/>
      <c r="E3071" s="321"/>
      <c r="F3071" s="242"/>
      <c r="G3071"/>
      <c r="H3071" s="322"/>
      <c r="I3071" s="322"/>
      <c r="J3071" s="242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</row>
    <row r="3072" spans="1:26" ht="15.75" hidden="1" customHeight="1" outlineLevel="2">
      <c r="A3072"/>
      <c r="B3072" s="249"/>
      <c r="C3072"/>
      <c r="D3072"/>
      <c r="E3072" s="321"/>
      <c r="F3072" s="242"/>
      <c r="G3072"/>
      <c r="H3072" s="322"/>
      <c r="I3072" s="322"/>
      <c r="J3072" s="242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</row>
    <row r="3073" spans="1:26" ht="15.75" hidden="1" customHeight="1" outlineLevel="2">
      <c r="A3073"/>
      <c r="B3073" s="249"/>
      <c r="C3073"/>
      <c r="D3073"/>
      <c r="E3073" s="321"/>
      <c r="F3073" s="242"/>
      <c r="G3073"/>
      <c r="H3073" s="322"/>
      <c r="I3073" s="322"/>
      <c r="J3073" s="242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</row>
    <row r="3074" spans="1:26" ht="15.75" hidden="1" customHeight="1" outlineLevel="2">
      <c r="A3074"/>
      <c r="B3074" s="249"/>
      <c r="C3074"/>
      <c r="D3074"/>
      <c r="E3074" s="321"/>
      <c r="F3074" s="242"/>
      <c r="G3074"/>
      <c r="H3074" s="322"/>
      <c r="I3074" s="322"/>
      <c r="J3074" s="242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</row>
    <row r="3075" spans="1:26" ht="15.75" hidden="1" customHeight="1" outlineLevel="2">
      <c r="A3075"/>
      <c r="B3075" s="249"/>
      <c r="C3075"/>
      <c r="D3075"/>
      <c r="E3075" s="321"/>
      <c r="F3075" s="242"/>
      <c r="G3075"/>
      <c r="H3075" s="322"/>
      <c r="I3075" s="322"/>
      <c r="J3075" s="242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</row>
    <row r="3076" spans="1:26" ht="15.75" hidden="1" customHeight="1" outlineLevel="2">
      <c r="A3076"/>
      <c r="B3076" s="249"/>
      <c r="C3076"/>
      <c r="D3076"/>
      <c r="E3076" s="321"/>
      <c r="F3076" s="242"/>
      <c r="G3076"/>
      <c r="H3076" s="322"/>
      <c r="I3076" s="322"/>
      <c r="J3076" s="242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</row>
    <row r="3077" spans="1:26" ht="15.75" hidden="1" customHeight="1" outlineLevel="2">
      <c r="A3077"/>
      <c r="B3077" s="249"/>
      <c r="C3077"/>
      <c r="D3077"/>
      <c r="E3077" s="321"/>
      <c r="F3077" s="242"/>
      <c r="G3077"/>
      <c r="H3077" s="322"/>
      <c r="I3077" s="322"/>
      <c r="J3077" s="242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</row>
    <row r="3078" spans="1:26" ht="15.75" hidden="1" customHeight="1" outlineLevel="2">
      <c r="A3078"/>
      <c r="B3078" s="249"/>
      <c r="C3078"/>
      <c r="D3078"/>
      <c r="E3078" s="321"/>
      <c r="F3078" s="242"/>
      <c r="G3078"/>
      <c r="H3078" s="322"/>
      <c r="I3078" s="322"/>
      <c r="J3078" s="242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</row>
    <row r="3079" spans="1:26" ht="15.75" hidden="1" customHeight="1" outlineLevel="2">
      <c r="A3079"/>
      <c r="B3079" s="249"/>
      <c r="C3079"/>
      <c r="D3079"/>
      <c r="E3079" s="321"/>
      <c r="F3079" s="242"/>
      <c r="G3079"/>
      <c r="H3079" s="322"/>
      <c r="I3079" s="322"/>
      <c r="J3079" s="242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</row>
    <row r="3080" spans="1:26" ht="15.75" hidden="1" customHeight="1" outlineLevel="2">
      <c r="A3080"/>
      <c r="B3080" s="249"/>
      <c r="C3080"/>
      <c r="D3080"/>
      <c r="E3080" s="321"/>
      <c r="F3080" s="242"/>
      <c r="G3080"/>
      <c r="H3080" s="322"/>
      <c r="I3080" s="322"/>
      <c r="J3080" s="242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</row>
    <row r="3081" spans="1:26" ht="15.75" hidden="1" customHeight="1" outlineLevel="2">
      <c r="A3081"/>
      <c r="B3081" s="249"/>
      <c r="C3081"/>
      <c r="D3081"/>
      <c r="E3081" s="321"/>
      <c r="F3081" s="242"/>
      <c r="G3081"/>
      <c r="H3081" s="322"/>
      <c r="I3081" s="322"/>
      <c r="J3081" s="242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</row>
    <row r="3082" spans="1:26" ht="15.75" hidden="1" customHeight="1" outlineLevel="2">
      <c r="A3082"/>
      <c r="B3082" s="249"/>
      <c r="C3082"/>
      <c r="D3082"/>
      <c r="E3082" s="321"/>
      <c r="F3082" s="242"/>
      <c r="G3082"/>
      <c r="H3082" s="322"/>
      <c r="I3082" s="322"/>
      <c r="J3082" s="242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</row>
    <row r="3083" spans="1:26" ht="15.75" hidden="1" customHeight="1" outlineLevel="2">
      <c r="A3083"/>
      <c r="B3083" s="249"/>
      <c r="C3083"/>
      <c r="D3083"/>
      <c r="E3083" s="321"/>
      <c r="F3083" s="242"/>
      <c r="G3083"/>
      <c r="H3083" s="322"/>
      <c r="I3083" s="322"/>
      <c r="J3083" s="242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</row>
    <row r="3084" spans="1:26" ht="15.75" hidden="1" customHeight="1" outlineLevel="2">
      <c r="A3084"/>
      <c r="B3084" s="249"/>
      <c r="C3084"/>
      <c r="D3084"/>
      <c r="E3084" s="321"/>
      <c r="F3084" s="242"/>
      <c r="G3084"/>
      <c r="H3084" s="322"/>
      <c r="I3084" s="322"/>
      <c r="J3084" s="242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</row>
    <row r="3085" spans="1:26" ht="15.75" hidden="1" customHeight="1" outlineLevel="2">
      <c r="A3085"/>
      <c r="B3085" s="249"/>
      <c r="C3085"/>
      <c r="D3085"/>
      <c r="E3085" s="321"/>
      <c r="F3085" s="242"/>
      <c r="G3085"/>
      <c r="H3085" s="322"/>
      <c r="I3085" s="322"/>
      <c r="J3085" s="242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</row>
    <row r="3086" spans="1:26" ht="15.75" hidden="1" customHeight="1" outlineLevel="2">
      <c r="A3086"/>
      <c r="B3086" s="249"/>
      <c r="C3086"/>
      <c r="D3086"/>
      <c r="E3086" s="321"/>
      <c r="F3086" s="242"/>
      <c r="G3086"/>
      <c r="H3086" s="322"/>
      <c r="I3086" s="322"/>
      <c r="J3086" s="242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</row>
    <row r="3087" spans="1:26" ht="15.75" hidden="1" customHeight="1" outlineLevel="2">
      <c r="A3087"/>
      <c r="B3087" s="249"/>
      <c r="C3087"/>
      <c r="D3087"/>
      <c r="E3087" s="321"/>
      <c r="F3087" s="242"/>
      <c r="G3087"/>
      <c r="H3087" s="322"/>
      <c r="I3087" s="322"/>
      <c r="J3087" s="242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</row>
    <row r="3088" spans="1:26" ht="15.75" hidden="1" customHeight="1" outlineLevel="2">
      <c r="A3088"/>
      <c r="B3088" s="249"/>
      <c r="C3088"/>
      <c r="D3088"/>
      <c r="E3088" s="321"/>
      <c r="F3088" s="242"/>
      <c r="G3088"/>
      <c r="H3088" s="322"/>
      <c r="I3088" s="322"/>
      <c r="J3088" s="242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</row>
    <row r="3089" spans="1:26" ht="15.75" hidden="1" customHeight="1" outlineLevel="2">
      <c r="A3089"/>
      <c r="B3089" s="249"/>
      <c r="C3089"/>
      <c r="D3089"/>
      <c r="E3089" s="321"/>
      <c r="F3089" s="242"/>
      <c r="G3089"/>
      <c r="H3089" s="322"/>
      <c r="I3089" s="322"/>
      <c r="J3089" s="242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</row>
    <row r="3090" spans="1:26" ht="15.75" hidden="1" customHeight="1" outlineLevel="2">
      <c r="A3090"/>
      <c r="B3090" s="249"/>
      <c r="C3090"/>
      <c r="D3090"/>
      <c r="E3090" s="321"/>
      <c r="F3090" s="242"/>
      <c r="G3090"/>
      <c r="H3090" s="322"/>
      <c r="I3090" s="322"/>
      <c r="J3090" s="242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</row>
    <row r="3091" spans="1:26" ht="15.75" hidden="1" customHeight="1" outlineLevel="2">
      <c r="A3091"/>
      <c r="B3091" s="249"/>
      <c r="C3091"/>
      <c r="D3091"/>
      <c r="E3091" s="321"/>
      <c r="F3091" s="242"/>
      <c r="G3091"/>
      <c r="H3091" s="322"/>
      <c r="I3091" s="322"/>
      <c r="J3091" s="242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</row>
    <row r="3092" spans="1:26" ht="15.75" hidden="1" customHeight="1" outlineLevel="2">
      <c r="A3092"/>
      <c r="B3092" s="249"/>
      <c r="C3092"/>
      <c r="D3092"/>
      <c r="E3092" s="321"/>
      <c r="F3092" s="242"/>
      <c r="G3092"/>
      <c r="H3092" s="322"/>
      <c r="I3092" s="322"/>
      <c r="J3092" s="242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</row>
    <row r="3093" spans="1:26" ht="15.75" hidden="1" customHeight="1" outlineLevel="2">
      <c r="A3093"/>
      <c r="B3093" s="249"/>
      <c r="C3093"/>
      <c r="D3093"/>
      <c r="E3093" s="321"/>
      <c r="F3093" s="242"/>
      <c r="G3093"/>
      <c r="H3093" s="322"/>
      <c r="I3093" s="322"/>
      <c r="J3093" s="242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</row>
    <row r="3094" spans="1:26" ht="15.75" hidden="1" customHeight="1" outlineLevel="2">
      <c r="A3094"/>
      <c r="B3094" s="249"/>
      <c r="C3094"/>
      <c r="D3094"/>
      <c r="E3094" s="321"/>
      <c r="F3094" s="242"/>
      <c r="G3094"/>
      <c r="H3094" s="322"/>
      <c r="I3094" s="322"/>
      <c r="J3094" s="242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</row>
    <row r="3095" spans="1:26" ht="15.75" hidden="1" customHeight="1" outlineLevel="2">
      <c r="A3095"/>
      <c r="B3095" s="249"/>
      <c r="C3095"/>
      <c r="D3095"/>
      <c r="E3095" s="321"/>
      <c r="F3095" s="242"/>
      <c r="G3095"/>
      <c r="H3095" s="322"/>
      <c r="I3095" s="322"/>
      <c r="J3095" s="242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</row>
    <row r="3096" spans="1:26" ht="15.75" hidden="1" customHeight="1" outlineLevel="2">
      <c r="A3096"/>
      <c r="B3096" s="249"/>
      <c r="C3096"/>
      <c r="D3096"/>
      <c r="E3096" s="321"/>
      <c r="F3096" s="242"/>
      <c r="G3096"/>
      <c r="H3096" s="322"/>
      <c r="I3096" s="322"/>
      <c r="J3096" s="242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</row>
    <row r="3097" spans="1:26" ht="15.75" hidden="1" customHeight="1" outlineLevel="2">
      <c r="A3097"/>
      <c r="B3097" s="249"/>
      <c r="C3097"/>
      <c r="D3097"/>
      <c r="E3097" s="321"/>
      <c r="F3097" s="242"/>
      <c r="G3097"/>
      <c r="H3097" s="322"/>
      <c r="I3097" s="322"/>
      <c r="J3097" s="242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</row>
    <row r="3098" spans="1:26" ht="15.75" hidden="1" customHeight="1" outlineLevel="2">
      <c r="A3098"/>
      <c r="B3098" s="249"/>
      <c r="C3098"/>
      <c r="D3098"/>
      <c r="E3098" s="321"/>
      <c r="F3098" s="242"/>
      <c r="G3098"/>
      <c r="H3098" s="322"/>
      <c r="I3098" s="322"/>
      <c r="J3098" s="242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</row>
    <row r="3099" spans="1:26" ht="15.75" hidden="1" customHeight="1" outlineLevel="2">
      <c r="A3099"/>
      <c r="B3099" s="249"/>
      <c r="C3099"/>
      <c r="D3099"/>
      <c r="E3099" s="321"/>
      <c r="F3099" s="242"/>
      <c r="G3099"/>
      <c r="H3099" s="322"/>
      <c r="I3099" s="322"/>
      <c r="J3099" s="242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</row>
    <row r="3100" spans="1:26" ht="15.75" hidden="1" customHeight="1" outlineLevel="2">
      <c r="A3100"/>
      <c r="B3100" s="249"/>
      <c r="C3100"/>
      <c r="D3100"/>
      <c r="E3100" s="321"/>
      <c r="F3100" s="242"/>
      <c r="G3100"/>
      <c r="H3100" s="322"/>
      <c r="I3100" s="322"/>
      <c r="J3100" s="242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</row>
    <row r="3101" spans="1:26" ht="15.75" hidden="1" customHeight="1" outlineLevel="2">
      <c r="A3101"/>
      <c r="B3101" s="249"/>
      <c r="C3101"/>
      <c r="D3101"/>
      <c r="E3101" s="321"/>
      <c r="F3101" s="242"/>
      <c r="G3101"/>
      <c r="H3101" s="322"/>
      <c r="I3101" s="322"/>
      <c r="J3101" s="242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</row>
    <row r="3102" spans="1:26" ht="15.75" hidden="1" customHeight="1" outlineLevel="2">
      <c r="A3102"/>
      <c r="B3102" s="249"/>
      <c r="C3102"/>
      <c r="D3102"/>
      <c r="E3102" s="321"/>
      <c r="F3102" s="242"/>
      <c r="G3102"/>
      <c r="H3102" s="322"/>
      <c r="I3102" s="322"/>
      <c r="J3102" s="242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</row>
    <row r="3103" spans="1:26" ht="15.75" hidden="1" customHeight="1" outlineLevel="2">
      <c r="A3103"/>
      <c r="B3103" s="249"/>
      <c r="C3103"/>
      <c r="D3103"/>
      <c r="E3103" s="321"/>
      <c r="F3103" s="242"/>
      <c r="G3103"/>
      <c r="H3103" s="322"/>
      <c r="I3103" s="322"/>
      <c r="J3103" s="242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</row>
    <row r="3104" spans="1:26" ht="15.75" hidden="1" customHeight="1" outlineLevel="2">
      <c r="A3104"/>
      <c r="B3104" s="249"/>
      <c r="C3104"/>
      <c r="D3104"/>
      <c r="E3104" s="321"/>
      <c r="F3104" s="242"/>
      <c r="G3104"/>
      <c r="H3104" s="322"/>
      <c r="I3104" s="322"/>
      <c r="J3104" s="242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</row>
    <row r="3105" spans="1:26" ht="15.75" hidden="1" customHeight="1" outlineLevel="2">
      <c r="A3105"/>
      <c r="B3105" s="249"/>
      <c r="C3105"/>
      <c r="D3105"/>
      <c r="E3105" s="321"/>
      <c r="F3105" s="242"/>
      <c r="G3105"/>
      <c r="H3105" s="322"/>
      <c r="I3105" s="322"/>
      <c r="J3105" s="242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</row>
    <row r="3106" spans="1:26" ht="15.75" hidden="1" customHeight="1" outlineLevel="2">
      <c r="A3106"/>
      <c r="B3106" s="249"/>
      <c r="C3106"/>
      <c r="D3106"/>
      <c r="E3106" s="321"/>
      <c r="F3106" s="242"/>
      <c r="G3106"/>
      <c r="H3106" s="322"/>
      <c r="I3106" s="322"/>
      <c r="J3106" s="242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</row>
    <row r="3107" spans="1:26" ht="15.75" hidden="1" customHeight="1" outlineLevel="2">
      <c r="A3107"/>
      <c r="B3107" s="249"/>
      <c r="C3107"/>
      <c r="D3107"/>
      <c r="E3107" s="321"/>
      <c r="F3107" s="242"/>
      <c r="G3107"/>
      <c r="H3107" s="322"/>
      <c r="I3107" s="322"/>
      <c r="J3107" s="242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</row>
    <row r="3108" spans="1:26" ht="15.75" hidden="1" customHeight="1" outlineLevel="2">
      <c r="A3108"/>
      <c r="B3108" s="249"/>
      <c r="C3108"/>
      <c r="D3108"/>
      <c r="E3108" s="321"/>
      <c r="F3108" s="242"/>
      <c r="G3108"/>
      <c r="H3108" s="322"/>
      <c r="I3108" s="322"/>
      <c r="J3108" s="242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</row>
    <row r="3109" spans="1:26" ht="15.75" hidden="1" customHeight="1" outlineLevel="2">
      <c r="A3109"/>
      <c r="B3109" s="249"/>
      <c r="C3109"/>
      <c r="D3109"/>
      <c r="E3109" s="321"/>
      <c r="F3109" s="242"/>
      <c r="G3109"/>
      <c r="H3109" s="322"/>
      <c r="I3109" s="322"/>
      <c r="J3109" s="242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</row>
    <row r="3110" spans="1:26" ht="15.75" hidden="1" customHeight="1" outlineLevel="2">
      <c r="A3110"/>
      <c r="B3110" s="249"/>
      <c r="C3110"/>
      <c r="D3110"/>
      <c r="E3110" s="321"/>
      <c r="F3110" s="242"/>
      <c r="G3110"/>
      <c r="H3110" s="322"/>
      <c r="I3110" s="322"/>
      <c r="J3110" s="242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</row>
    <row r="3111" spans="1:26" ht="15.75" hidden="1" customHeight="1" outlineLevel="2">
      <c r="A3111"/>
      <c r="B3111" s="249"/>
      <c r="C3111"/>
      <c r="D3111"/>
      <c r="E3111" s="321"/>
      <c r="F3111" s="242"/>
      <c r="G3111"/>
      <c r="H3111" s="322"/>
      <c r="I3111" s="322"/>
      <c r="J3111" s="242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</row>
    <row r="3112" spans="1:26" ht="15.75" hidden="1" customHeight="1" outlineLevel="2">
      <c r="A3112"/>
      <c r="B3112" s="249"/>
      <c r="C3112"/>
      <c r="D3112"/>
      <c r="E3112" s="321"/>
      <c r="F3112" s="242"/>
      <c r="G3112"/>
      <c r="H3112" s="322"/>
      <c r="I3112" s="322"/>
      <c r="J3112" s="242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</row>
    <row r="3113" spans="1:26" ht="15.75" hidden="1" customHeight="1" outlineLevel="2">
      <c r="A3113"/>
      <c r="B3113" s="249"/>
      <c r="C3113"/>
      <c r="D3113"/>
      <c r="E3113" s="321"/>
      <c r="F3113" s="242"/>
      <c r="G3113"/>
      <c r="H3113" s="322"/>
      <c r="I3113" s="322"/>
      <c r="J3113" s="242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</row>
    <row r="3114" spans="1:26" ht="15.75" hidden="1" customHeight="1" outlineLevel="2">
      <c r="A3114"/>
      <c r="B3114" s="249"/>
      <c r="C3114"/>
      <c r="D3114"/>
      <c r="E3114" s="321"/>
      <c r="F3114" s="242"/>
      <c r="G3114"/>
      <c r="H3114" s="322"/>
      <c r="I3114" s="322"/>
      <c r="J3114" s="242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</row>
    <row r="3115" spans="1:26" ht="15.75" hidden="1" customHeight="1" outlineLevel="2">
      <c r="A3115"/>
      <c r="B3115" s="249"/>
      <c r="C3115"/>
      <c r="D3115"/>
      <c r="E3115" s="321"/>
      <c r="F3115" s="242"/>
      <c r="G3115"/>
      <c r="H3115" s="322"/>
      <c r="I3115" s="322"/>
      <c r="J3115" s="242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</row>
    <row r="3116" spans="1:26" ht="15.75" hidden="1" customHeight="1" outlineLevel="2">
      <c r="A3116"/>
      <c r="B3116" s="249"/>
      <c r="C3116"/>
      <c r="D3116"/>
      <c r="E3116" s="321"/>
      <c r="F3116" s="242"/>
      <c r="G3116"/>
      <c r="H3116" s="322"/>
      <c r="I3116" s="322"/>
      <c r="J3116" s="242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</row>
    <row r="3117" spans="1:26" ht="15.75" hidden="1" customHeight="1" outlineLevel="2">
      <c r="A3117"/>
      <c r="B3117" s="249"/>
      <c r="C3117"/>
      <c r="D3117"/>
      <c r="E3117" s="321"/>
      <c r="F3117" s="242"/>
      <c r="G3117"/>
      <c r="H3117" s="322"/>
      <c r="I3117" s="322"/>
      <c r="J3117" s="242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</row>
    <row r="3118" spans="1:26" ht="15.75" hidden="1" customHeight="1" outlineLevel="2">
      <c r="A3118"/>
      <c r="B3118" s="249"/>
      <c r="C3118"/>
      <c r="D3118"/>
      <c r="E3118" s="321"/>
      <c r="F3118" s="242"/>
      <c r="G3118"/>
      <c r="H3118" s="322"/>
      <c r="I3118" s="322"/>
      <c r="J3118" s="242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</row>
    <row r="3119" spans="1:26" ht="15.75" hidden="1" customHeight="1" outlineLevel="2">
      <c r="A3119"/>
      <c r="B3119" s="249"/>
      <c r="C3119"/>
      <c r="D3119"/>
      <c r="E3119" s="321"/>
      <c r="F3119" s="242"/>
      <c r="G3119"/>
      <c r="H3119" s="322"/>
      <c r="I3119" s="322"/>
      <c r="J3119" s="242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</row>
    <row r="3120" spans="1:26" ht="15.75" hidden="1" customHeight="1" outlineLevel="2">
      <c r="A3120"/>
      <c r="B3120" s="249"/>
      <c r="C3120"/>
      <c r="D3120"/>
      <c r="E3120" s="321"/>
      <c r="F3120" s="242"/>
      <c r="G3120"/>
      <c r="H3120" s="322"/>
      <c r="I3120" s="322"/>
      <c r="J3120" s="242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</row>
    <row r="3121" spans="1:26" ht="15.75" hidden="1" customHeight="1" outlineLevel="2">
      <c r="A3121"/>
      <c r="B3121" s="249"/>
      <c r="C3121"/>
      <c r="D3121"/>
      <c r="E3121" s="321"/>
      <c r="F3121" s="242"/>
      <c r="G3121"/>
      <c r="H3121" s="322"/>
      <c r="I3121" s="322"/>
      <c r="J3121" s="242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</row>
    <row r="3122" spans="1:26" ht="15.75" hidden="1" customHeight="1" outlineLevel="2">
      <c r="A3122"/>
      <c r="B3122" s="249"/>
      <c r="C3122"/>
      <c r="D3122"/>
      <c r="E3122" s="321"/>
      <c r="F3122" s="242"/>
      <c r="G3122"/>
      <c r="H3122" s="322"/>
      <c r="I3122" s="322"/>
      <c r="J3122" s="242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</row>
    <row r="3123" spans="1:26" ht="15.75" hidden="1" customHeight="1" outlineLevel="2">
      <c r="A3123"/>
      <c r="B3123" s="249"/>
      <c r="C3123"/>
      <c r="D3123"/>
      <c r="E3123" s="321"/>
      <c r="F3123" s="242"/>
      <c r="G3123"/>
      <c r="H3123" s="322"/>
      <c r="I3123" s="322"/>
      <c r="J3123" s="242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</row>
    <row r="3124" spans="1:26" ht="15.75" hidden="1" customHeight="1" outlineLevel="2">
      <c r="A3124"/>
      <c r="B3124" s="249"/>
      <c r="C3124"/>
      <c r="D3124"/>
      <c r="E3124" s="321"/>
      <c r="F3124" s="242"/>
      <c r="G3124"/>
      <c r="H3124" s="322"/>
      <c r="I3124" s="322"/>
      <c r="J3124" s="242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</row>
    <row r="3125" spans="1:26" ht="15.75" hidden="1" customHeight="1" outlineLevel="2">
      <c r="A3125"/>
      <c r="B3125" s="249"/>
      <c r="C3125"/>
      <c r="D3125"/>
      <c r="E3125" s="321"/>
      <c r="F3125" s="242"/>
      <c r="G3125"/>
      <c r="H3125" s="322"/>
      <c r="I3125" s="322"/>
      <c r="J3125" s="242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</row>
    <row r="3126" spans="1:26" ht="15.75" hidden="1" customHeight="1" outlineLevel="2">
      <c r="A3126"/>
      <c r="B3126" s="249"/>
      <c r="C3126"/>
      <c r="D3126"/>
      <c r="E3126" s="321"/>
      <c r="F3126" s="242"/>
      <c r="G3126"/>
      <c r="H3126" s="322"/>
      <c r="I3126" s="322"/>
      <c r="J3126" s="242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</row>
    <row r="3127" spans="1:26" ht="15.75" hidden="1" customHeight="1" outlineLevel="2">
      <c r="A3127"/>
      <c r="B3127" s="249"/>
      <c r="C3127"/>
      <c r="D3127"/>
      <c r="E3127" s="321"/>
      <c r="F3127" s="242"/>
      <c r="G3127"/>
      <c r="H3127" s="322"/>
      <c r="I3127" s="322"/>
      <c r="J3127" s="242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</row>
    <row r="3128" spans="1:26" ht="15.75" hidden="1" customHeight="1" outlineLevel="2">
      <c r="A3128"/>
      <c r="B3128" s="249"/>
      <c r="C3128"/>
      <c r="D3128"/>
      <c r="E3128" s="321"/>
      <c r="F3128" s="242"/>
      <c r="G3128"/>
      <c r="H3128" s="322"/>
      <c r="I3128" s="322"/>
      <c r="J3128" s="242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</row>
    <row r="3129" spans="1:26" ht="15.75" hidden="1" customHeight="1" outlineLevel="2">
      <c r="A3129"/>
      <c r="B3129" s="249"/>
      <c r="C3129"/>
      <c r="D3129"/>
      <c r="E3129" s="321"/>
      <c r="F3129" s="242"/>
      <c r="G3129"/>
      <c r="H3129" s="322"/>
      <c r="I3129" s="322"/>
      <c r="J3129" s="242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</row>
    <row r="3130" spans="1:26" ht="15.75" hidden="1" customHeight="1" outlineLevel="2">
      <c r="A3130"/>
      <c r="B3130" s="249"/>
      <c r="C3130"/>
      <c r="D3130"/>
      <c r="E3130" s="321"/>
      <c r="F3130" s="242"/>
      <c r="G3130"/>
      <c r="H3130" s="322"/>
      <c r="I3130" s="322"/>
      <c r="J3130" s="242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</row>
    <row r="3131" spans="1:26" ht="15.75" hidden="1" customHeight="1" outlineLevel="2">
      <c r="A3131"/>
      <c r="B3131" s="249"/>
      <c r="C3131"/>
      <c r="D3131"/>
      <c r="E3131" s="321"/>
      <c r="F3131" s="242"/>
      <c r="G3131"/>
      <c r="H3131" s="322"/>
      <c r="I3131" s="322"/>
      <c r="J3131" s="242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</row>
    <row r="3132" spans="1:26" ht="15.75" hidden="1" customHeight="1" outlineLevel="2">
      <c r="A3132"/>
      <c r="B3132" s="249"/>
      <c r="C3132"/>
      <c r="D3132"/>
      <c r="E3132" s="321"/>
      <c r="F3132" s="242"/>
      <c r="G3132"/>
      <c r="H3132" s="322"/>
      <c r="I3132" s="322"/>
      <c r="J3132" s="242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</row>
    <row r="3133" spans="1:26" ht="15.75" hidden="1" customHeight="1" outlineLevel="2">
      <c r="A3133"/>
      <c r="B3133" s="249"/>
      <c r="C3133"/>
      <c r="D3133"/>
      <c r="E3133" s="321"/>
      <c r="F3133" s="242"/>
      <c r="G3133"/>
      <c r="H3133" s="322"/>
      <c r="I3133" s="322"/>
      <c r="J3133" s="242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</row>
    <row r="3134" spans="1:26" ht="15.75" hidden="1" customHeight="1" outlineLevel="2">
      <c r="A3134"/>
      <c r="B3134" s="249"/>
      <c r="C3134"/>
      <c r="D3134"/>
      <c r="E3134" s="321"/>
      <c r="F3134" s="242"/>
      <c r="G3134"/>
      <c r="H3134" s="322"/>
      <c r="I3134" s="322"/>
      <c r="J3134" s="242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</row>
    <row r="3135" spans="1:26" ht="15.75" hidden="1" customHeight="1" outlineLevel="2">
      <c r="A3135"/>
      <c r="B3135" s="249"/>
      <c r="C3135"/>
      <c r="D3135"/>
      <c r="E3135" s="321"/>
      <c r="F3135" s="242"/>
      <c r="G3135"/>
      <c r="H3135" s="322"/>
      <c r="I3135" s="322"/>
      <c r="J3135" s="242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</row>
    <row r="3136" spans="1:26" ht="15.75" hidden="1" customHeight="1" outlineLevel="2">
      <c r="A3136"/>
      <c r="B3136" s="249"/>
      <c r="C3136"/>
      <c r="D3136"/>
      <c r="E3136" s="321"/>
      <c r="F3136" s="242"/>
      <c r="G3136"/>
      <c r="H3136" s="322"/>
      <c r="I3136" s="322"/>
      <c r="J3136" s="242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</row>
    <row r="3137" spans="1:26" ht="15.75" hidden="1" customHeight="1" outlineLevel="2">
      <c r="A3137"/>
      <c r="B3137" s="249"/>
      <c r="C3137"/>
      <c r="D3137"/>
      <c r="E3137" s="321"/>
      <c r="F3137" s="242"/>
      <c r="G3137"/>
      <c r="H3137" s="322"/>
      <c r="I3137" s="322"/>
      <c r="J3137" s="242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</row>
    <row r="3138" spans="1:26" ht="15.75" hidden="1" customHeight="1" outlineLevel="2">
      <c r="A3138"/>
      <c r="B3138" s="249"/>
      <c r="C3138"/>
      <c r="D3138"/>
      <c r="E3138" s="321"/>
      <c r="F3138" s="242"/>
      <c r="G3138"/>
      <c r="H3138" s="322"/>
      <c r="I3138" s="322"/>
      <c r="J3138" s="242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</row>
    <row r="3139" spans="1:26" ht="15.75" hidden="1" customHeight="1" outlineLevel="2">
      <c r="A3139"/>
      <c r="B3139" s="249"/>
      <c r="C3139"/>
      <c r="D3139"/>
      <c r="E3139" s="321"/>
      <c r="F3139" s="242"/>
      <c r="G3139"/>
      <c r="H3139" s="322"/>
      <c r="I3139" s="322"/>
      <c r="J3139" s="242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</row>
    <row r="3140" spans="1:26" ht="15.75" hidden="1" customHeight="1" outlineLevel="2">
      <c r="A3140"/>
      <c r="B3140" s="249"/>
      <c r="C3140"/>
      <c r="D3140"/>
      <c r="E3140" s="321"/>
      <c r="F3140" s="242"/>
      <c r="G3140"/>
      <c r="H3140" s="322"/>
      <c r="I3140" s="322"/>
      <c r="J3140" s="242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</row>
    <row r="3141" spans="1:26" ht="15.75" hidden="1" customHeight="1" outlineLevel="2">
      <c r="A3141"/>
      <c r="B3141" s="249"/>
      <c r="C3141"/>
      <c r="D3141"/>
      <c r="E3141" s="321"/>
      <c r="F3141" s="242"/>
      <c r="G3141"/>
      <c r="H3141" s="322"/>
      <c r="I3141" s="322"/>
      <c r="J3141" s="242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</row>
    <row r="3142" spans="1:26" ht="15.75" hidden="1" customHeight="1" outlineLevel="2">
      <c r="A3142"/>
      <c r="B3142" s="249"/>
      <c r="C3142"/>
      <c r="D3142"/>
      <c r="E3142" s="321"/>
      <c r="F3142" s="242"/>
      <c r="G3142"/>
      <c r="H3142" s="322"/>
      <c r="I3142" s="322"/>
      <c r="J3142" s="242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</row>
    <row r="3143" spans="1:26" ht="15.75" hidden="1" customHeight="1" outlineLevel="2">
      <c r="A3143"/>
      <c r="B3143" s="249"/>
      <c r="C3143"/>
      <c r="D3143"/>
      <c r="E3143" s="321"/>
      <c r="F3143" s="242"/>
      <c r="G3143"/>
      <c r="H3143" s="322"/>
      <c r="I3143" s="322"/>
      <c r="J3143" s="242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</row>
    <row r="3144" spans="1:26" ht="15.75" hidden="1" customHeight="1" outlineLevel="2">
      <c r="A3144"/>
      <c r="B3144" s="249"/>
      <c r="C3144"/>
      <c r="D3144"/>
      <c r="E3144" s="321"/>
      <c r="F3144" s="242"/>
      <c r="G3144"/>
      <c r="H3144" s="322"/>
      <c r="I3144" s="322"/>
      <c r="J3144" s="242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</row>
    <row r="3145" spans="1:26" ht="15.75" hidden="1" customHeight="1" outlineLevel="2">
      <c r="A3145"/>
      <c r="B3145" s="249"/>
      <c r="C3145"/>
      <c r="D3145"/>
      <c r="E3145" s="321"/>
      <c r="F3145" s="242"/>
      <c r="G3145"/>
      <c r="H3145" s="322"/>
      <c r="I3145" s="322"/>
      <c r="J3145" s="242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</row>
    <row r="3146" spans="1:26" ht="15.75" hidden="1" customHeight="1" outlineLevel="2">
      <c r="A3146"/>
      <c r="B3146" s="249"/>
      <c r="C3146"/>
      <c r="D3146"/>
      <c r="E3146" s="321"/>
      <c r="F3146" s="242"/>
      <c r="G3146"/>
      <c r="H3146" s="322"/>
      <c r="I3146" s="322"/>
      <c r="J3146" s="242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</row>
    <row r="3147" spans="1:26" ht="15.75" hidden="1" customHeight="1" outlineLevel="2">
      <c r="A3147"/>
      <c r="B3147" s="249"/>
      <c r="C3147"/>
      <c r="D3147"/>
      <c r="E3147" s="321"/>
      <c r="F3147" s="242"/>
      <c r="G3147"/>
      <c r="H3147" s="322"/>
      <c r="I3147" s="322"/>
      <c r="J3147" s="242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</row>
    <row r="3148" spans="1:26" ht="15.75" hidden="1" customHeight="1" outlineLevel="2">
      <c r="A3148"/>
      <c r="B3148" s="249"/>
      <c r="C3148"/>
      <c r="D3148"/>
      <c r="E3148" s="321"/>
      <c r="F3148" s="242"/>
      <c r="G3148"/>
      <c r="H3148" s="322"/>
      <c r="I3148" s="322"/>
      <c r="J3148" s="242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</row>
    <row r="3149" spans="1:26" ht="15.75" hidden="1" customHeight="1" outlineLevel="2">
      <c r="A3149"/>
      <c r="B3149" s="249"/>
      <c r="C3149"/>
      <c r="D3149"/>
      <c r="E3149" s="321"/>
      <c r="F3149" s="242"/>
      <c r="G3149"/>
      <c r="H3149" s="322"/>
      <c r="I3149" s="322"/>
      <c r="J3149" s="242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</row>
    <row r="3150" spans="1:26" ht="15.75" hidden="1" customHeight="1" outlineLevel="2">
      <c r="A3150"/>
      <c r="B3150" s="249"/>
      <c r="C3150"/>
      <c r="D3150"/>
      <c r="E3150" s="321"/>
      <c r="F3150" s="242"/>
      <c r="G3150"/>
      <c r="H3150" s="322"/>
      <c r="I3150" s="322"/>
      <c r="J3150" s="242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</row>
    <row r="3151" spans="1:26" ht="15.75" hidden="1" customHeight="1" outlineLevel="2">
      <c r="A3151"/>
      <c r="B3151" s="249"/>
      <c r="C3151"/>
      <c r="D3151"/>
      <c r="E3151" s="321"/>
      <c r="F3151" s="242"/>
      <c r="G3151"/>
      <c r="H3151" s="322"/>
      <c r="I3151" s="322"/>
      <c r="J3151" s="242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</row>
    <row r="3152" spans="1:26" ht="15.75" hidden="1" customHeight="1" outlineLevel="2">
      <c r="A3152"/>
      <c r="B3152" s="249"/>
      <c r="C3152"/>
      <c r="D3152"/>
      <c r="E3152" s="321"/>
      <c r="F3152" s="242"/>
      <c r="G3152"/>
      <c r="H3152" s="322"/>
      <c r="I3152" s="322"/>
      <c r="J3152" s="242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</row>
    <row r="3153" spans="1:26" ht="15.75" hidden="1" customHeight="1" outlineLevel="2">
      <c r="A3153"/>
      <c r="B3153" s="249"/>
      <c r="C3153"/>
      <c r="D3153"/>
      <c r="E3153" s="321"/>
      <c r="F3153" s="242"/>
      <c r="G3153"/>
      <c r="H3153" s="322"/>
      <c r="I3153" s="322"/>
      <c r="J3153" s="242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</row>
    <row r="3154" spans="1:26" ht="15.75" hidden="1" customHeight="1" outlineLevel="2">
      <c r="A3154"/>
      <c r="B3154" s="249"/>
      <c r="C3154"/>
      <c r="D3154"/>
      <c r="E3154" s="321"/>
      <c r="F3154" s="242"/>
      <c r="G3154"/>
      <c r="H3154" s="322"/>
      <c r="I3154" s="322"/>
      <c r="J3154" s="242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</row>
    <row r="3155" spans="1:26" ht="15.75" hidden="1" customHeight="1" outlineLevel="2">
      <c r="A3155"/>
      <c r="B3155" s="249"/>
      <c r="C3155"/>
      <c r="D3155"/>
      <c r="E3155" s="321"/>
      <c r="F3155" s="242"/>
      <c r="G3155"/>
      <c r="H3155" s="322"/>
      <c r="I3155" s="322"/>
      <c r="J3155" s="242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</row>
    <row r="3156" spans="1:26" ht="15.75" hidden="1" customHeight="1" outlineLevel="2">
      <c r="A3156"/>
      <c r="B3156" s="249"/>
      <c r="C3156"/>
      <c r="D3156"/>
      <c r="E3156" s="321"/>
      <c r="F3156" s="242"/>
      <c r="G3156"/>
      <c r="H3156" s="322"/>
      <c r="I3156" s="322"/>
      <c r="J3156" s="242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</row>
    <row r="3157" spans="1:26" ht="15.75" hidden="1" customHeight="1" outlineLevel="2">
      <c r="A3157"/>
      <c r="B3157" s="249"/>
      <c r="C3157"/>
      <c r="D3157"/>
      <c r="E3157" s="321"/>
      <c r="F3157" s="242"/>
      <c r="G3157"/>
      <c r="H3157" s="322"/>
      <c r="I3157" s="322"/>
      <c r="J3157" s="242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</row>
    <row r="3158" spans="1:26" ht="15.75" hidden="1" customHeight="1" outlineLevel="2">
      <c r="A3158"/>
      <c r="B3158" s="249"/>
      <c r="C3158"/>
      <c r="D3158"/>
      <c r="E3158" s="321"/>
      <c r="F3158" s="242"/>
      <c r="G3158"/>
      <c r="H3158" s="322"/>
      <c r="I3158" s="322"/>
      <c r="J3158" s="242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</row>
    <row r="3159" spans="1:26" ht="15.75" hidden="1" customHeight="1" outlineLevel="2">
      <c r="A3159"/>
      <c r="B3159" s="249"/>
      <c r="C3159"/>
      <c r="D3159"/>
      <c r="E3159" s="321"/>
      <c r="F3159" s="242"/>
      <c r="G3159"/>
      <c r="H3159" s="322"/>
      <c r="I3159" s="322"/>
      <c r="J3159" s="242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</row>
    <row r="3160" spans="1:26" ht="15.75" hidden="1" customHeight="1" outlineLevel="2">
      <c r="A3160"/>
      <c r="B3160" s="249"/>
      <c r="C3160"/>
      <c r="D3160"/>
      <c r="E3160" s="321"/>
      <c r="F3160" s="242"/>
      <c r="G3160"/>
      <c r="H3160" s="322"/>
      <c r="I3160" s="322"/>
      <c r="J3160" s="242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</row>
    <row r="3161" spans="1:26" ht="15.75" hidden="1" customHeight="1" outlineLevel="2">
      <c r="A3161"/>
      <c r="B3161" s="249"/>
      <c r="C3161"/>
      <c r="D3161"/>
      <c r="E3161" s="321"/>
      <c r="F3161" s="242"/>
      <c r="G3161"/>
      <c r="H3161" s="322"/>
      <c r="I3161" s="322"/>
      <c r="J3161" s="242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</row>
    <row r="3162" spans="1:26" ht="15.75" hidden="1" customHeight="1" outlineLevel="2">
      <c r="A3162"/>
      <c r="B3162" s="249"/>
      <c r="C3162"/>
      <c r="D3162"/>
      <c r="E3162" s="321"/>
      <c r="F3162" s="242"/>
      <c r="G3162"/>
      <c r="H3162" s="322"/>
      <c r="I3162" s="322"/>
      <c r="J3162" s="242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</row>
    <row r="3163" spans="1:26" ht="15.75" hidden="1" customHeight="1" outlineLevel="2">
      <c r="A3163"/>
      <c r="B3163" s="249"/>
      <c r="C3163"/>
      <c r="D3163"/>
      <c r="E3163" s="321"/>
      <c r="F3163" s="242"/>
      <c r="G3163"/>
      <c r="H3163" s="322"/>
      <c r="I3163" s="322"/>
      <c r="J3163" s="242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</row>
    <row r="3164" spans="1:26" ht="15.75" hidden="1" customHeight="1" outlineLevel="2">
      <c r="A3164"/>
      <c r="B3164" s="249"/>
      <c r="C3164"/>
      <c r="D3164"/>
      <c r="E3164" s="321"/>
      <c r="F3164" s="242"/>
      <c r="G3164"/>
      <c r="H3164" s="322"/>
      <c r="I3164" s="322"/>
      <c r="J3164" s="242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</row>
    <row r="3165" spans="1:26" ht="15.75" hidden="1" customHeight="1" outlineLevel="2">
      <c r="A3165"/>
      <c r="B3165" s="249"/>
      <c r="C3165"/>
      <c r="D3165"/>
      <c r="E3165" s="321"/>
      <c r="F3165" s="242"/>
      <c r="G3165"/>
      <c r="H3165" s="322"/>
      <c r="I3165" s="322"/>
      <c r="J3165" s="242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</row>
    <row r="3166" spans="1:26" ht="15.75" hidden="1" customHeight="1" outlineLevel="2">
      <c r="A3166"/>
      <c r="B3166" s="249"/>
      <c r="C3166"/>
      <c r="D3166"/>
      <c r="E3166" s="321"/>
      <c r="F3166" s="242"/>
      <c r="G3166"/>
      <c r="H3166" s="322"/>
      <c r="I3166" s="322"/>
      <c r="J3166" s="242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</row>
    <row r="3167" spans="1:26" ht="15.75" hidden="1" customHeight="1" outlineLevel="2">
      <c r="A3167"/>
      <c r="B3167" s="249"/>
      <c r="C3167"/>
      <c r="D3167"/>
      <c r="E3167" s="321"/>
      <c r="F3167" s="242"/>
      <c r="G3167"/>
      <c r="H3167" s="322"/>
      <c r="I3167" s="322"/>
      <c r="J3167" s="242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</row>
    <row r="3168" spans="1:26" ht="15.75" hidden="1" customHeight="1" outlineLevel="2">
      <c r="A3168"/>
      <c r="B3168" s="249"/>
      <c r="C3168"/>
      <c r="D3168"/>
      <c r="E3168" s="321"/>
      <c r="F3168" s="242"/>
      <c r="G3168"/>
      <c r="H3168" s="322"/>
      <c r="I3168" s="322"/>
      <c r="J3168" s="242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</row>
    <row r="3169" spans="1:26" ht="15.75" hidden="1" customHeight="1" outlineLevel="2">
      <c r="A3169"/>
      <c r="B3169" s="249"/>
      <c r="C3169"/>
      <c r="D3169"/>
      <c r="E3169" s="321"/>
      <c r="F3169" s="242"/>
      <c r="G3169"/>
      <c r="H3169" s="322"/>
      <c r="I3169" s="322"/>
      <c r="J3169" s="242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</row>
    <row r="3170" spans="1:26" ht="15.75" hidden="1" customHeight="1" outlineLevel="2">
      <c r="A3170"/>
      <c r="B3170" s="249"/>
      <c r="C3170"/>
      <c r="D3170"/>
      <c r="E3170" s="321"/>
      <c r="F3170" s="242"/>
      <c r="G3170"/>
      <c r="H3170" s="322"/>
      <c r="I3170" s="322"/>
      <c r="J3170" s="242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</row>
    <row r="3171" spans="1:26" ht="15.75" hidden="1" customHeight="1" outlineLevel="2">
      <c r="A3171"/>
      <c r="B3171" s="249"/>
      <c r="C3171"/>
      <c r="D3171"/>
      <c r="E3171" s="321"/>
      <c r="F3171" s="242"/>
      <c r="G3171"/>
      <c r="H3171" s="322"/>
      <c r="I3171" s="322"/>
      <c r="J3171" s="242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</row>
    <row r="3172" spans="1:26" ht="15.75" hidden="1" customHeight="1" outlineLevel="2">
      <c r="A3172"/>
      <c r="B3172" s="249"/>
      <c r="C3172"/>
      <c r="D3172"/>
      <c r="E3172" s="321"/>
      <c r="F3172" s="242"/>
      <c r="G3172"/>
      <c r="H3172" s="322"/>
      <c r="I3172" s="322"/>
      <c r="J3172" s="242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</row>
    <row r="3173" spans="1:26" ht="15.75" hidden="1" customHeight="1" outlineLevel="2">
      <c r="A3173"/>
      <c r="B3173" s="249"/>
      <c r="C3173"/>
      <c r="D3173"/>
      <c r="E3173" s="321"/>
      <c r="F3173" s="242"/>
      <c r="G3173"/>
      <c r="H3173" s="322"/>
      <c r="I3173" s="322"/>
      <c r="J3173" s="242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</row>
    <row r="3174" spans="1:26" ht="15.75" hidden="1" customHeight="1" outlineLevel="2">
      <c r="A3174"/>
      <c r="B3174" s="249"/>
      <c r="C3174"/>
      <c r="D3174"/>
      <c r="E3174" s="321"/>
      <c r="F3174" s="242"/>
      <c r="G3174"/>
      <c r="H3174" s="322"/>
      <c r="I3174" s="322"/>
      <c r="J3174" s="242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</row>
    <row r="3175" spans="1:26" ht="15.75" hidden="1" customHeight="1" outlineLevel="2">
      <c r="A3175"/>
      <c r="B3175" s="249"/>
      <c r="C3175"/>
      <c r="D3175"/>
      <c r="E3175" s="321"/>
      <c r="F3175" s="242"/>
      <c r="G3175"/>
      <c r="H3175" s="322"/>
      <c r="I3175" s="322"/>
      <c r="J3175" s="242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</row>
    <row r="3176" spans="1:26" ht="15.75" hidden="1" customHeight="1" outlineLevel="2">
      <c r="A3176"/>
      <c r="B3176" s="249"/>
      <c r="C3176"/>
      <c r="D3176"/>
      <c r="E3176" s="321"/>
      <c r="F3176" s="242"/>
      <c r="G3176"/>
      <c r="H3176" s="322"/>
      <c r="I3176" s="322"/>
      <c r="J3176" s="242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</row>
    <row r="3177" spans="1:26" ht="15.75" hidden="1" customHeight="1" outlineLevel="2">
      <c r="A3177"/>
      <c r="B3177" s="249"/>
      <c r="C3177"/>
      <c r="D3177"/>
      <c r="E3177" s="321"/>
      <c r="F3177" s="242"/>
      <c r="G3177"/>
      <c r="H3177" s="322"/>
      <c r="I3177" s="322"/>
      <c r="J3177" s="242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</row>
    <row r="3178" spans="1:26" ht="15.75" hidden="1" customHeight="1" outlineLevel="2">
      <c r="A3178"/>
      <c r="B3178" s="249"/>
      <c r="C3178"/>
      <c r="D3178"/>
      <c r="E3178" s="321"/>
      <c r="F3178" s="242"/>
      <c r="G3178"/>
      <c r="H3178" s="322"/>
      <c r="I3178" s="322"/>
      <c r="J3178" s="242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</row>
    <row r="3179" spans="1:26" ht="15.75" hidden="1" customHeight="1" outlineLevel="2">
      <c r="A3179"/>
      <c r="B3179" s="249"/>
      <c r="C3179"/>
      <c r="D3179"/>
      <c r="E3179" s="321"/>
      <c r="F3179" s="242"/>
      <c r="G3179"/>
      <c r="H3179" s="322"/>
      <c r="I3179" s="322"/>
      <c r="J3179" s="242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</row>
    <row r="3180" spans="1:26" ht="15.75" hidden="1" customHeight="1" outlineLevel="2">
      <c r="A3180"/>
      <c r="B3180" s="249"/>
      <c r="C3180"/>
      <c r="D3180"/>
      <c r="E3180" s="321"/>
      <c r="F3180" s="242"/>
      <c r="G3180"/>
      <c r="H3180" s="322"/>
      <c r="I3180" s="322"/>
      <c r="J3180" s="242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</row>
    <row r="3181" spans="1:26" ht="15.75" hidden="1" customHeight="1" outlineLevel="2">
      <c r="A3181"/>
      <c r="B3181" s="249"/>
      <c r="C3181"/>
      <c r="D3181"/>
      <c r="E3181" s="321"/>
      <c r="F3181" s="242"/>
      <c r="G3181"/>
      <c r="H3181" s="322"/>
      <c r="I3181" s="322"/>
      <c r="J3181" s="242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</row>
    <row r="3182" spans="1:26" ht="15.75" hidden="1" customHeight="1" outlineLevel="2">
      <c r="A3182"/>
      <c r="B3182" s="249"/>
      <c r="C3182"/>
      <c r="D3182"/>
      <c r="E3182" s="321"/>
      <c r="F3182" s="242"/>
      <c r="G3182"/>
      <c r="H3182" s="322"/>
      <c r="I3182" s="322"/>
      <c r="J3182" s="242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</row>
    <row r="3183" spans="1:26" ht="15.75" hidden="1" customHeight="1" outlineLevel="2">
      <c r="A3183"/>
      <c r="B3183" s="249"/>
      <c r="C3183"/>
      <c r="D3183"/>
      <c r="E3183" s="321"/>
      <c r="F3183" s="242"/>
      <c r="G3183"/>
      <c r="H3183" s="322"/>
      <c r="I3183" s="322"/>
      <c r="J3183" s="242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</row>
    <row r="3184" spans="1:26" ht="15.75" hidden="1" customHeight="1" outlineLevel="2">
      <c r="A3184"/>
      <c r="B3184" s="249"/>
      <c r="C3184"/>
      <c r="D3184"/>
      <c r="E3184" s="321"/>
      <c r="F3184" s="242"/>
      <c r="G3184"/>
      <c r="H3184" s="322"/>
      <c r="I3184" s="322"/>
      <c r="J3184" s="242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</row>
    <row r="3185" spans="1:26" ht="15.75" hidden="1" customHeight="1" outlineLevel="2">
      <c r="A3185"/>
      <c r="B3185" s="249"/>
      <c r="C3185"/>
      <c r="D3185"/>
      <c r="E3185" s="321"/>
      <c r="F3185" s="242"/>
      <c r="G3185"/>
      <c r="H3185" s="322"/>
      <c r="I3185" s="322"/>
      <c r="J3185" s="242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</row>
    <row r="3186" spans="1:26" ht="15.75" hidden="1" customHeight="1" outlineLevel="2">
      <c r="A3186"/>
      <c r="B3186" s="249"/>
      <c r="C3186"/>
      <c r="D3186"/>
      <c r="E3186" s="321"/>
      <c r="F3186" s="242"/>
      <c r="G3186"/>
      <c r="H3186" s="322"/>
      <c r="I3186" s="322"/>
      <c r="J3186" s="242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</row>
    <row r="3187" spans="1:26" ht="15.75" hidden="1" customHeight="1" outlineLevel="2">
      <c r="A3187"/>
      <c r="B3187" s="249"/>
      <c r="C3187"/>
      <c r="D3187"/>
      <c r="E3187" s="321"/>
      <c r="F3187" s="242"/>
      <c r="G3187"/>
      <c r="H3187" s="322"/>
      <c r="I3187" s="322"/>
      <c r="J3187" s="242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</row>
    <row r="3188" spans="1:26" ht="15.75" hidden="1" customHeight="1" outlineLevel="2">
      <c r="A3188"/>
      <c r="B3188" s="249"/>
      <c r="C3188"/>
      <c r="D3188"/>
      <c r="E3188" s="321"/>
      <c r="F3188" s="242"/>
      <c r="G3188"/>
      <c r="H3188" s="322"/>
      <c r="I3188" s="322"/>
      <c r="J3188" s="242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</row>
    <row r="3189" spans="1:26" ht="15.75" hidden="1" customHeight="1" outlineLevel="2">
      <c r="A3189"/>
      <c r="B3189" s="249"/>
      <c r="C3189"/>
      <c r="D3189"/>
      <c r="E3189" s="321"/>
      <c r="F3189" s="242"/>
      <c r="G3189"/>
      <c r="H3189" s="322"/>
      <c r="I3189" s="322"/>
      <c r="J3189" s="242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</row>
    <row r="3190" spans="1:26" ht="15.75" hidden="1" customHeight="1" outlineLevel="2">
      <c r="A3190"/>
      <c r="B3190" s="249"/>
      <c r="C3190"/>
      <c r="D3190"/>
      <c r="E3190" s="321"/>
      <c r="F3190" s="242"/>
      <c r="G3190"/>
      <c r="H3190" s="322"/>
      <c r="I3190" s="322"/>
      <c r="J3190" s="242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</row>
    <row r="3191" spans="1:26" ht="15.75" hidden="1" customHeight="1" outlineLevel="2">
      <c r="A3191"/>
      <c r="B3191" s="249"/>
      <c r="C3191"/>
      <c r="D3191"/>
      <c r="E3191" s="321"/>
      <c r="F3191" s="242"/>
      <c r="G3191"/>
      <c r="H3191" s="322"/>
      <c r="I3191" s="322"/>
      <c r="J3191" s="242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</row>
    <row r="3192" spans="1:26" ht="15.75" hidden="1" customHeight="1" outlineLevel="2">
      <c r="A3192"/>
      <c r="B3192" s="249"/>
      <c r="C3192"/>
      <c r="D3192"/>
      <c r="E3192" s="321"/>
      <c r="F3192" s="242"/>
      <c r="G3192"/>
      <c r="H3192" s="322"/>
      <c r="I3192" s="322"/>
      <c r="J3192" s="242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</row>
    <row r="3193" spans="1:26" ht="15.75" hidden="1" customHeight="1" outlineLevel="2">
      <c r="A3193"/>
      <c r="B3193" s="249"/>
      <c r="C3193"/>
      <c r="D3193"/>
      <c r="E3193" s="321"/>
      <c r="F3193" s="242"/>
      <c r="G3193"/>
      <c r="H3193" s="322"/>
      <c r="I3193" s="322"/>
      <c r="J3193" s="242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</row>
    <row r="3194" spans="1:26" ht="15.75" hidden="1" customHeight="1" outlineLevel="2">
      <c r="A3194"/>
      <c r="B3194" s="249"/>
      <c r="C3194"/>
      <c r="D3194"/>
      <c r="E3194" s="321"/>
      <c r="F3194" s="242"/>
      <c r="G3194"/>
      <c r="H3194" s="322"/>
      <c r="I3194" s="322"/>
      <c r="J3194" s="242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</row>
    <row r="3195" spans="1:26" ht="15.75" hidden="1" customHeight="1" outlineLevel="2">
      <c r="A3195"/>
      <c r="B3195" s="249"/>
      <c r="C3195"/>
      <c r="D3195"/>
      <c r="E3195" s="321"/>
      <c r="F3195" s="242"/>
      <c r="G3195"/>
      <c r="H3195" s="322"/>
      <c r="I3195" s="322"/>
      <c r="J3195" s="242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</row>
    <row r="3196" spans="1:26" ht="15.75" hidden="1" customHeight="1" outlineLevel="2">
      <c r="A3196"/>
      <c r="B3196" s="249"/>
      <c r="C3196"/>
      <c r="D3196"/>
      <c r="E3196" s="321"/>
      <c r="F3196" s="242"/>
      <c r="G3196"/>
      <c r="H3196" s="322"/>
      <c r="I3196" s="322"/>
      <c r="J3196" s="242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</row>
    <row r="3197" spans="1:26" ht="15.75" hidden="1" customHeight="1" outlineLevel="2">
      <c r="A3197"/>
      <c r="B3197" s="249"/>
      <c r="C3197"/>
      <c r="D3197"/>
      <c r="E3197" s="321"/>
      <c r="F3197" s="242"/>
      <c r="G3197"/>
      <c r="H3197" s="322"/>
      <c r="I3197" s="322"/>
      <c r="J3197" s="242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</row>
    <row r="3198" spans="1:26" ht="15.75" hidden="1" customHeight="1" outlineLevel="2">
      <c r="A3198"/>
      <c r="B3198" s="249"/>
      <c r="C3198"/>
      <c r="D3198"/>
      <c r="E3198" s="321"/>
      <c r="F3198" s="242"/>
      <c r="G3198"/>
      <c r="H3198" s="322"/>
      <c r="I3198" s="322"/>
      <c r="J3198" s="242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</row>
    <row r="3199" spans="1:26" ht="15.75" hidden="1" customHeight="1" outlineLevel="2">
      <c r="A3199"/>
      <c r="B3199" s="249"/>
      <c r="C3199"/>
      <c r="D3199"/>
      <c r="E3199" s="321"/>
      <c r="F3199" s="242"/>
      <c r="G3199"/>
      <c r="H3199" s="322"/>
      <c r="I3199" s="322"/>
      <c r="J3199" s="242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</row>
    <row r="3200" spans="1:26" ht="15.75" hidden="1" customHeight="1" outlineLevel="2">
      <c r="A3200"/>
      <c r="B3200" s="249"/>
      <c r="C3200"/>
      <c r="D3200"/>
      <c r="E3200" s="321"/>
      <c r="F3200" s="242"/>
      <c r="G3200"/>
      <c r="H3200" s="322"/>
      <c r="I3200" s="322"/>
      <c r="J3200" s="242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</row>
    <row r="3201" spans="1:26" ht="15.75" hidden="1" customHeight="1" outlineLevel="2">
      <c r="A3201"/>
      <c r="B3201" s="249"/>
      <c r="C3201"/>
      <c r="D3201"/>
      <c r="E3201" s="321"/>
      <c r="F3201" s="242"/>
      <c r="G3201"/>
      <c r="H3201" s="322"/>
      <c r="I3201" s="322"/>
      <c r="J3201" s="242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</row>
    <row r="3202" spans="1:26" ht="15.75" hidden="1" customHeight="1" outlineLevel="2">
      <c r="A3202"/>
      <c r="B3202" s="249"/>
      <c r="C3202"/>
      <c r="D3202"/>
      <c r="E3202" s="321"/>
      <c r="F3202" s="242"/>
      <c r="G3202"/>
      <c r="H3202" s="322"/>
      <c r="I3202" s="322"/>
      <c r="J3202" s="242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</row>
    <row r="3203" spans="1:26" ht="15.75" hidden="1" customHeight="1" outlineLevel="2">
      <c r="A3203"/>
      <c r="B3203" s="249"/>
      <c r="C3203"/>
      <c r="D3203"/>
      <c r="E3203" s="321"/>
      <c r="F3203" s="242"/>
      <c r="G3203"/>
      <c r="H3203" s="322"/>
      <c r="I3203" s="322"/>
      <c r="J3203" s="242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</row>
    <row r="3204" spans="1:26" ht="15.75" hidden="1" customHeight="1" outlineLevel="2">
      <c r="A3204"/>
      <c r="B3204" s="249"/>
      <c r="C3204"/>
      <c r="D3204"/>
      <c r="E3204" s="321"/>
      <c r="F3204" s="242"/>
      <c r="G3204"/>
      <c r="H3204" s="322"/>
      <c r="I3204" s="322"/>
      <c r="J3204" s="242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</row>
    <row r="3205" spans="1:26" ht="15.75" hidden="1" customHeight="1" outlineLevel="2">
      <c r="A3205"/>
      <c r="B3205" s="249"/>
      <c r="C3205"/>
      <c r="D3205"/>
      <c r="E3205" s="321"/>
      <c r="F3205" s="242"/>
      <c r="G3205"/>
      <c r="H3205" s="322"/>
      <c r="I3205" s="322"/>
      <c r="J3205" s="242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</row>
    <row r="3206" spans="1:26" ht="15.75" hidden="1" customHeight="1" outlineLevel="2">
      <c r="A3206"/>
      <c r="B3206" s="249"/>
      <c r="C3206"/>
      <c r="D3206"/>
      <c r="E3206" s="321"/>
      <c r="F3206" s="242"/>
      <c r="G3206"/>
      <c r="H3206" s="322"/>
      <c r="I3206" s="322"/>
      <c r="J3206" s="242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</row>
    <row r="3207" spans="1:26" ht="15.75" hidden="1" customHeight="1" outlineLevel="2">
      <c r="A3207"/>
      <c r="B3207" s="249"/>
      <c r="C3207"/>
      <c r="D3207"/>
      <c r="E3207" s="321"/>
      <c r="F3207" s="242"/>
      <c r="G3207"/>
      <c r="H3207" s="322"/>
      <c r="I3207" s="322"/>
      <c r="J3207" s="242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</row>
    <row r="3208" spans="1:26" ht="15.75" hidden="1" customHeight="1" outlineLevel="2">
      <c r="A3208"/>
      <c r="B3208" s="249"/>
      <c r="C3208"/>
      <c r="D3208"/>
      <c r="E3208" s="321"/>
      <c r="F3208" s="242"/>
      <c r="G3208"/>
      <c r="H3208" s="322"/>
      <c r="I3208" s="322"/>
      <c r="J3208" s="242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</row>
    <row r="3209" spans="1:26" ht="15.75" hidden="1" customHeight="1" outlineLevel="2">
      <c r="A3209"/>
      <c r="B3209" s="249"/>
      <c r="C3209"/>
      <c r="D3209"/>
      <c r="E3209" s="321"/>
      <c r="F3209" s="242"/>
      <c r="G3209"/>
      <c r="H3209" s="322"/>
      <c r="I3209" s="322"/>
      <c r="J3209" s="242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</row>
    <row r="3210" spans="1:26" ht="15.75" hidden="1" customHeight="1" outlineLevel="2">
      <c r="A3210"/>
      <c r="B3210" s="249"/>
      <c r="C3210"/>
      <c r="D3210"/>
      <c r="E3210" s="321"/>
      <c r="F3210" s="242"/>
      <c r="G3210"/>
      <c r="H3210" s="322"/>
      <c r="I3210" s="322"/>
      <c r="J3210" s="242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</row>
    <row r="3211" spans="1:26" ht="15.75" hidden="1" customHeight="1" outlineLevel="2">
      <c r="A3211"/>
      <c r="B3211" s="249"/>
      <c r="C3211"/>
      <c r="D3211"/>
      <c r="E3211" s="321"/>
      <c r="F3211" s="242"/>
      <c r="G3211"/>
      <c r="H3211" s="322"/>
      <c r="I3211" s="322"/>
      <c r="J3211" s="242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</row>
    <row r="3212" spans="1:26" ht="15.75" hidden="1" customHeight="1" outlineLevel="2">
      <c r="A3212"/>
      <c r="B3212" s="249"/>
      <c r="C3212"/>
      <c r="D3212"/>
      <c r="E3212" s="321"/>
      <c r="F3212" s="242"/>
      <c r="G3212"/>
      <c r="H3212" s="322"/>
      <c r="I3212" s="322"/>
      <c r="J3212" s="242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</row>
    <row r="3213" spans="1:26" ht="15.75" hidden="1" customHeight="1" outlineLevel="2">
      <c r="A3213"/>
      <c r="B3213" s="249"/>
      <c r="C3213"/>
      <c r="D3213"/>
      <c r="E3213" s="321"/>
      <c r="F3213" s="242"/>
      <c r="G3213"/>
      <c r="H3213" s="322"/>
      <c r="I3213" s="322"/>
      <c r="J3213" s="242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</row>
    <row r="3214" spans="1:26" ht="15.75" hidden="1" customHeight="1" outlineLevel="2">
      <c r="A3214"/>
      <c r="B3214" s="249"/>
      <c r="C3214"/>
      <c r="D3214"/>
      <c r="E3214" s="321"/>
      <c r="F3214" s="242"/>
      <c r="G3214"/>
      <c r="H3214" s="322"/>
      <c r="I3214" s="322"/>
      <c r="J3214" s="242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</row>
    <row r="3215" spans="1:26" ht="15.75" hidden="1" customHeight="1" outlineLevel="2">
      <c r="A3215"/>
      <c r="B3215" s="249"/>
      <c r="C3215"/>
      <c r="D3215"/>
      <c r="E3215" s="321"/>
      <c r="F3215" s="242"/>
      <c r="G3215"/>
      <c r="H3215" s="322"/>
      <c r="I3215" s="322"/>
      <c r="J3215" s="242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</row>
    <row r="3216" spans="1:26" ht="15.75" hidden="1" customHeight="1" outlineLevel="2">
      <c r="A3216"/>
      <c r="B3216" s="249"/>
      <c r="C3216"/>
      <c r="D3216"/>
      <c r="E3216" s="321"/>
      <c r="F3216" s="242"/>
      <c r="G3216"/>
      <c r="H3216" s="322"/>
      <c r="I3216" s="322"/>
      <c r="J3216" s="242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</row>
    <row r="3217" spans="1:26" ht="15.75" hidden="1" customHeight="1" outlineLevel="2">
      <c r="A3217"/>
      <c r="B3217" s="249"/>
      <c r="C3217"/>
      <c r="D3217"/>
      <c r="E3217" s="321"/>
      <c r="F3217" s="242"/>
      <c r="G3217"/>
      <c r="H3217" s="322"/>
      <c r="I3217" s="322"/>
      <c r="J3217" s="242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</row>
    <row r="3218" spans="1:26" ht="15.75" hidden="1" customHeight="1" outlineLevel="2">
      <c r="A3218"/>
      <c r="B3218" s="249"/>
      <c r="C3218"/>
      <c r="D3218"/>
      <c r="E3218" s="321"/>
      <c r="F3218" s="242"/>
      <c r="G3218"/>
      <c r="H3218" s="322"/>
      <c r="I3218" s="322"/>
      <c r="J3218" s="242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</row>
    <row r="3219" spans="1:26" ht="15.75" hidden="1" customHeight="1" outlineLevel="2">
      <c r="A3219"/>
      <c r="B3219" s="249"/>
      <c r="C3219"/>
      <c r="D3219"/>
      <c r="E3219" s="321"/>
      <c r="F3219" s="242"/>
      <c r="G3219"/>
      <c r="H3219" s="322"/>
      <c r="I3219" s="322"/>
      <c r="J3219" s="242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</row>
    <row r="3220" spans="1:26" ht="15.75" hidden="1" customHeight="1" outlineLevel="2">
      <c r="A3220"/>
      <c r="B3220" s="249"/>
      <c r="C3220"/>
      <c r="D3220"/>
      <c r="E3220" s="321"/>
      <c r="F3220" s="242"/>
      <c r="G3220"/>
      <c r="H3220" s="322"/>
      <c r="I3220" s="322"/>
      <c r="J3220" s="242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</row>
    <row r="3221" spans="1:26" ht="15.75" hidden="1" customHeight="1" outlineLevel="2">
      <c r="A3221"/>
      <c r="B3221" s="249"/>
      <c r="C3221"/>
      <c r="D3221"/>
      <c r="E3221" s="321"/>
      <c r="F3221" s="242"/>
      <c r="G3221"/>
      <c r="H3221" s="322"/>
      <c r="I3221" s="322"/>
      <c r="J3221" s="242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</row>
    <row r="3222" spans="1:26" ht="15.75" hidden="1" customHeight="1" outlineLevel="2">
      <c r="A3222"/>
      <c r="B3222" s="249"/>
      <c r="C3222"/>
      <c r="D3222"/>
      <c r="E3222" s="321"/>
      <c r="F3222" s="242"/>
      <c r="G3222"/>
      <c r="H3222" s="322"/>
      <c r="I3222" s="322"/>
      <c r="J3222" s="242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</row>
    <row r="3223" spans="1:26" ht="15.75" hidden="1" customHeight="1" outlineLevel="2">
      <c r="A3223"/>
      <c r="B3223" s="249"/>
      <c r="C3223"/>
      <c r="D3223"/>
      <c r="E3223" s="321"/>
      <c r="F3223" s="242"/>
      <c r="G3223"/>
      <c r="H3223" s="322"/>
      <c r="I3223" s="322"/>
      <c r="J3223" s="242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</row>
    <row r="3224" spans="1:26" ht="15.75" hidden="1" customHeight="1" outlineLevel="2">
      <c r="A3224"/>
      <c r="B3224" s="249"/>
      <c r="C3224"/>
      <c r="D3224"/>
      <c r="E3224" s="321"/>
      <c r="F3224" s="242"/>
      <c r="G3224"/>
      <c r="H3224" s="322"/>
      <c r="I3224" s="322"/>
      <c r="J3224" s="242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</row>
    <row r="3225" spans="1:26" ht="15.75" hidden="1" customHeight="1" outlineLevel="2">
      <c r="A3225"/>
      <c r="B3225" s="249"/>
      <c r="C3225"/>
      <c r="D3225"/>
      <c r="E3225" s="321"/>
      <c r="F3225" s="242"/>
      <c r="G3225"/>
      <c r="H3225" s="322"/>
      <c r="I3225" s="322"/>
      <c r="J3225" s="242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</row>
    <row r="3226" spans="1:26" ht="15.75" hidden="1" customHeight="1" outlineLevel="2">
      <c r="A3226"/>
      <c r="B3226" s="249"/>
      <c r="C3226"/>
      <c r="D3226"/>
      <c r="E3226" s="321"/>
      <c r="F3226" s="242"/>
      <c r="G3226"/>
      <c r="H3226" s="322"/>
      <c r="I3226" s="322"/>
      <c r="J3226" s="242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</row>
    <row r="3227" spans="1:26" ht="15.75" hidden="1" customHeight="1" outlineLevel="2">
      <c r="A3227"/>
      <c r="B3227" s="249"/>
      <c r="C3227"/>
      <c r="D3227"/>
      <c r="E3227" s="321"/>
      <c r="F3227" s="242"/>
      <c r="G3227"/>
      <c r="H3227" s="322"/>
      <c r="I3227" s="322"/>
      <c r="J3227" s="242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</row>
    <row r="3228" spans="1:26" ht="15.75" hidden="1" customHeight="1" outlineLevel="2">
      <c r="A3228"/>
      <c r="B3228" s="249"/>
      <c r="C3228"/>
      <c r="D3228"/>
      <c r="E3228" s="321"/>
      <c r="F3228" s="242"/>
      <c r="G3228"/>
      <c r="H3228" s="322"/>
      <c r="I3228" s="322"/>
      <c r="J3228" s="242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</row>
    <row r="3229" spans="1:26" ht="15.75" hidden="1" customHeight="1" outlineLevel="2">
      <c r="A3229"/>
      <c r="B3229" s="249"/>
      <c r="C3229"/>
      <c r="D3229"/>
      <c r="E3229" s="321"/>
      <c r="F3229" s="242"/>
      <c r="G3229"/>
      <c r="H3229" s="322"/>
      <c r="I3229" s="322"/>
      <c r="J3229" s="242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</row>
    <row r="3230" spans="1:26" ht="15.75" hidden="1" customHeight="1" outlineLevel="2">
      <c r="A3230"/>
      <c r="B3230" s="249"/>
      <c r="C3230"/>
      <c r="D3230"/>
      <c r="E3230" s="321"/>
      <c r="F3230" s="242"/>
      <c r="G3230"/>
      <c r="H3230" s="322"/>
      <c r="I3230" s="322"/>
      <c r="J3230" s="242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</row>
    <row r="3231" spans="1:26" ht="15.75" hidden="1" customHeight="1" outlineLevel="2">
      <c r="A3231"/>
      <c r="B3231" s="249"/>
      <c r="C3231"/>
      <c r="D3231"/>
      <c r="E3231" s="321"/>
      <c r="F3231" s="242"/>
      <c r="G3231"/>
      <c r="H3231" s="322"/>
      <c r="I3231" s="322"/>
      <c r="J3231" s="242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</row>
    <row r="3232" spans="1:26" ht="15.75" hidden="1" customHeight="1" outlineLevel="2">
      <c r="A3232"/>
      <c r="B3232" s="249"/>
      <c r="C3232"/>
      <c r="D3232"/>
      <c r="E3232" s="321"/>
      <c r="F3232" s="242"/>
      <c r="G3232"/>
      <c r="H3232" s="322"/>
      <c r="I3232" s="322"/>
      <c r="J3232" s="242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</row>
    <row r="3233" spans="1:26" ht="15.75" hidden="1" customHeight="1" outlineLevel="2">
      <c r="A3233"/>
      <c r="B3233" s="249"/>
      <c r="C3233"/>
      <c r="D3233"/>
      <c r="E3233" s="321"/>
      <c r="F3233" s="242"/>
      <c r="G3233"/>
      <c r="H3233" s="322"/>
      <c r="I3233" s="322"/>
      <c r="J3233" s="242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</row>
    <row r="3234" spans="1:26" ht="15.75" hidden="1" customHeight="1" outlineLevel="2">
      <c r="A3234"/>
      <c r="B3234" s="249"/>
      <c r="C3234"/>
      <c r="D3234"/>
      <c r="E3234" s="321"/>
      <c r="F3234" s="242"/>
      <c r="G3234"/>
      <c r="H3234" s="322"/>
      <c r="I3234" s="322"/>
      <c r="J3234" s="242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</row>
    <row r="3235" spans="1:26" ht="15.75" hidden="1" customHeight="1" outlineLevel="2">
      <c r="A3235"/>
      <c r="B3235" s="249"/>
      <c r="C3235"/>
      <c r="D3235"/>
      <c r="E3235" s="321"/>
      <c r="F3235" s="242"/>
      <c r="G3235"/>
      <c r="H3235" s="322"/>
      <c r="I3235" s="322"/>
      <c r="J3235" s="242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</row>
    <row r="3236" spans="1:26" ht="15.75" hidden="1" customHeight="1" outlineLevel="2">
      <c r="A3236"/>
      <c r="B3236" s="249"/>
      <c r="C3236"/>
      <c r="D3236"/>
      <c r="E3236" s="321"/>
      <c r="F3236" s="242"/>
      <c r="G3236"/>
      <c r="H3236" s="322"/>
      <c r="I3236" s="322"/>
      <c r="J3236" s="242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</row>
    <row r="3237" spans="1:26" ht="15.75" hidden="1" customHeight="1" outlineLevel="2">
      <c r="A3237"/>
      <c r="B3237" s="249"/>
      <c r="C3237"/>
      <c r="D3237"/>
      <c r="E3237" s="321"/>
      <c r="F3237" s="242"/>
      <c r="G3237"/>
      <c r="H3237" s="322"/>
      <c r="I3237" s="322"/>
      <c r="J3237" s="242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</row>
    <row r="3238" spans="1:26" ht="15.75" hidden="1" customHeight="1" outlineLevel="2">
      <c r="A3238"/>
      <c r="B3238" s="249"/>
      <c r="C3238"/>
      <c r="D3238"/>
      <c r="E3238" s="321"/>
      <c r="F3238" s="242"/>
      <c r="G3238"/>
      <c r="H3238" s="322"/>
      <c r="I3238" s="322"/>
      <c r="J3238" s="242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</row>
    <row r="3239" spans="1:26" ht="15.75" hidden="1" customHeight="1" outlineLevel="2">
      <c r="A3239"/>
      <c r="B3239" s="249"/>
      <c r="C3239"/>
      <c r="D3239"/>
      <c r="E3239" s="321"/>
      <c r="F3239" s="242"/>
      <c r="G3239"/>
      <c r="H3239" s="322"/>
      <c r="I3239" s="322"/>
      <c r="J3239" s="242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</row>
    <row r="3240" spans="1:26" ht="15.75" hidden="1" customHeight="1" outlineLevel="2">
      <c r="A3240"/>
      <c r="B3240" s="249"/>
      <c r="C3240"/>
      <c r="D3240"/>
      <c r="E3240" s="321"/>
      <c r="F3240" s="242"/>
      <c r="G3240"/>
      <c r="H3240" s="322"/>
      <c r="I3240" s="322"/>
      <c r="J3240" s="242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</row>
    <row r="3241" spans="1:26" ht="15.75" hidden="1" customHeight="1" outlineLevel="2">
      <c r="A3241"/>
      <c r="B3241" s="249"/>
      <c r="C3241"/>
      <c r="D3241"/>
      <c r="E3241" s="321"/>
      <c r="F3241" s="242"/>
      <c r="G3241"/>
      <c r="H3241" s="322"/>
      <c r="I3241" s="322"/>
      <c r="J3241" s="242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</row>
    <row r="3242" spans="1:26" ht="15.75" hidden="1" customHeight="1" outlineLevel="2">
      <c r="A3242"/>
      <c r="B3242" s="249"/>
      <c r="C3242"/>
      <c r="D3242"/>
      <c r="E3242" s="321"/>
      <c r="F3242" s="242"/>
      <c r="G3242"/>
      <c r="H3242" s="322"/>
      <c r="I3242" s="322"/>
      <c r="J3242" s="242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</row>
    <row r="3243" spans="1:26" ht="15.75" hidden="1" customHeight="1" outlineLevel="2">
      <c r="A3243"/>
      <c r="B3243" s="249"/>
      <c r="C3243"/>
      <c r="D3243"/>
      <c r="E3243" s="321"/>
      <c r="F3243" s="242"/>
      <c r="G3243"/>
      <c r="H3243" s="322"/>
      <c r="I3243" s="322"/>
      <c r="J3243" s="242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</row>
    <row r="3244" spans="1:26" ht="15.75" hidden="1" customHeight="1" outlineLevel="2">
      <c r="A3244"/>
      <c r="B3244" s="249"/>
      <c r="C3244"/>
      <c r="D3244"/>
      <c r="E3244" s="321"/>
      <c r="F3244" s="242"/>
      <c r="G3244"/>
      <c r="H3244" s="322"/>
      <c r="I3244" s="322"/>
      <c r="J3244" s="242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</row>
    <row r="3245" spans="1:26" ht="15.75" hidden="1" customHeight="1" outlineLevel="2">
      <c r="A3245"/>
      <c r="B3245" s="249"/>
      <c r="C3245"/>
      <c r="D3245"/>
      <c r="E3245" s="321"/>
      <c r="F3245" s="242"/>
      <c r="G3245"/>
      <c r="H3245" s="322"/>
      <c r="I3245" s="322"/>
      <c r="J3245" s="242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</row>
    <row r="3246" spans="1:26" ht="15.75" hidden="1" customHeight="1" outlineLevel="2">
      <c r="A3246"/>
      <c r="B3246" s="249"/>
      <c r="C3246"/>
      <c r="D3246"/>
      <c r="E3246" s="321"/>
      <c r="F3246" s="242"/>
      <c r="G3246"/>
      <c r="H3246" s="322"/>
      <c r="I3246" s="322"/>
      <c r="J3246" s="242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</row>
    <row r="3247" spans="1:26" ht="15.75" hidden="1" customHeight="1" outlineLevel="2">
      <c r="A3247"/>
      <c r="B3247" s="249"/>
      <c r="C3247"/>
      <c r="D3247"/>
      <c r="E3247" s="321"/>
      <c r="F3247" s="242"/>
      <c r="G3247"/>
      <c r="H3247" s="322"/>
      <c r="I3247" s="322"/>
      <c r="J3247" s="242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</row>
    <row r="3248" spans="1:26" ht="15.75" hidden="1" customHeight="1" outlineLevel="2">
      <c r="A3248"/>
      <c r="B3248" s="249"/>
      <c r="C3248"/>
      <c r="D3248"/>
      <c r="E3248" s="321"/>
      <c r="F3248" s="242"/>
      <c r="G3248"/>
      <c r="H3248" s="322"/>
      <c r="I3248" s="322"/>
      <c r="J3248" s="242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</row>
    <row r="3249" spans="1:26" ht="15.75" hidden="1" customHeight="1" outlineLevel="2">
      <c r="A3249"/>
      <c r="B3249" s="249"/>
      <c r="C3249"/>
      <c r="D3249"/>
      <c r="E3249" s="321"/>
      <c r="F3249" s="242"/>
      <c r="G3249"/>
      <c r="H3249" s="322"/>
      <c r="I3249" s="322"/>
      <c r="J3249" s="242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</row>
    <row r="3250" spans="1:26" ht="15.75" hidden="1" customHeight="1" outlineLevel="2">
      <c r="A3250"/>
      <c r="B3250" s="249"/>
      <c r="C3250"/>
      <c r="D3250"/>
      <c r="E3250" s="321"/>
      <c r="F3250" s="242"/>
      <c r="G3250"/>
      <c r="H3250" s="322"/>
      <c r="I3250" s="322"/>
      <c r="J3250" s="242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</row>
    <row r="3251" spans="1:26" ht="15.75" hidden="1" customHeight="1" outlineLevel="2">
      <c r="A3251"/>
      <c r="B3251" s="249"/>
      <c r="C3251"/>
      <c r="D3251"/>
      <c r="E3251" s="321"/>
      <c r="F3251" s="242"/>
      <c r="G3251"/>
      <c r="H3251" s="322"/>
      <c r="I3251" s="322"/>
      <c r="J3251" s="242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</row>
    <row r="3252" spans="1:26" ht="15.75" hidden="1" customHeight="1" outlineLevel="2">
      <c r="A3252"/>
      <c r="B3252" s="249"/>
      <c r="C3252"/>
      <c r="D3252"/>
      <c r="E3252" s="321"/>
      <c r="F3252" s="242"/>
      <c r="G3252"/>
      <c r="H3252" s="322"/>
      <c r="I3252" s="322"/>
      <c r="J3252" s="242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</row>
    <row r="3253" spans="1:26" ht="15.75" hidden="1" customHeight="1" outlineLevel="2">
      <c r="A3253"/>
      <c r="B3253" s="249"/>
      <c r="C3253"/>
      <c r="D3253"/>
      <c r="E3253" s="321"/>
      <c r="F3253" s="242"/>
      <c r="G3253"/>
      <c r="H3253" s="322"/>
      <c r="I3253" s="322"/>
      <c r="J3253" s="242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</row>
    <row r="3254" spans="1:26" ht="15.75" hidden="1" customHeight="1" outlineLevel="2">
      <c r="A3254"/>
      <c r="B3254" s="249"/>
      <c r="C3254"/>
      <c r="D3254"/>
      <c r="E3254" s="321"/>
      <c r="F3254" s="242"/>
      <c r="G3254"/>
      <c r="H3254" s="322"/>
      <c r="I3254" s="322"/>
      <c r="J3254" s="242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</row>
    <row r="3255" spans="1:26" ht="15.75" hidden="1" customHeight="1" outlineLevel="2">
      <c r="A3255"/>
      <c r="B3255" s="249"/>
      <c r="C3255"/>
      <c r="D3255"/>
      <c r="E3255" s="321"/>
      <c r="F3255" s="242"/>
      <c r="G3255"/>
      <c r="H3255" s="322"/>
      <c r="I3255" s="322"/>
      <c r="J3255" s="242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</row>
    <row r="3256" spans="1:26" ht="15.75" hidden="1" customHeight="1" outlineLevel="2">
      <c r="A3256"/>
      <c r="B3256" s="249"/>
      <c r="C3256"/>
      <c r="D3256"/>
      <c r="E3256" s="321"/>
      <c r="F3256" s="242"/>
      <c r="G3256"/>
      <c r="H3256" s="322"/>
      <c r="I3256" s="322"/>
      <c r="J3256" s="242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</row>
    <row r="3257" spans="1:26" ht="15.75" hidden="1" customHeight="1" outlineLevel="2">
      <c r="A3257"/>
      <c r="B3257" s="249"/>
      <c r="C3257"/>
      <c r="D3257"/>
      <c r="E3257" s="321"/>
      <c r="F3257" s="242"/>
      <c r="G3257"/>
      <c r="H3257" s="322"/>
      <c r="I3257" s="322"/>
      <c r="J3257" s="242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</row>
    <row r="3258" spans="1:26" ht="15.75" hidden="1" customHeight="1" outlineLevel="2">
      <c r="A3258"/>
      <c r="B3258" s="249"/>
      <c r="C3258"/>
      <c r="D3258"/>
      <c r="E3258" s="321"/>
      <c r="F3258" s="242"/>
      <c r="G3258"/>
      <c r="H3258" s="322"/>
      <c r="I3258" s="322"/>
      <c r="J3258" s="242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</row>
    <row r="3259" spans="1:26" ht="15.75" hidden="1" customHeight="1" outlineLevel="2">
      <c r="A3259"/>
      <c r="B3259" s="249"/>
      <c r="C3259"/>
      <c r="D3259"/>
      <c r="E3259" s="321"/>
      <c r="F3259" s="242"/>
      <c r="G3259"/>
      <c r="H3259" s="322"/>
      <c r="I3259" s="322"/>
      <c r="J3259" s="242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</row>
    <row r="3260" spans="1:26" ht="15.75" hidden="1" customHeight="1" outlineLevel="2">
      <c r="A3260"/>
      <c r="B3260" s="249"/>
      <c r="C3260"/>
      <c r="D3260"/>
      <c r="E3260" s="321"/>
      <c r="F3260" s="242"/>
      <c r="G3260"/>
      <c r="H3260" s="322"/>
      <c r="I3260" s="322"/>
      <c r="J3260" s="242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</row>
    <row r="3261" spans="1:26" ht="15.75" hidden="1" customHeight="1" outlineLevel="2">
      <c r="A3261"/>
      <c r="B3261" s="249"/>
      <c r="C3261"/>
      <c r="D3261"/>
      <c r="E3261" s="321"/>
      <c r="F3261" s="242"/>
      <c r="G3261"/>
      <c r="H3261" s="322"/>
      <c r="I3261" s="322"/>
      <c r="J3261" s="242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</row>
    <row r="3262" spans="1:26" ht="15.75" hidden="1" customHeight="1" outlineLevel="2">
      <c r="A3262"/>
      <c r="B3262" s="249"/>
      <c r="C3262"/>
      <c r="D3262"/>
      <c r="E3262" s="321"/>
      <c r="F3262" s="242"/>
      <c r="G3262"/>
      <c r="H3262" s="322"/>
      <c r="I3262" s="322"/>
      <c r="J3262" s="242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</row>
    <row r="3263" spans="1:26" ht="15.75" hidden="1" customHeight="1" outlineLevel="2">
      <c r="A3263"/>
      <c r="B3263" s="249"/>
      <c r="C3263"/>
      <c r="D3263"/>
      <c r="E3263" s="321"/>
      <c r="F3263" s="242"/>
      <c r="G3263"/>
      <c r="H3263" s="322"/>
      <c r="I3263" s="322"/>
      <c r="J3263" s="242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</row>
    <row r="3264" spans="1:26" ht="15.75" hidden="1" customHeight="1" outlineLevel="2">
      <c r="A3264"/>
      <c r="B3264" s="249"/>
      <c r="C3264"/>
      <c r="D3264"/>
      <c r="E3264" s="321"/>
      <c r="F3264" s="242"/>
      <c r="G3264"/>
      <c r="H3264" s="322"/>
      <c r="I3264" s="322"/>
      <c r="J3264" s="242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</row>
    <row r="3265" spans="1:26" ht="15.75" hidden="1" customHeight="1" outlineLevel="2">
      <c r="A3265"/>
      <c r="B3265" s="249"/>
      <c r="C3265"/>
      <c r="D3265"/>
      <c r="E3265" s="321"/>
      <c r="F3265" s="242"/>
      <c r="G3265"/>
      <c r="H3265" s="322"/>
      <c r="I3265" s="322"/>
      <c r="J3265" s="242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</row>
    <row r="3266" spans="1:26" ht="15.75" hidden="1" customHeight="1" outlineLevel="2">
      <c r="A3266"/>
      <c r="B3266" s="249"/>
      <c r="C3266"/>
      <c r="D3266"/>
      <c r="E3266" s="321"/>
      <c r="F3266" s="242"/>
      <c r="G3266"/>
      <c r="H3266" s="322"/>
      <c r="I3266" s="322"/>
      <c r="J3266" s="242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</row>
    <row r="3267" spans="1:26" ht="15.75" hidden="1" customHeight="1" outlineLevel="2">
      <c r="A3267"/>
      <c r="B3267" s="249"/>
      <c r="C3267"/>
      <c r="D3267"/>
      <c r="E3267" s="321"/>
      <c r="F3267" s="242"/>
      <c r="G3267"/>
      <c r="H3267" s="322"/>
      <c r="I3267" s="322"/>
      <c r="J3267" s="242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</row>
    <row r="3268" spans="1:26" ht="15.75" hidden="1" customHeight="1" outlineLevel="2">
      <c r="A3268"/>
      <c r="B3268" s="249"/>
      <c r="C3268"/>
      <c r="D3268"/>
      <c r="E3268" s="321"/>
      <c r="F3268" s="242"/>
      <c r="G3268"/>
      <c r="H3268" s="322"/>
      <c r="I3268" s="322"/>
      <c r="J3268" s="242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</row>
    <row r="3269" spans="1:26" ht="15.75" hidden="1" customHeight="1" outlineLevel="2">
      <c r="A3269"/>
      <c r="B3269" s="249"/>
      <c r="C3269"/>
      <c r="D3269"/>
      <c r="E3269" s="321"/>
      <c r="F3269" s="242"/>
      <c r="G3269"/>
      <c r="H3269" s="322"/>
      <c r="I3269" s="322"/>
      <c r="J3269" s="242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</row>
    <row r="3270" spans="1:26" ht="15.75" hidden="1" customHeight="1" outlineLevel="2">
      <c r="A3270"/>
      <c r="B3270" s="249"/>
      <c r="C3270"/>
      <c r="D3270"/>
      <c r="E3270" s="321"/>
      <c r="F3270" s="242"/>
      <c r="G3270"/>
      <c r="H3270" s="322"/>
      <c r="I3270" s="322"/>
      <c r="J3270" s="242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</row>
    <row r="3271" spans="1:26" ht="15.75" hidden="1" customHeight="1" outlineLevel="2">
      <c r="A3271"/>
      <c r="B3271" s="249"/>
      <c r="C3271"/>
      <c r="D3271"/>
      <c r="E3271" s="321"/>
      <c r="F3271" s="242"/>
      <c r="G3271"/>
      <c r="H3271" s="322"/>
      <c r="I3271" s="322"/>
      <c r="J3271" s="242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</row>
    <row r="3272" spans="1:26" ht="15.75" hidden="1" customHeight="1" outlineLevel="2">
      <c r="A3272"/>
      <c r="B3272" s="249"/>
      <c r="C3272"/>
      <c r="D3272"/>
      <c r="E3272" s="321"/>
      <c r="F3272" s="242"/>
      <c r="G3272"/>
      <c r="H3272" s="322"/>
      <c r="I3272" s="322"/>
      <c r="J3272" s="242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</row>
    <row r="3273" spans="1:26" ht="15.75" hidden="1" customHeight="1" outlineLevel="2">
      <c r="A3273"/>
      <c r="B3273" s="249"/>
      <c r="C3273"/>
      <c r="D3273"/>
      <c r="E3273" s="321"/>
      <c r="F3273" s="242"/>
      <c r="G3273"/>
      <c r="H3273" s="322"/>
      <c r="I3273" s="322"/>
      <c r="J3273" s="242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</row>
    <row r="3274" spans="1:26" ht="15.75" hidden="1" customHeight="1" outlineLevel="2">
      <c r="A3274"/>
      <c r="B3274" s="249"/>
      <c r="C3274"/>
      <c r="D3274"/>
      <c r="E3274" s="321"/>
      <c r="F3274" s="242"/>
      <c r="G3274"/>
      <c r="H3274" s="322"/>
      <c r="I3274" s="322"/>
      <c r="J3274" s="242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</row>
    <row r="3275" spans="1:26" ht="15.75" hidden="1" customHeight="1" outlineLevel="2">
      <c r="A3275"/>
      <c r="B3275" s="249"/>
      <c r="C3275"/>
      <c r="D3275"/>
      <c r="E3275" s="321"/>
      <c r="F3275" s="242"/>
      <c r="G3275"/>
      <c r="H3275" s="322"/>
      <c r="I3275" s="322"/>
      <c r="J3275" s="242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</row>
    <row r="3276" spans="1:26" ht="15.75" hidden="1" customHeight="1" outlineLevel="2">
      <c r="A3276"/>
      <c r="B3276" s="249"/>
      <c r="C3276"/>
      <c r="D3276"/>
      <c r="E3276" s="321"/>
      <c r="F3276" s="242"/>
      <c r="G3276"/>
      <c r="H3276" s="322"/>
      <c r="I3276" s="322"/>
      <c r="J3276" s="242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</row>
    <row r="3277" spans="1:26" ht="15.75" hidden="1" customHeight="1" outlineLevel="2">
      <c r="A3277"/>
      <c r="B3277" s="249"/>
      <c r="C3277"/>
      <c r="D3277"/>
      <c r="E3277" s="321"/>
      <c r="F3277" s="242"/>
      <c r="G3277"/>
      <c r="H3277" s="322"/>
      <c r="I3277" s="322"/>
      <c r="J3277" s="242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</row>
    <row r="3278" spans="1:26" ht="15.75" hidden="1" customHeight="1" outlineLevel="2">
      <c r="A3278"/>
      <c r="B3278" s="249"/>
      <c r="C3278"/>
      <c r="D3278"/>
      <c r="E3278" s="321"/>
      <c r="F3278" s="242"/>
      <c r="G3278"/>
      <c r="H3278" s="322"/>
      <c r="I3278" s="322"/>
      <c r="J3278" s="242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</row>
    <row r="3279" spans="1:26" ht="15.75" hidden="1" customHeight="1" outlineLevel="2">
      <c r="A3279"/>
      <c r="B3279" s="249"/>
      <c r="C3279"/>
      <c r="D3279"/>
      <c r="E3279" s="321"/>
      <c r="F3279" s="242"/>
      <c r="G3279"/>
      <c r="H3279" s="322"/>
      <c r="I3279" s="322"/>
      <c r="J3279" s="242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</row>
    <row r="3280" spans="1:26" ht="15.75" hidden="1" customHeight="1" outlineLevel="2">
      <c r="A3280"/>
      <c r="B3280" s="249"/>
      <c r="C3280"/>
      <c r="D3280"/>
      <c r="E3280" s="321"/>
      <c r="F3280" s="242"/>
      <c r="G3280"/>
      <c r="H3280" s="322"/>
      <c r="I3280" s="322"/>
      <c r="J3280" s="242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</row>
    <row r="3281" spans="1:26" ht="15.75" hidden="1" customHeight="1" outlineLevel="2">
      <c r="A3281"/>
      <c r="B3281" s="249"/>
      <c r="C3281"/>
      <c r="D3281"/>
      <c r="E3281" s="321"/>
      <c r="F3281" s="242"/>
      <c r="G3281"/>
      <c r="H3281" s="322"/>
      <c r="I3281" s="322"/>
      <c r="J3281" s="242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</row>
    <row r="3282" spans="1:26" ht="15.75" hidden="1" customHeight="1" outlineLevel="2">
      <c r="A3282"/>
      <c r="B3282" s="249"/>
      <c r="C3282"/>
      <c r="D3282"/>
      <c r="E3282" s="321"/>
      <c r="F3282" s="242"/>
      <c r="G3282"/>
      <c r="H3282" s="322"/>
      <c r="I3282" s="322"/>
      <c r="J3282" s="242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</row>
    <row r="3283" spans="1:26" ht="15.75" hidden="1" customHeight="1" outlineLevel="2">
      <c r="A3283"/>
      <c r="B3283" s="249"/>
      <c r="C3283"/>
      <c r="D3283"/>
      <c r="E3283" s="321"/>
      <c r="F3283" s="242"/>
      <c r="G3283"/>
      <c r="H3283" s="322"/>
      <c r="I3283" s="322"/>
      <c r="J3283" s="242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</row>
    <row r="3284" spans="1:26" ht="15.75" hidden="1" customHeight="1" outlineLevel="2">
      <c r="A3284"/>
      <c r="B3284" s="249"/>
      <c r="C3284"/>
      <c r="D3284"/>
      <c r="E3284" s="321"/>
      <c r="F3284" s="242"/>
      <c r="G3284"/>
      <c r="H3284" s="322"/>
      <c r="I3284" s="322"/>
      <c r="J3284" s="242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</row>
    <row r="3285" spans="1:26" ht="15.75" hidden="1" customHeight="1" outlineLevel="2">
      <c r="A3285"/>
      <c r="B3285" s="249"/>
      <c r="C3285"/>
      <c r="D3285"/>
      <c r="E3285" s="321"/>
      <c r="F3285" s="242"/>
      <c r="G3285"/>
      <c r="H3285" s="322"/>
      <c r="I3285" s="322"/>
      <c r="J3285" s="242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</row>
    <row r="3286" spans="1:26" ht="15.75" hidden="1" customHeight="1" outlineLevel="2">
      <c r="A3286"/>
      <c r="B3286" s="249"/>
      <c r="C3286"/>
      <c r="D3286"/>
      <c r="E3286" s="321"/>
      <c r="F3286" s="242"/>
      <c r="G3286"/>
      <c r="H3286" s="322"/>
      <c r="I3286" s="322"/>
      <c r="J3286" s="242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</row>
    <row r="3287" spans="1:26" ht="15.75" hidden="1" customHeight="1" outlineLevel="2">
      <c r="A3287"/>
      <c r="B3287" s="249"/>
      <c r="C3287"/>
      <c r="D3287"/>
      <c r="E3287" s="321"/>
      <c r="F3287" s="242"/>
      <c r="G3287"/>
      <c r="H3287" s="322"/>
      <c r="I3287" s="322"/>
      <c r="J3287" s="242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</row>
    <row r="3288" spans="1:26" ht="15.75" hidden="1" customHeight="1" outlineLevel="2">
      <c r="A3288"/>
      <c r="B3288" s="249"/>
      <c r="C3288"/>
      <c r="D3288"/>
      <c r="E3288" s="321"/>
      <c r="F3288" s="242"/>
      <c r="G3288"/>
      <c r="H3288" s="322"/>
      <c r="I3288" s="322"/>
      <c r="J3288" s="242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</row>
    <row r="3289" spans="1:26" ht="15.75" hidden="1" customHeight="1" outlineLevel="2">
      <c r="A3289"/>
      <c r="B3289" s="249"/>
      <c r="C3289"/>
      <c r="D3289"/>
      <c r="E3289" s="321"/>
      <c r="F3289" s="242"/>
      <c r="G3289"/>
      <c r="H3289" s="322"/>
      <c r="I3289" s="322"/>
      <c r="J3289" s="242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</row>
    <row r="3290" spans="1:26" ht="15.75" hidden="1" customHeight="1" outlineLevel="2">
      <c r="A3290"/>
      <c r="B3290" s="249"/>
      <c r="C3290"/>
      <c r="D3290"/>
      <c r="E3290" s="321"/>
      <c r="F3290" s="242"/>
      <c r="G3290"/>
      <c r="H3290" s="322"/>
      <c r="I3290" s="322"/>
      <c r="J3290" s="242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</row>
    <row r="3291" spans="1:26" ht="15.75" hidden="1" customHeight="1" outlineLevel="2">
      <c r="A3291"/>
      <c r="B3291" s="249"/>
      <c r="C3291"/>
      <c r="D3291"/>
      <c r="E3291" s="321"/>
      <c r="F3291" s="242"/>
      <c r="G3291"/>
      <c r="H3291" s="322"/>
      <c r="I3291" s="322"/>
      <c r="J3291" s="242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</row>
    <row r="3292" spans="1:26" ht="15.75" hidden="1" customHeight="1" outlineLevel="2">
      <c r="A3292"/>
      <c r="B3292" s="249"/>
      <c r="C3292"/>
      <c r="D3292"/>
      <c r="E3292" s="321"/>
      <c r="F3292" s="242"/>
      <c r="G3292"/>
      <c r="H3292" s="322"/>
      <c r="I3292" s="322"/>
      <c r="J3292" s="242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</row>
    <row r="3293" spans="1:26" ht="15.75" hidden="1" customHeight="1" outlineLevel="2">
      <c r="A3293"/>
      <c r="B3293" s="249"/>
      <c r="C3293"/>
      <c r="D3293"/>
      <c r="E3293" s="321"/>
      <c r="F3293" s="242"/>
      <c r="G3293"/>
      <c r="H3293" s="322"/>
      <c r="I3293" s="322"/>
      <c r="J3293" s="242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</row>
    <row r="3294" spans="1:26" ht="15.75" hidden="1" customHeight="1" outlineLevel="2">
      <c r="A3294"/>
      <c r="B3294" s="249"/>
      <c r="C3294"/>
      <c r="D3294"/>
      <c r="E3294" s="321"/>
      <c r="F3294" s="242"/>
      <c r="G3294"/>
      <c r="H3294" s="322"/>
      <c r="I3294" s="322"/>
      <c r="J3294" s="242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</row>
    <row r="3295" spans="1:26" ht="15.75" hidden="1" customHeight="1" outlineLevel="2">
      <c r="A3295"/>
      <c r="B3295" s="249"/>
      <c r="C3295"/>
      <c r="D3295"/>
      <c r="E3295" s="321"/>
      <c r="F3295" s="242"/>
      <c r="G3295"/>
      <c r="H3295" s="322"/>
      <c r="I3295" s="322"/>
      <c r="J3295" s="242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</row>
    <row r="3296" spans="1:26" ht="15.75" hidden="1" customHeight="1" outlineLevel="2">
      <c r="A3296"/>
      <c r="B3296" s="249"/>
      <c r="C3296"/>
      <c r="D3296"/>
      <c r="E3296" s="321"/>
      <c r="F3296" s="242"/>
      <c r="G3296"/>
      <c r="H3296" s="322"/>
      <c r="I3296" s="322"/>
      <c r="J3296" s="242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</row>
    <row r="3297" spans="1:26" ht="15.75" hidden="1" customHeight="1" outlineLevel="2">
      <c r="A3297"/>
      <c r="B3297" s="249"/>
      <c r="C3297"/>
      <c r="D3297"/>
      <c r="E3297" s="321"/>
      <c r="F3297" s="242"/>
      <c r="G3297"/>
      <c r="H3297" s="322"/>
      <c r="I3297" s="322"/>
      <c r="J3297" s="242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</row>
    <row r="3298" spans="1:26" ht="15.75" hidden="1" customHeight="1" outlineLevel="2">
      <c r="A3298"/>
      <c r="B3298" s="249"/>
      <c r="C3298"/>
      <c r="D3298"/>
      <c r="E3298" s="321"/>
      <c r="F3298" s="242"/>
      <c r="G3298"/>
      <c r="H3298" s="322"/>
      <c r="I3298" s="322"/>
      <c r="J3298" s="242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</row>
    <row r="3299" spans="1:26" ht="15.75" hidden="1" customHeight="1" outlineLevel="2">
      <c r="A3299"/>
      <c r="B3299" s="249"/>
      <c r="C3299"/>
      <c r="D3299"/>
      <c r="E3299" s="321"/>
      <c r="F3299" s="242"/>
      <c r="G3299"/>
      <c r="H3299" s="322"/>
      <c r="I3299" s="322"/>
      <c r="J3299" s="242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</row>
    <row r="3300" spans="1:26" ht="15.75" hidden="1" customHeight="1" outlineLevel="2">
      <c r="A3300"/>
      <c r="B3300" s="249"/>
      <c r="C3300"/>
      <c r="D3300"/>
      <c r="E3300" s="321"/>
      <c r="F3300" s="242"/>
      <c r="G3300"/>
      <c r="H3300" s="322"/>
      <c r="I3300" s="322"/>
      <c r="J3300" s="242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</row>
    <row r="3301" spans="1:26" ht="15.75" hidden="1" customHeight="1" outlineLevel="2">
      <c r="A3301"/>
      <c r="B3301" s="249"/>
      <c r="C3301"/>
      <c r="D3301"/>
      <c r="E3301" s="321"/>
      <c r="F3301" s="242"/>
      <c r="G3301"/>
      <c r="H3301" s="322"/>
      <c r="I3301" s="322"/>
      <c r="J3301" s="242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</row>
    <row r="3302" spans="1:26" ht="15.75" hidden="1" customHeight="1" outlineLevel="2">
      <c r="A3302"/>
      <c r="B3302" s="249"/>
      <c r="C3302"/>
      <c r="D3302"/>
      <c r="E3302" s="321"/>
      <c r="F3302" s="242"/>
      <c r="G3302"/>
      <c r="H3302" s="322"/>
      <c r="I3302" s="322"/>
      <c r="J3302" s="242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</row>
    <row r="3303" spans="1:26" ht="15.75" hidden="1" customHeight="1" outlineLevel="2">
      <c r="A3303"/>
      <c r="B3303" s="249"/>
      <c r="C3303"/>
      <c r="D3303"/>
      <c r="E3303" s="321"/>
      <c r="F3303" s="242"/>
      <c r="G3303"/>
      <c r="H3303" s="322"/>
      <c r="I3303" s="322"/>
      <c r="J3303" s="242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</row>
    <row r="3304" spans="1:26" ht="15.75" hidden="1" customHeight="1" outlineLevel="2">
      <c r="A3304"/>
      <c r="B3304" s="249"/>
      <c r="C3304"/>
      <c r="D3304"/>
      <c r="E3304" s="321"/>
      <c r="F3304" s="242"/>
      <c r="G3304"/>
      <c r="H3304" s="322"/>
      <c r="I3304" s="322"/>
      <c r="J3304" s="242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</row>
    <row r="3305" spans="1:26" ht="15.75" hidden="1" customHeight="1" outlineLevel="2">
      <c r="A3305"/>
      <c r="B3305" s="249"/>
      <c r="C3305"/>
      <c r="D3305"/>
      <c r="E3305" s="321"/>
      <c r="F3305" s="242"/>
      <c r="G3305"/>
      <c r="H3305" s="322"/>
      <c r="I3305" s="322"/>
      <c r="J3305" s="242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</row>
    <row r="3306" spans="1:26" ht="15.75" hidden="1" customHeight="1" outlineLevel="2">
      <c r="A3306"/>
      <c r="B3306" s="249"/>
      <c r="C3306"/>
      <c r="D3306"/>
      <c r="E3306" s="321"/>
      <c r="F3306" s="242"/>
      <c r="G3306"/>
      <c r="H3306" s="322"/>
      <c r="I3306" s="322"/>
      <c r="J3306" s="242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</row>
    <row r="3307" spans="1:26" ht="15.75" hidden="1" customHeight="1" outlineLevel="2">
      <c r="A3307"/>
      <c r="B3307" s="249"/>
      <c r="C3307"/>
      <c r="D3307"/>
      <c r="E3307" s="321"/>
      <c r="F3307" s="242"/>
      <c r="G3307"/>
      <c r="H3307" s="322"/>
      <c r="I3307" s="322"/>
      <c r="J3307" s="242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</row>
    <row r="3308" spans="1:26" ht="15.75" hidden="1" customHeight="1" outlineLevel="2">
      <c r="A3308"/>
      <c r="B3308" s="249"/>
      <c r="C3308"/>
      <c r="D3308"/>
      <c r="E3308" s="321"/>
      <c r="F3308" s="242"/>
      <c r="G3308"/>
      <c r="H3308" s="322"/>
      <c r="I3308" s="322"/>
      <c r="J3308" s="242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</row>
    <row r="3309" spans="1:26" ht="15.75" hidden="1" customHeight="1" outlineLevel="2">
      <c r="A3309"/>
      <c r="B3309" s="249"/>
      <c r="C3309"/>
      <c r="D3309"/>
      <c r="E3309" s="321"/>
      <c r="F3309" s="242"/>
      <c r="G3309"/>
      <c r="H3309" s="322"/>
      <c r="I3309" s="322"/>
      <c r="J3309" s="242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</row>
    <row r="3310" spans="1:26" ht="15.75" hidden="1" customHeight="1" outlineLevel="2">
      <c r="A3310"/>
      <c r="B3310" s="249"/>
      <c r="C3310"/>
      <c r="D3310"/>
      <c r="E3310" s="321"/>
      <c r="F3310" s="242"/>
      <c r="G3310"/>
      <c r="H3310" s="322"/>
      <c r="I3310" s="322"/>
      <c r="J3310" s="242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</row>
    <row r="3311" spans="1:26" ht="15.75" hidden="1" customHeight="1" outlineLevel="2">
      <c r="A3311"/>
      <c r="B3311" s="249"/>
      <c r="C3311"/>
      <c r="D3311"/>
      <c r="E3311" s="321"/>
      <c r="F3311" s="242"/>
      <c r="G3311"/>
      <c r="H3311" s="322"/>
      <c r="I3311" s="322"/>
      <c r="J3311" s="242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</row>
    <row r="3312" spans="1:26" ht="15.75" hidden="1" customHeight="1" outlineLevel="2">
      <c r="A3312"/>
      <c r="B3312" s="249"/>
      <c r="C3312"/>
      <c r="D3312"/>
      <c r="E3312" s="321"/>
      <c r="F3312" s="242"/>
      <c r="G3312"/>
      <c r="H3312" s="322"/>
      <c r="I3312" s="322"/>
      <c r="J3312" s="242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</row>
    <row r="3313" spans="1:26" ht="15.75" hidden="1" customHeight="1" outlineLevel="2">
      <c r="A3313"/>
      <c r="B3313" s="249"/>
      <c r="C3313"/>
      <c r="D3313"/>
      <c r="E3313" s="321"/>
      <c r="F3313" s="242"/>
      <c r="G3313"/>
      <c r="H3313" s="322"/>
      <c r="I3313" s="322"/>
      <c r="J3313" s="242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</row>
    <row r="3314" spans="1:26" ht="15.75" hidden="1" customHeight="1" outlineLevel="2">
      <c r="A3314"/>
      <c r="B3314" s="249"/>
      <c r="C3314"/>
      <c r="D3314"/>
      <c r="E3314" s="321"/>
      <c r="F3314" s="242"/>
      <c r="G3314"/>
      <c r="H3314" s="322"/>
      <c r="I3314" s="322"/>
      <c r="J3314" s="242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</row>
    <row r="3315" spans="1:26" ht="15.75" hidden="1" customHeight="1" outlineLevel="2">
      <c r="A3315"/>
      <c r="B3315" s="249"/>
      <c r="C3315"/>
      <c r="D3315"/>
      <c r="E3315" s="321"/>
      <c r="F3315" s="242"/>
      <c r="G3315"/>
      <c r="H3315" s="322"/>
      <c r="I3315" s="322"/>
      <c r="J3315" s="242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</row>
    <row r="3316" spans="1:26" ht="15.75" hidden="1" customHeight="1" outlineLevel="2">
      <c r="A3316"/>
      <c r="B3316" s="249"/>
      <c r="C3316"/>
      <c r="D3316"/>
      <c r="E3316" s="321"/>
      <c r="F3316" s="242"/>
      <c r="G3316"/>
      <c r="H3316" s="322"/>
      <c r="I3316" s="322"/>
      <c r="J3316" s="242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</row>
    <row r="3317" spans="1:26" ht="15.75" hidden="1" customHeight="1" outlineLevel="2">
      <c r="A3317"/>
      <c r="B3317" s="249"/>
      <c r="C3317"/>
      <c r="D3317"/>
      <c r="E3317" s="321"/>
      <c r="F3317" s="242"/>
      <c r="G3317"/>
      <c r="H3317" s="322"/>
      <c r="I3317" s="322"/>
      <c r="J3317" s="242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</row>
    <row r="3318" spans="1:26" ht="15.75" hidden="1" customHeight="1" outlineLevel="2">
      <c r="A3318"/>
      <c r="B3318" s="249"/>
      <c r="C3318"/>
      <c r="D3318"/>
      <c r="E3318" s="321"/>
      <c r="F3318" s="242"/>
      <c r="G3318"/>
      <c r="H3318" s="322"/>
      <c r="I3318" s="322"/>
      <c r="J3318" s="242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</row>
    <row r="3319" spans="1:26" ht="15.75" hidden="1" customHeight="1" outlineLevel="2">
      <c r="A3319"/>
      <c r="B3319" s="249"/>
      <c r="C3319"/>
      <c r="D3319"/>
      <c r="E3319" s="321"/>
      <c r="F3319" s="242"/>
      <c r="G3319"/>
      <c r="H3319" s="322"/>
      <c r="I3319" s="322"/>
      <c r="J3319" s="242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</row>
    <row r="3320" spans="1:26" ht="15.75" hidden="1" customHeight="1" outlineLevel="2">
      <c r="A3320"/>
      <c r="B3320" s="249"/>
      <c r="C3320"/>
      <c r="D3320"/>
      <c r="E3320" s="321"/>
      <c r="F3320" s="242"/>
      <c r="G3320"/>
      <c r="H3320" s="322"/>
      <c r="I3320" s="322"/>
      <c r="J3320" s="242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</row>
    <row r="3321" spans="1:26" ht="15.75" hidden="1" customHeight="1" outlineLevel="2">
      <c r="A3321"/>
      <c r="B3321" s="249"/>
      <c r="C3321"/>
      <c r="D3321"/>
      <c r="E3321" s="321"/>
      <c r="F3321" s="242"/>
      <c r="G3321"/>
      <c r="H3321" s="322"/>
      <c r="I3321" s="322"/>
      <c r="J3321" s="242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</row>
    <row r="3322" spans="1:26" ht="15.75" hidden="1" customHeight="1" outlineLevel="2">
      <c r="A3322"/>
      <c r="B3322" s="249"/>
      <c r="C3322"/>
      <c r="D3322"/>
      <c r="E3322" s="321"/>
      <c r="F3322" s="242"/>
      <c r="G3322"/>
      <c r="H3322" s="322"/>
      <c r="I3322" s="322"/>
      <c r="J3322" s="242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</row>
    <row r="3323" spans="1:26" ht="15.75" hidden="1" customHeight="1" outlineLevel="2">
      <c r="A3323"/>
      <c r="B3323" s="249"/>
      <c r="C3323"/>
      <c r="D3323"/>
      <c r="E3323" s="321"/>
      <c r="F3323" s="242"/>
      <c r="G3323"/>
      <c r="H3323" s="322"/>
      <c r="I3323" s="322"/>
      <c r="J3323" s="242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</row>
    <row r="3324" spans="1:26" ht="15.75" hidden="1" customHeight="1" outlineLevel="2">
      <c r="A3324"/>
      <c r="B3324" s="249"/>
      <c r="C3324"/>
      <c r="D3324"/>
      <c r="E3324" s="321"/>
      <c r="F3324" s="242"/>
      <c r="G3324"/>
      <c r="H3324" s="322"/>
      <c r="I3324" s="322"/>
      <c r="J3324" s="242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</row>
    <row r="3325" spans="1:26" ht="15.75" hidden="1" customHeight="1" outlineLevel="2">
      <c r="A3325"/>
      <c r="B3325" s="249"/>
      <c r="C3325"/>
      <c r="D3325"/>
      <c r="E3325" s="321"/>
      <c r="F3325" s="242"/>
      <c r="G3325"/>
      <c r="H3325" s="322"/>
      <c r="I3325" s="322"/>
      <c r="J3325" s="242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</row>
    <row r="3326" spans="1:26" ht="15.75" hidden="1" customHeight="1" outlineLevel="2">
      <c r="A3326"/>
      <c r="B3326" s="249"/>
      <c r="C3326"/>
      <c r="D3326"/>
      <c r="E3326" s="321"/>
      <c r="F3326" s="242"/>
      <c r="G3326"/>
      <c r="H3326" s="322"/>
      <c r="I3326" s="322"/>
      <c r="J3326" s="242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</row>
    <row r="3327" spans="1:26" ht="15.75" hidden="1" customHeight="1" outlineLevel="2">
      <c r="A3327"/>
      <c r="B3327" s="249"/>
      <c r="C3327"/>
      <c r="D3327"/>
      <c r="E3327" s="321"/>
      <c r="F3327" s="242"/>
      <c r="G3327"/>
      <c r="H3327" s="322"/>
      <c r="I3327" s="322"/>
      <c r="J3327" s="242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</row>
    <row r="3328" spans="1:26" ht="15.75" hidden="1" customHeight="1" outlineLevel="2">
      <c r="A3328"/>
      <c r="B3328" s="249"/>
      <c r="C3328"/>
      <c r="D3328"/>
      <c r="E3328" s="321"/>
      <c r="F3328" s="242"/>
      <c r="G3328"/>
      <c r="H3328" s="322"/>
      <c r="I3328" s="322"/>
      <c r="J3328" s="242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</row>
    <row r="3329" spans="1:26" ht="15.75" hidden="1" customHeight="1" outlineLevel="2">
      <c r="A3329"/>
      <c r="B3329" s="249"/>
      <c r="C3329"/>
      <c r="D3329"/>
      <c r="E3329" s="321"/>
      <c r="F3329" s="242"/>
      <c r="G3329"/>
      <c r="H3329" s="322"/>
      <c r="I3329" s="322"/>
      <c r="J3329" s="242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</row>
    <row r="3330" spans="1:26" ht="15.75" hidden="1" customHeight="1" outlineLevel="2">
      <c r="A3330"/>
      <c r="B3330" s="249"/>
      <c r="C3330"/>
      <c r="D3330"/>
      <c r="E3330" s="321"/>
      <c r="F3330" s="242"/>
      <c r="G3330"/>
      <c r="H3330" s="322"/>
      <c r="I3330" s="322"/>
      <c r="J3330" s="242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</row>
    <row r="3331" spans="1:26" ht="15.75" hidden="1" customHeight="1" outlineLevel="2">
      <c r="A3331"/>
      <c r="B3331" s="249"/>
      <c r="C3331"/>
      <c r="D3331"/>
      <c r="E3331" s="321"/>
      <c r="F3331" s="242"/>
      <c r="G3331"/>
      <c r="H3331" s="322"/>
      <c r="I3331" s="322"/>
      <c r="J3331" s="242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</row>
    <row r="3332" spans="1:26" ht="15.75" hidden="1" customHeight="1" outlineLevel="2">
      <c r="A3332"/>
      <c r="B3332" s="249"/>
      <c r="C3332"/>
      <c r="D3332"/>
      <c r="E3332" s="321"/>
      <c r="F3332" s="242"/>
      <c r="G3332"/>
      <c r="H3332" s="322"/>
      <c r="I3332" s="322"/>
      <c r="J3332" s="242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</row>
    <row r="3333" spans="1:26" ht="15.75" hidden="1" customHeight="1" outlineLevel="2">
      <c r="A3333"/>
      <c r="B3333" s="249"/>
      <c r="C3333"/>
      <c r="D3333"/>
      <c r="E3333" s="321"/>
      <c r="F3333" s="242"/>
      <c r="G3333"/>
      <c r="H3333" s="322"/>
      <c r="I3333" s="322"/>
      <c r="J3333" s="242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</row>
    <row r="3334" spans="1:26" ht="15.75" hidden="1" customHeight="1" outlineLevel="2">
      <c r="A3334"/>
      <c r="B3334" s="249"/>
      <c r="C3334"/>
      <c r="D3334"/>
      <c r="E3334" s="321"/>
      <c r="F3334" s="242"/>
      <c r="G3334"/>
      <c r="H3334" s="322"/>
      <c r="I3334" s="322"/>
      <c r="J3334" s="242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</row>
    <row r="3335" spans="1:26" ht="15.75" hidden="1" customHeight="1" outlineLevel="2">
      <c r="A3335"/>
      <c r="B3335" s="249"/>
      <c r="C3335"/>
      <c r="D3335"/>
      <c r="E3335" s="321"/>
      <c r="F3335" s="242"/>
      <c r="G3335"/>
      <c r="H3335" s="322"/>
      <c r="I3335" s="322"/>
      <c r="J3335" s="242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</row>
    <row r="3336" spans="1:26" ht="15.75" hidden="1" customHeight="1" outlineLevel="2">
      <c r="A3336"/>
      <c r="B3336" s="249"/>
      <c r="C3336"/>
      <c r="D3336"/>
      <c r="E3336" s="321"/>
      <c r="F3336" s="242"/>
      <c r="G3336"/>
      <c r="H3336" s="322"/>
      <c r="I3336" s="322"/>
      <c r="J3336" s="242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</row>
    <row r="3337" spans="1:26" ht="15.75" hidden="1" customHeight="1" outlineLevel="2">
      <c r="A3337"/>
      <c r="B3337" s="249"/>
      <c r="C3337"/>
      <c r="D3337"/>
      <c r="E3337" s="321"/>
      <c r="F3337" s="242"/>
      <c r="G3337"/>
      <c r="H3337" s="322"/>
      <c r="I3337" s="322"/>
      <c r="J3337" s="242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</row>
    <row r="3338" spans="1:26" ht="15.75" hidden="1" customHeight="1" outlineLevel="2">
      <c r="A3338"/>
      <c r="B3338" s="249"/>
      <c r="C3338"/>
      <c r="D3338"/>
      <c r="E3338" s="321"/>
      <c r="F3338" s="242"/>
      <c r="G3338"/>
      <c r="H3338" s="322"/>
      <c r="I3338" s="322"/>
      <c r="J3338" s="242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</row>
    <row r="3339" spans="1:26" ht="15.75" hidden="1" customHeight="1" outlineLevel="2">
      <c r="A3339"/>
      <c r="B3339" s="249"/>
      <c r="C3339"/>
      <c r="D3339"/>
      <c r="E3339" s="321"/>
      <c r="F3339" s="242"/>
      <c r="G3339"/>
      <c r="H3339" s="322"/>
      <c r="I3339" s="322"/>
      <c r="J3339" s="242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</row>
    <row r="3340" spans="1:26" ht="15.75" hidden="1" customHeight="1" outlineLevel="2">
      <c r="A3340"/>
      <c r="B3340" s="249"/>
      <c r="C3340"/>
      <c r="D3340"/>
      <c r="E3340" s="321"/>
      <c r="F3340" s="242"/>
      <c r="G3340"/>
      <c r="H3340" s="322"/>
      <c r="I3340" s="322"/>
      <c r="J3340" s="242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</row>
    <row r="3341" spans="1:26" ht="15.75" hidden="1" customHeight="1" outlineLevel="2">
      <c r="A3341"/>
      <c r="B3341" s="249"/>
      <c r="C3341"/>
      <c r="D3341"/>
      <c r="E3341" s="321"/>
      <c r="F3341" s="242"/>
      <c r="G3341"/>
      <c r="H3341" s="322"/>
      <c r="I3341" s="322"/>
      <c r="J3341" s="242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</row>
    <row r="3342" spans="1:26" ht="15.75" hidden="1" customHeight="1" outlineLevel="2">
      <c r="A3342"/>
      <c r="B3342" s="249"/>
      <c r="C3342"/>
      <c r="D3342"/>
      <c r="E3342" s="321"/>
      <c r="F3342" s="242"/>
      <c r="G3342"/>
      <c r="H3342" s="322"/>
      <c r="I3342" s="322"/>
      <c r="J3342" s="242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</row>
    <row r="3343" spans="1:26" ht="15.75" hidden="1" customHeight="1" outlineLevel="2">
      <c r="A3343"/>
      <c r="B3343" s="249"/>
      <c r="C3343"/>
      <c r="D3343"/>
      <c r="E3343" s="321"/>
      <c r="F3343" s="242"/>
      <c r="G3343"/>
      <c r="H3343" s="322"/>
      <c r="I3343" s="322"/>
      <c r="J3343" s="242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</row>
    <row r="3344" spans="1:26" ht="15.75" hidden="1" customHeight="1" outlineLevel="2">
      <c r="A3344"/>
      <c r="B3344" s="249"/>
      <c r="C3344"/>
      <c r="D3344"/>
      <c r="E3344" s="321"/>
      <c r="F3344" s="242"/>
      <c r="G3344"/>
      <c r="H3344" s="322"/>
      <c r="I3344" s="322"/>
      <c r="J3344" s="242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</row>
    <row r="3345" spans="1:26" ht="15.75" hidden="1" customHeight="1" outlineLevel="2">
      <c r="A3345"/>
      <c r="B3345" s="249"/>
      <c r="C3345"/>
      <c r="D3345"/>
      <c r="E3345" s="321"/>
      <c r="F3345" s="242"/>
      <c r="G3345"/>
      <c r="H3345" s="322"/>
      <c r="I3345" s="322"/>
      <c r="J3345" s="242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</row>
    <row r="3346" spans="1:26" ht="15.75" hidden="1" customHeight="1" outlineLevel="2">
      <c r="A3346"/>
      <c r="B3346" s="249"/>
      <c r="C3346"/>
      <c r="D3346"/>
      <c r="E3346" s="321"/>
      <c r="F3346" s="242"/>
      <c r="G3346"/>
      <c r="H3346" s="322"/>
      <c r="I3346" s="322"/>
      <c r="J3346" s="242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</row>
    <row r="3347" spans="1:26" ht="15.75" hidden="1" customHeight="1" outlineLevel="2">
      <c r="A3347"/>
      <c r="B3347" s="249"/>
      <c r="C3347"/>
      <c r="D3347"/>
      <c r="E3347" s="321"/>
      <c r="F3347" s="242"/>
      <c r="G3347"/>
      <c r="H3347" s="322"/>
      <c r="I3347" s="322"/>
      <c r="J3347" s="242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</row>
    <row r="3348" spans="1:26" ht="15.75" hidden="1" customHeight="1" outlineLevel="2">
      <c r="A3348"/>
      <c r="B3348" s="249"/>
      <c r="C3348"/>
      <c r="D3348"/>
      <c r="E3348" s="321"/>
      <c r="F3348" s="242"/>
      <c r="G3348"/>
      <c r="H3348" s="322"/>
      <c r="I3348" s="322"/>
      <c r="J3348" s="242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</row>
    <row r="3349" spans="1:26" ht="15.75" hidden="1" customHeight="1" outlineLevel="2">
      <c r="A3349"/>
      <c r="B3349" s="249"/>
      <c r="C3349"/>
      <c r="D3349"/>
      <c r="E3349" s="321"/>
      <c r="F3349" s="242"/>
      <c r="G3349"/>
      <c r="H3349" s="322"/>
      <c r="I3349" s="322"/>
      <c r="J3349" s="242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</row>
    <row r="3350" spans="1:26" ht="15.75" hidden="1" customHeight="1" outlineLevel="2">
      <c r="A3350"/>
      <c r="B3350" s="249"/>
      <c r="C3350"/>
      <c r="D3350"/>
      <c r="E3350" s="321"/>
      <c r="F3350" s="242"/>
      <c r="G3350"/>
      <c r="H3350" s="322"/>
      <c r="I3350" s="322"/>
      <c r="J3350" s="242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</row>
    <row r="3351" spans="1:26" ht="15.75" hidden="1" customHeight="1" outlineLevel="2">
      <c r="A3351"/>
      <c r="B3351" s="249"/>
      <c r="C3351"/>
      <c r="D3351"/>
      <c r="E3351" s="321"/>
      <c r="F3351" s="242"/>
      <c r="G3351"/>
      <c r="H3351" s="322"/>
      <c r="I3351" s="322"/>
      <c r="J3351" s="242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</row>
    <row r="3352" spans="1:26" ht="15.75" hidden="1" customHeight="1" outlineLevel="2">
      <c r="A3352"/>
      <c r="B3352" s="249"/>
      <c r="C3352"/>
      <c r="D3352"/>
      <c r="E3352" s="321"/>
      <c r="F3352" s="242"/>
      <c r="G3352"/>
      <c r="H3352" s="322"/>
      <c r="I3352" s="322"/>
      <c r="J3352" s="242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</row>
    <row r="3353" spans="1:26" ht="15.75" hidden="1" customHeight="1" outlineLevel="2">
      <c r="A3353"/>
      <c r="B3353" s="249"/>
      <c r="C3353"/>
      <c r="D3353"/>
      <c r="E3353" s="321"/>
      <c r="F3353" s="242"/>
      <c r="G3353"/>
      <c r="H3353" s="322"/>
      <c r="I3353" s="322"/>
      <c r="J3353" s="242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</row>
    <row r="3354" spans="1:26" ht="15.75" hidden="1" customHeight="1" outlineLevel="2">
      <c r="A3354"/>
      <c r="B3354" s="249"/>
      <c r="C3354"/>
      <c r="D3354"/>
      <c r="E3354" s="321"/>
      <c r="F3354" s="242"/>
      <c r="G3354"/>
      <c r="H3354" s="322"/>
      <c r="I3354" s="322"/>
      <c r="J3354" s="242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</row>
    <row r="3355" spans="1:26" ht="15.75" hidden="1" customHeight="1" outlineLevel="2">
      <c r="A3355"/>
      <c r="B3355" s="249"/>
      <c r="C3355"/>
      <c r="D3355"/>
      <c r="E3355" s="321"/>
      <c r="F3355" s="242"/>
      <c r="G3355"/>
      <c r="H3355" s="322"/>
      <c r="I3355" s="322"/>
      <c r="J3355" s="242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</row>
    <row r="3356" spans="1:26" ht="15.75" hidden="1" customHeight="1" outlineLevel="2">
      <c r="A3356"/>
      <c r="B3356" s="249"/>
      <c r="C3356"/>
      <c r="D3356"/>
      <c r="E3356" s="321"/>
      <c r="F3356" s="242"/>
      <c r="G3356"/>
      <c r="H3356" s="322"/>
      <c r="I3356" s="322"/>
      <c r="J3356" s="242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</row>
    <row r="3357" spans="1:26" ht="15.75" hidden="1" customHeight="1" outlineLevel="2">
      <c r="A3357"/>
      <c r="B3357" s="249"/>
      <c r="C3357"/>
      <c r="D3357"/>
      <c r="E3357" s="321"/>
      <c r="F3357" s="242"/>
      <c r="G3357"/>
      <c r="H3357" s="322"/>
      <c r="I3357" s="322"/>
      <c r="J3357" s="242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</row>
    <row r="3358" spans="1:26" ht="15.75" hidden="1" customHeight="1" outlineLevel="2">
      <c r="A3358"/>
      <c r="B3358" s="249"/>
      <c r="C3358"/>
      <c r="D3358"/>
      <c r="E3358" s="321"/>
      <c r="F3358" s="242"/>
      <c r="G3358"/>
      <c r="H3358" s="322"/>
      <c r="I3358" s="322"/>
      <c r="J3358" s="242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</row>
    <row r="3359" spans="1:26" ht="15.75" hidden="1" customHeight="1" outlineLevel="2">
      <c r="A3359"/>
      <c r="B3359" s="249"/>
      <c r="C3359"/>
      <c r="D3359"/>
      <c r="E3359" s="321"/>
      <c r="F3359" s="242"/>
      <c r="G3359"/>
      <c r="H3359" s="322"/>
      <c r="I3359" s="322"/>
      <c r="J3359" s="242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</row>
    <row r="3360" spans="1:26" ht="15.75" hidden="1" customHeight="1" outlineLevel="2">
      <c r="A3360"/>
      <c r="B3360" s="249"/>
      <c r="C3360"/>
      <c r="D3360"/>
      <c r="E3360" s="321"/>
      <c r="F3360" s="242"/>
      <c r="G3360"/>
      <c r="H3360" s="322"/>
      <c r="I3360" s="322"/>
      <c r="J3360" s="242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</row>
    <row r="3361" spans="1:26" ht="15.75" hidden="1" customHeight="1" outlineLevel="2">
      <c r="A3361"/>
      <c r="B3361" s="249"/>
      <c r="C3361"/>
      <c r="D3361"/>
      <c r="E3361" s="321"/>
      <c r="F3361" s="242"/>
      <c r="G3361"/>
      <c r="H3361" s="322"/>
      <c r="I3361" s="322"/>
      <c r="J3361" s="242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</row>
    <row r="3362" spans="1:26" ht="15.75" hidden="1" customHeight="1" outlineLevel="2">
      <c r="A3362"/>
      <c r="B3362" s="249"/>
      <c r="C3362"/>
      <c r="D3362"/>
      <c r="E3362" s="321"/>
      <c r="F3362" s="242"/>
      <c r="G3362"/>
      <c r="H3362" s="322"/>
      <c r="I3362" s="322"/>
      <c r="J3362" s="242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</row>
    <row r="3363" spans="1:26" ht="15.75" hidden="1" customHeight="1" outlineLevel="2">
      <c r="A3363"/>
      <c r="B3363" s="249"/>
      <c r="C3363"/>
      <c r="D3363"/>
      <c r="E3363" s="321"/>
      <c r="F3363" s="242"/>
      <c r="G3363"/>
      <c r="H3363" s="322"/>
      <c r="I3363" s="322"/>
      <c r="J3363" s="242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</row>
    <row r="3364" spans="1:26" ht="15.75" hidden="1" customHeight="1" outlineLevel="2">
      <c r="A3364"/>
      <c r="B3364" s="249"/>
      <c r="C3364"/>
      <c r="D3364"/>
      <c r="E3364" s="321"/>
      <c r="F3364" s="242"/>
      <c r="G3364"/>
      <c r="H3364" s="322"/>
      <c r="I3364" s="322"/>
      <c r="J3364" s="242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</row>
    <row r="3365" spans="1:26" ht="15.75" hidden="1" customHeight="1" outlineLevel="2">
      <c r="A3365"/>
      <c r="B3365" s="249"/>
      <c r="C3365"/>
      <c r="D3365"/>
      <c r="E3365" s="321"/>
      <c r="F3365" s="242"/>
      <c r="G3365"/>
      <c r="H3365" s="322"/>
      <c r="I3365" s="322"/>
      <c r="J3365" s="242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</row>
    <row r="3366" spans="1:26" ht="15.75" hidden="1" customHeight="1" outlineLevel="2">
      <c r="A3366"/>
      <c r="B3366" s="249"/>
      <c r="C3366"/>
      <c r="D3366"/>
      <c r="E3366" s="321"/>
      <c r="F3366" s="242"/>
      <c r="G3366"/>
      <c r="H3366" s="322"/>
      <c r="I3366" s="322"/>
      <c r="J3366" s="242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</row>
    <row r="3367" spans="1:26" ht="15.75" hidden="1" customHeight="1" outlineLevel="2">
      <c r="A3367"/>
      <c r="B3367" s="249"/>
      <c r="C3367"/>
      <c r="D3367"/>
      <c r="E3367" s="321"/>
      <c r="F3367" s="242"/>
      <c r="G3367"/>
      <c r="H3367" s="322"/>
      <c r="I3367" s="322"/>
      <c r="J3367" s="242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</row>
    <row r="3368" spans="1:26" ht="15.75" hidden="1" customHeight="1" outlineLevel="2">
      <c r="A3368"/>
      <c r="B3368" s="249"/>
      <c r="C3368"/>
      <c r="D3368"/>
      <c r="E3368" s="321"/>
      <c r="F3368" s="242"/>
      <c r="G3368"/>
      <c r="H3368" s="322"/>
      <c r="I3368" s="322"/>
      <c r="J3368" s="242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</row>
    <row r="3369" spans="1:26" ht="15.75" hidden="1" customHeight="1" outlineLevel="2">
      <c r="A3369"/>
      <c r="B3369" s="249"/>
      <c r="C3369"/>
      <c r="D3369"/>
      <c r="E3369" s="321"/>
      <c r="F3369" s="242"/>
      <c r="G3369"/>
      <c r="H3369" s="322"/>
      <c r="I3369" s="322"/>
      <c r="J3369" s="242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</row>
    <row r="3370" spans="1:26" ht="15.75" hidden="1" customHeight="1" outlineLevel="2">
      <c r="A3370"/>
      <c r="B3370" s="249"/>
      <c r="C3370"/>
      <c r="D3370"/>
      <c r="E3370" s="321"/>
      <c r="F3370" s="242"/>
      <c r="G3370"/>
      <c r="H3370" s="322"/>
      <c r="I3370" s="322"/>
      <c r="J3370" s="242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</row>
    <row r="3371" spans="1:26" ht="15.75" hidden="1" customHeight="1" outlineLevel="2">
      <c r="A3371"/>
      <c r="B3371" s="249"/>
      <c r="C3371"/>
      <c r="D3371"/>
      <c r="E3371" s="321"/>
      <c r="F3371" s="242"/>
      <c r="G3371"/>
      <c r="H3371" s="322"/>
      <c r="I3371" s="322"/>
      <c r="J3371" s="242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</row>
    <row r="3372" spans="1:26" ht="15.75" hidden="1" customHeight="1" outlineLevel="2">
      <c r="A3372"/>
      <c r="B3372" s="249"/>
      <c r="C3372"/>
      <c r="D3372"/>
      <c r="E3372" s="321"/>
      <c r="F3372" s="242"/>
      <c r="G3372"/>
      <c r="H3372" s="322"/>
      <c r="I3372" s="322"/>
      <c r="J3372" s="242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</row>
    <row r="3373" spans="1:26" ht="15.75" hidden="1" customHeight="1" outlineLevel="2">
      <c r="A3373"/>
      <c r="B3373" s="249"/>
      <c r="C3373"/>
      <c r="D3373"/>
      <c r="E3373" s="321"/>
      <c r="F3373" s="242"/>
      <c r="G3373"/>
      <c r="H3373" s="322"/>
      <c r="I3373" s="322"/>
      <c r="J3373" s="242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</row>
    <row r="3374" spans="1:26" ht="15.75" hidden="1" customHeight="1" outlineLevel="2">
      <c r="A3374"/>
      <c r="B3374" s="249"/>
      <c r="C3374"/>
      <c r="D3374"/>
      <c r="E3374" s="321"/>
      <c r="F3374" s="242"/>
      <c r="G3374"/>
      <c r="H3374" s="322"/>
      <c r="I3374" s="322"/>
      <c r="J3374" s="242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</row>
    <row r="3375" spans="1:26" ht="15.75" hidden="1" customHeight="1" outlineLevel="2">
      <c r="A3375"/>
      <c r="B3375" s="249"/>
      <c r="C3375"/>
      <c r="D3375"/>
      <c r="E3375" s="321"/>
      <c r="F3375" s="242"/>
      <c r="G3375"/>
      <c r="H3375" s="322"/>
      <c r="I3375" s="322"/>
      <c r="J3375" s="242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</row>
    <row r="3376" spans="1:26" ht="15.75" hidden="1" customHeight="1" outlineLevel="2">
      <c r="A3376"/>
      <c r="B3376" s="249"/>
      <c r="C3376"/>
      <c r="D3376"/>
      <c r="E3376" s="321"/>
      <c r="F3376" s="242"/>
      <c r="G3376"/>
      <c r="H3376" s="322"/>
      <c r="I3376" s="322"/>
      <c r="J3376" s="242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</row>
    <row r="3377" spans="1:26" ht="15.75" hidden="1" customHeight="1" outlineLevel="2">
      <c r="A3377"/>
      <c r="B3377" s="249"/>
      <c r="C3377"/>
      <c r="D3377"/>
      <c r="E3377" s="321"/>
      <c r="F3377" s="242"/>
      <c r="G3377"/>
      <c r="H3377" s="322"/>
      <c r="I3377" s="322"/>
      <c r="J3377" s="242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</row>
    <row r="3378" spans="1:26" ht="15.75" hidden="1" customHeight="1" outlineLevel="2">
      <c r="A3378"/>
      <c r="B3378" s="249"/>
      <c r="C3378"/>
      <c r="D3378"/>
      <c r="E3378" s="321"/>
      <c r="F3378" s="242"/>
      <c r="G3378"/>
      <c r="H3378" s="322"/>
      <c r="I3378" s="322"/>
      <c r="J3378" s="242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</row>
    <row r="3379" spans="1:26" ht="15.75" hidden="1" customHeight="1" outlineLevel="2">
      <c r="A3379"/>
      <c r="B3379" s="249"/>
      <c r="C3379"/>
      <c r="D3379"/>
      <c r="E3379" s="321"/>
      <c r="F3379" s="242"/>
      <c r="G3379"/>
      <c r="H3379" s="322"/>
      <c r="I3379" s="322"/>
      <c r="J3379" s="242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</row>
    <row r="3380" spans="1:26" ht="15.75" hidden="1" customHeight="1" outlineLevel="2">
      <c r="A3380"/>
      <c r="B3380" s="249"/>
      <c r="C3380"/>
      <c r="D3380"/>
      <c r="E3380" s="321"/>
      <c r="F3380" s="242"/>
      <c r="G3380"/>
      <c r="H3380" s="322"/>
      <c r="I3380" s="322"/>
      <c r="J3380" s="242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</row>
    <row r="3381" spans="1:26" ht="15.75" hidden="1" customHeight="1" outlineLevel="2">
      <c r="A3381"/>
      <c r="B3381" s="249"/>
      <c r="C3381"/>
      <c r="D3381"/>
      <c r="E3381" s="321"/>
      <c r="F3381" s="242"/>
      <c r="G3381"/>
      <c r="H3381" s="322"/>
      <c r="I3381" s="322"/>
      <c r="J3381" s="242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</row>
    <row r="3382" spans="1:26" ht="15.75" hidden="1" customHeight="1" outlineLevel="2">
      <c r="A3382"/>
      <c r="B3382" s="249"/>
      <c r="C3382"/>
      <c r="D3382"/>
      <c r="E3382" s="321"/>
      <c r="F3382" s="242"/>
      <c r="G3382"/>
      <c r="H3382" s="322"/>
      <c r="I3382" s="322"/>
      <c r="J3382" s="242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</row>
    <row r="3383" spans="1:26" ht="15.75" hidden="1" customHeight="1" outlineLevel="2">
      <c r="A3383"/>
      <c r="B3383" s="249"/>
      <c r="C3383"/>
      <c r="D3383"/>
      <c r="E3383" s="321"/>
      <c r="F3383" s="242"/>
      <c r="G3383"/>
      <c r="H3383" s="322"/>
      <c r="I3383" s="322"/>
      <c r="J3383" s="242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</row>
    <row r="3384" spans="1:26" ht="15.75" hidden="1" customHeight="1" outlineLevel="2">
      <c r="A3384"/>
      <c r="B3384" s="249"/>
      <c r="C3384"/>
      <c r="D3384"/>
      <c r="E3384" s="321"/>
      <c r="F3384" s="242"/>
      <c r="G3384"/>
      <c r="H3384" s="322"/>
      <c r="I3384" s="322"/>
      <c r="J3384" s="242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</row>
    <row r="3385" spans="1:26" ht="15.75" hidden="1" customHeight="1" outlineLevel="2">
      <c r="A3385"/>
      <c r="B3385" s="249"/>
      <c r="C3385"/>
      <c r="D3385"/>
      <c r="E3385" s="321"/>
      <c r="F3385" s="242"/>
      <c r="G3385"/>
      <c r="H3385" s="322"/>
      <c r="I3385" s="322"/>
      <c r="J3385" s="242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</row>
    <row r="3386" spans="1:26" ht="15.75" hidden="1" customHeight="1" outlineLevel="2">
      <c r="A3386"/>
      <c r="B3386" s="249"/>
      <c r="C3386"/>
      <c r="D3386"/>
      <c r="E3386" s="321"/>
      <c r="F3386" s="242"/>
      <c r="G3386"/>
      <c r="H3386" s="322"/>
      <c r="I3386" s="322"/>
      <c r="J3386" s="242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</row>
    <row r="3387" spans="1:26" ht="15.75" hidden="1" customHeight="1" outlineLevel="2">
      <c r="A3387"/>
      <c r="B3387" s="249"/>
      <c r="C3387"/>
      <c r="D3387"/>
      <c r="E3387" s="321"/>
      <c r="F3387" s="242"/>
      <c r="G3387"/>
      <c r="H3387" s="322"/>
      <c r="I3387" s="322"/>
      <c r="J3387" s="242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</row>
    <row r="3388" spans="1:26" ht="15.75" hidden="1" customHeight="1" outlineLevel="2">
      <c r="A3388"/>
      <c r="B3388" s="249"/>
      <c r="C3388"/>
      <c r="D3388"/>
      <c r="E3388" s="321"/>
      <c r="F3388" s="242"/>
      <c r="G3388"/>
      <c r="H3388" s="322"/>
      <c r="I3388" s="322"/>
      <c r="J3388" s="242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</row>
    <row r="3389" spans="1:26" ht="15.75" hidden="1" customHeight="1" outlineLevel="2">
      <c r="A3389"/>
      <c r="B3389" s="249"/>
      <c r="C3389"/>
      <c r="D3389"/>
      <c r="E3389" s="321"/>
      <c r="F3389" s="242"/>
      <c r="G3389"/>
      <c r="H3389" s="322"/>
      <c r="I3389" s="322"/>
      <c r="J3389" s="242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</row>
    <row r="3390" spans="1:26" ht="15.75" hidden="1" customHeight="1" outlineLevel="2">
      <c r="A3390"/>
      <c r="B3390" s="249"/>
      <c r="C3390"/>
      <c r="D3390"/>
      <c r="E3390" s="321"/>
      <c r="F3390" s="242"/>
      <c r="G3390"/>
      <c r="H3390" s="322"/>
      <c r="I3390" s="322"/>
      <c r="J3390" s="242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</row>
    <row r="3391" spans="1:26" ht="15.75" hidden="1" customHeight="1" outlineLevel="2">
      <c r="A3391"/>
      <c r="B3391" s="249"/>
      <c r="C3391"/>
      <c r="D3391"/>
      <c r="E3391" s="321"/>
      <c r="F3391" s="242"/>
      <c r="G3391"/>
      <c r="H3391" s="322"/>
      <c r="I3391" s="322"/>
      <c r="J3391" s="242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</row>
    <row r="3392" spans="1:26" ht="15.75" hidden="1" customHeight="1" outlineLevel="2">
      <c r="A3392"/>
      <c r="B3392" s="249"/>
      <c r="C3392"/>
      <c r="D3392"/>
      <c r="E3392" s="321"/>
      <c r="F3392" s="242"/>
      <c r="G3392"/>
      <c r="H3392" s="322"/>
      <c r="I3392" s="322"/>
      <c r="J3392" s="242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</row>
    <row r="3393" spans="1:26" ht="15.75" hidden="1" customHeight="1" outlineLevel="2">
      <c r="A3393"/>
      <c r="B3393" s="249"/>
      <c r="C3393"/>
      <c r="D3393"/>
      <c r="E3393" s="321"/>
      <c r="F3393" s="242"/>
      <c r="G3393"/>
      <c r="H3393" s="322"/>
      <c r="I3393" s="322"/>
      <c r="J3393" s="242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</row>
    <row r="3394" spans="1:26" ht="15.75" hidden="1" customHeight="1" outlineLevel="2">
      <c r="A3394"/>
      <c r="B3394" s="249"/>
      <c r="C3394"/>
      <c r="D3394"/>
      <c r="E3394" s="321"/>
      <c r="F3394" s="242"/>
      <c r="G3394"/>
      <c r="H3394" s="322"/>
      <c r="I3394" s="322"/>
      <c r="J3394" s="242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</row>
    <row r="3395" spans="1:26" ht="15.75" hidden="1" customHeight="1" outlineLevel="2">
      <c r="A3395"/>
      <c r="B3395" s="249"/>
      <c r="C3395"/>
      <c r="D3395"/>
      <c r="E3395" s="321"/>
      <c r="F3395" s="242"/>
      <c r="G3395"/>
      <c r="H3395" s="322"/>
      <c r="I3395" s="322"/>
      <c r="J3395" s="242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</row>
    <row r="3396" spans="1:26" ht="15.75" hidden="1" customHeight="1" outlineLevel="2">
      <c r="A3396"/>
      <c r="B3396" s="249"/>
      <c r="C3396"/>
      <c r="D3396"/>
      <c r="E3396" s="321"/>
      <c r="F3396" s="242"/>
      <c r="G3396"/>
      <c r="H3396" s="322"/>
      <c r="I3396" s="322"/>
      <c r="J3396" s="242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</row>
    <row r="3397" spans="1:26" ht="15.75" hidden="1" customHeight="1" outlineLevel="2">
      <c r="A3397"/>
      <c r="B3397" s="249"/>
      <c r="C3397"/>
      <c r="D3397"/>
      <c r="E3397" s="321"/>
      <c r="F3397" s="242"/>
      <c r="G3397"/>
      <c r="H3397" s="322"/>
      <c r="I3397" s="322"/>
      <c r="J3397" s="242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</row>
    <row r="3398" spans="1:26" ht="15.75" hidden="1" customHeight="1" outlineLevel="2">
      <c r="A3398"/>
      <c r="B3398" s="249"/>
      <c r="C3398"/>
      <c r="D3398"/>
      <c r="E3398" s="321"/>
      <c r="F3398" s="242"/>
      <c r="G3398"/>
      <c r="H3398" s="322"/>
      <c r="I3398" s="322"/>
      <c r="J3398" s="242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</row>
    <row r="3399" spans="1:26" ht="15.75" hidden="1" customHeight="1" outlineLevel="2">
      <c r="A3399"/>
      <c r="B3399" s="249"/>
      <c r="C3399"/>
      <c r="D3399"/>
      <c r="E3399" s="321"/>
      <c r="F3399" s="242"/>
      <c r="G3399"/>
      <c r="H3399" s="322"/>
      <c r="I3399" s="322"/>
      <c r="J3399" s="242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</row>
    <row r="3400" spans="1:26" ht="15.75" hidden="1" customHeight="1" outlineLevel="2">
      <c r="A3400"/>
      <c r="B3400" s="249"/>
      <c r="C3400"/>
      <c r="D3400"/>
      <c r="E3400" s="321"/>
      <c r="F3400" s="242"/>
      <c r="G3400"/>
      <c r="H3400" s="322"/>
      <c r="I3400" s="322"/>
      <c r="J3400" s="242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</row>
    <row r="3401" spans="1:26" ht="15.75" hidden="1" customHeight="1" outlineLevel="2">
      <c r="A3401"/>
      <c r="B3401" s="249"/>
      <c r="C3401"/>
      <c r="D3401"/>
      <c r="E3401" s="321"/>
      <c r="F3401" s="242"/>
      <c r="G3401"/>
      <c r="H3401" s="322"/>
      <c r="I3401" s="322"/>
      <c r="J3401" s="242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</row>
    <row r="3402" spans="1:26" ht="15.75" hidden="1" customHeight="1" outlineLevel="2">
      <c r="A3402"/>
      <c r="B3402" s="249"/>
      <c r="C3402"/>
      <c r="D3402"/>
      <c r="E3402" s="321"/>
      <c r="F3402" s="242"/>
      <c r="G3402"/>
      <c r="H3402" s="322"/>
      <c r="I3402" s="322"/>
      <c r="J3402" s="242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</row>
    <row r="3403" spans="1:26" ht="15.75" hidden="1" customHeight="1" outlineLevel="2">
      <c r="A3403"/>
      <c r="B3403" s="249"/>
      <c r="C3403"/>
      <c r="D3403"/>
      <c r="E3403" s="321"/>
      <c r="F3403" s="242"/>
      <c r="G3403"/>
      <c r="H3403" s="322"/>
      <c r="I3403" s="322"/>
      <c r="J3403" s="242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</row>
    <row r="3404" spans="1:26" ht="15.75" hidden="1" customHeight="1" outlineLevel="2">
      <c r="A3404"/>
      <c r="B3404" s="249"/>
      <c r="C3404"/>
      <c r="D3404"/>
      <c r="E3404" s="321"/>
      <c r="F3404" s="242"/>
      <c r="G3404"/>
      <c r="H3404" s="322"/>
      <c r="I3404" s="322"/>
      <c r="J3404" s="242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</row>
    <row r="3405" spans="1:26" ht="15.75" hidden="1" customHeight="1" outlineLevel="2">
      <c r="A3405"/>
      <c r="B3405" s="249"/>
      <c r="C3405"/>
      <c r="D3405"/>
      <c r="E3405" s="321"/>
      <c r="F3405" s="242"/>
      <c r="G3405"/>
      <c r="H3405" s="322"/>
      <c r="I3405" s="322"/>
      <c r="J3405" s="242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</row>
    <row r="3406" spans="1:26" ht="15.75" hidden="1" customHeight="1" outlineLevel="2">
      <c r="A3406"/>
      <c r="B3406" s="249"/>
      <c r="C3406"/>
      <c r="D3406"/>
      <c r="E3406" s="321"/>
      <c r="F3406" s="242"/>
      <c r="G3406"/>
      <c r="H3406" s="322"/>
      <c r="I3406" s="322"/>
      <c r="J3406" s="242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</row>
    <row r="3407" spans="1:26" ht="15.75" hidden="1" customHeight="1" outlineLevel="2">
      <c r="A3407"/>
      <c r="B3407" s="249"/>
      <c r="C3407"/>
      <c r="D3407"/>
      <c r="E3407" s="321"/>
      <c r="F3407" s="242"/>
      <c r="G3407"/>
      <c r="H3407" s="322"/>
      <c r="I3407" s="322"/>
      <c r="J3407" s="242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</row>
    <row r="3408" spans="1:26" ht="15.75" hidden="1" customHeight="1" outlineLevel="2">
      <c r="A3408"/>
      <c r="B3408" s="249"/>
      <c r="C3408"/>
      <c r="D3408"/>
      <c r="E3408" s="321"/>
      <c r="F3408" s="242"/>
      <c r="G3408"/>
      <c r="H3408" s="322"/>
      <c r="I3408" s="322"/>
      <c r="J3408" s="242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</row>
    <row r="3409" spans="1:26" ht="15.75" hidden="1" customHeight="1" outlineLevel="2">
      <c r="A3409"/>
      <c r="B3409" s="249"/>
      <c r="C3409"/>
      <c r="D3409"/>
      <c r="E3409" s="321"/>
      <c r="F3409" s="242"/>
      <c r="G3409"/>
      <c r="H3409" s="322"/>
      <c r="I3409" s="322"/>
      <c r="J3409" s="242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</row>
    <row r="3410" spans="1:26" ht="15.75" hidden="1" customHeight="1" outlineLevel="2">
      <c r="A3410"/>
      <c r="B3410" s="249"/>
      <c r="C3410"/>
      <c r="D3410"/>
      <c r="E3410" s="321"/>
      <c r="F3410" s="242"/>
      <c r="G3410"/>
      <c r="H3410" s="322"/>
      <c r="I3410" s="322"/>
      <c r="J3410" s="242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</row>
    <row r="3411" spans="1:26" ht="15.75" hidden="1" customHeight="1" outlineLevel="2">
      <c r="A3411"/>
      <c r="B3411" s="249"/>
      <c r="C3411"/>
      <c r="D3411"/>
      <c r="E3411" s="321"/>
      <c r="F3411" s="242"/>
      <c r="G3411"/>
      <c r="H3411" s="322"/>
      <c r="I3411" s="322"/>
      <c r="J3411" s="242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</row>
    <row r="3412" spans="1:26" ht="15.75" hidden="1" customHeight="1" outlineLevel="2">
      <c r="A3412"/>
      <c r="B3412" s="249"/>
      <c r="C3412"/>
      <c r="D3412"/>
      <c r="E3412" s="321"/>
      <c r="F3412" s="242"/>
      <c r="G3412"/>
      <c r="H3412" s="322"/>
      <c r="I3412" s="322"/>
      <c r="J3412" s="242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</row>
    <row r="3413" spans="1:26" ht="15.75" hidden="1" customHeight="1" outlineLevel="2">
      <c r="A3413"/>
      <c r="B3413" s="249"/>
      <c r="C3413"/>
      <c r="D3413"/>
      <c r="E3413" s="321"/>
      <c r="F3413" s="242"/>
      <c r="G3413"/>
      <c r="H3413" s="322"/>
      <c r="I3413" s="322"/>
      <c r="J3413" s="242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</row>
    <row r="3414" spans="1:26" ht="15.75" hidden="1" customHeight="1" outlineLevel="2">
      <c r="A3414"/>
      <c r="B3414" s="249"/>
      <c r="C3414"/>
      <c r="D3414"/>
      <c r="E3414" s="321"/>
      <c r="F3414" s="242"/>
      <c r="G3414"/>
      <c r="H3414" s="322"/>
      <c r="I3414" s="322"/>
      <c r="J3414" s="242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</row>
    <row r="3415" spans="1:26" ht="15.75" hidden="1" customHeight="1" outlineLevel="2">
      <c r="A3415"/>
      <c r="B3415" s="249"/>
      <c r="C3415"/>
      <c r="D3415"/>
      <c r="E3415" s="321"/>
      <c r="F3415" s="242"/>
      <c r="G3415"/>
      <c r="H3415" s="322"/>
      <c r="I3415" s="322"/>
      <c r="J3415" s="242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</row>
    <row r="3416" spans="1:26" ht="15.75" hidden="1" customHeight="1" outlineLevel="2">
      <c r="A3416"/>
      <c r="B3416" s="249"/>
      <c r="C3416"/>
      <c r="D3416"/>
      <c r="E3416" s="321"/>
      <c r="F3416" s="242"/>
      <c r="G3416"/>
      <c r="H3416" s="322"/>
      <c r="I3416" s="322"/>
      <c r="J3416" s="242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</row>
    <row r="3417" spans="1:26" ht="15.75" hidden="1" customHeight="1" outlineLevel="2">
      <c r="A3417"/>
      <c r="B3417" s="249"/>
      <c r="C3417"/>
      <c r="D3417"/>
      <c r="E3417" s="321"/>
      <c r="F3417" s="242"/>
      <c r="G3417"/>
      <c r="H3417" s="322"/>
      <c r="I3417" s="322"/>
      <c r="J3417" s="242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</row>
    <row r="3418" spans="1:26" ht="15.75" hidden="1" customHeight="1" outlineLevel="2">
      <c r="A3418"/>
      <c r="B3418" s="249"/>
      <c r="C3418"/>
      <c r="D3418"/>
      <c r="E3418" s="321"/>
      <c r="F3418" s="242"/>
      <c r="G3418"/>
      <c r="H3418" s="322"/>
      <c r="I3418" s="322"/>
      <c r="J3418" s="242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</row>
    <row r="3419" spans="1:26" ht="15.75" hidden="1" customHeight="1" outlineLevel="2">
      <c r="A3419"/>
      <c r="B3419" s="249"/>
      <c r="C3419"/>
      <c r="D3419"/>
      <c r="E3419" s="321"/>
      <c r="F3419" s="242"/>
      <c r="G3419"/>
      <c r="H3419" s="322"/>
      <c r="I3419" s="322"/>
      <c r="J3419" s="242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</row>
    <row r="3420" spans="1:26" ht="15.75" hidden="1" customHeight="1" outlineLevel="2">
      <c r="A3420"/>
      <c r="B3420" s="249"/>
      <c r="C3420"/>
      <c r="D3420"/>
      <c r="E3420" s="321"/>
      <c r="F3420" s="242"/>
      <c r="G3420"/>
      <c r="H3420" s="322"/>
      <c r="I3420" s="322"/>
      <c r="J3420" s="242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</row>
    <row r="3421" spans="1:26" ht="15.75" hidden="1" customHeight="1" outlineLevel="2">
      <c r="A3421"/>
      <c r="B3421" s="249"/>
      <c r="C3421"/>
      <c r="D3421"/>
      <c r="E3421" s="321"/>
      <c r="F3421" s="242"/>
      <c r="G3421"/>
      <c r="H3421" s="322"/>
      <c r="I3421" s="322"/>
      <c r="J3421" s="242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</row>
    <row r="3422" spans="1:26" ht="15.75" hidden="1" customHeight="1" outlineLevel="2">
      <c r="A3422"/>
      <c r="B3422" s="249"/>
      <c r="C3422"/>
      <c r="D3422"/>
      <c r="E3422" s="321"/>
      <c r="F3422" s="242"/>
      <c r="G3422"/>
      <c r="H3422" s="322"/>
      <c r="I3422" s="322"/>
      <c r="J3422" s="242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</row>
    <row r="3423" spans="1:26" ht="15.75" hidden="1" customHeight="1" outlineLevel="2">
      <c r="A3423"/>
      <c r="B3423" s="249"/>
      <c r="C3423"/>
      <c r="D3423"/>
      <c r="E3423" s="321"/>
      <c r="F3423" s="242"/>
      <c r="G3423"/>
      <c r="H3423" s="322"/>
      <c r="I3423" s="322"/>
      <c r="J3423" s="242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</row>
    <row r="3424" spans="1:26" ht="15.75" hidden="1" customHeight="1" outlineLevel="2">
      <c r="A3424"/>
      <c r="B3424" s="249"/>
      <c r="C3424"/>
      <c r="D3424"/>
      <c r="E3424" s="321"/>
      <c r="F3424" s="242"/>
      <c r="G3424"/>
      <c r="H3424" s="322"/>
      <c r="I3424" s="322"/>
      <c r="J3424" s="242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</row>
    <row r="3425" spans="1:26" ht="15.75" hidden="1" customHeight="1" outlineLevel="2">
      <c r="A3425"/>
      <c r="B3425" s="249"/>
      <c r="C3425"/>
      <c r="D3425"/>
      <c r="E3425" s="321"/>
      <c r="F3425" s="242"/>
      <c r="G3425"/>
      <c r="H3425" s="322"/>
      <c r="I3425" s="322"/>
      <c r="J3425" s="242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</row>
    <row r="3426" spans="1:26" ht="15.75" hidden="1" customHeight="1" outlineLevel="2">
      <c r="A3426"/>
      <c r="B3426" s="249"/>
      <c r="C3426"/>
      <c r="D3426"/>
      <c r="E3426" s="321"/>
      <c r="F3426" s="242"/>
      <c r="G3426"/>
      <c r="H3426" s="322"/>
      <c r="I3426" s="322"/>
      <c r="J3426" s="242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</row>
    <row r="3427" spans="1:26" ht="15.75" hidden="1" customHeight="1" outlineLevel="2">
      <c r="A3427"/>
      <c r="B3427" s="249"/>
      <c r="C3427"/>
      <c r="D3427"/>
      <c r="E3427" s="321"/>
      <c r="F3427" s="242"/>
      <c r="G3427"/>
      <c r="H3427" s="322"/>
      <c r="I3427" s="322"/>
      <c r="J3427" s="242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</row>
    <row r="3428" spans="1:26" ht="15.75" hidden="1" customHeight="1" outlineLevel="2">
      <c r="A3428"/>
      <c r="B3428" s="249"/>
      <c r="C3428"/>
      <c r="D3428"/>
      <c r="E3428" s="321"/>
      <c r="F3428" s="242"/>
      <c r="G3428"/>
      <c r="H3428" s="322"/>
      <c r="I3428" s="322"/>
      <c r="J3428" s="242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</row>
    <row r="3429" spans="1:26" ht="15.75" hidden="1" customHeight="1" outlineLevel="2">
      <c r="A3429"/>
      <c r="B3429" s="249"/>
      <c r="C3429"/>
      <c r="D3429"/>
      <c r="E3429" s="321"/>
      <c r="F3429" s="242"/>
      <c r="G3429"/>
      <c r="H3429" s="322"/>
      <c r="I3429" s="322"/>
      <c r="J3429" s="242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</row>
    <row r="3430" spans="1:26" ht="15.75" hidden="1" customHeight="1" outlineLevel="2">
      <c r="A3430"/>
      <c r="B3430" s="249"/>
      <c r="C3430"/>
      <c r="D3430"/>
      <c r="E3430" s="321"/>
      <c r="F3430" s="242"/>
      <c r="G3430"/>
      <c r="H3430" s="322"/>
      <c r="I3430" s="322"/>
      <c r="J3430" s="242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</row>
    <row r="3431" spans="1:26" ht="15.75" hidden="1" customHeight="1" outlineLevel="2">
      <c r="A3431"/>
      <c r="B3431" s="249"/>
      <c r="C3431"/>
      <c r="D3431"/>
      <c r="E3431" s="321"/>
      <c r="F3431" s="242"/>
      <c r="G3431"/>
      <c r="H3431" s="322"/>
      <c r="I3431" s="322"/>
      <c r="J3431" s="242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</row>
    <row r="3432" spans="1:26" ht="15.75" hidden="1" customHeight="1" outlineLevel="2">
      <c r="A3432"/>
      <c r="B3432" s="249"/>
      <c r="C3432"/>
      <c r="D3432"/>
      <c r="E3432" s="321"/>
      <c r="F3432" s="242"/>
      <c r="G3432"/>
      <c r="H3432" s="322"/>
      <c r="I3432" s="322"/>
      <c r="J3432" s="242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</row>
    <row r="3433" spans="1:26" ht="15.75" hidden="1" customHeight="1" outlineLevel="2">
      <c r="A3433"/>
      <c r="B3433" s="249"/>
      <c r="C3433"/>
      <c r="D3433"/>
      <c r="E3433" s="321"/>
      <c r="F3433" s="242"/>
      <c r="G3433"/>
      <c r="H3433" s="322"/>
      <c r="I3433" s="322"/>
      <c r="J3433" s="242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</row>
    <row r="3434" spans="1:26" ht="15.75" hidden="1" customHeight="1" outlineLevel="2">
      <c r="A3434"/>
      <c r="B3434" s="249"/>
      <c r="C3434"/>
      <c r="D3434"/>
      <c r="E3434" s="321"/>
      <c r="F3434" s="242"/>
      <c r="G3434"/>
      <c r="H3434" s="322"/>
      <c r="I3434" s="322"/>
      <c r="J3434" s="242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</row>
    <row r="3435" spans="1:26" ht="15.75" hidden="1" customHeight="1" outlineLevel="2">
      <c r="A3435"/>
      <c r="B3435" s="249"/>
      <c r="C3435"/>
      <c r="D3435"/>
      <c r="E3435" s="321"/>
      <c r="F3435" s="242"/>
      <c r="G3435"/>
      <c r="H3435" s="322"/>
      <c r="I3435" s="322"/>
      <c r="J3435" s="242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</row>
    <row r="3436" spans="1:26" ht="15.75" hidden="1" customHeight="1" outlineLevel="2">
      <c r="A3436"/>
      <c r="B3436" s="249"/>
      <c r="C3436"/>
      <c r="D3436"/>
      <c r="E3436" s="321"/>
      <c r="F3436" s="242"/>
      <c r="G3436"/>
      <c r="H3436" s="322"/>
      <c r="I3436" s="322"/>
      <c r="J3436" s="242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</row>
    <row r="3437" spans="1:26" ht="15.75" hidden="1" customHeight="1" outlineLevel="2">
      <c r="A3437"/>
      <c r="B3437" s="249"/>
      <c r="C3437"/>
      <c r="D3437"/>
      <c r="E3437" s="321"/>
      <c r="F3437" s="242"/>
      <c r="G3437"/>
      <c r="H3437" s="322"/>
      <c r="I3437" s="322"/>
      <c r="J3437" s="242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</row>
    <row r="3438" spans="1:26" ht="15.75" hidden="1" customHeight="1" outlineLevel="2">
      <c r="A3438"/>
      <c r="B3438" s="249"/>
      <c r="C3438"/>
      <c r="D3438"/>
      <c r="E3438" s="321"/>
      <c r="F3438" s="242"/>
      <c r="G3438"/>
      <c r="H3438" s="322"/>
      <c r="I3438" s="322"/>
      <c r="J3438" s="242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</row>
    <row r="3439" spans="1:26" ht="15.75" hidden="1" customHeight="1" outlineLevel="2">
      <c r="A3439"/>
      <c r="B3439" s="249"/>
      <c r="C3439"/>
      <c r="D3439"/>
      <c r="E3439" s="321"/>
      <c r="F3439" s="242"/>
      <c r="G3439"/>
      <c r="H3439" s="322"/>
      <c r="I3439" s="322"/>
      <c r="J3439" s="242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</row>
    <row r="3440" spans="1:26" ht="15.75" hidden="1" customHeight="1" outlineLevel="2">
      <c r="A3440"/>
      <c r="B3440" s="249"/>
      <c r="C3440"/>
      <c r="D3440"/>
      <c r="E3440" s="321"/>
      <c r="F3440" s="242"/>
      <c r="G3440"/>
      <c r="H3440" s="322"/>
      <c r="I3440" s="322"/>
      <c r="J3440" s="242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</row>
    <row r="3441" spans="1:26" ht="15.75" hidden="1" customHeight="1" outlineLevel="2">
      <c r="A3441"/>
      <c r="B3441" s="249"/>
      <c r="C3441"/>
      <c r="D3441"/>
      <c r="E3441" s="321"/>
      <c r="F3441" s="242"/>
      <c r="G3441"/>
      <c r="H3441" s="322"/>
      <c r="I3441" s="322"/>
      <c r="J3441" s="242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</row>
    <row r="3442" spans="1:26" ht="15.75" hidden="1" customHeight="1" outlineLevel="2">
      <c r="A3442"/>
      <c r="B3442" s="249"/>
      <c r="C3442"/>
      <c r="D3442"/>
      <c r="E3442" s="321"/>
      <c r="F3442" s="242"/>
      <c r="G3442"/>
      <c r="H3442" s="322"/>
      <c r="I3442" s="322"/>
      <c r="J3442" s="242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</row>
    <row r="3443" spans="1:26" ht="15.75" hidden="1" customHeight="1" outlineLevel="2">
      <c r="A3443"/>
      <c r="B3443" s="249"/>
      <c r="C3443"/>
      <c r="D3443"/>
      <c r="E3443" s="321"/>
      <c r="F3443" s="242"/>
      <c r="G3443"/>
      <c r="H3443" s="322"/>
      <c r="I3443" s="322"/>
      <c r="J3443" s="242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</row>
    <row r="3444" spans="1:26" ht="15.75" hidden="1" customHeight="1" outlineLevel="2">
      <c r="A3444"/>
      <c r="B3444" s="249"/>
      <c r="C3444"/>
      <c r="D3444"/>
      <c r="E3444" s="321"/>
      <c r="F3444" s="242"/>
      <c r="G3444"/>
      <c r="H3444" s="322"/>
      <c r="I3444" s="322"/>
      <c r="J3444" s="242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</row>
    <row r="3445" spans="1:26" ht="15.75" hidden="1" customHeight="1" outlineLevel="2">
      <c r="A3445"/>
      <c r="B3445" s="249"/>
      <c r="C3445"/>
      <c r="D3445"/>
      <c r="E3445" s="321"/>
      <c r="F3445" s="242"/>
      <c r="G3445"/>
      <c r="H3445" s="322"/>
      <c r="I3445" s="322"/>
      <c r="J3445" s="242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</row>
    <row r="3446" spans="1:26" ht="15.75" hidden="1" customHeight="1" outlineLevel="2">
      <c r="A3446"/>
      <c r="B3446" s="249"/>
      <c r="C3446"/>
      <c r="D3446"/>
      <c r="E3446" s="321"/>
      <c r="F3446" s="242"/>
      <c r="G3446"/>
      <c r="H3446" s="322"/>
      <c r="I3446" s="322"/>
      <c r="J3446" s="242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</row>
    <row r="3447" spans="1:26" ht="15.75" hidden="1" customHeight="1" outlineLevel="2">
      <c r="A3447"/>
      <c r="B3447" s="249"/>
      <c r="C3447"/>
      <c r="D3447"/>
      <c r="E3447" s="321"/>
      <c r="F3447" s="242"/>
      <c r="G3447"/>
      <c r="H3447" s="322"/>
      <c r="I3447" s="322"/>
      <c r="J3447" s="242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</row>
    <row r="3448" spans="1:26" ht="15.75" hidden="1" customHeight="1" outlineLevel="2">
      <c r="A3448"/>
      <c r="B3448" s="249"/>
      <c r="C3448"/>
      <c r="D3448"/>
      <c r="E3448" s="321"/>
      <c r="F3448" s="242"/>
      <c r="G3448"/>
      <c r="H3448" s="322"/>
      <c r="I3448" s="322"/>
      <c r="J3448" s="242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</row>
    <row r="3449" spans="1:26" ht="15.75" hidden="1" customHeight="1" outlineLevel="2">
      <c r="A3449"/>
      <c r="B3449" s="249"/>
      <c r="C3449"/>
      <c r="D3449"/>
      <c r="E3449" s="321"/>
      <c r="F3449" s="242"/>
      <c r="G3449"/>
      <c r="H3449" s="322"/>
      <c r="I3449" s="322"/>
      <c r="J3449" s="242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</row>
    <row r="3450" spans="1:26" ht="15.75" hidden="1" customHeight="1" outlineLevel="2">
      <c r="A3450"/>
      <c r="B3450" s="249"/>
      <c r="C3450"/>
      <c r="D3450"/>
      <c r="E3450" s="321"/>
      <c r="F3450" s="242"/>
      <c r="G3450"/>
      <c r="H3450" s="322"/>
      <c r="I3450" s="322"/>
      <c r="J3450" s="242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</row>
    <row r="3451" spans="1:26" ht="15.75" hidden="1" customHeight="1" outlineLevel="2">
      <c r="A3451"/>
      <c r="B3451" s="249"/>
      <c r="C3451"/>
      <c r="D3451"/>
      <c r="E3451" s="321"/>
      <c r="F3451" s="242"/>
      <c r="G3451"/>
      <c r="H3451" s="322"/>
      <c r="I3451" s="322"/>
      <c r="J3451" s="242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</row>
    <row r="3452" spans="1:26" ht="15.75" hidden="1" customHeight="1" outlineLevel="2">
      <c r="A3452"/>
      <c r="B3452" s="249"/>
      <c r="C3452"/>
      <c r="D3452"/>
      <c r="E3452" s="321"/>
      <c r="F3452" s="242"/>
      <c r="G3452"/>
      <c r="H3452" s="322"/>
      <c r="I3452" s="322"/>
      <c r="J3452" s="242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</row>
    <row r="3453" spans="1:26" ht="15.75" hidden="1" customHeight="1" outlineLevel="2">
      <c r="A3453"/>
      <c r="B3453" s="249"/>
      <c r="C3453"/>
      <c r="D3453"/>
      <c r="E3453" s="321"/>
      <c r="F3453" s="242"/>
      <c r="G3453"/>
      <c r="H3453" s="322"/>
      <c r="I3453" s="322"/>
      <c r="J3453" s="242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</row>
    <row r="3454" spans="1:26" ht="15.75" hidden="1" customHeight="1" outlineLevel="2">
      <c r="A3454"/>
      <c r="B3454" s="249"/>
      <c r="C3454"/>
      <c r="D3454"/>
      <c r="E3454" s="321"/>
      <c r="F3454" s="242"/>
      <c r="G3454"/>
      <c r="H3454" s="322"/>
      <c r="I3454" s="322"/>
      <c r="J3454" s="242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</row>
    <row r="3455" spans="1:26" ht="15.75" hidden="1" customHeight="1" outlineLevel="2">
      <c r="A3455"/>
      <c r="B3455" s="249"/>
      <c r="C3455"/>
      <c r="D3455"/>
      <c r="E3455" s="321"/>
      <c r="F3455" s="242"/>
      <c r="G3455"/>
      <c r="H3455" s="322"/>
      <c r="I3455" s="322"/>
      <c r="J3455" s="242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</row>
    <row r="3456" spans="1:26" ht="15.75" hidden="1" customHeight="1" outlineLevel="2">
      <c r="A3456"/>
      <c r="B3456" s="249"/>
      <c r="C3456"/>
      <c r="D3456"/>
      <c r="E3456" s="321"/>
      <c r="F3456" s="242"/>
      <c r="G3456"/>
      <c r="H3456" s="322"/>
      <c r="I3456" s="322"/>
      <c r="J3456" s="242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</row>
    <row r="3457" spans="1:26" ht="15.75" hidden="1" customHeight="1" outlineLevel="2">
      <c r="A3457"/>
      <c r="B3457" s="249"/>
      <c r="C3457"/>
      <c r="D3457"/>
      <c r="E3457" s="321"/>
      <c r="F3457" s="242"/>
      <c r="G3457"/>
      <c r="H3457" s="322"/>
      <c r="I3457" s="322"/>
      <c r="J3457" s="242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</row>
    <row r="3458" spans="1:26" ht="15.75" hidden="1" customHeight="1" outlineLevel="2">
      <c r="A3458"/>
      <c r="B3458" s="249"/>
      <c r="C3458"/>
      <c r="D3458"/>
      <c r="E3458" s="321"/>
      <c r="F3458" s="242"/>
      <c r="G3458"/>
      <c r="H3458" s="322"/>
      <c r="I3458" s="322"/>
      <c r="J3458" s="242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</row>
    <row r="3459" spans="1:26" ht="15.75" hidden="1" customHeight="1" outlineLevel="2">
      <c r="A3459"/>
      <c r="B3459" s="249"/>
      <c r="C3459"/>
      <c r="D3459"/>
      <c r="E3459" s="321"/>
      <c r="F3459" s="242"/>
      <c r="G3459"/>
      <c r="H3459" s="322"/>
      <c r="I3459" s="322"/>
      <c r="J3459" s="242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</row>
    <row r="3460" spans="1:26" ht="15.75" hidden="1" customHeight="1" outlineLevel="2">
      <c r="A3460"/>
      <c r="B3460" s="249"/>
      <c r="C3460"/>
      <c r="D3460"/>
      <c r="E3460" s="321"/>
      <c r="F3460" s="242"/>
      <c r="G3460"/>
      <c r="H3460" s="322"/>
      <c r="I3460" s="322"/>
      <c r="J3460" s="242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</row>
    <row r="3461" spans="1:26" ht="15.75" hidden="1" customHeight="1" outlineLevel="2">
      <c r="A3461"/>
      <c r="B3461" s="249"/>
      <c r="C3461"/>
      <c r="D3461"/>
      <c r="E3461" s="321"/>
      <c r="F3461" s="242"/>
      <c r="G3461"/>
      <c r="H3461" s="322"/>
      <c r="I3461" s="322"/>
      <c r="J3461" s="242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</row>
    <row r="3462" spans="1:26" ht="15.75" hidden="1" customHeight="1" outlineLevel="2">
      <c r="A3462"/>
      <c r="B3462" s="249"/>
      <c r="C3462"/>
      <c r="D3462"/>
      <c r="E3462" s="321"/>
      <c r="F3462" s="242"/>
      <c r="G3462"/>
      <c r="H3462" s="322"/>
      <c r="I3462" s="322"/>
      <c r="J3462" s="242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</row>
    <row r="3463" spans="1:26" ht="15.75" hidden="1" customHeight="1" outlineLevel="2">
      <c r="A3463"/>
      <c r="B3463" s="249"/>
      <c r="C3463"/>
      <c r="D3463"/>
      <c r="E3463" s="321"/>
      <c r="F3463" s="242"/>
      <c r="G3463"/>
      <c r="H3463" s="322"/>
      <c r="I3463" s="322"/>
      <c r="J3463" s="242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</row>
    <row r="3464" spans="1:26" ht="15.75" hidden="1" customHeight="1" outlineLevel="2">
      <c r="A3464"/>
      <c r="B3464" s="249"/>
      <c r="C3464"/>
      <c r="D3464"/>
      <c r="E3464" s="321"/>
      <c r="F3464" s="242"/>
      <c r="G3464"/>
      <c r="H3464" s="322"/>
      <c r="I3464" s="322"/>
      <c r="J3464" s="242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</row>
    <row r="3465" spans="1:26" ht="15.75" hidden="1" customHeight="1" outlineLevel="2">
      <c r="A3465"/>
      <c r="B3465" s="249"/>
      <c r="C3465"/>
      <c r="D3465"/>
      <c r="E3465" s="321"/>
      <c r="F3465" s="242"/>
      <c r="G3465"/>
      <c r="H3465" s="322"/>
      <c r="I3465" s="322"/>
      <c r="J3465" s="242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</row>
    <row r="3466" spans="1:26" ht="15.75" hidden="1" customHeight="1" outlineLevel="2">
      <c r="A3466"/>
      <c r="B3466" s="249"/>
      <c r="C3466"/>
      <c r="D3466"/>
      <c r="E3466" s="321"/>
      <c r="F3466" s="242"/>
      <c r="G3466"/>
      <c r="H3466" s="322"/>
      <c r="I3466" s="322"/>
      <c r="J3466" s="242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</row>
    <row r="3467" spans="1:26" ht="15.75" hidden="1" customHeight="1" outlineLevel="2">
      <c r="A3467"/>
      <c r="B3467" s="249"/>
      <c r="C3467"/>
      <c r="D3467"/>
      <c r="E3467" s="321"/>
      <c r="F3467" s="242"/>
      <c r="G3467"/>
      <c r="H3467" s="322"/>
      <c r="I3467" s="322"/>
      <c r="J3467" s="242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</row>
    <row r="3468" spans="1:26" ht="15.75" hidden="1" customHeight="1" outlineLevel="2">
      <c r="A3468"/>
      <c r="B3468" s="249"/>
      <c r="C3468"/>
      <c r="D3468"/>
      <c r="E3468" s="321"/>
      <c r="F3468" s="242"/>
      <c r="G3468"/>
      <c r="H3468" s="322"/>
      <c r="I3468" s="322"/>
      <c r="J3468" s="242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</row>
    <row r="3469" spans="1:26" ht="15.75" hidden="1" customHeight="1" outlineLevel="2">
      <c r="A3469"/>
      <c r="B3469" s="249"/>
      <c r="C3469"/>
      <c r="D3469"/>
      <c r="E3469" s="321"/>
      <c r="F3469" s="242"/>
      <c r="G3469"/>
      <c r="H3469" s="322"/>
      <c r="I3469" s="322"/>
      <c r="J3469" s="242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</row>
    <row r="3470" spans="1:26" ht="15.75" hidden="1" customHeight="1" outlineLevel="2">
      <c r="A3470"/>
      <c r="B3470" s="249"/>
      <c r="C3470"/>
      <c r="D3470"/>
      <c r="E3470" s="321"/>
      <c r="F3470" s="242"/>
      <c r="G3470"/>
      <c r="H3470" s="322"/>
      <c r="I3470" s="322"/>
      <c r="J3470" s="242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</row>
    <row r="3471" spans="1:26" ht="15.75" hidden="1" customHeight="1" outlineLevel="2">
      <c r="A3471"/>
      <c r="B3471" s="249"/>
      <c r="C3471"/>
      <c r="D3471"/>
      <c r="E3471" s="321"/>
      <c r="F3471" s="242"/>
      <c r="G3471"/>
      <c r="H3471" s="322"/>
      <c r="I3471" s="322"/>
      <c r="J3471" s="242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</row>
    <row r="3472" spans="1:26" ht="15.75" hidden="1" customHeight="1" outlineLevel="2">
      <c r="A3472"/>
      <c r="B3472" s="249"/>
      <c r="C3472"/>
      <c r="D3472"/>
      <c r="E3472" s="321"/>
      <c r="F3472" s="242"/>
      <c r="G3472"/>
      <c r="H3472" s="322"/>
      <c r="I3472" s="322"/>
      <c r="J3472" s="242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</row>
    <row r="3473" spans="1:26" ht="15.75" hidden="1" customHeight="1" outlineLevel="2">
      <c r="A3473"/>
      <c r="B3473" s="249"/>
      <c r="C3473"/>
      <c r="D3473"/>
      <c r="E3473" s="321"/>
      <c r="F3473" s="242"/>
      <c r="G3473"/>
      <c r="H3473" s="322"/>
      <c r="I3473" s="322"/>
      <c r="J3473" s="242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</row>
    <row r="3474" spans="1:26" ht="15.75" hidden="1" customHeight="1" outlineLevel="2">
      <c r="A3474"/>
      <c r="B3474" s="249"/>
      <c r="C3474"/>
      <c r="D3474"/>
      <c r="E3474" s="321"/>
      <c r="F3474" s="242"/>
      <c r="G3474"/>
      <c r="H3474" s="322"/>
      <c r="I3474" s="322"/>
      <c r="J3474" s="242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</row>
    <row r="3475" spans="1:26" ht="15.75" hidden="1" customHeight="1" outlineLevel="2">
      <c r="A3475"/>
      <c r="B3475" s="249"/>
      <c r="C3475"/>
      <c r="D3475"/>
      <c r="E3475" s="321"/>
      <c r="F3475" s="242"/>
      <c r="G3475"/>
      <c r="H3475" s="322"/>
      <c r="I3475" s="322"/>
      <c r="J3475" s="242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</row>
    <row r="3476" spans="1:26" ht="15.75" hidden="1" customHeight="1" outlineLevel="2">
      <c r="A3476"/>
      <c r="B3476" s="249"/>
      <c r="C3476"/>
      <c r="D3476"/>
      <c r="E3476" s="321"/>
      <c r="F3476" s="242"/>
      <c r="G3476"/>
      <c r="H3476" s="322"/>
      <c r="I3476" s="322"/>
      <c r="J3476" s="242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</row>
    <row r="3477" spans="1:26" ht="15.75" hidden="1" customHeight="1" outlineLevel="2">
      <c r="A3477"/>
      <c r="B3477" s="249"/>
      <c r="C3477"/>
      <c r="D3477"/>
      <c r="E3477" s="321"/>
      <c r="F3477" s="242"/>
      <c r="G3477"/>
      <c r="H3477" s="322"/>
      <c r="I3477" s="322"/>
      <c r="J3477" s="242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</row>
    <row r="3478" spans="1:26" ht="15.75" hidden="1" customHeight="1" outlineLevel="2">
      <c r="A3478"/>
      <c r="B3478" s="249"/>
      <c r="C3478"/>
      <c r="D3478"/>
      <c r="E3478" s="321"/>
      <c r="F3478" s="242"/>
      <c r="G3478"/>
      <c r="H3478" s="322"/>
      <c r="I3478" s="322"/>
      <c r="J3478" s="242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</row>
    <row r="3479" spans="1:26" ht="15.75" hidden="1" customHeight="1" outlineLevel="2">
      <c r="A3479"/>
      <c r="B3479" s="249"/>
      <c r="C3479"/>
      <c r="D3479"/>
      <c r="E3479" s="321"/>
      <c r="F3479" s="242"/>
      <c r="G3479"/>
      <c r="H3479" s="322"/>
      <c r="I3479" s="322"/>
      <c r="J3479" s="242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</row>
    <row r="3480" spans="1:26" ht="15.75" hidden="1" customHeight="1" outlineLevel="2">
      <c r="A3480"/>
      <c r="B3480" s="249"/>
      <c r="C3480"/>
      <c r="D3480"/>
      <c r="E3480" s="321"/>
      <c r="F3480" s="242"/>
      <c r="G3480"/>
      <c r="H3480" s="322"/>
      <c r="I3480" s="322"/>
      <c r="J3480" s="242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</row>
    <row r="3481" spans="1:26" ht="15.75" hidden="1" customHeight="1" outlineLevel="2">
      <c r="A3481"/>
      <c r="B3481" s="249"/>
      <c r="C3481"/>
      <c r="D3481"/>
      <c r="E3481" s="321"/>
      <c r="F3481" s="242"/>
      <c r="G3481"/>
      <c r="H3481" s="322"/>
      <c r="I3481" s="322"/>
      <c r="J3481" s="242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</row>
    <row r="3482" spans="1:26" ht="15.75" hidden="1" customHeight="1" outlineLevel="2">
      <c r="A3482"/>
      <c r="B3482" s="249"/>
      <c r="C3482"/>
      <c r="D3482"/>
      <c r="E3482" s="321"/>
      <c r="F3482" s="242"/>
      <c r="G3482"/>
      <c r="H3482" s="322"/>
      <c r="I3482" s="322"/>
      <c r="J3482" s="242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</row>
    <row r="3483" spans="1:26" ht="15.75" hidden="1" customHeight="1" outlineLevel="2">
      <c r="A3483"/>
      <c r="B3483" s="249"/>
      <c r="C3483"/>
      <c r="D3483"/>
      <c r="E3483" s="321"/>
      <c r="F3483" s="242"/>
      <c r="G3483"/>
      <c r="H3483" s="322"/>
      <c r="I3483" s="322"/>
      <c r="J3483" s="242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</row>
    <row r="3484" spans="1:26" ht="15.75" hidden="1" customHeight="1" outlineLevel="2">
      <c r="A3484"/>
      <c r="B3484" s="249"/>
      <c r="C3484"/>
      <c r="D3484"/>
      <c r="E3484" s="321"/>
      <c r="F3484" s="242"/>
      <c r="G3484"/>
      <c r="H3484" s="322"/>
      <c r="I3484" s="322"/>
      <c r="J3484" s="242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</row>
    <row r="3485" spans="1:26" ht="15.75" hidden="1" customHeight="1" outlineLevel="2">
      <c r="A3485"/>
      <c r="B3485" s="249"/>
      <c r="C3485"/>
      <c r="D3485"/>
      <c r="E3485" s="321"/>
      <c r="F3485" s="242"/>
      <c r="G3485"/>
      <c r="H3485" s="322"/>
      <c r="I3485" s="322"/>
      <c r="J3485" s="242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</row>
    <row r="3486" spans="1:26" ht="15.75" hidden="1" customHeight="1" outlineLevel="2">
      <c r="A3486"/>
      <c r="B3486" s="249"/>
      <c r="C3486"/>
      <c r="D3486"/>
      <c r="E3486" s="321"/>
      <c r="F3486" s="242"/>
      <c r="G3486"/>
      <c r="H3486" s="322"/>
      <c r="I3486" s="322"/>
      <c r="J3486" s="242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</row>
    <row r="3487" spans="1:26" ht="15.75" hidden="1" customHeight="1" outlineLevel="2">
      <c r="A3487"/>
      <c r="B3487" s="249"/>
      <c r="C3487"/>
      <c r="D3487"/>
      <c r="E3487" s="321"/>
      <c r="F3487" s="242"/>
      <c r="G3487"/>
      <c r="H3487" s="322"/>
      <c r="I3487" s="322"/>
      <c r="J3487" s="242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</row>
    <row r="3488" spans="1:26" ht="15.75" hidden="1" customHeight="1" outlineLevel="2">
      <c r="A3488"/>
      <c r="B3488" s="249"/>
      <c r="C3488"/>
      <c r="D3488"/>
      <c r="E3488" s="321"/>
      <c r="F3488" s="242"/>
      <c r="G3488"/>
      <c r="H3488" s="322"/>
      <c r="I3488" s="322"/>
      <c r="J3488" s="242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</row>
    <row r="3489" spans="1:26" ht="15.75" hidden="1" customHeight="1" outlineLevel="2">
      <c r="A3489"/>
      <c r="B3489" s="249"/>
      <c r="C3489"/>
      <c r="D3489"/>
      <c r="E3489" s="321"/>
      <c r="F3489" s="242"/>
      <c r="G3489"/>
      <c r="H3489" s="322"/>
      <c r="I3489" s="322"/>
      <c r="J3489" s="242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</row>
    <row r="3490" spans="1:26" ht="15.75" hidden="1" customHeight="1" outlineLevel="2">
      <c r="A3490"/>
      <c r="B3490" s="249"/>
      <c r="C3490"/>
      <c r="D3490"/>
      <c r="E3490" s="321"/>
      <c r="F3490" s="242"/>
      <c r="G3490"/>
      <c r="H3490" s="322"/>
      <c r="I3490" s="322"/>
      <c r="J3490" s="242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</row>
    <row r="3491" spans="1:26" ht="15.75" hidden="1" customHeight="1" outlineLevel="2">
      <c r="A3491"/>
      <c r="B3491" s="249"/>
      <c r="C3491"/>
      <c r="D3491"/>
      <c r="E3491" s="321"/>
      <c r="F3491" s="242"/>
      <c r="G3491"/>
      <c r="H3491" s="322"/>
      <c r="I3491" s="322"/>
      <c r="J3491" s="242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</row>
    <row r="3492" spans="1:26" ht="15.75" hidden="1" customHeight="1" outlineLevel="2">
      <c r="A3492"/>
      <c r="B3492" s="249"/>
      <c r="C3492"/>
      <c r="D3492"/>
      <c r="E3492" s="321"/>
      <c r="F3492" s="242"/>
      <c r="G3492"/>
      <c r="H3492" s="322"/>
      <c r="I3492" s="322"/>
      <c r="J3492" s="242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</row>
    <row r="3493" spans="1:26" ht="15.75" hidden="1" customHeight="1" outlineLevel="2">
      <c r="A3493"/>
      <c r="B3493" s="249"/>
      <c r="C3493"/>
      <c r="D3493"/>
      <c r="E3493" s="321"/>
      <c r="F3493" s="242"/>
      <c r="G3493"/>
      <c r="H3493" s="322"/>
      <c r="I3493" s="322"/>
      <c r="J3493" s="242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</row>
    <row r="3494" spans="1:26" ht="15.75" hidden="1" customHeight="1" outlineLevel="2">
      <c r="A3494"/>
      <c r="B3494" s="249"/>
      <c r="C3494"/>
      <c r="D3494"/>
      <c r="E3494" s="321"/>
      <c r="F3494" s="242"/>
      <c r="G3494"/>
      <c r="H3494" s="322"/>
      <c r="I3494" s="322"/>
      <c r="J3494" s="242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</row>
    <row r="3495" spans="1:26" ht="15.75" hidden="1" customHeight="1" outlineLevel="2">
      <c r="A3495"/>
      <c r="B3495" s="249"/>
      <c r="C3495"/>
      <c r="D3495"/>
      <c r="E3495" s="321"/>
      <c r="F3495" s="242"/>
      <c r="G3495"/>
      <c r="H3495" s="322"/>
      <c r="I3495" s="322"/>
      <c r="J3495" s="242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</row>
    <row r="3496" spans="1:26" ht="15.75" hidden="1" customHeight="1" outlineLevel="2">
      <c r="A3496"/>
      <c r="B3496" s="249"/>
      <c r="C3496"/>
      <c r="D3496"/>
      <c r="E3496" s="321"/>
      <c r="F3496" s="242"/>
      <c r="G3496"/>
      <c r="H3496" s="322"/>
      <c r="I3496" s="322"/>
      <c r="J3496" s="242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</row>
    <row r="3497" spans="1:26" ht="15.75" hidden="1" customHeight="1" outlineLevel="2">
      <c r="A3497"/>
      <c r="B3497" s="249"/>
      <c r="C3497"/>
      <c r="D3497"/>
      <c r="E3497" s="321"/>
      <c r="F3497" s="242"/>
      <c r="G3497"/>
      <c r="H3497" s="322"/>
      <c r="I3497" s="322"/>
      <c r="J3497" s="242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</row>
    <row r="3498" spans="1:26" ht="15.75" hidden="1" customHeight="1" outlineLevel="2">
      <c r="A3498"/>
      <c r="B3498" s="249"/>
      <c r="C3498"/>
      <c r="D3498"/>
      <c r="E3498" s="321"/>
      <c r="F3498" s="242"/>
      <c r="G3498"/>
      <c r="H3498" s="322"/>
      <c r="I3498" s="322"/>
      <c r="J3498" s="242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</row>
    <row r="3499" spans="1:26" ht="15.75" hidden="1" customHeight="1" outlineLevel="2">
      <c r="A3499"/>
      <c r="B3499" s="249"/>
      <c r="C3499"/>
      <c r="D3499"/>
      <c r="E3499" s="321"/>
      <c r="F3499" s="242"/>
      <c r="G3499"/>
      <c r="H3499" s="322"/>
      <c r="I3499" s="322"/>
      <c r="J3499" s="242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</row>
    <row r="3500" spans="1:26" ht="15.75" hidden="1" customHeight="1" outlineLevel="2">
      <c r="A3500"/>
      <c r="B3500" s="249"/>
      <c r="C3500"/>
      <c r="D3500"/>
      <c r="E3500" s="321"/>
      <c r="F3500" s="242"/>
      <c r="G3500"/>
      <c r="H3500" s="322"/>
      <c r="I3500" s="322"/>
      <c r="J3500" s="242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</row>
    <row r="3501" spans="1:26" ht="15.75" hidden="1" customHeight="1" outlineLevel="2">
      <c r="A3501"/>
      <c r="B3501" s="249"/>
      <c r="C3501"/>
      <c r="D3501"/>
      <c r="E3501" s="321"/>
      <c r="F3501" s="242"/>
      <c r="G3501"/>
      <c r="H3501" s="322"/>
      <c r="I3501" s="322"/>
      <c r="J3501" s="242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</row>
    <row r="3502" spans="1:26" ht="15.75" hidden="1" customHeight="1" outlineLevel="2">
      <c r="A3502"/>
      <c r="B3502" s="249"/>
      <c r="C3502"/>
      <c r="D3502"/>
      <c r="E3502" s="321"/>
      <c r="F3502" s="242"/>
      <c r="G3502"/>
      <c r="H3502" s="322"/>
      <c r="I3502" s="322"/>
      <c r="J3502" s="242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</row>
    <row r="3503" spans="1:26" ht="15.75" hidden="1" customHeight="1" outlineLevel="2">
      <c r="A3503"/>
      <c r="B3503" s="249"/>
      <c r="C3503"/>
      <c r="D3503"/>
      <c r="E3503" s="321"/>
      <c r="F3503" s="242"/>
      <c r="G3503"/>
      <c r="H3503" s="322"/>
      <c r="I3503" s="322"/>
      <c r="J3503" s="242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</row>
    <row r="3504" spans="1:26" ht="15.75" hidden="1" customHeight="1" outlineLevel="2">
      <c r="A3504"/>
      <c r="B3504" s="249"/>
      <c r="C3504"/>
      <c r="D3504"/>
      <c r="E3504" s="321"/>
      <c r="F3504" s="242"/>
      <c r="G3504"/>
      <c r="H3504" s="322"/>
      <c r="I3504" s="322"/>
      <c r="J3504" s="242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</row>
    <row r="3505" spans="1:26" ht="15.75" hidden="1" customHeight="1" outlineLevel="2">
      <c r="A3505"/>
      <c r="B3505" s="249"/>
      <c r="C3505"/>
      <c r="D3505"/>
      <c r="E3505" s="321"/>
      <c r="F3505" s="242"/>
      <c r="G3505"/>
      <c r="H3505" s="322"/>
      <c r="I3505" s="322"/>
      <c r="J3505" s="242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</row>
    <row r="3506" spans="1:26" ht="15.75" hidden="1" customHeight="1" outlineLevel="2">
      <c r="A3506"/>
      <c r="B3506" s="249"/>
      <c r="C3506"/>
      <c r="D3506"/>
      <c r="E3506" s="321"/>
      <c r="F3506" s="242"/>
      <c r="G3506"/>
      <c r="H3506" s="322"/>
      <c r="I3506" s="322"/>
      <c r="J3506" s="242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</row>
    <row r="3507" spans="1:26" ht="15.75" hidden="1" customHeight="1" outlineLevel="2">
      <c r="A3507"/>
      <c r="B3507" s="249"/>
      <c r="C3507"/>
      <c r="D3507"/>
      <c r="E3507" s="321"/>
      <c r="F3507" s="242"/>
      <c r="G3507"/>
      <c r="H3507" s="322"/>
      <c r="I3507" s="322"/>
      <c r="J3507" s="242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</row>
    <row r="3508" spans="1:26" ht="15.75" hidden="1" customHeight="1" outlineLevel="2">
      <c r="A3508"/>
      <c r="B3508" s="249"/>
      <c r="C3508"/>
      <c r="D3508"/>
      <c r="E3508" s="321"/>
      <c r="F3508" s="242"/>
      <c r="G3508"/>
      <c r="H3508" s="322"/>
      <c r="I3508" s="322"/>
      <c r="J3508" s="242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</row>
    <row r="3509" spans="1:26" ht="15.75" hidden="1" customHeight="1" outlineLevel="2">
      <c r="A3509"/>
      <c r="B3509" s="249"/>
      <c r="C3509"/>
      <c r="D3509"/>
      <c r="E3509" s="321"/>
      <c r="F3509" s="242"/>
      <c r="G3509"/>
      <c r="H3509" s="322"/>
      <c r="I3509" s="322"/>
      <c r="J3509" s="242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</row>
    <row r="3510" spans="1:26" ht="15.75" hidden="1" customHeight="1" outlineLevel="2">
      <c r="A3510"/>
      <c r="B3510" s="249"/>
      <c r="C3510"/>
      <c r="D3510"/>
      <c r="E3510" s="321"/>
      <c r="F3510" s="242"/>
      <c r="G3510"/>
      <c r="H3510" s="322"/>
      <c r="I3510" s="322"/>
      <c r="J3510" s="242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</row>
    <row r="3511" spans="1:26" ht="15.75" hidden="1" customHeight="1" outlineLevel="2">
      <c r="A3511"/>
      <c r="B3511" s="249"/>
      <c r="C3511"/>
      <c r="D3511"/>
      <c r="E3511" s="321"/>
      <c r="F3511" s="242"/>
      <c r="G3511"/>
      <c r="H3511" s="322"/>
      <c r="I3511" s="322"/>
      <c r="J3511" s="242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</row>
    <row r="3512" spans="1:26" ht="15.75" hidden="1" customHeight="1" outlineLevel="2">
      <c r="A3512"/>
      <c r="B3512" s="249"/>
      <c r="C3512"/>
      <c r="D3512"/>
      <c r="E3512" s="321"/>
      <c r="F3512" s="242"/>
      <c r="G3512"/>
      <c r="H3512" s="322"/>
      <c r="I3512" s="322"/>
      <c r="J3512" s="242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</row>
    <row r="3513" spans="1:26" ht="15.75" hidden="1" customHeight="1" outlineLevel="2">
      <c r="A3513"/>
      <c r="B3513" s="249"/>
      <c r="C3513"/>
      <c r="D3513"/>
      <c r="E3513" s="321"/>
      <c r="F3513" s="242"/>
      <c r="G3513"/>
      <c r="H3513" s="322"/>
      <c r="I3513" s="322"/>
      <c r="J3513" s="242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</row>
    <row r="3514" spans="1:26" ht="15.75" hidden="1" customHeight="1" outlineLevel="2">
      <c r="A3514"/>
      <c r="B3514" s="249"/>
      <c r="C3514"/>
      <c r="D3514"/>
      <c r="E3514" s="321"/>
      <c r="F3514" s="242"/>
      <c r="G3514"/>
      <c r="H3514" s="322"/>
      <c r="I3514" s="322"/>
      <c r="J3514" s="242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</row>
    <row r="3515" spans="1:26" ht="15.75" hidden="1" customHeight="1" outlineLevel="2">
      <c r="A3515"/>
      <c r="B3515" s="249"/>
      <c r="C3515"/>
      <c r="D3515"/>
      <c r="E3515" s="321"/>
      <c r="F3515" s="242"/>
      <c r="G3515"/>
      <c r="H3515" s="322"/>
      <c r="I3515" s="322"/>
      <c r="J3515" s="242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</row>
    <row r="3516" spans="1:26" ht="15.75" hidden="1" customHeight="1" outlineLevel="2">
      <c r="A3516"/>
      <c r="B3516" s="249"/>
      <c r="C3516"/>
      <c r="D3516"/>
      <c r="E3516" s="321"/>
      <c r="F3516" s="242"/>
      <c r="G3516"/>
      <c r="H3516" s="322"/>
      <c r="I3516" s="322"/>
      <c r="J3516" s="242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</row>
    <row r="3517" spans="1:26" ht="15.75" hidden="1" customHeight="1" outlineLevel="2">
      <c r="A3517"/>
      <c r="B3517" s="249"/>
      <c r="C3517"/>
      <c r="D3517"/>
      <c r="E3517" s="321"/>
      <c r="F3517" s="242"/>
      <c r="G3517"/>
      <c r="H3517" s="322"/>
      <c r="I3517" s="322"/>
      <c r="J3517" s="242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</row>
    <row r="3518" spans="1:26" ht="15.75" hidden="1" customHeight="1" outlineLevel="2">
      <c r="A3518"/>
      <c r="B3518" s="249"/>
      <c r="C3518"/>
      <c r="D3518"/>
      <c r="E3518" s="321"/>
      <c r="F3518" s="242"/>
      <c r="G3518"/>
      <c r="H3518" s="322"/>
      <c r="I3518" s="322"/>
      <c r="J3518" s="242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</row>
    <row r="3519" spans="1:26" ht="15.75" hidden="1" customHeight="1" outlineLevel="2">
      <c r="A3519"/>
      <c r="B3519" s="249"/>
      <c r="C3519"/>
      <c r="D3519"/>
      <c r="E3519" s="321"/>
      <c r="F3519" s="242"/>
      <c r="G3519"/>
      <c r="H3519" s="322"/>
      <c r="I3519" s="322"/>
      <c r="J3519" s="242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</row>
    <row r="3520" spans="1:26" ht="15.75" hidden="1" customHeight="1" outlineLevel="2">
      <c r="A3520"/>
      <c r="B3520" s="249"/>
      <c r="C3520"/>
      <c r="D3520"/>
      <c r="E3520" s="321"/>
      <c r="F3520" s="242"/>
      <c r="G3520"/>
      <c r="H3520" s="322"/>
      <c r="I3520" s="322"/>
      <c r="J3520" s="242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</row>
    <row r="3521" spans="1:26" ht="15.75" hidden="1" customHeight="1" outlineLevel="2">
      <c r="A3521"/>
      <c r="B3521" s="249"/>
      <c r="C3521"/>
      <c r="D3521"/>
      <c r="E3521" s="321"/>
      <c r="F3521" s="242"/>
      <c r="G3521"/>
      <c r="H3521" s="322"/>
      <c r="I3521" s="322"/>
      <c r="J3521" s="242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</row>
    <row r="3522" spans="1:26" ht="15.75" hidden="1" customHeight="1" outlineLevel="2">
      <c r="A3522"/>
      <c r="B3522" s="249"/>
      <c r="C3522"/>
      <c r="D3522"/>
      <c r="E3522" s="321"/>
      <c r="F3522" s="242"/>
      <c r="G3522"/>
      <c r="H3522" s="322"/>
      <c r="I3522" s="322"/>
      <c r="J3522" s="242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</row>
    <row r="3523" spans="1:26" ht="15.75" hidden="1" customHeight="1" outlineLevel="2">
      <c r="A3523"/>
      <c r="B3523" s="249"/>
      <c r="C3523"/>
      <c r="D3523"/>
      <c r="E3523" s="321"/>
      <c r="F3523" s="242"/>
      <c r="G3523"/>
      <c r="H3523" s="322"/>
      <c r="I3523" s="322"/>
      <c r="J3523" s="242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</row>
    <row r="3524" spans="1:26" ht="15.75" hidden="1" customHeight="1" outlineLevel="2">
      <c r="A3524"/>
      <c r="B3524" s="249"/>
      <c r="C3524"/>
      <c r="D3524"/>
      <c r="E3524" s="321"/>
      <c r="F3524" s="242"/>
      <c r="G3524"/>
      <c r="H3524" s="322"/>
      <c r="I3524" s="322"/>
      <c r="J3524" s="242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</row>
    <row r="3525" spans="1:26" ht="15.75" hidden="1" customHeight="1" outlineLevel="2">
      <c r="A3525"/>
      <c r="B3525" s="249"/>
      <c r="C3525"/>
      <c r="D3525"/>
      <c r="E3525" s="321"/>
      <c r="F3525" s="242"/>
      <c r="G3525"/>
      <c r="H3525" s="322"/>
      <c r="I3525" s="322"/>
      <c r="J3525" s="242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</row>
    <row r="3526" spans="1:26" ht="15.75" hidden="1" customHeight="1" outlineLevel="2">
      <c r="A3526"/>
      <c r="B3526" s="249"/>
      <c r="C3526"/>
      <c r="D3526"/>
      <c r="E3526" s="321"/>
      <c r="F3526" s="242"/>
      <c r="G3526"/>
      <c r="H3526" s="322"/>
      <c r="I3526" s="322"/>
      <c r="J3526" s="242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</row>
    <row r="3527" spans="1:26" ht="15.75" hidden="1" customHeight="1" outlineLevel="2">
      <c r="A3527"/>
      <c r="B3527" s="249"/>
      <c r="C3527"/>
      <c r="D3527"/>
      <c r="E3527" s="321"/>
      <c r="F3527" s="242"/>
      <c r="G3527"/>
      <c r="H3527" s="322"/>
      <c r="I3527" s="322"/>
      <c r="J3527" s="242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</row>
    <row r="3528" spans="1:26" ht="15.75" hidden="1" customHeight="1" outlineLevel="2">
      <c r="A3528"/>
      <c r="B3528" s="249"/>
      <c r="C3528"/>
      <c r="D3528"/>
      <c r="E3528" s="321"/>
      <c r="F3528" s="242"/>
      <c r="G3528"/>
      <c r="H3528" s="322"/>
      <c r="I3528" s="322"/>
      <c r="J3528" s="242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</row>
    <row r="3529" spans="1:26" ht="15.75" hidden="1" customHeight="1" outlineLevel="2">
      <c r="A3529"/>
      <c r="B3529" s="249"/>
      <c r="C3529"/>
      <c r="D3529"/>
      <c r="E3529" s="321"/>
      <c r="F3529" s="242"/>
      <c r="G3529"/>
      <c r="H3529" s="322"/>
      <c r="I3529" s="322"/>
      <c r="J3529" s="242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</row>
    <row r="3530" spans="1:26" ht="15.75" hidden="1" customHeight="1" outlineLevel="2">
      <c r="A3530"/>
      <c r="B3530" s="249"/>
      <c r="C3530"/>
      <c r="D3530"/>
      <c r="E3530" s="321"/>
      <c r="F3530" s="242"/>
      <c r="G3530"/>
      <c r="H3530" s="322"/>
      <c r="I3530" s="322"/>
      <c r="J3530" s="242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</row>
    <row r="3531" spans="1:26" ht="15.75" hidden="1" customHeight="1" outlineLevel="2">
      <c r="A3531"/>
      <c r="B3531" s="249"/>
      <c r="C3531"/>
      <c r="D3531"/>
      <c r="E3531" s="321"/>
      <c r="F3531" s="242"/>
      <c r="G3531"/>
      <c r="H3531" s="322"/>
      <c r="I3531" s="322"/>
      <c r="J3531" s="242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</row>
    <row r="3532" spans="1:26" ht="15.75" hidden="1" customHeight="1" outlineLevel="2">
      <c r="A3532"/>
      <c r="B3532" s="249"/>
      <c r="C3532"/>
      <c r="D3532"/>
      <c r="E3532" s="321"/>
      <c r="F3532" s="242"/>
      <c r="G3532"/>
      <c r="H3532" s="322"/>
      <c r="I3532" s="322"/>
      <c r="J3532" s="242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</row>
    <row r="3533" spans="1:26" ht="15.75" hidden="1" customHeight="1" outlineLevel="2">
      <c r="A3533"/>
      <c r="B3533" s="249"/>
      <c r="C3533"/>
      <c r="D3533"/>
      <c r="E3533" s="321"/>
      <c r="F3533" s="242"/>
      <c r="G3533"/>
      <c r="H3533" s="322"/>
      <c r="I3533" s="322"/>
      <c r="J3533" s="242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</row>
    <row r="3534" spans="1:26" ht="15.75" hidden="1" customHeight="1" outlineLevel="2">
      <c r="A3534"/>
      <c r="B3534" s="249"/>
      <c r="C3534"/>
      <c r="D3534"/>
      <c r="E3534" s="321"/>
      <c r="F3534" s="242"/>
      <c r="G3534"/>
      <c r="H3534" s="322"/>
      <c r="I3534" s="322"/>
      <c r="J3534" s="242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</row>
    <row r="3535" spans="1:26" ht="15.75" hidden="1" customHeight="1" outlineLevel="2">
      <c r="A3535"/>
      <c r="B3535" s="249"/>
      <c r="C3535"/>
      <c r="D3535"/>
      <c r="E3535" s="321"/>
      <c r="F3535" s="242"/>
      <c r="G3535"/>
      <c r="H3535" s="322"/>
      <c r="I3535" s="322"/>
      <c r="J3535" s="242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</row>
    <row r="3536" spans="1:26" ht="15.75" hidden="1" customHeight="1" outlineLevel="2">
      <c r="A3536"/>
      <c r="B3536" s="249"/>
      <c r="C3536"/>
      <c r="D3536"/>
      <c r="E3536" s="321"/>
      <c r="F3536" s="242"/>
      <c r="G3536"/>
      <c r="H3536" s="322"/>
      <c r="I3536" s="322"/>
      <c r="J3536" s="242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</row>
    <row r="3537" spans="1:26" ht="15.75" hidden="1" customHeight="1" outlineLevel="2">
      <c r="A3537"/>
      <c r="B3537" s="249"/>
      <c r="C3537"/>
      <c r="D3537"/>
      <c r="E3537" s="321"/>
      <c r="F3537" s="242"/>
      <c r="G3537"/>
      <c r="H3537" s="322"/>
      <c r="I3537" s="322"/>
      <c r="J3537" s="242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</row>
    <row r="3538" spans="1:26" ht="15.75" hidden="1" customHeight="1" outlineLevel="2">
      <c r="A3538"/>
      <c r="B3538" s="249"/>
      <c r="C3538"/>
      <c r="D3538"/>
      <c r="E3538" s="321"/>
      <c r="F3538" s="242"/>
      <c r="G3538"/>
      <c r="H3538" s="322"/>
      <c r="I3538" s="322"/>
      <c r="J3538" s="242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</row>
    <row r="3539" spans="1:26" ht="15.75" hidden="1" customHeight="1" outlineLevel="2">
      <c r="A3539"/>
      <c r="B3539" s="249"/>
      <c r="C3539"/>
      <c r="D3539"/>
      <c r="E3539" s="321"/>
      <c r="F3539" s="242"/>
      <c r="G3539"/>
      <c r="H3539" s="322"/>
      <c r="I3539" s="322"/>
      <c r="J3539" s="242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</row>
    <row r="3540" spans="1:26" ht="15.75" hidden="1" customHeight="1" outlineLevel="2">
      <c r="A3540"/>
      <c r="B3540" s="249"/>
      <c r="C3540"/>
      <c r="D3540"/>
      <c r="E3540" s="321"/>
      <c r="F3540" s="242"/>
      <c r="G3540"/>
      <c r="H3540" s="322"/>
      <c r="I3540" s="322"/>
      <c r="J3540" s="242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</row>
    <row r="3541" spans="1:26" ht="15.75" hidden="1" customHeight="1" outlineLevel="2">
      <c r="A3541"/>
      <c r="B3541" s="249"/>
      <c r="C3541"/>
      <c r="D3541"/>
      <c r="E3541" s="321"/>
      <c r="F3541" s="242"/>
      <c r="G3541"/>
      <c r="H3541" s="322"/>
      <c r="I3541" s="322"/>
      <c r="J3541" s="242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</row>
    <row r="3542" spans="1:26" ht="15.75" hidden="1" customHeight="1" outlineLevel="2">
      <c r="A3542"/>
      <c r="B3542" s="249"/>
      <c r="C3542"/>
      <c r="D3542"/>
      <c r="E3542" s="321"/>
      <c r="F3542" s="242"/>
      <c r="G3542"/>
      <c r="H3542" s="322"/>
      <c r="I3542" s="322"/>
      <c r="J3542" s="242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</row>
    <row r="3543" spans="1:26" ht="15.75" hidden="1" customHeight="1" outlineLevel="2">
      <c r="A3543"/>
      <c r="B3543" s="249"/>
      <c r="C3543"/>
      <c r="D3543"/>
      <c r="E3543" s="321"/>
      <c r="F3543" s="242"/>
      <c r="G3543"/>
      <c r="H3543" s="322"/>
      <c r="I3543" s="322"/>
      <c r="J3543" s="242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</row>
    <row r="3544" spans="1:26" ht="15.75" hidden="1" customHeight="1" outlineLevel="2">
      <c r="A3544"/>
      <c r="B3544" s="249"/>
      <c r="C3544"/>
      <c r="D3544"/>
      <c r="E3544" s="321"/>
      <c r="F3544" s="242"/>
      <c r="G3544"/>
      <c r="H3544" s="322"/>
      <c r="I3544" s="322"/>
      <c r="J3544" s="242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</row>
    <row r="3545" spans="1:26" ht="15.75" hidden="1" customHeight="1" outlineLevel="2">
      <c r="A3545"/>
      <c r="B3545" s="249"/>
      <c r="C3545"/>
      <c r="D3545"/>
      <c r="E3545" s="321"/>
      <c r="F3545" s="242"/>
      <c r="G3545"/>
      <c r="H3545" s="322"/>
      <c r="I3545" s="322"/>
      <c r="J3545" s="242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</row>
    <row r="3546" spans="1:26" ht="15.75" hidden="1" customHeight="1" outlineLevel="2">
      <c r="A3546"/>
      <c r="B3546" s="249"/>
      <c r="C3546"/>
      <c r="D3546"/>
      <c r="E3546" s="321"/>
      <c r="F3546" s="242"/>
      <c r="G3546"/>
      <c r="H3546" s="322"/>
      <c r="I3546" s="322"/>
      <c r="J3546" s="242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</row>
    <row r="3547" spans="1:26" ht="15.75" hidden="1" customHeight="1" outlineLevel="2">
      <c r="A3547"/>
      <c r="B3547" s="249"/>
      <c r="C3547"/>
      <c r="D3547"/>
      <c r="E3547" s="321"/>
      <c r="F3547" s="242"/>
      <c r="G3547"/>
      <c r="H3547" s="322"/>
      <c r="I3547" s="322"/>
      <c r="J3547" s="242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</row>
    <row r="3548" spans="1:26" ht="15.75" hidden="1" customHeight="1" outlineLevel="2">
      <c r="A3548"/>
      <c r="B3548" s="249"/>
      <c r="C3548"/>
      <c r="D3548"/>
      <c r="E3548" s="321"/>
      <c r="F3548" s="242"/>
      <c r="G3548"/>
      <c r="H3548" s="322"/>
      <c r="I3548" s="322"/>
      <c r="J3548" s="242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</row>
    <row r="3549" spans="1:26" ht="15.75" hidden="1" customHeight="1" outlineLevel="2">
      <c r="A3549"/>
      <c r="B3549" s="249"/>
      <c r="C3549"/>
      <c r="D3549"/>
      <c r="E3549" s="321"/>
      <c r="F3549" s="242"/>
      <c r="G3549"/>
      <c r="H3549" s="322"/>
      <c r="I3549" s="322"/>
      <c r="J3549" s="242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</row>
    <row r="3550" spans="1:26" ht="15.75" hidden="1" customHeight="1" outlineLevel="2">
      <c r="A3550"/>
      <c r="B3550" s="249"/>
      <c r="C3550"/>
      <c r="D3550"/>
      <c r="E3550" s="321"/>
      <c r="F3550" s="242"/>
      <c r="G3550"/>
      <c r="H3550" s="322"/>
      <c r="I3550" s="322"/>
      <c r="J3550" s="242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</row>
    <row r="3551" spans="1:26" ht="15.75" hidden="1" customHeight="1" outlineLevel="2">
      <c r="A3551"/>
      <c r="B3551" s="249"/>
      <c r="C3551"/>
      <c r="D3551"/>
      <c r="E3551" s="321"/>
      <c r="F3551" s="242"/>
      <c r="G3551"/>
      <c r="H3551" s="322"/>
      <c r="I3551" s="322"/>
      <c r="J3551" s="242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</row>
    <row r="3552" spans="1:26" ht="15.75" hidden="1" customHeight="1" outlineLevel="2">
      <c r="A3552"/>
      <c r="B3552" s="249"/>
      <c r="C3552"/>
      <c r="D3552"/>
      <c r="E3552" s="321"/>
      <c r="F3552" s="242"/>
      <c r="G3552"/>
      <c r="H3552" s="322"/>
      <c r="I3552" s="322"/>
      <c r="J3552" s="242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</row>
    <row r="3553" spans="1:26" ht="15.75" hidden="1" customHeight="1" outlineLevel="2">
      <c r="A3553"/>
      <c r="B3553" s="249"/>
      <c r="C3553"/>
      <c r="D3553"/>
      <c r="E3553" s="321"/>
      <c r="F3553" s="242"/>
      <c r="G3553"/>
      <c r="H3553" s="322"/>
      <c r="I3553" s="322"/>
      <c r="J3553" s="242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</row>
    <row r="3554" spans="1:26" ht="15.75" hidden="1" customHeight="1" outlineLevel="2">
      <c r="A3554"/>
      <c r="B3554" s="249"/>
      <c r="C3554"/>
      <c r="D3554"/>
      <c r="E3554" s="321"/>
      <c r="F3554" s="242"/>
      <c r="G3554"/>
      <c r="H3554" s="322"/>
      <c r="I3554" s="322"/>
      <c r="J3554" s="242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</row>
    <row r="3555" spans="1:26" ht="15.75" hidden="1" customHeight="1" outlineLevel="2">
      <c r="A3555"/>
      <c r="B3555" s="249"/>
      <c r="C3555"/>
      <c r="D3555"/>
      <c r="E3555" s="321"/>
      <c r="F3555" s="242"/>
      <c r="G3555"/>
      <c r="H3555" s="322"/>
      <c r="I3555" s="322"/>
      <c r="J3555" s="242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</row>
    <row r="3556" spans="1:26" ht="15.75" hidden="1" customHeight="1" outlineLevel="2">
      <c r="A3556"/>
      <c r="B3556" s="249"/>
      <c r="C3556"/>
      <c r="D3556"/>
      <c r="E3556" s="321"/>
      <c r="F3556" s="242"/>
      <c r="G3556"/>
      <c r="H3556" s="322"/>
      <c r="I3556" s="322"/>
      <c r="J3556" s="242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</row>
    <row r="3557" spans="1:26" ht="15.75" hidden="1" customHeight="1" outlineLevel="2">
      <c r="A3557"/>
      <c r="B3557" s="249"/>
      <c r="C3557"/>
      <c r="D3557"/>
      <c r="E3557" s="321"/>
      <c r="F3557" s="242"/>
      <c r="G3557"/>
      <c r="H3557" s="322"/>
      <c r="I3557" s="322"/>
      <c r="J3557" s="242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</row>
    <row r="3558" spans="1:26" ht="15.75" hidden="1" customHeight="1" outlineLevel="2">
      <c r="A3558"/>
      <c r="B3558" s="249"/>
      <c r="C3558"/>
      <c r="D3558"/>
      <c r="E3558" s="321"/>
      <c r="F3558" s="242"/>
      <c r="G3558"/>
      <c r="H3558" s="322"/>
      <c r="I3558" s="322"/>
      <c r="J3558" s="242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</row>
    <row r="3559" spans="1:26" ht="15.75" hidden="1" customHeight="1" outlineLevel="2">
      <c r="A3559"/>
      <c r="B3559" s="249"/>
      <c r="C3559"/>
      <c r="D3559"/>
      <c r="E3559" s="321"/>
      <c r="F3559" s="242"/>
      <c r="G3559"/>
      <c r="H3559" s="322"/>
      <c r="I3559" s="322"/>
      <c r="J3559" s="242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</row>
    <row r="3560" spans="1:26" ht="15.75" hidden="1" customHeight="1" outlineLevel="2">
      <c r="A3560"/>
      <c r="B3560" s="249"/>
      <c r="C3560"/>
      <c r="D3560"/>
      <c r="E3560" s="321"/>
      <c r="F3560" s="242"/>
      <c r="G3560"/>
      <c r="H3560" s="322"/>
      <c r="I3560" s="322"/>
      <c r="J3560" s="242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</row>
    <row r="3561" spans="1:26" ht="15.75" hidden="1" customHeight="1" outlineLevel="2">
      <c r="A3561"/>
      <c r="B3561" s="249"/>
      <c r="C3561"/>
      <c r="D3561"/>
      <c r="E3561" s="321"/>
      <c r="F3561" s="242"/>
      <c r="G3561"/>
      <c r="H3561" s="322"/>
      <c r="I3561" s="322"/>
      <c r="J3561" s="242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</row>
    <row r="3562" spans="1:26" ht="15.75" hidden="1" customHeight="1" outlineLevel="2">
      <c r="A3562"/>
      <c r="B3562" s="249"/>
      <c r="C3562"/>
      <c r="D3562"/>
      <c r="E3562" s="321"/>
      <c r="F3562" s="242"/>
      <c r="G3562"/>
      <c r="H3562" s="322"/>
      <c r="I3562" s="322"/>
      <c r="J3562" s="242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</row>
    <row r="3563" spans="1:26" ht="15.75" hidden="1" customHeight="1" outlineLevel="2">
      <c r="A3563"/>
      <c r="B3563" s="249"/>
      <c r="C3563"/>
      <c r="D3563"/>
      <c r="E3563" s="321"/>
      <c r="F3563" s="242"/>
      <c r="G3563"/>
      <c r="H3563" s="322"/>
      <c r="I3563" s="322"/>
      <c r="J3563" s="242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</row>
    <row r="3564" spans="1:26" ht="15.75" hidden="1" customHeight="1" outlineLevel="2">
      <c r="A3564"/>
      <c r="B3564" s="249"/>
      <c r="C3564"/>
      <c r="D3564"/>
      <c r="E3564" s="321"/>
      <c r="F3564" s="242"/>
      <c r="G3564"/>
      <c r="H3564" s="322"/>
      <c r="I3564" s="322"/>
      <c r="J3564" s="242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</row>
    <row r="3565" spans="1:26" ht="15.75" hidden="1" customHeight="1" outlineLevel="2">
      <c r="A3565"/>
      <c r="B3565" s="249"/>
      <c r="C3565"/>
      <c r="D3565"/>
      <c r="E3565" s="321"/>
      <c r="F3565" s="242"/>
      <c r="G3565"/>
      <c r="H3565" s="322"/>
      <c r="I3565" s="322"/>
      <c r="J3565" s="242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</row>
    <row r="3566" spans="1:26" ht="15.75" hidden="1" customHeight="1" outlineLevel="2">
      <c r="A3566"/>
      <c r="B3566" s="249"/>
      <c r="C3566"/>
      <c r="D3566"/>
      <c r="E3566" s="321"/>
      <c r="F3566" s="242"/>
      <c r="G3566"/>
      <c r="H3566" s="322"/>
      <c r="I3566" s="322"/>
      <c r="J3566" s="242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</row>
    <row r="3567" spans="1:26" ht="15.75" hidden="1" customHeight="1" outlineLevel="2">
      <c r="A3567"/>
      <c r="B3567" s="249"/>
      <c r="C3567"/>
      <c r="D3567"/>
      <c r="E3567" s="321"/>
      <c r="F3567" s="242"/>
      <c r="G3567"/>
      <c r="H3567" s="322"/>
      <c r="I3567" s="322"/>
      <c r="J3567" s="242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</row>
    <row r="3568" spans="1:26" ht="15.75" hidden="1" customHeight="1" outlineLevel="2">
      <c r="A3568"/>
      <c r="B3568" s="249"/>
      <c r="C3568"/>
      <c r="D3568"/>
      <c r="E3568" s="321"/>
      <c r="F3568" s="242"/>
      <c r="G3568"/>
      <c r="H3568" s="322"/>
      <c r="I3568" s="322"/>
      <c r="J3568" s="242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</row>
    <row r="3569" spans="1:26" ht="15.75" hidden="1" customHeight="1" outlineLevel="2">
      <c r="A3569"/>
      <c r="B3569" s="249"/>
      <c r="C3569"/>
      <c r="D3569"/>
      <c r="E3569" s="321"/>
      <c r="F3569" s="242"/>
      <c r="G3569"/>
      <c r="H3569" s="322"/>
      <c r="I3569" s="322"/>
      <c r="J3569" s="242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</row>
    <row r="3570" spans="1:26" ht="15.75" hidden="1" customHeight="1" outlineLevel="2">
      <c r="A3570"/>
      <c r="B3570" s="249"/>
      <c r="C3570"/>
      <c r="D3570"/>
      <c r="E3570" s="321"/>
      <c r="F3570" s="242"/>
      <c r="G3570"/>
      <c r="H3570" s="322"/>
      <c r="I3570" s="322"/>
      <c r="J3570" s="242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</row>
    <row r="3571" spans="1:26" ht="15.75" hidden="1" customHeight="1" outlineLevel="2">
      <c r="A3571"/>
      <c r="B3571" s="249"/>
      <c r="C3571"/>
      <c r="D3571"/>
      <c r="E3571" s="321"/>
      <c r="F3571" s="242"/>
      <c r="G3571"/>
      <c r="H3571" s="322"/>
      <c r="I3571" s="322"/>
      <c r="J3571" s="242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</row>
    <row r="3572" spans="1:26" ht="15.75" hidden="1" customHeight="1" outlineLevel="2">
      <c r="A3572"/>
      <c r="B3572" s="249"/>
      <c r="C3572"/>
      <c r="D3572"/>
      <c r="E3572" s="321"/>
      <c r="F3572" s="242"/>
      <c r="G3572"/>
      <c r="H3572" s="322"/>
      <c r="I3572" s="322"/>
      <c r="J3572" s="242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</row>
    <row r="3573" spans="1:26" ht="15.75" hidden="1" customHeight="1" outlineLevel="2">
      <c r="A3573"/>
      <c r="B3573" s="249"/>
      <c r="C3573"/>
      <c r="D3573"/>
      <c r="E3573" s="321"/>
      <c r="F3573" s="242"/>
      <c r="G3573"/>
      <c r="H3573" s="322"/>
      <c r="I3573" s="322"/>
      <c r="J3573" s="242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</row>
    <row r="3574" spans="1:26" ht="15.75" hidden="1" customHeight="1" outlineLevel="2">
      <c r="A3574"/>
      <c r="B3574" s="249"/>
      <c r="C3574"/>
      <c r="D3574"/>
      <c r="E3574" s="321"/>
      <c r="F3574" s="242"/>
      <c r="G3574"/>
      <c r="H3574" s="322"/>
      <c r="I3574" s="322"/>
      <c r="J3574" s="242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</row>
    <row r="3575" spans="1:26" ht="15.75" hidden="1" customHeight="1" outlineLevel="2">
      <c r="A3575"/>
      <c r="B3575" s="249"/>
      <c r="C3575"/>
      <c r="D3575"/>
      <c r="E3575" s="321"/>
      <c r="F3575" s="242"/>
      <c r="G3575"/>
      <c r="H3575" s="322"/>
      <c r="I3575" s="322"/>
      <c r="J3575" s="242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</row>
    <row r="3576" spans="1:26" ht="15.75" hidden="1" customHeight="1" outlineLevel="2">
      <c r="A3576"/>
      <c r="B3576" s="249"/>
      <c r="C3576"/>
      <c r="D3576"/>
      <c r="E3576" s="321"/>
      <c r="F3576" s="242"/>
      <c r="G3576"/>
      <c r="H3576" s="322"/>
      <c r="I3576" s="322"/>
      <c r="J3576" s="242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</row>
    <row r="3577" spans="1:26" ht="15.75" hidden="1" customHeight="1" outlineLevel="2">
      <c r="A3577"/>
      <c r="B3577" s="249"/>
      <c r="C3577"/>
      <c r="D3577"/>
      <c r="E3577" s="321"/>
      <c r="F3577" s="242"/>
      <c r="G3577"/>
      <c r="H3577" s="322"/>
      <c r="I3577" s="322"/>
      <c r="J3577" s="242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</row>
    <row r="3578" spans="1:26" ht="15.75" hidden="1" customHeight="1" outlineLevel="2">
      <c r="A3578"/>
      <c r="B3578" s="249"/>
      <c r="C3578"/>
      <c r="D3578"/>
      <c r="E3578" s="321"/>
      <c r="F3578" s="242"/>
      <c r="G3578"/>
      <c r="H3578" s="322"/>
      <c r="I3578" s="322"/>
      <c r="J3578" s="242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</row>
    <row r="3579" spans="1:26" ht="15.75" hidden="1" customHeight="1" outlineLevel="2">
      <c r="A3579"/>
      <c r="B3579" s="249"/>
      <c r="C3579"/>
      <c r="D3579"/>
      <c r="E3579" s="321"/>
      <c r="F3579" s="242"/>
      <c r="G3579"/>
      <c r="H3579" s="322"/>
      <c r="I3579" s="322"/>
      <c r="J3579" s="242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</row>
    <row r="3580" spans="1:26" ht="15.75" hidden="1" customHeight="1" outlineLevel="2">
      <c r="A3580"/>
      <c r="B3580" s="249"/>
      <c r="C3580"/>
      <c r="D3580"/>
      <c r="E3580" s="321"/>
      <c r="F3580" s="242"/>
      <c r="G3580"/>
      <c r="H3580" s="322"/>
      <c r="I3580" s="322"/>
      <c r="J3580" s="242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</row>
    <row r="3581" spans="1:26" ht="15.75" hidden="1" customHeight="1" outlineLevel="2">
      <c r="A3581"/>
      <c r="B3581" s="249"/>
      <c r="C3581"/>
      <c r="D3581"/>
      <c r="E3581" s="321"/>
      <c r="F3581" s="242"/>
      <c r="G3581"/>
      <c r="H3581" s="322"/>
      <c r="I3581" s="322"/>
      <c r="J3581" s="242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</row>
    <row r="3582" spans="1:26" ht="15.75" hidden="1" customHeight="1" outlineLevel="2">
      <c r="A3582"/>
      <c r="B3582" s="249"/>
      <c r="C3582"/>
      <c r="D3582"/>
      <c r="E3582" s="321"/>
      <c r="F3582" s="242"/>
      <c r="G3582"/>
      <c r="H3582" s="322"/>
      <c r="I3582" s="322"/>
      <c r="J3582" s="242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</row>
    <row r="3583" spans="1:26" ht="15.75" hidden="1" customHeight="1" outlineLevel="2">
      <c r="A3583"/>
      <c r="B3583" s="249"/>
      <c r="C3583"/>
      <c r="D3583"/>
      <c r="E3583" s="321"/>
      <c r="F3583" s="242"/>
      <c r="G3583"/>
      <c r="H3583" s="322"/>
      <c r="I3583" s="322"/>
      <c r="J3583" s="242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</row>
    <row r="3584" spans="1:26" ht="15.75" hidden="1" customHeight="1" outlineLevel="2">
      <c r="A3584"/>
      <c r="B3584" s="249"/>
      <c r="C3584"/>
      <c r="D3584"/>
      <c r="E3584" s="321"/>
      <c r="F3584" s="242"/>
      <c r="G3584"/>
      <c r="H3584" s="322"/>
      <c r="I3584" s="322"/>
      <c r="J3584" s="242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</row>
    <row r="3585" spans="1:26" ht="15.75" hidden="1" customHeight="1" outlineLevel="2">
      <c r="A3585"/>
      <c r="B3585" s="249"/>
      <c r="C3585"/>
      <c r="D3585"/>
      <c r="E3585" s="321"/>
      <c r="F3585" s="242"/>
      <c r="G3585"/>
      <c r="H3585" s="322"/>
      <c r="I3585" s="322"/>
      <c r="J3585" s="242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</row>
    <row r="3586" spans="1:26" ht="15.75" hidden="1" customHeight="1" outlineLevel="2">
      <c r="A3586"/>
      <c r="B3586" s="249"/>
      <c r="C3586"/>
      <c r="D3586"/>
      <c r="E3586" s="321"/>
      <c r="F3586" s="242"/>
      <c r="G3586"/>
      <c r="H3586" s="322"/>
      <c r="I3586" s="322"/>
      <c r="J3586" s="242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</row>
    <row r="3587" spans="1:26" ht="15.75" hidden="1" customHeight="1" outlineLevel="2">
      <c r="A3587"/>
      <c r="B3587" s="249"/>
      <c r="C3587"/>
      <c r="D3587"/>
      <c r="E3587" s="321"/>
      <c r="F3587" s="242"/>
      <c r="G3587"/>
      <c r="H3587" s="322"/>
      <c r="I3587" s="322"/>
      <c r="J3587" s="242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</row>
    <row r="3588" spans="1:26" ht="15.75" hidden="1" customHeight="1" outlineLevel="2">
      <c r="A3588"/>
      <c r="B3588" s="249"/>
      <c r="C3588"/>
      <c r="D3588"/>
      <c r="E3588" s="321"/>
      <c r="F3588" s="242"/>
      <c r="G3588"/>
      <c r="H3588" s="322"/>
      <c r="I3588" s="322"/>
      <c r="J3588" s="242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</row>
    <row r="3589" spans="1:26" ht="15.75" hidden="1" customHeight="1" outlineLevel="2">
      <c r="A3589"/>
      <c r="B3589" s="249"/>
      <c r="C3589"/>
      <c r="D3589"/>
      <c r="E3589" s="321"/>
      <c r="F3589" s="242"/>
      <c r="G3589"/>
      <c r="H3589" s="322"/>
      <c r="I3589" s="322"/>
      <c r="J3589" s="242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</row>
    <row r="3590" spans="1:26" ht="15.75" hidden="1" customHeight="1" outlineLevel="2">
      <c r="A3590"/>
      <c r="B3590" s="249"/>
      <c r="C3590"/>
      <c r="D3590"/>
      <c r="E3590" s="321"/>
      <c r="F3590" s="242"/>
      <c r="G3590"/>
      <c r="H3590" s="322"/>
      <c r="I3590" s="322"/>
      <c r="J3590" s="242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</row>
    <row r="3591" spans="1:26" ht="15.75" hidden="1" customHeight="1" outlineLevel="2">
      <c r="A3591"/>
      <c r="B3591" s="249"/>
      <c r="C3591"/>
      <c r="D3591"/>
      <c r="E3591" s="321"/>
      <c r="F3591" s="242"/>
      <c r="G3591"/>
      <c r="H3591" s="322"/>
      <c r="I3591" s="322"/>
      <c r="J3591" s="242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</row>
    <row r="3592" spans="1:26" ht="15.75" hidden="1" customHeight="1" outlineLevel="2">
      <c r="A3592"/>
      <c r="B3592" s="249"/>
      <c r="C3592"/>
      <c r="D3592"/>
      <c r="E3592" s="321"/>
      <c r="F3592" s="242"/>
      <c r="G3592"/>
      <c r="H3592" s="322"/>
      <c r="I3592" s="322"/>
      <c r="J3592" s="242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</row>
    <row r="3593" spans="1:26" ht="15.75" hidden="1" customHeight="1" outlineLevel="2">
      <c r="A3593"/>
      <c r="B3593" s="249"/>
      <c r="C3593"/>
      <c r="D3593"/>
      <c r="E3593" s="321"/>
      <c r="F3593" s="242"/>
      <c r="G3593"/>
      <c r="H3593" s="322"/>
      <c r="I3593" s="322"/>
      <c r="J3593" s="242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</row>
    <row r="3594" spans="1:26" ht="15.75" hidden="1" customHeight="1" outlineLevel="2">
      <c r="A3594"/>
      <c r="B3594" s="249"/>
      <c r="C3594"/>
      <c r="D3594"/>
      <c r="E3594" s="321"/>
      <c r="F3594" s="242"/>
      <c r="G3594"/>
      <c r="H3594" s="322"/>
      <c r="I3594" s="322"/>
      <c r="J3594" s="242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</row>
    <row r="3595" spans="1:26" ht="15.75" hidden="1" customHeight="1" outlineLevel="2">
      <c r="A3595"/>
      <c r="B3595" s="249"/>
      <c r="C3595"/>
      <c r="D3595"/>
      <c r="E3595" s="321"/>
      <c r="F3595" s="242"/>
      <c r="G3595"/>
      <c r="H3595" s="322"/>
      <c r="I3595" s="322"/>
      <c r="J3595" s="242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</row>
    <row r="3596" spans="1:26" ht="15.75" hidden="1" customHeight="1" outlineLevel="2">
      <c r="A3596"/>
      <c r="B3596" s="249"/>
      <c r="C3596"/>
      <c r="D3596"/>
      <c r="E3596" s="321"/>
      <c r="F3596" s="242"/>
      <c r="G3596"/>
      <c r="H3596" s="322"/>
      <c r="I3596" s="322"/>
      <c r="J3596" s="242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</row>
    <row r="3597" spans="1:26" ht="15.75" hidden="1" customHeight="1" outlineLevel="2">
      <c r="A3597"/>
      <c r="B3597" s="249"/>
      <c r="C3597"/>
      <c r="D3597"/>
      <c r="E3597" s="321"/>
      <c r="F3597" s="242"/>
      <c r="G3597"/>
      <c r="H3597" s="322"/>
      <c r="I3597" s="322"/>
      <c r="J3597" s="242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</row>
    <row r="3598" spans="1:26" ht="15.75" hidden="1" customHeight="1" outlineLevel="2">
      <c r="A3598"/>
      <c r="B3598" s="249"/>
      <c r="C3598"/>
      <c r="D3598"/>
      <c r="E3598" s="321"/>
      <c r="F3598" s="242"/>
      <c r="G3598"/>
      <c r="H3598" s="322"/>
      <c r="I3598" s="322"/>
      <c r="J3598" s="242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</row>
    <row r="3599" spans="1:26" ht="15.75" hidden="1" customHeight="1" outlineLevel="2">
      <c r="A3599"/>
      <c r="B3599" s="249"/>
      <c r="C3599"/>
      <c r="D3599"/>
      <c r="E3599" s="321"/>
      <c r="F3599" s="242"/>
      <c r="G3599"/>
      <c r="H3599" s="322"/>
      <c r="I3599" s="322"/>
      <c r="J3599" s="242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</row>
    <row r="3600" spans="1:26" ht="15.75" hidden="1" customHeight="1" outlineLevel="2">
      <c r="A3600"/>
      <c r="B3600" s="249"/>
      <c r="C3600"/>
      <c r="D3600"/>
      <c r="E3600" s="321"/>
      <c r="F3600" s="242"/>
      <c r="G3600"/>
      <c r="H3600" s="322"/>
      <c r="I3600" s="322"/>
      <c r="J3600" s="242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</row>
    <row r="3601" spans="1:26" ht="15.75" hidden="1" customHeight="1" outlineLevel="2">
      <c r="A3601"/>
      <c r="B3601" s="249"/>
      <c r="C3601"/>
      <c r="D3601"/>
      <c r="E3601" s="321"/>
      <c r="F3601" s="242"/>
      <c r="G3601"/>
      <c r="H3601" s="322"/>
      <c r="I3601" s="322"/>
      <c r="J3601" s="242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</row>
    <row r="3602" spans="1:26" ht="15.75" hidden="1" customHeight="1" outlineLevel="2">
      <c r="A3602"/>
      <c r="B3602" s="249"/>
      <c r="C3602"/>
      <c r="D3602"/>
      <c r="E3602" s="321"/>
      <c r="F3602" s="242"/>
      <c r="G3602"/>
      <c r="H3602" s="322"/>
      <c r="I3602" s="322"/>
      <c r="J3602" s="242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</row>
    <row r="3603" spans="1:26" ht="15.75" hidden="1" customHeight="1" outlineLevel="2">
      <c r="A3603"/>
      <c r="B3603" s="249"/>
      <c r="C3603"/>
      <c r="D3603"/>
      <c r="E3603" s="321"/>
      <c r="F3603" s="242"/>
      <c r="G3603"/>
      <c r="H3603" s="322"/>
      <c r="I3603" s="322"/>
      <c r="J3603" s="242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</row>
    <row r="3604" spans="1:26" ht="15.75" hidden="1" customHeight="1" outlineLevel="2">
      <c r="A3604"/>
      <c r="B3604" s="249"/>
      <c r="C3604"/>
      <c r="D3604"/>
      <c r="E3604" s="321"/>
      <c r="F3604" s="242"/>
      <c r="G3604"/>
      <c r="H3604" s="322"/>
      <c r="I3604" s="322"/>
      <c r="J3604" s="242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</row>
    <row r="3605" spans="1:26" ht="15.75" hidden="1" customHeight="1" outlineLevel="2">
      <c r="A3605"/>
      <c r="B3605" s="249"/>
      <c r="C3605"/>
      <c r="D3605"/>
      <c r="E3605" s="321"/>
      <c r="F3605" s="242"/>
      <c r="G3605"/>
      <c r="H3605" s="322"/>
      <c r="I3605" s="322"/>
      <c r="J3605" s="242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</row>
    <row r="3606" spans="1:26" ht="15.75" hidden="1" customHeight="1" outlineLevel="2">
      <c r="A3606"/>
      <c r="B3606" s="249"/>
      <c r="C3606"/>
      <c r="D3606"/>
      <c r="E3606" s="321"/>
      <c r="F3606" s="242"/>
      <c r="G3606"/>
      <c r="H3606" s="322"/>
      <c r="I3606" s="322"/>
      <c r="J3606" s="242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</row>
    <row r="3607" spans="1:26" ht="15.75" hidden="1" customHeight="1" outlineLevel="2">
      <c r="A3607"/>
      <c r="B3607" s="249"/>
      <c r="C3607"/>
      <c r="D3607"/>
      <c r="E3607" s="321"/>
      <c r="F3607" s="242"/>
      <c r="G3607"/>
      <c r="H3607" s="322"/>
      <c r="I3607" s="322"/>
      <c r="J3607" s="242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</row>
    <row r="3608" spans="1:26" ht="15.75" hidden="1" customHeight="1" outlineLevel="2">
      <c r="A3608"/>
      <c r="B3608" s="249"/>
      <c r="C3608"/>
      <c r="D3608"/>
      <c r="E3608" s="321"/>
      <c r="F3608" s="242"/>
      <c r="G3608"/>
      <c r="H3608" s="322"/>
      <c r="I3608" s="322"/>
      <c r="J3608" s="242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</row>
    <row r="3609" spans="1:26" ht="15.75" hidden="1" customHeight="1" outlineLevel="2">
      <c r="A3609"/>
      <c r="B3609" s="249"/>
      <c r="C3609"/>
      <c r="D3609"/>
      <c r="E3609" s="321"/>
      <c r="F3609" s="242"/>
      <c r="G3609"/>
      <c r="H3609" s="322"/>
      <c r="I3609" s="322"/>
      <c r="J3609" s="242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</row>
    <row r="3610" spans="1:26" ht="15.75" hidden="1" customHeight="1" outlineLevel="2">
      <c r="A3610"/>
      <c r="B3610" s="249"/>
      <c r="C3610"/>
      <c r="D3610"/>
      <c r="E3610" s="321"/>
      <c r="F3610" s="242"/>
      <c r="G3610"/>
      <c r="H3610" s="322"/>
      <c r="I3610" s="322"/>
      <c r="J3610" s="242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</row>
    <row r="3611" spans="1:26" ht="15.75" hidden="1" customHeight="1" outlineLevel="2">
      <c r="A3611"/>
      <c r="B3611" s="249"/>
      <c r="C3611"/>
      <c r="D3611"/>
      <c r="E3611" s="321"/>
      <c r="F3611" s="242"/>
      <c r="G3611"/>
      <c r="H3611" s="322"/>
      <c r="I3611" s="322"/>
      <c r="J3611" s="242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</row>
    <row r="3612" spans="1:26" ht="15.75" hidden="1" customHeight="1" outlineLevel="2">
      <c r="A3612"/>
      <c r="B3612" s="249"/>
      <c r="C3612"/>
      <c r="D3612"/>
      <c r="E3612" s="321"/>
      <c r="F3612" s="242"/>
      <c r="G3612"/>
      <c r="H3612" s="322"/>
      <c r="I3612" s="322"/>
      <c r="J3612" s="242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</row>
    <row r="3613" spans="1:26" ht="15.75" hidden="1" customHeight="1" outlineLevel="2">
      <c r="A3613"/>
      <c r="B3613" s="249"/>
      <c r="C3613"/>
      <c r="D3613"/>
      <c r="E3613" s="321"/>
      <c r="F3613" s="242"/>
      <c r="G3613"/>
      <c r="H3613" s="322"/>
      <c r="I3613" s="322"/>
      <c r="J3613" s="242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</row>
    <row r="3614" spans="1:26" ht="15.75" hidden="1" customHeight="1" outlineLevel="2">
      <c r="A3614"/>
      <c r="B3614" s="249"/>
      <c r="C3614"/>
      <c r="D3614"/>
      <c r="E3614" s="321"/>
      <c r="F3614" s="242"/>
      <c r="G3614"/>
      <c r="H3614" s="322"/>
      <c r="I3614" s="322"/>
      <c r="J3614" s="242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</row>
    <row r="3615" spans="1:26" ht="15.75" hidden="1" customHeight="1" outlineLevel="2">
      <c r="A3615"/>
      <c r="B3615" s="249"/>
      <c r="C3615"/>
      <c r="D3615"/>
      <c r="E3615" s="321"/>
      <c r="F3615" s="242"/>
      <c r="G3615"/>
      <c r="H3615" s="322"/>
      <c r="I3615" s="322"/>
      <c r="J3615" s="242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</row>
    <row r="3616" spans="1:26" ht="15.75" hidden="1" customHeight="1" outlineLevel="2">
      <c r="A3616"/>
      <c r="B3616" s="249"/>
      <c r="C3616"/>
      <c r="D3616"/>
      <c r="E3616" s="321"/>
      <c r="F3616" s="242"/>
      <c r="G3616"/>
      <c r="H3616" s="322"/>
      <c r="I3616" s="322"/>
      <c r="J3616" s="242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</row>
    <row r="3617" spans="1:26" ht="15.75" hidden="1" customHeight="1" outlineLevel="2">
      <c r="A3617"/>
      <c r="B3617" s="249"/>
      <c r="C3617"/>
      <c r="D3617"/>
      <c r="E3617" s="321"/>
      <c r="F3617" s="242"/>
      <c r="G3617"/>
      <c r="H3617" s="322"/>
      <c r="I3617" s="322"/>
      <c r="J3617" s="242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</row>
    <row r="3618" spans="1:26" ht="15.75" hidden="1" customHeight="1" outlineLevel="2">
      <c r="A3618"/>
      <c r="B3618" s="249"/>
      <c r="C3618"/>
      <c r="D3618"/>
      <c r="E3618" s="321"/>
      <c r="F3618" s="242"/>
      <c r="G3618"/>
      <c r="H3618" s="322"/>
      <c r="I3618" s="322"/>
      <c r="J3618" s="242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</row>
    <row r="3619" spans="1:26" ht="15.75" hidden="1" customHeight="1" outlineLevel="2">
      <c r="A3619"/>
      <c r="B3619" s="249"/>
      <c r="C3619"/>
      <c r="D3619"/>
      <c r="E3619" s="321"/>
      <c r="F3619" s="242"/>
      <c r="G3619"/>
      <c r="H3619" s="322"/>
      <c r="I3619" s="322"/>
      <c r="J3619" s="242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</row>
    <row r="3620" spans="1:26" ht="15.75" hidden="1" customHeight="1" outlineLevel="2">
      <c r="A3620"/>
      <c r="B3620" s="249"/>
      <c r="C3620"/>
      <c r="D3620"/>
      <c r="E3620" s="321"/>
      <c r="F3620" s="242"/>
      <c r="G3620"/>
      <c r="H3620" s="322"/>
      <c r="I3620" s="322"/>
      <c r="J3620" s="242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</row>
    <row r="3621" spans="1:26" ht="15.75" hidden="1" customHeight="1" outlineLevel="2">
      <c r="A3621"/>
      <c r="B3621" s="249"/>
      <c r="C3621"/>
      <c r="D3621"/>
      <c r="E3621" s="321"/>
      <c r="F3621" s="242"/>
      <c r="G3621"/>
      <c r="H3621" s="322"/>
      <c r="I3621" s="322"/>
      <c r="J3621" s="242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</row>
    <row r="3622" spans="1:26" ht="15.75" hidden="1" customHeight="1" outlineLevel="2">
      <c r="A3622"/>
      <c r="B3622" s="249"/>
      <c r="C3622"/>
      <c r="D3622"/>
      <c r="E3622" s="321"/>
      <c r="F3622" s="242"/>
      <c r="G3622"/>
      <c r="H3622" s="322"/>
      <c r="I3622" s="322"/>
      <c r="J3622" s="242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</row>
    <row r="3623" spans="1:26" ht="15.75" hidden="1" customHeight="1" outlineLevel="2">
      <c r="A3623"/>
      <c r="B3623" s="249"/>
      <c r="C3623"/>
      <c r="D3623"/>
      <c r="E3623" s="321"/>
      <c r="F3623" s="242"/>
      <c r="G3623"/>
      <c r="H3623" s="322"/>
      <c r="I3623" s="322"/>
      <c r="J3623" s="242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</row>
    <row r="3624" spans="1:26" ht="15.75" hidden="1" customHeight="1" outlineLevel="2">
      <c r="A3624"/>
      <c r="B3624" s="249"/>
      <c r="C3624"/>
      <c r="D3624"/>
      <c r="E3624" s="321"/>
      <c r="F3624" s="242"/>
      <c r="G3624"/>
      <c r="H3624" s="322"/>
      <c r="I3624" s="322"/>
      <c r="J3624" s="242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</row>
    <row r="3625" spans="1:26" ht="15.75" hidden="1" customHeight="1" outlineLevel="2">
      <c r="A3625"/>
      <c r="B3625" s="249"/>
      <c r="C3625"/>
      <c r="D3625"/>
      <c r="E3625" s="321"/>
      <c r="F3625" s="242"/>
      <c r="G3625"/>
      <c r="H3625" s="322"/>
      <c r="I3625" s="322"/>
      <c r="J3625" s="242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</row>
    <row r="3626" spans="1:26" ht="15.75" hidden="1" customHeight="1" outlineLevel="2">
      <c r="A3626"/>
      <c r="B3626" s="249"/>
      <c r="C3626"/>
      <c r="D3626"/>
      <c r="E3626" s="321"/>
      <c r="F3626" s="242"/>
      <c r="G3626"/>
      <c r="H3626" s="322"/>
      <c r="I3626" s="322"/>
      <c r="J3626" s="242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</row>
    <row r="3627" spans="1:26" ht="15.75" hidden="1" customHeight="1" outlineLevel="2">
      <c r="A3627"/>
      <c r="B3627" s="249"/>
      <c r="C3627"/>
      <c r="D3627"/>
      <c r="E3627" s="321"/>
      <c r="F3627" s="242"/>
      <c r="G3627"/>
      <c r="H3627" s="322"/>
      <c r="I3627" s="322"/>
      <c r="J3627" s="242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</row>
    <row r="3628" spans="1:26" ht="15.75" hidden="1" customHeight="1" outlineLevel="2">
      <c r="A3628"/>
      <c r="B3628" s="249"/>
      <c r="C3628"/>
      <c r="D3628"/>
      <c r="E3628" s="321"/>
      <c r="F3628" s="242"/>
      <c r="G3628"/>
      <c r="H3628" s="322"/>
      <c r="I3628" s="322"/>
      <c r="J3628" s="242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</row>
    <row r="3629" spans="1:26" ht="15.75" hidden="1" customHeight="1" outlineLevel="2">
      <c r="A3629"/>
      <c r="B3629" s="249"/>
      <c r="C3629"/>
      <c r="D3629"/>
      <c r="E3629" s="321"/>
      <c r="F3629" s="242"/>
      <c r="G3629"/>
      <c r="H3629" s="322"/>
      <c r="I3629" s="322"/>
      <c r="J3629" s="242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</row>
    <row r="3630" spans="1:26" ht="15.75" hidden="1" customHeight="1" outlineLevel="2">
      <c r="A3630"/>
      <c r="B3630" s="249"/>
      <c r="C3630"/>
      <c r="D3630"/>
      <c r="E3630" s="321"/>
      <c r="F3630" s="242"/>
      <c r="G3630"/>
      <c r="H3630" s="322"/>
      <c r="I3630" s="322"/>
      <c r="J3630" s="242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</row>
    <row r="3631" spans="1:26" ht="15.75" hidden="1" customHeight="1" outlineLevel="2">
      <c r="A3631"/>
      <c r="B3631" s="249"/>
      <c r="C3631"/>
      <c r="D3631"/>
      <c r="E3631" s="321"/>
      <c r="F3631" s="242"/>
      <c r="G3631"/>
      <c r="H3631" s="322"/>
      <c r="I3631" s="322"/>
      <c r="J3631" s="242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</row>
    <row r="3632" spans="1:26" ht="15.75" hidden="1" customHeight="1" outlineLevel="2">
      <c r="A3632"/>
      <c r="B3632" s="249"/>
      <c r="C3632"/>
      <c r="D3632"/>
      <c r="E3632" s="321"/>
      <c r="F3632" s="242"/>
      <c r="G3632"/>
      <c r="H3632" s="322"/>
      <c r="I3632" s="322"/>
      <c r="J3632" s="242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</row>
    <row r="3633" spans="1:26" ht="15.75" hidden="1" customHeight="1" outlineLevel="2">
      <c r="A3633"/>
      <c r="B3633" s="249"/>
      <c r="C3633"/>
      <c r="D3633"/>
      <c r="E3633" s="321"/>
      <c r="F3633" s="242"/>
      <c r="G3633"/>
      <c r="H3633" s="322"/>
      <c r="I3633" s="322"/>
      <c r="J3633" s="242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</row>
    <row r="3634" spans="1:26" ht="15.75" hidden="1" customHeight="1" outlineLevel="2">
      <c r="A3634"/>
      <c r="B3634" s="249"/>
      <c r="C3634"/>
      <c r="D3634"/>
      <c r="E3634" s="321"/>
      <c r="F3634" s="242"/>
      <c r="G3634"/>
      <c r="H3634" s="322"/>
      <c r="I3634" s="322"/>
      <c r="J3634" s="242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</row>
    <row r="3635" spans="1:26" ht="15.75" hidden="1" customHeight="1" outlineLevel="2">
      <c r="A3635"/>
      <c r="B3635" s="249"/>
      <c r="C3635"/>
      <c r="D3635"/>
      <c r="E3635" s="321"/>
      <c r="F3635" s="242"/>
      <c r="G3635"/>
      <c r="H3635" s="322"/>
      <c r="I3635" s="322"/>
      <c r="J3635" s="242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</row>
    <row r="3636" spans="1:26" ht="15.75" hidden="1" customHeight="1" outlineLevel="2">
      <c r="A3636"/>
      <c r="B3636" s="249"/>
      <c r="C3636"/>
      <c r="D3636"/>
      <c r="E3636" s="321"/>
      <c r="F3636" s="242"/>
      <c r="G3636"/>
      <c r="H3636" s="322"/>
      <c r="I3636" s="322"/>
      <c r="J3636" s="242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</row>
    <row r="3637" spans="1:26" ht="15.75" hidden="1" customHeight="1" outlineLevel="2">
      <c r="A3637"/>
      <c r="B3637" s="249"/>
      <c r="C3637"/>
      <c r="D3637"/>
      <c r="E3637" s="321"/>
      <c r="F3637" s="242"/>
      <c r="G3637"/>
      <c r="H3637" s="322"/>
      <c r="I3637" s="322"/>
      <c r="J3637" s="242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</row>
    <row r="3638" spans="1:26" ht="15.75" hidden="1" customHeight="1" outlineLevel="2">
      <c r="A3638"/>
      <c r="B3638" s="249"/>
      <c r="C3638"/>
      <c r="D3638"/>
      <c r="E3638" s="321"/>
      <c r="F3638" s="242"/>
      <c r="G3638"/>
      <c r="H3638" s="322"/>
      <c r="I3638" s="322"/>
      <c r="J3638" s="242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</row>
    <row r="3639" spans="1:26" ht="15.75" hidden="1" customHeight="1" outlineLevel="2">
      <c r="A3639"/>
      <c r="B3639" s="249"/>
      <c r="C3639"/>
      <c r="D3639"/>
      <c r="E3639" s="321"/>
      <c r="F3639" s="242"/>
      <c r="G3639"/>
      <c r="H3639" s="322"/>
      <c r="I3639" s="322"/>
      <c r="J3639" s="242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</row>
    <row r="3640" spans="1:26" ht="15.75" hidden="1" customHeight="1" outlineLevel="2">
      <c r="A3640"/>
      <c r="B3640" s="249"/>
      <c r="C3640"/>
      <c r="D3640"/>
      <c r="E3640" s="321"/>
      <c r="F3640" s="242"/>
      <c r="G3640"/>
      <c r="H3640" s="322"/>
      <c r="I3640" s="322"/>
      <c r="J3640" s="242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</row>
    <row r="3641" spans="1:26" ht="15.75" hidden="1" customHeight="1" outlineLevel="2">
      <c r="A3641"/>
      <c r="B3641" s="249"/>
      <c r="C3641"/>
      <c r="D3641"/>
      <c r="E3641" s="321"/>
      <c r="F3641" s="242"/>
      <c r="G3641"/>
      <c r="H3641" s="322"/>
      <c r="I3641" s="322"/>
      <c r="J3641" s="242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</row>
    <row r="3642" spans="1:26" ht="15.75" hidden="1" customHeight="1" outlineLevel="2">
      <c r="A3642"/>
      <c r="B3642" s="249"/>
      <c r="C3642"/>
      <c r="D3642"/>
      <c r="E3642" s="321"/>
      <c r="F3642" s="242"/>
      <c r="G3642"/>
      <c r="H3642" s="322"/>
      <c r="I3642" s="322"/>
      <c r="J3642" s="242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</row>
    <row r="3643" spans="1:26" ht="15.75" hidden="1" customHeight="1" outlineLevel="2">
      <c r="A3643"/>
      <c r="B3643" s="249"/>
      <c r="C3643"/>
      <c r="D3643"/>
      <c r="E3643" s="321"/>
      <c r="F3643" s="242"/>
      <c r="G3643"/>
      <c r="H3643" s="322"/>
      <c r="I3643" s="322"/>
      <c r="J3643" s="242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</row>
    <row r="3644" spans="1:26" ht="15.75" hidden="1" customHeight="1" outlineLevel="2">
      <c r="A3644"/>
      <c r="B3644" s="249"/>
      <c r="C3644"/>
      <c r="D3644"/>
      <c r="E3644" s="321"/>
      <c r="F3644" s="242"/>
      <c r="G3644"/>
      <c r="H3644" s="322"/>
      <c r="I3644" s="322"/>
      <c r="J3644" s="242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</row>
    <row r="3645" spans="1:26" ht="15.75" hidden="1" customHeight="1" outlineLevel="2">
      <c r="A3645"/>
      <c r="B3645" s="249"/>
      <c r="C3645"/>
      <c r="D3645"/>
      <c r="E3645" s="321"/>
      <c r="F3645" s="242"/>
      <c r="G3645"/>
      <c r="H3645" s="322"/>
      <c r="I3645" s="322"/>
      <c r="J3645" s="242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</row>
    <row r="3646" spans="1:26" ht="15.75" hidden="1" customHeight="1" outlineLevel="2">
      <c r="A3646"/>
      <c r="B3646" s="249"/>
      <c r="C3646"/>
      <c r="D3646"/>
      <c r="E3646" s="321"/>
      <c r="F3646" s="242"/>
      <c r="G3646"/>
      <c r="H3646" s="322"/>
      <c r="I3646" s="322"/>
      <c r="J3646" s="242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</row>
    <row r="3647" spans="1:26" ht="15.75" hidden="1" customHeight="1" outlineLevel="2">
      <c r="A3647"/>
      <c r="B3647" s="249"/>
      <c r="C3647"/>
      <c r="D3647"/>
      <c r="E3647" s="321"/>
      <c r="F3647" s="242"/>
      <c r="G3647"/>
      <c r="H3647" s="322"/>
      <c r="I3647" s="322"/>
      <c r="J3647" s="242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</row>
    <row r="3648" spans="1:26" ht="15.75" hidden="1" customHeight="1" outlineLevel="2">
      <c r="A3648"/>
      <c r="B3648" s="249"/>
      <c r="C3648"/>
      <c r="D3648"/>
      <c r="E3648" s="321"/>
      <c r="F3648" s="242"/>
      <c r="G3648"/>
      <c r="H3648" s="322"/>
      <c r="I3648" s="322"/>
      <c r="J3648" s="242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</row>
    <row r="3649" spans="1:26" ht="15.75" hidden="1" customHeight="1" outlineLevel="2">
      <c r="A3649"/>
      <c r="B3649" s="249"/>
      <c r="C3649"/>
      <c r="D3649"/>
      <c r="E3649" s="321"/>
      <c r="F3649" s="242"/>
      <c r="G3649"/>
      <c r="H3649" s="322"/>
      <c r="I3649" s="322"/>
      <c r="J3649" s="242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</row>
    <row r="3650" spans="1:26" ht="15.75" hidden="1" customHeight="1" outlineLevel="2">
      <c r="A3650"/>
      <c r="B3650" s="249"/>
      <c r="C3650"/>
      <c r="D3650"/>
      <c r="E3650" s="321"/>
      <c r="F3650" s="242"/>
      <c r="G3650"/>
      <c r="H3650" s="322"/>
      <c r="I3650" s="322"/>
      <c r="J3650" s="242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</row>
    <row r="3651" spans="1:26" ht="15.75" hidden="1" customHeight="1" outlineLevel="2">
      <c r="A3651"/>
      <c r="B3651" s="249"/>
      <c r="C3651"/>
      <c r="D3651"/>
      <c r="E3651" s="321"/>
      <c r="F3651" s="242"/>
      <c r="G3651"/>
      <c r="H3651" s="322"/>
      <c r="I3651" s="322"/>
      <c r="J3651" s="242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</row>
    <row r="3652" spans="1:26" ht="15.75" hidden="1" customHeight="1" outlineLevel="2">
      <c r="A3652"/>
      <c r="B3652" s="249"/>
      <c r="C3652"/>
      <c r="D3652"/>
      <c r="E3652" s="321"/>
      <c r="F3652" s="242"/>
      <c r="G3652"/>
      <c r="H3652" s="322"/>
      <c r="I3652" s="322"/>
      <c r="J3652" s="242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</row>
    <row r="3653" spans="1:26" ht="15.75" hidden="1" customHeight="1" outlineLevel="2">
      <c r="A3653"/>
      <c r="B3653" s="249"/>
      <c r="C3653"/>
      <c r="D3653"/>
      <c r="E3653" s="321"/>
      <c r="F3653" s="242"/>
      <c r="G3653"/>
      <c r="H3653" s="322"/>
      <c r="I3653" s="322"/>
      <c r="J3653" s="242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</row>
    <row r="3654" spans="1:26" ht="15.75" hidden="1" customHeight="1" outlineLevel="2">
      <c r="A3654"/>
      <c r="B3654" s="249"/>
      <c r="C3654"/>
      <c r="D3654"/>
      <c r="E3654" s="321"/>
      <c r="F3654" s="242"/>
      <c r="G3654"/>
      <c r="H3654" s="322"/>
      <c r="I3654" s="322"/>
      <c r="J3654" s="242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</row>
    <row r="3655" spans="1:26" ht="15.75" hidden="1" customHeight="1" outlineLevel="2">
      <c r="A3655"/>
      <c r="B3655" s="249"/>
      <c r="C3655"/>
      <c r="D3655"/>
      <c r="E3655" s="321"/>
      <c r="F3655" s="242"/>
      <c r="G3655"/>
      <c r="H3655" s="322"/>
      <c r="I3655" s="322"/>
      <c r="J3655" s="242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</row>
    <row r="3656" spans="1:26" ht="15.75" hidden="1" customHeight="1" outlineLevel="2">
      <c r="A3656"/>
      <c r="B3656" s="249"/>
      <c r="C3656"/>
      <c r="D3656"/>
      <c r="E3656" s="321"/>
      <c r="F3656" s="242"/>
      <c r="G3656"/>
      <c r="H3656" s="322"/>
      <c r="I3656" s="322"/>
      <c r="J3656" s="242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</row>
    <row r="3657" spans="1:26" ht="15.75" hidden="1" customHeight="1" outlineLevel="2">
      <c r="A3657"/>
      <c r="B3657" s="249"/>
      <c r="C3657"/>
      <c r="D3657"/>
      <c r="E3657" s="321"/>
      <c r="F3657" s="242"/>
      <c r="G3657"/>
      <c r="H3657" s="322"/>
      <c r="I3657" s="322"/>
      <c r="J3657" s="242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</row>
    <row r="3658" spans="1:26" ht="15.75" hidden="1" customHeight="1" outlineLevel="2">
      <c r="A3658"/>
      <c r="B3658" s="249"/>
      <c r="C3658"/>
      <c r="D3658"/>
      <c r="E3658" s="321"/>
      <c r="F3658" s="242"/>
      <c r="G3658"/>
      <c r="H3658" s="322"/>
      <c r="I3658" s="322"/>
      <c r="J3658" s="242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</row>
    <row r="3659" spans="1:26" ht="15.75" hidden="1" customHeight="1" outlineLevel="2">
      <c r="A3659"/>
      <c r="B3659" s="249"/>
      <c r="C3659"/>
      <c r="D3659"/>
      <c r="E3659" s="321"/>
      <c r="F3659" s="242"/>
      <c r="G3659"/>
      <c r="H3659" s="322"/>
      <c r="I3659" s="322"/>
      <c r="J3659" s="242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</row>
    <row r="3660" spans="1:26" ht="15.75" hidden="1" customHeight="1" outlineLevel="2">
      <c r="A3660"/>
      <c r="B3660" s="249"/>
      <c r="C3660"/>
      <c r="D3660"/>
      <c r="E3660" s="321"/>
      <c r="F3660" s="242"/>
      <c r="G3660"/>
      <c r="H3660" s="322"/>
      <c r="I3660" s="322"/>
      <c r="J3660" s="242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</row>
    <row r="3661" spans="1:26" ht="15.75" hidden="1" customHeight="1" outlineLevel="2">
      <c r="A3661"/>
      <c r="B3661" s="249"/>
      <c r="C3661"/>
      <c r="D3661"/>
      <c r="E3661" s="321"/>
      <c r="F3661" s="242"/>
      <c r="G3661"/>
      <c r="H3661" s="322"/>
      <c r="I3661" s="322"/>
      <c r="J3661" s="242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</row>
    <row r="3662" spans="1:26" ht="15.75" hidden="1" customHeight="1" outlineLevel="2">
      <c r="A3662"/>
      <c r="B3662" s="249"/>
      <c r="C3662"/>
      <c r="D3662"/>
      <c r="E3662" s="321"/>
      <c r="F3662" s="242"/>
      <c r="G3662"/>
      <c r="H3662" s="322"/>
      <c r="I3662" s="322"/>
      <c r="J3662" s="242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</row>
    <row r="3663" spans="1:26" ht="15.75" hidden="1" customHeight="1" outlineLevel="2">
      <c r="A3663"/>
      <c r="B3663" s="249"/>
      <c r="C3663"/>
      <c r="D3663"/>
      <c r="E3663" s="321"/>
      <c r="F3663" s="242"/>
      <c r="G3663"/>
      <c r="H3663" s="322"/>
      <c r="I3663" s="322"/>
      <c r="J3663" s="242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</row>
    <row r="3664" spans="1:26" ht="15.75" hidden="1" customHeight="1" outlineLevel="2">
      <c r="A3664"/>
      <c r="B3664" s="249"/>
      <c r="C3664"/>
      <c r="D3664"/>
      <c r="E3664" s="321"/>
      <c r="F3664" s="242"/>
      <c r="G3664"/>
      <c r="H3664" s="322"/>
      <c r="I3664" s="322"/>
      <c r="J3664" s="242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</row>
    <row r="3665" spans="1:26" ht="15.75" hidden="1" customHeight="1" outlineLevel="2">
      <c r="A3665"/>
      <c r="B3665" s="249"/>
      <c r="C3665"/>
      <c r="D3665"/>
      <c r="E3665" s="321"/>
      <c r="F3665" s="242"/>
      <c r="G3665"/>
      <c r="H3665" s="322"/>
      <c r="I3665" s="322"/>
      <c r="J3665" s="242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</row>
    <row r="3666" spans="1:26" ht="15.75" hidden="1" customHeight="1" outlineLevel="2">
      <c r="A3666"/>
      <c r="B3666" s="249"/>
      <c r="C3666"/>
      <c r="D3666"/>
      <c r="E3666" s="321"/>
      <c r="F3666" s="242"/>
      <c r="G3666"/>
      <c r="H3666" s="322"/>
      <c r="I3666" s="322"/>
      <c r="J3666" s="242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</row>
    <row r="3667" spans="1:26" ht="15.75" hidden="1" customHeight="1" outlineLevel="2">
      <c r="A3667"/>
      <c r="B3667" s="249"/>
      <c r="C3667"/>
      <c r="D3667"/>
      <c r="E3667" s="321"/>
      <c r="F3667" s="242"/>
      <c r="G3667"/>
      <c r="H3667" s="322"/>
      <c r="I3667" s="322"/>
      <c r="J3667" s="242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</row>
    <row r="3668" spans="1:26" ht="15.75" hidden="1" customHeight="1" outlineLevel="2">
      <c r="A3668"/>
      <c r="B3668" s="249"/>
      <c r="C3668"/>
      <c r="D3668"/>
      <c r="E3668" s="321"/>
      <c r="F3668" s="242"/>
      <c r="G3668"/>
      <c r="H3668" s="322"/>
      <c r="I3668" s="322"/>
      <c r="J3668" s="242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</row>
    <row r="3669" spans="1:26" ht="15.75" hidden="1" customHeight="1" outlineLevel="2">
      <c r="A3669"/>
      <c r="B3669" s="249"/>
      <c r="C3669"/>
      <c r="D3669"/>
      <c r="E3669" s="321"/>
      <c r="F3669" s="242"/>
      <c r="G3669"/>
      <c r="H3669" s="322"/>
      <c r="I3669" s="322"/>
      <c r="J3669" s="242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</row>
    <row r="3670" spans="1:26" ht="15.75" hidden="1" customHeight="1" outlineLevel="2">
      <c r="A3670"/>
      <c r="B3670" s="249"/>
      <c r="C3670"/>
      <c r="D3670"/>
      <c r="E3670" s="321"/>
      <c r="F3670" s="242"/>
      <c r="G3670"/>
      <c r="H3670" s="322"/>
      <c r="I3670" s="322"/>
      <c r="J3670" s="242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</row>
    <row r="3671" spans="1:26" ht="15.75" hidden="1" customHeight="1" outlineLevel="2">
      <c r="A3671"/>
      <c r="B3671" s="249"/>
      <c r="C3671"/>
      <c r="D3671"/>
      <c r="E3671" s="321"/>
      <c r="F3671" s="242"/>
      <c r="G3671"/>
      <c r="H3671" s="322"/>
      <c r="I3671" s="322"/>
      <c r="J3671" s="242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</row>
    <row r="3672" spans="1:26" ht="15.75" hidden="1" customHeight="1" outlineLevel="2">
      <c r="A3672"/>
      <c r="B3672" s="249"/>
      <c r="C3672"/>
      <c r="D3672"/>
      <c r="E3672" s="321"/>
      <c r="F3672" s="242"/>
      <c r="G3672"/>
      <c r="H3672" s="322"/>
      <c r="I3672" s="322"/>
      <c r="J3672" s="242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</row>
    <row r="3673" spans="1:26" ht="15.75" hidden="1" customHeight="1" outlineLevel="2">
      <c r="A3673"/>
      <c r="B3673" s="249"/>
      <c r="C3673"/>
      <c r="D3673"/>
      <c r="E3673" s="321"/>
      <c r="F3673" s="242"/>
      <c r="G3673"/>
      <c r="H3673" s="322"/>
      <c r="I3673" s="322"/>
      <c r="J3673" s="242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</row>
    <row r="3674" spans="1:26" ht="15.75" hidden="1" customHeight="1" outlineLevel="2">
      <c r="A3674"/>
      <c r="B3674" s="249"/>
      <c r="C3674"/>
      <c r="D3674"/>
      <c r="E3674" s="321"/>
      <c r="F3674" s="242"/>
      <c r="G3674"/>
      <c r="H3674" s="322"/>
      <c r="I3674" s="322"/>
      <c r="J3674" s="242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</row>
    <row r="3675" spans="1:26" ht="15.75" hidden="1" customHeight="1" outlineLevel="2">
      <c r="A3675"/>
      <c r="B3675" s="249"/>
      <c r="C3675"/>
      <c r="D3675"/>
      <c r="E3675" s="321"/>
      <c r="F3675" s="242"/>
      <c r="G3675"/>
      <c r="H3675" s="322"/>
      <c r="I3675" s="322"/>
      <c r="J3675" s="242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</row>
    <row r="3676" spans="1:26" ht="15.75" hidden="1" customHeight="1" outlineLevel="2">
      <c r="A3676"/>
      <c r="B3676" s="249"/>
      <c r="C3676"/>
      <c r="D3676"/>
      <c r="E3676" s="321"/>
      <c r="F3676" s="242"/>
      <c r="G3676"/>
      <c r="H3676" s="322"/>
      <c r="I3676" s="322"/>
      <c r="J3676" s="242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</row>
    <row r="3677" spans="1:26" ht="15.75" hidden="1" customHeight="1" outlineLevel="2">
      <c r="A3677"/>
      <c r="B3677" s="249"/>
      <c r="C3677"/>
      <c r="D3677"/>
      <c r="E3677" s="321"/>
      <c r="F3677" s="242"/>
      <c r="G3677"/>
      <c r="H3677" s="322"/>
      <c r="I3677" s="322"/>
      <c r="J3677" s="242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</row>
    <row r="3678" spans="1:26" ht="15.75" hidden="1" customHeight="1" outlineLevel="2">
      <c r="A3678"/>
      <c r="B3678" s="249"/>
      <c r="C3678"/>
      <c r="D3678"/>
      <c r="E3678" s="321"/>
      <c r="F3678" s="242"/>
      <c r="G3678"/>
      <c r="H3678" s="322"/>
      <c r="I3678" s="322"/>
      <c r="J3678" s="242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</row>
    <row r="3679" spans="1:26" ht="15.75" hidden="1" customHeight="1" outlineLevel="2">
      <c r="A3679"/>
      <c r="B3679" s="249"/>
      <c r="C3679"/>
      <c r="D3679"/>
      <c r="E3679" s="321"/>
      <c r="F3679" s="242"/>
      <c r="G3679"/>
      <c r="H3679" s="322"/>
      <c r="I3679" s="322"/>
      <c r="J3679" s="242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</row>
    <row r="3680" spans="1:26" ht="15.75" hidden="1" customHeight="1" outlineLevel="2">
      <c r="A3680"/>
      <c r="B3680" s="249"/>
      <c r="C3680"/>
      <c r="D3680"/>
      <c r="E3680" s="321"/>
      <c r="F3680" s="242"/>
      <c r="G3680"/>
      <c r="H3680" s="322"/>
      <c r="I3680" s="322"/>
      <c r="J3680" s="242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</row>
    <row r="3681" spans="1:26" ht="15.75" hidden="1" customHeight="1" outlineLevel="2">
      <c r="A3681"/>
      <c r="B3681" s="249"/>
      <c r="C3681"/>
      <c r="D3681"/>
      <c r="E3681" s="321"/>
      <c r="F3681" s="242"/>
      <c r="G3681"/>
      <c r="H3681" s="322"/>
      <c r="I3681" s="322"/>
      <c r="J3681" s="242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</row>
    <row r="3682" spans="1:26" ht="15.75" hidden="1" customHeight="1" outlineLevel="2">
      <c r="A3682"/>
      <c r="B3682" s="249"/>
      <c r="C3682"/>
      <c r="D3682"/>
      <c r="E3682" s="321"/>
      <c r="F3682" s="242"/>
      <c r="G3682"/>
      <c r="H3682" s="322"/>
      <c r="I3682" s="322"/>
      <c r="J3682" s="242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</row>
    <row r="3683" spans="1:26" ht="15.75" hidden="1" customHeight="1" outlineLevel="2">
      <c r="A3683"/>
      <c r="B3683" s="249"/>
      <c r="C3683"/>
      <c r="D3683"/>
      <c r="E3683" s="321"/>
      <c r="F3683" s="242"/>
      <c r="G3683"/>
      <c r="H3683" s="322"/>
      <c r="I3683" s="322"/>
      <c r="J3683" s="242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</row>
    <row r="3684" spans="1:26" ht="15.75" hidden="1" customHeight="1" outlineLevel="2">
      <c r="A3684"/>
      <c r="B3684" s="249"/>
      <c r="C3684"/>
      <c r="D3684"/>
      <c r="E3684" s="321"/>
      <c r="F3684" s="242"/>
      <c r="G3684"/>
      <c r="H3684" s="322"/>
      <c r="I3684" s="322"/>
      <c r="J3684" s="242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</row>
    <row r="3685" spans="1:26" ht="15.75" hidden="1" customHeight="1" outlineLevel="2">
      <c r="A3685"/>
      <c r="B3685" s="249"/>
      <c r="C3685"/>
      <c r="D3685"/>
      <c r="E3685" s="321"/>
      <c r="F3685" s="242"/>
      <c r="G3685"/>
      <c r="H3685" s="322"/>
      <c r="I3685" s="322"/>
      <c r="J3685" s="242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</row>
    <row r="3686" spans="1:26" ht="15.75" hidden="1" customHeight="1" outlineLevel="2">
      <c r="A3686"/>
      <c r="B3686" s="249"/>
      <c r="C3686"/>
      <c r="D3686"/>
      <c r="E3686" s="321"/>
      <c r="F3686" s="242"/>
      <c r="G3686"/>
      <c r="H3686" s="322"/>
      <c r="I3686" s="322"/>
      <c r="J3686" s="242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</row>
    <row r="3687" spans="1:26" ht="15.75" hidden="1" customHeight="1" outlineLevel="2">
      <c r="A3687"/>
      <c r="B3687" s="249"/>
      <c r="C3687"/>
      <c r="D3687"/>
      <c r="E3687" s="321"/>
      <c r="F3687" s="242"/>
      <c r="G3687"/>
      <c r="H3687" s="322"/>
      <c r="I3687" s="322"/>
      <c r="J3687" s="242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</row>
    <row r="3688" spans="1:26" ht="15.75" hidden="1" customHeight="1" outlineLevel="2">
      <c r="A3688"/>
      <c r="B3688" s="249"/>
      <c r="C3688"/>
      <c r="D3688"/>
      <c r="E3688" s="321"/>
      <c r="F3688" s="242"/>
      <c r="G3688"/>
      <c r="H3688" s="322"/>
      <c r="I3688" s="322"/>
      <c r="J3688" s="242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</row>
    <row r="3689" spans="1:26" ht="15.75" hidden="1" customHeight="1" outlineLevel="2">
      <c r="A3689"/>
      <c r="B3689" s="249"/>
      <c r="C3689"/>
      <c r="D3689"/>
      <c r="E3689" s="321"/>
      <c r="F3689" s="242"/>
      <c r="G3689"/>
      <c r="H3689" s="322"/>
      <c r="I3689" s="322"/>
      <c r="J3689" s="242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</row>
    <row r="3690" spans="1:26" ht="15.75" hidden="1" customHeight="1" outlineLevel="2">
      <c r="A3690"/>
      <c r="B3690" s="249"/>
      <c r="C3690"/>
      <c r="D3690"/>
      <c r="E3690" s="321"/>
      <c r="F3690" s="242"/>
      <c r="G3690"/>
      <c r="H3690" s="322"/>
      <c r="I3690" s="322"/>
      <c r="J3690" s="242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</row>
    <row r="3691" spans="1:26" ht="15.75" hidden="1" customHeight="1" outlineLevel="2">
      <c r="A3691"/>
      <c r="B3691" s="249"/>
      <c r="C3691"/>
      <c r="D3691"/>
      <c r="E3691" s="321"/>
      <c r="F3691" s="242"/>
      <c r="G3691"/>
      <c r="H3691" s="322"/>
      <c r="I3691" s="322"/>
      <c r="J3691" s="242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</row>
    <row r="3692" spans="1:26" hidden="1" outlineLevel="2">
      <c r="A3692"/>
      <c r="B3692" s="249"/>
      <c r="C3692"/>
      <c r="D3692"/>
      <c r="E3692" s="321"/>
      <c r="F3692" s="242"/>
      <c r="G3692"/>
      <c r="H3692" s="322"/>
      <c r="I3692" s="322"/>
      <c r="J3692" s="242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</row>
    <row r="3693" spans="1:26" hidden="1" outlineLevel="2">
      <c r="A3693"/>
      <c r="B3693" s="249"/>
      <c r="C3693"/>
      <c r="D3693"/>
      <c r="E3693" s="321"/>
      <c r="F3693" s="242"/>
      <c r="G3693"/>
      <c r="H3693" s="322"/>
      <c r="I3693" s="322"/>
      <c r="J3693" s="242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</row>
    <row r="3694" spans="1:26" hidden="1" outlineLevel="2">
      <c r="A3694"/>
      <c r="B3694" s="249"/>
      <c r="C3694"/>
      <c r="D3694"/>
      <c r="E3694" s="321"/>
      <c r="F3694" s="242"/>
      <c r="G3694"/>
      <c r="H3694" s="322"/>
      <c r="I3694" s="322"/>
      <c r="J3694" s="242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</row>
    <row r="3695" spans="1:26" hidden="1" outlineLevel="2">
      <c r="A3695"/>
      <c r="B3695" s="249"/>
      <c r="C3695"/>
      <c r="D3695"/>
      <c r="E3695" s="321"/>
      <c r="F3695" s="242"/>
      <c r="G3695"/>
      <c r="H3695" s="322"/>
      <c r="I3695" s="322"/>
      <c r="J3695" s="242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</row>
    <row r="3696" spans="1:26" hidden="1" outlineLevel="2">
      <c r="A3696"/>
      <c r="B3696" s="249"/>
      <c r="C3696"/>
      <c r="D3696"/>
      <c r="E3696" s="321"/>
      <c r="F3696" s="242"/>
      <c r="G3696"/>
      <c r="H3696" s="322"/>
      <c r="I3696" s="322"/>
      <c r="J3696" s="242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</row>
    <row r="3697" spans="1:26" hidden="1" outlineLevel="2">
      <c r="A3697"/>
      <c r="B3697" s="249"/>
      <c r="C3697"/>
      <c r="D3697"/>
      <c r="E3697" s="321"/>
      <c r="F3697" s="242"/>
      <c r="G3697"/>
      <c r="H3697" s="322"/>
      <c r="I3697" s="322"/>
      <c r="J3697" s="242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</row>
    <row r="3698" spans="1:26" hidden="1" outlineLevel="2">
      <c r="A3698"/>
      <c r="B3698" s="249"/>
      <c r="C3698"/>
      <c r="D3698"/>
      <c r="E3698" s="321"/>
      <c r="F3698" s="242"/>
      <c r="G3698"/>
      <c r="H3698" s="322"/>
      <c r="I3698" s="322"/>
      <c r="J3698" s="242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</row>
    <row r="3699" spans="1:26" hidden="1" outlineLevel="2">
      <c r="A3699"/>
      <c r="B3699" s="249"/>
      <c r="C3699"/>
      <c r="D3699"/>
      <c r="E3699" s="321"/>
      <c r="F3699" s="242"/>
      <c r="G3699"/>
      <c r="H3699" s="322"/>
      <c r="I3699" s="322"/>
      <c r="J3699" s="242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</row>
    <row r="3700" spans="1:26" hidden="1" outlineLevel="2">
      <c r="A3700"/>
      <c r="B3700" s="249"/>
      <c r="C3700"/>
      <c r="D3700"/>
      <c r="E3700" s="321"/>
      <c r="F3700" s="242"/>
      <c r="G3700"/>
      <c r="H3700" s="322"/>
      <c r="I3700" s="322"/>
      <c r="J3700" s="242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</row>
    <row r="3701" spans="1:26" hidden="1" outlineLevel="2">
      <c r="A3701"/>
      <c r="B3701" s="249"/>
      <c r="C3701"/>
      <c r="D3701"/>
      <c r="E3701" s="321"/>
      <c r="F3701" s="242"/>
      <c r="G3701"/>
      <c r="H3701" s="322"/>
      <c r="I3701" s="322"/>
      <c r="J3701" s="242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</row>
    <row r="3702" spans="1:26" hidden="1" outlineLevel="2">
      <c r="A3702"/>
      <c r="B3702" s="249"/>
      <c r="C3702"/>
      <c r="D3702"/>
      <c r="E3702" s="321"/>
      <c r="F3702" s="242"/>
      <c r="G3702"/>
      <c r="H3702" s="322"/>
      <c r="I3702" s="322"/>
      <c r="J3702" s="242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</row>
    <row r="3703" spans="1:26" hidden="1" outlineLevel="2">
      <c r="A3703"/>
      <c r="B3703" s="249"/>
      <c r="C3703"/>
      <c r="D3703"/>
      <c r="E3703" s="321"/>
      <c r="F3703" s="242"/>
      <c r="G3703"/>
      <c r="H3703" s="322"/>
      <c r="I3703" s="322"/>
      <c r="J3703" s="242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</row>
    <row r="3704" spans="1:26" hidden="1" outlineLevel="2">
      <c r="A3704"/>
      <c r="B3704" s="249"/>
      <c r="C3704"/>
      <c r="D3704"/>
      <c r="E3704" s="321"/>
      <c r="F3704" s="242"/>
      <c r="G3704"/>
      <c r="H3704" s="322"/>
      <c r="I3704" s="322"/>
      <c r="J3704" s="242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</row>
    <row r="3705" spans="1:26" hidden="1" outlineLevel="2">
      <c r="A3705"/>
      <c r="B3705" s="249"/>
      <c r="C3705"/>
      <c r="D3705"/>
      <c r="E3705" s="321"/>
      <c r="F3705" s="242"/>
      <c r="G3705"/>
      <c r="H3705" s="322"/>
      <c r="I3705" s="322"/>
      <c r="J3705" s="242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</row>
    <row r="3706" spans="1:26" hidden="1" outlineLevel="2">
      <c r="A3706"/>
      <c r="B3706" s="249"/>
      <c r="C3706"/>
      <c r="D3706"/>
      <c r="E3706" s="321"/>
      <c r="F3706" s="242"/>
      <c r="G3706"/>
      <c r="H3706" s="322"/>
      <c r="I3706" s="322"/>
      <c r="J3706" s="242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</row>
    <row r="3707" spans="1:26" hidden="1" outlineLevel="2">
      <c r="A3707"/>
      <c r="B3707" s="249"/>
      <c r="C3707"/>
      <c r="D3707"/>
      <c r="E3707" s="321"/>
      <c r="F3707" s="242"/>
      <c r="G3707"/>
      <c r="H3707" s="322"/>
      <c r="I3707" s="322"/>
      <c r="J3707" s="242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</row>
    <row r="3708" spans="1:26" hidden="1" outlineLevel="2">
      <c r="A3708"/>
      <c r="B3708" s="249"/>
      <c r="C3708"/>
      <c r="D3708"/>
      <c r="E3708" s="321"/>
      <c r="F3708" s="242"/>
      <c r="G3708"/>
      <c r="H3708" s="322"/>
      <c r="I3708" s="322"/>
      <c r="J3708" s="242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</row>
    <row r="3709" spans="1:26" hidden="1" outlineLevel="2">
      <c r="A3709"/>
      <c r="B3709" s="249"/>
      <c r="C3709"/>
      <c r="D3709"/>
      <c r="E3709" s="321"/>
      <c r="F3709" s="242"/>
      <c r="G3709"/>
      <c r="H3709" s="322"/>
      <c r="I3709" s="322"/>
      <c r="J3709" s="242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</row>
    <row r="3710" spans="1:26" hidden="1" outlineLevel="2">
      <c r="A3710"/>
      <c r="B3710" s="249"/>
      <c r="C3710"/>
      <c r="D3710"/>
      <c r="E3710" s="321"/>
      <c r="F3710" s="242"/>
      <c r="G3710"/>
      <c r="H3710" s="322"/>
      <c r="I3710" s="322"/>
      <c r="J3710" s="242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</row>
    <row r="3711" spans="1:26" hidden="1" outlineLevel="2">
      <c r="A3711"/>
      <c r="B3711" s="249"/>
      <c r="C3711"/>
      <c r="D3711"/>
      <c r="E3711" s="321"/>
      <c r="F3711" s="242"/>
      <c r="G3711"/>
      <c r="H3711" s="322"/>
      <c r="I3711" s="322"/>
      <c r="J3711" s="242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</row>
    <row r="3712" spans="1:26" hidden="1" outlineLevel="2">
      <c r="A3712"/>
      <c r="B3712" s="249"/>
      <c r="C3712"/>
      <c r="D3712"/>
      <c r="E3712" s="321"/>
      <c r="F3712" s="242"/>
      <c r="G3712"/>
      <c r="H3712" s="322"/>
      <c r="I3712" s="322"/>
      <c r="J3712" s="242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</row>
    <row r="3713" spans="1:26" hidden="1" outlineLevel="2">
      <c r="A3713"/>
      <c r="B3713" s="249"/>
      <c r="C3713"/>
      <c r="D3713"/>
      <c r="E3713" s="321"/>
      <c r="F3713" s="242"/>
      <c r="G3713"/>
      <c r="H3713" s="322"/>
      <c r="I3713" s="322"/>
      <c r="J3713" s="242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</row>
    <row r="3714" spans="1:26" hidden="1" outlineLevel="2">
      <c r="A3714"/>
      <c r="B3714" s="249"/>
      <c r="C3714"/>
      <c r="D3714"/>
      <c r="E3714" s="321"/>
      <c r="F3714" s="242"/>
      <c r="G3714"/>
      <c r="H3714" s="322"/>
      <c r="I3714" s="322"/>
      <c r="J3714" s="242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</row>
    <row r="3715" spans="1:26" hidden="1" outlineLevel="2">
      <c r="A3715"/>
      <c r="B3715" s="249"/>
      <c r="C3715"/>
      <c r="D3715"/>
      <c r="E3715" s="321"/>
      <c r="F3715" s="242"/>
      <c r="G3715"/>
      <c r="H3715" s="322"/>
      <c r="I3715" s="322"/>
      <c r="J3715" s="242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</row>
    <row r="3716" spans="1:26" hidden="1" outlineLevel="2">
      <c r="A3716"/>
      <c r="B3716" s="249"/>
      <c r="C3716"/>
      <c r="D3716"/>
      <c r="E3716" s="321"/>
      <c r="F3716" s="242"/>
      <c r="G3716"/>
      <c r="H3716" s="322"/>
      <c r="I3716" s="322"/>
      <c r="J3716" s="242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</row>
    <row r="3717" spans="1:26" hidden="1" outlineLevel="2">
      <c r="A3717"/>
      <c r="B3717" s="249"/>
      <c r="C3717"/>
      <c r="D3717"/>
      <c r="E3717" s="321"/>
      <c r="F3717" s="242"/>
      <c r="G3717"/>
      <c r="H3717" s="322"/>
      <c r="I3717" s="322"/>
      <c r="J3717" s="242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</row>
    <row r="3718" spans="1:26" hidden="1" outlineLevel="2">
      <c r="A3718"/>
      <c r="B3718" s="249"/>
      <c r="C3718"/>
      <c r="D3718"/>
      <c r="E3718" s="321"/>
      <c r="F3718" s="242"/>
      <c r="G3718"/>
      <c r="H3718" s="322"/>
      <c r="I3718" s="322"/>
      <c r="J3718" s="242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</row>
    <row r="3719" spans="1:26" hidden="1" outlineLevel="2">
      <c r="A3719"/>
      <c r="B3719" s="249"/>
      <c r="C3719"/>
      <c r="D3719"/>
      <c r="E3719" s="321"/>
      <c r="F3719" s="242"/>
      <c r="G3719"/>
      <c r="H3719" s="322"/>
      <c r="I3719" s="322"/>
      <c r="J3719" s="242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</row>
    <row r="3720" spans="1:26" hidden="1" outlineLevel="2">
      <c r="A3720"/>
      <c r="B3720" s="249"/>
      <c r="C3720"/>
      <c r="D3720"/>
      <c r="E3720"/>
      <c r="F3720" s="242"/>
      <c r="G3720"/>
      <c r="H3720" s="242"/>
      <c r="I3720" s="242"/>
      <c r="J3720" s="242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</row>
    <row r="3721" spans="1:26" hidden="1" outlineLevel="2">
      <c r="A3721"/>
      <c r="B3721" s="249"/>
      <c r="C3721"/>
      <c r="D3721"/>
      <c r="E3721"/>
      <c r="F3721" s="242"/>
      <c r="G3721"/>
      <c r="H3721" s="242"/>
      <c r="I3721" s="242"/>
      <c r="J3721" s="242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</row>
    <row r="3722" spans="1:26" hidden="1" outlineLevel="2">
      <c r="A3722"/>
      <c r="B3722" s="249"/>
      <c r="C3722"/>
      <c r="D3722"/>
      <c r="E3722"/>
      <c r="F3722" s="242"/>
      <c r="G3722"/>
      <c r="H3722" s="242"/>
      <c r="I3722" s="242"/>
      <c r="J3722" s="242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</row>
    <row r="3723" spans="1:26" hidden="1" outlineLevel="2">
      <c r="A3723"/>
      <c r="B3723" s="249"/>
      <c r="C3723"/>
      <c r="D3723"/>
      <c r="E3723"/>
      <c r="F3723" s="242"/>
      <c r="G3723"/>
      <c r="H3723" s="242"/>
      <c r="I3723" s="242"/>
      <c r="J3723" s="242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</row>
    <row r="3724" spans="1:26" hidden="1" outlineLevel="2">
      <c r="A3724"/>
      <c r="B3724" s="249"/>
      <c r="C3724"/>
      <c r="D3724"/>
      <c r="E3724"/>
      <c r="F3724" s="242"/>
      <c r="G3724"/>
      <c r="H3724" s="242"/>
      <c r="I3724" s="242"/>
      <c r="J3724" s="242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</row>
    <row r="3725" spans="1:26" hidden="1" outlineLevel="2">
      <c r="A3725"/>
      <c r="B3725" s="249"/>
      <c r="C3725"/>
      <c r="D3725"/>
      <c r="E3725"/>
      <c r="F3725" s="242"/>
      <c r="G3725"/>
      <c r="H3725" s="242"/>
      <c r="I3725" s="242"/>
      <c r="J3725" s="242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</row>
    <row r="3726" spans="1:26" hidden="1" outlineLevel="2">
      <c r="A3726"/>
      <c r="B3726" s="249"/>
      <c r="C3726"/>
      <c r="D3726"/>
      <c r="E3726"/>
      <c r="F3726" s="242"/>
      <c r="G3726"/>
      <c r="H3726" s="242"/>
      <c r="I3726" s="242"/>
      <c r="J3726" s="242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</row>
    <row r="3727" spans="1:26" hidden="1" outlineLevel="2">
      <c r="A3727"/>
      <c r="B3727" s="249"/>
      <c r="C3727"/>
      <c r="D3727"/>
      <c r="E3727"/>
      <c r="F3727" s="242"/>
      <c r="G3727"/>
      <c r="H3727" s="242"/>
      <c r="I3727" s="242"/>
      <c r="J3727" s="242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</row>
    <row r="3728" spans="1:26" hidden="1" outlineLevel="2">
      <c r="A3728"/>
      <c r="B3728" s="249"/>
      <c r="C3728"/>
      <c r="D3728"/>
      <c r="E3728"/>
      <c r="F3728" s="242"/>
      <c r="G3728"/>
      <c r="H3728" s="242"/>
      <c r="I3728" s="242"/>
      <c r="J3728" s="242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</row>
    <row r="3729" spans="1:26" hidden="1" outlineLevel="2">
      <c r="A3729"/>
      <c r="B3729" s="249"/>
      <c r="C3729"/>
      <c r="D3729"/>
      <c r="E3729"/>
      <c r="F3729" s="242"/>
      <c r="G3729"/>
      <c r="H3729" s="242"/>
      <c r="I3729" s="242"/>
      <c r="J3729" s="242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</row>
    <row r="3730" spans="1:26" hidden="1" outlineLevel="2">
      <c r="A3730"/>
      <c r="B3730" s="249"/>
      <c r="C3730"/>
      <c r="D3730"/>
      <c r="E3730"/>
      <c r="F3730" s="242"/>
      <c r="G3730"/>
      <c r="H3730" s="242"/>
      <c r="I3730" s="242"/>
      <c r="J3730" s="242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</row>
    <row r="3731" spans="1:26" hidden="1" outlineLevel="2">
      <c r="A3731"/>
      <c r="B3731" s="249"/>
      <c r="C3731"/>
      <c r="D3731"/>
      <c r="E3731"/>
      <c r="F3731" s="242"/>
      <c r="G3731"/>
      <c r="H3731" s="242"/>
      <c r="I3731" s="242"/>
      <c r="J3731" s="242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</row>
    <row r="3732" spans="1:26" hidden="1" outlineLevel="2">
      <c r="A3732"/>
      <c r="B3732" s="249"/>
      <c r="C3732"/>
      <c r="D3732"/>
      <c r="E3732"/>
      <c r="F3732" s="242"/>
      <c r="G3732"/>
      <c r="H3732" s="242"/>
      <c r="I3732" s="242"/>
      <c r="J3732" s="242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</row>
    <row r="3733" spans="1:26" hidden="1" outlineLevel="2">
      <c r="A3733"/>
      <c r="B3733" s="249"/>
      <c r="C3733"/>
      <c r="D3733"/>
      <c r="E3733"/>
      <c r="F3733" s="242"/>
      <c r="G3733"/>
      <c r="H3733" s="242"/>
      <c r="I3733" s="242"/>
      <c r="J3733" s="242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</row>
    <row r="3734" spans="1:26" hidden="1" outlineLevel="2">
      <c r="A3734"/>
      <c r="B3734" s="249"/>
      <c r="C3734"/>
      <c r="D3734"/>
      <c r="E3734"/>
      <c r="F3734" s="242"/>
      <c r="G3734"/>
      <c r="H3734" s="242"/>
      <c r="I3734" s="242"/>
      <c r="J3734" s="242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</row>
    <row r="3735" spans="1:26" hidden="1" outlineLevel="2">
      <c r="A3735"/>
      <c r="B3735" s="249"/>
      <c r="C3735"/>
      <c r="D3735"/>
      <c r="E3735"/>
      <c r="F3735" s="242"/>
      <c r="G3735"/>
      <c r="H3735" s="242"/>
      <c r="I3735" s="242"/>
      <c r="J3735" s="242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</row>
    <row r="3736" spans="1:26" hidden="1" outlineLevel="2">
      <c r="A3736"/>
      <c r="B3736" s="249"/>
      <c r="C3736"/>
      <c r="D3736"/>
      <c r="E3736"/>
      <c r="F3736" s="242"/>
      <c r="G3736"/>
      <c r="H3736" s="242"/>
      <c r="I3736" s="242"/>
      <c r="J3736" s="242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</row>
    <row r="3737" spans="1:26" hidden="1" outlineLevel="2">
      <c r="A3737"/>
      <c r="B3737" s="249"/>
      <c r="C3737"/>
      <c r="D3737"/>
      <c r="E3737"/>
      <c r="F3737" s="242"/>
      <c r="G3737"/>
      <c r="H3737" s="242"/>
      <c r="I3737" s="242"/>
      <c r="J3737" s="242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</row>
    <row r="3738" spans="1:26" hidden="1" outlineLevel="2">
      <c r="A3738"/>
      <c r="B3738" s="249"/>
      <c r="C3738"/>
      <c r="D3738"/>
      <c r="E3738"/>
      <c r="F3738" s="242"/>
      <c r="G3738"/>
      <c r="H3738" s="242"/>
      <c r="I3738" s="242"/>
      <c r="J3738" s="242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</row>
    <row r="3739" spans="1:26" hidden="1" outlineLevel="2">
      <c r="A3739"/>
      <c r="B3739" s="249"/>
      <c r="C3739"/>
      <c r="D3739"/>
      <c r="E3739"/>
      <c r="F3739" s="242"/>
      <c r="G3739"/>
      <c r="H3739" s="242"/>
      <c r="I3739" s="242"/>
      <c r="J3739" s="242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</row>
    <row r="3740" spans="1:26" hidden="1" outlineLevel="2">
      <c r="A3740"/>
      <c r="B3740" s="249"/>
      <c r="C3740"/>
      <c r="D3740"/>
      <c r="E3740"/>
      <c r="F3740" s="242"/>
      <c r="G3740"/>
      <c r="H3740" s="242"/>
      <c r="I3740" s="242"/>
      <c r="J3740" s="242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</row>
    <row r="3741" spans="1:26" hidden="1" outlineLevel="2">
      <c r="A3741"/>
      <c r="B3741" s="249"/>
      <c r="C3741"/>
      <c r="D3741"/>
      <c r="E3741"/>
      <c r="F3741" s="242"/>
      <c r="G3741"/>
      <c r="H3741" s="242"/>
      <c r="I3741" s="242"/>
      <c r="J3741" s="242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</row>
    <row r="3742" spans="1:26" hidden="1" outlineLevel="2">
      <c r="A3742"/>
      <c r="B3742" s="249"/>
      <c r="C3742"/>
      <c r="D3742"/>
      <c r="E3742"/>
      <c r="F3742" s="242"/>
      <c r="G3742"/>
      <c r="H3742" s="242"/>
      <c r="I3742" s="242"/>
      <c r="J3742" s="242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</row>
    <row r="3743" spans="1:26" hidden="1" outlineLevel="2">
      <c r="A3743"/>
      <c r="B3743" s="249"/>
      <c r="C3743"/>
      <c r="D3743"/>
      <c r="E3743"/>
      <c r="F3743" s="242"/>
      <c r="G3743"/>
      <c r="H3743" s="242"/>
      <c r="I3743" s="242"/>
      <c r="J3743" s="242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</row>
    <row r="3744" spans="1:26" hidden="1" outlineLevel="2">
      <c r="A3744"/>
      <c r="B3744" s="249"/>
      <c r="C3744"/>
      <c r="D3744"/>
      <c r="E3744"/>
      <c r="F3744" s="242"/>
      <c r="G3744"/>
      <c r="H3744" s="242"/>
      <c r="I3744" s="242"/>
      <c r="J3744" s="242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</row>
    <row r="3745" spans="1:26" hidden="1" outlineLevel="2">
      <c r="A3745"/>
      <c r="B3745" s="249"/>
      <c r="C3745"/>
      <c r="D3745"/>
      <c r="E3745"/>
      <c r="F3745" s="242"/>
      <c r="G3745"/>
      <c r="H3745" s="242"/>
      <c r="I3745" s="242"/>
      <c r="J3745" s="242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</row>
    <row r="3746" spans="1:26" hidden="1" outlineLevel="2">
      <c r="A3746"/>
      <c r="B3746" s="249"/>
      <c r="C3746"/>
      <c r="D3746"/>
      <c r="E3746"/>
      <c r="F3746" s="242"/>
      <c r="G3746"/>
      <c r="H3746" s="242"/>
      <c r="I3746" s="242"/>
      <c r="J3746" s="242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</row>
    <row r="3747" spans="1:26" hidden="1" outlineLevel="2">
      <c r="A3747"/>
      <c r="B3747" s="249"/>
      <c r="C3747"/>
      <c r="D3747"/>
      <c r="E3747"/>
      <c r="F3747" s="242"/>
      <c r="G3747"/>
      <c r="H3747" s="242"/>
      <c r="I3747" s="242"/>
      <c r="J3747" s="242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</row>
    <row r="3748" spans="1:26" hidden="1" outlineLevel="2">
      <c r="A3748"/>
      <c r="B3748" s="249"/>
      <c r="C3748"/>
      <c r="D3748"/>
      <c r="E3748"/>
      <c r="F3748" s="242"/>
      <c r="G3748"/>
      <c r="H3748" s="242"/>
      <c r="I3748" s="242"/>
      <c r="J3748" s="242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</row>
    <row r="3749" spans="1:26" hidden="1" outlineLevel="2">
      <c r="A3749"/>
      <c r="B3749" s="249"/>
      <c r="C3749"/>
      <c r="D3749"/>
      <c r="E3749"/>
      <c r="F3749" s="242"/>
      <c r="G3749"/>
      <c r="H3749" s="242"/>
      <c r="I3749" s="242"/>
      <c r="J3749" s="242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</row>
    <row r="3750" spans="1:26" hidden="1" outlineLevel="2">
      <c r="A3750"/>
      <c r="B3750" s="249"/>
      <c r="C3750"/>
      <c r="D3750"/>
      <c r="E3750"/>
      <c r="F3750" s="242"/>
      <c r="G3750"/>
      <c r="H3750" s="242"/>
      <c r="I3750" s="242"/>
      <c r="J3750" s="242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</row>
    <row r="3751" spans="1:26" hidden="1" outlineLevel="2">
      <c r="A3751"/>
      <c r="B3751" s="249"/>
      <c r="C3751"/>
      <c r="D3751"/>
      <c r="E3751"/>
      <c r="F3751" s="242"/>
      <c r="G3751"/>
      <c r="H3751" s="242"/>
      <c r="I3751" s="242"/>
      <c r="J3751" s="242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</row>
    <row r="3752" spans="1:26" hidden="1" outlineLevel="2">
      <c r="A3752"/>
      <c r="B3752" s="249"/>
      <c r="C3752"/>
      <c r="D3752"/>
      <c r="E3752"/>
      <c r="F3752" s="242"/>
      <c r="G3752"/>
      <c r="H3752" s="242"/>
      <c r="I3752" s="242"/>
      <c r="J3752" s="242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</row>
    <row r="3753" spans="1:26" hidden="1" outlineLevel="2">
      <c r="A3753"/>
      <c r="B3753" s="249"/>
      <c r="C3753"/>
      <c r="D3753"/>
      <c r="E3753"/>
      <c r="F3753" s="242"/>
      <c r="G3753"/>
      <c r="H3753" s="242"/>
      <c r="I3753" s="242"/>
      <c r="J3753" s="242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</row>
    <row r="3754" spans="1:26" hidden="1" outlineLevel="2">
      <c r="A3754"/>
      <c r="B3754" s="249"/>
      <c r="C3754"/>
      <c r="D3754"/>
      <c r="E3754"/>
      <c r="F3754" s="242"/>
      <c r="G3754"/>
      <c r="H3754" s="242"/>
      <c r="I3754" s="242"/>
      <c r="J3754" s="242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</row>
    <row r="3755" spans="1:26" hidden="1" outlineLevel="2">
      <c r="A3755"/>
      <c r="B3755" s="249"/>
      <c r="C3755"/>
      <c r="D3755"/>
      <c r="E3755"/>
      <c r="F3755" s="242"/>
      <c r="G3755"/>
      <c r="H3755" s="242"/>
      <c r="I3755" s="242"/>
      <c r="J3755" s="242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</row>
    <row r="3756" spans="1:26" hidden="1" outlineLevel="2">
      <c r="A3756"/>
      <c r="B3756" s="249"/>
      <c r="C3756"/>
      <c r="D3756"/>
      <c r="E3756"/>
      <c r="F3756" s="242"/>
      <c r="G3756"/>
      <c r="H3756" s="242"/>
      <c r="I3756" s="242"/>
      <c r="J3756" s="242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</row>
    <row r="3757" spans="1:26" hidden="1" outlineLevel="2">
      <c r="A3757"/>
      <c r="B3757" s="249"/>
      <c r="C3757"/>
      <c r="D3757"/>
      <c r="E3757"/>
      <c r="F3757" s="242"/>
      <c r="G3757"/>
      <c r="H3757" s="242"/>
      <c r="I3757" s="242"/>
      <c r="J3757" s="242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</row>
    <row r="3758" spans="1:26" hidden="1" outlineLevel="2">
      <c r="A3758"/>
      <c r="B3758" s="249"/>
      <c r="C3758"/>
      <c r="D3758"/>
      <c r="E3758"/>
      <c r="F3758" s="242"/>
      <c r="G3758"/>
      <c r="H3758" s="242"/>
      <c r="I3758" s="242"/>
      <c r="J3758" s="242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</row>
    <row r="3759" spans="1:26" hidden="1" outlineLevel="2">
      <c r="A3759"/>
      <c r="B3759" s="249"/>
      <c r="C3759"/>
      <c r="D3759"/>
      <c r="E3759"/>
      <c r="F3759" s="242"/>
      <c r="G3759"/>
      <c r="H3759" s="242"/>
      <c r="I3759" s="242"/>
      <c r="J3759" s="242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</row>
    <row r="3760" spans="1:26" hidden="1" outlineLevel="2">
      <c r="A3760"/>
      <c r="B3760" s="249"/>
      <c r="C3760"/>
      <c r="D3760"/>
      <c r="E3760"/>
      <c r="F3760" s="242"/>
      <c r="G3760"/>
      <c r="H3760" s="242"/>
      <c r="I3760" s="242"/>
      <c r="J3760" s="242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</row>
    <row r="3761" spans="1:26" hidden="1" outlineLevel="2">
      <c r="A3761"/>
      <c r="B3761" s="249"/>
      <c r="C3761"/>
      <c r="D3761"/>
      <c r="E3761"/>
      <c r="F3761" s="242"/>
      <c r="G3761"/>
      <c r="H3761" s="242"/>
      <c r="I3761" s="242"/>
      <c r="J3761" s="242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</row>
    <row r="3762" spans="1:26" hidden="1" outlineLevel="2">
      <c r="A3762"/>
      <c r="B3762" s="249"/>
      <c r="C3762"/>
      <c r="D3762"/>
      <c r="E3762"/>
      <c r="F3762" s="242"/>
      <c r="G3762"/>
      <c r="H3762" s="242"/>
      <c r="I3762" s="242"/>
      <c r="J3762" s="242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</row>
    <row r="3763" spans="1:26" hidden="1" outlineLevel="2">
      <c r="A3763"/>
      <c r="B3763" s="249"/>
      <c r="C3763"/>
      <c r="D3763"/>
      <c r="E3763"/>
      <c r="F3763" s="242"/>
      <c r="G3763"/>
      <c r="H3763" s="242"/>
      <c r="I3763" s="242"/>
      <c r="J3763" s="242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</row>
    <row r="3764" spans="1:26" hidden="1" outlineLevel="2">
      <c r="A3764"/>
      <c r="B3764" s="249"/>
      <c r="C3764"/>
      <c r="D3764"/>
      <c r="E3764"/>
      <c r="F3764" s="242"/>
      <c r="G3764"/>
      <c r="H3764" s="242"/>
      <c r="I3764" s="242"/>
      <c r="J3764" s="242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</row>
    <row r="3765" spans="1:26" hidden="1" outlineLevel="2">
      <c r="A3765"/>
      <c r="B3765" s="249"/>
      <c r="C3765"/>
      <c r="D3765"/>
      <c r="E3765"/>
      <c r="F3765" s="242"/>
      <c r="G3765"/>
      <c r="H3765" s="242"/>
      <c r="I3765" s="242"/>
      <c r="J3765" s="242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</row>
    <row r="3766" spans="1:26" hidden="1" outlineLevel="2">
      <c r="A3766"/>
      <c r="B3766" s="249"/>
      <c r="C3766"/>
      <c r="D3766"/>
      <c r="E3766"/>
      <c r="F3766" s="242"/>
      <c r="G3766"/>
      <c r="H3766" s="242"/>
      <c r="I3766" s="242"/>
      <c r="J3766" s="242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</row>
    <row r="3767" spans="1:26" hidden="1" outlineLevel="2">
      <c r="A3767"/>
      <c r="B3767" s="249"/>
      <c r="C3767"/>
      <c r="D3767"/>
      <c r="E3767"/>
      <c r="F3767" s="242"/>
      <c r="G3767"/>
      <c r="H3767" s="242"/>
      <c r="I3767" s="242"/>
      <c r="J3767" s="242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</row>
    <row r="3768" spans="1:26" hidden="1" outlineLevel="2">
      <c r="A3768"/>
      <c r="B3768" s="249"/>
      <c r="C3768"/>
      <c r="D3768"/>
      <c r="E3768"/>
      <c r="F3768" s="242"/>
      <c r="G3768"/>
      <c r="H3768" s="242"/>
      <c r="I3768" s="242"/>
      <c r="J3768" s="242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</row>
    <row r="3769" spans="1:26" hidden="1" outlineLevel="2">
      <c r="A3769"/>
      <c r="B3769" s="249"/>
      <c r="C3769"/>
      <c r="D3769"/>
      <c r="E3769"/>
      <c r="F3769" s="242"/>
      <c r="G3769"/>
      <c r="H3769" s="242"/>
      <c r="I3769" s="242"/>
      <c r="J3769" s="242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</row>
    <row r="3770" spans="1:26" hidden="1" outlineLevel="2">
      <c r="A3770"/>
      <c r="B3770" s="249"/>
      <c r="C3770"/>
      <c r="D3770"/>
      <c r="E3770"/>
      <c r="F3770" s="242"/>
      <c r="G3770"/>
      <c r="H3770" s="242"/>
      <c r="I3770" s="242"/>
      <c r="J3770" s="242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</row>
    <row r="3771" spans="1:26" hidden="1" outlineLevel="2">
      <c r="A3771"/>
      <c r="B3771" s="249"/>
      <c r="C3771"/>
      <c r="D3771"/>
      <c r="E3771"/>
      <c r="F3771" s="242"/>
      <c r="G3771"/>
      <c r="H3771" s="242"/>
      <c r="I3771" s="242"/>
      <c r="J3771" s="242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</row>
    <row r="3772" spans="1:26" hidden="1" outlineLevel="2">
      <c r="A3772"/>
      <c r="B3772" s="249"/>
      <c r="C3772"/>
      <c r="D3772"/>
      <c r="E3772"/>
      <c r="F3772" s="242"/>
      <c r="G3772"/>
      <c r="H3772" s="242"/>
      <c r="I3772" s="242"/>
      <c r="J3772" s="242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</row>
    <row r="3773" spans="1:26" hidden="1" outlineLevel="2">
      <c r="A3773"/>
      <c r="B3773" s="249"/>
      <c r="C3773"/>
      <c r="D3773"/>
      <c r="E3773"/>
      <c r="F3773" s="242"/>
      <c r="G3773"/>
      <c r="H3773" s="242"/>
      <c r="I3773" s="242"/>
      <c r="J3773" s="242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</row>
    <row r="3774" spans="1:26" hidden="1" outlineLevel="2">
      <c r="A3774"/>
      <c r="B3774" s="249"/>
      <c r="C3774"/>
      <c r="D3774"/>
      <c r="E3774"/>
      <c r="F3774" s="242"/>
      <c r="G3774"/>
      <c r="H3774" s="242"/>
      <c r="I3774" s="242"/>
      <c r="J3774" s="242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</row>
    <row r="3775" spans="1:26" hidden="1" outlineLevel="2">
      <c r="A3775"/>
      <c r="B3775" s="249"/>
      <c r="C3775"/>
      <c r="D3775"/>
      <c r="E3775"/>
      <c r="F3775" s="242"/>
      <c r="G3775"/>
      <c r="H3775" s="242"/>
      <c r="I3775" s="242"/>
      <c r="J3775" s="242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</row>
    <row r="3776" spans="1:26" hidden="1" outlineLevel="2">
      <c r="A3776"/>
      <c r="B3776" s="249"/>
      <c r="C3776"/>
      <c r="D3776"/>
      <c r="E3776"/>
      <c r="F3776" s="242"/>
      <c r="G3776"/>
      <c r="H3776" s="242"/>
      <c r="I3776" s="242"/>
      <c r="J3776" s="242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</row>
    <row r="3777" spans="1:26" hidden="1" outlineLevel="2">
      <c r="A3777"/>
      <c r="B3777" s="249"/>
      <c r="C3777"/>
      <c r="D3777"/>
      <c r="E3777"/>
      <c r="F3777" s="242"/>
      <c r="G3777"/>
      <c r="H3777" s="242"/>
      <c r="I3777" s="242"/>
      <c r="J3777" s="242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</row>
    <row r="3778" spans="1:26" hidden="1" outlineLevel="2">
      <c r="A3778"/>
      <c r="B3778" s="249"/>
      <c r="C3778"/>
      <c r="D3778"/>
      <c r="E3778"/>
      <c r="F3778" s="242"/>
      <c r="G3778"/>
      <c r="H3778" s="242"/>
      <c r="I3778" s="242"/>
      <c r="J3778" s="242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</row>
    <row r="3779" spans="1:26" hidden="1" outlineLevel="2">
      <c r="A3779"/>
      <c r="B3779" s="249"/>
      <c r="C3779"/>
      <c r="D3779"/>
      <c r="E3779"/>
      <c r="F3779" s="242"/>
      <c r="G3779"/>
      <c r="H3779" s="242"/>
      <c r="I3779" s="242"/>
      <c r="J3779" s="242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</row>
    <row r="3780" spans="1:26" hidden="1" outlineLevel="2">
      <c r="A3780"/>
      <c r="B3780" s="249"/>
      <c r="C3780"/>
      <c r="D3780"/>
      <c r="E3780"/>
      <c r="F3780" s="242"/>
      <c r="G3780"/>
      <c r="H3780" s="242"/>
      <c r="I3780" s="242"/>
      <c r="J3780" s="242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</row>
    <row r="3781" spans="1:26" hidden="1" outlineLevel="2">
      <c r="A3781"/>
      <c r="B3781" s="249"/>
      <c r="C3781"/>
      <c r="D3781"/>
      <c r="E3781"/>
      <c r="F3781" s="242"/>
      <c r="G3781"/>
      <c r="H3781" s="242"/>
      <c r="I3781" s="242"/>
      <c r="J3781" s="242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</row>
    <row r="3782" spans="1:26" hidden="1" outlineLevel="2">
      <c r="A3782"/>
      <c r="B3782" s="249"/>
      <c r="C3782"/>
      <c r="D3782"/>
      <c r="E3782"/>
      <c r="F3782" s="242"/>
      <c r="G3782"/>
      <c r="H3782" s="242"/>
      <c r="I3782" s="242"/>
      <c r="J3782" s="242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</row>
    <row r="3783" spans="1:26" hidden="1">
      <c r="A3783"/>
      <c r="B3783" s="249"/>
      <c r="C3783"/>
      <c r="D3783"/>
      <c r="E3783"/>
      <c r="F3783" s="242"/>
      <c r="G3783"/>
      <c r="H3783" s="242"/>
      <c r="I3783" s="242"/>
      <c r="J3783" s="242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</row>
    <row r="3784" spans="1:26" hidden="1">
      <c r="A3784"/>
      <c r="B3784" s="249"/>
      <c r="C3784"/>
      <c r="D3784"/>
      <c r="E3784"/>
      <c r="F3784" s="242"/>
      <c r="G3784"/>
      <c r="H3784" s="242"/>
      <c r="I3784" s="242"/>
      <c r="J3784" s="242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</row>
    <row r="3785" spans="1:26" hidden="1">
      <c r="A3785"/>
      <c r="B3785" s="249"/>
      <c r="C3785"/>
      <c r="D3785"/>
      <c r="E3785"/>
      <c r="F3785" s="242"/>
      <c r="G3785"/>
      <c r="H3785" s="242"/>
      <c r="I3785" s="242"/>
      <c r="J3785" s="242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</row>
    <row r="3786" spans="1:26" hidden="1">
      <c r="A3786"/>
      <c r="B3786" s="249"/>
      <c r="C3786"/>
      <c r="D3786"/>
      <c r="E3786"/>
      <c r="F3786" s="242"/>
      <c r="G3786"/>
      <c r="H3786" s="242"/>
      <c r="I3786" s="242"/>
      <c r="J3786" s="242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</row>
    <row r="3787" spans="1:26" hidden="1">
      <c r="A3787"/>
      <c r="B3787" s="249"/>
      <c r="C3787"/>
      <c r="D3787"/>
      <c r="E3787"/>
      <c r="F3787" s="242"/>
      <c r="G3787"/>
      <c r="H3787" s="242"/>
      <c r="I3787" s="242"/>
      <c r="J3787" s="242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</row>
    <row r="3788" spans="1:26" hidden="1">
      <c r="A3788"/>
      <c r="B3788" s="249"/>
      <c r="C3788"/>
      <c r="D3788"/>
      <c r="E3788"/>
      <c r="F3788" s="242"/>
      <c r="G3788"/>
      <c r="H3788" s="242"/>
      <c r="I3788" s="242"/>
      <c r="J3788" s="242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</row>
    <row r="3789" spans="1:26" hidden="1">
      <c r="A3789"/>
      <c r="B3789" s="249"/>
      <c r="C3789"/>
      <c r="D3789"/>
      <c r="E3789"/>
      <c r="F3789" s="242"/>
      <c r="G3789"/>
      <c r="H3789" s="242"/>
      <c r="I3789" s="242"/>
      <c r="J3789" s="242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</row>
    <row r="3790" spans="1:26" hidden="1">
      <c r="A3790"/>
      <c r="B3790" s="249"/>
      <c r="C3790"/>
      <c r="D3790"/>
      <c r="E3790"/>
      <c r="F3790" s="242"/>
      <c r="G3790"/>
      <c r="H3790" s="242"/>
      <c r="I3790" s="242"/>
      <c r="J3790" s="242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</row>
    <row r="3791" spans="1:26" hidden="1">
      <c r="A3791"/>
      <c r="B3791" s="249"/>
      <c r="C3791"/>
      <c r="D3791"/>
      <c r="E3791"/>
      <c r="F3791" s="242"/>
      <c r="G3791"/>
      <c r="H3791" s="242"/>
      <c r="I3791" s="242"/>
      <c r="J3791" s="242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</row>
    <row r="3792" spans="1:26" hidden="1">
      <c r="A3792"/>
      <c r="B3792" s="249"/>
      <c r="C3792"/>
      <c r="D3792"/>
      <c r="E3792"/>
      <c r="F3792" s="242"/>
      <c r="G3792"/>
      <c r="H3792" s="242"/>
      <c r="I3792" s="242"/>
      <c r="J3792" s="242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</row>
    <row r="3793" spans="1:26" hidden="1">
      <c r="A3793"/>
      <c r="B3793" s="249"/>
      <c r="C3793"/>
      <c r="D3793"/>
      <c r="E3793"/>
      <c r="F3793" s="242"/>
      <c r="G3793"/>
      <c r="H3793" s="242"/>
      <c r="I3793" s="242"/>
      <c r="J3793" s="242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</row>
    <row r="3794" spans="1:26" hidden="1">
      <c r="A3794"/>
      <c r="B3794" s="249"/>
      <c r="C3794"/>
      <c r="D3794"/>
      <c r="E3794"/>
      <c r="F3794" s="242"/>
      <c r="G3794"/>
      <c r="H3794" s="242"/>
      <c r="I3794" s="242"/>
      <c r="J3794" s="242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</row>
    <row r="3795" spans="1:26" hidden="1">
      <c r="A3795"/>
      <c r="B3795" s="249"/>
      <c r="C3795"/>
      <c r="D3795"/>
      <c r="E3795"/>
      <c r="F3795" s="242"/>
      <c r="G3795"/>
      <c r="H3795" s="242"/>
      <c r="I3795" s="242"/>
      <c r="J3795" s="242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</row>
    <row r="3796" spans="1:26" hidden="1">
      <c r="A3796"/>
      <c r="B3796" s="249"/>
      <c r="C3796"/>
      <c r="D3796"/>
      <c r="E3796"/>
      <c r="F3796" s="242"/>
      <c r="G3796"/>
      <c r="H3796" s="242"/>
      <c r="I3796" s="242"/>
      <c r="J3796" s="242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</row>
    <row r="3797" spans="1:26" hidden="1">
      <c r="A3797"/>
      <c r="B3797" s="249"/>
      <c r="C3797"/>
      <c r="D3797"/>
      <c r="E3797"/>
      <c r="F3797" s="242"/>
      <c r="G3797"/>
      <c r="H3797" s="242"/>
      <c r="I3797" s="242"/>
      <c r="J3797" s="242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</row>
    <row r="3798" spans="1:26" hidden="1">
      <c r="A3798"/>
      <c r="B3798" s="249"/>
      <c r="C3798"/>
      <c r="D3798"/>
      <c r="E3798"/>
      <c r="F3798" s="242"/>
      <c r="G3798"/>
      <c r="H3798" s="242"/>
      <c r="I3798" s="242"/>
      <c r="J3798" s="242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</row>
    <row r="3799" spans="1:26" hidden="1">
      <c r="A3799"/>
      <c r="B3799" s="249"/>
      <c r="C3799"/>
      <c r="D3799"/>
      <c r="E3799"/>
      <c r="F3799" s="242"/>
      <c r="G3799"/>
      <c r="H3799" s="242"/>
      <c r="I3799" s="242"/>
      <c r="J3799" s="242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</row>
    <row r="3800" spans="1:26" hidden="1">
      <c r="A3800"/>
      <c r="B3800" s="249"/>
      <c r="C3800"/>
      <c r="D3800"/>
      <c r="E3800"/>
      <c r="F3800" s="242"/>
      <c r="G3800"/>
      <c r="H3800" s="242"/>
      <c r="I3800" s="242"/>
      <c r="J3800" s="242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</row>
    <row r="3801" spans="1:26" hidden="1">
      <c r="A3801"/>
      <c r="B3801" s="249"/>
      <c r="C3801"/>
      <c r="D3801"/>
      <c r="E3801"/>
      <c r="F3801" s="242"/>
      <c r="G3801"/>
      <c r="H3801" s="242"/>
      <c r="I3801" s="242"/>
      <c r="J3801" s="242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</row>
    <row r="3802" spans="1:26" hidden="1">
      <c r="A3802"/>
      <c r="B3802" s="249"/>
      <c r="C3802"/>
      <c r="D3802"/>
      <c r="E3802"/>
      <c r="F3802" s="242"/>
      <c r="G3802"/>
      <c r="H3802" s="242"/>
      <c r="I3802" s="242"/>
      <c r="J3802" s="242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</row>
    <row r="3803" spans="1:26" hidden="1">
      <c r="A3803"/>
      <c r="B3803" s="249"/>
      <c r="C3803"/>
      <c r="D3803"/>
      <c r="E3803"/>
      <c r="F3803" s="242"/>
      <c r="G3803"/>
      <c r="H3803" s="242"/>
      <c r="I3803" s="242"/>
      <c r="J3803" s="242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</row>
    <row r="3804" spans="1:26" hidden="1">
      <c r="A3804"/>
      <c r="B3804" s="249"/>
      <c r="C3804"/>
      <c r="D3804"/>
      <c r="E3804"/>
      <c r="F3804" s="242"/>
      <c r="G3804"/>
      <c r="H3804" s="242"/>
      <c r="I3804" s="242"/>
      <c r="J3804" s="242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</row>
    <row r="3805" spans="1:26" hidden="1">
      <c r="A3805"/>
      <c r="B3805" s="249"/>
      <c r="C3805"/>
      <c r="D3805"/>
      <c r="E3805"/>
      <c r="F3805" s="242"/>
      <c r="G3805"/>
      <c r="H3805" s="242"/>
      <c r="I3805" s="242"/>
      <c r="J3805" s="242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</row>
    <row r="3806" spans="1:26" hidden="1">
      <c r="A3806"/>
      <c r="B3806" s="249"/>
      <c r="C3806"/>
      <c r="D3806"/>
      <c r="E3806"/>
      <c r="F3806" s="242"/>
      <c r="G3806"/>
      <c r="H3806" s="242"/>
      <c r="I3806" s="242"/>
      <c r="J3806" s="242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</row>
    <row r="3807" spans="1:26" hidden="1">
      <c r="A3807"/>
      <c r="B3807" s="249"/>
      <c r="C3807"/>
      <c r="D3807"/>
      <c r="E3807"/>
      <c r="F3807" s="242"/>
      <c r="G3807"/>
      <c r="H3807" s="242"/>
      <c r="I3807" s="242"/>
      <c r="J3807" s="242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</row>
    <row r="3808" spans="1:26" hidden="1">
      <c r="A3808"/>
      <c r="B3808" s="249"/>
      <c r="C3808"/>
      <c r="D3808"/>
      <c r="E3808"/>
      <c r="F3808" s="242"/>
      <c r="G3808"/>
      <c r="H3808" s="242"/>
      <c r="I3808" s="242"/>
      <c r="J3808" s="242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</row>
    <row r="3809" spans="1:26" hidden="1">
      <c r="A3809"/>
      <c r="B3809" s="249"/>
      <c r="C3809"/>
      <c r="D3809"/>
      <c r="E3809"/>
      <c r="F3809" s="242"/>
      <c r="G3809"/>
      <c r="H3809" s="242"/>
      <c r="I3809" s="242"/>
      <c r="J3809" s="242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</row>
    <row r="3810" spans="1:26" hidden="1">
      <c r="A3810"/>
      <c r="B3810" s="249"/>
      <c r="C3810"/>
      <c r="D3810"/>
      <c r="E3810"/>
      <c r="F3810" s="242"/>
      <c r="G3810"/>
      <c r="H3810" s="242"/>
      <c r="I3810" s="242"/>
      <c r="J3810" s="242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</row>
    <row r="3811" spans="1:26" hidden="1">
      <c r="A3811"/>
      <c r="B3811" s="249"/>
      <c r="C3811"/>
      <c r="D3811"/>
      <c r="E3811"/>
      <c r="F3811" s="242"/>
      <c r="G3811"/>
      <c r="H3811" s="242"/>
      <c r="I3811" s="242"/>
      <c r="J3811" s="242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</row>
    <row r="3812" spans="1:26" hidden="1">
      <c r="A3812"/>
      <c r="B3812" s="249"/>
      <c r="C3812"/>
      <c r="D3812"/>
      <c r="E3812"/>
      <c r="F3812" s="242"/>
      <c r="G3812"/>
      <c r="H3812" s="242"/>
      <c r="I3812" s="242"/>
      <c r="J3812" s="242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</row>
    <row r="3813" spans="1:26" hidden="1">
      <c r="A3813"/>
      <c r="B3813" s="249"/>
      <c r="C3813"/>
      <c r="D3813"/>
      <c r="E3813"/>
      <c r="F3813" s="242"/>
      <c r="G3813"/>
      <c r="H3813" s="242"/>
      <c r="I3813" s="242"/>
      <c r="J3813" s="242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</row>
    <row r="3814" spans="1:26" hidden="1">
      <c r="A3814"/>
      <c r="B3814" s="249"/>
      <c r="C3814"/>
      <c r="D3814"/>
      <c r="E3814"/>
      <c r="F3814" s="242"/>
      <c r="G3814"/>
      <c r="H3814" s="242"/>
      <c r="I3814" s="242"/>
      <c r="J3814" s="242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</row>
    <row r="3815" spans="1:26" hidden="1">
      <c r="A3815"/>
      <c r="B3815" s="249"/>
      <c r="C3815"/>
      <c r="D3815"/>
      <c r="E3815"/>
      <c r="F3815" s="242"/>
      <c r="G3815"/>
      <c r="H3815" s="242"/>
      <c r="I3815" s="242"/>
      <c r="J3815" s="242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</row>
    <row r="3816" spans="1:26" hidden="1">
      <c r="A3816"/>
      <c r="B3816" s="249"/>
      <c r="C3816"/>
      <c r="D3816"/>
      <c r="E3816"/>
      <c r="F3816" s="242"/>
      <c r="G3816"/>
      <c r="H3816" s="242"/>
      <c r="I3816" s="242"/>
      <c r="J3816" s="242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</row>
    <row r="3817" spans="1:26" hidden="1">
      <c r="A3817"/>
      <c r="B3817" s="249"/>
      <c r="C3817"/>
      <c r="D3817"/>
      <c r="E3817"/>
      <c r="F3817" s="242"/>
      <c r="G3817"/>
      <c r="H3817" s="242"/>
      <c r="I3817" s="242"/>
      <c r="J3817" s="242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</row>
    <row r="3818" spans="1:26" hidden="1">
      <c r="A3818"/>
      <c r="B3818" s="249"/>
      <c r="C3818"/>
      <c r="D3818"/>
      <c r="E3818"/>
      <c r="F3818" s="242"/>
      <c r="G3818"/>
      <c r="H3818" s="242"/>
      <c r="I3818" s="242"/>
      <c r="J3818" s="242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</row>
    <row r="3819" spans="1:26" hidden="1">
      <c r="A3819"/>
      <c r="B3819" s="249"/>
      <c r="C3819"/>
      <c r="D3819"/>
      <c r="E3819"/>
      <c r="F3819" s="242"/>
      <c r="G3819"/>
      <c r="H3819" s="242"/>
      <c r="I3819" s="242"/>
      <c r="J3819" s="242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</row>
    <row r="3820" spans="1:26" hidden="1">
      <c r="A3820"/>
      <c r="B3820" s="249"/>
      <c r="C3820"/>
      <c r="D3820"/>
      <c r="E3820"/>
      <c r="F3820" s="242"/>
      <c r="G3820"/>
      <c r="H3820" s="242"/>
      <c r="I3820" s="242"/>
      <c r="J3820" s="242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</row>
    <row r="3821" spans="1:26" hidden="1">
      <c r="A3821"/>
      <c r="B3821" s="249"/>
      <c r="C3821"/>
      <c r="D3821"/>
      <c r="E3821"/>
      <c r="F3821" s="242"/>
      <c r="G3821"/>
      <c r="H3821" s="242"/>
      <c r="I3821" s="242"/>
      <c r="J3821" s="242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</row>
    <row r="3822" spans="1:26" hidden="1">
      <c r="A3822"/>
      <c r="B3822" s="249"/>
      <c r="C3822"/>
      <c r="D3822"/>
      <c r="E3822"/>
      <c r="F3822" s="242"/>
      <c r="G3822"/>
      <c r="H3822" s="242"/>
      <c r="I3822" s="242"/>
      <c r="J3822" s="242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</row>
    <row r="3823" spans="1:26" hidden="1">
      <c r="A3823"/>
      <c r="B3823" s="249"/>
      <c r="C3823"/>
      <c r="D3823"/>
      <c r="E3823"/>
      <c r="F3823" s="242"/>
      <c r="G3823"/>
      <c r="H3823" s="242"/>
      <c r="I3823" s="242"/>
      <c r="J3823" s="242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</row>
    <row r="3824" spans="1:26" hidden="1">
      <c r="A3824"/>
      <c r="B3824" s="249"/>
      <c r="C3824"/>
      <c r="D3824"/>
      <c r="E3824"/>
      <c r="F3824" s="242"/>
      <c r="G3824"/>
      <c r="H3824" s="242"/>
      <c r="I3824" s="242"/>
      <c r="J3824" s="242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</row>
    <row r="3825" spans="1:26" hidden="1">
      <c r="A3825"/>
      <c r="B3825" s="249"/>
      <c r="C3825"/>
      <c r="D3825"/>
      <c r="E3825"/>
      <c r="F3825" s="242"/>
      <c r="G3825"/>
      <c r="H3825" s="242"/>
      <c r="I3825" s="242"/>
      <c r="J3825" s="242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</row>
    <row r="3826" spans="1:26" hidden="1">
      <c r="A3826"/>
      <c r="B3826" s="249"/>
      <c r="C3826"/>
      <c r="D3826"/>
      <c r="E3826"/>
      <c r="F3826" s="242"/>
      <c r="G3826"/>
      <c r="H3826" s="242"/>
      <c r="I3826" s="242"/>
      <c r="J3826" s="242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</row>
    <row r="3827" spans="1:26" hidden="1">
      <c r="A3827"/>
      <c r="B3827" s="249"/>
      <c r="C3827"/>
      <c r="D3827"/>
      <c r="E3827"/>
      <c r="F3827" s="242"/>
      <c r="G3827"/>
      <c r="H3827" s="242"/>
      <c r="I3827" s="242"/>
      <c r="J3827" s="242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</row>
    <row r="3828" spans="1:26" hidden="1">
      <c r="A3828"/>
      <c r="B3828" s="249"/>
      <c r="C3828"/>
      <c r="D3828"/>
      <c r="E3828"/>
      <c r="F3828" s="242"/>
      <c r="G3828"/>
      <c r="H3828" s="242"/>
      <c r="I3828" s="242"/>
      <c r="J3828" s="242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</row>
    <row r="3829" spans="1:26" hidden="1">
      <c r="A3829"/>
      <c r="B3829" s="249"/>
      <c r="C3829"/>
      <c r="D3829"/>
      <c r="E3829"/>
      <c r="F3829" s="242"/>
      <c r="G3829"/>
      <c r="H3829" s="242"/>
      <c r="I3829" s="242"/>
      <c r="J3829" s="242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</row>
    <row r="3830" spans="1:26" hidden="1">
      <c r="A3830"/>
      <c r="B3830" s="249"/>
      <c r="C3830"/>
      <c r="D3830"/>
      <c r="E3830"/>
      <c r="F3830" s="242"/>
      <c r="G3830"/>
      <c r="H3830" s="242"/>
      <c r="I3830" s="242"/>
      <c r="J3830" s="242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</row>
    <row r="3831" spans="1:26" hidden="1">
      <c r="A3831"/>
      <c r="B3831" s="249"/>
      <c r="C3831"/>
      <c r="D3831"/>
      <c r="E3831"/>
      <c r="F3831" s="242"/>
      <c r="G3831"/>
      <c r="H3831" s="242"/>
      <c r="I3831" s="242"/>
      <c r="J3831" s="242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</row>
    <row r="3832" spans="1:26" hidden="1">
      <c r="A3832"/>
      <c r="B3832" s="249"/>
      <c r="C3832"/>
      <c r="D3832"/>
      <c r="E3832"/>
      <c r="F3832" s="242"/>
      <c r="G3832"/>
      <c r="H3832" s="242"/>
      <c r="I3832" s="242"/>
      <c r="J3832" s="242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</row>
    <row r="3833" spans="1:26" hidden="1">
      <c r="A3833"/>
      <c r="B3833" s="249"/>
      <c r="C3833"/>
      <c r="D3833"/>
      <c r="E3833"/>
      <c r="F3833" s="242"/>
      <c r="G3833"/>
      <c r="H3833" s="242"/>
      <c r="I3833" s="242"/>
      <c r="J3833" s="242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</row>
    <row r="3834" spans="1:26" hidden="1">
      <c r="A3834"/>
      <c r="B3834" s="249"/>
      <c r="C3834"/>
      <c r="D3834"/>
      <c r="E3834"/>
      <c r="F3834" s="242"/>
      <c r="G3834"/>
      <c r="H3834" s="242"/>
      <c r="I3834" s="242"/>
      <c r="J3834" s="242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</row>
    <row r="3835" spans="1:26" hidden="1">
      <c r="A3835"/>
      <c r="B3835" s="249"/>
      <c r="C3835"/>
      <c r="D3835"/>
      <c r="E3835"/>
      <c r="F3835" s="242"/>
      <c r="G3835"/>
      <c r="H3835" s="242"/>
      <c r="I3835" s="242"/>
      <c r="J3835" s="242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</row>
    <row r="3836" spans="1:26" hidden="1">
      <c r="A3836"/>
      <c r="B3836" s="249"/>
      <c r="C3836"/>
      <c r="D3836"/>
      <c r="E3836"/>
      <c r="F3836" s="242"/>
      <c r="G3836"/>
      <c r="H3836" s="242"/>
      <c r="I3836" s="242"/>
      <c r="J3836" s="242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</row>
    <row r="3837" spans="1:26" hidden="1">
      <c r="A3837"/>
      <c r="B3837" s="249"/>
      <c r="C3837"/>
      <c r="D3837"/>
      <c r="E3837"/>
      <c r="F3837" s="242"/>
      <c r="G3837"/>
      <c r="H3837" s="242"/>
      <c r="I3837" s="242"/>
      <c r="J3837" s="242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</row>
    <row r="3838" spans="1:26" hidden="1">
      <c r="A3838"/>
      <c r="B3838" s="249"/>
      <c r="C3838"/>
      <c r="D3838"/>
      <c r="E3838"/>
      <c r="F3838" s="242"/>
      <c r="G3838"/>
      <c r="H3838" s="242"/>
      <c r="I3838" s="242"/>
      <c r="J3838" s="242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</row>
    <row r="3839" spans="1:26" hidden="1">
      <c r="A3839"/>
      <c r="B3839" s="249"/>
      <c r="C3839"/>
      <c r="D3839"/>
      <c r="E3839"/>
      <c r="F3839" s="242"/>
      <c r="G3839"/>
      <c r="H3839" s="242"/>
      <c r="I3839" s="242"/>
      <c r="J3839" s="242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</row>
    <row r="3840" spans="1:26" hidden="1">
      <c r="A3840"/>
      <c r="B3840" s="249"/>
      <c r="C3840"/>
      <c r="D3840"/>
      <c r="E3840"/>
      <c r="F3840" s="242"/>
      <c r="G3840"/>
      <c r="H3840" s="242"/>
      <c r="I3840" s="242"/>
      <c r="J3840" s="242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</row>
    <row r="3841" spans="1:26" hidden="1">
      <c r="A3841"/>
      <c r="B3841" s="249"/>
      <c r="C3841"/>
      <c r="D3841"/>
      <c r="E3841"/>
      <c r="F3841" s="242"/>
      <c r="G3841"/>
      <c r="H3841" s="242"/>
      <c r="I3841" s="242"/>
      <c r="J3841" s="242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</row>
    <row r="3842" spans="1:26" hidden="1">
      <c r="A3842"/>
      <c r="B3842" s="249"/>
      <c r="C3842"/>
      <c r="D3842"/>
      <c r="E3842"/>
      <c r="F3842" s="242"/>
      <c r="G3842"/>
      <c r="H3842" s="242"/>
      <c r="I3842" s="242"/>
      <c r="J3842" s="242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</row>
    <row r="3843" spans="1:26" hidden="1">
      <c r="A3843"/>
      <c r="B3843" s="249"/>
      <c r="C3843"/>
      <c r="D3843"/>
      <c r="E3843"/>
      <c r="F3843" s="242"/>
      <c r="G3843"/>
      <c r="H3843" s="242"/>
      <c r="I3843" s="242"/>
      <c r="J3843" s="242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</row>
    <row r="3844" spans="1:26" hidden="1">
      <c r="A3844"/>
      <c r="B3844" s="249"/>
      <c r="C3844"/>
      <c r="D3844"/>
      <c r="E3844"/>
      <c r="F3844" s="242"/>
      <c r="G3844"/>
      <c r="H3844" s="242"/>
      <c r="I3844" s="242"/>
      <c r="J3844" s="242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</row>
    <row r="3845" spans="1:26" hidden="1">
      <c r="A3845"/>
      <c r="B3845" s="249"/>
      <c r="C3845"/>
      <c r="D3845"/>
      <c r="E3845"/>
      <c r="F3845" s="242"/>
      <c r="G3845"/>
      <c r="H3845" s="242"/>
      <c r="I3845" s="242"/>
      <c r="J3845" s="242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</row>
    <row r="3846" spans="1:26" hidden="1">
      <c r="A3846"/>
      <c r="B3846" s="249"/>
      <c r="C3846"/>
      <c r="D3846"/>
      <c r="E3846"/>
      <c r="F3846" s="242"/>
      <c r="G3846"/>
      <c r="H3846" s="242"/>
      <c r="I3846" s="242"/>
      <c r="J3846" s="242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</row>
    <row r="3847" spans="1:26" hidden="1">
      <c r="A3847"/>
      <c r="B3847" s="249"/>
      <c r="C3847"/>
      <c r="D3847"/>
      <c r="E3847"/>
      <c r="F3847" s="242"/>
      <c r="G3847"/>
      <c r="H3847" s="242"/>
      <c r="I3847" s="242"/>
      <c r="J3847" s="242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</row>
    <row r="3848" spans="1:26" hidden="1">
      <c r="A3848"/>
      <c r="B3848" s="249"/>
      <c r="C3848"/>
      <c r="D3848"/>
      <c r="E3848"/>
      <c r="F3848" s="242"/>
      <c r="G3848"/>
      <c r="H3848" s="242"/>
      <c r="I3848" s="242"/>
      <c r="J3848" s="242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</row>
    <row r="3849" spans="1:26" hidden="1">
      <c r="A3849"/>
      <c r="B3849" s="249"/>
      <c r="C3849"/>
      <c r="D3849"/>
      <c r="E3849"/>
      <c r="F3849" s="242"/>
      <c r="G3849"/>
      <c r="H3849" s="242"/>
      <c r="I3849" s="242"/>
      <c r="J3849" s="242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</row>
    <row r="3850" spans="1:26" hidden="1">
      <c r="A3850"/>
      <c r="B3850" s="249"/>
      <c r="C3850"/>
      <c r="D3850"/>
      <c r="E3850"/>
      <c r="F3850" s="242"/>
      <c r="G3850"/>
      <c r="H3850" s="242"/>
      <c r="I3850" s="242"/>
      <c r="J3850" s="242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</row>
    <row r="3851" spans="1:26" hidden="1">
      <c r="A3851"/>
      <c r="B3851" s="249"/>
      <c r="C3851"/>
      <c r="D3851"/>
      <c r="E3851"/>
      <c r="F3851" s="242"/>
      <c r="G3851"/>
      <c r="H3851" s="242"/>
      <c r="I3851" s="242"/>
      <c r="J3851" s="242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</row>
    <row r="3852" spans="1:26" hidden="1">
      <c r="A3852"/>
      <c r="B3852" s="249"/>
      <c r="C3852"/>
      <c r="D3852"/>
      <c r="E3852"/>
      <c r="F3852" s="242"/>
      <c r="G3852"/>
      <c r="H3852" s="242"/>
      <c r="I3852" s="242"/>
      <c r="J3852" s="242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</row>
    <row r="3853" spans="1:26" hidden="1">
      <c r="A3853"/>
      <c r="B3853" s="249"/>
      <c r="C3853"/>
      <c r="D3853"/>
      <c r="E3853"/>
      <c r="F3853" s="242"/>
      <c r="G3853"/>
      <c r="H3853" s="242"/>
      <c r="I3853" s="242"/>
      <c r="J3853" s="242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</row>
    <row r="3854" spans="1:26" hidden="1">
      <c r="A3854"/>
      <c r="B3854" s="249"/>
      <c r="C3854"/>
      <c r="D3854"/>
      <c r="E3854"/>
      <c r="F3854" s="242"/>
      <c r="G3854"/>
      <c r="H3854" s="242"/>
      <c r="I3854" s="242"/>
      <c r="J3854" s="242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</row>
    <row r="3855" spans="1:26" hidden="1">
      <c r="A3855"/>
      <c r="B3855" s="249"/>
      <c r="C3855"/>
      <c r="D3855"/>
      <c r="E3855"/>
      <c r="F3855" s="242"/>
      <c r="G3855"/>
      <c r="H3855" s="242"/>
      <c r="I3855" s="242"/>
      <c r="J3855" s="242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</row>
    <row r="3856" spans="1:26" hidden="1">
      <c r="A3856"/>
      <c r="B3856" s="249"/>
      <c r="C3856"/>
      <c r="D3856"/>
      <c r="E3856"/>
      <c r="F3856" s="242"/>
      <c r="G3856"/>
      <c r="H3856" s="242"/>
      <c r="I3856" s="242"/>
      <c r="J3856" s="242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</row>
    <row r="3857" spans="1:26" hidden="1">
      <c r="A3857"/>
      <c r="B3857" s="249"/>
      <c r="C3857"/>
      <c r="D3857"/>
      <c r="E3857"/>
      <c r="F3857" s="242"/>
      <c r="G3857"/>
      <c r="H3857" s="242"/>
      <c r="I3857" s="242"/>
      <c r="J3857" s="242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</row>
    <row r="3858" spans="1:26" hidden="1">
      <c r="A3858"/>
      <c r="B3858" s="249"/>
      <c r="C3858"/>
      <c r="D3858"/>
      <c r="E3858"/>
      <c r="F3858" s="242"/>
      <c r="G3858"/>
      <c r="H3858" s="242"/>
      <c r="I3858" s="242"/>
      <c r="J3858" s="242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</row>
    <row r="3859" spans="1:26" hidden="1">
      <c r="A3859"/>
      <c r="B3859" s="249"/>
      <c r="C3859"/>
      <c r="D3859"/>
      <c r="E3859"/>
      <c r="F3859" s="242"/>
      <c r="G3859"/>
      <c r="H3859" s="242"/>
      <c r="I3859" s="242"/>
      <c r="J3859" s="242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</row>
    <row r="3860" spans="1:26" hidden="1">
      <c r="A3860"/>
      <c r="B3860" s="249"/>
      <c r="C3860"/>
      <c r="D3860"/>
      <c r="E3860"/>
      <c r="F3860" s="242"/>
      <c r="G3860"/>
      <c r="H3860" s="242"/>
      <c r="I3860" s="242"/>
      <c r="J3860" s="242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</row>
    <row r="3861" spans="1:26" hidden="1">
      <c r="A3861"/>
      <c r="B3861" s="249"/>
      <c r="C3861"/>
      <c r="D3861"/>
      <c r="E3861"/>
      <c r="F3861" s="242"/>
      <c r="G3861"/>
      <c r="H3861" s="242"/>
      <c r="I3861" s="242"/>
      <c r="J3861" s="242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</row>
    <row r="3862" spans="1:26" hidden="1">
      <c r="A3862"/>
      <c r="B3862" s="249"/>
      <c r="C3862"/>
      <c r="D3862"/>
      <c r="E3862"/>
      <c r="F3862" s="242"/>
      <c r="G3862"/>
      <c r="H3862" s="242"/>
      <c r="I3862" s="242"/>
      <c r="J3862" s="242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</row>
    <row r="3863" spans="1:26" hidden="1">
      <c r="A3863"/>
      <c r="B3863" s="249"/>
      <c r="C3863"/>
      <c r="D3863"/>
      <c r="E3863"/>
      <c r="F3863" s="242"/>
      <c r="G3863"/>
      <c r="H3863" s="242"/>
      <c r="I3863" s="242"/>
      <c r="J3863" s="242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</row>
    <row r="3864" spans="1:26" hidden="1">
      <c r="A3864"/>
      <c r="B3864" s="249"/>
      <c r="C3864"/>
      <c r="D3864"/>
      <c r="E3864"/>
      <c r="F3864" s="242"/>
      <c r="G3864"/>
      <c r="H3864" s="242"/>
      <c r="I3864" s="242"/>
      <c r="J3864" s="242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</row>
    <row r="3865" spans="1:26" hidden="1">
      <c r="A3865"/>
      <c r="B3865" s="249"/>
      <c r="C3865"/>
      <c r="D3865"/>
      <c r="E3865"/>
      <c r="F3865" s="242"/>
      <c r="G3865"/>
      <c r="H3865" s="242"/>
      <c r="I3865" s="242"/>
      <c r="J3865" s="242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</row>
    <row r="3866" spans="1:26" hidden="1">
      <c r="A3866"/>
      <c r="B3866" s="249"/>
      <c r="C3866"/>
      <c r="D3866"/>
      <c r="E3866"/>
      <c r="F3866" s="242"/>
      <c r="G3866"/>
      <c r="H3866" s="242"/>
      <c r="I3866" s="242"/>
      <c r="J3866" s="242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</row>
    <row r="3867" spans="1:26" hidden="1">
      <c r="A3867"/>
      <c r="B3867" s="249"/>
      <c r="C3867"/>
      <c r="D3867"/>
      <c r="E3867"/>
      <c r="F3867" s="242"/>
      <c r="G3867"/>
      <c r="H3867" s="242"/>
      <c r="I3867" s="242"/>
      <c r="J3867" s="242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</row>
    <row r="3868" spans="1:26" hidden="1">
      <c r="A3868"/>
      <c r="B3868" s="249"/>
      <c r="C3868"/>
      <c r="D3868"/>
      <c r="E3868"/>
      <c r="F3868" s="242"/>
      <c r="G3868"/>
      <c r="H3868" s="242"/>
      <c r="I3868" s="242"/>
      <c r="J3868" s="242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</row>
    <row r="3869" spans="1:26" hidden="1">
      <c r="A3869"/>
      <c r="B3869" s="249"/>
      <c r="C3869"/>
      <c r="D3869"/>
      <c r="E3869"/>
      <c r="F3869" s="242"/>
      <c r="G3869"/>
      <c r="H3869" s="242"/>
      <c r="I3869" s="242"/>
      <c r="J3869" s="242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</row>
    <row r="3870" spans="1:26" hidden="1">
      <c r="A3870"/>
      <c r="B3870" s="249"/>
      <c r="C3870"/>
      <c r="D3870"/>
      <c r="E3870"/>
      <c r="F3870" s="242"/>
      <c r="G3870"/>
      <c r="H3870" s="242"/>
      <c r="I3870" s="242"/>
      <c r="J3870" s="242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</row>
    <row r="3871" spans="1:26" hidden="1">
      <c r="A3871"/>
      <c r="B3871" s="249"/>
      <c r="C3871"/>
      <c r="D3871"/>
      <c r="E3871"/>
      <c r="F3871" s="242"/>
      <c r="G3871"/>
      <c r="H3871" s="242"/>
      <c r="I3871" s="242"/>
      <c r="J3871" s="242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</row>
    <row r="3872" spans="1:26" hidden="1">
      <c r="A3872"/>
      <c r="B3872" s="249"/>
      <c r="C3872"/>
      <c r="D3872"/>
      <c r="E3872"/>
      <c r="F3872" s="242"/>
      <c r="G3872"/>
      <c r="H3872" s="242"/>
      <c r="I3872" s="242"/>
      <c r="J3872" s="242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</row>
    <row r="3873" spans="1:26" hidden="1">
      <c r="A3873"/>
      <c r="B3873" s="249"/>
      <c r="C3873"/>
      <c r="D3873"/>
      <c r="E3873"/>
      <c r="F3873" s="242"/>
      <c r="G3873"/>
      <c r="H3873" s="242"/>
      <c r="I3873" s="242"/>
      <c r="J3873" s="242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</row>
    <row r="3874" spans="1:26" hidden="1">
      <c r="A3874"/>
      <c r="B3874" s="249"/>
      <c r="C3874"/>
      <c r="D3874"/>
      <c r="E3874"/>
      <c r="F3874" s="242"/>
      <c r="G3874"/>
      <c r="H3874" s="242"/>
      <c r="I3874" s="242"/>
      <c r="J3874" s="242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</row>
    <row r="3875" spans="1:26" hidden="1">
      <c r="A3875"/>
      <c r="B3875" s="249"/>
      <c r="C3875"/>
      <c r="D3875"/>
      <c r="E3875"/>
      <c r="F3875" s="242"/>
      <c r="G3875"/>
      <c r="H3875" s="242"/>
      <c r="I3875" s="242"/>
      <c r="J3875" s="242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</row>
    <row r="3876" spans="1:26" hidden="1">
      <c r="A3876"/>
      <c r="B3876" s="249"/>
      <c r="C3876"/>
      <c r="D3876"/>
      <c r="E3876"/>
      <c r="F3876" s="242"/>
      <c r="G3876"/>
      <c r="H3876" s="242"/>
      <c r="I3876" s="242"/>
      <c r="J3876" s="242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</row>
    <row r="3877" spans="1:26" hidden="1">
      <c r="A3877"/>
      <c r="B3877" s="249"/>
      <c r="C3877"/>
      <c r="D3877"/>
      <c r="E3877"/>
      <c r="F3877" s="242"/>
      <c r="G3877"/>
      <c r="H3877" s="242"/>
      <c r="I3877" s="242"/>
      <c r="J3877" s="242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</row>
    <row r="3878" spans="1:26" hidden="1">
      <c r="A3878"/>
      <c r="B3878" s="249"/>
      <c r="C3878"/>
      <c r="D3878"/>
      <c r="E3878"/>
      <c r="F3878" s="242"/>
      <c r="G3878"/>
      <c r="H3878" s="242"/>
      <c r="I3878" s="242"/>
      <c r="J3878" s="242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</row>
    <row r="3879" spans="1:26" hidden="1">
      <c r="A3879"/>
      <c r="B3879" s="249"/>
      <c r="C3879"/>
      <c r="D3879"/>
      <c r="E3879"/>
      <c r="F3879" s="242"/>
      <c r="G3879"/>
      <c r="H3879" s="242"/>
      <c r="I3879" s="242"/>
      <c r="J3879" s="242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</row>
    <row r="3880" spans="1:26" hidden="1">
      <c r="A3880"/>
      <c r="B3880" s="249"/>
      <c r="C3880"/>
      <c r="D3880"/>
      <c r="E3880"/>
      <c r="F3880" s="242"/>
      <c r="G3880"/>
      <c r="H3880" s="242"/>
      <c r="I3880" s="242"/>
      <c r="J3880" s="242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</row>
    <row r="3881" spans="1:26" hidden="1">
      <c r="A3881"/>
      <c r="B3881" s="249"/>
      <c r="C3881"/>
      <c r="D3881"/>
      <c r="E3881"/>
      <c r="F3881" s="242"/>
      <c r="G3881"/>
      <c r="H3881" s="242"/>
      <c r="I3881" s="242"/>
      <c r="J3881" s="242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</row>
    <row r="3882" spans="1:26" hidden="1">
      <c r="A3882"/>
      <c r="B3882" s="249"/>
      <c r="C3882"/>
      <c r="D3882"/>
      <c r="E3882"/>
      <c r="F3882" s="242"/>
      <c r="G3882"/>
      <c r="H3882" s="242"/>
      <c r="I3882" s="242"/>
      <c r="J3882" s="242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</row>
    <row r="3883" spans="1:26" hidden="1">
      <c r="A3883"/>
      <c r="B3883" s="249"/>
      <c r="C3883"/>
      <c r="D3883"/>
      <c r="E3883"/>
      <c r="F3883" s="242"/>
      <c r="G3883"/>
      <c r="H3883" s="242"/>
      <c r="I3883" s="242"/>
      <c r="J3883" s="242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</row>
    <row r="3884" spans="1:26" hidden="1">
      <c r="A3884"/>
      <c r="B3884" s="249"/>
      <c r="C3884"/>
      <c r="D3884"/>
      <c r="E3884"/>
      <c r="F3884" s="242"/>
      <c r="G3884"/>
      <c r="H3884" s="242"/>
      <c r="I3884" s="242"/>
      <c r="J3884" s="242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</row>
    <row r="3885" spans="1:26" hidden="1">
      <c r="A3885"/>
      <c r="B3885" s="249"/>
      <c r="C3885"/>
      <c r="D3885"/>
      <c r="E3885"/>
      <c r="F3885" s="242"/>
      <c r="G3885"/>
      <c r="H3885" s="242"/>
      <c r="I3885" s="242"/>
      <c r="J3885" s="242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</row>
    <row r="3886" spans="1:26" hidden="1">
      <c r="A3886"/>
      <c r="B3886" s="249"/>
      <c r="C3886"/>
      <c r="D3886"/>
      <c r="E3886"/>
      <c r="F3886" s="242"/>
      <c r="G3886"/>
      <c r="H3886" s="242"/>
      <c r="I3886" s="242"/>
      <c r="J3886" s="242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</row>
    <row r="3887" spans="1:26" hidden="1">
      <c r="A3887"/>
      <c r="B3887" s="249"/>
      <c r="C3887"/>
      <c r="D3887"/>
      <c r="E3887"/>
      <c r="F3887" s="242"/>
      <c r="G3887"/>
      <c r="H3887" s="242"/>
      <c r="I3887" s="242"/>
      <c r="J3887" s="242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</row>
    <row r="3888" spans="1:26" hidden="1">
      <c r="A3888"/>
      <c r="B3888" s="249"/>
      <c r="C3888"/>
      <c r="D3888"/>
      <c r="E3888"/>
      <c r="F3888" s="242"/>
      <c r="G3888"/>
      <c r="H3888" s="242"/>
      <c r="I3888" s="242"/>
      <c r="J3888" s="242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</row>
    <row r="3889" spans="1:26" hidden="1">
      <c r="A3889"/>
      <c r="B3889" s="249"/>
      <c r="C3889"/>
      <c r="D3889"/>
      <c r="E3889"/>
      <c r="F3889" s="242"/>
      <c r="G3889"/>
      <c r="H3889" s="242"/>
      <c r="I3889" s="242"/>
      <c r="J3889" s="242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</row>
    <row r="3890" spans="1:26" hidden="1">
      <c r="A3890"/>
      <c r="B3890" s="249"/>
      <c r="C3890"/>
      <c r="D3890"/>
      <c r="E3890"/>
      <c r="F3890" s="242"/>
      <c r="G3890"/>
      <c r="H3890" s="242"/>
      <c r="I3890" s="242"/>
      <c r="J3890" s="242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</row>
    <row r="3891" spans="1:26" hidden="1">
      <c r="A3891"/>
      <c r="B3891" s="249"/>
      <c r="C3891"/>
      <c r="D3891"/>
      <c r="E3891"/>
      <c r="F3891" s="242"/>
      <c r="G3891"/>
      <c r="H3891" s="242"/>
      <c r="I3891" s="242"/>
      <c r="J3891" s="242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</row>
    <row r="3892" spans="1:26" hidden="1">
      <c r="A3892"/>
      <c r="B3892" s="249"/>
      <c r="C3892"/>
      <c r="D3892"/>
      <c r="E3892"/>
      <c r="F3892" s="242"/>
      <c r="G3892"/>
      <c r="H3892" s="242"/>
      <c r="I3892" s="242"/>
      <c r="J3892" s="242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</row>
    <row r="3893" spans="1:26" hidden="1">
      <c r="A3893"/>
      <c r="B3893" s="249"/>
      <c r="C3893"/>
      <c r="D3893"/>
      <c r="E3893"/>
      <c r="F3893" s="242"/>
      <c r="G3893"/>
      <c r="H3893" s="242"/>
      <c r="I3893" s="242"/>
      <c r="J3893" s="242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</row>
    <row r="3894" spans="1:26" hidden="1">
      <c r="A3894"/>
      <c r="B3894" s="249"/>
      <c r="C3894"/>
      <c r="D3894"/>
      <c r="E3894"/>
      <c r="F3894" s="242"/>
      <c r="G3894"/>
      <c r="H3894" s="242"/>
      <c r="I3894" s="242"/>
      <c r="J3894" s="242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</row>
    <row r="3895" spans="1:26" hidden="1">
      <c r="A3895"/>
      <c r="B3895" s="249"/>
      <c r="C3895"/>
      <c r="D3895"/>
      <c r="E3895"/>
      <c r="F3895" s="242"/>
      <c r="G3895"/>
      <c r="H3895" s="242"/>
      <c r="I3895" s="242"/>
      <c r="J3895" s="242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</row>
    <row r="3896" spans="1:26" hidden="1">
      <c r="A3896"/>
      <c r="B3896" s="249"/>
      <c r="C3896"/>
      <c r="D3896"/>
      <c r="E3896"/>
      <c r="F3896" s="242"/>
      <c r="G3896"/>
      <c r="H3896" s="242"/>
      <c r="I3896" s="242"/>
      <c r="J3896" s="242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</row>
    <row r="3897" spans="1:26" hidden="1">
      <c r="A3897"/>
      <c r="B3897" s="249"/>
      <c r="C3897"/>
      <c r="D3897"/>
      <c r="E3897"/>
      <c r="F3897" s="242"/>
      <c r="G3897"/>
      <c r="H3897" s="242"/>
      <c r="I3897" s="242"/>
      <c r="J3897" s="242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</row>
    <row r="3898" spans="1:26" hidden="1">
      <c r="A3898"/>
      <c r="B3898" s="249"/>
      <c r="C3898"/>
      <c r="D3898"/>
      <c r="E3898"/>
      <c r="F3898" s="242"/>
      <c r="G3898"/>
      <c r="H3898" s="242"/>
      <c r="I3898" s="242"/>
      <c r="J3898" s="242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</row>
    <row r="3899" spans="1:26" hidden="1">
      <c r="A3899"/>
      <c r="B3899" s="249"/>
      <c r="C3899"/>
      <c r="D3899"/>
      <c r="E3899"/>
      <c r="F3899" s="242"/>
      <c r="G3899"/>
      <c r="H3899" s="242"/>
      <c r="I3899" s="242"/>
      <c r="J3899" s="242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</row>
    <row r="3900" spans="1:26" hidden="1">
      <c r="A3900"/>
      <c r="B3900" s="249"/>
      <c r="C3900"/>
      <c r="D3900"/>
      <c r="E3900"/>
      <c r="F3900" s="242"/>
      <c r="G3900"/>
      <c r="H3900" s="242"/>
      <c r="I3900" s="242"/>
      <c r="J3900" s="242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</row>
    <row r="3901" spans="1:26" hidden="1">
      <c r="A3901"/>
      <c r="B3901" s="249"/>
      <c r="C3901"/>
      <c r="D3901"/>
      <c r="E3901"/>
      <c r="F3901" s="242"/>
      <c r="G3901"/>
      <c r="H3901" s="242"/>
      <c r="I3901" s="242"/>
      <c r="J3901" s="242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</row>
    <row r="3902" spans="1:26" hidden="1">
      <c r="A3902"/>
      <c r="B3902" s="249"/>
      <c r="C3902"/>
      <c r="D3902"/>
      <c r="E3902"/>
      <c r="F3902" s="242"/>
      <c r="G3902"/>
      <c r="H3902" s="242"/>
      <c r="I3902" s="242"/>
      <c r="J3902" s="242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</row>
    <row r="3903" spans="1:26" hidden="1">
      <c r="A3903"/>
      <c r="B3903" s="249"/>
      <c r="C3903"/>
      <c r="D3903"/>
      <c r="E3903"/>
      <c r="F3903" s="242"/>
      <c r="G3903"/>
      <c r="H3903" s="242"/>
      <c r="I3903" s="242"/>
      <c r="J3903" s="242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</row>
    <row r="3904" spans="1:26" hidden="1">
      <c r="A3904"/>
      <c r="B3904" s="249"/>
      <c r="C3904"/>
      <c r="D3904"/>
      <c r="E3904"/>
      <c r="F3904" s="242"/>
      <c r="G3904"/>
      <c r="H3904" s="242"/>
      <c r="I3904" s="242"/>
      <c r="J3904" s="242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</row>
    <row r="3905" spans="1:26" hidden="1">
      <c r="A3905"/>
      <c r="B3905" s="249"/>
      <c r="C3905"/>
      <c r="D3905"/>
      <c r="E3905"/>
      <c r="F3905" s="242"/>
      <c r="G3905"/>
      <c r="H3905" s="242"/>
      <c r="I3905" s="242"/>
      <c r="J3905" s="242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</row>
    <row r="3906" spans="1:26" hidden="1">
      <c r="A3906"/>
      <c r="B3906" s="249"/>
      <c r="C3906"/>
      <c r="D3906"/>
      <c r="E3906"/>
      <c r="F3906" s="242"/>
      <c r="G3906"/>
      <c r="H3906" s="242"/>
      <c r="I3906" s="242"/>
      <c r="J3906" s="242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</row>
    <row r="3907" spans="1:26" hidden="1">
      <c r="A3907"/>
      <c r="B3907" s="249"/>
      <c r="C3907"/>
      <c r="D3907"/>
      <c r="E3907"/>
      <c r="F3907" s="242"/>
      <c r="G3907"/>
      <c r="H3907" s="242"/>
      <c r="I3907" s="242"/>
      <c r="J3907" s="242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</row>
    <row r="3908" spans="1:26" hidden="1">
      <c r="A3908"/>
      <c r="B3908" s="249"/>
      <c r="C3908"/>
      <c r="D3908"/>
      <c r="E3908"/>
      <c r="F3908" s="242"/>
      <c r="G3908"/>
      <c r="H3908" s="242"/>
      <c r="I3908" s="242"/>
      <c r="J3908" s="242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</row>
    <row r="3909" spans="1:26" hidden="1">
      <c r="A3909"/>
      <c r="B3909" s="249"/>
      <c r="C3909"/>
      <c r="D3909"/>
      <c r="E3909"/>
      <c r="F3909" s="242"/>
      <c r="G3909"/>
      <c r="H3909" s="242"/>
      <c r="I3909" s="242"/>
      <c r="J3909" s="242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</row>
    <row r="3910" spans="1:26" hidden="1">
      <c r="A3910"/>
      <c r="B3910" s="249"/>
      <c r="C3910"/>
      <c r="D3910"/>
      <c r="E3910"/>
      <c r="F3910" s="242"/>
      <c r="G3910"/>
      <c r="H3910" s="242"/>
      <c r="I3910" s="242"/>
      <c r="J3910" s="242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</row>
    <row r="3911" spans="1:26" hidden="1">
      <c r="A3911"/>
      <c r="B3911" s="249"/>
      <c r="C3911"/>
      <c r="D3911"/>
      <c r="E3911"/>
      <c r="F3911" s="242"/>
      <c r="G3911"/>
      <c r="H3911" s="242"/>
      <c r="I3911" s="242"/>
      <c r="J3911" s="242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</row>
    <row r="3912" spans="1:26" hidden="1">
      <c r="A3912"/>
      <c r="B3912" s="249"/>
      <c r="C3912"/>
      <c r="D3912"/>
      <c r="E3912"/>
      <c r="F3912" s="242"/>
      <c r="G3912"/>
      <c r="H3912" s="242"/>
      <c r="I3912" s="242"/>
      <c r="J3912" s="242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</row>
    <row r="3913" spans="1:26" hidden="1">
      <c r="A3913"/>
      <c r="B3913" s="249"/>
      <c r="C3913"/>
      <c r="D3913"/>
      <c r="E3913"/>
      <c r="F3913" s="242"/>
      <c r="G3913"/>
      <c r="H3913" s="242"/>
      <c r="I3913" s="242"/>
      <c r="J3913" s="242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</row>
    <row r="3914" spans="1:26" hidden="1">
      <c r="A3914"/>
      <c r="B3914" s="249"/>
      <c r="C3914"/>
      <c r="D3914"/>
      <c r="E3914"/>
      <c r="F3914" s="242"/>
      <c r="G3914"/>
      <c r="H3914" s="242"/>
      <c r="I3914" s="242"/>
      <c r="J3914" s="242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</row>
    <row r="3915" spans="1:26" hidden="1">
      <c r="A3915"/>
      <c r="B3915" s="249"/>
      <c r="C3915"/>
      <c r="D3915"/>
      <c r="E3915"/>
      <c r="F3915" s="242"/>
      <c r="G3915"/>
      <c r="H3915" s="242"/>
      <c r="I3915" s="242"/>
      <c r="J3915" s="242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</row>
    <row r="3916" spans="1:26" hidden="1">
      <c r="A3916"/>
      <c r="B3916" s="249"/>
      <c r="C3916"/>
      <c r="D3916"/>
      <c r="E3916"/>
      <c r="F3916" s="242"/>
      <c r="G3916"/>
      <c r="H3916" s="242"/>
      <c r="I3916" s="242"/>
      <c r="J3916" s="242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</row>
    <row r="3917" spans="1:26" hidden="1">
      <c r="A3917"/>
      <c r="B3917" s="249"/>
      <c r="C3917"/>
      <c r="D3917"/>
      <c r="E3917"/>
      <c r="F3917" s="242"/>
      <c r="G3917"/>
      <c r="H3917" s="242"/>
      <c r="I3917" s="242"/>
      <c r="J3917" s="242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</row>
    <row r="3918" spans="1:26" hidden="1">
      <c r="A3918"/>
      <c r="B3918" s="249"/>
      <c r="C3918"/>
      <c r="D3918"/>
      <c r="E3918"/>
      <c r="F3918" s="242"/>
      <c r="G3918"/>
      <c r="H3918" s="242"/>
      <c r="I3918" s="242"/>
      <c r="J3918" s="242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</row>
    <row r="3919" spans="1:26" hidden="1">
      <c r="A3919"/>
      <c r="B3919" s="249"/>
      <c r="C3919"/>
      <c r="D3919"/>
      <c r="E3919"/>
      <c r="F3919" s="242"/>
      <c r="G3919"/>
      <c r="H3919" s="242"/>
      <c r="I3919" s="242"/>
      <c r="J3919" s="242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</row>
    <row r="3920" spans="1:26" hidden="1">
      <c r="A3920"/>
      <c r="B3920" s="249"/>
      <c r="C3920"/>
      <c r="D3920"/>
      <c r="E3920"/>
      <c r="F3920" s="242"/>
      <c r="G3920"/>
      <c r="H3920" s="242"/>
      <c r="I3920" s="242"/>
      <c r="J3920" s="242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</row>
    <row r="3921" spans="1:26" hidden="1">
      <c r="A3921"/>
      <c r="B3921" s="249"/>
      <c r="C3921"/>
      <c r="D3921"/>
      <c r="E3921"/>
      <c r="F3921" s="242"/>
      <c r="G3921"/>
      <c r="H3921" s="242"/>
      <c r="I3921" s="242"/>
      <c r="J3921" s="242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</row>
    <row r="3922" spans="1:26" hidden="1">
      <c r="A3922"/>
      <c r="B3922" s="249"/>
      <c r="C3922"/>
      <c r="D3922"/>
      <c r="E3922"/>
      <c r="F3922" s="242"/>
      <c r="G3922"/>
      <c r="H3922" s="242"/>
      <c r="I3922" s="242"/>
      <c r="J3922" s="242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</row>
    <row r="3923" spans="1:26" hidden="1">
      <c r="A3923"/>
      <c r="B3923" s="249"/>
      <c r="C3923"/>
      <c r="D3923"/>
      <c r="E3923"/>
      <c r="F3923" s="242"/>
      <c r="G3923"/>
      <c r="H3923" s="242"/>
      <c r="I3923" s="242"/>
      <c r="J3923" s="242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</row>
    <row r="3924" spans="1:26" hidden="1">
      <c r="A3924"/>
      <c r="B3924" s="249"/>
      <c r="C3924"/>
      <c r="D3924"/>
      <c r="E3924"/>
      <c r="F3924" s="242"/>
      <c r="G3924"/>
      <c r="H3924" s="242"/>
      <c r="I3924" s="242"/>
      <c r="J3924" s="242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</row>
    <row r="3925" spans="1:26" hidden="1">
      <c r="A3925"/>
      <c r="B3925" s="249"/>
      <c r="C3925"/>
      <c r="D3925"/>
      <c r="E3925"/>
      <c r="F3925" s="242"/>
      <c r="G3925"/>
      <c r="H3925" s="242"/>
      <c r="I3925" s="242"/>
      <c r="J3925" s="242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</row>
    <row r="3926" spans="1:26" hidden="1">
      <c r="A3926"/>
      <c r="B3926" s="249"/>
      <c r="C3926"/>
      <c r="D3926"/>
      <c r="E3926"/>
      <c r="F3926" s="242"/>
      <c r="G3926"/>
      <c r="H3926" s="242"/>
      <c r="I3926" s="242"/>
      <c r="J3926" s="242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</row>
    <row r="3927" spans="1:26" hidden="1">
      <c r="A3927"/>
      <c r="B3927" s="249"/>
      <c r="C3927"/>
      <c r="D3927"/>
      <c r="E3927"/>
      <c r="F3927" s="242"/>
      <c r="G3927"/>
      <c r="H3927" s="242"/>
      <c r="I3927" s="242"/>
      <c r="J3927" s="242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</row>
    <row r="3928" spans="1:26" hidden="1">
      <c r="A3928"/>
      <c r="B3928" s="249"/>
      <c r="C3928"/>
      <c r="D3928"/>
      <c r="E3928"/>
      <c r="F3928" s="242"/>
      <c r="G3928"/>
      <c r="H3928" s="242"/>
      <c r="I3928" s="242"/>
      <c r="J3928" s="242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</row>
    <row r="3929" spans="1:26" hidden="1">
      <c r="A3929"/>
      <c r="B3929" s="249"/>
      <c r="C3929"/>
      <c r="D3929"/>
      <c r="E3929"/>
      <c r="F3929" s="242"/>
      <c r="G3929"/>
      <c r="H3929" s="242"/>
      <c r="I3929" s="242"/>
      <c r="J3929" s="242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</row>
    <row r="3930" spans="1:26" hidden="1">
      <c r="A3930"/>
      <c r="B3930" s="249"/>
      <c r="C3930"/>
      <c r="D3930"/>
      <c r="E3930"/>
      <c r="F3930" s="242"/>
      <c r="G3930"/>
      <c r="H3930" s="242"/>
      <c r="I3930" s="242"/>
      <c r="J3930" s="242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</row>
    <row r="3931" spans="1:26" hidden="1">
      <c r="A3931"/>
      <c r="B3931" s="249"/>
      <c r="C3931"/>
      <c r="D3931"/>
      <c r="E3931"/>
      <c r="F3931" s="242"/>
      <c r="G3931"/>
      <c r="H3931" s="242"/>
      <c r="I3931" s="242"/>
      <c r="J3931" s="242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</row>
    <row r="3932" spans="1:26" hidden="1">
      <c r="A3932"/>
      <c r="B3932" s="249"/>
      <c r="C3932"/>
      <c r="D3932"/>
      <c r="E3932"/>
      <c r="F3932" s="242"/>
      <c r="G3932"/>
      <c r="H3932" s="242"/>
      <c r="I3932" s="242"/>
      <c r="J3932" s="242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</row>
    <row r="3933" spans="1:26" hidden="1">
      <c r="A3933"/>
      <c r="B3933" s="249"/>
      <c r="C3933"/>
      <c r="D3933"/>
      <c r="E3933"/>
      <c r="F3933" s="242"/>
      <c r="G3933"/>
      <c r="H3933" s="242"/>
      <c r="I3933" s="242"/>
      <c r="J3933" s="242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</row>
    <row r="3934" spans="1:26" hidden="1">
      <c r="A3934"/>
      <c r="B3934" s="249"/>
      <c r="C3934"/>
      <c r="D3934"/>
      <c r="E3934"/>
      <c r="F3934" s="242"/>
      <c r="G3934"/>
      <c r="H3934" s="242"/>
      <c r="I3934" s="242"/>
      <c r="J3934" s="242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</row>
    <row r="3935" spans="1:26" hidden="1">
      <c r="A3935"/>
      <c r="B3935" s="249"/>
      <c r="C3935"/>
      <c r="D3935"/>
      <c r="E3935"/>
      <c r="F3935" s="242"/>
      <c r="G3935"/>
      <c r="H3935" s="242"/>
      <c r="I3935" s="242"/>
      <c r="J3935" s="242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</row>
    <row r="3936" spans="1:26" hidden="1">
      <c r="A3936"/>
      <c r="B3936" s="249"/>
      <c r="C3936"/>
      <c r="D3936"/>
      <c r="E3936"/>
      <c r="F3936" s="242"/>
      <c r="G3936"/>
      <c r="H3936" s="242"/>
      <c r="I3936" s="242"/>
      <c r="J3936" s="242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</row>
    <row r="3937" spans="1:26" hidden="1">
      <c r="A3937"/>
      <c r="B3937" s="249"/>
      <c r="C3937"/>
      <c r="D3937"/>
      <c r="E3937"/>
      <c r="F3937" s="242"/>
      <c r="G3937"/>
      <c r="H3937" s="242"/>
      <c r="I3937" s="242"/>
      <c r="J3937" s="242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</row>
    <row r="3938" spans="1:26" hidden="1">
      <c r="A3938"/>
      <c r="B3938" s="249"/>
      <c r="C3938"/>
      <c r="D3938"/>
      <c r="E3938"/>
      <c r="F3938" s="242"/>
      <c r="G3938"/>
      <c r="H3938" s="242"/>
      <c r="I3938" s="242"/>
      <c r="J3938" s="242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</row>
    <row r="3939" spans="1:26" hidden="1">
      <c r="A3939"/>
      <c r="B3939" s="249"/>
      <c r="C3939"/>
      <c r="D3939"/>
      <c r="E3939"/>
      <c r="F3939" s="242"/>
      <c r="G3939"/>
      <c r="H3939" s="242"/>
      <c r="I3939" s="242"/>
      <c r="J3939" s="242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</row>
    <row r="3940" spans="1:26" hidden="1">
      <c r="A3940"/>
      <c r="B3940" s="249"/>
      <c r="C3940"/>
      <c r="D3940"/>
      <c r="E3940"/>
      <c r="F3940" s="242"/>
      <c r="G3940"/>
      <c r="H3940" s="242"/>
      <c r="I3940" s="242"/>
      <c r="J3940" s="242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</row>
    <row r="3941" spans="1:26" hidden="1">
      <c r="A3941"/>
      <c r="B3941" s="249"/>
      <c r="C3941"/>
      <c r="D3941"/>
      <c r="E3941"/>
      <c r="F3941" s="242"/>
      <c r="G3941"/>
      <c r="H3941" s="242"/>
      <c r="I3941" s="242"/>
      <c r="J3941" s="242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</row>
    <row r="3942" spans="1:26" hidden="1">
      <c r="A3942"/>
      <c r="B3942" s="249"/>
      <c r="C3942"/>
      <c r="D3942"/>
      <c r="E3942"/>
      <c r="F3942" s="242"/>
      <c r="G3942"/>
      <c r="H3942" s="242"/>
      <c r="I3942" s="242"/>
      <c r="J3942" s="242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</row>
    <row r="3943" spans="1:26" hidden="1">
      <c r="A3943"/>
      <c r="B3943" s="249"/>
      <c r="C3943"/>
      <c r="D3943"/>
      <c r="E3943"/>
      <c r="F3943" s="242"/>
      <c r="G3943"/>
      <c r="H3943" s="242"/>
      <c r="I3943" s="242"/>
      <c r="J3943" s="242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</row>
    <row r="3944" spans="1:26" hidden="1">
      <c r="A3944"/>
      <c r="B3944" s="249"/>
      <c r="C3944"/>
      <c r="D3944"/>
      <c r="E3944"/>
      <c r="F3944" s="242"/>
      <c r="G3944"/>
      <c r="H3944" s="242"/>
      <c r="I3944" s="242"/>
      <c r="J3944" s="242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</row>
    <row r="3945" spans="1:26" hidden="1">
      <c r="A3945"/>
      <c r="B3945" s="249"/>
      <c r="C3945"/>
      <c r="D3945"/>
      <c r="E3945"/>
      <c r="F3945" s="242"/>
      <c r="G3945"/>
      <c r="H3945" s="242"/>
      <c r="I3945" s="242"/>
      <c r="J3945" s="242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</row>
    <row r="3946" spans="1:26" hidden="1">
      <c r="A3946"/>
      <c r="B3946" s="249"/>
      <c r="C3946"/>
      <c r="D3946"/>
      <c r="E3946"/>
      <c r="F3946" s="242"/>
      <c r="G3946"/>
      <c r="H3946" s="242"/>
      <c r="I3946" s="242"/>
      <c r="J3946" s="242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</row>
    <row r="3947" spans="1:26" hidden="1">
      <c r="A3947"/>
      <c r="B3947" s="249"/>
      <c r="C3947"/>
      <c r="D3947"/>
      <c r="E3947"/>
      <c r="F3947" s="242"/>
      <c r="G3947"/>
      <c r="H3947" s="242"/>
      <c r="I3947" s="242"/>
      <c r="J3947" s="242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</row>
    <row r="3948" spans="1:26" hidden="1">
      <c r="A3948"/>
      <c r="B3948" s="249"/>
      <c r="C3948"/>
      <c r="D3948"/>
      <c r="E3948"/>
      <c r="F3948" s="242"/>
      <c r="G3948"/>
      <c r="H3948" s="242"/>
      <c r="I3948" s="242"/>
      <c r="J3948" s="242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</row>
    <row r="3949" spans="1:26" hidden="1">
      <c r="A3949"/>
      <c r="B3949" s="249"/>
      <c r="C3949"/>
      <c r="D3949"/>
      <c r="E3949"/>
      <c r="F3949" s="242"/>
      <c r="G3949"/>
      <c r="H3949" s="242"/>
      <c r="I3949" s="242"/>
      <c r="J3949" s="242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</row>
    <row r="3950" spans="1:26" hidden="1">
      <c r="A3950"/>
      <c r="B3950" s="249"/>
      <c r="C3950"/>
      <c r="D3950"/>
      <c r="E3950"/>
      <c r="F3950" s="242"/>
      <c r="G3950"/>
      <c r="H3950" s="242"/>
      <c r="I3950" s="242"/>
      <c r="J3950" s="242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</row>
    <row r="3951" spans="1:26" hidden="1">
      <c r="A3951"/>
      <c r="B3951" s="249"/>
      <c r="C3951"/>
      <c r="D3951"/>
      <c r="E3951"/>
      <c r="F3951" s="242"/>
      <c r="G3951"/>
      <c r="H3951" s="242"/>
      <c r="I3951" s="242"/>
      <c r="J3951" s="242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</row>
    <row r="3952" spans="1:26" hidden="1">
      <c r="A3952"/>
      <c r="B3952" s="249"/>
      <c r="C3952"/>
      <c r="D3952"/>
      <c r="E3952"/>
      <c r="F3952" s="242"/>
      <c r="G3952"/>
      <c r="H3952" s="242"/>
      <c r="I3952" s="242"/>
      <c r="J3952" s="242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</row>
    <row r="3953" spans="1:26" hidden="1">
      <c r="A3953"/>
      <c r="B3953" s="249"/>
      <c r="C3953"/>
      <c r="D3953"/>
      <c r="E3953"/>
      <c r="F3953" s="242"/>
      <c r="G3953"/>
      <c r="H3953" s="242"/>
      <c r="I3953" s="242"/>
      <c r="J3953" s="242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</row>
    <row r="3954" spans="1:26" hidden="1">
      <c r="A3954"/>
      <c r="B3954" s="249"/>
      <c r="C3954"/>
      <c r="D3954"/>
      <c r="E3954"/>
      <c r="F3954" s="242"/>
      <c r="G3954"/>
      <c r="H3954" s="242"/>
      <c r="I3954" s="242"/>
      <c r="J3954" s="242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</row>
    <row r="3955" spans="1:26" hidden="1">
      <c r="A3955"/>
      <c r="B3955" s="249"/>
      <c r="C3955"/>
      <c r="D3955"/>
      <c r="E3955"/>
      <c r="F3955" s="242"/>
      <c r="G3955"/>
      <c r="H3955" s="242"/>
      <c r="I3955" s="242"/>
      <c r="J3955" s="242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</row>
    <row r="3956" spans="1:26" hidden="1">
      <c r="A3956"/>
      <c r="B3956" s="249"/>
      <c r="C3956"/>
      <c r="D3956"/>
      <c r="E3956"/>
      <c r="F3956" s="242"/>
      <c r="G3956"/>
      <c r="H3956" s="242"/>
      <c r="I3956" s="242"/>
      <c r="J3956" s="242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</row>
    <row r="3957" spans="1:26" hidden="1">
      <c r="A3957"/>
      <c r="B3957" s="249"/>
      <c r="C3957"/>
      <c r="D3957"/>
      <c r="E3957"/>
      <c r="F3957" s="242"/>
      <c r="G3957"/>
      <c r="H3957" s="242"/>
      <c r="I3957" s="242"/>
      <c r="J3957" s="242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</row>
    <row r="3958" spans="1:26" hidden="1">
      <c r="A3958"/>
      <c r="B3958" s="249"/>
      <c r="C3958"/>
      <c r="D3958"/>
      <c r="E3958"/>
      <c r="F3958" s="242"/>
      <c r="G3958"/>
      <c r="H3958" s="242"/>
      <c r="I3958" s="242"/>
      <c r="J3958" s="242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</row>
    <row r="3959" spans="1:26" hidden="1">
      <c r="A3959"/>
      <c r="B3959" s="249"/>
      <c r="C3959"/>
      <c r="D3959"/>
      <c r="E3959"/>
      <c r="F3959" s="242"/>
      <c r="G3959"/>
      <c r="H3959" s="242"/>
      <c r="I3959" s="242"/>
      <c r="J3959" s="242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</row>
    <row r="3960" spans="1:26" hidden="1">
      <c r="A3960"/>
      <c r="B3960" s="249"/>
      <c r="C3960"/>
      <c r="D3960"/>
      <c r="E3960"/>
      <c r="F3960" s="242"/>
      <c r="G3960"/>
      <c r="H3960" s="242"/>
      <c r="I3960" s="242"/>
      <c r="J3960" s="242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</row>
    <row r="3961" spans="1:26" hidden="1">
      <c r="A3961"/>
      <c r="B3961" s="249"/>
      <c r="C3961"/>
      <c r="D3961"/>
      <c r="E3961"/>
      <c r="F3961" s="242"/>
      <c r="G3961"/>
      <c r="H3961" s="242"/>
      <c r="I3961" s="242"/>
      <c r="J3961" s="242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</row>
    <row r="3962" spans="1:26" hidden="1">
      <c r="A3962"/>
      <c r="B3962" s="249"/>
      <c r="C3962"/>
      <c r="D3962"/>
      <c r="E3962"/>
      <c r="F3962" s="242"/>
      <c r="G3962"/>
      <c r="H3962" s="242"/>
      <c r="I3962" s="242"/>
      <c r="J3962" s="242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</row>
    <row r="3963" spans="1:26" hidden="1">
      <c r="A3963"/>
      <c r="B3963" s="249"/>
      <c r="C3963"/>
      <c r="D3963"/>
      <c r="E3963"/>
      <c r="F3963" s="242"/>
      <c r="G3963"/>
      <c r="H3963" s="242"/>
      <c r="I3963" s="242"/>
      <c r="J3963" s="242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</row>
    <row r="3964" spans="1:26" hidden="1">
      <c r="A3964"/>
      <c r="B3964" s="249"/>
      <c r="C3964"/>
      <c r="D3964"/>
      <c r="E3964"/>
      <c r="F3964" s="242"/>
      <c r="G3964"/>
      <c r="H3964" s="242"/>
      <c r="I3964" s="242"/>
      <c r="J3964" s="242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</row>
    <row r="3965" spans="1:26" hidden="1">
      <c r="A3965"/>
      <c r="B3965" s="249"/>
      <c r="C3965"/>
      <c r="D3965"/>
      <c r="E3965"/>
      <c r="F3965" s="242"/>
      <c r="G3965"/>
      <c r="H3965" s="242"/>
      <c r="I3965" s="242"/>
      <c r="J3965" s="242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</row>
    <row r="3966" spans="1:26" hidden="1">
      <c r="A3966"/>
      <c r="B3966" s="249"/>
      <c r="C3966"/>
      <c r="D3966"/>
      <c r="E3966"/>
      <c r="F3966" s="242"/>
      <c r="G3966"/>
      <c r="H3966" s="242"/>
      <c r="I3966" s="242"/>
      <c r="J3966" s="242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</row>
    <row r="3967" spans="1:26" hidden="1">
      <c r="A3967"/>
      <c r="B3967" s="249"/>
      <c r="C3967"/>
      <c r="D3967"/>
      <c r="E3967"/>
      <c r="F3967" s="242"/>
      <c r="G3967"/>
      <c r="H3967" s="242"/>
      <c r="I3967" s="242"/>
      <c r="J3967" s="242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</row>
    <row r="3968" spans="1:26" hidden="1">
      <c r="A3968"/>
      <c r="B3968" s="249"/>
      <c r="C3968"/>
      <c r="D3968"/>
      <c r="E3968"/>
      <c r="F3968" s="242"/>
      <c r="G3968"/>
      <c r="H3968" s="242"/>
      <c r="I3968" s="242"/>
      <c r="J3968" s="242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</row>
    <row r="3969" spans="1:26" hidden="1">
      <c r="A3969"/>
      <c r="B3969" s="249"/>
      <c r="C3969"/>
      <c r="D3969"/>
      <c r="E3969"/>
      <c r="F3969" s="242"/>
      <c r="G3969"/>
      <c r="H3969" s="242"/>
      <c r="I3969" s="242"/>
      <c r="J3969" s="242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</row>
    <row r="3970" spans="1:26" hidden="1">
      <c r="A3970"/>
      <c r="B3970" s="249"/>
      <c r="C3970"/>
      <c r="D3970"/>
      <c r="E3970"/>
      <c r="F3970" s="242"/>
      <c r="G3970"/>
      <c r="H3970" s="242"/>
      <c r="I3970" s="242"/>
      <c r="J3970" s="242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</row>
    <row r="3971" spans="1:26" hidden="1">
      <c r="A3971"/>
      <c r="B3971" s="249"/>
      <c r="C3971"/>
      <c r="D3971"/>
      <c r="E3971"/>
      <c r="F3971" s="242"/>
      <c r="G3971"/>
      <c r="H3971" s="242"/>
      <c r="I3971" s="242"/>
      <c r="J3971" s="242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</row>
    <row r="3972" spans="1:26" hidden="1">
      <c r="A3972"/>
      <c r="B3972" s="249"/>
      <c r="C3972"/>
      <c r="D3972"/>
      <c r="E3972"/>
      <c r="F3972" s="242"/>
      <c r="G3972"/>
      <c r="H3972" s="242"/>
      <c r="I3972" s="242"/>
      <c r="J3972" s="242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</row>
    <row r="3973" spans="1:26" hidden="1">
      <c r="A3973"/>
      <c r="B3973" s="249"/>
      <c r="C3973"/>
      <c r="D3973"/>
      <c r="E3973"/>
      <c r="F3973" s="242"/>
      <c r="G3973"/>
      <c r="H3973" s="242"/>
      <c r="I3973" s="242"/>
      <c r="J3973" s="242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</row>
    <row r="3974" spans="1:26" hidden="1">
      <c r="A3974"/>
      <c r="B3974" s="249"/>
      <c r="C3974"/>
      <c r="D3974"/>
      <c r="E3974"/>
      <c r="F3974" s="242"/>
      <c r="G3974"/>
      <c r="H3974" s="242"/>
      <c r="I3974" s="242"/>
      <c r="J3974" s="242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</row>
    <row r="3975" spans="1:26" hidden="1">
      <c r="A3975"/>
      <c r="B3975" s="249"/>
      <c r="C3975"/>
      <c r="D3975"/>
      <c r="E3975"/>
      <c r="F3975" s="242"/>
      <c r="G3975"/>
      <c r="H3975" s="242"/>
      <c r="I3975" s="242"/>
      <c r="J3975" s="242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</row>
    <row r="3976" spans="1:26" hidden="1">
      <c r="A3976"/>
      <c r="B3976" s="249"/>
      <c r="C3976"/>
      <c r="D3976"/>
      <c r="E3976"/>
      <c r="F3976" s="242"/>
      <c r="G3976"/>
      <c r="H3976" s="242"/>
      <c r="I3976" s="242"/>
      <c r="J3976" s="242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</row>
    <row r="3977" spans="1:26" hidden="1">
      <c r="A3977"/>
      <c r="B3977" s="249"/>
      <c r="C3977"/>
      <c r="D3977"/>
      <c r="E3977"/>
      <c r="F3977" s="242"/>
      <c r="G3977"/>
      <c r="H3977" s="242"/>
      <c r="I3977" s="242"/>
      <c r="J3977" s="242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</row>
    <row r="3978" spans="1:26" hidden="1">
      <c r="A3978"/>
      <c r="B3978" s="249"/>
      <c r="C3978"/>
      <c r="D3978"/>
      <c r="E3978"/>
      <c r="F3978" s="242"/>
      <c r="G3978"/>
      <c r="H3978" s="242"/>
      <c r="I3978" s="242"/>
      <c r="J3978" s="242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</row>
    <row r="3979" spans="1:26" hidden="1">
      <c r="A3979"/>
      <c r="B3979" s="249"/>
      <c r="C3979"/>
      <c r="D3979"/>
      <c r="E3979"/>
      <c r="F3979" s="242"/>
      <c r="G3979"/>
      <c r="H3979" s="242"/>
      <c r="I3979" s="242"/>
      <c r="J3979" s="242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</row>
    <row r="3980" spans="1:26" hidden="1">
      <c r="A3980"/>
      <c r="B3980" s="249"/>
      <c r="C3980"/>
      <c r="D3980"/>
      <c r="E3980"/>
      <c r="F3980" s="242"/>
      <c r="G3980"/>
      <c r="H3980" s="242"/>
      <c r="I3980" s="242"/>
      <c r="J3980" s="242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</row>
    <row r="3981" spans="1:26" hidden="1">
      <c r="A3981"/>
      <c r="B3981" s="249"/>
      <c r="C3981"/>
      <c r="D3981"/>
      <c r="E3981"/>
      <c r="F3981" s="242"/>
      <c r="G3981"/>
      <c r="H3981" s="242"/>
      <c r="I3981" s="242"/>
      <c r="J3981" s="242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</row>
    <row r="3982" spans="1:26" hidden="1">
      <c r="A3982"/>
      <c r="B3982" s="249"/>
      <c r="C3982"/>
      <c r="D3982"/>
      <c r="E3982"/>
      <c r="F3982" s="242"/>
      <c r="G3982"/>
      <c r="H3982" s="242"/>
      <c r="I3982" s="242"/>
      <c r="J3982" s="242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</row>
    <row r="3983" spans="1:26" hidden="1">
      <c r="A3983"/>
      <c r="B3983" s="249"/>
      <c r="C3983"/>
      <c r="D3983"/>
      <c r="E3983"/>
      <c r="F3983" s="242"/>
      <c r="G3983"/>
      <c r="H3983" s="242"/>
      <c r="I3983" s="242"/>
      <c r="J3983" s="242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</row>
    <row r="3984" spans="1:26" hidden="1">
      <c r="A3984"/>
      <c r="B3984" s="249"/>
      <c r="C3984"/>
      <c r="D3984"/>
      <c r="E3984"/>
      <c r="F3984" s="242"/>
      <c r="G3984"/>
      <c r="H3984" s="242"/>
      <c r="I3984" s="242"/>
      <c r="J3984" s="242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</row>
    <row r="3985" spans="1:26" hidden="1">
      <c r="A3985"/>
      <c r="B3985" s="249"/>
      <c r="C3985"/>
      <c r="D3985"/>
      <c r="E3985"/>
      <c r="F3985" s="242"/>
      <c r="G3985"/>
      <c r="H3985" s="242"/>
      <c r="I3985" s="242"/>
      <c r="J3985" s="242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</row>
    <row r="3986" spans="1:26" hidden="1">
      <c r="A3986"/>
      <c r="B3986" s="249"/>
      <c r="C3986"/>
      <c r="D3986"/>
      <c r="E3986"/>
      <c r="F3986" s="242"/>
      <c r="G3986"/>
      <c r="H3986" s="242"/>
      <c r="I3986" s="242"/>
      <c r="J3986" s="242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</row>
    <row r="3987" spans="1:26" hidden="1">
      <c r="A3987"/>
      <c r="B3987" s="249"/>
      <c r="C3987"/>
      <c r="D3987"/>
      <c r="E3987"/>
      <c r="F3987" s="242"/>
      <c r="G3987"/>
      <c r="H3987" s="242"/>
      <c r="I3987" s="242"/>
      <c r="J3987" s="242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</row>
    <row r="3988" spans="1:26" hidden="1">
      <c r="A3988"/>
      <c r="B3988" s="249"/>
      <c r="C3988"/>
      <c r="D3988"/>
      <c r="E3988"/>
      <c r="F3988" s="242"/>
      <c r="G3988"/>
      <c r="H3988" s="242"/>
      <c r="I3988" s="242"/>
      <c r="J3988" s="242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</row>
    <row r="3989" spans="1:26" hidden="1">
      <c r="A3989"/>
      <c r="B3989" s="249"/>
      <c r="C3989"/>
      <c r="D3989"/>
      <c r="E3989"/>
      <c r="F3989" s="242"/>
      <c r="G3989"/>
      <c r="H3989" s="242"/>
      <c r="I3989" s="242"/>
      <c r="J3989" s="242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</row>
    <row r="3990" spans="1:26" hidden="1">
      <c r="A3990"/>
      <c r="B3990" s="249"/>
      <c r="C3990"/>
      <c r="D3990"/>
      <c r="E3990"/>
      <c r="F3990" s="242"/>
      <c r="G3990"/>
      <c r="H3990" s="242"/>
      <c r="I3990" s="242"/>
      <c r="J3990" s="242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</row>
    <row r="3991" spans="1:26" hidden="1">
      <c r="A3991"/>
      <c r="B3991" s="249"/>
      <c r="C3991"/>
      <c r="D3991"/>
      <c r="E3991"/>
      <c r="F3991" s="242"/>
      <c r="G3991"/>
      <c r="H3991" s="242"/>
      <c r="I3991" s="242"/>
      <c r="J3991" s="242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</row>
    <row r="3992" spans="1:26" hidden="1">
      <c r="A3992"/>
      <c r="B3992" s="249"/>
      <c r="C3992"/>
      <c r="D3992"/>
      <c r="E3992"/>
      <c r="F3992" s="242"/>
      <c r="G3992"/>
      <c r="H3992" s="242"/>
      <c r="I3992" s="242"/>
      <c r="J3992" s="242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</row>
    <row r="3993" spans="1:26" hidden="1">
      <c r="A3993"/>
      <c r="B3993" s="249"/>
      <c r="C3993"/>
      <c r="D3993"/>
      <c r="E3993"/>
      <c r="F3993" s="242"/>
      <c r="G3993"/>
      <c r="H3993" s="242"/>
      <c r="I3993" s="242"/>
      <c r="J3993" s="242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</row>
    <row r="3994" spans="1:26" hidden="1">
      <c r="A3994"/>
      <c r="B3994" s="249"/>
      <c r="C3994"/>
      <c r="D3994"/>
      <c r="E3994"/>
      <c r="F3994" s="242"/>
      <c r="G3994"/>
      <c r="H3994" s="242"/>
      <c r="I3994" s="242"/>
      <c r="J3994" s="242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</row>
    <row r="3995" spans="1:26" hidden="1">
      <c r="A3995"/>
      <c r="B3995" s="249"/>
      <c r="C3995"/>
      <c r="D3995"/>
      <c r="E3995"/>
      <c r="F3995" s="242"/>
      <c r="G3995"/>
      <c r="H3995" s="242"/>
      <c r="I3995" s="242"/>
      <c r="J3995" s="242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</row>
    <row r="3996" spans="1:26" hidden="1">
      <c r="A3996"/>
      <c r="B3996" s="249"/>
      <c r="C3996"/>
      <c r="D3996"/>
      <c r="E3996"/>
      <c r="F3996" s="242"/>
      <c r="G3996"/>
      <c r="H3996" s="242"/>
      <c r="I3996" s="242"/>
      <c r="J3996" s="242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</row>
    <row r="3997" spans="1:26" hidden="1">
      <c r="A3997"/>
      <c r="B3997" s="249"/>
      <c r="C3997"/>
      <c r="D3997"/>
      <c r="E3997"/>
      <c r="F3997" s="242"/>
      <c r="G3997"/>
      <c r="H3997" s="242"/>
      <c r="I3997" s="242"/>
      <c r="J3997" s="242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</row>
    <row r="3998" spans="1:26" hidden="1">
      <c r="A3998"/>
      <c r="B3998" s="249"/>
      <c r="C3998"/>
      <c r="D3998"/>
      <c r="E3998"/>
      <c r="F3998" s="242"/>
      <c r="G3998"/>
      <c r="H3998" s="242"/>
      <c r="I3998" s="242"/>
      <c r="J3998" s="242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</row>
    <row r="3999" spans="1:26" hidden="1">
      <c r="A3999"/>
      <c r="B3999" s="249"/>
      <c r="C3999"/>
      <c r="D3999"/>
      <c r="E3999"/>
      <c r="F3999" s="242"/>
      <c r="G3999"/>
      <c r="H3999" s="242"/>
      <c r="I3999" s="242"/>
      <c r="J3999" s="242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</row>
    <row r="4000" spans="1:26" hidden="1">
      <c r="A4000"/>
      <c r="B4000" s="249"/>
      <c r="C4000"/>
      <c r="D4000"/>
      <c r="E4000"/>
      <c r="F4000" s="242"/>
      <c r="G4000"/>
      <c r="H4000" s="242"/>
      <c r="I4000" s="242"/>
      <c r="J4000" s="242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</row>
    <row r="4001" spans="1:26" hidden="1">
      <c r="A4001"/>
      <c r="B4001" s="249"/>
      <c r="C4001"/>
      <c r="D4001"/>
      <c r="E4001"/>
      <c r="F4001" s="242"/>
      <c r="G4001"/>
      <c r="H4001" s="242"/>
      <c r="I4001" s="242"/>
      <c r="J4001" s="242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</row>
    <row r="4002" spans="1:26" hidden="1">
      <c r="A4002"/>
      <c r="B4002" s="249"/>
      <c r="C4002"/>
      <c r="D4002"/>
      <c r="E4002"/>
      <c r="F4002" s="242"/>
      <c r="G4002"/>
      <c r="H4002" s="242"/>
      <c r="I4002" s="242"/>
      <c r="J4002" s="242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</row>
    <row r="4003" spans="1:26" hidden="1">
      <c r="A4003"/>
      <c r="B4003" s="249"/>
      <c r="C4003"/>
      <c r="D4003"/>
      <c r="E4003"/>
      <c r="F4003" s="242"/>
      <c r="G4003"/>
      <c r="H4003" s="242"/>
      <c r="I4003" s="242"/>
      <c r="J4003" s="242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</row>
    <row r="4004" spans="1:26" hidden="1">
      <c r="A4004"/>
      <c r="B4004" s="249"/>
      <c r="C4004"/>
      <c r="D4004"/>
      <c r="E4004"/>
      <c r="F4004" s="242"/>
      <c r="G4004"/>
      <c r="H4004" s="242"/>
      <c r="I4004" s="242"/>
      <c r="J4004" s="242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</row>
    <row r="4005" spans="1:26" hidden="1">
      <c r="A4005"/>
      <c r="B4005" s="249"/>
      <c r="C4005"/>
      <c r="D4005"/>
      <c r="E4005"/>
      <c r="F4005" s="242"/>
      <c r="G4005"/>
      <c r="H4005" s="242"/>
      <c r="I4005" s="242"/>
      <c r="J4005" s="242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</row>
    <row r="4006" spans="1:26" hidden="1">
      <c r="A4006"/>
      <c r="B4006" s="249"/>
      <c r="C4006"/>
      <c r="D4006"/>
      <c r="E4006"/>
      <c r="F4006" s="242"/>
      <c r="G4006"/>
      <c r="H4006" s="242"/>
      <c r="I4006" s="242"/>
      <c r="J4006" s="242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</row>
    <row r="4007" spans="1:26" hidden="1">
      <c r="A4007"/>
      <c r="B4007" s="249"/>
      <c r="C4007"/>
      <c r="D4007"/>
      <c r="E4007"/>
      <c r="F4007" s="242"/>
      <c r="G4007"/>
      <c r="H4007" s="242"/>
      <c r="I4007" s="242"/>
      <c r="J4007" s="242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</row>
    <row r="4008" spans="1:26" hidden="1">
      <c r="A4008"/>
      <c r="B4008" s="249"/>
      <c r="C4008"/>
      <c r="D4008"/>
      <c r="E4008"/>
      <c r="F4008" s="242"/>
      <c r="G4008"/>
      <c r="H4008" s="242"/>
      <c r="I4008" s="242"/>
      <c r="J4008" s="242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</row>
    <row r="4009" spans="1:26" hidden="1">
      <c r="A4009"/>
      <c r="B4009" s="249"/>
      <c r="C4009"/>
      <c r="D4009"/>
      <c r="E4009"/>
      <c r="F4009" s="242"/>
      <c r="G4009"/>
      <c r="H4009" s="242"/>
      <c r="I4009" s="242"/>
      <c r="J4009" s="242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</row>
    <row r="4010" spans="1:26" hidden="1">
      <c r="A4010"/>
      <c r="B4010" s="249"/>
      <c r="C4010"/>
      <c r="D4010"/>
      <c r="E4010"/>
      <c r="F4010" s="242"/>
      <c r="G4010"/>
      <c r="H4010" s="242"/>
      <c r="I4010" s="242"/>
      <c r="J4010" s="242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</row>
    <row r="4011" spans="1:26" hidden="1">
      <c r="A4011"/>
      <c r="B4011" s="249"/>
      <c r="C4011"/>
      <c r="D4011"/>
      <c r="E4011"/>
      <c r="F4011" s="242"/>
      <c r="G4011"/>
      <c r="H4011" s="242"/>
      <c r="I4011" s="242"/>
      <c r="J4011" s="242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</row>
    <row r="4012" spans="1:26" hidden="1">
      <c r="A4012"/>
      <c r="B4012" s="249"/>
      <c r="C4012"/>
      <c r="D4012"/>
      <c r="E4012"/>
      <c r="F4012" s="242"/>
      <c r="G4012"/>
      <c r="H4012" s="242"/>
      <c r="I4012" s="242"/>
      <c r="J4012" s="242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</row>
    <row r="4013" spans="1:26" hidden="1">
      <c r="A4013"/>
      <c r="B4013" s="249"/>
      <c r="C4013"/>
      <c r="D4013"/>
      <c r="E4013"/>
      <c r="F4013" s="242"/>
      <c r="G4013"/>
      <c r="H4013" s="242"/>
      <c r="I4013" s="242"/>
      <c r="J4013" s="242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</row>
    <row r="4014" spans="1:26" hidden="1">
      <c r="A4014"/>
      <c r="B4014" s="249"/>
      <c r="C4014"/>
      <c r="D4014"/>
      <c r="E4014"/>
      <c r="F4014" s="242"/>
      <c r="G4014"/>
      <c r="H4014" s="242"/>
      <c r="I4014" s="242"/>
      <c r="J4014" s="242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</row>
    <row r="4015" spans="1:26" hidden="1">
      <c r="A4015"/>
      <c r="B4015" s="249"/>
      <c r="C4015"/>
      <c r="D4015"/>
      <c r="E4015"/>
      <c r="F4015" s="242"/>
      <c r="G4015"/>
      <c r="H4015" s="242"/>
      <c r="I4015" s="242"/>
      <c r="J4015" s="242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</row>
    <row r="4016" spans="1:26" hidden="1">
      <c r="A4016"/>
      <c r="B4016" s="249"/>
      <c r="C4016"/>
      <c r="D4016"/>
      <c r="E4016"/>
      <c r="F4016" s="242"/>
      <c r="G4016"/>
      <c r="H4016" s="242"/>
      <c r="I4016" s="242"/>
      <c r="J4016" s="242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</row>
    <row r="4017" spans="1:26" hidden="1">
      <c r="A4017"/>
      <c r="B4017" s="249"/>
      <c r="C4017"/>
      <c r="D4017"/>
      <c r="E4017"/>
      <c r="F4017" s="242"/>
      <c r="G4017"/>
      <c r="H4017" s="242"/>
      <c r="I4017" s="242"/>
      <c r="J4017" s="242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</row>
    <row r="4018" spans="1:26" hidden="1">
      <c r="A4018"/>
      <c r="B4018" s="249"/>
      <c r="C4018"/>
      <c r="D4018"/>
      <c r="E4018"/>
      <c r="F4018" s="242"/>
      <c r="G4018"/>
      <c r="H4018" s="242"/>
      <c r="I4018" s="242"/>
      <c r="J4018" s="242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</row>
    <row r="4019" spans="1:26" hidden="1">
      <c r="A4019"/>
      <c r="B4019" s="249"/>
      <c r="C4019"/>
      <c r="D4019"/>
      <c r="E4019"/>
      <c r="F4019" s="242"/>
      <c r="G4019"/>
      <c r="H4019" s="242"/>
      <c r="I4019" s="242"/>
      <c r="J4019" s="242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</row>
    <row r="4020" spans="1:26" hidden="1">
      <c r="A4020"/>
      <c r="B4020" s="249"/>
      <c r="C4020"/>
      <c r="D4020"/>
      <c r="E4020"/>
      <c r="F4020" s="242"/>
      <c r="G4020"/>
      <c r="H4020" s="242"/>
      <c r="I4020" s="242"/>
      <c r="J4020" s="242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</row>
    <row r="4021" spans="1:26" hidden="1">
      <c r="A4021"/>
      <c r="B4021" s="249"/>
      <c r="C4021"/>
      <c r="D4021"/>
      <c r="E4021"/>
      <c r="F4021" s="242"/>
      <c r="G4021"/>
      <c r="H4021" s="242"/>
      <c r="I4021" s="242"/>
      <c r="J4021" s="242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</row>
    <row r="4022" spans="1:26" hidden="1">
      <c r="A4022"/>
      <c r="B4022" s="249"/>
      <c r="C4022"/>
      <c r="D4022"/>
      <c r="E4022"/>
      <c r="F4022" s="242"/>
      <c r="G4022"/>
      <c r="H4022" s="242"/>
      <c r="I4022" s="242"/>
      <c r="J4022" s="242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</row>
    <row r="4023" spans="1:26" hidden="1">
      <c r="A4023"/>
      <c r="B4023" s="249"/>
      <c r="C4023"/>
      <c r="D4023"/>
      <c r="E4023"/>
      <c r="F4023" s="242"/>
      <c r="G4023"/>
      <c r="H4023" s="242"/>
      <c r="I4023" s="242"/>
      <c r="J4023" s="242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</row>
    <row r="4024" spans="1:26" hidden="1">
      <c r="A4024"/>
      <c r="B4024" s="249"/>
      <c r="C4024"/>
      <c r="D4024"/>
      <c r="E4024"/>
      <c r="F4024" s="242"/>
      <c r="G4024"/>
      <c r="H4024" s="242"/>
      <c r="I4024" s="242"/>
      <c r="J4024" s="242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</row>
    <row r="4025" spans="1:26" hidden="1">
      <c r="A4025"/>
      <c r="B4025" s="249"/>
      <c r="C4025"/>
      <c r="D4025"/>
      <c r="E4025"/>
      <c r="F4025" s="242"/>
      <c r="G4025"/>
      <c r="H4025" s="242"/>
      <c r="I4025" s="242"/>
      <c r="J4025" s="242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</row>
    <row r="4026" spans="1:26" hidden="1">
      <c r="A4026"/>
      <c r="B4026" s="249"/>
      <c r="C4026"/>
      <c r="D4026"/>
      <c r="E4026"/>
      <c r="F4026" s="242"/>
      <c r="G4026"/>
      <c r="H4026" s="242"/>
      <c r="I4026" s="242"/>
      <c r="J4026" s="242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</row>
    <row r="4027" spans="1:26" hidden="1">
      <c r="A4027"/>
      <c r="B4027" s="249"/>
      <c r="C4027"/>
      <c r="D4027"/>
      <c r="E4027"/>
      <c r="F4027" s="242"/>
      <c r="G4027"/>
      <c r="H4027" s="242"/>
      <c r="I4027" s="242"/>
      <c r="J4027" s="242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</row>
    <row r="4028" spans="1:26" hidden="1">
      <c r="A4028"/>
      <c r="B4028" s="249"/>
      <c r="C4028"/>
      <c r="D4028"/>
      <c r="E4028"/>
      <c r="F4028" s="242"/>
      <c r="G4028"/>
      <c r="H4028" s="242"/>
      <c r="I4028" s="242"/>
      <c r="J4028" s="242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</row>
    <row r="4029" spans="1:26" hidden="1">
      <c r="A4029"/>
      <c r="B4029" s="249"/>
      <c r="C4029"/>
      <c r="D4029"/>
      <c r="E4029"/>
      <c r="F4029" s="242"/>
      <c r="G4029"/>
      <c r="H4029" s="242"/>
      <c r="I4029" s="242"/>
      <c r="J4029" s="242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</row>
    <row r="4030" spans="1:26" hidden="1">
      <c r="A4030"/>
      <c r="B4030" s="249"/>
      <c r="C4030"/>
      <c r="D4030"/>
      <c r="E4030"/>
      <c r="F4030" s="242"/>
      <c r="G4030"/>
      <c r="H4030" s="242"/>
      <c r="I4030" s="242"/>
      <c r="J4030" s="242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</row>
    <row r="4031" spans="1:26" hidden="1">
      <c r="A4031"/>
      <c r="B4031" s="249"/>
      <c r="C4031"/>
      <c r="D4031"/>
      <c r="E4031"/>
      <c r="F4031" s="242"/>
      <c r="G4031"/>
      <c r="H4031" s="242"/>
      <c r="I4031" s="242"/>
      <c r="J4031" s="242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</row>
    <row r="4032" spans="1:26" hidden="1">
      <c r="A4032"/>
      <c r="B4032" s="249"/>
      <c r="C4032"/>
      <c r="D4032"/>
      <c r="E4032"/>
      <c r="F4032" s="242"/>
      <c r="G4032"/>
      <c r="H4032" s="242"/>
      <c r="I4032" s="242"/>
      <c r="J4032" s="242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</row>
    <row r="4033" spans="1:26" hidden="1">
      <c r="A4033"/>
      <c r="B4033" s="249"/>
      <c r="C4033"/>
      <c r="D4033"/>
      <c r="E4033"/>
      <c r="F4033" s="242"/>
      <c r="G4033"/>
      <c r="H4033" s="242"/>
      <c r="I4033" s="242"/>
      <c r="J4033" s="242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</row>
    <row r="4034" spans="1:26" hidden="1">
      <c r="A4034"/>
      <c r="B4034" s="249"/>
      <c r="C4034"/>
      <c r="D4034"/>
      <c r="E4034"/>
      <c r="F4034" s="242"/>
      <c r="G4034"/>
      <c r="H4034" s="242"/>
      <c r="I4034" s="242"/>
      <c r="J4034" s="242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</row>
    <row r="4035" spans="1:26" hidden="1">
      <c r="A4035"/>
      <c r="B4035" s="249"/>
      <c r="C4035"/>
      <c r="D4035"/>
      <c r="E4035"/>
      <c r="F4035" s="242"/>
      <c r="G4035"/>
      <c r="H4035" s="242"/>
      <c r="I4035" s="242"/>
      <c r="J4035" s="242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</row>
    <row r="4036" spans="1:26" hidden="1">
      <c r="A4036"/>
      <c r="B4036" s="249"/>
      <c r="C4036"/>
      <c r="D4036"/>
      <c r="E4036"/>
      <c r="F4036" s="242"/>
      <c r="G4036"/>
      <c r="H4036" s="242"/>
      <c r="I4036" s="242"/>
      <c r="J4036" s="242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</row>
    <row r="4037" spans="1:26" hidden="1">
      <c r="A4037"/>
      <c r="B4037" s="249"/>
      <c r="C4037"/>
      <c r="D4037"/>
      <c r="E4037"/>
      <c r="F4037" s="242"/>
      <c r="G4037"/>
      <c r="H4037" s="242"/>
      <c r="I4037" s="242"/>
      <c r="J4037" s="242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</row>
    <row r="4038" spans="1:26" hidden="1">
      <c r="A4038"/>
      <c r="B4038" s="249"/>
      <c r="C4038"/>
      <c r="D4038"/>
      <c r="E4038"/>
      <c r="F4038" s="242"/>
      <c r="G4038"/>
      <c r="H4038" s="242"/>
      <c r="I4038" s="242"/>
      <c r="J4038" s="242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</row>
    <row r="4039" spans="1:26" hidden="1">
      <c r="A4039"/>
      <c r="B4039" s="249"/>
      <c r="C4039"/>
      <c r="D4039"/>
      <c r="E4039"/>
      <c r="F4039" s="242"/>
      <c r="G4039"/>
      <c r="H4039" s="242"/>
      <c r="I4039" s="242"/>
      <c r="J4039" s="242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</row>
    <row r="4040" spans="1:26" hidden="1">
      <c r="A4040"/>
      <c r="B4040" s="249"/>
      <c r="C4040"/>
      <c r="D4040"/>
      <c r="E4040"/>
      <c r="F4040" s="242"/>
      <c r="G4040"/>
      <c r="H4040" s="242"/>
      <c r="I4040" s="242"/>
      <c r="J4040" s="242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</row>
    <row r="4041" spans="1:26" hidden="1">
      <c r="A4041"/>
      <c r="B4041" s="249"/>
      <c r="C4041"/>
      <c r="D4041"/>
      <c r="E4041"/>
      <c r="F4041" s="242"/>
      <c r="G4041"/>
      <c r="H4041" s="242"/>
      <c r="I4041" s="242"/>
      <c r="J4041" s="242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</row>
    <row r="4042" spans="1:26" hidden="1">
      <c r="A4042"/>
      <c r="B4042" s="249"/>
      <c r="C4042"/>
      <c r="D4042"/>
      <c r="E4042"/>
      <c r="F4042" s="242"/>
      <c r="G4042"/>
      <c r="H4042" s="242"/>
      <c r="I4042" s="242"/>
      <c r="J4042" s="242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</row>
    <row r="4043" spans="1:26" hidden="1">
      <c r="A4043"/>
      <c r="B4043" s="249"/>
      <c r="C4043"/>
      <c r="D4043"/>
      <c r="E4043"/>
      <c r="F4043" s="242"/>
      <c r="G4043"/>
      <c r="H4043" s="242"/>
      <c r="I4043" s="242"/>
      <c r="J4043" s="242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</row>
    <row r="4044" spans="1:26" hidden="1">
      <c r="A4044"/>
      <c r="B4044" s="249"/>
      <c r="C4044"/>
      <c r="D4044"/>
      <c r="E4044"/>
      <c r="F4044" s="242"/>
      <c r="G4044"/>
      <c r="H4044" s="242"/>
      <c r="I4044" s="242"/>
      <c r="J4044" s="242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</row>
    <row r="4045" spans="1:26" hidden="1">
      <c r="A4045"/>
      <c r="B4045" s="249"/>
      <c r="C4045"/>
      <c r="D4045"/>
      <c r="E4045"/>
      <c r="F4045" s="242"/>
      <c r="G4045"/>
      <c r="H4045" s="242"/>
      <c r="I4045" s="242"/>
      <c r="J4045" s="242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</row>
    <row r="4046" spans="1:26" hidden="1">
      <c r="A4046"/>
      <c r="B4046" s="249"/>
      <c r="C4046"/>
      <c r="D4046"/>
      <c r="E4046"/>
      <c r="F4046" s="242"/>
      <c r="G4046"/>
      <c r="H4046" s="242"/>
      <c r="I4046" s="242"/>
      <c r="J4046" s="242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</row>
    <row r="4047" spans="1:26" hidden="1">
      <c r="A4047"/>
      <c r="B4047" s="249"/>
      <c r="C4047"/>
      <c r="D4047"/>
      <c r="E4047"/>
      <c r="F4047" s="242"/>
      <c r="G4047"/>
      <c r="H4047" s="242"/>
      <c r="I4047" s="242"/>
      <c r="J4047" s="242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</row>
    <row r="4048" spans="1:26" hidden="1">
      <c r="A4048"/>
      <c r="B4048" s="249"/>
      <c r="C4048"/>
      <c r="D4048"/>
      <c r="E4048"/>
      <c r="F4048" s="242"/>
      <c r="G4048"/>
      <c r="H4048" s="242"/>
      <c r="I4048" s="242"/>
      <c r="J4048" s="242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</row>
    <row r="4049" spans="1:26" hidden="1">
      <c r="A4049"/>
      <c r="B4049" s="249"/>
      <c r="C4049"/>
      <c r="D4049"/>
      <c r="E4049"/>
      <c r="F4049" s="242"/>
      <c r="G4049"/>
      <c r="H4049" s="242"/>
      <c r="I4049" s="242"/>
      <c r="J4049" s="242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</row>
    <row r="4050" spans="1:26" hidden="1">
      <c r="A4050"/>
      <c r="B4050" s="249"/>
      <c r="C4050"/>
      <c r="D4050"/>
      <c r="E4050"/>
      <c r="F4050" s="242"/>
      <c r="G4050"/>
      <c r="H4050" s="242"/>
      <c r="I4050" s="242"/>
      <c r="J4050" s="242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</row>
    <row r="4051" spans="1:26" hidden="1">
      <c r="A4051"/>
      <c r="B4051" s="249"/>
      <c r="C4051"/>
      <c r="D4051"/>
      <c r="E4051"/>
      <c r="F4051" s="242"/>
      <c r="G4051"/>
      <c r="H4051" s="242"/>
      <c r="I4051" s="242"/>
      <c r="J4051" s="242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</row>
    <row r="4052" spans="1:26" hidden="1">
      <c r="A4052"/>
      <c r="B4052" s="249"/>
      <c r="C4052"/>
      <c r="D4052"/>
      <c r="E4052"/>
      <c r="F4052" s="242"/>
      <c r="G4052"/>
      <c r="H4052" s="242"/>
      <c r="I4052" s="242"/>
      <c r="J4052" s="242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</row>
    <row r="4053" spans="1:26" hidden="1">
      <c r="A4053"/>
      <c r="B4053" s="249"/>
      <c r="C4053"/>
      <c r="D4053"/>
      <c r="E4053"/>
      <c r="F4053" s="242"/>
      <c r="G4053"/>
      <c r="H4053" s="242"/>
      <c r="I4053" s="242"/>
      <c r="J4053" s="242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</row>
    <row r="4054" spans="1:26" hidden="1">
      <c r="A4054"/>
      <c r="B4054" s="249"/>
      <c r="C4054"/>
      <c r="D4054"/>
      <c r="E4054"/>
      <c r="F4054" s="242"/>
      <c r="G4054"/>
      <c r="H4054" s="242"/>
      <c r="I4054" s="242"/>
      <c r="J4054" s="242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</row>
    <row r="4055" spans="1:26" hidden="1">
      <c r="A4055"/>
      <c r="B4055" s="249"/>
      <c r="C4055"/>
      <c r="D4055"/>
      <c r="E4055"/>
      <c r="F4055" s="242"/>
      <c r="G4055"/>
      <c r="H4055" s="242"/>
      <c r="I4055" s="242"/>
      <c r="J4055" s="242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</row>
    <row r="4056" spans="1:26" hidden="1">
      <c r="A4056"/>
      <c r="B4056" s="249"/>
      <c r="C4056"/>
      <c r="D4056"/>
      <c r="E4056"/>
      <c r="F4056" s="242"/>
      <c r="G4056"/>
      <c r="H4056" s="242"/>
      <c r="I4056" s="242"/>
      <c r="J4056" s="242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</row>
    <row r="4057" spans="1:26" hidden="1">
      <c r="A4057"/>
      <c r="B4057" s="249"/>
      <c r="C4057"/>
      <c r="D4057"/>
      <c r="E4057"/>
      <c r="F4057" s="242"/>
      <c r="G4057"/>
      <c r="H4057" s="242"/>
      <c r="I4057" s="242"/>
      <c r="J4057" s="242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</row>
    <row r="4058" spans="1:26" hidden="1">
      <c r="A4058"/>
      <c r="B4058" s="249"/>
      <c r="C4058"/>
      <c r="D4058"/>
      <c r="E4058"/>
      <c r="F4058" s="242"/>
      <c r="G4058"/>
      <c r="H4058" s="242"/>
      <c r="I4058" s="242"/>
      <c r="J4058" s="242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</row>
    <row r="4059" spans="1:26" hidden="1">
      <c r="A4059"/>
      <c r="B4059" s="249"/>
      <c r="C4059"/>
      <c r="D4059"/>
      <c r="E4059"/>
      <c r="F4059" s="242"/>
      <c r="G4059"/>
      <c r="H4059" s="242"/>
      <c r="I4059" s="242"/>
      <c r="J4059" s="242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</row>
    <row r="4060" spans="1:26" hidden="1">
      <c r="A4060"/>
      <c r="B4060" s="249"/>
      <c r="C4060"/>
      <c r="D4060"/>
      <c r="E4060"/>
      <c r="F4060" s="242"/>
      <c r="G4060"/>
      <c r="H4060" s="242"/>
      <c r="I4060" s="242"/>
      <c r="J4060" s="242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</row>
    <row r="4061" spans="1:26" hidden="1">
      <c r="A4061"/>
      <c r="B4061" s="249"/>
      <c r="C4061"/>
      <c r="D4061"/>
      <c r="E4061"/>
      <c r="F4061" s="242"/>
      <c r="G4061"/>
      <c r="H4061" s="242"/>
      <c r="I4061" s="242"/>
      <c r="J4061" s="242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</row>
    <row r="4062" spans="1:26" hidden="1">
      <c r="A4062"/>
      <c r="B4062" s="249"/>
      <c r="C4062"/>
      <c r="D4062"/>
      <c r="E4062"/>
      <c r="F4062" s="242"/>
      <c r="G4062"/>
      <c r="H4062" s="242"/>
      <c r="I4062" s="242"/>
      <c r="J4062" s="242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</row>
    <row r="4063" spans="1:26" hidden="1">
      <c r="A4063"/>
      <c r="B4063" s="249"/>
      <c r="C4063"/>
      <c r="D4063"/>
      <c r="E4063"/>
      <c r="F4063" s="242"/>
      <c r="G4063"/>
      <c r="H4063" s="242"/>
      <c r="I4063" s="242"/>
      <c r="J4063" s="242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</row>
    <row r="4064" spans="1:26" hidden="1">
      <c r="A4064"/>
      <c r="B4064" s="249"/>
      <c r="C4064"/>
      <c r="D4064"/>
      <c r="E4064"/>
      <c r="F4064" s="242"/>
      <c r="G4064"/>
      <c r="H4064" s="242"/>
      <c r="I4064" s="242"/>
      <c r="J4064" s="242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</row>
    <row r="4065" spans="1:26" hidden="1">
      <c r="A4065"/>
      <c r="B4065" s="249"/>
      <c r="C4065"/>
      <c r="D4065"/>
      <c r="E4065"/>
      <c r="F4065" s="242"/>
      <c r="G4065"/>
      <c r="H4065" s="242"/>
      <c r="I4065" s="242"/>
      <c r="J4065" s="242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</row>
    <row r="4066" spans="1:26" hidden="1">
      <c r="A4066"/>
      <c r="B4066" s="249"/>
      <c r="C4066"/>
      <c r="D4066"/>
      <c r="E4066"/>
      <c r="F4066" s="242"/>
      <c r="G4066"/>
      <c r="H4066" s="242"/>
      <c r="I4066" s="242"/>
      <c r="J4066" s="242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</row>
    <row r="4067" spans="1:26" hidden="1">
      <c r="A4067"/>
      <c r="B4067" s="249"/>
      <c r="C4067"/>
      <c r="D4067"/>
      <c r="E4067"/>
      <c r="F4067" s="242"/>
      <c r="G4067"/>
      <c r="H4067" s="242"/>
      <c r="I4067" s="242"/>
      <c r="J4067" s="242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</row>
    <row r="4068" spans="1:26" hidden="1">
      <c r="A4068"/>
      <c r="B4068" s="249"/>
      <c r="C4068"/>
      <c r="D4068"/>
      <c r="E4068"/>
      <c r="F4068" s="242"/>
      <c r="G4068"/>
      <c r="H4068" s="242"/>
      <c r="I4068" s="242"/>
      <c r="J4068" s="242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</row>
    <row r="4069" spans="1:26" hidden="1">
      <c r="A4069"/>
      <c r="B4069" s="249"/>
      <c r="C4069"/>
      <c r="D4069"/>
      <c r="E4069"/>
      <c r="F4069" s="242"/>
      <c r="G4069"/>
      <c r="H4069" s="242"/>
      <c r="I4069" s="242"/>
      <c r="J4069" s="242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</row>
    <row r="4070" spans="1:26" hidden="1">
      <c r="A4070"/>
      <c r="B4070" s="249"/>
      <c r="C4070"/>
      <c r="D4070"/>
      <c r="E4070"/>
      <c r="F4070" s="242"/>
      <c r="G4070"/>
      <c r="H4070" s="242"/>
      <c r="I4070" s="242"/>
      <c r="J4070" s="242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</row>
    <row r="4071" spans="1:26" hidden="1">
      <c r="A4071"/>
      <c r="B4071" s="249"/>
      <c r="C4071"/>
      <c r="D4071"/>
      <c r="E4071"/>
      <c r="F4071" s="242"/>
      <c r="G4071"/>
      <c r="H4071" s="242"/>
      <c r="I4071" s="242"/>
      <c r="J4071" s="242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</row>
    <row r="4072" spans="1:26" hidden="1">
      <c r="A4072"/>
      <c r="B4072" s="249"/>
      <c r="C4072"/>
      <c r="D4072"/>
      <c r="E4072"/>
      <c r="F4072" s="242"/>
      <c r="G4072"/>
      <c r="H4072" s="242"/>
      <c r="I4072" s="242"/>
      <c r="J4072" s="242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</row>
    <row r="4073" spans="1:26" hidden="1">
      <c r="A4073"/>
      <c r="B4073" s="249"/>
      <c r="C4073"/>
      <c r="D4073"/>
      <c r="E4073"/>
      <c r="F4073" s="242"/>
      <c r="G4073"/>
      <c r="H4073" s="242"/>
      <c r="I4073" s="242"/>
      <c r="J4073" s="242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</row>
    <row r="4074" spans="1:26" hidden="1">
      <c r="A4074"/>
      <c r="B4074" s="249"/>
      <c r="C4074"/>
      <c r="D4074"/>
      <c r="E4074"/>
      <c r="F4074" s="242"/>
      <c r="G4074"/>
      <c r="H4074" s="242"/>
      <c r="I4074" s="242"/>
      <c r="J4074" s="242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</row>
    <row r="4075" spans="1:26" hidden="1">
      <c r="A4075"/>
      <c r="B4075" s="249"/>
      <c r="C4075"/>
      <c r="D4075"/>
      <c r="E4075"/>
      <c r="F4075" s="242"/>
      <c r="G4075"/>
      <c r="H4075" s="242"/>
      <c r="I4075" s="242"/>
      <c r="J4075" s="242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</row>
    <row r="4076" spans="1:26" hidden="1">
      <c r="A4076"/>
      <c r="B4076" s="249"/>
      <c r="C4076"/>
      <c r="D4076"/>
      <c r="E4076"/>
      <c r="F4076" s="242"/>
      <c r="G4076"/>
      <c r="H4076" s="242"/>
      <c r="I4076" s="242"/>
      <c r="J4076" s="242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</row>
    <row r="4077" spans="1:26" hidden="1">
      <c r="A4077"/>
      <c r="B4077" s="249"/>
      <c r="C4077"/>
      <c r="D4077"/>
      <c r="E4077"/>
      <c r="F4077" s="242"/>
      <c r="G4077"/>
      <c r="H4077" s="242"/>
      <c r="I4077" s="242"/>
      <c r="J4077" s="242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</row>
    <row r="4078" spans="1:26" hidden="1">
      <c r="A4078"/>
      <c r="B4078" s="249"/>
      <c r="C4078"/>
      <c r="D4078"/>
      <c r="E4078"/>
      <c r="F4078" s="242"/>
      <c r="G4078"/>
      <c r="H4078" s="242"/>
      <c r="I4078" s="242"/>
      <c r="J4078" s="242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</row>
    <row r="4079" spans="1:26" hidden="1">
      <c r="A4079"/>
      <c r="B4079" s="249"/>
      <c r="C4079"/>
      <c r="D4079"/>
      <c r="E4079"/>
      <c r="F4079" s="242"/>
      <c r="G4079"/>
      <c r="H4079" s="242"/>
      <c r="I4079" s="242"/>
      <c r="J4079" s="242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</row>
    <row r="4080" spans="1:26" hidden="1">
      <c r="A4080"/>
      <c r="B4080" s="249"/>
      <c r="C4080"/>
      <c r="D4080"/>
      <c r="E4080"/>
      <c r="F4080" s="242"/>
      <c r="G4080"/>
      <c r="H4080" s="242"/>
      <c r="I4080" s="242"/>
      <c r="J4080" s="242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</row>
    <row r="4081" spans="1:26" hidden="1">
      <c r="A4081"/>
      <c r="B4081" s="249"/>
      <c r="C4081"/>
      <c r="D4081"/>
      <c r="E4081"/>
      <c r="F4081" s="242"/>
      <c r="G4081"/>
      <c r="H4081" s="242"/>
      <c r="I4081" s="242"/>
      <c r="J4081" s="242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</row>
    <row r="4082" spans="1:26" hidden="1">
      <c r="A4082"/>
      <c r="B4082" s="249"/>
      <c r="C4082"/>
      <c r="D4082"/>
      <c r="E4082"/>
      <c r="F4082" s="242"/>
      <c r="G4082"/>
      <c r="H4082" s="242"/>
      <c r="I4082" s="242"/>
      <c r="J4082" s="242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</row>
    <row r="4083" spans="1:26" hidden="1">
      <c r="A4083"/>
      <c r="B4083" s="249"/>
      <c r="C4083"/>
      <c r="D4083"/>
      <c r="E4083"/>
      <c r="F4083" s="242"/>
      <c r="G4083"/>
      <c r="H4083" s="242"/>
      <c r="I4083" s="242"/>
      <c r="J4083" s="242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</row>
    <row r="4084" spans="1:26" hidden="1">
      <c r="A4084"/>
      <c r="B4084" s="249"/>
      <c r="C4084"/>
      <c r="D4084"/>
      <c r="E4084"/>
      <c r="F4084" s="242"/>
      <c r="G4084"/>
      <c r="H4084" s="242"/>
      <c r="I4084" s="242"/>
      <c r="J4084" s="242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</row>
    <row r="4085" spans="1:26" hidden="1">
      <c r="A4085"/>
      <c r="B4085" s="249"/>
      <c r="C4085"/>
      <c r="D4085"/>
      <c r="E4085"/>
      <c r="F4085" s="242"/>
      <c r="G4085"/>
      <c r="H4085" s="242"/>
      <c r="I4085" s="242"/>
      <c r="J4085" s="242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</row>
    <row r="4086" spans="1:26" hidden="1">
      <c r="A4086"/>
      <c r="B4086" s="249"/>
      <c r="C4086"/>
      <c r="D4086"/>
      <c r="E4086"/>
      <c r="F4086" s="242"/>
      <c r="G4086"/>
      <c r="H4086" s="242"/>
      <c r="I4086" s="242"/>
      <c r="J4086" s="242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</row>
    <row r="4087" spans="1:26" hidden="1">
      <c r="A4087"/>
      <c r="B4087" s="249"/>
      <c r="C4087"/>
      <c r="D4087"/>
      <c r="E4087"/>
      <c r="F4087" s="242"/>
      <c r="G4087"/>
      <c r="H4087" s="242"/>
      <c r="I4087" s="242"/>
      <c r="J4087" s="242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</row>
    <row r="4088" spans="1:26" hidden="1">
      <c r="A4088"/>
      <c r="B4088" s="249"/>
      <c r="C4088"/>
      <c r="D4088"/>
      <c r="E4088"/>
      <c r="F4088" s="242"/>
      <c r="G4088"/>
      <c r="H4088" s="242"/>
      <c r="I4088" s="242"/>
      <c r="J4088" s="242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</row>
    <row r="4089" spans="1:26" hidden="1">
      <c r="A4089"/>
      <c r="B4089" s="249"/>
      <c r="C4089"/>
      <c r="D4089"/>
      <c r="E4089"/>
      <c r="F4089" s="242"/>
      <c r="G4089"/>
      <c r="H4089" s="242"/>
      <c r="I4089" s="242"/>
      <c r="J4089" s="242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</row>
    <row r="4090" spans="1:26" hidden="1">
      <c r="A4090"/>
      <c r="B4090" s="249"/>
      <c r="C4090"/>
      <c r="D4090"/>
      <c r="E4090"/>
      <c r="F4090" s="242"/>
      <c r="G4090"/>
      <c r="H4090" s="242"/>
      <c r="I4090" s="242"/>
      <c r="J4090" s="242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</row>
    <row r="4091" spans="1:26" hidden="1">
      <c r="A4091"/>
      <c r="B4091" s="249"/>
      <c r="C4091"/>
      <c r="D4091"/>
      <c r="E4091"/>
      <c r="F4091" s="242"/>
      <c r="G4091"/>
      <c r="H4091" s="242"/>
      <c r="I4091" s="242"/>
      <c r="J4091" s="242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</row>
    <row r="4092" spans="1:26" hidden="1">
      <c r="A4092"/>
      <c r="B4092" s="249"/>
      <c r="C4092"/>
      <c r="D4092"/>
      <c r="E4092"/>
      <c r="F4092" s="242"/>
      <c r="G4092"/>
      <c r="H4092" s="242"/>
      <c r="I4092" s="242"/>
      <c r="J4092" s="242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</row>
    <row r="4093" spans="1:26" hidden="1">
      <c r="A4093"/>
      <c r="B4093" s="249"/>
      <c r="C4093"/>
      <c r="D4093"/>
      <c r="E4093"/>
      <c r="F4093" s="242"/>
      <c r="G4093"/>
      <c r="H4093" s="242"/>
      <c r="I4093" s="242"/>
      <c r="J4093" s="242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</row>
    <row r="4094" spans="1:26" hidden="1">
      <c r="A4094"/>
      <c r="B4094" s="249"/>
      <c r="C4094"/>
      <c r="D4094"/>
      <c r="E4094"/>
      <c r="F4094" s="242"/>
      <c r="G4094"/>
      <c r="H4094" s="242"/>
      <c r="I4094" s="242"/>
      <c r="J4094" s="242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</row>
    <row r="4095" spans="1:26" hidden="1">
      <c r="A4095"/>
      <c r="B4095" s="249"/>
      <c r="C4095"/>
      <c r="D4095"/>
      <c r="E4095"/>
      <c r="F4095" s="242"/>
      <c r="G4095"/>
      <c r="H4095" s="242"/>
      <c r="I4095" s="242"/>
      <c r="J4095" s="242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</row>
    <row r="4096" spans="1:26" hidden="1">
      <c r="A4096"/>
      <c r="B4096" s="249"/>
      <c r="C4096"/>
      <c r="D4096"/>
      <c r="E4096"/>
      <c r="F4096" s="242"/>
      <c r="G4096"/>
      <c r="H4096" s="242"/>
      <c r="I4096" s="242"/>
      <c r="J4096" s="242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</row>
    <row r="4097" spans="1:26" hidden="1">
      <c r="A4097"/>
      <c r="B4097" s="249"/>
      <c r="C4097"/>
      <c r="D4097"/>
      <c r="E4097"/>
      <c r="F4097" s="242"/>
      <c r="G4097"/>
      <c r="H4097" s="242"/>
      <c r="I4097" s="242"/>
      <c r="J4097" s="242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</row>
    <row r="4098" spans="1:26" hidden="1">
      <c r="A4098"/>
      <c r="B4098" s="249"/>
      <c r="C4098"/>
      <c r="D4098"/>
      <c r="E4098"/>
      <c r="F4098" s="242"/>
      <c r="G4098"/>
      <c r="H4098" s="242"/>
      <c r="I4098" s="242"/>
      <c r="J4098" s="242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</row>
    <row r="4099" spans="1:26" hidden="1">
      <c r="A4099"/>
      <c r="B4099" s="249"/>
      <c r="C4099"/>
      <c r="D4099"/>
      <c r="E4099"/>
      <c r="F4099" s="242"/>
      <c r="G4099"/>
      <c r="H4099" s="242"/>
      <c r="I4099" s="242"/>
      <c r="J4099" s="242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</row>
    <row r="4100" spans="1:26" hidden="1">
      <c r="A4100"/>
      <c r="B4100" s="249"/>
      <c r="C4100"/>
      <c r="D4100"/>
      <c r="E4100"/>
      <c r="F4100" s="242"/>
      <c r="G4100"/>
      <c r="H4100" s="242"/>
      <c r="I4100" s="242"/>
      <c r="J4100" s="242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</row>
    <row r="4101" spans="1:26" hidden="1">
      <c r="A4101"/>
      <c r="B4101" s="249"/>
      <c r="C4101"/>
      <c r="D4101"/>
      <c r="E4101"/>
      <c r="F4101" s="242"/>
      <c r="G4101"/>
      <c r="H4101" s="242"/>
      <c r="I4101" s="242"/>
      <c r="J4101" s="242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</row>
    <row r="4102" spans="1:26" hidden="1">
      <c r="A4102"/>
      <c r="B4102" s="249"/>
      <c r="C4102"/>
      <c r="D4102"/>
      <c r="E4102"/>
      <c r="F4102" s="242"/>
      <c r="G4102"/>
      <c r="H4102" s="242"/>
      <c r="I4102" s="242"/>
      <c r="J4102" s="242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</row>
    <row r="4103" spans="1:26" hidden="1">
      <c r="A4103"/>
      <c r="B4103" s="249"/>
      <c r="C4103"/>
      <c r="D4103"/>
      <c r="E4103"/>
      <c r="F4103" s="242"/>
      <c r="G4103"/>
      <c r="H4103" s="242"/>
      <c r="I4103" s="242"/>
      <c r="J4103" s="242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</row>
    <row r="4104" spans="1:26" hidden="1">
      <c r="A4104"/>
      <c r="B4104" s="249"/>
      <c r="C4104"/>
      <c r="D4104"/>
      <c r="E4104"/>
      <c r="F4104" s="242"/>
      <c r="G4104"/>
      <c r="H4104" s="242"/>
      <c r="I4104" s="242"/>
      <c r="J4104" s="242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</row>
    <row r="4105" spans="1:26" hidden="1">
      <c r="A4105"/>
      <c r="B4105" s="249"/>
      <c r="C4105"/>
      <c r="D4105"/>
      <c r="E4105"/>
      <c r="F4105" s="242"/>
      <c r="G4105"/>
      <c r="H4105" s="242"/>
      <c r="I4105" s="242"/>
      <c r="J4105" s="242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</row>
    <row r="4106" spans="1:26" hidden="1">
      <c r="A4106"/>
      <c r="B4106" s="249"/>
      <c r="C4106"/>
      <c r="D4106"/>
      <c r="E4106"/>
      <c r="F4106" s="242"/>
      <c r="G4106"/>
      <c r="H4106" s="242"/>
      <c r="I4106" s="242"/>
      <c r="J4106" s="242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</row>
    <row r="4107" spans="1:26" hidden="1">
      <c r="A4107"/>
      <c r="B4107" s="249"/>
      <c r="C4107"/>
      <c r="D4107"/>
      <c r="E4107"/>
      <c r="F4107" s="242"/>
      <c r="G4107"/>
      <c r="H4107" s="242"/>
      <c r="I4107" s="242"/>
      <c r="J4107" s="242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</row>
    <row r="4108" spans="1:26" hidden="1">
      <c r="A4108"/>
      <c r="B4108" s="249"/>
      <c r="C4108"/>
      <c r="D4108"/>
      <c r="E4108"/>
      <c r="F4108" s="242"/>
      <c r="G4108"/>
      <c r="H4108" s="242"/>
      <c r="I4108" s="242"/>
      <c r="J4108" s="242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</row>
    <row r="4109" spans="1:26" hidden="1">
      <c r="A4109"/>
      <c r="B4109" s="249"/>
      <c r="C4109"/>
      <c r="D4109"/>
      <c r="E4109"/>
      <c r="F4109" s="242"/>
      <c r="G4109"/>
      <c r="H4109" s="242"/>
      <c r="I4109" s="242"/>
      <c r="J4109" s="242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</row>
    <row r="4110" spans="1:26" hidden="1">
      <c r="A4110"/>
      <c r="B4110" s="249"/>
      <c r="C4110"/>
      <c r="D4110"/>
      <c r="E4110"/>
      <c r="F4110" s="242"/>
      <c r="G4110"/>
      <c r="H4110" s="242"/>
      <c r="I4110" s="242"/>
      <c r="J4110" s="242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</row>
    <row r="4111" spans="1:26" hidden="1">
      <c r="A4111"/>
      <c r="B4111" s="249"/>
      <c r="C4111"/>
      <c r="D4111"/>
      <c r="E4111"/>
      <c r="F4111" s="242"/>
      <c r="G4111"/>
      <c r="H4111" s="242"/>
      <c r="I4111" s="242"/>
      <c r="J4111" s="242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</row>
    <row r="4112" spans="1:26" hidden="1">
      <c r="A4112"/>
      <c r="B4112" s="249"/>
      <c r="C4112"/>
      <c r="D4112"/>
      <c r="E4112"/>
      <c r="F4112" s="242"/>
      <c r="G4112"/>
      <c r="H4112" s="242"/>
      <c r="I4112" s="242"/>
      <c r="J4112" s="242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</row>
    <row r="4113" spans="1:26" hidden="1">
      <c r="A4113"/>
      <c r="B4113" s="249"/>
      <c r="C4113"/>
      <c r="D4113"/>
      <c r="E4113"/>
      <c r="F4113" s="242"/>
      <c r="G4113"/>
      <c r="H4113" s="242"/>
      <c r="I4113" s="242"/>
      <c r="J4113" s="242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</row>
    <row r="4114" spans="1:26" hidden="1">
      <c r="A4114"/>
      <c r="B4114" s="249"/>
      <c r="C4114"/>
      <c r="D4114"/>
      <c r="E4114"/>
      <c r="F4114" s="242"/>
      <c r="G4114"/>
      <c r="H4114" s="242"/>
      <c r="I4114" s="242"/>
      <c r="J4114" s="242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</row>
    <row r="4115" spans="1:26" hidden="1">
      <c r="A4115"/>
      <c r="B4115" s="249"/>
      <c r="C4115"/>
      <c r="D4115"/>
      <c r="E4115"/>
      <c r="F4115" s="242"/>
      <c r="G4115"/>
      <c r="H4115" s="242"/>
      <c r="I4115" s="242"/>
      <c r="J4115" s="242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</row>
    <row r="4116" spans="1:26" hidden="1">
      <c r="A4116"/>
      <c r="B4116" s="249"/>
      <c r="C4116"/>
      <c r="D4116"/>
      <c r="E4116"/>
      <c r="F4116" s="242"/>
      <c r="G4116"/>
      <c r="H4116" s="242"/>
      <c r="I4116" s="242"/>
      <c r="J4116" s="242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</row>
    <row r="4117" spans="1:26" hidden="1">
      <c r="A4117"/>
      <c r="B4117" s="249"/>
      <c r="C4117"/>
      <c r="D4117"/>
      <c r="E4117"/>
      <c r="F4117" s="242"/>
      <c r="G4117"/>
      <c r="H4117" s="242"/>
      <c r="I4117" s="242"/>
      <c r="J4117" s="242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</row>
    <row r="4118" spans="1:26" hidden="1">
      <c r="A4118"/>
      <c r="B4118" s="249"/>
      <c r="C4118"/>
      <c r="D4118"/>
      <c r="E4118"/>
      <c r="F4118" s="242"/>
      <c r="G4118"/>
      <c r="H4118" s="242"/>
      <c r="I4118" s="242"/>
      <c r="J4118" s="242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</row>
    <row r="4119" spans="1:26" hidden="1">
      <c r="A4119"/>
      <c r="B4119" s="249"/>
      <c r="C4119"/>
      <c r="D4119"/>
      <c r="E4119"/>
      <c r="F4119" s="242"/>
      <c r="G4119"/>
      <c r="H4119" s="242"/>
      <c r="I4119" s="242"/>
      <c r="J4119" s="242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</row>
    <row r="4120" spans="1:26" hidden="1">
      <c r="A4120"/>
      <c r="B4120" s="249"/>
      <c r="C4120"/>
      <c r="D4120"/>
      <c r="E4120"/>
      <c r="F4120" s="242"/>
      <c r="G4120"/>
      <c r="H4120" s="242"/>
      <c r="I4120" s="242"/>
      <c r="J4120" s="242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</row>
    <row r="4121" spans="1:26" hidden="1">
      <c r="A4121"/>
      <c r="B4121" s="249"/>
      <c r="C4121"/>
      <c r="D4121"/>
      <c r="E4121"/>
      <c r="F4121" s="242"/>
      <c r="G4121"/>
      <c r="H4121" s="242"/>
      <c r="I4121" s="242"/>
      <c r="J4121" s="242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</row>
    <row r="4122" spans="1:26" hidden="1">
      <c r="A4122"/>
      <c r="B4122" s="249"/>
      <c r="C4122"/>
      <c r="D4122"/>
      <c r="E4122"/>
      <c r="F4122" s="242"/>
      <c r="G4122"/>
      <c r="H4122" s="242"/>
      <c r="I4122" s="242"/>
      <c r="J4122" s="242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</row>
    <row r="4123" spans="1:26" hidden="1">
      <c r="A4123"/>
      <c r="B4123" s="249"/>
      <c r="C4123"/>
      <c r="D4123"/>
      <c r="E4123"/>
      <c r="F4123" s="242"/>
      <c r="G4123"/>
      <c r="H4123" s="242"/>
      <c r="I4123" s="242"/>
      <c r="J4123" s="242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</row>
    <row r="4124" spans="1:26" hidden="1">
      <c r="A4124"/>
      <c r="B4124" s="249"/>
      <c r="C4124"/>
      <c r="D4124"/>
      <c r="E4124"/>
      <c r="F4124" s="242"/>
      <c r="G4124"/>
      <c r="H4124" s="242"/>
      <c r="I4124" s="242"/>
      <c r="J4124" s="242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</row>
    <row r="4125" spans="1:26" hidden="1">
      <c r="A4125"/>
      <c r="B4125" s="249"/>
      <c r="C4125"/>
      <c r="D4125"/>
      <c r="E4125"/>
      <c r="F4125" s="242"/>
      <c r="G4125"/>
      <c r="H4125" s="242"/>
      <c r="I4125" s="242"/>
      <c r="J4125" s="242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</row>
    <row r="4126" spans="1:26" hidden="1">
      <c r="A4126"/>
      <c r="B4126" s="249"/>
      <c r="C4126"/>
      <c r="D4126"/>
      <c r="E4126"/>
      <c r="F4126" s="242"/>
      <c r="G4126"/>
      <c r="H4126" s="242"/>
      <c r="I4126" s="242"/>
      <c r="J4126" s="242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</row>
    <row r="4127" spans="1:26" hidden="1">
      <c r="A4127"/>
      <c r="B4127" s="249"/>
      <c r="C4127"/>
      <c r="D4127"/>
      <c r="E4127"/>
      <c r="F4127" s="242"/>
      <c r="G4127"/>
      <c r="H4127" s="242"/>
      <c r="I4127" s="242"/>
      <c r="J4127" s="242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</row>
    <row r="4128" spans="1:26" hidden="1">
      <c r="A4128"/>
      <c r="B4128" s="249"/>
      <c r="C4128"/>
      <c r="D4128"/>
      <c r="E4128"/>
      <c r="F4128" s="242"/>
      <c r="G4128"/>
      <c r="H4128" s="242"/>
      <c r="I4128" s="242"/>
      <c r="J4128" s="242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</row>
    <row r="4129" spans="1:26" hidden="1">
      <c r="A4129"/>
      <c r="B4129" s="249"/>
      <c r="C4129"/>
      <c r="D4129"/>
      <c r="E4129"/>
      <c r="F4129" s="242"/>
      <c r="G4129"/>
      <c r="H4129" s="242"/>
      <c r="I4129" s="242"/>
      <c r="J4129" s="242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</row>
    <row r="4130" spans="1:26" hidden="1">
      <c r="A4130"/>
      <c r="B4130" s="249"/>
      <c r="C4130"/>
      <c r="D4130"/>
      <c r="E4130"/>
      <c r="F4130" s="242"/>
      <c r="G4130"/>
      <c r="H4130" s="242"/>
      <c r="I4130" s="242"/>
      <c r="J4130" s="242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</row>
    <row r="4131" spans="1:26" hidden="1">
      <c r="A4131"/>
      <c r="B4131" s="249"/>
      <c r="C4131"/>
      <c r="D4131"/>
      <c r="E4131"/>
      <c r="F4131" s="242"/>
      <c r="G4131"/>
      <c r="H4131" s="242"/>
      <c r="I4131" s="242"/>
      <c r="J4131" s="242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</row>
    <row r="4132" spans="1:26" hidden="1">
      <c r="A4132"/>
      <c r="B4132" s="249"/>
      <c r="C4132"/>
      <c r="D4132"/>
      <c r="E4132"/>
      <c r="F4132" s="242"/>
      <c r="G4132"/>
      <c r="H4132" s="242"/>
      <c r="I4132" s="242"/>
      <c r="J4132" s="242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</row>
    <row r="4133" spans="1:26" hidden="1">
      <c r="A4133"/>
      <c r="B4133" s="249"/>
      <c r="C4133"/>
      <c r="D4133"/>
      <c r="E4133"/>
      <c r="F4133" s="242"/>
      <c r="G4133"/>
      <c r="H4133" s="242"/>
      <c r="I4133" s="242"/>
      <c r="J4133" s="242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</row>
    <row r="4134" spans="1:26" hidden="1">
      <c r="A4134"/>
      <c r="B4134" s="249"/>
      <c r="C4134"/>
      <c r="D4134"/>
      <c r="E4134"/>
      <c r="F4134" s="242"/>
      <c r="G4134"/>
      <c r="H4134" s="242"/>
      <c r="I4134" s="242"/>
      <c r="J4134" s="242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</row>
    <row r="4135" spans="1:26" hidden="1">
      <c r="A4135"/>
      <c r="B4135" s="249"/>
      <c r="C4135"/>
      <c r="D4135"/>
      <c r="E4135"/>
      <c r="F4135" s="242"/>
      <c r="G4135"/>
      <c r="H4135" s="242"/>
      <c r="I4135" s="242"/>
      <c r="J4135" s="242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</row>
    <row r="4136" spans="1:26" hidden="1">
      <c r="A4136"/>
      <c r="B4136" s="249"/>
      <c r="C4136"/>
      <c r="D4136"/>
      <c r="E4136"/>
      <c r="F4136" s="242"/>
      <c r="G4136"/>
      <c r="H4136" s="242"/>
      <c r="I4136" s="242"/>
      <c r="J4136" s="242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</row>
    <row r="4137" spans="1:26" hidden="1">
      <c r="A4137"/>
      <c r="B4137" s="249"/>
      <c r="C4137"/>
      <c r="D4137"/>
      <c r="E4137"/>
      <c r="F4137" s="242"/>
      <c r="G4137"/>
      <c r="H4137" s="242"/>
      <c r="I4137" s="242"/>
      <c r="J4137" s="242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</row>
    <row r="4138" spans="1:26" hidden="1">
      <c r="A4138"/>
      <c r="B4138" s="249"/>
      <c r="C4138"/>
      <c r="D4138"/>
      <c r="E4138"/>
      <c r="F4138" s="242"/>
      <c r="G4138"/>
      <c r="H4138" s="242"/>
      <c r="I4138" s="242"/>
      <c r="J4138" s="242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</row>
    <row r="4139" spans="1:26" hidden="1">
      <c r="A4139"/>
      <c r="B4139" s="249"/>
      <c r="C4139"/>
      <c r="D4139"/>
      <c r="E4139"/>
      <c r="F4139" s="242"/>
      <c r="G4139"/>
      <c r="H4139" s="242"/>
      <c r="I4139" s="242"/>
      <c r="J4139" s="242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</row>
    <row r="4140" spans="1:26" hidden="1">
      <c r="A4140"/>
      <c r="B4140" s="249"/>
      <c r="C4140"/>
      <c r="D4140"/>
      <c r="E4140"/>
      <c r="F4140" s="242"/>
      <c r="G4140"/>
      <c r="H4140" s="242"/>
      <c r="I4140" s="242"/>
      <c r="J4140" s="242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</row>
    <row r="4141" spans="1:26" hidden="1">
      <c r="A4141"/>
      <c r="B4141" s="249"/>
      <c r="C4141"/>
      <c r="D4141"/>
      <c r="E4141"/>
      <c r="F4141" s="242"/>
      <c r="G4141"/>
      <c r="H4141" s="242"/>
      <c r="I4141" s="242"/>
      <c r="J4141" s="242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</row>
    <row r="4142" spans="1:26" hidden="1">
      <c r="A4142"/>
      <c r="B4142" s="249"/>
      <c r="C4142"/>
      <c r="D4142"/>
      <c r="E4142"/>
      <c r="F4142" s="242"/>
      <c r="G4142"/>
      <c r="H4142" s="242"/>
      <c r="I4142" s="242"/>
      <c r="J4142" s="242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</row>
    <row r="4143" spans="1:26" hidden="1">
      <c r="A4143"/>
      <c r="B4143" s="249"/>
      <c r="C4143"/>
      <c r="D4143"/>
      <c r="E4143"/>
      <c r="F4143" s="242"/>
      <c r="G4143"/>
      <c r="H4143" s="242"/>
      <c r="I4143" s="242"/>
      <c r="J4143" s="242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</row>
    <row r="4144" spans="1:26" hidden="1">
      <c r="A4144"/>
      <c r="B4144" s="249"/>
      <c r="C4144"/>
      <c r="D4144"/>
      <c r="E4144"/>
      <c r="F4144" s="242"/>
      <c r="G4144"/>
      <c r="H4144" s="242"/>
      <c r="I4144" s="242"/>
      <c r="J4144" s="242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</row>
    <row r="4145" spans="1:26" hidden="1">
      <c r="A4145"/>
      <c r="B4145" s="249"/>
      <c r="C4145"/>
      <c r="D4145"/>
      <c r="E4145"/>
      <c r="F4145" s="242"/>
      <c r="G4145"/>
      <c r="H4145" s="242"/>
      <c r="I4145" s="242"/>
      <c r="J4145" s="242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</row>
    <row r="4146" spans="1:26" hidden="1">
      <c r="A4146"/>
      <c r="B4146" s="249"/>
      <c r="C4146"/>
      <c r="D4146"/>
      <c r="E4146"/>
      <c r="F4146" s="242"/>
      <c r="G4146"/>
      <c r="H4146" s="242"/>
      <c r="I4146" s="242"/>
      <c r="J4146" s="242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</row>
    <row r="4147" spans="1:26" hidden="1">
      <c r="A4147"/>
      <c r="B4147" s="249"/>
      <c r="C4147"/>
      <c r="D4147"/>
      <c r="E4147"/>
      <c r="F4147" s="242"/>
      <c r="G4147"/>
      <c r="H4147" s="242"/>
      <c r="I4147" s="242"/>
      <c r="J4147" s="242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</row>
    <row r="4148" spans="1:26" hidden="1">
      <c r="A4148"/>
      <c r="B4148" s="249"/>
      <c r="C4148"/>
      <c r="D4148"/>
      <c r="E4148"/>
      <c r="F4148" s="242"/>
      <c r="G4148"/>
      <c r="H4148" s="242"/>
      <c r="I4148" s="242"/>
      <c r="J4148" s="242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</row>
    <row r="4149" spans="1:26" hidden="1">
      <c r="A4149"/>
      <c r="B4149" s="249"/>
      <c r="C4149"/>
      <c r="D4149"/>
      <c r="E4149"/>
      <c r="F4149" s="242"/>
      <c r="G4149"/>
      <c r="H4149" s="242"/>
      <c r="I4149" s="242"/>
      <c r="J4149" s="242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</row>
    <row r="4150" spans="1:26" hidden="1">
      <c r="A4150"/>
      <c r="B4150" s="249"/>
      <c r="C4150"/>
      <c r="D4150"/>
      <c r="E4150"/>
      <c r="F4150" s="242"/>
      <c r="G4150"/>
      <c r="H4150" s="242"/>
      <c r="I4150" s="242"/>
      <c r="J4150" s="242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</row>
    <row r="4151" spans="1:26" hidden="1">
      <c r="A4151"/>
      <c r="B4151" s="249"/>
      <c r="C4151"/>
      <c r="D4151"/>
      <c r="E4151"/>
      <c r="F4151" s="242"/>
      <c r="G4151"/>
      <c r="H4151" s="242"/>
      <c r="I4151" s="242"/>
      <c r="J4151" s="242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</row>
    <row r="4152" spans="1:26" hidden="1">
      <c r="A4152"/>
      <c r="B4152" s="249"/>
      <c r="C4152"/>
      <c r="D4152"/>
      <c r="E4152"/>
      <c r="F4152" s="242"/>
      <c r="G4152"/>
      <c r="H4152" s="242"/>
      <c r="I4152" s="242"/>
      <c r="J4152" s="242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</row>
    <row r="4153" spans="1:26" hidden="1">
      <c r="A4153"/>
      <c r="B4153" s="249"/>
      <c r="C4153"/>
      <c r="D4153"/>
      <c r="E4153"/>
      <c r="F4153" s="242"/>
      <c r="G4153"/>
      <c r="H4153" s="242"/>
      <c r="I4153" s="242"/>
      <c r="J4153" s="242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</row>
    <row r="4154" spans="1:26" hidden="1">
      <c r="A4154"/>
      <c r="B4154" s="249"/>
      <c r="C4154"/>
      <c r="D4154"/>
      <c r="E4154"/>
      <c r="F4154" s="242"/>
      <c r="G4154"/>
      <c r="H4154" s="242"/>
      <c r="I4154" s="242"/>
      <c r="J4154" s="242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</row>
    <row r="4155" spans="1:26" hidden="1">
      <c r="A4155"/>
      <c r="B4155" s="249"/>
      <c r="C4155"/>
      <c r="D4155"/>
      <c r="E4155"/>
      <c r="F4155" s="242"/>
      <c r="G4155"/>
      <c r="H4155" s="242"/>
      <c r="I4155" s="242"/>
      <c r="J4155" s="242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</row>
    <row r="4156" spans="1:26" hidden="1">
      <c r="A4156"/>
      <c r="B4156" s="249"/>
      <c r="C4156"/>
      <c r="D4156"/>
      <c r="E4156"/>
      <c r="F4156" s="242"/>
      <c r="G4156"/>
      <c r="H4156" s="242"/>
      <c r="I4156" s="242"/>
      <c r="J4156" s="242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</row>
    <row r="4157" spans="1:26" hidden="1">
      <c r="A4157"/>
      <c r="B4157" s="249"/>
      <c r="C4157"/>
      <c r="D4157"/>
      <c r="E4157"/>
      <c r="F4157" s="242"/>
      <c r="G4157"/>
      <c r="H4157" s="242"/>
      <c r="I4157" s="242"/>
      <c r="J4157" s="242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</row>
    <row r="4158" spans="1:26" hidden="1">
      <c r="A4158"/>
      <c r="B4158" s="249"/>
      <c r="C4158"/>
      <c r="D4158"/>
      <c r="E4158"/>
      <c r="F4158" s="242"/>
      <c r="G4158"/>
      <c r="H4158" s="242"/>
      <c r="I4158" s="242"/>
      <c r="J4158" s="242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</row>
    <row r="4159" spans="1:26" hidden="1">
      <c r="A4159"/>
      <c r="B4159" s="249"/>
      <c r="C4159"/>
      <c r="D4159"/>
      <c r="E4159"/>
      <c r="F4159" s="242"/>
      <c r="G4159"/>
      <c r="H4159" s="242"/>
      <c r="I4159" s="242"/>
      <c r="J4159" s="242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</row>
    <row r="4160" spans="1:26" hidden="1">
      <c r="A4160"/>
      <c r="B4160" s="249"/>
      <c r="C4160"/>
      <c r="D4160"/>
      <c r="E4160"/>
      <c r="F4160" s="242"/>
      <c r="G4160"/>
      <c r="H4160" s="242"/>
      <c r="I4160" s="242"/>
      <c r="J4160" s="242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</row>
    <row r="4161" spans="1:26" hidden="1">
      <c r="A4161"/>
      <c r="B4161" s="249"/>
      <c r="C4161"/>
      <c r="D4161"/>
      <c r="E4161"/>
      <c r="F4161" s="242"/>
      <c r="G4161"/>
      <c r="H4161" s="242"/>
      <c r="I4161" s="242"/>
      <c r="J4161" s="242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</row>
    <row r="4162" spans="1:26" hidden="1">
      <c r="A4162"/>
      <c r="B4162" s="249"/>
      <c r="C4162"/>
      <c r="D4162"/>
      <c r="E4162"/>
      <c r="F4162" s="242"/>
      <c r="G4162"/>
      <c r="H4162" s="242"/>
      <c r="I4162" s="242"/>
      <c r="J4162" s="242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</row>
    <row r="4163" spans="1:26" hidden="1">
      <c r="A4163"/>
      <c r="B4163" s="249"/>
      <c r="C4163"/>
      <c r="D4163"/>
      <c r="E4163"/>
      <c r="F4163" s="242"/>
      <c r="G4163"/>
      <c r="H4163" s="242"/>
      <c r="I4163" s="242"/>
      <c r="J4163" s="242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</row>
    <row r="4164" spans="1:26" hidden="1">
      <c r="A4164"/>
      <c r="B4164" s="249"/>
      <c r="C4164"/>
      <c r="D4164"/>
      <c r="E4164"/>
      <c r="F4164" s="242"/>
      <c r="G4164"/>
      <c r="H4164" s="242"/>
      <c r="I4164" s="242"/>
      <c r="J4164" s="242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</row>
    <row r="4165" spans="1:26" hidden="1">
      <c r="A4165"/>
      <c r="B4165" s="249"/>
      <c r="C4165"/>
      <c r="D4165"/>
      <c r="E4165"/>
      <c r="F4165" s="242"/>
      <c r="G4165"/>
      <c r="H4165" s="242"/>
      <c r="I4165" s="242"/>
      <c r="J4165" s="242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</row>
    <row r="4166" spans="1:26" hidden="1">
      <c r="A4166"/>
      <c r="B4166" s="249"/>
      <c r="C4166"/>
      <c r="D4166"/>
      <c r="E4166"/>
      <c r="F4166" s="242"/>
      <c r="G4166"/>
      <c r="H4166" s="242"/>
      <c r="I4166" s="242"/>
      <c r="J4166" s="242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</row>
    <row r="4167" spans="1:26" hidden="1">
      <c r="A4167"/>
      <c r="B4167" s="249"/>
      <c r="C4167"/>
      <c r="D4167"/>
      <c r="E4167"/>
      <c r="F4167" s="242"/>
      <c r="G4167"/>
      <c r="H4167" s="242"/>
      <c r="I4167" s="242"/>
      <c r="J4167" s="242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</row>
    <row r="4168" spans="1:26" hidden="1">
      <c r="A4168"/>
      <c r="B4168" s="249"/>
      <c r="C4168"/>
      <c r="D4168"/>
      <c r="E4168"/>
      <c r="F4168" s="242"/>
      <c r="G4168"/>
      <c r="H4168" s="242"/>
      <c r="I4168" s="242"/>
      <c r="J4168" s="242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</row>
    <row r="4169" spans="1:26" hidden="1">
      <c r="A4169"/>
      <c r="B4169" s="249"/>
      <c r="C4169"/>
      <c r="D4169"/>
      <c r="E4169"/>
      <c r="F4169" s="242"/>
      <c r="G4169"/>
      <c r="H4169" s="242"/>
      <c r="I4169" s="242"/>
      <c r="J4169" s="242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</row>
    <row r="4170" spans="1:26" hidden="1">
      <c r="A4170"/>
      <c r="B4170" s="249"/>
      <c r="C4170"/>
      <c r="D4170"/>
      <c r="E4170"/>
      <c r="F4170" s="242"/>
      <c r="G4170"/>
      <c r="H4170" s="242"/>
      <c r="I4170" s="242"/>
      <c r="J4170" s="242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</row>
    <row r="4171" spans="1:26" hidden="1">
      <c r="A4171"/>
      <c r="B4171" s="249"/>
      <c r="C4171"/>
      <c r="D4171"/>
      <c r="E4171"/>
      <c r="F4171" s="242"/>
      <c r="G4171"/>
      <c r="H4171" s="242"/>
      <c r="I4171" s="242"/>
      <c r="J4171" s="242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</row>
    <row r="4172" spans="1:26" hidden="1">
      <c r="A4172"/>
      <c r="B4172" s="249"/>
      <c r="C4172"/>
      <c r="D4172"/>
      <c r="E4172"/>
      <c r="F4172" s="242"/>
      <c r="G4172"/>
      <c r="H4172" s="242"/>
      <c r="I4172" s="242"/>
      <c r="J4172" s="242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</row>
    <row r="4173" spans="1:26" hidden="1">
      <c r="A4173"/>
      <c r="B4173" s="249"/>
      <c r="C4173"/>
      <c r="D4173"/>
      <c r="E4173"/>
      <c r="F4173" s="242"/>
      <c r="G4173"/>
      <c r="H4173" s="242"/>
      <c r="I4173" s="242"/>
      <c r="J4173" s="242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</row>
    <row r="4174" spans="1:26" hidden="1">
      <c r="A4174"/>
      <c r="B4174" s="249"/>
      <c r="C4174"/>
      <c r="D4174"/>
      <c r="E4174"/>
      <c r="F4174" s="242"/>
      <c r="G4174"/>
      <c r="H4174" s="242"/>
      <c r="I4174" s="242"/>
      <c r="J4174" s="242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</row>
    <row r="4175" spans="1:26" hidden="1">
      <c r="A4175"/>
      <c r="B4175" s="249"/>
      <c r="C4175"/>
      <c r="D4175"/>
      <c r="E4175"/>
      <c r="F4175" s="242"/>
      <c r="G4175"/>
      <c r="H4175" s="242"/>
      <c r="I4175" s="242"/>
      <c r="J4175" s="242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</row>
    <row r="4176" spans="1:26" hidden="1">
      <c r="A4176"/>
      <c r="B4176" s="249"/>
      <c r="C4176"/>
      <c r="D4176"/>
      <c r="E4176"/>
      <c r="F4176" s="242"/>
      <c r="G4176"/>
      <c r="H4176" s="242"/>
      <c r="I4176" s="242"/>
      <c r="J4176" s="242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</row>
    <row r="4177" spans="1:26" hidden="1">
      <c r="A4177"/>
      <c r="B4177" s="249"/>
      <c r="C4177"/>
      <c r="D4177"/>
      <c r="E4177"/>
      <c r="F4177" s="242"/>
      <c r="G4177"/>
      <c r="H4177" s="242"/>
      <c r="I4177" s="242"/>
      <c r="J4177" s="242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</row>
    <row r="4178" spans="1:26" hidden="1">
      <c r="A4178"/>
      <c r="B4178" s="249"/>
      <c r="C4178"/>
      <c r="D4178"/>
      <c r="E4178"/>
      <c r="F4178" s="242"/>
      <c r="G4178"/>
      <c r="H4178" s="242"/>
      <c r="I4178" s="242"/>
      <c r="J4178" s="242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</row>
    <row r="4179" spans="1:26" hidden="1">
      <c r="A4179"/>
      <c r="B4179" s="249"/>
      <c r="C4179"/>
      <c r="D4179"/>
      <c r="E4179"/>
      <c r="F4179" s="242"/>
      <c r="G4179"/>
      <c r="H4179" s="242"/>
      <c r="I4179" s="242"/>
      <c r="J4179" s="242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</row>
    <row r="4180" spans="1:26" hidden="1">
      <c r="A4180"/>
      <c r="B4180" s="249"/>
      <c r="C4180"/>
      <c r="D4180"/>
      <c r="E4180"/>
      <c r="F4180" s="242"/>
      <c r="G4180"/>
      <c r="H4180" s="242"/>
      <c r="I4180" s="242"/>
      <c r="J4180" s="242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</row>
    <row r="4181" spans="1:26" hidden="1">
      <c r="A4181"/>
      <c r="B4181" s="249"/>
      <c r="C4181"/>
      <c r="D4181"/>
      <c r="E4181"/>
      <c r="F4181" s="242"/>
      <c r="G4181"/>
      <c r="H4181" s="242"/>
      <c r="I4181" s="242"/>
      <c r="J4181" s="242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</row>
    <row r="4182" spans="1:26" hidden="1">
      <c r="A4182"/>
      <c r="B4182" s="249"/>
      <c r="C4182"/>
      <c r="D4182"/>
      <c r="E4182"/>
      <c r="F4182" s="242"/>
      <c r="G4182"/>
      <c r="H4182" s="242"/>
      <c r="I4182" s="242"/>
      <c r="J4182" s="242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</row>
    <row r="4183" spans="1:26" hidden="1">
      <c r="A4183"/>
      <c r="B4183" s="249"/>
      <c r="C4183"/>
      <c r="D4183"/>
      <c r="E4183"/>
      <c r="F4183" s="242"/>
      <c r="G4183"/>
      <c r="H4183" s="242"/>
      <c r="I4183" s="242"/>
      <c r="J4183" s="242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</row>
    <row r="4184" spans="1:26" hidden="1">
      <c r="A4184"/>
      <c r="B4184" s="249"/>
      <c r="C4184"/>
      <c r="D4184"/>
      <c r="E4184"/>
      <c r="F4184" s="242"/>
      <c r="G4184"/>
      <c r="H4184" s="242"/>
      <c r="I4184" s="242"/>
      <c r="J4184" s="242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</row>
    <row r="4185" spans="1:26" hidden="1">
      <c r="A4185"/>
      <c r="B4185" s="249"/>
      <c r="C4185"/>
      <c r="D4185"/>
      <c r="E4185"/>
      <c r="F4185" s="242"/>
      <c r="G4185"/>
      <c r="H4185" s="242"/>
      <c r="I4185" s="242"/>
      <c r="J4185" s="242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</row>
    <row r="4186" spans="1:26" hidden="1">
      <c r="A4186"/>
      <c r="B4186" s="249"/>
      <c r="C4186"/>
      <c r="D4186"/>
      <c r="E4186"/>
      <c r="F4186" s="242"/>
      <c r="G4186"/>
      <c r="H4186" s="242"/>
      <c r="I4186" s="242"/>
      <c r="J4186" s="242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</row>
    <row r="4187" spans="1:26" hidden="1">
      <c r="A4187"/>
      <c r="B4187" s="249"/>
      <c r="C4187"/>
      <c r="D4187"/>
      <c r="E4187"/>
      <c r="F4187" s="242"/>
      <c r="G4187"/>
      <c r="H4187" s="242"/>
      <c r="I4187" s="242"/>
      <c r="J4187" s="242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</row>
    <row r="4188" spans="1:26" hidden="1">
      <c r="A4188"/>
      <c r="B4188" s="249"/>
      <c r="C4188"/>
      <c r="D4188"/>
      <c r="E4188"/>
      <c r="F4188" s="242"/>
      <c r="G4188"/>
      <c r="H4188" s="242"/>
      <c r="I4188" s="242"/>
      <c r="J4188" s="242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</row>
    <row r="4189" spans="1:26" hidden="1">
      <c r="A4189"/>
      <c r="B4189" s="249"/>
      <c r="C4189"/>
      <c r="D4189"/>
      <c r="E4189"/>
      <c r="F4189" s="242"/>
      <c r="G4189"/>
      <c r="H4189" s="242"/>
      <c r="I4189" s="242"/>
      <c r="J4189" s="242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</row>
    <row r="4190" spans="1:26" hidden="1">
      <c r="A4190"/>
      <c r="B4190" s="249"/>
      <c r="C4190"/>
      <c r="D4190"/>
      <c r="E4190"/>
      <c r="F4190" s="242"/>
      <c r="G4190"/>
      <c r="H4190" s="242"/>
      <c r="I4190" s="242"/>
      <c r="J4190" s="242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</row>
    <row r="4191" spans="1:26" hidden="1">
      <c r="A4191"/>
      <c r="B4191" s="249"/>
      <c r="C4191"/>
      <c r="D4191"/>
      <c r="E4191"/>
      <c r="F4191" s="242"/>
      <c r="G4191"/>
      <c r="H4191" s="242"/>
      <c r="I4191" s="242"/>
      <c r="J4191" s="242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</row>
    <row r="4192" spans="1:26" hidden="1">
      <c r="A4192"/>
      <c r="B4192" s="249"/>
      <c r="C4192"/>
      <c r="D4192"/>
      <c r="E4192"/>
      <c r="F4192" s="242"/>
      <c r="G4192"/>
      <c r="H4192" s="242"/>
      <c r="I4192" s="242"/>
      <c r="J4192" s="242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</row>
    <row r="4193" spans="1:26" hidden="1">
      <c r="A4193"/>
      <c r="B4193" s="249"/>
      <c r="C4193"/>
      <c r="D4193"/>
      <c r="E4193"/>
      <c r="F4193" s="242"/>
      <c r="G4193"/>
      <c r="H4193" s="242"/>
      <c r="I4193" s="242"/>
      <c r="J4193" s="242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</row>
    <row r="4194" spans="1:26" hidden="1">
      <c r="A4194"/>
      <c r="B4194" s="249"/>
      <c r="C4194"/>
      <c r="D4194"/>
      <c r="E4194"/>
      <c r="F4194" s="242"/>
      <c r="G4194"/>
      <c r="H4194" s="242"/>
      <c r="I4194" s="242"/>
      <c r="J4194" s="242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</row>
    <row r="4195" spans="1:26" hidden="1">
      <c r="A4195"/>
      <c r="B4195" s="249"/>
      <c r="C4195"/>
      <c r="D4195"/>
      <c r="E4195"/>
      <c r="F4195" s="242"/>
      <c r="G4195"/>
      <c r="H4195" s="242"/>
      <c r="I4195" s="242"/>
      <c r="J4195" s="242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</row>
    <row r="4196" spans="1:26" hidden="1">
      <c r="A4196"/>
      <c r="B4196" s="249"/>
      <c r="C4196"/>
      <c r="D4196"/>
      <c r="E4196"/>
      <c r="F4196" s="242"/>
      <c r="G4196"/>
      <c r="H4196" s="242"/>
      <c r="I4196" s="242"/>
      <c r="J4196" s="242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</row>
    <row r="4197" spans="1:26" hidden="1">
      <c r="A4197"/>
      <c r="B4197" s="249"/>
      <c r="C4197"/>
      <c r="D4197"/>
      <c r="E4197"/>
      <c r="F4197" s="242"/>
      <c r="G4197"/>
      <c r="H4197" s="242"/>
      <c r="I4197" s="242"/>
      <c r="J4197" s="242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</row>
    <row r="4198" spans="1:26" hidden="1">
      <c r="A4198"/>
      <c r="B4198" s="249"/>
      <c r="C4198"/>
      <c r="D4198"/>
      <c r="E4198"/>
      <c r="F4198" s="242"/>
      <c r="G4198"/>
      <c r="H4198" s="242"/>
      <c r="I4198" s="242"/>
      <c r="J4198" s="242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</row>
    <row r="4199" spans="1:26" hidden="1">
      <c r="A4199"/>
      <c r="B4199" s="249"/>
      <c r="C4199"/>
      <c r="D4199"/>
      <c r="E4199"/>
      <c r="F4199" s="242"/>
      <c r="G4199"/>
      <c r="H4199" s="242"/>
      <c r="I4199" s="242"/>
      <c r="J4199" s="242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</row>
    <row r="4200" spans="1:26" hidden="1">
      <c r="A4200"/>
      <c r="B4200" s="249"/>
      <c r="C4200"/>
      <c r="D4200"/>
      <c r="E4200"/>
      <c r="F4200" s="242"/>
      <c r="G4200"/>
      <c r="H4200" s="242"/>
      <c r="I4200" s="242"/>
      <c r="J4200" s="242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</row>
    <row r="4201" spans="1:26" hidden="1">
      <c r="A4201"/>
      <c r="B4201" s="249"/>
      <c r="C4201"/>
      <c r="D4201"/>
      <c r="E4201"/>
      <c r="F4201" s="242"/>
      <c r="G4201"/>
      <c r="H4201" s="242"/>
      <c r="I4201" s="242"/>
      <c r="J4201" s="242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</row>
    <row r="4202" spans="1:26" hidden="1">
      <c r="A4202"/>
      <c r="B4202" s="249"/>
      <c r="C4202"/>
      <c r="D4202"/>
      <c r="E4202"/>
      <c r="F4202" s="242"/>
      <c r="G4202"/>
      <c r="H4202" s="242"/>
      <c r="I4202" s="242"/>
      <c r="J4202" s="242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</row>
    <row r="4203" spans="1:26" hidden="1">
      <c r="A4203"/>
      <c r="B4203" s="249"/>
      <c r="C4203"/>
      <c r="D4203"/>
      <c r="E4203"/>
      <c r="F4203" s="242"/>
      <c r="G4203"/>
      <c r="H4203" s="242"/>
      <c r="I4203" s="242"/>
      <c r="J4203" s="242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</row>
    <row r="4204" spans="1:26" hidden="1">
      <c r="A4204"/>
      <c r="B4204" s="249"/>
      <c r="C4204"/>
      <c r="D4204"/>
      <c r="E4204"/>
      <c r="F4204" s="242"/>
      <c r="G4204"/>
      <c r="H4204" s="242"/>
      <c r="I4204" s="242"/>
      <c r="J4204" s="242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</row>
    <row r="4205" spans="1:26" hidden="1">
      <c r="A4205"/>
      <c r="B4205" s="249"/>
      <c r="C4205"/>
      <c r="D4205"/>
      <c r="E4205"/>
      <c r="F4205" s="242"/>
      <c r="G4205"/>
      <c r="H4205" s="242"/>
      <c r="I4205" s="242"/>
      <c r="J4205" s="242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</row>
    <row r="4206" spans="1:26" hidden="1">
      <c r="A4206"/>
      <c r="B4206" s="249"/>
      <c r="C4206"/>
      <c r="D4206"/>
      <c r="E4206"/>
      <c r="F4206" s="242"/>
      <c r="G4206"/>
      <c r="H4206" s="242"/>
      <c r="I4206" s="242"/>
      <c r="J4206" s="242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</row>
    <row r="4207" spans="1:26" hidden="1">
      <c r="A4207"/>
      <c r="B4207" s="249"/>
      <c r="C4207"/>
      <c r="D4207"/>
      <c r="E4207"/>
      <c r="F4207" s="242"/>
      <c r="G4207"/>
      <c r="H4207" s="242"/>
      <c r="I4207" s="242"/>
      <c r="J4207" s="242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</row>
    <row r="4208" spans="1:26" hidden="1">
      <c r="A4208"/>
      <c r="B4208" s="249"/>
      <c r="C4208"/>
      <c r="D4208"/>
      <c r="E4208"/>
      <c r="F4208" s="242"/>
      <c r="G4208"/>
      <c r="H4208" s="242"/>
      <c r="I4208" s="242"/>
      <c r="J4208" s="242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</row>
    <row r="4209" spans="1:26" hidden="1">
      <c r="A4209"/>
      <c r="B4209" s="249"/>
      <c r="C4209"/>
      <c r="D4209"/>
      <c r="E4209"/>
      <c r="F4209" s="242"/>
      <c r="G4209"/>
      <c r="H4209" s="242"/>
      <c r="I4209" s="242"/>
      <c r="J4209" s="242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</row>
    <row r="4210" spans="1:26" hidden="1">
      <c r="A4210"/>
      <c r="B4210" s="249"/>
      <c r="C4210"/>
      <c r="D4210"/>
      <c r="E4210"/>
      <c r="F4210" s="242"/>
      <c r="G4210"/>
      <c r="H4210" s="242"/>
      <c r="I4210" s="242"/>
      <c r="J4210" s="242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</row>
    <row r="4211" spans="1:26" hidden="1">
      <c r="A4211"/>
      <c r="B4211" s="249"/>
      <c r="C4211"/>
      <c r="D4211"/>
      <c r="E4211"/>
      <c r="F4211" s="242"/>
      <c r="G4211"/>
      <c r="H4211" s="242"/>
      <c r="I4211" s="242"/>
      <c r="J4211" s="242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</row>
    <row r="4212" spans="1:26" hidden="1">
      <c r="A4212"/>
      <c r="B4212" s="249"/>
      <c r="C4212"/>
      <c r="D4212"/>
      <c r="E4212"/>
      <c r="F4212" s="242"/>
      <c r="G4212"/>
      <c r="H4212" s="242"/>
      <c r="I4212" s="242"/>
      <c r="J4212" s="242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</row>
    <row r="4213" spans="1:26" hidden="1">
      <c r="A4213"/>
      <c r="B4213" s="249"/>
      <c r="C4213"/>
      <c r="D4213"/>
      <c r="E4213"/>
      <c r="F4213" s="242"/>
      <c r="G4213"/>
      <c r="H4213" s="242"/>
      <c r="I4213" s="242"/>
      <c r="J4213" s="242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</row>
    <row r="4214" spans="1:26" hidden="1">
      <c r="A4214"/>
      <c r="B4214" s="249"/>
      <c r="C4214"/>
      <c r="D4214"/>
      <c r="E4214"/>
      <c r="F4214" s="242"/>
      <c r="G4214"/>
      <c r="H4214" s="242"/>
      <c r="I4214" s="242"/>
      <c r="J4214" s="242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</row>
    <row r="4215" spans="1:26" hidden="1">
      <c r="A4215"/>
      <c r="B4215" s="249"/>
      <c r="C4215"/>
      <c r="D4215"/>
      <c r="E4215"/>
      <c r="F4215" s="242"/>
      <c r="G4215"/>
      <c r="H4215" s="242"/>
      <c r="I4215" s="242"/>
      <c r="J4215" s="242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</row>
    <row r="4216" spans="1:26" hidden="1">
      <c r="A4216"/>
      <c r="B4216" s="249"/>
      <c r="C4216"/>
      <c r="D4216"/>
      <c r="E4216"/>
      <c r="F4216" s="242"/>
      <c r="G4216"/>
      <c r="H4216" s="242"/>
      <c r="I4216" s="242"/>
      <c r="J4216" s="242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</row>
    <row r="4217" spans="1:26" hidden="1">
      <c r="A4217"/>
      <c r="B4217" s="249"/>
      <c r="C4217"/>
      <c r="D4217"/>
      <c r="E4217"/>
      <c r="F4217" s="242"/>
      <c r="G4217"/>
      <c r="H4217" s="242"/>
      <c r="I4217" s="242"/>
      <c r="J4217" s="242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</row>
    <row r="4218" spans="1:26" hidden="1">
      <c r="A4218"/>
      <c r="B4218" s="249"/>
      <c r="C4218"/>
      <c r="D4218"/>
      <c r="E4218"/>
      <c r="F4218" s="242"/>
      <c r="G4218"/>
      <c r="H4218" s="242"/>
      <c r="I4218" s="242"/>
      <c r="J4218" s="242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</row>
    <row r="4219" spans="1:26" hidden="1">
      <c r="A4219"/>
      <c r="B4219" s="249"/>
      <c r="C4219"/>
      <c r="D4219"/>
      <c r="E4219"/>
      <c r="F4219" s="242"/>
      <c r="G4219"/>
      <c r="H4219" s="242"/>
      <c r="I4219" s="242"/>
      <c r="J4219" s="242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</row>
    <row r="4220" spans="1:26" hidden="1">
      <c r="A4220"/>
      <c r="B4220" s="249"/>
      <c r="C4220"/>
      <c r="D4220"/>
      <c r="E4220"/>
      <c r="F4220" s="242"/>
      <c r="G4220"/>
      <c r="H4220" s="242"/>
      <c r="I4220" s="242"/>
      <c r="J4220" s="242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</row>
    <row r="4221" spans="1:26" hidden="1">
      <c r="A4221"/>
      <c r="B4221" s="249"/>
      <c r="C4221"/>
      <c r="D4221"/>
      <c r="E4221"/>
      <c r="F4221" s="242"/>
      <c r="G4221"/>
      <c r="H4221" s="242"/>
      <c r="I4221" s="242"/>
      <c r="J4221" s="242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</row>
    <row r="4222" spans="1:26" hidden="1">
      <c r="A4222"/>
      <c r="B4222" s="249"/>
      <c r="C4222"/>
      <c r="D4222"/>
      <c r="E4222"/>
      <c r="F4222" s="242"/>
      <c r="G4222"/>
      <c r="H4222" s="242"/>
      <c r="I4222" s="242"/>
      <c r="J4222" s="242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</row>
    <row r="4223" spans="1:26" hidden="1">
      <c r="A4223"/>
      <c r="B4223" s="249"/>
      <c r="C4223"/>
      <c r="D4223"/>
      <c r="E4223"/>
      <c r="F4223" s="242"/>
      <c r="G4223"/>
      <c r="H4223" s="242"/>
      <c r="I4223" s="242"/>
      <c r="J4223" s="242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</row>
    <row r="4224" spans="1:26" hidden="1">
      <c r="A4224"/>
      <c r="B4224" s="249"/>
      <c r="C4224"/>
      <c r="D4224"/>
      <c r="E4224"/>
      <c r="F4224" s="242"/>
      <c r="G4224"/>
      <c r="H4224" s="242"/>
      <c r="I4224" s="242"/>
      <c r="J4224" s="242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</row>
    <row r="4225" spans="1:26" hidden="1">
      <c r="A4225"/>
      <c r="B4225" s="249"/>
      <c r="C4225"/>
      <c r="D4225"/>
      <c r="E4225"/>
      <c r="F4225" s="242"/>
      <c r="G4225"/>
      <c r="H4225" s="242"/>
      <c r="I4225" s="242"/>
      <c r="J4225" s="242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</row>
    <row r="4226" spans="1:26" hidden="1">
      <c r="A4226"/>
      <c r="B4226" s="249"/>
      <c r="C4226"/>
      <c r="D4226"/>
      <c r="E4226"/>
      <c r="F4226" s="242"/>
      <c r="G4226"/>
      <c r="H4226" s="242"/>
      <c r="I4226" s="242"/>
      <c r="J4226" s="242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</row>
    <row r="4227" spans="1:26" hidden="1">
      <c r="A4227"/>
      <c r="B4227" s="249"/>
      <c r="C4227"/>
      <c r="D4227"/>
      <c r="E4227"/>
      <c r="F4227" s="242"/>
      <c r="G4227"/>
      <c r="H4227" s="242"/>
      <c r="I4227" s="242"/>
      <c r="J4227" s="242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</row>
    <row r="4228" spans="1:26" hidden="1">
      <c r="A4228"/>
      <c r="B4228" s="249"/>
      <c r="C4228"/>
      <c r="D4228"/>
      <c r="E4228"/>
      <c r="F4228" s="242"/>
      <c r="G4228"/>
      <c r="H4228" s="242"/>
      <c r="I4228" s="242"/>
      <c r="J4228" s="242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</row>
    <row r="4229" spans="1:26" hidden="1">
      <c r="A4229"/>
      <c r="B4229" s="249"/>
      <c r="C4229"/>
      <c r="D4229"/>
      <c r="E4229"/>
      <c r="F4229" s="242"/>
      <c r="G4229"/>
      <c r="H4229" s="242"/>
      <c r="I4229" s="242"/>
      <c r="J4229" s="242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</row>
    <row r="4230" spans="1:26" hidden="1">
      <c r="A4230"/>
      <c r="B4230" s="249"/>
      <c r="C4230"/>
      <c r="D4230"/>
      <c r="E4230"/>
      <c r="F4230" s="242"/>
      <c r="G4230"/>
      <c r="H4230" s="242"/>
      <c r="I4230" s="242"/>
      <c r="J4230" s="242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</row>
    <row r="4231" spans="1:26" hidden="1">
      <c r="A4231"/>
      <c r="B4231" s="249"/>
      <c r="C4231"/>
      <c r="D4231"/>
      <c r="E4231"/>
      <c r="F4231" s="242"/>
      <c r="G4231"/>
      <c r="H4231" s="242"/>
      <c r="I4231" s="242"/>
      <c r="J4231" s="242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</row>
    <row r="4232" spans="1:26" hidden="1">
      <c r="A4232"/>
      <c r="B4232" s="249"/>
      <c r="C4232"/>
      <c r="D4232"/>
      <c r="E4232"/>
      <c r="F4232" s="242"/>
      <c r="G4232"/>
      <c r="H4232" s="242"/>
      <c r="I4232" s="242"/>
      <c r="J4232" s="242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</row>
    <row r="4233" spans="1:26" hidden="1">
      <c r="A4233"/>
      <c r="B4233" s="249"/>
      <c r="C4233"/>
      <c r="D4233"/>
      <c r="E4233"/>
      <c r="F4233" s="242"/>
      <c r="G4233"/>
      <c r="H4233" s="242"/>
      <c r="I4233" s="242"/>
      <c r="J4233" s="242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</row>
    <row r="4234" spans="1:26" hidden="1">
      <c r="A4234"/>
      <c r="B4234" s="249"/>
      <c r="C4234"/>
      <c r="D4234"/>
      <c r="E4234"/>
      <c r="F4234" s="242"/>
      <c r="G4234"/>
      <c r="H4234" s="242"/>
      <c r="I4234" s="242"/>
      <c r="J4234" s="242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</row>
    <row r="4235" spans="1:26" hidden="1">
      <c r="A4235"/>
      <c r="B4235" s="249"/>
      <c r="C4235"/>
      <c r="D4235"/>
      <c r="E4235"/>
      <c r="F4235" s="242"/>
      <c r="G4235"/>
      <c r="H4235" s="242"/>
      <c r="I4235" s="242"/>
      <c r="J4235" s="242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</row>
    <row r="4236" spans="1:26" hidden="1">
      <c r="A4236"/>
      <c r="B4236" s="249"/>
      <c r="C4236"/>
      <c r="D4236"/>
      <c r="E4236"/>
      <c r="F4236" s="242"/>
      <c r="G4236"/>
      <c r="H4236" s="242"/>
      <c r="I4236" s="242"/>
      <c r="J4236" s="242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</row>
    <row r="4237" spans="1:26" hidden="1">
      <c r="A4237"/>
      <c r="B4237" s="249"/>
      <c r="C4237"/>
      <c r="D4237"/>
      <c r="E4237"/>
      <c r="F4237" s="242"/>
      <c r="G4237"/>
      <c r="H4237" s="242"/>
      <c r="I4237" s="242"/>
      <c r="J4237" s="242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</row>
    <row r="4238" spans="1:26" hidden="1">
      <c r="A4238"/>
      <c r="B4238" s="249"/>
      <c r="C4238"/>
      <c r="D4238"/>
      <c r="E4238"/>
      <c r="F4238" s="242"/>
      <c r="G4238"/>
      <c r="H4238" s="242"/>
      <c r="I4238" s="242"/>
      <c r="J4238" s="242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</row>
    <row r="4239" spans="1:26" hidden="1">
      <c r="A4239"/>
      <c r="B4239" s="249"/>
      <c r="C4239"/>
      <c r="D4239"/>
      <c r="E4239"/>
      <c r="F4239" s="242"/>
      <c r="G4239"/>
      <c r="H4239" s="242"/>
      <c r="I4239" s="242"/>
      <c r="J4239" s="242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</row>
    <row r="4240" spans="1:26" hidden="1">
      <c r="A4240"/>
      <c r="B4240" s="249"/>
      <c r="C4240"/>
      <c r="D4240"/>
      <c r="E4240"/>
      <c r="F4240" s="242"/>
      <c r="G4240"/>
      <c r="H4240" s="242"/>
      <c r="I4240" s="242"/>
      <c r="J4240" s="242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</row>
    <row r="4241" spans="1:26" hidden="1">
      <c r="A4241"/>
      <c r="B4241" s="249"/>
      <c r="C4241"/>
      <c r="D4241"/>
      <c r="E4241"/>
      <c r="F4241" s="242"/>
      <c r="G4241"/>
      <c r="H4241" s="242"/>
      <c r="I4241" s="242"/>
      <c r="J4241" s="242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</row>
    <row r="4242" spans="1:26" hidden="1">
      <c r="A4242"/>
      <c r="B4242" s="249"/>
      <c r="C4242"/>
      <c r="D4242"/>
      <c r="E4242"/>
      <c r="F4242" s="242"/>
      <c r="G4242"/>
      <c r="H4242" s="242"/>
      <c r="I4242" s="242"/>
      <c r="J4242" s="242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</row>
    <row r="4243" spans="1:26" hidden="1">
      <c r="A4243"/>
      <c r="B4243" s="249"/>
      <c r="C4243"/>
      <c r="D4243"/>
      <c r="E4243"/>
      <c r="F4243" s="242"/>
      <c r="G4243"/>
      <c r="H4243" s="242"/>
      <c r="I4243" s="242"/>
      <c r="J4243" s="242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</row>
    <row r="4244" spans="1:26" hidden="1">
      <c r="A4244"/>
      <c r="B4244" s="249"/>
      <c r="C4244"/>
      <c r="D4244"/>
      <c r="E4244"/>
      <c r="F4244" s="242"/>
      <c r="G4244"/>
      <c r="H4244" s="242"/>
      <c r="I4244" s="242"/>
      <c r="J4244" s="242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</row>
    <row r="4245" spans="1:26" hidden="1">
      <c r="A4245"/>
      <c r="B4245" s="249"/>
      <c r="C4245"/>
      <c r="D4245"/>
      <c r="E4245"/>
      <c r="F4245" s="242"/>
      <c r="G4245"/>
      <c r="H4245" s="242"/>
      <c r="I4245" s="242"/>
      <c r="J4245" s="242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</row>
    <row r="4246" spans="1:26" hidden="1">
      <c r="A4246"/>
      <c r="B4246" s="249"/>
      <c r="C4246"/>
      <c r="D4246"/>
      <c r="E4246"/>
      <c r="F4246" s="242"/>
      <c r="G4246"/>
      <c r="H4246" s="242"/>
      <c r="I4246" s="242"/>
      <c r="J4246" s="242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</row>
    <row r="4247" spans="1:26" hidden="1">
      <c r="A4247"/>
      <c r="B4247" s="249"/>
      <c r="C4247"/>
      <c r="D4247"/>
      <c r="E4247"/>
      <c r="F4247" s="242"/>
      <c r="G4247"/>
      <c r="H4247" s="242"/>
      <c r="I4247" s="242"/>
      <c r="J4247" s="242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</row>
    <row r="4248" spans="1:26" hidden="1">
      <c r="A4248"/>
      <c r="B4248" s="249"/>
      <c r="C4248"/>
      <c r="D4248"/>
      <c r="E4248"/>
      <c r="F4248" s="242"/>
      <c r="G4248"/>
      <c r="H4248" s="242"/>
      <c r="I4248" s="242"/>
      <c r="J4248" s="242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</row>
    <row r="4249" spans="1:26" hidden="1">
      <c r="A4249"/>
      <c r="B4249" s="249"/>
      <c r="C4249"/>
      <c r="D4249"/>
      <c r="E4249"/>
      <c r="F4249" s="242"/>
      <c r="G4249"/>
      <c r="H4249" s="242"/>
      <c r="I4249" s="242"/>
      <c r="J4249" s="242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</row>
    <row r="4250" spans="1:26" hidden="1">
      <c r="A4250"/>
      <c r="B4250" s="249"/>
      <c r="C4250"/>
      <c r="D4250"/>
      <c r="E4250"/>
      <c r="F4250" s="242"/>
      <c r="G4250"/>
      <c r="H4250" s="242"/>
      <c r="I4250" s="242"/>
      <c r="J4250" s="242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</row>
    <row r="4251" spans="1:26" hidden="1">
      <c r="A4251"/>
      <c r="B4251" s="249"/>
      <c r="C4251"/>
      <c r="D4251"/>
      <c r="E4251"/>
      <c r="F4251" s="242"/>
      <c r="G4251"/>
      <c r="H4251" s="242"/>
      <c r="I4251" s="242"/>
      <c r="J4251" s="242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</row>
    <row r="4252" spans="1:26" hidden="1">
      <c r="A4252"/>
      <c r="B4252" s="249"/>
      <c r="C4252"/>
      <c r="D4252"/>
      <c r="E4252"/>
      <c r="F4252" s="242"/>
      <c r="G4252"/>
      <c r="H4252" s="242"/>
      <c r="I4252" s="242"/>
      <c r="J4252" s="242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</row>
    <row r="4253" spans="1:26" hidden="1">
      <c r="A4253"/>
      <c r="B4253" s="249"/>
      <c r="C4253"/>
      <c r="D4253"/>
      <c r="E4253"/>
      <c r="F4253" s="242"/>
      <c r="G4253"/>
      <c r="H4253" s="242"/>
      <c r="I4253" s="242"/>
      <c r="J4253" s="242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</row>
    <row r="4254" spans="1:26" hidden="1">
      <c r="A4254"/>
      <c r="B4254" s="249"/>
      <c r="C4254"/>
      <c r="D4254"/>
      <c r="E4254"/>
      <c r="F4254" s="242"/>
      <c r="G4254"/>
      <c r="H4254" s="242"/>
      <c r="I4254" s="242"/>
      <c r="J4254" s="242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</row>
    <row r="4255" spans="1:26" hidden="1">
      <c r="A4255"/>
      <c r="B4255" s="249"/>
      <c r="C4255"/>
      <c r="D4255"/>
      <c r="E4255"/>
      <c r="F4255" s="242"/>
      <c r="G4255"/>
      <c r="H4255" s="242"/>
      <c r="I4255" s="242"/>
      <c r="J4255" s="242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</row>
    <row r="4256" spans="1:26" hidden="1">
      <c r="A4256"/>
      <c r="B4256" s="249"/>
      <c r="C4256"/>
      <c r="D4256"/>
      <c r="E4256"/>
      <c r="F4256" s="242"/>
      <c r="G4256"/>
      <c r="H4256" s="242"/>
      <c r="I4256" s="242"/>
      <c r="J4256" s="242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</row>
    <row r="4257" spans="1:26" hidden="1">
      <c r="A4257"/>
      <c r="B4257" s="249"/>
      <c r="C4257"/>
      <c r="D4257"/>
      <c r="E4257"/>
      <c r="F4257" s="242"/>
      <c r="G4257"/>
      <c r="H4257" s="242"/>
      <c r="I4257" s="242"/>
      <c r="J4257" s="242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</row>
    <row r="4258" spans="1:26" hidden="1">
      <c r="A4258"/>
      <c r="B4258" s="249"/>
      <c r="C4258"/>
      <c r="D4258"/>
      <c r="E4258"/>
      <c r="F4258" s="242"/>
      <c r="G4258"/>
      <c r="H4258" s="242"/>
      <c r="I4258" s="242"/>
      <c r="J4258" s="242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</row>
    <row r="4259" spans="1:26" hidden="1">
      <c r="A4259"/>
      <c r="B4259" s="249"/>
      <c r="C4259"/>
      <c r="D4259"/>
      <c r="E4259"/>
      <c r="F4259" s="242"/>
      <c r="G4259"/>
      <c r="H4259" s="242"/>
      <c r="I4259" s="242"/>
      <c r="J4259" s="242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</row>
    <row r="4260" spans="1:26" hidden="1">
      <c r="A4260"/>
      <c r="B4260" s="249"/>
      <c r="C4260"/>
      <c r="D4260"/>
      <c r="E4260"/>
      <c r="F4260" s="242"/>
      <c r="G4260"/>
      <c r="H4260" s="242"/>
      <c r="I4260" s="242"/>
      <c r="J4260" s="242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</row>
    <row r="4261" spans="1:26" hidden="1">
      <c r="A4261"/>
      <c r="B4261" s="249"/>
      <c r="C4261"/>
      <c r="D4261"/>
      <c r="E4261"/>
      <c r="F4261" s="242"/>
      <c r="G4261"/>
      <c r="H4261" s="242"/>
      <c r="I4261" s="242"/>
      <c r="J4261" s="242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</row>
    <row r="4262" spans="1:26" hidden="1">
      <c r="A4262"/>
      <c r="B4262" s="249"/>
      <c r="C4262"/>
      <c r="D4262"/>
      <c r="E4262"/>
      <c r="F4262" s="242"/>
      <c r="G4262"/>
      <c r="H4262" s="242"/>
      <c r="I4262" s="242"/>
      <c r="J4262" s="242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</row>
    <row r="4263" spans="1:26" hidden="1">
      <c r="A4263"/>
      <c r="B4263" s="249"/>
      <c r="C4263"/>
      <c r="D4263"/>
      <c r="E4263"/>
      <c r="F4263" s="242"/>
      <c r="G4263"/>
      <c r="H4263" s="242"/>
      <c r="I4263" s="242"/>
      <c r="J4263" s="242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</row>
    <row r="4264" spans="1:26" hidden="1">
      <c r="A4264"/>
      <c r="B4264" s="249"/>
      <c r="C4264"/>
      <c r="D4264"/>
      <c r="E4264"/>
      <c r="F4264" s="242"/>
      <c r="G4264"/>
      <c r="H4264" s="242"/>
      <c r="I4264" s="242"/>
      <c r="J4264" s="242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</row>
    <row r="4265" spans="1:26" hidden="1">
      <c r="A4265"/>
      <c r="B4265" s="249"/>
      <c r="C4265"/>
      <c r="D4265"/>
      <c r="E4265"/>
      <c r="F4265" s="242"/>
      <c r="G4265"/>
      <c r="H4265" s="242"/>
      <c r="I4265" s="242"/>
      <c r="J4265" s="242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</row>
    <row r="4266" spans="1:26" hidden="1">
      <c r="A4266"/>
      <c r="B4266" s="249"/>
      <c r="C4266"/>
      <c r="D4266"/>
      <c r="E4266"/>
      <c r="F4266" s="242"/>
      <c r="G4266"/>
      <c r="H4266" s="242"/>
      <c r="I4266" s="242"/>
      <c r="J4266" s="242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</row>
    <row r="4267" spans="1:26" hidden="1">
      <c r="A4267"/>
      <c r="B4267" s="249"/>
      <c r="C4267"/>
      <c r="D4267"/>
      <c r="E4267"/>
      <c r="F4267" s="242"/>
      <c r="G4267"/>
      <c r="H4267" s="242"/>
      <c r="I4267" s="242"/>
      <c r="J4267" s="242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</row>
    <row r="4268" spans="1:26" hidden="1">
      <c r="A4268"/>
      <c r="B4268" s="249"/>
      <c r="C4268"/>
      <c r="D4268"/>
      <c r="E4268"/>
      <c r="F4268" s="242"/>
      <c r="G4268"/>
      <c r="H4268" s="242"/>
      <c r="I4268" s="242"/>
      <c r="J4268" s="242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</row>
    <row r="4269" spans="1:26" hidden="1">
      <c r="A4269"/>
      <c r="B4269" s="249"/>
      <c r="C4269"/>
      <c r="D4269"/>
      <c r="E4269"/>
      <c r="F4269" s="242"/>
      <c r="G4269"/>
      <c r="H4269" s="242"/>
      <c r="I4269" s="242"/>
      <c r="J4269" s="242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</row>
    <row r="4270" spans="1:26" hidden="1">
      <c r="A4270"/>
      <c r="B4270" s="249"/>
      <c r="C4270"/>
      <c r="D4270"/>
      <c r="E4270"/>
      <c r="F4270" s="242"/>
      <c r="G4270"/>
      <c r="H4270" s="242"/>
      <c r="I4270" s="242"/>
      <c r="J4270" s="242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</row>
    <row r="4271" spans="1:26" hidden="1">
      <c r="A4271"/>
      <c r="B4271" s="249"/>
      <c r="C4271"/>
      <c r="D4271"/>
      <c r="E4271"/>
      <c r="F4271" s="242"/>
      <c r="G4271"/>
      <c r="H4271" s="242"/>
      <c r="I4271" s="242"/>
      <c r="J4271" s="242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</row>
    <row r="4272" spans="1:26" hidden="1">
      <c r="A4272"/>
      <c r="B4272" s="249"/>
      <c r="C4272"/>
      <c r="D4272"/>
      <c r="E4272"/>
      <c r="F4272" s="242"/>
      <c r="G4272"/>
      <c r="H4272" s="242"/>
      <c r="I4272" s="242"/>
      <c r="J4272" s="242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</row>
    <row r="4273" spans="1:26" hidden="1">
      <c r="A4273"/>
      <c r="B4273" s="249"/>
      <c r="C4273"/>
      <c r="D4273"/>
      <c r="E4273"/>
      <c r="F4273" s="242"/>
      <c r="G4273"/>
      <c r="H4273" s="242"/>
      <c r="I4273" s="242"/>
      <c r="J4273" s="242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</row>
    <row r="4274" spans="1:26" hidden="1">
      <c r="A4274"/>
      <c r="B4274" s="249"/>
      <c r="C4274"/>
      <c r="D4274"/>
      <c r="E4274"/>
      <c r="F4274" s="242"/>
      <c r="G4274"/>
      <c r="H4274" s="242"/>
      <c r="I4274" s="242"/>
      <c r="J4274" s="242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</row>
    <row r="4275" spans="1:26" hidden="1">
      <c r="A4275"/>
      <c r="B4275" s="249"/>
      <c r="C4275"/>
      <c r="D4275"/>
      <c r="E4275"/>
      <c r="F4275" s="242"/>
      <c r="G4275"/>
      <c r="H4275" s="242"/>
      <c r="I4275" s="242"/>
      <c r="J4275" s="242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</row>
    <row r="4276" spans="1:26" hidden="1">
      <c r="A4276"/>
      <c r="B4276" s="249"/>
      <c r="C4276"/>
      <c r="D4276"/>
      <c r="E4276"/>
      <c r="F4276" s="242"/>
      <c r="G4276"/>
      <c r="H4276" s="242"/>
      <c r="I4276" s="242"/>
      <c r="J4276" s="242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</row>
    <row r="4277" spans="1:26" hidden="1">
      <c r="A4277"/>
      <c r="B4277" s="249"/>
      <c r="C4277"/>
      <c r="D4277"/>
      <c r="E4277"/>
      <c r="F4277" s="242"/>
      <c r="G4277"/>
      <c r="H4277" s="242"/>
      <c r="I4277" s="242"/>
      <c r="J4277" s="242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</row>
    <row r="4278" spans="1:26" hidden="1">
      <c r="A4278"/>
      <c r="B4278" s="249"/>
      <c r="C4278"/>
      <c r="D4278"/>
      <c r="E4278"/>
      <c r="F4278" s="242"/>
      <c r="G4278"/>
      <c r="H4278" s="242"/>
      <c r="I4278" s="242"/>
      <c r="J4278" s="242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</row>
    <row r="4279" spans="1:26" hidden="1">
      <c r="A4279"/>
      <c r="B4279" s="249"/>
      <c r="C4279"/>
      <c r="D4279"/>
      <c r="E4279"/>
      <c r="F4279" s="242"/>
      <c r="G4279"/>
      <c r="H4279" s="242"/>
      <c r="I4279" s="242"/>
      <c r="J4279" s="242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</row>
    <row r="4280" spans="1:26" hidden="1">
      <c r="A4280"/>
      <c r="B4280" s="249"/>
      <c r="C4280"/>
      <c r="D4280"/>
      <c r="E4280"/>
      <c r="F4280" s="242"/>
      <c r="G4280"/>
      <c r="H4280" s="242"/>
      <c r="I4280" s="242"/>
      <c r="J4280" s="242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</row>
    <row r="4281" spans="1:26" hidden="1">
      <c r="A4281"/>
      <c r="B4281" s="249"/>
      <c r="C4281"/>
      <c r="D4281"/>
      <c r="E4281"/>
      <c r="F4281" s="242"/>
      <c r="G4281"/>
      <c r="H4281" s="242"/>
      <c r="I4281" s="242"/>
      <c r="J4281" s="242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</row>
    <row r="4282" spans="1:26" hidden="1">
      <c r="A4282"/>
      <c r="B4282" s="249"/>
      <c r="C4282"/>
      <c r="D4282"/>
      <c r="E4282"/>
      <c r="F4282" s="242"/>
      <c r="G4282"/>
      <c r="H4282" s="242"/>
      <c r="I4282" s="242"/>
      <c r="J4282" s="242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</row>
    <row r="4283" spans="1:26" hidden="1">
      <c r="A4283"/>
      <c r="B4283" s="249"/>
      <c r="C4283"/>
      <c r="D4283"/>
      <c r="E4283"/>
      <c r="F4283" s="242"/>
      <c r="G4283"/>
      <c r="H4283" s="242"/>
      <c r="I4283" s="242"/>
      <c r="J4283" s="242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</row>
    <row r="4284" spans="1:26" hidden="1">
      <c r="A4284"/>
      <c r="B4284" s="249"/>
      <c r="C4284"/>
      <c r="D4284"/>
      <c r="E4284"/>
      <c r="F4284" s="242"/>
      <c r="G4284"/>
      <c r="H4284" s="242"/>
      <c r="I4284" s="242"/>
      <c r="J4284" s="242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</row>
    <row r="4285" spans="1:26" hidden="1">
      <c r="A4285"/>
      <c r="B4285" s="249"/>
      <c r="C4285"/>
      <c r="D4285"/>
      <c r="E4285"/>
      <c r="F4285" s="242"/>
      <c r="G4285"/>
      <c r="H4285" s="242"/>
      <c r="I4285" s="242"/>
      <c r="J4285" s="242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</row>
    <row r="4286" spans="1:26" hidden="1">
      <c r="A4286"/>
      <c r="B4286" s="249"/>
      <c r="C4286"/>
      <c r="D4286"/>
      <c r="E4286"/>
      <c r="F4286" s="242"/>
      <c r="G4286"/>
      <c r="H4286" s="242"/>
      <c r="I4286" s="242"/>
      <c r="J4286" s="242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</row>
    <row r="4287" spans="1:26" hidden="1">
      <c r="A4287"/>
      <c r="B4287" s="249"/>
      <c r="C4287"/>
      <c r="D4287"/>
      <c r="E4287"/>
      <c r="F4287" s="242"/>
      <c r="G4287"/>
      <c r="H4287" s="242"/>
      <c r="I4287" s="242"/>
      <c r="J4287" s="242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</row>
    <row r="4288" spans="1:26" hidden="1">
      <c r="A4288"/>
      <c r="B4288" s="249"/>
      <c r="C4288"/>
      <c r="D4288"/>
      <c r="E4288"/>
      <c r="F4288" s="242"/>
      <c r="G4288"/>
      <c r="H4288" s="242"/>
      <c r="I4288" s="242"/>
      <c r="J4288" s="242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</row>
    <row r="4289" spans="1:26" hidden="1">
      <c r="A4289"/>
      <c r="B4289" s="249"/>
      <c r="C4289"/>
      <c r="D4289"/>
      <c r="E4289"/>
      <c r="F4289" s="242"/>
      <c r="G4289"/>
      <c r="H4289" s="242"/>
      <c r="I4289" s="242"/>
      <c r="J4289" s="242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</row>
    <row r="4290" spans="1:26" hidden="1">
      <c r="A4290"/>
      <c r="B4290" s="249"/>
      <c r="C4290"/>
      <c r="D4290"/>
      <c r="E4290"/>
      <c r="F4290" s="242"/>
      <c r="G4290"/>
      <c r="H4290" s="242"/>
      <c r="I4290" s="242"/>
      <c r="J4290" s="242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</row>
    <row r="4291" spans="1:26" hidden="1">
      <c r="A4291"/>
      <c r="B4291" s="249"/>
      <c r="C4291"/>
      <c r="D4291"/>
      <c r="E4291"/>
      <c r="F4291" s="242"/>
      <c r="G4291"/>
      <c r="H4291" s="242"/>
      <c r="I4291" s="242"/>
      <c r="J4291" s="242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</row>
    <row r="4292" spans="1:26" hidden="1">
      <c r="A4292"/>
      <c r="B4292" s="249"/>
      <c r="C4292"/>
      <c r="D4292"/>
      <c r="E4292"/>
      <c r="F4292" s="242"/>
      <c r="G4292"/>
      <c r="H4292" s="242"/>
      <c r="I4292" s="242"/>
      <c r="J4292" s="242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</row>
    <row r="4293" spans="1:26" hidden="1">
      <c r="A4293"/>
      <c r="B4293" s="249"/>
      <c r="C4293"/>
      <c r="D4293"/>
      <c r="E4293"/>
      <c r="F4293" s="242"/>
      <c r="G4293"/>
      <c r="H4293" s="242"/>
      <c r="I4293" s="242"/>
      <c r="J4293" s="242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</row>
    <row r="4294" spans="1:26" hidden="1">
      <c r="A4294"/>
      <c r="B4294" s="249"/>
      <c r="C4294"/>
      <c r="D4294"/>
      <c r="E4294"/>
      <c r="F4294" s="242"/>
      <c r="G4294"/>
      <c r="H4294" s="242"/>
      <c r="I4294" s="242"/>
      <c r="J4294" s="242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</row>
    <row r="4295" spans="1:26" hidden="1">
      <c r="A4295"/>
      <c r="B4295" s="249"/>
      <c r="C4295"/>
      <c r="D4295"/>
      <c r="E4295"/>
      <c r="F4295" s="242"/>
      <c r="G4295"/>
      <c r="H4295" s="242"/>
      <c r="I4295" s="242"/>
      <c r="J4295" s="242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</row>
    <row r="4296" spans="1:26" hidden="1">
      <c r="A4296"/>
      <c r="B4296" s="249"/>
      <c r="C4296"/>
      <c r="D4296"/>
      <c r="E4296"/>
      <c r="F4296" s="242"/>
      <c r="G4296"/>
      <c r="H4296" s="242"/>
      <c r="I4296" s="242"/>
      <c r="J4296" s="242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</row>
    <row r="4297" spans="1:26" hidden="1">
      <c r="A4297"/>
      <c r="B4297" s="249"/>
      <c r="C4297"/>
      <c r="D4297"/>
      <c r="E4297"/>
      <c r="F4297" s="242"/>
      <c r="G4297"/>
      <c r="H4297" s="242"/>
      <c r="I4297" s="242"/>
      <c r="J4297" s="242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</row>
    <row r="4298" spans="1:26" hidden="1">
      <c r="A4298"/>
      <c r="B4298" s="249"/>
      <c r="C4298"/>
      <c r="D4298"/>
      <c r="E4298"/>
      <c r="F4298" s="242"/>
      <c r="G4298"/>
      <c r="H4298" s="242"/>
      <c r="I4298" s="242"/>
      <c r="J4298" s="242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</row>
    <row r="4299" spans="1:26" hidden="1">
      <c r="A4299"/>
      <c r="B4299" s="249"/>
      <c r="C4299"/>
      <c r="D4299"/>
      <c r="E4299"/>
      <c r="F4299" s="242"/>
      <c r="G4299"/>
      <c r="H4299" s="242"/>
      <c r="I4299" s="242"/>
      <c r="J4299" s="242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</row>
    <row r="4300" spans="1:26" hidden="1">
      <c r="A4300"/>
      <c r="B4300" s="249"/>
      <c r="C4300"/>
      <c r="D4300"/>
      <c r="E4300"/>
      <c r="F4300" s="242"/>
      <c r="G4300"/>
      <c r="H4300" s="242"/>
      <c r="I4300" s="242"/>
      <c r="J4300" s="242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</row>
    <row r="4301" spans="1:26" hidden="1">
      <c r="A4301"/>
      <c r="B4301" s="249"/>
      <c r="C4301"/>
      <c r="D4301"/>
      <c r="E4301"/>
      <c r="F4301" s="242"/>
      <c r="G4301"/>
      <c r="H4301" s="242"/>
      <c r="I4301" s="242"/>
      <c r="J4301" s="242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</row>
    <row r="4302" spans="1:26" hidden="1">
      <c r="A4302"/>
      <c r="B4302" s="249"/>
      <c r="C4302"/>
      <c r="D4302"/>
      <c r="E4302"/>
      <c r="F4302" s="242"/>
      <c r="G4302"/>
      <c r="H4302" s="242"/>
      <c r="I4302" s="242"/>
      <c r="J4302" s="242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</row>
    <row r="4303" spans="1:26" hidden="1">
      <c r="A4303"/>
      <c r="B4303" s="249"/>
      <c r="C4303"/>
      <c r="D4303"/>
      <c r="E4303"/>
      <c r="F4303" s="242"/>
      <c r="G4303"/>
      <c r="H4303" s="242"/>
      <c r="I4303" s="242"/>
      <c r="J4303" s="242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</row>
    <row r="4304" spans="1:26" hidden="1">
      <c r="A4304"/>
      <c r="B4304" s="249"/>
      <c r="C4304"/>
      <c r="D4304"/>
      <c r="E4304"/>
      <c r="F4304" s="242"/>
      <c r="G4304"/>
      <c r="H4304" s="242"/>
      <c r="I4304" s="242"/>
      <c r="J4304" s="242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</row>
    <row r="4305" spans="1:26" hidden="1">
      <c r="A4305"/>
      <c r="B4305" s="249"/>
      <c r="C4305"/>
      <c r="D4305"/>
      <c r="E4305"/>
      <c r="F4305" s="242"/>
      <c r="G4305"/>
      <c r="H4305" s="242"/>
      <c r="I4305" s="242"/>
      <c r="J4305" s="242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</row>
    <row r="4306" spans="1:26" hidden="1">
      <c r="A4306"/>
      <c r="B4306" s="249"/>
      <c r="C4306"/>
      <c r="D4306"/>
      <c r="E4306"/>
      <c r="F4306" s="242"/>
      <c r="G4306"/>
      <c r="H4306" s="242"/>
      <c r="I4306" s="242"/>
      <c r="J4306" s="242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</row>
    <row r="4307" spans="1:26" hidden="1">
      <c r="A4307"/>
      <c r="B4307" s="249"/>
      <c r="C4307"/>
      <c r="D4307"/>
      <c r="E4307"/>
      <c r="F4307" s="242"/>
      <c r="G4307"/>
      <c r="H4307" s="242"/>
      <c r="I4307" s="242"/>
      <c r="J4307" s="242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</row>
    <row r="4308" spans="1:26" hidden="1">
      <c r="A4308"/>
      <c r="B4308" s="249"/>
      <c r="C4308"/>
      <c r="D4308"/>
      <c r="E4308"/>
      <c r="F4308" s="242"/>
      <c r="G4308"/>
      <c r="H4308" s="242"/>
      <c r="I4308" s="242"/>
      <c r="J4308" s="242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</row>
    <row r="4309" spans="1:26" hidden="1">
      <c r="A4309"/>
      <c r="B4309" s="249"/>
      <c r="C4309"/>
      <c r="D4309"/>
      <c r="E4309"/>
      <c r="F4309" s="242"/>
      <c r="G4309"/>
      <c r="H4309" s="242"/>
      <c r="I4309" s="242"/>
      <c r="J4309" s="242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</row>
    <row r="4310" spans="1:26" hidden="1">
      <c r="A4310"/>
      <c r="B4310" s="249"/>
      <c r="C4310"/>
      <c r="D4310"/>
      <c r="E4310"/>
      <c r="F4310" s="242"/>
      <c r="G4310"/>
      <c r="H4310" s="242"/>
      <c r="I4310" s="242"/>
      <c r="J4310" s="242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</row>
    <row r="4311" spans="1:26" hidden="1">
      <c r="A4311"/>
      <c r="B4311" s="249"/>
      <c r="C4311"/>
      <c r="D4311"/>
      <c r="E4311"/>
      <c r="F4311" s="242"/>
      <c r="G4311"/>
      <c r="H4311" s="242"/>
      <c r="I4311" s="242"/>
      <c r="J4311" s="242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</row>
    <row r="4312" spans="1:26" hidden="1">
      <c r="A4312"/>
      <c r="B4312" s="249"/>
      <c r="C4312"/>
      <c r="D4312"/>
      <c r="E4312"/>
      <c r="F4312" s="242"/>
      <c r="G4312"/>
      <c r="H4312" s="242"/>
      <c r="I4312" s="242"/>
      <c r="J4312" s="242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</row>
    <row r="4313" spans="1:26" hidden="1">
      <c r="A4313"/>
      <c r="B4313" s="249"/>
      <c r="C4313"/>
      <c r="D4313"/>
      <c r="E4313"/>
      <c r="F4313" s="242"/>
      <c r="G4313"/>
      <c r="H4313" s="242"/>
      <c r="I4313" s="242"/>
      <c r="J4313" s="242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</row>
    <row r="4314" spans="1:26" hidden="1">
      <c r="A4314"/>
      <c r="B4314" s="249"/>
      <c r="C4314"/>
      <c r="D4314"/>
      <c r="E4314"/>
      <c r="F4314" s="242"/>
      <c r="G4314"/>
      <c r="H4314" s="242"/>
      <c r="I4314" s="242"/>
      <c r="J4314" s="242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</row>
    <row r="4315" spans="1:26" hidden="1">
      <c r="A4315"/>
      <c r="B4315" s="249"/>
      <c r="C4315"/>
      <c r="D4315"/>
      <c r="E4315"/>
      <c r="F4315" s="242"/>
      <c r="G4315"/>
      <c r="H4315" s="242"/>
      <c r="I4315" s="242"/>
      <c r="J4315" s="242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</row>
    <row r="4316" spans="1:26" hidden="1">
      <c r="A4316"/>
      <c r="B4316" s="249"/>
      <c r="C4316"/>
      <c r="D4316"/>
      <c r="E4316"/>
      <c r="F4316" s="242"/>
      <c r="G4316"/>
      <c r="H4316" s="242"/>
      <c r="I4316" s="242"/>
      <c r="J4316" s="242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</row>
    <row r="4317" spans="1:26" hidden="1">
      <c r="A4317"/>
      <c r="B4317" s="249"/>
      <c r="C4317"/>
      <c r="D4317"/>
      <c r="E4317"/>
      <c r="F4317" s="242"/>
      <c r="G4317"/>
      <c r="H4317" s="242"/>
      <c r="I4317" s="242"/>
      <c r="J4317" s="242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</row>
    <row r="4318" spans="1:26" hidden="1">
      <c r="A4318"/>
      <c r="B4318" s="249"/>
      <c r="C4318"/>
      <c r="D4318"/>
      <c r="E4318"/>
      <c r="F4318" s="242"/>
      <c r="G4318"/>
      <c r="H4318" s="242"/>
      <c r="I4318" s="242"/>
      <c r="J4318" s="242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</row>
    <row r="4319" spans="1:26" hidden="1">
      <c r="A4319"/>
      <c r="B4319" s="249"/>
      <c r="C4319"/>
      <c r="D4319"/>
      <c r="E4319"/>
      <c r="F4319" s="242"/>
      <c r="G4319"/>
      <c r="H4319" s="242"/>
      <c r="I4319" s="242"/>
      <c r="J4319" s="242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</row>
    <row r="4320" spans="1:26" hidden="1">
      <c r="A4320"/>
      <c r="B4320" s="249"/>
      <c r="C4320"/>
      <c r="D4320"/>
      <c r="E4320"/>
      <c r="F4320" s="242"/>
      <c r="G4320"/>
      <c r="H4320" s="242"/>
      <c r="I4320" s="242"/>
      <c r="J4320" s="242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</row>
    <row r="4321" spans="1:26" hidden="1">
      <c r="A4321"/>
      <c r="B4321" s="249"/>
      <c r="C4321"/>
      <c r="D4321"/>
      <c r="E4321"/>
      <c r="F4321" s="242"/>
      <c r="G4321"/>
      <c r="H4321" s="242"/>
      <c r="I4321" s="242"/>
      <c r="J4321" s="242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</row>
    <row r="4322" spans="1:26" hidden="1">
      <c r="A4322"/>
      <c r="B4322" s="249"/>
      <c r="C4322"/>
      <c r="D4322"/>
      <c r="E4322"/>
      <c r="F4322" s="242"/>
      <c r="G4322"/>
      <c r="H4322" s="242"/>
      <c r="I4322" s="242"/>
      <c r="J4322" s="242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</row>
    <row r="4323" spans="1:26" hidden="1">
      <c r="A4323"/>
      <c r="B4323" s="249"/>
      <c r="C4323"/>
      <c r="D4323"/>
      <c r="E4323"/>
      <c r="F4323" s="242"/>
      <c r="G4323"/>
      <c r="H4323" s="242"/>
      <c r="I4323" s="242"/>
      <c r="J4323" s="242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</row>
    <row r="4324" spans="1:26" hidden="1">
      <c r="A4324"/>
      <c r="B4324" s="249"/>
      <c r="C4324"/>
      <c r="D4324"/>
      <c r="E4324"/>
      <c r="F4324" s="242"/>
      <c r="G4324"/>
      <c r="H4324" s="242"/>
      <c r="I4324" s="242"/>
      <c r="J4324" s="242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</row>
    <row r="4325" spans="1:26" hidden="1">
      <c r="A4325"/>
      <c r="B4325" s="249"/>
      <c r="C4325"/>
      <c r="D4325"/>
      <c r="E4325"/>
      <c r="F4325" s="242"/>
      <c r="G4325"/>
      <c r="H4325" s="242"/>
      <c r="I4325" s="242"/>
      <c r="J4325" s="242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</row>
    <row r="4326" spans="1:26" hidden="1">
      <c r="A4326"/>
      <c r="B4326" s="249"/>
      <c r="C4326"/>
      <c r="D4326"/>
      <c r="E4326"/>
      <c r="F4326" s="242"/>
      <c r="G4326"/>
      <c r="H4326" s="242"/>
      <c r="I4326" s="242"/>
      <c r="J4326" s="242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</row>
    <row r="4327" spans="1:26" hidden="1">
      <c r="A4327"/>
      <c r="B4327" s="249"/>
      <c r="C4327"/>
      <c r="D4327"/>
      <c r="E4327"/>
      <c r="F4327" s="242"/>
      <c r="G4327"/>
      <c r="H4327" s="242"/>
      <c r="I4327" s="242"/>
      <c r="J4327" s="242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</row>
    <row r="4328" spans="1:26" hidden="1">
      <c r="A4328"/>
      <c r="B4328" s="249"/>
      <c r="C4328"/>
      <c r="D4328"/>
      <c r="E4328"/>
      <c r="F4328" s="242"/>
      <c r="G4328"/>
      <c r="H4328" s="242"/>
      <c r="I4328" s="242"/>
      <c r="J4328" s="242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</row>
    <row r="4329" spans="1:26" hidden="1">
      <c r="A4329"/>
      <c r="B4329" s="249"/>
      <c r="C4329"/>
      <c r="D4329"/>
      <c r="E4329"/>
      <c r="F4329" s="242"/>
      <c r="G4329"/>
      <c r="H4329" s="242"/>
      <c r="I4329" s="242"/>
      <c r="J4329" s="242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</row>
    <row r="4330" spans="1:26" hidden="1">
      <c r="A4330"/>
      <c r="B4330" s="249"/>
      <c r="C4330"/>
      <c r="D4330"/>
      <c r="E4330"/>
      <c r="F4330" s="242"/>
      <c r="G4330"/>
      <c r="H4330" s="242"/>
      <c r="I4330" s="242"/>
      <c r="J4330" s="242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</row>
    <row r="4331" spans="1:26" hidden="1">
      <c r="A4331"/>
      <c r="B4331" s="249"/>
      <c r="C4331"/>
      <c r="D4331"/>
      <c r="E4331"/>
      <c r="F4331" s="242"/>
      <c r="G4331"/>
      <c r="H4331" s="242"/>
      <c r="I4331" s="242"/>
      <c r="J4331" s="242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</row>
    <row r="4332" spans="1:26" hidden="1">
      <c r="A4332"/>
      <c r="B4332" s="249"/>
      <c r="C4332"/>
      <c r="D4332"/>
      <c r="E4332"/>
      <c r="F4332" s="242"/>
      <c r="G4332"/>
      <c r="H4332" s="242"/>
      <c r="I4332" s="242"/>
      <c r="J4332" s="242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</row>
    <row r="4333" spans="1:26" hidden="1">
      <c r="A4333"/>
      <c r="B4333" s="249"/>
      <c r="C4333"/>
      <c r="D4333"/>
      <c r="E4333"/>
      <c r="F4333" s="242"/>
      <c r="G4333"/>
      <c r="H4333" s="242"/>
      <c r="I4333" s="242"/>
      <c r="J4333" s="242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</row>
    <row r="4334" spans="1:26" hidden="1">
      <c r="A4334"/>
      <c r="B4334" s="249"/>
      <c r="C4334"/>
      <c r="D4334"/>
      <c r="E4334"/>
      <c r="F4334" s="242"/>
      <c r="G4334"/>
      <c r="H4334" s="242"/>
      <c r="I4334" s="242"/>
      <c r="J4334" s="242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</row>
    <row r="4335" spans="1:26" hidden="1">
      <c r="A4335"/>
      <c r="B4335" s="249"/>
      <c r="C4335"/>
      <c r="D4335"/>
      <c r="E4335"/>
      <c r="F4335" s="242"/>
      <c r="G4335"/>
      <c r="H4335" s="242"/>
      <c r="I4335" s="242"/>
      <c r="J4335" s="242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</row>
    <row r="4336" spans="1:26" hidden="1">
      <c r="A4336"/>
      <c r="B4336" s="249"/>
      <c r="C4336"/>
      <c r="D4336"/>
      <c r="E4336"/>
      <c r="F4336" s="242"/>
      <c r="G4336"/>
      <c r="H4336" s="242"/>
      <c r="I4336" s="242"/>
      <c r="J4336" s="242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</row>
    <row r="4337" spans="1:26" hidden="1">
      <c r="A4337"/>
      <c r="B4337" s="249"/>
      <c r="C4337"/>
      <c r="D4337"/>
      <c r="E4337"/>
      <c r="F4337" s="242"/>
      <c r="G4337"/>
      <c r="H4337" s="242"/>
      <c r="I4337" s="242"/>
      <c r="J4337" s="242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</row>
    <row r="4338" spans="1:26" hidden="1">
      <c r="A4338"/>
      <c r="B4338" s="249"/>
      <c r="C4338"/>
      <c r="D4338"/>
      <c r="E4338"/>
      <c r="F4338" s="242"/>
      <c r="G4338"/>
      <c r="H4338" s="242"/>
      <c r="I4338" s="242"/>
      <c r="J4338" s="242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</row>
    <row r="4339" spans="1:26" hidden="1">
      <c r="A4339"/>
      <c r="B4339" s="249"/>
      <c r="C4339"/>
      <c r="D4339"/>
      <c r="E4339"/>
      <c r="F4339" s="242"/>
      <c r="G4339"/>
      <c r="H4339" s="242"/>
      <c r="I4339" s="242"/>
      <c r="J4339" s="242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</row>
    <row r="4340" spans="1:26" hidden="1">
      <c r="A4340"/>
      <c r="B4340" s="249"/>
      <c r="C4340"/>
      <c r="D4340"/>
      <c r="E4340"/>
      <c r="F4340" s="242"/>
      <c r="G4340"/>
      <c r="H4340" s="242"/>
      <c r="I4340" s="242"/>
      <c r="J4340" s="242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</row>
    <row r="4341" spans="1:26" hidden="1">
      <c r="A4341"/>
      <c r="B4341" s="249"/>
      <c r="C4341"/>
      <c r="D4341"/>
      <c r="E4341"/>
      <c r="F4341" s="242"/>
      <c r="G4341"/>
      <c r="H4341" s="242"/>
      <c r="I4341" s="242"/>
      <c r="J4341" s="242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</row>
    <row r="4342" spans="1:26" hidden="1">
      <c r="A4342"/>
      <c r="B4342" s="249"/>
      <c r="C4342"/>
      <c r="D4342"/>
      <c r="E4342"/>
      <c r="F4342" s="242"/>
      <c r="G4342"/>
      <c r="H4342" s="242"/>
      <c r="I4342" s="242"/>
      <c r="J4342" s="242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</row>
    <row r="4343" spans="1:26" hidden="1">
      <c r="A4343"/>
      <c r="B4343" s="249"/>
      <c r="C4343"/>
      <c r="D4343"/>
      <c r="E4343"/>
      <c r="F4343" s="242"/>
      <c r="G4343"/>
      <c r="H4343" s="242"/>
      <c r="I4343" s="242"/>
      <c r="J4343" s="242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</row>
    <row r="4344" spans="1:26" hidden="1">
      <c r="A4344"/>
      <c r="B4344" s="249"/>
      <c r="C4344"/>
      <c r="D4344"/>
      <c r="E4344"/>
      <c r="F4344" s="242"/>
      <c r="G4344"/>
      <c r="H4344" s="242"/>
      <c r="I4344" s="242"/>
      <c r="J4344" s="242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</row>
    <row r="4345" spans="1:26" hidden="1">
      <c r="A4345"/>
      <c r="B4345" s="249"/>
      <c r="C4345"/>
      <c r="D4345"/>
      <c r="E4345"/>
      <c r="F4345" s="242"/>
      <c r="G4345"/>
      <c r="H4345" s="242"/>
      <c r="I4345" s="242"/>
      <c r="J4345" s="242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</row>
    <row r="4346" spans="1:26" hidden="1">
      <c r="A4346"/>
      <c r="B4346" s="249"/>
      <c r="C4346"/>
      <c r="D4346"/>
      <c r="E4346"/>
      <c r="F4346" s="242"/>
      <c r="G4346"/>
      <c r="H4346" s="242"/>
      <c r="I4346" s="242"/>
      <c r="J4346" s="242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</row>
    <row r="4347" spans="1:26" hidden="1">
      <c r="A4347"/>
      <c r="B4347" s="249"/>
      <c r="C4347"/>
      <c r="D4347"/>
      <c r="E4347"/>
      <c r="F4347" s="242"/>
      <c r="G4347"/>
      <c r="H4347" s="242"/>
      <c r="I4347" s="242"/>
      <c r="J4347" s="242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</row>
    <row r="4348" spans="1:26" hidden="1">
      <c r="A4348"/>
      <c r="B4348" s="249"/>
      <c r="C4348"/>
      <c r="D4348"/>
      <c r="E4348"/>
      <c r="F4348" s="242"/>
      <c r="G4348"/>
      <c r="H4348" s="242"/>
      <c r="I4348" s="242"/>
      <c r="J4348" s="242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</row>
    <row r="4349" spans="1:26" hidden="1">
      <c r="A4349"/>
      <c r="B4349" s="249"/>
      <c r="C4349"/>
      <c r="D4349"/>
      <c r="E4349"/>
      <c r="F4349" s="242"/>
      <c r="G4349"/>
      <c r="H4349" s="242"/>
      <c r="I4349" s="242"/>
      <c r="J4349" s="242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</row>
    <row r="4350" spans="1:26" hidden="1">
      <c r="A4350"/>
      <c r="B4350" s="249"/>
      <c r="C4350"/>
      <c r="D4350"/>
      <c r="E4350"/>
      <c r="F4350" s="242"/>
      <c r="G4350"/>
      <c r="H4350" s="242"/>
      <c r="I4350" s="242"/>
      <c r="J4350" s="242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</row>
    <row r="4351" spans="1:26" hidden="1">
      <c r="A4351"/>
      <c r="B4351" s="249"/>
      <c r="C4351"/>
      <c r="D4351"/>
      <c r="E4351"/>
      <c r="F4351" s="242"/>
      <c r="G4351"/>
      <c r="H4351" s="242"/>
      <c r="I4351" s="242"/>
      <c r="J4351" s="242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</row>
    <row r="4352" spans="1:26" hidden="1">
      <c r="A4352"/>
      <c r="B4352" s="249"/>
      <c r="C4352"/>
      <c r="D4352"/>
      <c r="E4352"/>
      <c r="F4352" s="242"/>
      <c r="G4352"/>
      <c r="H4352" s="242"/>
      <c r="I4352" s="242"/>
      <c r="J4352" s="242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</row>
    <row r="4353" spans="1:26" hidden="1">
      <c r="A4353"/>
      <c r="B4353" s="249"/>
      <c r="C4353"/>
      <c r="D4353"/>
      <c r="E4353"/>
      <c r="F4353" s="242"/>
      <c r="G4353"/>
      <c r="H4353" s="242"/>
      <c r="I4353" s="242"/>
      <c r="J4353" s="242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</row>
    <row r="4354" spans="1:26" hidden="1">
      <c r="A4354"/>
      <c r="B4354" s="249"/>
      <c r="C4354"/>
      <c r="D4354"/>
      <c r="E4354"/>
      <c r="F4354" s="242"/>
      <c r="G4354"/>
      <c r="H4354" s="242"/>
      <c r="I4354" s="242"/>
      <c r="J4354" s="242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</row>
    <row r="4355" spans="1:26" hidden="1">
      <c r="A4355"/>
      <c r="B4355" s="249"/>
      <c r="C4355"/>
      <c r="D4355"/>
      <c r="E4355"/>
      <c r="F4355" s="242"/>
      <c r="G4355"/>
      <c r="H4355" s="242"/>
      <c r="I4355" s="242"/>
      <c r="J4355" s="242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</row>
    <row r="4356" spans="1:26" hidden="1">
      <c r="A4356"/>
      <c r="B4356" s="249"/>
      <c r="C4356"/>
      <c r="D4356"/>
      <c r="E4356"/>
      <c r="F4356" s="242"/>
      <c r="G4356"/>
      <c r="H4356" s="242"/>
      <c r="I4356" s="242"/>
      <c r="J4356" s="242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</row>
    <row r="4357" spans="1:26" hidden="1">
      <c r="A4357"/>
      <c r="B4357" s="249"/>
      <c r="C4357"/>
      <c r="D4357"/>
      <c r="E4357"/>
      <c r="F4357" s="242"/>
      <c r="G4357"/>
      <c r="H4357" s="242"/>
      <c r="I4357" s="242"/>
      <c r="J4357" s="242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</row>
    <row r="4358" spans="1:26" hidden="1">
      <c r="A4358"/>
      <c r="B4358" s="249"/>
      <c r="C4358"/>
      <c r="D4358"/>
      <c r="E4358"/>
      <c r="F4358" s="242"/>
      <c r="G4358"/>
      <c r="H4358" s="242"/>
      <c r="I4358" s="242"/>
      <c r="J4358" s="242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</row>
    <row r="4359" spans="1:26" hidden="1">
      <c r="A4359"/>
      <c r="B4359" s="249"/>
      <c r="C4359"/>
      <c r="D4359"/>
      <c r="E4359"/>
      <c r="F4359" s="242"/>
      <c r="G4359"/>
      <c r="H4359" s="242"/>
      <c r="I4359" s="242"/>
      <c r="J4359" s="242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</row>
    <row r="4360" spans="1:26" hidden="1">
      <c r="A4360"/>
      <c r="B4360" s="249"/>
      <c r="C4360"/>
      <c r="D4360"/>
      <c r="E4360"/>
      <c r="F4360" s="242"/>
      <c r="G4360"/>
      <c r="H4360" s="242"/>
      <c r="I4360" s="242"/>
      <c r="J4360" s="242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</row>
    <row r="4361" spans="1:26" hidden="1">
      <c r="A4361"/>
      <c r="B4361" s="249"/>
      <c r="C4361"/>
      <c r="D4361"/>
      <c r="E4361"/>
      <c r="F4361" s="242"/>
      <c r="G4361"/>
      <c r="H4361" s="242"/>
      <c r="I4361" s="242"/>
      <c r="J4361" s="242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</row>
    <row r="4362" spans="1:26" hidden="1">
      <c r="A4362"/>
      <c r="B4362" s="249"/>
      <c r="C4362"/>
      <c r="D4362"/>
      <c r="E4362"/>
      <c r="F4362" s="242"/>
      <c r="G4362"/>
      <c r="H4362" s="242"/>
      <c r="I4362" s="242"/>
      <c r="J4362" s="242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</row>
    <row r="4363" spans="1:26" hidden="1">
      <c r="A4363"/>
      <c r="B4363" s="249"/>
      <c r="C4363"/>
      <c r="D4363"/>
      <c r="E4363"/>
      <c r="F4363" s="242"/>
      <c r="G4363"/>
      <c r="H4363" s="242"/>
      <c r="I4363" s="242"/>
      <c r="J4363" s="242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</row>
    <row r="4364" spans="1:26" hidden="1">
      <c r="A4364"/>
      <c r="B4364" s="249"/>
      <c r="C4364"/>
      <c r="D4364"/>
      <c r="E4364"/>
      <c r="F4364" s="242"/>
      <c r="G4364"/>
      <c r="H4364" s="242"/>
      <c r="I4364" s="242"/>
      <c r="J4364" s="242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</row>
    <row r="4365" spans="1:26" hidden="1">
      <c r="A4365"/>
      <c r="B4365" s="249"/>
      <c r="C4365"/>
      <c r="D4365"/>
      <c r="E4365"/>
      <c r="F4365" s="242"/>
      <c r="G4365"/>
      <c r="H4365" s="242"/>
      <c r="I4365" s="242"/>
      <c r="J4365" s="242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</row>
    <row r="4366" spans="1:26" hidden="1">
      <c r="A4366"/>
      <c r="B4366" s="249"/>
      <c r="C4366"/>
      <c r="D4366"/>
      <c r="E4366"/>
      <c r="F4366" s="242"/>
      <c r="G4366"/>
      <c r="H4366" s="242"/>
      <c r="I4366" s="242"/>
      <c r="J4366" s="242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</row>
    <row r="4367" spans="1:26" hidden="1">
      <c r="A4367"/>
      <c r="B4367" s="249"/>
      <c r="C4367"/>
      <c r="D4367"/>
      <c r="E4367"/>
      <c r="F4367" s="242"/>
      <c r="G4367"/>
      <c r="H4367" s="242"/>
      <c r="I4367" s="242"/>
      <c r="J4367" s="242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</row>
    <row r="4368" spans="1:26" hidden="1">
      <c r="A4368"/>
      <c r="B4368" s="249"/>
      <c r="C4368"/>
      <c r="D4368"/>
      <c r="E4368"/>
      <c r="F4368" s="242"/>
      <c r="G4368"/>
      <c r="H4368" s="242"/>
      <c r="I4368" s="242"/>
      <c r="J4368" s="242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</row>
    <row r="4369" spans="1:26" hidden="1">
      <c r="A4369"/>
      <c r="B4369" s="249"/>
      <c r="C4369"/>
      <c r="D4369"/>
      <c r="E4369"/>
      <c r="F4369" s="242"/>
      <c r="G4369"/>
      <c r="H4369" s="242"/>
      <c r="I4369" s="242"/>
      <c r="J4369" s="242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</row>
    <row r="4370" spans="1:26" hidden="1">
      <c r="A4370"/>
      <c r="B4370" s="249"/>
      <c r="C4370"/>
      <c r="D4370"/>
      <c r="E4370"/>
      <c r="F4370" s="242"/>
      <c r="G4370"/>
      <c r="H4370" s="242"/>
      <c r="I4370" s="242"/>
      <c r="J4370" s="242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</row>
    <row r="4371" spans="1:26" hidden="1">
      <c r="A4371"/>
      <c r="B4371" s="249"/>
      <c r="C4371"/>
      <c r="D4371"/>
      <c r="E4371"/>
      <c r="F4371" s="242"/>
      <c r="G4371"/>
      <c r="H4371" s="242"/>
      <c r="I4371" s="242"/>
      <c r="J4371" s="242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</row>
    <row r="4372" spans="1:26" hidden="1">
      <c r="A4372"/>
      <c r="B4372" s="249"/>
      <c r="C4372"/>
      <c r="D4372"/>
      <c r="E4372"/>
      <c r="F4372" s="242"/>
      <c r="G4372"/>
      <c r="H4372" s="242"/>
      <c r="I4372" s="242"/>
      <c r="J4372" s="242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</row>
    <row r="4373" spans="1:26" hidden="1">
      <c r="A4373"/>
      <c r="B4373" s="249"/>
      <c r="C4373"/>
      <c r="D4373"/>
      <c r="E4373"/>
      <c r="F4373" s="242"/>
      <c r="G4373"/>
      <c r="H4373" s="242"/>
      <c r="I4373" s="242"/>
      <c r="J4373" s="242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</row>
    <row r="4374" spans="1:26" hidden="1">
      <c r="A4374"/>
      <c r="B4374" s="249"/>
      <c r="C4374"/>
      <c r="D4374"/>
      <c r="E4374"/>
      <c r="F4374" s="242"/>
      <c r="G4374"/>
      <c r="H4374" s="242"/>
      <c r="I4374" s="242"/>
      <c r="J4374" s="242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</row>
    <row r="4375" spans="1:26" hidden="1">
      <c r="A4375"/>
      <c r="B4375" s="249"/>
      <c r="C4375"/>
      <c r="D4375"/>
      <c r="E4375"/>
      <c r="F4375" s="242"/>
      <c r="G4375"/>
      <c r="H4375" s="242"/>
      <c r="I4375" s="242"/>
      <c r="J4375" s="242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</row>
    <row r="4376" spans="1:26" hidden="1">
      <c r="A4376"/>
      <c r="B4376" s="249"/>
      <c r="C4376"/>
      <c r="D4376"/>
      <c r="E4376"/>
      <c r="F4376" s="242"/>
      <c r="G4376"/>
      <c r="H4376" s="242"/>
      <c r="I4376" s="242"/>
      <c r="J4376" s="242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</row>
    <row r="4377" spans="1:26" hidden="1">
      <c r="A4377"/>
      <c r="B4377" s="249"/>
      <c r="C4377"/>
      <c r="D4377"/>
      <c r="E4377"/>
      <c r="F4377" s="242"/>
      <c r="G4377"/>
      <c r="H4377" s="242"/>
      <c r="I4377" s="242"/>
      <c r="J4377" s="242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</row>
    <row r="4378" spans="1:26" hidden="1">
      <c r="A4378"/>
      <c r="B4378" s="249"/>
      <c r="C4378"/>
      <c r="D4378"/>
      <c r="E4378"/>
      <c r="F4378" s="242"/>
      <c r="G4378"/>
      <c r="H4378" s="242"/>
      <c r="I4378" s="242"/>
      <c r="J4378" s="242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</row>
    <row r="4379" spans="1:26" hidden="1">
      <c r="A4379"/>
      <c r="B4379" s="249"/>
      <c r="C4379"/>
      <c r="D4379"/>
      <c r="E4379"/>
      <c r="F4379" s="242"/>
      <c r="G4379"/>
      <c r="H4379" s="242"/>
      <c r="I4379" s="242"/>
      <c r="J4379" s="242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</row>
    <row r="4380" spans="1:26" hidden="1">
      <c r="A4380"/>
      <c r="B4380" s="249"/>
      <c r="C4380"/>
      <c r="D4380"/>
      <c r="E4380"/>
      <c r="F4380" s="242"/>
      <c r="G4380"/>
      <c r="H4380" s="242"/>
      <c r="I4380" s="242"/>
      <c r="J4380" s="242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</row>
    <row r="4381" spans="1:26" hidden="1">
      <c r="A4381"/>
      <c r="B4381" s="249"/>
      <c r="C4381"/>
      <c r="D4381"/>
      <c r="E4381"/>
      <c r="F4381" s="242"/>
      <c r="G4381"/>
      <c r="H4381" s="242"/>
      <c r="I4381" s="242"/>
      <c r="J4381" s="242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</row>
    <row r="4382" spans="1:26" hidden="1">
      <c r="A4382"/>
      <c r="B4382" s="249"/>
      <c r="C4382"/>
      <c r="D4382"/>
      <c r="E4382"/>
      <c r="F4382" s="242"/>
      <c r="G4382"/>
      <c r="H4382" s="242"/>
      <c r="I4382" s="242"/>
      <c r="J4382" s="242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</row>
    <row r="4383" spans="1:26" hidden="1">
      <c r="A4383"/>
      <c r="B4383" s="249"/>
      <c r="C4383"/>
      <c r="D4383"/>
      <c r="E4383"/>
      <c r="F4383" s="242"/>
      <c r="G4383"/>
      <c r="H4383" s="242"/>
      <c r="I4383" s="242"/>
      <c r="J4383" s="242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</row>
    <row r="4384" spans="1:26" hidden="1">
      <c r="A4384"/>
      <c r="B4384" s="249"/>
      <c r="C4384"/>
      <c r="D4384"/>
      <c r="E4384"/>
      <c r="F4384" s="242"/>
      <c r="G4384"/>
      <c r="H4384" s="242"/>
      <c r="I4384" s="242"/>
      <c r="J4384" s="242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</row>
    <row r="4385" spans="1:26" hidden="1">
      <c r="A4385"/>
      <c r="B4385" s="249"/>
      <c r="C4385"/>
      <c r="D4385"/>
      <c r="E4385"/>
      <c r="F4385" s="242"/>
      <c r="G4385"/>
      <c r="H4385" s="242"/>
      <c r="I4385" s="242"/>
      <c r="J4385" s="242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</row>
    <row r="4386" spans="1:26" hidden="1">
      <c r="A4386"/>
      <c r="B4386" s="249"/>
      <c r="C4386"/>
      <c r="D4386"/>
      <c r="E4386"/>
      <c r="F4386" s="242"/>
      <c r="G4386"/>
      <c r="H4386" s="242"/>
      <c r="I4386" s="242"/>
      <c r="J4386" s="242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</row>
    <row r="4387" spans="1:26" hidden="1">
      <c r="A4387"/>
      <c r="B4387" s="249"/>
      <c r="C4387"/>
      <c r="D4387"/>
      <c r="E4387"/>
      <c r="F4387" s="242"/>
      <c r="G4387"/>
      <c r="H4387" s="242"/>
      <c r="I4387" s="242"/>
      <c r="J4387" s="242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</row>
    <row r="4388" spans="1:26" hidden="1">
      <c r="A4388"/>
      <c r="B4388" s="249"/>
      <c r="C4388"/>
      <c r="D4388"/>
      <c r="E4388"/>
      <c r="F4388" s="242"/>
      <c r="G4388"/>
      <c r="H4388" s="242"/>
      <c r="I4388" s="242"/>
      <c r="J4388" s="242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</row>
    <row r="4389" spans="1:26" hidden="1">
      <c r="A4389"/>
      <c r="B4389" s="249"/>
      <c r="C4389"/>
      <c r="D4389"/>
      <c r="E4389"/>
      <c r="F4389" s="242"/>
      <c r="G4389"/>
      <c r="H4389" s="242"/>
      <c r="I4389" s="242"/>
      <c r="J4389" s="242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</row>
    <row r="4390" spans="1:26" hidden="1">
      <c r="A4390"/>
      <c r="B4390" s="249"/>
      <c r="C4390"/>
      <c r="D4390"/>
      <c r="E4390"/>
      <c r="F4390" s="242"/>
      <c r="G4390"/>
      <c r="H4390" s="242"/>
      <c r="I4390" s="242"/>
      <c r="J4390" s="242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</row>
    <row r="4391" spans="1:26" hidden="1">
      <c r="A4391"/>
      <c r="B4391" s="249"/>
      <c r="C4391"/>
      <c r="D4391"/>
      <c r="E4391"/>
      <c r="F4391" s="242"/>
      <c r="G4391"/>
      <c r="H4391" s="242"/>
      <c r="I4391" s="242"/>
      <c r="J4391" s="242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</row>
    <row r="4392" spans="1:26" hidden="1">
      <c r="A4392"/>
      <c r="B4392" s="249"/>
      <c r="C4392"/>
      <c r="D4392"/>
      <c r="E4392"/>
      <c r="F4392" s="242"/>
      <c r="G4392"/>
      <c r="H4392" s="242"/>
      <c r="I4392" s="242"/>
      <c r="J4392" s="242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</row>
    <row r="4393" spans="1:26" hidden="1">
      <c r="A4393"/>
      <c r="B4393" s="249"/>
      <c r="C4393"/>
      <c r="D4393"/>
      <c r="E4393"/>
      <c r="F4393" s="242"/>
      <c r="G4393"/>
      <c r="H4393" s="242"/>
      <c r="I4393" s="242"/>
      <c r="J4393" s="242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</row>
    <row r="4394" spans="1:26" hidden="1">
      <c r="A4394"/>
      <c r="B4394" s="249"/>
      <c r="C4394"/>
      <c r="D4394"/>
      <c r="E4394"/>
      <c r="F4394" s="242"/>
      <c r="G4394"/>
      <c r="H4394" s="242"/>
      <c r="I4394" s="242"/>
      <c r="J4394" s="242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</row>
    <row r="4395" spans="1:26" hidden="1">
      <c r="A4395"/>
      <c r="B4395" s="249"/>
      <c r="C4395"/>
      <c r="D4395"/>
      <c r="E4395"/>
      <c r="F4395" s="242"/>
      <c r="G4395"/>
      <c r="H4395" s="242"/>
      <c r="I4395" s="242"/>
      <c r="J4395" s="242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</row>
    <row r="4396" spans="1:26" hidden="1">
      <c r="A4396"/>
      <c r="B4396" s="249"/>
      <c r="C4396"/>
      <c r="D4396"/>
      <c r="E4396"/>
      <c r="F4396" s="242"/>
      <c r="G4396"/>
      <c r="H4396" s="242"/>
      <c r="I4396" s="242"/>
      <c r="J4396" s="242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</row>
    <row r="4397" spans="1:26" hidden="1">
      <c r="A4397"/>
      <c r="B4397" s="249"/>
      <c r="C4397"/>
      <c r="D4397"/>
      <c r="E4397"/>
      <c r="F4397" s="242"/>
      <c r="G4397"/>
      <c r="H4397" s="242"/>
      <c r="I4397" s="242"/>
      <c r="J4397" s="242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</row>
    <row r="4398" spans="1:26" hidden="1">
      <c r="A4398"/>
      <c r="B4398" s="249"/>
      <c r="C4398"/>
      <c r="D4398"/>
      <c r="E4398"/>
      <c r="F4398" s="242"/>
      <c r="G4398"/>
      <c r="H4398" s="242"/>
      <c r="I4398" s="242"/>
      <c r="J4398" s="242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</row>
    <row r="4399" spans="1:26" hidden="1">
      <c r="A4399"/>
      <c r="B4399" s="249"/>
      <c r="C4399"/>
      <c r="D4399"/>
      <c r="E4399"/>
      <c r="F4399" s="242"/>
      <c r="G4399"/>
      <c r="H4399" s="242"/>
      <c r="I4399" s="242"/>
      <c r="J4399" s="242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</row>
    <row r="4400" spans="1:26" hidden="1">
      <c r="A4400"/>
      <c r="B4400" s="249"/>
      <c r="C4400"/>
      <c r="D4400"/>
      <c r="E4400"/>
      <c r="F4400" s="242"/>
      <c r="G4400"/>
      <c r="H4400" s="242"/>
      <c r="I4400" s="242"/>
      <c r="J4400" s="242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</row>
    <row r="4401" spans="1:26" hidden="1">
      <c r="A4401"/>
      <c r="B4401" s="249"/>
      <c r="C4401"/>
      <c r="D4401"/>
      <c r="E4401"/>
      <c r="F4401" s="242"/>
      <c r="G4401"/>
      <c r="H4401" s="242"/>
      <c r="I4401" s="242"/>
      <c r="J4401" s="242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</row>
    <row r="4402" spans="1:26" hidden="1">
      <c r="A4402"/>
      <c r="B4402" s="249"/>
      <c r="C4402"/>
      <c r="D4402"/>
      <c r="E4402"/>
      <c r="F4402" s="242"/>
      <c r="G4402"/>
      <c r="H4402" s="242"/>
      <c r="I4402" s="242"/>
      <c r="J4402" s="242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</row>
    <row r="4403" spans="1:26" hidden="1">
      <c r="A4403"/>
      <c r="B4403" s="249"/>
      <c r="C4403"/>
      <c r="D4403"/>
      <c r="E4403"/>
      <c r="F4403" s="242"/>
      <c r="G4403"/>
      <c r="H4403" s="242"/>
      <c r="I4403" s="242"/>
      <c r="J4403" s="242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</row>
    <row r="4404" spans="1:26" hidden="1">
      <c r="A4404"/>
      <c r="B4404" s="249"/>
      <c r="C4404"/>
      <c r="D4404"/>
      <c r="E4404"/>
      <c r="F4404" s="242"/>
      <c r="G4404"/>
      <c r="H4404" s="242"/>
      <c r="I4404" s="242"/>
      <c r="J4404" s="242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</row>
    <row r="4405" spans="1:26" hidden="1">
      <c r="A4405"/>
      <c r="B4405" s="249"/>
      <c r="C4405"/>
      <c r="D4405"/>
      <c r="E4405"/>
      <c r="F4405" s="242"/>
      <c r="G4405"/>
      <c r="H4405" s="242"/>
      <c r="I4405" s="242"/>
      <c r="J4405" s="242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</row>
    <row r="4406" spans="1:26" hidden="1">
      <c r="A4406"/>
      <c r="B4406" s="249"/>
      <c r="C4406"/>
      <c r="D4406"/>
      <c r="E4406"/>
      <c r="F4406" s="242"/>
      <c r="G4406"/>
      <c r="H4406" s="242"/>
      <c r="I4406" s="242"/>
      <c r="J4406" s="242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</row>
    <row r="4407" spans="1:26" hidden="1">
      <c r="A4407"/>
      <c r="B4407" s="249"/>
      <c r="C4407"/>
      <c r="D4407"/>
      <c r="E4407"/>
      <c r="F4407" s="242"/>
      <c r="G4407"/>
      <c r="H4407" s="242"/>
      <c r="I4407" s="242"/>
      <c r="J4407" s="242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</row>
    <row r="4408" spans="1:26" hidden="1">
      <c r="A4408"/>
      <c r="B4408" s="249"/>
      <c r="C4408"/>
      <c r="D4408"/>
      <c r="E4408"/>
      <c r="F4408" s="242"/>
      <c r="G4408"/>
      <c r="H4408" s="242"/>
      <c r="I4408" s="242"/>
      <c r="J4408" s="242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</row>
    <row r="4409" spans="1:26" hidden="1">
      <c r="A4409"/>
      <c r="B4409" s="249"/>
      <c r="C4409"/>
      <c r="D4409"/>
      <c r="E4409"/>
      <c r="F4409" s="242"/>
      <c r="G4409"/>
      <c r="H4409" s="242"/>
      <c r="I4409" s="242"/>
      <c r="J4409" s="242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</row>
    <row r="4410" spans="1:26" hidden="1">
      <c r="A4410"/>
      <c r="B4410" s="249"/>
      <c r="C4410"/>
      <c r="D4410"/>
      <c r="E4410"/>
      <c r="F4410" s="242"/>
      <c r="G4410"/>
      <c r="H4410" s="242"/>
      <c r="I4410" s="242"/>
      <c r="J4410" s="242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</row>
    <row r="4411" spans="1:26" hidden="1">
      <c r="A4411"/>
      <c r="B4411" s="249"/>
      <c r="C4411"/>
      <c r="D4411"/>
      <c r="E4411"/>
      <c r="F4411" s="242"/>
      <c r="G4411"/>
      <c r="H4411" s="242"/>
      <c r="I4411" s="242"/>
      <c r="J4411" s="242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</row>
    <row r="4412" spans="1:26" hidden="1">
      <c r="A4412"/>
      <c r="B4412" s="249"/>
      <c r="C4412"/>
      <c r="D4412"/>
      <c r="E4412"/>
      <c r="F4412" s="242"/>
      <c r="G4412"/>
      <c r="H4412" s="242"/>
      <c r="I4412" s="242"/>
      <c r="J4412" s="242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</row>
    <row r="4413" spans="1:26" hidden="1">
      <c r="A4413"/>
      <c r="B4413" s="249"/>
      <c r="C4413"/>
      <c r="D4413"/>
      <c r="E4413"/>
      <c r="F4413" s="242"/>
      <c r="G4413"/>
      <c r="H4413" s="242"/>
      <c r="I4413" s="242"/>
      <c r="J4413" s="242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</row>
    <row r="4414" spans="1:26" hidden="1">
      <c r="A4414"/>
      <c r="B4414" s="249"/>
      <c r="C4414"/>
      <c r="D4414"/>
      <c r="E4414"/>
      <c r="F4414" s="242"/>
      <c r="G4414"/>
      <c r="H4414" s="242"/>
      <c r="I4414" s="242"/>
      <c r="J4414" s="242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</row>
    <row r="4415" spans="1:26" hidden="1">
      <c r="A4415"/>
      <c r="B4415" s="249"/>
      <c r="C4415"/>
      <c r="D4415"/>
      <c r="E4415"/>
      <c r="F4415" s="242"/>
      <c r="G4415"/>
      <c r="H4415" s="242"/>
      <c r="I4415" s="242"/>
      <c r="J4415" s="242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</row>
    <row r="4416" spans="1:26" hidden="1">
      <c r="A4416"/>
      <c r="B4416" s="249"/>
      <c r="C4416"/>
      <c r="D4416"/>
      <c r="E4416"/>
      <c r="F4416" s="242"/>
      <c r="G4416"/>
      <c r="H4416" s="242"/>
      <c r="I4416" s="242"/>
      <c r="J4416" s="242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</row>
    <row r="4417" spans="1:26" hidden="1">
      <c r="A4417"/>
      <c r="B4417" s="249"/>
      <c r="C4417"/>
      <c r="D4417"/>
      <c r="E4417"/>
      <c r="F4417" s="242"/>
      <c r="G4417"/>
      <c r="H4417" s="242"/>
      <c r="I4417" s="242"/>
      <c r="J4417" s="242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</row>
    <row r="4418" spans="1:26" hidden="1">
      <c r="A4418"/>
      <c r="B4418" s="249"/>
      <c r="C4418"/>
      <c r="D4418"/>
      <c r="E4418"/>
      <c r="F4418" s="242"/>
      <c r="G4418"/>
      <c r="H4418" s="242"/>
      <c r="I4418" s="242"/>
      <c r="J4418" s="242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</row>
    <row r="4419" spans="1:26" hidden="1">
      <c r="A4419"/>
      <c r="B4419" s="249"/>
      <c r="C4419"/>
      <c r="D4419"/>
      <c r="E4419"/>
      <c r="F4419" s="242"/>
      <c r="G4419"/>
      <c r="H4419" s="242"/>
      <c r="I4419" s="242"/>
      <c r="J4419" s="242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</row>
    <row r="4420" spans="1:26" hidden="1">
      <c r="A4420"/>
      <c r="B4420" s="249"/>
      <c r="C4420"/>
      <c r="D4420"/>
      <c r="E4420"/>
      <c r="F4420" s="242"/>
      <c r="G4420"/>
      <c r="H4420" s="242"/>
      <c r="I4420" s="242"/>
      <c r="J4420" s="242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</row>
    <row r="4421" spans="1:26" hidden="1">
      <c r="A4421"/>
      <c r="B4421" s="249"/>
      <c r="C4421"/>
      <c r="D4421"/>
      <c r="E4421"/>
      <c r="F4421" s="242"/>
      <c r="G4421"/>
      <c r="H4421" s="242"/>
      <c r="I4421" s="242"/>
      <c r="J4421" s="242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</row>
    <row r="4422" spans="1:26" hidden="1">
      <c r="A4422"/>
      <c r="B4422" s="249"/>
      <c r="C4422"/>
      <c r="D4422"/>
      <c r="E4422"/>
      <c r="F4422" s="242"/>
      <c r="G4422"/>
      <c r="H4422" s="242"/>
      <c r="I4422" s="242"/>
      <c r="J4422" s="242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</row>
    <row r="4423" spans="1:26" hidden="1">
      <c r="A4423"/>
      <c r="B4423" s="249"/>
      <c r="C4423"/>
      <c r="D4423"/>
      <c r="E4423"/>
      <c r="F4423" s="242"/>
      <c r="G4423"/>
      <c r="H4423" s="242"/>
      <c r="I4423" s="242"/>
      <c r="J4423" s="242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</row>
    <row r="4424" spans="1:26" hidden="1">
      <c r="A4424"/>
      <c r="B4424" s="249"/>
      <c r="C4424"/>
      <c r="D4424"/>
      <c r="E4424"/>
      <c r="F4424" s="242"/>
      <c r="G4424"/>
      <c r="H4424" s="242"/>
      <c r="I4424" s="242"/>
      <c r="J4424" s="242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</row>
    <row r="4425" spans="1:26" hidden="1">
      <c r="A4425"/>
      <c r="B4425" s="249"/>
      <c r="C4425"/>
      <c r="D4425"/>
      <c r="E4425"/>
      <c r="F4425" s="242"/>
      <c r="G4425"/>
      <c r="H4425" s="242"/>
      <c r="I4425" s="242"/>
      <c r="J4425" s="242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</row>
    <row r="4426" spans="1:26" hidden="1">
      <c r="A4426"/>
      <c r="B4426" s="249"/>
      <c r="C4426"/>
      <c r="D4426"/>
      <c r="E4426"/>
      <c r="F4426" s="242"/>
      <c r="G4426"/>
      <c r="H4426" s="242"/>
      <c r="I4426" s="242"/>
      <c r="J4426" s="242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</row>
    <row r="4427" spans="1:26" hidden="1">
      <c r="A4427"/>
      <c r="B4427" s="249"/>
      <c r="C4427"/>
      <c r="D4427"/>
      <c r="E4427"/>
      <c r="F4427" s="242"/>
      <c r="G4427"/>
      <c r="H4427" s="242"/>
      <c r="I4427" s="242"/>
      <c r="J4427" s="242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</row>
    <row r="4428" spans="1:26" hidden="1">
      <c r="A4428"/>
      <c r="B4428" s="249"/>
      <c r="C4428"/>
      <c r="D4428"/>
      <c r="E4428"/>
      <c r="F4428" s="242"/>
      <c r="G4428"/>
      <c r="H4428" s="242"/>
      <c r="I4428" s="242"/>
      <c r="J4428" s="242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</row>
    <row r="4429" spans="1:26" hidden="1">
      <c r="A4429"/>
      <c r="B4429" s="249"/>
      <c r="C4429"/>
      <c r="D4429"/>
      <c r="E4429"/>
      <c r="F4429" s="242"/>
      <c r="G4429"/>
      <c r="H4429" s="242"/>
      <c r="I4429" s="242"/>
      <c r="J4429" s="242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</row>
    <row r="4430" spans="1:26" hidden="1">
      <c r="A4430"/>
      <c r="B4430" s="249"/>
      <c r="C4430"/>
      <c r="D4430"/>
      <c r="E4430"/>
      <c r="F4430" s="242"/>
      <c r="G4430"/>
      <c r="H4430" s="242"/>
      <c r="I4430" s="242"/>
      <c r="J4430" s="242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</row>
    <row r="4431" spans="1:26" hidden="1">
      <c r="A4431"/>
      <c r="B4431" s="249"/>
      <c r="C4431"/>
      <c r="D4431"/>
      <c r="E4431"/>
      <c r="F4431" s="242"/>
      <c r="G4431"/>
      <c r="H4431" s="242"/>
      <c r="I4431" s="242"/>
      <c r="J4431" s="242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</row>
    <row r="4432" spans="1:26" hidden="1">
      <c r="A4432"/>
      <c r="B4432" s="249"/>
      <c r="C4432"/>
      <c r="D4432"/>
      <c r="E4432"/>
      <c r="F4432" s="242"/>
      <c r="G4432"/>
      <c r="H4432" s="242"/>
      <c r="I4432" s="242"/>
      <c r="J4432" s="242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</row>
    <row r="4433" spans="1:26" hidden="1">
      <c r="A4433"/>
      <c r="B4433" s="249"/>
      <c r="C4433"/>
      <c r="D4433"/>
      <c r="E4433"/>
      <c r="F4433" s="242"/>
      <c r="G4433"/>
      <c r="H4433" s="242"/>
      <c r="I4433" s="242"/>
      <c r="J4433" s="242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</row>
    <row r="4434" spans="1:26" hidden="1">
      <c r="A4434"/>
      <c r="B4434" s="249"/>
      <c r="C4434"/>
      <c r="D4434"/>
      <c r="E4434"/>
      <c r="F4434" s="242"/>
      <c r="G4434"/>
      <c r="H4434" s="242"/>
      <c r="I4434" s="242"/>
      <c r="J4434" s="242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</row>
    <row r="4435" spans="1:26" hidden="1">
      <c r="A4435"/>
      <c r="B4435" s="249"/>
      <c r="C4435"/>
      <c r="D4435"/>
      <c r="E4435"/>
      <c r="F4435" s="242"/>
      <c r="G4435"/>
      <c r="H4435" s="242"/>
      <c r="I4435" s="242"/>
      <c r="J4435" s="242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</row>
    <row r="4436" spans="1:26" hidden="1">
      <c r="A4436"/>
      <c r="B4436" s="249"/>
      <c r="C4436"/>
      <c r="D4436"/>
      <c r="E4436"/>
      <c r="F4436" s="242"/>
      <c r="G4436"/>
      <c r="H4436" s="242"/>
      <c r="I4436" s="242"/>
      <c r="J4436" s="242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</row>
    <row r="4437" spans="1:26" hidden="1">
      <c r="A4437"/>
      <c r="B4437" s="249"/>
      <c r="C4437"/>
      <c r="D4437"/>
      <c r="E4437"/>
      <c r="F4437" s="242"/>
      <c r="G4437"/>
      <c r="H4437" s="242"/>
      <c r="I4437" s="242"/>
      <c r="J4437" s="242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</row>
    <row r="4438" spans="1:26" hidden="1">
      <c r="A4438"/>
      <c r="B4438" s="249"/>
      <c r="C4438"/>
      <c r="D4438"/>
      <c r="E4438"/>
      <c r="F4438" s="242"/>
      <c r="G4438"/>
      <c r="H4438" s="242"/>
      <c r="I4438" s="242"/>
      <c r="J4438" s="242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</row>
    <row r="4439" spans="1:26" hidden="1">
      <c r="A4439"/>
      <c r="B4439" s="249"/>
      <c r="C4439"/>
      <c r="D4439"/>
      <c r="E4439"/>
      <c r="F4439" s="242"/>
      <c r="G4439"/>
      <c r="H4439" s="242"/>
      <c r="I4439" s="242"/>
      <c r="J4439" s="242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</row>
    <row r="4440" spans="1:26" hidden="1">
      <c r="A4440"/>
      <c r="B4440" s="249"/>
      <c r="C4440"/>
      <c r="D4440"/>
      <c r="E4440"/>
      <c r="F4440" s="242"/>
      <c r="G4440"/>
      <c r="H4440" s="242"/>
      <c r="I4440" s="242"/>
      <c r="J4440" s="242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</row>
    <row r="4441" spans="1:26" hidden="1">
      <c r="A4441"/>
      <c r="B4441" s="249"/>
      <c r="C4441"/>
      <c r="D4441"/>
      <c r="E4441"/>
      <c r="F4441" s="242"/>
      <c r="G4441"/>
      <c r="H4441" s="242"/>
      <c r="I4441" s="242"/>
      <c r="J4441" s="242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</row>
    <row r="4442" spans="1:26" hidden="1">
      <c r="A4442"/>
      <c r="B4442" s="249"/>
      <c r="C4442"/>
      <c r="D4442"/>
      <c r="E4442"/>
      <c r="F4442" s="242"/>
      <c r="G4442"/>
      <c r="H4442" s="242"/>
      <c r="I4442" s="242"/>
      <c r="J4442" s="242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</row>
    <row r="4443" spans="1:26" hidden="1">
      <c r="A4443"/>
      <c r="B4443" s="249"/>
      <c r="C4443"/>
      <c r="D4443"/>
      <c r="E4443"/>
      <c r="F4443" s="242"/>
      <c r="G4443"/>
      <c r="H4443" s="242"/>
      <c r="I4443" s="242"/>
      <c r="J4443" s="242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</row>
    <row r="4444" spans="1:26" hidden="1">
      <c r="A4444"/>
      <c r="B4444" s="249"/>
      <c r="C4444"/>
      <c r="D4444"/>
      <c r="E4444"/>
      <c r="F4444" s="242"/>
      <c r="G4444"/>
      <c r="H4444" s="242"/>
      <c r="I4444" s="242"/>
      <c r="J4444" s="242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</row>
    <row r="4445" spans="1:26" hidden="1">
      <c r="A4445"/>
      <c r="B4445" s="249"/>
      <c r="C4445"/>
      <c r="D4445"/>
      <c r="E4445"/>
      <c r="F4445" s="242"/>
      <c r="G4445"/>
      <c r="H4445" s="242"/>
      <c r="I4445" s="242"/>
      <c r="J4445" s="242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</row>
    <row r="4446" spans="1:26" hidden="1">
      <c r="A4446"/>
      <c r="B4446" s="249"/>
      <c r="C4446"/>
      <c r="D4446"/>
      <c r="E4446"/>
      <c r="F4446" s="242"/>
      <c r="G4446"/>
      <c r="H4446" s="242"/>
      <c r="I4446" s="242"/>
      <c r="J4446" s="242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</row>
    <row r="4447" spans="1:26" hidden="1">
      <c r="A4447"/>
      <c r="B4447" s="249"/>
      <c r="C4447"/>
      <c r="D4447"/>
      <c r="E4447"/>
      <c r="F4447" s="242"/>
      <c r="G4447"/>
      <c r="H4447" s="242"/>
      <c r="I4447" s="242"/>
      <c r="J4447" s="242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</row>
    <row r="4448" spans="1:26" hidden="1">
      <c r="A4448"/>
      <c r="B4448" s="249"/>
      <c r="C4448"/>
      <c r="D4448"/>
      <c r="E4448"/>
      <c r="F4448" s="242"/>
      <c r="G4448"/>
      <c r="H4448" s="242"/>
      <c r="I4448" s="242"/>
      <c r="J4448" s="242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</row>
    <row r="4449" spans="1:26" hidden="1">
      <c r="A4449"/>
      <c r="B4449" s="249"/>
      <c r="C4449"/>
      <c r="D4449"/>
      <c r="E4449"/>
      <c r="F4449" s="242"/>
      <c r="G4449"/>
      <c r="H4449" s="242"/>
      <c r="I4449" s="242"/>
      <c r="J4449" s="242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</row>
    <row r="4450" spans="1:26" hidden="1">
      <c r="A4450"/>
      <c r="B4450" s="249"/>
      <c r="C4450"/>
      <c r="D4450"/>
      <c r="E4450"/>
      <c r="F4450" s="242"/>
      <c r="G4450"/>
      <c r="H4450" s="242"/>
      <c r="I4450" s="242"/>
      <c r="J4450" s="242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</row>
    <row r="4451" spans="1:26" hidden="1">
      <c r="A4451"/>
      <c r="B4451" s="249"/>
      <c r="C4451"/>
      <c r="D4451"/>
      <c r="E4451"/>
      <c r="F4451" s="242"/>
      <c r="G4451"/>
      <c r="H4451" s="242"/>
      <c r="I4451" s="242"/>
      <c r="J4451" s="242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</row>
    <row r="4452" spans="1:26" hidden="1">
      <c r="A4452"/>
      <c r="B4452" s="249"/>
      <c r="C4452"/>
      <c r="D4452"/>
      <c r="E4452"/>
      <c r="F4452" s="242"/>
      <c r="G4452"/>
      <c r="H4452" s="242"/>
      <c r="I4452" s="242"/>
      <c r="J4452" s="242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</row>
    <row r="4453" spans="1:26" hidden="1">
      <c r="A4453"/>
      <c r="B4453" s="249"/>
      <c r="C4453"/>
      <c r="D4453"/>
      <c r="E4453"/>
      <c r="F4453" s="242"/>
      <c r="G4453"/>
      <c r="H4453" s="242"/>
      <c r="I4453" s="242"/>
      <c r="J4453" s="242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</row>
    <row r="4454" spans="1:26" hidden="1">
      <c r="A4454"/>
      <c r="B4454" s="249"/>
      <c r="C4454"/>
      <c r="D4454"/>
      <c r="E4454"/>
      <c r="F4454" s="242"/>
      <c r="G4454"/>
      <c r="H4454" s="242"/>
      <c r="I4454" s="242"/>
      <c r="J4454" s="242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</row>
    <row r="4455" spans="1:26" hidden="1">
      <c r="A4455"/>
      <c r="B4455" s="249"/>
      <c r="C4455"/>
      <c r="D4455"/>
      <c r="E4455"/>
      <c r="F4455" s="242"/>
      <c r="G4455"/>
      <c r="H4455" s="242"/>
      <c r="I4455" s="242"/>
      <c r="J4455" s="242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</row>
    <row r="4456" spans="1:26" hidden="1">
      <c r="A4456"/>
      <c r="B4456" s="249"/>
      <c r="C4456"/>
      <c r="D4456"/>
      <c r="E4456"/>
      <c r="F4456" s="242"/>
      <c r="G4456"/>
      <c r="H4456" s="242"/>
      <c r="I4456" s="242"/>
      <c r="J4456" s="242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</row>
    <row r="4457" spans="1:26" hidden="1">
      <c r="A4457"/>
      <c r="B4457" s="249"/>
      <c r="C4457"/>
      <c r="D4457"/>
      <c r="E4457"/>
      <c r="F4457" s="242"/>
      <c r="G4457"/>
      <c r="H4457" s="242"/>
      <c r="I4457" s="242"/>
      <c r="J4457" s="242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</row>
    <row r="4458" spans="1:26" hidden="1">
      <c r="A4458"/>
      <c r="B4458" s="249"/>
      <c r="C4458"/>
      <c r="D4458"/>
      <c r="E4458"/>
      <c r="F4458" s="242"/>
      <c r="G4458"/>
      <c r="H4458" s="242"/>
      <c r="I4458" s="242"/>
      <c r="J4458" s="242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</row>
    <row r="4459" spans="1:26" hidden="1">
      <c r="A4459"/>
      <c r="B4459" s="249"/>
      <c r="C4459"/>
      <c r="D4459"/>
      <c r="E4459"/>
      <c r="F4459" s="242"/>
      <c r="G4459"/>
      <c r="H4459" s="242"/>
      <c r="I4459" s="242"/>
      <c r="J4459" s="242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</row>
    <row r="4460" spans="1:26" hidden="1">
      <c r="A4460"/>
      <c r="B4460" s="249"/>
      <c r="C4460"/>
      <c r="D4460"/>
      <c r="E4460"/>
      <c r="F4460" s="242"/>
      <c r="G4460"/>
      <c r="H4460" s="242"/>
      <c r="I4460" s="242"/>
      <c r="J4460" s="242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</row>
    <row r="4461" spans="1:26" hidden="1">
      <c r="A4461"/>
      <c r="B4461" s="249"/>
      <c r="C4461"/>
      <c r="D4461"/>
      <c r="E4461"/>
      <c r="F4461" s="242"/>
      <c r="G4461"/>
      <c r="H4461" s="242"/>
      <c r="I4461" s="242"/>
      <c r="J4461" s="242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</row>
    <row r="4462" spans="1:26" hidden="1">
      <c r="A4462"/>
      <c r="B4462" s="249"/>
      <c r="C4462"/>
      <c r="D4462"/>
      <c r="E4462"/>
      <c r="F4462" s="242"/>
      <c r="G4462"/>
      <c r="H4462" s="242"/>
      <c r="I4462" s="242"/>
      <c r="J4462" s="242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</row>
    <row r="4463" spans="1:26" hidden="1">
      <c r="A4463"/>
      <c r="B4463" s="249"/>
      <c r="C4463"/>
      <c r="D4463"/>
      <c r="E4463"/>
      <c r="F4463" s="242"/>
      <c r="G4463"/>
      <c r="H4463" s="242"/>
      <c r="I4463" s="242"/>
      <c r="J4463" s="242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</row>
    <row r="4464" spans="1:26" hidden="1">
      <c r="A4464"/>
      <c r="B4464" s="249"/>
      <c r="C4464"/>
      <c r="D4464"/>
      <c r="E4464"/>
      <c r="F4464" s="242"/>
      <c r="G4464"/>
      <c r="H4464" s="242"/>
      <c r="I4464" s="242"/>
      <c r="J4464" s="242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</row>
    <row r="4465" spans="1:26" hidden="1">
      <c r="A4465"/>
      <c r="B4465" s="249"/>
      <c r="C4465"/>
      <c r="D4465"/>
      <c r="E4465"/>
      <c r="F4465" s="242"/>
      <c r="G4465"/>
      <c r="H4465" s="242"/>
      <c r="I4465" s="242"/>
      <c r="J4465" s="242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</row>
    <row r="4466" spans="1:26" hidden="1">
      <c r="A4466"/>
      <c r="B4466" s="249"/>
      <c r="C4466"/>
      <c r="D4466"/>
      <c r="E4466"/>
      <c r="F4466" s="242"/>
      <c r="G4466"/>
      <c r="H4466" s="242"/>
      <c r="I4466" s="242"/>
      <c r="J4466" s="242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</row>
    <row r="4467" spans="1:26" hidden="1">
      <c r="A4467"/>
      <c r="B4467" s="249"/>
      <c r="C4467"/>
      <c r="D4467"/>
      <c r="E4467"/>
      <c r="F4467" s="242"/>
      <c r="G4467"/>
      <c r="H4467" s="242"/>
      <c r="I4467" s="242"/>
      <c r="J4467" s="242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</row>
    <row r="4468" spans="1:26" hidden="1">
      <c r="A4468"/>
      <c r="B4468" s="249"/>
      <c r="C4468"/>
      <c r="D4468"/>
      <c r="E4468"/>
      <c r="F4468" s="242"/>
      <c r="G4468"/>
      <c r="H4468" s="242"/>
      <c r="I4468" s="242"/>
      <c r="J4468" s="242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</row>
    <row r="4469" spans="1:26" hidden="1">
      <c r="A4469"/>
      <c r="B4469" s="249"/>
      <c r="C4469"/>
      <c r="D4469"/>
      <c r="E4469"/>
      <c r="F4469" s="242"/>
      <c r="G4469"/>
      <c r="H4469" s="242"/>
      <c r="I4469" s="242"/>
      <c r="J4469" s="242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</row>
    <row r="4470" spans="1:26" hidden="1">
      <c r="A4470"/>
      <c r="B4470" s="249"/>
      <c r="C4470"/>
      <c r="D4470"/>
      <c r="E4470"/>
      <c r="F4470" s="242"/>
      <c r="G4470"/>
      <c r="H4470" s="242"/>
      <c r="I4470" s="242"/>
      <c r="J4470" s="242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</row>
    <row r="4471" spans="1:26" hidden="1">
      <c r="A4471"/>
      <c r="B4471" s="249"/>
      <c r="C4471"/>
      <c r="D4471"/>
      <c r="E4471"/>
      <c r="F4471" s="242"/>
      <c r="G4471"/>
      <c r="H4471" s="242"/>
      <c r="I4471" s="242"/>
      <c r="J4471" s="242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</row>
    <row r="4472" spans="1:26" hidden="1">
      <c r="A4472"/>
      <c r="B4472" s="249"/>
      <c r="C4472"/>
      <c r="D4472"/>
      <c r="E4472"/>
      <c r="F4472" s="242"/>
      <c r="G4472"/>
      <c r="H4472" s="242"/>
      <c r="I4472" s="242"/>
      <c r="J4472" s="242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</row>
    <row r="4473" spans="1:26" hidden="1">
      <c r="A4473"/>
      <c r="B4473" s="249"/>
      <c r="C4473"/>
      <c r="D4473"/>
      <c r="E4473"/>
      <c r="F4473" s="242"/>
      <c r="G4473"/>
      <c r="H4473" s="242"/>
      <c r="I4473" s="242"/>
      <c r="J4473" s="242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</row>
    <row r="4474" spans="1:26" hidden="1">
      <c r="A4474"/>
      <c r="B4474" s="249"/>
      <c r="C4474"/>
      <c r="D4474"/>
      <c r="E4474"/>
      <c r="F4474" s="242"/>
      <c r="G4474"/>
      <c r="H4474" s="242"/>
      <c r="I4474" s="242"/>
      <c r="J4474" s="242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</row>
    <row r="4475" spans="1:26" hidden="1">
      <c r="A4475"/>
      <c r="B4475" s="249"/>
      <c r="C4475"/>
      <c r="D4475"/>
      <c r="E4475"/>
      <c r="F4475" s="242"/>
      <c r="G4475"/>
      <c r="H4475" s="242"/>
      <c r="I4475" s="242"/>
      <c r="J4475" s="242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</row>
    <row r="4476" spans="1:26" hidden="1">
      <c r="A4476"/>
      <c r="B4476" s="249"/>
      <c r="C4476"/>
      <c r="D4476"/>
      <c r="E4476"/>
      <c r="F4476" s="242"/>
      <c r="G4476"/>
      <c r="H4476" s="242"/>
      <c r="I4476" s="242"/>
      <c r="J4476" s="242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</row>
    <row r="4477" spans="1:26" hidden="1">
      <c r="A4477"/>
      <c r="B4477" s="249"/>
      <c r="C4477"/>
      <c r="D4477"/>
      <c r="E4477"/>
      <c r="F4477" s="242"/>
      <c r="G4477"/>
      <c r="H4477" s="242"/>
      <c r="I4477" s="242"/>
      <c r="J4477" s="242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</row>
    <row r="4478" spans="1:26" hidden="1">
      <c r="A4478"/>
      <c r="B4478" s="249"/>
      <c r="C4478"/>
      <c r="D4478"/>
      <c r="E4478"/>
      <c r="F4478" s="242"/>
      <c r="G4478"/>
      <c r="H4478" s="242"/>
      <c r="I4478" s="242"/>
      <c r="J4478" s="242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</row>
    <row r="4479" spans="1:26" hidden="1">
      <c r="A4479"/>
      <c r="B4479" s="249"/>
      <c r="C4479"/>
      <c r="D4479"/>
      <c r="E4479"/>
      <c r="F4479" s="242"/>
      <c r="G4479"/>
      <c r="H4479" s="242"/>
      <c r="I4479" s="242"/>
      <c r="J4479" s="242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</row>
    <row r="4480" spans="1:26" hidden="1">
      <c r="A4480"/>
      <c r="B4480" s="249"/>
      <c r="C4480"/>
      <c r="D4480"/>
      <c r="E4480"/>
      <c r="F4480" s="242"/>
      <c r="G4480"/>
      <c r="H4480" s="242"/>
      <c r="I4480" s="242"/>
      <c r="J4480" s="242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</row>
    <row r="4481" spans="1:26" hidden="1">
      <c r="A4481"/>
      <c r="B4481" s="249"/>
      <c r="C4481"/>
      <c r="D4481"/>
      <c r="E4481"/>
      <c r="F4481" s="242"/>
      <c r="G4481"/>
      <c r="H4481" s="242"/>
      <c r="I4481" s="242"/>
      <c r="J4481" s="242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</row>
    <row r="4482" spans="1:26" hidden="1">
      <c r="A4482"/>
      <c r="B4482" s="249"/>
      <c r="C4482"/>
      <c r="D4482"/>
      <c r="E4482"/>
      <c r="F4482" s="242"/>
      <c r="G4482"/>
      <c r="H4482" s="242"/>
      <c r="I4482" s="242"/>
      <c r="J4482" s="242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</row>
    <row r="4483" spans="1:26" hidden="1">
      <c r="A4483"/>
      <c r="B4483" s="249"/>
      <c r="C4483"/>
      <c r="D4483"/>
      <c r="E4483"/>
      <c r="F4483" s="242"/>
      <c r="G4483"/>
      <c r="H4483" s="242"/>
      <c r="I4483" s="242"/>
      <c r="J4483" s="242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</row>
    <row r="4484" spans="1:26" hidden="1">
      <c r="A4484"/>
      <c r="B4484" s="249"/>
      <c r="C4484"/>
      <c r="D4484"/>
      <c r="E4484"/>
      <c r="F4484" s="242"/>
      <c r="G4484"/>
      <c r="H4484" s="242"/>
      <c r="I4484" s="242"/>
      <c r="J4484" s="242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</row>
    <row r="4485" spans="1:26" hidden="1">
      <c r="A4485"/>
      <c r="B4485" s="249"/>
      <c r="C4485"/>
      <c r="D4485"/>
      <c r="E4485"/>
      <c r="F4485" s="242"/>
      <c r="G4485"/>
      <c r="H4485" s="242"/>
      <c r="I4485" s="242"/>
      <c r="J4485" s="242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</row>
    <row r="4486" spans="1:26" hidden="1">
      <c r="A4486"/>
      <c r="B4486" s="249"/>
      <c r="C4486"/>
      <c r="D4486"/>
      <c r="E4486"/>
      <c r="F4486" s="242"/>
      <c r="G4486"/>
      <c r="H4486" s="242"/>
      <c r="I4486" s="242"/>
      <c r="J4486" s="242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</row>
    <row r="4487" spans="1:26" hidden="1">
      <c r="A4487"/>
      <c r="B4487" s="249"/>
      <c r="C4487"/>
      <c r="D4487"/>
      <c r="E4487"/>
      <c r="F4487" s="242"/>
      <c r="G4487"/>
      <c r="H4487" s="242"/>
      <c r="I4487" s="242"/>
      <c r="J4487" s="242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</row>
    <row r="4488" spans="1:26" hidden="1">
      <c r="A4488"/>
      <c r="B4488" s="249"/>
      <c r="C4488"/>
      <c r="D4488"/>
      <c r="E4488"/>
      <c r="F4488" s="242"/>
      <c r="G4488"/>
      <c r="H4488" s="242"/>
      <c r="I4488" s="242"/>
      <c r="J4488" s="242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</row>
    <row r="4489" spans="1:26" hidden="1">
      <c r="A4489"/>
      <c r="B4489" s="249"/>
      <c r="C4489"/>
      <c r="D4489"/>
      <c r="E4489"/>
      <c r="F4489" s="242"/>
      <c r="G4489"/>
      <c r="H4489" s="242"/>
      <c r="I4489" s="242"/>
      <c r="J4489" s="242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</row>
    <row r="4490" spans="1:26" hidden="1">
      <c r="A4490"/>
      <c r="B4490" s="249"/>
      <c r="C4490"/>
      <c r="D4490"/>
      <c r="E4490"/>
      <c r="F4490" s="242"/>
      <c r="G4490"/>
      <c r="H4490" s="242"/>
      <c r="I4490" s="242"/>
      <c r="J4490" s="242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</row>
    <row r="4491" spans="1:26" hidden="1">
      <c r="A4491"/>
      <c r="B4491" s="249"/>
      <c r="C4491"/>
      <c r="D4491"/>
      <c r="E4491"/>
      <c r="F4491" s="242"/>
      <c r="G4491"/>
      <c r="H4491" s="242"/>
      <c r="I4491" s="242"/>
      <c r="J4491" s="242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</row>
    <row r="4492" spans="1:26" hidden="1">
      <c r="A4492"/>
      <c r="B4492" s="249"/>
      <c r="C4492"/>
      <c r="D4492"/>
      <c r="E4492"/>
      <c r="F4492" s="242"/>
      <c r="G4492"/>
      <c r="H4492" s="242"/>
      <c r="I4492" s="242"/>
      <c r="J4492" s="242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</row>
    <row r="4493" spans="1:26" hidden="1">
      <c r="A4493"/>
      <c r="B4493" s="249"/>
      <c r="C4493"/>
      <c r="D4493"/>
      <c r="E4493"/>
      <c r="F4493" s="242"/>
      <c r="G4493"/>
      <c r="H4493" s="242"/>
      <c r="I4493" s="242"/>
      <c r="J4493" s="242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</row>
    <row r="4494" spans="1:26" hidden="1">
      <c r="A4494"/>
      <c r="B4494" s="249"/>
      <c r="C4494"/>
      <c r="D4494"/>
      <c r="E4494"/>
      <c r="F4494" s="242"/>
      <c r="G4494"/>
      <c r="H4494" s="242"/>
      <c r="I4494" s="242"/>
      <c r="J4494" s="242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</row>
    <row r="4495" spans="1:26" hidden="1">
      <c r="A4495"/>
      <c r="B4495" s="249"/>
      <c r="C4495"/>
      <c r="D4495"/>
      <c r="E4495"/>
      <c r="F4495" s="242"/>
      <c r="G4495"/>
      <c r="H4495" s="242"/>
      <c r="I4495" s="242"/>
      <c r="J4495" s="242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</row>
    <row r="4496" spans="1:26" hidden="1">
      <c r="A4496"/>
      <c r="B4496" s="249"/>
      <c r="C4496"/>
      <c r="D4496"/>
      <c r="E4496"/>
      <c r="F4496" s="242"/>
      <c r="G4496"/>
      <c r="H4496" s="242"/>
      <c r="I4496" s="242"/>
      <c r="J4496" s="242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</row>
    <row r="4497" spans="1:26" hidden="1">
      <c r="A4497"/>
      <c r="B4497" s="249"/>
      <c r="C4497"/>
      <c r="D4497"/>
      <c r="E4497"/>
      <c r="F4497" s="242"/>
      <c r="G4497"/>
      <c r="H4497" s="242"/>
      <c r="I4497" s="242"/>
      <c r="J4497" s="242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</row>
    <row r="4498" spans="1:26" hidden="1">
      <c r="A4498"/>
      <c r="B4498" s="249"/>
      <c r="C4498"/>
      <c r="D4498"/>
      <c r="E4498"/>
      <c r="F4498" s="242"/>
      <c r="G4498"/>
      <c r="H4498" s="242"/>
      <c r="I4498" s="242"/>
      <c r="J4498" s="242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</row>
    <row r="4499" spans="1:26" hidden="1">
      <c r="A4499"/>
      <c r="B4499" s="249"/>
      <c r="C4499"/>
      <c r="D4499"/>
      <c r="E4499"/>
      <c r="F4499" s="242"/>
      <c r="G4499"/>
      <c r="H4499" s="242"/>
      <c r="I4499" s="242"/>
      <c r="J4499" s="242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</row>
    <row r="4500" spans="1:26" hidden="1">
      <c r="A4500"/>
      <c r="B4500" s="249"/>
      <c r="C4500"/>
      <c r="D4500"/>
      <c r="E4500"/>
      <c r="F4500" s="242"/>
      <c r="G4500"/>
      <c r="H4500" s="242"/>
      <c r="I4500" s="242"/>
      <c r="J4500" s="242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</row>
    <row r="4501" spans="1:26" hidden="1">
      <c r="A4501"/>
      <c r="B4501" s="249"/>
      <c r="C4501"/>
      <c r="D4501"/>
      <c r="E4501"/>
      <c r="F4501" s="242"/>
      <c r="G4501"/>
      <c r="H4501" s="242"/>
      <c r="I4501" s="242"/>
      <c r="J4501" s="242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</row>
    <row r="4502" spans="1:26" hidden="1">
      <c r="A4502"/>
      <c r="B4502" s="249"/>
      <c r="C4502"/>
      <c r="D4502"/>
      <c r="E4502"/>
      <c r="F4502" s="242"/>
      <c r="G4502"/>
      <c r="H4502" s="242"/>
      <c r="I4502" s="242"/>
      <c r="J4502" s="242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</row>
    <row r="4503" spans="1:26" hidden="1">
      <c r="A4503"/>
      <c r="B4503" s="249"/>
      <c r="C4503"/>
      <c r="D4503"/>
      <c r="E4503"/>
      <c r="F4503" s="242"/>
      <c r="G4503"/>
      <c r="H4503" s="242"/>
      <c r="I4503" s="242"/>
      <c r="J4503" s="242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</row>
    <row r="4504" spans="1:26" hidden="1">
      <c r="A4504"/>
      <c r="B4504" s="249"/>
      <c r="C4504"/>
      <c r="D4504"/>
      <c r="E4504"/>
      <c r="F4504" s="242"/>
      <c r="G4504"/>
      <c r="H4504" s="242"/>
      <c r="I4504" s="242"/>
      <c r="J4504" s="242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</row>
    <row r="4505" spans="1:26" hidden="1">
      <c r="A4505"/>
      <c r="B4505" s="249"/>
      <c r="C4505"/>
      <c r="D4505"/>
      <c r="E4505"/>
      <c r="F4505" s="242"/>
      <c r="G4505"/>
      <c r="H4505" s="242"/>
      <c r="I4505" s="242"/>
      <c r="J4505" s="242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</row>
    <row r="4506" spans="1:26" hidden="1">
      <c r="A4506"/>
      <c r="B4506" s="249"/>
      <c r="C4506"/>
      <c r="D4506"/>
      <c r="E4506"/>
      <c r="F4506" s="242"/>
      <c r="G4506"/>
      <c r="H4506" s="242"/>
      <c r="I4506" s="242"/>
      <c r="J4506" s="242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</row>
    <row r="4507" spans="1:26" hidden="1">
      <c r="A4507"/>
      <c r="B4507" s="249"/>
      <c r="C4507"/>
      <c r="D4507"/>
      <c r="E4507"/>
      <c r="F4507" s="242"/>
      <c r="G4507"/>
      <c r="H4507" s="242"/>
      <c r="I4507" s="242"/>
      <c r="J4507" s="242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</row>
    <row r="4508" spans="1:26" hidden="1">
      <c r="A4508"/>
      <c r="B4508" s="249"/>
      <c r="C4508"/>
      <c r="D4508"/>
      <c r="E4508"/>
      <c r="F4508" s="242"/>
      <c r="G4508"/>
      <c r="H4508" s="242"/>
      <c r="I4508" s="242"/>
      <c r="J4508" s="242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</row>
    <row r="4509" spans="1:26" hidden="1">
      <c r="A4509"/>
      <c r="B4509" s="249"/>
      <c r="C4509"/>
      <c r="D4509"/>
      <c r="E4509"/>
      <c r="F4509" s="242"/>
      <c r="G4509"/>
      <c r="H4509" s="242"/>
      <c r="I4509" s="242"/>
      <c r="J4509" s="242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</row>
    <row r="4510" spans="1:26" hidden="1">
      <c r="A4510"/>
      <c r="B4510" s="249"/>
      <c r="C4510"/>
      <c r="D4510"/>
      <c r="E4510"/>
      <c r="F4510" s="242"/>
      <c r="G4510"/>
      <c r="H4510" s="242"/>
      <c r="I4510" s="242"/>
      <c r="J4510" s="242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</row>
    <row r="4511" spans="1:26" hidden="1">
      <c r="A4511"/>
      <c r="B4511" s="249"/>
      <c r="C4511"/>
      <c r="D4511"/>
      <c r="E4511"/>
      <c r="F4511" s="242"/>
      <c r="G4511"/>
      <c r="H4511" s="242"/>
      <c r="I4511" s="242"/>
      <c r="J4511" s="242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</row>
    <row r="4512" spans="1:26" hidden="1">
      <c r="A4512"/>
      <c r="B4512" s="249"/>
      <c r="C4512"/>
      <c r="D4512"/>
      <c r="E4512"/>
      <c r="F4512" s="242"/>
      <c r="G4512"/>
      <c r="H4512" s="242"/>
      <c r="I4512" s="242"/>
      <c r="J4512" s="242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</row>
    <row r="4513" spans="1:26" hidden="1">
      <c r="A4513"/>
      <c r="B4513" s="249"/>
      <c r="C4513"/>
      <c r="D4513"/>
      <c r="E4513"/>
      <c r="F4513" s="242"/>
      <c r="G4513"/>
      <c r="H4513" s="242"/>
      <c r="I4513" s="242"/>
      <c r="J4513" s="242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</row>
    <row r="4514" spans="1:26" hidden="1">
      <c r="A4514"/>
      <c r="B4514" s="249"/>
      <c r="C4514"/>
      <c r="D4514"/>
      <c r="E4514"/>
      <c r="F4514" s="242"/>
      <c r="G4514"/>
      <c r="H4514" s="242"/>
      <c r="I4514" s="242"/>
      <c r="J4514" s="242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</row>
    <row r="4515" spans="1:26" hidden="1">
      <c r="A4515"/>
      <c r="B4515" s="249"/>
      <c r="C4515"/>
      <c r="D4515"/>
      <c r="E4515"/>
      <c r="F4515" s="242"/>
      <c r="G4515"/>
      <c r="H4515" s="242"/>
      <c r="I4515" s="242"/>
      <c r="J4515" s="242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</row>
    <row r="4516" spans="1:26" hidden="1">
      <c r="A4516"/>
      <c r="B4516" s="249"/>
      <c r="C4516"/>
      <c r="D4516"/>
      <c r="E4516"/>
      <c r="F4516" s="242"/>
      <c r="G4516"/>
      <c r="H4516" s="242"/>
      <c r="I4516" s="242"/>
      <c r="J4516" s="242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</row>
    <row r="4517" spans="1:26" hidden="1">
      <c r="A4517"/>
      <c r="B4517" s="249"/>
      <c r="C4517"/>
      <c r="D4517"/>
      <c r="E4517"/>
      <c r="F4517" s="242"/>
      <c r="G4517"/>
      <c r="H4517" s="242"/>
      <c r="I4517" s="242"/>
      <c r="J4517" s="242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</row>
    <row r="4518" spans="1:26" hidden="1">
      <c r="A4518"/>
      <c r="B4518" s="249"/>
      <c r="C4518"/>
      <c r="D4518"/>
      <c r="E4518"/>
      <c r="F4518" s="242"/>
      <c r="G4518"/>
      <c r="H4518" s="242"/>
      <c r="I4518" s="242"/>
      <c r="J4518" s="242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</row>
    <row r="4519" spans="1:26" hidden="1">
      <c r="A4519"/>
      <c r="B4519" s="249"/>
      <c r="C4519"/>
      <c r="D4519"/>
      <c r="E4519"/>
      <c r="F4519" s="242"/>
      <c r="G4519"/>
      <c r="H4519" s="242"/>
      <c r="I4519" s="242"/>
      <c r="J4519" s="242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</row>
    <row r="4520" spans="1:26" hidden="1">
      <c r="A4520"/>
      <c r="B4520" s="249"/>
      <c r="C4520"/>
      <c r="D4520"/>
      <c r="E4520"/>
      <c r="F4520" s="242"/>
      <c r="G4520"/>
      <c r="H4520" s="242"/>
      <c r="I4520" s="242"/>
      <c r="J4520" s="242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</row>
    <row r="4521" spans="1:26" hidden="1">
      <c r="A4521"/>
      <c r="B4521" s="249"/>
      <c r="C4521"/>
      <c r="D4521"/>
      <c r="E4521"/>
      <c r="F4521" s="242"/>
      <c r="G4521"/>
      <c r="H4521" s="242"/>
      <c r="I4521" s="242"/>
      <c r="J4521" s="242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</row>
    <row r="4522" spans="1:26" hidden="1">
      <c r="A4522"/>
      <c r="B4522" s="249"/>
      <c r="C4522"/>
      <c r="D4522"/>
      <c r="E4522"/>
      <c r="F4522" s="242"/>
      <c r="G4522"/>
      <c r="H4522" s="242"/>
      <c r="I4522" s="242"/>
      <c r="J4522" s="242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</row>
    <row r="4523" spans="1:26" hidden="1">
      <c r="A4523"/>
      <c r="B4523" s="249"/>
      <c r="C4523"/>
      <c r="D4523"/>
      <c r="E4523"/>
      <c r="F4523" s="242"/>
      <c r="G4523"/>
      <c r="H4523" s="242"/>
      <c r="I4523" s="242"/>
      <c r="J4523" s="242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</row>
    <row r="4524" spans="1:26" hidden="1">
      <c r="A4524"/>
      <c r="B4524" s="249"/>
      <c r="C4524"/>
      <c r="D4524"/>
      <c r="E4524"/>
      <c r="F4524" s="242"/>
      <c r="G4524"/>
      <c r="H4524" s="242"/>
      <c r="I4524" s="242"/>
      <c r="J4524" s="242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</row>
    <row r="4525" spans="1:26" hidden="1">
      <c r="A4525"/>
      <c r="B4525" s="249"/>
      <c r="C4525"/>
      <c r="D4525"/>
      <c r="E4525"/>
      <c r="F4525" s="242"/>
      <c r="G4525"/>
      <c r="H4525" s="242"/>
      <c r="I4525" s="242"/>
      <c r="J4525" s="242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</row>
    <row r="4526" spans="1:26" hidden="1">
      <c r="A4526"/>
      <c r="B4526" s="249"/>
      <c r="C4526"/>
      <c r="D4526"/>
      <c r="E4526"/>
      <c r="F4526" s="242"/>
      <c r="G4526"/>
      <c r="H4526" s="242"/>
      <c r="I4526" s="242"/>
      <c r="J4526" s="242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</row>
    <row r="4527" spans="1:26" hidden="1">
      <c r="A4527"/>
      <c r="B4527" s="249"/>
      <c r="C4527"/>
      <c r="D4527"/>
      <c r="E4527"/>
      <c r="F4527" s="242"/>
      <c r="G4527"/>
      <c r="H4527" s="242"/>
      <c r="I4527" s="242"/>
      <c r="J4527" s="242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</row>
    <row r="4528" spans="1:26" hidden="1">
      <c r="A4528"/>
      <c r="B4528" s="249"/>
      <c r="C4528"/>
      <c r="D4528"/>
      <c r="E4528"/>
      <c r="F4528" s="242"/>
      <c r="G4528"/>
      <c r="H4528" s="242"/>
      <c r="I4528" s="242"/>
      <c r="J4528" s="242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</row>
    <row r="4529" spans="1:26" hidden="1">
      <c r="A4529"/>
      <c r="B4529" s="249"/>
      <c r="C4529"/>
      <c r="D4529"/>
      <c r="E4529"/>
      <c r="F4529" s="242"/>
      <c r="G4529"/>
      <c r="H4529" s="242"/>
      <c r="I4529" s="242"/>
      <c r="J4529" s="242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</row>
    <row r="4530" spans="1:26" hidden="1">
      <c r="A4530"/>
      <c r="B4530" s="249"/>
      <c r="C4530"/>
      <c r="D4530"/>
      <c r="E4530"/>
      <c r="F4530" s="242"/>
      <c r="G4530"/>
      <c r="H4530" s="242"/>
      <c r="I4530" s="242"/>
      <c r="J4530" s="242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</row>
    <row r="4531" spans="1:26" hidden="1">
      <c r="A4531"/>
      <c r="B4531" s="249"/>
      <c r="C4531"/>
      <c r="D4531"/>
      <c r="E4531"/>
      <c r="F4531" s="242"/>
      <c r="G4531"/>
      <c r="H4531" s="242"/>
      <c r="I4531" s="242"/>
      <c r="J4531" s="242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</row>
    <row r="4532" spans="1:26" hidden="1">
      <c r="A4532"/>
      <c r="B4532" s="249"/>
      <c r="C4532"/>
      <c r="D4532"/>
      <c r="E4532"/>
      <c r="F4532" s="242"/>
      <c r="G4532"/>
      <c r="H4532" s="242"/>
      <c r="I4532" s="242"/>
      <c r="J4532" s="242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</row>
    <row r="4533" spans="1:26" hidden="1">
      <c r="A4533"/>
      <c r="B4533" s="249"/>
      <c r="C4533"/>
      <c r="D4533"/>
      <c r="E4533"/>
      <c r="F4533" s="242"/>
      <c r="G4533"/>
      <c r="H4533" s="242"/>
      <c r="I4533" s="242"/>
      <c r="J4533" s="242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</row>
    <row r="4534" spans="1:26" hidden="1">
      <c r="A4534"/>
      <c r="B4534" s="249"/>
      <c r="C4534"/>
      <c r="D4534"/>
      <c r="E4534"/>
      <c r="F4534" s="242"/>
      <c r="G4534"/>
      <c r="H4534" s="242"/>
      <c r="I4534" s="242"/>
      <c r="J4534" s="242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</row>
    <row r="4535" spans="1:26" hidden="1">
      <c r="A4535"/>
      <c r="B4535" s="249"/>
      <c r="C4535"/>
      <c r="D4535"/>
      <c r="E4535"/>
      <c r="F4535" s="242"/>
      <c r="G4535"/>
      <c r="H4535" s="242"/>
      <c r="I4535" s="242"/>
      <c r="J4535" s="242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</row>
    <row r="4536" spans="1:26" hidden="1">
      <c r="A4536"/>
      <c r="B4536" s="249"/>
      <c r="C4536"/>
      <c r="D4536"/>
      <c r="E4536"/>
      <c r="F4536" s="242"/>
      <c r="G4536"/>
      <c r="H4536" s="242"/>
      <c r="I4536" s="242"/>
      <c r="J4536" s="242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</row>
    <row r="4537" spans="1:26" hidden="1">
      <c r="A4537"/>
      <c r="B4537" s="249"/>
      <c r="C4537"/>
      <c r="D4537"/>
      <c r="E4537"/>
      <c r="F4537" s="242"/>
      <c r="G4537"/>
      <c r="H4537" s="242"/>
      <c r="I4537" s="242"/>
      <c r="J4537" s="242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</row>
    <row r="4538" spans="1:26" hidden="1">
      <c r="A4538"/>
      <c r="B4538" s="249"/>
      <c r="C4538"/>
      <c r="D4538"/>
      <c r="E4538"/>
      <c r="F4538" s="242"/>
      <c r="G4538"/>
      <c r="H4538" s="242"/>
      <c r="I4538" s="242"/>
      <c r="J4538" s="242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</row>
    <row r="4539" spans="1:26" hidden="1">
      <c r="A4539"/>
      <c r="B4539" s="249"/>
      <c r="C4539"/>
      <c r="D4539"/>
      <c r="E4539"/>
      <c r="F4539" s="242"/>
      <c r="G4539"/>
      <c r="H4539" s="242"/>
      <c r="I4539" s="242"/>
      <c r="J4539" s="242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</row>
    <row r="4540" spans="1:26" hidden="1">
      <c r="A4540"/>
      <c r="B4540" s="249"/>
      <c r="C4540"/>
      <c r="D4540"/>
      <c r="E4540"/>
      <c r="F4540" s="242"/>
      <c r="G4540"/>
      <c r="H4540" s="242"/>
      <c r="I4540" s="242"/>
      <c r="J4540" s="242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</row>
    <row r="4541" spans="1:26" hidden="1">
      <c r="A4541"/>
      <c r="B4541" s="249"/>
      <c r="C4541"/>
      <c r="D4541"/>
      <c r="E4541"/>
      <c r="F4541" s="242"/>
      <c r="G4541"/>
      <c r="H4541" s="242"/>
      <c r="I4541" s="242"/>
      <c r="J4541" s="242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</row>
    <row r="4542" spans="1:26" hidden="1">
      <c r="A4542"/>
      <c r="B4542" s="249"/>
      <c r="C4542"/>
      <c r="D4542"/>
      <c r="E4542"/>
      <c r="F4542" s="242"/>
      <c r="G4542"/>
      <c r="H4542" s="242"/>
      <c r="I4542" s="242"/>
      <c r="J4542" s="242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</row>
    <row r="4543" spans="1:26" hidden="1">
      <c r="A4543"/>
      <c r="B4543" s="249"/>
      <c r="C4543"/>
      <c r="D4543"/>
      <c r="E4543"/>
      <c r="F4543" s="242"/>
      <c r="G4543"/>
      <c r="H4543" s="242"/>
      <c r="I4543" s="242"/>
      <c r="J4543" s="242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</row>
    <row r="4544" spans="1:26" hidden="1">
      <c r="A4544"/>
      <c r="B4544" s="249"/>
      <c r="C4544"/>
      <c r="D4544"/>
      <c r="E4544"/>
      <c r="F4544" s="242"/>
      <c r="G4544"/>
      <c r="H4544" s="242"/>
      <c r="I4544" s="242"/>
      <c r="J4544" s="242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</row>
    <row r="4545" spans="1:26" hidden="1">
      <c r="A4545"/>
      <c r="B4545" s="249"/>
      <c r="C4545"/>
      <c r="D4545"/>
      <c r="E4545"/>
      <c r="F4545" s="242"/>
      <c r="G4545"/>
      <c r="H4545" s="242"/>
      <c r="I4545" s="242"/>
      <c r="J4545" s="242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</row>
    <row r="4546" spans="1:26" hidden="1">
      <c r="A4546"/>
      <c r="B4546" s="249"/>
      <c r="C4546"/>
      <c r="D4546"/>
      <c r="E4546"/>
      <c r="F4546" s="242"/>
      <c r="G4546"/>
      <c r="H4546" s="242"/>
      <c r="I4546" s="242"/>
      <c r="J4546" s="242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</row>
    <row r="4547" spans="1:26" hidden="1">
      <c r="A4547"/>
      <c r="B4547" s="249"/>
      <c r="C4547"/>
      <c r="D4547"/>
      <c r="E4547"/>
      <c r="F4547" s="242"/>
      <c r="G4547"/>
      <c r="H4547" s="242"/>
      <c r="I4547" s="242"/>
      <c r="J4547" s="242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</row>
    <row r="4548" spans="1:26" hidden="1">
      <c r="A4548"/>
      <c r="B4548" s="249"/>
      <c r="C4548"/>
      <c r="D4548"/>
      <c r="E4548"/>
      <c r="F4548" s="242"/>
      <c r="G4548"/>
      <c r="H4548" s="242"/>
      <c r="I4548" s="242"/>
      <c r="J4548" s="242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</row>
    <row r="4549" spans="1:26" hidden="1">
      <c r="A4549"/>
      <c r="B4549" s="249"/>
      <c r="C4549"/>
      <c r="D4549"/>
      <c r="E4549"/>
      <c r="F4549" s="242"/>
      <c r="G4549"/>
      <c r="H4549" s="242"/>
      <c r="I4549" s="242"/>
      <c r="J4549" s="242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</row>
    <row r="4550" spans="1:26" hidden="1">
      <c r="A4550"/>
      <c r="B4550" s="249"/>
      <c r="C4550"/>
      <c r="D4550"/>
      <c r="E4550"/>
      <c r="F4550" s="242"/>
      <c r="G4550"/>
      <c r="H4550" s="242"/>
      <c r="I4550" s="242"/>
      <c r="J4550" s="242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</row>
    <row r="4551" spans="1:26" hidden="1">
      <c r="A4551"/>
      <c r="B4551" s="249"/>
      <c r="C4551"/>
      <c r="D4551"/>
      <c r="E4551"/>
      <c r="F4551" s="242"/>
      <c r="G4551"/>
      <c r="H4551" s="242"/>
      <c r="I4551" s="242"/>
      <c r="J4551" s="242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</row>
    <row r="4552" spans="1:26" hidden="1">
      <c r="A4552"/>
      <c r="B4552" s="249"/>
      <c r="C4552"/>
      <c r="D4552"/>
      <c r="E4552"/>
      <c r="F4552" s="242"/>
      <c r="G4552"/>
      <c r="H4552" s="242"/>
      <c r="I4552" s="242"/>
      <c r="J4552" s="242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</row>
    <row r="4553" spans="1:26" hidden="1">
      <c r="A4553"/>
      <c r="B4553" s="249"/>
      <c r="C4553"/>
      <c r="D4553"/>
      <c r="E4553"/>
      <c r="F4553" s="242"/>
      <c r="G4553"/>
      <c r="H4553" s="242"/>
      <c r="I4553" s="242"/>
      <c r="J4553" s="242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</row>
    <row r="4554" spans="1:26" hidden="1">
      <c r="A4554"/>
      <c r="B4554" s="249"/>
      <c r="C4554"/>
      <c r="D4554"/>
      <c r="E4554"/>
      <c r="F4554" s="242"/>
      <c r="G4554"/>
      <c r="H4554" s="242"/>
      <c r="I4554" s="242"/>
      <c r="J4554" s="242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</row>
    <row r="4555" spans="1:26" hidden="1">
      <c r="A4555"/>
      <c r="B4555" s="249"/>
      <c r="C4555"/>
      <c r="D4555"/>
      <c r="E4555"/>
      <c r="F4555" s="242"/>
      <c r="G4555"/>
      <c r="H4555" s="242"/>
      <c r="I4555" s="242"/>
      <c r="J4555" s="242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</row>
    <row r="4556" spans="1:26" hidden="1">
      <c r="A4556"/>
      <c r="B4556" s="249"/>
      <c r="C4556"/>
      <c r="D4556"/>
      <c r="E4556"/>
      <c r="F4556" s="242"/>
      <c r="G4556"/>
      <c r="H4556" s="242"/>
      <c r="I4556" s="242"/>
      <c r="J4556" s="242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</row>
    <row r="4557" spans="1:26" hidden="1">
      <c r="A4557"/>
      <c r="B4557" s="249"/>
      <c r="C4557"/>
      <c r="D4557"/>
      <c r="E4557"/>
      <c r="F4557" s="242"/>
      <c r="G4557"/>
      <c r="H4557" s="242"/>
      <c r="I4557" s="242"/>
      <c r="J4557" s="242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</row>
    <row r="4558" spans="1:26" hidden="1">
      <c r="A4558"/>
      <c r="B4558" s="249"/>
      <c r="C4558"/>
      <c r="D4558"/>
      <c r="E4558"/>
      <c r="F4558" s="242"/>
      <c r="G4558"/>
      <c r="H4558" s="242"/>
      <c r="I4558" s="242"/>
      <c r="J4558" s="242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</row>
    <row r="4559" spans="1:26" hidden="1">
      <c r="A4559"/>
      <c r="B4559" s="249"/>
      <c r="C4559"/>
      <c r="D4559"/>
      <c r="E4559"/>
      <c r="F4559" s="242"/>
      <c r="G4559"/>
      <c r="H4559" s="242"/>
      <c r="I4559" s="242"/>
      <c r="J4559" s="242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</row>
    <row r="4560" spans="1:26" hidden="1">
      <c r="A4560"/>
      <c r="B4560" s="249"/>
      <c r="C4560"/>
      <c r="D4560"/>
      <c r="E4560"/>
      <c r="F4560" s="242"/>
      <c r="G4560"/>
      <c r="H4560" s="242"/>
      <c r="I4560" s="242"/>
      <c r="J4560" s="242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</row>
    <row r="4561" spans="1:26" hidden="1">
      <c r="A4561"/>
      <c r="B4561" s="249"/>
      <c r="C4561"/>
      <c r="D4561"/>
      <c r="E4561"/>
      <c r="F4561" s="242"/>
      <c r="G4561"/>
      <c r="H4561" s="242"/>
      <c r="I4561" s="242"/>
      <c r="J4561" s="242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</row>
    <row r="4562" spans="1:26" hidden="1">
      <c r="A4562"/>
      <c r="B4562" s="249"/>
      <c r="C4562"/>
      <c r="D4562"/>
      <c r="E4562"/>
      <c r="F4562" s="242"/>
      <c r="G4562"/>
      <c r="H4562" s="242"/>
      <c r="I4562" s="242"/>
      <c r="J4562" s="242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</row>
    <row r="4563" spans="1:26" hidden="1">
      <c r="A4563"/>
      <c r="B4563" s="249"/>
      <c r="C4563"/>
      <c r="D4563"/>
      <c r="E4563"/>
      <c r="F4563" s="242"/>
      <c r="G4563"/>
      <c r="H4563" s="242"/>
      <c r="I4563" s="242"/>
      <c r="J4563" s="242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</row>
    <row r="4564" spans="1:26" hidden="1">
      <c r="A4564"/>
      <c r="B4564" s="249"/>
      <c r="C4564"/>
      <c r="D4564"/>
      <c r="E4564"/>
      <c r="F4564" s="242"/>
      <c r="G4564"/>
      <c r="H4564" s="242"/>
      <c r="I4564" s="242"/>
      <c r="J4564" s="242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</row>
    <row r="4565" spans="1:26" hidden="1">
      <c r="A4565"/>
      <c r="B4565" s="249"/>
      <c r="C4565"/>
      <c r="D4565"/>
      <c r="E4565"/>
      <c r="F4565" s="242"/>
      <c r="G4565"/>
      <c r="H4565" s="242"/>
      <c r="I4565" s="242"/>
      <c r="J4565" s="242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</row>
    <row r="4566" spans="1:26" hidden="1">
      <c r="A4566"/>
      <c r="B4566" s="249"/>
      <c r="C4566"/>
      <c r="D4566"/>
      <c r="E4566"/>
      <c r="F4566" s="242"/>
      <c r="G4566"/>
      <c r="H4566" s="242"/>
      <c r="I4566" s="242"/>
      <c r="J4566" s="242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</row>
    <row r="4567" spans="1:26" hidden="1">
      <c r="A4567"/>
      <c r="B4567" s="249"/>
      <c r="C4567"/>
      <c r="D4567"/>
      <c r="E4567"/>
      <c r="F4567" s="242"/>
      <c r="G4567"/>
      <c r="H4567" s="242"/>
      <c r="I4567" s="242"/>
      <c r="J4567" s="242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</row>
    <row r="4568" spans="1:26" hidden="1">
      <c r="A4568"/>
      <c r="B4568" s="249"/>
      <c r="C4568"/>
      <c r="D4568"/>
      <c r="E4568"/>
      <c r="F4568" s="242"/>
      <c r="G4568"/>
      <c r="H4568" s="242"/>
      <c r="I4568" s="242"/>
      <c r="J4568" s="242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</row>
    <row r="4569" spans="1:26" hidden="1">
      <c r="A4569"/>
      <c r="B4569" s="249"/>
      <c r="C4569"/>
      <c r="D4569"/>
      <c r="E4569"/>
      <c r="F4569" s="242"/>
      <c r="G4569"/>
      <c r="H4569" s="242"/>
      <c r="I4569" s="242"/>
      <c r="J4569" s="242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</row>
    <row r="4570" spans="1:26" hidden="1">
      <c r="A4570"/>
      <c r="B4570" s="249"/>
      <c r="C4570"/>
      <c r="D4570"/>
      <c r="E4570"/>
      <c r="F4570" s="242"/>
      <c r="G4570"/>
      <c r="H4570" s="242"/>
      <c r="I4570" s="242"/>
      <c r="J4570" s="242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</row>
    <row r="4571" spans="1:26" hidden="1">
      <c r="A4571"/>
      <c r="B4571" s="249"/>
      <c r="C4571"/>
      <c r="D4571"/>
      <c r="E4571"/>
      <c r="F4571" s="242"/>
      <c r="G4571"/>
      <c r="H4571" s="242"/>
      <c r="I4571" s="242"/>
      <c r="J4571" s="242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</row>
    <row r="4572" spans="1:26" hidden="1">
      <c r="A4572"/>
      <c r="B4572" s="249"/>
      <c r="C4572"/>
      <c r="D4572"/>
      <c r="E4572"/>
      <c r="F4572" s="242"/>
      <c r="G4572"/>
      <c r="H4572" s="242"/>
      <c r="I4572" s="242"/>
      <c r="J4572" s="242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</row>
    <row r="4573" spans="1:26" hidden="1">
      <c r="A4573"/>
      <c r="B4573" s="249"/>
      <c r="C4573"/>
      <c r="D4573"/>
      <c r="E4573"/>
      <c r="F4573" s="242"/>
      <c r="G4573"/>
      <c r="H4573" s="242"/>
      <c r="I4573" s="242"/>
      <c r="J4573" s="242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</row>
    <row r="4574" spans="1:26" hidden="1">
      <c r="A4574"/>
      <c r="B4574" s="249"/>
      <c r="C4574"/>
      <c r="D4574"/>
      <c r="E4574"/>
      <c r="F4574" s="242"/>
      <c r="G4574"/>
      <c r="H4574" s="242"/>
      <c r="I4574" s="242"/>
      <c r="J4574" s="242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</row>
    <row r="4575" spans="1:26" hidden="1">
      <c r="A4575"/>
      <c r="B4575" s="249"/>
      <c r="C4575"/>
      <c r="D4575"/>
      <c r="E4575"/>
      <c r="F4575" s="242"/>
      <c r="G4575"/>
      <c r="H4575" s="242"/>
      <c r="I4575" s="242"/>
      <c r="J4575" s="242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</row>
    <row r="4576" spans="1:26" hidden="1">
      <c r="A4576"/>
      <c r="B4576" s="249"/>
      <c r="C4576"/>
      <c r="D4576"/>
      <c r="E4576"/>
      <c r="F4576" s="242"/>
      <c r="G4576"/>
      <c r="H4576" s="242"/>
      <c r="I4576" s="242"/>
      <c r="J4576" s="242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</row>
    <row r="4577" spans="1:26" hidden="1">
      <c r="A4577"/>
      <c r="B4577" s="249"/>
      <c r="C4577"/>
      <c r="D4577"/>
      <c r="E4577"/>
      <c r="F4577" s="242"/>
      <c r="G4577"/>
      <c r="H4577" s="242"/>
      <c r="I4577" s="242"/>
      <c r="J4577" s="242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</row>
    <row r="4578" spans="1:26" hidden="1">
      <c r="A4578"/>
      <c r="B4578" s="249"/>
      <c r="C4578"/>
      <c r="D4578"/>
      <c r="E4578"/>
      <c r="F4578" s="242"/>
      <c r="G4578"/>
      <c r="H4578" s="242"/>
      <c r="I4578" s="242"/>
      <c r="J4578" s="242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</row>
    <row r="4579" spans="1:26" hidden="1">
      <c r="A4579"/>
      <c r="B4579" s="249"/>
      <c r="C4579"/>
      <c r="D4579"/>
      <c r="E4579"/>
      <c r="F4579" s="242"/>
      <c r="G4579"/>
      <c r="H4579" s="242"/>
      <c r="I4579" s="242"/>
      <c r="J4579" s="242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</row>
    <row r="4580" spans="1:26" hidden="1">
      <c r="A4580"/>
      <c r="B4580" s="249"/>
      <c r="C4580"/>
      <c r="D4580"/>
      <c r="E4580"/>
      <c r="F4580" s="242"/>
      <c r="G4580"/>
      <c r="H4580" s="242"/>
      <c r="I4580" s="242"/>
      <c r="J4580" s="242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</row>
    <row r="4581" spans="1:26" hidden="1">
      <c r="A4581"/>
      <c r="B4581" s="249"/>
      <c r="C4581"/>
      <c r="D4581"/>
      <c r="E4581"/>
      <c r="F4581" s="242"/>
      <c r="G4581"/>
      <c r="H4581" s="242"/>
      <c r="I4581" s="242"/>
      <c r="J4581" s="242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</row>
    <row r="4582" spans="1:26" hidden="1">
      <c r="A4582"/>
      <c r="B4582" s="249"/>
      <c r="C4582"/>
      <c r="D4582"/>
      <c r="E4582"/>
      <c r="F4582" s="242"/>
      <c r="G4582"/>
      <c r="H4582" s="242"/>
      <c r="I4582" s="242"/>
      <c r="J4582" s="242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</row>
    <row r="4583" spans="1:26" hidden="1">
      <c r="A4583"/>
      <c r="B4583" s="249"/>
      <c r="C4583"/>
      <c r="D4583"/>
      <c r="E4583"/>
      <c r="F4583" s="242"/>
      <c r="G4583"/>
      <c r="H4583" s="242"/>
      <c r="I4583" s="242"/>
      <c r="J4583" s="242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</row>
    <row r="4584" spans="1:26" hidden="1">
      <c r="A4584"/>
      <c r="B4584" s="249"/>
      <c r="C4584"/>
      <c r="D4584"/>
      <c r="E4584"/>
      <c r="F4584" s="242"/>
      <c r="G4584"/>
      <c r="H4584" s="242"/>
      <c r="I4584" s="242"/>
      <c r="J4584" s="242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</row>
    <row r="4585" spans="1:26" hidden="1">
      <c r="A4585"/>
      <c r="B4585" s="249"/>
      <c r="C4585"/>
      <c r="D4585"/>
      <c r="E4585"/>
      <c r="F4585" s="242"/>
      <c r="G4585"/>
      <c r="H4585" s="242"/>
      <c r="I4585" s="242"/>
      <c r="J4585" s="242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</row>
    <row r="4586" spans="1:26" hidden="1">
      <c r="A4586"/>
      <c r="B4586" s="249"/>
      <c r="C4586"/>
      <c r="D4586"/>
      <c r="E4586"/>
      <c r="F4586" s="242"/>
      <c r="G4586"/>
      <c r="H4586" s="242"/>
      <c r="I4586" s="242"/>
      <c r="J4586" s="242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</row>
    <row r="4587" spans="1:26" hidden="1">
      <c r="A4587"/>
      <c r="B4587" s="249"/>
      <c r="C4587"/>
      <c r="D4587"/>
      <c r="E4587"/>
      <c r="F4587" s="242"/>
      <c r="G4587"/>
      <c r="H4587" s="242"/>
      <c r="I4587" s="242"/>
      <c r="J4587" s="242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</row>
    <row r="4588" spans="1:26" hidden="1">
      <c r="A4588"/>
      <c r="B4588" s="249"/>
      <c r="C4588"/>
      <c r="D4588"/>
      <c r="E4588"/>
      <c r="F4588" s="242"/>
      <c r="G4588"/>
      <c r="H4588" s="242"/>
      <c r="I4588" s="242"/>
      <c r="J4588" s="242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</row>
    <row r="4589" spans="1:26" hidden="1">
      <c r="A4589"/>
      <c r="B4589" s="249"/>
      <c r="C4589"/>
      <c r="D4589"/>
      <c r="E4589"/>
      <c r="F4589" s="242"/>
      <c r="G4589"/>
      <c r="H4589" s="242"/>
      <c r="I4589" s="242"/>
      <c r="J4589" s="242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</row>
    <row r="4590" spans="1:26" hidden="1">
      <c r="A4590"/>
      <c r="B4590" s="249"/>
      <c r="C4590"/>
      <c r="D4590"/>
      <c r="E4590"/>
      <c r="F4590" s="242"/>
      <c r="G4590"/>
      <c r="H4590" s="242"/>
      <c r="I4590" s="242"/>
      <c r="J4590" s="242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</row>
    <row r="4591" spans="1:26" hidden="1">
      <c r="A4591"/>
      <c r="B4591" s="249"/>
      <c r="C4591"/>
      <c r="D4591"/>
      <c r="E4591"/>
      <c r="F4591" s="242"/>
      <c r="G4591"/>
      <c r="H4591" s="242"/>
      <c r="I4591" s="242"/>
      <c r="J4591" s="242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</row>
    <row r="4592" spans="1:26" hidden="1">
      <c r="A4592"/>
      <c r="B4592" s="249"/>
      <c r="C4592"/>
      <c r="D4592"/>
      <c r="E4592"/>
      <c r="F4592" s="242"/>
      <c r="G4592"/>
      <c r="H4592" s="242"/>
      <c r="I4592" s="242"/>
      <c r="J4592" s="242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</row>
    <row r="4593" spans="1:26" hidden="1">
      <c r="A4593"/>
      <c r="B4593" s="249"/>
      <c r="C4593"/>
      <c r="D4593"/>
      <c r="E4593"/>
      <c r="F4593" s="242"/>
      <c r="G4593"/>
      <c r="H4593" s="242"/>
      <c r="I4593" s="242"/>
      <c r="J4593" s="242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</row>
    <row r="4594" spans="1:26" hidden="1">
      <c r="A4594"/>
      <c r="B4594" s="249"/>
      <c r="C4594"/>
      <c r="D4594"/>
      <c r="E4594"/>
      <c r="F4594" s="242"/>
      <c r="G4594"/>
      <c r="H4594" s="242"/>
      <c r="I4594" s="242"/>
      <c r="J4594" s="242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</row>
    <row r="4595" spans="1:26" hidden="1">
      <c r="A4595"/>
      <c r="B4595" s="249"/>
      <c r="C4595"/>
      <c r="D4595"/>
      <c r="E4595"/>
      <c r="F4595" s="242"/>
      <c r="G4595"/>
      <c r="H4595" s="242"/>
      <c r="I4595" s="242"/>
      <c r="J4595" s="242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</row>
    <row r="4596" spans="1:26" hidden="1">
      <c r="A4596"/>
      <c r="B4596" s="249"/>
      <c r="C4596"/>
      <c r="D4596"/>
      <c r="E4596"/>
      <c r="F4596" s="242"/>
      <c r="G4596"/>
      <c r="H4596" s="242"/>
      <c r="I4596" s="242"/>
      <c r="J4596" s="242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</row>
    <row r="4597" spans="1:26" hidden="1">
      <c r="A4597"/>
      <c r="B4597" s="249"/>
      <c r="C4597"/>
      <c r="D4597"/>
      <c r="E4597"/>
      <c r="F4597" s="242"/>
      <c r="G4597"/>
      <c r="H4597" s="242"/>
      <c r="I4597" s="242"/>
      <c r="J4597" s="242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</row>
    <row r="4598" spans="1:26" hidden="1">
      <c r="A4598"/>
      <c r="B4598" s="249"/>
      <c r="C4598"/>
      <c r="D4598"/>
      <c r="E4598"/>
      <c r="F4598" s="242"/>
      <c r="G4598"/>
      <c r="H4598" s="242"/>
      <c r="I4598" s="242"/>
      <c r="J4598" s="242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</row>
    <row r="4599" spans="1:26" hidden="1">
      <c r="A4599"/>
      <c r="B4599" s="249"/>
      <c r="C4599"/>
      <c r="D4599"/>
      <c r="E4599"/>
      <c r="F4599" s="242"/>
      <c r="G4599"/>
      <c r="H4599" s="242"/>
      <c r="I4599" s="242"/>
      <c r="J4599" s="242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</row>
    <row r="4600" spans="1:26" hidden="1">
      <c r="A4600"/>
      <c r="B4600" s="249"/>
      <c r="C4600"/>
      <c r="D4600"/>
      <c r="E4600"/>
      <c r="F4600" s="242"/>
      <c r="G4600"/>
      <c r="H4600" s="242"/>
      <c r="I4600" s="242"/>
      <c r="J4600" s="242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</row>
    <row r="4601" spans="1:26" hidden="1">
      <c r="A4601"/>
      <c r="B4601" s="249"/>
      <c r="C4601"/>
      <c r="D4601"/>
      <c r="E4601"/>
      <c r="F4601" s="242"/>
      <c r="G4601"/>
      <c r="H4601" s="242"/>
      <c r="I4601" s="242"/>
      <c r="J4601" s="242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</row>
    <row r="4602" spans="1:26" hidden="1">
      <c r="A4602"/>
      <c r="B4602" s="249"/>
      <c r="C4602"/>
      <c r="D4602"/>
      <c r="E4602"/>
      <c r="F4602" s="242"/>
      <c r="G4602"/>
      <c r="H4602" s="242"/>
      <c r="I4602" s="242"/>
      <c r="J4602" s="242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</row>
    <row r="4603" spans="1:26" hidden="1">
      <c r="A4603"/>
      <c r="B4603" s="249"/>
      <c r="C4603"/>
      <c r="D4603"/>
      <c r="E4603"/>
      <c r="F4603" s="242"/>
      <c r="G4603"/>
      <c r="H4603" s="242"/>
      <c r="I4603" s="242"/>
      <c r="J4603" s="242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</row>
    <row r="4604" spans="1:26" hidden="1">
      <c r="A4604"/>
      <c r="B4604" s="249"/>
      <c r="C4604"/>
      <c r="D4604"/>
      <c r="E4604"/>
      <c r="F4604" s="242"/>
      <c r="G4604"/>
      <c r="H4604" s="242"/>
      <c r="I4604" s="242"/>
      <c r="J4604" s="242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</row>
    <row r="4605" spans="1:26" hidden="1">
      <c r="A4605"/>
      <c r="B4605" s="249"/>
      <c r="C4605"/>
      <c r="D4605"/>
      <c r="E4605"/>
      <c r="F4605" s="242"/>
      <c r="G4605"/>
      <c r="H4605" s="242"/>
      <c r="I4605" s="242"/>
      <c r="J4605" s="242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</row>
    <row r="4606" spans="1:26" hidden="1">
      <c r="A4606"/>
      <c r="B4606" s="249"/>
      <c r="C4606"/>
      <c r="D4606"/>
      <c r="E4606"/>
      <c r="F4606" s="242"/>
      <c r="G4606"/>
      <c r="H4606" s="242"/>
      <c r="I4606" s="242"/>
      <c r="J4606" s="242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</row>
    <row r="4607" spans="1:26" hidden="1">
      <c r="A4607"/>
      <c r="B4607" s="249"/>
      <c r="C4607"/>
      <c r="D4607"/>
      <c r="E4607"/>
      <c r="F4607" s="242"/>
      <c r="G4607"/>
      <c r="H4607" s="242"/>
      <c r="I4607" s="242"/>
      <c r="J4607" s="242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</row>
    <row r="4608" spans="1:26" hidden="1">
      <c r="A4608"/>
      <c r="B4608" s="249"/>
      <c r="C4608"/>
      <c r="D4608"/>
      <c r="E4608"/>
      <c r="F4608" s="242"/>
      <c r="G4608"/>
      <c r="H4608" s="242"/>
      <c r="I4608" s="242"/>
      <c r="J4608" s="242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</row>
    <row r="4609" spans="1:26" hidden="1">
      <c r="A4609"/>
      <c r="B4609" s="249"/>
      <c r="C4609"/>
      <c r="D4609"/>
      <c r="E4609"/>
      <c r="F4609" s="242"/>
      <c r="G4609"/>
      <c r="H4609" s="242"/>
      <c r="I4609" s="242"/>
      <c r="J4609" s="242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</row>
    <row r="4610" spans="1:26" hidden="1">
      <c r="A4610"/>
      <c r="B4610" s="249"/>
      <c r="C4610"/>
      <c r="D4610"/>
      <c r="E4610"/>
      <c r="F4610" s="242"/>
      <c r="G4610"/>
      <c r="H4610" s="242"/>
      <c r="I4610" s="242"/>
      <c r="J4610" s="242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</row>
    <row r="4611" spans="1:26" hidden="1">
      <c r="A4611"/>
      <c r="B4611" s="249"/>
      <c r="C4611"/>
      <c r="D4611"/>
      <c r="E4611"/>
      <c r="F4611" s="242"/>
      <c r="G4611"/>
      <c r="H4611" s="242"/>
      <c r="I4611" s="242"/>
      <c r="J4611" s="242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</row>
    <row r="4612" spans="1:26" hidden="1">
      <c r="A4612"/>
      <c r="B4612" s="249"/>
      <c r="C4612"/>
      <c r="D4612"/>
      <c r="E4612"/>
      <c r="F4612" s="242"/>
      <c r="G4612"/>
      <c r="H4612" s="242"/>
      <c r="I4612" s="242"/>
      <c r="J4612" s="242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</row>
    <row r="4613" spans="1:26" hidden="1">
      <c r="A4613"/>
      <c r="B4613" s="249"/>
      <c r="C4613"/>
      <c r="D4613"/>
      <c r="E4613"/>
      <c r="F4613" s="242"/>
      <c r="G4613"/>
      <c r="H4613" s="242"/>
      <c r="I4613" s="242"/>
      <c r="J4613" s="242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</row>
    <row r="4614" spans="1:26" hidden="1">
      <c r="A4614"/>
      <c r="B4614" s="249"/>
      <c r="C4614"/>
      <c r="D4614"/>
      <c r="E4614"/>
      <c r="F4614" s="242"/>
      <c r="G4614"/>
      <c r="H4614" s="242"/>
      <c r="I4614" s="242"/>
      <c r="J4614" s="242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</row>
    <row r="4615" spans="1:26" hidden="1">
      <c r="A4615"/>
      <c r="B4615" s="249"/>
      <c r="C4615"/>
      <c r="D4615"/>
      <c r="E4615"/>
      <c r="F4615" s="242"/>
      <c r="G4615"/>
      <c r="H4615" s="242"/>
      <c r="I4615" s="242"/>
      <c r="J4615" s="242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</row>
    <row r="4616" spans="1:26" hidden="1">
      <c r="A4616"/>
      <c r="B4616" s="249"/>
      <c r="C4616"/>
      <c r="D4616"/>
      <c r="E4616"/>
      <c r="F4616" s="242"/>
      <c r="G4616"/>
      <c r="H4616" s="242"/>
      <c r="I4616" s="242"/>
      <c r="J4616" s="242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</row>
    <row r="4617" spans="1:26" hidden="1">
      <c r="A4617"/>
      <c r="B4617" s="249"/>
      <c r="C4617"/>
      <c r="D4617"/>
      <c r="E4617"/>
      <c r="F4617" s="242"/>
      <c r="G4617"/>
      <c r="H4617" s="242"/>
      <c r="I4617" s="242"/>
      <c r="J4617" s="242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</row>
    <row r="4618" spans="1:26" hidden="1">
      <c r="A4618"/>
      <c r="B4618" s="249"/>
      <c r="C4618"/>
      <c r="D4618"/>
      <c r="E4618"/>
      <c r="F4618" s="242"/>
      <c r="G4618"/>
      <c r="H4618" s="242"/>
      <c r="I4618" s="242"/>
      <c r="J4618" s="242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</row>
    <row r="4619" spans="1:26" hidden="1">
      <c r="A4619"/>
      <c r="B4619" s="249"/>
      <c r="C4619"/>
      <c r="D4619"/>
      <c r="E4619"/>
      <c r="F4619" s="242"/>
      <c r="G4619"/>
      <c r="H4619" s="242"/>
      <c r="I4619" s="242"/>
      <c r="J4619" s="242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</row>
    <row r="4620" spans="1:26" hidden="1">
      <c r="A4620"/>
      <c r="B4620" s="249"/>
      <c r="C4620"/>
      <c r="D4620"/>
      <c r="E4620"/>
      <c r="F4620" s="242"/>
      <c r="G4620"/>
      <c r="H4620" s="242"/>
      <c r="I4620" s="242"/>
      <c r="J4620" s="242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</row>
    <row r="4621" spans="1:26" hidden="1">
      <c r="A4621"/>
      <c r="B4621" s="249"/>
      <c r="C4621"/>
      <c r="D4621"/>
      <c r="E4621"/>
      <c r="F4621" s="242"/>
      <c r="G4621"/>
      <c r="H4621" s="242"/>
      <c r="I4621" s="242"/>
      <c r="J4621" s="242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</row>
    <row r="4622" spans="1:26" hidden="1">
      <c r="A4622"/>
      <c r="B4622" s="249"/>
      <c r="C4622"/>
      <c r="D4622"/>
      <c r="E4622"/>
      <c r="F4622" s="242"/>
      <c r="G4622"/>
      <c r="H4622" s="242"/>
      <c r="I4622" s="242"/>
      <c r="J4622" s="242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</row>
    <row r="4623" spans="1:26" hidden="1">
      <c r="A4623"/>
      <c r="B4623" s="249"/>
      <c r="C4623"/>
      <c r="D4623"/>
      <c r="E4623"/>
      <c r="F4623" s="242"/>
      <c r="G4623"/>
      <c r="H4623" s="242"/>
      <c r="I4623" s="242"/>
      <c r="J4623" s="242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</row>
    <row r="4624" spans="1:26" hidden="1">
      <c r="A4624"/>
      <c r="B4624" s="249"/>
      <c r="C4624"/>
      <c r="D4624"/>
      <c r="E4624"/>
      <c r="F4624" s="242"/>
      <c r="G4624"/>
      <c r="H4624" s="242"/>
      <c r="I4624" s="242"/>
      <c r="J4624" s="242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</row>
    <row r="4625" spans="1:26" hidden="1">
      <c r="A4625"/>
      <c r="B4625" s="249"/>
      <c r="C4625"/>
      <c r="D4625"/>
      <c r="E4625"/>
      <c r="F4625" s="242"/>
      <c r="G4625"/>
      <c r="H4625" s="242"/>
      <c r="I4625" s="242"/>
      <c r="J4625" s="242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</row>
    <row r="4626" spans="1:26" hidden="1">
      <c r="A4626"/>
      <c r="B4626" s="249"/>
      <c r="C4626"/>
      <c r="D4626"/>
      <c r="E4626"/>
      <c r="F4626" s="242"/>
      <c r="G4626"/>
      <c r="H4626" s="242"/>
      <c r="I4626" s="242"/>
      <c r="J4626" s="242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</row>
    <row r="4627" spans="1:26" hidden="1">
      <c r="A4627"/>
      <c r="B4627" s="249"/>
      <c r="C4627"/>
      <c r="D4627"/>
      <c r="E4627"/>
      <c r="F4627" s="242"/>
      <c r="G4627"/>
      <c r="H4627" s="242"/>
      <c r="I4627" s="242"/>
      <c r="J4627" s="242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</row>
    <row r="4628" spans="1:26" hidden="1">
      <c r="A4628"/>
      <c r="B4628" s="249"/>
      <c r="C4628"/>
      <c r="D4628"/>
      <c r="E4628"/>
      <c r="F4628" s="242"/>
      <c r="G4628"/>
      <c r="H4628" s="242"/>
      <c r="I4628" s="242"/>
      <c r="J4628" s="242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</row>
    <row r="4629" spans="1:26" hidden="1">
      <c r="A4629"/>
      <c r="B4629" s="249"/>
      <c r="C4629"/>
      <c r="D4629"/>
      <c r="E4629"/>
      <c r="F4629" s="242"/>
      <c r="G4629"/>
      <c r="H4629" s="242"/>
      <c r="I4629" s="242"/>
      <c r="J4629" s="242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</row>
    <row r="4630" spans="1:26" hidden="1">
      <c r="A4630"/>
      <c r="B4630" s="249"/>
      <c r="C4630"/>
      <c r="D4630"/>
      <c r="E4630"/>
      <c r="F4630" s="242"/>
      <c r="G4630"/>
      <c r="H4630" s="242"/>
      <c r="I4630" s="242"/>
      <c r="J4630" s="242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</row>
    <row r="4631" spans="1:26" hidden="1">
      <c r="A4631"/>
      <c r="B4631" s="249"/>
      <c r="C4631"/>
      <c r="D4631"/>
      <c r="E4631"/>
      <c r="F4631" s="242"/>
      <c r="G4631"/>
      <c r="H4631" s="242"/>
      <c r="I4631" s="242"/>
      <c r="J4631" s="242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</row>
    <row r="4632" spans="1:26" hidden="1">
      <c r="A4632"/>
      <c r="B4632" s="249"/>
      <c r="C4632"/>
      <c r="D4632"/>
      <c r="E4632"/>
      <c r="F4632" s="242"/>
      <c r="G4632"/>
      <c r="H4632" s="242"/>
      <c r="I4632" s="242"/>
      <c r="J4632" s="242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</row>
    <row r="4633" spans="1:26" hidden="1">
      <c r="A4633"/>
      <c r="B4633" s="249"/>
      <c r="C4633"/>
      <c r="D4633"/>
      <c r="E4633"/>
      <c r="F4633" s="242"/>
      <c r="G4633"/>
      <c r="H4633" s="242"/>
      <c r="I4633" s="242"/>
      <c r="J4633" s="242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</row>
    <row r="4634" spans="1:26" hidden="1">
      <c r="A4634"/>
      <c r="B4634" s="249"/>
      <c r="C4634"/>
      <c r="D4634"/>
      <c r="E4634"/>
      <c r="F4634" s="242"/>
      <c r="G4634"/>
      <c r="H4634" s="242"/>
      <c r="I4634" s="242"/>
      <c r="J4634" s="242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</row>
    <row r="4635" spans="1:26" hidden="1">
      <c r="A4635"/>
      <c r="B4635" s="249"/>
      <c r="C4635"/>
      <c r="D4635"/>
      <c r="E4635"/>
      <c r="F4635" s="242"/>
      <c r="G4635"/>
      <c r="H4635" s="242"/>
      <c r="I4635" s="242"/>
      <c r="J4635" s="242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</row>
    <row r="4636" spans="1:26" hidden="1">
      <c r="A4636"/>
      <c r="B4636" s="249"/>
      <c r="C4636"/>
      <c r="D4636"/>
      <c r="E4636"/>
      <c r="F4636" s="242"/>
      <c r="G4636"/>
      <c r="H4636" s="242"/>
      <c r="I4636" s="242"/>
      <c r="J4636" s="242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</row>
    <row r="4637" spans="1:26" hidden="1">
      <c r="A4637"/>
      <c r="B4637" s="249"/>
      <c r="C4637"/>
      <c r="D4637"/>
      <c r="E4637"/>
      <c r="F4637" s="242"/>
      <c r="G4637"/>
      <c r="H4637" s="242"/>
      <c r="I4637" s="242"/>
      <c r="J4637" s="242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</row>
    <row r="4638" spans="1:26" hidden="1">
      <c r="A4638"/>
      <c r="B4638" s="249"/>
      <c r="C4638"/>
      <c r="D4638"/>
      <c r="E4638"/>
      <c r="F4638" s="242"/>
      <c r="G4638"/>
      <c r="H4638" s="242"/>
      <c r="I4638" s="242"/>
      <c r="J4638" s="242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</row>
    <row r="4639" spans="1:26" hidden="1">
      <c r="A4639"/>
      <c r="B4639" s="249"/>
      <c r="C4639"/>
      <c r="D4639"/>
      <c r="E4639"/>
      <c r="F4639" s="242"/>
      <c r="G4639"/>
      <c r="H4639" s="242"/>
      <c r="I4639" s="242"/>
      <c r="J4639" s="242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</row>
    <row r="4640" spans="1:26" hidden="1">
      <c r="A4640"/>
      <c r="B4640" s="249"/>
      <c r="C4640"/>
      <c r="D4640"/>
      <c r="E4640"/>
      <c r="F4640" s="242"/>
      <c r="G4640"/>
      <c r="H4640" s="242"/>
      <c r="I4640" s="242"/>
      <c r="J4640" s="242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</row>
    <row r="4641" spans="1:26" hidden="1">
      <c r="A4641"/>
      <c r="B4641" s="249"/>
      <c r="C4641"/>
      <c r="D4641"/>
      <c r="E4641"/>
      <c r="F4641" s="242"/>
      <c r="G4641"/>
      <c r="H4641" s="242"/>
      <c r="I4641" s="242"/>
      <c r="J4641" s="242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</row>
    <row r="4642" spans="1:26" hidden="1">
      <c r="A4642"/>
      <c r="B4642" s="249"/>
      <c r="C4642"/>
      <c r="D4642"/>
      <c r="E4642"/>
      <c r="F4642" s="242"/>
      <c r="G4642"/>
      <c r="H4642" s="242"/>
      <c r="I4642" s="242"/>
      <c r="J4642" s="242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</row>
    <row r="4643" spans="1:26" hidden="1">
      <c r="A4643"/>
      <c r="B4643" s="249"/>
      <c r="C4643"/>
      <c r="D4643"/>
      <c r="E4643"/>
      <c r="F4643" s="242"/>
      <c r="G4643"/>
      <c r="H4643" s="242"/>
      <c r="I4643" s="242"/>
      <c r="J4643" s="242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</row>
    <row r="4644" spans="1:26" hidden="1">
      <c r="A4644"/>
      <c r="B4644" s="249"/>
      <c r="C4644"/>
      <c r="D4644"/>
      <c r="E4644"/>
      <c r="F4644" s="242"/>
      <c r="G4644"/>
      <c r="H4644" s="242"/>
      <c r="I4644" s="242"/>
      <c r="J4644" s="242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</row>
    <row r="4645" spans="1:26" hidden="1">
      <c r="A4645"/>
      <c r="B4645" s="249"/>
      <c r="C4645"/>
      <c r="D4645"/>
      <c r="E4645"/>
      <c r="F4645" s="242"/>
      <c r="G4645"/>
      <c r="H4645" s="242"/>
      <c r="I4645" s="242"/>
      <c r="J4645" s="242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</row>
    <row r="4646" spans="1:26" hidden="1">
      <c r="A4646"/>
      <c r="B4646" s="249"/>
      <c r="C4646"/>
      <c r="D4646"/>
      <c r="E4646"/>
      <c r="F4646" s="242"/>
      <c r="G4646"/>
      <c r="H4646" s="242"/>
      <c r="I4646" s="242"/>
      <c r="J4646" s="242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</row>
    <row r="4647" spans="1:26" hidden="1">
      <c r="A4647"/>
      <c r="B4647" s="249"/>
      <c r="C4647"/>
      <c r="D4647"/>
      <c r="E4647"/>
      <c r="F4647" s="242"/>
      <c r="G4647"/>
      <c r="H4647" s="242"/>
      <c r="I4647" s="242"/>
      <c r="J4647" s="242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</row>
    <row r="4648" spans="1:26" hidden="1">
      <c r="A4648"/>
      <c r="B4648" s="249"/>
      <c r="C4648"/>
      <c r="D4648"/>
      <c r="E4648"/>
      <c r="F4648" s="242"/>
      <c r="G4648"/>
      <c r="H4648" s="242"/>
      <c r="I4648" s="242"/>
      <c r="J4648" s="242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</row>
    <row r="4649" spans="1:26" hidden="1">
      <c r="A4649"/>
      <c r="B4649" s="249"/>
      <c r="C4649"/>
      <c r="D4649"/>
      <c r="E4649"/>
      <c r="F4649" s="242"/>
      <c r="G4649"/>
      <c r="H4649" s="242"/>
      <c r="I4649" s="242"/>
      <c r="J4649" s="242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</row>
    <row r="4650" spans="1:26" hidden="1">
      <c r="A4650"/>
      <c r="B4650" s="249"/>
      <c r="C4650"/>
      <c r="D4650"/>
      <c r="E4650"/>
      <c r="F4650" s="242"/>
      <c r="G4650"/>
      <c r="H4650" s="242"/>
      <c r="I4650" s="242"/>
      <c r="J4650" s="242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</row>
    <row r="4651" spans="1:26" hidden="1">
      <c r="A4651"/>
      <c r="B4651" s="249"/>
      <c r="C4651"/>
      <c r="D4651"/>
      <c r="E4651"/>
      <c r="F4651" s="242"/>
      <c r="G4651"/>
      <c r="H4651" s="242"/>
      <c r="I4651" s="242"/>
      <c r="J4651" s="242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</row>
    <row r="4652" spans="1:26" hidden="1">
      <c r="A4652"/>
      <c r="B4652" s="249"/>
      <c r="C4652"/>
      <c r="D4652"/>
      <c r="E4652"/>
      <c r="F4652" s="242"/>
      <c r="G4652"/>
      <c r="H4652" s="242"/>
      <c r="I4652" s="242"/>
      <c r="J4652" s="242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</row>
    <row r="4653" spans="1:26" hidden="1">
      <c r="A4653"/>
      <c r="B4653" s="249"/>
      <c r="C4653"/>
      <c r="D4653"/>
      <c r="E4653"/>
      <c r="F4653" s="242"/>
      <c r="G4653"/>
      <c r="H4653" s="242"/>
      <c r="I4653" s="242"/>
      <c r="J4653" s="242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</row>
    <row r="4654" spans="1:26" hidden="1">
      <c r="A4654"/>
      <c r="B4654" s="249"/>
      <c r="C4654"/>
      <c r="D4654"/>
      <c r="E4654"/>
      <c r="F4654" s="242"/>
      <c r="G4654"/>
      <c r="H4654" s="242"/>
      <c r="I4654" s="242"/>
      <c r="J4654" s="242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</row>
    <row r="4655" spans="1:26" hidden="1">
      <c r="A4655"/>
      <c r="B4655" s="249"/>
      <c r="C4655"/>
      <c r="D4655"/>
      <c r="E4655"/>
      <c r="F4655" s="242"/>
      <c r="G4655"/>
      <c r="H4655" s="242"/>
      <c r="I4655" s="242"/>
      <c r="J4655" s="242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</row>
    <row r="4656" spans="1:26" hidden="1">
      <c r="A4656"/>
      <c r="B4656" s="249"/>
      <c r="C4656"/>
      <c r="D4656"/>
      <c r="E4656"/>
      <c r="F4656" s="242"/>
      <c r="G4656"/>
      <c r="H4656" s="242"/>
      <c r="I4656" s="242"/>
      <c r="J4656" s="242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</row>
    <row r="4657" spans="1:26" hidden="1">
      <c r="A4657"/>
      <c r="B4657" s="249"/>
      <c r="C4657"/>
      <c r="D4657"/>
      <c r="E4657"/>
      <c r="F4657" s="242"/>
      <c r="G4657"/>
      <c r="H4657" s="242"/>
      <c r="I4657" s="242"/>
      <c r="J4657" s="242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</row>
    <row r="4658" spans="1:26" hidden="1">
      <c r="A4658"/>
      <c r="B4658" s="249"/>
      <c r="C4658"/>
      <c r="D4658"/>
      <c r="E4658"/>
      <c r="F4658" s="242"/>
      <c r="G4658"/>
      <c r="H4658" s="242"/>
      <c r="I4658" s="242"/>
      <c r="J4658" s="242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</row>
    <row r="4659" spans="1:26" hidden="1">
      <c r="A4659"/>
      <c r="B4659" s="249"/>
      <c r="C4659"/>
      <c r="D4659"/>
      <c r="E4659"/>
      <c r="F4659" s="242"/>
      <c r="G4659"/>
      <c r="H4659" s="242"/>
      <c r="I4659" s="242"/>
      <c r="J4659" s="242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</row>
    <row r="4660" spans="1:26" hidden="1">
      <c r="A4660"/>
      <c r="B4660" s="249"/>
      <c r="C4660"/>
      <c r="D4660"/>
      <c r="E4660"/>
      <c r="F4660" s="242"/>
      <c r="G4660"/>
      <c r="H4660" s="242"/>
      <c r="I4660" s="242"/>
      <c r="J4660" s="242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</row>
    <row r="4661" spans="1:26" hidden="1">
      <c r="A4661"/>
      <c r="B4661" s="249"/>
      <c r="C4661"/>
      <c r="D4661"/>
      <c r="E4661"/>
      <c r="F4661" s="242"/>
      <c r="G4661"/>
      <c r="H4661" s="242"/>
      <c r="I4661" s="242"/>
      <c r="J4661" s="242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</row>
    <row r="4662" spans="1:26" hidden="1">
      <c r="A4662"/>
      <c r="B4662" s="249"/>
      <c r="C4662"/>
      <c r="D4662"/>
      <c r="E4662"/>
      <c r="F4662" s="242"/>
      <c r="G4662"/>
      <c r="H4662" s="242"/>
      <c r="I4662" s="242"/>
      <c r="J4662" s="242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</row>
    <row r="4663" spans="1:26" hidden="1">
      <c r="A4663"/>
      <c r="B4663" s="249"/>
      <c r="C4663"/>
      <c r="D4663"/>
      <c r="E4663"/>
      <c r="F4663" s="242"/>
      <c r="G4663"/>
      <c r="H4663" s="242"/>
      <c r="I4663" s="242"/>
      <c r="J4663" s="242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</row>
    <row r="4664" spans="1:26" hidden="1">
      <c r="A4664"/>
      <c r="B4664" s="249"/>
      <c r="C4664"/>
      <c r="D4664"/>
      <c r="E4664"/>
      <c r="F4664" s="242"/>
      <c r="G4664"/>
      <c r="H4664" s="242"/>
      <c r="I4664" s="242"/>
      <c r="J4664" s="242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</row>
    <row r="4665" spans="1:26" hidden="1">
      <c r="A4665"/>
      <c r="B4665" s="249"/>
      <c r="C4665"/>
      <c r="D4665"/>
      <c r="E4665"/>
      <c r="F4665" s="242"/>
      <c r="G4665"/>
      <c r="H4665" s="242"/>
      <c r="I4665" s="242"/>
      <c r="J4665" s="242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</row>
    <row r="4666" spans="1:26" hidden="1">
      <c r="A4666"/>
      <c r="B4666" s="249"/>
      <c r="C4666"/>
      <c r="D4666"/>
      <c r="E4666"/>
      <c r="F4666" s="242"/>
      <c r="G4666"/>
      <c r="H4666" s="242"/>
      <c r="I4666" s="242"/>
      <c r="J4666" s="242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</row>
    <row r="4667" spans="1:26" hidden="1">
      <c r="A4667"/>
      <c r="B4667" s="249"/>
      <c r="C4667"/>
      <c r="D4667"/>
      <c r="E4667"/>
      <c r="F4667" s="242"/>
      <c r="G4667"/>
      <c r="H4667" s="242"/>
      <c r="I4667" s="242"/>
      <c r="J4667" s="242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</row>
    <row r="4668" spans="1:26" hidden="1">
      <c r="A4668"/>
      <c r="B4668" s="249"/>
      <c r="C4668"/>
      <c r="D4668"/>
      <c r="E4668"/>
      <c r="F4668" s="242"/>
      <c r="G4668"/>
      <c r="H4668" s="242"/>
      <c r="I4668" s="242"/>
      <c r="J4668" s="242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</row>
    <row r="4669" spans="1:26" hidden="1">
      <c r="A4669"/>
      <c r="B4669" s="249"/>
      <c r="C4669"/>
      <c r="D4669"/>
      <c r="E4669"/>
      <c r="F4669" s="242"/>
      <c r="G4669"/>
      <c r="H4669" s="242"/>
      <c r="I4669" s="242"/>
      <c r="J4669" s="242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</row>
    <row r="4670" spans="1:26" hidden="1">
      <c r="A4670"/>
      <c r="B4670" s="249"/>
      <c r="C4670"/>
      <c r="D4670"/>
      <c r="E4670"/>
      <c r="F4670" s="242"/>
      <c r="G4670"/>
      <c r="H4670" s="242"/>
      <c r="I4670" s="242"/>
      <c r="J4670" s="242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</row>
    <row r="4671" spans="1:26" hidden="1">
      <c r="A4671"/>
      <c r="B4671" s="249"/>
      <c r="C4671"/>
      <c r="D4671"/>
      <c r="E4671"/>
      <c r="F4671" s="242"/>
      <c r="G4671"/>
      <c r="H4671" s="242"/>
      <c r="I4671" s="242"/>
      <c r="J4671" s="242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</row>
    <row r="4672" spans="1:26" hidden="1">
      <c r="A4672"/>
      <c r="B4672" s="249"/>
      <c r="C4672"/>
      <c r="D4672"/>
      <c r="E4672"/>
      <c r="F4672" s="242"/>
      <c r="G4672"/>
      <c r="H4672" s="242"/>
      <c r="I4672" s="242"/>
      <c r="J4672" s="242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</row>
    <row r="4673" spans="1:26" hidden="1">
      <c r="A4673"/>
      <c r="B4673" s="249"/>
      <c r="C4673"/>
      <c r="D4673"/>
      <c r="E4673"/>
      <c r="F4673" s="242"/>
      <c r="G4673"/>
      <c r="H4673" s="242"/>
      <c r="I4673" s="242"/>
      <c r="J4673" s="242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</row>
    <row r="4674" spans="1:26" hidden="1">
      <c r="A4674"/>
      <c r="B4674" s="249"/>
      <c r="C4674"/>
      <c r="D4674"/>
      <c r="E4674"/>
      <c r="F4674" s="242"/>
      <c r="G4674"/>
      <c r="H4674" s="242"/>
      <c r="I4674" s="242"/>
      <c r="J4674" s="242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</row>
    <row r="4675" spans="1:26" hidden="1">
      <c r="A4675"/>
      <c r="B4675" s="249"/>
      <c r="C4675"/>
      <c r="D4675"/>
      <c r="E4675"/>
      <c r="F4675" s="242"/>
      <c r="G4675"/>
      <c r="H4675" s="242"/>
      <c r="I4675" s="242"/>
      <c r="J4675" s="242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</row>
    <row r="4676" spans="1:26" hidden="1">
      <c r="A4676"/>
      <c r="B4676" s="249"/>
      <c r="C4676"/>
      <c r="D4676"/>
      <c r="E4676"/>
      <c r="F4676" s="242"/>
      <c r="G4676"/>
      <c r="H4676" s="242"/>
      <c r="I4676" s="242"/>
      <c r="J4676" s="242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</row>
    <row r="4677" spans="1:26" hidden="1">
      <c r="A4677"/>
      <c r="B4677" s="249"/>
      <c r="C4677"/>
      <c r="D4677"/>
      <c r="E4677"/>
      <c r="F4677" s="242"/>
      <c r="G4677"/>
      <c r="H4677" s="242"/>
      <c r="I4677" s="242"/>
      <c r="J4677" s="242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</row>
    <row r="4678" spans="1:26" hidden="1">
      <c r="A4678"/>
      <c r="B4678" s="249"/>
      <c r="C4678"/>
      <c r="D4678"/>
      <c r="E4678"/>
      <c r="F4678" s="242"/>
      <c r="G4678"/>
      <c r="H4678" s="242"/>
      <c r="I4678" s="242"/>
      <c r="J4678" s="242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</row>
    <row r="4679" spans="1:26" hidden="1">
      <c r="A4679"/>
      <c r="B4679" s="249"/>
      <c r="C4679"/>
      <c r="D4679"/>
      <c r="E4679"/>
      <c r="F4679" s="242"/>
      <c r="G4679"/>
      <c r="H4679" s="242"/>
      <c r="I4679" s="242"/>
      <c r="J4679" s="242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</row>
    <row r="4680" spans="1:26" hidden="1">
      <c r="A4680"/>
      <c r="B4680" s="249"/>
      <c r="C4680"/>
      <c r="D4680"/>
      <c r="E4680"/>
      <c r="F4680" s="242"/>
      <c r="G4680"/>
      <c r="H4680" s="242"/>
      <c r="I4680" s="242"/>
      <c r="J4680" s="242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</row>
    <row r="4681" spans="1:26" hidden="1">
      <c r="A4681"/>
      <c r="B4681" s="249"/>
      <c r="C4681"/>
      <c r="D4681"/>
      <c r="E4681"/>
      <c r="F4681" s="242"/>
      <c r="G4681"/>
      <c r="H4681" s="242"/>
      <c r="I4681" s="242"/>
      <c r="J4681" s="242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</row>
    <row r="4682" spans="1:26" hidden="1">
      <c r="A4682"/>
      <c r="B4682" s="249"/>
      <c r="C4682"/>
      <c r="D4682"/>
      <c r="E4682"/>
      <c r="F4682" s="242"/>
      <c r="G4682"/>
      <c r="H4682" s="242"/>
      <c r="I4682" s="242"/>
      <c r="J4682" s="242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</row>
    <row r="4683" spans="1:26" hidden="1">
      <c r="A4683"/>
      <c r="B4683" s="249"/>
      <c r="C4683"/>
      <c r="D4683"/>
      <c r="E4683"/>
      <c r="F4683" s="242"/>
      <c r="G4683"/>
      <c r="H4683" s="242"/>
      <c r="I4683" s="242"/>
      <c r="J4683" s="242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</row>
    <row r="4684" spans="1:26" hidden="1">
      <c r="A4684"/>
      <c r="B4684" s="249"/>
      <c r="C4684"/>
      <c r="D4684"/>
      <c r="E4684"/>
      <c r="F4684" s="242"/>
      <c r="G4684"/>
      <c r="H4684" s="242"/>
      <c r="I4684" s="242"/>
      <c r="J4684" s="242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</row>
    <row r="4685" spans="1:26" hidden="1">
      <c r="A4685"/>
      <c r="B4685" s="249"/>
      <c r="C4685"/>
      <c r="D4685"/>
      <c r="E4685"/>
      <c r="F4685" s="242"/>
      <c r="G4685"/>
      <c r="H4685" s="242"/>
      <c r="I4685" s="242"/>
      <c r="J4685" s="242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</row>
    <row r="4686" spans="1:26" hidden="1">
      <c r="A4686"/>
      <c r="B4686" s="249"/>
      <c r="C4686"/>
      <c r="D4686"/>
      <c r="E4686"/>
      <c r="F4686" s="242"/>
      <c r="G4686"/>
      <c r="H4686" s="242"/>
      <c r="I4686" s="242"/>
      <c r="J4686" s="242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</row>
    <row r="4687" spans="1:26" hidden="1">
      <c r="A4687"/>
      <c r="B4687" s="249"/>
      <c r="C4687"/>
      <c r="D4687"/>
      <c r="E4687"/>
      <c r="F4687" s="242"/>
      <c r="G4687"/>
      <c r="H4687" s="242"/>
      <c r="I4687" s="242"/>
      <c r="J4687" s="242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</row>
    <row r="4688" spans="1:26" hidden="1">
      <c r="A4688"/>
      <c r="B4688" s="249"/>
      <c r="C4688"/>
      <c r="D4688"/>
      <c r="E4688"/>
      <c r="F4688" s="242"/>
      <c r="G4688"/>
      <c r="H4688" s="242"/>
      <c r="I4688" s="242"/>
      <c r="J4688" s="242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</row>
    <row r="4689" spans="1:26" hidden="1">
      <c r="A4689"/>
      <c r="B4689" s="249"/>
      <c r="C4689"/>
      <c r="D4689"/>
      <c r="E4689"/>
      <c r="F4689" s="242"/>
      <c r="G4689"/>
      <c r="H4689" s="242"/>
      <c r="I4689" s="242"/>
      <c r="J4689" s="242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</row>
    <row r="4690" spans="1:26" hidden="1">
      <c r="A4690"/>
      <c r="B4690" s="249"/>
      <c r="C4690"/>
      <c r="D4690"/>
      <c r="E4690"/>
      <c r="F4690" s="242"/>
      <c r="G4690"/>
      <c r="H4690" s="242"/>
      <c r="I4690" s="242"/>
      <c r="J4690" s="242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</row>
    <row r="4691" spans="1:26" hidden="1">
      <c r="A4691"/>
      <c r="B4691" s="249"/>
      <c r="C4691"/>
      <c r="D4691"/>
      <c r="E4691"/>
      <c r="F4691" s="242"/>
      <c r="G4691"/>
      <c r="H4691" s="242"/>
      <c r="I4691" s="242"/>
      <c r="J4691" s="242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</row>
    <row r="4692" spans="1:26" hidden="1">
      <c r="A4692"/>
      <c r="B4692" s="249"/>
      <c r="C4692"/>
      <c r="D4692"/>
      <c r="E4692"/>
      <c r="F4692" s="242"/>
      <c r="G4692"/>
      <c r="H4692" s="242"/>
      <c r="I4692" s="242"/>
      <c r="J4692" s="242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</row>
    <row r="4693" spans="1:26" hidden="1">
      <c r="A4693"/>
      <c r="B4693" s="249"/>
      <c r="C4693"/>
      <c r="D4693"/>
      <c r="E4693"/>
      <c r="F4693" s="242"/>
      <c r="G4693"/>
      <c r="H4693" s="242"/>
      <c r="I4693" s="242"/>
      <c r="J4693" s="242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</row>
    <row r="4694" spans="1:26" hidden="1">
      <c r="A4694"/>
      <c r="B4694" s="249"/>
      <c r="C4694"/>
      <c r="D4694"/>
      <c r="E4694"/>
      <c r="F4694" s="242"/>
      <c r="G4694"/>
      <c r="H4694" s="242"/>
      <c r="I4694" s="242"/>
      <c r="J4694" s="242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</row>
    <row r="4695" spans="1:26" hidden="1">
      <c r="A4695"/>
      <c r="B4695" s="249"/>
      <c r="C4695"/>
      <c r="D4695"/>
      <c r="E4695"/>
      <c r="F4695" s="242"/>
      <c r="G4695"/>
      <c r="H4695" s="242"/>
      <c r="I4695" s="242"/>
      <c r="J4695" s="242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</row>
    <row r="4696" spans="1:26" hidden="1">
      <c r="A4696"/>
      <c r="B4696" s="249"/>
      <c r="C4696"/>
      <c r="D4696"/>
      <c r="E4696"/>
      <c r="F4696" s="242"/>
      <c r="G4696"/>
      <c r="H4696" s="242"/>
      <c r="I4696" s="242"/>
      <c r="J4696" s="242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</row>
    <row r="4697" spans="1:26" hidden="1">
      <c r="A4697"/>
      <c r="B4697" s="249"/>
      <c r="C4697"/>
      <c r="D4697"/>
      <c r="E4697"/>
      <c r="F4697" s="242"/>
      <c r="G4697"/>
      <c r="H4697" s="242"/>
      <c r="I4697" s="242"/>
      <c r="J4697" s="242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</row>
    <row r="4698" spans="1:26" hidden="1">
      <c r="A4698"/>
      <c r="B4698" s="249"/>
      <c r="C4698"/>
      <c r="D4698"/>
      <c r="E4698"/>
      <c r="F4698" s="242"/>
      <c r="G4698"/>
      <c r="H4698" s="242"/>
      <c r="I4698" s="242"/>
      <c r="J4698" s="242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</row>
    <row r="4699" spans="1:26" hidden="1">
      <c r="A4699"/>
      <c r="B4699" s="249"/>
      <c r="C4699"/>
      <c r="D4699"/>
      <c r="E4699"/>
      <c r="F4699" s="242"/>
      <c r="G4699"/>
      <c r="H4699" s="242"/>
      <c r="I4699" s="242"/>
      <c r="J4699" s="242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</row>
    <row r="4700" spans="1:26" hidden="1">
      <c r="A4700"/>
      <c r="B4700" s="249"/>
      <c r="C4700"/>
      <c r="D4700"/>
      <c r="E4700"/>
      <c r="F4700" s="242"/>
      <c r="G4700"/>
      <c r="H4700" s="242"/>
      <c r="I4700" s="242"/>
      <c r="J4700" s="242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</row>
    <row r="4701" spans="1:26" hidden="1">
      <c r="A4701"/>
      <c r="B4701" s="249"/>
      <c r="C4701"/>
      <c r="D4701"/>
      <c r="E4701"/>
      <c r="F4701" s="242"/>
      <c r="G4701"/>
      <c r="H4701" s="242"/>
      <c r="I4701" s="242"/>
      <c r="J4701" s="242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</row>
    <row r="4702" spans="1:26" hidden="1">
      <c r="A4702"/>
      <c r="B4702" s="249"/>
      <c r="C4702"/>
      <c r="D4702"/>
      <c r="E4702"/>
      <c r="F4702" s="242"/>
      <c r="G4702"/>
      <c r="H4702" s="242"/>
      <c r="I4702" s="242"/>
      <c r="J4702" s="242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</row>
    <row r="4703" spans="1:26" hidden="1">
      <c r="A4703"/>
      <c r="B4703" s="249"/>
      <c r="C4703"/>
      <c r="D4703"/>
      <c r="E4703"/>
      <c r="F4703" s="242"/>
      <c r="G4703"/>
      <c r="H4703" s="242"/>
      <c r="I4703" s="242"/>
      <c r="J4703" s="242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</row>
    <row r="4704" spans="1:26" hidden="1">
      <c r="A4704"/>
      <c r="B4704" s="249"/>
      <c r="C4704"/>
      <c r="D4704"/>
      <c r="E4704"/>
      <c r="F4704" s="242"/>
      <c r="G4704"/>
      <c r="H4704" s="242"/>
      <c r="I4704" s="242"/>
      <c r="J4704" s="242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</row>
    <row r="4705" spans="1:26" hidden="1">
      <c r="A4705"/>
      <c r="B4705" s="249"/>
      <c r="C4705"/>
      <c r="D4705"/>
      <c r="E4705"/>
      <c r="F4705" s="242"/>
      <c r="G4705"/>
      <c r="H4705" s="242"/>
      <c r="I4705" s="242"/>
      <c r="J4705" s="242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</row>
    <row r="4706" spans="1:26" hidden="1">
      <c r="A4706"/>
      <c r="B4706" s="249"/>
      <c r="C4706"/>
      <c r="D4706"/>
      <c r="E4706"/>
      <c r="F4706" s="242"/>
      <c r="G4706"/>
      <c r="H4706" s="242"/>
      <c r="I4706" s="242"/>
      <c r="J4706" s="242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</row>
    <row r="4707" spans="1:26" hidden="1">
      <c r="A4707"/>
      <c r="B4707" s="249"/>
      <c r="C4707"/>
      <c r="D4707"/>
      <c r="E4707"/>
      <c r="F4707" s="242"/>
      <c r="G4707"/>
      <c r="H4707" s="242"/>
      <c r="I4707" s="242"/>
      <c r="J4707" s="242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</row>
    <row r="4708" spans="1:26" hidden="1">
      <c r="A4708"/>
      <c r="B4708" s="249"/>
      <c r="C4708"/>
      <c r="D4708"/>
      <c r="E4708"/>
      <c r="F4708" s="242"/>
      <c r="G4708"/>
      <c r="H4708" s="242"/>
      <c r="I4708" s="242"/>
      <c r="J4708" s="242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</row>
    <row r="4709" spans="1:26" hidden="1">
      <c r="A4709"/>
      <c r="B4709" s="249"/>
      <c r="C4709"/>
      <c r="D4709"/>
      <c r="E4709"/>
      <c r="F4709" s="242"/>
      <c r="G4709"/>
      <c r="H4709" s="242"/>
      <c r="I4709" s="242"/>
      <c r="J4709" s="242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</row>
    <row r="4710" spans="1:26" hidden="1">
      <c r="A4710"/>
      <c r="B4710" s="249"/>
      <c r="C4710"/>
      <c r="D4710"/>
      <c r="E4710"/>
      <c r="F4710" s="242"/>
      <c r="G4710"/>
      <c r="H4710" s="242"/>
      <c r="I4710" s="242"/>
      <c r="J4710" s="242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</row>
    <row r="4711" spans="1:26" hidden="1">
      <c r="A4711"/>
      <c r="B4711" s="249"/>
      <c r="C4711"/>
      <c r="D4711"/>
      <c r="E4711"/>
      <c r="F4711" s="242"/>
      <c r="G4711"/>
      <c r="H4711" s="242"/>
      <c r="I4711" s="242"/>
      <c r="J4711" s="242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</row>
    <row r="4712" spans="1:26" hidden="1">
      <c r="A4712"/>
      <c r="B4712" s="249"/>
      <c r="C4712"/>
      <c r="D4712"/>
      <c r="E4712"/>
      <c r="F4712" s="242"/>
      <c r="G4712"/>
      <c r="H4712" s="242"/>
      <c r="I4712" s="242"/>
      <c r="J4712" s="242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</row>
    <row r="4713" spans="1:26" hidden="1">
      <c r="A4713"/>
      <c r="B4713" s="249"/>
      <c r="C4713"/>
      <c r="D4713"/>
      <c r="E4713"/>
      <c r="F4713" s="242"/>
      <c r="G4713"/>
      <c r="H4713" s="242"/>
      <c r="I4713" s="242"/>
      <c r="J4713" s="242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</row>
    <row r="4714" spans="1:26" hidden="1">
      <c r="A4714"/>
      <c r="B4714" s="249"/>
      <c r="C4714"/>
      <c r="D4714"/>
      <c r="E4714"/>
      <c r="F4714" s="242"/>
      <c r="G4714"/>
      <c r="H4714" s="242"/>
      <c r="I4714" s="242"/>
      <c r="J4714" s="242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</row>
    <row r="4715" spans="1:26" hidden="1">
      <c r="A4715"/>
      <c r="B4715" s="249"/>
      <c r="C4715"/>
      <c r="D4715"/>
      <c r="E4715"/>
      <c r="F4715" s="242"/>
      <c r="G4715"/>
      <c r="H4715" s="242"/>
      <c r="I4715" s="242"/>
      <c r="J4715" s="242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</row>
    <row r="4716" spans="1:26" hidden="1">
      <c r="A4716"/>
      <c r="B4716" s="249"/>
      <c r="C4716"/>
      <c r="D4716"/>
      <c r="E4716"/>
      <c r="F4716" s="242"/>
      <c r="G4716"/>
      <c r="H4716" s="242"/>
      <c r="I4716" s="242"/>
      <c r="J4716" s="242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</row>
    <row r="4717" spans="1:26" hidden="1">
      <c r="A4717"/>
      <c r="B4717" s="249"/>
      <c r="C4717"/>
      <c r="D4717"/>
      <c r="E4717"/>
      <c r="F4717" s="242"/>
      <c r="G4717"/>
      <c r="H4717" s="242"/>
      <c r="I4717" s="242"/>
      <c r="J4717" s="242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</row>
    <row r="4718" spans="1:26" hidden="1">
      <c r="A4718"/>
      <c r="B4718" s="249"/>
      <c r="C4718"/>
      <c r="D4718"/>
      <c r="E4718"/>
      <c r="F4718" s="242"/>
      <c r="G4718"/>
      <c r="H4718" s="242"/>
      <c r="I4718" s="242"/>
      <c r="J4718" s="242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</row>
    <row r="4719" spans="1:26" hidden="1">
      <c r="A4719"/>
      <c r="B4719" s="249"/>
      <c r="C4719"/>
      <c r="D4719"/>
      <c r="E4719"/>
      <c r="F4719" s="242"/>
      <c r="G4719"/>
      <c r="H4719" s="242"/>
      <c r="I4719" s="242"/>
      <c r="J4719" s="242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</row>
    <row r="4720" spans="1:26" hidden="1">
      <c r="A4720"/>
      <c r="B4720" s="249"/>
      <c r="C4720"/>
      <c r="D4720"/>
      <c r="E4720"/>
      <c r="F4720" s="242"/>
      <c r="G4720"/>
      <c r="H4720" s="242"/>
      <c r="I4720" s="242"/>
      <c r="J4720" s="242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</row>
    <row r="4721" spans="1:26" hidden="1">
      <c r="A4721"/>
      <c r="B4721" s="249"/>
      <c r="C4721"/>
      <c r="D4721"/>
      <c r="E4721"/>
      <c r="F4721" s="242"/>
      <c r="G4721"/>
      <c r="H4721" s="242"/>
      <c r="I4721" s="242"/>
      <c r="J4721" s="242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</row>
    <row r="4722" spans="1:26" hidden="1">
      <c r="A4722"/>
      <c r="B4722" s="249"/>
      <c r="C4722"/>
      <c r="D4722"/>
      <c r="E4722"/>
      <c r="F4722" s="242"/>
      <c r="G4722"/>
      <c r="H4722" s="242"/>
      <c r="I4722" s="242"/>
      <c r="J4722" s="242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</row>
    <row r="4723" spans="1:26" hidden="1">
      <c r="A4723"/>
      <c r="B4723" s="249"/>
      <c r="C4723"/>
      <c r="D4723"/>
      <c r="E4723"/>
      <c r="F4723" s="242"/>
      <c r="G4723"/>
      <c r="H4723" s="242"/>
      <c r="I4723" s="242"/>
      <c r="J4723" s="242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</row>
    <row r="4724" spans="1:26" hidden="1">
      <c r="A4724"/>
      <c r="B4724" s="249"/>
      <c r="C4724"/>
      <c r="D4724"/>
      <c r="E4724"/>
      <c r="F4724" s="242"/>
      <c r="G4724"/>
      <c r="H4724" s="242"/>
      <c r="I4724" s="242"/>
      <c r="J4724" s="242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</row>
    <row r="4725" spans="1:26" hidden="1">
      <c r="A4725"/>
      <c r="B4725" s="249"/>
      <c r="C4725"/>
      <c r="D4725"/>
      <c r="E4725"/>
      <c r="F4725" s="242"/>
      <c r="G4725"/>
      <c r="H4725" s="242"/>
      <c r="I4725" s="242"/>
      <c r="J4725" s="242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</row>
    <row r="4726" spans="1:26" hidden="1">
      <c r="A4726"/>
      <c r="B4726" s="249"/>
      <c r="C4726"/>
      <c r="D4726"/>
      <c r="E4726"/>
      <c r="F4726" s="242"/>
      <c r="G4726"/>
      <c r="H4726" s="242"/>
      <c r="I4726" s="242"/>
      <c r="J4726" s="242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</row>
    <row r="4727" spans="1:26" hidden="1">
      <c r="A4727"/>
      <c r="B4727" s="249"/>
      <c r="C4727"/>
      <c r="D4727"/>
      <c r="E4727"/>
      <c r="F4727" s="242"/>
      <c r="G4727"/>
      <c r="H4727" s="242"/>
      <c r="I4727" s="242"/>
      <c r="J4727" s="242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</row>
    <row r="4728" spans="1:26" hidden="1">
      <c r="A4728"/>
      <c r="B4728" s="249"/>
      <c r="C4728"/>
      <c r="D4728"/>
      <c r="E4728"/>
      <c r="F4728" s="242"/>
      <c r="G4728"/>
      <c r="H4728" s="242"/>
      <c r="I4728" s="242"/>
      <c r="J4728" s="242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</row>
    <row r="4729" spans="1:26" hidden="1">
      <c r="A4729"/>
      <c r="B4729" s="249"/>
      <c r="C4729"/>
      <c r="D4729"/>
      <c r="E4729"/>
      <c r="F4729" s="242"/>
      <c r="G4729"/>
      <c r="H4729" s="242"/>
      <c r="I4729" s="242"/>
      <c r="J4729" s="242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</row>
    <row r="4730" spans="1:26" hidden="1">
      <c r="A4730"/>
      <c r="B4730" s="249"/>
      <c r="C4730"/>
      <c r="D4730"/>
      <c r="E4730"/>
      <c r="F4730" s="242"/>
      <c r="G4730"/>
      <c r="H4730" s="242"/>
      <c r="I4730" s="242"/>
      <c r="J4730" s="242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</row>
    <row r="4731" spans="1:26" hidden="1">
      <c r="A4731"/>
      <c r="B4731" s="249"/>
      <c r="C4731"/>
      <c r="D4731"/>
      <c r="E4731"/>
      <c r="F4731" s="242"/>
      <c r="G4731"/>
      <c r="H4731" s="242"/>
      <c r="I4731" s="242"/>
      <c r="J4731" s="242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</row>
    <row r="4732" spans="1:26" hidden="1">
      <c r="A4732"/>
      <c r="B4732" s="249"/>
      <c r="C4732"/>
      <c r="D4732"/>
      <c r="E4732"/>
      <c r="F4732" s="242"/>
      <c r="G4732"/>
      <c r="H4732" s="242"/>
      <c r="I4732" s="242"/>
      <c r="J4732" s="242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</row>
    <row r="4733" spans="1:26" hidden="1">
      <c r="A4733"/>
      <c r="B4733" s="249"/>
      <c r="C4733"/>
      <c r="D4733"/>
      <c r="E4733"/>
      <c r="F4733" s="242"/>
      <c r="G4733"/>
      <c r="H4733" s="242"/>
      <c r="I4733" s="242"/>
      <c r="J4733" s="242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</row>
    <row r="4734" spans="1:26" hidden="1">
      <c r="A4734"/>
      <c r="B4734" s="249"/>
      <c r="C4734"/>
      <c r="D4734"/>
      <c r="E4734"/>
      <c r="F4734" s="242"/>
      <c r="G4734"/>
      <c r="H4734" s="242"/>
      <c r="I4734" s="242"/>
      <c r="J4734" s="242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</row>
    <row r="4735" spans="1:26" hidden="1">
      <c r="A4735"/>
      <c r="B4735" s="249"/>
      <c r="C4735"/>
      <c r="D4735"/>
      <c r="E4735"/>
      <c r="F4735" s="242"/>
      <c r="G4735"/>
      <c r="H4735" s="242"/>
      <c r="I4735" s="242"/>
      <c r="J4735" s="242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</row>
    <row r="4736" spans="1:26" hidden="1">
      <c r="A4736"/>
      <c r="B4736" s="249"/>
      <c r="C4736"/>
      <c r="D4736"/>
      <c r="E4736"/>
      <c r="F4736" s="242"/>
      <c r="G4736"/>
      <c r="H4736" s="242"/>
      <c r="I4736" s="242"/>
      <c r="J4736" s="242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</row>
    <row r="4737" spans="1:26" hidden="1">
      <c r="A4737"/>
      <c r="B4737" s="249"/>
      <c r="C4737"/>
      <c r="D4737"/>
      <c r="E4737"/>
      <c r="F4737" s="242"/>
      <c r="G4737"/>
      <c r="H4737" s="242"/>
      <c r="I4737" s="242"/>
      <c r="J4737" s="242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</row>
    <row r="4738" spans="1:26" hidden="1">
      <c r="A4738"/>
      <c r="B4738" s="249"/>
      <c r="C4738"/>
      <c r="D4738"/>
      <c r="E4738"/>
      <c r="F4738" s="242"/>
      <c r="G4738"/>
      <c r="H4738" s="242"/>
      <c r="I4738" s="242"/>
      <c r="J4738" s="242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</row>
    <row r="4739" spans="1:26" hidden="1">
      <c r="A4739"/>
      <c r="B4739" s="249"/>
      <c r="C4739"/>
      <c r="D4739"/>
      <c r="E4739"/>
      <c r="F4739" s="242"/>
      <c r="G4739"/>
      <c r="H4739" s="242"/>
      <c r="I4739" s="242"/>
      <c r="J4739" s="242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</row>
    <row r="4740" spans="1:26" hidden="1">
      <c r="A4740"/>
      <c r="B4740" s="249"/>
      <c r="C4740"/>
      <c r="D4740"/>
      <c r="E4740"/>
      <c r="F4740" s="242"/>
      <c r="G4740"/>
      <c r="H4740" s="242"/>
      <c r="I4740" s="242"/>
      <c r="J4740" s="242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</row>
    <row r="4741" spans="1:26" hidden="1">
      <c r="A4741"/>
      <c r="B4741" s="249"/>
      <c r="C4741"/>
      <c r="D4741"/>
      <c r="E4741"/>
      <c r="F4741" s="242"/>
      <c r="G4741"/>
      <c r="H4741" s="242"/>
      <c r="I4741" s="242"/>
      <c r="J4741" s="242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</row>
    <row r="4742" spans="1:26" hidden="1">
      <c r="A4742"/>
      <c r="B4742" s="249"/>
      <c r="C4742"/>
      <c r="D4742"/>
      <c r="E4742"/>
      <c r="F4742" s="242"/>
      <c r="G4742"/>
      <c r="H4742" s="242"/>
      <c r="I4742" s="242"/>
      <c r="J4742" s="242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</row>
    <row r="4743" spans="1:26" hidden="1">
      <c r="A4743"/>
      <c r="B4743" s="249"/>
      <c r="C4743"/>
      <c r="D4743"/>
      <c r="E4743"/>
      <c r="F4743" s="242"/>
      <c r="G4743"/>
      <c r="H4743" s="242"/>
      <c r="I4743" s="242"/>
      <c r="J4743" s="242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</row>
    <row r="4744" spans="1:26" hidden="1">
      <c r="A4744"/>
      <c r="B4744" s="249"/>
      <c r="C4744"/>
      <c r="D4744"/>
      <c r="E4744"/>
      <c r="F4744" s="242"/>
      <c r="G4744"/>
      <c r="H4744" s="242"/>
      <c r="I4744" s="242"/>
      <c r="J4744" s="242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</row>
    <row r="4745" spans="1:26" hidden="1">
      <c r="A4745"/>
      <c r="B4745" s="249"/>
      <c r="C4745"/>
      <c r="D4745"/>
      <c r="E4745"/>
      <c r="F4745" s="242"/>
      <c r="G4745"/>
      <c r="H4745" s="242"/>
      <c r="I4745" s="242"/>
      <c r="J4745" s="242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</row>
    <row r="4746" spans="1:26" hidden="1">
      <c r="A4746"/>
      <c r="B4746" s="249"/>
      <c r="C4746"/>
      <c r="D4746"/>
      <c r="E4746"/>
      <c r="F4746" s="242"/>
      <c r="G4746"/>
      <c r="H4746" s="242"/>
      <c r="I4746" s="242"/>
      <c r="J4746" s="242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</row>
    <row r="4747" spans="1:26" hidden="1">
      <c r="A4747"/>
      <c r="B4747" s="249"/>
      <c r="C4747"/>
      <c r="D4747"/>
      <c r="E4747"/>
      <c r="F4747" s="242"/>
      <c r="G4747"/>
      <c r="H4747" s="242"/>
      <c r="I4747" s="242"/>
      <c r="J4747" s="242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</row>
    <row r="4748" spans="1:26" hidden="1">
      <c r="A4748"/>
      <c r="B4748" s="249"/>
      <c r="C4748"/>
      <c r="D4748"/>
      <c r="E4748"/>
      <c r="F4748" s="242"/>
      <c r="G4748"/>
      <c r="H4748" s="242"/>
      <c r="I4748" s="242"/>
      <c r="J4748" s="242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</row>
    <row r="4749" spans="1:26" hidden="1">
      <c r="A4749"/>
      <c r="B4749" s="249"/>
      <c r="C4749"/>
      <c r="D4749"/>
      <c r="E4749"/>
      <c r="F4749" s="242"/>
      <c r="G4749"/>
      <c r="H4749" s="242"/>
      <c r="I4749" s="242"/>
      <c r="J4749" s="242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</row>
    <row r="4750" spans="1:26" hidden="1">
      <c r="A4750"/>
      <c r="B4750" s="249"/>
      <c r="C4750"/>
      <c r="D4750"/>
      <c r="E4750"/>
      <c r="F4750" s="242"/>
      <c r="G4750"/>
      <c r="H4750" s="242"/>
      <c r="I4750" s="242"/>
      <c r="J4750" s="242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</row>
    <row r="4751" spans="1:26" hidden="1">
      <c r="A4751"/>
      <c r="B4751" s="249"/>
      <c r="C4751"/>
      <c r="D4751"/>
      <c r="E4751"/>
      <c r="F4751" s="242"/>
      <c r="G4751"/>
      <c r="H4751" s="242"/>
      <c r="I4751" s="242"/>
      <c r="J4751" s="242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</row>
    <row r="4752" spans="1:26" hidden="1">
      <c r="A4752"/>
      <c r="B4752" s="249"/>
      <c r="C4752"/>
      <c r="D4752"/>
      <c r="E4752"/>
      <c r="F4752" s="242"/>
      <c r="G4752"/>
      <c r="H4752" s="242"/>
      <c r="I4752" s="242"/>
      <c r="J4752" s="242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</row>
    <row r="4753" spans="1:26" hidden="1">
      <c r="A4753"/>
      <c r="B4753" s="249"/>
      <c r="C4753"/>
      <c r="D4753"/>
      <c r="E4753"/>
      <c r="F4753" s="242"/>
      <c r="G4753"/>
      <c r="H4753" s="242"/>
      <c r="I4753" s="242"/>
      <c r="J4753" s="242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</row>
    <row r="4754" spans="1:26" hidden="1">
      <c r="A4754"/>
      <c r="B4754" s="249"/>
      <c r="C4754"/>
      <c r="D4754"/>
      <c r="E4754"/>
      <c r="F4754" s="242"/>
      <c r="G4754"/>
      <c r="H4754" s="242"/>
      <c r="I4754" s="242"/>
      <c r="J4754" s="242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</row>
    <row r="4755" spans="1:26" hidden="1">
      <c r="A4755"/>
      <c r="B4755" s="249"/>
      <c r="C4755"/>
      <c r="D4755"/>
      <c r="E4755"/>
      <c r="F4755" s="242"/>
      <c r="G4755"/>
      <c r="H4755" s="242"/>
      <c r="I4755" s="242"/>
      <c r="J4755" s="242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</row>
    <row r="4756" spans="1:26" hidden="1">
      <c r="A4756"/>
      <c r="B4756" s="249"/>
      <c r="C4756"/>
      <c r="D4756"/>
      <c r="E4756"/>
      <c r="F4756" s="242"/>
      <c r="G4756"/>
      <c r="H4756" s="242"/>
      <c r="I4756" s="242"/>
      <c r="J4756" s="242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</row>
    <row r="4757" spans="1:26" hidden="1">
      <c r="A4757"/>
      <c r="B4757" s="249"/>
      <c r="C4757"/>
      <c r="D4757"/>
      <c r="E4757"/>
      <c r="F4757" s="242"/>
      <c r="G4757"/>
      <c r="H4757" s="242"/>
      <c r="I4757" s="242"/>
      <c r="J4757" s="242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</row>
    <row r="4758" spans="1:26" hidden="1">
      <c r="A4758"/>
      <c r="B4758" s="249"/>
      <c r="C4758"/>
      <c r="D4758"/>
      <c r="E4758"/>
      <c r="F4758" s="242"/>
      <c r="G4758"/>
      <c r="H4758" s="242"/>
      <c r="I4758" s="242"/>
      <c r="J4758" s="242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</row>
    <row r="4759" spans="1:26" hidden="1">
      <c r="A4759"/>
      <c r="B4759" s="249"/>
      <c r="C4759"/>
      <c r="D4759"/>
      <c r="E4759"/>
      <c r="F4759" s="242"/>
      <c r="G4759"/>
      <c r="H4759" s="242"/>
      <c r="I4759" s="242"/>
      <c r="J4759" s="242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</row>
    <row r="4760" spans="1:26" hidden="1">
      <c r="A4760"/>
      <c r="B4760" s="249"/>
      <c r="C4760"/>
      <c r="D4760"/>
      <c r="E4760"/>
      <c r="F4760" s="242"/>
      <c r="G4760"/>
      <c r="H4760" s="242"/>
      <c r="I4760" s="242"/>
      <c r="J4760" s="242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</row>
    <row r="4761" spans="1:26" hidden="1">
      <c r="A4761"/>
      <c r="B4761" s="249"/>
      <c r="C4761"/>
      <c r="D4761"/>
      <c r="E4761"/>
      <c r="F4761" s="242"/>
      <c r="G4761"/>
      <c r="H4761" s="242"/>
      <c r="I4761" s="242"/>
      <c r="J4761" s="242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</row>
    <row r="4762" spans="1:26" hidden="1">
      <c r="A4762"/>
      <c r="B4762" s="249"/>
      <c r="C4762"/>
      <c r="D4762"/>
      <c r="E4762"/>
      <c r="F4762" s="242"/>
      <c r="G4762"/>
      <c r="H4762" s="242"/>
      <c r="I4762" s="242"/>
      <c r="J4762" s="242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</row>
    <row r="4763" spans="1:26" hidden="1">
      <c r="A4763"/>
      <c r="B4763" s="249"/>
      <c r="C4763"/>
      <c r="D4763"/>
      <c r="E4763"/>
      <c r="F4763" s="242"/>
      <c r="G4763"/>
      <c r="H4763" s="242"/>
      <c r="I4763" s="242"/>
      <c r="J4763" s="242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</row>
    <row r="4764" spans="1:26" hidden="1">
      <c r="A4764"/>
      <c r="B4764" s="249"/>
      <c r="C4764"/>
      <c r="D4764"/>
      <c r="E4764"/>
      <c r="F4764" s="242"/>
      <c r="G4764"/>
      <c r="H4764" s="242"/>
      <c r="I4764" s="242"/>
      <c r="J4764" s="242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</row>
    <row r="4765" spans="1:26" hidden="1">
      <c r="A4765"/>
      <c r="B4765" s="249"/>
      <c r="C4765"/>
      <c r="D4765"/>
      <c r="E4765"/>
      <c r="F4765" s="242"/>
      <c r="G4765"/>
      <c r="H4765" s="242"/>
      <c r="I4765" s="242"/>
      <c r="J4765" s="242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</row>
    <row r="4766" spans="1:26" hidden="1">
      <c r="A4766"/>
      <c r="B4766" s="249"/>
      <c r="C4766"/>
      <c r="D4766"/>
      <c r="E4766"/>
      <c r="F4766" s="242"/>
      <c r="G4766"/>
      <c r="H4766" s="242"/>
      <c r="I4766" s="242"/>
      <c r="J4766" s="242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</row>
    <row r="4767" spans="1:26" hidden="1">
      <c r="A4767"/>
      <c r="B4767" s="249"/>
      <c r="C4767"/>
      <c r="D4767"/>
      <c r="E4767"/>
      <c r="F4767" s="242"/>
      <c r="G4767"/>
      <c r="H4767" s="242"/>
      <c r="I4767" s="242"/>
      <c r="J4767" s="242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</row>
    <row r="4768" spans="1:26" hidden="1">
      <c r="A4768"/>
      <c r="B4768" s="249"/>
      <c r="C4768"/>
      <c r="D4768"/>
      <c r="E4768"/>
      <c r="F4768" s="242"/>
      <c r="G4768"/>
      <c r="H4768" s="242"/>
      <c r="I4768" s="242"/>
      <c r="J4768" s="242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</row>
    <row r="4769" spans="1:26" hidden="1">
      <c r="A4769"/>
      <c r="B4769" s="249"/>
      <c r="C4769"/>
      <c r="D4769"/>
      <c r="E4769"/>
      <c r="F4769" s="242"/>
      <c r="G4769"/>
      <c r="H4769" s="242"/>
      <c r="I4769" s="242"/>
      <c r="J4769" s="242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</row>
    <row r="4770" spans="1:26" hidden="1">
      <c r="A4770"/>
      <c r="B4770" s="249"/>
      <c r="C4770"/>
      <c r="D4770"/>
      <c r="E4770"/>
      <c r="F4770" s="242"/>
      <c r="G4770"/>
      <c r="H4770" s="242"/>
      <c r="I4770" s="242"/>
      <c r="J4770" s="242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</row>
    <row r="4771" spans="1:26" hidden="1">
      <c r="A4771"/>
      <c r="B4771" s="249"/>
      <c r="C4771"/>
      <c r="D4771"/>
      <c r="E4771"/>
      <c r="F4771" s="242"/>
      <c r="G4771"/>
      <c r="H4771" s="242"/>
      <c r="I4771" s="242"/>
      <c r="J4771" s="242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</row>
    <row r="4772" spans="1:26" hidden="1">
      <c r="A4772"/>
      <c r="B4772" s="249"/>
      <c r="C4772"/>
      <c r="D4772"/>
      <c r="E4772"/>
      <c r="F4772" s="242"/>
      <c r="G4772"/>
      <c r="H4772" s="242"/>
      <c r="I4772" s="242"/>
      <c r="J4772" s="242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</row>
    <row r="4773" spans="1:26" hidden="1">
      <c r="A4773"/>
      <c r="B4773" s="249"/>
      <c r="C4773"/>
      <c r="D4773"/>
      <c r="E4773"/>
      <c r="F4773" s="242"/>
      <c r="G4773"/>
      <c r="H4773" s="242"/>
      <c r="I4773" s="242"/>
      <c r="J4773" s="242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</row>
    <row r="4774" spans="1:26" hidden="1">
      <c r="A4774"/>
      <c r="B4774" s="249"/>
      <c r="C4774"/>
      <c r="D4774"/>
      <c r="E4774"/>
      <c r="F4774" s="242"/>
      <c r="G4774"/>
      <c r="H4774" s="242"/>
      <c r="I4774" s="242"/>
      <c r="J4774" s="242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</row>
    <row r="4775" spans="1:26" hidden="1">
      <c r="A4775"/>
      <c r="B4775" s="249"/>
      <c r="C4775"/>
      <c r="D4775"/>
      <c r="E4775"/>
      <c r="F4775" s="242"/>
      <c r="G4775"/>
      <c r="H4775" s="242"/>
      <c r="I4775" s="242"/>
      <c r="J4775" s="242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</row>
    <row r="4776" spans="1:26" hidden="1">
      <c r="A4776"/>
      <c r="B4776" s="249"/>
      <c r="C4776"/>
      <c r="D4776"/>
      <c r="E4776"/>
      <c r="F4776" s="242"/>
      <c r="G4776"/>
      <c r="H4776" s="242"/>
      <c r="I4776" s="242"/>
      <c r="J4776" s="242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</row>
    <row r="4777" spans="1:26" hidden="1">
      <c r="A4777"/>
      <c r="B4777" s="249"/>
      <c r="C4777"/>
      <c r="D4777"/>
      <c r="E4777"/>
      <c r="F4777" s="242"/>
      <c r="G4777"/>
      <c r="H4777" s="242"/>
      <c r="I4777" s="242"/>
      <c r="J4777" s="242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</row>
    <row r="4778" spans="1:26" hidden="1">
      <c r="A4778"/>
      <c r="B4778" s="249"/>
      <c r="C4778"/>
      <c r="D4778"/>
      <c r="E4778"/>
      <c r="F4778" s="242"/>
      <c r="G4778"/>
      <c r="H4778" s="242"/>
      <c r="I4778" s="242"/>
      <c r="J4778" s="242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</row>
    <row r="4779" spans="1:26" hidden="1">
      <c r="A4779"/>
      <c r="B4779" s="249"/>
      <c r="C4779"/>
      <c r="D4779"/>
      <c r="E4779"/>
      <c r="F4779" s="242"/>
      <c r="G4779"/>
      <c r="H4779" s="242"/>
      <c r="I4779" s="242"/>
      <c r="J4779" s="242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</row>
    <row r="4780" spans="1:26" hidden="1">
      <c r="A4780"/>
      <c r="B4780" s="249"/>
      <c r="C4780"/>
      <c r="D4780"/>
      <c r="E4780"/>
      <c r="F4780" s="242"/>
      <c r="G4780"/>
      <c r="H4780" s="242"/>
      <c r="I4780" s="242"/>
      <c r="J4780" s="242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</row>
    <row r="4781" spans="1:26" hidden="1">
      <c r="A4781"/>
      <c r="B4781" s="249"/>
      <c r="C4781"/>
      <c r="D4781"/>
      <c r="E4781"/>
      <c r="F4781" s="242"/>
      <c r="G4781"/>
      <c r="H4781" s="242"/>
      <c r="I4781" s="242"/>
      <c r="J4781" s="242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</row>
    <row r="4782" spans="1:26" hidden="1">
      <c r="A4782"/>
      <c r="B4782" s="249"/>
      <c r="C4782"/>
      <c r="D4782"/>
      <c r="E4782"/>
      <c r="F4782" s="242"/>
      <c r="G4782"/>
      <c r="H4782" s="242"/>
      <c r="I4782" s="242"/>
      <c r="J4782" s="242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</row>
    <row r="4783" spans="1:26" hidden="1">
      <c r="A4783"/>
      <c r="B4783" s="249"/>
      <c r="C4783"/>
      <c r="D4783"/>
      <c r="E4783"/>
      <c r="F4783" s="242"/>
      <c r="G4783"/>
      <c r="H4783" s="242"/>
      <c r="I4783" s="242"/>
      <c r="J4783" s="242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</row>
    <row r="4784" spans="1:26" hidden="1">
      <c r="A4784"/>
      <c r="B4784" s="249"/>
      <c r="C4784"/>
      <c r="D4784"/>
      <c r="E4784"/>
      <c r="F4784" s="242"/>
      <c r="G4784"/>
      <c r="H4784" s="242"/>
      <c r="I4784" s="242"/>
      <c r="J4784" s="242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</row>
    <row r="4785" spans="1:26" hidden="1">
      <c r="A4785"/>
      <c r="B4785" s="249"/>
      <c r="C4785"/>
      <c r="D4785"/>
      <c r="E4785"/>
      <c r="F4785" s="242"/>
      <c r="G4785"/>
      <c r="H4785" s="242"/>
      <c r="I4785" s="242"/>
      <c r="J4785" s="242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</row>
    <row r="4786" spans="1:26" hidden="1">
      <c r="A4786"/>
      <c r="B4786" s="249"/>
      <c r="C4786"/>
      <c r="D4786"/>
      <c r="E4786"/>
      <c r="F4786" s="242"/>
      <c r="G4786"/>
      <c r="H4786" s="242"/>
      <c r="I4786" s="242"/>
      <c r="J4786" s="242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</row>
    <row r="4787" spans="1:26" hidden="1">
      <c r="A4787"/>
      <c r="B4787" s="249"/>
      <c r="C4787"/>
      <c r="D4787"/>
      <c r="E4787"/>
      <c r="F4787" s="242"/>
      <c r="G4787"/>
      <c r="H4787" s="242"/>
      <c r="I4787" s="242"/>
      <c r="J4787" s="242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</row>
    <row r="4788" spans="1:26" hidden="1">
      <c r="A4788"/>
      <c r="B4788" s="249"/>
      <c r="C4788"/>
      <c r="D4788"/>
      <c r="E4788"/>
      <c r="F4788" s="242"/>
      <c r="G4788"/>
      <c r="H4788" s="242"/>
      <c r="I4788" s="242"/>
      <c r="J4788" s="242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</row>
    <row r="4789" spans="1:26" hidden="1">
      <c r="A4789"/>
      <c r="B4789" s="249"/>
      <c r="C4789"/>
      <c r="D4789"/>
      <c r="E4789"/>
      <c r="F4789" s="242"/>
      <c r="G4789"/>
      <c r="H4789" s="242"/>
      <c r="I4789" s="242"/>
      <c r="J4789" s="242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</row>
    <row r="4790" spans="1:26" hidden="1">
      <c r="A4790"/>
      <c r="B4790" s="249"/>
      <c r="C4790"/>
      <c r="D4790"/>
      <c r="E4790"/>
      <c r="F4790" s="242"/>
      <c r="G4790"/>
      <c r="H4790" s="242"/>
      <c r="I4790" s="242"/>
      <c r="J4790" s="242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</row>
    <row r="4791" spans="1:26" hidden="1">
      <c r="A4791"/>
      <c r="B4791" s="249"/>
      <c r="C4791"/>
      <c r="D4791"/>
      <c r="E4791"/>
      <c r="F4791" s="242"/>
      <c r="G4791"/>
      <c r="H4791" s="242"/>
      <c r="I4791" s="242"/>
      <c r="J4791" s="242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</row>
    <row r="4792" spans="1:26" hidden="1">
      <c r="A4792"/>
      <c r="B4792" s="249"/>
      <c r="C4792"/>
      <c r="D4792"/>
      <c r="E4792"/>
      <c r="F4792" s="242"/>
      <c r="G4792"/>
      <c r="H4792" s="242"/>
      <c r="I4792" s="242"/>
      <c r="J4792" s="242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</row>
    <row r="4793" spans="1:26" hidden="1">
      <c r="A4793"/>
      <c r="B4793" s="249"/>
      <c r="C4793"/>
      <c r="D4793"/>
      <c r="E4793"/>
      <c r="F4793" s="242"/>
      <c r="G4793"/>
      <c r="H4793" s="242"/>
      <c r="I4793" s="242"/>
      <c r="J4793" s="242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</row>
    <row r="4794" spans="1:26" hidden="1">
      <c r="A4794"/>
      <c r="B4794" s="249"/>
      <c r="C4794"/>
      <c r="D4794"/>
      <c r="E4794"/>
      <c r="F4794" s="242"/>
      <c r="G4794"/>
      <c r="H4794" s="242"/>
      <c r="I4794" s="242"/>
      <c r="J4794" s="242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</row>
    <row r="4795" spans="1:26" hidden="1">
      <c r="A4795"/>
      <c r="B4795" s="249"/>
      <c r="C4795"/>
      <c r="D4795"/>
      <c r="E4795"/>
      <c r="F4795" s="242"/>
      <c r="G4795"/>
      <c r="H4795" s="242"/>
      <c r="I4795" s="242"/>
      <c r="J4795" s="242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</row>
    <row r="4796" spans="1:26" hidden="1">
      <c r="A4796"/>
      <c r="B4796" s="249"/>
      <c r="C4796"/>
      <c r="D4796"/>
      <c r="E4796"/>
      <c r="F4796" s="242"/>
      <c r="G4796"/>
      <c r="H4796" s="242"/>
      <c r="I4796" s="242"/>
      <c r="J4796" s="242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</row>
    <row r="4797" spans="1:26" hidden="1">
      <c r="A4797"/>
      <c r="B4797" s="249"/>
      <c r="C4797"/>
      <c r="D4797"/>
      <c r="E4797"/>
      <c r="F4797" s="242"/>
      <c r="G4797"/>
      <c r="H4797" s="242"/>
      <c r="I4797" s="242"/>
      <c r="J4797" s="242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</row>
    <row r="4798" spans="1:26" hidden="1">
      <c r="A4798"/>
      <c r="B4798" s="249"/>
      <c r="C4798"/>
      <c r="D4798"/>
      <c r="E4798"/>
      <c r="F4798" s="242"/>
      <c r="G4798"/>
      <c r="H4798" s="242"/>
      <c r="I4798" s="242"/>
      <c r="J4798" s="242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</row>
    <row r="4799" spans="1:26" hidden="1">
      <c r="A4799"/>
      <c r="B4799" s="249"/>
      <c r="C4799"/>
      <c r="D4799"/>
      <c r="E4799"/>
      <c r="F4799" s="242"/>
      <c r="G4799"/>
      <c r="H4799" s="242"/>
      <c r="I4799" s="242"/>
      <c r="J4799" s="242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</row>
    <row r="4800" spans="1:26" hidden="1">
      <c r="A4800"/>
      <c r="B4800" s="249"/>
      <c r="C4800"/>
      <c r="D4800"/>
      <c r="E4800"/>
      <c r="F4800" s="242"/>
      <c r="G4800"/>
      <c r="H4800" s="242"/>
      <c r="I4800" s="242"/>
      <c r="J4800" s="242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</row>
    <row r="4801" spans="1:26" hidden="1">
      <c r="A4801"/>
      <c r="B4801" s="249"/>
      <c r="C4801"/>
      <c r="D4801"/>
      <c r="E4801"/>
      <c r="F4801" s="242"/>
      <c r="G4801"/>
      <c r="H4801" s="242"/>
      <c r="I4801" s="242"/>
      <c r="J4801" s="242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</row>
    <row r="4802" spans="1:26" hidden="1">
      <c r="A4802"/>
      <c r="B4802" s="249"/>
      <c r="C4802"/>
      <c r="D4802"/>
      <c r="E4802"/>
      <c r="F4802" s="242"/>
      <c r="G4802"/>
      <c r="H4802" s="242"/>
      <c r="I4802" s="242"/>
      <c r="J4802" s="242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</row>
    <row r="4803" spans="1:26" hidden="1">
      <c r="A4803"/>
      <c r="B4803" s="249"/>
      <c r="C4803"/>
      <c r="D4803"/>
      <c r="E4803"/>
      <c r="F4803" s="242"/>
      <c r="G4803"/>
      <c r="H4803" s="242"/>
      <c r="I4803" s="242"/>
      <c r="J4803" s="242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</row>
    <row r="4804" spans="1:26" hidden="1">
      <c r="A4804"/>
      <c r="B4804" s="249"/>
      <c r="C4804"/>
      <c r="D4804"/>
      <c r="E4804"/>
      <c r="F4804" s="242"/>
      <c r="G4804"/>
      <c r="H4804" s="242"/>
      <c r="I4804" s="242"/>
      <c r="J4804" s="242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</row>
    <row r="4805" spans="1:26" hidden="1">
      <c r="A4805"/>
      <c r="B4805" s="249"/>
      <c r="C4805"/>
      <c r="D4805"/>
      <c r="E4805"/>
      <c r="F4805" s="242"/>
      <c r="G4805"/>
      <c r="H4805" s="242"/>
      <c r="I4805" s="242"/>
      <c r="J4805" s="242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</row>
    <row r="4806" spans="1:26" hidden="1">
      <c r="A4806"/>
      <c r="B4806" s="249"/>
      <c r="C4806"/>
      <c r="D4806"/>
      <c r="E4806"/>
      <c r="F4806" s="242"/>
      <c r="G4806"/>
      <c r="H4806" s="242"/>
      <c r="I4806" s="242"/>
      <c r="J4806" s="242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</row>
    <row r="4807" spans="1:26" hidden="1">
      <c r="A4807"/>
      <c r="B4807" s="249"/>
      <c r="C4807"/>
      <c r="D4807"/>
      <c r="E4807"/>
      <c r="F4807" s="242"/>
      <c r="G4807"/>
      <c r="H4807" s="242"/>
      <c r="I4807" s="242"/>
      <c r="J4807" s="242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</row>
    <row r="4808" spans="1:26" hidden="1">
      <c r="A4808"/>
      <c r="B4808" s="249"/>
      <c r="C4808"/>
      <c r="D4808"/>
      <c r="E4808"/>
      <c r="F4808" s="242"/>
      <c r="G4808"/>
      <c r="H4808" s="242"/>
      <c r="I4808" s="242"/>
      <c r="J4808" s="242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</row>
    <row r="4809" spans="1:26" hidden="1">
      <c r="A4809"/>
      <c r="B4809" s="249"/>
      <c r="C4809"/>
      <c r="D4809"/>
      <c r="E4809"/>
      <c r="F4809" s="242"/>
      <c r="G4809"/>
      <c r="H4809" s="242"/>
      <c r="I4809" s="242"/>
      <c r="J4809" s="242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</row>
    <row r="4810" spans="1:26" hidden="1">
      <c r="A4810"/>
      <c r="B4810" s="249"/>
      <c r="C4810"/>
      <c r="D4810"/>
      <c r="E4810"/>
      <c r="F4810" s="242"/>
      <c r="G4810"/>
      <c r="H4810" s="242"/>
      <c r="I4810" s="242"/>
      <c r="J4810" s="242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</row>
    <row r="4811" spans="1:26" hidden="1">
      <c r="A4811"/>
      <c r="B4811" s="249"/>
      <c r="C4811"/>
      <c r="D4811"/>
      <c r="E4811"/>
      <c r="F4811" s="242"/>
      <c r="G4811"/>
      <c r="H4811" s="242"/>
      <c r="I4811" s="242"/>
      <c r="J4811" s="242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</row>
    <row r="4812" spans="1:26" hidden="1">
      <c r="A4812"/>
      <c r="B4812" s="249"/>
      <c r="C4812"/>
      <c r="D4812"/>
      <c r="E4812"/>
      <c r="F4812" s="242"/>
      <c r="G4812"/>
      <c r="H4812" s="242"/>
      <c r="I4812" s="242"/>
      <c r="J4812" s="242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</row>
    <row r="4813" spans="1:26" hidden="1">
      <c r="A4813"/>
      <c r="B4813" s="249"/>
      <c r="C4813"/>
      <c r="D4813"/>
      <c r="E4813"/>
      <c r="F4813" s="242"/>
      <c r="G4813"/>
      <c r="H4813" s="242"/>
      <c r="I4813" s="242"/>
      <c r="J4813" s="242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</row>
    <row r="4814" spans="1:26" hidden="1">
      <c r="A4814"/>
      <c r="B4814" s="249"/>
      <c r="C4814"/>
      <c r="D4814"/>
      <c r="E4814"/>
      <c r="F4814" s="242"/>
      <c r="G4814"/>
      <c r="H4814" s="242"/>
      <c r="I4814" s="242"/>
      <c r="J4814" s="242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</row>
    <row r="4815" spans="1:26" hidden="1">
      <c r="A4815"/>
      <c r="B4815" s="249"/>
      <c r="C4815"/>
      <c r="D4815"/>
      <c r="E4815"/>
      <c r="F4815" s="242"/>
      <c r="G4815"/>
      <c r="H4815" s="242"/>
      <c r="I4815" s="242"/>
      <c r="J4815" s="242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</row>
    <row r="4816" spans="1:26" hidden="1">
      <c r="A4816"/>
      <c r="B4816" s="249"/>
      <c r="C4816"/>
      <c r="D4816"/>
      <c r="E4816"/>
      <c r="F4816" s="242"/>
      <c r="G4816"/>
      <c r="H4816" s="242"/>
      <c r="I4816" s="242"/>
      <c r="J4816" s="242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</row>
    <row r="4817" spans="1:26" hidden="1">
      <c r="A4817"/>
      <c r="B4817" s="249"/>
      <c r="C4817"/>
      <c r="D4817"/>
      <c r="E4817"/>
      <c r="F4817" s="242"/>
      <c r="G4817"/>
      <c r="H4817" s="242"/>
      <c r="I4817" s="242"/>
      <c r="J4817" s="242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</row>
    <row r="4818" spans="1:26" hidden="1">
      <c r="A4818"/>
      <c r="B4818" s="249"/>
      <c r="C4818"/>
      <c r="D4818"/>
      <c r="E4818"/>
      <c r="F4818" s="242"/>
      <c r="G4818"/>
      <c r="H4818" s="242"/>
      <c r="I4818" s="242"/>
      <c r="J4818" s="242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</row>
    <row r="4819" spans="1:26" hidden="1">
      <c r="A4819"/>
      <c r="B4819" s="249"/>
      <c r="C4819"/>
      <c r="D4819"/>
      <c r="E4819"/>
      <c r="F4819" s="242"/>
      <c r="G4819"/>
      <c r="H4819" s="242"/>
      <c r="I4819" s="242"/>
      <c r="J4819" s="242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</row>
    <row r="4820" spans="1:26" hidden="1">
      <c r="A4820"/>
      <c r="B4820" s="249"/>
      <c r="C4820"/>
      <c r="D4820"/>
      <c r="E4820"/>
      <c r="F4820" s="242"/>
      <c r="G4820"/>
      <c r="H4820" s="242"/>
      <c r="I4820" s="242"/>
      <c r="J4820" s="242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</row>
    <row r="4821" spans="1:26" hidden="1">
      <c r="A4821"/>
      <c r="B4821" s="249"/>
      <c r="C4821"/>
      <c r="D4821"/>
      <c r="E4821"/>
      <c r="F4821" s="242"/>
      <c r="G4821"/>
      <c r="H4821" s="242"/>
      <c r="I4821" s="242"/>
      <c r="J4821" s="242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</row>
    <row r="4822" spans="1:26" hidden="1">
      <c r="A4822"/>
      <c r="B4822" s="249"/>
      <c r="C4822"/>
      <c r="D4822"/>
      <c r="E4822"/>
      <c r="F4822" s="242"/>
      <c r="G4822"/>
      <c r="H4822" s="242"/>
      <c r="I4822" s="242"/>
      <c r="J4822" s="242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</row>
    <row r="4823" spans="1:26" hidden="1">
      <c r="A4823"/>
      <c r="B4823" s="249"/>
      <c r="C4823"/>
      <c r="D4823"/>
      <c r="E4823"/>
      <c r="F4823" s="242"/>
      <c r="G4823"/>
      <c r="H4823" s="242"/>
      <c r="I4823" s="242"/>
      <c r="J4823" s="242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</row>
    <row r="4824" spans="1:26" hidden="1">
      <c r="A4824"/>
      <c r="B4824" s="249"/>
      <c r="C4824"/>
      <c r="D4824"/>
      <c r="E4824"/>
      <c r="F4824" s="242"/>
      <c r="G4824"/>
      <c r="H4824" s="242"/>
      <c r="I4824" s="242"/>
      <c r="J4824" s="242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</row>
    <row r="4825" spans="1:26" hidden="1">
      <c r="A4825"/>
      <c r="B4825" s="249"/>
      <c r="C4825"/>
      <c r="D4825"/>
      <c r="E4825"/>
      <c r="F4825" s="242"/>
      <c r="G4825"/>
      <c r="H4825" s="242"/>
      <c r="I4825" s="242"/>
      <c r="J4825" s="242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</row>
    <row r="4826" spans="1:26" hidden="1">
      <c r="A4826"/>
      <c r="B4826" s="249"/>
      <c r="C4826"/>
      <c r="D4826"/>
      <c r="E4826"/>
      <c r="F4826" s="242"/>
      <c r="G4826"/>
      <c r="H4826" s="242"/>
      <c r="I4826" s="242"/>
      <c r="J4826" s="242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</row>
    <row r="4827" spans="1:26" hidden="1">
      <c r="A4827"/>
      <c r="B4827" s="249"/>
      <c r="C4827"/>
      <c r="D4827"/>
      <c r="E4827"/>
      <c r="F4827" s="242"/>
      <c r="G4827"/>
      <c r="H4827" s="242"/>
      <c r="I4827" s="242"/>
      <c r="J4827" s="242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</row>
    <row r="4828" spans="1:26" hidden="1">
      <c r="A4828"/>
      <c r="B4828" s="249"/>
      <c r="C4828"/>
      <c r="D4828"/>
      <c r="E4828"/>
      <c r="F4828" s="242"/>
      <c r="G4828"/>
      <c r="H4828" s="242"/>
      <c r="I4828" s="242"/>
      <c r="J4828" s="242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</row>
    <row r="4829" spans="1:26" hidden="1">
      <c r="A4829"/>
      <c r="B4829" s="249"/>
      <c r="C4829"/>
      <c r="D4829"/>
      <c r="E4829"/>
      <c r="F4829" s="242"/>
      <c r="G4829"/>
      <c r="H4829" s="242"/>
      <c r="I4829" s="242"/>
      <c r="J4829" s="242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</row>
    <row r="4830" spans="1:26" hidden="1">
      <c r="A4830"/>
      <c r="B4830" s="249"/>
      <c r="C4830"/>
      <c r="D4830"/>
      <c r="E4830"/>
      <c r="F4830" s="242"/>
      <c r="G4830"/>
      <c r="H4830" s="242"/>
      <c r="I4830" s="242"/>
      <c r="J4830" s="242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</row>
    <row r="4831" spans="1:26" hidden="1">
      <c r="A4831"/>
      <c r="B4831" s="249"/>
      <c r="C4831"/>
      <c r="D4831"/>
      <c r="E4831"/>
      <c r="F4831" s="242"/>
      <c r="G4831"/>
      <c r="H4831" s="242"/>
      <c r="I4831" s="242"/>
      <c r="J4831" s="242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</row>
    <row r="4832" spans="1:26" hidden="1">
      <c r="A4832"/>
      <c r="B4832" s="249"/>
      <c r="C4832"/>
      <c r="D4832"/>
      <c r="E4832"/>
      <c r="F4832" s="242"/>
      <c r="G4832"/>
      <c r="H4832" s="242"/>
      <c r="I4832" s="242"/>
      <c r="J4832" s="242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</row>
    <row r="4833" spans="1:26" hidden="1">
      <c r="A4833"/>
      <c r="B4833" s="249"/>
      <c r="C4833"/>
      <c r="D4833"/>
      <c r="E4833"/>
      <c r="F4833" s="242"/>
      <c r="G4833"/>
      <c r="H4833" s="242"/>
      <c r="I4833" s="242"/>
      <c r="J4833" s="242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</row>
    <row r="4834" spans="1:26" hidden="1">
      <c r="A4834"/>
      <c r="B4834" s="249"/>
      <c r="C4834"/>
      <c r="D4834"/>
      <c r="E4834"/>
      <c r="F4834" s="242"/>
      <c r="G4834"/>
      <c r="H4834" s="242"/>
      <c r="I4834" s="242"/>
      <c r="J4834" s="242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</row>
    <row r="4835" spans="1:26" hidden="1">
      <c r="A4835"/>
      <c r="B4835" s="249"/>
      <c r="C4835"/>
      <c r="D4835"/>
      <c r="E4835"/>
      <c r="F4835" s="242"/>
      <c r="G4835"/>
      <c r="H4835" s="242"/>
      <c r="I4835" s="242"/>
      <c r="J4835" s="242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</row>
    <row r="4836" spans="1:26" hidden="1">
      <c r="A4836"/>
      <c r="B4836" s="249"/>
      <c r="C4836"/>
      <c r="D4836"/>
      <c r="E4836"/>
      <c r="F4836" s="242"/>
      <c r="G4836"/>
      <c r="H4836" s="242"/>
      <c r="I4836" s="242"/>
      <c r="J4836" s="242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</row>
    <row r="4837" spans="1:26" hidden="1">
      <c r="A4837"/>
      <c r="B4837" s="249"/>
      <c r="C4837"/>
      <c r="D4837"/>
      <c r="E4837"/>
      <c r="F4837" s="242"/>
      <c r="G4837"/>
      <c r="H4837" s="242"/>
      <c r="I4837" s="242"/>
      <c r="J4837" s="242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</row>
    <row r="4838" spans="1:26" hidden="1">
      <c r="A4838"/>
      <c r="B4838" s="249"/>
      <c r="C4838"/>
      <c r="D4838"/>
      <c r="E4838"/>
      <c r="F4838" s="242"/>
      <c r="G4838"/>
      <c r="H4838" s="242"/>
      <c r="I4838" s="242"/>
      <c r="J4838" s="242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</row>
    <row r="4839" spans="1:26" hidden="1">
      <c r="A4839"/>
      <c r="B4839" s="249"/>
      <c r="C4839"/>
      <c r="D4839"/>
      <c r="E4839"/>
      <c r="F4839" s="242"/>
      <c r="G4839"/>
      <c r="H4839" s="242"/>
      <c r="I4839" s="242"/>
      <c r="J4839" s="242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</row>
    <row r="4840" spans="1:26" hidden="1">
      <c r="A4840"/>
      <c r="B4840" s="249"/>
      <c r="C4840"/>
      <c r="D4840"/>
      <c r="E4840"/>
      <c r="F4840" s="242"/>
      <c r="G4840"/>
      <c r="H4840" s="242"/>
      <c r="I4840" s="242"/>
      <c r="J4840" s="242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</row>
    <row r="4841" spans="1:26" hidden="1">
      <c r="A4841"/>
      <c r="B4841" s="249"/>
      <c r="C4841"/>
      <c r="D4841"/>
      <c r="E4841"/>
      <c r="F4841" s="242"/>
      <c r="G4841"/>
      <c r="H4841" s="242"/>
      <c r="I4841" s="242"/>
      <c r="J4841" s="242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</row>
    <row r="4842" spans="1:26" hidden="1">
      <c r="A4842"/>
      <c r="B4842" s="249"/>
      <c r="C4842"/>
      <c r="D4842"/>
      <c r="E4842"/>
      <c r="F4842" s="242"/>
      <c r="G4842"/>
      <c r="H4842" s="242"/>
      <c r="I4842" s="242"/>
      <c r="J4842" s="242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</row>
    <row r="4843" spans="1:26" hidden="1">
      <c r="A4843"/>
      <c r="B4843" s="249"/>
      <c r="C4843"/>
      <c r="D4843"/>
      <c r="E4843"/>
      <c r="F4843" s="242"/>
      <c r="G4843"/>
      <c r="H4843" s="242"/>
      <c r="I4843" s="242"/>
      <c r="J4843" s="242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</row>
    <row r="4844" spans="1:26" hidden="1">
      <c r="A4844"/>
      <c r="B4844" s="249"/>
      <c r="C4844"/>
      <c r="D4844"/>
      <c r="E4844"/>
      <c r="F4844" s="242"/>
      <c r="G4844"/>
      <c r="H4844" s="242"/>
      <c r="I4844" s="242"/>
      <c r="J4844" s="242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</row>
    <row r="4845" spans="1:26" hidden="1">
      <c r="A4845"/>
      <c r="B4845" s="249"/>
      <c r="C4845"/>
      <c r="D4845"/>
      <c r="E4845"/>
      <c r="F4845" s="242"/>
      <c r="G4845"/>
      <c r="H4845" s="242"/>
      <c r="I4845" s="242"/>
      <c r="J4845" s="242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</row>
    <row r="4846" spans="1:26" hidden="1">
      <c r="A4846"/>
      <c r="B4846" s="249"/>
      <c r="C4846"/>
      <c r="D4846"/>
      <c r="E4846"/>
      <c r="F4846" s="242"/>
      <c r="G4846"/>
      <c r="H4846" s="242"/>
      <c r="I4846" s="242"/>
      <c r="J4846" s="242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</row>
    <row r="4847" spans="1:26" hidden="1">
      <c r="A4847"/>
      <c r="B4847" s="249"/>
      <c r="C4847"/>
      <c r="D4847"/>
      <c r="E4847"/>
      <c r="F4847" s="242"/>
      <c r="G4847"/>
      <c r="H4847" s="242"/>
      <c r="I4847" s="242"/>
      <c r="J4847" s="242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</row>
    <row r="4848" spans="1:26" hidden="1">
      <c r="A4848"/>
      <c r="B4848" s="249"/>
      <c r="C4848"/>
      <c r="D4848"/>
      <c r="E4848"/>
      <c r="F4848" s="242"/>
      <c r="G4848"/>
      <c r="H4848" s="242"/>
      <c r="I4848" s="242"/>
      <c r="J4848" s="242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</row>
    <row r="4849" spans="1:26" hidden="1">
      <c r="A4849"/>
      <c r="B4849" s="249"/>
      <c r="C4849"/>
      <c r="D4849"/>
      <c r="E4849"/>
      <c r="F4849" s="242"/>
      <c r="G4849"/>
      <c r="H4849" s="242"/>
      <c r="I4849" s="242"/>
      <c r="J4849" s="242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</row>
    <row r="4850" spans="1:26" hidden="1">
      <c r="A4850"/>
      <c r="B4850" s="249"/>
      <c r="C4850"/>
      <c r="D4850"/>
      <c r="E4850"/>
      <c r="F4850" s="242"/>
      <c r="G4850"/>
      <c r="H4850" s="242"/>
      <c r="I4850" s="242"/>
      <c r="J4850" s="242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</row>
    <row r="4851" spans="1:26" hidden="1">
      <c r="A4851"/>
      <c r="B4851" s="249"/>
      <c r="C4851"/>
      <c r="D4851"/>
      <c r="E4851"/>
      <c r="F4851" s="242"/>
      <c r="G4851"/>
      <c r="H4851" s="242"/>
      <c r="I4851" s="242"/>
      <c r="J4851" s="242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</row>
    <row r="4852" spans="1:26" hidden="1">
      <c r="A4852"/>
      <c r="B4852" s="249"/>
      <c r="C4852"/>
      <c r="D4852"/>
      <c r="E4852"/>
      <c r="F4852" s="242"/>
      <c r="G4852"/>
      <c r="H4852" s="242"/>
      <c r="I4852" s="242"/>
      <c r="J4852" s="242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</row>
    <row r="4853" spans="1:26" hidden="1">
      <c r="A4853"/>
      <c r="B4853" s="249"/>
      <c r="C4853"/>
      <c r="D4853"/>
      <c r="E4853"/>
      <c r="F4853" s="242"/>
      <c r="G4853"/>
      <c r="H4853" s="242"/>
      <c r="I4853" s="242"/>
      <c r="J4853" s="242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</row>
    <row r="4854" spans="1:26" hidden="1">
      <c r="A4854"/>
      <c r="B4854" s="249"/>
      <c r="C4854"/>
      <c r="D4854"/>
      <c r="E4854"/>
      <c r="F4854" s="242"/>
      <c r="G4854"/>
      <c r="H4854" s="242"/>
      <c r="I4854" s="242"/>
      <c r="J4854" s="242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</row>
    <row r="4855" spans="1:26" hidden="1">
      <c r="A4855"/>
      <c r="B4855" s="249"/>
      <c r="C4855"/>
      <c r="D4855"/>
      <c r="E4855"/>
      <c r="F4855" s="242"/>
      <c r="G4855"/>
      <c r="H4855" s="242"/>
      <c r="I4855" s="242"/>
      <c r="J4855" s="242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</row>
    <row r="4856" spans="1:26" hidden="1">
      <c r="A4856"/>
      <c r="B4856" s="249"/>
      <c r="C4856"/>
      <c r="D4856"/>
      <c r="E4856"/>
      <c r="F4856" s="242"/>
      <c r="G4856"/>
      <c r="H4856" s="242"/>
      <c r="I4856" s="242"/>
      <c r="J4856" s="242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</row>
    <row r="4857" spans="1:26" hidden="1">
      <c r="A4857"/>
      <c r="B4857" s="249"/>
      <c r="C4857"/>
      <c r="D4857"/>
      <c r="E4857"/>
      <c r="F4857" s="242"/>
      <c r="G4857"/>
      <c r="H4857" s="242"/>
      <c r="I4857" s="242"/>
      <c r="J4857" s="242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</row>
    <row r="4858" spans="1:26" hidden="1">
      <c r="A4858"/>
      <c r="B4858" s="249"/>
      <c r="C4858"/>
      <c r="D4858"/>
      <c r="E4858"/>
      <c r="F4858" s="242"/>
      <c r="G4858"/>
      <c r="H4858" s="242"/>
      <c r="I4858" s="242"/>
      <c r="J4858" s="242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</row>
    <row r="4859" spans="1:26" hidden="1">
      <c r="A4859"/>
      <c r="B4859" s="249"/>
      <c r="C4859"/>
      <c r="D4859"/>
      <c r="E4859"/>
      <c r="F4859" s="242"/>
      <c r="G4859"/>
      <c r="H4859" s="242"/>
      <c r="I4859" s="242"/>
      <c r="J4859" s="242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</row>
    <row r="4860" spans="1:26" hidden="1">
      <c r="A4860"/>
      <c r="B4860" s="249"/>
      <c r="C4860"/>
      <c r="D4860"/>
      <c r="E4860"/>
      <c r="F4860" s="242"/>
      <c r="G4860"/>
      <c r="H4860" s="242"/>
      <c r="I4860" s="242"/>
      <c r="J4860" s="242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</row>
    <row r="4861" spans="1:26" hidden="1">
      <c r="A4861"/>
      <c r="B4861" s="249"/>
      <c r="C4861"/>
      <c r="D4861"/>
      <c r="E4861"/>
      <c r="F4861" s="242"/>
      <c r="G4861"/>
      <c r="H4861" s="242"/>
      <c r="I4861" s="242"/>
      <c r="J4861" s="242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</row>
    <row r="4862" spans="1:26" hidden="1">
      <c r="A4862"/>
      <c r="B4862" s="249"/>
      <c r="C4862"/>
      <c r="D4862"/>
      <c r="E4862"/>
      <c r="F4862" s="242"/>
      <c r="G4862"/>
      <c r="H4862" s="242"/>
      <c r="I4862" s="242"/>
      <c r="J4862" s="242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</row>
    <row r="4863" spans="1:26" hidden="1">
      <c r="A4863"/>
      <c r="B4863" s="249"/>
      <c r="C4863"/>
      <c r="D4863"/>
      <c r="E4863"/>
      <c r="F4863" s="242"/>
      <c r="G4863"/>
      <c r="H4863" s="242"/>
      <c r="I4863" s="242"/>
      <c r="J4863" s="242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</row>
    <row r="4864" spans="1:26" hidden="1">
      <c r="A4864"/>
      <c r="B4864" s="249"/>
      <c r="C4864"/>
      <c r="D4864"/>
      <c r="E4864"/>
      <c r="F4864" s="242"/>
      <c r="G4864"/>
      <c r="H4864" s="242"/>
      <c r="I4864" s="242"/>
      <c r="J4864" s="242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</row>
    <row r="4865" spans="1:26" hidden="1">
      <c r="A4865"/>
      <c r="B4865" s="249"/>
      <c r="C4865"/>
      <c r="D4865"/>
      <c r="E4865"/>
      <c r="F4865" s="242"/>
      <c r="G4865"/>
      <c r="H4865" s="242"/>
      <c r="I4865" s="242"/>
      <c r="J4865" s="242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</row>
    <row r="4866" spans="1:26" hidden="1">
      <c r="A4866"/>
      <c r="B4866" s="249"/>
      <c r="C4866"/>
      <c r="D4866"/>
      <c r="E4866"/>
      <c r="F4866" s="242"/>
      <c r="G4866"/>
      <c r="H4866" s="242"/>
      <c r="I4866" s="242"/>
      <c r="J4866" s="242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</row>
    <row r="4867" spans="1:26" hidden="1">
      <c r="A4867"/>
      <c r="B4867" s="249"/>
      <c r="C4867"/>
      <c r="D4867"/>
      <c r="E4867"/>
      <c r="F4867" s="242"/>
      <c r="G4867"/>
      <c r="H4867" s="242"/>
      <c r="I4867" s="242"/>
      <c r="J4867" s="242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</row>
    <row r="4868" spans="1:26" hidden="1">
      <c r="A4868"/>
      <c r="B4868" s="249"/>
      <c r="C4868"/>
      <c r="D4868"/>
      <c r="E4868"/>
      <c r="F4868" s="242"/>
      <c r="G4868"/>
      <c r="H4868" s="242"/>
      <c r="I4868" s="242"/>
      <c r="J4868" s="242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</row>
    <row r="4869" spans="1:26" hidden="1">
      <c r="A4869"/>
      <c r="B4869" s="249"/>
      <c r="C4869"/>
      <c r="D4869"/>
      <c r="E4869"/>
      <c r="F4869" s="242"/>
      <c r="G4869"/>
      <c r="H4869" s="242"/>
      <c r="I4869" s="242"/>
      <c r="J4869" s="242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</row>
    <row r="4870" spans="1:26" hidden="1">
      <c r="A4870"/>
      <c r="B4870" s="249"/>
      <c r="C4870"/>
      <c r="D4870"/>
      <c r="E4870"/>
      <c r="F4870" s="242"/>
      <c r="G4870"/>
      <c r="H4870" s="242"/>
      <c r="I4870" s="242"/>
      <c r="J4870" s="242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</row>
    <row r="4871" spans="1:26" hidden="1">
      <c r="A4871"/>
      <c r="B4871" s="249"/>
      <c r="C4871"/>
      <c r="D4871"/>
      <c r="E4871"/>
      <c r="F4871" s="242"/>
      <c r="G4871"/>
      <c r="H4871" s="242"/>
      <c r="I4871" s="242"/>
      <c r="J4871" s="242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</row>
    <row r="4872" spans="1:26" hidden="1">
      <c r="A4872"/>
      <c r="B4872" s="249"/>
      <c r="C4872"/>
      <c r="D4872"/>
      <c r="E4872"/>
      <c r="F4872" s="242"/>
      <c r="G4872"/>
      <c r="H4872" s="242"/>
      <c r="I4872" s="242"/>
      <c r="J4872" s="242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</row>
    <row r="4873" spans="1:26" hidden="1">
      <c r="A4873"/>
      <c r="B4873" s="249"/>
      <c r="C4873"/>
      <c r="D4873"/>
      <c r="E4873"/>
      <c r="F4873" s="242"/>
      <c r="G4873"/>
      <c r="H4873" s="242"/>
      <c r="I4873" s="242"/>
      <c r="J4873" s="242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</row>
    <row r="4874" spans="1:26" hidden="1">
      <c r="A4874"/>
      <c r="B4874" s="249"/>
      <c r="C4874"/>
      <c r="D4874"/>
      <c r="E4874"/>
      <c r="F4874" s="242"/>
      <c r="G4874"/>
      <c r="H4874" s="242"/>
      <c r="I4874" s="242"/>
      <c r="J4874" s="242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</row>
    <row r="4875" spans="1:26" hidden="1">
      <c r="A4875"/>
      <c r="B4875" s="249"/>
      <c r="C4875"/>
      <c r="D4875"/>
      <c r="E4875"/>
      <c r="F4875" s="242"/>
      <c r="G4875"/>
      <c r="H4875" s="242"/>
      <c r="I4875" s="242"/>
      <c r="J4875" s="242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</row>
    <row r="4876" spans="1:26" hidden="1">
      <c r="A4876"/>
      <c r="B4876" s="249"/>
      <c r="C4876"/>
      <c r="D4876"/>
      <c r="E4876"/>
      <c r="F4876" s="242"/>
      <c r="G4876"/>
      <c r="H4876" s="242"/>
      <c r="I4876" s="242"/>
      <c r="J4876" s="242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</row>
    <row r="4877" spans="1:26" hidden="1">
      <c r="A4877"/>
      <c r="B4877" s="249"/>
      <c r="C4877"/>
      <c r="D4877"/>
      <c r="E4877"/>
      <c r="F4877" s="242"/>
      <c r="G4877"/>
      <c r="H4877" s="242"/>
      <c r="I4877" s="242"/>
      <c r="J4877" s="242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</row>
    <row r="4878" spans="1:26" hidden="1">
      <c r="A4878"/>
      <c r="B4878" s="249"/>
      <c r="C4878"/>
      <c r="D4878"/>
      <c r="E4878"/>
      <c r="F4878" s="242"/>
      <c r="G4878"/>
      <c r="H4878" s="242"/>
      <c r="I4878" s="242"/>
      <c r="J4878" s="242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</row>
    <row r="4879" spans="1:26" hidden="1">
      <c r="A4879"/>
      <c r="B4879" s="249"/>
      <c r="C4879"/>
      <c r="D4879"/>
      <c r="E4879"/>
      <c r="F4879" s="242"/>
      <c r="G4879"/>
      <c r="H4879" s="242"/>
      <c r="I4879" s="242"/>
      <c r="J4879" s="242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</row>
    <row r="4880" spans="1:26" hidden="1">
      <c r="A4880"/>
      <c r="B4880" s="249"/>
      <c r="C4880"/>
      <c r="D4880"/>
      <c r="E4880"/>
      <c r="F4880" s="242"/>
      <c r="G4880"/>
      <c r="H4880" s="242"/>
      <c r="I4880" s="242"/>
      <c r="J4880" s="242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</row>
    <row r="4881" spans="1:26" hidden="1">
      <c r="A4881"/>
      <c r="B4881" s="249"/>
      <c r="C4881"/>
      <c r="D4881"/>
      <c r="E4881"/>
      <c r="F4881" s="242"/>
      <c r="G4881"/>
      <c r="H4881" s="242"/>
      <c r="I4881" s="242"/>
      <c r="J4881" s="242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</row>
    <row r="4882" spans="1:26" hidden="1">
      <c r="A4882"/>
      <c r="B4882" s="249"/>
      <c r="C4882"/>
      <c r="D4882"/>
      <c r="E4882"/>
      <c r="F4882" s="242"/>
      <c r="G4882"/>
      <c r="H4882" s="242"/>
      <c r="I4882" s="242"/>
      <c r="J4882" s="242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</row>
    <row r="4883" spans="1:26" hidden="1">
      <c r="A4883"/>
      <c r="B4883" s="249"/>
      <c r="C4883"/>
      <c r="D4883"/>
      <c r="E4883"/>
      <c r="F4883" s="242"/>
      <c r="G4883"/>
      <c r="H4883" s="242"/>
      <c r="I4883" s="242"/>
      <c r="J4883" s="242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</row>
    <row r="4884" spans="1:26" hidden="1">
      <c r="A4884"/>
      <c r="B4884" s="249"/>
      <c r="C4884"/>
      <c r="D4884"/>
      <c r="E4884"/>
      <c r="F4884" s="242"/>
      <c r="G4884"/>
      <c r="H4884" s="242"/>
      <c r="I4884" s="242"/>
      <c r="J4884" s="242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</row>
    <row r="4885" spans="1:26" hidden="1">
      <c r="A4885"/>
      <c r="B4885" s="249"/>
      <c r="C4885"/>
      <c r="D4885"/>
      <c r="E4885"/>
      <c r="F4885" s="242"/>
      <c r="G4885"/>
      <c r="H4885" s="242"/>
      <c r="I4885" s="242"/>
      <c r="J4885" s="242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</row>
    <row r="4886" spans="1:26" hidden="1">
      <c r="A4886"/>
      <c r="B4886" s="249"/>
      <c r="C4886"/>
      <c r="D4886"/>
      <c r="E4886"/>
      <c r="F4886" s="242"/>
      <c r="G4886"/>
      <c r="H4886" s="242"/>
      <c r="I4886" s="242"/>
      <c r="J4886" s="242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</row>
    <row r="4887" spans="1:26" hidden="1">
      <c r="A4887"/>
      <c r="B4887" s="249"/>
      <c r="C4887"/>
      <c r="D4887"/>
      <c r="E4887"/>
      <c r="F4887" s="242"/>
      <c r="G4887"/>
      <c r="H4887" s="242"/>
      <c r="I4887" s="242"/>
      <c r="J4887" s="242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</row>
    <row r="4888" spans="1:26" hidden="1">
      <c r="A4888"/>
      <c r="B4888" s="249"/>
      <c r="C4888"/>
      <c r="D4888"/>
      <c r="E4888"/>
      <c r="F4888" s="242"/>
      <c r="G4888"/>
      <c r="H4888" s="242"/>
      <c r="I4888" s="242"/>
      <c r="J4888" s="242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</row>
    <row r="4889" spans="1:26" hidden="1">
      <c r="A4889"/>
      <c r="B4889" s="249"/>
      <c r="C4889"/>
      <c r="D4889"/>
      <c r="E4889"/>
      <c r="F4889" s="242"/>
      <c r="G4889"/>
      <c r="H4889" s="242"/>
      <c r="I4889" s="242"/>
      <c r="J4889" s="242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</row>
    <row r="4890" spans="1:26" hidden="1">
      <c r="A4890"/>
      <c r="B4890" s="249"/>
      <c r="C4890"/>
      <c r="D4890"/>
      <c r="E4890"/>
      <c r="F4890" s="242"/>
      <c r="G4890"/>
      <c r="H4890" s="242"/>
      <c r="I4890" s="242"/>
      <c r="J4890" s="242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</row>
    <row r="4891" spans="1:26" hidden="1">
      <c r="A4891"/>
      <c r="B4891" s="249"/>
      <c r="C4891"/>
      <c r="D4891"/>
      <c r="E4891"/>
      <c r="F4891" s="242"/>
      <c r="G4891"/>
      <c r="H4891" s="242"/>
      <c r="I4891" s="242"/>
      <c r="J4891" s="242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</row>
    <row r="4892" spans="1:26" hidden="1">
      <c r="A4892"/>
      <c r="B4892" s="249"/>
      <c r="C4892"/>
      <c r="D4892"/>
      <c r="E4892"/>
      <c r="F4892" s="242"/>
      <c r="G4892"/>
      <c r="H4892" s="242"/>
      <c r="I4892" s="242"/>
      <c r="J4892" s="242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</row>
    <row r="4893" spans="1:26" hidden="1">
      <c r="A4893"/>
      <c r="B4893" s="249"/>
      <c r="C4893"/>
      <c r="D4893"/>
      <c r="E4893"/>
      <c r="F4893" s="242"/>
      <c r="G4893"/>
      <c r="H4893" s="242"/>
      <c r="I4893" s="242"/>
      <c r="J4893" s="242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</row>
    <row r="4894" spans="1:26" hidden="1">
      <c r="A4894"/>
      <c r="B4894" s="249"/>
      <c r="C4894"/>
      <c r="D4894"/>
      <c r="E4894"/>
      <c r="F4894" s="242"/>
      <c r="G4894"/>
      <c r="H4894" s="242"/>
      <c r="I4894" s="242"/>
      <c r="J4894" s="242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</row>
    <row r="4895" spans="1:26" hidden="1">
      <c r="A4895"/>
      <c r="B4895" s="249"/>
      <c r="C4895"/>
      <c r="D4895"/>
      <c r="E4895"/>
      <c r="F4895" s="242"/>
      <c r="G4895"/>
      <c r="H4895" s="242"/>
      <c r="I4895" s="242"/>
      <c r="J4895" s="242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</row>
    <row r="4896" spans="1:26" hidden="1">
      <c r="A4896"/>
      <c r="B4896" s="249"/>
      <c r="C4896"/>
      <c r="D4896"/>
      <c r="E4896"/>
      <c r="F4896" s="242"/>
      <c r="G4896"/>
      <c r="H4896" s="242"/>
      <c r="I4896" s="242"/>
      <c r="J4896" s="242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</row>
    <row r="4897" spans="1:26" hidden="1">
      <c r="A4897"/>
      <c r="B4897" s="249"/>
      <c r="C4897"/>
      <c r="D4897"/>
      <c r="E4897"/>
      <c r="F4897" s="242"/>
      <c r="G4897"/>
      <c r="H4897" s="242"/>
      <c r="I4897" s="242"/>
      <c r="J4897" s="242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</row>
    <row r="4898" spans="1:26" hidden="1">
      <c r="A4898"/>
      <c r="B4898" s="249"/>
      <c r="C4898"/>
      <c r="D4898"/>
      <c r="E4898"/>
      <c r="F4898" s="242"/>
      <c r="G4898"/>
      <c r="H4898" s="242"/>
      <c r="I4898" s="242"/>
      <c r="J4898" s="242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</row>
    <row r="4899" spans="1:26" hidden="1">
      <c r="A4899"/>
      <c r="B4899" s="249"/>
      <c r="C4899"/>
      <c r="D4899"/>
      <c r="E4899"/>
      <c r="F4899" s="242"/>
      <c r="G4899"/>
      <c r="H4899" s="242"/>
      <c r="I4899" s="242"/>
      <c r="J4899" s="242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</row>
    <row r="4900" spans="1:26" hidden="1">
      <c r="A4900"/>
      <c r="B4900" s="249"/>
      <c r="C4900"/>
      <c r="D4900"/>
      <c r="E4900"/>
      <c r="F4900" s="242"/>
      <c r="G4900"/>
      <c r="H4900" s="242"/>
      <c r="I4900" s="242"/>
      <c r="J4900" s="242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</row>
    <row r="4901" spans="1:26" hidden="1">
      <c r="A4901"/>
      <c r="B4901" s="249"/>
      <c r="C4901"/>
      <c r="D4901"/>
      <c r="E4901"/>
      <c r="F4901" s="242"/>
      <c r="G4901"/>
      <c r="H4901" s="242"/>
      <c r="I4901" s="242"/>
      <c r="J4901" s="242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</row>
    <row r="4902" spans="1:26" hidden="1">
      <c r="A4902"/>
      <c r="B4902" s="249"/>
      <c r="C4902"/>
      <c r="D4902"/>
      <c r="E4902"/>
      <c r="F4902" s="242"/>
      <c r="G4902"/>
      <c r="H4902" s="242"/>
      <c r="I4902" s="242"/>
      <c r="J4902" s="242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</row>
    <row r="4903" spans="1:26" hidden="1">
      <c r="A4903"/>
      <c r="B4903" s="249"/>
      <c r="C4903"/>
      <c r="D4903"/>
      <c r="E4903"/>
      <c r="F4903" s="242"/>
      <c r="G4903"/>
      <c r="H4903" s="242"/>
      <c r="I4903" s="242"/>
      <c r="J4903" s="242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</row>
    <row r="4904" spans="1:26" hidden="1">
      <c r="A4904"/>
      <c r="B4904" s="249"/>
      <c r="C4904"/>
      <c r="D4904"/>
      <c r="E4904"/>
      <c r="F4904" s="242"/>
      <c r="G4904"/>
      <c r="H4904" s="242"/>
      <c r="I4904" s="242"/>
      <c r="J4904" s="242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</row>
    <row r="4905" spans="1:26" hidden="1">
      <c r="A4905"/>
      <c r="B4905" s="249"/>
      <c r="C4905"/>
      <c r="D4905"/>
      <c r="E4905"/>
      <c r="F4905" s="242"/>
      <c r="G4905"/>
      <c r="H4905" s="242"/>
      <c r="I4905" s="242"/>
      <c r="J4905" s="242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</row>
    <row r="4906" spans="1:26" hidden="1">
      <c r="A4906"/>
      <c r="B4906" s="249"/>
      <c r="C4906"/>
      <c r="D4906"/>
      <c r="E4906"/>
      <c r="F4906" s="242"/>
      <c r="G4906"/>
      <c r="H4906" s="242"/>
      <c r="I4906" s="242"/>
      <c r="J4906" s="242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</row>
    <row r="4907" spans="1:26" hidden="1">
      <c r="A4907"/>
      <c r="B4907" s="249"/>
      <c r="C4907"/>
      <c r="D4907"/>
      <c r="E4907"/>
      <c r="F4907" s="242"/>
      <c r="G4907"/>
      <c r="H4907" s="242"/>
      <c r="I4907" s="242"/>
      <c r="J4907" s="242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</row>
    <row r="4908" spans="1:26" hidden="1">
      <c r="A4908"/>
      <c r="B4908" s="249"/>
      <c r="C4908"/>
      <c r="D4908"/>
      <c r="E4908"/>
      <c r="F4908" s="242"/>
      <c r="G4908"/>
      <c r="H4908" s="242"/>
      <c r="I4908" s="242"/>
      <c r="J4908" s="242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</row>
    <row r="4909" spans="1:26" hidden="1">
      <c r="A4909"/>
      <c r="B4909" s="249"/>
      <c r="C4909"/>
      <c r="D4909"/>
      <c r="E4909"/>
      <c r="F4909" s="242"/>
      <c r="G4909"/>
      <c r="H4909" s="242"/>
      <c r="I4909" s="242"/>
      <c r="J4909" s="242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</row>
    <row r="4910" spans="1:26" hidden="1">
      <c r="A4910"/>
      <c r="B4910" s="249"/>
      <c r="C4910"/>
      <c r="D4910"/>
      <c r="E4910"/>
      <c r="F4910" s="242"/>
      <c r="G4910"/>
      <c r="H4910" s="242"/>
      <c r="I4910" s="242"/>
      <c r="J4910" s="242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</row>
    <row r="4911" spans="1:26" hidden="1">
      <c r="A4911"/>
      <c r="B4911" s="249"/>
      <c r="C4911"/>
      <c r="D4911"/>
      <c r="E4911"/>
      <c r="F4911" s="242"/>
      <c r="G4911"/>
      <c r="H4911" s="242"/>
      <c r="I4911" s="242"/>
      <c r="J4911" s="242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</row>
    <row r="4912" spans="1:26" hidden="1">
      <c r="A4912"/>
      <c r="B4912" s="249"/>
      <c r="C4912"/>
      <c r="D4912"/>
      <c r="E4912"/>
      <c r="F4912" s="242"/>
      <c r="G4912"/>
      <c r="H4912" s="242"/>
      <c r="I4912" s="242"/>
      <c r="J4912" s="242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</row>
    <row r="4913" spans="1:26" hidden="1">
      <c r="A4913"/>
      <c r="B4913" s="249"/>
      <c r="C4913"/>
      <c r="D4913"/>
      <c r="E4913"/>
      <c r="F4913" s="242"/>
      <c r="G4913"/>
      <c r="H4913" s="242"/>
      <c r="I4913" s="242"/>
      <c r="J4913" s="242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</row>
    <row r="4914" spans="1:26" hidden="1">
      <c r="A4914"/>
      <c r="B4914" s="249"/>
      <c r="C4914"/>
      <c r="D4914"/>
      <c r="E4914"/>
      <c r="F4914" s="242"/>
      <c r="G4914"/>
      <c r="H4914" s="242"/>
      <c r="I4914" s="242"/>
      <c r="J4914" s="242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</row>
    <row r="4915" spans="1:26" hidden="1">
      <c r="A4915"/>
      <c r="B4915" s="249"/>
      <c r="C4915"/>
      <c r="D4915"/>
      <c r="E4915"/>
      <c r="F4915" s="242"/>
      <c r="G4915"/>
      <c r="H4915" s="242"/>
      <c r="I4915" s="242"/>
      <c r="J4915" s="242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</row>
    <row r="4916" spans="1:26" hidden="1">
      <c r="A4916"/>
      <c r="B4916" s="249"/>
      <c r="C4916"/>
      <c r="D4916"/>
      <c r="E4916"/>
      <c r="F4916" s="242"/>
      <c r="G4916"/>
      <c r="H4916" s="242"/>
      <c r="I4916" s="242"/>
      <c r="J4916" s="242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</row>
    <row r="4917" spans="1:26" hidden="1">
      <c r="A4917"/>
      <c r="B4917" s="249"/>
      <c r="C4917"/>
      <c r="D4917"/>
      <c r="E4917"/>
      <c r="F4917" s="242"/>
      <c r="G4917"/>
      <c r="H4917" s="242"/>
      <c r="I4917" s="242"/>
      <c r="J4917" s="242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</row>
    <row r="4918" spans="1:26" hidden="1">
      <c r="A4918"/>
      <c r="B4918" s="249"/>
      <c r="C4918"/>
      <c r="D4918"/>
      <c r="E4918"/>
      <c r="F4918" s="242"/>
      <c r="G4918"/>
      <c r="H4918" s="242"/>
      <c r="I4918" s="242"/>
      <c r="J4918" s="242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</row>
    <row r="4919" spans="1:26" hidden="1">
      <c r="A4919"/>
      <c r="B4919" s="249"/>
      <c r="C4919"/>
      <c r="D4919"/>
      <c r="E4919"/>
      <c r="F4919" s="242"/>
      <c r="G4919"/>
      <c r="H4919" s="242"/>
      <c r="I4919" s="242"/>
      <c r="J4919" s="242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</row>
    <row r="4920" spans="1:26" hidden="1">
      <c r="A4920"/>
      <c r="B4920" s="249"/>
      <c r="C4920"/>
      <c r="D4920"/>
      <c r="E4920"/>
      <c r="F4920" s="242"/>
      <c r="G4920"/>
      <c r="H4920" s="242"/>
      <c r="I4920" s="242"/>
      <c r="J4920" s="242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</row>
    <row r="4921" spans="1:26" hidden="1">
      <c r="A4921"/>
      <c r="B4921" s="249"/>
      <c r="C4921"/>
      <c r="D4921"/>
      <c r="E4921"/>
      <c r="F4921" s="242"/>
      <c r="G4921"/>
      <c r="H4921" s="242"/>
      <c r="I4921" s="242"/>
      <c r="J4921" s="242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</row>
    <row r="4922" spans="1:26" hidden="1">
      <c r="A4922"/>
      <c r="B4922" s="249"/>
      <c r="C4922"/>
      <c r="D4922"/>
      <c r="E4922"/>
      <c r="F4922" s="242"/>
      <c r="G4922"/>
      <c r="H4922" s="242"/>
      <c r="I4922" s="242"/>
      <c r="J4922" s="242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</row>
    <row r="4923" spans="1:26" hidden="1">
      <c r="A4923"/>
      <c r="B4923" s="249"/>
      <c r="C4923"/>
      <c r="D4923"/>
      <c r="E4923"/>
      <c r="F4923" s="242"/>
      <c r="G4923"/>
      <c r="H4923" s="242"/>
      <c r="I4923" s="242"/>
      <c r="J4923" s="242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</row>
    <row r="4924" spans="1:26" hidden="1">
      <c r="A4924"/>
      <c r="B4924" s="249"/>
      <c r="C4924"/>
      <c r="D4924"/>
      <c r="E4924"/>
      <c r="F4924" s="242"/>
      <c r="G4924"/>
      <c r="H4924" s="242"/>
      <c r="I4924" s="242"/>
      <c r="J4924" s="242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</row>
    <row r="4925" spans="1:26" hidden="1">
      <c r="A4925"/>
      <c r="B4925" s="249"/>
      <c r="C4925"/>
      <c r="D4925"/>
      <c r="E4925"/>
      <c r="F4925" s="242"/>
      <c r="G4925"/>
      <c r="H4925" s="242"/>
      <c r="I4925" s="242"/>
      <c r="J4925" s="242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</row>
    <row r="4926" spans="1:26" hidden="1">
      <c r="A4926"/>
      <c r="B4926" s="249"/>
      <c r="C4926"/>
      <c r="D4926"/>
      <c r="E4926"/>
      <c r="F4926" s="242"/>
      <c r="G4926"/>
      <c r="H4926" s="242"/>
      <c r="I4926" s="242"/>
      <c r="J4926" s="242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</row>
    <row r="4927" spans="1:26" hidden="1">
      <c r="A4927"/>
      <c r="B4927" s="249"/>
      <c r="C4927"/>
      <c r="D4927"/>
      <c r="E4927"/>
      <c r="F4927" s="242"/>
      <c r="G4927"/>
      <c r="H4927" s="242"/>
      <c r="I4927" s="242"/>
      <c r="J4927" s="242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</row>
    <row r="4928" spans="1:26" hidden="1">
      <c r="A4928"/>
      <c r="B4928" s="249"/>
      <c r="C4928"/>
      <c r="D4928"/>
      <c r="E4928"/>
      <c r="F4928" s="242"/>
      <c r="G4928"/>
      <c r="H4928" s="242"/>
      <c r="I4928" s="242"/>
      <c r="J4928" s="242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</row>
    <row r="4929" spans="1:26" hidden="1">
      <c r="A4929"/>
      <c r="B4929" s="249"/>
      <c r="C4929"/>
      <c r="D4929"/>
      <c r="E4929"/>
      <c r="F4929" s="242"/>
      <c r="G4929"/>
      <c r="H4929" s="242"/>
      <c r="I4929" s="242"/>
      <c r="J4929" s="242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</row>
    <row r="4930" spans="1:26" hidden="1">
      <c r="A4930"/>
      <c r="B4930" s="249"/>
      <c r="C4930"/>
      <c r="D4930"/>
      <c r="E4930"/>
      <c r="F4930" s="242"/>
      <c r="G4930"/>
      <c r="H4930" s="242"/>
      <c r="I4930" s="242"/>
      <c r="J4930" s="242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</row>
    <row r="4931" spans="1:26" hidden="1">
      <c r="A4931"/>
      <c r="B4931" s="249"/>
      <c r="C4931"/>
      <c r="D4931"/>
      <c r="E4931"/>
      <c r="F4931" s="242"/>
      <c r="G4931"/>
      <c r="H4931" s="242"/>
      <c r="I4931" s="242"/>
      <c r="J4931" s="242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</row>
    <row r="4932" spans="1:26" hidden="1">
      <c r="A4932"/>
      <c r="B4932" s="249"/>
      <c r="C4932"/>
      <c r="D4932"/>
      <c r="E4932"/>
      <c r="F4932" s="242"/>
      <c r="G4932"/>
      <c r="H4932" s="242"/>
      <c r="I4932" s="242"/>
      <c r="J4932" s="242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</row>
    <row r="4933" spans="1:26" hidden="1">
      <c r="A4933"/>
      <c r="B4933" s="249"/>
      <c r="C4933"/>
      <c r="D4933"/>
      <c r="E4933"/>
      <c r="F4933" s="242"/>
      <c r="G4933"/>
      <c r="H4933" s="242"/>
      <c r="I4933" s="242"/>
      <c r="J4933" s="242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</row>
    <row r="4934" spans="1:26" hidden="1">
      <c r="A4934"/>
      <c r="B4934" s="249"/>
      <c r="C4934"/>
      <c r="D4934"/>
      <c r="E4934"/>
      <c r="F4934" s="242"/>
      <c r="G4934"/>
      <c r="H4934" s="242"/>
      <c r="I4934" s="242"/>
      <c r="J4934" s="242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</row>
    <row r="4935" spans="1:26" hidden="1">
      <c r="A4935"/>
      <c r="B4935" s="249"/>
      <c r="C4935"/>
      <c r="D4935"/>
      <c r="E4935"/>
      <c r="F4935" s="242"/>
      <c r="G4935"/>
      <c r="H4935" s="242"/>
      <c r="I4935" s="242"/>
      <c r="J4935" s="242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</row>
    <row r="4936" spans="1:26" hidden="1">
      <c r="A4936"/>
      <c r="B4936" s="249"/>
      <c r="C4936"/>
      <c r="D4936"/>
      <c r="E4936"/>
      <c r="F4936" s="242"/>
      <c r="G4936"/>
      <c r="H4936" s="242"/>
      <c r="I4936" s="242"/>
      <c r="J4936" s="242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</row>
    <row r="4937" spans="1:26" hidden="1">
      <c r="A4937"/>
      <c r="B4937" s="249"/>
      <c r="C4937"/>
      <c r="D4937"/>
      <c r="E4937"/>
      <c r="F4937" s="242"/>
      <c r="G4937"/>
      <c r="H4937" s="242"/>
      <c r="I4937" s="242"/>
      <c r="J4937" s="242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</row>
    <row r="4938" spans="1:26" hidden="1">
      <c r="A4938"/>
      <c r="B4938" s="249"/>
      <c r="C4938"/>
      <c r="D4938"/>
      <c r="E4938"/>
      <c r="F4938" s="242"/>
      <c r="G4938"/>
      <c r="H4938" s="242"/>
      <c r="I4938" s="242"/>
      <c r="J4938" s="242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</row>
    <row r="4939" spans="1:26" hidden="1">
      <c r="A4939"/>
      <c r="B4939" s="249"/>
      <c r="C4939"/>
      <c r="D4939"/>
      <c r="E4939"/>
      <c r="F4939" s="242"/>
      <c r="G4939"/>
      <c r="H4939" s="242"/>
      <c r="I4939" s="242"/>
      <c r="J4939" s="242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</row>
    <row r="4940" spans="1:26" hidden="1">
      <c r="A4940"/>
      <c r="B4940" s="249"/>
      <c r="C4940"/>
      <c r="D4940"/>
      <c r="E4940"/>
      <c r="F4940" s="242"/>
      <c r="G4940"/>
      <c r="H4940" s="242"/>
      <c r="I4940" s="242"/>
      <c r="J4940" s="242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</row>
    <row r="4941" spans="1:26" hidden="1">
      <c r="A4941"/>
      <c r="B4941" s="249"/>
      <c r="C4941"/>
      <c r="D4941"/>
      <c r="E4941"/>
      <c r="F4941" s="242"/>
      <c r="G4941"/>
      <c r="H4941" s="242"/>
      <c r="I4941" s="242"/>
      <c r="J4941" s="242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</row>
    <row r="4942" spans="1:26" hidden="1">
      <c r="A4942"/>
      <c r="B4942" s="249"/>
      <c r="C4942"/>
      <c r="D4942"/>
      <c r="E4942"/>
      <c r="F4942" s="242"/>
      <c r="G4942"/>
      <c r="H4942" s="242"/>
      <c r="I4942" s="242"/>
      <c r="J4942" s="242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</row>
    <row r="4943" spans="1:26" hidden="1">
      <c r="A4943"/>
      <c r="B4943" s="249"/>
      <c r="C4943"/>
      <c r="D4943"/>
      <c r="E4943"/>
      <c r="F4943" s="242"/>
      <c r="G4943"/>
      <c r="H4943" s="242"/>
      <c r="I4943" s="242"/>
      <c r="J4943" s="242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</row>
    <row r="4944" spans="1:26" hidden="1">
      <c r="A4944"/>
      <c r="B4944" s="249"/>
      <c r="C4944"/>
      <c r="D4944"/>
      <c r="E4944"/>
      <c r="F4944" s="242"/>
      <c r="G4944"/>
      <c r="H4944" s="242"/>
      <c r="I4944" s="242"/>
      <c r="J4944" s="242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</row>
    <row r="4945" spans="1:26" hidden="1">
      <c r="A4945"/>
      <c r="B4945" s="249"/>
      <c r="C4945"/>
      <c r="D4945"/>
      <c r="E4945"/>
      <c r="F4945" s="242"/>
      <c r="G4945"/>
      <c r="H4945" s="242"/>
      <c r="I4945" s="242"/>
      <c r="J4945" s="242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</row>
    <row r="4946" spans="1:26" hidden="1">
      <c r="A4946"/>
      <c r="B4946" s="249"/>
      <c r="C4946"/>
      <c r="D4946"/>
      <c r="E4946"/>
      <c r="F4946" s="242"/>
      <c r="G4946"/>
      <c r="H4946" s="242"/>
      <c r="I4946" s="242"/>
      <c r="J4946" s="242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</row>
    <row r="4947" spans="1:26" hidden="1">
      <c r="A4947"/>
      <c r="B4947" s="249"/>
      <c r="C4947"/>
      <c r="D4947"/>
      <c r="E4947"/>
      <c r="F4947" s="242"/>
      <c r="G4947"/>
      <c r="H4947" s="242"/>
      <c r="I4947" s="242"/>
      <c r="J4947" s="242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</row>
    <row r="4948" spans="1:26" hidden="1">
      <c r="A4948"/>
      <c r="B4948" s="249"/>
      <c r="C4948"/>
      <c r="D4948"/>
      <c r="E4948"/>
      <c r="F4948" s="242"/>
      <c r="G4948"/>
      <c r="H4948" s="242"/>
      <c r="I4948" s="242"/>
      <c r="J4948" s="242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</row>
    <row r="4949" spans="1:26" hidden="1">
      <c r="A4949"/>
      <c r="B4949" s="249"/>
      <c r="C4949"/>
      <c r="D4949"/>
      <c r="E4949"/>
      <c r="F4949" s="242"/>
      <c r="G4949"/>
      <c r="H4949" s="242"/>
      <c r="I4949" s="242"/>
      <c r="J4949" s="242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</row>
    <row r="4950" spans="1:26" hidden="1">
      <c r="A4950"/>
      <c r="B4950" s="249"/>
      <c r="C4950"/>
      <c r="D4950"/>
      <c r="E4950"/>
      <c r="F4950" s="242"/>
      <c r="G4950"/>
      <c r="H4950" s="242"/>
      <c r="I4950" s="242"/>
      <c r="J4950" s="242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</row>
    <row r="4951" spans="1:26" hidden="1">
      <c r="A4951"/>
      <c r="B4951" s="249"/>
      <c r="C4951"/>
      <c r="D4951"/>
      <c r="E4951"/>
      <c r="F4951" s="242"/>
      <c r="G4951"/>
      <c r="H4951" s="242"/>
      <c r="I4951" s="242"/>
      <c r="J4951" s="242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</row>
    <row r="4952" spans="1:26" hidden="1">
      <c r="A4952"/>
      <c r="B4952" s="249"/>
      <c r="C4952"/>
      <c r="D4952"/>
      <c r="E4952"/>
      <c r="F4952" s="242"/>
      <c r="G4952"/>
      <c r="H4952" s="242"/>
      <c r="I4952" s="242"/>
      <c r="J4952" s="242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</row>
    <row r="4953" spans="1:26" hidden="1">
      <c r="A4953"/>
      <c r="B4953" s="249"/>
      <c r="C4953"/>
      <c r="D4953"/>
      <c r="E4953"/>
      <c r="F4953" s="242"/>
      <c r="G4953"/>
      <c r="H4953" s="242"/>
      <c r="I4953" s="242"/>
      <c r="J4953" s="242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</row>
    <row r="4954" spans="1:26" hidden="1">
      <c r="A4954"/>
      <c r="B4954" s="249"/>
      <c r="C4954"/>
      <c r="D4954"/>
      <c r="E4954"/>
      <c r="F4954" s="242"/>
      <c r="G4954"/>
      <c r="H4954" s="242"/>
      <c r="I4954" s="242"/>
      <c r="J4954" s="242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</row>
    <row r="4955" spans="1:26" hidden="1">
      <c r="A4955"/>
      <c r="B4955" s="249"/>
      <c r="C4955"/>
      <c r="D4955"/>
      <c r="E4955"/>
      <c r="F4955" s="242"/>
      <c r="G4955"/>
      <c r="H4955" s="242"/>
      <c r="I4955" s="242"/>
      <c r="J4955" s="242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</row>
    <row r="4956" spans="1:26" hidden="1">
      <c r="A4956"/>
      <c r="B4956" s="249"/>
      <c r="C4956"/>
      <c r="D4956"/>
      <c r="E4956"/>
      <c r="F4956" s="242"/>
      <c r="G4956"/>
      <c r="H4956" s="242"/>
      <c r="I4956" s="242"/>
      <c r="J4956" s="242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</row>
    <row r="4957" spans="1:26" hidden="1">
      <c r="A4957"/>
      <c r="B4957" s="249"/>
      <c r="C4957"/>
      <c r="D4957"/>
      <c r="E4957"/>
      <c r="F4957" s="242"/>
      <c r="G4957"/>
      <c r="H4957" s="242"/>
      <c r="I4957" s="242"/>
      <c r="J4957" s="242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</row>
    <row r="4958" spans="1:26" hidden="1">
      <c r="A4958"/>
      <c r="B4958" s="249"/>
      <c r="C4958"/>
      <c r="D4958"/>
      <c r="E4958"/>
      <c r="F4958" s="242"/>
      <c r="G4958"/>
      <c r="H4958" s="242"/>
      <c r="I4958" s="242"/>
      <c r="J4958" s="242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</row>
    <row r="4959" spans="1:26" hidden="1">
      <c r="A4959"/>
      <c r="B4959" s="249"/>
      <c r="C4959"/>
      <c r="D4959"/>
      <c r="E4959"/>
      <c r="F4959" s="242"/>
      <c r="G4959"/>
      <c r="H4959" s="242"/>
      <c r="I4959" s="242"/>
      <c r="J4959" s="242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</row>
    <row r="4960" spans="1:26" hidden="1">
      <c r="A4960"/>
      <c r="B4960" s="249"/>
      <c r="C4960"/>
      <c r="D4960"/>
      <c r="E4960"/>
      <c r="F4960" s="242"/>
      <c r="G4960"/>
      <c r="H4960" s="242"/>
      <c r="I4960" s="242"/>
      <c r="J4960" s="242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</row>
    <row r="4961" spans="1:26" hidden="1">
      <c r="A4961"/>
      <c r="B4961" s="249"/>
      <c r="C4961"/>
      <c r="D4961"/>
      <c r="E4961"/>
      <c r="F4961" s="242"/>
      <c r="G4961"/>
      <c r="H4961" s="242"/>
      <c r="I4961" s="242"/>
      <c r="J4961" s="242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</row>
    <row r="4962" spans="1:26" hidden="1">
      <c r="A4962"/>
      <c r="B4962" s="249"/>
      <c r="C4962"/>
      <c r="D4962"/>
      <c r="E4962"/>
      <c r="F4962" s="242"/>
      <c r="G4962"/>
      <c r="H4962" s="242"/>
      <c r="I4962" s="242"/>
      <c r="J4962" s="242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</row>
    <row r="4963" spans="1:26" hidden="1">
      <c r="A4963"/>
      <c r="B4963" s="249"/>
      <c r="C4963"/>
      <c r="D4963"/>
      <c r="E4963"/>
      <c r="F4963" s="242"/>
      <c r="G4963"/>
      <c r="H4963" s="242"/>
      <c r="I4963" s="242"/>
      <c r="J4963" s="242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</row>
    <row r="4964" spans="1:26" hidden="1">
      <c r="A4964"/>
      <c r="B4964" s="249"/>
      <c r="C4964"/>
      <c r="D4964"/>
      <c r="E4964"/>
      <c r="F4964" s="242"/>
      <c r="G4964"/>
      <c r="H4964" s="242"/>
      <c r="I4964" s="242"/>
      <c r="J4964" s="242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</row>
    <row r="4965" spans="1:26" hidden="1">
      <c r="A4965"/>
      <c r="B4965" s="249"/>
      <c r="C4965"/>
      <c r="D4965"/>
      <c r="E4965"/>
      <c r="F4965" s="242"/>
      <c r="G4965"/>
      <c r="H4965" s="242"/>
      <c r="I4965" s="242"/>
      <c r="J4965" s="242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</row>
    <row r="4966" spans="1:26" hidden="1">
      <c r="A4966"/>
      <c r="B4966" s="249"/>
      <c r="C4966"/>
      <c r="D4966"/>
      <c r="E4966"/>
      <c r="F4966" s="242"/>
      <c r="G4966"/>
      <c r="H4966" s="242"/>
      <c r="I4966" s="242"/>
      <c r="J4966" s="242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</row>
    <row r="4967" spans="1:26" hidden="1">
      <c r="A4967"/>
      <c r="B4967" s="249"/>
      <c r="C4967"/>
      <c r="D4967"/>
      <c r="E4967"/>
      <c r="F4967" s="242"/>
      <c r="G4967"/>
      <c r="H4967" s="242"/>
      <c r="I4967" s="242"/>
      <c r="J4967" s="242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</row>
    <row r="4968" spans="1:26" hidden="1">
      <c r="A4968"/>
      <c r="B4968" s="249"/>
      <c r="C4968"/>
      <c r="D4968"/>
      <c r="E4968"/>
      <c r="F4968" s="242"/>
      <c r="G4968"/>
      <c r="H4968" s="242"/>
      <c r="I4968" s="242"/>
      <c r="J4968" s="242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</row>
    <row r="4969" spans="1:26" hidden="1">
      <c r="A4969"/>
      <c r="B4969" s="249"/>
      <c r="C4969"/>
      <c r="D4969"/>
      <c r="E4969"/>
      <c r="F4969" s="242"/>
      <c r="G4969"/>
      <c r="H4969" s="242"/>
      <c r="I4969" s="242"/>
      <c r="J4969" s="242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</row>
    <row r="4970" spans="1:26" hidden="1">
      <c r="A4970"/>
      <c r="B4970" s="249"/>
      <c r="C4970"/>
      <c r="D4970"/>
      <c r="E4970"/>
      <c r="F4970" s="242"/>
      <c r="G4970"/>
      <c r="H4970" s="242"/>
      <c r="I4970" s="242"/>
      <c r="J4970" s="242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</row>
    <row r="4971" spans="1:26" hidden="1">
      <c r="A4971"/>
      <c r="B4971" s="249"/>
      <c r="C4971"/>
      <c r="D4971"/>
      <c r="E4971"/>
      <c r="F4971" s="242"/>
      <c r="G4971"/>
      <c r="H4971" s="242"/>
      <c r="I4971" s="242"/>
      <c r="J4971" s="242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</row>
    <row r="4972" spans="1:26" hidden="1">
      <c r="A4972"/>
      <c r="B4972" s="249"/>
      <c r="C4972"/>
      <c r="D4972"/>
      <c r="E4972"/>
      <c r="F4972" s="242"/>
      <c r="G4972"/>
      <c r="H4972" s="242"/>
      <c r="I4972" s="242"/>
      <c r="J4972" s="242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</row>
    <row r="4973" spans="1:26" hidden="1">
      <c r="A4973"/>
      <c r="B4973" s="249"/>
      <c r="C4973"/>
      <c r="D4973"/>
      <c r="E4973"/>
      <c r="F4973" s="242"/>
      <c r="G4973"/>
      <c r="H4973" s="242"/>
      <c r="I4973" s="242"/>
      <c r="J4973" s="242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</row>
    <row r="4974" spans="1:26" hidden="1">
      <c r="A4974"/>
      <c r="B4974" s="249"/>
      <c r="C4974"/>
      <c r="D4974"/>
      <c r="E4974"/>
      <c r="F4974" s="242"/>
      <c r="G4974"/>
      <c r="H4974" s="242"/>
      <c r="I4974" s="242"/>
      <c r="J4974" s="242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</row>
    <row r="4975" spans="1:26" hidden="1">
      <c r="A4975"/>
      <c r="B4975" s="249"/>
      <c r="C4975"/>
      <c r="D4975"/>
      <c r="E4975"/>
      <c r="F4975" s="242"/>
      <c r="G4975"/>
      <c r="H4975" s="242"/>
      <c r="I4975" s="242"/>
      <c r="J4975" s="242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</row>
    <row r="4976" spans="1:26" hidden="1">
      <c r="A4976"/>
      <c r="B4976" s="249"/>
      <c r="C4976"/>
      <c r="D4976"/>
      <c r="E4976"/>
      <c r="F4976" s="242"/>
      <c r="G4976"/>
      <c r="H4976" s="242"/>
      <c r="I4976" s="242"/>
      <c r="J4976" s="242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</row>
    <row r="4977" spans="1:26" hidden="1">
      <c r="A4977"/>
      <c r="B4977" s="249"/>
      <c r="C4977"/>
      <c r="D4977"/>
      <c r="E4977"/>
      <c r="F4977" s="242"/>
      <c r="G4977"/>
      <c r="H4977" s="242"/>
      <c r="I4977" s="242"/>
      <c r="J4977" s="242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</row>
    <row r="4978" spans="1:26" hidden="1">
      <c r="A4978"/>
      <c r="B4978" s="249"/>
      <c r="C4978"/>
      <c r="D4978"/>
      <c r="E4978"/>
      <c r="F4978" s="242"/>
      <c r="G4978"/>
      <c r="H4978" s="242"/>
      <c r="I4978" s="242"/>
      <c r="J4978" s="242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</row>
    <row r="4979" spans="1:26" hidden="1">
      <c r="A4979"/>
      <c r="B4979" s="249"/>
      <c r="C4979"/>
      <c r="D4979"/>
      <c r="E4979"/>
      <c r="F4979" s="242"/>
      <c r="G4979"/>
      <c r="H4979" s="242"/>
      <c r="I4979" s="242"/>
      <c r="J4979" s="242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</row>
    <row r="4980" spans="1:26" hidden="1">
      <c r="A4980"/>
      <c r="B4980" s="249"/>
      <c r="C4980"/>
      <c r="D4980"/>
      <c r="E4980"/>
      <c r="F4980" s="242"/>
      <c r="G4980"/>
      <c r="H4980" s="242"/>
      <c r="I4980" s="242"/>
      <c r="J4980" s="242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</row>
    <row r="4981" spans="1:26" hidden="1">
      <c r="A4981"/>
      <c r="B4981" s="249"/>
      <c r="C4981"/>
      <c r="D4981"/>
      <c r="E4981"/>
      <c r="F4981" s="242"/>
      <c r="G4981"/>
      <c r="H4981" s="242"/>
      <c r="I4981" s="242"/>
      <c r="J4981" s="242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</row>
    <row r="4982" spans="1:26" hidden="1">
      <c r="A4982"/>
      <c r="B4982" s="249"/>
      <c r="C4982"/>
      <c r="D4982"/>
      <c r="E4982"/>
      <c r="F4982" s="242"/>
      <c r="G4982"/>
      <c r="H4982" s="242"/>
      <c r="I4982" s="242"/>
      <c r="J4982" s="242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</row>
    <row r="4983" spans="1:26" hidden="1">
      <c r="A4983"/>
      <c r="B4983" s="249"/>
      <c r="C4983"/>
      <c r="D4983"/>
      <c r="E4983"/>
      <c r="F4983" s="242"/>
      <c r="G4983"/>
      <c r="H4983" s="242"/>
      <c r="I4983" s="242"/>
      <c r="J4983" s="242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</row>
    <row r="4984" spans="1:26" hidden="1">
      <c r="A4984"/>
      <c r="B4984" s="249"/>
      <c r="C4984"/>
      <c r="D4984"/>
      <c r="E4984"/>
      <c r="F4984" s="242"/>
      <c r="G4984"/>
      <c r="H4984" s="242"/>
      <c r="I4984" s="242"/>
      <c r="J4984" s="242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</row>
    <row r="4985" spans="1:26" hidden="1">
      <c r="A4985"/>
      <c r="B4985" s="249"/>
      <c r="C4985"/>
      <c r="D4985"/>
      <c r="E4985"/>
      <c r="F4985" s="242"/>
      <c r="G4985"/>
      <c r="H4985" s="242"/>
      <c r="I4985" s="242"/>
      <c r="J4985" s="242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</row>
    <row r="4986" spans="1:26" hidden="1">
      <c r="A4986"/>
      <c r="B4986" s="249"/>
      <c r="C4986"/>
      <c r="D4986"/>
      <c r="E4986"/>
      <c r="F4986" s="242"/>
      <c r="G4986"/>
      <c r="H4986" s="242"/>
      <c r="I4986" s="242"/>
      <c r="J4986" s="242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</row>
    <row r="4987" spans="1:26" hidden="1">
      <c r="A4987"/>
      <c r="B4987" s="249"/>
      <c r="C4987"/>
      <c r="D4987"/>
      <c r="E4987"/>
      <c r="F4987" s="242"/>
      <c r="G4987"/>
      <c r="H4987" s="242"/>
      <c r="I4987" s="242"/>
      <c r="J4987" s="242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</row>
    <row r="4988" spans="1:26" hidden="1">
      <c r="A4988"/>
      <c r="B4988" s="249"/>
      <c r="C4988"/>
      <c r="D4988"/>
      <c r="E4988"/>
      <c r="F4988" s="242"/>
      <c r="G4988"/>
      <c r="H4988" s="242"/>
      <c r="I4988" s="242"/>
      <c r="J4988" s="242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</row>
    <row r="4989" spans="1:26" hidden="1">
      <c r="A4989"/>
      <c r="B4989" s="249"/>
      <c r="C4989"/>
      <c r="D4989"/>
      <c r="E4989"/>
      <c r="F4989" s="242"/>
      <c r="G4989"/>
      <c r="H4989" s="242"/>
      <c r="I4989" s="242"/>
      <c r="J4989" s="242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</row>
    <row r="4990" spans="1:26" hidden="1">
      <c r="A4990"/>
      <c r="B4990" s="249"/>
      <c r="C4990"/>
      <c r="D4990"/>
      <c r="E4990"/>
      <c r="F4990" s="242"/>
      <c r="G4990"/>
      <c r="H4990" s="242"/>
      <c r="I4990" s="242"/>
      <c r="J4990" s="242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</row>
    <row r="4991" spans="1:26" hidden="1">
      <c r="A4991"/>
      <c r="B4991" s="249"/>
      <c r="C4991"/>
      <c r="D4991"/>
      <c r="E4991"/>
      <c r="F4991" s="242"/>
      <c r="G4991"/>
      <c r="H4991" s="242"/>
      <c r="I4991" s="242"/>
      <c r="J4991" s="242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</row>
    <row r="4992" spans="1:26" hidden="1">
      <c r="A4992"/>
      <c r="B4992" s="249"/>
      <c r="C4992"/>
      <c r="D4992"/>
      <c r="E4992"/>
      <c r="F4992" s="242"/>
      <c r="G4992"/>
      <c r="H4992" s="242"/>
      <c r="I4992" s="242"/>
      <c r="J4992" s="242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</row>
    <row r="4993" spans="1:26" hidden="1">
      <c r="A4993"/>
      <c r="B4993" s="249"/>
      <c r="C4993"/>
      <c r="D4993"/>
      <c r="E4993"/>
      <c r="F4993" s="242"/>
      <c r="G4993"/>
      <c r="H4993" s="242"/>
      <c r="I4993" s="242"/>
      <c r="J4993" s="242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</row>
    <row r="4994" spans="1:26" hidden="1">
      <c r="A4994"/>
      <c r="B4994" s="249"/>
      <c r="C4994"/>
      <c r="D4994"/>
      <c r="E4994"/>
      <c r="F4994" s="242"/>
      <c r="G4994"/>
      <c r="H4994" s="242"/>
      <c r="I4994" s="242"/>
      <c r="J4994" s="242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</row>
    <row r="4995" spans="1:26" hidden="1">
      <c r="A4995"/>
      <c r="B4995" s="249"/>
      <c r="C4995"/>
      <c r="D4995"/>
      <c r="E4995"/>
      <c r="F4995" s="242"/>
      <c r="G4995"/>
      <c r="H4995" s="242"/>
      <c r="I4995" s="242"/>
      <c r="J4995" s="242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</row>
    <row r="4996" spans="1:26" hidden="1">
      <c r="A4996"/>
      <c r="B4996" s="249"/>
      <c r="C4996"/>
      <c r="D4996"/>
      <c r="E4996"/>
      <c r="F4996" s="242"/>
      <c r="G4996"/>
      <c r="H4996" s="242"/>
      <c r="I4996" s="242"/>
      <c r="J4996" s="242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</row>
    <row r="4997" spans="1:26" hidden="1">
      <c r="A4997"/>
      <c r="B4997" s="249"/>
      <c r="C4997"/>
      <c r="D4997"/>
      <c r="E4997"/>
      <c r="F4997" s="242"/>
      <c r="G4997"/>
      <c r="H4997" s="242"/>
      <c r="I4997" s="242"/>
      <c r="J4997" s="242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</row>
    <row r="4998" spans="1:26" hidden="1">
      <c r="A4998"/>
      <c r="B4998" s="249"/>
      <c r="C4998"/>
      <c r="D4998"/>
      <c r="E4998"/>
      <c r="F4998" s="242"/>
      <c r="G4998"/>
      <c r="H4998" s="242"/>
      <c r="I4998" s="242"/>
      <c r="J4998" s="242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</row>
    <row r="4999" spans="1:26" hidden="1">
      <c r="A4999"/>
      <c r="B4999" s="249"/>
      <c r="C4999"/>
      <c r="D4999"/>
      <c r="E4999"/>
      <c r="F4999" s="242"/>
      <c r="G4999"/>
      <c r="H4999" s="242"/>
      <c r="I4999" s="242"/>
      <c r="J4999" s="242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</row>
    <row r="5000" spans="1:26" hidden="1">
      <c r="A5000"/>
      <c r="B5000" s="249"/>
      <c r="C5000"/>
      <c r="D5000"/>
      <c r="E5000"/>
      <c r="F5000" s="242"/>
      <c r="G5000"/>
      <c r="H5000" s="242"/>
      <c r="I5000" s="242"/>
      <c r="J5000" s="242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</row>
    <row r="5001" spans="1:26" hidden="1">
      <c r="A5001"/>
      <c r="B5001" s="249"/>
      <c r="C5001"/>
      <c r="D5001"/>
      <c r="E5001"/>
      <c r="F5001" s="242"/>
      <c r="G5001"/>
      <c r="H5001" s="242"/>
      <c r="I5001" s="242"/>
      <c r="J5001" s="242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</row>
    <row r="5002" spans="1:26" hidden="1">
      <c r="A5002"/>
      <c r="B5002" s="249"/>
      <c r="C5002"/>
      <c r="D5002"/>
      <c r="E5002"/>
      <c r="F5002" s="242"/>
      <c r="G5002"/>
      <c r="H5002" s="242"/>
      <c r="I5002" s="242"/>
      <c r="J5002" s="242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</row>
    <row r="5003" spans="1:26" hidden="1">
      <c r="A5003"/>
      <c r="B5003" s="249"/>
      <c r="C5003"/>
      <c r="D5003"/>
      <c r="E5003"/>
      <c r="F5003" s="242"/>
      <c r="G5003"/>
      <c r="H5003" s="242"/>
      <c r="I5003" s="242"/>
      <c r="J5003" s="242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</row>
    <row r="5004" spans="1:26" hidden="1">
      <c r="A5004"/>
      <c r="B5004" s="249"/>
      <c r="C5004"/>
      <c r="D5004"/>
      <c r="E5004"/>
      <c r="F5004" s="242"/>
      <c r="G5004"/>
      <c r="H5004" s="242"/>
      <c r="I5004" s="242"/>
      <c r="J5004" s="242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</row>
    <row r="5005" spans="1:26" hidden="1">
      <c r="A5005"/>
      <c r="B5005" s="249"/>
      <c r="C5005"/>
      <c r="D5005"/>
      <c r="E5005"/>
      <c r="F5005" s="242"/>
      <c r="G5005"/>
      <c r="H5005" s="242"/>
      <c r="I5005" s="242"/>
      <c r="J5005" s="242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</row>
    <row r="5006" spans="1:26" hidden="1">
      <c r="A5006"/>
      <c r="B5006" s="249"/>
      <c r="C5006"/>
      <c r="D5006"/>
      <c r="E5006"/>
      <c r="F5006" s="242"/>
      <c r="G5006"/>
      <c r="H5006" s="242"/>
      <c r="I5006" s="242"/>
      <c r="J5006" s="242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</row>
    <row r="5007" spans="1:26" hidden="1">
      <c r="A5007"/>
      <c r="B5007" s="249"/>
      <c r="C5007"/>
      <c r="D5007"/>
      <c r="E5007"/>
      <c r="F5007" s="242"/>
      <c r="G5007"/>
      <c r="H5007" s="242"/>
      <c r="I5007" s="242"/>
      <c r="J5007" s="242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</row>
    <row r="5008" spans="1:26" hidden="1">
      <c r="A5008"/>
      <c r="B5008" s="249"/>
      <c r="C5008"/>
      <c r="D5008"/>
      <c r="E5008"/>
      <c r="F5008" s="242"/>
      <c r="G5008"/>
      <c r="H5008" s="242"/>
      <c r="I5008" s="242"/>
      <c r="J5008" s="242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</row>
    <row r="5009" spans="1:26" hidden="1">
      <c r="A5009"/>
      <c r="B5009" s="249"/>
      <c r="C5009"/>
      <c r="D5009"/>
      <c r="E5009"/>
      <c r="F5009" s="242"/>
      <c r="G5009"/>
      <c r="H5009" s="242"/>
      <c r="I5009" s="242"/>
      <c r="J5009" s="242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</row>
    <row r="5010" spans="1:26" hidden="1">
      <c r="A5010"/>
      <c r="B5010" s="249"/>
      <c r="C5010"/>
      <c r="D5010"/>
      <c r="E5010"/>
      <c r="F5010" s="242"/>
      <c r="G5010"/>
      <c r="H5010" s="242"/>
      <c r="I5010" s="242"/>
      <c r="J5010" s="242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</row>
    <row r="5011" spans="1:26" hidden="1">
      <c r="A5011"/>
      <c r="B5011" s="249"/>
      <c r="C5011"/>
      <c r="D5011"/>
      <c r="E5011"/>
      <c r="F5011" s="242"/>
      <c r="G5011"/>
      <c r="H5011" s="242"/>
      <c r="I5011" s="242"/>
      <c r="J5011" s="242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</row>
    <row r="5012" spans="1:26" hidden="1">
      <c r="A5012"/>
      <c r="B5012" s="249"/>
      <c r="C5012"/>
      <c r="D5012"/>
      <c r="E5012"/>
      <c r="F5012" s="242"/>
      <c r="G5012"/>
      <c r="H5012" s="242"/>
      <c r="I5012" s="242"/>
      <c r="J5012" s="242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</row>
    <row r="5013" spans="1:26" hidden="1">
      <c r="A5013"/>
      <c r="B5013" s="249"/>
      <c r="C5013"/>
      <c r="D5013"/>
      <c r="E5013"/>
      <c r="F5013" s="242"/>
      <c r="G5013"/>
      <c r="H5013" s="242"/>
      <c r="I5013" s="242"/>
      <c r="J5013" s="242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</row>
    <row r="5014" spans="1:26" hidden="1">
      <c r="A5014"/>
      <c r="B5014" s="249"/>
      <c r="C5014"/>
      <c r="D5014"/>
      <c r="E5014"/>
      <c r="F5014" s="242"/>
      <c r="G5014"/>
      <c r="H5014" s="242"/>
      <c r="I5014" s="242"/>
      <c r="J5014" s="242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</row>
    <row r="5015" spans="1:26" hidden="1">
      <c r="A5015"/>
      <c r="B5015" s="249"/>
      <c r="C5015"/>
      <c r="D5015"/>
      <c r="E5015"/>
      <c r="F5015" s="242"/>
      <c r="G5015"/>
      <c r="H5015" s="242"/>
      <c r="I5015" s="242"/>
      <c r="J5015" s="242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</row>
    <row r="5016" spans="1:26" hidden="1">
      <c r="A5016"/>
      <c r="B5016" s="249"/>
      <c r="C5016"/>
      <c r="D5016"/>
      <c r="E5016"/>
      <c r="F5016" s="242"/>
      <c r="G5016"/>
      <c r="H5016" s="242"/>
      <c r="I5016" s="242"/>
      <c r="J5016" s="242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</row>
    <row r="5017" spans="1:26" hidden="1">
      <c r="A5017"/>
      <c r="B5017" s="249"/>
      <c r="C5017"/>
      <c r="D5017"/>
      <c r="E5017"/>
      <c r="F5017" s="242"/>
      <c r="G5017"/>
      <c r="H5017" s="242"/>
      <c r="I5017" s="242"/>
      <c r="J5017" s="242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</row>
    <row r="5018" spans="1:26" hidden="1">
      <c r="A5018"/>
      <c r="B5018" s="249"/>
      <c r="C5018"/>
      <c r="D5018"/>
      <c r="E5018"/>
      <c r="F5018" s="242"/>
      <c r="G5018"/>
      <c r="H5018" s="242"/>
      <c r="I5018" s="242"/>
      <c r="J5018" s="242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</row>
    <row r="5019" spans="1:26" hidden="1">
      <c r="A5019"/>
      <c r="B5019" s="249"/>
      <c r="C5019"/>
      <c r="D5019"/>
      <c r="E5019"/>
      <c r="F5019" s="242"/>
      <c r="G5019"/>
      <c r="H5019" s="242"/>
      <c r="I5019" s="242"/>
      <c r="J5019" s="242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</row>
    <row r="5020" spans="1:26" hidden="1">
      <c r="A5020"/>
      <c r="B5020" s="249"/>
      <c r="C5020"/>
      <c r="D5020"/>
      <c r="E5020"/>
      <c r="F5020" s="242"/>
      <c r="G5020"/>
      <c r="H5020" s="242"/>
      <c r="I5020" s="242"/>
      <c r="J5020" s="242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</row>
    <row r="5021" spans="1:26" hidden="1">
      <c r="A5021"/>
      <c r="B5021" s="249"/>
      <c r="C5021"/>
      <c r="D5021"/>
      <c r="E5021"/>
      <c r="F5021" s="242"/>
      <c r="G5021"/>
      <c r="H5021" s="242"/>
      <c r="I5021" s="242"/>
      <c r="J5021" s="242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</row>
    <row r="5022" spans="1:26" hidden="1">
      <c r="A5022"/>
      <c r="B5022" s="249"/>
      <c r="C5022"/>
      <c r="D5022"/>
      <c r="E5022"/>
      <c r="F5022" s="242"/>
      <c r="G5022"/>
      <c r="H5022" s="242"/>
      <c r="I5022" s="242"/>
      <c r="J5022" s="242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</row>
    <row r="5023" spans="1:26" hidden="1">
      <c r="A5023"/>
      <c r="B5023" s="249"/>
      <c r="C5023"/>
      <c r="D5023"/>
      <c r="E5023"/>
      <c r="F5023" s="242"/>
      <c r="G5023"/>
      <c r="H5023" s="242"/>
      <c r="I5023" s="242"/>
      <c r="J5023" s="242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</row>
    <row r="5024" spans="1:26" hidden="1">
      <c r="A5024"/>
      <c r="B5024" s="249"/>
      <c r="C5024"/>
      <c r="D5024"/>
      <c r="E5024"/>
      <c r="F5024" s="242"/>
      <c r="G5024"/>
      <c r="H5024" s="242"/>
      <c r="I5024" s="242"/>
      <c r="J5024" s="242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</row>
    <row r="5025" spans="1:26" hidden="1">
      <c r="A5025"/>
      <c r="B5025" s="249"/>
      <c r="C5025"/>
      <c r="D5025"/>
      <c r="E5025"/>
      <c r="F5025" s="242"/>
      <c r="G5025"/>
      <c r="H5025" s="242"/>
      <c r="I5025" s="242"/>
      <c r="J5025" s="242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</row>
    <row r="5026" spans="1:26" hidden="1">
      <c r="A5026"/>
      <c r="B5026" s="249"/>
      <c r="C5026"/>
      <c r="D5026"/>
      <c r="E5026"/>
      <c r="F5026" s="242"/>
      <c r="G5026"/>
      <c r="H5026" s="242"/>
      <c r="I5026" s="242"/>
      <c r="J5026" s="242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</row>
    <row r="5027" spans="1:26" hidden="1">
      <c r="A5027"/>
      <c r="B5027" s="249"/>
      <c r="C5027"/>
      <c r="D5027"/>
      <c r="E5027"/>
      <c r="F5027" s="242"/>
      <c r="G5027"/>
      <c r="H5027" s="242"/>
      <c r="I5027" s="242"/>
      <c r="J5027" s="242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</row>
    <row r="5028" spans="1:26" hidden="1">
      <c r="A5028"/>
      <c r="B5028" s="249"/>
      <c r="C5028"/>
      <c r="D5028"/>
      <c r="E5028"/>
      <c r="F5028" s="242"/>
      <c r="G5028"/>
      <c r="H5028" s="242"/>
      <c r="I5028" s="242"/>
      <c r="J5028" s="242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</row>
    <row r="5029" spans="1:26" hidden="1">
      <c r="A5029"/>
      <c r="B5029" s="249"/>
      <c r="C5029"/>
      <c r="D5029"/>
      <c r="E5029"/>
      <c r="F5029" s="242"/>
      <c r="G5029"/>
      <c r="H5029" s="242"/>
      <c r="I5029" s="242"/>
      <c r="J5029" s="242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</row>
    <row r="5030" spans="1:26" hidden="1">
      <c r="A5030"/>
      <c r="B5030" s="249"/>
      <c r="C5030"/>
      <c r="D5030"/>
      <c r="E5030"/>
      <c r="F5030" s="242"/>
      <c r="G5030"/>
      <c r="H5030" s="242"/>
      <c r="I5030" s="242"/>
      <c r="J5030" s="242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</row>
    <row r="5031" spans="1:26" hidden="1">
      <c r="A5031"/>
      <c r="B5031" s="249"/>
      <c r="C5031"/>
      <c r="D5031"/>
      <c r="E5031"/>
      <c r="F5031" s="242"/>
      <c r="G5031"/>
      <c r="H5031" s="242"/>
      <c r="I5031" s="242"/>
      <c r="J5031" s="242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</row>
    <row r="5032" spans="1:26" hidden="1">
      <c r="A5032"/>
      <c r="B5032" s="249"/>
      <c r="C5032"/>
      <c r="D5032"/>
      <c r="E5032"/>
      <c r="F5032" s="242"/>
      <c r="G5032"/>
      <c r="H5032" s="242"/>
      <c r="I5032" s="242"/>
      <c r="J5032" s="242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</row>
    <row r="5033" spans="1:26" hidden="1">
      <c r="A5033"/>
      <c r="B5033" s="249"/>
      <c r="C5033"/>
      <c r="D5033"/>
      <c r="E5033"/>
      <c r="F5033" s="242"/>
      <c r="G5033"/>
      <c r="H5033" s="242"/>
      <c r="I5033" s="242"/>
      <c r="J5033" s="242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</row>
    <row r="5034" spans="1:26" hidden="1">
      <c r="A5034"/>
      <c r="B5034" s="249"/>
      <c r="C5034"/>
      <c r="D5034"/>
      <c r="E5034"/>
      <c r="F5034" s="242"/>
      <c r="G5034"/>
      <c r="H5034" s="242"/>
      <c r="I5034" s="242"/>
      <c r="J5034" s="242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</row>
    <row r="5035" spans="1:26" hidden="1">
      <c r="A5035"/>
      <c r="B5035" s="249"/>
      <c r="C5035"/>
      <c r="D5035"/>
      <c r="E5035"/>
      <c r="F5035" s="242"/>
      <c r="G5035"/>
      <c r="H5035" s="242"/>
      <c r="I5035" s="242"/>
      <c r="J5035" s="242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</row>
    <row r="5036" spans="1:26" hidden="1">
      <c r="A5036"/>
      <c r="B5036" s="249"/>
      <c r="C5036"/>
      <c r="D5036"/>
      <c r="E5036"/>
      <c r="F5036" s="242"/>
      <c r="G5036"/>
      <c r="H5036" s="242"/>
      <c r="I5036" s="242"/>
      <c r="J5036" s="242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</row>
    <row r="5037" spans="1:26" hidden="1">
      <c r="A5037"/>
      <c r="B5037" s="249"/>
      <c r="C5037"/>
      <c r="D5037"/>
      <c r="E5037"/>
      <c r="F5037" s="242"/>
      <c r="G5037"/>
      <c r="H5037" s="242"/>
      <c r="I5037" s="242"/>
      <c r="J5037" s="242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</row>
    <row r="5038" spans="1:26" hidden="1">
      <c r="A5038"/>
      <c r="B5038" s="249"/>
      <c r="C5038"/>
      <c r="D5038"/>
      <c r="E5038"/>
      <c r="F5038" s="242"/>
      <c r="G5038"/>
      <c r="H5038" s="242"/>
      <c r="I5038" s="242"/>
      <c r="J5038" s="242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</row>
    <row r="5039" spans="1:26" hidden="1">
      <c r="A5039"/>
      <c r="B5039" s="249"/>
      <c r="C5039"/>
      <c r="D5039"/>
      <c r="E5039"/>
      <c r="F5039" s="242"/>
      <c r="G5039"/>
      <c r="H5039" s="242"/>
      <c r="I5039" s="242"/>
      <c r="J5039" s="242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</row>
    <row r="5040" spans="1:26" hidden="1">
      <c r="A5040"/>
      <c r="B5040" s="249"/>
      <c r="C5040"/>
      <c r="D5040"/>
      <c r="E5040"/>
      <c r="F5040" s="242"/>
      <c r="G5040"/>
      <c r="H5040" s="242"/>
      <c r="I5040" s="242"/>
      <c r="J5040" s="242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</row>
    <row r="5041" spans="1:26" hidden="1">
      <c r="A5041"/>
      <c r="B5041" s="249"/>
      <c r="C5041"/>
      <c r="D5041"/>
      <c r="E5041"/>
      <c r="F5041" s="242"/>
      <c r="G5041"/>
      <c r="H5041" s="242"/>
      <c r="I5041" s="242"/>
      <c r="J5041" s="242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</row>
    <row r="5042" spans="1:26" hidden="1">
      <c r="A5042"/>
      <c r="B5042" s="249"/>
      <c r="C5042"/>
      <c r="D5042"/>
      <c r="E5042"/>
      <c r="F5042" s="242"/>
      <c r="G5042"/>
      <c r="H5042" s="242"/>
      <c r="I5042" s="242"/>
      <c r="J5042" s="242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</row>
    <row r="5043" spans="1:26" hidden="1">
      <c r="A5043"/>
      <c r="B5043" s="249"/>
      <c r="C5043"/>
      <c r="D5043"/>
      <c r="E5043"/>
      <c r="F5043" s="242"/>
      <c r="G5043"/>
      <c r="H5043" s="242"/>
      <c r="I5043" s="242"/>
      <c r="J5043" s="242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</row>
    <row r="5044" spans="1:26" hidden="1">
      <c r="A5044"/>
      <c r="B5044" s="249"/>
      <c r="C5044"/>
      <c r="D5044"/>
      <c r="E5044"/>
      <c r="F5044" s="242"/>
      <c r="G5044"/>
      <c r="H5044" s="242"/>
      <c r="I5044" s="242"/>
      <c r="J5044" s="242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</row>
    <row r="5045" spans="1:26" hidden="1">
      <c r="A5045"/>
      <c r="B5045" s="249"/>
      <c r="C5045"/>
      <c r="D5045"/>
      <c r="E5045"/>
      <c r="F5045" s="242"/>
      <c r="G5045"/>
      <c r="H5045" s="242"/>
      <c r="I5045" s="242"/>
      <c r="J5045" s="242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</row>
    <row r="5046" spans="1:26" hidden="1">
      <c r="A5046"/>
      <c r="B5046" s="249"/>
      <c r="C5046"/>
      <c r="D5046"/>
      <c r="E5046"/>
      <c r="F5046" s="242"/>
      <c r="G5046"/>
      <c r="H5046" s="242"/>
      <c r="I5046" s="242"/>
      <c r="J5046" s="242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</row>
    <row r="5047" spans="1:26" hidden="1">
      <c r="A5047"/>
      <c r="B5047" s="249"/>
      <c r="C5047"/>
      <c r="D5047"/>
      <c r="E5047"/>
      <c r="F5047" s="242"/>
      <c r="G5047"/>
      <c r="H5047" s="242"/>
      <c r="I5047" s="242"/>
      <c r="J5047" s="242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</row>
    <row r="5048" spans="1:26" hidden="1">
      <c r="A5048"/>
      <c r="B5048" s="249"/>
      <c r="C5048"/>
      <c r="D5048"/>
      <c r="E5048"/>
      <c r="F5048" s="242"/>
      <c r="G5048"/>
      <c r="H5048" s="242"/>
      <c r="I5048" s="242"/>
      <c r="J5048" s="242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</row>
    <row r="5049" spans="1:26" hidden="1">
      <c r="A5049"/>
      <c r="B5049" s="249"/>
      <c r="C5049"/>
      <c r="D5049"/>
      <c r="E5049"/>
      <c r="F5049" s="242"/>
      <c r="G5049"/>
      <c r="H5049" s="242"/>
      <c r="I5049" s="242"/>
      <c r="J5049" s="242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</row>
    <row r="5050" spans="1:26" hidden="1">
      <c r="A5050"/>
      <c r="B5050" s="249"/>
      <c r="C5050"/>
      <c r="D5050"/>
      <c r="E5050"/>
      <c r="F5050" s="242"/>
      <c r="G5050"/>
      <c r="H5050" s="242"/>
      <c r="I5050" s="242"/>
      <c r="J5050" s="242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</row>
    <row r="5051" spans="1:26" hidden="1">
      <c r="A5051"/>
      <c r="B5051" s="249"/>
      <c r="C5051"/>
      <c r="D5051"/>
      <c r="E5051"/>
      <c r="F5051" s="242"/>
      <c r="G5051"/>
      <c r="H5051" s="242"/>
      <c r="I5051" s="242"/>
      <c r="J5051" s="242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</row>
    <row r="5052" spans="1:26" hidden="1">
      <c r="A5052"/>
      <c r="B5052" s="249"/>
      <c r="C5052"/>
      <c r="D5052"/>
      <c r="E5052"/>
      <c r="F5052" s="242"/>
      <c r="G5052"/>
      <c r="H5052" s="242"/>
      <c r="I5052" s="242"/>
      <c r="J5052" s="242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</row>
    <row r="5053" spans="1:26" hidden="1">
      <c r="A5053"/>
      <c r="B5053" s="249"/>
      <c r="C5053"/>
      <c r="D5053"/>
      <c r="E5053"/>
      <c r="F5053" s="242"/>
      <c r="G5053"/>
      <c r="H5053" s="242"/>
      <c r="I5053" s="242"/>
      <c r="J5053" s="242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</row>
    <row r="5054" spans="1:26" hidden="1">
      <c r="A5054"/>
      <c r="B5054" s="249"/>
      <c r="C5054"/>
      <c r="D5054"/>
      <c r="E5054"/>
      <c r="F5054" s="242"/>
      <c r="G5054"/>
      <c r="H5054" s="242"/>
      <c r="I5054" s="242"/>
      <c r="J5054" s="242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</row>
    <row r="5055" spans="1:26" hidden="1">
      <c r="A5055"/>
      <c r="B5055" s="249"/>
      <c r="C5055"/>
      <c r="D5055"/>
      <c r="E5055"/>
      <c r="F5055" s="242"/>
      <c r="G5055"/>
      <c r="H5055" s="242"/>
      <c r="I5055" s="242"/>
      <c r="J5055" s="242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</row>
    <row r="5056" spans="1:26" hidden="1">
      <c r="A5056"/>
      <c r="B5056" s="249"/>
      <c r="C5056"/>
      <c r="D5056"/>
      <c r="E5056"/>
      <c r="F5056" s="242"/>
      <c r="G5056"/>
      <c r="H5056" s="242"/>
      <c r="I5056" s="242"/>
      <c r="J5056" s="242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</row>
    <row r="5057" spans="1:26" hidden="1">
      <c r="A5057"/>
      <c r="B5057" s="249"/>
      <c r="C5057"/>
      <c r="D5057"/>
      <c r="E5057"/>
      <c r="F5057" s="242"/>
      <c r="G5057"/>
      <c r="H5057" s="242"/>
      <c r="I5057" s="242"/>
      <c r="J5057" s="242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</row>
    <row r="5058" spans="1:26" hidden="1">
      <c r="A5058"/>
      <c r="B5058" s="249"/>
      <c r="C5058"/>
      <c r="D5058"/>
      <c r="E5058"/>
      <c r="F5058" s="242"/>
      <c r="G5058"/>
      <c r="H5058" s="242"/>
      <c r="I5058" s="242"/>
      <c r="J5058" s="242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</row>
    <row r="5059" spans="1:26" hidden="1">
      <c r="A5059"/>
      <c r="B5059" s="249"/>
      <c r="C5059"/>
      <c r="D5059"/>
      <c r="E5059"/>
      <c r="F5059" s="242"/>
      <c r="G5059"/>
      <c r="H5059" s="242"/>
      <c r="I5059" s="242"/>
      <c r="J5059" s="242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</row>
    <row r="5060" spans="1:26" hidden="1">
      <c r="A5060"/>
      <c r="B5060" s="249"/>
      <c r="C5060"/>
      <c r="D5060"/>
      <c r="E5060"/>
      <c r="F5060" s="242"/>
      <c r="G5060"/>
      <c r="H5060" s="242"/>
      <c r="I5060" s="242"/>
      <c r="J5060" s="242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</row>
    <row r="5061" spans="1:26" hidden="1">
      <c r="A5061"/>
      <c r="B5061" s="249"/>
      <c r="C5061"/>
      <c r="D5061"/>
      <c r="E5061"/>
      <c r="F5061" s="242"/>
      <c r="G5061"/>
      <c r="H5061" s="242"/>
      <c r="I5061" s="242"/>
      <c r="J5061" s="242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</row>
    <row r="5062" spans="1:26" hidden="1">
      <c r="A5062"/>
      <c r="B5062" s="249"/>
      <c r="C5062"/>
      <c r="D5062"/>
      <c r="E5062"/>
      <c r="F5062" s="242"/>
      <c r="G5062"/>
      <c r="H5062" s="242"/>
      <c r="I5062" s="242"/>
      <c r="J5062" s="242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</row>
    <row r="5063" spans="1:26" hidden="1">
      <c r="A5063"/>
      <c r="B5063" s="249"/>
      <c r="C5063"/>
      <c r="D5063"/>
      <c r="E5063"/>
      <c r="F5063" s="242"/>
      <c r="G5063"/>
      <c r="H5063" s="242"/>
      <c r="I5063" s="242"/>
      <c r="J5063" s="242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</row>
    <row r="5064" spans="1:26" hidden="1">
      <c r="A5064"/>
      <c r="B5064" s="249"/>
      <c r="C5064"/>
      <c r="D5064"/>
      <c r="E5064"/>
      <c r="F5064" s="242"/>
      <c r="G5064"/>
      <c r="H5064" s="242"/>
      <c r="I5064" s="242"/>
      <c r="J5064" s="242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</row>
    <row r="5065" spans="1:26" hidden="1">
      <c r="A5065"/>
      <c r="B5065" s="249"/>
      <c r="C5065"/>
      <c r="D5065"/>
      <c r="E5065"/>
      <c r="F5065" s="242"/>
      <c r="G5065"/>
      <c r="H5065" s="242"/>
      <c r="I5065" s="242"/>
      <c r="J5065" s="242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</row>
    <row r="5066" spans="1:26" hidden="1">
      <c r="A5066"/>
      <c r="B5066" s="249"/>
      <c r="C5066"/>
      <c r="D5066"/>
      <c r="E5066"/>
      <c r="F5066" s="242"/>
      <c r="G5066"/>
      <c r="H5066" s="242"/>
      <c r="I5066" s="242"/>
      <c r="J5066" s="242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</row>
    <row r="5067" spans="1:26" hidden="1">
      <c r="A5067"/>
      <c r="B5067" s="249"/>
      <c r="C5067"/>
      <c r="D5067"/>
      <c r="E5067"/>
      <c r="F5067" s="242"/>
      <c r="G5067"/>
      <c r="H5067" s="242"/>
      <c r="I5067" s="242"/>
      <c r="J5067" s="242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</row>
    <row r="5068" spans="1:26" hidden="1">
      <c r="A5068"/>
      <c r="B5068" s="249"/>
      <c r="C5068"/>
      <c r="D5068"/>
      <c r="E5068"/>
      <c r="F5068" s="242"/>
      <c r="G5068"/>
      <c r="H5068" s="242"/>
      <c r="I5068" s="242"/>
      <c r="J5068" s="242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</row>
    <row r="5069" spans="1:26" hidden="1">
      <c r="A5069"/>
      <c r="B5069" s="249"/>
      <c r="C5069"/>
      <c r="D5069"/>
      <c r="E5069"/>
      <c r="F5069" s="242"/>
      <c r="G5069"/>
      <c r="H5069" s="242"/>
      <c r="I5069" s="242"/>
      <c r="J5069" s="242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</row>
    <row r="5070" spans="1:26" hidden="1">
      <c r="A5070"/>
      <c r="B5070" s="249"/>
      <c r="C5070"/>
      <c r="D5070"/>
      <c r="E5070"/>
      <c r="F5070" s="242"/>
      <c r="G5070"/>
      <c r="H5070" s="242"/>
      <c r="I5070" s="242"/>
      <c r="J5070" s="242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</row>
    <row r="5071" spans="1:26" hidden="1">
      <c r="A5071"/>
      <c r="B5071" s="249"/>
      <c r="C5071"/>
      <c r="D5071"/>
      <c r="E5071"/>
      <c r="F5071" s="242"/>
      <c r="G5071"/>
      <c r="H5071" s="242"/>
      <c r="I5071" s="242"/>
      <c r="J5071" s="242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</row>
    <row r="5072" spans="1:26" hidden="1">
      <c r="A5072"/>
      <c r="B5072" s="249"/>
      <c r="C5072"/>
      <c r="D5072"/>
      <c r="E5072"/>
      <c r="F5072" s="242"/>
      <c r="G5072"/>
      <c r="H5072" s="242"/>
      <c r="I5072" s="242"/>
      <c r="J5072" s="242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</row>
    <row r="5073" spans="1:26" hidden="1">
      <c r="A5073"/>
      <c r="B5073" s="249"/>
      <c r="C5073"/>
      <c r="D5073"/>
      <c r="E5073"/>
      <c r="F5073" s="242"/>
      <c r="G5073"/>
      <c r="H5073" s="242"/>
      <c r="I5073" s="242"/>
      <c r="J5073" s="242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</row>
    <row r="5074" spans="1:26" hidden="1">
      <c r="A5074"/>
      <c r="B5074" s="249"/>
      <c r="C5074"/>
      <c r="D5074"/>
      <c r="E5074"/>
      <c r="F5074" s="242"/>
      <c r="G5074"/>
      <c r="H5074" s="242"/>
      <c r="I5074" s="242"/>
      <c r="J5074" s="242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</row>
    <row r="5075" spans="1:26" hidden="1">
      <c r="A5075"/>
      <c r="B5075" s="249"/>
      <c r="C5075"/>
      <c r="D5075"/>
      <c r="E5075"/>
      <c r="F5075" s="242"/>
      <c r="G5075"/>
      <c r="H5075" s="242"/>
      <c r="I5075" s="242"/>
      <c r="J5075" s="242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</row>
    <row r="5076" spans="1:26" hidden="1">
      <c r="A5076"/>
      <c r="B5076" s="249"/>
      <c r="C5076"/>
      <c r="D5076"/>
      <c r="E5076"/>
      <c r="F5076" s="242"/>
      <c r="G5076"/>
      <c r="H5076" s="242"/>
      <c r="I5076" s="242"/>
      <c r="J5076" s="242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</row>
    <row r="5077" spans="1:26" hidden="1">
      <c r="A5077"/>
      <c r="B5077" s="249"/>
      <c r="C5077"/>
      <c r="D5077"/>
      <c r="E5077"/>
      <c r="F5077" s="242"/>
      <c r="G5077"/>
      <c r="H5077" s="242"/>
      <c r="I5077" s="242"/>
      <c r="J5077" s="242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</row>
    <row r="5078" spans="1:26" hidden="1">
      <c r="A5078"/>
      <c r="B5078" s="249"/>
      <c r="C5078"/>
      <c r="D5078"/>
      <c r="E5078"/>
      <c r="F5078" s="242"/>
      <c r="G5078"/>
      <c r="H5078" s="242"/>
      <c r="I5078" s="242"/>
      <c r="J5078" s="242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</row>
    <row r="5079" spans="1:26" hidden="1">
      <c r="A5079"/>
      <c r="B5079" s="249"/>
      <c r="C5079"/>
      <c r="D5079"/>
      <c r="E5079"/>
      <c r="F5079" s="242"/>
      <c r="G5079"/>
      <c r="H5079" s="242"/>
      <c r="I5079" s="242"/>
      <c r="J5079" s="242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</row>
    <row r="5080" spans="1:26" hidden="1">
      <c r="A5080"/>
      <c r="B5080" s="249"/>
      <c r="C5080"/>
      <c r="D5080"/>
      <c r="E5080"/>
      <c r="F5080" s="242"/>
      <c r="G5080"/>
      <c r="H5080" s="242"/>
      <c r="I5080" s="242"/>
      <c r="J5080" s="242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</row>
    <row r="5081" spans="1:26" hidden="1">
      <c r="A5081"/>
      <c r="B5081" s="249"/>
      <c r="C5081"/>
      <c r="D5081"/>
      <c r="E5081"/>
      <c r="F5081" s="242"/>
      <c r="G5081"/>
      <c r="H5081" s="242"/>
      <c r="I5081" s="242"/>
      <c r="J5081" s="242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</row>
    <row r="5082" spans="1:26" hidden="1">
      <c r="A5082"/>
      <c r="B5082" s="249"/>
      <c r="C5082"/>
      <c r="D5082"/>
      <c r="E5082"/>
      <c r="F5082" s="242"/>
      <c r="G5082"/>
      <c r="H5082" s="242"/>
      <c r="I5082" s="242"/>
      <c r="J5082" s="242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</row>
    <row r="5083" spans="1:26" hidden="1">
      <c r="A5083"/>
      <c r="B5083" s="249"/>
      <c r="C5083"/>
      <c r="D5083"/>
      <c r="E5083"/>
      <c r="F5083" s="242"/>
      <c r="G5083"/>
      <c r="H5083" s="242"/>
      <c r="I5083" s="242"/>
      <c r="J5083" s="242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</row>
    <row r="5084" spans="1:26" hidden="1">
      <c r="A5084"/>
      <c r="B5084" s="249"/>
      <c r="C5084"/>
      <c r="D5084"/>
      <c r="E5084"/>
      <c r="F5084" s="242"/>
      <c r="G5084"/>
      <c r="H5084" s="242"/>
      <c r="I5084" s="242"/>
      <c r="J5084" s="242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</row>
    <row r="5085" spans="1:26" hidden="1">
      <c r="A5085"/>
      <c r="B5085" s="249"/>
      <c r="C5085"/>
      <c r="D5085"/>
      <c r="E5085"/>
      <c r="F5085" s="242"/>
      <c r="G5085"/>
      <c r="H5085" s="242"/>
      <c r="I5085" s="242"/>
      <c r="J5085" s="242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</row>
    <row r="5086" spans="1:26" hidden="1">
      <c r="A5086"/>
      <c r="B5086" s="249"/>
      <c r="C5086"/>
      <c r="D5086"/>
      <c r="E5086"/>
      <c r="F5086" s="242"/>
      <c r="G5086"/>
      <c r="H5086" s="242"/>
      <c r="I5086" s="242"/>
      <c r="J5086" s="242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</row>
    <row r="5087" spans="1:26" hidden="1">
      <c r="A5087"/>
      <c r="B5087" s="249"/>
      <c r="C5087"/>
      <c r="D5087"/>
      <c r="E5087"/>
      <c r="F5087" s="242"/>
      <c r="G5087"/>
      <c r="H5087" s="242"/>
      <c r="I5087" s="242"/>
      <c r="J5087" s="242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</row>
    <row r="5088" spans="1:26" hidden="1">
      <c r="A5088"/>
      <c r="B5088" s="249"/>
      <c r="C5088"/>
      <c r="D5088"/>
      <c r="E5088"/>
      <c r="F5088" s="242"/>
      <c r="G5088"/>
      <c r="H5088" s="242"/>
      <c r="I5088" s="242"/>
      <c r="J5088" s="242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</row>
    <row r="5089" spans="1:26" hidden="1">
      <c r="A5089"/>
      <c r="B5089" s="249"/>
      <c r="C5089"/>
      <c r="D5089"/>
      <c r="E5089"/>
      <c r="F5089" s="242"/>
      <c r="G5089"/>
      <c r="H5089" s="242"/>
      <c r="I5089" s="242"/>
      <c r="J5089" s="242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</row>
    <row r="5090" spans="1:26" hidden="1">
      <c r="A5090"/>
      <c r="B5090" s="249"/>
      <c r="C5090"/>
      <c r="D5090"/>
      <c r="E5090"/>
      <c r="F5090" s="242"/>
      <c r="G5090"/>
      <c r="H5090" s="242"/>
      <c r="I5090" s="242"/>
      <c r="J5090" s="242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</row>
    <row r="5091" spans="1:26" hidden="1">
      <c r="A5091"/>
      <c r="B5091" s="249"/>
      <c r="C5091"/>
      <c r="D5091"/>
      <c r="E5091"/>
      <c r="F5091" s="242"/>
      <c r="G5091"/>
      <c r="H5091" s="242"/>
      <c r="I5091" s="242"/>
      <c r="J5091" s="242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</row>
    <row r="5092" spans="1:26" hidden="1">
      <c r="A5092"/>
      <c r="B5092" s="249"/>
      <c r="C5092"/>
      <c r="D5092"/>
      <c r="E5092"/>
      <c r="F5092" s="242"/>
      <c r="G5092"/>
      <c r="H5092" s="242"/>
      <c r="I5092" s="242"/>
      <c r="J5092" s="242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</row>
    <row r="5093" spans="1:26" hidden="1">
      <c r="A5093"/>
      <c r="B5093" s="249"/>
      <c r="C5093"/>
      <c r="D5093"/>
      <c r="E5093"/>
      <c r="F5093" s="242"/>
      <c r="G5093"/>
      <c r="H5093" s="242"/>
      <c r="I5093" s="242"/>
      <c r="J5093" s="242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</row>
    <row r="5094" spans="1:26" hidden="1">
      <c r="A5094"/>
      <c r="B5094" s="249"/>
      <c r="C5094"/>
      <c r="D5094"/>
      <c r="E5094"/>
      <c r="F5094" s="242"/>
      <c r="G5094"/>
      <c r="H5094" s="242"/>
      <c r="I5094" s="242"/>
      <c r="J5094" s="242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</row>
    <row r="5095" spans="1:26" hidden="1">
      <c r="A5095"/>
      <c r="B5095" s="249"/>
      <c r="C5095"/>
      <c r="D5095"/>
      <c r="E5095"/>
      <c r="F5095" s="242"/>
      <c r="G5095"/>
      <c r="H5095" s="242"/>
      <c r="I5095" s="242"/>
      <c r="J5095" s="242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</row>
    <row r="5096" spans="1:26" hidden="1">
      <c r="A5096"/>
      <c r="B5096" s="249"/>
      <c r="C5096"/>
      <c r="D5096"/>
      <c r="E5096"/>
      <c r="F5096" s="242"/>
      <c r="G5096"/>
      <c r="H5096" s="242"/>
      <c r="I5096" s="242"/>
      <c r="J5096" s="242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</row>
    <row r="5097" spans="1:26" hidden="1">
      <c r="A5097"/>
      <c r="B5097" s="249"/>
      <c r="C5097"/>
      <c r="D5097"/>
      <c r="E5097"/>
      <c r="F5097" s="242"/>
      <c r="G5097"/>
      <c r="H5097" s="242"/>
      <c r="I5097" s="242"/>
      <c r="J5097" s="242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</row>
    <row r="5098" spans="1:26" hidden="1">
      <c r="A5098"/>
      <c r="B5098" s="249"/>
      <c r="C5098"/>
      <c r="D5098"/>
      <c r="E5098"/>
      <c r="F5098" s="242"/>
      <c r="G5098"/>
      <c r="H5098" s="242"/>
      <c r="I5098" s="242"/>
      <c r="J5098" s="242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</row>
    <row r="5099" spans="1:26" hidden="1">
      <c r="A5099"/>
      <c r="B5099" s="249"/>
      <c r="C5099"/>
      <c r="D5099"/>
      <c r="E5099"/>
      <c r="F5099" s="242"/>
      <c r="G5099"/>
      <c r="H5099" s="242"/>
      <c r="I5099" s="242"/>
      <c r="J5099" s="242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</row>
    <row r="5100" spans="1:26" hidden="1">
      <c r="A5100"/>
      <c r="B5100" s="249"/>
      <c r="C5100"/>
      <c r="D5100"/>
      <c r="E5100"/>
      <c r="F5100" s="242"/>
      <c r="G5100"/>
      <c r="H5100" s="242"/>
      <c r="I5100" s="242"/>
      <c r="J5100" s="242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</row>
    <row r="5101" spans="1:26" hidden="1">
      <c r="A5101"/>
      <c r="B5101" s="249"/>
      <c r="C5101"/>
      <c r="D5101"/>
      <c r="E5101"/>
      <c r="F5101" s="242"/>
      <c r="G5101"/>
      <c r="H5101" s="242"/>
      <c r="I5101" s="242"/>
      <c r="J5101" s="242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</row>
    <row r="5102" spans="1:26" hidden="1">
      <c r="A5102"/>
      <c r="B5102" s="249"/>
      <c r="C5102"/>
      <c r="D5102"/>
      <c r="E5102"/>
      <c r="F5102" s="242"/>
      <c r="G5102"/>
      <c r="H5102" s="242"/>
      <c r="I5102" s="242"/>
      <c r="J5102" s="242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</row>
    <row r="5103" spans="1:26" hidden="1">
      <c r="A5103"/>
      <c r="B5103" s="249"/>
      <c r="C5103"/>
      <c r="D5103"/>
      <c r="E5103"/>
      <c r="F5103" s="242"/>
      <c r="G5103"/>
      <c r="H5103" s="242"/>
      <c r="I5103" s="242"/>
      <c r="J5103" s="242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</row>
    <row r="5104" spans="1:26" hidden="1">
      <c r="A5104"/>
      <c r="B5104" s="249"/>
      <c r="C5104"/>
      <c r="D5104"/>
      <c r="E5104"/>
      <c r="F5104" s="242"/>
      <c r="G5104"/>
      <c r="H5104" s="242"/>
      <c r="I5104" s="242"/>
      <c r="J5104" s="242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</row>
    <row r="5105" spans="1:26" hidden="1">
      <c r="A5105"/>
      <c r="B5105" s="249"/>
      <c r="C5105"/>
      <c r="D5105"/>
      <c r="E5105"/>
      <c r="F5105" s="242"/>
      <c r="G5105"/>
      <c r="H5105" s="242"/>
      <c r="I5105" s="242"/>
      <c r="J5105" s="242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</row>
    <row r="5106" spans="1:26" hidden="1">
      <c r="A5106"/>
      <c r="B5106" s="249"/>
      <c r="C5106"/>
      <c r="D5106"/>
      <c r="E5106"/>
      <c r="F5106" s="242"/>
      <c r="G5106"/>
      <c r="H5106" s="242"/>
      <c r="I5106" s="242"/>
      <c r="J5106" s="242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</row>
    <row r="5107" spans="1:26" hidden="1">
      <c r="A5107"/>
      <c r="B5107" s="249"/>
      <c r="C5107"/>
      <c r="D5107"/>
      <c r="E5107"/>
      <c r="F5107" s="242"/>
      <c r="G5107"/>
      <c r="H5107" s="242"/>
      <c r="I5107" s="242"/>
      <c r="J5107" s="242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</row>
    <row r="5108" spans="1:26" hidden="1">
      <c r="A5108"/>
      <c r="B5108" s="249"/>
      <c r="C5108"/>
      <c r="D5108"/>
      <c r="E5108"/>
      <c r="F5108" s="242"/>
      <c r="G5108"/>
      <c r="H5108" s="242"/>
      <c r="I5108" s="242"/>
      <c r="J5108" s="242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</row>
    <row r="5109" spans="1:26" hidden="1">
      <c r="A5109"/>
      <c r="B5109" s="249"/>
      <c r="C5109"/>
      <c r="D5109"/>
      <c r="E5109"/>
      <c r="F5109" s="242"/>
      <c r="G5109"/>
      <c r="H5109" s="242"/>
      <c r="I5109" s="242"/>
      <c r="J5109" s="242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</row>
    <row r="5110" spans="1:26" hidden="1">
      <c r="A5110"/>
      <c r="B5110" s="249"/>
      <c r="C5110"/>
      <c r="D5110"/>
      <c r="E5110"/>
      <c r="F5110" s="242"/>
      <c r="G5110"/>
      <c r="H5110" s="242"/>
      <c r="I5110" s="242"/>
      <c r="J5110" s="242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</row>
    <row r="5111" spans="1:26" hidden="1">
      <c r="A5111"/>
      <c r="B5111" s="249"/>
      <c r="C5111"/>
      <c r="D5111"/>
      <c r="E5111"/>
      <c r="F5111" s="242"/>
      <c r="G5111"/>
      <c r="H5111" s="242"/>
      <c r="I5111" s="242"/>
      <c r="J5111" s="242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</row>
    <row r="5112" spans="1:26" hidden="1">
      <c r="A5112"/>
      <c r="B5112" s="249"/>
      <c r="C5112"/>
      <c r="D5112"/>
      <c r="E5112"/>
      <c r="F5112" s="242"/>
      <c r="G5112"/>
      <c r="H5112" s="242"/>
      <c r="I5112" s="242"/>
      <c r="J5112" s="242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</row>
    <row r="5113" spans="1:26" hidden="1">
      <c r="A5113"/>
      <c r="B5113" s="249"/>
      <c r="C5113"/>
      <c r="D5113"/>
      <c r="E5113"/>
      <c r="F5113" s="242"/>
      <c r="G5113"/>
      <c r="H5113" s="242"/>
      <c r="I5113" s="242"/>
      <c r="J5113" s="242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</row>
    <row r="5114" spans="1:26" hidden="1">
      <c r="A5114"/>
      <c r="B5114" s="249"/>
      <c r="C5114"/>
      <c r="D5114"/>
      <c r="E5114"/>
      <c r="F5114" s="242"/>
      <c r="G5114"/>
      <c r="H5114" s="242"/>
      <c r="I5114" s="242"/>
      <c r="J5114" s="242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</row>
    <row r="5115" spans="1:26" hidden="1">
      <c r="A5115"/>
      <c r="B5115" s="249"/>
      <c r="C5115"/>
      <c r="D5115"/>
      <c r="E5115"/>
      <c r="F5115" s="242"/>
      <c r="G5115"/>
      <c r="H5115" s="242"/>
      <c r="I5115" s="242"/>
      <c r="J5115" s="242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</row>
    <row r="5116" spans="1:26" hidden="1">
      <c r="A5116"/>
      <c r="B5116" s="249"/>
      <c r="C5116"/>
      <c r="D5116"/>
      <c r="E5116"/>
      <c r="F5116" s="242"/>
      <c r="G5116"/>
      <c r="H5116" s="242"/>
      <c r="I5116" s="242"/>
      <c r="J5116" s="242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</row>
    <row r="5117" spans="1:26" hidden="1">
      <c r="A5117"/>
      <c r="B5117" s="249"/>
      <c r="C5117"/>
      <c r="D5117"/>
      <c r="E5117"/>
      <c r="F5117" s="242"/>
      <c r="G5117"/>
      <c r="H5117" s="242"/>
      <c r="I5117" s="242"/>
      <c r="J5117" s="242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</row>
    <row r="5118" spans="1:26" hidden="1">
      <c r="A5118"/>
      <c r="B5118" s="249"/>
      <c r="C5118"/>
      <c r="D5118"/>
      <c r="E5118"/>
      <c r="F5118" s="242"/>
      <c r="G5118"/>
      <c r="H5118" s="242"/>
      <c r="I5118" s="242"/>
      <c r="J5118" s="242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</row>
    <row r="5119" spans="1:26" hidden="1">
      <c r="A5119"/>
      <c r="B5119" s="249"/>
      <c r="C5119"/>
      <c r="D5119"/>
      <c r="E5119"/>
      <c r="F5119" s="242"/>
      <c r="G5119"/>
      <c r="H5119" s="242"/>
      <c r="I5119" s="242"/>
      <c r="J5119" s="242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</row>
    <row r="5120" spans="1:26" hidden="1">
      <c r="A5120"/>
      <c r="B5120" s="249"/>
      <c r="C5120"/>
      <c r="D5120"/>
      <c r="E5120"/>
      <c r="F5120" s="242"/>
      <c r="G5120"/>
      <c r="H5120" s="242"/>
      <c r="I5120" s="242"/>
      <c r="J5120" s="242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</row>
    <row r="5121" spans="1:26" hidden="1">
      <c r="A5121"/>
      <c r="B5121" s="249"/>
      <c r="C5121"/>
      <c r="D5121"/>
      <c r="E5121"/>
      <c r="F5121" s="242"/>
      <c r="G5121"/>
      <c r="H5121" s="242"/>
      <c r="I5121" s="242"/>
      <c r="J5121" s="242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</row>
    <row r="5122" spans="1:26" hidden="1">
      <c r="A5122"/>
      <c r="B5122" s="249"/>
      <c r="C5122"/>
      <c r="D5122"/>
      <c r="E5122"/>
      <c r="F5122" s="242"/>
      <c r="G5122"/>
      <c r="H5122" s="242"/>
      <c r="I5122" s="242"/>
      <c r="J5122" s="242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</row>
    <row r="5123" spans="1:26" hidden="1">
      <c r="A5123"/>
      <c r="B5123" s="249"/>
      <c r="C5123"/>
      <c r="D5123"/>
      <c r="E5123"/>
      <c r="F5123" s="242"/>
      <c r="G5123"/>
      <c r="H5123" s="242"/>
      <c r="I5123" s="242"/>
      <c r="J5123" s="242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</row>
    <row r="5124" spans="1:26" hidden="1">
      <c r="A5124"/>
      <c r="B5124" s="249"/>
      <c r="C5124"/>
      <c r="D5124"/>
      <c r="E5124"/>
      <c r="F5124" s="242"/>
      <c r="G5124"/>
      <c r="H5124" s="242"/>
      <c r="I5124" s="242"/>
      <c r="J5124" s="242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</row>
    <row r="5125" spans="1:26" hidden="1">
      <c r="A5125"/>
      <c r="B5125" s="249"/>
      <c r="C5125"/>
      <c r="D5125"/>
      <c r="E5125"/>
      <c r="F5125" s="242"/>
      <c r="G5125"/>
      <c r="H5125" s="242"/>
      <c r="I5125" s="242"/>
      <c r="J5125" s="242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</row>
    <row r="5126" spans="1:26" hidden="1">
      <c r="A5126"/>
      <c r="B5126" s="249"/>
      <c r="C5126"/>
      <c r="D5126"/>
      <c r="E5126"/>
      <c r="F5126" s="242"/>
      <c r="G5126"/>
      <c r="H5126" s="242"/>
      <c r="I5126" s="242"/>
      <c r="J5126" s="242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</row>
    <row r="5127" spans="1:26" hidden="1">
      <c r="A5127"/>
      <c r="B5127" s="249"/>
      <c r="C5127"/>
      <c r="D5127"/>
      <c r="E5127"/>
      <c r="F5127" s="242"/>
      <c r="G5127"/>
      <c r="H5127" s="242"/>
      <c r="I5127" s="242"/>
      <c r="J5127" s="242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</row>
    <row r="5128" spans="1:26" hidden="1">
      <c r="A5128"/>
      <c r="B5128" s="249"/>
      <c r="C5128"/>
      <c r="D5128"/>
      <c r="E5128"/>
      <c r="F5128" s="242"/>
      <c r="G5128"/>
      <c r="H5128" s="242"/>
      <c r="I5128" s="242"/>
      <c r="J5128" s="242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</row>
    <row r="5129" spans="1:26" hidden="1">
      <c r="A5129"/>
      <c r="B5129" s="249"/>
      <c r="C5129"/>
      <c r="D5129"/>
      <c r="E5129"/>
      <c r="F5129" s="242"/>
      <c r="G5129"/>
      <c r="H5129" s="242"/>
      <c r="I5129" s="242"/>
      <c r="J5129" s="242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</row>
    <row r="5130" spans="1:26" hidden="1">
      <c r="A5130"/>
      <c r="B5130" s="249"/>
      <c r="C5130"/>
      <c r="D5130"/>
      <c r="E5130"/>
      <c r="F5130" s="242"/>
      <c r="G5130"/>
      <c r="H5130" s="242"/>
      <c r="I5130" s="242"/>
      <c r="J5130" s="242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</row>
    <row r="5131" spans="1:26" hidden="1">
      <c r="A5131"/>
      <c r="B5131" s="249"/>
      <c r="C5131"/>
      <c r="D5131"/>
      <c r="E5131"/>
      <c r="F5131" s="242"/>
      <c r="G5131"/>
      <c r="H5131" s="242"/>
      <c r="I5131" s="242"/>
      <c r="J5131" s="242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</row>
    <row r="5132" spans="1:26" hidden="1">
      <c r="A5132"/>
      <c r="B5132" s="249"/>
      <c r="C5132"/>
      <c r="D5132"/>
      <c r="E5132"/>
      <c r="F5132" s="242"/>
      <c r="G5132"/>
      <c r="H5132" s="242"/>
      <c r="I5132" s="242"/>
      <c r="J5132" s="242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</row>
    <row r="5133" spans="1:26" hidden="1">
      <c r="A5133"/>
      <c r="B5133" s="249"/>
      <c r="C5133"/>
      <c r="D5133"/>
      <c r="E5133"/>
      <c r="F5133" s="242"/>
      <c r="G5133"/>
      <c r="H5133" s="242"/>
      <c r="I5133" s="242"/>
      <c r="J5133" s="242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</row>
    <row r="5134" spans="1:26" hidden="1">
      <c r="A5134"/>
      <c r="B5134" s="249"/>
      <c r="C5134"/>
      <c r="D5134"/>
      <c r="E5134"/>
      <c r="F5134" s="242"/>
      <c r="G5134"/>
      <c r="H5134" s="242"/>
      <c r="I5134" s="242"/>
      <c r="J5134" s="242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</row>
    <row r="5135" spans="1:26" hidden="1">
      <c r="A5135"/>
      <c r="B5135" s="249"/>
      <c r="C5135"/>
      <c r="D5135"/>
      <c r="E5135"/>
      <c r="F5135" s="242"/>
      <c r="G5135"/>
      <c r="H5135" s="242"/>
      <c r="I5135" s="242"/>
      <c r="J5135" s="242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</row>
    <row r="5136" spans="1:26" hidden="1">
      <c r="A5136"/>
      <c r="B5136" s="249"/>
      <c r="C5136"/>
      <c r="D5136"/>
      <c r="E5136"/>
      <c r="F5136" s="242"/>
      <c r="G5136"/>
      <c r="H5136" s="242"/>
      <c r="I5136" s="242"/>
      <c r="J5136" s="242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</row>
    <row r="5137" spans="1:26" hidden="1">
      <c r="A5137"/>
      <c r="B5137" s="249"/>
      <c r="C5137"/>
      <c r="D5137"/>
      <c r="E5137"/>
      <c r="F5137" s="242"/>
      <c r="G5137"/>
      <c r="H5137" s="242"/>
      <c r="I5137" s="242"/>
      <c r="J5137" s="242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</row>
    <row r="5138" spans="1:26" hidden="1">
      <c r="A5138"/>
      <c r="B5138" s="249"/>
      <c r="C5138"/>
      <c r="D5138"/>
      <c r="E5138"/>
      <c r="F5138" s="242"/>
      <c r="G5138"/>
      <c r="H5138" s="242"/>
      <c r="I5138" s="242"/>
      <c r="J5138" s="242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</row>
    <row r="5139" spans="1:26" hidden="1">
      <c r="A5139"/>
      <c r="B5139" s="249"/>
      <c r="C5139"/>
      <c r="D5139"/>
      <c r="E5139"/>
      <c r="F5139" s="242"/>
      <c r="G5139"/>
      <c r="H5139" s="242"/>
      <c r="I5139" s="242"/>
      <c r="J5139" s="242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</row>
    <row r="5140" spans="1:26" hidden="1">
      <c r="A5140"/>
      <c r="B5140" s="249"/>
      <c r="C5140"/>
      <c r="D5140"/>
      <c r="E5140"/>
      <c r="F5140" s="242"/>
      <c r="G5140"/>
      <c r="H5140" s="242"/>
      <c r="I5140" s="242"/>
      <c r="J5140" s="242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</row>
    <row r="5141" spans="1:26" hidden="1">
      <c r="A5141"/>
      <c r="B5141" s="249"/>
      <c r="C5141"/>
      <c r="D5141"/>
      <c r="E5141"/>
      <c r="F5141" s="242"/>
      <c r="G5141"/>
      <c r="H5141" s="242"/>
      <c r="I5141" s="242"/>
      <c r="J5141" s="242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</row>
    <row r="5142" spans="1:26" hidden="1">
      <c r="A5142"/>
      <c r="B5142" s="249"/>
      <c r="C5142"/>
      <c r="D5142"/>
      <c r="E5142"/>
      <c r="F5142" s="242"/>
      <c r="G5142"/>
      <c r="H5142" s="242"/>
      <c r="I5142" s="242"/>
      <c r="J5142" s="242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</row>
    <row r="5143" spans="1:26" hidden="1">
      <c r="A5143"/>
      <c r="B5143" s="249"/>
      <c r="C5143"/>
      <c r="D5143"/>
      <c r="E5143"/>
      <c r="F5143" s="242"/>
      <c r="G5143"/>
      <c r="H5143" s="242"/>
      <c r="I5143" s="242"/>
      <c r="J5143" s="242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</row>
    <row r="5144" spans="1:26" hidden="1">
      <c r="A5144"/>
      <c r="B5144" s="249"/>
      <c r="C5144"/>
      <c r="D5144"/>
      <c r="E5144"/>
      <c r="F5144" s="242"/>
      <c r="G5144"/>
      <c r="H5144" s="242"/>
      <c r="I5144" s="242"/>
      <c r="J5144" s="242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</row>
    <row r="5145" spans="1:26" hidden="1">
      <c r="A5145"/>
      <c r="B5145" s="249"/>
      <c r="C5145"/>
      <c r="D5145"/>
      <c r="E5145"/>
      <c r="F5145" s="242"/>
      <c r="G5145"/>
      <c r="H5145" s="242"/>
      <c r="I5145" s="242"/>
      <c r="J5145" s="242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</row>
    <row r="5146" spans="1:26" hidden="1">
      <c r="A5146"/>
      <c r="B5146" s="249"/>
      <c r="C5146"/>
      <c r="D5146"/>
      <c r="E5146"/>
      <c r="F5146" s="242"/>
      <c r="G5146"/>
      <c r="H5146" s="242"/>
      <c r="I5146" s="242"/>
      <c r="J5146" s="242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</row>
    <row r="5147" spans="1:26" hidden="1">
      <c r="A5147"/>
      <c r="B5147" s="249"/>
      <c r="C5147"/>
      <c r="D5147"/>
      <c r="E5147"/>
      <c r="F5147" s="242"/>
      <c r="G5147"/>
      <c r="H5147" s="242"/>
      <c r="I5147" s="242"/>
      <c r="J5147" s="242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</row>
    <row r="5148" spans="1:26" hidden="1">
      <c r="A5148"/>
      <c r="B5148" s="249"/>
      <c r="C5148"/>
      <c r="D5148"/>
      <c r="E5148"/>
      <c r="F5148" s="242"/>
      <c r="G5148"/>
      <c r="H5148" s="242"/>
      <c r="I5148" s="242"/>
      <c r="J5148" s="242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</row>
    <row r="5149" spans="1:26" hidden="1">
      <c r="A5149"/>
      <c r="B5149" s="249"/>
      <c r="C5149"/>
      <c r="D5149"/>
      <c r="E5149"/>
      <c r="F5149" s="242"/>
      <c r="G5149"/>
      <c r="H5149" s="242"/>
      <c r="I5149" s="242"/>
      <c r="J5149" s="242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</row>
    <row r="5150" spans="1:26" hidden="1">
      <c r="A5150"/>
      <c r="B5150" s="249"/>
      <c r="C5150"/>
      <c r="D5150"/>
      <c r="E5150"/>
      <c r="F5150" s="242"/>
      <c r="G5150"/>
      <c r="H5150" s="242"/>
      <c r="I5150" s="242"/>
      <c r="J5150" s="242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</row>
    <row r="5151" spans="1:26" hidden="1">
      <c r="A5151"/>
      <c r="B5151" s="249"/>
      <c r="C5151"/>
      <c r="D5151"/>
      <c r="E5151"/>
      <c r="F5151" s="242"/>
      <c r="G5151"/>
      <c r="H5151" s="242"/>
      <c r="I5151" s="242"/>
      <c r="J5151" s="242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</row>
    <row r="5152" spans="1:26" hidden="1">
      <c r="A5152"/>
      <c r="B5152" s="249"/>
      <c r="C5152"/>
      <c r="D5152"/>
      <c r="E5152"/>
      <c r="F5152" s="242"/>
      <c r="G5152"/>
      <c r="H5152" s="242"/>
      <c r="I5152" s="242"/>
      <c r="J5152" s="242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</row>
    <row r="5153" spans="1:26" hidden="1">
      <c r="A5153"/>
      <c r="B5153" s="249"/>
      <c r="C5153"/>
      <c r="D5153"/>
      <c r="E5153"/>
      <c r="F5153" s="242"/>
      <c r="G5153"/>
      <c r="H5153" s="242"/>
      <c r="I5153" s="242"/>
      <c r="J5153" s="242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</row>
    <row r="5154" spans="1:26" hidden="1">
      <c r="A5154"/>
      <c r="B5154" s="249"/>
      <c r="C5154"/>
      <c r="D5154"/>
      <c r="E5154"/>
      <c r="F5154" s="242"/>
      <c r="G5154"/>
      <c r="H5154" s="242"/>
      <c r="I5154" s="242"/>
      <c r="J5154" s="242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</row>
    <row r="5155" spans="1:26" hidden="1">
      <c r="A5155"/>
      <c r="B5155" s="249"/>
      <c r="C5155"/>
      <c r="D5155"/>
      <c r="E5155"/>
      <c r="F5155" s="242"/>
      <c r="G5155"/>
      <c r="H5155" s="242"/>
      <c r="I5155" s="242"/>
      <c r="J5155" s="242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</row>
    <row r="5156" spans="1:26" hidden="1">
      <c r="A5156"/>
      <c r="B5156" s="249"/>
      <c r="C5156"/>
      <c r="D5156"/>
      <c r="E5156"/>
      <c r="F5156" s="242"/>
      <c r="G5156"/>
      <c r="H5156" s="242"/>
      <c r="I5156" s="242"/>
      <c r="J5156" s="242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</row>
    <row r="5157" spans="1:26" hidden="1">
      <c r="A5157"/>
      <c r="B5157" s="249"/>
      <c r="C5157"/>
      <c r="D5157"/>
      <c r="E5157"/>
      <c r="F5157" s="242"/>
      <c r="G5157"/>
      <c r="H5157" s="242"/>
      <c r="I5157" s="242"/>
      <c r="J5157" s="242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</row>
    <row r="5158" spans="1:26" hidden="1">
      <c r="A5158"/>
      <c r="B5158" s="249"/>
      <c r="C5158"/>
      <c r="D5158"/>
      <c r="E5158"/>
      <c r="F5158" s="242"/>
      <c r="G5158"/>
      <c r="H5158" s="242"/>
      <c r="I5158" s="242"/>
      <c r="J5158" s="242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</row>
    <row r="5159" spans="1:26" hidden="1">
      <c r="A5159"/>
      <c r="B5159" s="249"/>
      <c r="C5159"/>
      <c r="D5159"/>
      <c r="E5159"/>
      <c r="F5159" s="242"/>
      <c r="G5159"/>
      <c r="H5159" s="242"/>
      <c r="I5159" s="242"/>
      <c r="J5159" s="242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</row>
    <row r="5160" spans="1:26" hidden="1">
      <c r="A5160"/>
      <c r="B5160" s="249"/>
      <c r="C5160"/>
      <c r="D5160"/>
      <c r="E5160"/>
      <c r="F5160" s="242"/>
      <c r="G5160"/>
      <c r="H5160" s="242"/>
      <c r="I5160" s="242"/>
      <c r="J5160" s="242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</row>
    <row r="5161" spans="1:26" hidden="1">
      <c r="A5161"/>
      <c r="B5161" s="249"/>
      <c r="C5161"/>
      <c r="D5161"/>
      <c r="E5161"/>
      <c r="F5161" s="242"/>
      <c r="G5161"/>
      <c r="H5161" s="242"/>
      <c r="I5161" s="242"/>
      <c r="J5161" s="242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</row>
    <row r="5162" spans="1:26" hidden="1">
      <c r="A5162"/>
      <c r="B5162" s="249"/>
      <c r="C5162"/>
      <c r="D5162"/>
      <c r="E5162"/>
      <c r="F5162" s="242"/>
      <c r="G5162"/>
      <c r="H5162" s="242"/>
      <c r="I5162" s="242"/>
      <c r="J5162" s="242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</row>
    <row r="5163" spans="1:26" hidden="1">
      <c r="A5163"/>
      <c r="B5163" s="249"/>
      <c r="C5163"/>
      <c r="D5163"/>
      <c r="E5163"/>
      <c r="F5163" s="242"/>
      <c r="G5163"/>
      <c r="H5163" s="242"/>
      <c r="I5163" s="242"/>
      <c r="J5163" s="242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</row>
    <row r="5164" spans="1:26" hidden="1">
      <c r="A5164"/>
      <c r="B5164" s="249"/>
      <c r="C5164"/>
      <c r="D5164"/>
      <c r="E5164"/>
      <c r="F5164" s="242"/>
      <c r="G5164"/>
      <c r="H5164" s="242"/>
      <c r="I5164" s="242"/>
      <c r="J5164" s="242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</row>
    <row r="5165" spans="1:26" hidden="1">
      <c r="A5165"/>
      <c r="B5165" s="249"/>
      <c r="C5165"/>
      <c r="D5165"/>
      <c r="E5165"/>
      <c r="F5165" s="242"/>
      <c r="G5165"/>
      <c r="H5165" s="242"/>
      <c r="I5165" s="242"/>
      <c r="J5165" s="242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</row>
    <row r="5166" spans="1:26" hidden="1">
      <c r="A5166"/>
      <c r="B5166" s="249"/>
      <c r="C5166"/>
      <c r="D5166"/>
      <c r="E5166"/>
      <c r="F5166" s="242"/>
      <c r="G5166"/>
      <c r="H5166" s="242"/>
      <c r="I5166" s="242"/>
      <c r="J5166" s="242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</row>
    <row r="5167" spans="1:26" hidden="1">
      <c r="A5167"/>
      <c r="B5167" s="249"/>
      <c r="C5167"/>
      <c r="D5167"/>
      <c r="E5167"/>
      <c r="F5167" s="242"/>
      <c r="G5167"/>
      <c r="H5167" s="242"/>
      <c r="I5167" s="242"/>
      <c r="J5167" s="242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</row>
    <row r="5168" spans="1:26" hidden="1">
      <c r="A5168"/>
      <c r="B5168" s="249"/>
      <c r="C5168"/>
      <c r="D5168"/>
      <c r="E5168"/>
      <c r="F5168" s="242"/>
      <c r="G5168"/>
      <c r="H5168" s="242"/>
      <c r="I5168" s="242"/>
      <c r="J5168" s="242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</row>
    <row r="5169" spans="1:26" hidden="1">
      <c r="A5169"/>
      <c r="B5169" s="249"/>
      <c r="C5169"/>
      <c r="D5169"/>
      <c r="E5169"/>
      <c r="F5169" s="242"/>
      <c r="G5169"/>
      <c r="H5169" s="242"/>
      <c r="I5169" s="242"/>
      <c r="J5169" s="242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</row>
    <row r="5170" spans="1:26" hidden="1">
      <c r="A5170"/>
      <c r="B5170" s="249"/>
      <c r="C5170"/>
      <c r="D5170"/>
      <c r="E5170"/>
      <c r="F5170" s="242"/>
      <c r="G5170"/>
      <c r="H5170" s="242"/>
      <c r="I5170" s="242"/>
      <c r="J5170" s="242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</row>
    <row r="5171" spans="1:26" hidden="1">
      <c r="A5171"/>
      <c r="B5171" s="249"/>
      <c r="C5171"/>
      <c r="D5171"/>
      <c r="E5171"/>
      <c r="F5171" s="242"/>
      <c r="G5171"/>
      <c r="H5171" s="242"/>
      <c r="I5171" s="242"/>
      <c r="J5171" s="242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</row>
    <row r="5172" spans="1:26" hidden="1">
      <c r="A5172"/>
      <c r="B5172" s="249"/>
      <c r="C5172"/>
      <c r="D5172"/>
      <c r="E5172"/>
      <c r="F5172" s="242"/>
      <c r="G5172"/>
      <c r="H5172" s="242"/>
      <c r="I5172" s="242"/>
      <c r="J5172" s="242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</row>
    <row r="5173" spans="1:26" hidden="1">
      <c r="A5173"/>
      <c r="B5173" s="249"/>
      <c r="C5173"/>
      <c r="D5173"/>
      <c r="E5173"/>
      <c r="F5173" s="242"/>
      <c r="G5173"/>
      <c r="H5173" s="242"/>
      <c r="I5173" s="242"/>
      <c r="J5173" s="242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</row>
    <row r="5174" spans="1:26" hidden="1">
      <c r="A5174"/>
      <c r="B5174" s="249"/>
      <c r="C5174"/>
      <c r="D5174"/>
      <c r="E5174"/>
      <c r="F5174" s="242"/>
      <c r="G5174"/>
      <c r="H5174" s="242"/>
      <c r="I5174" s="242"/>
      <c r="J5174" s="242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</row>
    <row r="5175" spans="1:26" hidden="1">
      <c r="A5175"/>
      <c r="B5175" s="249"/>
      <c r="C5175"/>
      <c r="D5175"/>
      <c r="E5175"/>
      <c r="F5175" s="242"/>
      <c r="G5175"/>
      <c r="H5175" s="242"/>
      <c r="I5175" s="242"/>
      <c r="J5175" s="242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</row>
    <row r="5176" spans="1:26" hidden="1">
      <c r="A5176"/>
      <c r="B5176" s="249"/>
      <c r="C5176"/>
      <c r="D5176"/>
      <c r="E5176"/>
      <c r="F5176" s="242"/>
      <c r="G5176"/>
      <c r="H5176" s="242"/>
      <c r="I5176" s="242"/>
      <c r="J5176" s="242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</row>
    <row r="5177" spans="1:26" hidden="1">
      <c r="A5177"/>
      <c r="B5177" s="249"/>
      <c r="C5177"/>
      <c r="D5177"/>
      <c r="E5177"/>
      <c r="F5177" s="242"/>
      <c r="G5177"/>
      <c r="H5177" s="242"/>
      <c r="I5177" s="242"/>
      <c r="J5177" s="242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</row>
    <row r="5178" spans="1:26" hidden="1">
      <c r="A5178"/>
      <c r="B5178" s="249"/>
      <c r="C5178"/>
      <c r="D5178"/>
      <c r="E5178"/>
      <c r="F5178" s="242"/>
      <c r="G5178"/>
      <c r="H5178" s="242"/>
      <c r="I5178" s="242"/>
      <c r="J5178" s="242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</row>
    <row r="5179" spans="1:26" hidden="1">
      <c r="A5179"/>
      <c r="B5179" s="249"/>
      <c r="C5179"/>
      <c r="D5179"/>
      <c r="E5179"/>
      <c r="F5179" s="242"/>
      <c r="G5179"/>
      <c r="H5179" s="242"/>
      <c r="I5179" s="242"/>
      <c r="J5179" s="242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</row>
    <row r="5180" spans="1:26" hidden="1">
      <c r="A5180"/>
      <c r="B5180" s="249"/>
      <c r="C5180"/>
      <c r="D5180"/>
      <c r="E5180"/>
      <c r="F5180" s="242"/>
      <c r="G5180"/>
      <c r="H5180" s="242"/>
      <c r="I5180" s="242"/>
      <c r="J5180" s="242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</row>
    <row r="5181" spans="1:26" hidden="1">
      <c r="A5181"/>
      <c r="B5181" s="249"/>
      <c r="C5181"/>
      <c r="D5181"/>
      <c r="E5181"/>
      <c r="F5181" s="242"/>
      <c r="G5181"/>
      <c r="H5181" s="242"/>
      <c r="I5181" s="242"/>
      <c r="J5181" s="242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</row>
    <row r="5182" spans="1:26" hidden="1">
      <c r="A5182"/>
      <c r="B5182" s="249"/>
      <c r="C5182"/>
      <c r="D5182"/>
      <c r="E5182"/>
      <c r="F5182" s="242"/>
      <c r="G5182"/>
      <c r="H5182" s="242"/>
      <c r="I5182" s="242"/>
      <c r="J5182" s="242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</row>
    <row r="5183" spans="1:26" hidden="1">
      <c r="A5183"/>
      <c r="B5183" s="249"/>
      <c r="C5183"/>
      <c r="D5183"/>
      <c r="E5183"/>
      <c r="F5183" s="242"/>
      <c r="G5183"/>
      <c r="H5183" s="242"/>
      <c r="I5183" s="242"/>
      <c r="J5183" s="242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</row>
    <row r="5184" spans="1:26" hidden="1">
      <c r="A5184"/>
      <c r="B5184" s="249"/>
      <c r="C5184"/>
      <c r="D5184"/>
      <c r="E5184"/>
      <c r="F5184" s="242"/>
      <c r="G5184"/>
      <c r="H5184" s="242"/>
      <c r="I5184" s="242"/>
      <c r="J5184" s="242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</row>
    <row r="5185" spans="1:26" hidden="1">
      <c r="A5185"/>
      <c r="B5185" s="249"/>
      <c r="C5185"/>
      <c r="D5185"/>
      <c r="E5185"/>
      <c r="F5185" s="242"/>
      <c r="G5185"/>
      <c r="H5185" s="242"/>
      <c r="I5185" s="242"/>
      <c r="J5185" s="242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</row>
    <row r="5186" spans="1:26" hidden="1">
      <c r="A5186"/>
      <c r="B5186" s="249"/>
      <c r="C5186"/>
      <c r="D5186"/>
      <c r="E5186"/>
      <c r="F5186" s="242"/>
      <c r="G5186"/>
      <c r="H5186" s="242"/>
      <c r="I5186" s="242"/>
      <c r="J5186" s="242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</row>
    <row r="5187" spans="1:26" hidden="1">
      <c r="A5187"/>
      <c r="B5187" s="249"/>
      <c r="C5187"/>
      <c r="D5187"/>
      <c r="E5187"/>
      <c r="F5187" s="242"/>
      <c r="G5187"/>
      <c r="H5187" s="242"/>
      <c r="I5187" s="242"/>
      <c r="J5187" s="242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</row>
    <row r="5188" spans="1:26" hidden="1">
      <c r="A5188"/>
      <c r="B5188" s="249"/>
      <c r="C5188"/>
      <c r="D5188"/>
      <c r="E5188"/>
      <c r="F5188" s="242"/>
      <c r="G5188"/>
      <c r="H5188" s="242"/>
      <c r="I5188" s="242"/>
      <c r="J5188" s="242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</row>
    <row r="5189" spans="1:26" hidden="1">
      <c r="A5189"/>
      <c r="B5189" s="249"/>
      <c r="C5189"/>
      <c r="D5189"/>
      <c r="E5189"/>
      <c r="F5189" s="242"/>
      <c r="G5189"/>
      <c r="H5189" s="242"/>
      <c r="I5189" s="242"/>
      <c r="J5189" s="242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</row>
    <row r="5190" spans="1:26" hidden="1">
      <c r="A5190"/>
      <c r="B5190" s="249"/>
      <c r="C5190"/>
      <c r="D5190"/>
      <c r="E5190"/>
      <c r="F5190" s="242"/>
      <c r="G5190"/>
      <c r="H5190" s="242"/>
      <c r="I5190" s="242"/>
      <c r="J5190" s="242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</row>
    <row r="5191" spans="1:26" hidden="1">
      <c r="A5191"/>
      <c r="B5191" s="249"/>
      <c r="C5191"/>
      <c r="D5191"/>
      <c r="E5191"/>
      <c r="F5191" s="242"/>
      <c r="G5191"/>
      <c r="H5191" s="242"/>
      <c r="I5191" s="242"/>
      <c r="J5191" s="242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</row>
    <row r="5192" spans="1:26" hidden="1">
      <c r="A5192"/>
      <c r="B5192" s="249"/>
      <c r="C5192"/>
      <c r="D5192"/>
      <c r="E5192"/>
      <c r="F5192" s="242"/>
      <c r="G5192"/>
      <c r="H5192" s="242"/>
      <c r="I5192" s="242"/>
      <c r="J5192" s="242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</row>
    <row r="5193" spans="1:26" hidden="1">
      <c r="A5193"/>
      <c r="B5193" s="249"/>
      <c r="C5193"/>
      <c r="D5193"/>
      <c r="E5193"/>
      <c r="F5193" s="242"/>
      <c r="G5193"/>
      <c r="H5193" s="242"/>
      <c r="I5193" s="242"/>
      <c r="J5193" s="242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</row>
    <row r="5194" spans="1:26" hidden="1">
      <c r="A5194"/>
      <c r="B5194" s="249"/>
      <c r="C5194"/>
      <c r="D5194"/>
      <c r="E5194"/>
      <c r="F5194" s="242"/>
      <c r="G5194"/>
      <c r="H5194" s="242"/>
      <c r="I5194" s="242"/>
      <c r="J5194" s="242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</row>
    <row r="5195" spans="1:26" hidden="1">
      <c r="A5195"/>
      <c r="B5195" s="249"/>
      <c r="C5195"/>
      <c r="D5195"/>
      <c r="E5195"/>
      <c r="F5195" s="242"/>
      <c r="G5195"/>
      <c r="H5195" s="242"/>
      <c r="I5195" s="242"/>
      <c r="J5195" s="242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</row>
    <row r="5196" spans="1:26" hidden="1">
      <c r="A5196"/>
      <c r="B5196" s="249"/>
      <c r="C5196"/>
      <c r="D5196"/>
      <c r="E5196"/>
      <c r="F5196" s="242"/>
      <c r="G5196"/>
      <c r="H5196" s="242"/>
      <c r="I5196" s="242"/>
      <c r="J5196" s="242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</row>
    <row r="5197" spans="1:26" hidden="1">
      <c r="A5197"/>
      <c r="B5197" s="249"/>
      <c r="C5197"/>
      <c r="D5197"/>
      <c r="E5197"/>
      <c r="F5197" s="242"/>
      <c r="G5197"/>
      <c r="H5197" s="242"/>
      <c r="I5197" s="242"/>
      <c r="J5197" s="242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</row>
    <row r="5198" spans="1:26" hidden="1">
      <c r="A5198"/>
      <c r="B5198" s="249"/>
      <c r="C5198"/>
      <c r="D5198"/>
      <c r="E5198"/>
      <c r="F5198" s="242"/>
      <c r="G5198"/>
      <c r="H5198" s="242"/>
      <c r="I5198" s="242"/>
      <c r="J5198" s="242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</row>
    <row r="5199" spans="1:26" hidden="1">
      <c r="A5199"/>
      <c r="B5199" s="249"/>
      <c r="C5199"/>
      <c r="D5199"/>
      <c r="E5199"/>
      <c r="F5199" s="242"/>
      <c r="G5199"/>
      <c r="H5199" s="242"/>
      <c r="I5199" s="242"/>
      <c r="J5199" s="242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</row>
    <row r="5200" spans="1:26" hidden="1">
      <c r="A5200"/>
      <c r="B5200" s="249"/>
      <c r="C5200"/>
      <c r="D5200"/>
      <c r="E5200"/>
      <c r="F5200" s="242"/>
      <c r="G5200"/>
      <c r="H5200" s="242"/>
      <c r="I5200" s="242"/>
      <c r="J5200" s="242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</row>
    <row r="5201" spans="1:26" hidden="1">
      <c r="A5201"/>
      <c r="B5201" s="249"/>
      <c r="C5201"/>
      <c r="D5201"/>
      <c r="E5201"/>
      <c r="F5201" s="242"/>
      <c r="G5201"/>
      <c r="H5201" s="242"/>
      <c r="I5201" s="242"/>
      <c r="J5201" s="242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</row>
    <row r="5202" spans="1:26" hidden="1">
      <c r="A5202"/>
      <c r="B5202" s="249"/>
      <c r="C5202"/>
      <c r="D5202"/>
      <c r="E5202"/>
      <c r="F5202" s="242"/>
      <c r="G5202"/>
      <c r="H5202" s="242"/>
      <c r="I5202" s="242"/>
      <c r="J5202" s="242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</row>
    <row r="5203" spans="1:26" hidden="1">
      <c r="A5203"/>
      <c r="B5203" s="249"/>
      <c r="C5203"/>
      <c r="D5203"/>
      <c r="E5203"/>
      <c r="F5203" s="242"/>
      <c r="G5203"/>
      <c r="H5203" s="242"/>
      <c r="I5203" s="242"/>
      <c r="J5203" s="242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</row>
    <row r="5204" spans="1:26" hidden="1">
      <c r="A5204"/>
      <c r="B5204" s="249"/>
      <c r="C5204"/>
      <c r="D5204"/>
      <c r="E5204"/>
      <c r="F5204" s="242"/>
      <c r="G5204"/>
      <c r="H5204" s="242"/>
      <c r="I5204" s="242"/>
      <c r="J5204" s="242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</row>
    <row r="5205" spans="1:26" hidden="1">
      <c r="A5205"/>
      <c r="B5205" s="249"/>
      <c r="C5205"/>
      <c r="D5205"/>
      <c r="E5205"/>
      <c r="F5205" s="242"/>
      <c r="G5205"/>
      <c r="H5205" s="242"/>
      <c r="I5205" s="242"/>
      <c r="J5205" s="242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</row>
    <row r="5206" spans="1:26" hidden="1">
      <c r="A5206"/>
      <c r="B5206" s="249"/>
      <c r="C5206"/>
      <c r="D5206"/>
      <c r="E5206"/>
      <c r="F5206" s="242"/>
      <c r="G5206"/>
      <c r="H5206" s="242"/>
      <c r="I5206" s="242"/>
      <c r="J5206" s="242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</row>
    <row r="5207" spans="1:26" hidden="1">
      <c r="A5207"/>
      <c r="B5207" s="249"/>
      <c r="C5207"/>
      <c r="D5207"/>
      <c r="E5207"/>
      <c r="F5207" s="242"/>
      <c r="G5207"/>
      <c r="H5207" s="242"/>
      <c r="I5207" s="242"/>
      <c r="J5207" s="242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</row>
    <row r="5208" spans="1:26" hidden="1">
      <c r="A5208"/>
      <c r="B5208" s="249"/>
      <c r="C5208"/>
      <c r="D5208"/>
      <c r="E5208"/>
      <c r="F5208" s="242"/>
      <c r="G5208"/>
      <c r="H5208" s="242"/>
      <c r="I5208" s="242"/>
      <c r="J5208" s="242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</row>
    <row r="5209" spans="1:26" hidden="1">
      <c r="A5209"/>
      <c r="B5209" s="249"/>
      <c r="C5209"/>
      <c r="D5209"/>
      <c r="E5209"/>
      <c r="F5209" s="242"/>
      <c r="G5209"/>
      <c r="H5209" s="242"/>
      <c r="I5209" s="242"/>
      <c r="J5209" s="242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</row>
    <row r="5210" spans="1:26" hidden="1">
      <c r="A5210"/>
      <c r="B5210" s="249"/>
      <c r="C5210"/>
      <c r="D5210"/>
      <c r="E5210"/>
      <c r="F5210" s="242"/>
      <c r="G5210"/>
      <c r="H5210" s="242"/>
      <c r="I5210" s="242"/>
      <c r="J5210" s="242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</row>
    <row r="5211" spans="1:26" hidden="1">
      <c r="A5211"/>
      <c r="B5211" s="249"/>
      <c r="C5211"/>
      <c r="D5211"/>
      <c r="E5211"/>
      <c r="F5211" s="242"/>
      <c r="G5211"/>
      <c r="H5211" s="242"/>
      <c r="I5211" s="242"/>
      <c r="J5211" s="242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</row>
    <row r="5212" spans="1:26" hidden="1">
      <c r="A5212"/>
      <c r="B5212" s="249"/>
      <c r="C5212"/>
      <c r="D5212"/>
      <c r="E5212"/>
      <c r="F5212" s="242"/>
      <c r="G5212"/>
      <c r="H5212" s="242"/>
      <c r="I5212" s="242"/>
      <c r="J5212" s="242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</row>
    <row r="5213" spans="1:26" hidden="1">
      <c r="A5213"/>
      <c r="B5213" s="249"/>
      <c r="C5213"/>
      <c r="D5213"/>
      <c r="E5213"/>
      <c r="F5213" s="242"/>
      <c r="G5213"/>
      <c r="H5213" s="242"/>
      <c r="I5213" s="242"/>
      <c r="J5213" s="242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</row>
    <row r="5214" spans="1:26" hidden="1">
      <c r="A5214"/>
      <c r="B5214" s="249"/>
      <c r="C5214"/>
      <c r="D5214"/>
      <c r="E5214"/>
      <c r="F5214" s="242"/>
      <c r="G5214"/>
      <c r="H5214" s="242"/>
      <c r="I5214" s="242"/>
      <c r="J5214" s="242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</row>
    <row r="5215" spans="1:26" hidden="1">
      <c r="A5215"/>
      <c r="B5215" s="249"/>
      <c r="C5215"/>
      <c r="D5215"/>
      <c r="E5215"/>
      <c r="F5215" s="242"/>
      <c r="G5215"/>
      <c r="H5215" s="242"/>
      <c r="I5215" s="242"/>
      <c r="J5215" s="242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</row>
    <row r="5216" spans="1:26" hidden="1">
      <c r="A5216"/>
      <c r="B5216" s="249"/>
      <c r="C5216"/>
      <c r="D5216"/>
      <c r="E5216"/>
      <c r="F5216" s="242"/>
      <c r="G5216"/>
      <c r="H5216" s="242"/>
      <c r="I5216" s="242"/>
      <c r="J5216" s="242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</row>
    <row r="5217" spans="1:26" hidden="1">
      <c r="A5217"/>
      <c r="B5217" s="249"/>
      <c r="C5217"/>
      <c r="D5217"/>
      <c r="E5217"/>
      <c r="F5217" s="242"/>
      <c r="G5217"/>
      <c r="H5217" s="242"/>
      <c r="I5217" s="242"/>
      <c r="J5217" s="242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</row>
    <row r="5218" spans="1:26" hidden="1">
      <c r="A5218"/>
      <c r="B5218" s="249"/>
      <c r="C5218"/>
      <c r="D5218"/>
      <c r="E5218"/>
      <c r="F5218" s="242"/>
      <c r="G5218"/>
      <c r="H5218" s="242"/>
      <c r="I5218" s="242"/>
      <c r="J5218" s="242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</row>
    <row r="5219" spans="1:26" hidden="1">
      <c r="A5219"/>
      <c r="B5219" s="249"/>
      <c r="C5219"/>
      <c r="D5219"/>
      <c r="E5219"/>
      <c r="F5219" s="242"/>
      <c r="G5219"/>
      <c r="H5219" s="242"/>
      <c r="I5219" s="242"/>
      <c r="J5219" s="242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</row>
    <row r="5220" spans="1:26" hidden="1">
      <c r="A5220"/>
      <c r="B5220" s="249"/>
      <c r="C5220"/>
      <c r="D5220"/>
      <c r="E5220"/>
      <c r="F5220" s="242"/>
      <c r="G5220"/>
      <c r="H5220" s="242"/>
      <c r="I5220" s="242"/>
      <c r="J5220" s="242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</row>
    <row r="5221" spans="1:26" hidden="1">
      <c r="A5221"/>
      <c r="B5221" s="249"/>
      <c r="C5221"/>
      <c r="D5221"/>
      <c r="E5221"/>
      <c r="F5221" s="242"/>
      <c r="G5221"/>
      <c r="H5221" s="242"/>
      <c r="I5221" s="242"/>
      <c r="J5221" s="242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</row>
    <row r="5222" spans="1:26" hidden="1">
      <c r="A5222"/>
      <c r="B5222" s="249"/>
      <c r="C5222"/>
      <c r="D5222"/>
      <c r="E5222"/>
      <c r="F5222" s="242"/>
      <c r="G5222"/>
      <c r="H5222" s="242"/>
      <c r="I5222" s="242"/>
      <c r="J5222" s="242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</row>
    <row r="5223" spans="1:26" hidden="1">
      <c r="A5223"/>
      <c r="B5223" s="249"/>
      <c r="C5223"/>
      <c r="D5223"/>
      <c r="E5223"/>
      <c r="F5223" s="242"/>
      <c r="G5223"/>
      <c r="H5223" s="242"/>
      <c r="I5223" s="242"/>
      <c r="J5223" s="242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</row>
    <row r="5224" spans="1:26" hidden="1">
      <c r="A5224"/>
      <c r="B5224" s="249"/>
      <c r="C5224"/>
      <c r="D5224"/>
      <c r="E5224"/>
      <c r="F5224" s="242"/>
      <c r="G5224"/>
      <c r="H5224" s="242"/>
      <c r="I5224" s="242"/>
      <c r="J5224" s="242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</row>
    <row r="5225" spans="1:26" hidden="1">
      <c r="A5225"/>
      <c r="B5225" s="249"/>
      <c r="C5225"/>
      <c r="D5225"/>
      <c r="E5225"/>
      <c r="F5225" s="242"/>
      <c r="G5225"/>
      <c r="H5225" s="242"/>
      <c r="I5225" s="242"/>
      <c r="J5225" s="242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</row>
    <row r="5226" spans="1:26" hidden="1">
      <c r="A5226"/>
      <c r="B5226" s="249"/>
      <c r="C5226"/>
      <c r="D5226"/>
      <c r="E5226"/>
      <c r="F5226" s="242"/>
      <c r="G5226"/>
      <c r="H5226" s="242"/>
      <c r="I5226" s="242"/>
      <c r="J5226" s="242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</row>
    <row r="5227" spans="1:26" hidden="1">
      <c r="A5227"/>
      <c r="B5227" s="249"/>
      <c r="C5227"/>
      <c r="D5227"/>
      <c r="E5227"/>
      <c r="F5227" s="242"/>
      <c r="G5227"/>
      <c r="H5227" s="242"/>
      <c r="I5227" s="242"/>
      <c r="J5227" s="242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</row>
    <row r="5228" spans="1:26" hidden="1">
      <c r="A5228"/>
      <c r="B5228" s="249"/>
      <c r="C5228"/>
      <c r="D5228"/>
      <c r="E5228"/>
      <c r="F5228" s="242"/>
      <c r="G5228"/>
      <c r="H5228" s="242"/>
      <c r="I5228" s="242"/>
      <c r="J5228" s="242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</row>
    <row r="5229" spans="1:26" hidden="1">
      <c r="A5229"/>
      <c r="B5229" s="249"/>
      <c r="C5229"/>
      <c r="D5229"/>
      <c r="E5229"/>
      <c r="F5229" s="242"/>
      <c r="G5229"/>
      <c r="H5229" s="242"/>
      <c r="I5229" s="242"/>
      <c r="J5229" s="242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</row>
    <row r="5230" spans="1:26" hidden="1">
      <c r="A5230"/>
      <c r="B5230" s="249"/>
      <c r="C5230"/>
      <c r="D5230"/>
      <c r="E5230"/>
      <c r="F5230" s="242"/>
      <c r="G5230"/>
      <c r="H5230" s="242"/>
      <c r="I5230" s="242"/>
      <c r="J5230" s="242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</row>
    <row r="5231" spans="1:26" hidden="1">
      <c r="A5231"/>
      <c r="B5231" s="249"/>
      <c r="C5231"/>
      <c r="D5231"/>
      <c r="E5231"/>
      <c r="F5231" s="242"/>
      <c r="G5231"/>
      <c r="H5231" s="242"/>
      <c r="I5231" s="242"/>
      <c r="J5231" s="242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</row>
    <row r="5232" spans="1:26" hidden="1">
      <c r="A5232"/>
      <c r="B5232" s="249"/>
      <c r="C5232"/>
      <c r="D5232"/>
      <c r="E5232"/>
      <c r="F5232" s="242"/>
      <c r="G5232"/>
      <c r="H5232" s="242"/>
      <c r="I5232" s="242"/>
      <c r="J5232" s="242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</row>
    <row r="5233" spans="1:26" hidden="1">
      <c r="A5233"/>
      <c r="B5233" s="249"/>
      <c r="C5233"/>
      <c r="D5233"/>
      <c r="E5233"/>
      <c r="F5233" s="242"/>
      <c r="G5233"/>
      <c r="H5233" s="242"/>
      <c r="I5233" s="242"/>
      <c r="J5233" s="242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</row>
    <row r="5234" spans="1:26" hidden="1">
      <c r="A5234"/>
      <c r="B5234" s="249"/>
      <c r="C5234"/>
      <c r="D5234"/>
      <c r="E5234"/>
      <c r="F5234" s="242"/>
      <c r="G5234"/>
      <c r="H5234" s="242"/>
      <c r="I5234" s="242"/>
      <c r="J5234" s="242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</row>
    <row r="5235" spans="1:26" hidden="1">
      <c r="A5235"/>
      <c r="B5235" s="249"/>
      <c r="C5235"/>
      <c r="D5235"/>
      <c r="E5235"/>
      <c r="F5235" s="242"/>
      <c r="G5235"/>
      <c r="H5235" s="242"/>
      <c r="I5235" s="242"/>
      <c r="J5235" s="242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</row>
    <row r="5236" spans="1:26" hidden="1">
      <c r="A5236"/>
      <c r="B5236" s="249"/>
      <c r="C5236"/>
      <c r="D5236"/>
      <c r="E5236"/>
      <c r="F5236" s="242"/>
      <c r="G5236"/>
      <c r="H5236" s="242"/>
      <c r="I5236" s="242"/>
      <c r="J5236" s="242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</row>
    <row r="5237" spans="1:26" hidden="1">
      <c r="A5237"/>
      <c r="B5237" s="249"/>
      <c r="C5237"/>
      <c r="D5237"/>
      <c r="E5237"/>
      <c r="F5237" s="242"/>
      <c r="G5237"/>
      <c r="H5237" s="242"/>
      <c r="I5237" s="242"/>
      <c r="J5237" s="242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</row>
    <row r="5238" spans="1:26" hidden="1">
      <c r="A5238"/>
      <c r="B5238" s="249"/>
      <c r="C5238"/>
      <c r="D5238"/>
      <c r="E5238"/>
      <c r="F5238" s="242"/>
      <c r="G5238"/>
      <c r="H5238" s="242"/>
      <c r="I5238" s="242"/>
      <c r="J5238" s="242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</row>
    <row r="5239" spans="1:26" hidden="1">
      <c r="A5239"/>
      <c r="B5239" s="249"/>
      <c r="C5239"/>
      <c r="D5239"/>
      <c r="E5239"/>
      <c r="F5239" s="242"/>
      <c r="G5239"/>
      <c r="H5239" s="242"/>
      <c r="I5239" s="242"/>
      <c r="J5239" s="242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</row>
    <row r="5240" spans="1:26" hidden="1">
      <c r="A5240"/>
      <c r="B5240" s="249"/>
      <c r="C5240"/>
      <c r="D5240"/>
      <c r="E5240"/>
      <c r="F5240" s="242"/>
      <c r="G5240"/>
      <c r="H5240" s="242"/>
      <c r="I5240" s="242"/>
      <c r="J5240" s="242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</row>
    <row r="5241" spans="1:26" hidden="1">
      <c r="A5241"/>
      <c r="B5241" s="249"/>
      <c r="C5241"/>
      <c r="D5241"/>
      <c r="E5241"/>
      <c r="F5241" s="242"/>
      <c r="G5241"/>
      <c r="H5241" s="242"/>
      <c r="I5241" s="242"/>
      <c r="J5241" s="242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</row>
    <row r="5242" spans="1:26" hidden="1">
      <c r="A5242"/>
      <c r="B5242" s="249"/>
      <c r="C5242"/>
      <c r="D5242"/>
      <c r="E5242"/>
      <c r="F5242" s="242"/>
      <c r="G5242"/>
      <c r="H5242" s="242"/>
      <c r="I5242" s="242"/>
      <c r="J5242" s="242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</row>
    <row r="5243" spans="1:26" hidden="1">
      <c r="A5243"/>
      <c r="B5243" s="249"/>
      <c r="C5243"/>
      <c r="D5243"/>
      <c r="E5243"/>
      <c r="F5243" s="242"/>
      <c r="G5243"/>
      <c r="H5243" s="242"/>
      <c r="I5243" s="242"/>
      <c r="J5243" s="242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</row>
    <row r="5244" spans="1:26" hidden="1">
      <c r="A5244"/>
      <c r="B5244" s="249"/>
      <c r="C5244"/>
      <c r="D5244"/>
      <c r="E5244"/>
      <c r="F5244" s="242"/>
      <c r="G5244"/>
      <c r="H5244" s="242"/>
      <c r="I5244" s="242"/>
      <c r="J5244" s="242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</row>
    <row r="5245" spans="1:26" hidden="1">
      <c r="A5245"/>
      <c r="B5245" s="249"/>
      <c r="C5245"/>
      <c r="D5245"/>
      <c r="E5245"/>
      <c r="F5245" s="242"/>
      <c r="G5245"/>
      <c r="H5245" s="242"/>
      <c r="I5245" s="242"/>
      <c r="J5245" s="242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</row>
    <row r="5246" spans="1:26" hidden="1">
      <c r="A5246"/>
      <c r="B5246" s="249"/>
      <c r="C5246"/>
      <c r="D5246"/>
      <c r="E5246"/>
      <c r="F5246" s="242"/>
      <c r="G5246"/>
      <c r="H5246" s="242"/>
      <c r="I5246" s="242"/>
      <c r="J5246" s="242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</row>
    <row r="5247" spans="1:26" hidden="1">
      <c r="A5247"/>
      <c r="B5247" s="249"/>
      <c r="C5247"/>
      <c r="D5247"/>
      <c r="E5247"/>
      <c r="F5247" s="242"/>
      <c r="G5247"/>
      <c r="H5247" s="242"/>
      <c r="I5247" s="242"/>
      <c r="J5247" s="242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</row>
    <row r="5248" spans="1:26" hidden="1">
      <c r="A5248"/>
      <c r="B5248" s="249"/>
      <c r="C5248"/>
      <c r="D5248"/>
      <c r="E5248"/>
      <c r="F5248" s="242"/>
      <c r="G5248"/>
      <c r="H5248" s="242"/>
      <c r="I5248" s="242"/>
      <c r="J5248" s="242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</row>
    <row r="5249" spans="1:26" hidden="1">
      <c r="A5249"/>
      <c r="B5249" s="249"/>
      <c r="C5249"/>
      <c r="D5249"/>
      <c r="E5249"/>
      <c r="F5249" s="242"/>
      <c r="G5249"/>
      <c r="H5249" s="242"/>
      <c r="I5249" s="242"/>
      <c r="J5249" s="242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</row>
    <row r="5250" spans="1:26" hidden="1">
      <c r="A5250"/>
      <c r="B5250" s="249"/>
      <c r="C5250"/>
      <c r="D5250"/>
      <c r="E5250"/>
      <c r="F5250" s="242"/>
      <c r="G5250"/>
      <c r="H5250" s="242"/>
      <c r="I5250" s="242"/>
      <c r="J5250" s="242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</row>
    <row r="5251" spans="1:26" hidden="1">
      <c r="A5251"/>
      <c r="B5251" s="249"/>
      <c r="C5251"/>
      <c r="D5251"/>
      <c r="E5251"/>
      <c r="F5251" s="242"/>
      <c r="G5251"/>
      <c r="H5251" s="242"/>
      <c r="I5251" s="242"/>
      <c r="J5251" s="242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</row>
    <row r="5252" spans="1:26" hidden="1">
      <c r="A5252"/>
      <c r="B5252" s="249"/>
      <c r="C5252"/>
      <c r="D5252"/>
      <c r="E5252"/>
      <c r="F5252" s="242"/>
      <c r="G5252"/>
      <c r="H5252" s="242"/>
      <c r="I5252" s="242"/>
      <c r="J5252" s="242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</row>
    <row r="5253" spans="1:26" hidden="1">
      <c r="A5253"/>
      <c r="B5253" s="249"/>
      <c r="C5253"/>
      <c r="D5253"/>
      <c r="E5253"/>
      <c r="F5253" s="242"/>
      <c r="G5253"/>
      <c r="H5253" s="242"/>
      <c r="I5253" s="242"/>
      <c r="J5253" s="242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</row>
    <row r="5254" spans="1:26" hidden="1">
      <c r="A5254"/>
      <c r="B5254" s="249"/>
      <c r="C5254"/>
      <c r="D5254"/>
      <c r="E5254"/>
      <c r="F5254" s="242"/>
      <c r="G5254"/>
      <c r="H5254" s="242"/>
      <c r="I5254" s="242"/>
      <c r="J5254" s="242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</row>
    <row r="5255" spans="1:26" hidden="1">
      <c r="A5255"/>
      <c r="B5255" s="249"/>
      <c r="C5255"/>
      <c r="D5255"/>
      <c r="E5255"/>
      <c r="F5255" s="242"/>
      <c r="G5255"/>
      <c r="H5255" s="242"/>
      <c r="I5255" s="242"/>
      <c r="J5255" s="242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</row>
    <row r="5256" spans="1:26" hidden="1">
      <c r="A5256"/>
      <c r="B5256" s="249"/>
      <c r="C5256"/>
      <c r="D5256"/>
      <c r="E5256"/>
      <c r="F5256" s="242"/>
      <c r="G5256"/>
      <c r="H5256" s="242"/>
      <c r="I5256" s="242"/>
      <c r="J5256" s="242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</row>
    <row r="5257" spans="1:26" hidden="1">
      <c r="A5257"/>
      <c r="B5257" s="249"/>
      <c r="C5257"/>
      <c r="D5257"/>
      <c r="E5257"/>
      <c r="F5257" s="242"/>
      <c r="G5257"/>
      <c r="H5257" s="242"/>
      <c r="I5257" s="242"/>
      <c r="J5257" s="242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</row>
    <row r="5258" spans="1:26" hidden="1">
      <c r="A5258"/>
      <c r="B5258" s="249"/>
      <c r="C5258"/>
      <c r="D5258"/>
      <c r="E5258"/>
      <c r="F5258" s="242"/>
      <c r="G5258"/>
      <c r="H5258" s="242"/>
      <c r="I5258" s="242"/>
      <c r="J5258" s="242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</row>
    <row r="5259" spans="1:26" hidden="1">
      <c r="A5259"/>
      <c r="B5259" s="249"/>
      <c r="C5259"/>
      <c r="D5259"/>
      <c r="E5259"/>
      <c r="F5259" s="242"/>
      <c r="G5259"/>
      <c r="H5259" s="242"/>
      <c r="I5259" s="242"/>
      <c r="J5259" s="242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</row>
    <row r="5260" spans="1:26" hidden="1">
      <c r="A5260"/>
      <c r="B5260" s="249"/>
      <c r="C5260"/>
      <c r="D5260"/>
      <c r="E5260"/>
      <c r="F5260" s="242"/>
      <c r="G5260"/>
      <c r="H5260" s="242"/>
      <c r="I5260" s="242"/>
      <c r="J5260" s="242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</row>
    <row r="5261" spans="1:26" hidden="1">
      <c r="A5261"/>
      <c r="B5261" s="249"/>
      <c r="C5261"/>
      <c r="D5261"/>
      <c r="E5261"/>
      <c r="F5261" s="242"/>
      <c r="G5261"/>
      <c r="H5261" s="242"/>
      <c r="I5261" s="242"/>
      <c r="J5261" s="242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</row>
    <row r="5262" spans="1:26" hidden="1">
      <c r="A5262"/>
      <c r="B5262" s="249"/>
      <c r="C5262"/>
      <c r="D5262"/>
      <c r="E5262"/>
      <c r="F5262" s="242"/>
      <c r="G5262"/>
      <c r="H5262" s="242"/>
      <c r="I5262" s="242"/>
      <c r="J5262" s="242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</row>
    <row r="5263" spans="1:26" hidden="1">
      <c r="A5263"/>
      <c r="B5263" s="249"/>
      <c r="C5263"/>
      <c r="D5263"/>
      <c r="E5263"/>
      <c r="F5263" s="242"/>
      <c r="G5263"/>
      <c r="H5263" s="242"/>
      <c r="I5263" s="242"/>
      <c r="J5263" s="242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</row>
    <row r="5264" spans="1:26" hidden="1">
      <c r="A5264"/>
      <c r="B5264" s="249"/>
      <c r="C5264"/>
      <c r="D5264"/>
      <c r="E5264"/>
      <c r="F5264" s="242"/>
      <c r="G5264"/>
      <c r="H5264" s="242"/>
      <c r="I5264" s="242"/>
      <c r="J5264" s="242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</row>
    <row r="5265" spans="1:26" hidden="1">
      <c r="A5265"/>
      <c r="B5265" s="249"/>
      <c r="C5265"/>
      <c r="D5265"/>
      <c r="E5265"/>
      <c r="F5265" s="242"/>
      <c r="G5265"/>
      <c r="H5265" s="242"/>
      <c r="I5265" s="242"/>
      <c r="J5265" s="242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</row>
    <row r="5266" spans="1:26" hidden="1">
      <c r="A5266"/>
      <c r="B5266" s="249"/>
      <c r="C5266"/>
      <c r="D5266"/>
      <c r="E5266"/>
      <c r="F5266" s="242"/>
      <c r="G5266"/>
      <c r="H5266" s="242"/>
      <c r="I5266" s="242"/>
      <c r="J5266" s="242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</row>
    <row r="5267" spans="1:26" hidden="1">
      <c r="A5267"/>
      <c r="B5267" s="249"/>
      <c r="C5267"/>
      <c r="D5267"/>
      <c r="E5267"/>
      <c r="F5267" s="242"/>
      <c r="G5267"/>
      <c r="H5267" s="242"/>
      <c r="I5267" s="242"/>
      <c r="J5267" s="242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</row>
    <row r="5268" spans="1:26" hidden="1">
      <c r="A5268"/>
      <c r="B5268" s="249"/>
      <c r="C5268"/>
      <c r="D5268"/>
      <c r="E5268"/>
      <c r="F5268" s="242"/>
      <c r="G5268"/>
      <c r="H5268" s="242"/>
      <c r="I5268" s="242"/>
      <c r="J5268" s="242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</row>
    <row r="5269" spans="1:26" hidden="1">
      <c r="A5269"/>
      <c r="B5269" s="249"/>
      <c r="C5269"/>
      <c r="D5269"/>
      <c r="E5269"/>
      <c r="F5269" s="242"/>
      <c r="G5269"/>
      <c r="H5269" s="242"/>
      <c r="I5269" s="242"/>
      <c r="J5269" s="242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</row>
    <row r="5270" spans="1:26" hidden="1">
      <c r="A5270"/>
      <c r="B5270" s="249"/>
      <c r="C5270"/>
      <c r="D5270"/>
      <c r="E5270"/>
      <c r="F5270" s="242"/>
      <c r="G5270"/>
      <c r="H5270" s="242"/>
      <c r="I5270" s="242"/>
      <c r="J5270" s="242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</row>
    <row r="5271" spans="1:26" hidden="1">
      <c r="A5271"/>
      <c r="B5271" s="249"/>
      <c r="C5271"/>
      <c r="D5271"/>
      <c r="E5271"/>
      <c r="F5271" s="242"/>
      <c r="G5271"/>
      <c r="H5271" s="242"/>
      <c r="I5271" s="242"/>
      <c r="J5271" s="242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</row>
    <row r="5272" spans="1:26" hidden="1">
      <c r="A5272"/>
      <c r="B5272" s="249"/>
      <c r="C5272"/>
      <c r="D5272"/>
      <c r="E5272"/>
      <c r="F5272" s="242"/>
      <c r="G5272"/>
      <c r="H5272" s="242"/>
      <c r="I5272" s="242"/>
      <c r="J5272" s="242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</row>
    <row r="5273" spans="1:26" hidden="1">
      <c r="A5273"/>
      <c r="B5273" s="249"/>
      <c r="C5273"/>
      <c r="D5273"/>
      <c r="E5273"/>
      <c r="F5273" s="242"/>
      <c r="G5273"/>
      <c r="H5273" s="242"/>
      <c r="I5273" s="242"/>
      <c r="J5273" s="242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</row>
    <row r="5274" spans="1:26" hidden="1">
      <c r="A5274"/>
      <c r="B5274" s="249"/>
      <c r="C5274"/>
      <c r="D5274"/>
      <c r="E5274"/>
      <c r="F5274" s="242"/>
      <c r="G5274"/>
      <c r="H5274" s="242"/>
      <c r="I5274" s="242"/>
      <c r="J5274" s="242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</row>
    <row r="5275" spans="1:26" hidden="1">
      <c r="A5275"/>
      <c r="B5275" s="249"/>
      <c r="C5275"/>
      <c r="D5275"/>
      <c r="E5275"/>
      <c r="F5275" s="242"/>
      <c r="G5275"/>
      <c r="H5275" s="242"/>
      <c r="I5275" s="242"/>
      <c r="J5275" s="242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</row>
    <row r="5276" spans="1:26" hidden="1">
      <c r="A5276"/>
      <c r="B5276" s="249"/>
      <c r="C5276"/>
      <c r="D5276"/>
      <c r="E5276"/>
      <c r="F5276" s="242"/>
      <c r="G5276"/>
      <c r="H5276" s="242"/>
      <c r="I5276" s="242"/>
      <c r="J5276" s="242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</row>
    <row r="5277" spans="1:26" hidden="1">
      <c r="A5277"/>
      <c r="B5277" s="249"/>
      <c r="C5277"/>
      <c r="D5277"/>
      <c r="E5277"/>
      <c r="F5277" s="242"/>
      <c r="G5277"/>
      <c r="H5277" s="242"/>
      <c r="I5277" s="242"/>
      <c r="J5277" s="242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</row>
    <row r="5278" spans="1:26" hidden="1">
      <c r="A5278"/>
      <c r="B5278" s="249"/>
      <c r="C5278"/>
      <c r="D5278"/>
      <c r="E5278"/>
      <c r="F5278" s="242"/>
      <c r="G5278"/>
      <c r="H5278" s="242"/>
      <c r="I5278" s="242"/>
      <c r="J5278" s="242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</row>
    <row r="5279" spans="1:26" hidden="1">
      <c r="A5279"/>
      <c r="B5279" s="249"/>
      <c r="C5279"/>
      <c r="D5279"/>
      <c r="E5279"/>
      <c r="F5279" s="242"/>
      <c r="G5279"/>
      <c r="H5279" s="242"/>
      <c r="I5279" s="242"/>
      <c r="J5279" s="242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</row>
    <row r="5280" spans="1:26" hidden="1">
      <c r="A5280"/>
      <c r="B5280" s="249"/>
      <c r="C5280"/>
      <c r="D5280"/>
      <c r="E5280"/>
      <c r="F5280" s="242"/>
      <c r="G5280"/>
      <c r="H5280" s="242"/>
      <c r="I5280" s="242"/>
      <c r="J5280" s="242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</row>
    <row r="5281" spans="1:26" hidden="1">
      <c r="A5281"/>
      <c r="B5281" s="249"/>
      <c r="C5281"/>
      <c r="D5281"/>
      <c r="E5281"/>
      <c r="F5281" s="242"/>
      <c r="G5281"/>
      <c r="H5281" s="242"/>
      <c r="I5281" s="242"/>
      <c r="J5281" s="242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</row>
    <row r="5282" spans="1:26" hidden="1">
      <c r="A5282"/>
      <c r="B5282" s="249"/>
      <c r="C5282"/>
      <c r="D5282"/>
      <c r="E5282"/>
      <c r="F5282" s="242"/>
      <c r="G5282"/>
      <c r="H5282" s="242"/>
      <c r="I5282" s="242"/>
      <c r="J5282" s="242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</row>
    <row r="5283" spans="1:26" hidden="1">
      <c r="A5283"/>
      <c r="B5283" s="249"/>
      <c r="C5283"/>
      <c r="D5283"/>
      <c r="E5283"/>
      <c r="F5283" s="242"/>
      <c r="G5283"/>
      <c r="H5283" s="242"/>
      <c r="I5283" s="242"/>
      <c r="J5283" s="242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</row>
    <row r="5284" spans="1:26" hidden="1">
      <c r="A5284"/>
      <c r="B5284" s="249"/>
      <c r="C5284"/>
      <c r="D5284"/>
      <c r="E5284"/>
      <c r="F5284" s="242"/>
      <c r="G5284"/>
      <c r="H5284" s="242"/>
      <c r="I5284" s="242"/>
      <c r="J5284" s="242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</row>
    <row r="5285" spans="1:26" hidden="1">
      <c r="A5285"/>
      <c r="B5285" s="249"/>
      <c r="C5285"/>
      <c r="D5285"/>
      <c r="E5285"/>
      <c r="F5285" s="242"/>
      <c r="G5285"/>
      <c r="H5285" s="242"/>
      <c r="I5285" s="242"/>
      <c r="J5285" s="242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</row>
    <row r="5286" spans="1:26" hidden="1">
      <c r="A5286"/>
      <c r="B5286" s="249"/>
      <c r="C5286"/>
      <c r="D5286"/>
      <c r="E5286"/>
      <c r="F5286" s="242"/>
      <c r="G5286"/>
      <c r="H5286" s="242"/>
      <c r="I5286" s="242"/>
      <c r="J5286" s="242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</row>
    <row r="5287" spans="1:26" hidden="1">
      <c r="A5287"/>
      <c r="B5287" s="249"/>
      <c r="C5287"/>
      <c r="D5287"/>
      <c r="E5287"/>
      <c r="F5287" s="242"/>
      <c r="G5287"/>
      <c r="H5287" s="242"/>
      <c r="I5287" s="242"/>
      <c r="J5287" s="242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</row>
    <row r="5288" spans="1:26" hidden="1">
      <c r="A5288"/>
      <c r="B5288" s="249"/>
      <c r="C5288"/>
      <c r="D5288"/>
      <c r="E5288"/>
      <c r="F5288" s="242"/>
      <c r="G5288"/>
      <c r="H5288" s="242"/>
      <c r="I5288" s="242"/>
      <c r="J5288" s="242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</row>
    <row r="5289" spans="1:26" hidden="1">
      <c r="A5289"/>
      <c r="B5289" s="249"/>
      <c r="C5289"/>
      <c r="D5289"/>
      <c r="E5289"/>
      <c r="F5289" s="242"/>
      <c r="G5289"/>
      <c r="H5289" s="242"/>
      <c r="I5289" s="242"/>
      <c r="J5289" s="242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</row>
    <row r="5290" spans="1:26" hidden="1">
      <c r="A5290"/>
      <c r="B5290" s="249"/>
      <c r="C5290"/>
      <c r="D5290"/>
      <c r="E5290"/>
      <c r="F5290" s="242"/>
      <c r="G5290"/>
      <c r="H5290" s="242"/>
      <c r="I5290" s="242"/>
      <c r="J5290" s="242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</row>
    <row r="5291" spans="1:26" hidden="1">
      <c r="A5291"/>
      <c r="B5291" s="249"/>
      <c r="C5291"/>
      <c r="D5291"/>
      <c r="E5291"/>
      <c r="F5291" s="242"/>
      <c r="G5291"/>
      <c r="H5291" s="242"/>
      <c r="I5291" s="242"/>
      <c r="J5291" s="242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</row>
    <row r="5292" spans="1:26" hidden="1">
      <c r="A5292"/>
      <c r="B5292" s="249"/>
      <c r="C5292"/>
      <c r="D5292"/>
      <c r="E5292"/>
      <c r="F5292" s="242"/>
      <c r="G5292"/>
      <c r="H5292" s="242"/>
      <c r="I5292" s="242"/>
      <c r="J5292" s="242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</row>
    <row r="5293" spans="1:26" hidden="1">
      <c r="A5293"/>
      <c r="B5293" s="249"/>
      <c r="C5293"/>
      <c r="D5293"/>
      <c r="E5293"/>
      <c r="F5293" s="242"/>
      <c r="G5293"/>
      <c r="H5293" s="242"/>
      <c r="I5293" s="242"/>
      <c r="J5293" s="242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</row>
    <row r="5294" spans="1:26" hidden="1">
      <c r="A5294"/>
      <c r="B5294" s="249"/>
      <c r="C5294"/>
      <c r="D5294"/>
      <c r="E5294"/>
      <c r="F5294" s="242"/>
      <c r="G5294"/>
      <c r="H5294" s="242"/>
      <c r="I5294" s="242"/>
      <c r="J5294" s="242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</row>
    <row r="5295" spans="1:26" hidden="1">
      <c r="A5295"/>
      <c r="B5295" s="249"/>
      <c r="C5295"/>
      <c r="D5295"/>
      <c r="E5295"/>
      <c r="F5295" s="242"/>
      <c r="G5295"/>
      <c r="H5295" s="242"/>
      <c r="I5295" s="242"/>
      <c r="J5295" s="242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</row>
    <row r="5296" spans="1:26" hidden="1">
      <c r="A5296"/>
      <c r="B5296" s="249"/>
      <c r="C5296"/>
      <c r="D5296"/>
      <c r="E5296"/>
      <c r="F5296" s="242"/>
      <c r="G5296"/>
      <c r="H5296" s="242"/>
      <c r="I5296" s="242"/>
      <c r="J5296" s="242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</row>
    <row r="5297" spans="1:26" hidden="1">
      <c r="A5297"/>
      <c r="B5297" s="249"/>
      <c r="C5297"/>
      <c r="D5297"/>
      <c r="E5297"/>
      <c r="F5297" s="242"/>
      <c r="G5297"/>
      <c r="H5297" s="242"/>
      <c r="I5297" s="242"/>
      <c r="J5297" s="242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</row>
    <row r="5298" spans="1:26" hidden="1">
      <c r="A5298"/>
      <c r="B5298" s="249"/>
      <c r="C5298"/>
      <c r="D5298"/>
      <c r="E5298"/>
      <c r="F5298" s="242"/>
      <c r="G5298"/>
      <c r="H5298" s="242"/>
      <c r="I5298" s="242"/>
      <c r="J5298" s="242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</row>
    <row r="5299" spans="1:26" hidden="1">
      <c r="A5299"/>
      <c r="B5299" s="249"/>
      <c r="C5299"/>
      <c r="D5299"/>
      <c r="E5299"/>
      <c r="F5299" s="242"/>
      <c r="G5299"/>
      <c r="H5299" s="242"/>
      <c r="I5299" s="242"/>
      <c r="J5299" s="242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</row>
    <row r="5300" spans="1:26" hidden="1">
      <c r="A5300"/>
      <c r="B5300" s="249"/>
      <c r="C5300"/>
      <c r="D5300"/>
      <c r="E5300"/>
      <c r="F5300" s="242"/>
      <c r="G5300"/>
      <c r="H5300" s="242"/>
      <c r="I5300" s="242"/>
      <c r="J5300" s="242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</row>
    <row r="5301" spans="1:26" hidden="1">
      <c r="A5301"/>
      <c r="B5301" s="249"/>
      <c r="C5301"/>
      <c r="D5301"/>
      <c r="E5301"/>
      <c r="F5301" s="242"/>
      <c r="G5301"/>
      <c r="H5301" s="242"/>
      <c r="I5301" s="242"/>
      <c r="J5301" s="242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</row>
    <row r="5302" spans="1:26" hidden="1">
      <c r="A5302"/>
      <c r="B5302" s="249"/>
      <c r="C5302"/>
      <c r="D5302"/>
      <c r="E5302"/>
      <c r="F5302" s="242"/>
      <c r="G5302"/>
      <c r="H5302" s="242"/>
      <c r="I5302" s="242"/>
      <c r="J5302" s="242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</row>
    <row r="5303" spans="1:26" hidden="1">
      <c r="A5303"/>
      <c r="B5303" s="249"/>
      <c r="C5303"/>
      <c r="D5303"/>
      <c r="E5303"/>
      <c r="F5303" s="242"/>
      <c r="G5303"/>
      <c r="H5303" s="242"/>
      <c r="I5303" s="242"/>
      <c r="J5303" s="242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</row>
    <row r="5304" spans="1:26" hidden="1">
      <c r="A5304"/>
      <c r="B5304" s="249"/>
      <c r="C5304"/>
      <c r="D5304"/>
      <c r="E5304"/>
      <c r="F5304" s="242"/>
      <c r="G5304"/>
      <c r="H5304" s="242"/>
      <c r="I5304" s="242"/>
      <c r="J5304" s="242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</row>
    <row r="5305" spans="1:26" hidden="1">
      <c r="A5305"/>
      <c r="B5305" s="249"/>
      <c r="C5305"/>
      <c r="D5305"/>
      <c r="E5305"/>
      <c r="F5305" s="242"/>
      <c r="G5305"/>
      <c r="H5305" s="242"/>
      <c r="I5305" s="242"/>
      <c r="J5305" s="242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</row>
    <row r="5306" spans="1:26" hidden="1">
      <c r="A5306"/>
      <c r="B5306" s="249"/>
      <c r="C5306"/>
      <c r="D5306"/>
      <c r="E5306"/>
      <c r="F5306" s="242"/>
      <c r="G5306"/>
      <c r="H5306" s="242"/>
      <c r="I5306" s="242"/>
      <c r="J5306" s="242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</row>
    <row r="5307" spans="1:26" hidden="1">
      <c r="A5307"/>
      <c r="B5307" s="249"/>
      <c r="C5307"/>
      <c r="D5307"/>
      <c r="E5307"/>
      <c r="F5307" s="242"/>
      <c r="G5307"/>
      <c r="H5307" s="242"/>
      <c r="I5307" s="242"/>
      <c r="J5307" s="242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</row>
    <row r="5308" spans="1:26" hidden="1">
      <c r="A5308"/>
      <c r="B5308" s="249"/>
      <c r="C5308"/>
      <c r="D5308"/>
      <c r="E5308"/>
      <c r="F5308" s="242"/>
      <c r="G5308"/>
      <c r="H5308" s="242"/>
      <c r="I5308" s="242"/>
      <c r="J5308" s="242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</row>
    <row r="5309" spans="1:26" hidden="1">
      <c r="A5309"/>
      <c r="B5309" s="249"/>
      <c r="C5309"/>
      <c r="D5309"/>
      <c r="E5309"/>
      <c r="F5309" s="242"/>
      <c r="G5309"/>
      <c r="H5309" s="242"/>
      <c r="I5309" s="242"/>
      <c r="J5309" s="242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</row>
    <row r="5310" spans="1:26" hidden="1">
      <c r="A5310"/>
      <c r="B5310" s="249"/>
      <c r="C5310"/>
      <c r="D5310"/>
      <c r="E5310"/>
      <c r="F5310" s="242"/>
      <c r="G5310"/>
      <c r="H5310" s="242"/>
      <c r="I5310" s="242"/>
      <c r="J5310" s="242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</row>
    <row r="5311" spans="1:26" hidden="1">
      <c r="A5311"/>
      <c r="B5311" s="249"/>
      <c r="C5311"/>
      <c r="D5311"/>
      <c r="E5311"/>
      <c r="F5311" s="242"/>
      <c r="G5311"/>
      <c r="H5311" s="242"/>
      <c r="I5311" s="242"/>
      <c r="J5311" s="242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</row>
    <row r="5312" spans="1:26" hidden="1">
      <c r="A5312"/>
      <c r="B5312" s="249"/>
      <c r="C5312"/>
      <c r="D5312"/>
      <c r="E5312"/>
      <c r="F5312" s="242"/>
      <c r="G5312"/>
      <c r="H5312" s="242"/>
      <c r="I5312" s="242"/>
      <c r="J5312" s="242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</row>
    <row r="5313" spans="1:26" hidden="1">
      <c r="A5313"/>
      <c r="B5313" s="249"/>
      <c r="C5313"/>
      <c r="D5313"/>
      <c r="E5313"/>
      <c r="F5313" s="242"/>
      <c r="G5313"/>
      <c r="H5313" s="242"/>
      <c r="I5313" s="242"/>
      <c r="J5313" s="242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</row>
    <row r="5314" spans="1:26" hidden="1">
      <c r="A5314"/>
      <c r="B5314" s="249"/>
      <c r="C5314"/>
      <c r="D5314"/>
      <c r="E5314"/>
      <c r="F5314" s="242"/>
      <c r="G5314"/>
      <c r="H5314" s="242"/>
      <c r="I5314" s="242"/>
      <c r="J5314" s="242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</row>
    <row r="5315" spans="1:26" hidden="1">
      <c r="A5315"/>
      <c r="B5315" s="249"/>
      <c r="C5315"/>
      <c r="D5315"/>
      <c r="E5315"/>
      <c r="F5315" s="242"/>
      <c r="G5315"/>
      <c r="H5315" s="242"/>
      <c r="I5315" s="242"/>
      <c r="J5315" s="242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</row>
    <row r="5316" spans="1:26" hidden="1">
      <c r="A5316"/>
      <c r="B5316" s="249"/>
      <c r="C5316"/>
      <c r="D5316"/>
      <c r="E5316"/>
      <c r="F5316" s="242"/>
      <c r="G5316"/>
      <c r="H5316" s="242"/>
      <c r="I5316" s="242"/>
      <c r="J5316" s="242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</row>
    <row r="5317" spans="1:26" hidden="1">
      <c r="A5317"/>
      <c r="B5317" s="249"/>
      <c r="C5317"/>
      <c r="D5317"/>
      <c r="E5317"/>
      <c r="F5317" s="242"/>
      <c r="G5317"/>
      <c r="H5317" s="242"/>
      <c r="I5317" s="242"/>
      <c r="J5317" s="242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</row>
    <row r="5318" spans="1:26" hidden="1">
      <c r="A5318"/>
      <c r="B5318" s="249"/>
      <c r="C5318"/>
      <c r="D5318"/>
      <c r="E5318"/>
      <c r="F5318" s="242"/>
      <c r="G5318"/>
      <c r="H5318" s="242"/>
      <c r="I5318" s="242"/>
      <c r="J5318" s="242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</row>
    <row r="5319" spans="1:26" hidden="1">
      <c r="A5319"/>
      <c r="B5319" s="249"/>
      <c r="C5319"/>
      <c r="D5319"/>
      <c r="E5319"/>
      <c r="F5319" s="242"/>
      <c r="G5319"/>
      <c r="H5319" s="242"/>
      <c r="I5319" s="242"/>
      <c r="J5319" s="242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</row>
    <row r="5320" spans="1:26" hidden="1">
      <c r="A5320"/>
      <c r="B5320" s="249"/>
      <c r="C5320"/>
      <c r="D5320"/>
      <c r="E5320"/>
      <c r="F5320" s="242"/>
      <c r="G5320"/>
      <c r="H5320" s="242"/>
      <c r="I5320" s="242"/>
      <c r="J5320" s="242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</row>
    <row r="5321" spans="1:26" hidden="1">
      <c r="A5321"/>
      <c r="B5321" s="249"/>
      <c r="C5321"/>
      <c r="D5321"/>
      <c r="E5321"/>
      <c r="F5321" s="242"/>
      <c r="G5321"/>
      <c r="H5321" s="242"/>
      <c r="I5321" s="242"/>
      <c r="J5321" s="242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</row>
    <row r="5322" spans="1:26" hidden="1">
      <c r="A5322"/>
      <c r="B5322" s="249"/>
      <c r="C5322"/>
      <c r="D5322"/>
      <c r="E5322"/>
      <c r="F5322" s="242"/>
      <c r="G5322"/>
      <c r="H5322" s="242"/>
      <c r="I5322" s="242"/>
      <c r="J5322" s="242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</row>
    <row r="5323" spans="1:26" hidden="1">
      <c r="A5323"/>
      <c r="B5323" s="249"/>
      <c r="C5323"/>
      <c r="D5323"/>
      <c r="E5323"/>
      <c r="F5323" s="242"/>
      <c r="G5323"/>
      <c r="H5323" s="242"/>
      <c r="I5323" s="242"/>
      <c r="J5323" s="242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</row>
    <row r="5324" spans="1:26" hidden="1">
      <c r="A5324"/>
      <c r="B5324" s="249"/>
      <c r="C5324"/>
      <c r="D5324"/>
      <c r="E5324"/>
      <c r="F5324" s="242"/>
      <c r="G5324"/>
      <c r="H5324" s="242"/>
      <c r="I5324" s="242"/>
      <c r="J5324" s="242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</row>
    <row r="5325" spans="1:26" hidden="1">
      <c r="A5325"/>
      <c r="B5325" s="249"/>
      <c r="C5325"/>
      <c r="D5325"/>
      <c r="E5325"/>
      <c r="F5325" s="242"/>
      <c r="G5325"/>
      <c r="H5325" s="242"/>
      <c r="I5325" s="242"/>
      <c r="J5325" s="242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</row>
    <row r="5326" spans="1:26" hidden="1">
      <c r="A5326"/>
      <c r="B5326" s="249"/>
      <c r="C5326"/>
      <c r="D5326"/>
      <c r="E5326"/>
      <c r="F5326" s="242"/>
      <c r="G5326"/>
      <c r="H5326" s="242"/>
      <c r="I5326" s="242"/>
      <c r="J5326" s="242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</row>
    <row r="5327" spans="1:26" hidden="1">
      <c r="A5327"/>
      <c r="B5327" s="249"/>
      <c r="C5327"/>
      <c r="D5327"/>
      <c r="E5327"/>
      <c r="F5327" s="242"/>
      <c r="G5327"/>
      <c r="H5327" s="242"/>
      <c r="I5327" s="242"/>
      <c r="J5327" s="242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</row>
    <row r="5328" spans="1:26" hidden="1">
      <c r="A5328"/>
      <c r="B5328" s="249"/>
      <c r="C5328"/>
      <c r="D5328"/>
      <c r="E5328"/>
      <c r="F5328" s="242"/>
      <c r="G5328"/>
      <c r="H5328" s="242"/>
      <c r="I5328" s="242"/>
      <c r="J5328" s="242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</row>
    <row r="5329" spans="1:26" hidden="1">
      <c r="A5329"/>
      <c r="B5329" s="249"/>
      <c r="C5329"/>
      <c r="D5329"/>
      <c r="E5329"/>
      <c r="F5329" s="242"/>
      <c r="G5329"/>
      <c r="H5329" s="242"/>
      <c r="I5329" s="242"/>
      <c r="J5329" s="242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</row>
    <row r="5330" spans="1:26" hidden="1">
      <c r="A5330"/>
      <c r="B5330" s="249"/>
      <c r="C5330"/>
      <c r="D5330"/>
      <c r="E5330"/>
      <c r="F5330" s="242"/>
      <c r="G5330"/>
      <c r="H5330" s="242"/>
      <c r="I5330" s="242"/>
      <c r="J5330" s="242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</row>
    <row r="5331" spans="1:26" hidden="1">
      <c r="A5331"/>
      <c r="B5331" s="249"/>
      <c r="C5331"/>
      <c r="D5331"/>
      <c r="E5331"/>
      <c r="F5331" s="242"/>
      <c r="G5331"/>
      <c r="H5331" s="242"/>
      <c r="I5331" s="242"/>
      <c r="J5331" s="242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</row>
    <row r="5332" spans="1:26" hidden="1">
      <c r="A5332"/>
      <c r="B5332" s="249"/>
      <c r="C5332"/>
      <c r="D5332"/>
      <c r="E5332"/>
      <c r="F5332" s="242"/>
      <c r="G5332"/>
      <c r="H5332" s="242"/>
      <c r="I5332" s="242"/>
      <c r="J5332" s="242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</row>
    <row r="5333" spans="1:26" hidden="1">
      <c r="A5333"/>
      <c r="B5333" s="249"/>
      <c r="C5333"/>
      <c r="D5333"/>
      <c r="E5333"/>
      <c r="F5333" s="242"/>
      <c r="G5333"/>
      <c r="H5333" s="242"/>
      <c r="I5333" s="242"/>
      <c r="J5333" s="242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</row>
    <row r="5334" spans="1:26" hidden="1">
      <c r="A5334"/>
      <c r="B5334" s="249"/>
      <c r="C5334"/>
      <c r="D5334"/>
      <c r="E5334"/>
      <c r="F5334" s="242"/>
      <c r="G5334"/>
      <c r="H5334" s="242"/>
      <c r="I5334" s="242"/>
      <c r="J5334" s="242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</row>
    <row r="5335" spans="1:26" hidden="1">
      <c r="A5335"/>
      <c r="B5335" s="249"/>
      <c r="C5335"/>
      <c r="D5335"/>
      <c r="E5335"/>
      <c r="F5335" s="242"/>
      <c r="G5335"/>
      <c r="H5335" s="242"/>
      <c r="I5335" s="242"/>
      <c r="J5335" s="242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</row>
    <row r="5336" spans="1:26" hidden="1">
      <c r="A5336"/>
      <c r="B5336" s="249"/>
      <c r="C5336"/>
      <c r="D5336"/>
      <c r="E5336"/>
      <c r="F5336" s="242"/>
      <c r="G5336"/>
      <c r="H5336" s="242"/>
      <c r="I5336" s="242"/>
      <c r="J5336" s="242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</row>
    <row r="5337" spans="1:26" hidden="1">
      <c r="A5337"/>
      <c r="B5337" s="249"/>
      <c r="C5337"/>
      <c r="D5337"/>
      <c r="E5337"/>
      <c r="F5337" s="242"/>
      <c r="G5337"/>
      <c r="H5337" s="242"/>
      <c r="I5337" s="242"/>
      <c r="J5337" s="242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</row>
    <row r="5338" spans="1:26" hidden="1">
      <c r="A5338"/>
      <c r="B5338" s="249"/>
      <c r="C5338"/>
      <c r="D5338"/>
      <c r="E5338"/>
      <c r="F5338" s="242"/>
      <c r="G5338"/>
      <c r="H5338" s="242"/>
      <c r="I5338" s="242"/>
      <c r="J5338" s="242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</row>
    <row r="5339" spans="1:26" hidden="1">
      <c r="A5339"/>
      <c r="B5339" s="249"/>
      <c r="C5339"/>
      <c r="D5339"/>
      <c r="E5339"/>
      <c r="F5339" s="242"/>
      <c r="G5339"/>
      <c r="H5339" s="242"/>
      <c r="I5339" s="242"/>
      <c r="J5339" s="242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</row>
    <row r="5340" spans="1:26" hidden="1">
      <c r="A5340"/>
      <c r="B5340" s="249"/>
      <c r="C5340"/>
      <c r="D5340"/>
      <c r="E5340"/>
      <c r="F5340" s="242"/>
      <c r="G5340"/>
      <c r="H5340" s="242"/>
      <c r="I5340" s="242"/>
      <c r="J5340" s="242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</row>
    <row r="5341" spans="1:26" hidden="1">
      <c r="A5341"/>
      <c r="B5341" s="249"/>
      <c r="C5341"/>
      <c r="D5341"/>
      <c r="E5341"/>
      <c r="F5341" s="242"/>
      <c r="G5341"/>
      <c r="H5341" s="242"/>
      <c r="I5341" s="242"/>
      <c r="J5341" s="242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</row>
    <row r="5342" spans="1:26" hidden="1">
      <c r="A5342"/>
      <c r="B5342" s="249"/>
      <c r="C5342"/>
      <c r="D5342"/>
      <c r="E5342"/>
      <c r="F5342" s="242"/>
      <c r="G5342"/>
      <c r="H5342" s="242"/>
      <c r="I5342" s="242"/>
      <c r="J5342" s="242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</row>
    <row r="5343" spans="1:26" hidden="1">
      <c r="A5343"/>
      <c r="B5343" s="249"/>
      <c r="C5343"/>
      <c r="D5343"/>
      <c r="E5343"/>
      <c r="F5343" s="242"/>
      <c r="G5343"/>
      <c r="H5343" s="242"/>
      <c r="I5343" s="242"/>
      <c r="J5343" s="242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</row>
    <row r="5344" spans="1:26" hidden="1">
      <c r="A5344"/>
      <c r="B5344" s="249"/>
      <c r="C5344"/>
      <c r="D5344"/>
      <c r="E5344"/>
      <c r="F5344" s="242"/>
      <c r="G5344"/>
      <c r="H5344" s="242"/>
      <c r="I5344" s="242"/>
      <c r="J5344" s="242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</row>
    <row r="5345" spans="1:26" hidden="1">
      <c r="A5345"/>
      <c r="B5345" s="249"/>
      <c r="C5345"/>
      <c r="D5345"/>
      <c r="E5345"/>
      <c r="F5345" s="242"/>
      <c r="G5345"/>
      <c r="H5345" s="242"/>
      <c r="I5345" s="242"/>
      <c r="J5345" s="242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</row>
    <row r="5346" spans="1:26" hidden="1">
      <c r="A5346"/>
      <c r="B5346" s="249"/>
      <c r="C5346"/>
      <c r="D5346"/>
      <c r="E5346"/>
      <c r="F5346" s="242"/>
      <c r="G5346"/>
      <c r="H5346" s="242"/>
      <c r="I5346" s="242"/>
      <c r="J5346" s="242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</row>
    <row r="5347" spans="1:26" hidden="1">
      <c r="A5347"/>
      <c r="B5347" s="249"/>
      <c r="C5347"/>
      <c r="D5347"/>
      <c r="E5347"/>
      <c r="F5347" s="242"/>
      <c r="G5347"/>
      <c r="H5347" s="242"/>
      <c r="I5347" s="242"/>
      <c r="J5347" s="242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</row>
    <row r="5348" spans="1:26" hidden="1">
      <c r="A5348"/>
      <c r="B5348" s="249"/>
      <c r="C5348"/>
      <c r="D5348"/>
      <c r="E5348"/>
      <c r="F5348" s="242"/>
      <c r="G5348"/>
      <c r="H5348" s="242"/>
      <c r="I5348" s="242"/>
      <c r="J5348" s="242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</row>
    <row r="5349" spans="1:26" hidden="1">
      <c r="A5349"/>
      <c r="B5349" s="249"/>
      <c r="C5349"/>
      <c r="D5349"/>
      <c r="E5349"/>
      <c r="F5349" s="242"/>
      <c r="G5349"/>
      <c r="H5349" s="242"/>
      <c r="I5349" s="242"/>
      <c r="J5349" s="242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</row>
    <row r="5350" spans="1:26" hidden="1">
      <c r="A5350"/>
      <c r="B5350" s="249"/>
      <c r="C5350"/>
      <c r="D5350"/>
      <c r="E5350"/>
      <c r="F5350" s="242"/>
      <c r="G5350"/>
      <c r="H5350" s="242"/>
      <c r="I5350" s="242"/>
      <c r="J5350" s="242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</row>
    <row r="5351" spans="1:26" hidden="1">
      <c r="A5351"/>
      <c r="B5351" s="249"/>
      <c r="C5351"/>
      <c r="D5351"/>
      <c r="E5351"/>
      <c r="F5351" s="242"/>
      <c r="G5351"/>
      <c r="H5351" s="242"/>
      <c r="I5351" s="242"/>
      <c r="J5351" s="242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</row>
    <row r="5352" spans="1:26" hidden="1">
      <c r="A5352"/>
      <c r="B5352" s="249"/>
      <c r="C5352"/>
      <c r="D5352"/>
      <c r="E5352"/>
      <c r="F5352" s="242"/>
      <c r="G5352"/>
      <c r="H5352" s="242"/>
      <c r="I5352" s="242"/>
      <c r="J5352" s="242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</row>
    <row r="5353" spans="1:26" hidden="1">
      <c r="A5353"/>
      <c r="B5353" s="249"/>
      <c r="C5353"/>
      <c r="D5353"/>
      <c r="E5353"/>
      <c r="F5353" s="242"/>
      <c r="G5353"/>
      <c r="H5353" s="242"/>
      <c r="I5353" s="242"/>
      <c r="J5353" s="242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</row>
    <row r="5354" spans="1:26" hidden="1">
      <c r="A5354"/>
      <c r="B5354" s="249"/>
      <c r="C5354"/>
      <c r="D5354"/>
      <c r="E5354"/>
      <c r="F5354" s="242"/>
      <c r="G5354"/>
      <c r="H5354" s="242"/>
      <c r="I5354" s="242"/>
      <c r="J5354" s="242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</row>
    <row r="5355" spans="1:26" hidden="1">
      <c r="A5355"/>
      <c r="B5355" s="249"/>
      <c r="C5355"/>
      <c r="D5355"/>
      <c r="E5355"/>
      <c r="F5355" s="242"/>
      <c r="G5355"/>
      <c r="H5355" s="242"/>
      <c r="I5355" s="242"/>
      <c r="J5355" s="242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</row>
    <row r="5356" spans="1:26" hidden="1">
      <c r="A5356"/>
      <c r="B5356" s="249"/>
      <c r="C5356"/>
      <c r="D5356"/>
      <c r="E5356"/>
      <c r="F5356" s="242"/>
      <c r="G5356"/>
      <c r="H5356" s="242"/>
      <c r="I5356" s="242"/>
      <c r="J5356" s="242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</row>
    <row r="5357" spans="1:26" hidden="1">
      <c r="A5357"/>
      <c r="B5357" s="249"/>
      <c r="C5357"/>
      <c r="D5357"/>
      <c r="E5357"/>
      <c r="F5357" s="242"/>
      <c r="G5357"/>
      <c r="H5357" s="242"/>
      <c r="I5357" s="242"/>
      <c r="J5357" s="242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</row>
    <row r="5358" spans="1:26" hidden="1">
      <c r="A5358"/>
      <c r="B5358" s="249"/>
      <c r="C5358"/>
      <c r="D5358"/>
      <c r="E5358"/>
      <c r="F5358" s="242"/>
      <c r="G5358"/>
      <c r="H5358" s="242"/>
      <c r="I5358" s="242"/>
      <c r="J5358" s="242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</row>
    <row r="5359" spans="1:26" hidden="1">
      <c r="A5359"/>
      <c r="B5359" s="249"/>
      <c r="C5359"/>
      <c r="D5359"/>
      <c r="E5359"/>
      <c r="F5359" s="242"/>
      <c r="G5359"/>
      <c r="H5359" s="242"/>
      <c r="I5359" s="242"/>
      <c r="J5359" s="242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</row>
    <row r="5360" spans="1:26" hidden="1">
      <c r="A5360"/>
      <c r="B5360" s="249"/>
      <c r="C5360"/>
      <c r="D5360"/>
      <c r="E5360"/>
      <c r="F5360" s="242"/>
      <c r="G5360"/>
      <c r="H5360" s="242"/>
      <c r="I5360" s="242"/>
      <c r="J5360" s="242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</row>
    <row r="5361" spans="1:26" hidden="1">
      <c r="A5361"/>
      <c r="B5361" s="249"/>
      <c r="C5361"/>
      <c r="D5361"/>
      <c r="E5361"/>
      <c r="F5361" s="242"/>
      <c r="G5361"/>
      <c r="H5361" s="242"/>
      <c r="I5361" s="242"/>
      <c r="J5361" s="242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</row>
    <row r="5362" spans="1:26" hidden="1">
      <c r="A5362"/>
      <c r="B5362" s="249"/>
      <c r="C5362"/>
      <c r="D5362"/>
      <c r="E5362"/>
      <c r="F5362" s="242"/>
      <c r="G5362"/>
      <c r="H5362" s="242"/>
      <c r="I5362" s="242"/>
      <c r="J5362" s="242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</row>
    <row r="5363" spans="1:26" hidden="1">
      <c r="A5363"/>
      <c r="B5363" s="249"/>
      <c r="C5363"/>
      <c r="D5363"/>
      <c r="E5363"/>
      <c r="F5363" s="242"/>
      <c r="G5363"/>
      <c r="H5363" s="242"/>
      <c r="I5363" s="242"/>
      <c r="J5363" s="242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</row>
    <row r="5364" spans="1:26" hidden="1">
      <c r="A5364"/>
      <c r="B5364" s="249"/>
      <c r="C5364"/>
      <c r="D5364"/>
      <c r="E5364"/>
      <c r="F5364" s="242"/>
      <c r="G5364"/>
      <c r="H5364" s="242"/>
      <c r="I5364" s="242"/>
      <c r="J5364" s="242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</row>
    <row r="5365" spans="1:26" hidden="1">
      <c r="A5365"/>
      <c r="B5365" s="249"/>
      <c r="C5365"/>
      <c r="D5365"/>
      <c r="E5365"/>
      <c r="F5365" s="242"/>
      <c r="G5365"/>
      <c r="H5365" s="242"/>
      <c r="I5365" s="242"/>
      <c r="J5365" s="242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</row>
    <row r="5366" spans="1:26" hidden="1">
      <c r="A5366"/>
      <c r="B5366" s="249"/>
      <c r="C5366"/>
      <c r="D5366"/>
      <c r="E5366"/>
      <c r="F5366" s="242"/>
      <c r="G5366"/>
      <c r="H5366" s="242"/>
      <c r="I5366" s="242"/>
      <c r="J5366" s="242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</row>
    <row r="5367" spans="1:26" hidden="1">
      <c r="A5367"/>
      <c r="B5367" s="249"/>
      <c r="C5367"/>
      <c r="D5367"/>
      <c r="E5367"/>
      <c r="F5367" s="242"/>
      <c r="G5367"/>
      <c r="H5367" s="242"/>
      <c r="I5367" s="242"/>
      <c r="J5367" s="242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</row>
    <row r="5368" spans="1:26" hidden="1">
      <c r="A5368"/>
      <c r="B5368" s="249"/>
      <c r="C5368"/>
      <c r="D5368"/>
      <c r="E5368"/>
      <c r="F5368" s="242"/>
      <c r="G5368"/>
      <c r="H5368" s="242"/>
      <c r="I5368" s="242"/>
      <c r="J5368" s="242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</row>
    <row r="5369" spans="1:26" hidden="1">
      <c r="A5369"/>
      <c r="B5369" s="249"/>
      <c r="C5369"/>
      <c r="D5369"/>
      <c r="E5369"/>
      <c r="F5369" s="242"/>
      <c r="G5369"/>
      <c r="H5369" s="242"/>
      <c r="I5369" s="242"/>
      <c r="J5369" s="242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</row>
    <row r="5370" spans="1:26" hidden="1">
      <c r="A5370"/>
      <c r="B5370" s="249"/>
      <c r="C5370"/>
      <c r="D5370"/>
      <c r="E5370"/>
      <c r="F5370" s="242"/>
      <c r="G5370"/>
      <c r="H5370" s="242"/>
      <c r="I5370" s="242"/>
      <c r="J5370" s="242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</row>
    <row r="5371" spans="1:26" hidden="1">
      <c r="A5371"/>
      <c r="B5371" s="249"/>
      <c r="C5371"/>
      <c r="D5371"/>
      <c r="E5371"/>
      <c r="F5371" s="242"/>
      <c r="G5371"/>
      <c r="H5371" s="242"/>
      <c r="I5371" s="242"/>
      <c r="J5371" s="242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</row>
    <row r="5372" spans="1:26" hidden="1">
      <c r="A5372"/>
      <c r="B5372" s="249"/>
      <c r="C5372"/>
      <c r="D5372"/>
      <c r="E5372"/>
      <c r="F5372" s="242"/>
      <c r="G5372"/>
      <c r="H5372" s="242"/>
      <c r="I5372" s="242"/>
      <c r="J5372" s="242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</row>
    <row r="5373" spans="1:26" hidden="1">
      <c r="A5373"/>
      <c r="B5373" s="249"/>
      <c r="C5373"/>
      <c r="D5373"/>
      <c r="E5373"/>
      <c r="F5373" s="242"/>
      <c r="G5373"/>
      <c r="H5373" s="242"/>
      <c r="I5373" s="242"/>
      <c r="J5373" s="242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</row>
    <row r="5374" spans="1:26" hidden="1">
      <c r="A5374"/>
      <c r="B5374" s="249"/>
      <c r="C5374"/>
      <c r="D5374"/>
      <c r="E5374"/>
      <c r="F5374" s="242"/>
      <c r="G5374"/>
      <c r="H5374" s="242"/>
      <c r="I5374" s="242"/>
      <c r="J5374" s="242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</row>
    <row r="5375" spans="1:26" hidden="1">
      <c r="A5375"/>
      <c r="B5375" s="249"/>
      <c r="C5375"/>
      <c r="D5375"/>
      <c r="E5375"/>
      <c r="F5375" s="242"/>
      <c r="G5375"/>
      <c r="H5375" s="242"/>
      <c r="I5375" s="242"/>
      <c r="J5375" s="242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</row>
    <row r="5376" spans="1:26" hidden="1">
      <c r="A5376"/>
      <c r="B5376" s="249"/>
      <c r="C5376"/>
      <c r="D5376"/>
      <c r="E5376"/>
      <c r="F5376" s="242"/>
      <c r="G5376"/>
      <c r="H5376" s="242"/>
      <c r="I5376" s="242"/>
      <c r="J5376" s="242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</row>
    <row r="5377" spans="1:26" hidden="1">
      <c r="A5377"/>
      <c r="B5377" s="249"/>
      <c r="C5377"/>
      <c r="D5377"/>
      <c r="E5377"/>
      <c r="F5377" s="242"/>
      <c r="G5377"/>
      <c r="H5377" s="242"/>
      <c r="I5377" s="242"/>
      <c r="J5377" s="242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</row>
    <row r="5378" spans="1:26" hidden="1">
      <c r="A5378"/>
      <c r="B5378" s="249"/>
      <c r="C5378"/>
      <c r="D5378"/>
      <c r="E5378"/>
      <c r="F5378" s="242"/>
      <c r="G5378"/>
      <c r="H5378" s="242"/>
      <c r="I5378" s="242"/>
      <c r="J5378" s="242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</row>
    <row r="5379" spans="1:26" hidden="1">
      <c r="A5379"/>
      <c r="B5379" s="249"/>
      <c r="C5379"/>
      <c r="D5379"/>
      <c r="E5379"/>
      <c r="F5379" s="242"/>
      <c r="G5379"/>
      <c r="H5379" s="242"/>
      <c r="I5379" s="242"/>
      <c r="J5379" s="242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</row>
    <row r="5380" spans="1:26" hidden="1">
      <c r="A5380"/>
      <c r="B5380" s="249"/>
      <c r="C5380"/>
      <c r="D5380"/>
      <c r="E5380"/>
      <c r="F5380" s="242"/>
      <c r="G5380"/>
      <c r="H5380" s="242"/>
      <c r="I5380" s="242"/>
      <c r="J5380" s="242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</row>
    <row r="5381" spans="1:26" hidden="1">
      <c r="A5381"/>
      <c r="B5381" s="249"/>
      <c r="C5381"/>
      <c r="D5381"/>
      <c r="E5381"/>
      <c r="F5381" s="242"/>
      <c r="G5381"/>
      <c r="H5381" s="242"/>
      <c r="I5381" s="242"/>
      <c r="J5381" s="242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</row>
    <row r="5382" spans="1:26" hidden="1">
      <c r="A5382"/>
      <c r="B5382" s="249"/>
      <c r="C5382"/>
      <c r="D5382"/>
      <c r="E5382"/>
      <c r="F5382" s="242"/>
      <c r="G5382"/>
      <c r="H5382" s="242"/>
      <c r="I5382" s="242"/>
      <c r="J5382" s="242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</row>
    <row r="5383" spans="1:26" hidden="1">
      <c r="A5383"/>
      <c r="B5383" s="249"/>
      <c r="C5383"/>
      <c r="D5383"/>
      <c r="E5383"/>
      <c r="F5383" s="242"/>
      <c r="G5383"/>
      <c r="H5383" s="242"/>
      <c r="I5383" s="242"/>
      <c r="J5383" s="242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</row>
    <row r="5384" spans="1:26" hidden="1">
      <c r="A5384"/>
      <c r="B5384" s="249"/>
      <c r="C5384"/>
      <c r="D5384"/>
      <c r="E5384"/>
      <c r="F5384" s="242"/>
      <c r="G5384"/>
      <c r="H5384" s="242"/>
      <c r="I5384" s="242"/>
      <c r="J5384" s="242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</row>
    <row r="5385" spans="1:26" hidden="1">
      <c r="A5385"/>
      <c r="B5385" s="249"/>
      <c r="C5385"/>
      <c r="D5385"/>
      <c r="E5385"/>
      <c r="F5385" s="242"/>
      <c r="G5385"/>
      <c r="H5385" s="242"/>
      <c r="I5385" s="242"/>
      <c r="J5385" s="242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</row>
    <row r="5386" spans="1:26" hidden="1">
      <c r="A5386"/>
      <c r="B5386" s="249"/>
      <c r="C5386"/>
      <c r="D5386"/>
      <c r="E5386"/>
      <c r="F5386" s="242"/>
      <c r="G5386"/>
      <c r="H5386" s="242"/>
      <c r="I5386" s="242"/>
      <c r="J5386" s="242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</row>
    <row r="5387" spans="1:26" hidden="1">
      <c r="A5387"/>
      <c r="B5387" s="249"/>
      <c r="C5387"/>
      <c r="D5387"/>
      <c r="E5387"/>
      <c r="F5387" s="242"/>
      <c r="G5387"/>
      <c r="H5387" s="242"/>
      <c r="I5387" s="242"/>
      <c r="J5387" s="242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</row>
    <row r="5388" spans="1:26" hidden="1">
      <c r="A5388"/>
      <c r="B5388" s="249"/>
      <c r="C5388"/>
      <c r="D5388"/>
      <c r="E5388"/>
      <c r="F5388" s="242"/>
      <c r="G5388"/>
      <c r="H5388" s="242"/>
      <c r="I5388" s="242"/>
      <c r="J5388" s="242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</row>
    <row r="5389" spans="1:26" hidden="1">
      <c r="A5389"/>
      <c r="B5389" s="249"/>
      <c r="C5389"/>
      <c r="D5389"/>
      <c r="E5389"/>
      <c r="F5389" s="242"/>
      <c r="G5389"/>
      <c r="H5389" s="242"/>
      <c r="I5389" s="242"/>
      <c r="J5389" s="242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</row>
    <row r="5390" spans="1:26" hidden="1">
      <c r="A5390"/>
      <c r="B5390" s="249"/>
      <c r="C5390"/>
      <c r="D5390"/>
      <c r="E5390"/>
      <c r="F5390" s="242"/>
      <c r="G5390"/>
      <c r="H5390" s="242"/>
      <c r="I5390" s="242"/>
      <c r="J5390" s="242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</row>
    <row r="5391" spans="1:26" hidden="1">
      <c r="A5391"/>
      <c r="B5391" s="249"/>
      <c r="C5391"/>
      <c r="D5391"/>
      <c r="E5391"/>
      <c r="F5391" s="242"/>
      <c r="G5391"/>
      <c r="H5391" s="242"/>
      <c r="I5391" s="242"/>
      <c r="J5391" s="242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</row>
    <row r="5392" spans="1:26" hidden="1">
      <c r="A5392"/>
      <c r="B5392" s="249"/>
      <c r="C5392"/>
      <c r="D5392"/>
      <c r="E5392"/>
      <c r="F5392" s="242"/>
      <c r="G5392"/>
      <c r="H5392" s="242"/>
      <c r="I5392" s="242"/>
      <c r="J5392" s="242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</row>
    <row r="5393" spans="1:26" hidden="1">
      <c r="A5393"/>
      <c r="B5393" s="249"/>
      <c r="C5393"/>
      <c r="D5393"/>
      <c r="E5393"/>
      <c r="F5393" s="242"/>
      <c r="G5393"/>
      <c r="H5393" s="242"/>
      <c r="I5393" s="242"/>
      <c r="J5393" s="242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</row>
    <row r="5394" spans="1:26" hidden="1">
      <c r="A5394"/>
      <c r="B5394" s="249"/>
      <c r="C5394"/>
      <c r="D5394"/>
      <c r="E5394"/>
      <c r="F5394" s="242"/>
      <c r="G5394"/>
      <c r="H5394" s="242"/>
      <c r="I5394" s="242"/>
      <c r="J5394" s="242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</row>
    <row r="5395" spans="1:26" hidden="1">
      <c r="A5395"/>
      <c r="B5395" s="249"/>
      <c r="C5395"/>
      <c r="D5395"/>
      <c r="E5395"/>
      <c r="F5395" s="242"/>
      <c r="G5395"/>
      <c r="H5395" s="242"/>
      <c r="I5395" s="242"/>
      <c r="J5395" s="242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</row>
    <row r="5396" spans="1:26" hidden="1">
      <c r="A5396"/>
      <c r="B5396" s="249"/>
      <c r="C5396"/>
      <c r="D5396"/>
      <c r="E5396"/>
      <c r="F5396" s="242"/>
      <c r="G5396"/>
      <c r="H5396" s="242"/>
      <c r="I5396" s="242"/>
      <c r="J5396" s="242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</row>
    <row r="5397" spans="1:26" hidden="1">
      <c r="A5397"/>
      <c r="B5397" s="249"/>
      <c r="C5397"/>
      <c r="D5397"/>
      <c r="E5397"/>
      <c r="F5397" s="242"/>
      <c r="G5397"/>
      <c r="H5397" s="242"/>
      <c r="I5397" s="242"/>
      <c r="J5397" s="242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</row>
    <row r="5398" spans="1:26" hidden="1">
      <c r="A5398"/>
      <c r="B5398" s="249"/>
      <c r="C5398"/>
      <c r="D5398"/>
      <c r="E5398"/>
      <c r="F5398" s="242"/>
      <c r="G5398"/>
      <c r="H5398" s="242"/>
      <c r="I5398" s="242"/>
      <c r="J5398" s="242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</row>
    <row r="5399" spans="1:26" hidden="1">
      <c r="A5399"/>
      <c r="B5399" s="249"/>
      <c r="C5399"/>
      <c r="D5399"/>
      <c r="E5399"/>
      <c r="F5399" s="242"/>
      <c r="G5399"/>
      <c r="H5399" s="242"/>
      <c r="I5399" s="242"/>
      <c r="J5399" s="242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</row>
    <row r="5400" spans="1:26" hidden="1">
      <c r="A5400"/>
      <c r="B5400" s="249"/>
      <c r="C5400"/>
      <c r="D5400"/>
      <c r="E5400"/>
      <c r="F5400" s="242"/>
      <c r="G5400"/>
      <c r="H5400" s="242"/>
      <c r="I5400" s="242"/>
      <c r="J5400" s="242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</row>
    <row r="5401" spans="1:26" hidden="1">
      <c r="A5401"/>
      <c r="B5401" s="249"/>
      <c r="C5401"/>
      <c r="D5401"/>
      <c r="E5401"/>
      <c r="F5401" s="242"/>
      <c r="G5401"/>
      <c r="H5401" s="242"/>
      <c r="I5401" s="242"/>
      <c r="J5401" s="242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</row>
    <row r="5402" spans="1:26" hidden="1">
      <c r="A5402"/>
      <c r="B5402" s="249"/>
      <c r="C5402"/>
      <c r="D5402"/>
      <c r="E5402"/>
      <c r="F5402" s="242"/>
      <c r="G5402"/>
      <c r="H5402" s="242"/>
      <c r="I5402" s="242"/>
      <c r="J5402" s="242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</row>
    <row r="5403" spans="1:26" hidden="1">
      <c r="A5403"/>
      <c r="B5403" s="249"/>
      <c r="C5403"/>
      <c r="D5403"/>
      <c r="E5403"/>
      <c r="F5403" s="242"/>
      <c r="G5403"/>
      <c r="H5403" s="242"/>
      <c r="I5403" s="242"/>
      <c r="J5403" s="242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</row>
    <row r="5404" spans="1:26" hidden="1">
      <c r="A5404"/>
      <c r="B5404" s="249"/>
      <c r="C5404"/>
      <c r="D5404"/>
      <c r="E5404"/>
      <c r="F5404" s="242"/>
      <c r="G5404"/>
      <c r="H5404" s="242"/>
      <c r="I5404" s="242"/>
      <c r="J5404" s="242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</row>
    <row r="5405" spans="1:26" hidden="1">
      <c r="A5405"/>
      <c r="B5405" s="249"/>
      <c r="C5405"/>
      <c r="D5405"/>
      <c r="E5405"/>
      <c r="F5405" s="242"/>
      <c r="G5405"/>
      <c r="H5405" s="242"/>
      <c r="I5405" s="242"/>
      <c r="J5405" s="242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</row>
    <row r="5406" spans="1:26" hidden="1">
      <c r="A5406"/>
      <c r="B5406" s="249"/>
      <c r="C5406"/>
      <c r="D5406"/>
      <c r="E5406"/>
      <c r="F5406" s="242"/>
      <c r="G5406"/>
      <c r="H5406" s="242"/>
      <c r="I5406" s="242"/>
      <c r="J5406" s="242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</row>
    <row r="5407" spans="1:26" hidden="1">
      <c r="A5407"/>
      <c r="B5407" s="249"/>
      <c r="C5407"/>
      <c r="D5407"/>
      <c r="E5407"/>
      <c r="F5407" s="242"/>
      <c r="G5407"/>
      <c r="H5407" s="242"/>
      <c r="I5407" s="242"/>
      <c r="J5407" s="242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</row>
    <row r="5408" spans="1:26" hidden="1">
      <c r="A5408"/>
      <c r="B5408" s="249"/>
      <c r="C5408"/>
      <c r="D5408"/>
      <c r="E5408"/>
      <c r="F5408" s="242"/>
      <c r="G5408"/>
      <c r="H5408" s="242"/>
      <c r="I5408" s="242"/>
      <c r="J5408" s="242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</row>
    <row r="5409" spans="1:26" hidden="1">
      <c r="A5409"/>
      <c r="B5409" s="249"/>
      <c r="C5409"/>
      <c r="D5409"/>
      <c r="E5409"/>
      <c r="F5409" s="242"/>
      <c r="G5409"/>
      <c r="H5409" s="242"/>
      <c r="I5409" s="242"/>
      <c r="J5409" s="242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</row>
    <row r="5410" spans="1:26" hidden="1">
      <c r="A5410"/>
      <c r="B5410" s="249"/>
      <c r="C5410"/>
      <c r="D5410"/>
      <c r="E5410"/>
      <c r="F5410" s="242"/>
      <c r="G5410"/>
      <c r="H5410" s="242"/>
      <c r="I5410" s="242"/>
      <c r="J5410" s="242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</row>
    <row r="5411" spans="1:26" hidden="1">
      <c r="A5411"/>
      <c r="B5411" s="249"/>
      <c r="C5411"/>
      <c r="D5411"/>
      <c r="E5411"/>
      <c r="F5411" s="242"/>
      <c r="G5411"/>
      <c r="H5411" s="242"/>
      <c r="I5411" s="242"/>
      <c r="J5411" s="242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</row>
    <row r="5412" spans="1:26" hidden="1">
      <c r="A5412"/>
      <c r="B5412" s="249"/>
      <c r="C5412"/>
      <c r="D5412"/>
      <c r="E5412"/>
      <c r="F5412" s="242"/>
      <c r="G5412"/>
      <c r="H5412" s="242"/>
      <c r="I5412" s="242"/>
      <c r="J5412" s="242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</row>
    <row r="5413" spans="1:26" hidden="1">
      <c r="A5413"/>
      <c r="B5413" s="249"/>
      <c r="C5413"/>
      <c r="D5413"/>
      <c r="E5413"/>
      <c r="F5413" s="242"/>
      <c r="G5413"/>
      <c r="H5413" s="242"/>
      <c r="I5413" s="242"/>
      <c r="J5413" s="242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</row>
    <row r="5414" spans="1:26" hidden="1">
      <c r="A5414"/>
      <c r="B5414" s="249"/>
      <c r="C5414"/>
      <c r="D5414"/>
      <c r="E5414"/>
      <c r="F5414" s="242"/>
      <c r="G5414"/>
      <c r="H5414" s="242"/>
      <c r="I5414" s="242"/>
      <c r="J5414" s="242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</row>
    <row r="5415" spans="1:26" hidden="1">
      <c r="A5415"/>
      <c r="B5415" s="249"/>
      <c r="C5415"/>
      <c r="D5415"/>
      <c r="E5415"/>
      <c r="F5415" s="242"/>
      <c r="G5415"/>
      <c r="H5415" s="242"/>
      <c r="I5415" s="242"/>
      <c r="J5415" s="242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</row>
    <row r="5416" spans="1:26" hidden="1">
      <c r="A5416"/>
      <c r="B5416" s="249"/>
      <c r="C5416"/>
      <c r="D5416"/>
      <c r="E5416"/>
      <c r="F5416" s="242"/>
      <c r="G5416"/>
      <c r="H5416" s="242"/>
      <c r="I5416" s="242"/>
      <c r="J5416" s="242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</row>
    <row r="5417" spans="1:26" hidden="1">
      <c r="A5417"/>
      <c r="B5417" s="249"/>
      <c r="C5417"/>
      <c r="D5417"/>
      <c r="E5417"/>
      <c r="F5417" s="242"/>
      <c r="G5417"/>
      <c r="H5417" s="242"/>
      <c r="I5417" s="242"/>
      <c r="J5417" s="242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</row>
    <row r="5418" spans="1:26" hidden="1">
      <c r="A5418"/>
      <c r="B5418" s="249"/>
      <c r="C5418"/>
      <c r="D5418"/>
      <c r="E5418"/>
      <c r="F5418" s="242"/>
      <c r="G5418"/>
      <c r="H5418" s="242"/>
      <c r="I5418" s="242"/>
      <c r="J5418" s="242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</row>
    <row r="5419" spans="1:26" hidden="1">
      <c r="A5419"/>
      <c r="B5419" s="249"/>
      <c r="C5419"/>
      <c r="D5419"/>
      <c r="E5419"/>
      <c r="F5419" s="242"/>
      <c r="G5419"/>
      <c r="H5419" s="242"/>
      <c r="I5419" s="242"/>
      <c r="J5419" s="242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</row>
    <row r="5420" spans="1:26" hidden="1">
      <c r="A5420"/>
      <c r="B5420" s="249"/>
      <c r="C5420"/>
      <c r="D5420"/>
      <c r="E5420"/>
      <c r="F5420" s="242"/>
      <c r="G5420"/>
      <c r="H5420" s="242"/>
      <c r="I5420" s="242"/>
      <c r="J5420" s="242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</row>
    <row r="5421" spans="1:26" hidden="1">
      <c r="A5421"/>
      <c r="B5421" s="249"/>
      <c r="C5421"/>
      <c r="D5421"/>
      <c r="E5421"/>
      <c r="F5421" s="242"/>
      <c r="G5421"/>
      <c r="H5421" s="242"/>
      <c r="I5421" s="242"/>
      <c r="J5421" s="242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</row>
    <row r="5422" spans="1:26" hidden="1">
      <c r="A5422"/>
      <c r="B5422" s="249"/>
      <c r="C5422"/>
      <c r="D5422"/>
      <c r="E5422"/>
      <c r="F5422" s="242"/>
      <c r="G5422"/>
      <c r="H5422" s="242"/>
      <c r="I5422" s="242"/>
      <c r="J5422" s="242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</row>
    <row r="5423" spans="1:26" hidden="1">
      <c r="A5423"/>
      <c r="B5423" s="249"/>
      <c r="C5423"/>
      <c r="D5423"/>
      <c r="E5423"/>
      <c r="F5423" s="242"/>
      <c r="G5423"/>
      <c r="H5423" s="242"/>
      <c r="I5423" s="242"/>
      <c r="J5423" s="242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</row>
    <row r="5424" spans="1:26" hidden="1">
      <c r="A5424"/>
      <c r="B5424" s="249"/>
      <c r="C5424"/>
      <c r="D5424"/>
      <c r="E5424"/>
      <c r="F5424" s="242"/>
      <c r="G5424"/>
      <c r="H5424" s="242"/>
      <c r="I5424" s="242"/>
      <c r="J5424" s="242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</row>
    <row r="5425" spans="1:26" hidden="1">
      <c r="A5425"/>
      <c r="B5425" s="249"/>
      <c r="C5425"/>
      <c r="D5425"/>
      <c r="E5425"/>
      <c r="F5425" s="242"/>
      <c r="G5425"/>
      <c r="H5425" s="242"/>
      <c r="I5425" s="242"/>
      <c r="J5425" s="242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</row>
    <row r="5426" spans="1:26" hidden="1">
      <c r="A5426"/>
      <c r="B5426" s="249"/>
      <c r="C5426"/>
      <c r="D5426"/>
      <c r="E5426"/>
      <c r="F5426" s="242"/>
      <c r="G5426"/>
      <c r="H5426" s="242"/>
      <c r="I5426" s="242"/>
      <c r="J5426" s="242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</row>
    <row r="5427" spans="1:26" hidden="1">
      <c r="A5427"/>
      <c r="B5427" s="249"/>
      <c r="C5427"/>
      <c r="D5427"/>
      <c r="E5427"/>
      <c r="F5427" s="242"/>
      <c r="G5427"/>
      <c r="H5427" s="242"/>
      <c r="I5427" s="242"/>
      <c r="J5427" s="242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</row>
    <row r="5428" spans="1:26" hidden="1">
      <c r="A5428"/>
      <c r="B5428" s="249"/>
      <c r="C5428"/>
      <c r="D5428"/>
      <c r="E5428"/>
      <c r="F5428" s="242"/>
      <c r="G5428"/>
      <c r="H5428" s="242"/>
      <c r="I5428" s="242"/>
      <c r="J5428" s="242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</row>
    <row r="5429" spans="1:26" hidden="1">
      <c r="A5429"/>
      <c r="B5429" s="249"/>
      <c r="C5429"/>
      <c r="D5429"/>
      <c r="E5429"/>
      <c r="F5429" s="242"/>
      <c r="G5429"/>
      <c r="H5429" s="242"/>
      <c r="I5429" s="242"/>
      <c r="J5429" s="242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</row>
    <row r="5430" spans="1:26" hidden="1">
      <c r="A5430"/>
      <c r="B5430" s="249"/>
      <c r="C5430"/>
      <c r="D5430"/>
      <c r="E5430"/>
      <c r="F5430" s="242"/>
      <c r="G5430"/>
      <c r="H5430" s="242"/>
      <c r="I5430" s="242"/>
      <c r="J5430" s="242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</row>
    <row r="5431" spans="1:26" hidden="1">
      <c r="A5431"/>
      <c r="B5431" s="249"/>
      <c r="C5431"/>
      <c r="D5431"/>
      <c r="E5431"/>
      <c r="F5431" s="242"/>
      <c r="G5431"/>
      <c r="H5431" s="242"/>
      <c r="I5431" s="242"/>
      <c r="J5431" s="242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</row>
    <row r="5432" spans="1:26" hidden="1">
      <c r="A5432"/>
      <c r="B5432" s="249"/>
      <c r="C5432"/>
      <c r="D5432"/>
      <c r="E5432"/>
      <c r="F5432" s="242"/>
      <c r="G5432"/>
      <c r="H5432" s="242"/>
      <c r="I5432" s="242"/>
      <c r="J5432" s="242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</row>
    <row r="5433" spans="1:26" hidden="1">
      <c r="A5433"/>
      <c r="B5433" s="249"/>
      <c r="C5433"/>
      <c r="D5433"/>
      <c r="E5433"/>
      <c r="F5433" s="242"/>
      <c r="G5433"/>
      <c r="H5433" s="242"/>
      <c r="I5433" s="242"/>
      <c r="J5433" s="242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</row>
    <row r="5434" spans="1:26" hidden="1">
      <c r="A5434"/>
      <c r="B5434" s="249"/>
      <c r="C5434"/>
      <c r="D5434"/>
      <c r="E5434"/>
      <c r="F5434" s="242"/>
      <c r="G5434"/>
      <c r="H5434" s="242"/>
      <c r="I5434" s="242"/>
      <c r="J5434" s="242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</row>
    <row r="5435" spans="1:26" hidden="1">
      <c r="A5435"/>
      <c r="B5435" s="249"/>
      <c r="C5435"/>
      <c r="D5435"/>
      <c r="E5435"/>
      <c r="F5435" s="242"/>
      <c r="G5435"/>
      <c r="H5435" s="242"/>
      <c r="I5435" s="242"/>
      <c r="J5435" s="242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</row>
    <row r="5436" spans="1:26" hidden="1">
      <c r="A5436"/>
      <c r="B5436" s="249"/>
      <c r="C5436"/>
      <c r="D5436"/>
      <c r="E5436"/>
      <c r="F5436" s="242"/>
      <c r="G5436"/>
      <c r="H5436" s="242"/>
      <c r="I5436" s="242"/>
      <c r="J5436" s="242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</row>
    <row r="5437" spans="1:26" hidden="1">
      <c r="A5437"/>
      <c r="B5437" s="249"/>
      <c r="C5437"/>
      <c r="D5437"/>
      <c r="E5437"/>
      <c r="F5437" s="242"/>
      <c r="G5437"/>
      <c r="H5437" s="242"/>
      <c r="I5437" s="242"/>
      <c r="J5437" s="242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</row>
    <row r="5438" spans="1:26" hidden="1">
      <c r="A5438"/>
      <c r="B5438" s="249"/>
      <c r="C5438"/>
      <c r="D5438"/>
      <c r="E5438"/>
      <c r="F5438" s="242"/>
      <c r="G5438"/>
      <c r="H5438" s="242"/>
      <c r="I5438" s="242"/>
      <c r="J5438" s="242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</row>
    <row r="5439" spans="1:26" hidden="1">
      <c r="A5439"/>
      <c r="B5439" s="249"/>
      <c r="C5439"/>
      <c r="D5439"/>
      <c r="E5439"/>
      <c r="F5439" s="242"/>
      <c r="G5439"/>
      <c r="H5439" s="242"/>
      <c r="I5439" s="242"/>
      <c r="J5439" s="242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</row>
    <row r="5440" spans="1:26" hidden="1">
      <c r="A5440"/>
      <c r="B5440" s="249"/>
      <c r="C5440"/>
      <c r="D5440"/>
      <c r="E5440"/>
      <c r="F5440" s="242"/>
      <c r="G5440"/>
      <c r="H5440" s="242"/>
      <c r="I5440" s="242"/>
      <c r="J5440" s="242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</row>
    <row r="5441" spans="1:26" hidden="1">
      <c r="A5441"/>
      <c r="B5441" s="249"/>
      <c r="C5441"/>
      <c r="D5441"/>
      <c r="E5441"/>
      <c r="F5441" s="242"/>
      <c r="G5441"/>
      <c r="H5441" s="242"/>
      <c r="I5441" s="242"/>
      <c r="J5441" s="242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</row>
    <row r="5442" spans="1:26" hidden="1">
      <c r="A5442"/>
      <c r="B5442" s="249"/>
      <c r="C5442"/>
      <c r="D5442"/>
      <c r="E5442"/>
      <c r="F5442" s="242"/>
      <c r="G5442"/>
      <c r="H5442" s="242"/>
      <c r="I5442" s="242"/>
      <c r="J5442" s="242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</row>
    <row r="5443" spans="1:26" hidden="1">
      <c r="A5443"/>
      <c r="B5443" s="249"/>
      <c r="C5443"/>
      <c r="D5443"/>
      <c r="E5443"/>
      <c r="F5443" s="242"/>
      <c r="G5443"/>
      <c r="H5443" s="242"/>
      <c r="I5443" s="242"/>
      <c r="J5443" s="242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</row>
    <row r="5444" spans="1:26" hidden="1">
      <c r="A5444"/>
      <c r="B5444" s="249"/>
      <c r="C5444"/>
      <c r="D5444"/>
      <c r="E5444"/>
      <c r="F5444" s="242"/>
      <c r="G5444"/>
      <c r="H5444" s="242"/>
      <c r="I5444" s="242"/>
      <c r="J5444" s="242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</row>
    <row r="5445" spans="1:26" hidden="1">
      <c r="A5445"/>
      <c r="B5445" s="249"/>
      <c r="C5445"/>
      <c r="D5445"/>
      <c r="E5445"/>
      <c r="F5445" s="242"/>
      <c r="G5445"/>
      <c r="H5445" s="242"/>
      <c r="I5445" s="242"/>
      <c r="J5445" s="242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</row>
    <row r="5446" spans="1:26" hidden="1">
      <c r="A5446"/>
      <c r="B5446" s="249"/>
      <c r="C5446"/>
      <c r="D5446"/>
      <c r="E5446"/>
      <c r="F5446" s="242"/>
      <c r="G5446"/>
      <c r="H5446" s="242"/>
      <c r="I5446" s="242"/>
      <c r="J5446" s="242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</row>
    <row r="5447" spans="1:26" hidden="1">
      <c r="A5447"/>
      <c r="B5447" s="249"/>
      <c r="C5447"/>
      <c r="D5447"/>
      <c r="E5447"/>
      <c r="F5447" s="242"/>
      <c r="G5447"/>
      <c r="H5447" s="242"/>
      <c r="I5447" s="242"/>
      <c r="J5447" s="242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</row>
    <row r="5448" spans="1:26" hidden="1">
      <c r="A5448"/>
      <c r="B5448" s="249"/>
      <c r="C5448"/>
      <c r="D5448"/>
      <c r="E5448"/>
      <c r="F5448" s="242"/>
      <c r="G5448"/>
      <c r="H5448" s="242"/>
      <c r="I5448" s="242"/>
      <c r="J5448" s="242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</row>
    <row r="5449" spans="1:26" hidden="1">
      <c r="A5449"/>
      <c r="B5449" s="249"/>
      <c r="C5449"/>
      <c r="D5449"/>
      <c r="E5449"/>
      <c r="F5449" s="242"/>
      <c r="G5449"/>
      <c r="H5449" s="242"/>
      <c r="I5449" s="242"/>
      <c r="J5449" s="242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</row>
    <row r="5450" spans="1:26" hidden="1">
      <c r="A5450"/>
      <c r="B5450" s="249"/>
      <c r="C5450"/>
      <c r="D5450"/>
      <c r="E5450"/>
      <c r="F5450" s="242"/>
      <c r="G5450"/>
      <c r="H5450" s="242"/>
      <c r="I5450" s="242"/>
      <c r="J5450" s="242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</row>
    <row r="5451" spans="1:26" hidden="1">
      <c r="A5451"/>
      <c r="B5451" s="249"/>
      <c r="C5451"/>
      <c r="D5451"/>
      <c r="E5451"/>
      <c r="F5451" s="242"/>
      <c r="G5451"/>
      <c r="H5451" s="242"/>
      <c r="I5451" s="242"/>
      <c r="J5451" s="242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</row>
    <row r="5452" spans="1:26" hidden="1">
      <c r="A5452"/>
      <c r="B5452" s="249"/>
      <c r="C5452"/>
      <c r="D5452"/>
      <c r="E5452"/>
      <c r="F5452" s="242"/>
      <c r="G5452"/>
      <c r="H5452" s="242"/>
      <c r="I5452" s="242"/>
      <c r="J5452" s="242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</row>
    <row r="5453" spans="1:26" hidden="1">
      <c r="A5453"/>
      <c r="B5453" s="249"/>
      <c r="C5453"/>
      <c r="D5453"/>
      <c r="E5453"/>
      <c r="F5453" s="242"/>
      <c r="G5453"/>
      <c r="H5453" s="242"/>
      <c r="I5453" s="242"/>
      <c r="J5453" s="242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</row>
    <row r="5454" spans="1:26" hidden="1">
      <c r="A5454"/>
      <c r="B5454" s="249"/>
      <c r="C5454"/>
      <c r="D5454"/>
      <c r="E5454"/>
      <c r="F5454" s="242"/>
      <c r="G5454"/>
      <c r="H5454" s="242"/>
      <c r="I5454" s="242"/>
      <c r="J5454" s="242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</row>
    <row r="5455" spans="1:26" hidden="1">
      <c r="A5455"/>
      <c r="B5455" s="249"/>
      <c r="C5455"/>
      <c r="D5455"/>
      <c r="E5455"/>
      <c r="F5455" s="242"/>
      <c r="G5455"/>
      <c r="H5455" s="242"/>
      <c r="I5455" s="242"/>
      <c r="J5455" s="242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</row>
    <row r="5456" spans="1:26" hidden="1">
      <c r="A5456"/>
      <c r="B5456" s="249"/>
      <c r="C5456"/>
      <c r="D5456"/>
      <c r="E5456"/>
      <c r="F5456" s="242"/>
      <c r="G5456"/>
      <c r="H5456" s="242"/>
      <c r="I5456" s="242"/>
      <c r="J5456" s="242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</row>
    <row r="5457" spans="1:26" hidden="1">
      <c r="A5457"/>
      <c r="B5457" s="249"/>
      <c r="C5457"/>
      <c r="D5457"/>
      <c r="E5457"/>
      <c r="F5457" s="242"/>
      <c r="G5457"/>
      <c r="H5457" s="242"/>
      <c r="I5457" s="242"/>
      <c r="J5457" s="242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</row>
    <row r="5458" spans="1:26" hidden="1">
      <c r="A5458"/>
      <c r="B5458" s="249"/>
      <c r="C5458"/>
      <c r="D5458"/>
      <c r="E5458"/>
      <c r="F5458" s="242"/>
      <c r="G5458"/>
      <c r="H5458" s="242"/>
      <c r="I5458" s="242"/>
      <c r="J5458" s="242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</row>
    <row r="5459" spans="1:26" hidden="1">
      <c r="A5459"/>
      <c r="B5459" s="249"/>
      <c r="C5459"/>
      <c r="D5459"/>
      <c r="E5459"/>
      <c r="F5459" s="242"/>
      <c r="G5459"/>
      <c r="H5459" s="242"/>
      <c r="I5459" s="242"/>
      <c r="J5459" s="242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</row>
    <row r="5460" spans="1:26" hidden="1">
      <c r="A5460"/>
      <c r="B5460" s="249"/>
      <c r="C5460"/>
      <c r="D5460"/>
      <c r="E5460"/>
      <c r="F5460" s="242"/>
      <c r="G5460"/>
      <c r="H5460" s="242"/>
      <c r="I5460" s="242"/>
      <c r="J5460" s="242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</row>
    <row r="5461" spans="1:26" hidden="1">
      <c r="A5461"/>
      <c r="B5461" s="249"/>
      <c r="C5461"/>
      <c r="D5461"/>
      <c r="E5461"/>
      <c r="F5461" s="242"/>
      <c r="G5461"/>
      <c r="H5461" s="242"/>
      <c r="I5461" s="242"/>
      <c r="J5461" s="242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</row>
    <row r="5462" spans="1:26" hidden="1">
      <c r="A5462"/>
      <c r="B5462" s="249"/>
      <c r="C5462"/>
      <c r="D5462"/>
      <c r="E5462"/>
      <c r="F5462" s="242"/>
      <c r="G5462"/>
      <c r="H5462" s="242"/>
      <c r="I5462" s="242"/>
      <c r="J5462" s="242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</row>
    <row r="5463" spans="1:26" hidden="1">
      <c r="A5463"/>
      <c r="B5463" s="249"/>
      <c r="C5463"/>
      <c r="D5463"/>
      <c r="E5463"/>
      <c r="F5463" s="242"/>
      <c r="G5463"/>
      <c r="H5463" s="242"/>
      <c r="I5463" s="242"/>
      <c r="J5463" s="242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</row>
    <row r="5464" spans="1:26" hidden="1">
      <c r="A5464"/>
      <c r="B5464" s="249"/>
      <c r="C5464"/>
      <c r="D5464"/>
      <c r="E5464"/>
      <c r="F5464" s="242"/>
      <c r="G5464"/>
      <c r="H5464" s="242"/>
      <c r="I5464" s="242"/>
      <c r="J5464" s="242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</row>
    <row r="5465" spans="1:26" hidden="1">
      <c r="A5465"/>
      <c r="B5465" s="249"/>
      <c r="C5465"/>
      <c r="D5465"/>
      <c r="E5465"/>
      <c r="F5465" s="242"/>
      <c r="G5465"/>
      <c r="H5465" s="242"/>
      <c r="I5465" s="242"/>
      <c r="J5465" s="242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</row>
    <row r="5466" spans="1:26" hidden="1">
      <c r="A5466"/>
      <c r="B5466" s="249"/>
      <c r="C5466"/>
      <c r="D5466"/>
      <c r="E5466"/>
      <c r="F5466" s="242"/>
      <c r="G5466"/>
      <c r="H5466" s="242"/>
      <c r="I5466" s="242"/>
      <c r="J5466" s="242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</row>
    <row r="5467" spans="1:26" hidden="1">
      <c r="A5467"/>
      <c r="B5467" s="249"/>
      <c r="C5467"/>
      <c r="D5467"/>
      <c r="E5467"/>
      <c r="F5467" s="242"/>
      <c r="G5467"/>
      <c r="H5467" s="242"/>
      <c r="I5467" s="242"/>
      <c r="J5467" s="242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</row>
    <row r="5468" spans="1:26" hidden="1">
      <c r="A5468"/>
      <c r="B5468" s="249"/>
      <c r="C5468"/>
      <c r="D5468"/>
      <c r="E5468"/>
      <c r="F5468" s="242"/>
      <c r="G5468"/>
      <c r="H5468" s="242"/>
      <c r="I5468" s="242"/>
      <c r="J5468" s="242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</row>
    <row r="5469" spans="1:26" hidden="1">
      <c r="A5469"/>
      <c r="B5469" s="249"/>
      <c r="C5469"/>
      <c r="D5469"/>
      <c r="E5469"/>
      <c r="F5469" s="242"/>
      <c r="G5469"/>
      <c r="H5469" s="242"/>
      <c r="I5469" s="242"/>
      <c r="J5469" s="242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</row>
    <row r="5470" spans="1:26" hidden="1">
      <c r="A5470"/>
      <c r="B5470" s="249"/>
      <c r="C5470"/>
      <c r="D5470"/>
      <c r="E5470"/>
      <c r="F5470" s="242"/>
      <c r="G5470"/>
      <c r="H5470" s="242"/>
      <c r="I5470" s="242"/>
      <c r="J5470" s="242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</row>
    <row r="5471" spans="1:26" hidden="1">
      <c r="A5471"/>
      <c r="B5471" s="249"/>
      <c r="C5471"/>
      <c r="D5471"/>
      <c r="E5471"/>
      <c r="F5471" s="242"/>
      <c r="G5471"/>
      <c r="H5471" s="242"/>
      <c r="I5471" s="242"/>
      <c r="J5471" s="242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</row>
    <row r="5472" spans="1:26" hidden="1">
      <c r="A5472"/>
      <c r="B5472" s="249"/>
      <c r="C5472"/>
      <c r="D5472"/>
      <c r="E5472"/>
      <c r="F5472" s="242"/>
      <c r="G5472"/>
      <c r="H5472" s="242"/>
      <c r="I5472" s="242"/>
      <c r="J5472" s="242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</row>
    <row r="5473" spans="1:26" hidden="1">
      <c r="A5473"/>
      <c r="B5473" s="249"/>
      <c r="C5473"/>
      <c r="D5473"/>
      <c r="E5473"/>
      <c r="F5473" s="242"/>
      <c r="G5473"/>
      <c r="H5473" s="242"/>
      <c r="I5473" s="242"/>
      <c r="J5473" s="242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</row>
    <row r="5474" spans="1:26" hidden="1">
      <c r="A5474"/>
      <c r="B5474" s="249"/>
      <c r="C5474"/>
      <c r="D5474"/>
      <c r="E5474"/>
      <c r="F5474" s="242"/>
      <c r="G5474"/>
      <c r="H5474" s="242"/>
      <c r="I5474" s="242"/>
      <c r="J5474" s="242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</row>
    <row r="5475" spans="1:26" hidden="1">
      <c r="A5475"/>
      <c r="B5475" s="249"/>
      <c r="C5475"/>
      <c r="D5475"/>
      <c r="E5475"/>
      <c r="F5475" s="242"/>
      <c r="G5475"/>
      <c r="H5475" s="242"/>
      <c r="I5475" s="242"/>
      <c r="J5475" s="242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</row>
    <row r="5476" spans="1:26" hidden="1">
      <c r="A5476"/>
      <c r="B5476" s="249"/>
      <c r="C5476"/>
      <c r="D5476"/>
      <c r="E5476"/>
      <c r="F5476" s="242"/>
      <c r="G5476"/>
      <c r="H5476" s="242"/>
      <c r="I5476" s="242"/>
      <c r="J5476" s="242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</row>
    <row r="5477" spans="1:26" hidden="1">
      <c r="A5477"/>
      <c r="B5477" s="249"/>
      <c r="C5477"/>
      <c r="D5477"/>
      <c r="E5477"/>
      <c r="F5477" s="242"/>
      <c r="G5477"/>
      <c r="H5477" s="242"/>
      <c r="I5477" s="242"/>
      <c r="J5477" s="242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</row>
    <row r="5478" spans="1:26" hidden="1">
      <c r="A5478"/>
      <c r="B5478" s="249"/>
      <c r="C5478"/>
      <c r="D5478"/>
      <c r="E5478"/>
      <c r="F5478" s="242"/>
      <c r="G5478"/>
      <c r="H5478" s="242"/>
      <c r="I5478" s="242"/>
      <c r="J5478" s="242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</row>
    <row r="5479" spans="1:26" hidden="1">
      <c r="A5479"/>
      <c r="B5479" s="249"/>
      <c r="C5479"/>
      <c r="D5479"/>
      <c r="E5479"/>
      <c r="F5479" s="242"/>
      <c r="G5479"/>
      <c r="H5479" s="242"/>
      <c r="I5479" s="242"/>
      <c r="J5479" s="242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</row>
    <row r="5480" spans="1:26" hidden="1">
      <c r="A5480"/>
      <c r="B5480" s="249"/>
      <c r="C5480"/>
      <c r="D5480"/>
      <c r="E5480"/>
      <c r="F5480" s="242"/>
      <c r="G5480"/>
      <c r="H5480" s="242"/>
      <c r="I5480" s="242"/>
      <c r="J5480" s="242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</row>
    <row r="5481" spans="1:26" hidden="1">
      <c r="A5481"/>
      <c r="B5481" s="249"/>
      <c r="C5481"/>
      <c r="D5481"/>
      <c r="E5481"/>
      <c r="F5481" s="242"/>
      <c r="G5481"/>
      <c r="H5481" s="242"/>
      <c r="I5481" s="242"/>
      <c r="J5481" s="242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</row>
    <row r="5482" spans="1:26" hidden="1">
      <c r="A5482"/>
      <c r="B5482" s="249"/>
      <c r="C5482"/>
      <c r="D5482"/>
      <c r="E5482"/>
      <c r="F5482" s="242"/>
      <c r="G5482"/>
      <c r="H5482" s="242"/>
      <c r="I5482" s="242"/>
      <c r="J5482" s="242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</row>
    <row r="5483" spans="1:26" hidden="1">
      <c r="A5483"/>
      <c r="B5483" s="249"/>
      <c r="C5483"/>
      <c r="D5483"/>
      <c r="E5483"/>
      <c r="F5483" s="242"/>
      <c r="G5483"/>
      <c r="H5483" s="242"/>
      <c r="I5483" s="242"/>
      <c r="J5483" s="242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</row>
    <row r="5484" spans="1:26" hidden="1">
      <c r="A5484"/>
      <c r="B5484" s="249"/>
      <c r="C5484"/>
      <c r="D5484"/>
      <c r="E5484"/>
      <c r="F5484" s="242"/>
      <c r="G5484"/>
      <c r="H5484" s="242"/>
      <c r="I5484" s="242"/>
      <c r="J5484" s="242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</row>
    <row r="5485" spans="1:26" hidden="1">
      <c r="A5485"/>
      <c r="B5485" s="249"/>
      <c r="C5485"/>
      <c r="D5485"/>
      <c r="E5485"/>
      <c r="F5485" s="242"/>
      <c r="G5485"/>
      <c r="H5485" s="242"/>
      <c r="I5485" s="242"/>
      <c r="J5485" s="242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</row>
    <row r="5486" spans="1:26" hidden="1">
      <c r="A5486"/>
      <c r="B5486" s="249"/>
      <c r="C5486"/>
      <c r="D5486"/>
      <c r="E5486"/>
      <c r="F5486" s="242"/>
      <c r="G5486"/>
      <c r="H5486" s="242"/>
      <c r="I5486" s="242"/>
      <c r="J5486" s="242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</row>
    <row r="5487" spans="1:26" hidden="1">
      <c r="A5487"/>
      <c r="B5487" s="249"/>
      <c r="C5487"/>
      <c r="D5487"/>
      <c r="E5487"/>
      <c r="F5487" s="242"/>
      <c r="G5487"/>
      <c r="H5487" s="242"/>
      <c r="I5487" s="242"/>
      <c r="J5487" s="242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</row>
    <row r="5488" spans="1:26" hidden="1">
      <c r="A5488"/>
      <c r="B5488" s="249"/>
      <c r="C5488"/>
      <c r="D5488"/>
      <c r="E5488"/>
      <c r="F5488" s="242"/>
      <c r="G5488"/>
      <c r="H5488" s="242"/>
      <c r="I5488" s="242"/>
      <c r="J5488" s="242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</row>
    <row r="5489" spans="1:26" hidden="1">
      <c r="A5489"/>
      <c r="B5489" s="249"/>
      <c r="C5489"/>
      <c r="D5489"/>
      <c r="E5489"/>
      <c r="F5489" s="242"/>
      <c r="G5489"/>
      <c r="H5489" s="242"/>
      <c r="I5489" s="242"/>
      <c r="J5489" s="242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</row>
    <row r="5490" spans="1:26" hidden="1">
      <c r="A5490"/>
      <c r="B5490" s="249"/>
      <c r="C5490"/>
      <c r="D5490"/>
      <c r="E5490"/>
      <c r="F5490" s="242"/>
      <c r="G5490"/>
      <c r="H5490" s="242"/>
      <c r="I5490" s="242"/>
      <c r="J5490" s="242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</row>
    <row r="5491" spans="1:26" hidden="1">
      <c r="A5491"/>
      <c r="B5491" s="249"/>
      <c r="C5491"/>
      <c r="D5491"/>
      <c r="E5491"/>
      <c r="F5491" s="242"/>
      <c r="G5491"/>
      <c r="H5491" s="242"/>
      <c r="I5491" s="242"/>
      <c r="J5491" s="242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</row>
    <row r="5492" spans="1:26" hidden="1">
      <c r="A5492"/>
      <c r="B5492" s="249"/>
      <c r="C5492"/>
      <c r="D5492"/>
      <c r="E5492"/>
      <c r="F5492" s="242"/>
      <c r="G5492"/>
      <c r="H5492" s="242"/>
      <c r="I5492" s="242"/>
      <c r="J5492" s="242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</row>
    <row r="5493" spans="1:26" hidden="1">
      <c r="A5493"/>
      <c r="B5493" s="249"/>
      <c r="C5493"/>
      <c r="D5493"/>
      <c r="E5493"/>
      <c r="F5493" s="242"/>
      <c r="G5493"/>
      <c r="H5493" s="242"/>
      <c r="I5493" s="242"/>
      <c r="J5493" s="242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</row>
    <row r="5494" spans="1:26" hidden="1">
      <c r="A5494"/>
      <c r="B5494" s="249"/>
      <c r="C5494"/>
      <c r="D5494"/>
      <c r="E5494"/>
      <c r="F5494" s="242"/>
      <c r="G5494"/>
      <c r="H5494" s="242"/>
      <c r="I5494" s="242"/>
      <c r="J5494" s="242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</row>
    <row r="5495" spans="1:26" hidden="1">
      <c r="A5495"/>
      <c r="B5495" s="249"/>
      <c r="C5495"/>
      <c r="D5495"/>
      <c r="E5495"/>
      <c r="F5495" s="242"/>
      <c r="G5495"/>
      <c r="H5495" s="242"/>
      <c r="I5495" s="242"/>
      <c r="J5495" s="242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</row>
    <row r="5496" spans="1:26" hidden="1">
      <c r="A5496"/>
      <c r="B5496" s="249"/>
      <c r="C5496"/>
      <c r="D5496"/>
      <c r="E5496"/>
      <c r="F5496" s="242"/>
      <c r="G5496"/>
      <c r="H5496" s="242"/>
      <c r="I5496" s="242"/>
      <c r="J5496" s="242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</row>
    <row r="5497" spans="1:26" hidden="1">
      <c r="A5497"/>
      <c r="B5497" s="249"/>
      <c r="C5497"/>
      <c r="D5497"/>
      <c r="E5497"/>
      <c r="F5497" s="242"/>
      <c r="G5497"/>
      <c r="H5497" s="242"/>
      <c r="I5497" s="242"/>
      <c r="J5497" s="242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</row>
    <row r="5498" spans="1:26" hidden="1">
      <c r="A5498"/>
      <c r="B5498" s="249"/>
      <c r="C5498"/>
      <c r="D5498"/>
      <c r="E5498"/>
      <c r="F5498" s="242"/>
      <c r="G5498"/>
      <c r="H5498" s="242"/>
      <c r="I5498" s="242"/>
      <c r="J5498" s="242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</row>
    <row r="5499" spans="1:26" hidden="1">
      <c r="A5499"/>
      <c r="B5499" s="249"/>
      <c r="C5499"/>
      <c r="D5499"/>
      <c r="E5499"/>
      <c r="F5499" s="242"/>
      <c r="G5499"/>
      <c r="H5499" s="242"/>
      <c r="I5499" s="242"/>
      <c r="J5499" s="242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</row>
    <row r="5500" spans="1:26" hidden="1">
      <c r="A5500"/>
      <c r="B5500" s="249"/>
      <c r="C5500"/>
      <c r="D5500"/>
      <c r="E5500"/>
      <c r="F5500" s="242"/>
      <c r="G5500"/>
      <c r="H5500" s="242"/>
      <c r="I5500" s="242"/>
      <c r="J5500" s="242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</row>
    <row r="5501" spans="1:26" hidden="1">
      <c r="A5501"/>
      <c r="B5501" s="249"/>
      <c r="C5501"/>
      <c r="D5501"/>
      <c r="E5501"/>
      <c r="F5501" s="242"/>
      <c r="G5501"/>
      <c r="H5501" s="242"/>
      <c r="I5501" s="242"/>
      <c r="J5501" s="242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</row>
    <row r="5502" spans="1:26" hidden="1">
      <c r="A5502"/>
      <c r="B5502" s="249"/>
      <c r="C5502"/>
      <c r="D5502"/>
      <c r="E5502"/>
      <c r="F5502" s="242"/>
      <c r="G5502"/>
      <c r="H5502" s="242"/>
      <c r="I5502" s="242"/>
      <c r="J5502" s="242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</row>
    <row r="5503" spans="1:26" hidden="1">
      <c r="A5503"/>
      <c r="B5503" s="249"/>
      <c r="C5503"/>
      <c r="D5503"/>
      <c r="E5503"/>
      <c r="F5503" s="242"/>
      <c r="G5503"/>
      <c r="H5503" s="242"/>
      <c r="I5503" s="242"/>
      <c r="J5503" s="242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</row>
    <row r="5504" spans="1:26" hidden="1">
      <c r="A5504"/>
      <c r="B5504" s="249"/>
      <c r="C5504"/>
      <c r="D5504"/>
      <c r="E5504"/>
      <c r="F5504" s="242"/>
      <c r="G5504"/>
      <c r="H5504" s="242"/>
      <c r="I5504" s="242"/>
      <c r="J5504" s="242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</row>
    <row r="5505" spans="1:26" hidden="1">
      <c r="A5505"/>
      <c r="B5505" s="249"/>
      <c r="C5505"/>
      <c r="D5505"/>
      <c r="E5505"/>
      <c r="F5505" s="242"/>
      <c r="G5505"/>
      <c r="H5505" s="242"/>
      <c r="I5505" s="242"/>
      <c r="J5505" s="242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</row>
    <row r="5506" spans="1:26" hidden="1">
      <c r="A5506"/>
      <c r="B5506" s="249"/>
      <c r="C5506"/>
      <c r="D5506"/>
      <c r="E5506"/>
      <c r="F5506" s="242"/>
      <c r="G5506"/>
      <c r="H5506" s="242"/>
      <c r="I5506" s="242"/>
      <c r="J5506" s="242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</row>
    <row r="5507" spans="1:26" hidden="1">
      <c r="A5507"/>
      <c r="B5507" s="249"/>
      <c r="C5507"/>
      <c r="D5507"/>
      <c r="E5507"/>
      <c r="F5507" s="242"/>
      <c r="G5507"/>
      <c r="H5507" s="242"/>
      <c r="I5507" s="242"/>
      <c r="J5507" s="242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</row>
    <row r="5508" spans="1:26" hidden="1">
      <c r="A5508"/>
      <c r="B5508" s="249"/>
      <c r="C5508"/>
      <c r="D5508"/>
      <c r="E5508"/>
      <c r="F5508" s="242"/>
      <c r="G5508"/>
      <c r="H5508" s="242"/>
      <c r="I5508" s="242"/>
      <c r="J5508" s="242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</row>
    <row r="5509" spans="1:26" hidden="1">
      <c r="A5509"/>
      <c r="B5509" s="249"/>
      <c r="C5509"/>
      <c r="D5509"/>
      <c r="E5509"/>
      <c r="F5509" s="242"/>
      <c r="G5509"/>
      <c r="H5509" s="242"/>
      <c r="I5509" s="242"/>
      <c r="J5509" s="242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</row>
    <row r="5510" spans="1:26" hidden="1">
      <c r="A5510"/>
      <c r="B5510" s="249"/>
      <c r="C5510"/>
      <c r="D5510"/>
      <c r="E5510"/>
      <c r="F5510" s="242"/>
      <c r="G5510"/>
      <c r="H5510" s="242"/>
      <c r="I5510" s="242"/>
      <c r="J5510" s="242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</row>
    <row r="5511" spans="1:26" hidden="1">
      <c r="A5511"/>
      <c r="B5511" s="249"/>
      <c r="C5511"/>
      <c r="D5511"/>
      <c r="E5511"/>
      <c r="F5511" s="242"/>
      <c r="G5511"/>
      <c r="H5511" s="242"/>
      <c r="I5511" s="242"/>
      <c r="J5511" s="242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</row>
    <row r="5512" spans="1:26" hidden="1">
      <c r="A5512"/>
      <c r="B5512" s="249"/>
      <c r="C5512"/>
      <c r="D5512"/>
      <c r="E5512"/>
      <c r="F5512" s="242"/>
      <c r="G5512"/>
      <c r="H5512" s="242"/>
      <c r="I5512" s="242"/>
      <c r="J5512" s="242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</row>
    <row r="5513" spans="1:26" hidden="1">
      <c r="A5513"/>
      <c r="B5513" s="249"/>
      <c r="C5513"/>
      <c r="D5513"/>
      <c r="E5513"/>
      <c r="F5513" s="242"/>
      <c r="G5513"/>
      <c r="H5513" s="242"/>
      <c r="I5513" s="242"/>
      <c r="J5513" s="242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</row>
    <row r="5514" spans="1:26" hidden="1">
      <c r="A5514"/>
      <c r="B5514" s="249"/>
      <c r="C5514"/>
      <c r="D5514"/>
      <c r="E5514"/>
      <c r="F5514" s="242"/>
      <c r="G5514"/>
      <c r="H5514" s="242"/>
      <c r="I5514" s="242"/>
      <c r="J5514" s="242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</row>
    <row r="5515" spans="1:26" hidden="1">
      <c r="A5515"/>
      <c r="B5515" s="249"/>
      <c r="C5515"/>
      <c r="D5515"/>
      <c r="E5515"/>
      <c r="F5515" s="242"/>
      <c r="G5515"/>
      <c r="H5515" s="242"/>
      <c r="I5515" s="242"/>
      <c r="J5515" s="242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</row>
    <row r="5516" spans="1:26" hidden="1">
      <c r="A5516"/>
      <c r="B5516" s="249"/>
      <c r="C5516"/>
      <c r="D5516"/>
      <c r="E5516"/>
      <c r="F5516" s="242"/>
      <c r="G5516"/>
      <c r="H5516" s="242"/>
      <c r="I5516" s="242"/>
      <c r="J5516" s="242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</row>
    <row r="5517" spans="1:26" hidden="1">
      <c r="A5517"/>
      <c r="B5517" s="249"/>
      <c r="C5517"/>
      <c r="D5517"/>
      <c r="E5517"/>
      <c r="F5517" s="242"/>
      <c r="G5517"/>
      <c r="H5517" s="242"/>
      <c r="I5517" s="242"/>
      <c r="J5517" s="242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</row>
    <row r="5518" spans="1:26" hidden="1">
      <c r="A5518"/>
      <c r="B5518" s="249"/>
      <c r="C5518"/>
      <c r="D5518"/>
      <c r="E5518"/>
      <c r="F5518" s="242"/>
      <c r="G5518"/>
      <c r="H5518" s="242"/>
      <c r="I5518" s="242"/>
      <c r="J5518" s="242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</row>
    <row r="5519" spans="1:26" hidden="1">
      <c r="A5519"/>
      <c r="B5519" s="249"/>
      <c r="C5519"/>
      <c r="D5519"/>
      <c r="E5519"/>
      <c r="F5519" s="242"/>
      <c r="G5519"/>
      <c r="H5519" s="242"/>
      <c r="I5519" s="242"/>
      <c r="J5519" s="242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</row>
    <row r="5520" spans="1:26" hidden="1">
      <c r="A5520"/>
      <c r="B5520" s="249"/>
      <c r="C5520"/>
      <c r="D5520"/>
      <c r="E5520"/>
      <c r="F5520" s="242"/>
      <c r="G5520"/>
      <c r="H5520" s="242"/>
      <c r="I5520" s="242"/>
      <c r="J5520" s="242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</row>
    <row r="5521" spans="1:26" hidden="1">
      <c r="A5521"/>
      <c r="B5521" s="249"/>
      <c r="C5521"/>
      <c r="D5521"/>
      <c r="E5521"/>
      <c r="F5521" s="242"/>
      <c r="G5521"/>
      <c r="H5521" s="242"/>
      <c r="I5521" s="242"/>
      <c r="J5521" s="242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</row>
    <row r="5522" spans="1:26" hidden="1">
      <c r="A5522"/>
      <c r="B5522" s="249"/>
      <c r="C5522"/>
      <c r="D5522"/>
      <c r="E5522"/>
      <c r="F5522" s="242"/>
      <c r="G5522"/>
      <c r="H5522" s="242"/>
      <c r="I5522" s="242"/>
      <c r="J5522" s="242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</row>
    <row r="5523" spans="1:26" hidden="1">
      <c r="A5523"/>
      <c r="B5523" s="249"/>
      <c r="C5523"/>
      <c r="D5523"/>
      <c r="E5523"/>
      <c r="F5523" s="242"/>
      <c r="G5523"/>
      <c r="H5523" s="242"/>
      <c r="I5523" s="242"/>
      <c r="J5523" s="242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</row>
    <row r="5524" spans="1:26" hidden="1">
      <c r="A5524"/>
      <c r="B5524" s="249"/>
      <c r="C5524"/>
      <c r="D5524"/>
      <c r="E5524"/>
      <c r="F5524" s="242"/>
      <c r="G5524"/>
      <c r="H5524" s="242"/>
      <c r="I5524" s="242"/>
      <c r="J5524" s="242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</row>
    <row r="5525" spans="1:26" hidden="1">
      <c r="A5525"/>
      <c r="B5525" s="249"/>
      <c r="C5525"/>
      <c r="D5525"/>
      <c r="E5525"/>
      <c r="F5525" s="242"/>
      <c r="G5525"/>
      <c r="H5525" s="242"/>
      <c r="I5525" s="242"/>
      <c r="J5525" s="242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</row>
    <row r="5526" spans="1:26" hidden="1">
      <c r="A5526"/>
      <c r="B5526" s="249"/>
      <c r="C5526"/>
      <c r="D5526"/>
      <c r="E5526"/>
      <c r="F5526" s="242"/>
      <c r="G5526"/>
      <c r="H5526" s="242"/>
      <c r="I5526" s="242"/>
      <c r="J5526" s="242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</row>
    <row r="5527" spans="1:26" hidden="1">
      <c r="A5527"/>
      <c r="B5527" s="249"/>
      <c r="C5527"/>
      <c r="D5527"/>
      <c r="E5527"/>
      <c r="F5527" s="242"/>
      <c r="G5527"/>
      <c r="H5527" s="242"/>
      <c r="I5527" s="242"/>
      <c r="J5527" s="242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</row>
    <row r="5528" spans="1:26" hidden="1">
      <c r="A5528"/>
      <c r="B5528" s="249"/>
      <c r="C5528"/>
      <c r="D5528"/>
      <c r="E5528"/>
      <c r="F5528" s="242"/>
      <c r="G5528"/>
      <c r="H5528" s="242"/>
      <c r="I5528" s="242"/>
      <c r="J5528" s="242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</row>
    <row r="5529" spans="1:26" hidden="1">
      <c r="A5529"/>
      <c r="B5529" s="249"/>
      <c r="C5529"/>
      <c r="D5529"/>
      <c r="E5529"/>
      <c r="F5529" s="242"/>
      <c r="G5529"/>
      <c r="H5529" s="242"/>
      <c r="I5529" s="242"/>
      <c r="J5529" s="242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</row>
    <row r="5530" spans="1:26" hidden="1">
      <c r="A5530"/>
      <c r="B5530" s="249"/>
      <c r="C5530"/>
      <c r="D5530"/>
      <c r="E5530"/>
      <c r="F5530" s="242"/>
      <c r="G5530"/>
      <c r="H5530" s="242"/>
      <c r="I5530" s="242"/>
      <c r="J5530" s="242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</row>
    <row r="5531" spans="1:26" hidden="1">
      <c r="A5531"/>
      <c r="B5531" s="249"/>
      <c r="C5531"/>
      <c r="D5531"/>
      <c r="E5531"/>
      <c r="F5531" s="242"/>
      <c r="G5531"/>
      <c r="H5531" s="242"/>
      <c r="I5531" s="242"/>
      <c r="J5531" s="242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</row>
    <row r="5532" spans="1:26" hidden="1">
      <c r="A5532"/>
      <c r="B5532" s="249"/>
      <c r="C5532"/>
      <c r="D5532"/>
      <c r="E5532"/>
      <c r="F5532" s="242"/>
      <c r="G5532"/>
      <c r="H5532" s="242"/>
      <c r="I5532" s="242"/>
      <c r="J5532" s="242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</row>
    <row r="5533" spans="1:26" hidden="1">
      <c r="A5533"/>
      <c r="B5533" s="249"/>
      <c r="C5533"/>
      <c r="D5533"/>
      <c r="E5533"/>
      <c r="F5533" s="242"/>
      <c r="G5533"/>
      <c r="H5533" s="242"/>
      <c r="I5533" s="242"/>
      <c r="J5533" s="242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</row>
    <row r="5534" spans="1:26" hidden="1">
      <c r="A5534"/>
      <c r="B5534" s="249"/>
      <c r="C5534"/>
      <c r="D5534"/>
      <c r="E5534"/>
      <c r="F5534" s="242"/>
      <c r="G5534"/>
      <c r="H5534" s="242"/>
      <c r="I5534" s="242"/>
      <c r="J5534" s="242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</row>
    <row r="5535" spans="1:26" hidden="1">
      <c r="A5535"/>
      <c r="B5535" s="249"/>
      <c r="C5535"/>
      <c r="D5535"/>
      <c r="E5535"/>
      <c r="F5535" s="242"/>
      <c r="G5535"/>
      <c r="H5535" s="242"/>
      <c r="I5535" s="242"/>
      <c r="J5535" s="242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</row>
    <row r="5536" spans="1:26" hidden="1">
      <c r="A5536"/>
      <c r="B5536" s="249"/>
      <c r="C5536"/>
      <c r="D5536"/>
      <c r="E5536"/>
      <c r="F5536" s="242"/>
      <c r="G5536"/>
      <c r="H5536" s="242"/>
      <c r="I5536" s="242"/>
      <c r="J5536" s="242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</row>
    <row r="5537" spans="1:26" hidden="1">
      <c r="A5537"/>
      <c r="B5537" s="249"/>
      <c r="C5537"/>
      <c r="D5537"/>
      <c r="E5537"/>
      <c r="F5537" s="242"/>
      <c r="G5537"/>
      <c r="H5537" s="242"/>
      <c r="I5537" s="242"/>
      <c r="J5537" s="242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</row>
    <row r="5538" spans="1:26" hidden="1">
      <c r="A5538"/>
      <c r="B5538" s="249"/>
      <c r="C5538"/>
      <c r="D5538"/>
      <c r="E5538"/>
      <c r="F5538" s="242"/>
      <c r="G5538"/>
      <c r="H5538" s="242"/>
      <c r="I5538" s="242"/>
      <c r="J5538" s="242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</row>
    <row r="5539" spans="1:26" hidden="1">
      <c r="A5539"/>
      <c r="B5539" s="249"/>
      <c r="C5539"/>
      <c r="D5539"/>
      <c r="E5539"/>
      <c r="F5539" s="242"/>
      <c r="G5539"/>
      <c r="H5539" s="242"/>
      <c r="I5539" s="242"/>
      <c r="J5539" s="242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</row>
    <row r="5540" spans="1:26" hidden="1">
      <c r="A5540"/>
      <c r="B5540" s="249"/>
      <c r="C5540"/>
      <c r="D5540"/>
      <c r="E5540"/>
      <c r="F5540" s="242"/>
      <c r="G5540"/>
      <c r="H5540" s="242"/>
      <c r="I5540" s="242"/>
      <c r="J5540" s="242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</row>
    <row r="5541" spans="1:26" hidden="1">
      <c r="A5541"/>
      <c r="B5541" s="249"/>
      <c r="C5541"/>
      <c r="D5541"/>
      <c r="E5541"/>
      <c r="F5541" s="242"/>
      <c r="G5541"/>
      <c r="H5541" s="242"/>
      <c r="I5541" s="242"/>
      <c r="J5541" s="242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</row>
    <row r="5542" spans="1:26" hidden="1">
      <c r="A5542"/>
      <c r="B5542" s="249"/>
      <c r="C5542"/>
      <c r="D5542"/>
      <c r="E5542"/>
      <c r="F5542" s="242"/>
      <c r="G5542"/>
      <c r="H5542" s="242"/>
      <c r="I5542" s="242"/>
      <c r="J5542" s="242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</row>
    <row r="5543" spans="1:26" hidden="1">
      <c r="A5543"/>
      <c r="B5543" s="249"/>
      <c r="C5543"/>
      <c r="D5543"/>
      <c r="E5543"/>
      <c r="F5543" s="242"/>
      <c r="G5543"/>
      <c r="H5543" s="242"/>
      <c r="I5543" s="242"/>
      <c r="J5543" s="242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</row>
    <row r="5544" spans="1:26" hidden="1">
      <c r="A5544"/>
      <c r="B5544" s="249"/>
      <c r="C5544"/>
      <c r="D5544"/>
      <c r="E5544"/>
      <c r="F5544" s="242"/>
      <c r="G5544"/>
      <c r="H5544" s="242"/>
      <c r="I5544" s="242"/>
      <c r="J5544" s="242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</row>
    <row r="5545" spans="1:26" hidden="1">
      <c r="A5545"/>
      <c r="B5545" s="249"/>
      <c r="C5545"/>
      <c r="D5545"/>
      <c r="E5545"/>
      <c r="F5545" s="242"/>
      <c r="G5545"/>
      <c r="H5545" s="242"/>
      <c r="I5545" s="242"/>
      <c r="J5545" s="242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</row>
    <row r="5546" spans="1:26" hidden="1">
      <c r="A5546"/>
      <c r="B5546" s="249"/>
      <c r="C5546"/>
      <c r="D5546"/>
      <c r="E5546"/>
      <c r="F5546" s="242"/>
      <c r="G5546"/>
      <c r="H5546" s="242"/>
      <c r="I5546" s="242"/>
      <c r="J5546" s="242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</row>
    <row r="5547" spans="1:26" hidden="1">
      <c r="A5547"/>
      <c r="B5547" s="249"/>
      <c r="C5547"/>
      <c r="D5547"/>
      <c r="E5547"/>
      <c r="F5547" s="242"/>
      <c r="G5547"/>
      <c r="H5547" s="242"/>
      <c r="I5547" s="242"/>
      <c r="J5547" s="242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</row>
    <row r="5548" spans="1:26" hidden="1">
      <c r="A5548"/>
      <c r="B5548" s="249"/>
      <c r="C5548"/>
      <c r="D5548"/>
      <c r="E5548"/>
      <c r="F5548" s="242"/>
      <c r="G5548"/>
      <c r="H5548" s="242"/>
      <c r="I5548" s="242"/>
      <c r="J5548" s="242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</row>
    <row r="5549" spans="1:26" hidden="1">
      <c r="A5549"/>
      <c r="B5549" s="249"/>
      <c r="C5549"/>
      <c r="D5549"/>
      <c r="E5549"/>
      <c r="F5549" s="242"/>
      <c r="G5549"/>
      <c r="H5549" s="242"/>
      <c r="I5549" s="242"/>
      <c r="J5549" s="242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</row>
    <row r="5550" spans="1:26" hidden="1">
      <c r="A5550"/>
      <c r="B5550" s="249"/>
      <c r="C5550"/>
      <c r="D5550"/>
      <c r="E5550"/>
      <c r="F5550" s="242"/>
      <c r="G5550"/>
      <c r="H5550" s="242"/>
      <c r="I5550" s="242"/>
      <c r="J5550" s="242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</row>
    <row r="5551" spans="1:26" hidden="1">
      <c r="A5551"/>
      <c r="B5551" s="249"/>
      <c r="C5551"/>
      <c r="D5551"/>
      <c r="E5551"/>
      <c r="F5551" s="242"/>
      <c r="G5551"/>
      <c r="H5551" s="242"/>
      <c r="I5551" s="242"/>
      <c r="J5551" s="242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</row>
    <row r="5552" spans="1:26" hidden="1">
      <c r="A5552"/>
      <c r="B5552" s="249"/>
      <c r="C5552"/>
      <c r="D5552"/>
      <c r="E5552"/>
      <c r="F5552" s="242"/>
      <c r="G5552"/>
      <c r="H5552" s="242"/>
      <c r="I5552" s="242"/>
      <c r="J5552" s="242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</row>
    <row r="5553" spans="1:26" hidden="1">
      <c r="A5553"/>
      <c r="B5553" s="249"/>
      <c r="C5553"/>
      <c r="D5553"/>
      <c r="E5553"/>
      <c r="F5553" s="242"/>
      <c r="G5553"/>
      <c r="H5553" s="242"/>
      <c r="I5553" s="242"/>
      <c r="J5553" s="242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</row>
    <row r="5554" spans="1:26" hidden="1">
      <c r="A5554"/>
      <c r="B5554" s="249"/>
      <c r="C5554"/>
      <c r="D5554"/>
      <c r="E5554"/>
      <c r="F5554" s="242"/>
      <c r="G5554"/>
      <c r="H5554" s="242"/>
      <c r="I5554" s="242"/>
      <c r="J5554" s="242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</row>
    <row r="5555" spans="1:26" hidden="1">
      <c r="A5555"/>
      <c r="B5555" s="249"/>
      <c r="C5555"/>
      <c r="D5555"/>
      <c r="E5555"/>
      <c r="F5555" s="242"/>
      <c r="G5555"/>
      <c r="H5555" s="242"/>
      <c r="I5555" s="242"/>
      <c r="J5555" s="242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</row>
    <row r="5556" spans="1:26" hidden="1">
      <c r="A5556"/>
      <c r="B5556" s="249"/>
      <c r="C5556"/>
      <c r="D5556"/>
      <c r="E5556"/>
      <c r="F5556" s="242"/>
      <c r="G5556"/>
      <c r="H5556" s="242"/>
      <c r="I5556" s="242"/>
      <c r="J5556" s="242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</row>
    <row r="5557" spans="1:26" hidden="1">
      <c r="A5557"/>
      <c r="B5557" s="249"/>
      <c r="C5557"/>
      <c r="D5557"/>
      <c r="E5557"/>
      <c r="F5557" s="242"/>
      <c r="G5557"/>
      <c r="H5557" s="242"/>
      <c r="I5557" s="242"/>
      <c r="J5557" s="242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</row>
    <row r="5558" spans="1:26" hidden="1">
      <c r="A5558"/>
      <c r="B5558" s="249"/>
      <c r="C5558"/>
      <c r="D5558"/>
      <c r="E5558"/>
      <c r="F5558" s="242"/>
      <c r="G5558"/>
      <c r="H5558" s="242"/>
      <c r="I5558" s="242"/>
      <c r="J5558" s="242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</row>
    <row r="5559" spans="1:26" hidden="1">
      <c r="A5559"/>
      <c r="B5559" s="249"/>
      <c r="C5559"/>
      <c r="D5559"/>
      <c r="E5559"/>
      <c r="F5559" s="242"/>
      <c r="G5559"/>
      <c r="H5559" s="242"/>
      <c r="I5559" s="242"/>
      <c r="J5559" s="242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</row>
    <row r="5560" spans="1:26" hidden="1">
      <c r="A5560"/>
      <c r="B5560" s="249"/>
      <c r="C5560"/>
      <c r="D5560"/>
      <c r="E5560"/>
      <c r="F5560" s="242"/>
      <c r="G5560"/>
      <c r="H5560" s="242"/>
      <c r="I5560" s="242"/>
      <c r="J5560" s="242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</row>
    <row r="5561" spans="1:26" hidden="1">
      <c r="A5561"/>
      <c r="B5561" s="249"/>
      <c r="C5561"/>
      <c r="D5561"/>
      <c r="E5561"/>
      <c r="F5561" s="242"/>
      <c r="G5561"/>
      <c r="H5561" s="242"/>
      <c r="I5561" s="242"/>
      <c r="J5561" s="242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</row>
    <row r="5562" spans="1:26" hidden="1">
      <c r="A5562"/>
      <c r="B5562" s="249"/>
      <c r="C5562"/>
      <c r="D5562"/>
      <c r="E5562"/>
      <c r="F5562" s="242"/>
      <c r="G5562"/>
      <c r="H5562" s="242"/>
      <c r="I5562" s="242"/>
      <c r="J5562" s="242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</row>
    <row r="5563" spans="1:26" hidden="1">
      <c r="A5563"/>
      <c r="B5563" s="249"/>
      <c r="C5563"/>
      <c r="D5563"/>
      <c r="E5563"/>
      <c r="F5563" s="242"/>
      <c r="G5563"/>
      <c r="H5563" s="242"/>
      <c r="I5563" s="242"/>
      <c r="J5563" s="242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</row>
    <row r="5564" spans="1:26" hidden="1">
      <c r="A5564"/>
      <c r="B5564" s="249"/>
      <c r="C5564"/>
      <c r="D5564"/>
      <c r="E5564"/>
      <c r="F5564" s="242"/>
      <c r="G5564"/>
      <c r="H5564" s="242"/>
      <c r="I5564" s="242"/>
      <c r="J5564" s="242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</row>
    <row r="5565" spans="1:26" hidden="1">
      <c r="A5565"/>
      <c r="B5565" s="249"/>
      <c r="C5565"/>
      <c r="D5565"/>
      <c r="E5565"/>
      <c r="F5565" s="242"/>
      <c r="G5565"/>
      <c r="H5565" s="242"/>
      <c r="I5565" s="242"/>
      <c r="J5565" s="242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</row>
    <row r="5566" spans="1:26" hidden="1">
      <c r="A5566"/>
      <c r="B5566" s="249"/>
      <c r="C5566"/>
      <c r="D5566"/>
      <c r="E5566"/>
      <c r="F5566" s="242"/>
      <c r="G5566"/>
      <c r="H5566" s="242"/>
      <c r="I5566" s="242"/>
      <c r="J5566" s="242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</row>
    <row r="5567" spans="1:26" hidden="1">
      <c r="A5567"/>
      <c r="B5567" s="249"/>
      <c r="C5567"/>
      <c r="D5567"/>
      <c r="E5567"/>
      <c r="F5567" s="242"/>
      <c r="G5567"/>
      <c r="H5567" s="242"/>
      <c r="I5567" s="242"/>
      <c r="J5567" s="242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</row>
    <row r="5568" spans="1:26" hidden="1">
      <c r="A5568"/>
      <c r="B5568" s="249"/>
      <c r="C5568"/>
      <c r="D5568"/>
      <c r="E5568"/>
      <c r="F5568" s="242"/>
      <c r="G5568"/>
      <c r="H5568" s="242"/>
      <c r="I5568" s="242"/>
      <c r="J5568" s="242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</row>
    <row r="5569" spans="1:26" hidden="1">
      <c r="A5569"/>
      <c r="B5569" s="249"/>
      <c r="C5569"/>
      <c r="D5569"/>
      <c r="E5569"/>
      <c r="F5569" s="242"/>
      <c r="G5569"/>
      <c r="H5569" s="242"/>
      <c r="I5569" s="242"/>
      <c r="J5569" s="242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</row>
    <row r="5570" spans="1:26" hidden="1">
      <c r="A5570"/>
      <c r="B5570" s="249"/>
      <c r="C5570"/>
      <c r="D5570"/>
      <c r="E5570"/>
      <c r="F5570" s="242"/>
      <c r="G5570"/>
      <c r="H5570" s="242"/>
      <c r="I5570" s="242"/>
      <c r="J5570" s="242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</row>
    <row r="5571" spans="1:26" hidden="1">
      <c r="A5571"/>
      <c r="B5571" s="249"/>
      <c r="C5571"/>
      <c r="D5571"/>
      <c r="E5571"/>
      <c r="F5571" s="242"/>
      <c r="G5571"/>
      <c r="H5571" s="242"/>
      <c r="I5571" s="242"/>
      <c r="J5571" s="242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</row>
    <row r="5572" spans="1:26" hidden="1">
      <c r="A5572"/>
      <c r="B5572" s="249"/>
      <c r="C5572"/>
      <c r="D5572"/>
      <c r="E5572"/>
      <c r="F5572" s="242"/>
      <c r="G5572"/>
      <c r="H5572" s="242"/>
      <c r="I5572" s="242"/>
      <c r="J5572" s="242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</row>
    <row r="5573" spans="1:26" hidden="1">
      <c r="A5573"/>
      <c r="B5573" s="249"/>
      <c r="C5573"/>
      <c r="D5573"/>
      <c r="E5573"/>
      <c r="F5573" s="242"/>
      <c r="G5573"/>
      <c r="H5573" s="242"/>
      <c r="I5573" s="242"/>
      <c r="J5573" s="242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</row>
    <row r="5574" spans="1:26" hidden="1">
      <c r="A5574"/>
      <c r="B5574" s="249"/>
      <c r="C5574"/>
      <c r="D5574"/>
      <c r="E5574"/>
      <c r="F5574" s="242"/>
      <c r="G5574"/>
      <c r="H5574" s="242"/>
      <c r="I5574" s="242"/>
      <c r="J5574" s="242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</row>
    <row r="5575" spans="1:26" hidden="1">
      <c r="A5575"/>
      <c r="B5575" s="249"/>
      <c r="C5575"/>
      <c r="D5575"/>
      <c r="E5575"/>
      <c r="F5575" s="242"/>
      <c r="G5575"/>
      <c r="H5575" s="242"/>
      <c r="I5575" s="242"/>
      <c r="J5575" s="242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</row>
    <row r="5576" spans="1:26" hidden="1">
      <c r="A5576"/>
      <c r="B5576" s="249"/>
      <c r="C5576"/>
      <c r="D5576"/>
      <c r="E5576"/>
      <c r="F5576" s="242"/>
      <c r="G5576"/>
      <c r="H5576" s="242"/>
      <c r="I5576" s="242"/>
      <c r="J5576" s="242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</row>
    <row r="5577" spans="1:26" hidden="1">
      <c r="A5577"/>
      <c r="B5577" s="249"/>
      <c r="C5577"/>
      <c r="D5577"/>
      <c r="E5577"/>
      <c r="F5577" s="242"/>
      <c r="G5577"/>
      <c r="H5577" s="242"/>
      <c r="I5577" s="242"/>
      <c r="J5577" s="242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</row>
    <row r="5578" spans="1:26" hidden="1">
      <c r="A5578"/>
      <c r="B5578" s="249"/>
      <c r="C5578"/>
      <c r="D5578"/>
      <c r="E5578"/>
      <c r="F5578" s="242"/>
      <c r="G5578"/>
      <c r="H5578" s="242"/>
      <c r="I5578" s="242"/>
      <c r="J5578" s="242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</row>
    <row r="5579" spans="1:26" hidden="1">
      <c r="A5579"/>
      <c r="B5579" s="249"/>
      <c r="C5579"/>
      <c r="D5579"/>
      <c r="E5579"/>
      <c r="F5579" s="242"/>
      <c r="G5579"/>
      <c r="H5579" s="242"/>
      <c r="I5579" s="242"/>
      <c r="J5579" s="242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</row>
    <row r="5580" spans="1:26" hidden="1">
      <c r="A5580"/>
      <c r="B5580" s="249"/>
      <c r="C5580"/>
      <c r="D5580"/>
      <c r="E5580"/>
      <c r="F5580" s="242"/>
      <c r="G5580"/>
      <c r="H5580" s="242"/>
      <c r="I5580" s="242"/>
      <c r="J5580" s="242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</row>
    <row r="5581" spans="1:26" hidden="1">
      <c r="A5581"/>
      <c r="B5581" s="249"/>
      <c r="C5581"/>
      <c r="D5581"/>
      <c r="E5581"/>
      <c r="F5581" s="242"/>
      <c r="G5581"/>
      <c r="H5581" s="242"/>
      <c r="I5581" s="242"/>
      <c r="J5581" s="242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</row>
    <row r="5582" spans="1:26" hidden="1">
      <c r="A5582"/>
      <c r="B5582" s="249"/>
      <c r="C5582"/>
      <c r="D5582"/>
      <c r="E5582"/>
      <c r="F5582" s="242"/>
      <c r="G5582"/>
      <c r="H5582" s="242"/>
      <c r="I5582" s="242"/>
      <c r="J5582" s="242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</row>
    <row r="5583" spans="1:26" hidden="1">
      <c r="A5583"/>
      <c r="B5583" s="249"/>
      <c r="C5583"/>
      <c r="D5583"/>
      <c r="E5583"/>
      <c r="F5583" s="242"/>
      <c r="G5583"/>
      <c r="H5583" s="242"/>
      <c r="I5583" s="242"/>
      <c r="J5583" s="242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</row>
    <row r="5584" spans="1:26" hidden="1">
      <c r="A5584"/>
      <c r="B5584" s="249"/>
      <c r="C5584"/>
      <c r="D5584"/>
      <c r="E5584"/>
      <c r="F5584" s="242"/>
      <c r="G5584"/>
      <c r="H5584" s="242"/>
      <c r="I5584" s="242"/>
      <c r="J5584" s="242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</row>
    <row r="5585" spans="1:26" hidden="1">
      <c r="A5585"/>
      <c r="B5585" s="249"/>
      <c r="C5585"/>
      <c r="D5585"/>
      <c r="E5585"/>
      <c r="F5585" s="242"/>
      <c r="G5585"/>
      <c r="H5585" s="242"/>
      <c r="I5585" s="242"/>
      <c r="J5585" s="242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</row>
    <row r="5586" spans="1:26" hidden="1">
      <c r="A5586"/>
      <c r="B5586" s="249"/>
      <c r="C5586"/>
      <c r="D5586"/>
      <c r="E5586"/>
      <c r="F5586" s="242"/>
      <c r="G5586"/>
      <c r="H5586" s="242"/>
      <c r="I5586" s="242"/>
      <c r="J5586" s="242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</row>
    <row r="5587" spans="1:26" hidden="1">
      <c r="A5587"/>
      <c r="B5587" s="249"/>
      <c r="C5587"/>
      <c r="D5587"/>
      <c r="E5587"/>
      <c r="F5587" s="242"/>
      <c r="G5587"/>
      <c r="H5587" s="242"/>
      <c r="I5587" s="242"/>
      <c r="J5587" s="242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</row>
    <row r="5588" spans="1:26" hidden="1">
      <c r="A5588"/>
      <c r="B5588" s="249"/>
      <c r="C5588"/>
      <c r="D5588"/>
      <c r="E5588"/>
      <c r="F5588" s="242"/>
      <c r="G5588"/>
      <c r="H5588" s="242"/>
      <c r="I5588" s="242"/>
      <c r="J5588" s="242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</row>
    <row r="5589" spans="1:26" hidden="1">
      <c r="A5589"/>
      <c r="B5589" s="249"/>
      <c r="C5589"/>
      <c r="D5589"/>
      <c r="E5589"/>
      <c r="F5589" s="242"/>
      <c r="G5589"/>
      <c r="H5589" s="242"/>
      <c r="I5589" s="242"/>
      <c r="J5589" s="242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</row>
    <row r="5590" spans="1:26" hidden="1">
      <c r="A5590"/>
      <c r="B5590" s="249"/>
      <c r="C5590"/>
      <c r="D5590"/>
      <c r="E5590"/>
      <c r="F5590" s="242"/>
      <c r="G5590"/>
      <c r="H5590" s="242"/>
      <c r="I5590" s="242"/>
      <c r="J5590" s="242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</row>
    <row r="5591" spans="1:26" hidden="1">
      <c r="A5591"/>
      <c r="B5591" s="249"/>
      <c r="C5591"/>
      <c r="D5591"/>
      <c r="E5591"/>
      <c r="F5591" s="242"/>
      <c r="G5591"/>
      <c r="H5591" s="242"/>
      <c r="I5591" s="242"/>
      <c r="J5591" s="242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</row>
    <row r="5592" spans="1:26" hidden="1">
      <c r="A5592"/>
      <c r="B5592" s="249"/>
      <c r="C5592"/>
      <c r="D5592"/>
      <c r="E5592"/>
      <c r="F5592" s="242"/>
      <c r="G5592"/>
      <c r="H5592" s="242"/>
      <c r="I5592" s="242"/>
      <c r="J5592" s="242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</row>
    <row r="5593" spans="1:26" hidden="1">
      <c r="A5593"/>
      <c r="B5593" s="249"/>
      <c r="C5593"/>
      <c r="D5593"/>
      <c r="E5593"/>
      <c r="F5593" s="242"/>
      <c r="G5593"/>
      <c r="H5593" s="242"/>
      <c r="I5593" s="242"/>
      <c r="J5593" s="242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</row>
    <row r="5594" spans="1:26" hidden="1">
      <c r="A5594"/>
      <c r="B5594" s="249"/>
      <c r="C5594"/>
      <c r="D5594"/>
      <c r="E5594"/>
      <c r="F5594" s="242"/>
      <c r="G5594"/>
      <c r="H5594" s="242"/>
      <c r="I5594" s="242"/>
      <c r="J5594" s="242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</row>
    <row r="5595" spans="1:26" hidden="1">
      <c r="A5595"/>
      <c r="B5595" s="249"/>
      <c r="C5595"/>
      <c r="D5595"/>
      <c r="E5595"/>
      <c r="F5595" s="242"/>
      <c r="G5595"/>
      <c r="H5595" s="242"/>
      <c r="I5595" s="242"/>
      <c r="J5595" s="242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</row>
    <row r="5596" spans="1:26" hidden="1">
      <c r="A5596"/>
      <c r="B5596" s="249"/>
      <c r="C5596"/>
      <c r="D5596"/>
      <c r="E5596"/>
      <c r="F5596" s="242"/>
      <c r="G5596"/>
      <c r="H5596" s="242"/>
      <c r="I5596" s="242"/>
      <c r="J5596" s="242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</row>
    <row r="5597" spans="1:26" hidden="1">
      <c r="A5597"/>
      <c r="B5597" s="249"/>
      <c r="C5597"/>
      <c r="D5597"/>
      <c r="E5597"/>
      <c r="F5597" s="242"/>
      <c r="G5597"/>
      <c r="H5597" s="242"/>
      <c r="I5597" s="242"/>
      <c r="J5597" s="242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</row>
    <row r="5598" spans="1:26" hidden="1">
      <c r="A5598"/>
      <c r="B5598" s="249"/>
      <c r="C5598"/>
      <c r="D5598"/>
      <c r="E5598"/>
      <c r="F5598" s="242"/>
      <c r="G5598"/>
      <c r="H5598" s="242"/>
      <c r="I5598" s="242"/>
      <c r="J5598" s="242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</row>
    <row r="5599" spans="1:26" hidden="1">
      <c r="A5599"/>
      <c r="B5599" s="249"/>
      <c r="C5599"/>
      <c r="D5599"/>
      <c r="E5599"/>
      <c r="F5599" s="242"/>
      <c r="G5599"/>
      <c r="H5599" s="242"/>
      <c r="I5599" s="242"/>
      <c r="J5599" s="242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</row>
    <row r="5600" spans="1:26" hidden="1">
      <c r="A5600"/>
      <c r="B5600" s="249"/>
      <c r="C5600"/>
      <c r="D5600"/>
      <c r="E5600"/>
      <c r="F5600" s="242"/>
      <c r="G5600"/>
      <c r="H5600" s="242"/>
      <c r="I5600" s="242"/>
      <c r="J5600" s="242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</row>
    <row r="5601" spans="1:26" hidden="1">
      <c r="A5601"/>
      <c r="B5601" s="249"/>
      <c r="C5601"/>
      <c r="D5601"/>
      <c r="E5601"/>
      <c r="F5601" s="242"/>
      <c r="G5601"/>
      <c r="H5601" s="242"/>
      <c r="I5601" s="242"/>
      <c r="J5601" s="242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</row>
    <row r="5602" spans="1:26" hidden="1">
      <c r="A5602"/>
      <c r="B5602" s="249"/>
      <c r="C5602"/>
      <c r="D5602"/>
      <c r="E5602"/>
      <c r="F5602" s="242"/>
      <c r="G5602"/>
      <c r="H5602" s="242"/>
      <c r="I5602" s="242"/>
      <c r="J5602" s="242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</row>
    <row r="5603" spans="1:26" hidden="1">
      <c r="A5603"/>
      <c r="B5603" s="249"/>
      <c r="C5603"/>
      <c r="D5603"/>
      <c r="E5603"/>
      <c r="F5603" s="242"/>
      <c r="G5603"/>
      <c r="H5603" s="242"/>
      <c r="I5603" s="242"/>
      <c r="J5603" s="242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</row>
    <row r="5604" spans="1:26" hidden="1">
      <c r="A5604"/>
      <c r="B5604" s="249"/>
      <c r="C5604"/>
      <c r="D5604"/>
      <c r="E5604"/>
      <c r="F5604" s="242"/>
      <c r="G5604"/>
      <c r="H5604" s="242"/>
      <c r="I5604" s="242"/>
      <c r="J5604" s="242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</row>
    <row r="5605" spans="1:26" hidden="1">
      <c r="A5605"/>
      <c r="B5605" s="249"/>
      <c r="C5605"/>
      <c r="D5605"/>
      <c r="E5605"/>
      <c r="F5605" s="242"/>
      <c r="G5605"/>
      <c r="H5605" s="242"/>
      <c r="I5605" s="242"/>
      <c r="J5605" s="242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</row>
    <row r="5606" spans="1:26" hidden="1">
      <c r="A5606"/>
      <c r="B5606" s="249"/>
      <c r="C5606"/>
      <c r="D5606"/>
      <c r="E5606"/>
      <c r="F5606" s="242"/>
      <c r="G5606"/>
      <c r="H5606" s="242"/>
      <c r="I5606" s="242"/>
      <c r="J5606" s="242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</row>
    <row r="5607" spans="1:26" hidden="1">
      <c r="A5607"/>
      <c r="B5607" s="249"/>
      <c r="C5607"/>
      <c r="D5607"/>
      <c r="E5607"/>
      <c r="F5607" s="242"/>
      <c r="G5607"/>
      <c r="H5607" s="242"/>
      <c r="I5607" s="242"/>
      <c r="J5607" s="242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</row>
    <row r="5608" spans="1:26" hidden="1">
      <c r="A5608"/>
      <c r="B5608" s="249"/>
      <c r="C5608"/>
      <c r="D5608"/>
      <c r="E5608"/>
      <c r="F5608" s="242"/>
      <c r="G5608"/>
      <c r="H5608" s="242"/>
      <c r="I5608" s="242"/>
      <c r="J5608" s="242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</row>
    <row r="5609" spans="1:26" hidden="1">
      <c r="A5609"/>
      <c r="B5609" s="249"/>
      <c r="C5609"/>
      <c r="D5609"/>
      <c r="E5609"/>
      <c r="F5609" s="242"/>
      <c r="G5609"/>
      <c r="H5609" s="242"/>
      <c r="I5609" s="242"/>
      <c r="J5609" s="242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</row>
    <row r="5610" spans="1:26" hidden="1">
      <c r="A5610"/>
      <c r="B5610" s="249"/>
      <c r="C5610"/>
      <c r="D5610"/>
      <c r="E5610"/>
      <c r="F5610" s="242"/>
      <c r="G5610"/>
      <c r="H5610" s="242"/>
      <c r="I5610" s="242"/>
      <c r="J5610" s="242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</row>
    <row r="5611" spans="1:26" hidden="1">
      <c r="A5611"/>
      <c r="B5611" s="249"/>
      <c r="C5611"/>
      <c r="D5611"/>
      <c r="E5611"/>
      <c r="F5611" s="242"/>
      <c r="G5611"/>
      <c r="H5611" s="242"/>
      <c r="I5611" s="242"/>
      <c r="J5611" s="242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</row>
    <row r="5612" spans="1:26" hidden="1">
      <c r="A5612"/>
      <c r="B5612" s="249"/>
      <c r="C5612"/>
      <c r="D5612"/>
      <c r="E5612"/>
      <c r="F5612" s="242"/>
      <c r="G5612"/>
      <c r="H5612" s="242"/>
      <c r="I5612" s="242"/>
      <c r="J5612" s="242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</row>
    <row r="5613" spans="1:26" hidden="1">
      <c r="A5613"/>
      <c r="B5613" s="249"/>
      <c r="C5613"/>
      <c r="D5613"/>
      <c r="E5613"/>
      <c r="F5613" s="242"/>
      <c r="G5613"/>
      <c r="H5613" s="242"/>
      <c r="I5613" s="242"/>
      <c r="J5613" s="242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</row>
    <row r="5614" spans="1:26" hidden="1">
      <c r="A5614"/>
      <c r="B5614" s="249"/>
      <c r="C5614"/>
      <c r="D5614"/>
      <c r="E5614"/>
      <c r="F5614" s="242"/>
      <c r="G5614"/>
      <c r="H5614" s="242"/>
      <c r="I5614" s="242"/>
      <c r="J5614" s="242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</row>
    <row r="5615" spans="1:26" hidden="1">
      <c r="A5615"/>
      <c r="B5615" s="249"/>
      <c r="C5615"/>
      <c r="D5615"/>
      <c r="E5615"/>
      <c r="F5615" s="242"/>
      <c r="G5615"/>
      <c r="H5615" s="242"/>
      <c r="I5615" s="242"/>
      <c r="J5615" s="242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</row>
    <row r="5616" spans="1:26" hidden="1">
      <c r="A5616"/>
      <c r="B5616" s="249"/>
      <c r="C5616"/>
      <c r="D5616"/>
      <c r="E5616"/>
      <c r="F5616" s="242"/>
      <c r="G5616"/>
      <c r="H5616" s="242"/>
      <c r="I5616" s="242"/>
      <c r="J5616" s="242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</row>
    <row r="5617" spans="1:26" hidden="1">
      <c r="A5617"/>
      <c r="B5617" s="249"/>
      <c r="C5617"/>
      <c r="D5617"/>
      <c r="E5617"/>
      <c r="F5617" s="242"/>
      <c r="G5617"/>
      <c r="H5617" s="242"/>
      <c r="I5617" s="242"/>
      <c r="J5617" s="242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</row>
    <row r="5618" spans="1:26" hidden="1">
      <c r="A5618"/>
      <c r="B5618" s="249"/>
      <c r="C5618"/>
      <c r="D5618"/>
      <c r="E5618"/>
      <c r="F5618" s="242"/>
      <c r="G5618"/>
      <c r="H5618" s="242"/>
      <c r="I5618" s="242"/>
      <c r="J5618" s="242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</row>
    <row r="5619" spans="1:26" hidden="1">
      <c r="A5619"/>
      <c r="B5619" s="249"/>
      <c r="C5619"/>
      <c r="D5619"/>
      <c r="E5619"/>
      <c r="F5619" s="242"/>
      <c r="G5619"/>
      <c r="H5619" s="242"/>
      <c r="I5619" s="242"/>
      <c r="J5619" s="242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</row>
    <row r="5620" spans="1:26" hidden="1">
      <c r="A5620"/>
      <c r="B5620" s="249"/>
      <c r="C5620"/>
      <c r="D5620"/>
      <c r="E5620"/>
      <c r="F5620" s="242"/>
      <c r="G5620"/>
      <c r="H5620" s="242"/>
      <c r="I5620" s="242"/>
      <c r="J5620" s="242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</row>
    <row r="5621" spans="1:26" hidden="1">
      <c r="A5621"/>
      <c r="B5621" s="249"/>
      <c r="C5621"/>
      <c r="D5621"/>
      <c r="E5621"/>
      <c r="F5621" s="242"/>
      <c r="G5621"/>
      <c r="H5621" s="242"/>
      <c r="I5621" s="242"/>
      <c r="J5621" s="242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</row>
    <row r="5622" spans="1:26" hidden="1">
      <c r="A5622"/>
      <c r="B5622" s="249"/>
      <c r="C5622"/>
      <c r="D5622"/>
      <c r="E5622"/>
      <c r="F5622" s="242"/>
      <c r="G5622"/>
      <c r="H5622" s="242"/>
      <c r="I5622" s="242"/>
      <c r="J5622" s="242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</row>
    <row r="5623" spans="1:26" hidden="1">
      <c r="A5623"/>
      <c r="B5623" s="249"/>
      <c r="C5623"/>
      <c r="D5623"/>
      <c r="E5623"/>
      <c r="F5623" s="242"/>
      <c r="G5623"/>
      <c r="H5623" s="242"/>
      <c r="I5623" s="242"/>
      <c r="J5623" s="242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</row>
    <row r="5624" spans="1:26" hidden="1">
      <c r="A5624"/>
      <c r="B5624" s="249"/>
      <c r="C5624"/>
      <c r="D5624"/>
      <c r="E5624"/>
      <c r="F5624" s="242"/>
      <c r="G5624"/>
      <c r="H5624" s="242"/>
      <c r="I5624" s="242"/>
      <c r="J5624" s="242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</row>
    <row r="5625" spans="1:26" hidden="1">
      <c r="A5625"/>
      <c r="B5625" s="249"/>
      <c r="C5625"/>
      <c r="D5625"/>
      <c r="E5625"/>
      <c r="F5625" s="242"/>
      <c r="G5625"/>
      <c r="H5625" s="242"/>
      <c r="I5625" s="242"/>
      <c r="J5625" s="242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</row>
    <row r="5626" spans="1:26" hidden="1">
      <c r="A5626"/>
      <c r="B5626" s="249"/>
      <c r="C5626"/>
      <c r="D5626"/>
      <c r="E5626"/>
      <c r="F5626" s="242"/>
      <c r="G5626"/>
      <c r="H5626" s="242"/>
      <c r="I5626" s="242"/>
      <c r="J5626" s="242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</row>
    <row r="5627" spans="1:26" hidden="1">
      <c r="A5627"/>
      <c r="B5627" s="249"/>
      <c r="C5627"/>
      <c r="D5627"/>
      <c r="E5627"/>
      <c r="F5627" s="242"/>
      <c r="G5627"/>
      <c r="H5627" s="242"/>
      <c r="I5627" s="242"/>
      <c r="J5627" s="242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</row>
    <row r="5628" spans="1:26" hidden="1">
      <c r="A5628"/>
      <c r="B5628" s="249"/>
      <c r="C5628"/>
      <c r="D5628"/>
      <c r="E5628"/>
      <c r="F5628" s="242"/>
      <c r="G5628"/>
      <c r="H5628" s="242"/>
      <c r="I5628" s="242"/>
      <c r="J5628" s="242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</row>
    <row r="5629" spans="1:26" hidden="1">
      <c r="A5629"/>
      <c r="B5629" s="249"/>
      <c r="C5629"/>
      <c r="D5629"/>
      <c r="E5629"/>
      <c r="F5629" s="242"/>
      <c r="G5629"/>
      <c r="H5629" s="242"/>
      <c r="I5629" s="242"/>
      <c r="J5629" s="242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</row>
    <row r="5630" spans="1:26" hidden="1">
      <c r="A5630"/>
      <c r="B5630" s="249"/>
      <c r="C5630"/>
      <c r="D5630"/>
      <c r="E5630"/>
      <c r="F5630" s="242"/>
      <c r="G5630"/>
      <c r="H5630" s="242"/>
      <c r="I5630" s="242"/>
      <c r="J5630" s="242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</row>
    <row r="5631" spans="1:26" hidden="1">
      <c r="A5631"/>
      <c r="B5631" s="249"/>
      <c r="C5631"/>
      <c r="D5631"/>
      <c r="E5631"/>
      <c r="F5631" s="242"/>
      <c r="G5631"/>
      <c r="H5631" s="242"/>
      <c r="I5631" s="242"/>
      <c r="J5631" s="242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</row>
    <row r="5632" spans="1:26" hidden="1">
      <c r="A5632"/>
      <c r="B5632" s="249"/>
      <c r="C5632"/>
      <c r="D5632"/>
      <c r="E5632"/>
      <c r="F5632" s="242"/>
      <c r="G5632"/>
      <c r="H5632" s="242"/>
      <c r="I5632" s="242"/>
      <c r="J5632" s="242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</row>
    <row r="5633" spans="1:26" hidden="1">
      <c r="A5633"/>
      <c r="B5633" s="249"/>
      <c r="C5633"/>
      <c r="D5633"/>
      <c r="E5633"/>
      <c r="F5633" s="242"/>
      <c r="G5633"/>
      <c r="H5633" s="242"/>
      <c r="I5633" s="242"/>
      <c r="J5633" s="242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</row>
    <row r="5634" spans="1:26" hidden="1">
      <c r="A5634"/>
      <c r="B5634" s="249"/>
      <c r="C5634"/>
      <c r="D5634"/>
      <c r="E5634"/>
      <c r="F5634" s="242"/>
      <c r="G5634"/>
      <c r="H5634" s="242"/>
      <c r="I5634" s="242"/>
      <c r="J5634" s="242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</row>
    <row r="5635" spans="1:26" hidden="1">
      <c r="A5635"/>
      <c r="B5635" s="249"/>
      <c r="C5635"/>
      <c r="D5635"/>
      <c r="E5635"/>
      <c r="F5635" s="242"/>
      <c r="G5635"/>
      <c r="H5635" s="242"/>
      <c r="I5635" s="242"/>
      <c r="J5635" s="242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</row>
    <row r="5636" spans="1:26" hidden="1">
      <c r="A5636"/>
      <c r="B5636" s="249"/>
      <c r="C5636"/>
      <c r="D5636"/>
      <c r="E5636"/>
      <c r="F5636" s="242"/>
      <c r="G5636"/>
      <c r="H5636" s="242"/>
      <c r="I5636" s="242"/>
      <c r="J5636" s="242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</row>
    <row r="5637" spans="1:26" hidden="1">
      <c r="A5637"/>
      <c r="B5637" s="249"/>
      <c r="C5637"/>
      <c r="D5637"/>
      <c r="E5637"/>
      <c r="F5637" s="242"/>
      <c r="G5637"/>
      <c r="H5637" s="242"/>
      <c r="I5637" s="242"/>
      <c r="J5637" s="242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</row>
    <row r="5638" spans="1:26" hidden="1">
      <c r="A5638"/>
      <c r="B5638" s="249"/>
      <c r="C5638"/>
      <c r="D5638"/>
      <c r="E5638"/>
      <c r="F5638" s="242"/>
      <c r="G5638"/>
      <c r="H5638" s="242"/>
      <c r="I5638" s="242"/>
      <c r="J5638" s="242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</row>
    <row r="5639" spans="1:26" hidden="1">
      <c r="A5639"/>
      <c r="B5639" s="249"/>
      <c r="C5639"/>
      <c r="D5639"/>
      <c r="E5639"/>
      <c r="F5639" s="242"/>
      <c r="G5639"/>
      <c r="H5639" s="242"/>
      <c r="I5639" s="242"/>
      <c r="J5639" s="242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</row>
    <row r="5640" spans="1:26" hidden="1">
      <c r="A5640"/>
      <c r="B5640" s="249"/>
      <c r="C5640"/>
      <c r="D5640"/>
      <c r="E5640"/>
      <c r="F5640" s="242"/>
      <c r="G5640"/>
      <c r="H5640" s="242"/>
      <c r="I5640" s="242"/>
      <c r="J5640" s="242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</row>
    <row r="5641" spans="1:26" hidden="1">
      <c r="A5641"/>
      <c r="B5641" s="249"/>
      <c r="C5641"/>
      <c r="D5641"/>
      <c r="E5641"/>
      <c r="F5641" s="242"/>
      <c r="G5641"/>
      <c r="H5641" s="242"/>
      <c r="I5641" s="242"/>
      <c r="J5641" s="242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</row>
    <row r="5642" spans="1:26" hidden="1">
      <c r="A5642"/>
      <c r="B5642" s="249"/>
      <c r="C5642"/>
      <c r="D5642"/>
      <c r="E5642"/>
      <c r="F5642" s="242"/>
      <c r="G5642"/>
      <c r="H5642" s="242"/>
      <c r="I5642" s="242"/>
      <c r="J5642" s="242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</row>
    <row r="5643" spans="1:26" hidden="1">
      <c r="A5643"/>
      <c r="B5643" s="249"/>
      <c r="C5643"/>
      <c r="D5643"/>
      <c r="E5643"/>
      <c r="F5643" s="242"/>
      <c r="G5643"/>
      <c r="H5643" s="242"/>
      <c r="I5643" s="242"/>
      <c r="J5643" s="242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</row>
    <row r="5644" spans="1:26" hidden="1">
      <c r="A5644"/>
      <c r="B5644" s="249"/>
      <c r="C5644"/>
      <c r="D5644"/>
      <c r="E5644"/>
      <c r="F5644" s="242"/>
      <c r="G5644"/>
      <c r="H5644" s="242"/>
      <c r="I5644" s="242"/>
      <c r="J5644" s="242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</row>
    <row r="5645" spans="1:26" hidden="1">
      <c r="A5645"/>
      <c r="B5645" s="249"/>
      <c r="C5645"/>
      <c r="D5645"/>
      <c r="E5645"/>
      <c r="F5645" s="242"/>
      <c r="G5645"/>
      <c r="H5645" s="242"/>
      <c r="I5645" s="242"/>
      <c r="J5645" s="242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</row>
    <row r="5646" spans="1:26" hidden="1">
      <c r="A5646"/>
      <c r="B5646" s="249"/>
      <c r="C5646"/>
      <c r="D5646"/>
      <c r="E5646"/>
      <c r="F5646" s="242"/>
      <c r="G5646"/>
      <c r="H5646" s="242"/>
      <c r="I5646" s="242"/>
      <c r="J5646" s="242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</row>
    <row r="5647" spans="1:26" hidden="1">
      <c r="A5647"/>
      <c r="B5647" s="249"/>
      <c r="C5647"/>
      <c r="D5647"/>
      <c r="E5647"/>
      <c r="F5647" s="242"/>
      <c r="G5647"/>
      <c r="H5647" s="242"/>
      <c r="I5647" s="242"/>
      <c r="J5647" s="242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</row>
    <row r="5648" spans="1:26" hidden="1">
      <c r="A5648"/>
      <c r="B5648" s="249"/>
      <c r="C5648"/>
      <c r="D5648"/>
      <c r="E5648"/>
      <c r="F5648" s="242"/>
      <c r="G5648"/>
      <c r="H5648" s="242"/>
      <c r="I5648" s="242"/>
      <c r="J5648" s="242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</row>
    <row r="5649" spans="1:26" hidden="1">
      <c r="A5649"/>
      <c r="B5649" s="249"/>
      <c r="C5649"/>
      <c r="D5649"/>
      <c r="E5649"/>
      <c r="F5649" s="242"/>
      <c r="G5649"/>
      <c r="H5649" s="242"/>
      <c r="I5649" s="242"/>
      <c r="J5649" s="242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</row>
    <row r="5650" spans="1:26" hidden="1">
      <c r="A5650"/>
      <c r="B5650" s="249"/>
      <c r="C5650"/>
      <c r="D5650"/>
      <c r="E5650"/>
      <c r="F5650" s="242"/>
      <c r="G5650"/>
      <c r="H5650" s="242"/>
      <c r="I5650" s="242"/>
      <c r="J5650" s="242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</row>
    <row r="5651" spans="1:26" hidden="1">
      <c r="A5651"/>
      <c r="B5651" s="249"/>
      <c r="C5651"/>
      <c r="D5651"/>
      <c r="E5651"/>
      <c r="F5651" s="242"/>
      <c r="G5651"/>
      <c r="H5651" s="242"/>
      <c r="I5651" s="242"/>
      <c r="J5651" s="242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</row>
    <row r="5652" spans="1:26" hidden="1">
      <c r="A5652"/>
      <c r="B5652" s="249"/>
      <c r="C5652"/>
      <c r="D5652"/>
      <c r="E5652"/>
      <c r="F5652" s="242"/>
      <c r="G5652"/>
      <c r="H5652" s="242"/>
      <c r="I5652" s="242"/>
      <c r="J5652" s="242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</row>
    <row r="5653" spans="1:26" hidden="1">
      <c r="A5653"/>
      <c r="B5653" s="249"/>
      <c r="C5653"/>
      <c r="D5653"/>
      <c r="E5653"/>
      <c r="F5653" s="242"/>
      <c r="G5653"/>
      <c r="H5653" s="242"/>
      <c r="I5653" s="242"/>
      <c r="J5653" s="242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</row>
    <row r="5654" spans="1:26" hidden="1">
      <c r="A5654"/>
      <c r="B5654" s="249"/>
      <c r="C5654"/>
      <c r="D5654"/>
      <c r="E5654"/>
      <c r="F5654" s="242"/>
      <c r="G5654"/>
      <c r="H5654" s="242"/>
      <c r="I5654" s="242"/>
      <c r="J5654" s="242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</row>
    <row r="5655" spans="1:26" hidden="1">
      <c r="A5655"/>
      <c r="B5655" s="249"/>
      <c r="C5655"/>
      <c r="D5655"/>
      <c r="E5655"/>
      <c r="F5655" s="242"/>
      <c r="G5655"/>
      <c r="H5655" s="242"/>
      <c r="I5655" s="242"/>
      <c r="J5655" s="242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</row>
    <row r="5656" spans="1:26" hidden="1">
      <c r="A5656"/>
      <c r="B5656" s="249"/>
      <c r="C5656"/>
      <c r="D5656"/>
      <c r="E5656"/>
      <c r="F5656" s="242"/>
      <c r="G5656"/>
      <c r="H5656" s="242"/>
      <c r="I5656" s="242"/>
      <c r="J5656" s="242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</row>
    <row r="5657" spans="1:26" hidden="1">
      <c r="A5657"/>
      <c r="B5657" s="249"/>
      <c r="C5657"/>
      <c r="D5657"/>
      <c r="E5657"/>
      <c r="F5657" s="242"/>
      <c r="G5657"/>
      <c r="H5657" s="242"/>
      <c r="I5657" s="242"/>
      <c r="J5657" s="242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</row>
    <row r="5658" spans="1:26" hidden="1">
      <c r="A5658"/>
      <c r="B5658" s="249"/>
      <c r="C5658"/>
      <c r="D5658"/>
      <c r="E5658"/>
      <c r="F5658" s="242"/>
      <c r="G5658"/>
      <c r="H5658" s="242"/>
      <c r="I5658" s="242"/>
      <c r="J5658" s="242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</row>
    <row r="5659" spans="1:26" hidden="1">
      <c r="A5659"/>
      <c r="B5659" s="249"/>
      <c r="C5659"/>
      <c r="D5659"/>
      <c r="E5659"/>
      <c r="F5659" s="242"/>
      <c r="G5659"/>
      <c r="H5659" s="242"/>
      <c r="I5659" s="242"/>
      <c r="J5659" s="242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</row>
    <row r="5660" spans="1:26" hidden="1">
      <c r="A5660"/>
      <c r="B5660" s="249"/>
      <c r="C5660"/>
      <c r="D5660"/>
      <c r="E5660"/>
      <c r="F5660" s="242"/>
      <c r="G5660"/>
      <c r="H5660" s="242"/>
      <c r="I5660" s="242"/>
      <c r="J5660" s="242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</row>
    <row r="5661" spans="1:26" hidden="1">
      <c r="A5661"/>
      <c r="B5661" s="249"/>
      <c r="C5661"/>
      <c r="D5661"/>
      <c r="E5661"/>
      <c r="F5661" s="242"/>
      <c r="G5661"/>
      <c r="H5661" s="242"/>
      <c r="I5661" s="242"/>
      <c r="J5661" s="242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</row>
    <row r="5662" spans="1:26" hidden="1">
      <c r="A5662"/>
      <c r="B5662" s="249"/>
      <c r="C5662"/>
      <c r="D5662"/>
      <c r="E5662"/>
      <c r="F5662" s="242"/>
      <c r="G5662"/>
      <c r="H5662" s="242"/>
      <c r="I5662" s="242"/>
      <c r="J5662" s="242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</row>
    <row r="5663" spans="1:26" hidden="1">
      <c r="A5663"/>
      <c r="B5663" s="249"/>
      <c r="C5663"/>
      <c r="D5663"/>
      <c r="E5663"/>
      <c r="F5663" s="242"/>
      <c r="G5663"/>
      <c r="H5663" s="242"/>
      <c r="I5663" s="242"/>
      <c r="J5663" s="242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</row>
    <row r="5664" spans="1:26" hidden="1">
      <c r="A5664"/>
      <c r="B5664" s="249"/>
      <c r="C5664"/>
      <c r="D5664"/>
      <c r="E5664"/>
      <c r="F5664" s="242"/>
      <c r="G5664"/>
      <c r="H5664" s="242"/>
      <c r="I5664" s="242"/>
      <c r="J5664" s="242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</row>
    <row r="5665" spans="1:26" hidden="1">
      <c r="A5665"/>
      <c r="B5665" s="249"/>
      <c r="C5665"/>
      <c r="D5665"/>
      <c r="E5665"/>
      <c r="F5665" s="242"/>
      <c r="G5665"/>
      <c r="H5665" s="242"/>
      <c r="I5665" s="242"/>
      <c r="J5665" s="242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</row>
    <row r="5666" spans="1:26" hidden="1">
      <c r="A5666"/>
      <c r="B5666" s="249"/>
      <c r="C5666"/>
      <c r="D5666"/>
      <c r="E5666"/>
      <c r="F5666" s="242"/>
      <c r="G5666"/>
      <c r="H5666" s="242"/>
      <c r="I5666" s="242"/>
      <c r="J5666" s="242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</row>
    <row r="5667" spans="1:26" hidden="1">
      <c r="A5667"/>
      <c r="B5667" s="249"/>
      <c r="C5667"/>
      <c r="D5667"/>
      <c r="E5667"/>
      <c r="F5667" s="242"/>
      <c r="G5667"/>
      <c r="H5667" s="242"/>
      <c r="I5667" s="242"/>
      <c r="J5667" s="242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</row>
    <row r="5668" spans="1:26" hidden="1">
      <c r="A5668"/>
      <c r="B5668" s="249"/>
      <c r="C5668"/>
      <c r="D5668"/>
      <c r="E5668"/>
      <c r="F5668" s="242"/>
      <c r="G5668"/>
      <c r="H5668" s="242"/>
      <c r="I5668" s="242"/>
      <c r="J5668" s="242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</row>
    <row r="5669" spans="1:26" hidden="1">
      <c r="A5669"/>
      <c r="B5669" s="249"/>
      <c r="C5669"/>
      <c r="D5669"/>
      <c r="E5669"/>
      <c r="F5669" s="242"/>
      <c r="G5669"/>
      <c r="H5669" s="242"/>
      <c r="I5669" s="242"/>
      <c r="J5669" s="242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</row>
    <row r="5670" spans="1:26" hidden="1">
      <c r="A5670"/>
      <c r="B5670" s="249"/>
      <c r="C5670"/>
      <c r="D5670"/>
      <c r="E5670"/>
      <c r="F5670" s="242"/>
      <c r="G5670"/>
      <c r="H5670" s="242"/>
      <c r="I5670" s="242"/>
      <c r="J5670" s="242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</row>
    <row r="5671" spans="1:26" hidden="1">
      <c r="A5671"/>
      <c r="B5671" s="249"/>
      <c r="C5671"/>
      <c r="D5671"/>
      <c r="E5671"/>
      <c r="F5671" s="242"/>
      <c r="G5671"/>
      <c r="H5671" s="242"/>
      <c r="I5671" s="242"/>
      <c r="J5671" s="242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</row>
    <row r="5672" spans="1:26" hidden="1">
      <c r="A5672"/>
      <c r="B5672" s="249"/>
      <c r="C5672"/>
      <c r="D5672"/>
      <c r="E5672"/>
      <c r="F5672" s="242"/>
      <c r="G5672"/>
      <c r="H5672" s="242"/>
      <c r="I5672" s="242"/>
      <c r="J5672" s="242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</row>
    <row r="5673" spans="1:26" hidden="1">
      <c r="A5673"/>
      <c r="B5673" s="249"/>
      <c r="C5673"/>
      <c r="D5673"/>
      <c r="E5673"/>
      <c r="F5673" s="242"/>
      <c r="G5673"/>
      <c r="H5673" s="242"/>
      <c r="I5673" s="242"/>
      <c r="J5673" s="242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</row>
    <row r="5674" spans="1:26" hidden="1">
      <c r="A5674"/>
      <c r="B5674" s="249"/>
      <c r="C5674"/>
      <c r="D5674"/>
      <c r="E5674"/>
      <c r="F5674" s="242"/>
      <c r="G5674"/>
      <c r="H5674" s="242"/>
      <c r="I5674" s="242"/>
      <c r="J5674" s="242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</row>
    <row r="5675" spans="1:26" hidden="1">
      <c r="A5675"/>
      <c r="B5675" s="249"/>
      <c r="C5675"/>
      <c r="D5675"/>
      <c r="E5675"/>
      <c r="F5675" s="242"/>
      <c r="G5675"/>
      <c r="H5675" s="242"/>
      <c r="I5675" s="242"/>
      <c r="J5675" s="242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</row>
    <row r="5676" spans="1:26" hidden="1">
      <c r="A5676"/>
      <c r="B5676" s="249"/>
      <c r="C5676"/>
      <c r="D5676"/>
      <c r="E5676"/>
      <c r="F5676" s="242"/>
      <c r="G5676"/>
      <c r="H5676" s="242"/>
      <c r="I5676" s="242"/>
      <c r="J5676" s="242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</row>
    <row r="5677" spans="1:26" hidden="1">
      <c r="A5677"/>
      <c r="B5677" s="249"/>
      <c r="C5677"/>
      <c r="D5677"/>
      <c r="E5677"/>
      <c r="F5677" s="242"/>
      <c r="G5677"/>
      <c r="H5677" s="242"/>
      <c r="I5677" s="242"/>
      <c r="J5677" s="242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</row>
    <row r="5678" spans="1:26" hidden="1">
      <c r="A5678"/>
      <c r="B5678" s="249"/>
      <c r="C5678"/>
      <c r="D5678"/>
      <c r="E5678"/>
      <c r="F5678" s="242"/>
      <c r="G5678"/>
      <c r="H5678" s="242"/>
      <c r="I5678" s="242"/>
      <c r="J5678" s="242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</row>
    <row r="5679" spans="1:26" hidden="1">
      <c r="A5679"/>
      <c r="B5679" s="249"/>
      <c r="C5679"/>
      <c r="D5679"/>
      <c r="E5679"/>
      <c r="F5679" s="242"/>
      <c r="G5679"/>
      <c r="H5679" s="242"/>
      <c r="I5679" s="242"/>
      <c r="J5679" s="242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</row>
    <row r="5680" spans="1:26" hidden="1">
      <c r="A5680"/>
      <c r="B5680" s="249"/>
      <c r="C5680"/>
      <c r="D5680"/>
      <c r="E5680"/>
      <c r="F5680" s="242"/>
      <c r="G5680"/>
      <c r="H5680" s="242"/>
      <c r="I5680" s="242"/>
      <c r="J5680" s="242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</row>
    <row r="5681" spans="1:26" hidden="1">
      <c r="A5681"/>
      <c r="B5681" s="249"/>
      <c r="C5681"/>
      <c r="D5681"/>
      <c r="E5681"/>
      <c r="F5681" s="242"/>
      <c r="G5681"/>
      <c r="H5681" s="242"/>
      <c r="I5681" s="242"/>
      <c r="J5681" s="242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</row>
    <row r="5682" spans="1:26" hidden="1">
      <c r="A5682"/>
      <c r="B5682" s="249"/>
      <c r="C5682"/>
      <c r="D5682"/>
      <c r="E5682"/>
      <c r="F5682" s="242"/>
      <c r="G5682"/>
      <c r="H5682" s="242"/>
      <c r="I5682" s="242"/>
      <c r="J5682" s="242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</row>
    <row r="5683" spans="1:26" hidden="1">
      <c r="A5683"/>
      <c r="B5683" s="249"/>
      <c r="C5683"/>
      <c r="D5683"/>
      <c r="E5683"/>
      <c r="F5683" s="242"/>
      <c r="G5683"/>
      <c r="H5683" s="242"/>
      <c r="I5683" s="242"/>
      <c r="J5683" s="242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</row>
    <row r="5684" spans="1:26" hidden="1">
      <c r="A5684"/>
      <c r="B5684" s="249"/>
      <c r="C5684"/>
      <c r="D5684"/>
      <c r="E5684"/>
      <c r="F5684" s="242"/>
      <c r="G5684"/>
      <c r="H5684" s="242"/>
      <c r="I5684" s="242"/>
      <c r="J5684" s="242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</row>
    <row r="5685" spans="1:26" hidden="1">
      <c r="A5685"/>
      <c r="B5685" s="249"/>
      <c r="C5685"/>
      <c r="D5685"/>
      <c r="E5685"/>
      <c r="F5685" s="242"/>
      <c r="G5685"/>
      <c r="H5685" s="242"/>
      <c r="I5685" s="242"/>
      <c r="J5685" s="242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</row>
    <row r="5686" spans="1:26" hidden="1">
      <c r="A5686"/>
      <c r="B5686" s="249"/>
      <c r="C5686"/>
      <c r="D5686"/>
      <c r="E5686"/>
      <c r="F5686" s="242"/>
      <c r="G5686"/>
      <c r="H5686" s="242"/>
      <c r="I5686" s="242"/>
      <c r="J5686" s="242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</row>
    <row r="5687" spans="1:26" hidden="1">
      <c r="A5687"/>
      <c r="B5687" s="249"/>
      <c r="C5687"/>
      <c r="D5687"/>
      <c r="E5687"/>
      <c r="F5687" s="242"/>
      <c r="G5687"/>
      <c r="H5687" s="242"/>
      <c r="I5687" s="242"/>
      <c r="J5687" s="242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</row>
    <row r="5688" spans="1:26" hidden="1">
      <c r="A5688"/>
      <c r="B5688" s="249"/>
      <c r="C5688"/>
      <c r="D5688"/>
      <c r="E5688"/>
      <c r="F5688" s="242"/>
      <c r="G5688"/>
      <c r="H5688" s="242"/>
      <c r="I5688" s="242"/>
      <c r="J5688" s="242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</row>
    <row r="5689" spans="1:26" hidden="1">
      <c r="A5689"/>
      <c r="B5689" s="249"/>
      <c r="C5689"/>
      <c r="D5689"/>
      <c r="E5689"/>
      <c r="F5689" s="242"/>
      <c r="G5689"/>
      <c r="H5689" s="242"/>
      <c r="I5689" s="242"/>
      <c r="J5689" s="242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</row>
    <row r="5690" spans="1:26" hidden="1">
      <c r="A5690"/>
      <c r="B5690" s="249"/>
      <c r="C5690"/>
      <c r="D5690"/>
      <c r="E5690"/>
      <c r="F5690" s="242"/>
      <c r="G5690"/>
      <c r="H5690" s="242"/>
      <c r="I5690" s="242"/>
      <c r="J5690" s="242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</row>
    <row r="5691" spans="1:26" hidden="1">
      <c r="A5691"/>
      <c r="B5691" s="249"/>
      <c r="C5691"/>
      <c r="D5691"/>
      <c r="E5691"/>
      <c r="F5691" s="242"/>
      <c r="G5691"/>
      <c r="H5691" s="242"/>
      <c r="I5691" s="242"/>
      <c r="J5691" s="242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</row>
    <row r="5692" spans="1:26" hidden="1">
      <c r="A5692"/>
      <c r="B5692" s="249"/>
      <c r="C5692"/>
      <c r="D5692"/>
      <c r="E5692"/>
      <c r="F5692" s="242"/>
      <c r="G5692"/>
      <c r="H5692" s="242"/>
      <c r="I5692" s="242"/>
      <c r="J5692" s="242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</row>
    <row r="5693" spans="1:26" hidden="1">
      <c r="A5693"/>
      <c r="B5693" s="249"/>
      <c r="C5693"/>
      <c r="D5693"/>
      <c r="E5693"/>
      <c r="F5693" s="242"/>
      <c r="G5693"/>
      <c r="H5693" s="242"/>
      <c r="I5693" s="242"/>
      <c r="J5693" s="242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</row>
    <row r="5694" spans="1:26" hidden="1">
      <c r="A5694"/>
      <c r="B5694" s="249"/>
      <c r="C5694"/>
      <c r="D5694"/>
      <c r="E5694"/>
      <c r="F5694" s="242"/>
      <c r="G5694"/>
      <c r="H5694" s="242"/>
      <c r="I5694" s="242"/>
      <c r="J5694" s="242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</row>
    <row r="5695" spans="1:26" hidden="1">
      <c r="A5695"/>
      <c r="B5695" s="249"/>
      <c r="C5695"/>
      <c r="D5695"/>
      <c r="E5695"/>
      <c r="F5695" s="242"/>
      <c r="G5695"/>
      <c r="H5695" s="242"/>
      <c r="I5695" s="242"/>
      <c r="J5695" s="242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</row>
    <row r="5696" spans="1:26" hidden="1">
      <c r="A5696"/>
      <c r="B5696" s="249"/>
      <c r="C5696"/>
      <c r="D5696"/>
      <c r="E5696"/>
      <c r="F5696" s="242"/>
      <c r="G5696"/>
      <c r="H5696" s="242"/>
      <c r="I5696" s="242"/>
      <c r="J5696" s="242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</row>
    <row r="5697" spans="1:26" hidden="1">
      <c r="A5697"/>
      <c r="B5697" s="249"/>
      <c r="C5697"/>
      <c r="D5697"/>
      <c r="E5697"/>
      <c r="F5697" s="242"/>
      <c r="G5697"/>
      <c r="H5697" s="242"/>
      <c r="I5697" s="242"/>
      <c r="J5697" s="242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</row>
    <row r="5698" spans="1:26" hidden="1">
      <c r="A5698"/>
      <c r="B5698" s="249"/>
      <c r="C5698"/>
      <c r="D5698"/>
      <c r="E5698"/>
      <c r="F5698" s="242"/>
      <c r="G5698"/>
      <c r="H5698" s="242"/>
      <c r="I5698" s="242"/>
      <c r="J5698" s="242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</row>
    <row r="5699" spans="1:26" hidden="1">
      <c r="A5699"/>
      <c r="B5699" s="249"/>
      <c r="C5699"/>
      <c r="D5699"/>
      <c r="E5699"/>
      <c r="F5699" s="242"/>
      <c r="G5699"/>
      <c r="H5699" s="242"/>
      <c r="I5699" s="242"/>
      <c r="J5699" s="242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</row>
    <row r="5700" spans="1:26" hidden="1">
      <c r="A5700"/>
      <c r="B5700" s="249"/>
      <c r="C5700"/>
      <c r="D5700"/>
      <c r="E5700"/>
      <c r="F5700" s="242"/>
      <c r="G5700"/>
      <c r="H5700" s="242"/>
      <c r="I5700" s="242"/>
      <c r="J5700" s="242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</row>
    <row r="5701" spans="1:26" hidden="1">
      <c r="A5701"/>
      <c r="B5701" s="249"/>
      <c r="C5701"/>
      <c r="D5701"/>
      <c r="E5701"/>
      <c r="F5701" s="242"/>
      <c r="G5701"/>
      <c r="H5701" s="242"/>
      <c r="I5701" s="242"/>
      <c r="J5701" s="242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</row>
    <row r="5702" spans="1:26" hidden="1">
      <c r="A5702"/>
      <c r="B5702" s="249"/>
      <c r="C5702"/>
      <c r="D5702"/>
      <c r="E5702"/>
      <c r="F5702" s="242"/>
      <c r="G5702"/>
      <c r="H5702" s="242"/>
      <c r="I5702" s="242"/>
      <c r="J5702" s="242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</row>
    <row r="5703" spans="1:26" hidden="1">
      <c r="A5703"/>
      <c r="B5703" s="249"/>
      <c r="C5703"/>
      <c r="D5703"/>
      <c r="E5703"/>
      <c r="F5703" s="242"/>
      <c r="G5703"/>
      <c r="H5703" s="242"/>
      <c r="I5703" s="242"/>
      <c r="J5703" s="242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</row>
    <row r="5704" spans="1:26" hidden="1">
      <c r="A5704"/>
      <c r="B5704" s="249"/>
      <c r="C5704"/>
      <c r="D5704"/>
      <c r="E5704"/>
      <c r="F5704" s="242"/>
      <c r="G5704"/>
      <c r="H5704" s="242"/>
      <c r="I5704" s="242"/>
      <c r="J5704" s="242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</row>
    <row r="5705" spans="1:26" hidden="1">
      <c r="A5705"/>
      <c r="B5705" s="249"/>
      <c r="C5705"/>
      <c r="D5705"/>
      <c r="E5705"/>
      <c r="F5705" s="242"/>
      <c r="G5705"/>
      <c r="H5705" s="242"/>
      <c r="I5705" s="242"/>
      <c r="J5705" s="242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</row>
    <row r="5706" spans="1:26" hidden="1">
      <c r="A5706"/>
      <c r="B5706" s="249"/>
      <c r="C5706"/>
      <c r="D5706"/>
      <c r="E5706"/>
      <c r="F5706" s="242"/>
      <c r="G5706"/>
      <c r="H5706" s="242"/>
      <c r="I5706" s="242"/>
      <c r="J5706" s="242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</row>
    <row r="5707" spans="1:26" hidden="1">
      <c r="A5707"/>
      <c r="B5707" s="249"/>
      <c r="C5707"/>
      <c r="D5707"/>
      <c r="E5707"/>
      <c r="F5707" s="242"/>
      <c r="G5707"/>
      <c r="H5707" s="242"/>
      <c r="I5707" s="242"/>
      <c r="J5707" s="242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</row>
    <row r="5708" spans="1:26" hidden="1">
      <c r="A5708"/>
      <c r="B5708" s="249"/>
      <c r="C5708"/>
      <c r="D5708"/>
      <c r="E5708"/>
      <c r="F5708" s="242"/>
      <c r="G5708"/>
      <c r="H5708" s="242"/>
      <c r="I5708" s="242"/>
      <c r="J5708" s="242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</row>
    <row r="5709" spans="1:26" hidden="1">
      <c r="A5709"/>
      <c r="B5709" s="249"/>
      <c r="C5709"/>
      <c r="D5709"/>
      <c r="E5709"/>
      <c r="F5709" s="242"/>
      <c r="G5709"/>
      <c r="H5709" s="242"/>
      <c r="I5709" s="242"/>
      <c r="J5709" s="242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</row>
    <row r="5710" spans="1:26" hidden="1">
      <c r="A5710"/>
      <c r="B5710" s="249"/>
      <c r="C5710"/>
      <c r="D5710"/>
      <c r="E5710"/>
      <c r="F5710" s="242"/>
      <c r="G5710"/>
      <c r="H5710" s="242"/>
      <c r="I5710" s="242"/>
      <c r="J5710" s="242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</row>
    <row r="5711" spans="1:26" hidden="1">
      <c r="A5711"/>
      <c r="B5711" s="249"/>
      <c r="C5711"/>
      <c r="D5711"/>
      <c r="E5711"/>
      <c r="F5711" s="242"/>
      <c r="G5711"/>
      <c r="H5711" s="242"/>
      <c r="I5711" s="242"/>
      <c r="J5711" s="242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</row>
    <row r="5712" spans="1:26" hidden="1">
      <c r="A5712"/>
      <c r="B5712" s="249"/>
      <c r="C5712"/>
      <c r="D5712"/>
      <c r="E5712"/>
      <c r="F5712" s="242"/>
      <c r="G5712"/>
      <c r="H5712" s="242"/>
      <c r="I5712" s="242"/>
      <c r="J5712" s="242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</row>
    <row r="5713" spans="1:26" hidden="1">
      <c r="A5713"/>
      <c r="B5713" s="249"/>
      <c r="C5713"/>
      <c r="D5713"/>
      <c r="E5713"/>
      <c r="F5713" s="242"/>
      <c r="G5713"/>
      <c r="H5713" s="242"/>
      <c r="I5713" s="242"/>
      <c r="J5713" s="242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</row>
    <row r="5714" spans="1:26" hidden="1">
      <c r="A5714"/>
      <c r="B5714" s="249"/>
      <c r="C5714"/>
      <c r="D5714"/>
      <c r="E5714"/>
      <c r="F5714" s="242"/>
      <c r="G5714"/>
      <c r="H5714" s="242"/>
      <c r="I5714" s="242"/>
      <c r="J5714" s="242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</row>
    <row r="5715" spans="1:26" hidden="1">
      <c r="A5715"/>
      <c r="B5715" s="249"/>
      <c r="C5715"/>
      <c r="D5715"/>
      <c r="E5715"/>
      <c r="F5715" s="242"/>
      <c r="G5715"/>
      <c r="H5715" s="242"/>
      <c r="I5715" s="242"/>
      <c r="J5715" s="242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</row>
    <row r="5716" spans="1:26" hidden="1">
      <c r="A5716"/>
      <c r="B5716" s="249"/>
      <c r="C5716"/>
      <c r="D5716"/>
      <c r="E5716"/>
      <c r="F5716" s="242"/>
      <c r="G5716"/>
      <c r="H5716" s="242"/>
      <c r="I5716" s="242"/>
      <c r="J5716" s="242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</row>
    <row r="5717" spans="1:26" hidden="1">
      <c r="A5717"/>
      <c r="B5717" s="249"/>
      <c r="C5717"/>
      <c r="D5717"/>
      <c r="E5717"/>
      <c r="F5717" s="242"/>
      <c r="G5717"/>
      <c r="H5717" s="242"/>
      <c r="I5717" s="242"/>
      <c r="J5717" s="242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</row>
    <row r="5718" spans="1:26" hidden="1">
      <c r="A5718"/>
      <c r="B5718" s="249"/>
      <c r="C5718"/>
      <c r="D5718"/>
      <c r="E5718"/>
      <c r="F5718" s="242"/>
      <c r="G5718"/>
      <c r="H5718" s="242"/>
      <c r="I5718" s="242"/>
      <c r="J5718" s="242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</row>
    <row r="5719" spans="1:26" hidden="1">
      <c r="A5719"/>
      <c r="B5719" s="249"/>
      <c r="C5719"/>
      <c r="D5719"/>
      <c r="E5719"/>
      <c r="F5719" s="242"/>
      <c r="G5719"/>
      <c r="H5719" s="242"/>
      <c r="I5719" s="242"/>
      <c r="J5719" s="242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</row>
    <row r="5720" spans="1:26" hidden="1">
      <c r="A5720"/>
      <c r="B5720" s="249"/>
      <c r="C5720"/>
      <c r="D5720"/>
      <c r="E5720"/>
      <c r="F5720" s="242"/>
      <c r="G5720"/>
      <c r="H5720" s="242"/>
      <c r="I5720" s="242"/>
      <c r="J5720" s="242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</row>
    <row r="5721" spans="1:26" hidden="1">
      <c r="A5721"/>
      <c r="B5721" s="249"/>
      <c r="C5721"/>
      <c r="D5721"/>
      <c r="E5721"/>
      <c r="F5721" s="242"/>
      <c r="G5721"/>
      <c r="H5721" s="242"/>
      <c r="I5721" s="242"/>
      <c r="J5721" s="242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</row>
    <row r="5722" spans="1:26" hidden="1">
      <c r="A5722"/>
      <c r="B5722" s="249"/>
      <c r="C5722"/>
      <c r="D5722"/>
      <c r="E5722"/>
      <c r="F5722" s="242"/>
      <c r="G5722"/>
      <c r="H5722" s="242"/>
      <c r="I5722" s="242"/>
      <c r="J5722" s="242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</row>
    <row r="5723" spans="1:26" hidden="1">
      <c r="A5723"/>
      <c r="B5723" s="249"/>
      <c r="C5723"/>
      <c r="D5723"/>
      <c r="E5723"/>
      <c r="F5723" s="242"/>
      <c r="G5723"/>
      <c r="H5723" s="242"/>
      <c r="I5723" s="242"/>
      <c r="J5723" s="242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</row>
    <row r="5724" spans="1:26" hidden="1">
      <c r="A5724"/>
      <c r="B5724" s="249"/>
      <c r="C5724"/>
      <c r="D5724"/>
      <c r="E5724"/>
      <c r="F5724" s="242"/>
      <c r="G5724"/>
      <c r="H5724" s="242"/>
      <c r="I5724" s="242"/>
      <c r="J5724" s="242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</row>
    <row r="5725" spans="1:26" hidden="1">
      <c r="A5725"/>
      <c r="B5725" s="249"/>
      <c r="C5725"/>
      <c r="D5725"/>
      <c r="E5725"/>
      <c r="F5725" s="242"/>
      <c r="G5725"/>
      <c r="H5725" s="242"/>
      <c r="I5725" s="242"/>
      <c r="J5725" s="242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</row>
    <row r="5726" spans="1:26" hidden="1">
      <c r="A5726"/>
      <c r="B5726" s="249"/>
      <c r="C5726"/>
      <c r="D5726"/>
      <c r="E5726"/>
      <c r="F5726" s="242"/>
      <c r="G5726"/>
      <c r="H5726" s="242"/>
      <c r="I5726" s="242"/>
      <c r="J5726" s="242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</row>
    <row r="5727" spans="1:26" hidden="1">
      <c r="A5727"/>
      <c r="B5727" s="249"/>
      <c r="C5727"/>
      <c r="D5727"/>
      <c r="E5727"/>
      <c r="F5727" s="242"/>
      <c r="G5727"/>
      <c r="H5727" s="242"/>
      <c r="I5727" s="242"/>
      <c r="J5727" s="242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</row>
    <row r="5728" spans="1:26" hidden="1">
      <c r="A5728"/>
      <c r="B5728" s="249"/>
      <c r="C5728"/>
      <c r="D5728"/>
      <c r="E5728"/>
      <c r="F5728" s="242"/>
      <c r="G5728"/>
      <c r="H5728" s="242"/>
      <c r="I5728" s="242"/>
      <c r="J5728" s="242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</row>
    <row r="5729" spans="1:26" hidden="1">
      <c r="A5729"/>
      <c r="B5729" s="249"/>
      <c r="C5729"/>
      <c r="D5729"/>
      <c r="E5729"/>
      <c r="F5729" s="242"/>
      <c r="G5729"/>
      <c r="H5729" s="242"/>
      <c r="I5729" s="242"/>
      <c r="J5729" s="242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</row>
    <row r="5730" spans="1:26" hidden="1">
      <c r="A5730"/>
      <c r="B5730" s="249"/>
      <c r="C5730"/>
      <c r="D5730"/>
      <c r="E5730"/>
      <c r="F5730" s="242"/>
      <c r="G5730"/>
      <c r="H5730" s="242"/>
      <c r="I5730" s="242"/>
      <c r="J5730" s="242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</row>
    <row r="5731" spans="1:26" hidden="1">
      <c r="A5731"/>
      <c r="B5731" s="249"/>
      <c r="C5731"/>
      <c r="D5731"/>
      <c r="E5731"/>
      <c r="F5731" s="242"/>
      <c r="G5731"/>
      <c r="H5731" s="242"/>
      <c r="I5731" s="242"/>
      <c r="J5731" s="242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</row>
    <row r="5732" spans="1:26" hidden="1">
      <c r="A5732"/>
      <c r="B5732" s="249"/>
      <c r="C5732"/>
      <c r="D5732"/>
      <c r="E5732"/>
      <c r="F5732" s="242"/>
      <c r="G5732"/>
      <c r="H5732" s="242"/>
      <c r="I5732" s="242"/>
      <c r="J5732" s="242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</row>
    <row r="5733" spans="1:26" hidden="1">
      <c r="A5733"/>
      <c r="B5733" s="249"/>
      <c r="C5733"/>
      <c r="D5733"/>
      <c r="E5733"/>
      <c r="F5733" s="242"/>
      <c r="G5733"/>
      <c r="H5733" s="242"/>
      <c r="I5733" s="242"/>
      <c r="J5733" s="242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</row>
    <row r="5734" spans="1:26" hidden="1">
      <c r="A5734"/>
      <c r="B5734" s="249"/>
      <c r="C5734"/>
      <c r="D5734"/>
      <c r="E5734"/>
      <c r="F5734" s="242"/>
      <c r="G5734"/>
      <c r="H5734" s="242"/>
      <c r="I5734" s="242"/>
      <c r="J5734" s="242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</row>
    <row r="5735" spans="1:26" hidden="1">
      <c r="A5735"/>
      <c r="B5735" s="249"/>
      <c r="C5735"/>
      <c r="D5735"/>
      <c r="E5735"/>
      <c r="F5735" s="242"/>
      <c r="G5735"/>
      <c r="H5735" s="242"/>
      <c r="I5735" s="242"/>
      <c r="J5735" s="242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</row>
    <row r="5736" spans="1:26" hidden="1">
      <c r="A5736"/>
      <c r="B5736" s="249"/>
      <c r="C5736"/>
      <c r="D5736"/>
      <c r="E5736"/>
      <c r="F5736" s="242"/>
      <c r="G5736"/>
      <c r="H5736" s="242"/>
      <c r="I5736" s="242"/>
      <c r="J5736" s="242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</row>
    <row r="5737" spans="1:26" hidden="1">
      <c r="A5737"/>
      <c r="B5737" s="249"/>
      <c r="C5737"/>
      <c r="D5737"/>
      <c r="E5737"/>
      <c r="F5737" s="242"/>
      <c r="G5737"/>
      <c r="H5737" s="242"/>
      <c r="I5737" s="242"/>
      <c r="J5737" s="242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</row>
    <row r="5738" spans="1:26" hidden="1">
      <c r="A5738"/>
      <c r="B5738" s="249"/>
      <c r="C5738"/>
      <c r="D5738"/>
      <c r="E5738"/>
      <c r="F5738" s="242"/>
      <c r="G5738"/>
      <c r="H5738" s="242"/>
      <c r="I5738" s="242"/>
      <c r="J5738" s="242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</row>
    <row r="5739" spans="1:26" hidden="1">
      <c r="A5739"/>
      <c r="B5739" s="249"/>
      <c r="C5739"/>
      <c r="D5739"/>
      <c r="E5739"/>
      <c r="F5739" s="242"/>
      <c r="G5739"/>
      <c r="H5739" s="242"/>
      <c r="I5739" s="242"/>
      <c r="J5739" s="242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</row>
    <row r="5740" spans="1:26" hidden="1">
      <c r="A5740"/>
      <c r="B5740" s="249"/>
      <c r="C5740"/>
      <c r="D5740"/>
      <c r="E5740"/>
      <c r="F5740" s="242"/>
      <c r="G5740"/>
      <c r="H5740" s="242"/>
      <c r="I5740" s="242"/>
      <c r="J5740" s="242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</row>
    <row r="5741" spans="1:26" hidden="1">
      <c r="A5741"/>
      <c r="B5741" s="249"/>
      <c r="C5741"/>
      <c r="D5741"/>
      <c r="E5741"/>
      <c r="F5741" s="242"/>
      <c r="G5741"/>
      <c r="H5741" s="242"/>
      <c r="I5741" s="242"/>
      <c r="J5741" s="242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</row>
    <row r="5742" spans="1:26" hidden="1">
      <c r="A5742"/>
      <c r="B5742" s="249"/>
      <c r="C5742"/>
      <c r="D5742"/>
      <c r="E5742"/>
      <c r="F5742" s="242"/>
      <c r="G5742"/>
      <c r="H5742" s="242"/>
      <c r="I5742" s="242"/>
      <c r="J5742" s="242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</row>
    <row r="5743" spans="1:26" hidden="1">
      <c r="A5743"/>
      <c r="B5743" s="249"/>
      <c r="C5743"/>
      <c r="D5743"/>
      <c r="E5743"/>
      <c r="F5743" s="242"/>
      <c r="G5743"/>
      <c r="H5743" s="242"/>
      <c r="I5743" s="242"/>
      <c r="J5743" s="242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</row>
    <row r="5744" spans="1:26" hidden="1">
      <c r="A5744"/>
      <c r="B5744" s="249"/>
      <c r="C5744"/>
      <c r="D5744"/>
      <c r="E5744"/>
      <c r="F5744" s="242"/>
      <c r="G5744"/>
      <c r="H5744" s="242"/>
      <c r="I5744" s="242"/>
      <c r="J5744" s="242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</row>
    <row r="5745" spans="1:26" hidden="1">
      <c r="A5745"/>
      <c r="B5745" s="249"/>
      <c r="C5745"/>
      <c r="D5745"/>
      <c r="E5745"/>
      <c r="F5745" s="242"/>
      <c r="G5745"/>
      <c r="H5745" s="242"/>
      <c r="I5745" s="242"/>
      <c r="J5745" s="242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</row>
    <row r="5746" spans="1:26" hidden="1">
      <c r="A5746"/>
      <c r="B5746" s="249"/>
      <c r="C5746"/>
      <c r="D5746"/>
      <c r="E5746"/>
      <c r="F5746" s="242"/>
      <c r="G5746"/>
      <c r="H5746" s="242"/>
      <c r="I5746" s="242"/>
      <c r="J5746" s="242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</row>
    <row r="5747" spans="1:26" hidden="1">
      <c r="A5747"/>
      <c r="B5747" s="249"/>
      <c r="C5747"/>
      <c r="D5747"/>
      <c r="E5747"/>
      <c r="F5747" s="242"/>
      <c r="G5747"/>
      <c r="H5747" s="242"/>
      <c r="I5747" s="242"/>
      <c r="J5747" s="242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</row>
    <row r="5748" spans="1:26" hidden="1">
      <c r="A5748"/>
      <c r="B5748" s="249"/>
      <c r="C5748"/>
      <c r="D5748"/>
      <c r="E5748"/>
      <c r="F5748" s="242"/>
      <c r="G5748"/>
      <c r="H5748" s="242"/>
      <c r="I5748" s="242"/>
      <c r="J5748" s="242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</row>
    <row r="5749" spans="1:26" hidden="1">
      <c r="A5749"/>
      <c r="B5749" s="249"/>
      <c r="C5749"/>
      <c r="D5749"/>
      <c r="E5749"/>
      <c r="F5749" s="242"/>
      <c r="G5749"/>
      <c r="H5749" s="242"/>
      <c r="I5749" s="242"/>
      <c r="J5749" s="242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</row>
    <row r="5750" spans="1:26" hidden="1">
      <c r="A5750"/>
      <c r="B5750" s="249"/>
      <c r="C5750"/>
      <c r="D5750"/>
      <c r="E5750"/>
      <c r="F5750" s="242"/>
      <c r="G5750"/>
      <c r="H5750" s="242"/>
      <c r="I5750" s="242"/>
      <c r="J5750" s="242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</row>
    <row r="5751" spans="1:26" hidden="1">
      <c r="A5751"/>
      <c r="B5751" s="249"/>
      <c r="C5751"/>
      <c r="D5751"/>
      <c r="E5751"/>
      <c r="F5751" s="242"/>
      <c r="G5751"/>
      <c r="H5751" s="242"/>
      <c r="I5751" s="242"/>
      <c r="J5751" s="242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</row>
    <row r="5752" spans="1:26" hidden="1">
      <c r="A5752"/>
      <c r="B5752" s="249"/>
      <c r="C5752"/>
      <c r="D5752"/>
      <c r="E5752"/>
      <c r="F5752" s="242"/>
      <c r="G5752"/>
      <c r="H5752" s="242"/>
      <c r="I5752" s="242"/>
      <c r="J5752" s="242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</row>
    <row r="5753" spans="1:26" hidden="1">
      <c r="A5753"/>
      <c r="B5753" s="249"/>
      <c r="C5753"/>
      <c r="D5753"/>
      <c r="E5753"/>
      <c r="F5753" s="242"/>
      <c r="G5753"/>
      <c r="H5753" s="242"/>
      <c r="I5753" s="242"/>
      <c r="J5753" s="242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</row>
    <row r="5754" spans="1:26" hidden="1">
      <c r="A5754"/>
      <c r="B5754" s="249"/>
      <c r="C5754"/>
      <c r="D5754"/>
      <c r="E5754"/>
      <c r="F5754" s="242"/>
      <c r="G5754"/>
      <c r="H5754" s="242"/>
      <c r="I5754" s="242"/>
      <c r="J5754" s="242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</row>
    <row r="5755" spans="1:26" hidden="1">
      <c r="A5755"/>
      <c r="B5755" s="249"/>
      <c r="C5755"/>
      <c r="D5755"/>
      <c r="E5755"/>
      <c r="F5755" s="242"/>
      <c r="G5755"/>
      <c r="H5755" s="242"/>
      <c r="I5755" s="242"/>
      <c r="J5755" s="242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</row>
    <row r="5756" spans="1:26" hidden="1">
      <c r="A5756"/>
      <c r="B5756" s="249"/>
      <c r="C5756"/>
      <c r="D5756"/>
      <c r="E5756"/>
      <c r="F5756" s="242"/>
      <c r="G5756"/>
      <c r="H5756" s="242"/>
      <c r="I5756" s="242"/>
      <c r="J5756" s="242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</row>
    <row r="5757" spans="1:26" hidden="1">
      <c r="A5757"/>
      <c r="B5757" s="249"/>
      <c r="C5757"/>
      <c r="D5757"/>
      <c r="E5757"/>
      <c r="F5757" s="242"/>
      <c r="G5757"/>
      <c r="H5757" s="242"/>
      <c r="I5757" s="242"/>
      <c r="J5757" s="242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</row>
    <row r="5758" spans="1:26" hidden="1">
      <c r="A5758"/>
      <c r="B5758" s="249"/>
      <c r="C5758"/>
      <c r="D5758"/>
      <c r="E5758"/>
      <c r="F5758" s="242"/>
      <c r="G5758"/>
      <c r="H5758" s="242"/>
      <c r="I5758" s="242"/>
      <c r="J5758" s="242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</row>
    <row r="5759" spans="1:26" hidden="1">
      <c r="A5759"/>
      <c r="B5759" s="249"/>
      <c r="C5759"/>
      <c r="D5759"/>
      <c r="E5759"/>
      <c r="F5759" s="242"/>
      <c r="G5759"/>
      <c r="H5759" s="242"/>
      <c r="I5759" s="242"/>
      <c r="J5759" s="242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</row>
    <row r="5760" spans="1:26" hidden="1">
      <c r="A5760"/>
      <c r="B5760" s="249"/>
      <c r="C5760"/>
      <c r="D5760"/>
      <c r="E5760"/>
      <c r="F5760" s="242"/>
      <c r="G5760"/>
      <c r="H5760" s="242"/>
      <c r="I5760" s="242"/>
      <c r="J5760" s="242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</row>
    <row r="5761" spans="1:26" hidden="1">
      <c r="A5761"/>
      <c r="B5761" s="249"/>
      <c r="C5761"/>
      <c r="D5761"/>
      <c r="E5761"/>
      <c r="F5761" s="242"/>
      <c r="G5761"/>
      <c r="H5761" s="242"/>
      <c r="I5761" s="242"/>
      <c r="J5761" s="242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</row>
    <row r="5762" spans="1:26" hidden="1">
      <c r="A5762"/>
      <c r="B5762" s="249"/>
      <c r="C5762"/>
      <c r="D5762"/>
      <c r="E5762"/>
      <c r="F5762" s="242"/>
      <c r="G5762"/>
      <c r="H5762" s="242"/>
      <c r="I5762" s="242"/>
      <c r="J5762" s="242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</row>
    <row r="5763" spans="1:26" hidden="1">
      <c r="A5763"/>
      <c r="B5763" s="249"/>
      <c r="C5763"/>
      <c r="D5763"/>
      <c r="E5763"/>
      <c r="F5763" s="242"/>
      <c r="G5763"/>
      <c r="H5763" s="242"/>
      <c r="I5763" s="242"/>
      <c r="J5763" s="242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</row>
    <row r="5764" spans="1:26" hidden="1">
      <c r="A5764"/>
      <c r="B5764" s="249"/>
      <c r="C5764"/>
      <c r="D5764"/>
      <c r="E5764"/>
      <c r="F5764" s="242"/>
      <c r="G5764"/>
      <c r="H5764" s="242"/>
      <c r="I5764" s="242"/>
      <c r="J5764" s="242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</row>
    <row r="5765" spans="1:26" hidden="1">
      <c r="A5765"/>
      <c r="B5765" s="249"/>
      <c r="C5765"/>
      <c r="D5765"/>
      <c r="E5765"/>
      <c r="F5765" s="242"/>
      <c r="G5765"/>
      <c r="H5765" s="242"/>
      <c r="I5765" s="242"/>
      <c r="J5765" s="242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</row>
    <row r="5766" spans="1:26" hidden="1">
      <c r="A5766"/>
      <c r="B5766" s="249"/>
      <c r="C5766"/>
      <c r="D5766"/>
      <c r="E5766"/>
      <c r="F5766" s="242"/>
      <c r="G5766"/>
      <c r="H5766" s="242"/>
      <c r="I5766" s="242"/>
      <c r="J5766" s="242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</row>
    <row r="5767" spans="1:26" hidden="1">
      <c r="A5767"/>
      <c r="B5767" s="249"/>
      <c r="C5767"/>
      <c r="D5767"/>
      <c r="E5767"/>
      <c r="F5767" s="242"/>
      <c r="G5767"/>
      <c r="H5767" s="242"/>
      <c r="I5767" s="242"/>
      <c r="J5767" s="242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</row>
    <row r="5768" spans="1:26" hidden="1">
      <c r="A5768"/>
      <c r="B5768" s="249"/>
      <c r="C5768"/>
      <c r="D5768"/>
      <c r="E5768"/>
      <c r="F5768" s="242"/>
      <c r="G5768"/>
      <c r="H5768" s="242"/>
      <c r="I5768" s="242"/>
      <c r="J5768" s="242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</row>
    <row r="5769" spans="1:26" hidden="1">
      <c r="A5769"/>
      <c r="B5769" s="249"/>
      <c r="C5769"/>
      <c r="D5769"/>
      <c r="E5769"/>
      <c r="F5769" s="242"/>
      <c r="G5769"/>
      <c r="H5769" s="242"/>
      <c r="I5769" s="242"/>
      <c r="J5769" s="242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</row>
    <row r="5770" spans="1:26" hidden="1">
      <c r="A5770"/>
      <c r="B5770" s="249"/>
      <c r="C5770"/>
      <c r="D5770"/>
      <c r="E5770"/>
      <c r="F5770" s="242"/>
      <c r="G5770"/>
      <c r="H5770" s="242"/>
      <c r="I5770" s="242"/>
      <c r="J5770" s="242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</row>
    <row r="5771" spans="1:26" hidden="1">
      <c r="A5771"/>
      <c r="B5771" s="249"/>
      <c r="C5771"/>
      <c r="D5771"/>
      <c r="E5771"/>
      <c r="F5771" s="242"/>
      <c r="G5771"/>
      <c r="H5771" s="242"/>
      <c r="I5771" s="242"/>
      <c r="J5771" s="242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</row>
    <row r="5772" spans="1:26" hidden="1">
      <c r="A5772"/>
      <c r="B5772" s="249"/>
      <c r="C5772"/>
      <c r="D5772"/>
      <c r="E5772"/>
      <c r="F5772" s="242"/>
      <c r="G5772"/>
      <c r="H5772" s="242"/>
      <c r="I5772" s="242"/>
      <c r="J5772" s="242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</row>
    <row r="5773" spans="1:26" hidden="1">
      <c r="A5773"/>
      <c r="B5773" s="249"/>
      <c r="C5773"/>
      <c r="D5773"/>
      <c r="E5773"/>
      <c r="F5773" s="242"/>
      <c r="G5773"/>
      <c r="H5773" s="242"/>
      <c r="I5773" s="242"/>
      <c r="J5773" s="242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</row>
    <row r="5774" spans="1:26" hidden="1">
      <c r="A5774"/>
      <c r="B5774" s="249"/>
      <c r="C5774"/>
      <c r="D5774"/>
      <c r="E5774"/>
      <c r="F5774" s="242"/>
      <c r="G5774"/>
      <c r="H5774" s="242"/>
      <c r="I5774" s="242"/>
      <c r="J5774" s="242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</row>
    <row r="5775" spans="1:26" hidden="1">
      <c r="A5775"/>
      <c r="B5775" s="249"/>
      <c r="C5775"/>
      <c r="D5775"/>
      <c r="E5775"/>
      <c r="F5775" s="242"/>
      <c r="G5775"/>
      <c r="H5775" s="242"/>
      <c r="I5775" s="242"/>
      <c r="J5775" s="242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</row>
    <row r="5776" spans="1:26" hidden="1">
      <c r="A5776"/>
      <c r="B5776" s="249"/>
      <c r="C5776"/>
      <c r="D5776"/>
      <c r="E5776"/>
      <c r="F5776" s="242"/>
      <c r="G5776"/>
      <c r="H5776" s="242"/>
      <c r="I5776" s="242"/>
      <c r="J5776" s="242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</row>
    <row r="5777" spans="1:26" hidden="1">
      <c r="A5777"/>
      <c r="B5777" s="249"/>
      <c r="C5777"/>
      <c r="D5777"/>
      <c r="E5777"/>
      <c r="F5777" s="242"/>
      <c r="G5777"/>
      <c r="H5777" s="242"/>
      <c r="I5777" s="242"/>
      <c r="J5777" s="242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</row>
    <row r="5778" spans="1:26" hidden="1">
      <c r="A5778"/>
      <c r="B5778" s="249"/>
      <c r="C5778"/>
      <c r="D5778"/>
      <c r="E5778"/>
      <c r="F5778" s="242"/>
      <c r="G5778"/>
      <c r="H5778" s="242"/>
      <c r="I5778" s="242"/>
      <c r="J5778" s="242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</row>
    <row r="5779" spans="1:26" hidden="1">
      <c r="A5779"/>
      <c r="B5779" s="249"/>
      <c r="C5779"/>
      <c r="D5779"/>
      <c r="E5779"/>
      <c r="F5779" s="242"/>
      <c r="G5779"/>
      <c r="H5779" s="242"/>
      <c r="I5779" s="242"/>
      <c r="J5779" s="242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</row>
    <row r="5780" spans="1:26" hidden="1">
      <c r="A5780"/>
      <c r="B5780" s="249"/>
      <c r="C5780"/>
      <c r="D5780"/>
      <c r="E5780"/>
      <c r="F5780" s="242"/>
      <c r="G5780"/>
      <c r="H5780" s="242"/>
      <c r="I5780" s="242"/>
      <c r="J5780" s="242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</row>
    <row r="5781" spans="1:26" hidden="1">
      <c r="A5781"/>
      <c r="B5781" s="249"/>
      <c r="C5781"/>
      <c r="D5781"/>
      <c r="E5781"/>
      <c r="F5781" s="242"/>
      <c r="G5781"/>
      <c r="H5781" s="242"/>
      <c r="I5781" s="242"/>
      <c r="J5781" s="242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</row>
    <row r="5782" spans="1:26" hidden="1">
      <c r="A5782"/>
      <c r="B5782" s="249"/>
      <c r="C5782"/>
      <c r="D5782"/>
      <c r="E5782"/>
      <c r="F5782" s="242"/>
      <c r="G5782"/>
      <c r="H5782" s="242"/>
      <c r="I5782" s="242"/>
      <c r="J5782" s="242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</row>
    <row r="5783" spans="1:26" hidden="1">
      <c r="A5783"/>
      <c r="B5783" s="249"/>
      <c r="C5783"/>
      <c r="D5783"/>
      <c r="E5783"/>
      <c r="F5783" s="242"/>
      <c r="G5783"/>
      <c r="H5783" s="242"/>
      <c r="I5783" s="242"/>
      <c r="J5783" s="242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</row>
    <row r="5784" spans="1:26" hidden="1">
      <c r="A5784"/>
      <c r="B5784" s="249"/>
      <c r="C5784"/>
      <c r="D5784"/>
      <c r="E5784"/>
      <c r="F5784" s="242"/>
      <c r="G5784"/>
      <c r="H5784" s="242"/>
      <c r="I5784" s="242"/>
      <c r="J5784" s="242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</row>
    <row r="5785" spans="1:26" hidden="1">
      <c r="A5785"/>
      <c r="B5785" s="249"/>
      <c r="C5785"/>
      <c r="D5785"/>
      <c r="E5785"/>
      <c r="F5785" s="242"/>
      <c r="G5785"/>
      <c r="H5785" s="242"/>
      <c r="I5785" s="242"/>
      <c r="J5785" s="242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</row>
    <row r="5786" spans="1:26" hidden="1">
      <c r="A5786"/>
      <c r="B5786" s="249"/>
      <c r="C5786"/>
      <c r="D5786"/>
      <c r="E5786"/>
      <c r="F5786" s="242"/>
      <c r="G5786"/>
      <c r="H5786" s="242"/>
      <c r="I5786" s="242"/>
      <c r="J5786" s="242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</row>
    <row r="5787" spans="1:26" hidden="1">
      <c r="A5787"/>
      <c r="B5787" s="249"/>
      <c r="C5787"/>
      <c r="D5787"/>
      <c r="E5787"/>
      <c r="F5787" s="242"/>
      <c r="G5787"/>
      <c r="H5787" s="242"/>
      <c r="I5787" s="242"/>
      <c r="J5787" s="242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</row>
    <row r="5788" spans="1:26" hidden="1">
      <c r="A5788"/>
      <c r="B5788" s="249"/>
      <c r="C5788"/>
      <c r="D5788"/>
      <c r="E5788"/>
      <c r="F5788" s="242"/>
      <c r="G5788"/>
      <c r="H5788" s="242"/>
      <c r="I5788" s="242"/>
      <c r="J5788" s="242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</row>
    <row r="5789" spans="1:26" hidden="1">
      <c r="A5789"/>
      <c r="B5789" s="249"/>
      <c r="C5789"/>
      <c r="D5789"/>
      <c r="E5789"/>
      <c r="F5789" s="242"/>
      <c r="G5789"/>
      <c r="H5789" s="242"/>
      <c r="I5789" s="242"/>
      <c r="J5789" s="242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</row>
    <row r="5790" spans="1:26" hidden="1">
      <c r="A5790"/>
      <c r="B5790" s="249"/>
      <c r="C5790"/>
      <c r="D5790"/>
      <c r="E5790"/>
      <c r="F5790" s="242"/>
      <c r="G5790"/>
      <c r="H5790" s="242"/>
      <c r="I5790" s="242"/>
      <c r="J5790" s="242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</row>
    <row r="5791" spans="1:26" hidden="1">
      <c r="A5791"/>
      <c r="B5791" s="249"/>
      <c r="C5791"/>
      <c r="D5791"/>
      <c r="E5791"/>
      <c r="F5791" s="242"/>
      <c r="G5791"/>
      <c r="H5791" s="242"/>
      <c r="I5791" s="242"/>
      <c r="J5791" s="242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</row>
    <row r="5792" spans="1:26" hidden="1">
      <c r="A5792"/>
      <c r="B5792" s="249"/>
      <c r="C5792"/>
      <c r="D5792"/>
      <c r="E5792"/>
      <c r="F5792" s="242"/>
      <c r="G5792"/>
      <c r="H5792" s="242"/>
      <c r="I5792" s="242"/>
      <c r="J5792" s="242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</row>
    <row r="5793" spans="1:26" hidden="1">
      <c r="A5793"/>
      <c r="B5793" s="249"/>
      <c r="C5793"/>
      <c r="D5793"/>
      <c r="E5793"/>
      <c r="F5793" s="242"/>
      <c r="G5793"/>
      <c r="H5793" s="242"/>
      <c r="I5793" s="242"/>
      <c r="J5793" s="242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</row>
    <row r="5794" spans="1:26" hidden="1">
      <c r="A5794"/>
      <c r="B5794" s="249"/>
      <c r="C5794"/>
      <c r="D5794"/>
      <c r="E5794"/>
      <c r="F5794" s="242"/>
      <c r="G5794"/>
      <c r="H5794" s="242"/>
      <c r="I5794" s="242"/>
      <c r="J5794" s="242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</row>
    <row r="5795" spans="1:26" hidden="1">
      <c r="A5795"/>
      <c r="B5795" s="249"/>
      <c r="C5795"/>
      <c r="D5795"/>
      <c r="E5795"/>
      <c r="F5795" s="242"/>
      <c r="G5795"/>
      <c r="H5795" s="242"/>
      <c r="I5795" s="242"/>
      <c r="J5795" s="242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</row>
    <row r="5796" spans="1:26" hidden="1">
      <c r="A5796"/>
      <c r="B5796" s="249"/>
      <c r="C5796"/>
      <c r="D5796"/>
      <c r="E5796"/>
      <c r="F5796" s="242"/>
      <c r="G5796"/>
      <c r="H5796" s="242"/>
      <c r="I5796" s="242"/>
      <c r="J5796" s="242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</row>
    <row r="5797" spans="1:26" hidden="1">
      <c r="A5797"/>
      <c r="B5797" s="249"/>
      <c r="C5797"/>
      <c r="D5797"/>
      <c r="E5797"/>
      <c r="F5797" s="242"/>
      <c r="G5797"/>
      <c r="H5797" s="242"/>
      <c r="I5797" s="242"/>
      <c r="J5797" s="242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</row>
    <row r="5798" spans="1:26" hidden="1">
      <c r="A5798"/>
      <c r="B5798" s="249"/>
      <c r="C5798"/>
      <c r="D5798"/>
      <c r="E5798"/>
      <c r="F5798" s="242"/>
      <c r="G5798"/>
      <c r="H5798" s="242"/>
      <c r="I5798" s="242"/>
      <c r="J5798" s="242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</row>
    <row r="5799" spans="1:26" hidden="1">
      <c r="A5799"/>
      <c r="B5799" s="249"/>
      <c r="C5799"/>
      <c r="D5799"/>
      <c r="E5799"/>
      <c r="F5799" s="242"/>
      <c r="G5799"/>
      <c r="H5799" s="242"/>
      <c r="I5799" s="242"/>
      <c r="J5799" s="242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</row>
    <row r="5800" spans="1:26" hidden="1">
      <c r="A5800"/>
      <c r="B5800" s="249"/>
      <c r="C5800"/>
      <c r="D5800"/>
      <c r="E5800"/>
      <c r="F5800" s="242"/>
      <c r="G5800"/>
      <c r="H5800" s="242"/>
      <c r="I5800" s="242"/>
      <c r="J5800" s="242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</row>
    <row r="5801" spans="1:26" hidden="1">
      <c r="A5801"/>
      <c r="B5801" s="249"/>
      <c r="C5801"/>
      <c r="D5801"/>
      <c r="E5801"/>
      <c r="F5801" s="242"/>
      <c r="G5801"/>
      <c r="H5801" s="242"/>
      <c r="I5801" s="242"/>
      <c r="J5801" s="242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</row>
    <row r="5802" spans="1:26" hidden="1">
      <c r="A5802"/>
      <c r="B5802" s="249"/>
      <c r="C5802"/>
      <c r="D5802"/>
      <c r="E5802"/>
      <c r="F5802" s="242"/>
      <c r="G5802"/>
      <c r="H5802" s="242"/>
      <c r="I5802" s="242"/>
      <c r="J5802" s="242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</row>
    <row r="5803" spans="1:26" hidden="1">
      <c r="A5803"/>
      <c r="B5803" s="249"/>
      <c r="C5803"/>
      <c r="D5803"/>
      <c r="E5803"/>
      <c r="F5803" s="242"/>
      <c r="G5803"/>
      <c r="H5803" s="242"/>
      <c r="I5803" s="242"/>
      <c r="J5803" s="242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</row>
    <row r="5804" spans="1:26" hidden="1">
      <c r="A5804"/>
      <c r="B5804" s="249"/>
      <c r="C5804"/>
      <c r="D5804"/>
      <c r="E5804"/>
      <c r="F5804" s="242"/>
      <c r="G5804"/>
      <c r="H5804" s="242"/>
      <c r="I5804" s="242"/>
      <c r="J5804" s="242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</row>
    <row r="5805" spans="1:26" hidden="1">
      <c r="A5805"/>
      <c r="B5805" s="249"/>
      <c r="C5805"/>
      <c r="D5805"/>
      <c r="E5805"/>
      <c r="F5805" s="242"/>
      <c r="G5805"/>
      <c r="H5805" s="242"/>
      <c r="I5805" s="242"/>
      <c r="J5805" s="242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</row>
    <row r="5806" spans="1:26" hidden="1">
      <c r="A5806"/>
      <c r="B5806" s="249"/>
      <c r="C5806"/>
      <c r="D5806"/>
      <c r="E5806"/>
      <c r="F5806" s="242"/>
      <c r="G5806"/>
      <c r="H5806" s="242"/>
      <c r="I5806" s="242"/>
      <c r="J5806" s="242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</row>
    <row r="5807" spans="1:26" hidden="1">
      <c r="A5807"/>
      <c r="B5807" s="249"/>
      <c r="C5807"/>
      <c r="D5807"/>
      <c r="E5807"/>
      <c r="F5807" s="242"/>
      <c r="G5807"/>
      <c r="H5807" s="242"/>
      <c r="I5807" s="242"/>
      <c r="J5807" s="242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</row>
    <row r="5808" spans="1:26" hidden="1">
      <c r="A5808"/>
      <c r="B5808" s="249"/>
      <c r="C5808"/>
      <c r="D5808"/>
      <c r="E5808"/>
      <c r="F5808" s="242"/>
      <c r="G5808"/>
      <c r="H5808" s="242"/>
      <c r="I5808" s="242"/>
      <c r="J5808" s="242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</row>
    <row r="5809" spans="1:26" hidden="1">
      <c r="A5809"/>
      <c r="B5809" s="249"/>
      <c r="C5809"/>
      <c r="D5809"/>
      <c r="E5809"/>
      <c r="F5809" s="242"/>
      <c r="G5809"/>
      <c r="H5809" s="242"/>
      <c r="I5809" s="242"/>
      <c r="J5809" s="242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</row>
    <row r="5810" spans="1:26" hidden="1">
      <c r="A5810"/>
      <c r="B5810" s="249"/>
      <c r="C5810"/>
      <c r="D5810"/>
      <c r="E5810"/>
      <c r="F5810" s="242"/>
      <c r="G5810"/>
      <c r="H5810" s="242"/>
      <c r="I5810" s="242"/>
      <c r="J5810" s="242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</row>
    <row r="5811" spans="1:26" hidden="1">
      <c r="A5811"/>
      <c r="B5811" s="249"/>
      <c r="C5811"/>
      <c r="D5811"/>
      <c r="E5811"/>
      <c r="F5811" s="242"/>
      <c r="G5811"/>
      <c r="H5811" s="242"/>
      <c r="I5811" s="242"/>
      <c r="J5811" s="242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</row>
    <row r="5812" spans="1:26" hidden="1">
      <c r="A5812"/>
      <c r="B5812" s="249"/>
      <c r="C5812"/>
      <c r="D5812"/>
      <c r="E5812"/>
      <c r="F5812" s="242"/>
      <c r="G5812"/>
      <c r="H5812" s="242"/>
      <c r="I5812" s="242"/>
      <c r="J5812" s="242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</row>
    <row r="5813" spans="1:26" hidden="1">
      <c r="A5813"/>
      <c r="B5813" s="249"/>
      <c r="C5813"/>
      <c r="D5813"/>
      <c r="E5813"/>
      <c r="F5813" s="242"/>
      <c r="G5813"/>
      <c r="H5813" s="242"/>
      <c r="I5813" s="242"/>
      <c r="J5813" s="242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</row>
    <row r="5814" spans="1:26" hidden="1">
      <c r="A5814"/>
      <c r="B5814" s="249"/>
      <c r="C5814"/>
      <c r="D5814"/>
      <c r="E5814"/>
      <c r="F5814" s="242"/>
      <c r="G5814"/>
      <c r="H5814" s="242"/>
      <c r="I5814" s="242"/>
      <c r="J5814" s="242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</row>
    <row r="5815" spans="1:26" hidden="1">
      <c r="A5815"/>
      <c r="B5815" s="249"/>
      <c r="C5815"/>
      <c r="D5815"/>
      <c r="E5815"/>
      <c r="F5815" s="242"/>
      <c r="G5815"/>
      <c r="H5815" s="242"/>
      <c r="I5815" s="242"/>
      <c r="J5815" s="242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</row>
    <row r="5816" spans="1:26" hidden="1">
      <c r="A5816"/>
      <c r="B5816" s="249"/>
      <c r="C5816"/>
      <c r="D5816"/>
      <c r="E5816"/>
      <c r="F5816" s="242"/>
      <c r="G5816"/>
      <c r="H5816" s="242"/>
      <c r="I5816" s="242"/>
      <c r="J5816" s="242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</row>
    <row r="5817" spans="1:26" hidden="1">
      <c r="A5817"/>
      <c r="B5817" s="249"/>
      <c r="C5817"/>
      <c r="D5817"/>
      <c r="E5817"/>
      <c r="F5817" s="242"/>
      <c r="G5817"/>
      <c r="H5817" s="242"/>
      <c r="I5817" s="242"/>
      <c r="J5817" s="242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</row>
    <row r="5818" spans="1:26" hidden="1">
      <c r="A5818"/>
      <c r="B5818" s="249"/>
      <c r="C5818"/>
      <c r="D5818"/>
      <c r="E5818"/>
      <c r="F5818" s="242"/>
      <c r="G5818"/>
      <c r="H5818" s="242"/>
      <c r="I5818" s="242"/>
      <c r="J5818" s="242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</row>
    <row r="5819" spans="1:26" hidden="1">
      <c r="A5819"/>
      <c r="B5819" s="249"/>
      <c r="C5819"/>
      <c r="D5819"/>
      <c r="E5819"/>
      <c r="F5819" s="242"/>
      <c r="G5819"/>
      <c r="H5819" s="242"/>
      <c r="I5819" s="242"/>
      <c r="J5819" s="242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</row>
    <row r="5820" spans="1:26" hidden="1">
      <c r="A5820"/>
      <c r="B5820" s="249"/>
      <c r="C5820"/>
      <c r="D5820"/>
      <c r="E5820"/>
      <c r="F5820" s="242"/>
      <c r="G5820"/>
      <c r="H5820" s="242"/>
      <c r="I5820" s="242"/>
      <c r="J5820" s="242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</row>
    <row r="5821" spans="1:26" hidden="1">
      <c r="A5821"/>
      <c r="B5821" s="249"/>
      <c r="C5821"/>
      <c r="D5821"/>
      <c r="E5821"/>
      <c r="F5821" s="242"/>
      <c r="G5821"/>
      <c r="H5821" s="242"/>
      <c r="I5821" s="242"/>
      <c r="J5821" s="242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</row>
    <row r="5822" spans="1:26" hidden="1">
      <c r="A5822"/>
      <c r="B5822" s="249"/>
      <c r="C5822"/>
      <c r="D5822"/>
      <c r="E5822"/>
      <c r="F5822" s="242"/>
      <c r="G5822"/>
      <c r="H5822" s="242"/>
      <c r="I5822" s="242"/>
      <c r="J5822" s="242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</row>
    <row r="5823" spans="1:26" hidden="1">
      <c r="A5823"/>
      <c r="B5823" s="249"/>
      <c r="C5823"/>
      <c r="D5823"/>
      <c r="E5823"/>
      <c r="F5823" s="242"/>
      <c r="G5823"/>
      <c r="H5823" s="242"/>
      <c r="I5823" s="242"/>
      <c r="J5823" s="242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</row>
    <row r="5824" spans="1:26" hidden="1">
      <c r="A5824"/>
      <c r="B5824" s="249"/>
      <c r="C5824"/>
      <c r="D5824"/>
      <c r="E5824"/>
      <c r="F5824" s="242"/>
      <c r="G5824"/>
      <c r="H5824" s="242"/>
      <c r="I5824" s="242"/>
      <c r="J5824" s="242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</row>
    <row r="5825" spans="1:26" hidden="1">
      <c r="A5825"/>
      <c r="B5825" s="249"/>
      <c r="C5825"/>
      <c r="D5825"/>
      <c r="E5825"/>
      <c r="F5825" s="242"/>
      <c r="G5825"/>
      <c r="H5825" s="242"/>
      <c r="I5825" s="242"/>
      <c r="J5825" s="242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</row>
    <row r="5826" spans="1:26" hidden="1">
      <c r="A5826"/>
      <c r="B5826" s="249"/>
      <c r="C5826"/>
      <c r="D5826"/>
      <c r="E5826"/>
      <c r="F5826" s="242"/>
      <c r="G5826"/>
      <c r="H5826" s="242"/>
      <c r="I5826" s="242"/>
      <c r="J5826" s="242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</row>
    <row r="5827" spans="1:26" hidden="1">
      <c r="A5827"/>
      <c r="B5827" s="249"/>
      <c r="C5827"/>
      <c r="D5827"/>
      <c r="E5827"/>
      <c r="F5827" s="242"/>
      <c r="G5827"/>
      <c r="H5827" s="242"/>
      <c r="I5827" s="242"/>
      <c r="J5827" s="242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</row>
    <row r="5828" spans="1:26" hidden="1">
      <c r="A5828"/>
      <c r="B5828" s="249"/>
      <c r="C5828"/>
      <c r="D5828"/>
      <c r="E5828"/>
      <c r="F5828" s="242"/>
      <c r="G5828"/>
      <c r="H5828" s="242"/>
      <c r="I5828" s="242"/>
      <c r="J5828" s="242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</row>
    <row r="5829" spans="1:26" hidden="1">
      <c r="A5829"/>
      <c r="B5829" s="249"/>
      <c r="C5829"/>
      <c r="D5829"/>
      <c r="E5829"/>
      <c r="F5829" s="242"/>
      <c r="G5829"/>
      <c r="H5829" s="242"/>
      <c r="I5829" s="242"/>
      <c r="J5829" s="242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</row>
    <row r="5830" spans="1:26" hidden="1">
      <c r="A5830"/>
      <c r="B5830" s="249"/>
      <c r="C5830"/>
      <c r="D5830"/>
      <c r="E5830"/>
      <c r="F5830" s="242"/>
      <c r="G5830"/>
      <c r="H5830" s="242"/>
      <c r="I5830" s="242"/>
      <c r="J5830" s="242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</row>
    <row r="5831" spans="1:26" hidden="1">
      <c r="A5831"/>
      <c r="B5831" s="249"/>
      <c r="C5831"/>
      <c r="D5831"/>
      <c r="E5831"/>
      <c r="F5831" s="242"/>
      <c r="G5831"/>
      <c r="H5831" s="242"/>
      <c r="I5831" s="242"/>
      <c r="J5831" s="242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</row>
    <row r="5832" spans="1:26" hidden="1">
      <c r="A5832"/>
      <c r="B5832" s="249"/>
      <c r="C5832"/>
      <c r="D5832"/>
      <c r="E5832"/>
      <c r="F5832" s="242"/>
      <c r="G5832"/>
      <c r="H5832" s="242"/>
      <c r="I5832" s="242"/>
      <c r="J5832" s="242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</row>
    <row r="5833" spans="1:26" hidden="1">
      <c r="A5833"/>
      <c r="B5833" s="249"/>
      <c r="C5833"/>
      <c r="D5833"/>
      <c r="E5833"/>
      <c r="F5833" s="242"/>
      <c r="G5833"/>
      <c r="H5833" s="242"/>
      <c r="I5833" s="242"/>
      <c r="J5833" s="242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</row>
    <row r="5834" spans="1:26" hidden="1">
      <c r="A5834"/>
      <c r="B5834" s="249"/>
      <c r="C5834"/>
      <c r="D5834"/>
      <c r="E5834"/>
      <c r="F5834" s="242"/>
      <c r="G5834"/>
      <c r="H5834" s="242"/>
      <c r="I5834" s="242"/>
      <c r="J5834" s="242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</row>
    <row r="5835" spans="1:26" hidden="1">
      <c r="A5835"/>
      <c r="B5835" s="249"/>
      <c r="C5835"/>
      <c r="D5835"/>
      <c r="E5835"/>
      <c r="F5835" s="242"/>
      <c r="G5835"/>
      <c r="H5835" s="242"/>
      <c r="I5835" s="242"/>
      <c r="J5835" s="242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</row>
    <row r="5836" spans="1:26" hidden="1">
      <c r="A5836"/>
      <c r="B5836" s="249"/>
      <c r="C5836"/>
      <c r="D5836"/>
      <c r="E5836"/>
      <c r="F5836" s="242"/>
      <c r="G5836"/>
      <c r="H5836" s="242"/>
      <c r="I5836" s="242"/>
      <c r="J5836" s="242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</row>
    <row r="5837" spans="1:26" hidden="1">
      <c r="A5837"/>
      <c r="B5837" s="249"/>
      <c r="C5837"/>
      <c r="D5837"/>
      <c r="E5837"/>
      <c r="F5837" s="242"/>
      <c r="G5837"/>
      <c r="H5837" s="242"/>
      <c r="I5837" s="242"/>
      <c r="J5837" s="242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</row>
    <row r="5838" spans="1:26" hidden="1">
      <c r="A5838"/>
      <c r="B5838" s="249"/>
      <c r="C5838"/>
      <c r="D5838"/>
      <c r="E5838"/>
      <c r="F5838" s="242"/>
      <c r="G5838"/>
      <c r="H5838" s="242"/>
      <c r="I5838" s="242"/>
      <c r="J5838" s="242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</row>
    <row r="5839" spans="1:26" hidden="1">
      <c r="A5839"/>
      <c r="B5839" s="249"/>
      <c r="C5839"/>
      <c r="D5839"/>
      <c r="E5839"/>
      <c r="F5839" s="242"/>
      <c r="G5839"/>
      <c r="H5839" s="242"/>
      <c r="I5839" s="242"/>
      <c r="J5839" s="242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</row>
    <row r="5840" spans="1:26" hidden="1">
      <c r="A5840"/>
      <c r="B5840" s="249"/>
      <c r="C5840"/>
      <c r="D5840"/>
      <c r="E5840"/>
      <c r="F5840" s="242"/>
      <c r="G5840"/>
      <c r="H5840" s="242"/>
      <c r="I5840" s="242"/>
      <c r="J5840" s="242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</row>
    <row r="5841" spans="1:26" hidden="1">
      <c r="A5841"/>
      <c r="B5841" s="249"/>
      <c r="C5841"/>
      <c r="D5841"/>
      <c r="E5841"/>
      <c r="F5841" s="242"/>
      <c r="G5841"/>
      <c r="H5841" s="242"/>
      <c r="I5841" s="242"/>
      <c r="J5841" s="242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</row>
    <row r="5842" spans="1:26" hidden="1">
      <c r="A5842"/>
      <c r="B5842" s="249"/>
      <c r="C5842"/>
      <c r="D5842"/>
      <c r="E5842"/>
      <c r="F5842" s="242"/>
      <c r="G5842"/>
      <c r="H5842" s="242"/>
      <c r="I5842" s="242"/>
      <c r="J5842" s="242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</row>
    <row r="5843" spans="1:26" hidden="1">
      <c r="A5843"/>
      <c r="B5843" s="249"/>
      <c r="C5843"/>
      <c r="D5843"/>
      <c r="E5843"/>
      <c r="F5843" s="242"/>
      <c r="G5843"/>
      <c r="H5843" s="242"/>
      <c r="I5843" s="242"/>
      <c r="J5843" s="242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</row>
    <row r="5844" spans="1:26" hidden="1">
      <c r="A5844"/>
      <c r="B5844" s="249"/>
      <c r="C5844"/>
      <c r="D5844"/>
      <c r="E5844"/>
      <c r="F5844" s="242"/>
      <c r="G5844"/>
      <c r="H5844" s="242"/>
      <c r="I5844" s="242"/>
      <c r="J5844" s="242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</row>
    <row r="5845" spans="1:26" hidden="1">
      <c r="A5845"/>
      <c r="B5845" s="249"/>
      <c r="C5845"/>
      <c r="D5845"/>
      <c r="E5845"/>
      <c r="F5845" s="242"/>
      <c r="G5845"/>
      <c r="H5845" s="242"/>
      <c r="I5845" s="242"/>
      <c r="J5845" s="242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</row>
    <row r="5846" spans="1:26" hidden="1">
      <c r="A5846"/>
      <c r="B5846" s="249"/>
      <c r="C5846"/>
      <c r="D5846"/>
      <c r="E5846"/>
      <c r="F5846" s="242"/>
      <c r="G5846"/>
      <c r="H5846" s="242"/>
      <c r="I5846" s="242"/>
      <c r="J5846" s="242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</row>
    <row r="5847" spans="1:26" hidden="1">
      <c r="A5847"/>
      <c r="B5847" s="249"/>
      <c r="C5847"/>
      <c r="D5847"/>
      <c r="E5847"/>
      <c r="F5847" s="242"/>
      <c r="G5847"/>
      <c r="H5847" s="242"/>
      <c r="I5847" s="242"/>
      <c r="J5847" s="242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</row>
    <row r="5848" spans="1:26" hidden="1">
      <c r="A5848"/>
      <c r="B5848" s="249"/>
      <c r="C5848"/>
      <c r="D5848"/>
      <c r="E5848"/>
      <c r="F5848" s="242"/>
      <c r="G5848"/>
      <c r="H5848" s="242"/>
      <c r="I5848" s="242"/>
      <c r="J5848" s="242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</row>
    <row r="5849" spans="1:26" hidden="1">
      <c r="A5849"/>
      <c r="B5849" s="249"/>
      <c r="C5849"/>
      <c r="D5849"/>
      <c r="E5849"/>
      <c r="F5849" s="242"/>
      <c r="G5849"/>
      <c r="H5849" s="242"/>
      <c r="I5849" s="242"/>
      <c r="J5849" s="242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</row>
    <row r="5850" spans="1:26" hidden="1">
      <c r="A5850"/>
      <c r="B5850" s="249"/>
      <c r="C5850"/>
      <c r="D5850"/>
      <c r="E5850"/>
      <c r="F5850" s="242"/>
      <c r="G5850"/>
      <c r="H5850" s="242"/>
      <c r="I5850" s="242"/>
      <c r="J5850" s="242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</row>
    <row r="5851" spans="1:26" hidden="1">
      <c r="A5851"/>
      <c r="B5851" s="249"/>
      <c r="C5851"/>
      <c r="D5851"/>
      <c r="E5851"/>
      <c r="F5851" s="242"/>
      <c r="G5851"/>
      <c r="H5851" s="242"/>
      <c r="I5851" s="242"/>
      <c r="J5851" s="242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</row>
    <row r="5852" spans="1:26" hidden="1">
      <c r="A5852"/>
      <c r="B5852" s="249"/>
      <c r="C5852"/>
      <c r="D5852"/>
      <c r="E5852"/>
      <c r="F5852" s="242"/>
      <c r="G5852"/>
      <c r="H5852" s="242"/>
      <c r="I5852" s="242"/>
      <c r="J5852" s="242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</row>
    <row r="5853" spans="1:26" hidden="1">
      <c r="A5853"/>
      <c r="B5853" s="249"/>
      <c r="C5853"/>
      <c r="D5853"/>
      <c r="E5853"/>
      <c r="F5853" s="242"/>
      <c r="G5853"/>
      <c r="H5853" s="242"/>
      <c r="I5853" s="242"/>
      <c r="J5853" s="242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</row>
    <row r="5854" spans="1:26" hidden="1">
      <c r="A5854"/>
      <c r="B5854" s="249"/>
      <c r="C5854"/>
      <c r="D5854"/>
      <c r="E5854"/>
      <c r="F5854" s="242"/>
      <c r="G5854"/>
      <c r="H5854" s="242"/>
      <c r="I5854" s="242"/>
      <c r="J5854" s="242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</row>
    <row r="5855" spans="1:26" hidden="1">
      <c r="A5855"/>
      <c r="B5855" s="249"/>
      <c r="C5855"/>
      <c r="D5855"/>
      <c r="E5855"/>
      <c r="F5855" s="242"/>
      <c r="G5855"/>
      <c r="H5855" s="242"/>
      <c r="I5855" s="242"/>
      <c r="J5855" s="242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</row>
    <row r="5856" spans="1:26" hidden="1">
      <c r="A5856"/>
      <c r="B5856" s="249"/>
      <c r="C5856"/>
      <c r="D5856"/>
      <c r="E5856"/>
      <c r="F5856" s="242"/>
      <c r="G5856"/>
      <c r="H5856" s="242"/>
      <c r="I5856" s="242"/>
      <c r="J5856" s="242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</row>
    <row r="5857" spans="1:26" hidden="1">
      <c r="A5857"/>
      <c r="B5857" s="249"/>
      <c r="C5857"/>
      <c r="D5857"/>
      <c r="E5857"/>
      <c r="F5857" s="242"/>
      <c r="G5857"/>
      <c r="H5857" s="242"/>
      <c r="I5857" s="242"/>
      <c r="J5857" s="242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</row>
    <row r="5858" spans="1:26" hidden="1">
      <c r="A5858"/>
      <c r="B5858" s="249"/>
      <c r="C5858"/>
      <c r="D5858"/>
      <c r="E5858"/>
      <c r="F5858" s="242"/>
      <c r="G5858"/>
      <c r="H5858" s="242"/>
      <c r="I5858" s="242"/>
      <c r="J5858" s="242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</row>
    <row r="5859" spans="1:26" hidden="1">
      <c r="A5859"/>
      <c r="B5859" s="249"/>
      <c r="C5859"/>
      <c r="D5859"/>
      <c r="E5859"/>
      <c r="F5859" s="242"/>
      <c r="G5859"/>
      <c r="H5859" s="242"/>
      <c r="I5859" s="242"/>
      <c r="J5859" s="242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</row>
    <row r="5860" spans="1:26" hidden="1">
      <c r="A5860"/>
      <c r="B5860" s="249"/>
      <c r="C5860"/>
      <c r="D5860"/>
      <c r="E5860"/>
      <c r="F5860" s="242"/>
      <c r="G5860"/>
      <c r="H5860" s="242"/>
      <c r="I5860" s="242"/>
      <c r="J5860" s="242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</row>
    <row r="5861" spans="1:26" hidden="1">
      <c r="A5861"/>
      <c r="B5861" s="249"/>
      <c r="C5861"/>
      <c r="D5861"/>
      <c r="E5861"/>
      <c r="F5861" s="242"/>
      <c r="G5861"/>
      <c r="H5861" s="242"/>
      <c r="I5861" s="242"/>
      <c r="J5861" s="242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</row>
    <row r="5862" spans="1:26" hidden="1">
      <c r="A5862"/>
      <c r="B5862" s="249"/>
      <c r="C5862"/>
      <c r="D5862"/>
      <c r="E5862"/>
      <c r="F5862" s="242"/>
      <c r="G5862"/>
      <c r="H5862" s="242"/>
      <c r="I5862" s="242"/>
      <c r="J5862" s="242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</row>
    <row r="5863" spans="1:26" hidden="1">
      <c r="A5863"/>
      <c r="B5863" s="249"/>
      <c r="C5863"/>
      <c r="D5863"/>
      <c r="E5863"/>
      <c r="F5863" s="242"/>
      <c r="G5863"/>
      <c r="H5863" s="242"/>
      <c r="I5863" s="242"/>
      <c r="J5863" s="242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</row>
    <row r="5864" spans="1:26" hidden="1">
      <c r="A5864"/>
      <c r="B5864" s="249"/>
      <c r="C5864"/>
      <c r="D5864"/>
      <c r="E5864"/>
      <c r="F5864" s="242"/>
      <c r="G5864"/>
      <c r="H5864" s="242"/>
      <c r="I5864" s="242"/>
      <c r="J5864" s="242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</row>
    <row r="5865" spans="1:26" hidden="1">
      <c r="A5865"/>
      <c r="B5865" s="249"/>
      <c r="C5865"/>
      <c r="D5865"/>
      <c r="E5865"/>
      <c r="F5865" s="242"/>
      <c r="G5865"/>
      <c r="H5865" s="242"/>
      <c r="I5865" s="242"/>
      <c r="J5865" s="242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</row>
    <row r="5866" spans="1:26" hidden="1">
      <c r="A5866"/>
      <c r="B5866" s="249"/>
      <c r="C5866"/>
      <c r="D5866"/>
      <c r="E5866"/>
      <c r="F5866" s="242"/>
      <c r="G5866"/>
      <c r="H5866" s="242"/>
      <c r="I5866" s="242"/>
      <c r="J5866" s="242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</row>
    <row r="5867" spans="1:26" hidden="1">
      <c r="A5867"/>
      <c r="B5867" s="249"/>
      <c r="C5867"/>
      <c r="D5867"/>
      <c r="E5867"/>
      <c r="F5867" s="242"/>
      <c r="G5867"/>
      <c r="H5867" s="242"/>
      <c r="I5867" s="242"/>
      <c r="J5867" s="242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</row>
    <row r="5868" spans="1:26" hidden="1">
      <c r="A5868"/>
      <c r="B5868" s="249"/>
      <c r="C5868"/>
      <c r="D5868"/>
      <c r="E5868"/>
      <c r="F5868" s="242"/>
      <c r="G5868"/>
      <c r="H5868" s="242"/>
      <c r="I5868" s="242"/>
      <c r="J5868" s="242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</row>
    <row r="5869" spans="1:26" hidden="1">
      <c r="A5869"/>
      <c r="B5869" s="249"/>
      <c r="C5869"/>
      <c r="D5869"/>
      <c r="E5869"/>
      <c r="F5869" s="242"/>
      <c r="G5869"/>
      <c r="H5869" s="242"/>
      <c r="I5869" s="242"/>
      <c r="J5869" s="242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</row>
    <row r="5870" spans="1:26" hidden="1">
      <c r="A5870"/>
      <c r="B5870" s="249"/>
      <c r="C5870"/>
      <c r="D5870"/>
      <c r="E5870"/>
      <c r="F5870" s="242"/>
      <c r="G5870"/>
      <c r="H5870" s="242"/>
      <c r="I5870" s="242"/>
      <c r="J5870" s="242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</row>
    <row r="5871" spans="1:26" hidden="1">
      <c r="A5871"/>
      <c r="B5871" s="249"/>
      <c r="C5871"/>
      <c r="D5871"/>
      <c r="E5871"/>
      <c r="F5871" s="242"/>
      <c r="G5871"/>
      <c r="H5871" s="242"/>
      <c r="I5871" s="242"/>
      <c r="J5871" s="242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</row>
    <row r="5872" spans="1:26" hidden="1">
      <c r="A5872"/>
      <c r="B5872" s="249"/>
      <c r="C5872"/>
      <c r="D5872"/>
      <c r="E5872"/>
      <c r="F5872" s="242"/>
      <c r="G5872"/>
      <c r="H5872" s="242"/>
      <c r="I5872" s="242"/>
      <c r="J5872" s="242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</row>
    <row r="5873" spans="1:26" hidden="1">
      <c r="A5873"/>
      <c r="B5873" s="249"/>
      <c r="C5873"/>
      <c r="D5873"/>
      <c r="E5873"/>
      <c r="F5873" s="242"/>
      <c r="G5873"/>
      <c r="H5873" s="242"/>
      <c r="I5873" s="242"/>
      <c r="J5873" s="242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</row>
    <row r="5874" spans="1:26" hidden="1">
      <c r="A5874"/>
      <c r="B5874" s="249"/>
      <c r="C5874"/>
      <c r="D5874"/>
      <c r="E5874"/>
      <c r="F5874" s="242"/>
      <c r="G5874"/>
      <c r="H5874" s="242"/>
      <c r="I5874" s="242"/>
      <c r="J5874" s="242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</row>
    <row r="5875" spans="1:26" hidden="1">
      <c r="A5875"/>
      <c r="B5875" s="249"/>
      <c r="C5875"/>
      <c r="D5875"/>
      <c r="E5875"/>
      <c r="F5875" s="242"/>
      <c r="G5875"/>
      <c r="H5875" s="242"/>
      <c r="I5875" s="242"/>
      <c r="J5875" s="242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</row>
    <row r="5876" spans="1:26" hidden="1">
      <c r="A5876"/>
      <c r="B5876" s="249"/>
      <c r="C5876"/>
      <c r="D5876"/>
      <c r="E5876"/>
      <c r="F5876" s="242"/>
      <c r="G5876"/>
      <c r="H5876" s="242"/>
      <c r="I5876" s="242"/>
      <c r="J5876" s="242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</row>
    <row r="5877" spans="1:26" hidden="1">
      <c r="A5877"/>
      <c r="B5877" s="249"/>
      <c r="C5877"/>
      <c r="D5877"/>
      <c r="E5877"/>
      <c r="F5877" s="242"/>
      <c r="G5877"/>
      <c r="H5877" s="242"/>
      <c r="I5877" s="242"/>
      <c r="J5877" s="242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</row>
    <row r="5878" spans="1:26" hidden="1">
      <c r="A5878"/>
      <c r="B5878" s="249"/>
      <c r="C5878"/>
      <c r="D5878"/>
      <c r="E5878"/>
      <c r="F5878" s="242"/>
      <c r="G5878"/>
      <c r="H5878" s="242"/>
      <c r="I5878" s="242"/>
      <c r="J5878" s="242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</row>
    <row r="5879" spans="1:26" hidden="1">
      <c r="A5879"/>
      <c r="B5879" s="249"/>
      <c r="C5879"/>
      <c r="D5879"/>
      <c r="E5879"/>
      <c r="F5879" s="242"/>
      <c r="G5879"/>
      <c r="H5879" s="242"/>
      <c r="I5879" s="242"/>
      <c r="J5879" s="242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</row>
    <row r="5880" spans="1:26" hidden="1">
      <c r="A5880"/>
      <c r="B5880" s="249"/>
      <c r="C5880"/>
      <c r="D5880"/>
      <c r="E5880"/>
      <c r="F5880" s="242"/>
      <c r="G5880"/>
      <c r="H5880" s="242"/>
      <c r="I5880" s="242"/>
      <c r="J5880" s="242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</row>
    <row r="5881" spans="1:26" hidden="1">
      <c r="A5881"/>
      <c r="B5881" s="249"/>
      <c r="C5881"/>
      <c r="D5881"/>
      <c r="E5881"/>
      <c r="F5881" s="242"/>
      <c r="G5881"/>
      <c r="H5881" s="242"/>
      <c r="I5881" s="242"/>
      <c r="J5881" s="242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</row>
    <row r="5882" spans="1:26" hidden="1">
      <c r="A5882"/>
      <c r="B5882" s="249"/>
      <c r="C5882"/>
      <c r="D5882"/>
      <c r="E5882"/>
      <c r="F5882" s="242"/>
      <c r="G5882"/>
      <c r="H5882" s="242"/>
      <c r="I5882" s="242"/>
      <c r="J5882" s="242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</row>
    <row r="5883" spans="1:26" hidden="1">
      <c r="A5883"/>
      <c r="B5883" s="249"/>
      <c r="C5883"/>
      <c r="D5883"/>
      <c r="E5883"/>
      <c r="F5883" s="242"/>
      <c r="G5883"/>
      <c r="H5883" s="242"/>
      <c r="I5883" s="242"/>
      <c r="J5883" s="242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</row>
    <row r="5884" spans="1:26" hidden="1">
      <c r="A5884"/>
      <c r="B5884" s="249"/>
      <c r="C5884"/>
      <c r="D5884"/>
      <c r="E5884"/>
      <c r="F5884" s="242"/>
      <c r="G5884"/>
      <c r="H5884" s="242"/>
      <c r="I5884" s="242"/>
      <c r="J5884" s="242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</row>
    <row r="5885" spans="1:26" hidden="1">
      <c r="A5885"/>
      <c r="B5885" s="249"/>
      <c r="C5885"/>
      <c r="D5885"/>
      <c r="E5885"/>
      <c r="F5885" s="242"/>
      <c r="G5885"/>
      <c r="H5885" s="242"/>
      <c r="I5885" s="242"/>
      <c r="J5885" s="242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</row>
    <row r="5886" spans="1:26" hidden="1">
      <c r="A5886"/>
      <c r="B5886" s="249"/>
      <c r="C5886"/>
      <c r="D5886"/>
      <c r="E5886"/>
      <c r="F5886" s="242"/>
      <c r="G5886"/>
      <c r="H5886" s="242"/>
      <c r="I5886" s="242"/>
      <c r="J5886" s="242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</row>
    <row r="5887" spans="1:26" hidden="1">
      <c r="A5887"/>
      <c r="B5887" s="249"/>
      <c r="C5887"/>
      <c r="D5887"/>
      <c r="E5887"/>
      <c r="F5887" s="242"/>
      <c r="G5887"/>
      <c r="H5887" s="242"/>
      <c r="I5887" s="242"/>
      <c r="J5887" s="242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</row>
    <row r="5888" spans="1:26" hidden="1">
      <c r="A5888"/>
      <c r="B5888" s="249"/>
      <c r="C5888"/>
      <c r="D5888"/>
      <c r="E5888"/>
      <c r="F5888" s="242"/>
      <c r="G5888"/>
      <c r="H5888" s="242"/>
      <c r="I5888" s="242"/>
      <c r="J5888" s="242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</row>
    <row r="5889" spans="1:26" hidden="1">
      <c r="A5889"/>
      <c r="B5889" s="249"/>
      <c r="C5889"/>
      <c r="D5889"/>
      <c r="E5889"/>
      <c r="F5889" s="242"/>
      <c r="G5889"/>
      <c r="H5889" s="242"/>
      <c r="I5889" s="242"/>
      <c r="J5889" s="242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</row>
    <row r="5890" spans="1:26" hidden="1">
      <c r="A5890"/>
      <c r="B5890" s="249"/>
      <c r="C5890"/>
      <c r="D5890"/>
      <c r="E5890"/>
      <c r="F5890" s="242"/>
      <c r="G5890"/>
      <c r="H5890" s="242"/>
      <c r="I5890" s="242"/>
      <c r="J5890" s="242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</row>
    <row r="5891" spans="1:26" hidden="1">
      <c r="A5891"/>
      <c r="B5891" s="249"/>
      <c r="C5891"/>
      <c r="D5891"/>
      <c r="E5891"/>
      <c r="F5891" s="242"/>
      <c r="G5891"/>
      <c r="H5891" s="242"/>
      <c r="I5891" s="242"/>
      <c r="J5891" s="242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</row>
    <row r="5892" spans="1:26" hidden="1">
      <c r="A5892"/>
      <c r="B5892" s="249"/>
      <c r="C5892"/>
      <c r="D5892"/>
      <c r="E5892"/>
      <c r="F5892" s="242"/>
      <c r="G5892"/>
      <c r="H5892" s="242"/>
      <c r="I5892" s="242"/>
      <c r="J5892" s="242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</row>
    <row r="5893" spans="1:26" hidden="1">
      <c r="A5893"/>
      <c r="B5893" s="249"/>
      <c r="C5893"/>
      <c r="D5893"/>
      <c r="E5893"/>
      <c r="F5893" s="242"/>
      <c r="G5893"/>
      <c r="H5893" s="242"/>
      <c r="I5893" s="242"/>
      <c r="J5893" s="242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</row>
    <row r="5894" spans="1:26" hidden="1">
      <c r="A5894"/>
      <c r="B5894" s="249"/>
      <c r="C5894"/>
      <c r="D5894"/>
      <c r="E5894"/>
      <c r="F5894" s="242"/>
      <c r="G5894"/>
      <c r="H5894" s="242"/>
      <c r="I5894" s="242"/>
      <c r="J5894" s="242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</row>
    <row r="5895" spans="1:26" hidden="1">
      <c r="A5895"/>
      <c r="B5895" s="249"/>
      <c r="C5895"/>
      <c r="D5895"/>
      <c r="E5895"/>
      <c r="F5895" s="242"/>
      <c r="G5895"/>
      <c r="H5895" s="242"/>
      <c r="I5895" s="242"/>
      <c r="J5895" s="242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</row>
    <row r="5896" spans="1:26" hidden="1">
      <c r="A5896"/>
      <c r="B5896" s="249"/>
      <c r="C5896"/>
      <c r="D5896"/>
      <c r="E5896"/>
      <c r="F5896" s="242"/>
      <c r="G5896"/>
      <c r="H5896" s="242"/>
      <c r="I5896" s="242"/>
      <c r="J5896" s="242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</row>
    <row r="5897" spans="1:26" hidden="1">
      <c r="A5897"/>
      <c r="B5897" s="249"/>
      <c r="C5897"/>
      <c r="D5897"/>
      <c r="E5897"/>
      <c r="F5897" s="242"/>
      <c r="G5897"/>
      <c r="H5897" s="242"/>
      <c r="I5897" s="242"/>
      <c r="J5897" s="242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</row>
    <row r="5898" spans="1:26" hidden="1">
      <c r="A5898"/>
      <c r="B5898" s="249"/>
      <c r="C5898"/>
      <c r="D5898"/>
      <c r="E5898"/>
      <c r="F5898" s="242"/>
      <c r="G5898"/>
      <c r="H5898" s="242"/>
      <c r="I5898" s="242"/>
      <c r="J5898" s="242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</row>
    <row r="5899" spans="1:26" hidden="1">
      <c r="A5899"/>
      <c r="B5899" s="249"/>
      <c r="C5899"/>
      <c r="D5899"/>
      <c r="E5899"/>
      <c r="F5899" s="242"/>
      <c r="G5899"/>
      <c r="H5899" s="242"/>
      <c r="I5899" s="242"/>
      <c r="J5899" s="242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</row>
    <row r="5900" spans="1:26" hidden="1">
      <c r="A5900"/>
      <c r="B5900" s="249"/>
      <c r="C5900"/>
      <c r="D5900"/>
      <c r="E5900"/>
      <c r="F5900" s="242"/>
      <c r="G5900"/>
      <c r="H5900" s="242"/>
      <c r="I5900" s="242"/>
      <c r="J5900" s="242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</row>
    <row r="5901" spans="1:26" hidden="1">
      <c r="A5901"/>
      <c r="B5901" s="249"/>
      <c r="C5901"/>
      <c r="D5901"/>
      <c r="E5901"/>
      <c r="F5901" s="242"/>
      <c r="G5901"/>
      <c r="H5901" s="242"/>
      <c r="I5901" s="242"/>
      <c r="J5901" s="242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</row>
    <row r="5902" spans="1:26" hidden="1">
      <c r="A5902"/>
      <c r="B5902" s="249"/>
      <c r="C5902"/>
      <c r="D5902"/>
      <c r="E5902"/>
      <c r="F5902" s="242"/>
      <c r="G5902"/>
      <c r="H5902" s="242"/>
      <c r="I5902" s="242"/>
      <c r="J5902" s="242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</row>
    <row r="5903" spans="1:26" hidden="1">
      <c r="A5903"/>
      <c r="B5903" s="249"/>
      <c r="C5903"/>
      <c r="D5903"/>
      <c r="E5903"/>
      <c r="F5903" s="242"/>
      <c r="G5903"/>
      <c r="H5903" s="242"/>
      <c r="I5903" s="242"/>
      <c r="J5903" s="242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</row>
    <row r="5904" spans="1:26" hidden="1">
      <c r="A5904"/>
      <c r="B5904" s="249"/>
      <c r="C5904"/>
      <c r="D5904"/>
      <c r="E5904"/>
      <c r="F5904" s="242"/>
      <c r="G5904"/>
      <c r="H5904" s="242"/>
      <c r="I5904" s="242"/>
      <c r="J5904" s="242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</row>
    <row r="5905" spans="1:26" hidden="1">
      <c r="A5905"/>
      <c r="B5905" s="249"/>
      <c r="C5905"/>
      <c r="D5905"/>
      <c r="E5905"/>
      <c r="F5905" s="242"/>
      <c r="G5905"/>
      <c r="H5905" s="242"/>
      <c r="I5905" s="242"/>
      <c r="J5905" s="242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</row>
    <row r="5906" spans="1:26" hidden="1">
      <c r="A5906"/>
      <c r="B5906" s="249"/>
      <c r="C5906"/>
      <c r="D5906"/>
      <c r="E5906"/>
      <c r="F5906" s="242"/>
      <c r="G5906"/>
      <c r="H5906" s="242"/>
      <c r="I5906" s="242"/>
      <c r="J5906" s="242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</row>
    <row r="5907" spans="1:26" hidden="1">
      <c r="A5907"/>
      <c r="B5907" s="249"/>
      <c r="C5907"/>
      <c r="D5907"/>
      <c r="E5907"/>
      <c r="F5907" s="242"/>
      <c r="G5907"/>
      <c r="H5907" s="242"/>
      <c r="I5907" s="242"/>
      <c r="J5907" s="242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</row>
    <row r="5908" spans="1:26" hidden="1">
      <c r="A5908"/>
      <c r="B5908" s="249"/>
      <c r="C5908"/>
      <c r="D5908"/>
      <c r="E5908"/>
      <c r="F5908" s="242"/>
      <c r="G5908"/>
      <c r="H5908" s="242"/>
      <c r="I5908" s="242"/>
      <c r="J5908" s="242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</row>
    <row r="5909" spans="1:26" hidden="1">
      <c r="A5909"/>
      <c r="B5909" s="249"/>
      <c r="C5909"/>
      <c r="D5909"/>
      <c r="E5909"/>
      <c r="F5909" s="242"/>
      <c r="G5909"/>
      <c r="H5909" s="242"/>
      <c r="I5909" s="242"/>
      <c r="J5909" s="242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</row>
    <row r="5910" spans="1:26" hidden="1">
      <c r="A5910"/>
      <c r="B5910" s="249"/>
      <c r="C5910"/>
      <c r="D5910"/>
      <c r="E5910"/>
      <c r="F5910" s="242"/>
      <c r="G5910"/>
      <c r="H5910" s="242"/>
      <c r="I5910" s="242"/>
      <c r="J5910" s="242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</row>
    <row r="5911" spans="1:26" hidden="1">
      <c r="A5911"/>
      <c r="B5911" s="249"/>
      <c r="C5911"/>
      <c r="D5911"/>
      <c r="E5911"/>
      <c r="F5911" s="242"/>
      <c r="G5911"/>
      <c r="H5911" s="242"/>
      <c r="I5911" s="242"/>
      <c r="J5911" s="242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</row>
    <row r="5912" spans="1:26" hidden="1">
      <c r="A5912"/>
      <c r="B5912" s="249"/>
      <c r="C5912"/>
      <c r="D5912"/>
      <c r="E5912"/>
      <c r="F5912" s="242"/>
      <c r="G5912"/>
      <c r="H5912" s="242"/>
      <c r="I5912" s="242"/>
      <c r="J5912" s="242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</row>
    <row r="5913" spans="1:26" hidden="1">
      <c r="A5913"/>
      <c r="B5913" s="249"/>
      <c r="C5913"/>
      <c r="D5913"/>
      <c r="E5913"/>
      <c r="F5913" s="242"/>
      <c r="G5913"/>
      <c r="H5913" s="242"/>
      <c r="I5913" s="242"/>
      <c r="J5913" s="242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</row>
    <row r="5914" spans="1:26" hidden="1">
      <c r="A5914"/>
      <c r="B5914" s="249"/>
      <c r="C5914"/>
      <c r="D5914"/>
      <c r="E5914"/>
      <c r="F5914" s="242"/>
      <c r="G5914"/>
      <c r="H5914" s="242"/>
      <c r="I5914" s="242"/>
      <c r="J5914" s="242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</row>
    <row r="5915" spans="1:26" hidden="1">
      <c r="A5915"/>
      <c r="B5915" s="249"/>
      <c r="C5915"/>
      <c r="D5915"/>
      <c r="E5915"/>
      <c r="F5915" s="242"/>
      <c r="G5915"/>
      <c r="H5915" s="242"/>
      <c r="I5915" s="242"/>
      <c r="J5915" s="242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</row>
    <row r="5916" spans="1:26" hidden="1">
      <c r="A5916"/>
      <c r="B5916" s="249"/>
      <c r="C5916"/>
      <c r="D5916"/>
      <c r="E5916"/>
      <c r="F5916" s="242"/>
      <c r="G5916"/>
      <c r="H5916" s="242"/>
      <c r="I5916" s="242"/>
      <c r="J5916" s="242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</row>
    <row r="5917" spans="1:26" hidden="1">
      <c r="A5917"/>
      <c r="B5917" s="249"/>
      <c r="C5917"/>
      <c r="D5917"/>
      <c r="E5917"/>
      <c r="F5917" s="242"/>
      <c r="G5917"/>
      <c r="H5917" s="242"/>
      <c r="I5917" s="242"/>
      <c r="J5917" s="242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</row>
    <row r="5918" spans="1:26" hidden="1">
      <c r="A5918"/>
      <c r="B5918" s="249"/>
      <c r="C5918"/>
      <c r="D5918"/>
      <c r="E5918"/>
      <c r="F5918" s="242"/>
      <c r="G5918"/>
      <c r="H5918" s="242"/>
      <c r="I5918" s="242"/>
      <c r="J5918" s="242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</row>
    <row r="5919" spans="1:26" hidden="1">
      <c r="A5919"/>
      <c r="B5919" s="249"/>
      <c r="C5919"/>
      <c r="D5919"/>
      <c r="E5919"/>
      <c r="F5919" s="242"/>
      <c r="G5919"/>
      <c r="H5919" s="242"/>
      <c r="I5919" s="242"/>
      <c r="J5919" s="242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</row>
    <row r="5920" spans="1:26" hidden="1">
      <c r="A5920"/>
      <c r="B5920" s="249"/>
      <c r="C5920"/>
      <c r="D5920"/>
      <c r="E5920"/>
      <c r="F5920" s="242"/>
      <c r="G5920"/>
      <c r="H5920" s="242"/>
      <c r="I5920" s="242"/>
      <c r="J5920" s="242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</row>
    <row r="5921" spans="1:26" hidden="1">
      <c r="A5921"/>
      <c r="B5921" s="249"/>
      <c r="C5921"/>
      <c r="D5921"/>
      <c r="E5921"/>
      <c r="F5921" s="242"/>
      <c r="G5921"/>
      <c r="H5921" s="242"/>
      <c r="I5921" s="242"/>
      <c r="J5921" s="242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</row>
    <row r="5922" spans="1:26" hidden="1">
      <c r="A5922"/>
      <c r="B5922" s="249"/>
      <c r="C5922"/>
      <c r="D5922"/>
      <c r="E5922"/>
      <c r="F5922" s="242"/>
      <c r="G5922"/>
      <c r="H5922" s="242"/>
      <c r="I5922" s="242"/>
      <c r="J5922" s="242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</row>
    <row r="5923" spans="1:26" hidden="1">
      <c r="A5923"/>
      <c r="B5923" s="249"/>
      <c r="C5923"/>
      <c r="D5923"/>
      <c r="E5923"/>
      <c r="F5923" s="242"/>
      <c r="G5923"/>
      <c r="H5923" s="242"/>
      <c r="I5923" s="242"/>
      <c r="J5923" s="242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</row>
    <row r="5924" spans="1:26" hidden="1">
      <c r="A5924"/>
      <c r="B5924" s="249"/>
      <c r="C5924"/>
      <c r="D5924"/>
      <c r="E5924"/>
      <c r="F5924" s="242"/>
      <c r="G5924"/>
      <c r="H5924" s="242"/>
      <c r="I5924" s="242"/>
      <c r="J5924" s="242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</row>
    <row r="5925" spans="1:26" hidden="1">
      <c r="A5925"/>
      <c r="B5925" s="249"/>
      <c r="C5925"/>
      <c r="D5925"/>
      <c r="E5925"/>
      <c r="F5925" s="242"/>
      <c r="G5925"/>
      <c r="H5925" s="242"/>
      <c r="I5925" s="242"/>
      <c r="J5925" s="242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</row>
    <row r="5926" spans="1:26" hidden="1">
      <c r="A5926"/>
      <c r="B5926" s="249"/>
      <c r="C5926"/>
      <c r="D5926"/>
      <c r="E5926"/>
      <c r="F5926" s="242"/>
      <c r="G5926"/>
      <c r="H5926" s="242"/>
      <c r="I5926" s="242"/>
      <c r="J5926" s="242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</row>
    <row r="5927" spans="1:26" hidden="1">
      <c r="A5927"/>
      <c r="B5927" s="249"/>
      <c r="C5927"/>
      <c r="D5927"/>
      <c r="E5927"/>
      <c r="F5927" s="242"/>
      <c r="G5927"/>
      <c r="H5927" s="242"/>
      <c r="I5927" s="242"/>
      <c r="J5927" s="242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</row>
    <row r="5928" spans="1:26" hidden="1">
      <c r="A5928"/>
      <c r="B5928" s="249"/>
      <c r="C5928"/>
      <c r="D5928"/>
      <c r="E5928"/>
      <c r="F5928" s="242"/>
      <c r="G5928"/>
      <c r="H5928" s="242"/>
      <c r="I5928" s="242"/>
      <c r="J5928" s="242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</row>
    <row r="5929" spans="1:26" hidden="1">
      <c r="A5929"/>
      <c r="B5929" s="249"/>
      <c r="C5929"/>
      <c r="D5929"/>
      <c r="E5929"/>
      <c r="F5929" s="242"/>
      <c r="G5929"/>
      <c r="H5929" s="242"/>
      <c r="I5929" s="242"/>
      <c r="J5929" s="242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</row>
    <row r="5930" spans="1:26" hidden="1">
      <c r="A5930"/>
      <c r="B5930" s="249"/>
      <c r="C5930"/>
      <c r="D5930"/>
      <c r="E5930"/>
      <c r="F5930" s="242"/>
      <c r="G5930"/>
      <c r="H5930" s="242"/>
      <c r="I5930" s="242"/>
      <c r="J5930" s="242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</row>
    <row r="5931" spans="1:26" hidden="1">
      <c r="A5931"/>
      <c r="B5931" s="249"/>
      <c r="C5931"/>
      <c r="D5931"/>
      <c r="E5931"/>
      <c r="F5931" s="242"/>
      <c r="G5931"/>
      <c r="H5931" s="242"/>
      <c r="I5931" s="242"/>
      <c r="J5931" s="242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</row>
    <row r="5932" spans="1:26" hidden="1">
      <c r="A5932"/>
      <c r="B5932" s="249"/>
      <c r="C5932"/>
      <c r="D5932"/>
      <c r="E5932"/>
      <c r="F5932" s="242"/>
      <c r="G5932"/>
      <c r="H5932" s="242"/>
      <c r="I5932" s="242"/>
      <c r="J5932" s="242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</row>
    <row r="5933" spans="1:26" hidden="1">
      <c r="A5933"/>
      <c r="B5933" s="249"/>
      <c r="C5933"/>
      <c r="D5933"/>
      <c r="E5933"/>
      <c r="F5933" s="242"/>
      <c r="G5933"/>
      <c r="H5933" s="242"/>
      <c r="I5933" s="242"/>
      <c r="J5933" s="242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</row>
    <row r="5934" spans="1:26" hidden="1">
      <c r="A5934"/>
      <c r="B5934" s="249"/>
      <c r="C5934"/>
      <c r="D5934"/>
      <c r="E5934"/>
      <c r="F5934" s="242"/>
      <c r="G5934"/>
      <c r="H5934" s="242"/>
      <c r="I5934" s="242"/>
      <c r="J5934" s="242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</row>
    <row r="5935" spans="1:26" hidden="1">
      <c r="A5935"/>
      <c r="B5935" s="249"/>
      <c r="C5935"/>
      <c r="D5935"/>
      <c r="E5935"/>
      <c r="F5935" s="242"/>
      <c r="G5935"/>
      <c r="H5935" s="242"/>
      <c r="I5935" s="242"/>
      <c r="J5935" s="242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</row>
    <row r="5936" spans="1:26" hidden="1">
      <c r="A5936"/>
      <c r="B5936" s="249"/>
      <c r="C5936"/>
      <c r="D5936"/>
      <c r="E5936"/>
      <c r="F5936" s="242"/>
      <c r="G5936"/>
      <c r="H5936" s="242"/>
      <c r="I5936" s="242"/>
      <c r="J5936" s="242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</row>
    <row r="5937" spans="1:26" hidden="1">
      <c r="A5937"/>
      <c r="B5937" s="249"/>
      <c r="C5937"/>
      <c r="D5937"/>
      <c r="E5937"/>
      <c r="F5937" s="242"/>
      <c r="G5937"/>
      <c r="H5937" s="242"/>
      <c r="I5937" s="242"/>
      <c r="J5937" s="242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</row>
    <row r="5938" spans="1:26" hidden="1">
      <c r="A5938"/>
      <c r="B5938" s="249"/>
      <c r="C5938"/>
      <c r="D5938"/>
      <c r="E5938"/>
      <c r="F5938" s="242"/>
      <c r="G5938"/>
      <c r="H5938" s="242"/>
      <c r="I5938" s="242"/>
      <c r="J5938" s="242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</row>
    <row r="5939" spans="1:26" hidden="1">
      <c r="A5939"/>
      <c r="B5939" s="249"/>
      <c r="C5939"/>
      <c r="D5939"/>
      <c r="E5939"/>
      <c r="F5939" s="242"/>
      <c r="G5939"/>
      <c r="H5939" s="242"/>
      <c r="I5939" s="242"/>
      <c r="J5939" s="242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</row>
    <row r="5940" spans="1:26" hidden="1">
      <c r="A5940"/>
      <c r="B5940" s="249"/>
      <c r="C5940"/>
      <c r="D5940"/>
      <c r="E5940"/>
      <c r="F5940" s="242"/>
      <c r="G5940"/>
      <c r="H5940" s="242"/>
      <c r="I5940" s="242"/>
      <c r="J5940" s="242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</row>
    <row r="5941" spans="1:26" hidden="1">
      <c r="A5941"/>
      <c r="B5941" s="249"/>
      <c r="C5941"/>
      <c r="D5941"/>
      <c r="E5941"/>
      <c r="F5941" s="242"/>
      <c r="G5941"/>
      <c r="H5941" s="242"/>
      <c r="I5941" s="242"/>
      <c r="J5941" s="242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</row>
    <row r="5942" spans="1:26" hidden="1">
      <c r="A5942"/>
      <c r="B5942" s="249"/>
      <c r="C5942"/>
      <c r="D5942"/>
      <c r="E5942"/>
      <c r="F5942" s="242"/>
      <c r="G5942"/>
      <c r="H5942" s="242"/>
      <c r="I5942" s="242"/>
      <c r="J5942" s="242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</row>
    <row r="5943" spans="1:26" hidden="1">
      <c r="A5943"/>
      <c r="B5943" s="249"/>
      <c r="C5943"/>
      <c r="D5943"/>
      <c r="E5943"/>
      <c r="F5943" s="242"/>
      <c r="G5943"/>
      <c r="H5943" s="242"/>
      <c r="I5943" s="242"/>
      <c r="J5943" s="242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</row>
    <row r="5944" spans="1:26" hidden="1">
      <c r="A5944"/>
      <c r="B5944" s="249"/>
      <c r="C5944"/>
      <c r="D5944"/>
      <c r="E5944"/>
      <c r="F5944" s="242"/>
      <c r="G5944"/>
      <c r="H5944" s="242"/>
      <c r="I5944" s="242"/>
      <c r="J5944" s="242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</row>
    <row r="5945" spans="1:26" hidden="1">
      <c r="A5945"/>
      <c r="B5945" s="249"/>
      <c r="C5945"/>
      <c r="D5945"/>
      <c r="E5945"/>
      <c r="F5945" s="242"/>
      <c r="G5945"/>
      <c r="H5945" s="242"/>
      <c r="I5945" s="242"/>
      <c r="J5945" s="242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</row>
    <row r="5946" spans="1:26" hidden="1">
      <c r="A5946"/>
      <c r="B5946" s="249"/>
      <c r="C5946"/>
      <c r="D5946"/>
      <c r="E5946"/>
      <c r="F5946" s="242"/>
      <c r="G5946"/>
      <c r="H5946" s="242"/>
      <c r="I5946" s="242"/>
      <c r="J5946" s="242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</row>
    <row r="5947" spans="1:26" hidden="1">
      <c r="A5947"/>
      <c r="B5947" s="249"/>
      <c r="C5947"/>
      <c r="D5947"/>
      <c r="E5947"/>
      <c r="F5947" s="242"/>
      <c r="G5947"/>
      <c r="H5947" s="242"/>
      <c r="I5947" s="242"/>
      <c r="J5947" s="242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</row>
    <row r="5948" spans="1:26" hidden="1">
      <c r="A5948"/>
      <c r="B5948" s="249"/>
      <c r="C5948"/>
      <c r="D5948"/>
      <c r="E5948"/>
      <c r="F5948" s="242"/>
      <c r="G5948"/>
      <c r="H5948" s="242"/>
      <c r="I5948" s="242"/>
      <c r="J5948" s="242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</row>
    <row r="5949" spans="1:26" hidden="1">
      <c r="A5949"/>
      <c r="B5949" s="249"/>
      <c r="C5949"/>
      <c r="D5949"/>
      <c r="E5949"/>
      <c r="F5949" s="242"/>
      <c r="G5949"/>
      <c r="H5949" s="242"/>
      <c r="I5949" s="242"/>
      <c r="J5949" s="242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</row>
    <row r="5950" spans="1:26" hidden="1">
      <c r="A5950"/>
      <c r="B5950" s="249"/>
      <c r="C5950"/>
      <c r="D5950"/>
      <c r="E5950"/>
      <c r="F5950" s="242"/>
      <c r="G5950"/>
      <c r="H5950" s="242"/>
      <c r="I5950" s="242"/>
      <c r="J5950" s="242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</row>
    <row r="5951" spans="1:26" hidden="1">
      <c r="A5951"/>
      <c r="B5951" s="249"/>
      <c r="C5951"/>
      <c r="D5951"/>
      <c r="E5951"/>
      <c r="F5951" s="242"/>
      <c r="G5951"/>
      <c r="H5951" s="242"/>
      <c r="I5951" s="242"/>
      <c r="J5951" s="242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</row>
    <row r="5952" spans="1:26" hidden="1">
      <c r="A5952"/>
      <c r="B5952" s="249"/>
      <c r="C5952"/>
      <c r="D5952"/>
      <c r="E5952"/>
      <c r="F5952" s="242"/>
      <c r="G5952"/>
      <c r="H5952" s="242"/>
      <c r="I5952" s="242"/>
      <c r="J5952" s="242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</row>
    <row r="5953" spans="1:26" hidden="1">
      <c r="A5953"/>
      <c r="B5953" s="249"/>
      <c r="C5953"/>
      <c r="D5953"/>
      <c r="E5953"/>
      <c r="F5953" s="242"/>
      <c r="G5953"/>
      <c r="H5953" s="242"/>
      <c r="I5953" s="242"/>
      <c r="J5953" s="242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</row>
    <row r="5954" spans="1:26" hidden="1">
      <c r="A5954"/>
      <c r="B5954" s="249"/>
      <c r="C5954"/>
      <c r="D5954"/>
      <c r="E5954"/>
      <c r="F5954" s="242"/>
      <c r="G5954"/>
      <c r="H5954" s="242"/>
      <c r="I5954" s="242"/>
      <c r="J5954" s="242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</row>
    <row r="5955" spans="1:26" hidden="1">
      <c r="A5955"/>
      <c r="B5955" s="249"/>
      <c r="C5955"/>
      <c r="D5955"/>
      <c r="E5955"/>
      <c r="F5955" s="242"/>
      <c r="G5955"/>
      <c r="H5955" s="242"/>
      <c r="I5955" s="242"/>
      <c r="J5955" s="242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</row>
    <row r="5956" spans="1:26" hidden="1">
      <c r="A5956"/>
      <c r="B5956" s="249"/>
      <c r="C5956"/>
      <c r="D5956"/>
      <c r="E5956"/>
      <c r="F5956" s="242"/>
      <c r="G5956"/>
      <c r="H5956" s="242"/>
      <c r="I5956" s="242"/>
      <c r="J5956" s="242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</row>
    <row r="5957" spans="1:26" hidden="1">
      <c r="A5957"/>
      <c r="B5957" s="249"/>
      <c r="C5957"/>
      <c r="D5957"/>
      <c r="E5957"/>
      <c r="F5957" s="242"/>
      <c r="G5957"/>
      <c r="H5957" s="242"/>
      <c r="I5957" s="242"/>
      <c r="J5957" s="242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</row>
    <row r="5958" spans="1:26" hidden="1">
      <c r="A5958"/>
      <c r="B5958" s="249"/>
      <c r="C5958"/>
      <c r="D5958"/>
      <c r="E5958"/>
      <c r="F5958" s="242"/>
      <c r="G5958"/>
      <c r="H5958" s="242"/>
      <c r="I5958" s="242"/>
      <c r="J5958" s="242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</row>
    <row r="5959" spans="1:26" hidden="1">
      <c r="A5959"/>
      <c r="B5959" s="249"/>
      <c r="C5959"/>
      <c r="D5959"/>
      <c r="E5959"/>
      <c r="F5959" s="242"/>
      <c r="G5959"/>
      <c r="H5959" s="242"/>
      <c r="I5959" s="242"/>
      <c r="J5959" s="242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</row>
    <row r="5960" spans="1:26" hidden="1">
      <c r="A5960"/>
      <c r="B5960" s="249"/>
      <c r="C5960"/>
      <c r="D5960"/>
      <c r="E5960"/>
      <c r="F5960" s="242"/>
      <c r="G5960"/>
      <c r="H5960" s="242"/>
      <c r="I5960" s="242"/>
      <c r="J5960" s="242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</row>
    <row r="5961" spans="1:26" hidden="1">
      <c r="A5961"/>
      <c r="B5961" s="249"/>
      <c r="C5961"/>
      <c r="D5961"/>
      <c r="E5961"/>
      <c r="F5961" s="242"/>
      <c r="G5961"/>
      <c r="H5961" s="242"/>
      <c r="I5961" s="242"/>
      <c r="J5961" s="242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</row>
    <row r="5962" spans="1:26" hidden="1">
      <c r="A5962"/>
      <c r="B5962" s="249"/>
      <c r="C5962"/>
      <c r="D5962"/>
      <c r="E5962"/>
      <c r="F5962" s="242"/>
      <c r="G5962"/>
      <c r="H5962" s="242"/>
      <c r="I5962" s="242"/>
      <c r="J5962" s="242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</row>
    <row r="5963" spans="1:26" hidden="1">
      <c r="A5963"/>
      <c r="B5963" s="249"/>
      <c r="C5963"/>
      <c r="D5963"/>
      <c r="E5963"/>
      <c r="F5963" s="242"/>
      <c r="G5963"/>
      <c r="H5963" s="242"/>
      <c r="I5963" s="242"/>
      <c r="J5963" s="242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</row>
    <row r="5964" spans="1:26" hidden="1">
      <c r="A5964"/>
      <c r="B5964" s="249"/>
      <c r="C5964"/>
      <c r="D5964"/>
      <c r="E5964"/>
      <c r="F5964" s="242"/>
      <c r="G5964"/>
      <c r="H5964" s="242"/>
      <c r="I5964" s="242"/>
      <c r="J5964" s="242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</row>
    <row r="5965" spans="1:26" hidden="1">
      <c r="A5965"/>
      <c r="B5965" s="249"/>
      <c r="C5965"/>
      <c r="D5965"/>
      <c r="E5965"/>
      <c r="F5965" s="242"/>
      <c r="G5965"/>
      <c r="H5965" s="242"/>
      <c r="I5965" s="242"/>
      <c r="J5965" s="242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</row>
    <row r="5966" spans="1:26" hidden="1">
      <c r="A5966"/>
      <c r="B5966" s="249"/>
      <c r="C5966"/>
      <c r="D5966"/>
      <c r="E5966"/>
      <c r="F5966" s="242"/>
      <c r="G5966"/>
      <c r="H5966" s="242"/>
      <c r="I5966" s="242"/>
      <c r="J5966" s="242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</row>
    <row r="5967" spans="1:26" hidden="1">
      <c r="A5967"/>
      <c r="B5967" s="249"/>
      <c r="C5967"/>
      <c r="D5967"/>
      <c r="E5967"/>
      <c r="F5967" s="242"/>
      <c r="G5967"/>
      <c r="H5967" s="242"/>
      <c r="I5967" s="242"/>
      <c r="J5967" s="242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</row>
    <row r="5968" spans="1:26" hidden="1">
      <c r="A5968"/>
      <c r="B5968" s="249"/>
      <c r="C5968"/>
      <c r="D5968"/>
      <c r="E5968"/>
      <c r="F5968" s="242"/>
      <c r="G5968"/>
      <c r="H5968" s="242"/>
      <c r="I5968" s="242"/>
      <c r="J5968" s="242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</row>
    <row r="5969" spans="1:26" hidden="1">
      <c r="A5969"/>
      <c r="B5969" s="249"/>
      <c r="C5969"/>
      <c r="D5969"/>
      <c r="E5969"/>
      <c r="F5969" s="242"/>
      <c r="G5969"/>
      <c r="H5969" s="242"/>
      <c r="I5969" s="242"/>
      <c r="J5969" s="242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</row>
    <row r="5970" spans="1:26" hidden="1">
      <c r="A5970"/>
      <c r="B5970" s="249"/>
      <c r="C5970"/>
      <c r="D5970"/>
      <c r="E5970"/>
      <c r="F5970" s="242"/>
      <c r="G5970"/>
      <c r="H5970" s="242"/>
      <c r="I5970" s="242"/>
      <c r="J5970" s="242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</row>
    <row r="5971" spans="1:26" hidden="1">
      <c r="A5971"/>
      <c r="B5971" s="249"/>
      <c r="C5971"/>
      <c r="D5971"/>
      <c r="E5971"/>
      <c r="F5971" s="242"/>
      <c r="G5971"/>
      <c r="H5971" s="242"/>
      <c r="I5971" s="242"/>
      <c r="J5971" s="242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</row>
    <row r="5972" spans="1:26" hidden="1">
      <c r="A5972"/>
      <c r="B5972" s="249"/>
      <c r="C5972"/>
      <c r="D5972"/>
      <c r="E5972"/>
      <c r="F5972" s="242"/>
      <c r="G5972"/>
      <c r="H5972" s="242"/>
      <c r="I5972" s="242"/>
      <c r="J5972" s="242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</row>
    <row r="5973" spans="1:26" hidden="1">
      <c r="A5973"/>
      <c r="B5973" s="249"/>
      <c r="C5973"/>
      <c r="D5973"/>
      <c r="E5973"/>
      <c r="F5973" s="242"/>
      <c r="G5973"/>
      <c r="H5973" s="242"/>
      <c r="I5973" s="242"/>
      <c r="J5973" s="242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</row>
    <row r="5974" spans="1:26" hidden="1">
      <c r="A5974"/>
      <c r="B5974" s="249"/>
      <c r="C5974"/>
      <c r="D5974"/>
      <c r="E5974"/>
      <c r="F5974" s="242"/>
      <c r="G5974"/>
      <c r="H5974" s="242"/>
      <c r="I5974" s="242"/>
      <c r="J5974" s="242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</row>
    <row r="5975" spans="1:26" hidden="1">
      <c r="A5975"/>
      <c r="B5975" s="249"/>
      <c r="C5975"/>
      <c r="D5975"/>
      <c r="E5975"/>
      <c r="F5975" s="242"/>
      <c r="G5975"/>
      <c r="H5975" s="242"/>
      <c r="I5975" s="242"/>
      <c r="J5975" s="242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</row>
    <row r="5976" spans="1:26" hidden="1">
      <c r="A5976"/>
      <c r="B5976" s="249"/>
      <c r="C5976"/>
      <c r="D5976"/>
      <c r="E5976"/>
      <c r="F5976" s="242"/>
      <c r="G5976"/>
      <c r="H5976" s="242"/>
      <c r="I5976" s="242"/>
      <c r="J5976" s="242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</row>
    <row r="5977" spans="1:26" hidden="1">
      <c r="A5977"/>
      <c r="B5977" s="249"/>
      <c r="C5977"/>
      <c r="D5977"/>
      <c r="E5977"/>
      <c r="F5977" s="242"/>
      <c r="G5977"/>
      <c r="H5977" s="242"/>
      <c r="I5977" s="242"/>
      <c r="J5977" s="242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</row>
    <row r="5978" spans="1:26" hidden="1">
      <c r="A5978"/>
      <c r="B5978" s="249"/>
      <c r="C5978"/>
      <c r="D5978"/>
      <c r="E5978"/>
      <c r="F5978" s="242"/>
      <c r="G5978"/>
      <c r="H5978" s="242"/>
      <c r="I5978" s="242"/>
      <c r="J5978" s="242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</row>
    <row r="5979" spans="1:26" hidden="1">
      <c r="A5979"/>
      <c r="B5979" s="249"/>
      <c r="C5979"/>
      <c r="D5979"/>
      <c r="E5979"/>
      <c r="F5979" s="242"/>
      <c r="G5979"/>
      <c r="H5979" s="242"/>
      <c r="I5979" s="242"/>
      <c r="J5979" s="242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</row>
    <row r="5980" spans="1:26" hidden="1">
      <c r="A5980"/>
      <c r="B5980" s="249"/>
      <c r="C5980"/>
      <c r="D5980"/>
      <c r="E5980"/>
      <c r="F5980" s="242"/>
      <c r="G5980"/>
      <c r="H5980" s="242"/>
      <c r="I5980" s="242"/>
      <c r="J5980" s="242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</row>
    <row r="5981" spans="1:26" hidden="1">
      <c r="A5981"/>
      <c r="B5981" s="249"/>
      <c r="C5981"/>
      <c r="D5981"/>
      <c r="E5981"/>
      <c r="F5981" s="242"/>
      <c r="G5981"/>
      <c r="H5981" s="242"/>
      <c r="I5981" s="242"/>
      <c r="J5981" s="242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</row>
    <row r="5982" spans="1:26" hidden="1">
      <c r="A5982"/>
      <c r="B5982" s="249"/>
      <c r="C5982"/>
      <c r="D5982"/>
      <c r="E5982"/>
      <c r="F5982" s="242"/>
      <c r="G5982"/>
      <c r="H5982" s="242"/>
      <c r="I5982" s="242"/>
      <c r="J5982" s="242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</row>
    <row r="5983" spans="1:26" hidden="1">
      <c r="A5983"/>
      <c r="B5983" s="249"/>
      <c r="C5983"/>
      <c r="D5983"/>
      <c r="E5983"/>
      <c r="F5983" s="242"/>
      <c r="G5983"/>
      <c r="H5983" s="242"/>
      <c r="I5983" s="242"/>
      <c r="J5983" s="242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</row>
    <row r="5984" spans="1:26" hidden="1">
      <c r="A5984"/>
      <c r="B5984" s="249"/>
      <c r="C5984"/>
      <c r="D5984"/>
      <c r="E5984"/>
      <c r="F5984" s="242"/>
      <c r="G5984"/>
      <c r="H5984" s="242"/>
      <c r="I5984" s="242"/>
      <c r="J5984" s="242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</row>
    <row r="5985" spans="1:26" hidden="1">
      <c r="A5985"/>
      <c r="B5985" s="249"/>
      <c r="C5985"/>
      <c r="D5985"/>
      <c r="E5985"/>
      <c r="F5985" s="242"/>
      <c r="G5985"/>
      <c r="H5985" s="242"/>
      <c r="I5985" s="242"/>
      <c r="J5985" s="242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</row>
    <row r="5986" spans="1:26" hidden="1">
      <c r="A5986"/>
      <c r="B5986" s="249"/>
      <c r="C5986"/>
      <c r="D5986"/>
      <c r="E5986"/>
      <c r="F5986" s="242"/>
      <c r="G5986"/>
      <c r="H5986" s="242"/>
      <c r="I5986" s="242"/>
      <c r="J5986" s="242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</row>
    <row r="5987" spans="1:26" hidden="1">
      <c r="A5987"/>
      <c r="B5987" s="249"/>
      <c r="C5987"/>
      <c r="D5987"/>
      <c r="E5987"/>
      <c r="F5987" s="242"/>
      <c r="G5987"/>
      <c r="H5987" s="242"/>
      <c r="I5987" s="242"/>
      <c r="J5987" s="242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</row>
    <row r="5988" spans="1:26" hidden="1">
      <c r="A5988"/>
      <c r="B5988" s="249"/>
      <c r="C5988"/>
      <c r="D5988"/>
      <c r="E5988"/>
      <c r="F5988" s="242"/>
      <c r="G5988"/>
      <c r="H5988" s="242"/>
      <c r="I5988" s="242"/>
      <c r="J5988" s="242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</row>
    <row r="5989" spans="1:26" hidden="1">
      <c r="A5989"/>
      <c r="B5989" s="249"/>
      <c r="C5989"/>
      <c r="D5989"/>
      <c r="E5989"/>
      <c r="F5989" s="242"/>
      <c r="G5989"/>
      <c r="H5989" s="242"/>
      <c r="I5989" s="242"/>
      <c r="J5989" s="242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</row>
    <row r="5990" spans="1:26" hidden="1">
      <c r="A5990"/>
      <c r="B5990" s="249"/>
      <c r="C5990"/>
      <c r="D5990"/>
      <c r="E5990"/>
      <c r="F5990" s="242"/>
      <c r="G5990"/>
      <c r="H5990" s="242"/>
      <c r="I5990" s="242"/>
      <c r="J5990" s="242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</row>
    <row r="5991" spans="1:26" hidden="1">
      <c r="A5991"/>
      <c r="B5991" s="249"/>
      <c r="C5991"/>
      <c r="D5991"/>
      <c r="E5991"/>
      <c r="F5991" s="242"/>
      <c r="G5991"/>
      <c r="H5991" s="242"/>
      <c r="I5991" s="242"/>
      <c r="J5991" s="242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</row>
    <row r="5992" spans="1:26" hidden="1">
      <c r="A5992"/>
      <c r="B5992" s="249"/>
      <c r="C5992"/>
      <c r="D5992"/>
      <c r="E5992"/>
      <c r="F5992" s="242"/>
      <c r="G5992"/>
      <c r="H5992" s="242"/>
      <c r="I5992" s="242"/>
      <c r="J5992" s="242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</row>
    <row r="5993" spans="1:26" hidden="1">
      <c r="A5993"/>
      <c r="B5993" s="249"/>
      <c r="C5993"/>
      <c r="D5993"/>
      <c r="E5993"/>
      <c r="F5993" s="242"/>
      <c r="G5993"/>
      <c r="H5993" s="242"/>
      <c r="I5993" s="242"/>
      <c r="J5993" s="242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</row>
    <row r="5994" spans="1:26" hidden="1">
      <c r="A5994"/>
      <c r="B5994" s="249"/>
      <c r="C5994"/>
      <c r="D5994"/>
      <c r="E5994"/>
      <c r="F5994" s="242"/>
      <c r="G5994"/>
      <c r="H5994" s="242"/>
      <c r="I5994" s="242"/>
      <c r="J5994" s="242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</row>
    <row r="5995" spans="1:26" hidden="1">
      <c r="A5995"/>
      <c r="B5995" s="249"/>
      <c r="C5995"/>
      <c r="D5995"/>
      <c r="E5995"/>
      <c r="F5995" s="242"/>
      <c r="G5995"/>
      <c r="H5995" s="242"/>
      <c r="I5995" s="242"/>
      <c r="J5995" s="242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</row>
    <row r="5996" spans="1:26" hidden="1">
      <c r="A5996"/>
      <c r="B5996" s="249"/>
      <c r="C5996"/>
      <c r="D5996"/>
      <c r="E5996"/>
      <c r="F5996" s="242"/>
      <c r="G5996"/>
      <c r="H5996" s="242"/>
      <c r="I5996" s="242"/>
      <c r="J5996" s="242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</row>
    <row r="5997" spans="1:26" hidden="1">
      <c r="A5997"/>
      <c r="B5997" s="249"/>
      <c r="C5997"/>
      <c r="D5997"/>
      <c r="E5997"/>
      <c r="F5997" s="242"/>
      <c r="G5997"/>
      <c r="H5997" s="242"/>
      <c r="I5997" s="242"/>
      <c r="J5997" s="242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</row>
    <row r="5998" spans="1:26" hidden="1">
      <c r="A5998"/>
      <c r="B5998" s="249"/>
      <c r="C5998"/>
      <c r="D5998"/>
      <c r="E5998"/>
      <c r="F5998" s="242"/>
      <c r="G5998"/>
      <c r="H5998" s="242"/>
      <c r="I5998" s="242"/>
      <c r="J5998" s="242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</row>
    <row r="5999" spans="1:26" hidden="1">
      <c r="A5999"/>
      <c r="B5999" s="249"/>
      <c r="C5999"/>
      <c r="D5999"/>
      <c r="E5999"/>
      <c r="F5999" s="242"/>
      <c r="G5999"/>
      <c r="H5999" s="242"/>
      <c r="I5999" s="242"/>
      <c r="J5999" s="242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</row>
    <row r="6000" spans="1:26" hidden="1">
      <c r="A6000"/>
      <c r="B6000" s="249"/>
      <c r="C6000"/>
      <c r="D6000"/>
      <c r="E6000"/>
      <c r="F6000" s="242"/>
      <c r="G6000"/>
      <c r="H6000" s="242"/>
      <c r="I6000" s="242"/>
      <c r="J6000" s="242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</row>
    <row r="6001" spans="1:26" hidden="1">
      <c r="A6001"/>
      <c r="B6001" s="249"/>
      <c r="C6001"/>
      <c r="D6001"/>
      <c r="E6001"/>
      <c r="F6001" s="242"/>
      <c r="G6001"/>
      <c r="H6001" s="242"/>
      <c r="I6001" s="242"/>
      <c r="J6001" s="242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8"/>
      <c r="X6001" s="18"/>
      <c r="Y6001" s="18"/>
      <c r="Z6001" s="18"/>
    </row>
    <row r="6002" spans="1:26" hidden="1">
      <c r="A6002"/>
      <c r="B6002" s="249"/>
      <c r="C6002"/>
      <c r="D6002"/>
      <c r="E6002"/>
      <c r="F6002" s="242"/>
      <c r="G6002"/>
      <c r="H6002" s="242"/>
      <c r="I6002" s="242"/>
      <c r="J6002" s="242"/>
      <c r="K6002" s="18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</row>
    <row r="6003" spans="1:26" hidden="1">
      <c r="A6003"/>
      <c r="B6003" s="249"/>
      <c r="C6003"/>
      <c r="D6003"/>
      <c r="E6003"/>
      <c r="F6003" s="242"/>
      <c r="G6003"/>
      <c r="H6003" s="242"/>
      <c r="I6003" s="242"/>
      <c r="J6003" s="242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8"/>
      <c r="X6003" s="18"/>
      <c r="Y6003" s="18"/>
      <c r="Z6003" s="18"/>
    </row>
    <row r="6004" spans="1:26" hidden="1">
      <c r="A6004"/>
      <c r="B6004" s="249"/>
      <c r="C6004"/>
      <c r="D6004"/>
      <c r="E6004"/>
      <c r="F6004" s="242"/>
      <c r="G6004"/>
      <c r="H6004" s="242"/>
      <c r="I6004" s="242"/>
      <c r="J6004" s="242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8"/>
      <c r="X6004" s="18"/>
      <c r="Y6004" s="18"/>
      <c r="Z6004" s="18"/>
    </row>
    <row r="6005" spans="1:26" hidden="1">
      <c r="A6005"/>
      <c r="B6005" s="249"/>
      <c r="C6005"/>
      <c r="D6005"/>
      <c r="E6005"/>
      <c r="F6005" s="242"/>
      <c r="G6005"/>
      <c r="H6005" s="242"/>
      <c r="I6005" s="242"/>
      <c r="J6005" s="242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</row>
    <row r="6006" spans="1:26" hidden="1">
      <c r="A6006"/>
      <c r="B6006" s="249"/>
      <c r="C6006"/>
      <c r="D6006"/>
      <c r="E6006"/>
      <c r="F6006" s="242"/>
      <c r="G6006"/>
      <c r="H6006" s="242"/>
      <c r="I6006" s="242"/>
      <c r="J6006" s="242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</row>
    <row r="6007" spans="1:26" hidden="1">
      <c r="A6007"/>
      <c r="B6007" s="249"/>
      <c r="C6007"/>
      <c r="D6007"/>
      <c r="E6007"/>
      <c r="F6007" s="242"/>
      <c r="G6007"/>
      <c r="H6007" s="242"/>
      <c r="I6007" s="242"/>
      <c r="J6007" s="242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</row>
    <row r="6008" spans="1:26" hidden="1">
      <c r="A6008"/>
      <c r="B6008" s="249"/>
      <c r="C6008"/>
      <c r="D6008"/>
      <c r="E6008"/>
      <c r="F6008" s="242"/>
      <c r="G6008"/>
      <c r="H6008" s="242"/>
      <c r="I6008" s="242"/>
      <c r="J6008" s="242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</row>
    <row r="6009" spans="1:26" hidden="1">
      <c r="A6009"/>
      <c r="B6009" s="249"/>
      <c r="C6009"/>
      <c r="D6009"/>
      <c r="E6009"/>
      <c r="F6009" s="242"/>
      <c r="G6009"/>
      <c r="H6009" s="242"/>
      <c r="I6009" s="242"/>
      <c r="J6009" s="242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</row>
    <row r="6010" spans="1:26" hidden="1">
      <c r="A6010"/>
      <c r="B6010" s="249"/>
      <c r="C6010"/>
      <c r="D6010"/>
      <c r="E6010"/>
      <c r="F6010" s="242"/>
      <c r="G6010"/>
      <c r="H6010" s="242"/>
      <c r="I6010" s="242"/>
      <c r="J6010" s="242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  <c r="V6010" s="18"/>
      <c r="W6010" s="18"/>
      <c r="X6010" s="18"/>
      <c r="Y6010" s="18"/>
      <c r="Z6010" s="18"/>
    </row>
    <row r="6011" spans="1:26" hidden="1">
      <c r="A6011"/>
      <c r="B6011" s="249"/>
      <c r="C6011"/>
      <c r="D6011"/>
      <c r="E6011"/>
      <c r="F6011" s="242"/>
      <c r="G6011"/>
      <c r="H6011" s="242"/>
      <c r="I6011" s="242"/>
      <c r="J6011" s="242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</row>
    <row r="6012" spans="1:26" hidden="1">
      <c r="A6012"/>
      <c r="B6012" s="249"/>
      <c r="C6012"/>
      <c r="D6012"/>
      <c r="E6012"/>
      <c r="F6012" s="242"/>
      <c r="G6012"/>
      <c r="H6012" s="242"/>
      <c r="I6012" s="242"/>
      <c r="J6012" s="242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</row>
    <row r="6013" spans="1:26" hidden="1">
      <c r="A6013"/>
      <c r="B6013" s="249"/>
      <c r="C6013"/>
      <c r="D6013"/>
      <c r="E6013"/>
      <c r="F6013" s="242"/>
      <c r="G6013"/>
      <c r="H6013" s="242"/>
      <c r="I6013" s="242"/>
      <c r="J6013" s="242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</row>
    <row r="6014" spans="1:26" hidden="1">
      <c r="A6014"/>
      <c r="B6014" s="249"/>
      <c r="C6014"/>
      <c r="D6014"/>
      <c r="E6014"/>
      <c r="F6014" s="242"/>
      <c r="G6014"/>
      <c r="H6014" s="242"/>
      <c r="I6014" s="242"/>
      <c r="J6014" s="242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  <c r="X6014" s="18"/>
      <c r="Y6014" s="18"/>
      <c r="Z6014" s="18"/>
    </row>
    <row r="6015" spans="1:26" hidden="1">
      <c r="A6015"/>
      <c r="B6015" s="249"/>
      <c r="C6015"/>
      <c r="D6015"/>
      <c r="E6015"/>
      <c r="F6015" s="242"/>
      <c r="G6015"/>
      <c r="H6015" s="242"/>
      <c r="I6015" s="242"/>
      <c r="J6015" s="242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</row>
    <row r="6016" spans="1:26" hidden="1">
      <c r="A6016"/>
      <c r="B6016" s="249"/>
      <c r="C6016"/>
      <c r="D6016"/>
      <c r="E6016"/>
      <c r="F6016" s="242"/>
      <c r="G6016"/>
      <c r="H6016" s="242"/>
      <c r="I6016" s="242"/>
      <c r="J6016" s="242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</row>
    <row r="6017" spans="1:26" hidden="1">
      <c r="A6017"/>
      <c r="B6017" s="249"/>
      <c r="C6017"/>
      <c r="D6017"/>
      <c r="E6017"/>
      <c r="F6017" s="242"/>
      <c r="G6017"/>
      <c r="H6017" s="242"/>
      <c r="I6017" s="242"/>
      <c r="J6017" s="242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</row>
    <row r="6018" spans="1:26" hidden="1">
      <c r="A6018"/>
      <c r="B6018" s="249"/>
      <c r="C6018"/>
      <c r="D6018"/>
      <c r="E6018"/>
      <c r="F6018" s="242"/>
      <c r="G6018"/>
      <c r="H6018" s="242"/>
      <c r="I6018" s="242"/>
      <c r="J6018" s="242"/>
      <c r="K6018" s="18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8"/>
      <c r="X6018" s="18"/>
      <c r="Y6018" s="18"/>
      <c r="Z6018" s="18"/>
    </row>
    <row r="6019" spans="1:26" hidden="1">
      <c r="A6019"/>
      <c r="B6019" s="249"/>
      <c r="C6019"/>
      <c r="D6019"/>
      <c r="E6019"/>
      <c r="F6019" s="242"/>
      <c r="G6019"/>
      <c r="H6019" s="242"/>
      <c r="I6019" s="242"/>
      <c r="J6019" s="242"/>
      <c r="K6019" s="18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8"/>
      <c r="X6019" s="18"/>
      <c r="Y6019" s="18"/>
      <c r="Z6019" s="18"/>
    </row>
    <row r="6020" spans="1:26" hidden="1">
      <c r="A6020"/>
      <c r="B6020" s="249"/>
      <c r="C6020"/>
      <c r="D6020"/>
      <c r="E6020"/>
      <c r="F6020" s="242"/>
      <c r="G6020"/>
      <c r="H6020" s="242"/>
      <c r="I6020" s="242"/>
      <c r="J6020" s="242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</row>
    <row r="6021" spans="1:26" hidden="1">
      <c r="A6021"/>
      <c r="B6021" s="249"/>
      <c r="C6021"/>
      <c r="D6021"/>
      <c r="E6021"/>
      <c r="F6021" s="242"/>
      <c r="G6021"/>
      <c r="H6021" s="242"/>
      <c r="I6021" s="242"/>
      <c r="J6021" s="242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</row>
    <row r="6022" spans="1:26" hidden="1">
      <c r="A6022"/>
      <c r="B6022" s="249"/>
      <c r="C6022"/>
      <c r="D6022"/>
      <c r="E6022"/>
      <c r="F6022" s="242"/>
      <c r="G6022"/>
      <c r="H6022" s="242"/>
      <c r="I6022" s="242"/>
      <c r="J6022" s="242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</row>
    <row r="6023" spans="1:26" hidden="1">
      <c r="A6023"/>
      <c r="B6023" s="249"/>
      <c r="C6023"/>
      <c r="D6023"/>
      <c r="E6023"/>
      <c r="F6023" s="242"/>
      <c r="G6023"/>
      <c r="H6023" s="242"/>
      <c r="I6023" s="242"/>
      <c r="J6023" s="242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</row>
    <row r="6024" spans="1:26" hidden="1">
      <c r="A6024"/>
      <c r="B6024" s="249"/>
      <c r="C6024"/>
      <c r="D6024"/>
      <c r="E6024"/>
      <c r="F6024" s="242"/>
      <c r="G6024"/>
      <c r="H6024" s="242"/>
      <c r="I6024" s="242"/>
      <c r="J6024" s="242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</row>
    <row r="6025" spans="1:26" hidden="1">
      <c r="A6025"/>
      <c r="B6025" s="249"/>
      <c r="C6025"/>
      <c r="D6025"/>
      <c r="E6025"/>
      <c r="F6025" s="242"/>
      <c r="G6025"/>
      <c r="H6025" s="242"/>
      <c r="I6025" s="242"/>
      <c r="J6025" s="242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</row>
    <row r="6026" spans="1:26" hidden="1">
      <c r="A6026"/>
      <c r="B6026" s="249"/>
      <c r="C6026"/>
      <c r="D6026"/>
      <c r="E6026"/>
      <c r="F6026" s="242"/>
      <c r="G6026"/>
      <c r="H6026" s="242"/>
      <c r="I6026" s="242"/>
      <c r="J6026" s="242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8"/>
      <c r="X6026" s="18"/>
      <c r="Y6026" s="18"/>
      <c r="Z6026" s="18"/>
    </row>
    <row r="6027" spans="1:26" hidden="1">
      <c r="A6027"/>
      <c r="B6027" s="249"/>
      <c r="C6027"/>
      <c r="D6027"/>
      <c r="E6027"/>
      <c r="F6027" s="242"/>
      <c r="G6027"/>
      <c r="H6027" s="242"/>
      <c r="I6027" s="242"/>
      <c r="J6027" s="242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</row>
    <row r="6028" spans="1:26" hidden="1">
      <c r="A6028"/>
      <c r="B6028" s="249"/>
      <c r="C6028"/>
      <c r="D6028"/>
      <c r="E6028"/>
      <c r="F6028" s="242"/>
      <c r="G6028"/>
      <c r="H6028" s="242"/>
      <c r="I6028" s="242"/>
      <c r="J6028" s="242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</row>
    <row r="6029" spans="1:26" hidden="1">
      <c r="A6029"/>
      <c r="B6029" s="249"/>
      <c r="C6029"/>
      <c r="D6029"/>
      <c r="E6029"/>
      <c r="F6029" s="242"/>
      <c r="G6029"/>
      <c r="H6029" s="242"/>
      <c r="I6029" s="242"/>
      <c r="J6029" s="242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</row>
    <row r="6030" spans="1:26" hidden="1">
      <c r="A6030"/>
      <c r="B6030" s="249"/>
      <c r="C6030"/>
      <c r="D6030"/>
      <c r="E6030"/>
      <c r="F6030" s="242"/>
      <c r="G6030"/>
      <c r="H6030" s="242"/>
      <c r="I6030" s="242"/>
      <c r="J6030" s="242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</row>
    <row r="6031" spans="1:26" hidden="1">
      <c r="A6031"/>
      <c r="B6031" s="249"/>
      <c r="C6031"/>
      <c r="D6031"/>
      <c r="E6031"/>
      <c r="F6031" s="242"/>
      <c r="G6031"/>
      <c r="H6031" s="242"/>
      <c r="I6031" s="242"/>
      <c r="J6031" s="242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</row>
    <row r="6032" spans="1:26" hidden="1">
      <c r="A6032"/>
      <c r="B6032" s="249"/>
      <c r="C6032"/>
      <c r="D6032"/>
      <c r="E6032"/>
      <c r="F6032" s="242"/>
      <c r="G6032"/>
      <c r="H6032" s="242"/>
      <c r="I6032" s="242"/>
      <c r="J6032" s="242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</row>
    <row r="6033" spans="1:26" hidden="1">
      <c r="A6033"/>
      <c r="B6033" s="249"/>
      <c r="C6033"/>
      <c r="D6033"/>
      <c r="E6033"/>
      <c r="F6033" s="242"/>
      <c r="G6033"/>
      <c r="H6033" s="242"/>
      <c r="I6033" s="242"/>
      <c r="J6033" s="242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8"/>
      <c r="X6033" s="18"/>
      <c r="Y6033" s="18"/>
      <c r="Z6033" s="18"/>
    </row>
    <row r="6034" spans="1:26" hidden="1">
      <c r="A6034"/>
      <c r="B6034" s="249"/>
      <c r="C6034"/>
      <c r="D6034"/>
      <c r="E6034"/>
      <c r="F6034" s="242"/>
      <c r="G6034"/>
      <c r="H6034" s="242"/>
      <c r="I6034" s="242"/>
      <c r="J6034" s="242"/>
      <c r="K6034" s="18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8"/>
      <c r="X6034" s="18"/>
      <c r="Y6034" s="18"/>
      <c r="Z6034" s="18"/>
    </row>
    <row r="6035" spans="1:26" hidden="1">
      <c r="A6035"/>
      <c r="B6035" s="249"/>
      <c r="C6035"/>
      <c r="D6035"/>
      <c r="E6035"/>
      <c r="F6035" s="242"/>
      <c r="G6035"/>
      <c r="H6035" s="242"/>
      <c r="I6035" s="242"/>
      <c r="J6035" s="242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</row>
    <row r="6036" spans="1:26" hidden="1">
      <c r="A6036"/>
      <c r="B6036" s="249"/>
      <c r="C6036"/>
      <c r="D6036"/>
      <c r="E6036"/>
      <c r="F6036" s="242"/>
      <c r="G6036"/>
      <c r="H6036" s="242"/>
      <c r="I6036" s="242"/>
      <c r="J6036" s="242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8"/>
      <c r="X6036" s="18"/>
      <c r="Y6036" s="18"/>
      <c r="Z6036" s="18"/>
    </row>
    <row r="6037" spans="1:26" hidden="1">
      <c r="A6037"/>
      <c r="B6037" s="249"/>
      <c r="C6037"/>
      <c r="D6037"/>
      <c r="E6037"/>
      <c r="F6037" s="242"/>
      <c r="G6037"/>
      <c r="H6037" s="242"/>
      <c r="I6037" s="242"/>
      <c r="J6037" s="242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</row>
    <row r="6038" spans="1:26" hidden="1">
      <c r="A6038"/>
      <c r="B6038" s="249"/>
      <c r="C6038"/>
      <c r="D6038"/>
      <c r="E6038"/>
      <c r="F6038" s="242"/>
      <c r="G6038"/>
      <c r="H6038" s="242"/>
      <c r="I6038" s="242"/>
      <c r="J6038" s="242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</row>
    <row r="6039" spans="1:26" hidden="1">
      <c r="A6039"/>
      <c r="B6039" s="249"/>
      <c r="C6039"/>
      <c r="D6039"/>
      <c r="E6039"/>
      <c r="F6039" s="242"/>
      <c r="G6039"/>
      <c r="H6039" s="242"/>
      <c r="I6039" s="242"/>
      <c r="J6039" s="242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</row>
    <row r="6040" spans="1:26" hidden="1">
      <c r="A6040"/>
      <c r="B6040" s="249"/>
      <c r="C6040"/>
      <c r="D6040"/>
      <c r="E6040"/>
      <c r="F6040" s="242"/>
      <c r="G6040"/>
      <c r="H6040" s="242"/>
      <c r="I6040" s="242"/>
      <c r="J6040" s="242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8"/>
      <c r="X6040" s="18"/>
      <c r="Y6040" s="18"/>
      <c r="Z6040" s="18"/>
    </row>
    <row r="6041" spans="1:26" hidden="1">
      <c r="A6041"/>
      <c r="B6041" s="249"/>
      <c r="C6041"/>
      <c r="D6041"/>
      <c r="E6041"/>
      <c r="F6041" s="242"/>
      <c r="G6041"/>
      <c r="H6041" s="242"/>
      <c r="I6041" s="242"/>
      <c r="J6041" s="242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</row>
    <row r="6042" spans="1:26" hidden="1">
      <c r="A6042"/>
      <c r="B6042" s="249"/>
      <c r="C6042"/>
      <c r="D6042"/>
      <c r="E6042"/>
      <c r="F6042" s="242"/>
      <c r="G6042"/>
      <c r="H6042" s="242"/>
      <c r="I6042" s="242"/>
      <c r="J6042" s="242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</row>
    <row r="6043" spans="1:26" hidden="1">
      <c r="A6043"/>
      <c r="B6043" s="249"/>
      <c r="C6043"/>
      <c r="D6043"/>
      <c r="E6043"/>
      <c r="F6043" s="242"/>
      <c r="G6043"/>
      <c r="H6043" s="242"/>
      <c r="I6043" s="242"/>
      <c r="J6043" s="242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</row>
    <row r="6044" spans="1:26" hidden="1">
      <c r="A6044"/>
      <c r="B6044" s="249"/>
      <c r="C6044"/>
      <c r="D6044"/>
      <c r="E6044"/>
      <c r="F6044" s="242"/>
      <c r="G6044"/>
      <c r="H6044" s="242"/>
      <c r="I6044" s="242"/>
      <c r="J6044" s="242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8"/>
      <c r="X6044" s="18"/>
      <c r="Y6044" s="18"/>
      <c r="Z6044" s="18"/>
    </row>
    <row r="6045" spans="1:26" hidden="1">
      <c r="A6045"/>
      <c r="B6045" s="249"/>
      <c r="C6045"/>
      <c r="D6045"/>
      <c r="E6045"/>
      <c r="F6045" s="242"/>
      <c r="G6045"/>
      <c r="H6045" s="242"/>
      <c r="I6045" s="242"/>
      <c r="J6045" s="242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</row>
    <row r="6046" spans="1:26" hidden="1">
      <c r="A6046"/>
      <c r="B6046" s="249"/>
      <c r="C6046"/>
      <c r="D6046"/>
      <c r="E6046"/>
      <c r="F6046" s="242"/>
      <c r="G6046"/>
      <c r="H6046" s="242"/>
      <c r="I6046" s="242"/>
      <c r="J6046" s="242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8"/>
      <c r="X6046" s="18"/>
      <c r="Y6046" s="18"/>
      <c r="Z6046" s="18"/>
    </row>
    <row r="6047" spans="1:26" hidden="1">
      <c r="A6047"/>
      <c r="B6047" s="249"/>
      <c r="C6047"/>
      <c r="D6047"/>
      <c r="E6047"/>
      <c r="F6047" s="242"/>
      <c r="G6047"/>
      <c r="H6047" s="242"/>
      <c r="I6047" s="242"/>
      <c r="J6047" s="242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</row>
    <row r="6048" spans="1:26" hidden="1">
      <c r="A6048"/>
      <c r="B6048" s="249"/>
      <c r="C6048"/>
      <c r="D6048"/>
      <c r="E6048"/>
      <c r="F6048" s="242"/>
      <c r="G6048"/>
      <c r="H6048" s="242"/>
      <c r="I6048" s="242"/>
      <c r="J6048" s="242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</row>
    <row r="6049" spans="1:26" hidden="1">
      <c r="A6049"/>
      <c r="B6049" s="249"/>
      <c r="C6049"/>
      <c r="D6049"/>
      <c r="E6049"/>
      <c r="F6049" s="242"/>
      <c r="G6049"/>
      <c r="H6049" s="242"/>
      <c r="I6049" s="242"/>
      <c r="J6049" s="242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</row>
    <row r="6050" spans="1:26" hidden="1">
      <c r="A6050"/>
      <c r="B6050" s="249"/>
      <c r="C6050"/>
      <c r="D6050"/>
      <c r="E6050"/>
      <c r="F6050" s="242"/>
      <c r="G6050"/>
      <c r="H6050" s="242"/>
      <c r="I6050" s="242"/>
      <c r="J6050" s="242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</row>
    <row r="6051" spans="1:26" hidden="1">
      <c r="A6051"/>
      <c r="B6051" s="249"/>
      <c r="C6051"/>
      <c r="D6051"/>
      <c r="E6051"/>
      <c r="F6051" s="242"/>
      <c r="G6051"/>
      <c r="H6051" s="242"/>
      <c r="I6051" s="242"/>
      <c r="J6051" s="242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</row>
    <row r="6052" spans="1:26" hidden="1">
      <c r="A6052"/>
      <c r="B6052" s="249"/>
      <c r="C6052"/>
      <c r="D6052"/>
      <c r="E6052"/>
      <c r="F6052" s="242"/>
      <c r="G6052"/>
      <c r="H6052" s="242"/>
      <c r="I6052" s="242"/>
      <c r="J6052" s="242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</row>
    <row r="6053" spans="1:26" hidden="1">
      <c r="A6053"/>
      <c r="B6053" s="249"/>
      <c r="C6053"/>
      <c r="D6053"/>
      <c r="E6053"/>
      <c r="F6053" s="242"/>
      <c r="G6053"/>
      <c r="H6053" s="242"/>
      <c r="I6053" s="242"/>
      <c r="J6053" s="242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</row>
    <row r="6054" spans="1:26" hidden="1">
      <c r="A6054"/>
      <c r="B6054" s="249"/>
      <c r="C6054"/>
      <c r="D6054"/>
      <c r="E6054"/>
      <c r="F6054" s="242"/>
      <c r="G6054"/>
      <c r="H6054" s="242"/>
      <c r="I6054" s="242"/>
      <c r="J6054" s="242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</row>
    <row r="6055" spans="1:26" hidden="1">
      <c r="A6055"/>
      <c r="B6055" s="249"/>
      <c r="C6055"/>
      <c r="D6055"/>
      <c r="E6055"/>
      <c r="F6055" s="242"/>
      <c r="G6055"/>
      <c r="H6055" s="242"/>
      <c r="I6055" s="242"/>
      <c r="J6055" s="242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</row>
    <row r="6056" spans="1:26" hidden="1">
      <c r="A6056"/>
      <c r="B6056" s="249"/>
      <c r="C6056"/>
      <c r="D6056"/>
      <c r="E6056"/>
      <c r="F6056" s="242"/>
      <c r="G6056"/>
      <c r="H6056" s="242"/>
      <c r="I6056" s="242"/>
      <c r="J6056" s="242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</row>
    <row r="6057" spans="1:26" hidden="1">
      <c r="A6057"/>
      <c r="B6057" s="249"/>
      <c r="C6057"/>
      <c r="D6057"/>
      <c r="E6057"/>
      <c r="F6057" s="242"/>
      <c r="G6057"/>
      <c r="H6057" s="242"/>
      <c r="I6057" s="242"/>
      <c r="J6057" s="242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</row>
    <row r="6058" spans="1:26" hidden="1">
      <c r="A6058"/>
      <c r="B6058" s="249"/>
      <c r="C6058"/>
      <c r="D6058"/>
      <c r="E6058"/>
      <c r="F6058" s="242"/>
      <c r="G6058"/>
      <c r="H6058" s="242"/>
      <c r="I6058" s="242"/>
      <c r="J6058" s="242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8"/>
      <c r="X6058" s="18"/>
      <c r="Y6058" s="18"/>
      <c r="Z6058" s="18"/>
    </row>
    <row r="6059" spans="1:26" hidden="1">
      <c r="A6059"/>
      <c r="B6059" s="249"/>
      <c r="C6059"/>
      <c r="D6059"/>
      <c r="E6059"/>
      <c r="F6059" s="242"/>
      <c r="G6059"/>
      <c r="H6059" s="242"/>
      <c r="I6059" s="242"/>
      <c r="J6059" s="242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</row>
    <row r="6060" spans="1:26" hidden="1">
      <c r="A6060"/>
      <c r="B6060" s="249"/>
      <c r="C6060"/>
      <c r="D6060"/>
      <c r="E6060"/>
      <c r="F6060" s="242"/>
      <c r="G6060"/>
      <c r="H6060" s="242"/>
      <c r="I6060" s="242"/>
      <c r="J6060" s="242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</row>
    <row r="6061" spans="1:26" hidden="1">
      <c r="A6061"/>
      <c r="B6061" s="249"/>
      <c r="C6061"/>
      <c r="D6061"/>
      <c r="E6061"/>
      <c r="F6061" s="242"/>
      <c r="G6061"/>
      <c r="H6061" s="242"/>
      <c r="I6061" s="242"/>
      <c r="J6061" s="242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</row>
    <row r="6062" spans="1:26" hidden="1">
      <c r="A6062"/>
      <c r="B6062" s="249"/>
      <c r="C6062"/>
      <c r="D6062"/>
      <c r="E6062"/>
      <c r="F6062" s="242"/>
      <c r="G6062"/>
      <c r="H6062" s="242"/>
      <c r="I6062" s="242"/>
      <c r="J6062" s="242"/>
      <c r="K6062" s="18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</row>
    <row r="6063" spans="1:26" hidden="1">
      <c r="A6063"/>
      <c r="B6063" s="249"/>
      <c r="C6063"/>
      <c r="D6063"/>
      <c r="E6063"/>
      <c r="F6063" s="242"/>
      <c r="G6063"/>
      <c r="H6063" s="242"/>
      <c r="I6063" s="242"/>
      <c r="J6063" s="242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</row>
    <row r="6064" spans="1:26" hidden="1">
      <c r="A6064"/>
      <c r="B6064" s="249"/>
      <c r="C6064"/>
      <c r="D6064"/>
      <c r="E6064"/>
      <c r="F6064" s="242"/>
      <c r="G6064"/>
      <c r="H6064" s="242"/>
      <c r="I6064" s="242"/>
      <c r="J6064" s="242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8"/>
      <c r="X6064" s="18"/>
      <c r="Y6064" s="18"/>
      <c r="Z6064" s="18"/>
    </row>
    <row r="6065" spans="1:26" hidden="1">
      <c r="A6065"/>
      <c r="B6065" s="249"/>
      <c r="C6065"/>
      <c r="D6065"/>
      <c r="E6065"/>
      <c r="F6065" s="242"/>
      <c r="G6065"/>
      <c r="H6065" s="242"/>
      <c r="I6065" s="242"/>
      <c r="J6065" s="242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</row>
    <row r="6066" spans="1:26" hidden="1">
      <c r="A6066"/>
      <c r="B6066" s="249"/>
      <c r="C6066"/>
      <c r="D6066"/>
      <c r="E6066"/>
      <c r="F6066" s="242"/>
      <c r="G6066"/>
      <c r="H6066" s="242"/>
      <c r="I6066" s="242"/>
      <c r="J6066" s="242"/>
      <c r="K6066" s="18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8"/>
      <c r="X6066" s="18"/>
      <c r="Y6066" s="18"/>
      <c r="Z6066" s="18"/>
    </row>
    <row r="6067" spans="1:26" hidden="1">
      <c r="A6067"/>
      <c r="B6067" s="249"/>
      <c r="C6067"/>
      <c r="D6067"/>
      <c r="E6067"/>
      <c r="F6067" s="242"/>
      <c r="G6067"/>
      <c r="H6067" s="242"/>
      <c r="I6067" s="242"/>
      <c r="J6067" s="242"/>
      <c r="K6067" s="18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</row>
    <row r="6068" spans="1:26" hidden="1">
      <c r="A6068"/>
      <c r="B6068" s="249"/>
      <c r="C6068"/>
      <c r="D6068"/>
      <c r="E6068"/>
      <c r="F6068" s="242"/>
      <c r="G6068"/>
      <c r="H6068" s="242"/>
      <c r="I6068" s="242"/>
      <c r="J6068" s="242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8"/>
      <c r="X6068" s="18"/>
      <c r="Y6068" s="18"/>
      <c r="Z6068" s="18"/>
    </row>
    <row r="6069" spans="1:26" hidden="1">
      <c r="A6069"/>
      <c r="B6069" s="249"/>
      <c r="C6069"/>
      <c r="D6069"/>
      <c r="E6069"/>
      <c r="F6069" s="242"/>
      <c r="G6069"/>
      <c r="H6069" s="242"/>
      <c r="I6069" s="242"/>
      <c r="J6069" s="242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8"/>
      <c r="X6069" s="18"/>
      <c r="Y6069" s="18"/>
      <c r="Z6069" s="18"/>
    </row>
    <row r="6070" spans="1:26" hidden="1">
      <c r="A6070"/>
      <c r="B6070" s="249"/>
      <c r="C6070"/>
      <c r="D6070"/>
      <c r="E6070"/>
      <c r="F6070" s="242"/>
      <c r="G6070"/>
      <c r="H6070" s="242"/>
      <c r="I6070" s="242"/>
      <c r="J6070" s="242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8"/>
      <c r="X6070" s="18"/>
      <c r="Y6070" s="18"/>
      <c r="Z6070" s="18"/>
    </row>
    <row r="6071" spans="1:26" hidden="1">
      <c r="A6071"/>
      <c r="B6071" s="249"/>
      <c r="C6071"/>
      <c r="D6071"/>
      <c r="E6071"/>
      <c r="F6071" s="242"/>
      <c r="G6071"/>
      <c r="H6071" s="242"/>
      <c r="I6071" s="242"/>
      <c r="J6071" s="242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</row>
    <row r="6072" spans="1:26" hidden="1">
      <c r="A6072"/>
      <c r="B6072" s="249"/>
      <c r="C6072"/>
      <c r="D6072"/>
      <c r="E6072"/>
      <c r="F6072" s="242"/>
      <c r="G6072"/>
      <c r="H6072" s="242"/>
      <c r="I6072" s="242"/>
      <c r="J6072" s="242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</row>
    <row r="6073" spans="1:26" hidden="1">
      <c r="A6073"/>
      <c r="B6073" s="249"/>
      <c r="C6073"/>
      <c r="D6073"/>
      <c r="E6073"/>
      <c r="F6073" s="242"/>
      <c r="G6073"/>
      <c r="H6073" s="242"/>
      <c r="I6073" s="242"/>
      <c r="J6073" s="242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</row>
    <row r="6074" spans="1:26" hidden="1">
      <c r="A6074"/>
      <c r="B6074" s="249"/>
      <c r="C6074"/>
      <c r="D6074"/>
      <c r="E6074"/>
      <c r="F6074" s="242"/>
      <c r="G6074"/>
      <c r="H6074" s="242"/>
      <c r="I6074" s="242"/>
      <c r="J6074" s="242"/>
      <c r="K6074" s="18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</row>
    <row r="6075" spans="1:26" hidden="1">
      <c r="A6075"/>
      <c r="B6075" s="249"/>
      <c r="C6075"/>
      <c r="D6075"/>
      <c r="E6075"/>
      <c r="F6075" s="242"/>
      <c r="G6075"/>
      <c r="H6075" s="242"/>
      <c r="I6075" s="242"/>
      <c r="J6075" s="242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</row>
    <row r="6076" spans="1:26" hidden="1">
      <c r="A6076"/>
      <c r="B6076" s="249"/>
      <c r="C6076"/>
      <c r="D6076"/>
      <c r="E6076"/>
      <c r="F6076" s="242"/>
      <c r="G6076"/>
      <c r="H6076" s="242"/>
      <c r="I6076" s="242"/>
      <c r="J6076" s="242"/>
      <c r="K6076" s="18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8"/>
      <c r="X6076" s="18"/>
      <c r="Y6076" s="18"/>
      <c r="Z6076" s="18"/>
    </row>
    <row r="6077" spans="1:26" hidden="1">
      <c r="A6077"/>
      <c r="B6077" s="249"/>
      <c r="C6077"/>
      <c r="D6077"/>
      <c r="E6077"/>
      <c r="F6077" s="242"/>
      <c r="G6077"/>
      <c r="H6077" s="242"/>
      <c r="I6077" s="242"/>
      <c r="J6077" s="242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</row>
    <row r="6078" spans="1:26" hidden="1">
      <c r="A6078"/>
      <c r="B6078" s="249"/>
      <c r="C6078"/>
      <c r="D6078"/>
      <c r="E6078"/>
      <c r="F6078" s="242"/>
      <c r="G6078"/>
      <c r="H6078" s="242"/>
      <c r="I6078" s="242"/>
      <c r="J6078" s="242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8"/>
      <c r="X6078" s="18"/>
      <c r="Y6078" s="18"/>
      <c r="Z6078" s="18"/>
    </row>
    <row r="6079" spans="1:26" hidden="1">
      <c r="A6079"/>
      <c r="B6079" s="249"/>
      <c r="C6079"/>
      <c r="D6079"/>
      <c r="E6079"/>
      <c r="F6079" s="242"/>
      <c r="G6079"/>
      <c r="H6079" s="242"/>
      <c r="I6079" s="242"/>
      <c r="J6079" s="242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</row>
    <row r="6080" spans="1:26" hidden="1">
      <c r="A6080"/>
      <c r="B6080" s="249"/>
      <c r="C6080"/>
      <c r="D6080"/>
      <c r="E6080"/>
      <c r="F6080" s="242"/>
      <c r="G6080"/>
      <c r="H6080" s="242"/>
      <c r="I6080" s="242"/>
      <c r="J6080" s="242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</row>
    <row r="6081" spans="1:26" hidden="1">
      <c r="A6081"/>
      <c r="B6081" s="249"/>
      <c r="C6081"/>
      <c r="D6081"/>
      <c r="E6081"/>
      <c r="F6081" s="242"/>
      <c r="G6081"/>
      <c r="H6081" s="242"/>
      <c r="I6081" s="242"/>
      <c r="J6081" s="242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</row>
    <row r="6082" spans="1:26" hidden="1">
      <c r="A6082"/>
      <c r="B6082" s="249"/>
      <c r="C6082"/>
      <c r="D6082"/>
      <c r="E6082"/>
      <c r="F6082" s="242"/>
      <c r="G6082"/>
      <c r="H6082" s="242"/>
      <c r="I6082" s="242"/>
      <c r="J6082" s="242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8"/>
      <c r="X6082" s="18"/>
      <c r="Y6082" s="18"/>
      <c r="Z6082" s="18"/>
    </row>
    <row r="6083" spans="1:26" hidden="1">
      <c r="A6083"/>
      <c r="B6083" s="249"/>
      <c r="C6083"/>
      <c r="D6083"/>
      <c r="E6083"/>
      <c r="F6083" s="242"/>
      <c r="G6083"/>
      <c r="H6083" s="242"/>
      <c r="I6083" s="242"/>
      <c r="J6083" s="242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</row>
    <row r="6084" spans="1:26" hidden="1">
      <c r="A6084"/>
      <c r="B6084" s="249"/>
      <c r="C6084"/>
      <c r="D6084"/>
      <c r="E6084"/>
      <c r="F6084" s="242"/>
      <c r="G6084"/>
      <c r="H6084" s="242"/>
      <c r="I6084" s="242"/>
      <c r="J6084" s="242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</row>
    <row r="6085" spans="1:26" hidden="1">
      <c r="A6085"/>
      <c r="B6085" s="249"/>
      <c r="C6085"/>
      <c r="D6085"/>
      <c r="E6085"/>
      <c r="F6085" s="242"/>
      <c r="G6085"/>
      <c r="H6085" s="242"/>
      <c r="I6085" s="242"/>
      <c r="J6085" s="242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</row>
    <row r="6086" spans="1:26" hidden="1">
      <c r="A6086"/>
      <c r="B6086" s="249"/>
      <c r="C6086"/>
      <c r="D6086"/>
      <c r="E6086"/>
      <c r="F6086" s="242"/>
      <c r="G6086"/>
      <c r="H6086" s="242"/>
      <c r="I6086" s="242"/>
      <c r="J6086" s="242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  <c r="X6086" s="18"/>
      <c r="Y6086" s="18"/>
      <c r="Z6086" s="18"/>
    </row>
    <row r="6087" spans="1:26" hidden="1">
      <c r="A6087"/>
      <c r="B6087" s="249"/>
      <c r="C6087"/>
      <c r="D6087"/>
      <c r="E6087"/>
      <c r="F6087" s="242"/>
      <c r="G6087"/>
      <c r="H6087" s="242"/>
      <c r="I6087" s="242"/>
      <c r="J6087" s="242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</row>
    <row r="6088" spans="1:26" hidden="1">
      <c r="A6088"/>
      <c r="B6088" s="249"/>
      <c r="C6088"/>
      <c r="D6088"/>
      <c r="E6088"/>
      <c r="F6088" s="242"/>
      <c r="G6088"/>
      <c r="H6088" s="242"/>
      <c r="I6088" s="242"/>
      <c r="J6088" s="242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</row>
    <row r="6089" spans="1:26" hidden="1">
      <c r="A6089"/>
      <c r="B6089" s="249"/>
      <c r="C6089"/>
      <c r="D6089"/>
      <c r="E6089"/>
      <c r="F6089" s="242"/>
      <c r="G6089"/>
      <c r="H6089" s="242"/>
      <c r="I6089" s="242"/>
      <c r="J6089" s="242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</row>
    <row r="6090" spans="1:26" hidden="1">
      <c r="A6090"/>
      <c r="B6090" s="249"/>
      <c r="C6090"/>
      <c r="D6090"/>
      <c r="E6090"/>
      <c r="F6090" s="242"/>
      <c r="G6090"/>
      <c r="H6090" s="242"/>
      <c r="I6090" s="242"/>
      <c r="J6090" s="242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</row>
    <row r="6091" spans="1:26" hidden="1">
      <c r="A6091"/>
      <c r="B6091" s="249"/>
      <c r="C6091"/>
      <c r="D6091"/>
      <c r="E6091"/>
      <c r="F6091" s="242"/>
      <c r="G6091"/>
      <c r="H6091" s="242"/>
      <c r="I6091" s="242"/>
      <c r="J6091" s="242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</row>
    <row r="6092" spans="1:26" hidden="1">
      <c r="A6092"/>
      <c r="B6092" s="249"/>
      <c r="C6092"/>
      <c r="D6092"/>
      <c r="E6092"/>
      <c r="F6092" s="242"/>
      <c r="G6092"/>
      <c r="H6092" s="242"/>
      <c r="I6092" s="242"/>
      <c r="J6092" s="242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</row>
    <row r="6093" spans="1:26" hidden="1">
      <c r="A6093"/>
      <c r="B6093" s="249"/>
      <c r="C6093"/>
      <c r="D6093"/>
      <c r="E6093"/>
      <c r="F6093" s="242"/>
      <c r="G6093"/>
      <c r="H6093" s="242"/>
      <c r="I6093" s="242"/>
      <c r="J6093" s="242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</row>
    <row r="6094" spans="1:26" hidden="1">
      <c r="A6094"/>
      <c r="B6094" s="249"/>
      <c r="C6094"/>
      <c r="D6094"/>
      <c r="E6094"/>
      <c r="F6094" s="242"/>
      <c r="G6094"/>
      <c r="H6094" s="242"/>
      <c r="I6094" s="242"/>
      <c r="J6094" s="242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8"/>
    </row>
    <row r="6095" spans="1:26" hidden="1">
      <c r="A6095"/>
      <c r="B6095" s="249"/>
      <c r="C6095"/>
      <c r="D6095"/>
      <c r="E6095"/>
      <c r="F6095" s="242"/>
      <c r="G6095"/>
      <c r="H6095" s="242"/>
      <c r="I6095" s="242"/>
      <c r="J6095" s="242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</row>
    <row r="6096" spans="1:26" hidden="1">
      <c r="A6096"/>
      <c r="B6096" s="249"/>
      <c r="C6096"/>
      <c r="D6096"/>
      <c r="E6096"/>
      <c r="F6096" s="242"/>
      <c r="G6096"/>
      <c r="H6096" s="242"/>
      <c r="I6096" s="242"/>
      <c r="J6096" s="242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</row>
    <row r="6097" spans="1:26" hidden="1">
      <c r="A6097"/>
      <c r="B6097" s="249"/>
      <c r="C6097"/>
      <c r="D6097"/>
      <c r="E6097"/>
      <c r="F6097" s="242"/>
      <c r="G6097"/>
      <c r="H6097" s="242"/>
      <c r="I6097" s="242"/>
      <c r="J6097" s="242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</row>
    <row r="6098" spans="1:26" hidden="1">
      <c r="A6098"/>
      <c r="B6098" s="249"/>
      <c r="C6098"/>
      <c r="D6098"/>
      <c r="E6098"/>
      <c r="F6098" s="242"/>
      <c r="G6098"/>
      <c r="H6098" s="242"/>
      <c r="I6098" s="242"/>
      <c r="J6098" s="242"/>
      <c r="K6098" s="18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8"/>
      <c r="X6098" s="18"/>
      <c r="Y6098" s="18"/>
      <c r="Z6098" s="18"/>
    </row>
    <row r="6099" spans="1:26" hidden="1">
      <c r="A6099"/>
      <c r="B6099" s="249"/>
      <c r="C6099"/>
      <c r="D6099"/>
      <c r="E6099"/>
      <c r="F6099" s="242"/>
      <c r="G6099"/>
      <c r="H6099" s="242"/>
      <c r="I6099" s="242"/>
      <c r="J6099" s="242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</row>
    <row r="6100" spans="1:26" hidden="1">
      <c r="A6100"/>
      <c r="B6100" s="249"/>
      <c r="C6100"/>
      <c r="D6100"/>
      <c r="E6100"/>
      <c r="F6100" s="242"/>
      <c r="G6100"/>
      <c r="H6100" s="242"/>
      <c r="I6100" s="242"/>
      <c r="J6100" s="242"/>
      <c r="K6100" s="18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8"/>
      <c r="X6100" s="18"/>
      <c r="Y6100" s="18"/>
      <c r="Z6100" s="18"/>
    </row>
    <row r="6101" spans="1:26" hidden="1">
      <c r="A6101"/>
      <c r="B6101" s="249"/>
      <c r="C6101"/>
      <c r="D6101"/>
      <c r="E6101"/>
      <c r="F6101" s="242"/>
      <c r="G6101"/>
      <c r="H6101" s="242"/>
      <c r="I6101" s="242"/>
      <c r="J6101" s="242"/>
      <c r="K6101" s="18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</row>
    <row r="6102" spans="1:26" hidden="1">
      <c r="A6102"/>
      <c r="B6102" s="249"/>
      <c r="C6102"/>
      <c r="D6102"/>
      <c r="E6102"/>
      <c r="F6102" s="242"/>
      <c r="G6102"/>
      <c r="H6102" s="242"/>
      <c r="I6102" s="242"/>
      <c r="J6102" s="242"/>
      <c r="K6102" s="18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8"/>
      <c r="X6102" s="18"/>
      <c r="Y6102" s="18"/>
      <c r="Z6102" s="18"/>
    </row>
    <row r="6103" spans="1:26" hidden="1">
      <c r="A6103"/>
      <c r="B6103" s="249"/>
      <c r="C6103"/>
      <c r="D6103"/>
      <c r="E6103"/>
      <c r="F6103" s="242"/>
      <c r="G6103"/>
      <c r="H6103" s="242"/>
      <c r="I6103" s="242"/>
      <c r="J6103" s="242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</row>
    <row r="6104" spans="1:26" hidden="1">
      <c r="A6104"/>
      <c r="B6104" s="249"/>
      <c r="C6104"/>
      <c r="D6104"/>
      <c r="E6104"/>
      <c r="F6104" s="242"/>
      <c r="G6104"/>
      <c r="H6104" s="242"/>
      <c r="I6104" s="242"/>
      <c r="J6104" s="242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8"/>
    </row>
    <row r="6105" spans="1:26" hidden="1">
      <c r="A6105"/>
      <c r="B6105" s="249"/>
      <c r="C6105"/>
      <c r="D6105"/>
      <c r="E6105"/>
      <c r="F6105" s="242"/>
      <c r="G6105"/>
      <c r="H6105" s="242"/>
      <c r="I6105" s="242"/>
      <c r="J6105" s="242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</row>
    <row r="6106" spans="1:26" hidden="1">
      <c r="A6106"/>
      <c r="B6106" s="249"/>
      <c r="C6106"/>
      <c r="D6106"/>
      <c r="E6106"/>
      <c r="F6106" s="242"/>
      <c r="G6106"/>
      <c r="H6106" s="242"/>
      <c r="I6106" s="242"/>
      <c r="J6106" s="242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</row>
    <row r="6107" spans="1:26" hidden="1">
      <c r="A6107"/>
      <c r="B6107" s="249"/>
      <c r="C6107"/>
      <c r="D6107"/>
      <c r="E6107"/>
      <c r="F6107" s="242"/>
      <c r="G6107"/>
      <c r="H6107" s="242"/>
      <c r="I6107" s="242"/>
      <c r="J6107" s="242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</row>
    <row r="6108" spans="1:26" hidden="1">
      <c r="A6108"/>
      <c r="B6108" s="249"/>
      <c r="C6108"/>
      <c r="D6108"/>
      <c r="E6108"/>
      <c r="F6108" s="242"/>
      <c r="G6108"/>
      <c r="H6108" s="242"/>
      <c r="I6108" s="242"/>
      <c r="J6108" s="242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</row>
    <row r="6109" spans="1:26" hidden="1">
      <c r="A6109"/>
      <c r="B6109" s="249"/>
      <c r="C6109"/>
      <c r="D6109"/>
      <c r="E6109"/>
      <c r="F6109" s="242"/>
      <c r="G6109"/>
      <c r="H6109" s="242"/>
      <c r="I6109" s="242"/>
      <c r="J6109" s="242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</row>
    <row r="6110" spans="1:26" hidden="1">
      <c r="A6110"/>
      <c r="B6110" s="249"/>
      <c r="C6110"/>
      <c r="D6110"/>
      <c r="E6110"/>
      <c r="F6110" s="242"/>
      <c r="G6110"/>
      <c r="H6110" s="242"/>
      <c r="I6110" s="242"/>
      <c r="J6110" s="242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8"/>
    </row>
    <row r="6111" spans="1:26" hidden="1">
      <c r="A6111"/>
      <c r="B6111" s="249"/>
      <c r="C6111"/>
      <c r="D6111"/>
      <c r="E6111"/>
      <c r="F6111" s="242"/>
      <c r="G6111"/>
      <c r="H6111" s="242"/>
      <c r="I6111" s="242"/>
      <c r="J6111" s="242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</row>
    <row r="6112" spans="1:26" hidden="1">
      <c r="A6112"/>
      <c r="B6112" s="249"/>
      <c r="C6112"/>
      <c r="D6112"/>
      <c r="E6112"/>
      <c r="F6112" s="242"/>
      <c r="G6112"/>
      <c r="H6112" s="242"/>
      <c r="I6112" s="242"/>
      <c r="J6112" s="242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8"/>
      <c r="X6112" s="18"/>
      <c r="Y6112" s="18"/>
      <c r="Z6112" s="18"/>
    </row>
    <row r="6113" spans="1:26" hidden="1">
      <c r="A6113"/>
      <c r="B6113" s="249"/>
      <c r="C6113"/>
      <c r="D6113"/>
      <c r="E6113"/>
      <c r="F6113" s="242"/>
      <c r="G6113"/>
      <c r="H6113" s="242"/>
      <c r="I6113" s="242"/>
      <c r="J6113" s="242"/>
      <c r="K6113" s="18"/>
      <c r="L6113" s="18"/>
      <c r="M6113" s="18"/>
      <c r="N6113" s="18"/>
      <c r="O6113" s="18"/>
      <c r="P6113" s="18"/>
      <c r="Q6113" s="18"/>
      <c r="R6113" s="18"/>
      <c r="S6113" s="18"/>
      <c r="T6113" s="18"/>
      <c r="U6113" s="18"/>
      <c r="V6113" s="18"/>
      <c r="W6113" s="18"/>
      <c r="X6113" s="18"/>
      <c r="Y6113" s="18"/>
      <c r="Z6113" s="18"/>
    </row>
    <row r="6114" spans="1:26" hidden="1">
      <c r="A6114"/>
      <c r="B6114" s="249"/>
      <c r="C6114"/>
      <c r="D6114"/>
      <c r="E6114"/>
      <c r="F6114" s="242"/>
      <c r="G6114"/>
      <c r="H6114" s="242"/>
      <c r="I6114" s="242"/>
      <c r="J6114" s="242"/>
      <c r="K6114" s="18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8"/>
      <c r="X6114" s="18"/>
      <c r="Y6114" s="18"/>
      <c r="Z6114" s="18"/>
    </row>
    <row r="6115" spans="1:26" hidden="1">
      <c r="A6115"/>
      <c r="B6115" s="249"/>
      <c r="C6115"/>
      <c r="D6115"/>
      <c r="E6115"/>
      <c r="F6115" s="242"/>
      <c r="G6115"/>
      <c r="H6115" s="242"/>
      <c r="I6115" s="242"/>
      <c r="J6115" s="242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</row>
    <row r="6116" spans="1:26" hidden="1">
      <c r="A6116"/>
      <c r="B6116" s="249"/>
      <c r="C6116"/>
      <c r="D6116"/>
      <c r="E6116"/>
      <c r="F6116" s="242"/>
      <c r="G6116"/>
      <c r="H6116" s="242"/>
      <c r="I6116" s="242"/>
      <c r="J6116" s="242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</row>
    <row r="6117" spans="1:26" hidden="1">
      <c r="A6117"/>
      <c r="B6117" s="249"/>
      <c r="C6117"/>
      <c r="D6117"/>
      <c r="E6117"/>
      <c r="F6117" s="242"/>
      <c r="G6117"/>
      <c r="H6117" s="242"/>
      <c r="I6117" s="242"/>
      <c r="J6117" s="242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8"/>
      <c r="X6117" s="18"/>
      <c r="Y6117" s="18"/>
      <c r="Z6117" s="18"/>
    </row>
    <row r="6118" spans="1:26" hidden="1">
      <c r="A6118"/>
      <c r="B6118" s="249"/>
      <c r="C6118"/>
      <c r="D6118"/>
      <c r="E6118"/>
      <c r="F6118" s="242"/>
      <c r="G6118"/>
      <c r="H6118" s="242"/>
      <c r="I6118" s="242"/>
      <c r="J6118" s="242"/>
      <c r="K6118" s="18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8"/>
      <c r="X6118" s="18"/>
      <c r="Y6118" s="18"/>
      <c r="Z6118" s="18"/>
    </row>
    <row r="6119" spans="1:26" hidden="1">
      <c r="A6119"/>
      <c r="B6119" s="249"/>
      <c r="C6119"/>
      <c r="D6119"/>
      <c r="E6119"/>
      <c r="F6119" s="242"/>
      <c r="G6119"/>
      <c r="H6119" s="242"/>
      <c r="I6119" s="242"/>
      <c r="J6119" s="242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</row>
    <row r="6120" spans="1:26" hidden="1">
      <c r="A6120"/>
      <c r="B6120" s="249"/>
      <c r="C6120"/>
      <c r="D6120"/>
      <c r="E6120"/>
      <c r="F6120" s="242"/>
      <c r="G6120"/>
      <c r="H6120" s="242"/>
      <c r="I6120" s="242"/>
      <c r="J6120" s="242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8"/>
      <c r="X6120" s="18"/>
      <c r="Y6120" s="18"/>
      <c r="Z6120" s="18"/>
    </row>
    <row r="6121" spans="1:26" hidden="1">
      <c r="A6121"/>
      <c r="B6121" s="249"/>
      <c r="C6121"/>
      <c r="D6121"/>
      <c r="E6121"/>
      <c r="F6121" s="242"/>
      <c r="G6121"/>
      <c r="H6121" s="242"/>
      <c r="I6121" s="242"/>
      <c r="J6121" s="242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</row>
    <row r="6122" spans="1:26" hidden="1">
      <c r="A6122"/>
      <c r="B6122" s="249"/>
      <c r="C6122"/>
      <c r="D6122"/>
      <c r="E6122"/>
      <c r="F6122" s="242"/>
      <c r="G6122"/>
      <c r="H6122" s="242"/>
      <c r="I6122" s="242"/>
      <c r="J6122" s="242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  <c r="X6122" s="18"/>
      <c r="Y6122" s="18"/>
      <c r="Z6122" s="18"/>
    </row>
    <row r="6123" spans="1:26" hidden="1">
      <c r="A6123"/>
      <c r="B6123" s="249"/>
      <c r="C6123"/>
      <c r="D6123"/>
      <c r="E6123"/>
      <c r="F6123" s="242"/>
      <c r="G6123"/>
      <c r="H6123" s="242"/>
      <c r="I6123" s="242"/>
      <c r="J6123" s="242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</row>
    <row r="6124" spans="1:26" hidden="1">
      <c r="A6124"/>
      <c r="B6124" s="249"/>
      <c r="C6124"/>
      <c r="D6124"/>
      <c r="E6124"/>
      <c r="F6124" s="242"/>
      <c r="G6124"/>
      <c r="H6124" s="242"/>
      <c r="I6124" s="242"/>
      <c r="J6124" s="242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8"/>
      <c r="X6124" s="18"/>
      <c r="Y6124" s="18"/>
      <c r="Z6124" s="18"/>
    </row>
    <row r="6125" spans="1:26" hidden="1">
      <c r="A6125"/>
      <c r="B6125" s="249"/>
      <c r="C6125"/>
      <c r="D6125"/>
      <c r="E6125"/>
      <c r="F6125" s="242"/>
      <c r="G6125"/>
      <c r="H6125" s="242"/>
      <c r="I6125" s="242"/>
      <c r="J6125" s="242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</row>
    <row r="6126" spans="1:26" hidden="1">
      <c r="A6126"/>
      <c r="B6126" s="249"/>
      <c r="C6126"/>
      <c r="D6126"/>
      <c r="E6126"/>
      <c r="F6126" s="242"/>
      <c r="G6126"/>
      <c r="H6126" s="242"/>
      <c r="I6126" s="242"/>
      <c r="J6126" s="242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8"/>
      <c r="X6126" s="18"/>
      <c r="Y6126" s="18"/>
      <c r="Z6126" s="18"/>
    </row>
    <row r="6127" spans="1:26" hidden="1">
      <c r="A6127"/>
      <c r="B6127" s="249"/>
      <c r="C6127"/>
      <c r="D6127"/>
      <c r="E6127"/>
      <c r="F6127" s="242"/>
      <c r="G6127"/>
      <c r="H6127" s="242"/>
      <c r="I6127" s="242"/>
      <c r="J6127" s="242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8"/>
      <c r="X6127" s="18"/>
      <c r="Y6127" s="18"/>
      <c r="Z6127" s="18"/>
    </row>
    <row r="6128" spans="1:26" hidden="1">
      <c r="A6128"/>
      <c r="B6128" s="249"/>
      <c r="C6128"/>
      <c r="D6128"/>
      <c r="E6128"/>
      <c r="F6128" s="242"/>
      <c r="G6128"/>
      <c r="H6128" s="242"/>
      <c r="I6128" s="242"/>
      <c r="J6128" s="242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</row>
    <row r="6129" spans="1:26" hidden="1">
      <c r="A6129"/>
      <c r="B6129" s="249"/>
      <c r="C6129"/>
      <c r="D6129"/>
      <c r="E6129"/>
      <c r="F6129" s="242"/>
      <c r="G6129"/>
      <c r="H6129" s="242"/>
      <c r="I6129" s="242"/>
      <c r="J6129" s="242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</row>
    <row r="6130" spans="1:26" hidden="1">
      <c r="A6130"/>
      <c r="B6130" s="249"/>
      <c r="C6130"/>
      <c r="D6130"/>
      <c r="E6130"/>
      <c r="F6130" s="242"/>
      <c r="G6130"/>
      <c r="H6130" s="242"/>
      <c r="I6130" s="242"/>
      <c r="J6130" s="242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</row>
    <row r="6131" spans="1:26" hidden="1">
      <c r="A6131"/>
      <c r="B6131" s="249"/>
      <c r="C6131"/>
      <c r="D6131"/>
      <c r="E6131"/>
      <c r="F6131" s="242"/>
      <c r="G6131"/>
      <c r="H6131" s="242"/>
      <c r="I6131" s="242"/>
      <c r="J6131" s="242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</row>
    <row r="6132" spans="1:26" hidden="1">
      <c r="A6132"/>
      <c r="B6132" s="249"/>
      <c r="C6132"/>
      <c r="D6132"/>
      <c r="E6132"/>
      <c r="F6132" s="242"/>
      <c r="G6132"/>
      <c r="H6132" s="242"/>
      <c r="I6132" s="242"/>
      <c r="J6132" s="242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</row>
    <row r="6133" spans="1:26" hidden="1">
      <c r="A6133"/>
      <c r="B6133" s="249"/>
      <c r="C6133"/>
      <c r="D6133"/>
      <c r="E6133"/>
      <c r="F6133" s="242"/>
      <c r="G6133"/>
      <c r="H6133" s="242"/>
      <c r="I6133" s="242"/>
      <c r="J6133" s="242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8"/>
      <c r="X6133" s="18"/>
      <c r="Y6133" s="18"/>
      <c r="Z6133" s="18"/>
    </row>
    <row r="6134" spans="1:26" hidden="1">
      <c r="A6134"/>
      <c r="B6134" s="249"/>
      <c r="C6134"/>
      <c r="D6134"/>
      <c r="E6134"/>
      <c r="F6134" s="242"/>
      <c r="G6134"/>
      <c r="H6134" s="242"/>
      <c r="I6134" s="242"/>
      <c r="J6134" s="242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</row>
    <row r="6135" spans="1:26" hidden="1">
      <c r="A6135"/>
      <c r="B6135" s="249"/>
      <c r="C6135"/>
      <c r="D6135"/>
      <c r="E6135"/>
      <c r="F6135" s="242"/>
      <c r="G6135"/>
      <c r="H6135" s="242"/>
      <c r="I6135" s="242"/>
      <c r="J6135" s="242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</row>
    <row r="6136" spans="1:26" hidden="1">
      <c r="A6136"/>
      <c r="B6136" s="249"/>
      <c r="C6136"/>
      <c r="D6136"/>
      <c r="E6136"/>
      <c r="F6136" s="242"/>
      <c r="G6136"/>
      <c r="H6136" s="242"/>
      <c r="I6136" s="242"/>
      <c r="J6136" s="242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</row>
    <row r="6137" spans="1:26" hidden="1">
      <c r="A6137"/>
      <c r="B6137" s="249"/>
      <c r="C6137"/>
      <c r="D6137"/>
      <c r="E6137"/>
      <c r="F6137" s="242"/>
      <c r="G6137"/>
      <c r="H6137" s="242"/>
      <c r="I6137" s="242"/>
      <c r="J6137" s="242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</row>
    <row r="6138" spans="1:26" hidden="1">
      <c r="A6138"/>
      <c r="B6138" s="249"/>
      <c r="C6138"/>
      <c r="D6138"/>
      <c r="E6138"/>
      <c r="F6138" s="242"/>
      <c r="G6138"/>
      <c r="H6138" s="242"/>
      <c r="I6138" s="242"/>
      <c r="J6138" s="242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</row>
    <row r="6139" spans="1:26" hidden="1">
      <c r="A6139"/>
      <c r="B6139" s="249"/>
      <c r="C6139"/>
      <c r="D6139"/>
      <c r="E6139"/>
      <c r="F6139" s="242"/>
      <c r="G6139"/>
      <c r="H6139" s="242"/>
      <c r="I6139" s="242"/>
      <c r="J6139" s="242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</row>
    <row r="6140" spans="1:26" hidden="1">
      <c r="A6140"/>
      <c r="B6140" s="249"/>
      <c r="C6140"/>
      <c r="D6140"/>
      <c r="E6140"/>
      <c r="F6140" s="242"/>
      <c r="G6140"/>
      <c r="H6140" s="242"/>
      <c r="I6140" s="242"/>
      <c r="J6140" s="242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8"/>
      <c r="X6140" s="18"/>
      <c r="Y6140" s="18"/>
      <c r="Z6140" s="18"/>
    </row>
    <row r="6141" spans="1:26" hidden="1">
      <c r="A6141"/>
      <c r="B6141" s="249"/>
      <c r="C6141"/>
      <c r="D6141"/>
      <c r="E6141"/>
      <c r="F6141" s="242"/>
      <c r="G6141"/>
      <c r="H6141" s="242"/>
      <c r="I6141" s="242"/>
      <c r="J6141" s="242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</row>
    <row r="6142" spans="1:26" hidden="1">
      <c r="A6142"/>
      <c r="B6142" s="249"/>
      <c r="C6142"/>
      <c r="D6142"/>
      <c r="E6142"/>
      <c r="F6142" s="242"/>
      <c r="G6142"/>
      <c r="H6142" s="242"/>
      <c r="I6142" s="242"/>
      <c r="J6142" s="242"/>
      <c r="K6142" s="18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</row>
    <row r="6143" spans="1:26" hidden="1">
      <c r="A6143"/>
      <c r="B6143" s="249"/>
      <c r="C6143"/>
      <c r="D6143"/>
      <c r="E6143"/>
      <c r="F6143" s="242"/>
      <c r="G6143"/>
      <c r="H6143" s="242"/>
      <c r="I6143" s="242"/>
      <c r="J6143" s="242"/>
      <c r="K6143" s="18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8"/>
      <c r="X6143" s="18"/>
      <c r="Y6143" s="18"/>
      <c r="Z6143" s="18"/>
    </row>
    <row r="6144" spans="1:26" hidden="1">
      <c r="A6144"/>
      <c r="B6144" s="249"/>
      <c r="C6144"/>
      <c r="D6144"/>
      <c r="E6144"/>
      <c r="F6144" s="242"/>
      <c r="G6144"/>
      <c r="H6144" s="242"/>
      <c r="I6144" s="242"/>
      <c r="J6144" s="242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</row>
    <row r="6145" spans="1:26" hidden="1">
      <c r="A6145"/>
      <c r="B6145" s="249"/>
      <c r="C6145"/>
      <c r="D6145"/>
      <c r="E6145"/>
      <c r="F6145" s="242"/>
      <c r="G6145"/>
      <c r="H6145" s="242"/>
      <c r="I6145" s="242"/>
      <c r="J6145" s="242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</row>
    <row r="6146" spans="1:26" hidden="1">
      <c r="A6146"/>
      <c r="B6146" s="249"/>
      <c r="C6146"/>
      <c r="D6146"/>
      <c r="E6146"/>
      <c r="F6146" s="242"/>
      <c r="G6146"/>
      <c r="H6146" s="242"/>
      <c r="I6146" s="242"/>
      <c r="J6146" s="242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8"/>
      <c r="X6146" s="18"/>
      <c r="Y6146" s="18"/>
      <c r="Z6146" s="18"/>
    </row>
    <row r="6147" spans="1:26" hidden="1">
      <c r="A6147"/>
      <c r="B6147" s="249"/>
      <c r="C6147"/>
      <c r="D6147"/>
      <c r="E6147"/>
      <c r="F6147" s="242"/>
      <c r="G6147"/>
      <c r="H6147" s="242"/>
      <c r="I6147" s="242"/>
      <c r="J6147" s="242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</row>
    <row r="6148" spans="1:26" hidden="1">
      <c r="A6148"/>
      <c r="B6148" s="249"/>
      <c r="C6148"/>
      <c r="D6148"/>
      <c r="E6148"/>
      <c r="F6148" s="242"/>
      <c r="G6148"/>
      <c r="H6148" s="242"/>
      <c r="I6148" s="242"/>
      <c r="J6148" s="242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</row>
    <row r="6149" spans="1:26" hidden="1">
      <c r="A6149"/>
      <c r="B6149" s="249"/>
      <c r="C6149"/>
      <c r="D6149"/>
      <c r="E6149"/>
      <c r="F6149" s="242"/>
      <c r="G6149"/>
      <c r="H6149" s="242"/>
      <c r="I6149" s="242"/>
      <c r="J6149" s="242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</row>
    <row r="6150" spans="1:26" hidden="1">
      <c r="A6150"/>
      <c r="B6150" s="249"/>
      <c r="C6150"/>
      <c r="D6150"/>
      <c r="E6150"/>
      <c r="F6150" s="242"/>
      <c r="G6150"/>
      <c r="H6150" s="242"/>
      <c r="I6150" s="242"/>
      <c r="J6150" s="242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8"/>
      <c r="X6150" s="18"/>
      <c r="Y6150" s="18"/>
      <c r="Z6150" s="18"/>
    </row>
    <row r="6151" spans="1:26" hidden="1">
      <c r="A6151"/>
      <c r="B6151" s="249"/>
      <c r="C6151"/>
      <c r="D6151"/>
      <c r="E6151"/>
      <c r="F6151" s="242"/>
      <c r="G6151"/>
      <c r="H6151" s="242"/>
      <c r="I6151" s="242"/>
      <c r="J6151" s="242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</row>
    <row r="6152" spans="1:26" hidden="1">
      <c r="A6152"/>
      <c r="B6152" s="249"/>
      <c r="C6152"/>
      <c r="D6152"/>
      <c r="E6152"/>
      <c r="F6152" s="242"/>
      <c r="G6152"/>
      <c r="H6152" s="242"/>
      <c r="I6152" s="242"/>
      <c r="J6152" s="242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</row>
    <row r="6153" spans="1:26" hidden="1">
      <c r="A6153"/>
      <c r="B6153" s="249"/>
      <c r="C6153"/>
      <c r="D6153"/>
      <c r="E6153"/>
      <c r="F6153" s="242"/>
      <c r="G6153"/>
      <c r="H6153" s="242"/>
      <c r="I6153" s="242"/>
      <c r="J6153" s="242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</row>
    <row r="6154" spans="1:26" hidden="1">
      <c r="A6154"/>
      <c r="B6154" s="249"/>
      <c r="C6154"/>
      <c r="D6154"/>
      <c r="E6154"/>
      <c r="F6154" s="242"/>
      <c r="G6154"/>
      <c r="H6154" s="242"/>
      <c r="I6154" s="242"/>
      <c r="J6154" s="242"/>
      <c r="K6154" s="18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8"/>
      <c r="X6154" s="18"/>
      <c r="Y6154" s="18"/>
      <c r="Z6154" s="18"/>
    </row>
    <row r="6155" spans="1:26" hidden="1">
      <c r="A6155"/>
      <c r="B6155" s="249"/>
      <c r="C6155"/>
      <c r="D6155"/>
      <c r="E6155"/>
      <c r="F6155" s="242"/>
      <c r="G6155"/>
      <c r="H6155" s="242"/>
      <c r="I6155" s="242"/>
      <c r="J6155" s="242"/>
      <c r="K6155" s="18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8"/>
      <c r="X6155" s="18"/>
      <c r="Y6155" s="18"/>
      <c r="Z6155" s="18"/>
    </row>
    <row r="6156" spans="1:26" hidden="1">
      <c r="A6156"/>
      <c r="B6156" s="249"/>
      <c r="C6156"/>
      <c r="D6156"/>
      <c r="E6156"/>
      <c r="F6156" s="242"/>
      <c r="G6156"/>
      <c r="H6156" s="242"/>
      <c r="I6156" s="242"/>
      <c r="J6156" s="242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8"/>
      <c r="X6156" s="18"/>
      <c r="Y6156" s="18"/>
      <c r="Z6156" s="18"/>
    </row>
    <row r="6157" spans="1:26" hidden="1">
      <c r="A6157"/>
      <c r="B6157" s="249"/>
      <c r="C6157"/>
      <c r="D6157"/>
      <c r="E6157"/>
      <c r="F6157" s="242"/>
      <c r="G6157"/>
      <c r="H6157" s="242"/>
      <c r="I6157" s="242"/>
      <c r="J6157" s="242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</row>
    <row r="6158" spans="1:26" hidden="1">
      <c r="A6158"/>
      <c r="B6158" s="249"/>
      <c r="C6158"/>
      <c r="D6158"/>
      <c r="E6158"/>
      <c r="F6158" s="242"/>
      <c r="G6158"/>
      <c r="H6158" s="242"/>
      <c r="I6158" s="242"/>
      <c r="J6158" s="242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  <c r="X6158" s="18"/>
      <c r="Y6158" s="18"/>
      <c r="Z6158" s="18"/>
    </row>
    <row r="6159" spans="1:26" hidden="1">
      <c r="A6159"/>
      <c r="B6159" s="249"/>
      <c r="C6159"/>
      <c r="D6159"/>
      <c r="E6159"/>
      <c r="F6159" s="242"/>
      <c r="G6159"/>
      <c r="H6159" s="242"/>
      <c r="I6159" s="242"/>
      <c r="J6159" s="242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8"/>
      <c r="X6159" s="18"/>
      <c r="Y6159" s="18"/>
      <c r="Z6159" s="18"/>
    </row>
    <row r="6160" spans="1:26" hidden="1">
      <c r="A6160"/>
      <c r="B6160" s="249"/>
      <c r="C6160"/>
      <c r="D6160"/>
      <c r="E6160"/>
      <c r="F6160" s="242"/>
      <c r="G6160"/>
      <c r="H6160" s="242"/>
      <c r="I6160" s="242"/>
      <c r="J6160" s="242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8"/>
      <c r="X6160" s="18"/>
      <c r="Y6160" s="18"/>
      <c r="Z6160" s="18"/>
    </row>
    <row r="6161" spans="1:26" hidden="1">
      <c r="A6161"/>
      <c r="B6161" s="249"/>
      <c r="C6161"/>
      <c r="D6161"/>
      <c r="E6161"/>
      <c r="F6161" s="242"/>
      <c r="G6161"/>
      <c r="H6161" s="242"/>
      <c r="I6161" s="242"/>
      <c r="J6161" s="242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8"/>
      <c r="X6161" s="18"/>
      <c r="Y6161" s="18"/>
      <c r="Z6161" s="18"/>
    </row>
    <row r="6162" spans="1:26" hidden="1">
      <c r="A6162"/>
      <c r="B6162" s="249"/>
      <c r="C6162"/>
      <c r="D6162"/>
      <c r="E6162"/>
      <c r="F6162" s="242"/>
      <c r="G6162"/>
      <c r="H6162" s="242"/>
      <c r="I6162" s="242"/>
      <c r="J6162" s="242"/>
      <c r="K6162" s="18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8"/>
      <c r="X6162" s="18"/>
      <c r="Y6162" s="18"/>
      <c r="Z6162" s="18"/>
    </row>
    <row r="6163" spans="1:26" hidden="1">
      <c r="A6163"/>
      <c r="B6163" s="249"/>
      <c r="C6163"/>
      <c r="D6163"/>
      <c r="E6163"/>
      <c r="F6163" s="242"/>
      <c r="G6163"/>
      <c r="H6163" s="242"/>
      <c r="I6163" s="242"/>
      <c r="J6163" s="242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</row>
    <row r="6164" spans="1:26" hidden="1">
      <c r="A6164"/>
      <c r="B6164" s="249"/>
      <c r="C6164"/>
      <c r="D6164"/>
      <c r="E6164"/>
      <c r="F6164" s="242"/>
      <c r="G6164"/>
      <c r="H6164" s="242"/>
      <c r="I6164" s="242"/>
      <c r="J6164" s="242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</row>
    <row r="6165" spans="1:26" hidden="1">
      <c r="A6165"/>
      <c r="B6165" s="249"/>
      <c r="C6165"/>
      <c r="D6165"/>
      <c r="E6165"/>
      <c r="F6165" s="242"/>
      <c r="G6165"/>
      <c r="H6165" s="242"/>
      <c r="I6165" s="242"/>
      <c r="J6165" s="242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</row>
    <row r="6166" spans="1:26" hidden="1">
      <c r="A6166"/>
      <c r="B6166" s="249"/>
      <c r="C6166"/>
      <c r="D6166"/>
      <c r="E6166"/>
      <c r="F6166" s="242"/>
      <c r="G6166"/>
      <c r="H6166" s="242"/>
      <c r="I6166" s="242"/>
      <c r="J6166" s="242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</row>
    <row r="6167" spans="1:26" hidden="1">
      <c r="A6167"/>
      <c r="B6167" s="249"/>
      <c r="C6167"/>
      <c r="D6167"/>
      <c r="E6167"/>
      <c r="F6167" s="242"/>
      <c r="G6167"/>
      <c r="H6167" s="242"/>
      <c r="I6167" s="242"/>
      <c r="J6167" s="242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</row>
    <row r="6168" spans="1:26" hidden="1">
      <c r="A6168"/>
      <c r="B6168" s="249"/>
      <c r="C6168"/>
      <c r="D6168"/>
      <c r="E6168"/>
      <c r="F6168" s="242"/>
      <c r="G6168"/>
      <c r="H6168" s="242"/>
      <c r="I6168" s="242"/>
      <c r="J6168" s="242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8"/>
      <c r="X6168" s="18"/>
      <c r="Y6168" s="18"/>
      <c r="Z6168" s="18"/>
    </row>
    <row r="6169" spans="1:26" hidden="1">
      <c r="A6169"/>
      <c r="B6169" s="249"/>
      <c r="C6169"/>
      <c r="D6169"/>
      <c r="E6169"/>
      <c r="F6169" s="242"/>
      <c r="G6169"/>
      <c r="H6169" s="242"/>
      <c r="I6169" s="242"/>
      <c r="J6169" s="242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</row>
    <row r="6170" spans="1:26" hidden="1">
      <c r="A6170"/>
      <c r="B6170" s="249"/>
      <c r="C6170"/>
      <c r="D6170"/>
      <c r="E6170"/>
      <c r="F6170" s="242"/>
      <c r="G6170"/>
      <c r="H6170" s="242"/>
      <c r="I6170" s="242"/>
      <c r="J6170" s="242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8"/>
      <c r="X6170" s="18"/>
      <c r="Y6170" s="18"/>
      <c r="Z6170" s="18"/>
    </row>
    <row r="6171" spans="1:26" hidden="1">
      <c r="A6171"/>
      <c r="B6171" s="249"/>
      <c r="C6171"/>
      <c r="D6171"/>
      <c r="E6171"/>
      <c r="F6171" s="242"/>
      <c r="G6171"/>
      <c r="H6171" s="242"/>
      <c r="I6171" s="242"/>
      <c r="J6171" s="242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</row>
    <row r="6172" spans="1:26" hidden="1">
      <c r="A6172"/>
      <c r="B6172" s="249"/>
      <c r="C6172"/>
      <c r="D6172"/>
      <c r="E6172"/>
      <c r="F6172" s="242"/>
      <c r="G6172"/>
      <c r="H6172" s="242"/>
      <c r="I6172" s="242"/>
      <c r="J6172" s="242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8"/>
      <c r="X6172" s="18"/>
      <c r="Y6172" s="18"/>
      <c r="Z6172" s="18"/>
    </row>
    <row r="6173" spans="1:26" hidden="1">
      <c r="A6173"/>
      <c r="B6173" s="249"/>
      <c r="C6173"/>
      <c r="D6173"/>
      <c r="E6173"/>
      <c r="F6173" s="242"/>
      <c r="G6173"/>
      <c r="H6173" s="242"/>
      <c r="I6173" s="242"/>
      <c r="J6173" s="242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</row>
    <row r="6174" spans="1:26" hidden="1">
      <c r="A6174"/>
      <c r="B6174" s="249"/>
      <c r="C6174"/>
      <c r="D6174"/>
      <c r="E6174"/>
      <c r="F6174" s="242"/>
      <c r="G6174"/>
      <c r="H6174" s="242"/>
      <c r="I6174" s="242"/>
      <c r="J6174" s="242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8"/>
      <c r="X6174" s="18"/>
      <c r="Y6174" s="18"/>
      <c r="Z6174" s="18"/>
    </row>
    <row r="6175" spans="1:26" hidden="1">
      <c r="A6175"/>
      <c r="B6175" s="249"/>
      <c r="C6175"/>
      <c r="D6175"/>
      <c r="E6175"/>
      <c r="F6175" s="242"/>
      <c r="G6175"/>
      <c r="H6175" s="242"/>
      <c r="I6175" s="242"/>
      <c r="J6175" s="242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</row>
    <row r="6176" spans="1:26" hidden="1">
      <c r="A6176"/>
      <c r="B6176" s="249"/>
      <c r="C6176"/>
      <c r="D6176"/>
      <c r="E6176"/>
      <c r="F6176" s="242"/>
      <c r="G6176"/>
      <c r="H6176" s="242"/>
      <c r="I6176" s="242"/>
      <c r="J6176" s="242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</row>
    <row r="6177" spans="1:26" hidden="1">
      <c r="A6177"/>
      <c r="B6177" s="249"/>
      <c r="C6177"/>
      <c r="D6177"/>
      <c r="E6177"/>
      <c r="F6177" s="242"/>
      <c r="G6177"/>
      <c r="H6177" s="242"/>
      <c r="I6177" s="242"/>
      <c r="J6177" s="242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8"/>
      <c r="X6177" s="18"/>
      <c r="Y6177" s="18"/>
      <c r="Z6177" s="18"/>
    </row>
    <row r="6178" spans="1:26" hidden="1">
      <c r="A6178"/>
      <c r="B6178" s="249"/>
      <c r="C6178"/>
      <c r="D6178"/>
      <c r="E6178"/>
      <c r="F6178" s="242"/>
      <c r="G6178"/>
      <c r="H6178" s="242"/>
      <c r="I6178" s="242"/>
      <c r="J6178" s="242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</row>
    <row r="6179" spans="1:26" hidden="1">
      <c r="A6179"/>
      <c r="B6179" s="249"/>
      <c r="C6179"/>
      <c r="D6179"/>
      <c r="E6179"/>
      <c r="F6179" s="242"/>
      <c r="G6179"/>
      <c r="H6179" s="242"/>
      <c r="I6179" s="242"/>
      <c r="J6179" s="242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</row>
    <row r="6180" spans="1:26" hidden="1">
      <c r="A6180"/>
      <c r="B6180" s="249"/>
      <c r="C6180"/>
      <c r="D6180"/>
      <c r="E6180"/>
      <c r="F6180" s="242"/>
      <c r="G6180"/>
      <c r="H6180" s="242"/>
      <c r="I6180" s="242"/>
      <c r="J6180" s="242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</row>
    <row r="6181" spans="1:26" hidden="1">
      <c r="A6181"/>
      <c r="B6181" s="249"/>
      <c r="C6181"/>
      <c r="D6181"/>
      <c r="E6181"/>
      <c r="F6181" s="242"/>
      <c r="G6181"/>
      <c r="H6181" s="242"/>
      <c r="I6181" s="242"/>
      <c r="J6181" s="242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</row>
    <row r="6182" spans="1:26" hidden="1">
      <c r="A6182"/>
      <c r="B6182" s="249"/>
      <c r="C6182"/>
      <c r="D6182"/>
      <c r="E6182"/>
      <c r="F6182" s="242"/>
      <c r="G6182"/>
      <c r="H6182" s="242"/>
      <c r="I6182" s="242"/>
      <c r="J6182" s="242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</row>
    <row r="6183" spans="1:26" hidden="1">
      <c r="A6183"/>
      <c r="B6183" s="249"/>
      <c r="C6183"/>
      <c r="D6183"/>
      <c r="E6183"/>
      <c r="F6183" s="242"/>
      <c r="G6183"/>
      <c r="H6183" s="242"/>
      <c r="I6183" s="242"/>
      <c r="J6183" s="242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</row>
    <row r="6184" spans="1:26" hidden="1">
      <c r="A6184"/>
      <c r="B6184" s="249"/>
      <c r="C6184"/>
      <c r="D6184"/>
      <c r="E6184"/>
      <c r="F6184" s="242"/>
      <c r="G6184"/>
      <c r="H6184" s="242"/>
      <c r="I6184" s="242"/>
      <c r="J6184" s="242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8"/>
      <c r="X6184" s="18"/>
      <c r="Y6184" s="18"/>
      <c r="Z6184" s="18"/>
    </row>
    <row r="6185" spans="1:26" hidden="1">
      <c r="A6185"/>
      <c r="B6185" s="249"/>
      <c r="C6185"/>
      <c r="D6185"/>
      <c r="E6185"/>
      <c r="F6185" s="242"/>
      <c r="G6185"/>
      <c r="H6185" s="242"/>
      <c r="I6185" s="242"/>
      <c r="J6185" s="242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</row>
    <row r="6186" spans="1:26" hidden="1">
      <c r="A6186"/>
      <c r="B6186" s="249"/>
      <c r="C6186"/>
      <c r="D6186"/>
      <c r="E6186"/>
      <c r="F6186" s="242"/>
      <c r="G6186"/>
      <c r="H6186" s="242"/>
      <c r="I6186" s="242"/>
      <c r="J6186" s="242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</row>
    <row r="6187" spans="1:26" hidden="1">
      <c r="A6187"/>
      <c r="B6187" s="249"/>
      <c r="C6187"/>
      <c r="D6187"/>
      <c r="E6187"/>
      <c r="F6187" s="242"/>
      <c r="G6187"/>
      <c r="H6187" s="242"/>
      <c r="I6187" s="242"/>
      <c r="J6187" s="242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</row>
    <row r="6188" spans="1:26" hidden="1">
      <c r="A6188"/>
      <c r="B6188" s="249"/>
      <c r="C6188"/>
      <c r="D6188"/>
      <c r="E6188"/>
      <c r="F6188" s="242"/>
      <c r="G6188"/>
      <c r="H6188" s="242"/>
      <c r="I6188" s="242"/>
      <c r="J6188" s="242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8"/>
      <c r="X6188" s="18"/>
      <c r="Y6188" s="18"/>
      <c r="Z6188" s="18"/>
    </row>
    <row r="6189" spans="1:26" hidden="1">
      <c r="A6189"/>
      <c r="B6189" s="249"/>
      <c r="C6189"/>
      <c r="D6189"/>
      <c r="E6189"/>
      <c r="F6189" s="242"/>
      <c r="G6189"/>
      <c r="H6189" s="242"/>
      <c r="I6189" s="242"/>
      <c r="J6189" s="242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</row>
    <row r="6190" spans="1:26" hidden="1">
      <c r="A6190"/>
      <c r="B6190" s="249"/>
      <c r="C6190"/>
      <c r="D6190"/>
      <c r="E6190"/>
      <c r="F6190" s="242"/>
      <c r="G6190"/>
      <c r="H6190" s="242"/>
      <c r="I6190" s="242"/>
      <c r="J6190" s="242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8"/>
      <c r="X6190" s="18"/>
      <c r="Y6190" s="18"/>
      <c r="Z6190" s="18"/>
    </row>
    <row r="6191" spans="1:26" hidden="1">
      <c r="A6191"/>
      <c r="B6191" s="249"/>
      <c r="C6191"/>
      <c r="D6191"/>
      <c r="E6191"/>
      <c r="F6191" s="242"/>
      <c r="G6191"/>
      <c r="H6191" s="242"/>
      <c r="I6191" s="242"/>
      <c r="J6191" s="242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</row>
    <row r="6192" spans="1:26" hidden="1">
      <c r="A6192"/>
      <c r="B6192" s="249"/>
      <c r="C6192"/>
      <c r="D6192"/>
      <c r="E6192"/>
      <c r="F6192" s="242"/>
      <c r="G6192"/>
      <c r="H6192" s="242"/>
      <c r="I6192" s="242"/>
      <c r="J6192" s="242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</row>
    <row r="6193" spans="1:26" hidden="1">
      <c r="A6193"/>
      <c r="B6193" s="249"/>
      <c r="C6193"/>
      <c r="D6193"/>
      <c r="E6193"/>
      <c r="F6193" s="242"/>
      <c r="G6193"/>
      <c r="H6193" s="242"/>
      <c r="I6193" s="242"/>
      <c r="J6193" s="242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</row>
    <row r="6194" spans="1:26" hidden="1">
      <c r="A6194"/>
      <c r="B6194" s="249"/>
      <c r="C6194"/>
      <c r="D6194"/>
      <c r="E6194"/>
      <c r="F6194" s="242"/>
      <c r="G6194"/>
      <c r="H6194" s="242"/>
      <c r="I6194" s="242"/>
      <c r="J6194" s="242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</row>
    <row r="6195" spans="1:26" hidden="1">
      <c r="A6195"/>
      <c r="B6195" s="249"/>
      <c r="C6195"/>
      <c r="D6195"/>
      <c r="E6195"/>
      <c r="F6195" s="242"/>
      <c r="G6195"/>
      <c r="H6195" s="242"/>
      <c r="I6195" s="242"/>
      <c r="J6195" s="242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</row>
    <row r="6196" spans="1:26" hidden="1">
      <c r="A6196"/>
      <c r="B6196" s="249"/>
      <c r="C6196"/>
      <c r="D6196"/>
      <c r="E6196"/>
      <c r="F6196" s="242"/>
      <c r="G6196"/>
      <c r="H6196" s="242"/>
      <c r="I6196" s="242"/>
      <c r="J6196" s="242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</row>
    <row r="6197" spans="1:26" hidden="1">
      <c r="A6197"/>
      <c r="B6197" s="249"/>
      <c r="C6197"/>
      <c r="D6197"/>
      <c r="E6197"/>
      <c r="F6197" s="242"/>
      <c r="G6197"/>
      <c r="H6197" s="242"/>
      <c r="I6197" s="242"/>
      <c r="J6197" s="242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</row>
    <row r="6198" spans="1:26" hidden="1">
      <c r="A6198"/>
      <c r="B6198" s="249"/>
      <c r="C6198"/>
      <c r="D6198"/>
      <c r="E6198"/>
      <c r="F6198" s="242"/>
      <c r="G6198"/>
      <c r="H6198" s="242"/>
      <c r="I6198" s="242"/>
      <c r="J6198" s="242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</row>
    <row r="6199" spans="1:26" hidden="1">
      <c r="A6199"/>
      <c r="B6199" s="249"/>
      <c r="C6199"/>
      <c r="D6199"/>
      <c r="E6199"/>
      <c r="F6199" s="242"/>
      <c r="G6199"/>
      <c r="H6199" s="242"/>
      <c r="I6199" s="242"/>
      <c r="J6199" s="242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</row>
    <row r="6200" spans="1:26" hidden="1">
      <c r="A6200"/>
      <c r="B6200" s="249"/>
      <c r="C6200"/>
      <c r="D6200"/>
      <c r="E6200"/>
      <c r="F6200" s="242"/>
      <c r="G6200"/>
      <c r="H6200" s="242"/>
      <c r="I6200" s="242"/>
      <c r="J6200" s="242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</row>
    <row r="6201" spans="1:26" hidden="1">
      <c r="A6201"/>
      <c r="B6201" s="249"/>
      <c r="C6201"/>
      <c r="D6201"/>
      <c r="E6201"/>
      <c r="F6201" s="242"/>
      <c r="G6201"/>
      <c r="H6201" s="242"/>
      <c r="I6201" s="242"/>
      <c r="J6201" s="242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</row>
    <row r="6202" spans="1:26" hidden="1">
      <c r="A6202"/>
      <c r="B6202" s="249"/>
      <c r="C6202"/>
      <c r="D6202"/>
      <c r="E6202"/>
      <c r="F6202" s="242"/>
      <c r="G6202"/>
      <c r="H6202" s="242"/>
      <c r="I6202" s="242"/>
      <c r="J6202" s="242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</row>
    <row r="6203" spans="1:26" hidden="1">
      <c r="A6203"/>
      <c r="B6203" s="249"/>
      <c r="C6203"/>
      <c r="D6203"/>
      <c r="E6203"/>
      <c r="F6203" s="242"/>
      <c r="G6203"/>
      <c r="H6203" s="242"/>
      <c r="I6203" s="242"/>
      <c r="J6203" s="242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</row>
    <row r="6204" spans="1:26" hidden="1">
      <c r="A6204"/>
      <c r="B6204" s="249"/>
      <c r="C6204"/>
      <c r="D6204"/>
      <c r="E6204"/>
      <c r="F6204" s="242"/>
      <c r="G6204"/>
      <c r="H6204" s="242"/>
      <c r="I6204" s="242"/>
      <c r="J6204" s="242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</row>
    <row r="6205" spans="1:26" hidden="1">
      <c r="A6205"/>
      <c r="B6205" s="249"/>
      <c r="C6205"/>
      <c r="D6205"/>
      <c r="E6205"/>
      <c r="F6205" s="242"/>
      <c r="G6205"/>
      <c r="H6205" s="242"/>
      <c r="I6205" s="242"/>
      <c r="J6205" s="242"/>
      <c r="K6205" s="18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</row>
    <row r="6206" spans="1:26" hidden="1">
      <c r="A6206"/>
      <c r="B6206" s="249"/>
      <c r="C6206"/>
      <c r="D6206"/>
      <c r="E6206"/>
      <c r="F6206" s="242"/>
      <c r="G6206"/>
      <c r="H6206" s="242"/>
      <c r="I6206" s="242"/>
      <c r="J6206" s="242"/>
      <c r="K6206" s="18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</row>
    <row r="6207" spans="1:26" hidden="1">
      <c r="A6207"/>
      <c r="B6207" s="249"/>
      <c r="C6207"/>
      <c r="D6207"/>
      <c r="E6207"/>
      <c r="F6207" s="242"/>
      <c r="G6207"/>
      <c r="H6207" s="242"/>
      <c r="I6207" s="242"/>
      <c r="J6207" s="242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</row>
    <row r="6208" spans="1:26" hidden="1">
      <c r="A6208"/>
      <c r="B6208" s="249"/>
      <c r="C6208"/>
      <c r="D6208"/>
      <c r="E6208"/>
      <c r="F6208" s="242"/>
      <c r="G6208"/>
      <c r="H6208" s="242"/>
      <c r="I6208" s="242"/>
      <c r="J6208" s="242"/>
      <c r="K6208" s="18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</row>
    <row r="6209" spans="1:26" hidden="1">
      <c r="A6209"/>
      <c r="B6209" s="249"/>
      <c r="C6209"/>
      <c r="D6209"/>
      <c r="E6209"/>
      <c r="F6209" s="242"/>
      <c r="G6209"/>
      <c r="H6209" s="242"/>
      <c r="I6209" s="242"/>
      <c r="J6209" s="242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</row>
    <row r="6210" spans="1:26" hidden="1">
      <c r="A6210"/>
      <c r="B6210" s="249"/>
      <c r="C6210"/>
      <c r="D6210"/>
      <c r="E6210"/>
      <c r="F6210" s="242"/>
      <c r="G6210"/>
      <c r="H6210" s="242"/>
      <c r="I6210" s="242"/>
      <c r="J6210" s="242"/>
      <c r="K6210" s="18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</row>
    <row r="6211" spans="1:26" hidden="1">
      <c r="A6211"/>
      <c r="B6211" s="249"/>
      <c r="C6211"/>
      <c r="D6211"/>
      <c r="E6211"/>
      <c r="F6211" s="242"/>
      <c r="G6211"/>
      <c r="H6211" s="242"/>
      <c r="I6211" s="242"/>
      <c r="J6211" s="242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</row>
    <row r="6212" spans="1:26" hidden="1">
      <c r="A6212"/>
      <c r="B6212" s="249"/>
      <c r="C6212"/>
      <c r="D6212"/>
      <c r="E6212"/>
      <c r="F6212" s="242"/>
      <c r="G6212"/>
      <c r="H6212" s="242"/>
      <c r="I6212" s="242"/>
      <c r="J6212" s="242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</row>
    <row r="6213" spans="1:26" hidden="1">
      <c r="A6213"/>
      <c r="B6213" s="249"/>
      <c r="C6213"/>
      <c r="D6213"/>
      <c r="E6213"/>
      <c r="F6213" s="242"/>
      <c r="G6213"/>
      <c r="H6213" s="242"/>
      <c r="I6213" s="242"/>
      <c r="J6213" s="242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</row>
    <row r="6214" spans="1:26" hidden="1">
      <c r="A6214"/>
      <c r="B6214" s="249"/>
      <c r="C6214"/>
      <c r="D6214"/>
      <c r="E6214"/>
      <c r="F6214" s="242"/>
      <c r="G6214"/>
      <c r="H6214" s="242"/>
      <c r="I6214" s="242"/>
      <c r="J6214" s="242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</row>
    <row r="6215" spans="1:26" hidden="1">
      <c r="A6215"/>
      <c r="B6215" s="249"/>
      <c r="C6215"/>
      <c r="D6215"/>
      <c r="E6215"/>
      <c r="F6215" s="242"/>
      <c r="G6215"/>
      <c r="H6215" s="242"/>
      <c r="I6215" s="242"/>
      <c r="J6215" s="242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</row>
    <row r="6216" spans="1:26" hidden="1">
      <c r="A6216"/>
      <c r="B6216" s="249"/>
      <c r="C6216"/>
      <c r="D6216"/>
      <c r="E6216"/>
      <c r="F6216" s="242"/>
      <c r="G6216"/>
      <c r="H6216" s="242"/>
      <c r="I6216" s="242"/>
      <c r="J6216" s="242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</row>
    <row r="6217" spans="1:26" hidden="1">
      <c r="A6217"/>
      <c r="B6217" s="249"/>
      <c r="C6217"/>
      <c r="D6217"/>
      <c r="E6217"/>
      <c r="F6217" s="242"/>
      <c r="G6217"/>
      <c r="H6217" s="242"/>
      <c r="I6217" s="242"/>
      <c r="J6217" s="242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</row>
    <row r="6218" spans="1:26" hidden="1">
      <c r="A6218"/>
      <c r="B6218" s="249"/>
      <c r="C6218"/>
      <c r="D6218"/>
      <c r="E6218"/>
      <c r="F6218" s="242"/>
      <c r="G6218"/>
      <c r="H6218" s="242"/>
      <c r="I6218" s="242"/>
      <c r="J6218" s="242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</row>
    <row r="6219" spans="1:26" hidden="1">
      <c r="A6219"/>
      <c r="B6219" s="249"/>
      <c r="C6219"/>
      <c r="D6219"/>
      <c r="E6219"/>
      <c r="F6219" s="242"/>
      <c r="G6219"/>
      <c r="H6219" s="242"/>
      <c r="I6219" s="242"/>
      <c r="J6219" s="242"/>
      <c r="K6219" s="18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</row>
    <row r="6220" spans="1:26" hidden="1">
      <c r="A6220"/>
      <c r="B6220" s="249"/>
      <c r="C6220"/>
      <c r="D6220"/>
      <c r="E6220"/>
      <c r="F6220" s="242"/>
      <c r="G6220"/>
      <c r="H6220" s="242"/>
      <c r="I6220" s="242"/>
      <c r="J6220" s="242"/>
      <c r="K6220" s="18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</row>
    <row r="6221" spans="1:26" hidden="1">
      <c r="A6221"/>
      <c r="B6221" s="249"/>
      <c r="C6221"/>
      <c r="D6221"/>
      <c r="E6221"/>
      <c r="F6221" s="242"/>
      <c r="G6221"/>
      <c r="H6221" s="242"/>
      <c r="I6221" s="242"/>
      <c r="J6221" s="242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</row>
    <row r="6222" spans="1:26" hidden="1">
      <c r="A6222"/>
      <c r="B6222" s="249"/>
      <c r="C6222"/>
      <c r="D6222"/>
      <c r="E6222"/>
      <c r="F6222" s="242"/>
      <c r="G6222"/>
      <c r="H6222" s="242"/>
      <c r="I6222" s="242"/>
      <c r="J6222" s="242"/>
      <c r="K6222" s="18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</row>
    <row r="6223" spans="1:26" hidden="1">
      <c r="A6223"/>
      <c r="B6223" s="249"/>
      <c r="C6223"/>
      <c r="D6223"/>
      <c r="E6223"/>
      <c r="F6223" s="242"/>
      <c r="G6223"/>
      <c r="H6223" s="242"/>
      <c r="I6223" s="242"/>
      <c r="J6223" s="242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</row>
    <row r="6224" spans="1:26" hidden="1">
      <c r="A6224"/>
      <c r="B6224" s="249"/>
      <c r="C6224"/>
      <c r="D6224"/>
      <c r="E6224"/>
      <c r="F6224" s="242"/>
      <c r="G6224"/>
      <c r="H6224" s="242"/>
      <c r="I6224" s="242"/>
      <c r="J6224" s="242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</row>
    <row r="6225" spans="1:26" hidden="1">
      <c r="A6225"/>
      <c r="B6225" s="249"/>
      <c r="C6225"/>
      <c r="D6225"/>
      <c r="E6225"/>
      <c r="F6225" s="242"/>
      <c r="G6225"/>
      <c r="H6225" s="242"/>
      <c r="I6225" s="242"/>
      <c r="J6225" s="242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</row>
    <row r="6226" spans="1:26" hidden="1">
      <c r="A6226"/>
      <c r="B6226" s="249"/>
      <c r="C6226"/>
      <c r="D6226"/>
      <c r="E6226"/>
      <c r="F6226" s="242"/>
      <c r="G6226"/>
      <c r="H6226" s="242"/>
      <c r="I6226" s="242"/>
      <c r="J6226" s="242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</row>
    <row r="6227" spans="1:26" hidden="1">
      <c r="A6227"/>
      <c r="B6227" s="249"/>
      <c r="C6227"/>
      <c r="D6227"/>
      <c r="E6227"/>
      <c r="F6227" s="242"/>
      <c r="G6227"/>
      <c r="H6227" s="242"/>
      <c r="I6227" s="242"/>
      <c r="J6227" s="242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</row>
    <row r="6228" spans="1:26" hidden="1">
      <c r="A6228"/>
      <c r="B6228" s="249"/>
      <c r="C6228"/>
      <c r="D6228"/>
      <c r="E6228"/>
      <c r="F6228" s="242"/>
      <c r="G6228"/>
      <c r="H6228" s="242"/>
      <c r="I6228" s="242"/>
      <c r="J6228" s="242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</row>
    <row r="6229" spans="1:26" hidden="1">
      <c r="A6229"/>
      <c r="B6229" s="249"/>
      <c r="C6229"/>
      <c r="D6229"/>
      <c r="E6229"/>
      <c r="F6229" s="242"/>
      <c r="G6229"/>
      <c r="H6229" s="242"/>
      <c r="I6229" s="242"/>
      <c r="J6229" s="242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</row>
    <row r="6230" spans="1:26" hidden="1">
      <c r="A6230"/>
      <c r="B6230" s="249"/>
      <c r="C6230"/>
      <c r="D6230"/>
      <c r="E6230"/>
      <c r="F6230" s="242"/>
      <c r="G6230"/>
      <c r="H6230" s="242"/>
      <c r="I6230" s="242"/>
      <c r="J6230" s="242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</row>
    <row r="6231" spans="1:26" hidden="1">
      <c r="A6231"/>
      <c r="B6231" s="249"/>
      <c r="C6231"/>
      <c r="D6231"/>
      <c r="E6231"/>
      <c r="F6231" s="242"/>
      <c r="G6231"/>
      <c r="H6231" s="242"/>
      <c r="I6231" s="242"/>
      <c r="J6231" s="242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</row>
    <row r="6232" spans="1:26" hidden="1">
      <c r="A6232"/>
      <c r="B6232" s="249"/>
      <c r="C6232"/>
      <c r="D6232"/>
      <c r="E6232"/>
      <c r="F6232" s="242"/>
      <c r="G6232"/>
      <c r="H6232" s="242"/>
      <c r="I6232" s="242"/>
      <c r="J6232" s="242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</row>
    <row r="6233" spans="1:26" hidden="1">
      <c r="A6233"/>
      <c r="B6233" s="249"/>
      <c r="C6233"/>
      <c r="D6233"/>
      <c r="E6233"/>
      <c r="F6233" s="242"/>
      <c r="G6233"/>
      <c r="H6233" s="242"/>
      <c r="I6233" s="242"/>
      <c r="J6233" s="242"/>
      <c r="K6233" s="18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</row>
    <row r="6234" spans="1:26" hidden="1">
      <c r="A6234"/>
      <c r="B6234" s="249"/>
      <c r="C6234"/>
      <c r="D6234"/>
      <c r="E6234"/>
      <c r="F6234" s="242"/>
      <c r="G6234"/>
      <c r="H6234" s="242"/>
      <c r="I6234" s="242"/>
      <c r="J6234" s="242"/>
      <c r="K6234" s="18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</row>
    <row r="6235" spans="1:26" hidden="1">
      <c r="A6235"/>
      <c r="B6235" s="249"/>
      <c r="C6235"/>
      <c r="D6235"/>
      <c r="E6235"/>
      <c r="F6235" s="242"/>
      <c r="G6235"/>
      <c r="H6235" s="242"/>
      <c r="I6235" s="242"/>
      <c r="J6235" s="242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</row>
    <row r="6236" spans="1:26" hidden="1">
      <c r="A6236"/>
      <c r="B6236" s="249"/>
      <c r="C6236"/>
      <c r="D6236"/>
      <c r="E6236"/>
      <c r="F6236" s="242"/>
      <c r="G6236"/>
      <c r="H6236" s="242"/>
      <c r="I6236" s="242"/>
      <c r="J6236" s="242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</row>
    <row r="6237" spans="1:26" hidden="1">
      <c r="A6237"/>
      <c r="B6237" s="249"/>
      <c r="C6237"/>
      <c r="D6237"/>
      <c r="E6237"/>
      <c r="F6237" s="242"/>
      <c r="G6237"/>
      <c r="H6237" s="242"/>
      <c r="I6237" s="242"/>
      <c r="J6237" s="242"/>
      <c r="K6237" s="18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</row>
    <row r="6238" spans="1:26" hidden="1">
      <c r="A6238"/>
      <c r="B6238" s="249"/>
      <c r="C6238"/>
      <c r="D6238"/>
      <c r="E6238"/>
      <c r="F6238" s="242"/>
      <c r="G6238"/>
      <c r="H6238" s="242"/>
      <c r="I6238" s="242"/>
      <c r="J6238" s="242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</row>
    <row r="6239" spans="1:26" hidden="1">
      <c r="A6239"/>
      <c r="B6239" s="249"/>
      <c r="C6239"/>
      <c r="D6239"/>
      <c r="E6239"/>
      <c r="F6239" s="242"/>
      <c r="G6239"/>
      <c r="H6239" s="242"/>
      <c r="I6239" s="242"/>
      <c r="J6239" s="242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</row>
    <row r="6240" spans="1:26" hidden="1">
      <c r="A6240"/>
      <c r="B6240" s="249"/>
      <c r="C6240"/>
      <c r="D6240"/>
      <c r="E6240"/>
      <c r="F6240" s="242"/>
      <c r="G6240"/>
      <c r="H6240" s="242"/>
      <c r="I6240" s="242"/>
      <c r="J6240" s="242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</row>
    <row r="6241" spans="1:26" hidden="1">
      <c r="A6241"/>
      <c r="B6241" s="249"/>
      <c r="C6241"/>
      <c r="D6241"/>
      <c r="E6241"/>
      <c r="F6241" s="242"/>
      <c r="G6241"/>
      <c r="H6241" s="242"/>
      <c r="I6241" s="242"/>
      <c r="J6241" s="242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</row>
    <row r="6242" spans="1:26" hidden="1">
      <c r="A6242"/>
      <c r="B6242" s="249"/>
      <c r="C6242"/>
      <c r="D6242"/>
      <c r="E6242"/>
      <c r="F6242" s="242"/>
      <c r="G6242"/>
      <c r="H6242" s="242"/>
      <c r="I6242" s="242"/>
      <c r="J6242" s="242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</row>
    <row r="6243" spans="1:26" hidden="1">
      <c r="A6243"/>
      <c r="B6243" s="249"/>
      <c r="C6243"/>
      <c r="D6243"/>
      <c r="E6243"/>
      <c r="F6243" s="242"/>
      <c r="G6243"/>
      <c r="H6243" s="242"/>
      <c r="I6243" s="242"/>
      <c r="J6243" s="242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</row>
    <row r="6244" spans="1:26" hidden="1">
      <c r="A6244"/>
      <c r="B6244" s="249"/>
      <c r="C6244"/>
      <c r="D6244"/>
      <c r="E6244"/>
      <c r="F6244" s="242"/>
      <c r="G6244"/>
      <c r="H6244" s="242"/>
      <c r="I6244" s="242"/>
      <c r="J6244" s="242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</row>
    <row r="6245" spans="1:26" hidden="1">
      <c r="A6245"/>
      <c r="B6245" s="249"/>
      <c r="C6245"/>
      <c r="D6245"/>
      <c r="E6245"/>
      <c r="F6245" s="242"/>
      <c r="G6245"/>
      <c r="H6245" s="242"/>
      <c r="I6245" s="242"/>
      <c r="J6245" s="242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</row>
    <row r="6246" spans="1:26" hidden="1">
      <c r="A6246"/>
      <c r="B6246" s="249"/>
      <c r="C6246"/>
      <c r="D6246"/>
      <c r="E6246"/>
      <c r="F6246" s="242"/>
      <c r="G6246"/>
      <c r="H6246" s="242"/>
      <c r="I6246" s="242"/>
      <c r="J6246" s="242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</row>
    <row r="6247" spans="1:26" hidden="1">
      <c r="A6247"/>
      <c r="B6247" s="249"/>
      <c r="C6247"/>
      <c r="D6247"/>
      <c r="E6247"/>
      <c r="F6247" s="242"/>
      <c r="G6247"/>
      <c r="H6247" s="242"/>
      <c r="I6247" s="242"/>
      <c r="J6247" s="242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</row>
    <row r="6248" spans="1:26" hidden="1">
      <c r="A6248"/>
      <c r="B6248" s="249"/>
      <c r="C6248"/>
      <c r="D6248"/>
      <c r="E6248"/>
      <c r="F6248" s="242"/>
      <c r="G6248"/>
      <c r="H6248" s="242"/>
      <c r="I6248" s="242"/>
      <c r="J6248" s="242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</row>
    <row r="6249" spans="1:26" hidden="1">
      <c r="A6249"/>
      <c r="B6249" s="249"/>
      <c r="C6249"/>
      <c r="D6249"/>
      <c r="E6249"/>
      <c r="F6249" s="242"/>
      <c r="G6249"/>
      <c r="H6249" s="242"/>
      <c r="I6249" s="242"/>
      <c r="J6249" s="242"/>
      <c r="K6249" s="18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</row>
    <row r="6250" spans="1:26" hidden="1">
      <c r="A6250"/>
      <c r="B6250" s="249"/>
      <c r="C6250"/>
      <c r="D6250"/>
      <c r="E6250"/>
      <c r="F6250" s="242"/>
      <c r="G6250"/>
      <c r="H6250" s="242"/>
      <c r="I6250" s="242"/>
      <c r="J6250" s="242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</row>
    <row r="6251" spans="1:26" hidden="1">
      <c r="A6251"/>
      <c r="B6251" s="249"/>
      <c r="C6251"/>
      <c r="D6251"/>
      <c r="E6251"/>
      <c r="F6251" s="242"/>
      <c r="G6251"/>
      <c r="H6251" s="242"/>
      <c r="I6251" s="242"/>
      <c r="J6251" s="242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</row>
    <row r="6252" spans="1:26" hidden="1">
      <c r="A6252"/>
      <c r="B6252" s="249"/>
      <c r="C6252"/>
      <c r="D6252"/>
      <c r="E6252"/>
      <c r="F6252" s="242"/>
      <c r="G6252"/>
      <c r="H6252" s="242"/>
      <c r="I6252" s="242"/>
      <c r="J6252" s="242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</row>
    <row r="6253" spans="1:26" hidden="1">
      <c r="A6253"/>
      <c r="B6253" s="249"/>
      <c r="C6253"/>
      <c r="D6253"/>
      <c r="E6253"/>
      <c r="F6253" s="242"/>
      <c r="G6253"/>
      <c r="H6253" s="242"/>
      <c r="I6253" s="242"/>
      <c r="J6253" s="242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</row>
    <row r="6254" spans="1:26" hidden="1">
      <c r="A6254"/>
      <c r="B6254" s="249"/>
      <c r="C6254"/>
      <c r="D6254"/>
      <c r="E6254"/>
      <c r="F6254" s="242"/>
      <c r="G6254"/>
      <c r="H6254" s="242"/>
      <c r="I6254" s="242"/>
      <c r="J6254" s="242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</row>
    <row r="6255" spans="1:26" hidden="1">
      <c r="A6255"/>
      <c r="B6255" s="249"/>
      <c r="C6255"/>
      <c r="D6255"/>
      <c r="E6255"/>
      <c r="F6255" s="242"/>
      <c r="G6255"/>
      <c r="H6255" s="242"/>
      <c r="I6255" s="242"/>
      <c r="J6255" s="242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</row>
    <row r="6256" spans="1:26" hidden="1">
      <c r="A6256"/>
      <c r="B6256" s="249"/>
      <c r="C6256"/>
      <c r="D6256"/>
      <c r="E6256"/>
      <c r="F6256" s="242"/>
      <c r="G6256"/>
      <c r="H6256" s="242"/>
      <c r="I6256" s="242"/>
      <c r="J6256" s="242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</row>
    <row r="6257" spans="1:26" hidden="1">
      <c r="A6257"/>
      <c r="B6257" s="249"/>
      <c r="C6257"/>
      <c r="D6257"/>
      <c r="E6257"/>
      <c r="F6257" s="242"/>
      <c r="G6257"/>
      <c r="H6257" s="242"/>
      <c r="I6257" s="242"/>
      <c r="J6257" s="242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</row>
    <row r="6258" spans="1:26" hidden="1">
      <c r="A6258"/>
      <c r="B6258" s="249"/>
      <c r="C6258"/>
      <c r="D6258"/>
      <c r="E6258"/>
      <c r="F6258" s="242"/>
      <c r="G6258"/>
      <c r="H6258" s="242"/>
      <c r="I6258" s="242"/>
      <c r="J6258" s="242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</row>
    <row r="6259" spans="1:26" hidden="1">
      <c r="A6259"/>
      <c r="B6259" s="249"/>
      <c r="C6259"/>
      <c r="D6259"/>
      <c r="E6259"/>
      <c r="F6259" s="242"/>
      <c r="G6259"/>
      <c r="H6259" s="242"/>
      <c r="I6259" s="242"/>
      <c r="J6259" s="242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</row>
    <row r="6260" spans="1:26" hidden="1">
      <c r="A6260"/>
      <c r="B6260" s="249"/>
      <c r="C6260"/>
      <c r="D6260"/>
      <c r="E6260"/>
      <c r="F6260" s="242"/>
      <c r="G6260"/>
      <c r="H6260" s="242"/>
      <c r="I6260" s="242"/>
      <c r="J6260" s="242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</row>
    <row r="6261" spans="1:26" hidden="1">
      <c r="A6261"/>
      <c r="B6261" s="249"/>
      <c r="C6261"/>
      <c r="D6261"/>
      <c r="E6261"/>
      <c r="F6261" s="242"/>
      <c r="G6261"/>
      <c r="H6261" s="242"/>
      <c r="I6261" s="242"/>
      <c r="J6261" s="242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</row>
    <row r="6262" spans="1:26" hidden="1">
      <c r="A6262"/>
      <c r="B6262" s="249"/>
      <c r="C6262"/>
      <c r="D6262"/>
      <c r="E6262"/>
      <c r="F6262" s="242"/>
      <c r="G6262"/>
      <c r="H6262" s="242"/>
      <c r="I6262" s="242"/>
      <c r="J6262" s="242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</row>
    <row r="6263" spans="1:26" hidden="1">
      <c r="A6263"/>
      <c r="B6263" s="249"/>
      <c r="C6263"/>
      <c r="D6263"/>
      <c r="E6263"/>
      <c r="F6263" s="242"/>
      <c r="G6263"/>
      <c r="H6263" s="242"/>
      <c r="I6263" s="242"/>
      <c r="J6263" s="242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</row>
    <row r="6264" spans="1:26" hidden="1">
      <c r="A6264"/>
      <c r="B6264" s="249"/>
      <c r="C6264"/>
      <c r="D6264"/>
      <c r="E6264"/>
      <c r="F6264" s="242"/>
      <c r="G6264"/>
      <c r="H6264" s="242"/>
      <c r="I6264" s="242"/>
      <c r="J6264" s="242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</row>
    <row r="6265" spans="1:26" hidden="1">
      <c r="A6265"/>
      <c r="B6265" s="249"/>
      <c r="C6265"/>
      <c r="D6265"/>
      <c r="E6265"/>
      <c r="F6265" s="242"/>
      <c r="G6265"/>
      <c r="H6265" s="242"/>
      <c r="I6265" s="242"/>
      <c r="J6265" s="242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</row>
    <row r="6266" spans="1:26" hidden="1">
      <c r="A6266"/>
      <c r="B6266" s="249"/>
      <c r="C6266"/>
      <c r="D6266"/>
      <c r="E6266"/>
      <c r="F6266" s="242"/>
      <c r="G6266"/>
      <c r="H6266" s="242"/>
      <c r="I6266" s="242"/>
      <c r="J6266" s="242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</row>
    <row r="6267" spans="1:26" hidden="1">
      <c r="A6267"/>
      <c r="B6267" s="249"/>
      <c r="C6267"/>
      <c r="D6267"/>
      <c r="E6267"/>
      <c r="H6267" s="242"/>
      <c r="I6267" s="242"/>
      <c r="J6267" s="242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</row>
    <row r="6268" spans="1:26" hidden="1">
      <c r="A6268"/>
      <c r="B6268" s="249"/>
      <c r="C6268"/>
      <c r="D6268"/>
      <c r="E6268"/>
      <c r="H6268" s="242"/>
      <c r="I6268" s="242"/>
      <c r="J6268" s="242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</row>
    <row r="6269" spans="1:26" hidden="1">
      <c r="A6269"/>
      <c r="B6269" s="249"/>
      <c r="C6269"/>
      <c r="D6269"/>
      <c r="E6269"/>
      <c r="H6269" s="242"/>
      <c r="I6269" s="242"/>
      <c r="J6269" s="242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</row>
    <row r="6270" spans="1:26" hidden="1">
      <c r="A6270"/>
      <c r="B6270" s="249"/>
      <c r="C6270"/>
      <c r="D6270"/>
      <c r="E6270"/>
      <c r="H6270" s="242"/>
      <c r="I6270" s="242"/>
      <c r="J6270" s="242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</row>
    <row r="6271" spans="1:26" hidden="1">
      <c r="A6271"/>
      <c r="B6271" s="249"/>
      <c r="C6271"/>
      <c r="D6271"/>
      <c r="E6271"/>
      <c r="H6271" s="242"/>
      <c r="I6271" s="242"/>
      <c r="J6271" s="242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</row>
    <row r="6272" spans="1:26" hidden="1">
      <c r="A6272"/>
      <c r="B6272" s="249"/>
      <c r="C6272"/>
      <c r="D6272"/>
      <c r="E6272"/>
      <c r="H6272" s="242"/>
      <c r="I6272" s="242"/>
      <c r="J6272" s="242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</row>
    <row r="6273" spans="1:26" hidden="1">
      <c r="A6273"/>
      <c r="B6273" s="249"/>
      <c r="C6273"/>
      <c r="D6273"/>
      <c r="E6273"/>
      <c r="H6273" s="242"/>
      <c r="I6273" s="242"/>
      <c r="J6273" s="242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</row>
    <row r="6274" spans="1:26" hidden="1">
      <c r="A6274"/>
      <c r="B6274" s="249"/>
      <c r="C6274"/>
      <c r="D6274"/>
      <c r="E6274"/>
      <c r="H6274" s="242"/>
      <c r="I6274" s="242"/>
      <c r="J6274" s="242"/>
      <c r="K6274" s="18"/>
      <c r="L6274" s="18"/>
      <c r="M6274" s="18"/>
      <c r="N6274" s="18"/>
      <c r="O6274" s="18"/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</row>
    <row r="6275" spans="1:26" hidden="1">
      <c r="A6275"/>
      <c r="B6275" s="249"/>
      <c r="C6275"/>
      <c r="D6275"/>
      <c r="E6275"/>
      <c r="F6275" s="242"/>
      <c r="G6275"/>
      <c r="H6275" s="242"/>
      <c r="I6275" s="242"/>
      <c r="J6275" s="242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</row>
    <row r="6276" spans="1:26" hidden="1">
      <c r="A6276"/>
      <c r="B6276" s="249"/>
      <c r="C6276"/>
      <c r="D6276"/>
      <c r="E6276"/>
      <c r="F6276" s="242"/>
      <c r="G6276"/>
      <c r="H6276" s="242"/>
      <c r="I6276" s="242"/>
      <c r="J6276" s="242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</row>
    <row r="6277" spans="1:26" hidden="1">
      <c r="A6277"/>
      <c r="B6277" s="249"/>
      <c r="C6277"/>
      <c r="D6277"/>
      <c r="E6277"/>
      <c r="F6277" s="242"/>
      <c r="G6277"/>
      <c r="H6277" s="242"/>
      <c r="I6277" s="242"/>
      <c r="J6277" s="242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</row>
    <row r="6278" spans="1:26" hidden="1">
      <c r="A6278"/>
      <c r="B6278" s="249"/>
      <c r="C6278"/>
      <c r="D6278"/>
      <c r="E6278"/>
      <c r="F6278" s="242"/>
      <c r="G6278"/>
      <c r="H6278" s="242"/>
      <c r="I6278" s="242"/>
      <c r="J6278" s="242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</row>
    <row r="6279" spans="1:26" hidden="1">
      <c r="A6279"/>
      <c r="B6279" s="249"/>
      <c r="C6279"/>
      <c r="D6279"/>
      <c r="E6279"/>
      <c r="F6279" s="242"/>
      <c r="G6279"/>
      <c r="H6279" s="242"/>
      <c r="I6279" s="242"/>
      <c r="J6279" s="242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</row>
    <row r="6280" spans="1:26" hidden="1">
      <c r="A6280"/>
      <c r="B6280" s="249"/>
      <c r="C6280"/>
      <c r="D6280"/>
      <c r="E6280"/>
      <c r="F6280" s="242"/>
      <c r="G6280"/>
      <c r="H6280" s="242"/>
      <c r="I6280" s="242"/>
      <c r="J6280" s="242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</row>
    <row r="6281" spans="1:26" hidden="1">
      <c r="A6281"/>
      <c r="B6281" s="249"/>
      <c r="C6281"/>
      <c r="D6281"/>
      <c r="E6281"/>
      <c r="F6281" s="242"/>
      <c r="G6281"/>
      <c r="H6281" s="242"/>
      <c r="I6281" s="242"/>
      <c r="J6281" s="242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</row>
    <row r="6282" spans="1:26" hidden="1">
      <c r="A6282"/>
      <c r="B6282" s="249"/>
      <c r="C6282"/>
      <c r="D6282"/>
      <c r="E6282"/>
      <c r="F6282" s="242"/>
      <c r="G6282"/>
      <c r="H6282" s="242"/>
      <c r="I6282" s="242"/>
      <c r="J6282" s="242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  <c r="Z6282" s="18"/>
    </row>
    <row r="6283" spans="1:26" hidden="1">
      <c r="A6283"/>
      <c r="B6283" s="249"/>
      <c r="C6283"/>
      <c r="D6283"/>
      <c r="E6283"/>
      <c r="F6283" s="242"/>
      <c r="G6283"/>
      <c r="H6283" s="242"/>
      <c r="I6283" s="242"/>
      <c r="J6283" s="242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</row>
    <row r="6284" spans="1:26" hidden="1">
      <c r="A6284"/>
      <c r="B6284" s="249"/>
      <c r="C6284"/>
      <c r="D6284"/>
      <c r="E6284"/>
      <c r="F6284" s="242"/>
      <c r="G6284"/>
      <c r="H6284" s="242"/>
      <c r="I6284" s="242"/>
      <c r="J6284" s="242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</row>
    <row r="6285" spans="1:26" hidden="1">
      <c r="A6285"/>
      <c r="B6285" s="249"/>
      <c r="C6285"/>
      <c r="D6285"/>
      <c r="E6285"/>
      <c r="F6285" s="242"/>
      <c r="G6285"/>
      <c r="H6285" s="242"/>
      <c r="I6285" s="242"/>
      <c r="J6285" s="242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</row>
    <row r="6286" spans="1:26" hidden="1">
      <c r="A6286"/>
      <c r="B6286" s="249"/>
      <c r="C6286"/>
      <c r="D6286"/>
      <c r="E6286"/>
      <c r="F6286" s="242"/>
      <c r="G6286"/>
      <c r="H6286" s="242"/>
      <c r="I6286" s="242"/>
      <c r="J6286" s="242"/>
      <c r="K6286" s="18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</row>
    <row r="6287" spans="1:26" hidden="1">
      <c r="A6287"/>
      <c r="B6287" s="249"/>
      <c r="C6287"/>
      <c r="D6287"/>
      <c r="E6287"/>
      <c r="F6287" s="242"/>
      <c r="G6287"/>
      <c r="H6287" s="242"/>
      <c r="I6287" s="242"/>
      <c r="J6287" s="242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</row>
    <row r="6288" spans="1:26" hidden="1">
      <c r="A6288"/>
      <c r="B6288" s="249"/>
      <c r="C6288"/>
      <c r="D6288"/>
      <c r="E6288"/>
      <c r="F6288" s="242"/>
      <c r="G6288"/>
      <c r="H6288" s="242"/>
      <c r="I6288" s="242"/>
      <c r="J6288" s="242"/>
      <c r="K6288" s="18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</row>
    <row r="6289" spans="1:26" hidden="1">
      <c r="A6289"/>
      <c r="B6289" s="249"/>
      <c r="C6289"/>
      <c r="D6289"/>
      <c r="E6289"/>
      <c r="F6289" s="242"/>
      <c r="G6289"/>
      <c r="H6289" s="242"/>
      <c r="I6289" s="242"/>
      <c r="J6289" s="242"/>
      <c r="K6289" s="18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</row>
    <row r="6290" spans="1:26" hidden="1">
      <c r="A6290"/>
      <c r="B6290" s="249"/>
      <c r="C6290"/>
      <c r="D6290"/>
      <c r="E6290"/>
      <c r="F6290" s="242"/>
      <c r="G6290"/>
      <c r="H6290" s="242"/>
      <c r="I6290" s="242"/>
      <c r="J6290" s="242"/>
      <c r="K6290" s="18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</row>
    <row r="6291" spans="1:26" hidden="1">
      <c r="A6291"/>
      <c r="B6291" s="249"/>
      <c r="C6291"/>
      <c r="D6291"/>
      <c r="E6291"/>
      <c r="F6291" s="242"/>
      <c r="G6291"/>
      <c r="H6291" s="242"/>
      <c r="I6291" s="242"/>
      <c r="J6291" s="242"/>
      <c r="K6291" s="18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</row>
    <row r="6292" spans="1:26" hidden="1">
      <c r="A6292"/>
      <c r="B6292" s="249"/>
      <c r="C6292"/>
      <c r="D6292"/>
      <c r="E6292"/>
      <c r="F6292" s="242"/>
      <c r="G6292"/>
      <c r="H6292" s="242"/>
      <c r="I6292" s="242"/>
      <c r="J6292" s="242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</row>
    <row r="6293" spans="1:26" hidden="1">
      <c r="A6293"/>
      <c r="B6293" s="249"/>
      <c r="C6293"/>
      <c r="D6293"/>
      <c r="E6293"/>
      <c r="F6293" s="242"/>
      <c r="G6293"/>
      <c r="H6293" s="242"/>
      <c r="I6293" s="242"/>
      <c r="J6293" s="242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</row>
    <row r="6294" spans="1:26" hidden="1">
      <c r="A6294"/>
      <c r="B6294" s="249"/>
      <c r="C6294"/>
      <c r="D6294"/>
      <c r="E6294"/>
      <c r="F6294" s="242"/>
      <c r="G6294"/>
      <c r="H6294" s="242"/>
      <c r="I6294" s="242"/>
      <c r="J6294" s="242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</row>
    <row r="6295" spans="1:26" hidden="1">
      <c r="A6295"/>
      <c r="B6295" s="249"/>
      <c r="C6295"/>
      <c r="D6295"/>
      <c r="E6295"/>
      <c r="F6295" s="242"/>
      <c r="G6295"/>
      <c r="H6295" s="242"/>
      <c r="I6295" s="242"/>
      <c r="J6295" s="242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</row>
    <row r="6296" spans="1:26" hidden="1">
      <c r="A6296"/>
      <c r="B6296" s="249"/>
      <c r="C6296"/>
      <c r="D6296"/>
      <c r="E6296"/>
      <c r="F6296" s="242"/>
      <c r="G6296"/>
      <c r="H6296" s="242"/>
      <c r="I6296" s="242"/>
      <c r="J6296" s="242"/>
      <c r="K6296" s="18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</row>
    <row r="6297" spans="1:26" hidden="1">
      <c r="A6297"/>
      <c r="B6297" s="249"/>
      <c r="C6297"/>
      <c r="D6297"/>
      <c r="E6297"/>
      <c r="F6297" s="242"/>
      <c r="G6297"/>
      <c r="H6297" s="242"/>
      <c r="I6297" s="242"/>
      <c r="J6297" s="242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</row>
    <row r="6298" spans="1:26" hidden="1">
      <c r="A6298"/>
      <c r="B6298" s="249"/>
      <c r="C6298"/>
      <c r="D6298"/>
      <c r="E6298"/>
      <c r="F6298" s="242"/>
      <c r="G6298"/>
      <c r="H6298" s="242"/>
      <c r="I6298" s="242"/>
      <c r="J6298" s="242"/>
      <c r="K6298" s="18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</row>
    <row r="6299" spans="1:26" hidden="1">
      <c r="A6299"/>
      <c r="B6299" s="249"/>
      <c r="C6299"/>
      <c r="D6299"/>
      <c r="E6299"/>
      <c r="F6299" s="242"/>
      <c r="G6299"/>
      <c r="H6299" s="242"/>
      <c r="I6299" s="242"/>
      <c r="J6299" s="242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</row>
    <row r="6300" spans="1:26" hidden="1">
      <c r="A6300"/>
      <c r="B6300" s="249"/>
      <c r="C6300"/>
      <c r="D6300"/>
      <c r="E6300"/>
      <c r="F6300" s="242"/>
      <c r="G6300"/>
      <c r="H6300" s="242"/>
      <c r="I6300" s="242"/>
      <c r="J6300" s="242"/>
      <c r="K6300" s="18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</row>
    <row r="6301" spans="1:26" hidden="1">
      <c r="A6301"/>
      <c r="B6301" s="249"/>
      <c r="C6301"/>
      <c r="D6301"/>
      <c r="E6301"/>
      <c r="F6301" s="242"/>
      <c r="G6301"/>
      <c r="H6301" s="242"/>
      <c r="I6301" s="242"/>
      <c r="J6301" s="242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</row>
    <row r="6302" spans="1:26" hidden="1">
      <c r="A6302"/>
      <c r="B6302" s="249"/>
      <c r="C6302"/>
      <c r="D6302"/>
      <c r="E6302"/>
      <c r="F6302" s="242"/>
      <c r="G6302"/>
      <c r="H6302" s="242"/>
      <c r="I6302" s="242"/>
      <c r="J6302" s="242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</row>
    <row r="6303" spans="1:26" hidden="1">
      <c r="A6303"/>
      <c r="B6303" s="249"/>
      <c r="C6303"/>
      <c r="D6303"/>
      <c r="E6303"/>
      <c r="F6303" s="242"/>
      <c r="G6303"/>
      <c r="H6303" s="242"/>
      <c r="I6303" s="242"/>
      <c r="J6303" s="242"/>
      <c r="K6303" s="18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</row>
    <row r="6304" spans="1:26" hidden="1">
      <c r="A6304"/>
      <c r="B6304" s="249"/>
      <c r="C6304"/>
      <c r="D6304"/>
      <c r="E6304"/>
      <c r="F6304" s="242"/>
      <c r="G6304"/>
      <c r="H6304" s="242"/>
      <c r="I6304" s="242"/>
      <c r="J6304" s="242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</row>
    <row r="6305" spans="1:26" hidden="1">
      <c r="A6305"/>
      <c r="B6305" s="249"/>
      <c r="C6305"/>
      <c r="D6305"/>
      <c r="E6305"/>
      <c r="F6305" s="242"/>
      <c r="G6305"/>
      <c r="H6305" s="242"/>
      <c r="I6305" s="242"/>
      <c r="J6305" s="242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</row>
    <row r="6306" spans="1:26" hidden="1">
      <c r="A6306"/>
      <c r="B6306" s="249"/>
      <c r="C6306"/>
      <c r="D6306"/>
      <c r="E6306"/>
      <c r="F6306" s="242"/>
      <c r="G6306"/>
      <c r="H6306" s="242"/>
      <c r="I6306" s="242"/>
      <c r="J6306" s="242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</row>
    <row r="6307" spans="1:26" hidden="1">
      <c r="A6307"/>
      <c r="B6307" s="249"/>
      <c r="C6307"/>
      <c r="D6307"/>
      <c r="E6307"/>
      <c r="F6307" s="242"/>
      <c r="G6307"/>
      <c r="H6307" s="242"/>
      <c r="I6307" s="242"/>
      <c r="J6307" s="242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</row>
    <row r="6308" spans="1:26" hidden="1">
      <c r="A6308"/>
      <c r="B6308" s="249"/>
      <c r="C6308"/>
      <c r="D6308"/>
      <c r="E6308"/>
      <c r="F6308" s="242"/>
      <c r="G6308"/>
      <c r="H6308" s="242"/>
      <c r="I6308" s="242"/>
      <c r="J6308" s="242"/>
      <c r="K6308" s="18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</row>
    <row r="6309" spans="1:26" hidden="1">
      <c r="A6309"/>
      <c r="B6309" s="249"/>
      <c r="C6309"/>
      <c r="D6309"/>
      <c r="E6309"/>
      <c r="F6309" s="242"/>
      <c r="G6309"/>
      <c r="H6309" s="242"/>
      <c r="I6309" s="242"/>
      <c r="J6309" s="242"/>
      <c r="K6309" s="18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</row>
    <row r="6310" spans="1:26" hidden="1">
      <c r="A6310"/>
      <c r="B6310" s="249"/>
      <c r="C6310"/>
      <c r="D6310"/>
      <c r="E6310"/>
      <c r="F6310" s="242"/>
      <c r="G6310"/>
      <c r="H6310" s="242"/>
      <c r="I6310" s="242"/>
      <c r="J6310" s="242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</row>
    <row r="6311" spans="1:26" hidden="1">
      <c r="A6311"/>
      <c r="B6311" s="249"/>
      <c r="C6311"/>
      <c r="D6311"/>
      <c r="E6311"/>
      <c r="F6311" s="242"/>
      <c r="G6311"/>
      <c r="H6311" s="242"/>
      <c r="I6311" s="242"/>
      <c r="J6311" s="242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</row>
    <row r="6312" spans="1:26" hidden="1">
      <c r="A6312"/>
      <c r="B6312" s="249"/>
      <c r="C6312"/>
      <c r="D6312"/>
      <c r="E6312"/>
      <c r="F6312" s="242"/>
      <c r="G6312"/>
      <c r="H6312" s="242"/>
      <c r="I6312" s="242"/>
      <c r="J6312" s="242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</row>
    <row r="6313" spans="1:26" hidden="1">
      <c r="A6313"/>
      <c r="B6313" s="249"/>
      <c r="C6313"/>
      <c r="D6313"/>
      <c r="E6313"/>
      <c r="F6313" s="242"/>
      <c r="G6313"/>
      <c r="H6313" s="242"/>
      <c r="I6313" s="242"/>
      <c r="J6313" s="242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</row>
    <row r="6314" spans="1:26" hidden="1">
      <c r="A6314"/>
      <c r="B6314" s="249"/>
      <c r="C6314"/>
      <c r="D6314"/>
      <c r="E6314"/>
      <c r="F6314" s="242"/>
      <c r="G6314"/>
      <c r="H6314" s="242"/>
      <c r="I6314" s="242"/>
      <c r="J6314" s="242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</row>
    <row r="6315" spans="1:26" hidden="1">
      <c r="A6315"/>
      <c r="B6315" s="249"/>
      <c r="C6315"/>
      <c r="D6315"/>
      <c r="E6315"/>
      <c r="F6315" s="242"/>
      <c r="G6315"/>
      <c r="H6315" s="242"/>
      <c r="I6315" s="242"/>
      <c r="J6315" s="242"/>
      <c r="K6315" s="18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</row>
    <row r="6316" spans="1:26" hidden="1">
      <c r="A6316"/>
      <c r="B6316" s="249"/>
      <c r="C6316"/>
      <c r="D6316"/>
      <c r="E6316"/>
      <c r="F6316" s="242"/>
      <c r="G6316"/>
      <c r="H6316" s="242"/>
      <c r="I6316" s="242"/>
      <c r="J6316" s="242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</row>
    <row r="6317" spans="1:26" hidden="1">
      <c r="A6317"/>
      <c r="B6317" s="249"/>
      <c r="C6317"/>
      <c r="D6317"/>
      <c r="E6317"/>
      <c r="F6317" s="242"/>
      <c r="G6317"/>
      <c r="H6317" s="242"/>
      <c r="I6317" s="242"/>
      <c r="J6317" s="242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</row>
    <row r="6318" spans="1:26" hidden="1">
      <c r="A6318"/>
      <c r="B6318" s="249"/>
      <c r="C6318"/>
      <c r="D6318"/>
      <c r="E6318"/>
      <c r="F6318" s="242"/>
      <c r="G6318"/>
      <c r="H6318" s="242"/>
      <c r="I6318" s="242"/>
      <c r="J6318" s="242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</row>
    <row r="6319" spans="1:26" hidden="1">
      <c r="A6319"/>
      <c r="B6319" s="249"/>
      <c r="C6319"/>
      <c r="D6319"/>
      <c r="E6319"/>
      <c r="F6319" s="242"/>
      <c r="G6319"/>
      <c r="H6319" s="242"/>
      <c r="I6319" s="242"/>
      <c r="J6319" s="242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</row>
    <row r="6320" spans="1:26" hidden="1">
      <c r="A6320"/>
      <c r="B6320" s="249"/>
      <c r="C6320"/>
      <c r="D6320"/>
      <c r="E6320"/>
      <c r="F6320" s="242"/>
      <c r="G6320"/>
      <c r="H6320" s="242"/>
      <c r="I6320" s="242"/>
      <c r="J6320" s="242"/>
      <c r="K6320" s="18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</row>
    <row r="6321" spans="1:26" hidden="1">
      <c r="A6321"/>
      <c r="B6321" s="249"/>
      <c r="C6321"/>
      <c r="D6321"/>
      <c r="E6321"/>
      <c r="F6321" s="242"/>
      <c r="G6321"/>
      <c r="H6321" s="242"/>
      <c r="I6321" s="242"/>
      <c r="J6321" s="242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</row>
    <row r="6322" spans="1:26" hidden="1">
      <c r="A6322"/>
      <c r="B6322" s="249"/>
      <c r="C6322"/>
      <c r="D6322"/>
      <c r="E6322"/>
      <c r="F6322" s="242"/>
      <c r="G6322"/>
      <c r="H6322" s="242"/>
      <c r="I6322" s="242"/>
      <c r="J6322" s="242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</row>
    <row r="6323" spans="1:26" hidden="1">
      <c r="A6323"/>
      <c r="B6323" s="249"/>
      <c r="C6323"/>
      <c r="D6323"/>
      <c r="E6323"/>
      <c r="F6323" s="242"/>
      <c r="G6323"/>
      <c r="H6323" s="242"/>
      <c r="I6323" s="242"/>
      <c r="J6323" s="242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</row>
    <row r="6324" spans="1:26" hidden="1">
      <c r="A6324"/>
      <c r="B6324" s="249"/>
      <c r="C6324"/>
      <c r="D6324"/>
      <c r="E6324"/>
      <c r="F6324" s="242"/>
      <c r="G6324"/>
      <c r="H6324" s="242"/>
      <c r="I6324" s="242"/>
      <c r="J6324" s="242"/>
      <c r="K6324" s="18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</row>
    <row r="6325" spans="1:26" hidden="1">
      <c r="A6325"/>
      <c r="B6325" s="249"/>
      <c r="C6325"/>
      <c r="D6325"/>
      <c r="E6325"/>
      <c r="F6325" s="242"/>
      <c r="G6325"/>
      <c r="H6325" s="242"/>
      <c r="I6325" s="242"/>
      <c r="J6325" s="242"/>
      <c r="K6325" s="18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</row>
    <row r="6326" spans="1:26" hidden="1">
      <c r="A6326"/>
      <c r="B6326" s="249"/>
      <c r="C6326"/>
      <c r="D6326"/>
      <c r="E6326"/>
      <c r="F6326" s="242"/>
      <c r="G6326"/>
      <c r="H6326" s="242"/>
      <c r="I6326" s="242"/>
      <c r="J6326" s="242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</row>
    <row r="6327" spans="1:26" hidden="1">
      <c r="A6327"/>
      <c r="B6327" s="249"/>
      <c r="C6327"/>
      <c r="D6327"/>
      <c r="E6327"/>
      <c r="F6327" s="242"/>
      <c r="G6327"/>
      <c r="H6327" s="242"/>
      <c r="I6327" s="242"/>
      <c r="J6327" s="242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</row>
    <row r="6328" spans="1:26" hidden="1">
      <c r="A6328"/>
      <c r="B6328" s="249"/>
      <c r="C6328"/>
      <c r="D6328"/>
      <c r="E6328"/>
      <c r="F6328" s="242"/>
      <c r="G6328"/>
      <c r="H6328" s="242"/>
      <c r="I6328" s="242"/>
      <c r="J6328" s="242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</row>
    <row r="6329" spans="1:26" hidden="1">
      <c r="A6329"/>
      <c r="B6329" s="249"/>
      <c r="C6329"/>
      <c r="D6329"/>
      <c r="E6329"/>
      <c r="F6329" s="242"/>
      <c r="G6329"/>
      <c r="H6329" s="242"/>
      <c r="I6329" s="242"/>
      <c r="J6329" s="242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</row>
    <row r="6330" spans="1:26" hidden="1">
      <c r="A6330"/>
      <c r="B6330" s="249"/>
      <c r="C6330"/>
      <c r="D6330"/>
      <c r="E6330"/>
      <c r="F6330" s="242"/>
      <c r="G6330"/>
      <c r="H6330" s="242"/>
      <c r="I6330" s="242"/>
      <c r="J6330" s="242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</row>
    <row r="6331" spans="1:26" hidden="1">
      <c r="A6331"/>
      <c r="B6331" s="249"/>
      <c r="C6331"/>
      <c r="D6331"/>
      <c r="E6331"/>
      <c r="F6331" s="242"/>
      <c r="G6331"/>
      <c r="H6331" s="242"/>
      <c r="I6331" s="242"/>
      <c r="J6331" s="242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</row>
    <row r="6332" spans="1:26" hidden="1">
      <c r="A6332"/>
      <c r="B6332" s="249"/>
      <c r="C6332"/>
      <c r="D6332"/>
      <c r="E6332"/>
      <c r="F6332" s="242"/>
      <c r="G6332"/>
      <c r="H6332" s="242"/>
      <c r="I6332" s="242"/>
      <c r="J6332" s="242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</row>
    <row r="6333" spans="1:26" hidden="1">
      <c r="A6333"/>
      <c r="B6333" s="249"/>
      <c r="C6333"/>
      <c r="D6333"/>
      <c r="E6333"/>
      <c r="F6333" s="242"/>
      <c r="G6333"/>
      <c r="H6333" s="242"/>
      <c r="I6333" s="242"/>
      <c r="J6333" s="242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</row>
    <row r="6334" spans="1:26" hidden="1">
      <c r="A6334"/>
      <c r="B6334" s="249"/>
      <c r="C6334"/>
      <c r="D6334"/>
      <c r="E6334"/>
      <c r="F6334" s="242"/>
      <c r="G6334"/>
      <c r="H6334" s="242"/>
      <c r="I6334" s="242"/>
      <c r="J6334" s="242"/>
      <c r="K6334" s="18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</row>
    <row r="6335" spans="1:26" hidden="1">
      <c r="A6335"/>
      <c r="B6335" s="249"/>
      <c r="C6335"/>
      <c r="D6335"/>
      <c r="E6335"/>
      <c r="F6335" s="242"/>
      <c r="G6335"/>
      <c r="H6335" s="242"/>
      <c r="I6335" s="242"/>
      <c r="J6335" s="242"/>
      <c r="K6335" s="18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</row>
    <row r="6336" spans="1:26" hidden="1">
      <c r="A6336"/>
      <c r="B6336" s="249"/>
      <c r="C6336"/>
      <c r="D6336"/>
      <c r="E6336"/>
      <c r="F6336" s="242"/>
      <c r="G6336"/>
      <c r="H6336" s="242"/>
      <c r="I6336" s="242"/>
      <c r="J6336" s="242"/>
      <c r="K6336" s="18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</row>
    <row r="6337" spans="1:26" hidden="1">
      <c r="A6337"/>
      <c r="B6337" s="249"/>
      <c r="C6337"/>
      <c r="D6337"/>
      <c r="E6337"/>
      <c r="F6337" s="242"/>
      <c r="G6337"/>
      <c r="H6337" s="242"/>
      <c r="I6337" s="242"/>
      <c r="J6337" s="242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</row>
    <row r="6338" spans="1:26" hidden="1">
      <c r="A6338"/>
      <c r="B6338" s="249"/>
      <c r="C6338"/>
      <c r="D6338"/>
      <c r="E6338"/>
      <c r="F6338" s="242"/>
      <c r="G6338"/>
      <c r="H6338" s="242"/>
      <c r="I6338" s="242"/>
      <c r="J6338" s="242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</row>
    <row r="6339" spans="1:26" hidden="1">
      <c r="A6339"/>
      <c r="B6339" s="249"/>
      <c r="C6339"/>
      <c r="D6339"/>
      <c r="E6339"/>
      <c r="F6339" s="242"/>
      <c r="G6339"/>
      <c r="H6339" s="242"/>
      <c r="I6339" s="242"/>
      <c r="J6339" s="242"/>
      <c r="K6339" s="18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</row>
    <row r="6340" spans="1:26" hidden="1">
      <c r="A6340"/>
      <c r="B6340" s="249"/>
      <c r="C6340"/>
      <c r="D6340"/>
      <c r="E6340"/>
      <c r="F6340" s="242"/>
      <c r="G6340"/>
      <c r="H6340" s="242"/>
      <c r="I6340" s="242"/>
      <c r="J6340" s="242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</row>
    <row r="6341" spans="1:26" hidden="1">
      <c r="A6341"/>
      <c r="B6341" s="249"/>
      <c r="C6341"/>
      <c r="D6341"/>
      <c r="E6341"/>
      <c r="F6341" s="242"/>
      <c r="G6341"/>
      <c r="H6341" s="242"/>
      <c r="I6341" s="242"/>
      <c r="J6341" s="242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</row>
    <row r="6342" spans="1:26" hidden="1">
      <c r="A6342"/>
      <c r="B6342" s="249"/>
      <c r="C6342"/>
      <c r="D6342"/>
      <c r="E6342"/>
      <c r="F6342" s="242"/>
      <c r="G6342"/>
      <c r="H6342" s="242"/>
      <c r="I6342" s="242"/>
      <c r="J6342" s="242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</row>
    <row r="6343" spans="1:26" hidden="1">
      <c r="A6343"/>
      <c r="B6343" s="249"/>
      <c r="C6343"/>
      <c r="D6343"/>
      <c r="E6343"/>
      <c r="F6343" s="242"/>
      <c r="G6343"/>
      <c r="H6343" s="242"/>
      <c r="I6343" s="242"/>
      <c r="J6343" s="242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</row>
    <row r="6344" spans="1:26" hidden="1">
      <c r="A6344"/>
      <c r="B6344" s="249"/>
      <c r="C6344"/>
      <c r="D6344"/>
      <c r="E6344"/>
      <c r="F6344" s="242"/>
      <c r="G6344"/>
      <c r="H6344" s="242"/>
      <c r="I6344" s="242"/>
      <c r="J6344" s="242"/>
      <c r="K6344" s="18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</row>
    <row r="6345" spans="1:26" hidden="1">
      <c r="A6345"/>
      <c r="B6345" s="249"/>
      <c r="C6345"/>
      <c r="D6345"/>
      <c r="E6345"/>
      <c r="F6345" s="242"/>
      <c r="G6345"/>
      <c r="H6345" s="242"/>
      <c r="I6345" s="242"/>
      <c r="J6345" s="242"/>
      <c r="K6345" s="18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</row>
    <row r="6346" spans="1:26" hidden="1">
      <c r="A6346"/>
      <c r="B6346" s="249"/>
      <c r="C6346"/>
      <c r="D6346"/>
      <c r="E6346"/>
      <c r="F6346" s="242"/>
      <c r="G6346"/>
      <c r="H6346" s="242"/>
      <c r="I6346" s="242"/>
      <c r="J6346" s="242"/>
      <c r="K6346" s="18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</row>
    <row r="6347" spans="1:26" hidden="1">
      <c r="A6347"/>
      <c r="B6347" s="249"/>
      <c r="C6347"/>
      <c r="D6347"/>
      <c r="E6347"/>
      <c r="F6347" s="242"/>
      <c r="G6347"/>
      <c r="H6347" s="242"/>
      <c r="I6347" s="242"/>
      <c r="J6347" s="242"/>
      <c r="K6347" s="18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</row>
    <row r="6348" spans="1:26" hidden="1">
      <c r="A6348"/>
      <c r="B6348" s="249"/>
      <c r="C6348"/>
      <c r="D6348"/>
      <c r="E6348"/>
      <c r="F6348" s="242"/>
      <c r="G6348"/>
      <c r="H6348" s="242"/>
      <c r="I6348" s="242"/>
      <c r="J6348" s="242"/>
      <c r="K6348" s="18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</row>
    <row r="6349" spans="1:26" hidden="1">
      <c r="A6349"/>
      <c r="B6349" s="249"/>
      <c r="C6349"/>
      <c r="D6349"/>
      <c r="E6349"/>
      <c r="F6349" s="242"/>
      <c r="G6349"/>
      <c r="H6349" s="242"/>
      <c r="I6349" s="242"/>
      <c r="J6349" s="242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</row>
    <row r="6350" spans="1:26" hidden="1">
      <c r="A6350"/>
      <c r="B6350" s="249"/>
      <c r="C6350"/>
      <c r="D6350"/>
      <c r="E6350"/>
      <c r="F6350" s="242"/>
      <c r="G6350"/>
      <c r="H6350" s="242"/>
      <c r="I6350" s="242"/>
      <c r="J6350" s="242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</row>
    <row r="6351" spans="1:26" hidden="1">
      <c r="A6351"/>
      <c r="B6351" s="249"/>
      <c r="C6351"/>
      <c r="D6351"/>
      <c r="E6351"/>
      <c r="F6351" s="242"/>
      <c r="G6351"/>
      <c r="H6351" s="242"/>
      <c r="I6351" s="242"/>
      <c r="J6351" s="242"/>
      <c r="K6351" s="18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</row>
    <row r="6352" spans="1:26" hidden="1">
      <c r="A6352"/>
      <c r="B6352" s="249"/>
      <c r="C6352"/>
      <c r="D6352"/>
      <c r="E6352"/>
      <c r="F6352" s="242"/>
      <c r="G6352"/>
      <c r="H6352" s="242"/>
      <c r="I6352" s="242"/>
      <c r="J6352" s="242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</row>
    <row r="6353" spans="1:26" hidden="1">
      <c r="A6353"/>
      <c r="B6353" s="249"/>
      <c r="C6353"/>
      <c r="D6353"/>
      <c r="E6353"/>
      <c r="F6353" s="242"/>
      <c r="G6353"/>
      <c r="H6353" s="242"/>
      <c r="I6353" s="242"/>
      <c r="J6353" s="242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</row>
    <row r="6354" spans="1:26" hidden="1">
      <c r="A6354"/>
      <c r="B6354" s="249"/>
      <c r="C6354"/>
      <c r="D6354"/>
      <c r="E6354"/>
      <c r="F6354" s="242"/>
      <c r="G6354"/>
      <c r="H6354" s="242"/>
      <c r="I6354" s="242"/>
      <c r="J6354" s="242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</row>
    <row r="6355" spans="1:26" hidden="1">
      <c r="A6355"/>
      <c r="B6355" s="249"/>
      <c r="C6355"/>
      <c r="D6355"/>
      <c r="E6355"/>
      <c r="F6355" s="242"/>
      <c r="G6355"/>
      <c r="H6355" s="242"/>
      <c r="I6355" s="242"/>
      <c r="J6355" s="242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</row>
    <row r="6356" spans="1:26" hidden="1">
      <c r="A6356"/>
      <c r="B6356" s="249"/>
      <c r="C6356"/>
      <c r="D6356"/>
      <c r="E6356"/>
      <c r="F6356" s="242"/>
      <c r="G6356"/>
      <c r="H6356" s="242"/>
      <c r="I6356" s="242"/>
      <c r="J6356" s="242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</row>
    <row r="6357" spans="1:26" hidden="1">
      <c r="A6357"/>
      <c r="B6357" s="249"/>
      <c r="C6357"/>
      <c r="D6357"/>
      <c r="E6357"/>
      <c r="F6357" s="242"/>
      <c r="G6357"/>
      <c r="H6357" s="242"/>
      <c r="I6357" s="242"/>
      <c r="J6357" s="242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</row>
    <row r="6358" spans="1:26" hidden="1">
      <c r="A6358"/>
      <c r="B6358" s="249"/>
      <c r="C6358"/>
      <c r="D6358"/>
      <c r="E6358"/>
      <c r="F6358" s="242"/>
      <c r="G6358"/>
      <c r="H6358" s="242"/>
      <c r="I6358" s="242"/>
      <c r="J6358" s="242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</row>
    <row r="6359" spans="1:26" hidden="1">
      <c r="A6359"/>
      <c r="B6359" s="249"/>
      <c r="C6359"/>
      <c r="D6359"/>
      <c r="E6359"/>
      <c r="F6359" s="242"/>
      <c r="G6359"/>
      <c r="H6359" s="242"/>
      <c r="I6359" s="242"/>
      <c r="J6359" s="242"/>
      <c r="K6359" s="18"/>
      <c r="L6359" s="18"/>
      <c r="M6359" s="18"/>
      <c r="N6359" s="18"/>
      <c r="O6359" s="18"/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</row>
    <row r="6360" spans="1:26" hidden="1">
      <c r="A6360"/>
      <c r="B6360" s="249"/>
      <c r="C6360"/>
      <c r="D6360"/>
      <c r="E6360"/>
      <c r="F6360" s="242"/>
      <c r="G6360"/>
      <c r="H6360" s="242"/>
      <c r="I6360" s="242"/>
      <c r="J6360" s="242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</row>
    <row r="6361" spans="1:26" hidden="1">
      <c r="A6361"/>
      <c r="B6361" s="249"/>
      <c r="C6361"/>
      <c r="D6361"/>
      <c r="E6361"/>
      <c r="F6361" s="242"/>
      <c r="G6361"/>
      <c r="H6361" s="242"/>
      <c r="I6361" s="242"/>
      <c r="J6361" s="242"/>
      <c r="K6361" s="18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</row>
    <row r="6362" spans="1:26" hidden="1">
      <c r="A6362"/>
      <c r="B6362" s="249"/>
      <c r="C6362"/>
      <c r="D6362"/>
      <c r="E6362"/>
      <c r="F6362" s="242"/>
      <c r="G6362"/>
      <c r="H6362" s="242"/>
      <c r="I6362" s="242"/>
      <c r="J6362" s="242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</row>
    <row r="6363" spans="1:26" hidden="1">
      <c r="A6363"/>
      <c r="B6363" s="249"/>
      <c r="C6363"/>
      <c r="D6363"/>
      <c r="E6363"/>
      <c r="F6363" s="242"/>
      <c r="G6363"/>
      <c r="H6363" s="242"/>
      <c r="I6363" s="242"/>
      <c r="J6363" s="242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</row>
    <row r="6364" spans="1:26" hidden="1">
      <c r="A6364"/>
      <c r="B6364" s="249"/>
      <c r="C6364"/>
      <c r="D6364"/>
      <c r="E6364"/>
      <c r="F6364" s="242"/>
      <c r="G6364"/>
      <c r="H6364" s="242"/>
      <c r="I6364" s="242"/>
      <c r="J6364" s="242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</row>
    <row r="6365" spans="1:26" hidden="1">
      <c r="A6365"/>
      <c r="B6365" s="249"/>
      <c r="C6365"/>
      <c r="D6365"/>
      <c r="E6365"/>
      <c r="F6365" s="242"/>
      <c r="G6365"/>
      <c r="H6365" s="242"/>
      <c r="I6365" s="242"/>
      <c r="J6365" s="242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</row>
    <row r="6366" spans="1:26" hidden="1">
      <c r="A6366"/>
      <c r="B6366" s="249"/>
      <c r="C6366"/>
      <c r="D6366"/>
      <c r="E6366"/>
      <c r="F6366" s="242"/>
      <c r="G6366"/>
      <c r="H6366" s="242"/>
      <c r="I6366" s="242"/>
      <c r="J6366" s="242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</row>
    <row r="6367" spans="1:26" hidden="1">
      <c r="A6367"/>
      <c r="B6367" s="249"/>
      <c r="C6367"/>
      <c r="D6367"/>
      <c r="E6367"/>
      <c r="F6367" s="242"/>
      <c r="G6367"/>
      <c r="H6367" s="242"/>
      <c r="I6367" s="242"/>
      <c r="J6367" s="242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</row>
    <row r="6368" spans="1:26" hidden="1">
      <c r="A6368"/>
      <c r="B6368" s="249"/>
      <c r="C6368"/>
      <c r="D6368"/>
      <c r="E6368"/>
      <c r="F6368" s="242"/>
      <c r="G6368"/>
      <c r="H6368" s="242"/>
      <c r="I6368" s="242"/>
      <c r="J6368" s="242"/>
      <c r="K6368" s="18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</row>
    <row r="6369" spans="1:26" hidden="1">
      <c r="A6369"/>
      <c r="B6369" s="249"/>
      <c r="C6369"/>
      <c r="D6369"/>
      <c r="E6369"/>
      <c r="F6369" s="242"/>
      <c r="G6369"/>
      <c r="H6369" s="242"/>
      <c r="I6369" s="242"/>
      <c r="J6369" s="242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</row>
    <row r="6370" spans="1:26" hidden="1">
      <c r="A6370"/>
      <c r="B6370" s="249"/>
      <c r="C6370"/>
      <c r="D6370"/>
      <c r="E6370"/>
      <c r="F6370" s="242"/>
      <c r="G6370"/>
      <c r="H6370" s="242"/>
      <c r="I6370" s="242"/>
      <c r="J6370" s="242"/>
      <c r="K6370" s="18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</row>
    <row r="6371" spans="1:26" hidden="1">
      <c r="A6371"/>
      <c r="B6371" s="249"/>
      <c r="C6371"/>
      <c r="D6371"/>
      <c r="E6371"/>
      <c r="F6371" s="242"/>
      <c r="G6371"/>
      <c r="H6371" s="242"/>
      <c r="I6371" s="242"/>
      <c r="J6371" s="242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</row>
    <row r="6372" spans="1:26" hidden="1">
      <c r="A6372"/>
      <c r="B6372" s="249"/>
      <c r="C6372"/>
      <c r="D6372"/>
      <c r="E6372"/>
      <c r="F6372" s="242"/>
      <c r="G6372"/>
      <c r="H6372" s="242"/>
      <c r="I6372" s="242"/>
      <c r="J6372" s="242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</row>
    <row r="6373" spans="1:26" hidden="1">
      <c r="A6373"/>
      <c r="B6373" s="249"/>
      <c r="C6373"/>
      <c r="D6373"/>
      <c r="E6373"/>
      <c r="F6373" s="242"/>
      <c r="G6373"/>
      <c r="H6373" s="242"/>
      <c r="I6373" s="242"/>
      <c r="J6373" s="242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</row>
    <row r="6374" spans="1:26" hidden="1">
      <c r="A6374"/>
      <c r="B6374" s="249"/>
      <c r="C6374"/>
      <c r="D6374"/>
      <c r="E6374"/>
      <c r="F6374" s="242"/>
      <c r="G6374"/>
      <c r="H6374" s="242"/>
      <c r="I6374" s="242"/>
      <c r="J6374" s="242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</row>
    <row r="6375" spans="1:26" hidden="1">
      <c r="A6375"/>
      <c r="B6375" s="249"/>
      <c r="C6375"/>
      <c r="D6375"/>
      <c r="E6375"/>
      <c r="F6375" s="242"/>
      <c r="G6375"/>
      <c r="H6375" s="242"/>
      <c r="I6375" s="242"/>
      <c r="J6375" s="242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</row>
    <row r="6376" spans="1:26" hidden="1">
      <c r="A6376"/>
      <c r="B6376" s="249"/>
      <c r="C6376"/>
      <c r="D6376"/>
      <c r="E6376"/>
      <c r="F6376" s="242"/>
      <c r="G6376"/>
      <c r="H6376" s="242"/>
      <c r="I6376" s="242"/>
      <c r="J6376" s="242"/>
      <c r="K6376" s="18"/>
      <c r="L6376" s="18"/>
      <c r="M6376" s="18"/>
      <c r="N6376" s="18"/>
      <c r="O6376" s="18"/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</row>
    <row r="6377" spans="1:26" hidden="1">
      <c r="A6377"/>
      <c r="B6377" s="249"/>
      <c r="C6377"/>
      <c r="D6377"/>
      <c r="E6377"/>
      <c r="F6377" s="242"/>
      <c r="G6377"/>
      <c r="H6377" s="242"/>
      <c r="I6377" s="242"/>
      <c r="J6377" s="242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</row>
    <row r="6378" spans="1:26" hidden="1">
      <c r="A6378"/>
      <c r="B6378" s="249"/>
      <c r="C6378"/>
      <c r="D6378"/>
      <c r="E6378"/>
      <c r="F6378" s="242"/>
      <c r="G6378"/>
      <c r="H6378" s="242"/>
      <c r="I6378" s="242"/>
      <c r="J6378" s="242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</row>
    <row r="6379" spans="1:26" hidden="1">
      <c r="A6379"/>
      <c r="B6379" s="249"/>
      <c r="C6379"/>
      <c r="D6379"/>
      <c r="E6379"/>
      <c r="F6379" s="242"/>
      <c r="G6379"/>
      <c r="H6379" s="242"/>
      <c r="I6379" s="242"/>
      <c r="J6379" s="242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</row>
    <row r="6380" spans="1:26" hidden="1">
      <c r="A6380"/>
      <c r="B6380" s="249"/>
      <c r="C6380"/>
      <c r="D6380"/>
      <c r="E6380"/>
      <c r="F6380" s="242"/>
      <c r="G6380"/>
      <c r="H6380" s="242"/>
      <c r="I6380" s="242"/>
      <c r="J6380" s="242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</row>
    <row r="6381" spans="1:26" hidden="1">
      <c r="A6381"/>
      <c r="B6381" s="249"/>
      <c r="C6381"/>
      <c r="D6381"/>
      <c r="E6381"/>
      <c r="F6381" s="242"/>
      <c r="G6381"/>
      <c r="H6381" s="242"/>
      <c r="I6381" s="242"/>
      <c r="J6381" s="242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</row>
    <row r="6382" spans="1:26" hidden="1">
      <c r="A6382"/>
      <c r="B6382" s="249"/>
      <c r="C6382"/>
      <c r="D6382"/>
      <c r="E6382"/>
      <c r="F6382" s="242"/>
      <c r="G6382"/>
      <c r="H6382" s="242"/>
      <c r="I6382" s="242"/>
      <c r="J6382" s="242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</row>
    <row r="6383" spans="1:26" hidden="1">
      <c r="A6383"/>
      <c r="B6383" s="249"/>
      <c r="C6383"/>
      <c r="D6383"/>
      <c r="E6383"/>
      <c r="F6383" s="242"/>
      <c r="G6383"/>
      <c r="H6383" s="242"/>
      <c r="I6383" s="242"/>
      <c r="J6383" s="242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</row>
    <row r="6384" spans="1:26" hidden="1">
      <c r="A6384"/>
      <c r="B6384" s="249"/>
      <c r="C6384"/>
      <c r="D6384"/>
      <c r="E6384"/>
      <c r="F6384" s="242"/>
      <c r="G6384"/>
      <c r="H6384" s="242"/>
      <c r="I6384" s="242"/>
      <c r="J6384" s="242"/>
      <c r="K6384" s="18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</row>
    <row r="6385" spans="1:26" hidden="1">
      <c r="A6385"/>
      <c r="B6385" s="249"/>
      <c r="C6385"/>
      <c r="D6385"/>
      <c r="E6385"/>
      <c r="F6385" s="242"/>
      <c r="G6385"/>
      <c r="H6385" s="242"/>
      <c r="I6385" s="242"/>
      <c r="J6385" s="242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</row>
    <row r="6386" spans="1:26" hidden="1">
      <c r="A6386"/>
      <c r="B6386" s="249"/>
      <c r="C6386"/>
      <c r="D6386"/>
      <c r="E6386"/>
      <c r="F6386" s="242"/>
      <c r="G6386"/>
      <c r="H6386" s="242"/>
      <c r="I6386" s="242"/>
      <c r="J6386" s="242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</row>
    <row r="6387" spans="1:26" hidden="1">
      <c r="A6387"/>
      <c r="B6387" s="249"/>
      <c r="C6387"/>
      <c r="D6387"/>
      <c r="E6387"/>
      <c r="F6387" s="242"/>
      <c r="G6387"/>
      <c r="H6387" s="242"/>
      <c r="I6387" s="242"/>
      <c r="J6387" s="242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</row>
    <row r="6388" spans="1:26" hidden="1">
      <c r="A6388"/>
      <c r="B6388" s="249"/>
      <c r="C6388"/>
      <c r="D6388"/>
      <c r="E6388"/>
      <c r="F6388" s="242"/>
      <c r="G6388"/>
      <c r="H6388" s="242"/>
      <c r="I6388" s="242"/>
      <c r="J6388" s="242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</row>
    <row r="6389" spans="1:26" hidden="1">
      <c r="A6389"/>
      <c r="B6389" s="249"/>
      <c r="C6389"/>
      <c r="D6389"/>
      <c r="E6389"/>
      <c r="F6389" s="242"/>
      <c r="G6389"/>
      <c r="H6389" s="242"/>
      <c r="I6389" s="242"/>
      <c r="J6389" s="242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</row>
    <row r="6390" spans="1:26" hidden="1">
      <c r="A6390"/>
      <c r="B6390" s="249"/>
      <c r="C6390"/>
      <c r="D6390"/>
      <c r="E6390"/>
      <c r="F6390" s="242"/>
      <c r="G6390"/>
      <c r="H6390" s="242"/>
      <c r="I6390" s="242"/>
      <c r="J6390" s="242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</row>
    <row r="6391" spans="1:26" hidden="1">
      <c r="A6391"/>
      <c r="B6391" s="249"/>
      <c r="C6391"/>
      <c r="D6391"/>
      <c r="E6391"/>
      <c r="F6391" s="242"/>
      <c r="G6391"/>
      <c r="H6391" s="242"/>
      <c r="I6391" s="242"/>
      <c r="J6391" s="242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</row>
    <row r="6392" spans="1:26" hidden="1">
      <c r="A6392"/>
      <c r="B6392" s="249"/>
      <c r="C6392"/>
      <c r="D6392"/>
      <c r="E6392"/>
      <c r="F6392" s="242"/>
      <c r="G6392"/>
      <c r="H6392" s="242"/>
      <c r="I6392" s="242"/>
      <c r="J6392" s="242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</row>
    <row r="6393" spans="1:26" hidden="1">
      <c r="A6393"/>
      <c r="B6393" s="249"/>
      <c r="C6393"/>
      <c r="D6393"/>
      <c r="E6393"/>
      <c r="F6393" s="242"/>
      <c r="G6393"/>
      <c r="H6393" s="242"/>
      <c r="I6393" s="242"/>
      <c r="J6393" s="242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</row>
    <row r="6394" spans="1:26" hidden="1">
      <c r="A6394"/>
      <c r="B6394" s="249"/>
      <c r="C6394"/>
      <c r="D6394"/>
      <c r="E6394"/>
      <c r="F6394" s="242"/>
      <c r="G6394"/>
      <c r="H6394" s="242"/>
      <c r="I6394" s="242"/>
      <c r="J6394" s="242"/>
      <c r="K6394" s="18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</row>
    <row r="6395" spans="1:26" hidden="1">
      <c r="A6395"/>
      <c r="B6395" s="249"/>
      <c r="C6395"/>
      <c r="D6395"/>
      <c r="E6395"/>
      <c r="F6395" s="242"/>
      <c r="G6395"/>
      <c r="H6395" s="242"/>
      <c r="I6395" s="242"/>
      <c r="J6395" s="242"/>
      <c r="K6395" s="18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</row>
    <row r="6396" spans="1:26" hidden="1">
      <c r="A6396"/>
      <c r="B6396" s="249"/>
      <c r="C6396"/>
      <c r="D6396"/>
      <c r="E6396"/>
      <c r="F6396" s="242"/>
      <c r="G6396"/>
      <c r="H6396" s="242"/>
      <c r="I6396" s="242"/>
      <c r="J6396" s="242"/>
      <c r="K6396" s="18"/>
      <c r="L6396" s="18"/>
      <c r="M6396" s="18"/>
      <c r="N6396" s="18"/>
      <c r="O6396" s="18"/>
      <c r="P6396" s="18"/>
      <c r="Q6396" s="18"/>
      <c r="R6396" s="18"/>
      <c r="S6396" s="18"/>
      <c r="T6396" s="18"/>
      <c r="U6396" s="18"/>
      <c r="V6396" s="18"/>
      <c r="W6396" s="18"/>
      <c r="X6396" s="18"/>
      <c r="Y6396" s="18"/>
      <c r="Z6396" s="18"/>
    </row>
    <row r="6397" spans="1:26" hidden="1">
      <c r="A6397"/>
      <c r="B6397" s="249"/>
      <c r="C6397"/>
      <c r="D6397"/>
      <c r="E6397"/>
      <c r="F6397" s="242"/>
      <c r="G6397"/>
      <c r="H6397" s="242"/>
      <c r="I6397" s="242"/>
      <c r="J6397" s="242"/>
      <c r="K6397" s="18"/>
      <c r="L6397" s="18"/>
      <c r="M6397" s="18"/>
      <c r="N6397" s="18"/>
      <c r="O6397" s="18"/>
      <c r="P6397" s="18"/>
      <c r="Q6397" s="18"/>
      <c r="R6397" s="18"/>
      <c r="S6397" s="18"/>
      <c r="T6397" s="18"/>
      <c r="U6397" s="18"/>
      <c r="V6397" s="18"/>
      <c r="W6397" s="18"/>
      <c r="X6397" s="18"/>
      <c r="Y6397" s="18"/>
      <c r="Z6397" s="18"/>
    </row>
    <row r="6398" spans="1:26" hidden="1">
      <c r="A6398"/>
      <c r="B6398" s="249"/>
      <c r="C6398"/>
      <c r="D6398"/>
      <c r="E6398"/>
      <c r="F6398" s="242"/>
      <c r="G6398"/>
      <c r="H6398" s="242"/>
      <c r="I6398" s="242"/>
      <c r="J6398" s="242"/>
      <c r="K6398" s="18"/>
      <c r="L6398" s="18"/>
      <c r="M6398" s="18"/>
      <c r="N6398" s="18"/>
      <c r="O6398" s="18"/>
      <c r="P6398" s="18"/>
      <c r="Q6398" s="18"/>
      <c r="R6398" s="18"/>
      <c r="S6398" s="18"/>
      <c r="T6398" s="18"/>
      <c r="U6398" s="18"/>
      <c r="V6398" s="18"/>
      <c r="W6398" s="18"/>
      <c r="X6398" s="18"/>
      <c r="Y6398" s="18"/>
      <c r="Z6398" s="18"/>
    </row>
    <row r="6399" spans="1:26" hidden="1">
      <c r="A6399"/>
      <c r="B6399" s="249"/>
      <c r="C6399"/>
      <c r="D6399"/>
      <c r="E6399"/>
      <c r="F6399" s="242"/>
      <c r="G6399"/>
      <c r="H6399" s="242"/>
      <c r="I6399" s="242"/>
      <c r="J6399" s="242"/>
      <c r="K6399" s="18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</row>
    <row r="6400" spans="1:26" hidden="1">
      <c r="A6400"/>
      <c r="B6400" s="249"/>
      <c r="C6400"/>
      <c r="D6400"/>
      <c r="E6400"/>
      <c r="F6400" s="242"/>
      <c r="G6400"/>
      <c r="H6400" s="242"/>
      <c r="I6400" s="242"/>
      <c r="J6400" s="242"/>
      <c r="K6400" s="18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</row>
    <row r="6401" spans="1:26" hidden="1">
      <c r="A6401"/>
      <c r="B6401" s="249"/>
      <c r="C6401"/>
      <c r="D6401"/>
      <c r="E6401"/>
      <c r="F6401" s="242"/>
      <c r="G6401"/>
      <c r="H6401" s="242"/>
      <c r="I6401" s="242"/>
      <c r="J6401" s="242"/>
      <c r="K6401" s="18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</row>
    <row r="6402" spans="1:26" hidden="1">
      <c r="A6402"/>
      <c r="B6402" s="249"/>
      <c r="C6402"/>
      <c r="D6402"/>
      <c r="E6402"/>
      <c r="F6402" s="242"/>
      <c r="G6402"/>
      <c r="H6402" s="242"/>
      <c r="I6402" s="242"/>
      <c r="J6402" s="242"/>
      <c r="K6402" s="18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  <c r="Z6402" s="18"/>
    </row>
    <row r="6403" spans="1:26" hidden="1">
      <c r="A6403"/>
      <c r="B6403" s="249"/>
      <c r="C6403"/>
      <c r="D6403"/>
      <c r="E6403"/>
      <c r="F6403" s="242"/>
      <c r="G6403"/>
      <c r="H6403" s="242"/>
      <c r="I6403" s="242"/>
      <c r="J6403" s="242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</row>
    <row r="6404" spans="1:26" hidden="1">
      <c r="A6404"/>
      <c r="B6404" s="249"/>
      <c r="C6404"/>
      <c r="D6404"/>
      <c r="E6404"/>
      <c r="F6404" s="242"/>
      <c r="G6404"/>
      <c r="H6404" s="242"/>
      <c r="I6404" s="242"/>
      <c r="J6404" s="242"/>
      <c r="K6404" s="18"/>
      <c r="L6404" s="18"/>
      <c r="M6404" s="18"/>
      <c r="N6404" s="18"/>
      <c r="O6404" s="18"/>
      <c r="P6404" s="18"/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</row>
    <row r="6405" spans="1:26" hidden="1">
      <c r="A6405"/>
      <c r="B6405" s="249"/>
      <c r="C6405"/>
      <c r="D6405"/>
      <c r="E6405"/>
      <c r="F6405" s="242"/>
      <c r="G6405"/>
      <c r="H6405" s="242"/>
      <c r="I6405" s="242"/>
      <c r="J6405" s="242"/>
      <c r="K6405" s="18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</row>
    <row r="6406" spans="1:26" hidden="1">
      <c r="A6406"/>
      <c r="B6406" s="249"/>
      <c r="C6406"/>
      <c r="D6406"/>
      <c r="E6406"/>
      <c r="F6406" s="242"/>
      <c r="G6406"/>
      <c r="H6406" s="242"/>
      <c r="I6406" s="242"/>
      <c r="J6406" s="242"/>
      <c r="K6406" s="18"/>
      <c r="L6406" s="18"/>
      <c r="M6406" s="18"/>
      <c r="N6406" s="18"/>
      <c r="O6406" s="18"/>
      <c r="P6406" s="18"/>
      <c r="Q6406" s="18"/>
      <c r="R6406" s="18"/>
      <c r="S6406" s="18"/>
      <c r="T6406" s="18"/>
      <c r="U6406" s="18"/>
      <c r="V6406" s="18"/>
      <c r="W6406" s="18"/>
      <c r="X6406" s="18"/>
      <c r="Y6406" s="18"/>
      <c r="Z6406" s="18"/>
    </row>
    <row r="6407" spans="1:26" hidden="1">
      <c r="A6407"/>
      <c r="B6407" s="249"/>
      <c r="C6407"/>
      <c r="D6407"/>
      <c r="E6407"/>
      <c r="F6407" s="242"/>
      <c r="G6407"/>
      <c r="H6407" s="242"/>
      <c r="I6407" s="242"/>
      <c r="J6407" s="242"/>
      <c r="K6407" s="18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</row>
    <row r="6408" spans="1:26" hidden="1">
      <c r="A6408"/>
      <c r="B6408" s="249"/>
      <c r="C6408"/>
      <c r="D6408"/>
      <c r="E6408"/>
      <c r="F6408" s="242"/>
      <c r="G6408"/>
      <c r="H6408" s="242"/>
      <c r="I6408" s="242"/>
      <c r="J6408" s="242"/>
      <c r="K6408" s="18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</row>
    <row r="6409" spans="1:26" hidden="1">
      <c r="A6409"/>
      <c r="B6409" s="249"/>
      <c r="C6409"/>
      <c r="D6409"/>
      <c r="E6409"/>
      <c r="F6409" s="242"/>
      <c r="G6409"/>
      <c r="H6409" s="242"/>
      <c r="I6409" s="242"/>
      <c r="J6409" s="242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</row>
    <row r="6410" spans="1:26" hidden="1">
      <c r="A6410"/>
      <c r="B6410" s="249"/>
      <c r="C6410"/>
      <c r="D6410"/>
      <c r="E6410"/>
      <c r="F6410" s="242"/>
      <c r="G6410"/>
      <c r="H6410" s="242"/>
      <c r="I6410" s="242"/>
      <c r="J6410" s="242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</row>
    <row r="6411" spans="1:26" hidden="1">
      <c r="A6411"/>
      <c r="B6411" s="249"/>
      <c r="C6411"/>
      <c r="D6411"/>
      <c r="E6411"/>
      <c r="F6411" s="242"/>
      <c r="G6411"/>
      <c r="H6411" s="242"/>
      <c r="I6411" s="242"/>
      <c r="J6411" s="242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</row>
    <row r="6412" spans="1:26" hidden="1">
      <c r="A6412"/>
      <c r="B6412" s="249"/>
      <c r="C6412"/>
      <c r="D6412"/>
      <c r="E6412"/>
      <c r="F6412" s="242"/>
      <c r="G6412"/>
      <c r="H6412" s="242"/>
      <c r="I6412" s="242"/>
      <c r="J6412" s="242"/>
      <c r="K6412" s="18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</row>
    <row r="6413" spans="1:26" hidden="1">
      <c r="A6413"/>
      <c r="B6413" s="249"/>
      <c r="C6413"/>
      <c r="D6413"/>
      <c r="E6413"/>
      <c r="F6413" s="242"/>
      <c r="G6413"/>
      <c r="H6413" s="242"/>
      <c r="I6413" s="242"/>
      <c r="J6413" s="242"/>
      <c r="K6413" s="18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</row>
    <row r="6414" spans="1:26" hidden="1">
      <c r="A6414"/>
      <c r="B6414" s="249"/>
      <c r="C6414"/>
      <c r="D6414"/>
      <c r="E6414"/>
      <c r="F6414" s="242"/>
      <c r="G6414"/>
      <c r="H6414" s="242"/>
      <c r="I6414" s="242"/>
      <c r="J6414" s="242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  <c r="Z6414" s="18"/>
    </row>
    <row r="6415" spans="1:26" hidden="1">
      <c r="A6415"/>
      <c r="B6415" s="249"/>
      <c r="C6415"/>
      <c r="D6415"/>
      <c r="E6415"/>
      <c r="F6415" s="242"/>
      <c r="G6415"/>
      <c r="H6415" s="242"/>
      <c r="I6415" s="242"/>
      <c r="J6415" s="242"/>
      <c r="K6415" s="18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</row>
    <row r="6416" spans="1:26" hidden="1">
      <c r="A6416"/>
      <c r="B6416" s="249"/>
      <c r="C6416"/>
      <c r="D6416"/>
      <c r="E6416"/>
      <c r="F6416" s="242"/>
      <c r="G6416"/>
      <c r="H6416" s="242"/>
      <c r="I6416" s="242"/>
      <c r="J6416" s="242"/>
      <c r="K6416" s="18"/>
      <c r="L6416" s="18"/>
      <c r="M6416" s="18"/>
      <c r="N6416" s="18"/>
      <c r="O6416" s="18"/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8"/>
    </row>
    <row r="6417" spans="1:26" hidden="1">
      <c r="A6417"/>
      <c r="B6417" s="249"/>
      <c r="C6417"/>
      <c r="D6417"/>
      <c r="E6417"/>
      <c r="F6417" s="242"/>
      <c r="G6417"/>
      <c r="H6417" s="242"/>
      <c r="I6417" s="242"/>
      <c r="J6417" s="242"/>
      <c r="K6417" s="18"/>
      <c r="L6417" s="18"/>
      <c r="M6417" s="18"/>
      <c r="N6417" s="18"/>
      <c r="O6417" s="18"/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</row>
    <row r="6418" spans="1:26" hidden="1">
      <c r="A6418"/>
      <c r="B6418" s="249"/>
      <c r="C6418"/>
      <c r="D6418"/>
      <c r="E6418"/>
      <c r="F6418" s="242"/>
      <c r="G6418"/>
      <c r="H6418" s="242"/>
      <c r="I6418" s="242"/>
      <c r="J6418" s="242"/>
      <c r="K6418" s="18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  <c r="Z6418" s="18"/>
    </row>
    <row r="6419" spans="1:26" hidden="1">
      <c r="A6419"/>
      <c r="B6419" s="249"/>
      <c r="C6419"/>
      <c r="D6419"/>
      <c r="E6419"/>
      <c r="F6419" s="242"/>
      <c r="G6419"/>
      <c r="H6419" s="242"/>
      <c r="I6419" s="242"/>
      <c r="J6419" s="242"/>
      <c r="K6419" s="18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</row>
    <row r="6420" spans="1:26" hidden="1">
      <c r="A6420"/>
      <c r="B6420" s="249"/>
      <c r="C6420"/>
      <c r="D6420"/>
      <c r="E6420"/>
      <c r="F6420" s="242"/>
      <c r="G6420"/>
      <c r="H6420" s="242"/>
      <c r="I6420" s="242"/>
      <c r="J6420" s="242"/>
      <c r="K6420" s="18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</row>
    <row r="6421" spans="1:26" hidden="1">
      <c r="A6421"/>
      <c r="B6421" s="249"/>
      <c r="C6421"/>
      <c r="D6421"/>
      <c r="E6421"/>
      <c r="F6421" s="242"/>
      <c r="G6421"/>
      <c r="H6421" s="242"/>
      <c r="I6421" s="242"/>
      <c r="J6421" s="242"/>
      <c r="K6421" s="18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</row>
    <row r="6422" spans="1:26" hidden="1">
      <c r="A6422"/>
      <c r="B6422" s="249"/>
      <c r="C6422"/>
      <c r="D6422"/>
      <c r="E6422"/>
      <c r="F6422" s="242"/>
      <c r="G6422"/>
      <c r="H6422" s="242"/>
      <c r="I6422" s="242"/>
      <c r="J6422" s="242"/>
      <c r="K6422" s="18"/>
      <c r="L6422" s="18"/>
      <c r="M6422" s="18"/>
      <c r="N6422" s="18"/>
      <c r="O6422" s="18"/>
      <c r="P6422" s="18"/>
      <c r="Q6422" s="18"/>
      <c r="R6422" s="18"/>
      <c r="S6422" s="18"/>
      <c r="T6422" s="18"/>
      <c r="U6422" s="18"/>
      <c r="V6422" s="18"/>
      <c r="W6422" s="18"/>
      <c r="X6422" s="18"/>
      <c r="Y6422" s="18"/>
      <c r="Z6422" s="18"/>
    </row>
    <row r="6423" spans="1:26" hidden="1">
      <c r="A6423"/>
      <c r="B6423" s="249"/>
      <c r="C6423"/>
      <c r="D6423"/>
      <c r="E6423"/>
      <c r="F6423" s="242"/>
      <c r="G6423"/>
      <c r="H6423" s="242"/>
      <c r="I6423" s="242"/>
      <c r="J6423" s="242"/>
      <c r="K6423" s="18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</row>
    <row r="6424" spans="1:26" hidden="1">
      <c r="A6424"/>
      <c r="B6424" s="249"/>
      <c r="C6424"/>
      <c r="D6424"/>
      <c r="E6424"/>
      <c r="F6424" s="242"/>
      <c r="G6424"/>
      <c r="H6424" s="242"/>
      <c r="I6424" s="242"/>
      <c r="J6424" s="242"/>
      <c r="K6424" s="18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  <c r="W6424" s="18"/>
      <c r="X6424" s="18"/>
      <c r="Y6424" s="18"/>
      <c r="Z6424" s="18"/>
    </row>
    <row r="6425" spans="1:26" hidden="1">
      <c r="A6425"/>
      <c r="B6425" s="249"/>
      <c r="C6425"/>
      <c r="D6425"/>
      <c r="E6425"/>
      <c r="F6425" s="242"/>
      <c r="G6425"/>
      <c r="H6425" s="242"/>
      <c r="I6425" s="242"/>
      <c r="J6425" s="242"/>
      <c r="K6425" s="18"/>
      <c r="L6425" s="18"/>
      <c r="M6425" s="18"/>
      <c r="N6425" s="18"/>
      <c r="O6425" s="18"/>
      <c r="P6425" s="18"/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</row>
    <row r="6426" spans="1:26" hidden="1">
      <c r="A6426"/>
      <c r="B6426" s="249"/>
      <c r="C6426"/>
      <c r="D6426"/>
      <c r="E6426"/>
      <c r="F6426" s="242"/>
      <c r="G6426"/>
      <c r="H6426" s="242"/>
      <c r="I6426" s="242"/>
      <c r="J6426" s="242"/>
      <c r="K6426" s="18"/>
      <c r="L6426" s="18"/>
      <c r="M6426" s="18"/>
      <c r="N6426" s="18"/>
      <c r="O6426" s="18"/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</row>
    <row r="6427" spans="1:26" hidden="1">
      <c r="A6427"/>
      <c r="B6427" s="249"/>
      <c r="C6427"/>
      <c r="D6427"/>
      <c r="E6427"/>
      <c r="F6427" s="242"/>
      <c r="G6427"/>
      <c r="H6427" s="242"/>
      <c r="I6427" s="242"/>
      <c r="J6427" s="242"/>
      <c r="K6427" s="18"/>
      <c r="L6427" s="18"/>
      <c r="M6427" s="18"/>
      <c r="N6427" s="18"/>
      <c r="O6427" s="18"/>
      <c r="P6427" s="18"/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</row>
    <row r="6428" spans="1:26" hidden="1">
      <c r="A6428"/>
      <c r="B6428" s="249"/>
      <c r="C6428"/>
      <c r="D6428"/>
      <c r="E6428"/>
      <c r="F6428" s="242"/>
      <c r="G6428"/>
      <c r="H6428" s="242"/>
      <c r="I6428" s="242"/>
      <c r="J6428" s="242"/>
      <c r="K6428" s="18"/>
      <c r="L6428" s="18"/>
      <c r="M6428" s="18"/>
      <c r="N6428" s="18"/>
      <c r="O6428" s="18"/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</row>
    <row r="6429" spans="1:26" hidden="1">
      <c r="A6429"/>
      <c r="B6429" s="249"/>
      <c r="C6429"/>
      <c r="D6429"/>
      <c r="E6429"/>
      <c r="F6429" s="242"/>
      <c r="G6429"/>
      <c r="H6429" s="242"/>
      <c r="I6429" s="242"/>
      <c r="J6429" s="242"/>
      <c r="K6429" s="18"/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</row>
    <row r="6430" spans="1:26" hidden="1">
      <c r="A6430"/>
      <c r="B6430" s="249"/>
      <c r="C6430"/>
      <c r="D6430"/>
      <c r="E6430"/>
      <c r="F6430" s="242"/>
      <c r="G6430"/>
      <c r="H6430" s="242"/>
      <c r="I6430" s="242"/>
      <c r="J6430" s="242"/>
      <c r="K6430" s="18"/>
      <c r="L6430" s="18"/>
      <c r="M6430" s="18"/>
      <c r="N6430" s="18"/>
      <c r="O6430" s="18"/>
      <c r="P6430" s="18"/>
      <c r="Q6430" s="18"/>
      <c r="R6430" s="18"/>
      <c r="S6430" s="18"/>
      <c r="T6430" s="18"/>
      <c r="U6430" s="18"/>
      <c r="V6430" s="18"/>
      <c r="W6430" s="18"/>
      <c r="X6430" s="18"/>
      <c r="Y6430" s="18"/>
      <c r="Z6430" s="18"/>
    </row>
    <row r="6431" spans="1:26" hidden="1">
      <c r="A6431"/>
      <c r="B6431" s="249"/>
      <c r="C6431"/>
      <c r="D6431"/>
      <c r="E6431"/>
      <c r="F6431" s="242"/>
      <c r="G6431"/>
      <c r="H6431" s="242"/>
      <c r="I6431" s="242"/>
      <c r="J6431" s="242"/>
      <c r="K6431" s="18"/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</row>
    <row r="6432" spans="1:26" hidden="1">
      <c r="A6432"/>
      <c r="B6432" s="249"/>
      <c r="C6432"/>
      <c r="D6432"/>
      <c r="E6432"/>
      <c r="F6432" s="242"/>
      <c r="G6432"/>
      <c r="H6432" s="242"/>
      <c r="I6432" s="242"/>
      <c r="J6432" s="242"/>
      <c r="K6432" s="18"/>
      <c r="L6432" s="18"/>
      <c r="M6432" s="18"/>
      <c r="N6432" s="18"/>
      <c r="O6432" s="18"/>
      <c r="P6432" s="18"/>
      <c r="Q6432" s="18"/>
      <c r="R6432" s="18"/>
      <c r="S6432" s="18"/>
      <c r="T6432" s="18"/>
      <c r="U6432" s="18"/>
      <c r="V6432" s="18"/>
      <c r="W6432" s="18"/>
      <c r="X6432" s="18"/>
      <c r="Y6432" s="18"/>
      <c r="Z6432" s="18"/>
    </row>
    <row r="6433" spans="1:26" hidden="1">
      <c r="A6433"/>
      <c r="B6433" s="249"/>
      <c r="C6433"/>
      <c r="D6433"/>
      <c r="E6433"/>
      <c r="F6433" s="242"/>
      <c r="G6433"/>
      <c r="H6433" s="242"/>
      <c r="I6433" s="242"/>
      <c r="J6433" s="242"/>
      <c r="K6433" s="18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</row>
    <row r="6434" spans="1:26" hidden="1">
      <c r="A6434"/>
      <c r="B6434" s="249"/>
      <c r="C6434"/>
      <c r="D6434"/>
      <c r="E6434"/>
      <c r="F6434" s="242"/>
      <c r="G6434"/>
      <c r="H6434" s="242"/>
      <c r="I6434" s="242"/>
      <c r="J6434" s="242"/>
      <c r="K6434" s="18"/>
      <c r="L6434" s="18"/>
      <c r="M6434" s="18"/>
      <c r="N6434" s="18"/>
      <c r="O6434" s="18"/>
      <c r="P6434" s="18"/>
      <c r="Q6434" s="18"/>
      <c r="R6434" s="18"/>
      <c r="S6434" s="18"/>
      <c r="T6434" s="18"/>
      <c r="U6434" s="18"/>
      <c r="V6434" s="18"/>
      <c r="W6434" s="18"/>
      <c r="X6434" s="18"/>
      <c r="Y6434" s="18"/>
      <c r="Z6434" s="18"/>
    </row>
    <row r="6435" spans="1:26" hidden="1">
      <c r="A6435"/>
      <c r="B6435" s="249"/>
      <c r="C6435"/>
      <c r="D6435"/>
      <c r="E6435"/>
      <c r="F6435" s="242"/>
      <c r="G6435"/>
      <c r="H6435" s="242"/>
      <c r="I6435" s="242"/>
      <c r="J6435" s="242"/>
      <c r="K6435" s="18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</row>
    <row r="6436" spans="1:26" hidden="1">
      <c r="A6436"/>
      <c r="B6436" s="249"/>
      <c r="C6436"/>
      <c r="D6436"/>
      <c r="E6436"/>
      <c r="F6436" s="242"/>
      <c r="G6436"/>
      <c r="H6436" s="242"/>
      <c r="I6436" s="242"/>
      <c r="J6436" s="242"/>
      <c r="K6436" s="18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</row>
    <row r="6437" spans="1:26" hidden="1">
      <c r="A6437"/>
      <c r="B6437" s="249"/>
      <c r="C6437"/>
      <c r="D6437"/>
      <c r="E6437"/>
      <c r="F6437" s="242"/>
      <c r="G6437"/>
      <c r="H6437" s="242"/>
      <c r="I6437" s="242"/>
      <c r="J6437" s="242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</row>
    <row r="6438" spans="1:26" hidden="1">
      <c r="A6438"/>
      <c r="B6438" s="249"/>
      <c r="C6438"/>
      <c r="D6438"/>
      <c r="E6438"/>
      <c r="F6438" s="242"/>
      <c r="G6438"/>
      <c r="H6438" s="242"/>
      <c r="I6438" s="242"/>
      <c r="J6438" s="242"/>
      <c r="K6438" s="18"/>
      <c r="L6438" s="18"/>
      <c r="M6438" s="18"/>
      <c r="N6438" s="18"/>
      <c r="O6438" s="18"/>
      <c r="P6438" s="18"/>
      <c r="Q6438" s="18"/>
      <c r="R6438" s="18"/>
      <c r="S6438" s="18"/>
      <c r="T6438" s="18"/>
      <c r="U6438" s="18"/>
      <c r="V6438" s="18"/>
      <c r="W6438" s="18"/>
      <c r="X6438" s="18"/>
      <c r="Y6438" s="18"/>
      <c r="Z6438" s="18"/>
    </row>
    <row r="6439" spans="1:26" hidden="1">
      <c r="A6439"/>
      <c r="B6439" s="249"/>
      <c r="C6439"/>
      <c r="D6439"/>
      <c r="E6439"/>
      <c r="F6439" s="242"/>
      <c r="G6439"/>
      <c r="H6439" s="242"/>
      <c r="I6439" s="242"/>
      <c r="J6439" s="242"/>
      <c r="K6439" s="18"/>
      <c r="L6439" s="18"/>
      <c r="M6439" s="18"/>
      <c r="N6439" s="18"/>
      <c r="O6439" s="18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</row>
    <row r="6440" spans="1:26" hidden="1">
      <c r="A6440"/>
      <c r="B6440" s="249"/>
      <c r="C6440"/>
      <c r="D6440"/>
      <c r="E6440"/>
      <c r="F6440" s="242"/>
      <c r="G6440"/>
      <c r="H6440" s="242"/>
      <c r="I6440" s="242"/>
      <c r="J6440" s="242"/>
      <c r="K6440" s="18"/>
      <c r="L6440" s="18"/>
      <c r="M6440" s="18"/>
      <c r="N6440" s="18"/>
      <c r="O6440" s="18"/>
      <c r="P6440" s="18"/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</row>
    <row r="6441" spans="1:26" hidden="1">
      <c r="A6441"/>
      <c r="B6441" s="249"/>
      <c r="C6441"/>
      <c r="D6441"/>
      <c r="E6441"/>
      <c r="F6441" s="242"/>
      <c r="G6441"/>
      <c r="H6441" s="242"/>
      <c r="I6441" s="242"/>
      <c r="J6441" s="242"/>
      <c r="K6441" s="18"/>
      <c r="L6441" s="18"/>
      <c r="M6441" s="18"/>
      <c r="N6441" s="18"/>
      <c r="O6441" s="18"/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</row>
    <row r="6442" spans="1:26" hidden="1">
      <c r="A6442"/>
      <c r="B6442" s="249"/>
      <c r="C6442"/>
      <c r="D6442"/>
      <c r="E6442"/>
      <c r="F6442" s="242"/>
      <c r="G6442"/>
      <c r="H6442" s="242"/>
      <c r="I6442" s="242"/>
      <c r="J6442" s="242"/>
      <c r="K6442" s="18"/>
      <c r="L6442" s="18"/>
      <c r="M6442" s="18"/>
      <c r="N6442" s="18"/>
      <c r="O6442" s="18"/>
      <c r="P6442" s="18"/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</row>
    <row r="6443" spans="1:26" hidden="1">
      <c r="A6443"/>
      <c r="B6443" s="249"/>
      <c r="C6443"/>
      <c r="D6443"/>
      <c r="E6443"/>
      <c r="F6443" s="242"/>
      <c r="G6443"/>
      <c r="H6443" s="242"/>
      <c r="I6443" s="242"/>
      <c r="J6443" s="242"/>
      <c r="K6443" s="18"/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</row>
    <row r="6444" spans="1:26" hidden="1">
      <c r="A6444"/>
      <c r="B6444" s="249"/>
      <c r="C6444"/>
      <c r="D6444"/>
      <c r="E6444"/>
      <c r="F6444" s="242"/>
      <c r="G6444"/>
      <c r="H6444" s="242"/>
      <c r="I6444" s="242"/>
      <c r="J6444" s="242"/>
      <c r="K6444" s="18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</row>
    <row r="6445" spans="1:26" hidden="1">
      <c r="A6445"/>
      <c r="B6445" s="249"/>
      <c r="C6445"/>
      <c r="D6445"/>
      <c r="E6445"/>
      <c r="F6445" s="242"/>
      <c r="G6445"/>
      <c r="H6445" s="242"/>
      <c r="I6445" s="242"/>
      <c r="J6445" s="242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8"/>
      <c r="X6445" s="18"/>
      <c r="Y6445" s="18"/>
      <c r="Z6445" s="18"/>
    </row>
    <row r="6446" spans="1:26" hidden="1">
      <c r="A6446"/>
      <c r="B6446" s="249"/>
      <c r="C6446"/>
      <c r="D6446"/>
      <c r="E6446"/>
      <c r="F6446" s="242"/>
      <c r="G6446"/>
      <c r="H6446" s="242"/>
      <c r="I6446" s="242"/>
      <c r="J6446" s="242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</row>
    <row r="6447" spans="1:26" hidden="1">
      <c r="A6447"/>
      <c r="B6447" s="249"/>
      <c r="C6447"/>
      <c r="D6447"/>
      <c r="E6447"/>
      <c r="F6447" s="242"/>
      <c r="G6447"/>
      <c r="H6447" s="242"/>
      <c r="I6447" s="242"/>
      <c r="J6447" s="242"/>
      <c r="K6447" s="18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</row>
    <row r="6448" spans="1:26" hidden="1">
      <c r="A6448"/>
      <c r="B6448" s="249"/>
      <c r="C6448"/>
      <c r="D6448"/>
      <c r="E6448"/>
      <c r="F6448" s="242"/>
      <c r="G6448"/>
      <c r="H6448" s="242"/>
      <c r="I6448" s="242"/>
      <c r="J6448" s="242"/>
      <c r="K6448" s="18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8"/>
    </row>
    <row r="6449" spans="1:26" hidden="1">
      <c r="A6449"/>
      <c r="B6449" s="249"/>
      <c r="C6449"/>
      <c r="D6449"/>
      <c r="E6449"/>
      <c r="F6449" s="242"/>
      <c r="G6449"/>
      <c r="H6449" s="242"/>
      <c r="I6449" s="242"/>
      <c r="J6449" s="242"/>
      <c r="K6449" s="18"/>
      <c r="L6449" s="18"/>
      <c r="M6449" s="18"/>
      <c r="N6449" s="18"/>
      <c r="O6449" s="18"/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8"/>
    </row>
    <row r="6450" spans="1:26" hidden="1">
      <c r="A6450"/>
      <c r="B6450" s="249"/>
      <c r="C6450"/>
      <c r="D6450"/>
      <c r="E6450"/>
      <c r="F6450" s="242"/>
      <c r="G6450"/>
      <c r="H6450" s="242"/>
      <c r="I6450" s="242"/>
      <c r="J6450" s="242"/>
      <c r="K6450" s="18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</row>
    <row r="6451" spans="1:26" hidden="1">
      <c r="A6451"/>
      <c r="B6451" s="249"/>
      <c r="C6451"/>
      <c r="D6451"/>
      <c r="E6451"/>
      <c r="F6451" s="242"/>
      <c r="G6451"/>
      <c r="H6451" s="242"/>
      <c r="I6451" s="242"/>
      <c r="J6451" s="242"/>
      <c r="K6451" s="18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</row>
    <row r="6452" spans="1:26" hidden="1">
      <c r="A6452"/>
      <c r="B6452" s="249"/>
      <c r="C6452"/>
      <c r="D6452"/>
      <c r="E6452"/>
      <c r="F6452" s="242"/>
      <c r="G6452"/>
      <c r="H6452" s="242"/>
      <c r="I6452" s="242"/>
      <c r="J6452" s="242"/>
      <c r="K6452" s="18"/>
      <c r="L6452" s="18"/>
      <c r="M6452" s="18"/>
      <c r="N6452" s="18"/>
      <c r="O6452" s="18"/>
      <c r="P6452" s="18"/>
      <c r="Q6452" s="18"/>
      <c r="R6452" s="18"/>
      <c r="S6452" s="18"/>
      <c r="T6452" s="18"/>
      <c r="U6452" s="18"/>
      <c r="V6452" s="18"/>
      <c r="W6452" s="18"/>
      <c r="X6452" s="18"/>
      <c r="Y6452" s="18"/>
      <c r="Z6452" s="18"/>
    </row>
    <row r="6453" spans="1:26" hidden="1">
      <c r="A6453"/>
      <c r="B6453" s="249"/>
      <c r="C6453"/>
      <c r="D6453"/>
      <c r="E6453"/>
      <c r="F6453" s="242"/>
      <c r="G6453"/>
      <c r="H6453" s="242"/>
      <c r="I6453" s="242"/>
      <c r="J6453" s="242"/>
      <c r="K6453" s="18"/>
      <c r="L6453" s="18"/>
      <c r="M6453" s="18"/>
      <c r="N6453" s="18"/>
      <c r="O6453" s="18"/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</row>
    <row r="6454" spans="1:26" hidden="1">
      <c r="A6454"/>
      <c r="B6454" s="249"/>
      <c r="C6454"/>
      <c r="D6454"/>
      <c r="E6454"/>
      <c r="F6454" s="242"/>
      <c r="G6454"/>
      <c r="H6454" s="242"/>
      <c r="I6454" s="242"/>
      <c r="J6454" s="242"/>
      <c r="K6454" s="18"/>
      <c r="L6454" s="18"/>
      <c r="M6454" s="18"/>
      <c r="N6454" s="18"/>
      <c r="O6454" s="18"/>
      <c r="P6454" s="18"/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</row>
    <row r="6455" spans="1:26" hidden="1">
      <c r="A6455"/>
      <c r="B6455" s="249"/>
      <c r="C6455"/>
      <c r="D6455"/>
      <c r="E6455"/>
      <c r="F6455" s="242"/>
      <c r="G6455"/>
      <c r="H6455" s="242"/>
      <c r="I6455" s="242"/>
      <c r="J6455" s="242"/>
      <c r="K6455" s="18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</row>
    <row r="6456" spans="1:26" hidden="1">
      <c r="A6456"/>
      <c r="B6456" s="249"/>
      <c r="C6456"/>
      <c r="D6456"/>
      <c r="E6456"/>
      <c r="F6456" s="242"/>
      <c r="G6456"/>
      <c r="H6456" s="242"/>
      <c r="I6456" s="242"/>
      <c r="J6456" s="242"/>
      <c r="K6456" s="18"/>
      <c r="L6456" s="18"/>
      <c r="M6456" s="18"/>
      <c r="N6456" s="18"/>
      <c r="O6456" s="18"/>
      <c r="P6456" s="18"/>
      <c r="Q6456" s="18"/>
      <c r="R6456" s="18"/>
      <c r="S6456" s="18"/>
      <c r="T6456" s="18"/>
      <c r="U6456" s="18"/>
      <c r="V6456" s="18"/>
      <c r="W6456" s="18"/>
      <c r="X6456" s="18"/>
      <c r="Y6456" s="18"/>
      <c r="Z6456" s="18"/>
    </row>
    <row r="6457" spans="1:26" hidden="1">
      <c r="A6457"/>
      <c r="B6457" s="249"/>
      <c r="C6457"/>
      <c r="D6457"/>
      <c r="E6457"/>
      <c r="F6457" s="242"/>
      <c r="G6457"/>
      <c r="H6457" s="242"/>
      <c r="I6457" s="242"/>
      <c r="J6457" s="242"/>
      <c r="K6457" s="18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</row>
    <row r="6458" spans="1:26" hidden="1">
      <c r="A6458"/>
      <c r="B6458" s="249"/>
      <c r="C6458"/>
      <c r="D6458"/>
      <c r="E6458"/>
      <c r="F6458" s="242"/>
      <c r="G6458"/>
      <c r="H6458" s="242"/>
      <c r="I6458" s="242"/>
      <c r="J6458" s="242"/>
      <c r="K6458" s="18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</row>
    <row r="6459" spans="1:26" hidden="1">
      <c r="A6459"/>
      <c r="B6459" s="249"/>
      <c r="C6459"/>
      <c r="D6459"/>
      <c r="E6459"/>
      <c r="F6459" s="242"/>
      <c r="G6459"/>
      <c r="H6459" s="242"/>
      <c r="I6459" s="242"/>
      <c r="J6459" s="242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</row>
    <row r="6460" spans="1:26" hidden="1">
      <c r="A6460"/>
      <c r="B6460" s="249"/>
      <c r="C6460"/>
      <c r="D6460"/>
      <c r="E6460"/>
      <c r="F6460" s="242"/>
      <c r="G6460"/>
      <c r="H6460" s="242"/>
      <c r="I6460" s="242"/>
      <c r="J6460" s="242"/>
      <c r="K6460" s="18"/>
      <c r="L6460" s="18"/>
      <c r="M6460" s="18"/>
      <c r="N6460" s="18"/>
      <c r="O6460" s="18"/>
      <c r="P6460" s="18"/>
      <c r="Q6460" s="18"/>
      <c r="R6460" s="18"/>
      <c r="S6460" s="18"/>
      <c r="T6460" s="18"/>
      <c r="U6460" s="18"/>
      <c r="V6460" s="18"/>
      <c r="W6460" s="18"/>
      <c r="X6460" s="18"/>
      <c r="Y6460" s="18"/>
      <c r="Z6460" s="18"/>
    </row>
    <row r="6461" spans="1:26" hidden="1">
      <c r="A6461"/>
      <c r="B6461" s="249"/>
      <c r="C6461"/>
      <c r="D6461"/>
      <c r="E6461"/>
      <c r="F6461" s="242"/>
      <c r="G6461"/>
      <c r="H6461" s="242"/>
      <c r="I6461" s="242"/>
      <c r="J6461" s="242"/>
      <c r="K6461" s="18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</row>
    <row r="6462" spans="1:26" hidden="1">
      <c r="A6462"/>
      <c r="B6462" s="249"/>
      <c r="C6462"/>
      <c r="D6462"/>
      <c r="E6462"/>
      <c r="F6462" s="242"/>
      <c r="G6462"/>
      <c r="H6462" s="242"/>
      <c r="I6462" s="242"/>
      <c r="J6462" s="242"/>
      <c r="K6462" s="18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</row>
    <row r="6463" spans="1:26" hidden="1">
      <c r="A6463"/>
      <c r="B6463" s="249"/>
      <c r="C6463"/>
      <c r="D6463"/>
      <c r="E6463"/>
      <c r="F6463" s="242"/>
      <c r="G6463"/>
      <c r="H6463" s="242"/>
      <c r="I6463" s="242"/>
      <c r="J6463" s="242"/>
      <c r="K6463" s="18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</row>
    <row r="6464" spans="1:26" hidden="1">
      <c r="A6464"/>
      <c r="B6464" s="249"/>
      <c r="C6464"/>
      <c r="D6464"/>
      <c r="E6464"/>
      <c r="F6464" s="242"/>
      <c r="G6464"/>
      <c r="H6464" s="242"/>
      <c r="I6464" s="242"/>
      <c r="J6464" s="242"/>
      <c r="K6464" s="18"/>
      <c r="L6464" s="18"/>
      <c r="M6464" s="18"/>
      <c r="N6464" s="18"/>
      <c r="O6464" s="18"/>
      <c r="P6464" s="18"/>
      <c r="Q6464" s="18"/>
      <c r="R6464" s="18"/>
      <c r="S6464" s="18"/>
      <c r="T6464" s="18"/>
      <c r="U6464" s="18"/>
      <c r="V6464" s="18"/>
      <c r="W6464" s="18"/>
      <c r="X6464" s="18"/>
      <c r="Y6464" s="18"/>
      <c r="Z6464" s="18"/>
    </row>
    <row r="6465" spans="1:26" hidden="1">
      <c r="A6465"/>
      <c r="B6465" s="249"/>
      <c r="C6465"/>
      <c r="D6465"/>
      <c r="E6465"/>
      <c r="F6465" s="242"/>
      <c r="G6465"/>
      <c r="H6465" s="242"/>
      <c r="I6465" s="242"/>
      <c r="J6465" s="242"/>
      <c r="K6465" s="18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</row>
    <row r="6466" spans="1:26" hidden="1">
      <c r="A6466"/>
      <c r="B6466" s="249"/>
      <c r="C6466"/>
      <c r="D6466"/>
      <c r="E6466"/>
      <c r="F6466" s="242"/>
      <c r="G6466"/>
      <c r="H6466" s="242"/>
      <c r="I6466" s="242"/>
      <c r="J6466" s="242"/>
      <c r="K6466" s="18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8"/>
    </row>
    <row r="6467" spans="1:26" hidden="1">
      <c r="A6467"/>
      <c r="B6467" s="249"/>
      <c r="C6467"/>
      <c r="D6467"/>
      <c r="E6467"/>
      <c r="F6467" s="242"/>
      <c r="G6467"/>
      <c r="H6467" s="242"/>
      <c r="I6467" s="242"/>
      <c r="J6467" s="242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</row>
    <row r="6468" spans="1:26" hidden="1">
      <c r="A6468"/>
      <c r="B6468" s="249"/>
      <c r="C6468"/>
      <c r="D6468"/>
      <c r="E6468"/>
      <c r="F6468" s="242"/>
      <c r="G6468"/>
      <c r="H6468" s="242"/>
      <c r="I6468" s="242"/>
      <c r="J6468" s="242"/>
      <c r="K6468" s="18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</row>
    <row r="6469" spans="1:26" hidden="1">
      <c r="A6469"/>
      <c r="B6469" s="249"/>
      <c r="C6469"/>
      <c r="D6469"/>
      <c r="E6469"/>
      <c r="F6469" s="242"/>
      <c r="G6469"/>
      <c r="H6469" s="242"/>
      <c r="I6469" s="242"/>
      <c r="J6469" s="242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</row>
    <row r="6470" spans="1:26" hidden="1">
      <c r="A6470"/>
      <c r="B6470" s="249"/>
      <c r="C6470"/>
      <c r="D6470"/>
      <c r="E6470"/>
      <c r="F6470" s="242"/>
      <c r="G6470"/>
      <c r="H6470" s="242"/>
      <c r="I6470" s="242"/>
      <c r="J6470" s="242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</row>
    <row r="6471" spans="1:26" hidden="1">
      <c r="A6471"/>
      <c r="B6471" s="249"/>
      <c r="C6471"/>
      <c r="D6471"/>
      <c r="E6471"/>
      <c r="F6471" s="242"/>
      <c r="G6471"/>
      <c r="H6471" s="242"/>
      <c r="I6471" s="242"/>
      <c r="J6471" s="242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</row>
    <row r="6472" spans="1:26" hidden="1">
      <c r="A6472"/>
      <c r="B6472" s="249"/>
      <c r="C6472"/>
      <c r="D6472"/>
      <c r="E6472"/>
      <c r="F6472" s="242"/>
      <c r="G6472"/>
      <c r="H6472" s="242"/>
      <c r="I6472" s="242"/>
      <c r="J6472" s="242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</row>
    <row r="6473" spans="1:26" hidden="1">
      <c r="A6473"/>
      <c r="B6473" s="249"/>
      <c r="C6473"/>
      <c r="D6473"/>
      <c r="E6473"/>
      <c r="F6473" s="242"/>
      <c r="G6473"/>
      <c r="H6473" s="242"/>
      <c r="I6473" s="242"/>
      <c r="J6473" s="242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</row>
    <row r="6474" spans="1:26" hidden="1">
      <c r="A6474"/>
      <c r="B6474" s="249"/>
      <c r="C6474"/>
      <c r="D6474"/>
      <c r="E6474"/>
      <c r="F6474" s="242"/>
      <c r="G6474"/>
      <c r="H6474" s="242"/>
      <c r="I6474" s="242"/>
      <c r="J6474" s="242"/>
      <c r="K6474" s="18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</row>
    <row r="6475" spans="1:26" hidden="1">
      <c r="A6475"/>
      <c r="B6475" s="249"/>
      <c r="C6475"/>
      <c r="D6475"/>
      <c r="E6475"/>
      <c r="F6475" s="242"/>
      <c r="G6475"/>
      <c r="H6475" s="242"/>
      <c r="I6475" s="242"/>
      <c r="J6475" s="242"/>
      <c r="K6475" s="18"/>
      <c r="L6475" s="18"/>
      <c r="M6475" s="18"/>
      <c r="N6475" s="18"/>
      <c r="O6475" s="18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</row>
    <row r="6476" spans="1:26" hidden="1">
      <c r="A6476"/>
      <c r="B6476" s="249"/>
      <c r="C6476"/>
      <c r="D6476"/>
      <c r="E6476"/>
      <c r="F6476" s="242"/>
      <c r="G6476"/>
      <c r="H6476" s="242"/>
      <c r="I6476" s="242"/>
      <c r="J6476" s="242"/>
      <c r="K6476" s="18"/>
      <c r="L6476" s="18"/>
      <c r="M6476" s="18"/>
      <c r="N6476" s="18"/>
      <c r="O6476" s="18"/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</row>
    <row r="6477" spans="1:26" hidden="1">
      <c r="A6477"/>
      <c r="B6477" s="249"/>
      <c r="C6477"/>
      <c r="D6477"/>
      <c r="E6477"/>
      <c r="F6477" s="242"/>
      <c r="G6477"/>
      <c r="H6477" s="242"/>
      <c r="I6477" s="242"/>
      <c r="J6477" s="242"/>
      <c r="K6477" s="18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</row>
    <row r="6478" spans="1:26" hidden="1">
      <c r="A6478"/>
      <c r="B6478" s="249"/>
      <c r="C6478"/>
      <c r="D6478"/>
      <c r="E6478"/>
      <c r="F6478" s="242"/>
      <c r="G6478"/>
      <c r="H6478" s="242"/>
      <c r="I6478" s="242"/>
      <c r="J6478" s="242"/>
      <c r="K6478" s="18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  <c r="Z6478" s="18"/>
    </row>
    <row r="6479" spans="1:26" hidden="1">
      <c r="A6479"/>
      <c r="B6479" s="249"/>
      <c r="C6479"/>
      <c r="D6479"/>
      <c r="E6479"/>
      <c r="F6479" s="242"/>
      <c r="G6479"/>
      <c r="H6479" s="242"/>
      <c r="I6479" s="242"/>
      <c r="J6479" s="242"/>
      <c r="K6479" s="18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</row>
    <row r="6480" spans="1:26" hidden="1">
      <c r="A6480"/>
      <c r="B6480" s="249"/>
      <c r="C6480"/>
      <c r="D6480"/>
      <c r="E6480"/>
      <c r="F6480" s="242"/>
      <c r="G6480"/>
      <c r="H6480" s="242"/>
      <c r="I6480" s="242"/>
      <c r="J6480" s="242"/>
      <c r="K6480" s="18"/>
      <c r="L6480" s="18"/>
      <c r="M6480" s="18"/>
      <c r="N6480" s="18"/>
      <c r="O6480" s="18"/>
      <c r="P6480" s="18"/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</row>
    <row r="6481" spans="1:26" hidden="1">
      <c r="A6481"/>
      <c r="B6481" s="249"/>
      <c r="C6481"/>
      <c r="D6481"/>
      <c r="E6481"/>
      <c r="F6481" s="242"/>
      <c r="G6481"/>
      <c r="H6481" s="242"/>
      <c r="I6481" s="242"/>
      <c r="J6481" s="242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</row>
    <row r="6482" spans="1:26" hidden="1">
      <c r="A6482"/>
      <c r="B6482" s="249"/>
      <c r="C6482"/>
      <c r="D6482"/>
      <c r="E6482"/>
      <c r="F6482" s="242"/>
      <c r="G6482"/>
      <c r="H6482" s="242"/>
      <c r="I6482" s="242"/>
      <c r="J6482" s="242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</row>
    <row r="6483" spans="1:26" hidden="1">
      <c r="A6483"/>
      <c r="B6483" s="249"/>
      <c r="C6483"/>
      <c r="D6483"/>
      <c r="E6483"/>
      <c r="F6483" s="242"/>
      <c r="G6483"/>
      <c r="H6483" s="242"/>
      <c r="I6483" s="242"/>
      <c r="J6483" s="242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</row>
    <row r="6484" spans="1:26" hidden="1">
      <c r="A6484"/>
      <c r="B6484" s="249"/>
      <c r="C6484"/>
      <c r="D6484"/>
      <c r="E6484"/>
      <c r="F6484" s="242"/>
      <c r="G6484"/>
      <c r="H6484" s="242"/>
      <c r="I6484" s="242"/>
      <c r="J6484" s="242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  <c r="Z6484" s="18"/>
    </row>
    <row r="6485" spans="1:26" hidden="1">
      <c r="A6485"/>
      <c r="B6485" s="249"/>
      <c r="C6485"/>
      <c r="D6485"/>
      <c r="E6485"/>
      <c r="F6485" s="242"/>
      <c r="G6485"/>
      <c r="H6485" s="242"/>
      <c r="I6485" s="242"/>
      <c r="J6485" s="242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</row>
    <row r="6486" spans="1:26" hidden="1">
      <c r="A6486"/>
      <c r="B6486" s="249"/>
      <c r="C6486"/>
      <c r="D6486"/>
      <c r="E6486"/>
      <c r="F6486" s="242"/>
      <c r="G6486"/>
      <c r="H6486" s="242"/>
      <c r="I6486" s="242"/>
      <c r="J6486" s="242"/>
      <c r="K6486" s="18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</row>
    <row r="6487" spans="1:26" hidden="1">
      <c r="A6487"/>
      <c r="B6487" s="249"/>
      <c r="C6487"/>
      <c r="D6487"/>
      <c r="E6487"/>
      <c r="F6487" s="242"/>
      <c r="G6487"/>
      <c r="H6487" s="242"/>
      <c r="I6487" s="242"/>
      <c r="J6487" s="242"/>
      <c r="K6487" s="18"/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</row>
    <row r="6488" spans="1:26" hidden="1">
      <c r="A6488"/>
      <c r="B6488" s="249"/>
      <c r="C6488"/>
      <c r="D6488"/>
      <c r="E6488"/>
      <c r="F6488" s="242"/>
      <c r="G6488"/>
      <c r="H6488" s="242"/>
      <c r="I6488" s="242"/>
      <c r="J6488" s="242"/>
      <c r="K6488" s="18"/>
      <c r="L6488" s="18"/>
      <c r="M6488" s="18"/>
      <c r="N6488" s="18"/>
      <c r="O6488" s="18"/>
      <c r="P6488" s="18"/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</row>
    <row r="6489" spans="1:26" hidden="1">
      <c r="A6489"/>
      <c r="B6489" s="249"/>
      <c r="C6489"/>
      <c r="D6489"/>
      <c r="E6489"/>
      <c r="F6489" s="242"/>
      <c r="G6489"/>
      <c r="H6489" s="242"/>
      <c r="I6489" s="242"/>
      <c r="J6489" s="242"/>
      <c r="K6489" s="18"/>
      <c r="L6489" s="18"/>
      <c r="M6489" s="18"/>
      <c r="N6489" s="18"/>
      <c r="O6489" s="18"/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</row>
    <row r="6490" spans="1:26" hidden="1">
      <c r="A6490"/>
      <c r="B6490" s="249"/>
      <c r="C6490"/>
      <c r="D6490"/>
      <c r="E6490"/>
      <c r="F6490" s="242"/>
      <c r="G6490"/>
      <c r="H6490" s="242"/>
      <c r="I6490" s="242"/>
      <c r="J6490" s="242"/>
      <c r="K6490" s="18"/>
      <c r="L6490" s="18"/>
      <c r="M6490" s="18"/>
      <c r="N6490" s="18"/>
      <c r="O6490" s="18"/>
      <c r="P6490" s="18"/>
      <c r="Q6490" s="18"/>
      <c r="R6490" s="18"/>
      <c r="S6490" s="18"/>
      <c r="T6490" s="18"/>
      <c r="U6490" s="18"/>
      <c r="V6490" s="18"/>
      <c r="W6490" s="18"/>
      <c r="X6490" s="18"/>
      <c r="Y6490" s="18"/>
      <c r="Z6490" s="18"/>
    </row>
    <row r="6491" spans="1:26" hidden="1">
      <c r="A6491"/>
      <c r="B6491" s="249"/>
      <c r="C6491"/>
      <c r="D6491"/>
      <c r="E6491"/>
      <c r="F6491" s="242"/>
      <c r="G6491"/>
      <c r="H6491" s="242"/>
      <c r="I6491" s="242"/>
      <c r="J6491" s="242"/>
      <c r="K6491" s="18"/>
      <c r="L6491" s="18"/>
      <c r="M6491" s="18"/>
      <c r="N6491" s="18"/>
      <c r="O6491" s="18"/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</row>
    <row r="6492" spans="1:26" hidden="1">
      <c r="A6492"/>
      <c r="B6492" s="249"/>
      <c r="C6492"/>
      <c r="D6492"/>
      <c r="E6492"/>
      <c r="F6492" s="242"/>
      <c r="G6492"/>
      <c r="H6492" s="242"/>
      <c r="I6492" s="242"/>
      <c r="J6492" s="242"/>
      <c r="K6492" s="18"/>
      <c r="L6492" s="18"/>
      <c r="M6492" s="18"/>
      <c r="N6492" s="18"/>
      <c r="O6492" s="18"/>
      <c r="P6492" s="18"/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</row>
    <row r="6493" spans="1:26" hidden="1">
      <c r="A6493"/>
      <c r="B6493" s="249"/>
      <c r="C6493"/>
      <c r="D6493"/>
      <c r="E6493"/>
      <c r="F6493" s="242"/>
      <c r="G6493"/>
      <c r="H6493" s="242"/>
      <c r="I6493" s="242"/>
      <c r="J6493" s="242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</row>
    <row r="6494" spans="1:26" hidden="1">
      <c r="A6494"/>
      <c r="B6494" s="249"/>
      <c r="C6494"/>
      <c r="D6494"/>
      <c r="E6494"/>
      <c r="F6494" s="242"/>
      <c r="G6494"/>
      <c r="H6494" s="242"/>
      <c r="I6494" s="242"/>
      <c r="J6494" s="242"/>
      <c r="K6494" s="18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  <c r="W6494" s="18"/>
      <c r="X6494" s="18"/>
      <c r="Y6494" s="18"/>
      <c r="Z6494" s="18"/>
    </row>
    <row r="6495" spans="1:26" hidden="1">
      <c r="A6495"/>
      <c r="B6495" s="249"/>
      <c r="C6495"/>
      <c r="D6495"/>
      <c r="E6495"/>
      <c r="F6495" s="242"/>
      <c r="G6495"/>
      <c r="H6495" s="242"/>
      <c r="I6495" s="242"/>
      <c r="J6495" s="242"/>
      <c r="K6495" s="18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</row>
    <row r="6496" spans="1:26" hidden="1">
      <c r="A6496"/>
      <c r="B6496" s="249"/>
      <c r="C6496"/>
      <c r="D6496"/>
      <c r="E6496"/>
      <c r="F6496" s="242"/>
      <c r="G6496"/>
      <c r="H6496" s="242"/>
      <c r="I6496" s="242"/>
      <c r="J6496" s="242"/>
      <c r="K6496" s="18"/>
      <c r="L6496" s="18"/>
      <c r="M6496" s="18"/>
      <c r="N6496" s="18"/>
      <c r="O6496" s="18"/>
      <c r="P6496" s="18"/>
      <c r="Q6496" s="18"/>
      <c r="R6496" s="18"/>
      <c r="S6496" s="18"/>
      <c r="T6496" s="18"/>
      <c r="U6496" s="18"/>
      <c r="V6496" s="18"/>
      <c r="W6496" s="18"/>
      <c r="X6496" s="18"/>
      <c r="Y6496" s="18"/>
      <c r="Z6496" s="18"/>
    </row>
    <row r="6497" spans="1:26" hidden="1">
      <c r="A6497"/>
      <c r="B6497" s="249"/>
      <c r="C6497"/>
      <c r="D6497"/>
      <c r="E6497"/>
      <c r="F6497" s="242"/>
      <c r="G6497"/>
      <c r="H6497" s="242"/>
      <c r="I6497" s="242"/>
      <c r="J6497" s="242"/>
      <c r="K6497" s="18"/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</row>
    <row r="6498" spans="1:26" hidden="1">
      <c r="A6498"/>
      <c r="B6498" s="249"/>
      <c r="C6498"/>
      <c r="D6498"/>
      <c r="E6498"/>
      <c r="F6498" s="242"/>
      <c r="G6498"/>
      <c r="H6498" s="242"/>
      <c r="I6498" s="242"/>
      <c r="J6498" s="242"/>
      <c r="K6498" s="18"/>
      <c r="L6498" s="18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</row>
    <row r="6499" spans="1:26" hidden="1">
      <c r="A6499"/>
      <c r="B6499" s="249"/>
      <c r="C6499"/>
      <c r="D6499"/>
      <c r="E6499"/>
      <c r="F6499" s="242"/>
      <c r="G6499"/>
      <c r="H6499" s="242"/>
      <c r="I6499" s="242"/>
      <c r="J6499" s="242"/>
      <c r="K6499" s="18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</row>
    <row r="6500" spans="1:26" hidden="1">
      <c r="A6500"/>
      <c r="B6500" s="249"/>
      <c r="C6500"/>
      <c r="D6500"/>
      <c r="E6500"/>
      <c r="F6500" s="242"/>
      <c r="G6500"/>
      <c r="H6500" s="242"/>
      <c r="I6500" s="242"/>
      <c r="J6500" s="242"/>
      <c r="K6500" s="18"/>
      <c r="L6500" s="18"/>
      <c r="M6500" s="18"/>
      <c r="N6500" s="18"/>
      <c r="O6500" s="18"/>
      <c r="P6500" s="18"/>
      <c r="Q6500" s="18"/>
      <c r="R6500" s="18"/>
      <c r="S6500" s="18"/>
      <c r="T6500" s="18"/>
      <c r="U6500" s="18"/>
      <c r="V6500" s="18"/>
      <c r="W6500" s="18"/>
      <c r="X6500" s="18"/>
      <c r="Y6500" s="18"/>
      <c r="Z6500" s="18"/>
    </row>
    <row r="6501" spans="1:26" hidden="1">
      <c r="A6501"/>
      <c r="B6501" s="249"/>
      <c r="C6501"/>
      <c r="D6501"/>
      <c r="E6501"/>
      <c r="F6501" s="242"/>
      <c r="G6501"/>
      <c r="H6501" s="242"/>
      <c r="I6501" s="242"/>
      <c r="J6501" s="242"/>
      <c r="K6501" s="18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</row>
    <row r="6502" spans="1:26" hidden="1">
      <c r="A6502"/>
      <c r="B6502" s="249"/>
      <c r="C6502"/>
      <c r="D6502"/>
      <c r="E6502"/>
      <c r="F6502" s="242"/>
      <c r="G6502"/>
      <c r="H6502" s="242"/>
      <c r="I6502" s="242"/>
      <c r="J6502" s="242"/>
      <c r="K6502" s="18"/>
      <c r="L6502" s="18"/>
      <c r="M6502" s="18"/>
      <c r="N6502" s="18"/>
      <c r="O6502" s="18"/>
      <c r="P6502" s="18"/>
      <c r="Q6502" s="18"/>
      <c r="R6502" s="18"/>
      <c r="S6502" s="18"/>
      <c r="T6502" s="18"/>
      <c r="U6502" s="18"/>
      <c r="V6502" s="18"/>
      <c r="W6502" s="18"/>
      <c r="X6502" s="18"/>
      <c r="Y6502" s="18"/>
      <c r="Z6502" s="18"/>
    </row>
    <row r="6503" spans="1:26" hidden="1">
      <c r="A6503"/>
      <c r="B6503" s="249"/>
      <c r="C6503"/>
      <c r="D6503"/>
      <c r="E6503"/>
      <c r="F6503" s="242"/>
      <c r="G6503"/>
      <c r="H6503" s="242"/>
      <c r="I6503" s="242"/>
      <c r="J6503" s="242"/>
      <c r="K6503" s="18"/>
      <c r="L6503" s="18"/>
      <c r="M6503" s="18"/>
      <c r="N6503" s="18"/>
      <c r="O6503" s="18"/>
      <c r="P6503" s="18"/>
      <c r="Q6503" s="18"/>
      <c r="R6503" s="18"/>
      <c r="S6503" s="18"/>
      <c r="T6503" s="18"/>
      <c r="U6503" s="18"/>
      <c r="V6503" s="18"/>
      <c r="W6503" s="18"/>
      <c r="X6503" s="18"/>
      <c r="Y6503" s="18"/>
      <c r="Z6503" s="18"/>
    </row>
    <row r="6504" spans="1:26" hidden="1">
      <c r="A6504"/>
      <c r="B6504" s="249"/>
      <c r="C6504"/>
      <c r="D6504"/>
      <c r="E6504"/>
      <c r="F6504" s="242"/>
      <c r="G6504"/>
      <c r="H6504" s="242"/>
      <c r="I6504" s="242"/>
      <c r="J6504" s="242"/>
      <c r="K6504" s="18"/>
      <c r="L6504" s="18"/>
      <c r="M6504" s="18"/>
      <c r="N6504" s="18"/>
      <c r="O6504" s="18"/>
      <c r="P6504" s="18"/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</row>
    <row r="6505" spans="1:26" hidden="1">
      <c r="A6505"/>
      <c r="B6505" s="249"/>
      <c r="C6505"/>
      <c r="D6505"/>
      <c r="E6505"/>
      <c r="F6505" s="242"/>
      <c r="G6505"/>
      <c r="H6505" s="242"/>
      <c r="I6505" s="242"/>
      <c r="J6505" s="242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</row>
    <row r="6506" spans="1:26" hidden="1">
      <c r="A6506"/>
      <c r="B6506" s="249"/>
      <c r="C6506"/>
      <c r="D6506"/>
      <c r="E6506"/>
      <c r="F6506" s="242"/>
      <c r="G6506"/>
      <c r="H6506" s="242"/>
      <c r="I6506" s="242"/>
      <c r="J6506" s="242"/>
      <c r="K6506" s="18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</row>
    <row r="6507" spans="1:26" hidden="1">
      <c r="A6507"/>
      <c r="B6507" s="249"/>
      <c r="C6507"/>
      <c r="D6507"/>
      <c r="E6507"/>
      <c r="F6507" s="242"/>
      <c r="G6507"/>
      <c r="H6507" s="242"/>
      <c r="I6507" s="242"/>
      <c r="J6507" s="242"/>
      <c r="K6507" s="18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</row>
    <row r="6508" spans="1:26" hidden="1">
      <c r="A6508"/>
      <c r="B6508" s="249"/>
      <c r="C6508"/>
      <c r="D6508"/>
      <c r="E6508"/>
      <c r="F6508" s="242"/>
      <c r="G6508"/>
      <c r="H6508" s="242"/>
      <c r="I6508" s="242"/>
      <c r="J6508" s="242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</row>
    <row r="6509" spans="1:26" hidden="1">
      <c r="A6509"/>
      <c r="B6509" s="249"/>
      <c r="C6509"/>
      <c r="D6509"/>
      <c r="E6509"/>
      <c r="F6509" s="242"/>
      <c r="G6509"/>
      <c r="H6509" s="242"/>
      <c r="I6509" s="242"/>
      <c r="J6509" s="242"/>
      <c r="K6509" s="18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</row>
    <row r="6510" spans="1:26" hidden="1">
      <c r="A6510"/>
      <c r="B6510" s="249"/>
      <c r="C6510"/>
      <c r="D6510"/>
      <c r="E6510"/>
      <c r="F6510" s="242"/>
      <c r="G6510"/>
      <c r="H6510" s="242"/>
      <c r="I6510" s="242"/>
      <c r="J6510" s="242"/>
      <c r="K6510" s="18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</row>
    <row r="6511" spans="1:26" hidden="1">
      <c r="A6511"/>
      <c r="B6511" s="249"/>
      <c r="C6511"/>
      <c r="D6511"/>
      <c r="E6511"/>
      <c r="F6511" s="242"/>
      <c r="G6511"/>
      <c r="H6511" s="242"/>
      <c r="I6511" s="242"/>
      <c r="J6511" s="242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</row>
    <row r="6512" spans="1:26" hidden="1">
      <c r="A6512"/>
      <c r="B6512" s="249"/>
      <c r="C6512"/>
      <c r="D6512"/>
      <c r="E6512"/>
      <c r="F6512" s="242"/>
      <c r="G6512"/>
      <c r="H6512" s="242"/>
      <c r="I6512" s="242"/>
      <c r="J6512" s="242"/>
      <c r="K6512" s="18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</row>
    <row r="6513" spans="1:26" hidden="1">
      <c r="A6513"/>
      <c r="B6513" s="249"/>
      <c r="C6513"/>
      <c r="D6513"/>
      <c r="E6513"/>
      <c r="F6513" s="242"/>
      <c r="G6513"/>
      <c r="H6513" s="242"/>
      <c r="I6513" s="242"/>
      <c r="J6513" s="242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  <c r="Z6513" s="18"/>
    </row>
    <row r="6514" spans="1:26" hidden="1">
      <c r="A6514"/>
      <c r="B6514" s="249"/>
      <c r="C6514"/>
      <c r="D6514"/>
      <c r="E6514"/>
      <c r="F6514" s="242"/>
      <c r="G6514"/>
      <c r="H6514" s="242"/>
      <c r="I6514" s="242"/>
      <c r="J6514" s="242"/>
      <c r="K6514" s="18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</row>
    <row r="6515" spans="1:26" hidden="1">
      <c r="A6515"/>
      <c r="B6515" s="249"/>
      <c r="C6515"/>
      <c r="D6515"/>
      <c r="E6515"/>
      <c r="F6515" s="242"/>
      <c r="G6515"/>
      <c r="H6515" s="242"/>
      <c r="I6515" s="242"/>
      <c r="J6515" s="242"/>
      <c r="K6515" s="18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</row>
    <row r="6516" spans="1:26" hidden="1">
      <c r="A6516"/>
      <c r="B6516" s="249"/>
      <c r="C6516"/>
      <c r="D6516"/>
      <c r="E6516"/>
      <c r="F6516" s="242"/>
      <c r="G6516"/>
      <c r="H6516" s="242"/>
      <c r="I6516" s="242"/>
      <c r="J6516" s="242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8"/>
    </row>
    <row r="6517" spans="1:26" hidden="1">
      <c r="A6517"/>
      <c r="B6517" s="249"/>
      <c r="C6517"/>
      <c r="D6517"/>
      <c r="E6517"/>
      <c r="F6517" s="242"/>
      <c r="G6517"/>
      <c r="H6517" s="242"/>
      <c r="I6517" s="242"/>
      <c r="J6517" s="242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</row>
    <row r="6518" spans="1:26" hidden="1">
      <c r="A6518"/>
      <c r="B6518" s="249"/>
      <c r="C6518"/>
      <c r="D6518"/>
      <c r="E6518"/>
      <c r="F6518" s="242"/>
      <c r="G6518"/>
      <c r="H6518" s="242"/>
      <c r="I6518" s="242"/>
      <c r="J6518" s="242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</row>
    <row r="6519" spans="1:26" hidden="1">
      <c r="A6519"/>
      <c r="B6519" s="249"/>
      <c r="C6519"/>
      <c r="D6519"/>
      <c r="E6519"/>
      <c r="F6519" s="242"/>
      <c r="G6519"/>
      <c r="H6519" s="242"/>
      <c r="I6519" s="242"/>
      <c r="J6519" s="242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</row>
    <row r="6520" spans="1:26" hidden="1">
      <c r="A6520"/>
      <c r="B6520" s="249"/>
      <c r="C6520"/>
      <c r="D6520"/>
      <c r="E6520"/>
      <c r="F6520" s="242"/>
      <c r="G6520"/>
      <c r="H6520" s="242"/>
      <c r="I6520" s="242"/>
      <c r="J6520" s="242"/>
      <c r="K6520" s="18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</row>
    <row r="6521" spans="1:26" hidden="1">
      <c r="A6521"/>
      <c r="B6521" s="249"/>
      <c r="C6521"/>
      <c r="D6521"/>
      <c r="E6521"/>
      <c r="F6521" s="242"/>
      <c r="G6521"/>
      <c r="H6521" s="242"/>
      <c r="I6521" s="242"/>
      <c r="J6521" s="242"/>
      <c r="K6521" s="18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</row>
    <row r="6522" spans="1:26" hidden="1">
      <c r="A6522"/>
      <c r="B6522" s="249"/>
      <c r="C6522"/>
      <c r="D6522"/>
      <c r="E6522"/>
      <c r="F6522" s="242"/>
      <c r="G6522"/>
      <c r="H6522" s="242"/>
      <c r="I6522" s="242"/>
      <c r="J6522" s="242"/>
      <c r="K6522" s="18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  <c r="Z6522" s="18"/>
    </row>
    <row r="6523" spans="1:26" hidden="1">
      <c r="A6523"/>
      <c r="B6523" s="249"/>
      <c r="C6523"/>
      <c r="D6523"/>
      <c r="E6523"/>
      <c r="F6523" s="242"/>
      <c r="G6523"/>
      <c r="H6523" s="242"/>
      <c r="I6523" s="242"/>
      <c r="J6523" s="242"/>
      <c r="K6523" s="18"/>
      <c r="L6523" s="18"/>
      <c r="M6523" s="18"/>
      <c r="N6523" s="18"/>
      <c r="O6523" s="18"/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</row>
    <row r="6524" spans="1:26" hidden="1">
      <c r="A6524"/>
      <c r="B6524" s="249"/>
      <c r="C6524"/>
      <c r="D6524"/>
      <c r="E6524"/>
      <c r="F6524" s="242"/>
      <c r="G6524"/>
      <c r="H6524" s="242"/>
      <c r="I6524" s="242"/>
      <c r="J6524" s="242"/>
      <c r="K6524" s="18"/>
      <c r="L6524" s="18"/>
      <c r="M6524" s="18"/>
      <c r="N6524" s="18"/>
      <c r="O6524" s="18"/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</row>
    <row r="6525" spans="1:26" hidden="1">
      <c r="A6525"/>
      <c r="B6525" s="249"/>
      <c r="C6525"/>
      <c r="D6525"/>
      <c r="E6525"/>
      <c r="F6525" s="242"/>
      <c r="G6525"/>
      <c r="H6525" s="242"/>
      <c r="I6525" s="242"/>
      <c r="J6525" s="242"/>
      <c r="K6525" s="18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</row>
    <row r="6526" spans="1:26" hidden="1">
      <c r="A6526"/>
      <c r="B6526" s="249"/>
      <c r="C6526"/>
      <c r="D6526"/>
      <c r="E6526"/>
      <c r="F6526" s="242"/>
      <c r="G6526"/>
      <c r="H6526" s="242"/>
      <c r="I6526" s="242"/>
      <c r="J6526" s="242"/>
      <c r="K6526" s="18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  <c r="Z6526" s="18"/>
    </row>
    <row r="6527" spans="1:26" hidden="1">
      <c r="A6527"/>
      <c r="B6527" s="249"/>
      <c r="C6527"/>
      <c r="D6527"/>
      <c r="E6527"/>
      <c r="F6527" s="242"/>
      <c r="G6527"/>
      <c r="H6527" s="242"/>
      <c r="I6527" s="242"/>
      <c r="J6527" s="242"/>
      <c r="K6527" s="18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</row>
    <row r="6528" spans="1:26" hidden="1">
      <c r="A6528"/>
      <c r="B6528" s="249"/>
      <c r="C6528"/>
      <c r="D6528"/>
      <c r="E6528"/>
      <c r="F6528" s="242"/>
      <c r="G6528"/>
      <c r="H6528" s="242"/>
      <c r="I6528" s="242"/>
      <c r="J6528" s="242"/>
      <c r="K6528" s="18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  <c r="W6528" s="18"/>
      <c r="X6528" s="18"/>
      <c r="Y6528" s="18"/>
      <c r="Z6528" s="18"/>
    </row>
    <row r="6529" spans="1:26" hidden="1">
      <c r="A6529"/>
      <c r="B6529" s="249"/>
      <c r="C6529"/>
      <c r="D6529"/>
      <c r="E6529"/>
      <c r="F6529" s="242"/>
      <c r="G6529"/>
      <c r="H6529" s="242"/>
      <c r="I6529" s="242"/>
      <c r="J6529" s="242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</row>
    <row r="6530" spans="1:26" hidden="1">
      <c r="A6530"/>
      <c r="B6530" s="249"/>
      <c r="C6530"/>
      <c r="D6530"/>
      <c r="E6530"/>
      <c r="F6530" s="242"/>
      <c r="G6530"/>
      <c r="H6530" s="242"/>
      <c r="I6530" s="242"/>
      <c r="J6530" s="242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</row>
    <row r="6531" spans="1:26" hidden="1">
      <c r="A6531"/>
      <c r="B6531" s="249"/>
      <c r="C6531"/>
      <c r="D6531"/>
      <c r="E6531"/>
      <c r="F6531" s="242"/>
      <c r="G6531"/>
      <c r="H6531" s="242"/>
      <c r="I6531" s="242"/>
      <c r="J6531" s="242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</row>
    <row r="6532" spans="1:26" hidden="1">
      <c r="A6532"/>
      <c r="B6532" s="249"/>
      <c r="C6532"/>
      <c r="D6532"/>
      <c r="E6532"/>
      <c r="F6532" s="242"/>
      <c r="G6532"/>
      <c r="H6532" s="242"/>
      <c r="I6532" s="242"/>
      <c r="J6532" s="242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  <c r="Z6532" s="18"/>
    </row>
    <row r="6533" spans="1:26" hidden="1">
      <c r="A6533"/>
      <c r="B6533" s="249"/>
      <c r="C6533"/>
      <c r="D6533"/>
      <c r="E6533"/>
      <c r="F6533" s="242"/>
      <c r="G6533"/>
      <c r="H6533" s="242"/>
      <c r="I6533" s="242"/>
      <c r="J6533" s="242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</row>
    <row r="6534" spans="1:26" hidden="1">
      <c r="A6534"/>
      <c r="B6534" s="249"/>
      <c r="C6534"/>
      <c r="D6534"/>
      <c r="E6534"/>
      <c r="F6534" s="242"/>
      <c r="G6534"/>
      <c r="H6534" s="242"/>
      <c r="I6534" s="242"/>
      <c r="J6534" s="242"/>
      <c r="K6534" s="18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  <c r="Z6534" s="18"/>
    </row>
    <row r="6535" spans="1:26" hidden="1">
      <c r="A6535"/>
      <c r="B6535" s="249"/>
      <c r="C6535"/>
      <c r="D6535"/>
      <c r="E6535"/>
      <c r="F6535" s="242"/>
      <c r="G6535"/>
      <c r="H6535" s="242"/>
      <c r="I6535" s="242"/>
      <c r="J6535" s="242"/>
      <c r="K6535" s="18"/>
      <c r="L6535" s="18"/>
      <c r="M6535" s="18"/>
      <c r="N6535" s="18"/>
      <c r="O6535" s="18"/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</row>
    <row r="6536" spans="1:26" hidden="1">
      <c r="A6536"/>
      <c r="B6536" s="249"/>
      <c r="C6536"/>
      <c r="D6536"/>
      <c r="E6536"/>
      <c r="F6536" s="242"/>
      <c r="G6536"/>
      <c r="H6536" s="242"/>
      <c r="I6536" s="242"/>
      <c r="J6536" s="242"/>
      <c r="K6536" s="18"/>
      <c r="L6536" s="18"/>
      <c r="M6536" s="18"/>
      <c r="N6536" s="18"/>
      <c r="O6536" s="18"/>
      <c r="P6536" s="18"/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</row>
    <row r="6537" spans="1:26" hidden="1">
      <c r="A6537"/>
      <c r="B6537" s="249"/>
      <c r="C6537"/>
      <c r="D6537"/>
      <c r="E6537"/>
      <c r="F6537" s="242"/>
      <c r="G6537"/>
      <c r="H6537" s="242"/>
      <c r="I6537" s="242"/>
      <c r="J6537" s="242"/>
      <c r="K6537" s="18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</row>
    <row r="6538" spans="1:26" hidden="1">
      <c r="A6538"/>
      <c r="B6538" s="249"/>
      <c r="C6538"/>
      <c r="D6538"/>
      <c r="E6538"/>
      <c r="F6538" s="242"/>
      <c r="G6538"/>
      <c r="H6538" s="242"/>
      <c r="I6538" s="242"/>
      <c r="J6538" s="242"/>
      <c r="K6538" s="18"/>
      <c r="L6538" s="18"/>
      <c r="M6538" s="18"/>
      <c r="N6538" s="18"/>
      <c r="O6538" s="18"/>
      <c r="P6538" s="18"/>
      <c r="Q6538" s="18"/>
      <c r="R6538" s="18"/>
      <c r="S6538" s="18"/>
      <c r="T6538" s="18"/>
      <c r="U6538" s="18"/>
      <c r="V6538" s="18"/>
      <c r="W6538" s="18"/>
      <c r="X6538" s="18"/>
      <c r="Y6538" s="18"/>
      <c r="Z6538" s="18"/>
    </row>
    <row r="6539" spans="1:26" hidden="1">
      <c r="A6539"/>
      <c r="B6539" s="249"/>
      <c r="C6539"/>
      <c r="D6539"/>
      <c r="E6539"/>
      <c r="F6539" s="242"/>
      <c r="G6539"/>
      <c r="H6539" s="242"/>
      <c r="I6539" s="242"/>
      <c r="J6539" s="242"/>
      <c r="K6539" s="18"/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</row>
    <row r="6540" spans="1:26" hidden="1">
      <c r="A6540"/>
      <c r="B6540" s="249"/>
      <c r="C6540"/>
      <c r="D6540"/>
      <c r="E6540"/>
      <c r="F6540" s="242"/>
      <c r="G6540"/>
      <c r="H6540" s="242"/>
      <c r="I6540" s="242"/>
      <c r="J6540" s="242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  <c r="Z6540" s="18"/>
    </row>
    <row r="6541" spans="1:26" hidden="1">
      <c r="A6541"/>
      <c r="B6541" s="249"/>
      <c r="C6541"/>
      <c r="D6541"/>
      <c r="E6541"/>
      <c r="F6541" s="242"/>
      <c r="G6541"/>
      <c r="H6541" s="242"/>
      <c r="I6541" s="242"/>
      <c r="J6541" s="242"/>
      <c r="K6541" s="18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</row>
    <row r="6542" spans="1:26" hidden="1">
      <c r="A6542"/>
      <c r="B6542" s="249"/>
      <c r="C6542"/>
      <c r="D6542"/>
      <c r="E6542"/>
      <c r="F6542" s="242"/>
      <c r="G6542"/>
      <c r="H6542" s="242"/>
      <c r="I6542" s="242"/>
      <c r="J6542" s="242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8"/>
    </row>
    <row r="6543" spans="1:26" hidden="1">
      <c r="A6543"/>
      <c r="B6543" s="249"/>
      <c r="C6543"/>
      <c r="D6543"/>
      <c r="E6543"/>
      <c r="F6543" s="242"/>
      <c r="G6543"/>
      <c r="H6543" s="242"/>
      <c r="I6543" s="242"/>
      <c r="J6543" s="242"/>
      <c r="K6543" s="18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</row>
    <row r="6544" spans="1:26" hidden="1">
      <c r="A6544"/>
      <c r="B6544" s="249"/>
      <c r="C6544"/>
      <c r="D6544"/>
      <c r="E6544"/>
      <c r="F6544" s="242"/>
      <c r="G6544"/>
      <c r="H6544" s="242"/>
      <c r="I6544" s="242"/>
      <c r="J6544" s="242"/>
      <c r="K6544" s="18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</row>
    <row r="6545" spans="1:26" hidden="1">
      <c r="A6545"/>
      <c r="B6545" s="249"/>
      <c r="C6545"/>
      <c r="D6545"/>
      <c r="E6545"/>
      <c r="F6545" s="242"/>
      <c r="G6545"/>
      <c r="H6545" s="242"/>
      <c r="I6545" s="242"/>
      <c r="J6545" s="242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</row>
    <row r="6546" spans="1:26" hidden="1">
      <c r="A6546"/>
      <c r="B6546" s="249"/>
      <c r="C6546"/>
      <c r="D6546"/>
      <c r="E6546"/>
      <c r="F6546" s="242"/>
      <c r="G6546"/>
      <c r="H6546" s="242"/>
      <c r="I6546" s="242"/>
      <c r="J6546" s="242"/>
      <c r="K6546" s="18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</row>
    <row r="6547" spans="1:26" hidden="1">
      <c r="A6547"/>
      <c r="B6547" s="249"/>
      <c r="C6547"/>
      <c r="D6547"/>
      <c r="E6547"/>
      <c r="F6547" s="242"/>
      <c r="G6547"/>
      <c r="H6547" s="242"/>
      <c r="I6547" s="242"/>
      <c r="J6547" s="242"/>
      <c r="K6547" s="18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</row>
    <row r="6548" spans="1:26" hidden="1">
      <c r="A6548"/>
      <c r="B6548" s="249"/>
      <c r="C6548"/>
      <c r="D6548"/>
      <c r="E6548"/>
      <c r="F6548" s="242"/>
      <c r="G6548"/>
      <c r="H6548" s="242"/>
      <c r="I6548" s="242"/>
      <c r="J6548" s="242"/>
      <c r="K6548" s="18"/>
      <c r="L6548" s="18"/>
      <c r="M6548" s="18"/>
      <c r="N6548" s="18"/>
      <c r="O6548" s="18"/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</row>
    <row r="6549" spans="1:26" hidden="1">
      <c r="A6549"/>
      <c r="B6549" s="249"/>
      <c r="C6549"/>
      <c r="D6549"/>
      <c r="E6549"/>
      <c r="F6549" s="242"/>
      <c r="G6549"/>
      <c r="H6549" s="242"/>
      <c r="I6549" s="242"/>
      <c r="J6549" s="242"/>
      <c r="K6549" s="18"/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</row>
    <row r="6550" spans="1:26" hidden="1">
      <c r="A6550"/>
      <c r="B6550" s="249"/>
      <c r="C6550"/>
      <c r="D6550"/>
      <c r="E6550"/>
      <c r="F6550" s="242"/>
      <c r="G6550"/>
      <c r="H6550" s="242"/>
      <c r="I6550" s="242"/>
      <c r="J6550" s="242"/>
      <c r="K6550" s="18"/>
      <c r="L6550" s="18"/>
      <c r="M6550" s="18"/>
      <c r="N6550" s="18"/>
      <c r="O6550" s="18"/>
      <c r="P6550" s="18"/>
      <c r="Q6550" s="18"/>
      <c r="R6550" s="18"/>
      <c r="S6550" s="18"/>
      <c r="T6550" s="18"/>
      <c r="U6550" s="18"/>
      <c r="V6550" s="18"/>
      <c r="W6550" s="18"/>
      <c r="X6550" s="18"/>
      <c r="Y6550" s="18"/>
      <c r="Z6550" s="18"/>
    </row>
    <row r="6551" spans="1:26" hidden="1">
      <c r="A6551"/>
      <c r="B6551" s="249"/>
      <c r="C6551"/>
      <c r="D6551"/>
      <c r="E6551"/>
      <c r="F6551" s="242"/>
      <c r="G6551"/>
      <c r="H6551" s="242"/>
      <c r="I6551" s="242"/>
      <c r="J6551" s="242"/>
      <c r="K6551" s="18"/>
      <c r="L6551" s="18"/>
      <c r="M6551" s="18"/>
      <c r="N6551" s="18"/>
      <c r="O6551" s="18"/>
      <c r="P6551" s="18"/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</row>
    <row r="6552" spans="1:26" hidden="1">
      <c r="A6552"/>
      <c r="B6552" s="249"/>
      <c r="C6552"/>
      <c r="D6552"/>
      <c r="E6552"/>
      <c r="F6552" s="242"/>
      <c r="G6552"/>
      <c r="H6552" s="242"/>
      <c r="I6552" s="242"/>
      <c r="J6552" s="242"/>
      <c r="K6552" s="18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  <c r="W6552" s="18"/>
      <c r="X6552" s="18"/>
      <c r="Y6552" s="18"/>
      <c r="Z6552" s="18"/>
    </row>
    <row r="6553" spans="1:26" hidden="1">
      <c r="A6553"/>
      <c r="B6553" s="249"/>
      <c r="C6553"/>
      <c r="D6553"/>
      <c r="E6553"/>
      <c r="F6553" s="242"/>
      <c r="G6553"/>
      <c r="H6553" s="242"/>
      <c r="I6553" s="242"/>
      <c r="J6553" s="242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</row>
    <row r="6554" spans="1:26" hidden="1">
      <c r="A6554"/>
      <c r="B6554" s="249"/>
      <c r="C6554"/>
      <c r="D6554"/>
      <c r="E6554"/>
      <c r="F6554" s="242"/>
      <c r="G6554"/>
      <c r="H6554" s="242"/>
      <c r="I6554" s="242"/>
      <c r="J6554" s="242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8"/>
      <c r="X6554" s="18"/>
      <c r="Y6554" s="18"/>
      <c r="Z6554" s="18"/>
    </row>
    <row r="6555" spans="1:26" hidden="1">
      <c r="A6555"/>
      <c r="B6555" s="249"/>
      <c r="C6555"/>
      <c r="D6555"/>
      <c r="E6555"/>
      <c r="F6555" s="242"/>
      <c r="G6555"/>
      <c r="H6555" s="242"/>
      <c r="I6555" s="242"/>
      <c r="J6555" s="242"/>
      <c r="K6555" s="18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</row>
    <row r="6556" spans="1:26" hidden="1">
      <c r="A6556"/>
      <c r="B6556" s="249"/>
      <c r="C6556"/>
      <c r="D6556"/>
      <c r="E6556"/>
      <c r="F6556" s="242"/>
      <c r="G6556"/>
      <c r="H6556" s="242"/>
      <c r="I6556" s="242"/>
      <c r="J6556" s="242"/>
      <c r="K6556" s="18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</row>
    <row r="6557" spans="1:26" hidden="1">
      <c r="A6557"/>
      <c r="B6557" s="249"/>
      <c r="C6557"/>
      <c r="D6557"/>
      <c r="E6557"/>
      <c r="F6557" s="242"/>
      <c r="G6557"/>
      <c r="H6557" s="242"/>
      <c r="I6557" s="242"/>
      <c r="J6557" s="242"/>
      <c r="K6557" s="18"/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</row>
    <row r="6558" spans="1:26" hidden="1">
      <c r="A6558"/>
      <c r="B6558" s="249"/>
      <c r="C6558"/>
      <c r="D6558"/>
      <c r="E6558"/>
      <c r="F6558" s="242"/>
      <c r="G6558"/>
      <c r="H6558" s="242"/>
      <c r="I6558" s="242"/>
      <c r="J6558" s="242"/>
      <c r="K6558" s="18"/>
      <c r="L6558" s="18"/>
      <c r="M6558" s="18"/>
      <c r="N6558" s="18"/>
      <c r="O6558" s="18"/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</row>
    <row r="6559" spans="1:26" hidden="1">
      <c r="A6559"/>
      <c r="B6559" s="249"/>
      <c r="C6559"/>
      <c r="D6559"/>
      <c r="E6559"/>
      <c r="F6559" s="242"/>
      <c r="G6559"/>
      <c r="H6559" s="242"/>
      <c r="I6559" s="242"/>
      <c r="J6559" s="242"/>
      <c r="K6559" s="18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</row>
    <row r="6560" spans="1:26" hidden="1">
      <c r="A6560"/>
      <c r="B6560" s="249"/>
      <c r="C6560"/>
      <c r="D6560"/>
      <c r="E6560"/>
      <c r="F6560" s="242"/>
      <c r="G6560"/>
      <c r="H6560" s="242"/>
      <c r="I6560" s="242"/>
      <c r="J6560" s="242"/>
      <c r="K6560" s="18"/>
      <c r="L6560" s="18"/>
      <c r="M6560" s="18"/>
      <c r="N6560" s="18"/>
      <c r="O6560" s="18"/>
      <c r="P6560" s="18"/>
      <c r="Q6560" s="18"/>
      <c r="R6560" s="18"/>
      <c r="S6560" s="18"/>
      <c r="T6560" s="18"/>
      <c r="U6560" s="18"/>
      <c r="V6560" s="18"/>
      <c r="W6560" s="18"/>
      <c r="X6560" s="18"/>
      <c r="Y6560" s="18"/>
      <c r="Z6560" s="18"/>
    </row>
    <row r="6561" spans="1:26" hidden="1">
      <c r="A6561"/>
      <c r="B6561" s="249"/>
      <c r="C6561"/>
      <c r="D6561"/>
      <c r="E6561"/>
      <c r="F6561" s="242"/>
      <c r="G6561"/>
      <c r="H6561" s="242"/>
      <c r="I6561" s="242"/>
      <c r="J6561" s="242"/>
      <c r="K6561" s="18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</row>
    <row r="6562" spans="1:26" hidden="1">
      <c r="A6562"/>
      <c r="B6562" s="249"/>
      <c r="C6562"/>
      <c r="D6562"/>
      <c r="E6562"/>
      <c r="F6562" s="242"/>
      <c r="G6562"/>
      <c r="H6562" s="242"/>
      <c r="I6562" s="242"/>
      <c r="J6562" s="242"/>
      <c r="K6562" s="18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</row>
    <row r="6563" spans="1:26" hidden="1">
      <c r="A6563"/>
      <c r="B6563" s="249"/>
      <c r="C6563"/>
      <c r="D6563"/>
      <c r="E6563"/>
      <c r="F6563" s="242"/>
      <c r="G6563"/>
      <c r="H6563" s="242"/>
      <c r="I6563" s="242"/>
      <c r="J6563" s="242"/>
      <c r="K6563" s="18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</row>
    <row r="6564" spans="1:26" hidden="1">
      <c r="A6564"/>
      <c r="B6564" s="249"/>
      <c r="C6564"/>
      <c r="D6564"/>
      <c r="E6564"/>
      <c r="F6564" s="242"/>
      <c r="G6564"/>
      <c r="H6564" s="242"/>
      <c r="I6564" s="242"/>
      <c r="J6564" s="242"/>
      <c r="K6564" s="18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</row>
    <row r="6565" spans="1:26" hidden="1">
      <c r="A6565"/>
      <c r="B6565" s="249"/>
      <c r="C6565"/>
      <c r="D6565"/>
      <c r="E6565"/>
      <c r="F6565" s="242"/>
      <c r="G6565"/>
      <c r="H6565" s="242"/>
      <c r="I6565" s="242"/>
      <c r="J6565" s="242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</row>
    <row r="6566" spans="1:26" hidden="1">
      <c r="A6566"/>
      <c r="B6566" s="249"/>
      <c r="C6566"/>
      <c r="D6566"/>
      <c r="E6566"/>
      <c r="F6566" s="242"/>
      <c r="G6566"/>
      <c r="H6566" s="242"/>
      <c r="I6566" s="242"/>
      <c r="J6566" s="242"/>
      <c r="K6566" s="18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</row>
    <row r="6567" spans="1:26" hidden="1">
      <c r="A6567"/>
      <c r="B6567" s="249"/>
      <c r="C6567"/>
      <c r="D6567"/>
      <c r="E6567"/>
      <c r="F6567" s="242"/>
      <c r="G6567"/>
      <c r="H6567" s="242"/>
      <c r="I6567" s="242"/>
      <c r="J6567" s="242"/>
      <c r="K6567" s="18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</row>
    <row r="6568" spans="1:26" hidden="1">
      <c r="A6568"/>
      <c r="B6568" s="249"/>
      <c r="C6568"/>
      <c r="D6568"/>
      <c r="E6568"/>
      <c r="F6568" s="242"/>
      <c r="G6568"/>
      <c r="H6568" s="242"/>
      <c r="I6568" s="242"/>
      <c r="J6568" s="242"/>
      <c r="K6568" s="18"/>
      <c r="L6568" s="18"/>
      <c r="M6568" s="18"/>
      <c r="N6568" s="18"/>
      <c r="O6568" s="18"/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</row>
    <row r="6569" spans="1:26" hidden="1">
      <c r="A6569"/>
      <c r="B6569" s="249"/>
      <c r="C6569"/>
      <c r="D6569"/>
      <c r="E6569"/>
      <c r="F6569" s="242"/>
      <c r="G6569"/>
      <c r="H6569" s="242"/>
      <c r="I6569" s="242"/>
      <c r="J6569" s="242"/>
      <c r="K6569" s="18"/>
      <c r="L6569" s="18"/>
      <c r="M6569" s="18"/>
      <c r="N6569" s="18"/>
      <c r="O6569" s="18"/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</row>
    <row r="6570" spans="1:26" hidden="1">
      <c r="A6570"/>
      <c r="B6570" s="249"/>
      <c r="C6570"/>
      <c r="D6570"/>
      <c r="E6570"/>
      <c r="F6570" s="242"/>
      <c r="G6570"/>
      <c r="H6570" s="242"/>
      <c r="I6570" s="242"/>
      <c r="J6570" s="242"/>
      <c r="K6570" s="18"/>
      <c r="L6570" s="18"/>
      <c r="M6570" s="18"/>
      <c r="N6570" s="18"/>
      <c r="O6570" s="18"/>
      <c r="P6570" s="18"/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</row>
    <row r="6571" spans="1:26" hidden="1">
      <c r="A6571"/>
      <c r="B6571" s="249"/>
      <c r="C6571"/>
      <c r="D6571"/>
      <c r="E6571"/>
      <c r="F6571" s="242"/>
      <c r="G6571"/>
      <c r="H6571" s="242"/>
      <c r="I6571" s="242"/>
      <c r="J6571" s="242"/>
      <c r="K6571" s="18"/>
      <c r="L6571" s="18"/>
      <c r="M6571" s="18"/>
      <c r="N6571" s="18"/>
      <c r="O6571" s="18"/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</row>
    <row r="6572" spans="1:26" hidden="1">
      <c r="A6572"/>
      <c r="B6572" s="249"/>
      <c r="C6572"/>
      <c r="D6572"/>
      <c r="E6572"/>
      <c r="F6572" s="242"/>
      <c r="G6572"/>
      <c r="H6572" s="242"/>
      <c r="I6572" s="242"/>
      <c r="J6572" s="242"/>
      <c r="K6572" s="18"/>
      <c r="L6572" s="18"/>
      <c r="M6572" s="18"/>
      <c r="N6572" s="18"/>
      <c r="O6572" s="18"/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8"/>
    </row>
    <row r="6573" spans="1:26" hidden="1">
      <c r="A6573"/>
      <c r="B6573" s="249"/>
      <c r="C6573"/>
      <c r="D6573"/>
      <c r="E6573"/>
      <c r="F6573" s="242"/>
      <c r="G6573"/>
      <c r="H6573" s="242"/>
      <c r="I6573" s="242"/>
      <c r="J6573" s="242"/>
      <c r="K6573" s="18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</row>
    <row r="6574" spans="1:26" hidden="1">
      <c r="A6574"/>
      <c r="B6574" s="249"/>
      <c r="C6574"/>
      <c r="D6574"/>
      <c r="E6574"/>
      <c r="F6574" s="242"/>
      <c r="G6574"/>
      <c r="H6574" s="242"/>
      <c r="I6574" s="242"/>
      <c r="J6574" s="242"/>
      <c r="K6574" s="18"/>
      <c r="L6574" s="18"/>
      <c r="M6574" s="18"/>
      <c r="N6574" s="18"/>
      <c r="O6574" s="18"/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</row>
    <row r="6575" spans="1:26" hidden="1">
      <c r="A6575"/>
      <c r="B6575" s="249"/>
      <c r="C6575"/>
      <c r="D6575"/>
      <c r="E6575"/>
      <c r="F6575" s="242"/>
      <c r="G6575"/>
      <c r="H6575" s="242"/>
      <c r="I6575" s="242"/>
      <c r="J6575" s="242"/>
      <c r="K6575" s="18"/>
      <c r="L6575" s="18"/>
      <c r="M6575" s="18"/>
      <c r="N6575" s="18"/>
      <c r="O6575" s="18"/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</row>
    <row r="6576" spans="1:26" hidden="1">
      <c r="A6576"/>
      <c r="B6576" s="249"/>
      <c r="C6576"/>
      <c r="D6576"/>
      <c r="E6576"/>
      <c r="F6576" s="242"/>
      <c r="G6576"/>
      <c r="H6576" s="242"/>
      <c r="I6576" s="242"/>
      <c r="J6576" s="242"/>
      <c r="K6576" s="18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</row>
    <row r="6577" spans="1:26" hidden="1">
      <c r="A6577"/>
      <c r="B6577" s="249"/>
      <c r="C6577"/>
      <c r="D6577"/>
      <c r="E6577"/>
      <c r="F6577" s="242"/>
      <c r="G6577"/>
      <c r="H6577" s="242"/>
      <c r="I6577" s="242"/>
      <c r="J6577" s="242"/>
      <c r="K6577" s="18"/>
      <c r="L6577" s="18"/>
      <c r="M6577" s="18"/>
      <c r="N6577" s="18"/>
      <c r="O6577" s="18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</row>
    <row r="6578" spans="1:26" hidden="1">
      <c r="A6578"/>
      <c r="B6578" s="249"/>
      <c r="C6578"/>
      <c r="D6578"/>
      <c r="E6578"/>
      <c r="F6578" s="242"/>
      <c r="G6578"/>
      <c r="H6578" s="242"/>
      <c r="I6578" s="242"/>
      <c r="J6578" s="242"/>
      <c r="K6578" s="18"/>
      <c r="L6578" s="18"/>
      <c r="M6578" s="18"/>
      <c r="N6578" s="18"/>
      <c r="O6578" s="18"/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</row>
    <row r="6579" spans="1:26" hidden="1">
      <c r="A6579"/>
      <c r="B6579" s="249"/>
      <c r="C6579"/>
      <c r="D6579"/>
      <c r="E6579"/>
      <c r="F6579" s="242"/>
      <c r="G6579"/>
      <c r="H6579" s="242"/>
      <c r="I6579" s="242"/>
      <c r="J6579" s="242"/>
      <c r="K6579" s="18"/>
      <c r="L6579" s="18"/>
      <c r="M6579" s="18"/>
      <c r="N6579" s="18"/>
      <c r="O6579" s="18"/>
      <c r="P6579" s="18"/>
      <c r="Q6579" s="18"/>
      <c r="R6579" s="18"/>
      <c r="S6579" s="18"/>
      <c r="T6579" s="18"/>
      <c r="U6579" s="18"/>
      <c r="V6579" s="18"/>
      <c r="W6579" s="18"/>
      <c r="X6579" s="18"/>
      <c r="Y6579" s="18"/>
      <c r="Z6579" s="18"/>
    </row>
    <row r="6580" spans="1:26" hidden="1">
      <c r="A6580"/>
      <c r="B6580" s="249"/>
      <c r="C6580"/>
      <c r="D6580"/>
      <c r="E6580"/>
      <c r="F6580" s="242"/>
      <c r="G6580"/>
      <c r="H6580" s="242"/>
      <c r="I6580" s="242"/>
      <c r="J6580" s="242"/>
      <c r="K6580" s="18"/>
      <c r="L6580" s="18"/>
      <c r="M6580" s="18"/>
      <c r="N6580" s="18"/>
      <c r="O6580" s="18"/>
      <c r="P6580" s="18"/>
      <c r="Q6580" s="18"/>
      <c r="R6580" s="18"/>
      <c r="S6580" s="18"/>
      <c r="T6580" s="18"/>
      <c r="U6580" s="18"/>
      <c r="V6580" s="18"/>
      <c r="W6580" s="18"/>
      <c r="X6580" s="18"/>
      <c r="Y6580" s="18"/>
      <c r="Z6580" s="18"/>
    </row>
    <row r="6581" spans="1:26" hidden="1">
      <c r="A6581"/>
      <c r="B6581" s="249"/>
      <c r="C6581"/>
      <c r="D6581"/>
      <c r="E6581"/>
      <c r="F6581" s="242"/>
      <c r="G6581"/>
      <c r="H6581" s="242"/>
      <c r="I6581" s="242"/>
      <c r="J6581" s="242"/>
      <c r="K6581" s="18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</row>
    <row r="6582" spans="1:26" hidden="1">
      <c r="A6582"/>
      <c r="B6582" s="249"/>
      <c r="C6582"/>
      <c r="D6582"/>
      <c r="E6582"/>
      <c r="F6582" s="242"/>
      <c r="G6582"/>
      <c r="H6582" s="242"/>
      <c r="I6582" s="242"/>
      <c r="J6582" s="242"/>
      <c r="K6582" s="18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</row>
    <row r="6583" spans="1:26" hidden="1">
      <c r="A6583"/>
      <c r="B6583" s="249"/>
      <c r="C6583"/>
      <c r="D6583"/>
      <c r="E6583"/>
      <c r="F6583" s="242"/>
      <c r="G6583"/>
      <c r="H6583" s="242"/>
      <c r="I6583" s="242"/>
      <c r="J6583" s="242"/>
      <c r="K6583" s="18"/>
      <c r="L6583" s="18"/>
      <c r="M6583" s="18"/>
      <c r="N6583" s="18"/>
      <c r="O6583" s="18"/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</row>
    <row r="6584" spans="1:26" hidden="1">
      <c r="A6584"/>
      <c r="B6584" s="249"/>
      <c r="C6584"/>
      <c r="D6584"/>
      <c r="E6584"/>
      <c r="F6584" s="242"/>
      <c r="G6584"/>
      <c r="H6584" s="242"/>
      <c r="I6584" s="242"/>
      <c r="J6584" s="242"/>
      <c r="K6584" s="18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  <c r="Z6584" s="18"/>
    </row>
    <row r="6585" spans="1:26" hidden="1">
      <c r="A6585"/>
      <c r="B6585" s="249"/>
      <c r="C6585"/>
      <c r="D6585"/>
      <c r="E6585"/>
      <c r="F6585" s="242"/>
      <c r="G6585"/>
      <c r="H6585" s="242"/>
      <c r="I6585" s="242"/>
      <c r="J6585" s="242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</row>
    <row r="6586" spans="1:26" hidden="1">
      <c r="A6586"/>
      <c r="B6586" s="249"/>
      <c r="C6586"/>
      <c r="D6586"/>
      <c r="E6586"/>
      <c r="F6586" s="242"/>
      <c r="G6586"/>
      <c r="H6586" s="242"/>
      <c r="I6586" s="242"/>
      <c r="J6586" s="242"/>
      <c r="K6586" s="18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</row>
    <row r="6587" spans="1:26" hidden="1">
      <c r="A6587"/>
      <c r="B6587" s="249"/>
      <c r="C6587"/>
      <c r="D6587"/>
      <c r="E6587"/>
      <c r="F6587" s="242"/>
      <c r="G6587"/>
      <c r="H6587" s="242"/>
      <c r="I6587" s="242"/>
      <c r="J6587" s="242"/>
      <c r="K6587" s="18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</row>
    <row r="6588" spans="1:26" hidden="1">
      <c r="A6588"/>
      <c r="B6588" s="249"/>
      <c r="C6588"/>
      <c r="D6588"/>
      <c r="E6588"/>
      <c r="F6588" s="242"/>
      <c r="G6588"/>
      <c r="H6588" s="242"/>
      <c r="I6588" s="242"/>
      <c r="J6588" s="242"/>
      <c r="K6588" s="18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</row>
    <row r="6589" spans="1:26" hidden="1">
      <c r="A6589"/>
      <c r="B6589" s="249"/>
      <c r="C6589"/>
      <c r="D6589"/>
      <c r="E6589"/>
      <c r="F6589" s="242"/>
      <c r="G6589"/>
      <c r="H6589" s="242"/>
      <c r="I6589" s="242"/>
      <c r="J6589" s="242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</row>
    <row r="6590" spans="1:26" hidden="1">
      <c r="A6590"/>
      <c r="B6590" s="249"/>
      <c r="C6590"/>
      <c r="D6590"/>
      <c r="E6590"/>
      <c r="F6590" s="242"/>
      <c r="G6590"/>
      <c r="H6590" s="242"/>
      <c r="I6590" s="242"/>
      <c r="J6590" s="242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</row>
    <row r="6591" spans="1:26" hidden="1">
      <c r="A6591"/>
      <c r="B6591" s="249"/>
      <c r="C6591"/>
      <c r="D6591"/>
      <c r="E6591"/>
      <c r="F6591" s="242"/>
      <c r="G6591"/>
      <c r="H6591" s="242"/>
      <c r="I6591" s="242"/>
      <c r="J6591" s="242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</row>
    <row r="6592" spans="1:26" hidden="1">
      <c r="A6592"/>
      <c r="B6592" s="249"/>
      <c r="C6592"/>
      <c r="D6592"/>
      <c r="E6592"/>
      <c r="F6592" s="242"/>
      <c r="G6592"/>
      <c r="H6592" s="242"/>
      <c r="I6592" s="242"/>
      <c r="J6592" s="242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</row>
    <row r="6593" spans="1:26" hidden="1">
      <c r="A6593"/>
      <c r="B6593" s="249"/>
      <c r="C6593"/>
      <c r="D6593"/>
      <c r="E6593"/>
      <c r="F6593" s="242"/>
      <c r="G6593"/>
      <c r="H6593" s="242"/>
      <c r="I6593" s="242"/>
      <c r="J6593" s="242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</row>
    <row r="6594" spans="1:26" hidden="1">
      <c r="A6594"/>
      <c r="B6594" s="249"/>
      <c r="C6594"/>
      <c r="D6594"/>
      <c r="E6594"/>
      <c r="F6594" s="242"/>
      <c r="G6594"/>
      <c r="H6594" s="242"/>
      <c r="I6594" s="242"/>
      <c r="J6594" s="242"/>
      <c r="K6594" s="18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</row>
    <row r="6595" spans="1:26" hidden="1">
      <c r="A6595"/>
      <c r="B6595" s="249"/>
      <c r="C6595"/>
      <c r="D6595"/>
      <c r="E6595"/>
      <c r="F6595" s="242"/>
      <c r="G6595"/>
      <c r="H6595" s="242"/>
      <c r="I6595" s="242"/>
      <c r="J6595" s="242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</row>
    <row r="6596" spans="1:26" hidden="1">
      <c r="A6596"/>
      <c r="B6596" s="249"/>
      <c r="C6596"/>
      <c r="D6596"/>
      <c r="E6596"/>
      <c r="F6596" s="242"/>
      <c r="G6596"/>
      <c r="H6596" s="242"/>
      <c r="I6596" s="242"/>
      <c r="J6596" s="242"/>
      <c r="K6596" s="18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  <c r="Z6596" s="18"/>
    </row>
    <row r="6597" spans="1:26" hidden="1">
      <c r="A6597"/>
      <c r="B6597" s="249"/>
      <c r="C6597"/>
      <c r="D6597"/>
      <c r="E6597"/>
      <c r="F6597" s="242"/>
      <c r="G6597"/>
      <c r="H6597" s="242"/>
      <c r="I6597" s="242"/>
      <c r="J6597" s="242"/>
      <c r="K6597" s="18"/>
      <c r="L6597" s="18"/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</row>
    <row r="6598" spans="1:26" hidden="1">
      <c r="A6598"/>
      <c r="B6598" s="249"/>
      <c r="C6598"/>
      <c r="D6598"/>
      <c r="E6598"/>
      <c r="F6598" s="242"/>
      <c r="G6598"/>
      <c r="H6598" s="242"/>
      <c r="I6598" s="242"/>
      <c r="J6598" s="242"/>
      <c r="K6598" s="18"/>
      <c r="L6598" s="18"/>
      <c r="M6598" s="18"/>
      <c r="N6598" s="18"/>
      <c r="O6598" s="18"/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</row>
    <row r="6599" spans="1:26" hidden="1">
      <c r="A6599"/>
      <c r="B6599" s="249"/>
      <c r="C6599"/>
      <c r="D6599"/>
      <c r="E6599"/>
      <c r="F6599" s="242"/>
      <c r="G6599"/>
      <c r="H6599" s="242"/>
      <c r="I6599" s="242"/>
      <c r="J6599" s="242"/>
      <c r="K6599" s="18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</row>
    <row r="6600" spans="1:26" hidden="1">
      <c r="A6600"/>
      <c r="B6600" s="249"/>
      <c r="C6600"/>
      <c r="D6600"/>
      <c r="E6600"/>
      <c r="F6600" s="242"/>
      <c r="G6600"/>
      <c r="H6600" s="242"/>
      <c r="I6600" s="242"/>
      <c r="J6600" s="242"/>
      <c r="K6600" s="18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  <c r="Z6600" s="18"/>
    </row>
    <row r="6601" spans="1:26" hidden="1">
      <c r="A6601"/>
      <c r="B6601" s="249"/>
      <c r="C6601"/>
      <c r="D6601"/>
      <c r="E6601"/>
      <c r="F6601" s="242"/>
      <c r="G6601"/>
      <c r="H6601" s="242"/>
      <c r="I6601" s="242"/>
      <c r="J6601" s="242"/>
      <c r="K6601" s="18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8"/>
    </row>
    <row r="6602" spans="1:26" hidden="1">
      <c r="A6602"/>
      <c r="B6602" s="249"/>
      <c r="C6602"/>
      <c r="D6602"/>
      <c r="E6602"/>
      <c r="F6602" s="242"/>
      <c r="G6602"/>
      <c r="H6602" s="242"/>
      <c r="I6602" s="242"/>
      <c r="J6602" s="242"/>
      <c r="K6602" s="18"/>
      <c r="L6602" s="18"/>
      <c r="M6602" s="18"/>
      <c r="N6602" s="18"/>
      <c r="O6602" s="18"/>
      <c r="P6602" s="18"/>
      <c r="Q6602" s="18"/>
      <c r="R6602" s="18"/>
      <c r="S6602" s="18"/>
      <c r="T6602" s="18"/>
      <c r="U6602" s="18"/>
      <c r="V6602" s="18"/>
      <c r="W6602" s="18"/>
      <c r="X6602" s="18"/>
      <c r="Y6602" s="18"/>
      <c r="Z6602" s="18"/>
    </row>
    <row r="6603" spans="1:26" hidden="1">
      <c r="A6603"/>
      <c r="B6603" s="249"/>
      <c r="C6603"/>
      <c r="D6603"/>
      <c r="E6603"/>
      <c r="F6603" s="242"/>
      <c r="G6603"/>
      <c r="H6603" s="242"/>
      <c r="I6603" s="242"/>
      <c r="J6603" s="242"/>
      <c r="K6603" s="18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</row>
    <row r="6604" spans="1:26" hidden="1">
      <c r="A6604"/>
      <c r="B6604" s="249"/>
      <c r="C6604"/>
      <c r="D6604"/>
      <c r="E6604"/>
      <c r="F6604" s="242"/>
      <c r="G6604"/>
      <c r="H6604" s="242"/>
      <c r="I6604" s="242"/>
      <c r="J6604" s="242"/>
      <c r="K6604" s="18"/>
      <c r="L6604" s="18"/>
      <c r="M6604" s="18"/>
      <c r="N6604" s="18"/>
      <c r="O6604" s="18"/>
      <c r="P6604" s="18"/>
      <c r="Q6604" s="18"/>
      <c r="R6604" s="18"/>
      <c r="S6604" s="18"/>
      <c r="T6604" s="18"/>
      <c r="U6604" s="18"/>
      <c r="V6604" s="18"/>
      <c r="W6604" s="18"/>
      <c r="X6604" s="18"/>
      <c r="Y6604" s="18"/>
      <c r="Z6604" s="18"/>
    </row>
    <row r="6605" spans="1:26" hidden="1">
      <c r="A6605"/>
      <c r="B6605" s="249"/>
      <c r="C6605"/>
      <c r="D6605"/>
      <c r="E6605"/>
      <c r="F6605" s="242"/>
      <c r="G6605"/>
      <c r="H6605" s="242"/>
      <c r="I6605" s="242"/>
      <c r="J6605" s="242"/>
      <c r="K6605" s="18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</row>
    <row r="6606" spans="1:26" hidden="1">
      <c r="A6606"/>
      <c r="B6606" s="249"/>
      <c r="C6606"/>
      <c r="D6606"/>
      <c r="E6606"/>
      <c r="F6606" s="242"/>
      <c r="G6606"/>
      <c r="H6606" s="242"/>
      <c r="I6606" s="242"/>
      <c r="J6606" s="242"/>
      <c r="K6606" s="18"/>
      <c r="L6606" s="18"/>
      <c r="M6606" s="18"/>
      <c r="N6606" s="18"/>
      <c r="O6606" s="18"/>
      <c r="P6606" s="18"/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</row>
    <row r="6607" spans="1:26" hidden="1">
      <c r="A6607"/>
      <c r="B6607" s="249"/>
      <c r="C6607"/>
      <c r="D6607"/>
      <c r="E6607"/>
      <c r="F6607" s="242"/>
      <c r="G6607"/>
      <c r="H6607" s="242"/>
      <c r="I6607" s="242"/>
      <c r="J6607" s="242"/>
      <c r="K6607" s="18"/>
      <c r="L6607" s="18"/>
      <c r="M6607" s="18"/>
      <c r="N6607" s="18"/>
      <c r="O6607" s="18"/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</row>
    <row r="6608" spans="1:26" hidden="1">
      <c r="A6608"/>
      <c r="B6608" s="249"/>
      <c r="C6608"/>
      <c r="D6608"/>
      <c r="E6608"/>
      <c r="F6608" s="242"/>
      <c r="G6608"/>
      <c r="H6608" s="242"/>
      <c r="I6608" s="242"/>
      <c r="J6608" s="242"/>
      <c r="K6608" s="18"/>
      <c r="L6608" s="18"/>
      <c r="M6608" s="18"/>
      <c r="N6608" s="18"/>
      <c r="O6608" s="18"/>
      <c r="P6608" s="18"/>
      <c r="Q6608" s="18"/>
      <c r="R6608" s="18"/>
      <c r="S6608" s="18"/>
      <c r="T6608" s="18"/>
      <c r="U6608" s="18"/>
      <c r="V6608" s="18"/>
      <c r="W6608" s="18"/>
      <c r="X6608" s="18"/>
      <c r="Y6608" s="18"/>
      <c r="Z6608" s="18"/>
    </row>
    <row r="6609" spans="1:26" hidden="1">
      <c r="A6609"/>
      <c r="B6609" s="249"/>
      <c r="C6609"/>
      <c r="D6609"/>
      <c r="E6609"/>
      <c r="F6609" s="242"/>
      <c r="G6609"/>
      <c r="H6609" s="242"/>
      <c r="I6609" s="242"/>
      <c r="J6609" s="242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</row>
    <row r="6610" spans="1:26" hidden="1">
      <c r="A6610"/>
      <c r="B6610" s="249"/>
      <c r="C6610"/>
      <c r="D6610"/>
      <c r="E6610"/>
      <c r="F6610" s="242"/>
      <c r="G6610"/>
      <c r="H6610" s="242"/>
      <c r="I6610" s="242"/>
      <c r="J6610" s="242"/>
      <c r="K6610" s="18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</row>
    <row r="6611" spans="1:26" hidden="1">
      <c r="A6611"/>
      <c r="B6611" s="249"/>
      <c r="C6611"/>
      <c r="D6611"/>
      <c r="E6611"/>
      <c r="F6611" s="242"/>
      <c r="G6611"/>
      <c r="H6611" s="242"/>
      <c r="I6611" s="242"/>
      <c r="J6611" s="242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</row>
    <row r="6612" spans="1:26" hidden="1">
      <c r="A6612"/>
      <c r="B6612" s="249"/>
      <c r="C6612"/>
      <c r="D6612"/>
      <c r="E6612"/>
      <c r="F6612" s="242"/>
      <c r="G6612"/>
      <c r="H6612" s="242"/>
      <c r="I6612" s="242"/>
      <c r="J6612" s="242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  <c r="Z6612" s="18"/>
    </row>
    <row r="6613" spans="1:26" hidden="1">
      <c r="A6613"/>
      <c r="B6613" s="249"/>
      <c r="C6613"/>
      <c r="D6613"/>
      <c r="E6613"/>
      <c r="F6613" s="242"/>
      <c r="G6613"/>
      <c r="H6613" s="242"/>
      <c r="I6613" s="242"/>
      <c r="J6613" s="242"/>
      <c r="K6613" s="18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</row>
    <row r="6614" spans="1:26" hidden="1">
      <c r="A6614"/>
      <c r="B6614" s="249"/>
      <c r="C6614"/>
      <c r="D6614"/>
      <c r="E6614"/>
      <c r="F6614" s="242"/>
      <c r="G6614"/>
      <c r="H6614" s="242"/>
      <c r="I6614" s="242"/>
      <c r="J6614" s="242"/>
      <c r="K6614" s="18"/>
      <c r="L6614" s="18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8"/>
    </row>
    <row r="6615" spans="1:26" hidden="1">
      <c r="A6615"/>
      <c r="B6615" s="249"/>
      <c r="C6615"/>
      <c r="D6615"/>
      <c r="E6615"/>
      <c r="F6615" s="242"/>
      <c r="G6615"/>
      <c r="H6615" s="242"/>
      <c r="I6615" s="242"/>
      <c r="J6615" s="242"/>
      <c r="K6615" s="18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</row>
    <row r="6616" spans="1:26" hidden="1">
      <c r="A6616"/>
      <c r="B6616" s="249"/>
      <c r="C6616"/>
      <c r="D6616"/>
      <c r="E6616"/>
      <c r="F6616" s="242"/>
      <c r="G6616"/>
      <c r="H6616" s="242"/>
      <c r="I6616" s="242"/>
      <c r="J6616" s="242"/>
      <c r="K6616" s="18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</row>
    <row r="6617" spans="1:26" hidden="1">
      <c r="A6617"/>
      <c r="B6617" s="249"/>
      <c r="C6617"/>
      <c r="D6617"/>
      <c r="E6617"/>
      <c r="F6617" s="242"/>
      <c r="G6617"/>
      <c r="H6617" s="242"/>
      <c r="I6617" s="242"/>
      <c r="J6617" s="242"/>
      <c r="K6617" s="18"/>
      <c r="L6617" s="18"/>
      <c r="M6617" s="18"/>
      <c r="N6617" s="18"/>
      <c r="O6617" s="18"/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</row>
    <row r="6618" spans="1:26" hidden="1">
      <c r="A6618"/>
      <c r="B6618" s="249"/>
      <c r="C6618"/>
      <c r="D6618"/>
      <c r="E6618"/>
      <c r="F6618" s="242"/>
      <c r="G6618"/>
      <c r="H6618" s="242"/>
      <c r="I6618" s="242"/>
      <c r="J6618" s="242"/>
      <c r="K6618" s="18"/>
      <c r="L6618" s="18"/>
      <c r="M6618" s="18"/>
      <c r="N6618" s="18"/>
      <c r="O6618" s="18"/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</row>
    <row r="6619" spans="1:26" hidden="1">
      <c r="A6619"/>
      <c r="B6619" s="249"/>
      <c r="C6619"/>
      <c r="D6619"/>
      <c r="E6619"/>
      <c r="F6619" s="242"/>
      <c r="G6619"/>
      <c r="H6619" s="242"/>
      <c r="I6619" s="242"/>
      <c r="J6619" s="242"/>
      <c r="K6619" s="18"/>
      <c r="L6619" s="18"/>
      <c r="M6619" s="18"/>
      <c r="N6619" s="18"/>
      <c r="O6619" s="18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</row>
    <row r="6620" spans="1:26" hidden="1">
      <c r="A6620"/>
      <c r="B6620" s="249"/>
      <c r="C6620"/>
      <c r="D6620"/>
      <c r="E6620"/>
      <c r="F6620" s="242"/>
      <c r="G6620"/>
      <c r="H6620" s="242"/>
      <c r="I6620" s="242"/>
      <c r="J6620" s="242"/>
      <c r="K6620" s="18"/>
      <c r="L6620" s="18"/>
      <c r="M6620" s="18"/>
      <c r="N6620" s="18"/>
      <c r="O6620" s="18"/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</row>
    <row r="6621" spans="1:26" hidden="1">
      <c r="A6621"/>
      <c r="B6621" s="249"/>
      <c r="C6621"/>
      <c r="D6621"/>
      <c r="E6621"/>
      <c r="F6621" s="242"/>
      <c r="G6621"/>
      <c r="H6621" s="242"/>
      <c r="I6621" s="242"/>
      <c r="J6621" s="242"/>
      <c r="K6621" s="18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</row>
    <row r="6622" spans="1:26" hidden="1">
      <c r="A6622"/>
      <c r="B6622" s="249"/>
      <c r="C6622"/>
      <c r="D6622"/>
      <c r="E6622"/>
      <c r="F6622" s="242"/>
      <c r="G6622"/>
      <c r="H6622" s="242"/>
      <c r="I6622" s="242"/>
      <c r="J6622" s="242"/>
      <c r="K6622" s="18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</row>
    <row r="6623" spans="1:26" hidden="1">
      <c r="A6623"/>
      <c r="B6623" s="249"/>
      <c r="C6623"/>
      <c r="D6623"/>
      <c r="E6623"/>
      <c r="F6623" s="242"/>
      <c r="G6623"/>
      <c r="H6623" s="242"/>
      <c r="I6623" s="242"/>
      <c r="J6623" s="242"/>
      <c r="K6623" s="18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</row>
    <row r="6624" spans="1:26" hidden="1">
      <c r="A6624"/>
      <c r="B6624" s="249"/>
      <c r="C6624"/>
      <c r="D6624"/>
      <c r="E6624"/>
      <c r="F6624" s="242"/>
      <c r="G6624"/>
      <c r="H6624" s="242"/>
      <c r="I6624" s="242"/>
      <c r="J6624" s="242"/>
      <c r="K6624" s="18"/>
      <c r="L6624" s="18"/>
      <c r="M6624" s="18"/>
      <c r="N6624" s="18"/>
      <c r="O6624" s="18"/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</row>
    <row r="6625" spans="1:26" hidden="1">
      <c r="A6625"/>
      <c r="B6625" s="249"/>
      <c r="C6625"/>
      <c r="D6625"/>
      <c r="E6625"/>
      <c r="F6625" s="242"/>
      <c r="G6625"/>
      <c r="H6625" s="242"/>
      <c r="I6625" s="242"/>
      <c r="J6625" s="242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</row>
    <row r="6626" spans="1:26" hidden="1">
      <c r="A6626"/>
      <c r="B6626" s="249"/>
      <c r="C6626"/>
      <c r="D6626"/>
      <c r="E6626"/>
      <c r="F6626" s="242"/>
      <c r="G6626"/>
      <c r="H6626" s="242"/>
      <c r="I6626" s="242"/>
      <c r="J6626" s="242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</row>
    <row r="6627" spans="1:26" hidden="1">
      <c r="A6627"/>
      <c r="B6627" s="249"/>
      <c r="C6627"/>
      <c r="D6627"/>
      <c r="E6627"/>
      <c r="F6627" s="242"/>
      <c r="G6627"/>
      <c r="H6627" s="242"/>
      <c r="I6627" s="242"/>
      <c r="J6627" s="242"/>
      <c r="K6627" s="18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</row>
    <row r="6628" spans="1:26" hidden="1">
      <c r="A6628" s="56"/>
      <c r="B6628" s="445"/>
      <c r="C6628"/>
      <c r="D6628"/>
      <c r="E6628" s="56"/>
      <c r="F6628" s="242"/>
      <c r="G6628"/>
      <c r="H6628" s="471"/>
      <c r="I6628" s="471"/>
      <c r="J6628" s="471"/>
      <c r="K6628" s="18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</row>
    <row r="6629" spans="1:26" hidden="1">
      <c r="A6629" s="56"/>
      <c r="B6629" s="445"/>
      <c r="C6629"/>
      <c r="D6629"/>
      <c r="E6629" s="56"/>
      <c r="F6629" s="242"/>
      <c r="G6629"/>
      <c r="H6629" s="471"/>
      <c r="I6629" s="471"/>
      <c r="J6629" s="471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</row>
    <row r="6630" spans="1:26" hidden="1">
      <c r="A6630" s="56"/>
      <c r="B6630" s="445"/>
      <c r="C6630"/>
      <c r="D6630"/>
      <c r="E6630" s="56"/>
      <c r="F6630" s="242"/>
      <c r="G6630"/>
      <c r="H6630" s="471"/>
      <c r="I6630" s="471"/>
      <c r="J6630" s="471"/>
      <c r="K6630" s="18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</row>
    <row r="6631" spans="1:26" hidden="1">
      <c r="A6631" s="56"/>
      <c r="B6631" s="445"/>
      <c r="C6631"/>
      <c r="D6631"/>
      <c r="E6631" s="56"/>
      <c r="F6631" s="242"/>
      <c r="G6631"/>
      <c r="H6631" s="471"/>
      <c r="I6631" s="471"/>
      <c r="J6631" s="471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</row>
    <row r="6632" spans="1:26" hidden="1">
      <c r="A6632" s="56"/>
      <c r="B6632" s="445"/>
      <c r="C6632"/>
      <c r="D6632"/>
      <c r="E6632" s="56"/>
      <c r="F6632" s="242"/>
      <c r="G6632"/>
      <c r="H6632" s="471"/>
      <c r="I6632" s="471"/>
      <c r="J6632" s="471"/>
      <c r="K6632" s="18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</row>
    <row r="6633" spans="1:26" hidden="1">
      <c r="A6633" s="56"/>
      <c r="B6633" s="445"/>
      <c r="C6633"/>
      <c r="D6633"/>
      <c r="E6633" s="56"/>
      <c r="F6633" s="242"/>
      <c r="G6633"/>
      <c r="H6633" s="471"/>
      <c r="I6633" s="471"/>
      <c r="J6633" s="471"/>
      <c r="K6633" s="18"/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</row>
    <row r="6634" spans="1:26" hidden="1">
      <c r="A6634" s="56"/>
      <c r="B6634" s="445"/>
      <c r="C6634"/>
      <c r="D6634"/>
      <c r="E6634" s="56"/>
      <c r="F6634" s="242"/>
      <c r="G6634"/>
      <c r="H6634" s="471"/>
      <c r="I6634" s="471"/>
      <c r="J6634" s="471"/>
      <c r="K6634" s="18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</row>
    <row r="6635" spans="1:26" hidden="1">
      <c r="A6635" s="56"/>
      <c r="B6635" s="445"/>
      <c r="C6635"/>
      <c r="D6635"/>
      <c r="E6635" s="56"/>
      <c r="F6635" s="242"/>
      <c r="G6635"/>
      <c r="H6635" s="471"/>
      <c r="I6635" s="471"/>
      <c r="J6635" s="471"/>
      <c r="K6635" s="18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</row>
    <row r="6636" spans="1:26" hidden="1">
      <c r="A6636" s="56"/>
      <c r="B6636" s="445"/>
      <c r="C6636"/>
      <c r="D6636"/>
      <c r="E6636" s="56"/>
      <c r="F6636" s="242"/>
      <c r="G6636"/>
      <c r="H6636" s="471"/>
      <c r="I6636" s="471"/>
      <c r="J6636" s="471"/>
      <c r="K6636" s="18"/>
      <c r="L6636" s="18"/>
      <c r="M6636" s="18"/>
      <c r="N6636" s="18"/>
      <c r="O6636" s="18"/>
      <c r="P6636" s="18"/>
      <c r="Q6636" s="18"/>
      <c r="R6636" s="18"/>
      <c r="S6636" s="18"/>
      <c r="T6636" s="18"/>
      <c r="U6636" s="18"/>
      <c r="V6636" s="18"/>
      <c r="W6636" s="18"/>
      <c r="X6636" s="18"/>
      <c r="Y6636" s="18"/>
      <c r="Z6636" s="18"/>
    </row>
    <row r="6637" spans="1:26" hidden="1">
      <c r="A6637" s="56"/>
      <c r="B6637" s="445"/>
      <c r="C6637"/>
      <c r="D6637"/>
      <c r="E6637" s="56"/>
      <c r="F6637" s="242"/>
      <c r="G6637"/>
      <c r="H6637" s="471"/>
      <c r="I6637" s="471"/>
      <c r="J6637" s="471"/>
      <c r="K6637" s="18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</row>
    <row r="6638" spans="1:26" hidden="1">
      <c r="A6638" s="56"/>
      <c r="B6638" s="445"/>
      <c r="C6638"/>
      <c r="D6638"/>
      <c r="E6638" s="56"/>
      <c r="F6638" s="242"/>
      <c r="G6638"/>
      <c r="H6638" s="471"/>
      <c r="I6638" s="471"/>
      <c r="J6638" s="471"/>
      <c r="K6638" s="18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</row>
    <row r="6639" spans="1:26" hidden="1">
      <c r="A6639" s="56"/>
      <c r="B6639" s="445"/>
      <c r="C6639"/>
      <c r="D6639"/>
      <c r="E6639" s="56"/>
      <c r="F6639" s="242"/>
      <c r="G6639"/>
      <c r="H6639" s="471"/>
      <c r="I6639" s="471"/>
      <c r="J6639" s="471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</row>
    <row r="6640" spans="1:26" hidden="1">
      <c r="A6640" s="56"/>
      <c r="B6640" s="445"/>
      <c r="C6640"/>
      <c r="D6640"/>
      <c r="E6640" s="56"/>
      <c r="F6640" s="242"/>
      <c r="G6640"/>
      <c r="H6640" s="471"/>
      <c r="I6640" s="471"/>
      <c r="J6640" s="471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</row>
    <row r="6641" spans="1:26" hidden="1">
      <c r="A6641" s="56"/>
      <c r="B6641" s="445"/>
      <c r="C6641"/>
      <c r="D6641"/>
      <c r="E6641" s="56"/>
      <c r="F6641" s="242"/>
      <c r="G6641"/>
      <c r="H6641" s="471"/>
      <c r="I6641" s="471"/>
      <c r="J6641" s="471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</row>
    <row r="6642" spans="1:26" hidden="1">
      <c r="A6642" s="56"/>
      <c r="B6642" s="445"/>
      <c r="C6642"/>
      <c r="D6642"/>
      <c r="E6642" s="56"/>
      <c r="F6642" s="242"/>
      <c r="G6642"/>
      <c r="H6642" s="471"/>
      <c r="I6642" s="471"/>
      <c r="J6642" s="471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</row>
    <row r="6643" spans="1:26" hidden="1">
      <c r="A6643" s="56"/>
      <c r="B6643" s="445"/>
      <c r="C6643"/>
      <c r="D6643"/>
      <c r="E6643" s="56"/>
      <c r="F6643" s="242"/>
      <c r="G6643"/>
      <c r="H6643" s="471"/>
      <c r="I6643" s="471"/>
      <c r="J6643" s="471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</row>
    <row r="6644" spans="1:26" hidden="1">
      <c r="A6644" s="56"/>
      <c r="B6644" s="445"/>
      <c r="C6644"/>
      <c r="D6644"/>
      <c r="E6644" s="56"/>
      <c r="F6644" s="242"/>
      <c r="G6644"/>
      <c r="H6644" s="471"/>
      <c r="I6644" s="471"/>
      <c r="J6644" s="471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</row>
    <row r="6645" spans="1:26" hidden="1">
      <c r="A6645" s="56"/>
      <c r="B6645" s="445"/>
      <c r="C6645"/>
      <c r="D6645"/>
      <c r="E6645" s="56"/>
      <c r="F6645" s="242"/>
      <c r="G6645"/>
      <c r="H6645" s="471"/>
      <c r="I6645" s="471"/>
      <c r="J6645" s="471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</row>
    <row r="6646" spans="1:26" hidden="1">
      <c r="A6646" s="56"/>
      <c r="B6646" s="445"/>
      <c r="C6646"/>
      <c r="D6646"/>
      <c r="E6646" s="56"/>
      <c r="F6646" s="242"/>
      <c r="G6646"/>
      <c r="H6646" s="471"/>
      <c r="I6646" s="471"/>
      <c r="J6646" s="471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</row>
    <row r="6647" spans="1:26" hidden="1">
      <c r="A6647" s="56"/>
      <c r="B6647" s="445"/>
      <c r="C6647"/>
      <c r="D6647"/>
      <c r="E6647" s="56"/>
      <c r="F6647" s="242"/>
      <c r="G6647"/>
      <c r="H6647" s="471"/>
      <c r="I6647" s="471"/>
      <c r="J6647" s="471"/>
      <c r="K6647" s="18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</row>
    <row r="6648" spans="1:26" hidden="1">
      <c r="A6648" s="56"/>
      <c r="B6648" s="445"/>
      <c r="C6648"/>
      <c r="D6648"/>
      <c r="E6648" s="56"/>
      <c r="F6648" s="242"/>
      <c r="G6648"/>
      <c r="H6648" s="471"/>
      <c r="I6648" s="471"/>
      <c r="J6648" s="471"/>
      <c r="K6648" s="18"/>
      <c r="L6648" s="18"/>
      <c r="M6648" s="18"/>
      <c r="N6648" s="18"/>
      <c r="O6648" s="18"/>
      <c r="P6648" s="18"/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</row>
    <row r="6649" spans="1:26" hidden="1">
      <c r="A6649" s="56"/>
      <c r="B6649" s="445"/>
      <c r="C6649"/>
      <c r="D6649"/>
      <c r="E6649" s="56"/>
      <c r="F6649" s="242"/>
      <c r="G6649"/>
      <c r="H6649" s="471"/>
      <c r="I6649" s="471"/>
      <c r="J6649" s="471"/>
      <c r="K6649" s="18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</row>
    <row r="6650" spans="1:26" hidden="1">
      <c r="A6650" s="56"/>
      <c r="B6650" s="445"/>
      <c r="C6650"/>
      <c r="D6650"/>
      <c r="E6650" s="56"/>
      <c r="F6650" s="242"/>
      <c r="G6650"/>
      <c r="H6650" s="471"/>
      <c r="I6650" s="471"/>
      <c r="J6650" s="471"/>
      <c r="K6650" s="18"/>
      <c r="L6650" s="18"/>
      <c r="M6650" s="18"/>
      <c r="N6650" s="18"/>
      <c r="O6650" s="18"/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</row>
    <row r="6651" spans="1:26" hidden="1">
      <c r="A6651" s="56"/>
      <c r="B6651" s="445"/>
      <c r="C6651"/>
      <c r="D6651"/>
      <c r="E6651" s="56"/>
      <c r="F6651" s="242"/>
      <c r="G6651"/>
      <c r="H6651" s="471"/>
      <c r="I6651" s="471"/>
      <c r="J6651" s="471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</row>
    <row r="6652" spans="1:26" hidden="1">
      <c r="A6652" s="56"/>
      <c r="B6652" s="445"/>
      <c r="C6652"/>
      <c r="D6652"/>
      <c r="E6652" s="56"/>
      <c r="F6652" s="242"/>
      <c r="G6652"/>
      <c r="H6652" s="471"/>
      <c r="I6652" s="471"/>
      <c r="J6652" s="471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</row>
    <row r="6653" spans="1:26" hidden="1">
      <c r="A6653" s="56"/>
      <c r="B6653" s="445"/>
      <c r="C6653"/>
      <c r="D6653"/>
      <c r="E6653" s="56"/>
      <c r="F6653" s="242"/>
      <c r="G6653"/>
      <c r="H6653" s="471"/>
      <c r="I6653" s="471"/>
      <c r="J6653" s="471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</row>
    <row r="6654" spans="1:26" hidden="1">
      <c r="A6654" s="56"/>
      <c r="B6654" s="445"/>
      <c r="C6654"/>
      <c r="D6654"/>
      <c r="E6654" s="56"/>
      <c r="F6654" s="242"/>
      <c r="G6654"/>
      <c r="H6654" s="471"/>
      <c r="I6654" s="471"/>
      <c r="J6654" s="471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</row>
    <row r="6655" spans="1:26" hidden="1">
      <c r="A6655" s="56"/>
      <c r="B6655" s="445"/>
      <c r="C6655"/>
      <c r="D6655"/>
      <c r="E6655" s="56"/>
      <c r="F6655" s="242"/>
      <c r="G6655"/>
      <c r="H6655" s="471"/>
      <c r="I6655" s="471"/>
      <c r="J6655" s="471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</row>
    <row r="6656" spans="1:26" hidden="1">
      <c r="A6656" s="56"/>
      <c r="B6656" s="445"/>
      <c r="C6656"/>
      <c r="D6656"/>
      <c r="E6656" s="56"/>
      <c r="F6656" s="242"/>
      <c r="G6656"/>
      <c r="H6656" s="471"/>
      <c r="I6656" s="471"/>
      <c r="J6656" s="471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  <c r="Z6656" s="18"/>
    </row>
    <row r="6657" spans="1:26" hidden="1">
      <c r="A6657" s="56"/>
      <c r="B6657" s="445"/>
      <c r="C6657"/>
      <c r="D6657"/>
      <c r="E6657" s="56"/>
      <c r="F6657" s="242"/>
      <c r="G6657"/>
      <c r="H6657" s="471"/>
      <c r="I6657" s="471"/>
      <c r="J6657" s="471"/>
      <c r="K6657" s="18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</row>
    <row r="6658" spans="1:26" hidden="1">
      <c r="A6658" s="56"/>
      <c r="B6658" s="445"/>
      <c r="C6658"/>
      <c r="D6658"/>
      <c r="E6658" s="56"/>
      <c r="F6658" s="242"/>
      <c r="G6658"/>
      <c r="H6658" s="471"/>
      <c r="I6658" s="471"/>
      <c r="J6658" s="471"/>
      <c r="K6658" s="18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</row>
    <row r="6659" spans="1:26" hidden="1">
      <c r="A6659" s="56"/>
      <c r="B6659" s="445"/>
      <c r="C6659"/>
      <c r="D6659"/>
      <c r="E6659" s="56"/>
      <c r="F6659" s="242"/>
      <c r="G6659"/>
      <c r="H6659" s="471"/>
      <c r="I6659" s="471"/>
      <c r="J6659" s="471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</row>
    <row r="6660" spans="1:26" hidden="1">
      <c r="A6660" s="56"/>
      <c r="B6660" s="445"/>
      <c r="C6660"/>
      <c r="D6660"/>
      <c r="E6660" s="56"/>
      <c r="F6660" s="242"/>
      <c r="G6660"/>
      <c r="H6660" s="471"/>
      <c r="I6660" s="471"/>
      <c r="J6660" s="471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</row>
    <row r="6661" spans="1:26" hidden="1">
      <c r="A6661" s="56"/>
      <c r="B6661" s="445"/>
      <c r="C6661"/>
      <c r="D6661"/>
      <c r="E6661" s="56"/>
      <c r="F6661" s="242"/>
      <c r="G6661"/>
      <c r="H6661" s="471"/>
      <c r="I6661" s="471"/>
      <c r="J6661" s="471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</row>
    <row r="6662" spans="1:26" hidden="1">
      <c r="A6662" s="56"/>
      <c r="B6662" s="445"/>
      <c r="C6662"/>
      <c r="D6662"/>
      <c r="E6662" s="56"/>
      <c r="F6662" s="242"/>
      <c r="G6662"/>
      <c r="H6662" s="471"/>
      <c r="I6662" s="471"/>
      <c r="J6662" s="471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</row>
    <row r="6663" spans="1:26" hidden="1">
      <c r="A6663" s="56"/>
      <c r="B6663" s="445"/>
      <c r="C6663"/>
      <c r="D6663"/>
      <c r="E6663" s="56"/>
      <c r="F6663" s="242"/>
      <c r="G6663"/>
      <c r="H6663" s="471"/>
      <c r="I6663" s="471"/>
      <c r="J6663" s="471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</row>
    <row r="6664" spans="1:26" hidden="1">
      <c r="A6664" s="56"/>
      <c r="B6664" s="445"/>
      <c r="C6664"/>
      <c r="D6664"/>
      <c r="E6664" s="56"/>
      <c r="F6664" s="242"/>
      <c r="G6664"/>
      <c r="H6664" s="471"/>
      <c r="I6664" s="471"/>
      <c r="J6664" s="471"/>
      <c r="K6664" s="18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  <c r="W6664" s="18"/>
      <c r="X6664" s="18"/>
      <c r="Y6664" s="18"/>
      <c r="Z6664" s="18"/>
    </row>
    <row r="6665" spans="1:26" hidden="1">
      <c r="A6665" s="56"/>
      <c r="B6665" s="445"/>
      <c r="C6665"/>
      <c r="D6665"/>
      <c r="E6665" s="56"/>
      <c r="F6665" s="242"/>
      <c r="G6665"/>
      <c r="H6665" s="471"/>
      <c r="I6665" s="471"/>
      <c r="J6665" s="471"/>
      <c r="K6665" s="18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</row>
    <row r="6666" spans="1:26" hidden="1">
      <c r="A6666" s="56"/>
      <c r="B6666" s="445"/>
      <c r="C6666"/>
      <c r="D6666"/>
      <c r="E6666" s="56"/>
      <c r="F6666" s="242"/>
      <c r="G6666"/>
      <c r="H6666" s="471"/>
      <c r="I6666" s="471"/>
      <c r="J6666" s="471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</row>
    <row r="6667" spans="1:26" hidden="1">
      <c r="A6667" s="56"/>
      <c r="B6667" s="445"/>
      <c r="C6667"/>
      <c r="D6667"/>
      <c r="E6667" s="56"/>
      <c r="F6667" s="242"/>
      <c r="G6667"/>
      <c r="H6667" s="471"/>
      <c r="I6667" s="471"/>
      <c r="J6667" s="471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</row>
    <row r="6668" spans="1:26" hidden="1">
      <c r="A6668" s="56"/>
      <c r="B6668" s="445"/>
      <c r="C6668"/>
      <c r="D6668"/>
      <c r="E6668" s="56"/>
      <c r="F6668" s="242"/>
      <c r="G6668"/>
      <c r="H6668" s="471"/>
      <c r="I6668" s="471"/>
      <c r="J6668" s="471"/>
      <c r="K6668" s="18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  <c r="Z6668" s="18"/>
    </row>
    <row r="6669" spans="1:26" hidden="1">
      <c r="A6669" s="56"/>
      <c r="B6669" s="445"/>
      <c r="C6669"/>
      <c r="D6669"/>
      <c r="E6669" s="56"/>
      <c r="F6669" s="242"/>
      <c r="G6669"/>
      <c r="H6669" s="471"/>
      <c r="I6669" s="471"/>
      <c r="J6669" s="471"/>
      <c r="K6669" s="18"/>
      <c r="L6669" s="18"/>
      <c r="M6669" s="18"/>
      <c r="N6669" s="18"/>
      <c r="O6669" s="18"/>
      <c r="P6669" s="18"/>
      <c r="Q6669" s="18"/>
      <c r="R6669" s="18"/>
      <c r="S6669" s="18"/>
      <c r="T6669" s="18"/>
      <c r="U6669" s="18"/>
      <c r="V6669" s="18"/>
      <c r="W6669" s="18"/>
      <c r="X6669" s="18"/>
      <c r="Y6669" s="18"/>
      <c r="Z6669" s="18"/>
    </row>
    <row r="6670" spans="1:26" hidden="1">
      <c r="A6670" s="56"/>
      <c r="B6670" s="445"/>
      <c r="C6670"/>
      <c r="D6670"/>
      <c r="E6670" s="56"/>
      <c r="F6670" s="242"/>
      <c r="G6670"/>
      <c r="H6670" s="471"/>
      <c r="I6670" s="471"/>
      <c r="J6670" s="471"/>
      <c r="K6670" s="18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</row>
    <row r="6671" spans="1:26" hidden="1">
      <c r="A6671" s="56"/>
      <c r="B6671" s="445"/>
      <c r="C6671"/>
      <c r="D6671"/>
      <c r="E6671" s="56"/>
      <c r="F6671" s="242"/>
      <c r="G6671"/>
      <c r="H6671" s="471"/>
      <c r="I6671" s="471"/>
      <c r="J6671" s="471"/>
      <c r="K6671" s="18"/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</row>
    <row r="6672" spans="1:26" hidden="1">
      <c r="A6672" s="56"/>
      <c r="B6672" s="445"/>
      <c r="C6672"/>
      <c r="D6672"/>
      <c r="E6672" s="56"/>
      <c r="F6672" s="242"/>
      <c r="G6672"/>
      <c r="H6672" s="471"/>
      <c r="I6672" s="471"/>
      <c r="J6672" s="471"/>
      <c r="K6672" s="18"/>
      <c r="L6672" s="18"/>
      <c r="M6672" s="18"/>
      <c r="N6672" s="18"/>
      <c r="O6672" s="18"/>
      <c r="P6672" s="18"/>
      <c r="Q6672" s="18"/>
      <c r="R6672" s="18"/>
      <c r="S6672" s="18"/>
      <c r="T6672" s="18"/>
      <c r="U6672" s="18"/>
      <c r="V6672" s="18"/>
      <c r="W6672" s="18"/>
      <c r="X6672" s="18"/>
      <c r="Y6672" s="18"/>
      <c r="Z6672" s="18"/>
    </row>
    <row r="6673" spans="1:26" hidden="1">
      <c r="A6673" s="56"/>
      <c r="B6673" s="445"/>
      <c r="C6673"/>
      <c r="D6673"/>
      <c r="E6673" s="56"/>
      <c r="F6673" s="242"/>
      <c r="G6673"/>
      <c r="H6673" s="471"/>
      <c r="I6673" s="471"/>
      <c r="J6673" s="471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</row>
    <row r="6674" spans="1:26" hidden="1">
      <c r="A6674" s="56"/>
      <c r="B6674" s="445"/>
      <c r="C6674"/>
      <c r="D6674"/>
      <c r="E6674" s="56"/>
      <c r="F6674" s="242"/>
      <c r="G6674"/>
      <c r="H6674" s="471"/>
      <c r="I6674" s="471"/>
      <c r="J6674" s="471"/>
      <c r="K6674" s="18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</row>
    <row r="6675" spans="1:26" hidden="1">
      <c r="A6675" s="56"/>
      <c r="B6675" s="445"/>
      <c r="C6675"/>
      <c r="D6675"/>
      <c r="E6675" s="56"/>
      <c r="F6675" s="242"/>
      <c r="G6675"/>
      <c r="H6675" s="471"/>
      <c r="I6675" s="471"/>
      <c r="J6675" s="471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</row>
    <row r="6676" spans="1:26" hidden="1">
      <c r="A6676" s="56"/>
      <c r="B6676" s="445"/>
      <c r="C6676"/>
      <c r="D6676"/>
      <c r="E6676" s="56"/>
      <c r="F6676" s="242"/>
      <c r="G6676"/>
      <c r="H6676" s="471"/>
      <c r="I6676" s="471"/>
      <c r="J6676" s="471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</row>
    <row r="6677" spans="1:26" hidden="1">
      <c r="A6677" s="56"/>
      <c r="B6677" s="445"/>
      <c r="C6677"/>
      <c r="D6677"/>
      <c r="E6677" s="56"/>
      <c r="F6677" s="242"/>
      <c r="G6677"/>
      <c r="H6677" s="471"/>
      <c r="I6677" s="471"/>
      <c r="J6677" s="471"/>
      <c r="K6677" s="18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</row>
    <row r="6678" spans="1:26" hidden="1">
      <c r="A6678" s="56"/>
      <c r="B6678" s="445"/>
      <c r="C6678"/>
      <c r="D6678"/>
      <c r="E6678" s="56"/>
      <c r="F6678" s="242"/>
      <c r="G6678"/>
      <c r="H6678" s="471"/>
      <c r="I6678" s="471"/>
      <c r="J6678" s="471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</row>
    <row r="6679" spans="1:26" hidden="1">
      <c r="A6679" s="56"/>
      <c r="B6679" s="445"/>
      <c r="C6679"/>
      <c r="D6679"/>
      <c r="E6679" s="56"/>
      <c r="F6679" s="242"/>
      <c r="G6679"/>
      <c r="H6679" s="471"/>
      <c r="I6679" s="471"/>
      <c r="J6679" s="471"/>
      <c r="K6679" s="18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</row>
    <row r="6680" spans="1:26" hidden="1">
      <c r="A6680" s="56"/>
      <c r="B6680" s="445"/>
      <c r="C6680"/>
      <c r="D6680"/>
      <c r="E6680" s="56"/>
      <c r="F6680" s="242"/>
      <c r="G6680"/>
      <c r="H6680" s="471"/>
      <c r="I6680" s="471"/>
      <c r="J6680" s="471"/>
      <c r="K6680" s="18"/>
      <c r="L6680" s="18"/>
      <c r="M6680" s="18"/>
      <c r="N6680" s="18"/>
      <c r="O6680" s="18"/>
      <c r="P6680" s="18"/>
      <c r="Q6680" s="18"/>
      <c r="R6680" s="18"/>
      <c r="S6680" s="18"/>
      <c r="T6680" s="18"/>
      <c r="U6680" s="18"/>
      <c r="V6680" s="18"/>
      <c r="W6680" s="18"/>
      <c r="X6680" s="18"/>
      <c r="Y6680" s="18"/>
      <c r="Z6680" s="18"/>
    </row>
    <row r="6681" spans="1:26" hidden="1">
      <c r="A6681" s="56"/>
      <c r="B6681" s="445"/>
      <c r="C6681"/>
      <c r="D6681"/>
      <c r="E6681" s="56"/>
      <c r="F6681" s="242"/>
      <c r="G6681"/>
      <c r="H6681" s="471"/>
      <c r="I6681" s="471"/>
      <c r="J6681" s="471"/>
      <c r="K6681" s="18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</row>
    <row r="6682" spans="1:26" hidden="1">
      <c r="A6682" s="56"/>
      <c r="B6682" s="445"/>
      <c r="C6682"/>
      <c r="D6682"/>
      <c r="E6682" s="56"/>
      <c r="F6682" s="242"/>
      <c r="G6682"/>
      <c r="H6682" s="471"/>
      <c r="I6682" s="471"/>
      <c r="J6682" s="471"/>
      <c r="K6682" s="18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</row>
    <row r="6683" spans="1:26" hidden="1">
      <c r="A6683" s="56"/>
      <c r="B6683" s="445"/>
      <c r="C6683"/>
      <c r="D6683"/>
      <c r="E6683" s="56"/>
      <c r="F6683" s="242"/>
      <c r="G6683"/>
      <c r="H6683" s="471"/>
      <c r="I6683" s="471"/>
      <c r="J6683" s="471"/>
      <c r="K6683" s="18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</row>
    <row r="6684" spans="1:26" hidden="1">
      <c r="A6684" s="56"/>
      <c r="B6684" s="445"/>
      <c r="C6684"/>
      <c r="D6684"/>
      <c r="E6684" s="56"/>
      <c r="F6684" s="242"/>
      <c r="G6684"/>
      <c r="H6684" s="471"/>
      <c r="I6684" s="471"/>
      <c r="J6684" s="471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</row>
    <row r="6685" spans="1:26" hidden="1">
      <c r="A6685" s="56"/>
      <c r="B6685" s="445"/>
      <c r="C6685"/>
      <c r="D6685"/>
      <c r="E6685" s="56"/>
      <c r="F6685" s="242"/>
      <c r="G6685"/>
      <c r="H6685" s="471"/>
      <c r="I6685" s="471"/>
      <c r="J6685" s="471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</row>
    <row r="6686" spans="1:26" hidden="1">
      <c r="A6686" s="56"/>
      <c r="B6686" s="445"/>
      <c r="C6686"/>
      <c r="D6686"/>
      <c r="E6686" s="56"/>
      <c r="F6686" s="242"/>
      <c r="G6686"/>
      <c r="H6686" s="471"/>
      <c r="I6686" s="471"/>
      <c r="J6686" s="471"/>
      <c r="K6686" s="18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</row>
    <row r="6687" spans="1:26" hidden="1">
      <c r="A6687" s="56"/>
      <c r="B6687" s="445"/>
      <c r="C6687"/>
      <c r="D6687"/>
      <c r="E6687" s="56"/>
      <c r="F6687" s="242"/>
      <c r="G6687"/>
      <c r="H6687" s="471"/>
      <c r="I6687" s="471"/>
      <c r="J6687" s="471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</row>
    <row r="6688" spans="1:26" hidden="1">
      <c r="A6688" s="56"/>
      <c r="B6688" s="445"/>
      <c r="C6688"/>
      <c r="D6688"/>
      <c r="E6688" s="56"/>
      <c r="F6688" s="242"/>
      <c r="G6688"/>
      <c r="H6688" s="471"/>
      <c r="I6688" s="471"/>
      <c r="J6688" s="471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</row>
    <row r="6689" spans="1:26" hidden="1">
      <c r="A6689" s="56"/>
      <c r="B6689" s="445"/>
      <c r="C6689"/>
      <c r="D6689"/>
      <c r="E6689" s="56"/>
      <c r="F6689" s="242"/>
      <c r="G6689"/>
      <c r="H6689" s="471"/>
      <c r="I6689" s="471"/>
      <c r="J6689" s="471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</row>
    <row r="6690" spans="1:26" hidden="1">
      <c r="A6690" s="56"/>
      <c r="B6690" s="445"/>
      <c r="C6690"/>
      <c r="D6690"/>
      <c r="E6690" s="56"/>
      <c r="F6690" s="242"/>
      <c r="G6690"/>
      <c r="H6690" s="471"/>
      <c r="I6690" s="471"/>
      <c r="J6690" s="471"/>
      <c r="K6690" s="18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</row>
    <row r="6691" spans="1:26" hidden="1">
      <c r="A6691" s="56"/>
      <c r="B6691" s="445"/>
      <c r="C6691"/>
      <c r="D6691"/>
      <c r="E6691" s="56"/>
      <c r="F6691" s="242"/>
      <c r="G6691"/>
      <c r="H6691" s="471"/>
      <c r="I6691" s="471"/>
      <c r="J6691" s="471"/>
      <c r="K6691" s="18"/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</row>
    <row r="6692" spans="1:26" hidden="1">
      <c r="A6692" s="56"/>
      <c r="B6692" s="445"/>
      <c r="C6692"/>
      <c r="D6692"/>
      <c r="E6692" s="56"/>
      <c r="F6692" s="242"/>
      <c r="G6692"/>
      <c r="H6692" s="471"/>
      <c r="I6692" s="471"/>
      <c r="J6692" s="471"/>
      <c r="K6692" s="18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</row>
    <row r="6693" spans="1:26" hidden="1">
      <c r="A6693" s="56"/>
      <c r="B6693" s="445"/>
      <c r="C6693"/>
      <c r="D6693"/>
      <c r="E6693" s="56"/>
      <c r="F6693" s="242"/>
      <c r="G6693"/>
      <c r="H6693" s="471"/>
      <c r="I6693" s="471"/>
      <c r="J6693" s="471"/>
      <c r="K6693" s="18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</row>
    <row r="6694" spans="1:26" hidden="1">
      <c r="A6694" s="56"/>
      <c r="B6694" s="445"/>
      <c r="C6694"/>
      <c r="D6694"/>
      <c r="E6694" s="56"/>
      <c r="F6694" s="242"/>
      <c r="G6694"/>
      <c r="H6694" s="471"/>
      <c r="I6694" s="471"/>
      <c r="J6694" s="471"/>
      <c r="K6694" s="18"/>
      <c r="L6694" s="18"/>
      <c r="M6694" s="18"/>
      <c r="N6694" s="18"/>
      <c r="O6694" s="18"/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</row>
    <row r="6695" spans="1:26" hidden="1">
      <c r="A6695" s="56"/>
      <c r="B6695" s="445"/>
      <c r="C6695"/>
      <c r="D6695"/>
      <c r="E6695" s="56"/>
      <c r="F6695" s="242"/>
      <c r="G6695"/>
      <c r="H6695" s="471"/>
      <c r="I6695" s="471"/>
      <c r="J6695" s="471"/>
      <c r="K6695" s="18"/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</row>
    <row r="6696" spans="1:26" hidden="1">
      <c r="A6696" s="56"/>
      <c r="B6696" s="445"/>
      <c r="C6696"/>
      <c r="D6696"/>
      <c r="E6696" s="56"/>
      <c r="F6696" s="242"/>
      <c r="G6696"/>
      <c r="H6696" s="471"/>
      <c r="I6696" s="471"/>
      <c r="J6696" s="471"/>
      <c r="K6696" s="18"/>
      <c r="L6696" s="18"/>
      <c r="M6696" s="18"/>
      <c r="N6696" s="18"/>
      <c r="O6696" s="18"/>
      <c r="P6696" s="18"/>
      <c r="Q6696" s="18"/>
      <c r="R6696" s="18"/>
      <c r="S6696" s="18"/>
      <c r="T6696" s="18"/>
      <c r="U6696" s="18"/>
      <c r="V6696" s="18"/>
      <c r="W6696" s="18"/>
      <c r="X6696" s="18"/>
      <c r="Y6696" s="18"/>
      <c r="Z6696" s="18"/>
    </row>
    <row r="6697" spans="1:26" hidden="1">
      <c r="A6697" s="56"/>
      <c r="B6697" s="445"/>
      <c r="C6697"/>
      <c r="D6697"/>
      <c r="E6697" s="56"/>
      <c r="F6697" s="242"/>
      <c r="G6697"/>
      <c r="H6697" s="471"/>
      <c r="I6697" s="471"/>
      <c r="J6697" s="471"/>
      <c r="K6697" s="18"/>
      <c r="L6697" s="18"/>
      <c r="M6697" s="18"/>
      <c r="N6697" s="18"/>
      <c r="O6697" s="18"/>
      <c r="P6697" s="18"/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</row>
    <row r="6698" spans="1:26" hidden="1">
      <c r="A6698" s="56"/>
      <c r="B6698" s="445"/>
      <c r="C6698"/>
      <c r="D6698"/>
      <c r="E6698" s="56"/>
      <c r="F6698" s="242"/>
      <c r="G6698"/>
      <c r="H6698" s="471"/>
      <c r="I6698" s="471"/>
      <c r="J6698" s="471"/>
      <c r="K6698" s="18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</row>
    <row r="6699" spans="1:26" hidden="1">
      <c r="A6699" s="56"/>
      <c r="B6699" s="445"/>
      <c r="C6699"/>
      <c r="D6699"/>
      <c r="E6699" s="56"/>
      <c r="F6699" s="242"/>
      <c r="G6699"/>
      <c r="H6699" s="471"/>
      <c r="I6699" s="471"/>
      <c r="J6699" s="471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</row>
    <row r="6700" spans="1:26" hidden="1">
      <c r="A6700" s="56"/>
      <c r="B6700" s="445"/>
      <c r="C6700"/>
      <c r="D6700"/>
      <c r="E6700" s="56"/>
      <c r="F6700" s="242"/>
      <c r="G6700"/>
      <c r="H6700" s="471"/>
      <c r="I6700" s="471"/>
      <c r="J6700" s="471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</row>
    <row r="6701" spans="1:26" hidden="1">
      <c r="A6701" s="56"/>
      <c r="B6701" s="445"/>
      <c r="C6701"/>
      <c r="D6701"/>
      <c r="E6701" s="56"/>
      <c r="F6701" s="242"/>
      <c r="G6701"/>
      <c r="H6701" s="471"/>
      <c r="I6701" s="471"/>
      <c r="J6701" s="471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</row>
    <row r="6702" spans="1:26" hidden="1">
      <c r="A6702" s="56"/>
      <c r="B6702" s="445"/>
      <c r="C6702"/>
      <c r="D6702"/>
      <c r="E6702" s="56"/>
      <c r="F6702" s="242"/>
      <c r="G6702"/>
      <c r="H6702" s="471"/>
      <c r="I6702" s="471"/>
      <c r="J6702" s="471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</row>
    <row r="6703" spans="1:26" hidden="1">
      <c r="A6703" s="56"/>
      <c r="B6703" s="445"/>
      <c r="C6703"/>
      <c r="D6703"/>
      <c r="E6703" s="56"/>
      <c r="F6703" s="242"/>
      <c r="G6703"/>
      <c r="H6703" s="471"/>
      <c r="I6703" s="471"/>
      <c r="J6703" s="471"/>
      <c r="K6703" s="18"/>
      <c r="L6703" s="18"/>
      <c r="M6703" s="18"/>
      <c r="N6703" s="18"/>
      <c r="O6703" s="18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</row>
    <row r="6704" spans="1:26" hidden="1">
      <c r="A6704" s="56"/>
      <c r="B6704" s="445"/>
      <c r="C6704"/>
      <c r="D6704"/>
      <c r="E6704" s="56"/>
      <c r="F6704" s="242"/>
      <c r="G6704"/>
      <c r="H6704" s="471"/>
      <c r="I6704" s="471"/>
      <c r="J6704" s="471"/>
      <c r="K6704" s="18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</row>
    <row r="6705" spans="1:26" hidden="1">
      <c r="A6705" s="56"/>
      <c r="B6705" s="445"/>
      <c r="C6705"/>
      <c r="D6705"/>
      <c r="E6705" s="56"/>
      <c r="F6705" s="242"/>
      <c r="G6705"/>
      <c r="H6705" s="471"/>
      <c r="I6705" s="471"/>
      <c r="J6705" s="471"/>
      <c r="K6705" s="18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</row>
    <row r="6706" spans="1:26" hidden="1">
      <c r="A6706" s="56"/>
      <c r="B6706" s="445"/>
      <c r="C6706"/>
      <c r="D6706"/>
      <c r="E6706" s="56"/>
      <c r="F6706" s="242"/>
      <c r="G6706"/>
      <c r="H6706" s="471"/>
      <c r="I6706" s="471"/>
      <c r="J6706" s="471"/>
      <c r="K6706" s="18"/>
      <c r="L6706" s="18"/>
      <c r="M6706" s="18"/>
      <c r="N6706" s="18"/>
      <c r="O6706" s="18"/>
      <c r="P6706" s="18"/>
      <c r="Q6706" s="18"/>
      <c r="R6706" s="18"/>
      <c r="S6706" s="18"/>
      <c r="T6706" s="18"/>
      <c r="U6706" s="18"/>
      <c r="V6706" s="18"/>
      <c r="W6706" s="18"/>
      <c r="X6706" s="18"/>
      <c r="Y6706" s="18"/>
      <c r="Z6706" s="18"/>
    </row>
    <row r="6707" spans="1:26" hidden="1">
      <c r="A6707" s="56"/>
      <c r="B6707" s="445"/>
      <c r="C6707"/>
      <c r="D6707"/>
      <c r="E6707" s="56"/>
      <c r="F6707" s="242"/>
      <c r="G6707"/>
      <c r="H6707" s="471"/>
      <c r="I6707" s="471"/>
      <c r="J6707" s="471"/>
      <c r="K6707" s="18"/>
      <c r="L6707" s="18"/>
      <c r="M6707" s="18"/>
      <c r="N6707" s="18"/>
      <c r="O6707" s="18"/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</row>
    <row r="6708" spans="1:26" hidden="1">
      <c r="A6708" s="56"/>
      <c r="B6708" s="445"/>
      <c r="C6708"/>
      <c r="D6708"/>
      <c r="E6708" s="56"/>
      <c r="F6708" s="242"/>
      <c r="G6708"/>
      <c r="H6708" s="471"/>
      <c r="I6708" s="471"/>
      <c r="J6708" s="471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</row>
    <row r="6709" spans="1:26" hidden="1">
      <c r="A6709" s="56"/>
      <c r="B6709" s="445"/>
      <c r="C6709"/>
      <c r="D6709"/>
      <c r="E6709" s="56"/>
      <c r="F6709" s="242"/>
      <c r="G6709"/>
      <c r="H6709" s="471"/>
      <c r="I6709" s="471"/>
      <c r="J6709" s="471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</row>
    <row r="6710" spans="1:26" hidden="1">
      <c r="A6710" s="56"/>
      <c r="B6710" s="445"/>
      <c r="C6710"/>
      <c r="D6710"/>
      <c r="E6710" s="56"/>
      <c r="F6710" s="242"/>
      <c r="G6710"/>
      <c r="H6710" s="471"/>
      <c r="I6710" s="471"/>
      <c r="J6710" s="471"/>
      <c r="K6710" s="18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</row>
    <row r="6711" spans="1:26" hidden="1">
      <c r="A6711" s="56"/>
      <c r="B6711" s="445"/>
      <c r="C6711"/>
      <c r="D6711"/>
      <c r="E6711" s="56"/>
      <c r="F6711" s="242"/>
      <c r="G6711"/>
      <c r="H6711" s="471"/>
      <c r="I6711" s="471"/>
      <c r="J6711" s="471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</row>
    <row r="6712" spans="1:26" hidden="1">
      <c r="A6712" s="56"/>
      <c r="B6712" s="445"/>
      <c r="C6712"/>
      <c r="D6712"/>
      <c r="E6712" s="56"/>
      <c r="F6712" s="242"/>
      <c r="G6712"/>
      <c r="H6712" s="471"/>
      <c r="I6712" s="471"/>
      <c r="J6712" s="471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</row>
    <row r="6713" spans="1:26" hidden="1">
      <c r="A6713" s="56"/>
      <c r="B6713" s="445"/>
      <c r="C6713"/>
      <c r="D6713"/>
      <c r="E6713" s="56"/>
      <c r="F6713" s="242"/>
      <c r="G6713"/>
      <c r="H6713" s="471"/>
      <c r="I6713" s="471"/>
      <c r="J6713" s="471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18"/>
    </row>
    <row r="6714" spans="1:26" hidden="1">
      <c r="A6714" s="56"/>
      <c r="B6714" s="445"/>
      <c r="C6714"/>
      <c r="D6714"/>
      <c r="E6714" s="56"/>
      <c r="F6714" s="242"/>
      <c r="G6714"/>
      <c r="H6714" s="471"/>
      <c r="I6714" s="471"/>
      <c r="J6714" s="471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  <c r="W6714" s="18"/>
      <c r="X6714" s="18"/>
      <c r="Y6714" s="18"/>
      <c r="Z6714" s="18"/>
    </row>
    <row r="6715" spans="1:26" hidden="1">
      <c r="A6715" s="56"/>
      <c r="B6715" s="445"/>
      <c r="C6715"/>
      <c r="D6715"/>
      <c r="E6715" s="56"/>
      <c r="F6715" s="242"/>
      <c r="G6715"/>
      <c r="H6715" s="471"/>
      <c r="I6715" s="471"/>
      <c r="J6715" s="471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</row>
    <row r="6716" spans="1:26" hidden="1">
      <c r="A6716" s="56"/>
      <c r="B6716" s="445"/>
      <c r="C6716"/>
      <c r="D6716"/>
      <c r="E6716" s="56"/>
      <c r="F6716" s="242"/>
      <c r="G6716"/>
      <c r="H6716" s="471"/>
      <c r="I6716" s="471"/>
      <c r="J6716" s="471"/>
      <c r="K6716" s="18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  <c r="W6716" s="18"/>
      <c r="X6716" s="18"/>
      <c r="Y6716" s="18"/>
      <c r="Z6716" s="18"/>
    </row>
    <row r="6717" spans="1:26" hidden="1">
      <c r="A6717" s="56"/>
      <c r="B6717" s="445"/>
      <c r="C6717"/>
      <c r="D6717"/>
      <c r="E6717" s="56"/>
      <c r="F6717" s="242"/>
      <c r="G6717"/>
      <c r="H6717" s="471"/>
      <c r="I6717" s="471"/>
      <c r="J6717" s="471"/>
      <c r="K6717" s="18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</row>
    <row r="6718" spans="1:26" hidden="1">
      <c r="A6718" s="56"/>
      <c r="B6718" s="445"/>
      <c r="C6718"/>
      <c r="D6718"/>
      <c r="E6718" s="56"/>
      <c r="F6718" s="242"/>
      <c r="G6718"/>
      <c r="H6718" s="471"/>
      <c r="I6718" s="471"/>
      <c r="J6718" s="471"/>
      <c r="K6718" s="18"/>
      <c r="L6718" s="18"/>
      <c r="M6718" s="18"/>
      <c r="N6718" s="18"/>
      <c r="O6718" s="18"/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</row>
    <row r="6719" spans="1:26" hidden="1">
      <c r="A6719" s="56"/>
      <c r="B6719" s="445"/>
      <c r="C6719"/>
      <c r="D6719"/>
      <c r="E6719" s="56"/>
      <c r="F6719" s="242"/>
      <c r="G6719"/>
      <c r="H6719" s="471"/>
      <c r="I6719" s="471"/>
      <c r="J6719" s="471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</row>
    <row r="6720" spans="1:26" hidden="1">
      <c r="A6720" s="56"/>
      <c r="B6720" s="445"/>
      <c r="C6720"/>
      <c r="D6720"/>
      <c r="E6720" s="56"/>
      <c r="F6720" s="242"/>
      <c r="G6720"/>
      <c r="H6720" s="471"/>
      <c r="I6720" s="471"/>
      <c r="J6720" s="471"/>
      <c r="K6720" s="18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</row>
    <row r="6721" spans="1:26" hidden="1">
      <c r="A6721" s="56"/>
      <c r="B6721" s="445"/>
      <c r="C6721"/>
      <c r="D6721"/>
      <c r="E6721" s="56"/>
      <c r="F6721" s="242"/>
      <c r="G6721"/>
      <c r="H6721" s="471"/>
      <c r="I6721" s="471"/>
      <c r="J6721" s="471"/>
      <c r="K6721" s="18"/>
      <c r="L6721" s="18"/>
      <c r="M6721" s="18"/>
      <c r="N6721" s="18"/>
      <c r="O6721" s="18"/>
      <c r="P6721" s="18"/>
      <c r="Q6721" s="18"/>
      <c r="R6721" s="18"/>
      <c r="S6721" s="18"/>
      <c r="T6721" s="18"/>
      <c r="U6721" s="18"/>
      <c r="V6721" s="18"/>
      <c r="W6721" s="18"/>
      <c r="X6721" s="18"/>
      <c r="Y6721" s="18"/>
      <c r="Z6721" s="18"/>
    </row>
    <row r="6722" spans="1:26" hidden="1">
      <c r="A6722" s="56"/>
      <c r="B6722" s="445"/>
      <c r="C6722"/>
      <c r="D6722"/>
      <c r="E6722" s="56"/>
      <c r="F6722" s="242"/>
      <c r="G6722"/>
      <c r="H6722" s="471"/>
      <c r="I6722" s="471"/>
      <c r="J6722" s="471"/>
      <c r="K6722" s="18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</row>
    <row r="6723" spans="1:26" hidden="1">
      <c r="A6723" s="56"/>
      <c r="B6723" s="445"/>
      <c r="C6723"/>
      <c r="D6723"/>
      <c r="E6723" s="56"/>
      <c r="F6723" s="242"/>
      <c r="G6723"/>
      <c r="H6723" s="471"/>
      <c r="I6723" s="471"/>
      <c r="J6723" s="471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</row>
    <row r="6724" spans="1:26" hidden="1">
      <c r="A6724" s="56"/>
      <c r="B6724" s="445"/>
      <c r="C6724"/>
      <c r="D6724"/>
      <c r="E6724" s="56"/>
      <c r="F6724" s="242"/>
      <c r="G6724"/>
      <c r="H6724" s="471"/>
      <c r="I6724" s="471"/>
      <c r="J6724" s="471"/>
      <c r="K6724" s="18"/>
      <c r="L6724" s="18"/>
      <c r="M6724" s="18"/>
      <c r="N6724" s="18"/>
      <c r="O6724" s="18"/>
      <c r="P6724" s="18"/>
      <c r="Q6724" s="18"/>
      <c r="R6724" s="18"/>
      <c r="S6724" s="18"/>
      <c r="T6724" s="18"/>
      <c r="U6724" s="18"/>
      <c r="V6724" s="18"/>
      <c r="W6724" s="18"/>
      <c r="X6724" s="18"/>
      <c r="Y6724" s="18"/>
      <c r="Z6724" s="18"/>
    </row>
    <row r="6725" spans="1:26" hidden="1">
      <c r="A6725" s="56"/>
      <c r="B6725" s="445"/>
      <c r="C6725"/>
      <c r="D6725"/>
      <c r="E6725" s="56"/>
      <c r="F6725" s="242"/>
      <c r="G6725"/>
      <c r="H6725" s="471"/>
      <c r="I6725" s="471"/>
      <c r="J6725" s="471"/>
      <c r="K6725" s="18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</row>
    <row r="6726" spans="1:26" hidden="1">
      <c r="A6726" s="56"/>
      <c r="B6726" s="445"/>
      <c r="C6726"/>
      <c r="D6726"/>
      <c r="E6726" s="56"/>
      <c r="F6726" s="242"/>
      <c r="G6726"/>
      <c r="H6726" s="471"/>
      <c r="I6726" s="471"/>
      <c r="J6726" s="471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</row>
    <row r="6727" spans="1:26" hidden="1">
      <c r="A6727" s="56"/>
      <c r="B6727" s="445"/>
      <c r="C6727"/>
      <c r="D6727"/>
      <c r="E6727" s="56"/>
      <c r="F6727" s="242"/>
      <c r="G6727"/>
      <c r="H6727" s="471"/>
      <c r="I6727" s="471"/>
      <c r="J6727" s="471"/>
      <c r="K6727" s="18"/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</row>
    <row r="6728" spans="1:26" hidden="1">
      <c r="A6728" s="56"/>
      <c r="B6728" s="445"/>
      <c r="C6728"/>
      <c r="D6728"/>
      <c r="E6728" s="56"/>
      <c r="F6728" s="242"/>
      <c r="G6728"/>
      <c r="H6728" s="471"/>
      <c r="I6728" s="471"/>
      <c r="J6728" s="471"/>
      <c r="K6728" s="18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</row>
    <row r="6729" spans="1:26" hidden="1">
      <c r="A6729" s="56"/>
      <c r="B6729" s="445"/>
      <c r="C6729"/>
      <c r="D6729"/>
      <c r="E6729" s="56"/>
      <c r="F6729" s="242"/>
      <c r="G6729"/>
      <c r="H6729" s="471"/>
      <c r="I6729" s="471"/>
      <c r="J6729" s="471"/>
      <c r="K6729" s="18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</row>
    <row r="6730" spans="1:26" hidden="1">
      <c r="A6730" s="56"/>
      <c r="B6730" s="445"/>
      <c r="C6730"/>
      <c r="D6730"/>
      <c r="E6730" s="56"/>
      <c r="F6730" s="242"/>
      <c r="G6730"/>
      <c r="H6730" s="471"/>
      <c r="I6730" s="471"/>
      <c r="J6730" s="471"/>
      <c r="K6730" s="18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8"/>
    </row>
    <row r="6731" spans="1:26" hidden="1">
      <c r="A6731" s="56"/>
      <c r="B6731" s="445"/>
      <c r="C6731"/>
      <c r="D6731"/>
      <c r="E6731" s="56"/>
      <c r="F6731" s="242"/>
      <c r="G6731"/>
      <c r="H6731" s="471"/>
      <c r="I6731" s="471"/>
      <c r="J6731" s="471"/>
      <c r="K6731" s="18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8"/>
    </row>
    <row r="6732" spans="1:26" hidden="1">
      <c r="A6732" s="56"/>
      <c r="B6732" s="445"/>
      <c r="C6732"/>
      <c r="D6732"/>
      <c r="E6732" s="56"/>
      <c r="F6732" s="242"/>
      <c r="G6732"/>
      <c r="H6732" s="471"/>
      <c r="I6732" s="471"/>
      <c r="J6732" s="471"/>
      <c r="K6732" s="18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</row>
    <row r="6733" spans="1:26" hidden="1">
      <c r="A6733" s="56"/>
      <c r="B6733" s="445"/>
      <c r="C6733"/>
      <c r="D6733"/>
      <c r="E6733" s="56"/>
      <c r="F6733" s="242"/>
      <c r="G6733"/>
      <c r="H6733" s="471"/>
      <c r="I6733" s="471"/>
      <c r="J6733" s="471"/>
      <c r="K6733" s="18"/>
      <c r="L6733" s="18"/>
      <c r="M6733" s="18"/>
      <c r="N6733" s="18"/>
      <c r="O6733" s="18"/>
      <c r="P6733" s="18"/>
      <c r="Q6733" s="18"/>
      <c r="R6733" s="18"/>
      <c r="S6733" s="18"/>
      <c r="T6733" s="18"/>
      <c r="U6733" s="18"/>
      <c r="V6733" s="18"/>
      <c r="W6733" s="18"/>
      <c r="X6733" s="18"/>
      <c r="Y6733" s="18"/>
      <c r="Z6733" s="18"/>
    </row>
    <row r="6734" spans="1:26" hidden="1">
      <c r="A6734" s="56"/>
      <c r="B6734" s="445"/>
      <c r="C6734"/>
      <c r="D6734"/>
      <c r="E6734" s="56"/>
      <c r="F6734" s="242"/>
      <c r="G6734"/>
      <c r="H6734" s="471"/>
      <c r="I6734" s="471"/>
      <c r="J6734" s="471"/>
      <c r="K6734" s="18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</row>
    <row r="6735" spans="1:26" hidden="1">
      <c r="A6735" s="56"/>
      <c r="B6735" s="445"/>
      <c r="C6735"/>
      <c r="D6735"/>
      <c r="E6735" s="56"/>
      <c r="F6735" s="242"/>
      <c r="G6735"/>
      <c r="H6735" s="471"/>
      <c r="I6735" s="471"/>
      <c r="J6735" s="471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</row>
    <row r="6736" spans="1:26" hidden="1">
      <c r="A6736" s="56"/>
      <c r="B6736" s="445"/>
      <c r="C6736"/>
      <c r="D6736"/>
      <c r="E6736" s="56"/>
      <c r="F6736" s="242"/>
      <c r="G6736"/>
      <c r="H6736" s="471"/>
      <c r="I6736" s="471"/>
      <c r="J6736" s="471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8"/>
      <c r="X6736" s="18"/>
      <c r="Y6736" s="18"/>
      <c r="Z6736" s="18"/>
    </row>
    <row r="6737" spans="1:26" hidden="1">
      <c r="A6737" s="56"/>
      <c r="B6737" s="445"/>
      <c r="C6737"/>
      <c r="D6737"/>
      <c r="E6737" s="56"/>
      <c r="F6737" s="242"/>
      <c r="G6737"/>
      <c r="H6737" s="471"/>
      <c r="I6737" s="471"/>
      <c r="J6737" s="471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</row>
    <row r="6738" spans="1:26" hidden="1">
      <c r="A6738" s="56"/>
      <c r="B6738" s="445"/>
      <c r="C6738"/>
      <c r="D6738"/>
      <c r="E6738" s="56"/>
      <c r="F6738" s="242"/>
      <c r="G6738"/>
      <c r="H6738" s="471"/>
      <c r="I6738" s="471"/>
      <c r="J6738" s="471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</row>
    <row r="6739" spans="1:26" hidden="1">
      <c r="A6739" s="56"/>
      <c r="B6739" s="445"/>
      <c r="C6739"/>
      <c r="D6739"/>
      <c r="E6739" s="56"/>
      <c r="F6739" s="242"/>
      <c r="G6739"/>
      <c r="H6739" s="471"/>
      <c r="I6739" s="471"/>
      <c r="J6739" s="471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</row>
    <row r="6740" spans="1:26" hidden="1">
      <c r="A6740" s="56"/>
      <c r="B6740" s="445"/>
      <c r="C6740"/>
      <c r="D6740"/>
      <c r="E6740" s="56"/>
      <c r="F6740" s="242"/>
      <c r="G6740"/>
      <c r="H6740" s="471"/>
      <c r="I6740" s="471"/>
      <c r="J6740" s="471"/>
      <c r="K6740" s="18"/>
      <c r="L6740" s="18"/>
      <c r="M6740" s="18"/>
      <c r="N6740" s="18"/>
      <c r="O6740" s="18"/>
      <c r="P6740" s="18"/>
      <c r="Q6740" s="18"/>
      <c r="R6740" s="18"/>
      <c r="S6740" s="18"/>
      <c r="T6740" s="18"/>
      <c r="U6740" s="18"/>
      <c r="V6740" s="18"/>
      <c r="W6740" s="18"/>
      <c r="X6740" s="18"/>
      <c r="Y6740" s="18"/>
      <c r="Z6740" s="18"/>
    </row>
    <row r="6741" spans="1:26" hidden="1">
      <c r="A6741" s="56"/>
      <c r="B6741" s="445"/>
      <c r="C6741"/>
      <c r="D6741"/>
      <c r="E6741" s="56"/>
      <c r="F6741" s="242"/>
      <c r="G6741"/>
      <c r="H6741" s="471"/>
      <c r="I6741" s="471"/>
      <c r="J6741" s="471"/>
      <c r="K6741" s="18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</row>
    <row r="6742" spans="1:26" hidden="1">
      <c r="A6742" s="56"/>
      <c r="B6742" s="445"/>
      <c r="C6742"/>
      <c r="D6742"/>
      <c r="E6742" s="56"/>
      <c r="F6742" s="242"/>
      <c r="G6742"/>
      <c r="H6742" s="471"/>
      <c r="I6742" s="471"/>
      <c r="J6742" s="471"/>
      <c r="K6742" s="18"/>
      <c r="L6742" s="18"/>
      <c r="M6742" s="18"/>
      <c r="N6742" s="18"/>
      <c r="O6742" s="18"/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</row>
    <row r="6743" spans="1:26" hidden="1">
      <c r="A6743" s="56"/>
      <c r="B6743" s="445"/>
      <c r="C6743"/>
      <c r="D6743"/>
      <c r="E6743" s="56"/>
      <c r="F6743" s="242"/>
      <c r="G6743"/>
      <c r="H6743" s="471"/>
      <c r="I6743" s="471"/>
      <c r="J6743" s="471"/>
      <c r="K6743" s="18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</row>
    <row r="6744" spans="1:26" hidden="1">
      <c r="A6744" s="56"/>
      <c r="B6744" s="445"/>
      <c r="C6744"/>
      <c r="D6744"/>
      <c r="E6744" s="56"/>
      <c r="F6744" s="242"/>
      <c r="G6744"/>
      <c r="H6744" s="471"/>
      <c r="I6744" s="471"/>
      <c r="J6744" s="471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</row>
    <row r="6745" spans="1:26" hidden="1">
      <c r="A6745" s="56"/>
      <c r="B6745" s="445"/>
      <c r="C6745"/>
      <c r="D6745"/>
      <c r="E6745" s="56"/>
      <c r="F6745" s="242"/>
      <c r="G6745"/>
      <c r="H6745" s="471"/>
      <c r="I6745" s="471"/>
      <c r="J6745" s="471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</row>
    <row r="6746" spans="1:26" hidden="1">
      <c r="A6746" s="56"/>
      <c r="B6746" s="445"/>
      <c r="C6746"/>
      <c r="D6746"/>
      <c r="E6746" s="56"/>
      <c r="F6746" s="242"/>
      <c r="G6746"/>
      <c r="H6746" s="471"/>
      <c r="I6746" s="471"/>
      <c r="J6746" s="471"/>
      <c r="K6746" s="18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</row>
    <row r="6747" spans="1:26" hidden="1">
      <c r="A6747" s="56"/>
      <c r="B6747" s="445"/>
      <c r="C6747"/>
      <c r="D6747"/>
      <c r="E6747" s="56"/>
      <c r="F6747" s="242"/>
      <c r="G6747"/>
      <c r="H6747" s="471"/>
      <c r="I6747" s="471"/>
      <c r="J6747" s="471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</row>
    <row r="6748" spans="1:26" hidden="1">
      <c r="A6748" s="56"/>
      <c r="B6748" s="445"/>
      <c r="C6748"/>
      <c r="D6748"/>
      <c r="E6748" s="56"/>
      <c r="F6748" s="242"/>
      <c r="G6748"/>
      <c r="H6748" s="471"/>
      <c r="I6748" s="471"/>
      <c r="J6748" s="471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</row>
    <row r="6749" spans="1:26" hidden="1">
      <c r="A6749" s="56"/>
      <c r="B6749" s="445"/>
      <c r="C6749"/>
      <c r="D6749"/>
      <c r="E6749" s="56"/>
      <c r="F6749" s="242"/>
      <c r="G6749"/>
      <c r="H6749" s="471"/>
      <c r="I6749" s="471"/>
      <c r="J6749" s="471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</row>
    <row r="6750" spans="1:26" hidden="1">
      <c r="A6750" s="56"/>
      <c r="B6750" s="445"/>
      <c r="C6750"/>
      <c r="D6750"/>
      <c r="E6750" s="56"/>
      <c r="F6750" s="242"/>
      <c r="G6750"/>
      <c r="H6750" s="471"/>
      <c r="I6750" s="471"/>
      <c r="J6750" s="471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</row>
    <row r="6751" spans="1:26" hidden="1">
      <c r="A6751" s="56"/>
      <c r="B6751" s="445"/>
      <c r="C6751"/>
      <c r="D6751"/>
      <c r="E6751" s="56"/>
      <c r="F6751" s="242"/>
      <c r="G6751"/>
      <c r="H6751" s="471"/>
      <c r="I6751" s="471"/>
      <c r="J6751" s="471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</row>
    <row r="6752" spans="1:26" hidden="1">
      <c r="A6752" s="56"/>
      <c r="B6752" s="445"/>
      <c r="C6752"/>
      <c r="D6752"/>
      <c r="E6752" s="56"/>
      <c r="F6752" s="242"/>
      <c r="G6752"/>
      <c r="H6752" s="471"/>
      <c r="I6752" s="471"/>
      <c r="J6752" s="471"/>
      <c r="K6752" s="18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</row>
    <row r="6753" spans="1:26" hidden="1">
      <c r="A6753" s="56"/>
      <c r="B6753" s="445"/>
      <c r="C6753"/>
      <c r="D6753"/>
      <c r="E6753" s="56"/>
      <c r="F6753" s="242"/>
      <c r="G6753"/>
      <c r="H6753" s="471"/>
      <c r="I6753" s="471"/>
      <c r="J6753" s="471"/>
      <c r="K6753" s="18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</row>
    <row r="6754" spans="1:26" hidden="1">
      <c r="A6754" s="56"/>
      <c r="B6754" s="445"/>
      <c r="C6754"/>
      <c r="D6754"/>
      <c r="E6754" s="56"/>
      <c r="F6754" s="242"/>
      <c r="G6754"/>
      <c r="H6754" s="471"/>
      <c r="I6754" s="471"/>
      <c r="J6754" s="471"/>
      <c r="K6754" s="18"/>
      <c r="L6754" s="18"/>
      <c r="M6754" s="18"/>
      <c r="N6754" s="18"/>
      <c r="O6754" s="18"/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8"/>
    </row>
    <row r="6755" spans="1:26" hidden="1">
      <c r="A6755" s="56"/>
      <c r="B6755" s="445"/>
      <c r="C6755"/>
      <c r="D6755"/>
      <c r="E6755" s="56"/>
      <c r="F6755" s="242"/>
      <c r="G6755"/>
      <c r="H6755" s="471"/>
      <c r="I6755" s="471"/>
      <c r="J6755" s="471"/>
      <c r="K6755" s="18"/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</row>
    <row r="6756" spans="1:26" hidden="1">
      <c r="A6756" s="56"/>
      <c r="B6756" s="445"/>
      <c r="C6756"/>
      <c r="D6756"/>
      <c r="E6756" s="56"/>
      <c r="F6756" s="242"/>
      <c r="G6756"/>
      <c r="H6756" s="471"/>
      <c r="I6756" s="471"/>
      <c r="J6756" s="471"/>
      <c r="K6756" s="18"/>
      <c r="L6756" s="18"/>
      <c r="M6756" s="18"/>
      <c r="N6756" s="18"/>
      <c r="O6756" s="18"/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</row>
    <row r="6757" spans="1:26" hidden="1">
      <c r="A6757" s="56"/>
      <c r="B6757" s="445"/>
      <c r="C6757"/>
      <c r="D6757"/>
      <c r="E6757" s="56"/>
      <c r="F6757" s="242"/>
      <c r="G6757"/>
      <c r="H6757" s="471"/>
      <c r="I6757" s="471"/>
      <c r="J6757" s="471"/>
      <c r="K6757" s="18"/>
      <c r="L6757" s="18"/>
      <c r="M6757" s="18"/>
      <c r="N6757" s="18"/>
      <c r="O6757" s="18"/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8"/>
    </row>
    <row r="6758" spans="1:26" hidden="1">
      <c r="A6758" s="56"/>
      <c r="B6758" s="445"/>
      <c r="C6758"/>
      <c r="D6758"/>
      <c r="E6758" s="56"/>
      <c r="F6758" s="242"/>
      <c r="G6758"/>
      <c r="H6758" s="471"/>
      <c r="I6758" s="471"/>
      <c r="J6758" s="471"/>
      <c r="K6758" s="18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</row>
    <row r="6759" spans="1:26" hidden="1">
      <c r="A6759" s="56"/>
      <c r="B6759" s="445"/>
      <c r="C6759"/>
      <c r="D6759"/>
      <c r="E6759" s="56"/>
      <c r="F6759" s="242"/>
      <c r="G6759"/>
      <c r="H6759" s="471"/>
      <c r="I6759" s="471"/>
      <c r="J6759" s="471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</row>
    <row r="6760" spans="1:26" hidden="1">
      <c r="A6760" s="56"/>
      <c r="B6760" s="445"/>
      <c r="C6760"/>
      <c r="D6760"/>
      <c r="E6760" s="56"/>
      <c r="F6760" s="242"/>
      <c r="G6760"/>
      <c r="H6760" s="471"/>
      <c r="I6760" s="471"/>
      <c r="J6760" s="471"/>
      <c r="K6760" s="18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</row>
    <row r="6761" spans="1:26" hidden="1">
      <c r="A6761" s="56"/>
      <c r="B6761" s="445"/>
      <c r="C6761"/>
      <c r="D6761"/>
      <c r="E6761" s="56"/>
      <c r="F6761" s="242"/>
      <c r="G6761"/>
      <c r="H6761" s="471"/>
      <c r="I6761" s="471"/>
      <c r="J6761" s="471"/>
      <c r="K6761" s="18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</row>
    <row r="6762" spans="1:26" hidden="1">
      <c r="A6762" s="56"/>
      <c r="B6762" s="445"/>
      <c r="C6762"/>
      <c r="D6762"/>
      <c r="E6762" s="56"/>
      <c r="H6762" s="471"/>
      <c r="I6762" s="471"/>
      <c r="J6762" s="471"/>
      <c r="K6762" s="18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</row>
    <row r="6763" spans="1:26" hidden="1">
      <c r="A6763" s="56"/>
      <c r="B6763" s="445"/>
      <c r="C6763"/>
      <c r="D6763"/>
      <c r="E6763" s="56"/>
      <c r="H6763" s="471"/>
      <c r="I6763" s="471"/>
      <c r="J6763" s="471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</row>
    <row r="6764" spans="1:26" hidden="1">
      <c r="A6764" s="56"/>
      <c r="B6764" s="445"/>
      <c r="C6764"/>
      <c r="D6764"/>
      <c r="E6764" s="56"/>
      <c r="H6764" s="471"/>
      <c r="I6764" s="471"/>
      <c r="J6764" s="471"/>
      <c r="K6764" s="18"/>
      <c r="L6764" s="18"/>
      <c r="M6764" s="18"/>
      <c r="N6764" s="18"/>
      <c r="O6764" s="18"/>
      <c r="P6764" s="18"/>
      <c r="Q6764" s="18"/>
      <c r="R6764" s="18"/>
      <c r="S6764" s="18"/>
      <c r="T6764" s="18"/>
      <c r="U6764" s="18"/>
      <c r="V6764" s="18"/>
      <c r="W6764" s="18"/>
      <c r="X6764" s="18"/>
      <c r="Y6764" s="18"/>
      <c r="Z6764" s="18"/>
    </row>
    <row r="6765" spans="1:26" hidden="1">
      <c r="A6765" s="56"/>
      <c r="B6765" s="445"/>
      <c r="C6765"/>
      <c r="D6765"/>
      <c r="E6765" s="56"/>
      <c r="H6765" s="471"/>
      <c r="I6765" s="471"/>
      <c r="J6765" s="471"/>
      <c r="K6765" s="18"/>
      <c r="L6765" s="18"/>
      <c r="M6765" s="18"/>
      <c r="N6765" s="18"/>
      <c r="O6765" s="18"/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</row>
    <row r="6766" spans="1:26" hidden="1">
      <c r="A6766" s="56"/>
      <c r="B6766" s="445"/>
      <c r="C6766"/>
      <c r="D6766"/>
      <c r="E6766" s="56"/>
      <c r="F6766" s="242"/>
      <c r="G6766"/>
      <c r="H6766" s="471"/>
      <c r="I6766" s="471"/>
      <c r="J6766" s="471"/>
      <c r="K6766" s="18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</row>
    <row r="6767" spans="1:26" hidden="1">
      <c r="A6767" s="56"/>
      <c r="B6767" s="445"/>
      <c r="C6767"/>
      <c r="D6767"/>
      <c r="E6767" s="56"/>
      <c r="F6767" s="242"/>
      <c r="G6767"/>
      <c r="H6767" s="471"/>
      <c r="I6767" s="471"/>
      <c r="J6767" s="471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</row>
    <row r="6768" spans="1:26" hidden="1">
      <c r="A6768" s="56"/>
      <c r="B6768" s="445"/>
      <c r="C6768"/>
      <c r="D6768"/>
      <c r="E6768" s="56"/>
      <c r="F6768" s="242"/>
      <c r="G6768"/>
      <c r="H6768" s="471"/>
      <c r="I6768" s="471"/>
      <c r="J6768" s="471"/>
      <c r="K6768" s="18"/>
      <c r="L6768" s="18"/>
      <c r="M6768" s="18"/>
      <c r="N6768" s="18"/>
      <c r="O6768" s="18"/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</row>
    <row r="6769" spans="1:26" hidden="1">
      <c r="A6769" s="56"/>
      <c r="B6769" s="445"/>
      <c r="C6769"/>
      <c r="D6769"/>
      <c r="E6769" s="56"/>
      <c r="F6769" s="242"/>
      <c r="G6769"/>
      <c r="H6769" s="471"/>
      <c r="I6769" s="471"/>
      <c r="J6769" s="471"/>
      <c r="K6769" s="18"/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</row>
    <row r="6770" spans="1:26" hidden="1">
      <c r="A6770" s="56"/>
      <c r="B6770" s="445"/>
      <c r="C6770"/>
      <c r="D6770"/>
      <c r="E6770" s="56"/>
      <c r="F6770" s="242"/>
      <c r="G6770"/>
      <c r="H6770" s="471"/>
      <c r="I6770" s="471"/>
      <c r="J6770" s="471"/>
      <c r="K6770" s="18"/>
      <c r="L6770" s="18"/>
      <c r="M6770" s="18"/>
      <c r="N6770" s="18"/>
      <c r="O6770" s="18"/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</row>
    <row r="6771" spans="1:26" hidden="1">
      <c r="A6771" s="56"/>
      <c r="B6771" s="445"/>
      <c r="C6771"/>
      <c r="D6771"/>
      <c r="E6771" s="56"/>
      <c r="F6771" s="242"/>
      <c r="G6771"/>
      <c r="H6771" s="471"/>
      <c r="I6771" s="471"/>
      <c r="J6771" s="471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</row>
    <row r="6772" spans="1:26" hidden="1">
      <c r="A6772" s="56"/>
      <c r="B6772" s="445"/>
      <c r="C6772"/>
      <c r="D6772"/>
      <c r="E6772" s="56"/>
      <c r="F6772" s="242"/>
      <c r="G6772"/>
      <c r="H6772" s="471"/>
      <c r="I6772" s="471"/>
      <c r="J6772" s="471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8"/>
      <c r="X6772" s="18"/>
      <c r="Y6772" s="18"/>
      <c r="Z6772" s="18"/>
    </row>
    <row r="6773" spans="1:26" hidden="1">
      <c r="A6773" s="56"/>
      <c r="B6773" s="445"/>
      <c r="C6773"/>
      <c r="D6773"/>
      <c r="E6773" s="56"/>
      <c r="F6773" s="242"/>
      <c r="G6773"/>
      <c r="H6773" s="471"/>
      <c r="I6773" s="471"/>
      <c r="J6773" s="471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</row>
    <row r="6774" spans="1:26" hidden="1">
      <c r="A6774" s="56"/>
      <c r="B6774" s="445"/>
      <c r="C6774"/>
      <c r="D6774"/>
      <c r="E6774" s="56"/>
      <c r="F6774" s="242"/>
      <c r="G6774"/>
      <c r="H6774" s="471"/>
      <c r="I6774" s="471"/>
      <c r="J6774" s="471"/>
      <c r="K6774" s="18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  <c r="W6774" s="18"/>
      <c r="X6774" s="18"/>
      <c r="Y6774" s="18"/>
      <c r="Z6774" s="18"/>
    </row>
    <row r="6775" spans="1:26" hidden="1">
      <c r="A6775" s="56"/>
      <c r="B6775" s="445"/>
      <c r="C6775"/>
      <c r="D6775"/>
      <c r="E6775" s="56"/>
      <c r="F6775" s="242"/>
      <c r="G6775"/>
      <c r="H6775" s="471"/>
      <c r="I6775" s="471"/>
      <c r="J6775" s="471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</row>
    <row r="6776" spans="1:26" hidden="1">
      <c r="A6776" s="56"/>
      <c r="B6776" s="445"/>
      <c r="C6776"/>
      <c r="D6776"/>
      <c r="E6776" s="56"/>
      <c r="F6776" s="242"/>
      <c r="G6776"/>
      <c r="H6776" s="471"/>
      <c r="I6776" s="471"/>
      <c r="J6776" s="471"/>
      <c r="K6776" s="18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  <c r="W6776" s="18"/>
      <c r="X6776" s="18"/>
      <c r="Y6776" s="18"/>
      <c r="Z6776" s="18"/>
    </row>
    <row r="6777" spans="1:26" hidden="1">
      <c r="A6777" s="56"/>
      <c r="B6777" s="445"/>
      <c r="C6777"/>
      <c r="D6777"/>
      <c r="E6777" s="56"/>
      <c r="F6777" s="242"/>
      <c r="G6777"/>
      <c r="H6777" s="471"/>
      <c r="I6777" s="471"/>
      <c r="J6777" s="471"/>
      <c r="K6777" s="18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</row>
    <row r="6778" spans="1:26" hidden="1">
      <c r="A6778" s="56"/>
      <c r="B6778" s="445"/>
      <c r="C6778"/>
      <c r="D6778"/>
      <c r="E6778" s="56"/>
      <c r="F6778" s="242"/>
      <c r="G6778"/>
      <c r="H6778" s="471"/>
      <c r="I6778" s="471"/>
      <c r="J6778" s="471"/>
      <c r="K6778" s="18"/>
      <c r="L6778" s="18"/>
      <c r="M6778" s="18"/>
      <c r="N6778" s="18"/>
      <c r="O6778" s="18"/>
      <c r="P6778" s="18"/>
      <c r="Q6778" s="18"/>
      <c r="R6778" s="18"/>
      <c r="S6778" s="18"/>
      <c r="T6778" s="18"/>
      <c r="U6778" s="18"/>
      <c r="V6778" s="18"/>
      <c r="W6778" s="18"/>
      <c r="X6778" s="18"/>
      <c r="Y6778" s="18"/>
      <c r="Z6778" s="18"/>
    </row>
    <row r="6779" spans="1:26" hidden="1">
      <c r="A6779" s="56"/>
      <c r="B6779" s="445"/>
      <c r="C6779"/>
      <c r="D6779"/>
      <c r="E6779" s="56"/>
      <c r="F6779" s="242"/>
      <c r="G6779"/>
      <c r="H6779" s="471"/>
      <c r="I6779" s="471"/>
      <c r="J6779" s="471"/>
      <c r="K6779" s="18"/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</row>
    <row r="6780" spans="1:26" hidden="1">
      <c r="A6780" s="56"/>
      <c r="B6780" s="445"/>
      <c r="C6780"/>
      <c r="D6780"/>
      <c r="E6780" s="56"/>
      <c r="F6780" s="242"/>
      <c r="G6780"/>
      <c r="H6780" s="471"/>
      <c r="I6780" s="471"/>
      <c r="J6780" s="471"/>
      <c r="K6780" s="18"/>
      <c r="L6780" s="18"/>
      <c r="M6780" s="18"/>
      <c r="N6780" s="18"/>
      <c r="O6780" s="18"/>
      <c r="P6780" s="18"/>
      <c r="Q6780" s="18"/>
      <c r="R6780" s="18"/>
      <c r="S6780" s="18"/>
      <c r="T6780" s="18"/>
      <c r="U6780" s="18"/>
      <c r="V6780" s="18"/>
      <c r="W6780" s="18"/>
      <c r="X6780" s="18"/>
      <c r="Y6780" s="18"/>
      <c r="Z6780" s="18"/>
    </row>
    <row r="6781" spans="1:26" hidden="1">
      <c r="A6781" s="56"/>
      <c r="B6781" s="445"/>
      <c r="C6781"/>
      <c r="D6781"/>
      <c r="E6781" s="56"/>
      <c r="F6781" s="242"/>
      <c r="G6781"/>
      <c r="H6781" s="471"/>
      <c r="I6781" s="471"/>
      <c r="J6781" s="471"/>
      <c r="K6781" s="18"/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</row>
    <row r="6782" spans="1:26" hidden="1">
      <c r="A6782" s="56"/>
      <c r="B6782" s="445"/>
      <c r="C6782"/>
      <c r="D6782"/>
      <c r="E6782" s="56"/>
      <c r="F6782" s="242"/>
      <c r="G6782"/>
      <c r="H6782" s="471"/>
      <c r="I6782" s="471"/>
      <c r="J6782" s="471"/>
      <c r="K6782" s="18"/>
      <c r="L6782" s="18"/>
      <c r="M6782" s="18"/>
      <c r="N6782" s="18"/>
      <c r="O6782" s="18"/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</row>
    <row r="6783" spans="1:26" hidden="1">
      <c r="A6783" s="56"/>
      <c r="B6783" s="445"/>
      <c r="C6783"/>
      <c r="D6783"/>
      <c r="E6783" s="56"/>
      <c r="F6783" s="242"/>
      <c r="G6783"/>
      <c r="H6783" s="471"/>
      <c r="I6783" s="471"/>
      <c r="J6783" s="471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</row>
    <row r="6784" spans="1:26" hidden="1">
      <c r="A6784" s="56"/>
      <c r="B6784" s="445"/>
      <c r="C6784"/>
      <c r="D6784"/>
      <c r="E6784" s="56"/>
      <c r="F6784" s="242"/>
      <c r="G6784"/>
      <c r="H6784" s="471"/>
      <c r="I6784" s="471"/>
      <c r="J6784" s="471"/>
      <c r="K6784" s="18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</row>
    <row r="6785" spans="1:26" hidden="1">
      <c r="A6785" s="56"/>
      <c r="B6785" s="445"/>
      <c r="C6785"/>
      <c r="D6785"/>
      <c r="E6785" s="56"/>
      <c r="F6785" s="242"/>
      <c r="G6785"/>
      <c r="H6785" s="471"/>
      <c r="I6785" s="471"/>
      <c r="J6785" s="471"/>
      <c r="K6785" s="18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</row>
    <row r="6786" spans="1:26" hidden="1">
      <c r="A6786" s="56"/>
      <c r="B6786" s="445"/>
      <c r="C6786"/>
      <c r="D6786"/>
      <c r="E6786" s="56"/>
      <c r="F6786" s="242"/>
      <c r="G6786"/>
      <c r="H6786" s="471"/>
      <c r="I6786" s="471"/>
      <c r="J6786" s="471"/>
      <c r="K6786" s="18"/>
      <c r="L6786" s="18"/>
      <c r="M6786" s="18"/>
      <c r="N6786" s="18"/>
      <c r="O6786" s="18"/>
      <c r="P6786" s="18"/>
      <c r="Q6786" s="18"/>
      <c r="R6786" s="18"/>
      <c r="S6786" s="18"/>
      <c r="T6786" s="18"/>
      <c r="U6786" s="18"/>
      <c r="V6786" s="18"/>
      <c r="W6786" s="18"/>
      <c r="X6786" s="18"/>
      <c r="Y6786" s="18"/>
      <c r="Z6786" s="18"/>
    </row>
    <row r="6787" spans="1:26" hidden="1">
      <c r="A6787" s="56"/>
      <c r="B6787" s="445"/>
      <c r="C6787"/>
      <c r="D6787"/>
      <c r="E6787" s="56"/>
      <c r="H6787" s="471"/>
      <c r="I6787" s="471"/>
      <c r="J6787" s="471"/>
      <c r="K6787" s="18"/>
      <c r="L6787" s="18"/>
      <c r="M6787" s="18"/>
      <c r="N6787" s="18"/>
      <c r="O6787" s="18"/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</row>
    <row r="6788" spans="1:26" hidden="1">
      <c r="A6788" s="56"/>
      <c r="B6788" s="445"/>
      <c r="C6788"/>
      <c r="D6788"/>
      <c r="E6788" s="56"/>
      <c r="H6788" s="471"/>
      <c r="I6788" s="471"/>
      <c r="J6788" s="471"/>
      <c r="K6788" s="18"/>
      <c r="L6788" s="18"/>
      <c r="M6788" s="18"/>
      <c r="N6788" s="18"/>
      <c r="O6788" s="18"/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</row>
    <row r="6789" spans="1:26" hidden="1">
      <c r="A6789" s="56"/>
      <c r="B6789" s="445"/>
      <c r="C6789"/>
      <c r="D6789"/>
      <c r="E6789" s="56"/>
      <c r="H6789" s="471"/>
      <c r="I6789" s="471"/>
      <c r="J6789" s="471"/>
      <c r="K6789" s="18"/>
      <c r="L6789" s="18"/>
      <c r="M6789" s="18"/>
      <c r="N6789" s="18"/>
      <c r="O6789" s="18"/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</row>
    <row r="6790" spans="1:26" hidden="1">
      <c r="A6790" s="56"/>
      <c r="B6790" s="445"/>
      <c r="C6790"/>
      <c r="D6790"/>
      <c r="E6790" s="56"/>
      <c r="H6790" s="471"/>
      <c r="I6790" s="471"/>
      <c r="J6790" s="471"/>
      <c r="K6790" s="18"/>
      <c r="L6790" s="18"/>
      <c r="M6790" s="18"/>
      <c r="N6790" s="18"/>
      <c r="O6790" s="18"/>
      <c r="P6790" s="18"/>
      <c r="Q6790" s="18"/>
      <c r="R6790" s="18"/>
      <c r="S6790" s="18"/>
      <c r="T6790" s="18"/>
      <c r="U6790" s="18"/>
      <c r="V6790" s="18"/>
      <c r="W6790" s="18"/>
      <c r="X6790" s="18"/>
      <c r="Y6790" s="18"/>
      <c r="Z6790" s="18"/>
    </row>
    <row r="6791" spans="1:26" hidden="1">
      <c r="A6791" s="56"/>
      <c r="B6791" s="445"/>
      <c r="C6791"/>
      <c r="D6791"/>
      <c r="E6791" s="56"/>
      <c r="H6791" s="471"/>
      <c r="I6791" s="471"/>
      <c r="J6791" s="471"/>
      <c r="K6791" s="18"/>
      <c r="L6791" s="18"/>
      <c r="M6791" s="18"/>
      <c r="N6791" s="18"/>
      <c r="O6791" s="18"/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</row>
    <row r="6792" spans="1:26" hidden="1">
      <c r="A6792" s="56"/>
      <c r="B6792" s="445"/>
      <c r="C6792"/>
      <c r="D6792"/>
      <c r="E6792" s="56"/>
      <c r="H6792" s="471"/>
      <c r="I6792" s="471"/>
      <c r="J6792" s="471"/>
      <c r="K6792" s="18"/>
      <c r="L6792" s="18"/>
      <c r="M6792" s="18"/>
      <c r="N6792" s="18"/>
      <c r="O6792" s="18"/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</row>
    <row r="6793" spans="1:26" hidden="1">
      <c r="A6793" s="56"/>
      <c r="B6793" s="445"/>
      <c r="C6793"/>
      <c r="D6793"/>
      <c r="E6793" s="56"/>
      <c r="F6793" s="242"/>
      <c r="G6793"/>
      <c r="H6793" s="471"/>
      <c r="I6793" s="471"/>
      <c r="J6793" s="471"/>
      <c r="K6793" s="18"/>
      <c r="L6793" s="18"/>
      <c r="M6793" s="18"/>
      <c r="N6793" s="18"/>
      <c r="O6793" s="18"/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</row>
    <row r="6794" spans="1:26" hidden="1">
      <c r="A6794" s="56"/>
      <c r="B6794" s="445"/>
      <c r="C6794"/>
      <c r="D6794"/>
      <c r="E6794" s="56"/>
      <c r="F6794" s="242"/>
      <c r="G6794"/>
      <c r="H6794" s="471"/>
      <c r="I6794" s="471"/>
      <c r="J6794" s="471"/>
      <c r="K6794" s="18"/>
      <c r="L6794" s="18"/>
      <c r="M6794" s="18"/>
      <c r="N6794" s="18"/>
      <c r="O6794" s="18"/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</row>
    <row r="6795" spans="1:26" hidden="1">
      <c r="A6795" s="56"/>
      <c r="B6795" s="445"/>
      <c r="C6795"/>
      <c r="D6795"/>
      <c r="E6795" s="56"/>
      <c r="F6795" s="242"/>
      <c r="G6795"/>
      <c r="H6795" s="471"/>
      <c r="I6795" s="471"/>
      <c r="J6795" s="471"/>
      <c r="K6795" s="18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</row>
    <row r="6796" spans="1:26" hidden="1">
      <c r="A6796" s="56"/>
      <c r="B6796" s="445"/>
      <c r="C6796"/>
      <c r="D6796"/>
      <c r="E6796" s="56"/>
      <c r="F6796" s="242"/>
      <c r="G6796"/>
      <c r="H6796" s="471"/>
      <c r="I6796" s="471"/>
      <c r="J6796" s="471"/>
      <c r="K6796" s="18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</row>
    <row r="6797" spans="1:26" hidden="1">
      <c r="A6797" s="56"/>
      <c r="B6797" s="445"/>
      <c r="C6797"/>
      <c r="D6797"/>
      <c r="E6797" s="56"/>
      <c r="F6797" s="242"/>
      <c r="G6797"/>
      <c r="H6797" s="471"/>
      <c r="I6797" s="471"/>
      <c r="J6797" s="471"/>
      <c r="K6797" s="18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</row>
    <row r="6798" spans="1:26" hidden="1">
      <c r="A6798" s="56"/>
      <c r="B6798" s="445"/>
      <c r="C6798"/>
      <c r="D6798"/>
      <c r="E6798" s="56"/>
      <c r="F6798" s="242"/>
      <c r="G6798"/>
      <c r="H6798" s="471"/>
      <c r="I6798" s="471"/>
      <c r="J6798" s="471"/>
      <c r="K6798" s="18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</row>
    <row r="6799" spans="1:26" hidden="1">
      <c r="A6799" s="56"/>
      <c r="B6799" s="445"/>
      <c r="C6799"/>
      <c r="D6799"/>
      <c r="E6799" s="56"/>
      <c r="F6799" s="242"/>
      <c r="G6799"/>
      <c r="H6799" s="471"/>
      <c r="I6799" s="471"/>
      <c r="J6799" s="471"/>
      <c r="K6799" s="18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</row>
    <row r="6800" spans="1:26" hidden="1">
      <c r="A6800" s="56"/>
      <c r="B6800" s="445"/>
      <c r="C6800"/>
      <c r="D6800"/>
      <c r="E6800" s="56"/>
      <c r="F6800" s="242"/>
      <c r="G6800"/>
      <c r="H6800" s="471"/>
      <c r="I6800" s="471"/>
      <c r="J6800" s="471"/>
      <c r="K6800" s="18"/>
      <c r="L6800" s="18"/>
      <c r="M6800" s="18"/>
      <c r="N6800" s="18"/>
      <c r="O6800" s="18"/>
      <c r="P6800" s="18"/>
      <c r="Q6800" s="18"/>
      <c r="R6800" s="18"/>
      <c r="S6800" s="18"/>
      <c r="T6800" s="18"/>
      <c r="U6800" s="18"/>
      <c r="V6800" s="18"/>
      <c r="W6800" s="18"/>
      <c r="X6800" s="18"/>
      <c r="Y6800" s="18"/>
      <c r="Z6800" s="18"/>
    </row>
    <row r="6801" spans="1:26" hidden="1">
      <c r="A6801" s="56"/>
      <c r="B6801" s="445"/>
      <c r="C6801"/>
      <c r="D6801"/>
      <c r="E6801" s="56"/>
      <c r="F6801" s="242"/>
      <c r="G6801"/>
      <c r="H6801" s="471"/>
      <c r="I6801" s="471"/>
      <c r="J6801" s="471"/>
      <c r="K6801" s="18"/>
      <c r="L6801" s="18"/>
      <c r="M6801" s="18"/>
      <c r="N6801" s="18"/>
      <c r="O6801" s="18"/>
      <c r="P6801" s="18"/>
      <c r="Q6801" s="18"/>
      <c r="R6801" s="18"/>
      <c r="S6801" s="18"/>
      <c r="T6801" s="18"/>
      <c r="U6801" s="18"/>
      <c r="V6801" s="18"/>
      <c r="W6801" s="18"/>
      <c r="X6801" s="18"/>
      <c r="Y6801" s="18"/>
      <c r="Z6801" s="18"/>
    </row>
    <row r="6802" spans="1:26" hidden="1">
      <c r="A6802" s="56"/>
      <c r="B6802" s="445"/>
      <c r="C6802"/>
      <c r="D6802"/>
      <c r="E6802" s="56"/>
      <c r="F6802" s="242"/>
      <c r="G6802"/>
      <c r="H6802" s="471"/>
      <c r="I6802" s="471"/>
      <c r="J6802" s="471"/>
      <c r="K6802" s="18"/>
      <c r="L6802" s="18"/>
      <c r="M6802" s="18"/>
      <c r="N6802" s="18"/>
      <c r="O6802" s="18"/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</row>
    <row r="6803" spans="1:26" hidden="1">
      <c r="A6803" s="56"/>
      <c r="B6803" s="445"/>
      <c r="C6803"/>
      <c r="D6803"/>
      <c r="E6803" s="56"/>
      <c r="F6803" s="242"/>
      <c r="G6803"/>
      <c r="H6803" s="471"/>
      <c r="I6803" s="471"/>
      <c r="J6803" s="471"/>
      <c r="K6803" s="18"/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</row>
    <row r="6804" spans="1:26" hidden="1">
      <c r="A6804" s="56"/>
      <c r="B6804" s="445"/>
      <c r="C6804"/>
      <c r="D6804"/>
      <c r="E6804" s="56"/>
      <c r="F6804" s="242"/>
      <c r="G6804"/>
      <c r="H6804" s="471"/>
      <c r="I6804" s="471"/>
      <c r="J6804" s="471"/>
      <c r="K6804" s="18"/>
      <c r="L6804" s="18"/>
      <c r="M6804" s="18"/>
      <c r="N6804" s="18"/>
      <c r="O6804" s="18"/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</row>
    <row r="6805" spans="1:26" hidden="1">
      <c r="A6805" s="56"/>
      <c r="B6805" s="445"/>
      <c r="C6805"/>
      <c r="D6805"/>
      <c r="E6805" s="56"/>
      <c r="F6805" s="242"/>
      <c r="G6805"/>
      <c r="H6805" s="471"/>
      <c r="I6805" s="471"/>
      <c r="J6805" s="471"/>
      <c r="K6805" s="18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</row>
    <row r="6806" spans="1:26" hidden="1">
      <c r="A6806" s="56"/>
      <c r="B6806" s="445"/>
      <c r="C6806"/>
      <c r="D6806"/>
      <c r="E6806" s="56"/>
      <c r="F6806" s="242"/>
      <c r="G6806"/>
      <c r="H6806" s="471"/>
      <c r="I6806" s="471"/>
      <c r="J6806" s="471"/>
      <c r="K6806" s="18"/>
      <c r="L6806" s="18"/>
      <c r="M6806" s="18"/>
      <c r="N6806" s="18"/>
      <c r="O6806" s="18"/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</row>
    <row r="6807" spans="1:26" hidden="1">
      <c r="A6807" s="56"/>
      <c r="B6807" s="445"/>
      <c r="C6807"/>
      <c r="D6807"/>
      <c r="E6807" s="56"/>
      <c r="F6807" s="242"/>
      <c r="G6807"/>
      <c r="H6807" s="471"/>
      <c r="I6807" s="471"/>
      <c r="J6807" s="471"/>
      <c r="K6807" s="18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</row>
    <row r="6808" spans="1:26" hidden="1">
      <c r="A6808" s="56"/>
      <c r="B6808" s="445"/>
      <c r="C6808"/>
      <c r="D6808"/>
      <c r="E6808" s="56"/>
      <c r="F6808" s="242"/>
      <c r="G6808"/>
      <c r="H6808" s="471"/>
      <c r="I6808" s="471"/>
      <c r="J6808" s="471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</row>
    <row r="6809" spans="1:26" hidden="1">
      <c r="A6809" s="56"/>
      <c r="B6809" s="445"/>
      <c r="C6809"/>
      <c r="D6809"/>
      <c r="E6809" s="56"/>
      <c r="F6809" s="242"/>
      <c r="G6809"/>
      <c r="H6809" s="471"/>
      <c r="I6809" s="471"/>
      <c r="J6809" s="471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</row>
    <row r="6810" spans="1:26" hidden="1">
      <c r="A6810" s="56"/>
      <c r="B6810" s="445"/>
      <c r="C6810"/>
      <c r="D6810"/>
      <c r="E6810" s="56"/>
      <c r="F6810" s="242"/>
      <c r="G6810"/>
      <c r="H6810" s="471"/>
      <c r="I6810" s="471"/>
      <c r="J6810" s="471"/>
      <c r="K6810" s="18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</row>
    <row r="6811" spans="1:26" hidden="1">
      <c r="A6811" s="56"/>
      <c r="B6811" s="445"/>
      <c r="C6811"/>
      <c r="D6811"/>
      <c r="E6811" s="56"/>
      <c r="F6811" s="242"/>
      <c r="G6811"/>
      <c r="H6811" s="471"/>
      <c r="I6811" s="471"/>
      <c r="J6811" s="471"/>
      <c r="K6811" s="18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</row>
    <row r="6812" spans="1:26" hidden="1">
      <c r="A6812" s="56"/>
      <c r="B6812" s="445"/>
      <c r="C6812"/>
      <c r="D6812"/>
      <c r="E6812" s="56"/>
      <c r="F6812" s="242"/>
      <c r="G6812"/>
      <c r="H6812" s="471"/>
      <c r="I6812" s="471"/>
      <c r="J6812" s="471"/>
      <c r="K6812" s="18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</row>
    <row r="6813" spans="1:26" hidden="1">
      <c r="A6813" s="56"/>
      <c r="B6813" s="445"/>
      <c r="C6813"/>
      <c r="D6813"/>
      <c r="E6813" s="56"/>
      <c r="F6813" s="242"/>
      <c r="G6813"/>
      <c r="H6813" s="471"/>
      <c r="I6813" s="471"/>
      <c r="J6813" s="471"/>
      <c r="K6813" s="18"/>
      <c r="L6813" s="18"/>
      <c r="M6813" s="18"/>
      <c r="N6813" s="18"/>
      <c r="O6813" s="18"/>
      <c r="P6813" s="18"/>
      <c r="Q6813" s="18"/>
      <c r="R6813" s="18"/>
      <c r="S6813" s="18"/>
      <c r="T6813" s="18"/>
      <c r="U6813" s="18"/>
      <c r="V6813" s="18"/>
      <c r="W6813" s="18"/>
      <c r="X6813" s="18"/>
      <c r="Y6813" s="18"/>
      <c r="Z6813" s="18"/>
    </row>
    <row r="6814" spans="1:26" hidden="1">
      <c r="A6814" s="56"/>
      <c r="B6814" s="445"/>
      <c r="C6814"/>
      <c r="D6814"/>
      <c r="E6814" s="56"/>
      <c r="F6814" s="242"/>
      <c r="G6814"/>
      <c r="H6814" s="471"/>
      <c r="I6814" s="471"/>
      <c r="J6814" s="471"/>
      <c r="K6814" s="18"/>
      <c r="L6814" s="18"/>
      <c r="M6814" s="18"/>
      <c r="N6814" s="18"/>
      <c r="O6814" s="18"/>
      <c r="P6814" s="18"/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</row>
    <row r="6815" spans="1:26" hidden="1">
      <c r="A6815" s="56"/>
      <c r="B6815" s="445"/>
      <c r="C6815"/>
      <c r="D6815"/>
      <c r="E6815" s="56"/>
      <c r="F6815" s="242"/>
      <c r="G6815"/>
      <c r="H6815" s="471"/>
      <c r="I6815" s="471"/>
      <c r="J6815" s="471"/>
      <c r="K6815" s="18"/>
      <c r="L6815" s="18"/>
      <c r="M6815" s="18"/>
      <c r="N6815" s="18"/>
      <c r="O6815" s="18"/>
      <c r="P6815" s="18"/>
      <c r="Q6815" s="18"/>
      <c r="R6815" s="18"/>
      <c r="S6815" s="18"/>
      <c r="T6815" s="18"/>
      <c r="U6815" s="18"/>
      <c r="V6815" s="18"/>
      <c r="W6815" s="18"/>
      <c r="X6815" s="18"/>
      <c r="Y6815" s="18"/>
      <c r="Z6815" s="18"/>
    </row>
    <row r="6816" spans="1:26" hidden="1">
      <c r="A6816" s="56"/>
      <c r="B6816" s="445"/>
      <c r="C6816"/>
      <c r="D6816"/>
      <c r="E6816" s="56"/>
      <c r="F6816" s="242"/>
      <c r="G6816"/>
      <c r="H6816" s="471"/>
      <c r="I6816" s="471"/>
      <c r="J6816" s="471"/>
      <c r="K6816" s="18"/>
      <c r="L6816" s="18"/>
      <c r="M6816" s="18"/>
      <c r="N6816" s="18"/>
      <c r="O6816" s="18"/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</row>
    <row r="6817" spans="1:26" hidden="1">
      <c r="A6817" s="56"/>
      <c r="B6817" s="445"/>
      <c r="C6817"/>
      <c r="D6817"/>
      <c r="E6817" s="56"/>
      <c r="F6817" s="242"/>
      <c r="G6817"/>
      <c r="H6817" s="471"/>
      <c r="I6817" s="471"/>
      <c r="J6817" s="471"/>
      <c r="K6817" s="18"/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</row>
    <row r="6818" spans="1:26" hidden="1">
      <c r="A6818" s="56"/>
      <c r="B6818" s="445"/>
      <c r="C6818"/>
      <c r="D6818"/>
      <c r="E6818" s="56"/>
      <c r="F6818" s="242"/>
      <c r="G6818"/>
      <c r="H6818" s="471"/>
      <c r="I6818" s="471"/>
      <c r="J6818" s="471"/>
      <c r="K6818" s="18"/>
      <c r="L6818" s="18"/>
      <c r="M6818" s="18"/>
      <c r="N6818" s="18"/>
      <c r="O6818" s="18"/>
      <c r="P6818" s="18"/>
      <c r="Q6818" s="18"/>
      <c r="R6818" s="18"/>
      <c r="S6818" s="18"/>
      <c r="T6818" s="18"/>
      <c r="U6818" s="18"/>
      <c r="V6818" s="18"/>
      <c r="W6818" s="18"/>
      <c r="X6818" s="18"/>
      <c r="Y6818" s="18"/>
      <c r="Z6818" s="18"/>
    </row>
    <row r="6819" spans="1:26" hidden="1">
      <c r="A6819" s="56"/>
      <c r="B6819" s="445"/>
      <c r="C6819"/>
      <c r="D6819"/>
      <c r="E6819" s="56"/>
      <c r="F6819" s="242"/>
      <c r="G6819"/>
      <c r="H6819" s="471"/>
      <c r="I6819" s="471"/>
      <c r="J6819" s="471"/>
      <c r="K6819" s="18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</row>
    <row r="6820" spans="1:26" hidden="1">
      <c r="A6820" s="56"/>
      <c r="B6820" s="445"/>
      <c r="C6820"/>
      <c r="D6820"/>
      <c r="E6820" s="56"/>
      <c r="F6820" s="242"/>
      <c r="G6820"/>
      <c r="H6820" s="471"/>
      <c r="I6820" s="471"/>
      <c r="J6820" s="471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</row>
    <row r="6821" spans="1:26" hidden="1">
      <c r="A6821" s="56"/>
      <c r="B6821" s="445"/>
      <c r="C6821"/>
      <c r="D6821"/>
      <c r="E6821" s="56"/>
      <c r="F6821" s="242"/>
      <c r="G6821"/>
      <c r="H6821" s="471"/>
      <c r="I6821" s="471"/>
      <c r="J6821" s="471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</row>
    <row r="6822" spans="1:26" hidden="1">
      <c r="A6822" s="56"/>
      <c r="B6822" s="445"/>
      <c r="C6822"/>
      <c r="D6822"/>
      <c r="E6822" s="56"/>
      <c r="F6822" s="242"/>
      <c r="G6822"/>
      <c r="H6822" s="471"/>
      <c r="I6822" s="471"/>
      <c r="J6822" s="471"/>
      <c r="K6822" s="18"/>
      <c r="L6822" s="18"/>
      <c r="M6822" s="18"/>
      <c r="N6822" s="18"/>
      <c r="O6822" s="18"/>
      <c r="P6822" s="18"/>
      <c r="Q6822" s="18"/>
      <c r="R6822" s="18"/>
      <c r="S6822" s="18"/>
      <c r="T6822" s="18"/>
      <c r="U6822" s="18"/>
      <c r="V6822" s="18"/>
      <c r="W6822" s="18"/>
      <c r="X6822" s="18"/>
      <c r="Y6822" s="18"/>
      <c r="Z6822" s="18"/>
    </row>
    <row r="6823" spans="1:26" hidden="1">
      <c r="A6823" s="56"/>
      <c r="B6823" s="445"/>
      <c r="C6823"/>
      <c r="D6823"/>
      <c r="E6823" s="56"/>
      <c r="F6823" s="242"/>
      <c r="G6823"/>
      <c r="H6823" s="471"/>
      <c r="I6823" s="471"/>
      <c r="J6823" s="471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</row>
    <row r="6824" spans="1:26" hidden="1">
      <c r="A6824" s="56"/>
      <c r="B6824" s="445"/>
      <c r="C6824"/>
      <c r="D6824"/>
      <c r="E6824" s="56"/>
      <c r="F6824" s="242"/>
      <c r="G6824"/>
      <c r="H6824" s="471"/>
      <c r="I6824" s="471"/>
      <c r="J6824" s="471"/>
      <c r="K6824" s="18"/>
      <c r="L6824" s="18"/>
      <c r="M6824" s="18"/>
      <c r="N6824" s="18"/>
      <c r="O6824" s="18"/>
      <c r="P6824" s="18"/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</row>
    <row r="6825" spans="1:26" hidden="1">
      <c r="A6825" s="56"/>
      <c r="B6825" s="445"/>
      <c r="C6825"/>
      <c r="D6825"/>
      <c r="E6825" s="56"/>
      <c r="F6825" s="242"/>
      <c r="G6825"/>
      <c r="H6825" s="471"/>
      <c r="I6825" s="471"/>
      <c r="J6825" s="471"/>
      <c r="K6825" s="18"/>
      <c r="L6825" s="18"/>
      <c r="M6825" s="18"/>
      <c r="N6825" s="18"/>
      <c r="O6825" s="18"/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</row>
    <row r="6826" spans="1:26" hidden="1">
      <c r="A6826" s="56"/>
      <c r="B6826" s="445"/>
      <c r="C6826"/>
      <c r="D6826"/>
      <c r="E6826" s="56"/>
      <c r="F6826" s="242"/>
      <c r="G6826"/>
      <c r="H6826" s="471"/>
      <c r="I6826" s="471"/>
      <c r="J6826" s="471"/>
      <c r="K6826" s="18"/>
      <c r="L6826" s="18"/>
      <c r="M6826" s="18"/>
      <c r="N6826" s="18"/>
      <c r="O6826" s="18"/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8"/>
    </row>
    <row r="6827" spans="1:26" hidden="1">
      <c r="A6827" s="56"/>
      <c r="B6827" s="445"/>
      <c r="C6827"/>
      <c r="D6827"/>
      <c r="E6827" s="56"/>
      <c r="F6827" s="242"/>
      <c r="G6827"/>
      <c r="H6827" s="471"/>
      <c r="I6827" s="471"/>
      <c r="J6827" s="471"/>
      <c r="K6827" s="18"/>
      <c r="L6827" s="18"/>
      <c r="M6827" s="18"/>
      <c r="N6827" s="18"/>
      <c r="O6827" s="18"/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</row>
    <row r="6828" spans="1:26" hidden="1">
      <c r="A6828" s="56"/>
      <c r="B6828" s="445"/>
      <c r="C6828"/>
      <c r="D6828"/>
      <c r="E6828" s="56"/>
      <c r="F6828" s="242"/>
      <c r="G6828"/>
      <c r="H6828" s="471"/>
      <c r="I6828" s="471"/>
      <c r="J6828" s="471"/>
      <c r="K6828" s="18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</row>
    <row r="6829" spans="1:26" hidden="1">
      <c r="A6829" s="56"/>
      <c r="B6829" s="445"/>
      <c r="C6829"/>
      <c r="D6829"/>
      <c r="E6829" s="56"/>
      <c r="F6829" s="242"/>
      <c r="G6829"/>
      <c r="H6829" s="471"/>
      <c r="I6829" s="471"/>
      <c r="J6829" s="471"/>
      <c r="K6829" s="18"/>
      <c r="L6829" s="18"/>
      <c r="M6829" s="18"/>
      <c r="N6829" s="18"/>
      <c r="O6829" s="18"/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</row>
    <row r="6830" spans="1:26" hidden="1">
      <c r="A6830" s="56"/>
      <c r="B6830" s="445"/>
      <c r="C6830"/>
      <c r="D6830"/>
      <c r="E6830" s="56"/>
      <c r="F6830" s="242"/>
      <c r="G6830"/>
      <c r="H6830" s="471"/>
      <c r="I6830" s="471"/>
      <c r="J6830" s="471"/>
      <c r="K6830" s="18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</row>
    <row r="6831" spans="1:26" hidden="1">
      <c r="A6831" s="56"/>
      <c r="B6831" s="445"/>
      <c r="C6831"/>
      <c r="D6831"/>
      <c r="E6831" s="56"/>
      <c r="F6831" s="242"/>
      <c r="G6831"/>
      <c r="H6831" s="471"/>
      <c r="I6831" s="471"/>
      <c r="J6831" s="471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</row>
    <row r="6832" spans="1:26" hidden="1">
      <c r="A6832" s="56"/>
      <c r="B6832" s="445"/>
      <c r="C6832"/>
      <c r="D6832"/>
      <c r="E6832" s="56"/>
      <c r="F6832" s="242"/>
      <c r="G6832"/>
      <c r="H6832" s="471"/>
      <c r="I6832" s="471"/>
      <c r="J6832" s="471"/>
      <c r="K6832" s="18"/>
      <c r="L6832" s="18"/>
      <c r="M6832" s="18"/>
      <c r="N6832" s="18"/>
      <c r="O6832" s="18"/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</row>
    <row r="6833" spans="1:26" hidden="1">
      <c r="A6833" s="56"/>
      <c r="B6833" s="445"/>
      <c r="C6833"/>
      <c r="D6833"/>
      <c r="E6833" s="56"/>
      <c r="F6833" s="242"/>
      <c r="G6833"/>
      <c r="H6833" s="471"/>
      <c r="I6833" s="471"/>
      <c r="J6833" s="471"/>
      <c r="K6833" s="18"/>
      <c r="L6833" s="18"/>
      <c r="M6833" s="18"/>
      <c r="N6833" s="18"/>
      <c r="O6833" s="18"/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</row>
    <row r="6834" spans="1:26" hidden="1">
      <c r="A6834" s="56"/>
      <c r="B6834" s="445"/>
      <c r="C6834"/>
      <c r="D6834"/>
      <c r="E6834" s="56"/>
      <c r="F6834" s="242"/>
      <c r="G6834"/>
      <c r="H6834" s="471"/>
      <c r="I6834" s="471"/>
      <c r="J6834" s="471"/>
      <c r="K6834" s="18"/>
      <c r="L6834" s="18"/>
      <c r="M6834" s="18"/>
      <c r="N6834" s="18"/>
      <c r="O6834" s="18"/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</row>
    <row r="6835" spans="1:26" hidden="1">
      <c r="A6835" s="56"/>
      <c r="B6835" s="445"/>
      <c r="C6835"/>
      <c r="D6835"/>
      <c r="E6835" s="56"/>
      <c r="F6835" s="242"/>
      <c r="G6835"/>
      <c r="H6835" s="471"/>
      <c r="I6835" s="471"/>
      <c r="J6835" s="471"/>
      <c r="K6835" s="18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</row>
    <row r="6836" spans="1:26" hidden="1">
      <c r="A6836" s="56"/>
      <c r="B6836" s="445"/>
      <c r="C6836"/>
      <c r="D6836"/>
      <c r="E6836" s="56"/>
      <c r="F6836" s="242"/>
      <c r="G6836"/>
      <c r="H6836" s="471"/>
      <c r="I6836" s="471"/>
      <c r="J6836" s="471"/>
      <c r="K6836" s="18"/>
      <c r="L6836" s="18"/>
      <c r="M6836" s="18"/>
      <c r="N6836" s="18"/>
      <c r="O6836" s="18"/>
      <c r="P6836" s="18"/>
      <c r="Q6836" s="18"/>
      <c r="R6836" s="18"/>
      <c r="S6836" s="18"/>
      <c r="T6836" s="18"/>
      <c r="U6836" s="18"/>
      <c r="V6836" s="18"/>
      <c r="W6836" s="18"/>
      <c r="X6836" s="18"/>
      <c r="Y6836" s="18"/>
      <c r="Z6836" s="18"/>
    </row>
    <row r="6837" spans="1:26" hidden="1">
      <c r="A6837" s="56"/>
      <c r="B6837" s="445"/>
      <c r="C6837"/>
      <c r="D6837"/>
      <c r="E6837" s="56"/>
      <c r="F6837" s="242"/>
      <c r="G6837"/>
      <c r="H6837" s="471"/>
      <c r="I6837" s="471"/>
      <c r="J6837" s="471"/>
      <c r="K6837" s="18"/>
      <c r="L6837" s="18"/>
      <c r="M6837" s="18"/>
      <c r="N6837" s="18"/>
      <c r="O6837" s="18"/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</row>
    <row r="6838" spans="1:26" hidden="1">
      <c r="A6838" s="56"/>
      <c r="B6838" s="445"/>
      <c r="C6838"/>
      <c r="D6838"/>
      <c r="E6838" s="56"/>
      <c r="F6838" s="242"/>
      <c r="G6838"/>
      <c r="H6838" s="471"/>
      <c r="I6838" s="471"/>
      <c r="J6838" s="471"/>
      <c r="K6838" s="18"/>
      <c r="L6838" s="18"/>
      <c r="M6838" s="18"/>
      <c r="N6838" s="18"/>
      <c r="O6838" s="18"/>
      <c r="P6838" s="18"/>
      <c r="Q6838" s="18"/>
      <c r="R6838" s="18"/>
      <c r="S6838" s="18"/>
      <c r="T6838" s="18"/>
      <c r="U6838" s="18"/>
      <c r="V6838" s="18"/>
      <c r="W6838" s="18"/>
      <c r="X6838" s="18"/>
      <c r="Y6838" s="18"/>
      <c r="Z6838" s="18"/>
    </row>
    <row r="6839" spans="1:26" hidden="1">
      <c r="A6839" s="56"/>
      <c r="B6839" s="445"/>
      <c r="C6839"/>
      <c r="D6839"/>
      <c r="E6839" s="56"/>
      <c r="F6839" s="242"/>
      <c r="G6839"/>
      <c r="H6839" s="471"/>
      <c r="I6839" s="471"/>
      <c r="J6839" s="471"/>
      <c r="K6839" s="18"/>
      <c r="L6839" s="18"/>
      <c r="M6839" s="18"/>
      <c r="N6839" s="18"/>
      <c r="O6839" s="18"/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</row>
    <row r="6840" spans="1:26" hidden="1">
      <c r="A6840" s="56"/>
      <c r="B6840" s="445"/>
      <c r="C6840"/>
      <c r="D6840"/>
      <c r="E6840" s="56"/>
      <c r="F6840" s="242"/>
      <c r="G6840"/>
      <c r="H6840" s="471"/>
      <c r="I6840" s="471"/>
      <c r="J6840" s="471"/>
      <c r="K6840" s="18"/>
      <c r="L6840" s="18"/>
      <c r="M6840" s="18"/>
      <c r="N6840" s="18"/>
      <c r="O6840" s="18"/>
      <c r="P6840" s="18"/>
      <c r="Q6840" s="18"/>
      <c r="R6840" s="18"/>
      <c r="S6840" s="18"/>
      <c r="T6840" s="18"/>
      <c r="U6840" s="18"/>
      <c r="V6840" s="18"/>
      <c r="W6840" s="18"/>
      <c r="X6840" s="18"/>
      <c r="Y6840" s="18"/>
      <c r="Z6840" s="18"/>
    </row>
    <row r="6841" spans="1:26" hidden="1">
      <c r="A6841" s="56"/>
      <c r="B6841" s="445"/>
      <c r="C6841"/>
      <c r="D6841"/>
      <c r="E6841" s="56"/>
      <c r="F6841" s="242"/>
      <c r="G6841"/>
      <c r="H6841" s="471"/>
      <c r="I6841" s="471"/>
      <c r="J6841" s="471"/>
      <c r="K6841" s="18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</row>
    <row r="6842" spans="1:26" hidden="1">
      <c r="A6842" s="56"/>
      <c r="B6842" s="445"/>
      <c r="C6842"/>
      <c r="D6842"/>
      <c r="E6842" s="56"/>
      <c r="F6842" s="242"/>
      <c r="G6842"/>
      <c r="H6842" s="471"/>
      <c r="I6842" s="471"/>
      <c r="J6842" s="471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</row>
    <row r="6843" spans="1:26" hidden="1">
      <c r="A6843" s="56"/>
      <c r="B6843" s="445"/>
      <c r="C6843"/>
      <c r="D6843"/>
      <c r="E6843" s="56"/>
      <c r="F6843" s="242"/>
      <c r="G6843"/>
      <c r="H6843" s="471"/>
      <c r="I6843" s="471"/>
      <c r="J6843" s="471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</row>
    <row r="6844" spans="1:26" hidden="1">
      <c r="A6844" s="56"/>
      <c r="B6844" s="445"/>
      <c r="C6844"/>
      <c r="D6844"/>
      <c r="E6844" s="56"/>
      <c r="F6844" s="242"/>
      <c r="G6844"/>
      <c r="H6844" s="471"/>
      <c r="I6844" s="471"/>
      <c r="J6844" s="471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</row>
    <row r="6845" spans="1:26" hidden="1">
      <c r="A6845" s="56"/>
      <c r="B6845" s="445"/>
      <c r="C6845"/>
      <c r="D6845"/>
      <c r="E6845" s="56"/>
      <c r="F6845" s="242"/>
      <c r="G6845"/>
      <c r="H6845" s="471"/>
      <c r="I6845" s="471"/>
      <c r="J6845" s="471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</row>
    <row r="6846" spans="1:26" hidden="1">
      <c r="A6846" s="56"/>
      <c r="B6846" s="445"/>
      <c r="C6846"/>
      <c r="D6846"/>
      <c r="E6846" s="56"/>
      <c r="F6846" s="242"/>
      <c r="G6846"/>
      <c r="H6846" s="471"/>
      <c r="I6846" s="471"/>
      <c r="J6846" s="471"/>
      <c r="K6846" s="18"/>
      <c r="L6846" s="18"/>
      <c r="M6846" s="18"/>
      <c r="N6846" s="18"/>
      <c r="O6846" s="18"/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</row>
    <row r="6847" spans="1:26" hidden="1">
      <c r="A6847" s="56"/>
      <c r="B6847" s="445"/>
      <c r="C6847"/>
      <c r="D6847"/>
      <c r="E6847" s="56"/>
      <c r="F6847" s="242"/>
      <c r="G6847"/>
      <c r="H6847" s="471"/>
      <c r="I6847" s="471"/>
      <c r="J6847" s="471"/>
      <c r="K6847" s="18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</row>
    <row r="6848" spans="1:26" hidden="1">
      <c r="A6848" s="56"/>
      <c r="B6848" s="445"/>
      <c r="C6848"/>
      <c r="D6848"/>
      <c r="E6848" s="56"/>
      <c r="F6848" s="242"/>
      <c r="G6848"/>
      <c r="H6848" s="471"/>
      <c r="I6848" s="471"/>
      <c r="J6848" s="471"/>
      <c r="K6848" s="18"/>
      <c r="L6848" s="18"/>
      <c r="M6848" s="18"/>
      <c r="N6848" s="18"/>
      <c r="O6848" s="18"/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</row>
    <row r="6849" spans="1:26" hidden="1">
      <c r="A6849" s="56"/>
      <c r="B6849" s="445"/>
      <c r="C6849"/>
      <c r="D6849"/>
      <c r="E6849" s="56"/>
      <c r="F6849" s="242"/>
      <c r="G6849"/>
      <c r="H6849" s="471"/>
      <c r="I6849" s="471"/>
      <c r="J6849" s="471"/>
      <c r="K6849" s="18"/>
      <c r="L6849" s="18"/>
      <c r="M6849" s="18"/>
      <c r="N6849" s="18"/>
      <c r="O6849" s="18"/>
      <c r="P6849" s="18"/>
      <c r="Q6849" s="18"/>
      <c r="R6849" s="18"/>
      <c r="S6849" s="18"/>
      <c r="T6849" s="18"/>
      <c r="U6849" s="18"/>
      <c r="V6849" s="18"/>
      <c r="W6849" s="18"/>
      <c r="X6849" s="18"/>
      <c r="Y6849" s="18"/>
      <c r="Z6849" s="18"/>
    </row>
    <row r="6850" spans="1:26" hidden="1">
      <c r="A6850" s="56"/>
      <c r="B6850" s="445"/>
      <c r="C6850"/>
      <c r="D6850"/>
      <c r="E6850" s="56"/>
      <c r="F6850" s="242"/>
      <c r="G6850"/>
      <c r="H6850" s="471"/>
      <c r="I6850" s="471"/>
      <c r="J6850" s="471"/>
      <c r="K6850" s="18"/>
      <c r="L6850" s="18"/>
      <c r="M6850" s="18"/>
      <c r="N6850" s="18"/>
      <c r="O6850" s="18"/>
      <c r="P6850" s="18"/>
      <c r="Q6850" s="18"/>
      <c r="R6850" s="18"/>
      <c r="S6850" s="18"/>
      <c r="T6850" s="18"/>
      <c r="U6850" s="18"/>
      <c r="V6850" s="18"/>
      <c r="W6850" s="18"/>
      <c r="X6850" s="18"/>
      <c r="Y6850" s="18"/>
      <c r="Z6850" s="18"/>
    </row>
    <row r="6851" spans="1:26" hidden="1">
      <c r="A6851" s="56"/>
      <c r="B6851" s="445"/>
      <c r="C6851"/>
      <c r="D6851"/>
      <c r="E6851" s="56"/>
      <c r="F6851" s="242"/>
      <c r="G6851"/>
      <c r="H6851" s="471"/>
      <c r="I6851" s="471"/>
      <c r="J6851" s="471"/>
      <c r="K6851" s="18"/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</row>
    <row r="6852" spans="1:26" hidden="1">
      <c r="A6852" s="56"/>
      <c r="B6852" s="445"/>
      <c r="C6852"/>
      <c r="D6852"/>
      <c r="E6852" s="56"/>
      <c r="F6852" s="242"/>
      <c r="G6852"/>
      <c r="H6852" s="471"/>
      <c r="I6852" s="471"/>
      <c r="J6852" s="471"/>
      <c r="K6852" s="18"/>
      <c r="L6852" s="18"/>
      <c r="M6852" s="18"/>
      <c r="N6852" s="18"/>
      <c r="O6852" s="18"/>
      <c r="P6852" s="18"/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</row>
    <row r="6853" spans="1:26" hidden="1">
      <c r="A6853" s="56"/>
      <c r="B6853" s="445"/>
      <c r="C6853"/>
      <c r="D6853"/>
      <c r="E6853" s="56"/>
      <c r="F6853" s="242"/>
      <c r="G6853"/>
      <c r="H6853" s="471"/>
      <c r="I6853" s="471"/>
      <c r="J6853" s="471"/>
      <c r="K6853" s="18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</row>
    <row r="6854" spans="1:26" hidden="1">
      <c r="A6854" s="56"/>
      <c r="B6854" s="445"/>
      <c r="C6854"/>
      <c r="D6854"/>
      <c r="E6854" s="56"/>
      <c r="F6854" s="242"/>
      <c r="G6854"/>
      <c r="H6854" s="471"/>
      <c r="I6854" s="471"/>
      <c r="J6854" s="471"/>
      <c r="K6854" s="18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</row>
    <row r="6855" spans="1:26" hidden="1">
      <c r="A6855" s="56"/>
      <c r="B6855" s="445"/>
      <c r="C6855"/>
      <c r="D6855"/>
      <c r="E6855" s="56"/>
      <c r="F6855" s="242"/>
      <c r="G6855"/>
      <c r="H6855" s="471"/>
      <c r="I6855" s="471"/>
      <c r="J6855" s="471"/>
      <c r="K6855" s="18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</row>
    <row r="6856" spans="1:26" hidden="1">
      <c r="A6856" s="56"/>
      <c r="B6856" s="445"/>
      <c r="C6856"/>
      <c r="D6856"/>
      <c r="E6856" s="56"/>
      <c r="F6856" s="242"/>
      <c r="G6856"/>
      <c r="H6856" s="471"/>
      <c r="I6856" s="471"/>
      <c r="J6856" s="471"/>
      <c r="K6856" s="18"/>
      <c r="L6856" s="18"/>
      <c r="M6856" s="18"/>
      <c r="N6856" s="18"/>
      <c r="O6856" s="18"/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</row>
    <row r="6857" spans="1:26" hidden="1">
      <c r="A6857" s="56"/>
      <c r="B6857" s="445"/>
      <c r="C6857"/>
      <c r="D6857"/>
      <c r="E6857" s="56"/>
      <c r="F6857" s="242"/>
      <c r="G6857"/>
      <c r="H6857" s="471"/>
      <c r="I6857" s="471"/>
      <c r="J6857" s="471"/>
      <c r="K6857" s="18"/>
      <c r="L6857" s="18"/>
      <c r="M6857" s="18"/>
      <c r="N6857" s="18"/>
      <c r="O6857" s="18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</row>
    <row r="6858" spans="1:26" hidden="1">
      <c r="A6858" s="56"/>
      <c r="B6858" s="445"/>
      <c r="C6858"/>
      <c r="D6858"/>
      <c r="E6858" s="56"/>
      <c r="H6858" s="471"/>
      <c r="I6858" s="471"/>
      <c r="J6858" s="471"/>
      <c r="K6858" s="18"/>
      <c r="L6858" s="18"/>
      <c r="M6858" s="18"/>
      <c r="N6858" s="18"/>
      <c r="O6858" s="18"/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</row>
    <row r="6859" spans="1:26" hidden="1">
      <c r="A6859" s="56"/>
      <c r="B6859" s="445"/>
      <c r="C6859"/>
      <c r="D6859"/>
      <c r="E6859" s="56"/>
      <c r="F6859" s="242"/>
      <c r="G6859"/>
      <c r="H6859" s="471"/>
      <c r="I6859" s="471"/>
      <c r="J6859" s="471"/>
      <c r="K6859" s="18"/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</row>
    <row r="6860" spans="1:26" hidden="1">
      <c r="A6860" s="56"/>
      <c r="B6860" s="445"/>
      <c r="C6860"/>
      <c r="D6860"/>
      <c r="E6860" s="56"/>
      <c r="F6860" s="242"/>
      <c r="G6860"/>
      <c r="H6860" s="471"/>
      <c r="I6860" s="471"/>
      <c r="J6860" s="471"/>
      <c r="K6860" s="18"/>
      <c r="L6860" s="18"/>
      <c r="M6860" s="18"/>
      <c r="N6860" s="18"/>
      <c r="O6860" s="18"/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8"/>
    </row>
    <row r="6861" spans="1:26" hidden="1">
      <c r="A6861" s="56"/>
      <c r="B6861" s="445"/>
      <c r="C6861"/>
      <c r="D6861"/>
      <c r="E6861" s="56"/>
      <c r="F6861" s="242"/>
      <c r="G6861"/>
      <c r="H6861" s="471"/>
      <c r="I6861" s="471"/>
      <c r="J6861" s="471"/>
      <c r="K6861" s="18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</row>
    <row r="6862" spans="1:26" hidden="1">
      <c r="A6862" s="56"/>
      <c r="B6862" s="445"/>
      <c r="C6862"/>
      <c r="D6862"/>
      <c r="E6862" s="56"/>
      <c r="F6862" s="242"/>
      <c r="G6862"/>
      <c r="H6862" s="471"/>
      <c r="I6862" s="471"/>
      <c r="J6862" s="471"/>
      <c r="K6862" s="18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</row>
    <row r="6863" spans="1:26" hidden="1">
      <c r="A6863" s="56"/>
      <c r="B6863" s="445"/>
      <c r="C6863"/>
      <c r="D6863"/>
      <c r="E6863" s="56"/>
      <c r="F6863" s="242"/>
      <c r="G6863"/>
      <c r="H6863" s="471"/>
      <c r="I6863" s="471"/>
      <c r="J6863" s="471"/>
      <c r="K6863" s="18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</row>
    <row r="6864" spans="1:26" hidden="1">
      <c r="A6864" s="56"/>
      <c r="B6864" s="445"/>
      <c r="C6864"/>
      <c r="D6864"/>
      <c r="E6864" s="56"/>
      <c r="F6864" s="242"/>
      <c r="G6864"/>
      <c r="H6864" s="471"/>
      <c r="I6864" s="471"/>
      <c r="J6864" s="471"/>
      <c r="K6864" s="18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</row>
    <row r="6865" spans="1:26" hidden="1">
      <c r="A6865" s="56"/>
      <c r="B6865" s="445"/>
      <c r="C6865"/>
      <c r="D6865"/>
      <c r="E6865" s="56"/>
      <c r="F6865" s="242"/>
      <c r="G6865"/>
      <c r="H6865" s="471"/>
      <c r="I6865" s="471"/>
      <c r="J6865" s="471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  <c r="W6865" s="18"/>
      <c r="X6865" s="18"/>
      <c r="Y6865" s="18"/>
      <c r="Z6865" s="18"/>
    </row>
    <row r="6866" spans="1:26" hidden="1">
      <c r="A6866" s="56"/>
      <c r="B6866" s="445"/>
      <c r="C6866"/>
      <c r="D6866"/>
      <c r="E6866" s="56"/>
      <c r="F6866" s="242"/>
      <c r="G6866"/>
      <c r="H6866" s="471"/>
      <c r="I6866" s="471"/>
      <c r="J6866" s="471"/>
      <c r="K6866" s="18"/>
      <c r="L6866" s="18"/>
      <c r="M6866" s="18"/>
      <c r="N6866" s="18"/>
      <c r="O6866" s="18"/>
      <c r="P6866" s="18"/>
      <c r="Q6866" s="18"/>
      <c r="R6866" s="18"/>
      <c r="S6866" s="18"/>
      <c r="T6866" s="18"/>
      <c r="U6866" s="18"/>
      <c r="V6866" s="18"/>
      <c r="W6866" s="18"/>
      <c r="X6866" s="18"/>
      <c r="Y6866" s="18"/>
      <c r="Z6866" s="18"/>
    </row>
    <row r="6867" spans="1:26" hidden="1">
      <c r="A6867" s="56"/>
      <c r="B6867" s="445"/>
      <c r="C6867"/>
      <c r="D6867"/>
      <c r="E6867" s="56"/>
      <c r="F6867" s="242"/>
      <c r="G6867"/>
      <c r="H6867" s="471"/>
      <c r="I6867" s="471"/>
      <c r="J6867" s="471"/>
      <c r="K6867" s="18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</row>
    <row r="6868" spans="1:26" hidden="1">
      <c r="A6868" s="56"/>
      <c r="B6868" s="445"/>
      <c r="C6868"/>
      <c r="D6868"/>
      <c r="E6868" s="56"/>
      <c r="F6868" s="242"/>
      <c r="G6868"/>
      <c r="H6868" s="471"/>
      <c r="I6868" s="471"/>
      <c r="J6868" s="471"/>
      <c r="K6868" s="18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</row>
    <row r="6869" spans="1:26" hidden="1">
      <c r="A6869" s="56"/>
      <c r="B6869" s="445"/>
      <c r="C6869"/>
      <c r="D6869"/>
      <c r="E6869" s="56"/>
      <c r="F6869" s="242"/>
      <c r="G6869"/>
      <c r="H6869" s="471"/>
      <c r="I6869" s="471"/>
      <c r="J6869" s="471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</row>
    <row r="6870" spans="1:26" hidden="1">
      <c r="A6870" s="56"/>
      <c r="B6870" s="445"/>
      <c r="C6870"/>
      <c r="D6870"/>
      <c r="E6870" s="56"/>
      <c r="F6870" s="242"/>
      <c r="G6870"/>
      <c r="H6870" s="471"/>
      <c r="I6870" s="471"/>
      <c r="J6870" s="471"/>
      <c r="K6870" s="18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</row>
    <row r="6871" spans="1:26" hidden="1">
      <c r="A6871" s="56"/>
      <c r="B6871" s="445"/>
      <c r="C6871"/>
      <c r="D6871"/>
      <c r="E6871" s="56"/>
      <c r="F6871" s="242"/>
      <c r="G6871"/>
      <c r="H6871" s="471"/>
      <c r="I6871" s="471"/>
      <c r="J6871" s="471"/>
      <c r="K6871" s="18"/>
      <c r="L6871" s="18"/>
      <c r="M6871" s="18"/>
      <c r="N6871" s="18"/>
      <c r="O6871" s="18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</row>
    <row r="6872" spans="1:26" hidden="1">
      <c r="A6872" s="56"/>
      <c r="B6872" s="445"/>
      <c r="C6872"/>
      <c r="D6872"/>
      <c r="E6872" s="56"/>
      <c r="F6872" s="242"/>
      <c r="G6872"/>
      <c r="H6872" s="471"/>
      <c r="I6872" s="471"/>
      <c r="J6872" s="471"/>
      <c r="K6872" s="18"/>
      <c r="L6872" s="18"/>
      <c r="M6872" s="18"/>
      <c r="N6872" s="18"/>
      <c r="O6872" s="18"/>
      <c r="P6872" s="18"/>
      <c r="Q6872" s="18"/>
      <c r="R6872" s="18"/>
      <c r="S6872" s="18"/>
      <c r="T6872" s="18"/>
      <c r="U6872" s="18"/>
      <c r="V6872" s="18"/>
      <c r="W6872" s="18"/>
      <c r="X6872" s="18"/>
      <c r="Y6872" s="18"/>
      <c r="Z6872" s="18"/>
    </row>
    <row r="6873" spans="1:26" hidden="1">
      <c r="A6873" s="56"/>
      <c r="B6873" s="445"/>
      <c r="C6873"/>
      <c r="D6873"/>
      <c r="E6873" s="56"/>
      <c r="F6873" s="242"/>
      <c r="G6873"/>
      <c r="H6873" s="471"/>
      <c r="I6873" s="471"/>
      <c r="J6873" s="471"/>
      <c r="K6873" s="18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</row>
    <row r="6874" spans="1:26" hidden="1">
      <c r="A6874" s="56"/>
      <c r="B6874" s="445"/>
      <c r="C6874"/>
      <c r="D6874"/>
      <c r="E6874" s="56"/>
      <c r="F6874" s="242"/>
      <c r="G6874"/>
      <c r="H6874" s="471"/>
      <c r="I6874" s="471"/>
      <c r="J6874" s="471"/>
      <c r="K6874" s="18"/>
      <c r="L6874" s="18"/>
      <c r="M6874" s="18"/>
      <c r="N6874" s="18"/>
      <c r="O6874" s="18"/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</row>
    <row r="6875" spans="1:26" hidden="1">
      <c r="A6875" s="56"/>
      <c r="B6875" s="445"/>
      <c r="C6875"/>
      <c r="D6875"/>
      <c r="E6875" s="56"/>
      <c r="F6875" s="242"/>
      <c r="G6875"/>
      <c r="H6875" s="471"/>
      <c r="I6875" s="471"/>
      <c r="J6875" s="471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</row>
    <row r="6876" spans="1:26" hidden="1">
      <c r="A6876" s="56"/>
      <c r="B6876" s="445"/>
      <c r="C6876"/>
      <c r="D6876"/>
      <c r="E6876" s="56"/>
      <c r="F6876" s="242"/>
      <c r="G6876"/>
      <c r="H6876" s="471"/>
      <c r="I6876" s="471"/>
      <c r="J6876" s="471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</row>
    <row r="6877" spans="1:26" hidden="1">
      <c r="A6877" s="56"/>
      <c r="B6877" s="445"/>
      <c r="C6877"/>
      <c r="D6877"/>
      <c r="E6877" s="56"/>
      <c r="F6877" s="242"/>
      <c r="G6877"/>
      <c r="H6877" s="471"/>
      <c r="I6877" s="471"/>
      <c r="J6877" s="471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</row>
    <row r="6878" spans="1:26" hidden="1">
      <c r="A6878" s="56"/>
      <c r="B6878" s="445"/>
      <c r="C6878"/>
      <c r="D6878"/>
      <c r="E6878" s="56"/>
      <c r="F6878" s="242"/>
      <c r="G6878"/>
      <c r="H6878" s="471"/>
      <c r="I6878" s="471"/>
      <c r="J6878" s="471"/>
      <c r="K6878" s="18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</row>
    <row r="6879" spans="1:26" hidden="1">
      <c r="A6879" s="56"/>
      <c r="B6879" s="445"/>
      <c r="C6879"/>
      <c r="D6879"/>
      <c r="E6879" s="56"/>
      <c r="F6879" s="242"/>
      <c r="G6879"/>
      <c r="H6879" s="471"/>
      <c r="I6879" s="471"/>
      <c r="J6879" s="471"/>
      <c r="K6879" s="18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</row>
    <row r="6880" spans="1:26" hidden="1">
      <c r="A6880" s="56"/>
      <c r="B6880" s="445"/>
      <c r="C6880"/>
      <c r="D6880"/>
      <c r="E6880" s="56"/>
      <c r="H6880" s="471"/>
      <c r="I6880" s="471"/>
      <c r="J6880" s="471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</row>
    <row r="6881" spans="1:26" hidden="1">
      <c r="A6881" s="56"/>
      <c r="B6881" s="445"/>
      <c r="C6881"/>
      <c r="D6881"/>
      <c r="E6881" s="56"/>
      <c r="F6881" s="242"/>
      <c r="G6881"/>
      <c r="H6881" s="471"/>
      <c r="I6881" s="471"/>
      <c r="J6881" s="471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</row>
    <row r="6882" spans="1:26" hidden="1">
      <c r="A6882" s="56"/>
      <c r="B6882" s="445"/>
      <c r="C6882"/>
      <c r="D6882"/>
      <c r="E6882" s="56"/>
      <c r="F6882" s="242"/>
      <c r="G6882"/>
      <c r="H6882" s="471"/>
      <c r="I6882" s="471"/>
      <c r="J6882" s="471"/>
      <c r="K6882" s="18"/>
      <c r="L6882" s="18"/>
      <c r="M6882" s="18"/>
      <c r="N6882" s="18"/>
      <c r="O6882" s="18"/>
      <c r="P6882" s="18"/>
      <c r="Q6882" s="18"/>
      <c r="R6882" s="18"/>
      <c r="S6882" s="18"/>
      <c r="T6882" s="18"/>
      <c r="U6882" s="18"/>
      <c r="V6882" s="18"/>
      <c r="W6882" s="18"/>
      <c r="X6882" s="18"/>
      <c r="Y6882" s="18"/>
      <c r="Z6882" s="18"/>
    </row>
    <row r="6883" spans="1:26" hidden="1">
      <c r="A6883" s="56"/>
      <c r="B6883" s="445"/>
      <c r="C6883"/>
      <c r="D6883"/>
      <c r="E6883" s="56"/>
      <c r="H6883" s="471"/>
      <c r="I6883" s="471"/>
      <c r="J6883" s="471"/>
      <c r="K6883" s="18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</row>
    <row r="6884" spans="1:26" hidden="1">
      <c r="A6884" s="56"/>
      <c r="B6884" s="445"/>
      <c r="C6884"/>
      <c r="D6884"/>
      <c r="E6884" s="56"/>
      <c r="H6884" s="471"/>
      <c r="I6884" s="471"/>
      <c r="J6884" s="471"/>
      <c r="K6884" s="18"/>
      <c r="L6884" s="18"/>
      <c r="M6884" s="18"/>
      <c r="N6884" s="18"/>
      <c r="O6884" s="18"/>
      <c r="P6884" s="18"/>
      <c r="Q6884" s="18"/>
      <c r="R6884" s="18"/>
      <c r="S6884" s="18"/>
      <c r="T6884" s="18"/>
      <c r="U6884" s="18"/>
      <c r="V6884" s="18"/>
      <c r="W6884" s="18"/>
      <c r="X6884" s="18"/>
      <c r="Y6884" s="18"/>
      <c r="Z6884" s="18"/>
    </row>
    <row r="6885" spans="1:26" hidden="1">
      <c r="A6885" s="56"/>
      <c r="B6885" s="445"/>
      <c r="C6885"/>
      <c r="D6885"/>
      <c r="E6885" s="56"/>
      <c r="H6885" s="471"/>
      <c r="I6885" s="471"/>
      <c r="J6885" s="471"/>
      <c r="K6885" s="18"/>
      <c r="L6885" s="18"/>
      <c r="M6885" s="18"/>
      <c r="N6885" s="18"/>
      <c r="O6885" s="18"/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</row>
    <row r="6886" spans="1:26" hidden="1">
      <c r="A6886" s="56"/>
      <c r="B6886" s="445"/>
      <c r="C6886"/>
      <c r="D6886"/>
      <c r="E6886" s="56"/>
      <c r="H6886" s="471"/>
      <c r="I6886" s="471"/>
      <c r="J6886" s="471"/>
      <c r="K6886" s="18"/>
      <c r="L6886" s="18"/>
      <c r="M6886" s="18"/>
      <c r="N6886" s="18"/>
      <c r="O6886" s="18"/>
      <c r="P6886" s="18"/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</row>
    <row r="6887" spans="1:26" hidden="1">
      <c r="A6887" s="56"/>
      <c r="B6887" s="445"/>
      <c r="C6887"/>
      <c r="D6887"/>
      <c r="E6887" s="56"/>
      <c r="H6887" s="471"/>
      <c r="I6887" s="471"/>
      <c r="J6887" s="471"/>
      <c r="K6887" s="18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</row>
    <row r="6888" spans="1:26" hidden="1">
      <c r="A6888" s="56"/>
      <c r="B6888" s="445"/>
      <c r="C6888"/>
      <c r="D6888"/>
      <c r="E6888" s="56"/>
      <c r="H6888" s="471"/>
      <c r="I6888" s="471"/>
      <c r="J6888" s="471"/>
      <c r="K6888" s="18"/>
      <c r="L6888" s="18"/>
      <c r="M6888" s="18"/>
      <c r="N6888" s="18"/>
      <c r="O6888" s="18"/>
      <c r="P6888" s="18"/>
      <c r="Q6888" s="18"/>
      <c r="R6888" s="18"/>
      <c r="S6888" s="18"/>
      <c r="T6888" s="18"/>
      <c r="U6888" s="18"/>
      <c r="V6888" s="18"/>
      <c r="W6888" s="18"/>
      <c r="X6888" s="18"/>
      <c r="Y6888" s="18"/>
      <c r="Z6888" s="18"/>
    </row>
    <row r="6889" spans="1:26" hidden="1">
      <c r="A6889" s="56"/>
      <c r="B6889" s="445"/>
      <c r="C6889"/>
      <c r="D6889"/>
      <c r="E6889" s="56"/>
      <c r="H6889" s="471"/>
      <c r="I6889" s="471"/>
      <c r="J6889" s="471"/>
      <c r="K6889" s="18"/>
      <c r="L6889" s="18"/>
      <c r="M6889" s="18"/>
      <c r="N6889" s="18"/>
      <c r="O6889" s="18"/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</row>
    <row r="6890" spans="1:26" hidden="1">
      <c r="A6890" s="56"/>
      <c r="B6890" s="445"/>
      <c r="C6890"/>
      <c r="D6890"/>
      <c r="E6890" s="56"/>
      <c r="H6890" s="471"/>
      <c r="I6890" s="471"/>
      <c r="J6890" s="471"/>
      <c r="K6890" s="18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8"/>
    </row>
    <row r="6891" spans="1:26" hidden="1">
      <c r="A6891" s="56"/>
      <c r="B6891" s="445"/>
      <c r="C6891"/>
      <c r="D6891"/>
      <c r="E6891" s="56"/>
      <c r="H6891" s="471"/>
      <c r="I6891" s="471"/>
      <c r="J6891" s="471"/>
      <c r="K6891" s="18"/>
      <c r="L6891" s="18"/>
      <c r="M6891" s="18"/>
      <c r="N6891" s="18"/>
      <c r="O6891" s="18"/>
      <c r="P6891" s="18"/>
      <c r="Q6891" s="18"/>
      <c r="R6891" s="18"/>
      <c r="S6891" s="18"/>
      <c r="T6891" s="18"/>
      <c r="U6891" s="18"/>
      <c r="V6891" s="18"/>
      <c r="W6891" s="18"/>
      <c r="X6891" s="18"/>
      <c r="Y6891" s="18"/>
      <c r="Z6891" s="18"/>
    </row>
    <row r="6892" spans="1:26" hidden="1">
      <c r="A6892" s="56"/>
      <c r="B6892" s="445"/>
      <c r="C6892"/>
      <c r="D6892"/>
      <c r="E6892" s="56"/>
      <c r="H6892" s="471"/>
      <c r="I6892" s="471"/>
      <c r="J6892" s="471"/>
      <c r="K6892" s="18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</row>
    <row r="6893" spans="1:26" hidden="1">
      <c r="A6893" s="56"/>
      <c r="B6893" s="445"/>
      <c r="C6893"/>
      <c r="D6893"/>
      <c r="E6893" s="56"/>
      <c r="H6893" s="471"/>
      <c r="I6893" s="471"/>
      <c r="J6893" s="471"/>
      <c r="K6893" s="18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</row>
    <row r="6894" spans="1:26" hidden="1">
      <c r="A6894" s="56"/>
      <c r="B6894" s="445"/>
      <c r="C6894"/>
      <c r="D6894"/>
      <c r="E6894" s="56"/>
      <c r="H6894" s="471"/>
      <c r="I6894" s="471"/>
      <c r="J6894" s="471"/>
      <c r="K6894" s="18"/>
      <c r="L6894" s="18"/>
      <c r="M6894" s="18"/>
      <c r="N6894" s="18"/>
      <c r="O6894" s="18"/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</row>
    <row r="6895" spans="1:26" hidden="1">
      <c r="A6895" s="56"/>
      <c r="B6895" s="445"/>
      <c r="C6895"/>
      <c r="D6895"/>
      <c r="E6895" s="56"/>
      <c r="H6895" s="471"/>
      <c r="I6895" s="471"/>
      <c r="J6895" s="471"/>
      <c r="K6895" s="18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</row>
    <row r="6896" spans="1:26" hidden="1">
      <c r="A6896" s="56"/>
      <c r="B6896" s="445"/>
      <c r="C6896"/>
      <c r="D6896"/>
      <c r="E6896" s="56"/>
      <c r="H6896" s="471"/>
      <c r="I6896" s="471"/>
      <c r="J6896" s="471"/>
      <c r="K6896" s="18"/>
      <c r="L6896" s="18"/>
      <c r="M6896" s="18"/>
      <c r="N6896" s="18"/>
      <c r="O6896" s="18"/>
      <c r="P6896" s="18"/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</row>
    <row r="6897" spans="1:26" hidden="1">
      <c r="A6897" s="56"/>
      <c r="B6897" s="445"/>
      <c r="C6897"/>
      <c r="D6897"/>
      <c r="E6897" s="56"/>
      <c r="H6897" s="471"/>
      <c r="I6897" s="471"/>
      <c r="J6897" s="471"/>
      <c r="K6897" s="18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</row>
    <row r="6898" spans="1:26" hidden="1">
      <c r="A6898" s="56"/>
      <c r="B6898" s="445"/>
      <c r="C6898"/>
      <c r="D6898"/>
      <c r="E6898" s="56"/>
      <c r="H6898" s="471"/>
      <c r="I6898" s="471"/>
      <c r="J6898" s="471"/>
      <c r="K6898" s="18"/>
      <c r="L6898" s="18"/>
      <c r="M6898" s="18"/>
      <c r="N6898" s="18"/>
      <c r="O6898" s="18"/>
      <c r="P6898" s="18"/>
      <c r="Q6898" s="18"/>
      <c r="R6898" s="18"/>
      <c r="S6898" s="18"/>
      <c r="T6898" s="18"/>
      <c r="U6898" s="18"/>
      <c r="V6898" s="18"/>
      <c r="W6898" s="18"/>
      <c r="X6898" s="18"/>
      <c r="Y6898" s="18"/>
      <c r="Z6898" s="18"/>
    </row>
    <row r="6899" spans="1:26" hidden="1">
      <c r="A6899" s="56"/>
      <c r="B6899" s="445"/>
      <c r="C6899"/>
      <c r="D6899"/>
      <c r="E6899" s="56"/>
      <c r="H6899" s="471"/>
      <c r="I6899" s="471"/>
      <c r="J6899" s="471"/>
      <c r="K6899" s="18"/>
      <c r="L6899" s="18"/>
      <c r="M6899" s="18"/>
      <c r="N6899" s="18"/>
      <c r="O6899" s="18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</row>
    <row r="6900" spans="1:26" hidden="1">
      <c r="A6900" s="56"/>
      <c r="B6900" s="445"/>
      <c r="C6900"/>
      <c r="D6900"/>
      <c r="E6900" s="56"/>
      <c r="H6900" s="471"/>
      <c r="I6900" s="471"/>
      <c r="J6900" s="471"/>
      <c r="K6900" s="18"/>
      <c r="L6900" s="18"/>
      <c r="M6900" s="18"/>
      <c r="N6900" s="18"/>
      <c r="O6900" s="18"/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</row>
    <row r="6901" spans="1:26" hidden="1">
      <c r="A6901" s="56"/>
      <c r="B6901" s="445"/>
      <c r="C6901"/>
      <c r="D6901"/>
      <c r="E6901" s="56"/>
      <c r="H6901" s="471"/>
      <c r="I6901" s="471"/>
      <c r="J6901" s="471"/>
      <c r="K6901" s="18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</row>
    <row r="6902" spans="1:26" hidden="1">
      <c r="A6902" s="56"/>
      <c r="B6902" s="445"/>
      <c r="C6902"/>
      <c r="D6902"/>
      <c r="E6902" s="56"/>
      <c r="H6902" s="471"/>
      <c r="I6902" s="471"/>
      <c r="J6902" s="471"/>
      <c r="K6902" s="18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</row>
    <row r="6903" spans="1:26" hidden="1">
      <c r="A6903" s="56"/>
      <c r="B6903" s="445"/>
      <c r="C6903"/>
      <c r="D6903"/>
      <c r="E6903" s="56"/>
      <c r="H6903" s="471"/>
      <c r="I6903" s="471"/>
      <c r="J6903" s="471"/>
      <c r="K6903" s="18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</row>
    <row r="6904" spans="1:26" hidden="1">
      <c r="A6904" s="56"/>
      <c r="B6904" s="445"/>
      <c r="C6904"/>
      <c r="D6904"/>
      <c r="E6904" s="56"/>
      <c r="H6904" s="471"/>
      <c r="I6904" s="471"/>
      <c r="J6904" s="471"/>
      <c r="K6904" s="18"/>
      <c r="L6904" s="18"/>
      <c r="M6904" s="18"/>
      <c r="N6904" s="18"/>
      <c r="O6904" s="18"/>
      <c r="P6904" s="18"/>
      <c r="Q6904" s="18"/>
      <c r="R6904" s="18"/>
      <c r="S6904" s="18"/>
      <c r="T6904" s="18"/>
      <c r="U6904" s="18"/>
      <c r="V6904" s="18"/>
      <c r="W6904" s="18"/>
      <c r="X6904" s="18"/>
      <c r="Y6904" s="18"/>
      <c r="Z6904" s="18"/>
    </row>
    <row r="6905" spans="1:26" hidden="1">
      <c r="A6905" s="56"/>
      <c r="B6905" s="445"/>
      <c r="C6905"/>
      <c r="D6905"/>
      <c r="E6905" s="56"/>
      <c r="H6905" s="471"/>
      <c r="I6905" s="471"/>
      <c r="J6905" s="471"/>
      <c r="K6905" s="18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</row>
    <row r="6906" spans="1:26" hidden="1">
      <c r="A6906" s="56"/>
      <c r="B6906" s="445"/>
      <c r="C6906"/>
      <c r="D6906"/>
      <c r="E6906" s="56"/>
      <c r="H6906" s="471"/>
      <c r="I6906" s="471"/>
      <c r="J6906" s="471"/>
      <c r="K6906" s="18"/>
      <c r="L6906" s="18"/>
      <c r="M6906" s="18"/>
      <c r="N6906" s="18"/>
      <c r="O6906" s="18"/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</row>
    <row r="6907" spans="1:26" hidden="1">
      <c r="A6907" s="56"/>
      <c r="B6907" s="445"/>
      <c r="C6907"/>
      <c r="D6907"/>
      <c r="E6907" s="56"/>
      <c r="H6907" s="471"/>
      <c r="I6907" s="471"/>
      <c r="J6907" s="471"/>
      <c r="K6907" s="18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</row>
    <row r="6908" spans="1:26" hidden="1">
      <c r="A6908" s="56"/>
      <c r="B6908" s="445"/>
      <c r="C6908"/>
      <c r="D6908"/>
      <c r="E6908" s="56"/>
      <c r="H6908" s="471"/>
      <c r="I6908" s="471"/>
      <c r="J6908" s="471"/>
      <c r="K6908" s="18"/>
      <c r="L6908" s="18"/>
      <c r="M6908" s="18"/>
      <c r="N6908" s="18"/>
      <c r="O6908" s="18"/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</row>
    <row r="6909" spans="1:26" hidden="1">
      <c r="A6909" s="56"/>
      <c r="B6909" s="445"/>
      <c r="C6909"/>
      <c r="D6909"/>
      <c r="E6909" s="56"/>
      <c r="H6909" s="471"/>
      <c r="I6909" s="471"/>
      <c r="J6909" s="471"/>
      <c r="K6909" s="18"/>
      <c r="L6909" s="18"/>
      <c r="M6909" s="18"/>
      <c r="N6909" s="18"/>
      <c r="O6909" s="18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</row>
    <row r="6910" spans="1:26" hidden="1">
      <c r="A6910" s="56"/>
      <c r="B6910" s="445"/>
      <c r="C6910"/>
      <c r="D6910"/>
      <c r="E6910" s="56"/>
      <c r="H6910" s="471"/>
      <c r="I6910" s="471"/>
      <c r="J6910" s="471"/>
      <c r="K6910" s="18"/>
      <c r="L6910" s="18"/>
      <c r="M6910" s="18"/>
      <c r="N6910" s="18"/>
      <c r="O6910" s="18"/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</row>
    <row r="6911" spans="1:26" hidden="1">
      <c r="A6911" s="56"/>
      <c r="B6911" s="445"/>
      <c r="C6911"/>
      <c r="D6911"/>
      <c r="E6911" s="56"/>
      <c r="H6911" s="471"/>
      <c r="I6911" s="471"/>
      <c r="J6911" s="471"/>
      <c r="K6911" s="18"/>
      <c r="L6911" s="18"/>
      <c r="M6911" s="18"/>
      <c r="N6911" s="18"/>
      <c r="O6911" s="18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</row>
    <row r="6912" spans="1:26" hidden="1">
      <c r="A6912" s="56"/>
      <c r="B6912" s="445"/>
      <c r="C6912"/>
      <c r="D6912"/>
      <c r="E6912" s="56"/>
      <c r="H6912" s="471"/>
      <c r="I6912" s="471"/>
      <c r="J6912" s="471"/>
      <c r="K6912" s="18"/>
      <c r="L6912" s="18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</row>
    <row r="6913" spans="1:26" hidden="1">
      <c r="A6913" s="56"/>
      <c r="B6913" s="445"/>
      <c r="C6913"/>
      <c r="D6913"/>
      <c r="E6913" s="56"/>
      <c r="H6913" s="471"/>
      <c r="I6913" s="471"/>
      <c r="J6913" s="471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</row>
    <row r="6914" spans="1:26" hidden="1">
      <c r="A6914" s="56"/>
      <c r="B6914" s="445"/>
      <c r="C6914"/>
      <c r="D6914"/>
      <c r="E6914" s="56"/>
      <c r="H6914" s="471"/>
      <c r="I6914" s="471"/>
      <c r="J6914" s="471"/>
      <c r="K6914" s="18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</row>
    <row r="6915" spans="1:26" hidden="1">
      <c r="A6915" s="56"/>
      <c r="B6915" s="445"/>
      <c r="C6915"/>
      <c r="D6915"/>
      <c r="E6915" s="56"/>
      <c r="H6915" s="471"/>
      <c r="I6915" s="471"/>
      <c r="J6915" s="471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</row>
    <row r="6916" spans="1:26" hidden="1">
      <c r="A6916" s="56"/>
      <c r="B6916" s="445"/>
      <c r="C6916"/>
      <c r="D6916"/>
      <c r="E6916" s="56"/>
      <c r="H6916" s="471"/>
      <c r="I6916" s="471"/>
      <c r="J6916" s="471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8"/>
      <c r="X6916" s="18"/>
      <c r="Y6916" s="18"/>
      <c r="Z6916" s="18"/>
    </row>
    <row r="6917" spans="1:26" hidden="1">
      <c r="A6917" s="56"/>
      <c r="B6917" s="445"/>
      <c r="C6917"/>
      <c r="D6917"/>
      <c r="E6917" s="56"/>
      <c r="H6917" s="471"/>
      <c r="I6917" s="471"/>
      <c r="J6917" s="471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</row>
    <row r="6918" spans="1:26" hidden="1">
      <c r="A6918" s="56"/>
      <c r="B6918" s="445"/>
      <c r="C6918"/>
      <c r="D6918"/>
      <c r="E6918" s="56"/>
      <c r="F6918" s="242"/>
      <c r="G6918"/>
      <c r="H6918" s="471"/>
      <c r="I6918" s="471"/>
      <c r="J6918" s="471"/>
      <c r="K6918" s="18"/>
      <c r="L6918" s="18"/>
      <c r="M6918" s="18"/>
      <c r="N6918" s="18"/>
      <c r="O6918" s="18"/>
      <c r="P6918" s="18"/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</row>
    <row r="6919" spans="1:26" hidden="1">
      <c r="A6919" s="56"/>
      <c r="B6919" s="445"/>
      <c r="C6919"/>
      <c r="D6919"/>
      <c r="E6919" s="56"/>
      <c r="F6919" s="242"/>
      <c r="G6919"/>
      <c r="H6919" s="471"/>
      <c r="I6919" s="471"/>
      <c r="J6919" s="471"/>
      <c r="K6919" s="18"/>
      <c r="L6919" s="18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</row>
    <row r="6920" spans="1:26" hidden="1">
      <c r="A6920" s="56"/>
      <c r="B6920" s="445"/>
      <c r="C6920"/>
      <c r="D6920"/>
      <c r="E6920" s="56"/>
      <c r="F6920" s="242"/>
      <c r="G6920"/>
      <c r="H6920" s="471"/>
      <c r="I6920" s="471"/>
      <c r="J6920" s="471"/>
      <c r="K6920" s="18"/>
      <c r="L6920" s="18"/>
      <c r="M6920" s="18"/>
      <c r="N6920" s="18"/>
      <c r="O6920" s="18"/>
      <c r="P6920" s="18"/>
      <c r="Q6920" s="18"/>
      <c r="R6920" s="18"/>
      <c r="S6920" s="18"/>
      <c r="T6920" s="18"/>
      <c r="U6920" s="18"/>
      <c r="V6920" s="18"/>
      <c r="W6920" s="18"/>
      <c r="X6920" s="18"/>
      <c r="Y6920" s="18"/>
      <c r="Z6920" s="18"/>
    </row>
    <row r="6921" spans="1:26" hidden="1">
      <c r="A6921" s="56"/>
      <c r="B6921" s="445"/>
      <c r="C6921"/>
      <c r="D6921"/>
      <c r="E6921" s="56"/>
      <c r="F6921" s="242"/>
      <c r="G6921"/>
      <c r="H6921" s="471"/>
      <c r="I6921" s="471"/>
      <c r="J6921" s="471"/>
      <c r="K6921" s="18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</row>
    <row r="6922" spans="1:26" hidden="1">
      <c r="A6922" s="56"/>
      <c r="B6922" s="445"/>
      <c r="C6922"/>
      <c r="D6922"/>
      <c r="E6922" s="56"/>
      <c r="F6922" s="242"/>
      <c r="G6922"/>
      <c r="H6922" s="471"/>
      <c r="I6922" s="471"/>
      <c r="J6922" s="471"/>
      <c r="K6922" s="18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</row>
    <row r="6923" spans="1:26" hidden="1">
      <c r="A6923" s="56"/>
      <c r="B6923" s="445"/>
      <c r="C6923"/>
      <c r="D6923"/>
      <c r="E6923" s="56"/>
      <c r="F6923" s="242"/>
      <c r="G6923"/>
      <c r="H6923" s="471"/>
      <c r="I6923" s="471"/>
      <c r="J6923" s="471"/>
      <c r="K6923" s="18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</row>
    <row r="6924" spans="1:26" hidden="1">
      <c r="A6924" s="56"/>
      <c r="B6924" s="445"/>
      <c r="C6924"/>
      <c r="D6924"/>
      <c r="E6924" s="56"/>
      <c r="F6924" s="242"/>
      <c r="G6924"/>
      <c r="H6924" s="471"/>
      <c r="I6924" s="471"/>
      <c r="J6924" s="471"/>
      <c r="K6924" s="18"/>
      <c r="L6924" s="18"/>
      <c r="M6924" s="18"/>
      <c r="N6924" s="18"/>
      <c r="O6924" s="18"/>
      <c r="P6924" s="18"/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</row>
    <row r="6925" spans="1:26" hidden="1">
      <c r="A6925" s="56"/>
      <c r="B6925" s="445"/>
      <c r="C6925"/>
      <c r="D6925"/>
      <c r="E6925" s="56"/>
      <c r="F6925" s="242"/>
      <c r="G6925"/>
      <c r="H6925" s="471"/>
      <c r="I6925" s="471"/>
      <c r="J6925" s="471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</row>
    <row r="6926" spans="1:26" hidden="1">
      <c r="A6926" s="56"/>
      <c r="B6926" s="445"/>
      <c r="C6926"/>
      <c r="D6926"/>
      <c r="E6926" s="56"/>
      <c r="F6926" s="242"/>
      <c r="G6926"/>
      <c r="H6926" s="471"/>
      <c r="I6926" s="471"/>
      <c r="J6926" s="471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</row>
    <row r="6927" spans="1:26" hidden="1">
      <c r="A6927" s="56"/>
      <c r="B6927" s="445"/>
      <c r="C6927"/>
      <c r="D6927"/>
      <c r="E6927" s="56"/>
      <c r="F6927" s="242"/>
      <c r="G6927"/>
      <c r="H6927" s="471"/>
      <c r="I6927" s="471"/>
      <c r="J6927" s="471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</row>
    <row r="6928" spans="1:26" hidden="1">
      <c r="A6928" s="56"/>
      <c r="B6928" s="445"/>
      <c r="C6928"/>
      <c r="D6928"/>
      <c r="E6928" s="56"/>
      <c r="F6928" s="242"/>
      <c r="G6928"/>
      <c r="H6928" s="471"/>
      <c r="I6928" s="471"/>
      <c r="J6928" s="471"/>
      <c r="K6928" s="18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</row>
    <row r="6929" spans="1:26" hidden="1">
      <c r="A6929" s="56"/>
      <c r="B6929" s="445"/>
      <c r="C6929"/>
      <c r="D6929"/>
      <c r="E6929" s="56"/>
      <c r="F6929" s="242"/>
      <c r="G6929"/>
      <c r="H6929" s="471"/>
      <c r="I6929" s="471"/>
      <c r="J6929" s="471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</row>
    <row r="6930" spans="1:26" hidden="1">
      <c r="A6930" s="56"/>
      <c r="B6930" s="445"/>
      <c r="C6930"/>
      <c r="D6930"/>
      <c r="E6930" s="56"/>
      <c r="F6930" s="242"/>
      <c r="G6930"/>
      <c r="H6930" s="471"/>
      <c r="I6930" s="471"/>
      <c r="J6930" s="471"/>
      <c r="K6930" s="18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8"/>
    </row>
    <row r="6931" spans="1:26" hidden="1">
      <c r="A6931" s="56"/>
      <c r="B6931" s="445"/>
      <c r="C6931"/>
      <c r="D6931"/>
      <c r="E6931" s="56"/>
      <c r="F6931" s="242"/>
      <c r="G6931"/>
      <c r="H6931" s="471"/>
      <c r="I6931" s="471"/>
      <c r="J6931" s="471"/>
      <c r="K6931" s="18"/>
      <c r="L6931" s="18"/>
      <c r="M6931" s="18"/>
      <c r="N6931" s="18"/>
      <c r="O6931" s="18"/>
      <c r="P6931" s="18"/>
      <c r="Q6931" s="18"/>
      <c r="R6931" s="18"/>
      <c r="S6931" s="18"/>
      <c r="T6931" s="18"/>
      <c r="U6931" s="18"/>
      <c r="V6931" s="18"/>
      <c r="W6931" s="18"/>
      <c r="X6931" s="18"/>
      <c r="Y6931" s="18"/>
      <c r="Z6931" s="18"/>
    </row>
    <row r="6932" spans="1:26" hidden="1">
      <c r="A6932" s="56"/>
      <c r="B6932" s="445"/>
      <c r="C6932"/>
      <c r="D6932"/>
      <c r="E6932" s="56"/>
      <c r="F6932" s="242"/>
      <c r="G6932"/>
      <c r="H6932" s="471"/>
      <c r="I6932" s="471"/>
      <c r="J6932" s="471"/>
      <c r="K6932" s="18"/>
      <c r="L6932" s="18"/>
      <c r="M6932" s="18"/>
      <c r="N6932" s="18"/>
      <c r="O6932" s="18"/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</row>
    <row r="6933" spans="1:26" hidden="1">
      <c r="A6933" s="56"/>
      <c r="B6933" s="445"/>
      <c r="C6933"/>
      <c r="D6933"/>
      <c r="E6933" s="56"/>
      <c r="F6933" s="242"/>
      <c r="G6933"/>
      <c r="H6933" s="471"/>
      <c r="I6933" s="471"/>
      <c r="J6933" s="471"/>
      <c r="K6933" s="18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</row>
    <row r="6934" spans="1:26" hidden="1">
      <c r="A6934" s="56"/>
      <c r="B6934" s="445"/>
      <c r="C6934"/>
      <c r="D6934"/>
      <c r="E6934" s="56"/>
      <c r="F6934" s="242"/>
      <c r="G6934"/>
      <c r="H6934" s="471"/>
      <c r="I6934" s="471"/>
      <c r="J6934" s="471"/>
      <c r="K6934" s="18"/>
      <c r="L6934" s="18"/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</row>
    <row r="6935" spans="1:26" hidden="1">
      <c r="A6935" s="56"/>
      <c r="B6935" s="445"/>
      <c r="C6935"/>
      <c r="D6935"/>
      <c r="E6935" s="56"/>
      <c r="F6935" s="242"/>
      <c r="G6935"/>
      <c r="H6935" s="471"/>
      <c r="I6935" s="471"/>
      <c r="J6935" s="471"/>
      <c r="K6935" s="18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</row>
    <row r="6936" spans="1:26" hidden="1">
      <c r="A6936" s="56"/>
      <c r="B6936" s="445"/>
      <c r="C6936"/>
      <c r="D6936"/>
      <c r="E6936" s="56"/>
      <c r="F6936" s="242"/>
      <c r="G6936"/>
      <c r="H6936" s="471"/>
      <c r="I6936" s="471"/>
      <c r="J6936" s="471"/>
      <c r="K6936" s="18"/>
      <c r="L6936" s="18"/>
      <c r="M6936" s="18"/>
      <c r="N6936" s="18"/>
      <c r="O6936" s="18"/>
      <c r="P6936" s="18"/>
      <c r="Q6936" s="18"/>
      <c r="R6936" s="18"/>
      <c r="S6936" s="18"/>
      <c r="T6936" s="18"/>
      <c r="U6936" s="18"/>
      <c r="V6936" s="18"/>
      <c r="W6936" s="18"/>
      <c r="X6936" s="18"/>
      <c r="Y6936" s="18"/>
      <c r="Z6936" s="18"/>
    </row>
    <row r="6937" spans="1:26" hidden="1">
      <c r="A6937" s="56"/>
      <c r="B6937" s="445"/>
      <c r="C6937"/>
      <c r="D6937"/>
      <c r="E6937" s="56"/>
      <c r="F6937" s="242"/>
      <c r="G6937"/>
      <c r="H6937" s="471"/>
      <c r="I6937" s="471"/>
      <c r="J6937" s="471"/>
      <c r="K6937" s="18"/>
      <c r="L6937" s="18"/>
      <c r="M6937" s="18"/>
      <c r="N6937" s="18"/>
      <c r="O6937" s="18"/>
      <c r="P6937" s="18"/>
      <c r="Q6937" s="18"/>
      <c r="R6937" s="18"/>
      <c r="S6937" s="18"/>
      <c r="T6937" s="18"/>
      <c r="U6937" s="18"/>
      <c r="V6937" s="18"/>
      <c r="W6937" s="18"/>
      <c r="X6937" s="18"/>
      <c r="Y6937" s="18"/>
      <c r="Z6937" s="18"/>
    </row>
    <row r="6938" spans="1:26" hidden="1">
      <c r="A6938" s="56"/>
      <c r="B6938" s="445"/>
      <c r="C6938"/>
      <c r="D6938"/>
      <c r="E6938" s="56"/>
      <c r="F6938" s="242"/>
      <c r="G6938"/>
      <c r="H6938" s="471"/>
      <c r="I6938" s="471"/>
      <c r="J6938" s="471"/>
      <c r="K6938" s="18"/>
      <c r="L6938" s="18"/>
      <c r="M6938" s="18"/>
      <c r="N6938" s="18"/>
      <c r="O6938" s="18"/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</row>
    <row r="6939" spans="1:26" hidden="1">
      <c r="A6939" s="56"/>
      <c r="B6939" s="445"/>
      <c r="C6939"/>
      <c r="D6939"/>
      <c r="E6939" s="56"/>
      <c r="F6939" s="242"/>
      <c r="G6939"/>
      <c r="H6939" s="471"/>
      <c r="I6939" s="471"/>
      <c r="J6939" s="471"/>
      <c r="K6939" s="18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</row>
    <row r="6940" spans="1:26" hidden="1">
      <c r="A6940" s="56"/>
      <c r="B6940" s="445"/>
      <c r="C6940"/>
      <c r="D6940"/>
      <c r="E6940" s="56"/>
      <c r="F6940" s="242"/>
      <c r="G6940"/>
      <c r="H6940" s="471"/>
      <c r="I6940" s="471"/>
      <c r="J6940" s="471"/>
      <c r="K6940" s="18"/>
      <c r="L6940" s="18"/>
      <c r="M6940" s="18"/>
      <c r="N6940" s="18"/>
      <c r="O6940" s="18"/>
      <c r="P6940" s="18"/>
      <c r="Q6940" s="18"/>
      <c r="R6940" s="18"/>
      <c r="S6940" s="18"/>
      <c r="T6940" s="18"/>
      <c r="U6940" s="18"/>
      <c r="V6940" s="18"/>
      <c r="W6940" s="18"/>
      <c r="X6940" s="18"/>
      <c r="Y6940" s="18"/>
      <c r="Z6940" s="18"/>
    </row>
    <row r="6941" spans="1:26" hidden="1">
      <c r="A6941" s="56"/>
      <c r="B6941" s="445"/>
      <c r="C6941"/>
      <c r="D6941"/>
      <c r="E6941" s="56"/>
      <c r="F6941" s="242"/>
      <c r="G6941"/>
      <c r="H6941" s="471"/>
      <c r="I6941" s="471"/>
      <c r="J6941" s="471"/>
      <c r="K6941" s="18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</row>
    <row r="6942" spans="1:26" hidden="1">
      <c r="A6942" s="56"/>
      <c r="B6942" s="445"/>
      <c r="C6942"/>
      <c r="D6942"/>
      <c r="E6942" s="56"/>
      <c r="F6942" s="242"/>
      <c r="G6942"/>
      <c r="H6942" s="471"/>
      <c r="I6942" s="471"/>
      <c r="J6942" s="471"/>
      <c r="K6942" s="18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</row>
    <row r="6943" spans="1:26" hidden="1">
      <c r="A6943" s="56"/>
      <c r="B6943" s="445"/>
      <c r="C6943"/>
      <c r="D6943"/>
      <c r="E6943" s="56"/>
      <c r="F6943" s="242"/>
      <c r="G6943"/>
      <c r="H6943" s="471"/>
      <c r="I6943" s="471"/>
      <c r="J6943" s="471"/>
      <c r="K6943" s="18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</row>
    <row r="6944" spans="1:26" hidden="1">
      <c r="A6944" s="56"/>
      <c r="B6944" s="445"/>
      <c r="C6944"/>
      <c r="D6944"/>
      <c r="E6944" s="56"/>
      <c r="F6944" s="242"/>
      <c r="G6944"/>
      <c r="H6944" s="471"/>
      <c r="I6944" s="471"/>
      <c r="J6944" s="471"/>
      <c r="K6944" s="18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</row>
    <row r="6945" spans="1:26" hidden="1">
      <c r="A6945" s="56"/>
      <c r="B6945" s="445"/>
      <c r="C6945"/>
      <c r="D6945"/>
      <c r="E6945" s="56"/>
      <c r="F6945" s="242"/>
      <c r="G6945"/>
      <c r="H6945" s="471"/>
      <c r="I6945" s="471"/>
      <c r="J6945" s="471"/>
      <c r="K6945" s="18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</row>
    <row r="6946" spans="1:26" hidden="1">
      <c r="A6946" s="56"/>
      <c r="B6946" s="445"/>
      <c r="C6946"/>
      <c r="D6946"/>
      <c r="E6946" s="56"/>
      <c r="F6946" s="242"/>
      <c r="G6946"/>
      <c r="H6946" s="471"/>
      <c r="I6946" s="471"/>
      <c r="J6946" s="471"/>
      <c r="K6946" s="18"/>
      <c r="L6946" s="18"/>
      <c r="M6946" s="18"/>
      <c r="N6946" s="18"/>
      <c r="O6946" s="18"/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</row>
    <row r="6947" spans="1:26" hidden="1">
      <c r="A6947" s="56"/>
      <c r="B6947" s="445"/>
      <c r="C6947"/>
      <c r="D6947"/>
      <c r="E6947" s="56"/>
      <c r="F6947" s="242"/>
      <c r="G6947"/>
      <c r="H6947" s="471"/>
      <c r="I6947" s="471"/>
      <c r="J6947" s="471"/>
      <c r="K6947" s="18"/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</row>
    <row r="6948" spans="1:26" hidden="1">
      <c r="A6948" s="56"/>
      <c r="B6948" s="445"/>
      <c r="C6948"/>
      <c r="D6948"/>
      <c r="E6948" s="56"/>
      <c r="F6948" s="242"/>
      <c r="G6948"/>
      <c r="H6948" s="471"/>
      <c r="I6948" s="471"/>
      <c r="J6948" s="471"/>
      <c r="K6948" s="18"/>
      <c r="L6948" s="18"/>
      <c r="M6948" s="18"/>
      <c r="N6948" s="18"/>
      <c r="O6948" s="18"/>
      <c r="P6948" s="18"/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</row>
    <row r="6949" spans="1:26" hidden="1">
      <c r="A6949" s="56"/>
      <c r="B6949" s="445"/>
      <c r="C6949"/>
      <c r="D6949"/>
      <c r="E6949" s="56"/>
      <c r="F6949" s="242"/>
      <c r="G6949"/>
      <c r="H6949" s="471"/>
      <c r="I6949" s="471"/>
      <c r="J6949" s="471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</row>
    <row r="6950" spans="1:26" hidden="1">
      <c r="A6950" s="56"/>
      <c r="B6950" s="445"/>
      <c r="C6950"/>
      <c r="D6950"/>
      <c r="E6950" s="56"/>
      <c r="F6950" s="242"/>
      <c r="G6950"/>
      <c r="H6950" s="471"/>
      <c r="I6950" s="471"/>
      <c r="J6950" s="471"/>
      <c r="K6950" s="18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</row>
    <row r="6951" spans="1:26" hidden="1">
      <c r="A6951" s="56"/>
      <c r="B6951" s="445"/>
      <c r="C6951"/>
      <c r="D6951"/>
      <c r="E6951" s="56"/>
      <c r="F6951" s="242"/>
      <c r="G6951"/>
      <c r="H6951" s="471"/>
      <c r="I6951" s="471"/>
      <c r="J6951" s="471"/>
      <c r="K6951" s="18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</row>
    <row r="6952" spans="1:26" hidden="1">
      <c r="A6952" s="56"/>
      <c r="B6952" s="445"/>
      <c r="C6952"/>
      <c r="D6952"/>
      <c r="E6952" s="56"/>
      <c r="F6952" s="242"/>
      <c r="G6952"/>
      <c r="H6952" s="471"/>
      <c r="I6952" s="471"/>
      <c r="J6952" s="471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8"/>
      <c r="X6952" s="18"/>
      <c r="Y6952" s="18"/>
      <c r="Z6952" s="18"/>
    </row>
    <row r="6953" spans="1:26" hidden="1">
      <c r="A6953" s="56"/>
      <c r="B6953" s="445"/>
      <c r="C6953"/>
      <c r="D6953"/>
      <c r="E6953" s="56"/>
      <c r="F6953" s="242"/>
      <c r="G6953"/>
      <c r="H6953" s="471"/>
      <c r="I6953" s="471"/>
      <c r="J6953" s="471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</row>
    <row r="6954" spans="1:26" hidden="1">
      <c r="A6954" s="56"/>
      <c r="B6954" s="445"/>
      <c r="C6954"/>
      <c r="D6954"/>
      <c r="E6954" s="56"/>
      <c r="F6954" s="242"/>
      <c r="G6954"/>
      <c r="H6954" s="471"/>
      <c r="I6954" s="471"/>
      <c r="J6954" s="471"/>
      <c r="K6954" s="18"/>
      <c r="L6954" s="18"/>
      <c r="M6954" s="18"/>
      <c r="N6954" s="18"/>
      <c r="O6954" s="18"/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</row>
    <row r="6955" spans="1:26" hidden="1">
      <c r="A6955" s="56"/>
      <c r="B6955" s="445"/>
      <c r="C6955"/>
      <c r="D6955"/>
      <c r="E6955" s="56"/>
      <c r="F6955" s="242"/>
      <c r="G6955"/>
      <c r="H6955" s="471"/>
      <c r="I6955" s="471"/>
      <c r="J6955" s="471"/>
      <c r="K6955" s="18"/>
      <c r="L6955" s="18"/>
      <c r="M6955" s="18"/>
      <c r="N6955" s="18"/>
      <c r="O6955" s="18"/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</row>
    <row r="6956" spans="1:26" hidden="1">
      <c r="A6956" s="56"/>
      <c r="B6956" s="445"/>
      <c r="C6956"/>
      <c r="D6956"/>
      <c r="E6956" s="56"/>
      <c r="F6956" s="242"/>
      <c r="G6956"/>
      <c r="H6956" s="471"/>
      <c r="I6956" s="471"/>
      <c r="J6956" s="471"/>
      <c r="K6956" s="18"/>
      <c r="L6956" s="18"/>
      <c r="M6956" s="18"/>
      <c r="N6956" s="18"/>
      <c r="O6956" s="18"/>
      <c r="P6956" s="18"/>
      <c r="Q6956" s="18"/>
      <c r="R6956" s="18"/>
      <c r="S6956" s="18"/>
      <c r="T6956" s="18"/>
      <c r="U6956" s="18"/>
      <c r="V6956" s="18"/>
      <c r="W6956" s="18"/>
      <c r="X6956" s="18"/>
      <c r="Y6956" s="18"/>
      <c r="Z6956" s="18"/>
    </row>
    <row r="6957" spans="1:26" hidden="1">
      <c r="A6957" s="56"/>
      <c r="B6957" s="445"/>
      <c r="C6957"/>
      <c r="D6957"/>
      <c r="E6957" s="56"/>
      <c r="F6957" s="242"/>
      <c r="G6957"/>
      <c r="H6957" s="471"/>
      <c r="I6957" s="471"/>
      <c r="J6957" s="471"/>
      <c r="K6957" s="18"/>
      <c r="L6957" s="18"/>
      <c r="M6957" s="18"/>
      <c r="N6957" s="18"/>
      <c r="O6957" s="18"/>
      <c r="P6957" s="18"/>
      <c r="Q6957" s="18"/>
      <c r="R6957" s="18"/>
      <c r="S6957" s="18"/>
      <c r="T6957" s="18"/>
      <c r="U6957" s="18"/>
      <c r="V6957" s="18"/>
      <c r="W6957" s="18"/>
      <c r="X6957" s="18"/>
      <c r="Y6957" s="18"/>
      <c r="Z6957" s="18"/>
    </row>
    <row r="6958" spans="1:26" hidden="1">
      <c r="A6958" s="56"/>
      <c r="B6958" s="445"/>
      <c r="C6958"/>
      <c r="D6958"/>
      <c r="E6958" s="56"/>
      <c r="F6958" s="242"/>
      <c r="G6958"/>
      <c r="H6958" s="471"/>
      <c r="I6958" s="471"/>
      <c r="J6958" s="471"/>
      <c r="K6958" s="18"/>
      <c r="L6958" s="18"/>
      <c r="M6958" s="18"/>
      <c r="N6958" s="18"/>
      <c r="O6958" s="18"/>
      <c r="P6958" s="18"/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</row>
    <row r="6959" spans="1:26" hidden="1">
      <c r="A6959" s="56"/>
      <c r="B6959" s="445"/>
      <c r="C6959"/>
      <c r="D6959"/>
      <c r="E6959" s="56"/>
      <c r="F6959" s="242"/>
      <c r="G6959"/>
      <c r="H6959" s="471"/>
      <c r="I6959" s="471"/>
      <c r="J6959" s="471"/>
      <c r="K6959" s="18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</row>
    <row r="6960" spans="1:26" hidden="1">
      <c r="A6960" s="56"/>
      <c r="B6960" s="445"/>
      <c r="C6960"/>
      <c r="D6960"/>
      <c r="E6960" s="56"/>
      <c r="F6960" s="242"/>
      <c r="G6960"/>
      <c r="H6960" s="471"/>
      <c r="I6960" s="471"/>
      <c r="J6960" s="471"/>
      <c r="K6960" s="18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</row>
    <row r="6961" spans="1:26" hidden="1">
      <c r="A6961" s="56"/>
      <c r="B6961" s="445"/>
      <c r="C6961"/>
      <c r="D6961"/>
      <c r="E6961" s="56"/>
      <c r="F6961" s="242"/>
      <c r="G6961"/>
      <c r="H6961" s="471"/>
      <c r="I6961" s="471"/>
      <c r="J6961" s="471"/>
      <c r="K6961" s="18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</row>
    <row r="6962" spans="1:26" hidden="1">
      <c r="A6962" s="56"/>
      <c r="B6962" s="445"/>
      <c r="C6962"/>
      <c r="D6962"/>
      <c r="E6962" s="56"/>
      <c r="F6962" s="242"/>
      <c r="G6962"/>
      <c r="H6962" s="471"/>
      <c r="I6962" s="471"/>
      <c r="J6962" s="471"/>
      <c r="K6962" s="18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</row>
    <row r="6963" spans="1:26" hidden="1">
      <c r="A6963" s="56"/>
      <c r="B6963" s="445"/>
      <c r="C6963"/>
      <c r="D6963"/>
      <c r="E6963" s="56"/>
      <c r="F6963" s="242"/>
      <c r="G6963"/>
      <c r="H6963" s="471"/>
      <c r="I6963" s="471"/>
      <c r="J6963" s="471"/>
      <c r="K6963" s="18"/>
      <c r="L6963" s="18"/>
      <c r="M6963" s="18"/>
      <c r="N6963" s="18"/>
      <c r="O6963" s="18"/>
      <c r="P6963" s="18"/>
      <c r="Q6963" s="18"/>
      <c r="R6963" s="18"/>
      <c r="S6963" s="18"/>
      <c r="T6963" s="18"/>
      <c r="U6963" s="18"/>
      <c r="V6963" s="18"/>
      <c r="W6963" s="18"/>
      <c r="X6963" s="18"/>
      <c r="Y6963" s="18"/>
      <c r="Z6963" s="18"/>
    </row>
    <row r="6964" spans="1:26" hidden="1">
      <c r="A6964" s="56"/>
      <c r="B6964" s="445"/>
      <c r="C6964"/>
      <c r="D6964"/>
      <c r="E6964" s="56"/>
      <c r="F6964" s="242"/>
      <c r="G6964"/>
      <c r="H6964" s="471"/>
      <c r="I6964" s="471"/>
      <c r="J6964" s="471"/>
      <c r="K6964" s="18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</row>
    <row r="6965" spans="1:26" hidden="1">
      <c r="A6965" s="56"/>
      <c r="B6965" s="445"/>
      <c r="C6965"/>
      <c r="D6965"/>
      <c r="E6965" s="56"/>
      <c r="F6965" s="242"/>
      <c r="G6965"/>
      <c r="H6965" s="471"/>
      <c r="I6965" s="471"/>
      <c r="J6965" s="471"/>
      <c r="K6965" s="18"/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</row>
    <row r="6966" spans="1:26" hidden="1">
      <c r="A6966" s="56"/>
      <c r="B6966" s="445"/>
      <c r="C6966"/>
      <c r="D6966"/>
      <c r="E6966" s="56"/>
      <c r="F6966" s="242"/>
      <c r="G6966"/>
      <c r="H6966" s="471"/>
      <c r="I6966" s="471"/>
      <c r="J6966" s="471"/>
      <c r="K6966" s="18"/>
      <c r="L6966" s="18"/>
      <c r="M6966" s="18"/>
      <c r="N6966" s="18"/>
      <c r="O6966" s="18"/>
      <c r="P6966" s="18"/>
      <c r="Q6966" s="18"/>
      <c r="R6966" s="18"/>
      <c r="S6966" s="18"/>
      <c r="T6966" s="18"/>
      <c r="U6966" s="18"/>
      <c r="V6966" s="18"/>
      <c r="W6966" s="18"/>
      <c r="X6966" s="18"/>
      <c r="Y6966" s="18"/>
      <c r="Z6966" s="18"/>
    </row>
    <row r="6967" spans="1:26" hidden="1">
      <c r="A6967" s="56"/>
      <c r="B6967" s="445"/>
      <c r="C6967"/>
      <c r="D6967"/>
      <c r="E6967" s="56"/>
      <c r="F6967" s="242"/>
      <c r="G6967"/>
      <c r="H6967" s="471"/>
      <c r="I6967" s="471"/>
      <c r="J6967" s="471"/>
      <c r="K6967" s="18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</row>
    <row r="6968" spans="1:26" hidden="1">
      <c r="A6968" s="56"/>
      <c r="B6968" s="445"/>
      <c r="C6968"/>
      <c r="D6968"/>
      <c r="E6968" s="56"/>
      <c r="F6968" s="242"/>
      <c r="G6968"/>
      <c r="H6968" s="471"/>
      <c r="I6968" s="471"/>
      <c r="J6968" s="471"/>
      <c r="K6968" s="18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  <c r="W6968" s="18"/>
      <c r="X6968" s="18"/>
      <c r="Y6968" s="18"/>
      <c r="Z6968" s="18"/>
    </row>
    <row r="6969" spans="1:26" hidden="1">
      <c r="A6969" s="56"/>
      <c r="B6969" s="445"/>
      <c r="C6969"/>
      <c r="D6969"/>
      <c r="E6969" s="56"/>
      <c r="F6969" s="242"/>
      <c r="G6969"/>
      <c r="H6969" s="471"/>
      <c r="I6969" s="471"/>
      <c r="J6969" s="471"/>
      <c r="K6969" s="18"/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</row>
    <row r="6970" spans="1:26" hidden="1">
      <c r="A6970" s="56"/>
      <c r="B6970" s="445"/>
      <c r="C6970"/>
      <c r="D6970"/>
      <c r="E6970" s="56"/>
      <c r="F6970" s="242"/>
      <c r="G6970"/>
      <c r="H6970" s="471"/>
      <c r="I6970" s="471"/>
      <c r="J6970" s="471"/>
      <c r="K6970" s="18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</row>
    <row r="6971" spans="1:26" hidden="1">
      <c r="A6971" s="56"/>
      <c r="B6971" s="445"/>
      <c r="C6971"/>
      <c r="D6971"/>
      <c r="E6971" s="56"/>
      <c r="F6971" s="242"/>
      <c r="G6971"/>
      <c r="H6971" s="471"/>
      <c r="I6971" s="471"/>
      <c r="J6971" s="471"/>
      <c r="K6971" s="18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</row>
    <row r="6972" spans="1:26" hidden="1">
      <c r="A6972" s="56"/>
      <c r="B6972" s="445"/>
      <c r="C6972"/>
      <c r="D6972"/>
      <c r="E6972" s="56"/>
      <c r="F6972" s="242"/>
      <c r="G6972"/>
      <c r="H6972" s="471"/>
      <c r="I6972" s="471"/>
      <c r="J6972" s="471"/>
      <c r="K6972" s="18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</row>
    <row r="6973" spans="1:26" hidden="1">
      <c r="A6973" s="56"/>
      <c r="B6973" s="445"/>
      <c r="C6973"/>
      <c r="D6973"/>
      <c r="E6973" s="56"/>
      <c r="F6973" s="242"/>
      <c r="G6973"/>
      <c r="H6973" s="471"/>
      <c r="I6973" s="471"/>
      <c r="J6973" s="471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</row>
    <row r="6974" spans="1:26" hidden="1">
      <c r="A6974" s="56"/>
      <c r="B6974" s="445"/>
      <c r="C6974"/>
      <c r="D6974"/>
      <c r="E6974" s="56"/>
      <c r="F6974" s="242"/>
      <c r="G6974"/>
      <c r="H6974" s="471"/>
      <c r="I6974" s="471"/>
      <c r="J6974" s="471"/>
      <c r="K6974" s="18"/>
      <c r="L6974" s="18"/>
      <c r="M6974" s="18"/>
      <c r="N6974" s="18"/>
      <c r="O6974" s="18"/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</row>
    <row r="6975" spans="1:26" hidden="1">
      <c r="A6975" s="56"/>
      <c r="B6975" s="445"/>
      <c r="C6975"/>
      <c r="D6975"/>
      <c r="E6975" s="56"/>
      <c r="F6975" s="242"/>
      <c r="G6975"/>
      <c r="H6975" s="471"/>
      <c r="I6975" s="471"/>
      <c r="J6975" s="471"/>
      <c r="K6975" s="18"/>
      <c r="L6975" s="18"/>
      <c r="M6975" s="18"/>
      <c r="N6975" s="18"/>
      <c r="O6975" s="18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</row>
    <row r="6976" spans="1:26" hidden="1">
      <c r="A6976" s="56"/>
      <c r="B6976" s="445"/>
      <c r="C6976"/>
      <c r="D6976"/>
      <c r="E6976" s="56"/>
      <c r="F6976" s="242"/>
      <c r="G6976"/>
      <c r="H6976" s="471"/>
      <c r="I6976" s="471"/>
      <c r="J6976" s="471"/>
      <c r="K6976" s="18"/>
      <c r="L6976" s="18"/>
      <c r="M6976" s="18"/>
      <c r="N6976" s="18"/>
      <c r="O6976" s="18"/>
      <c r="P6976" s="18"/>
      <c r="Q6976" s="18"/>
      <c r="R6976" s="18"/>
      <c r="S6976" s="18"/>
      <c r="T6976" s="18"/>
      <c r="U6976" s="18"/>
      <c r="V6976" s="18"/>
      <c r="W6976" s="18"/>
      <c r="X6976" s="18"/>
      <c r="Y6976" s="18"/>
      <c r="Z6976" s="18"/>
    </row>
    <row r="6977" spans="1:26" hidden="1">
      <c r="A6977" s="56"/>
      <c r="B6977" s="445"/>
      <c r="C6977"/>
      <c r="D6977"/>
      <c r="E6977" s="56"/>
      <c r="F6977" s="242"/>
      <c r="G6977"/>
      <c r="H6977" s="471"/>
      <c r="I6977" s="471"/>
      <c r="J6977" s="471"/>
      <c r="K6977" s="18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</row>
    <row r="6978" spans="1:26" hidden="1">
      <c r="A6978" s="56"/>
      <c r="B6978" s="445"/>
      <c r="C6978"/>
      <c r="D6978"/>
      <c r="E6978" s="56"/>
      <c r="F6978" s="242"/>
      <c r="G6978"/>
      <c r="H6978" s="471"/>
      <c r="I6978" s="471"/>
      <c r="J6978" s="471"/>
      <c r="K6978" s="18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</row>
    <row r="6979" spans="1:26" hidden="1">
      <c r="A6979" s="56"/>
      <c r="B6979" s="445"/>
      <c r="C6979"/>
      <c r="D6979"/>
      <c r="E6979" s="56"/>
      <c r="F6979" s="242"/>
      <c r="G6979"/>
      <c r="H6979" s="471"/>
      <c r="I6979" s="471"/>
      <c r="J6979" s="471"/>
      <c r="K6979" s="18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</row>
    <row r="6980" spans="1:26" hidden="1">
      <c r="A6980" s="56"/>
      <c r="B6980" s="56"/>
      <c r="C6980"/>
      <c r="D6980"/>
      <c r="E6980" s="56"/>
      <c r="H6980" s="244"/>
      <c r="I6980" s="244"/>
      <c r="J6980" s="244"/>
      <c r="K6980" s="18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</row>
    <row r="6981" spans="1:26" hidden="1">
      <c r="A6981" s="56"/>
      <c r="B6981" s="56"/>
      <c r="C6981"/>
      <c r="D6981"/>
      <c r="E6981" s="56"/>
      <c r="H6981" s="244"/>
      <c r="I6981" s="244"/>
      <c r="J6981" s="244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</row>
    <row r="6982" spans="1:26" hidden="1">
      <c r="A6982" s="56"/>
      <c r="B6982" s="56"/>
      <c r="C6982"/>
      <c r="D6982"/>
      <c r="E6982" s="56"/>
      <c r="H6982" s="244"/>
      <c r="I6982" s="244"/>
      <c r="J6982" s="244"/>
      <c r="K6982" s="18"/>
      <c r="L6982" s="18"/>
      <c r="M6982" s="18"/>
      <c r="N6982" s="18"/>
      <c r="O6982" s="18"/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</row>
    <row r="6983" spans="1:26" hidden="1">
      <c r="A6983" s="56"/>
      <c r="B6983" s="56"/>
      <c r="C6983"/>
      <c r="D6983"/>
      <c r="E6983" s="56"/>
      <c r="H6983" s="244"/>
      <c r="I6983" s="244"/>
      <c r="J6983" s="244"/>
      <c r="K6983" s="18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</row>
    <row r="6984" spans="1:26" hidden="1">
      <c r="A6984" s="56"/>
      <c r="B6984" s="56"/>
      <c r="C6984"/>
      <c r="D6984"/>
      <c r="E6984" s="56"/>
      <c r="H6984" s="244"/>
      <c r="I6984" s="244"/>
      <c r="J6984" s="244"/>
      <c r="K6984" s="18"/>
      <c r="L6984" s="18"/>
      <c r="M6984" s="18"/>
      <c r="N6984" s="18"/>
      <c r="O6984" s="18"/>
      <c r="P6984" s="18"/>
      <c r="Q6984" s="18"/>
      <c r="R6984" s="18"/>
      <c r="S6984" s="18"/>
      <c r="T6984" s="18"/>
      <c r="U6984" s="18"/>
      <c r="V6984" s="18"/>
      <c r="W6984" s="18"/>
      <c r="X6984" s="18"/>
      <c r="Y6984" s="18"/>
      <c r="Z6984" s="18"/>
    </row>
    <row r="6985" spans="1:26" hidden="1">
      <c r="A6985" s="56"/>
      <c r="B6985" s="56"/>
      <c r="C6985"/>
      <c r="D6985"/>
      <c r="E6985" s="56"/>
      <c r="H6985" s="244"/>
      <c r="I6985" s="244"/>
      <c r="J6985" s="244"/>
      <c r="K6985" s="18"/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</row>
    <row r="6986" spans="1:26" hidden="1">
      <c r="A6986" s="56"/>
      <c r="B6986" s="56"/>
      <c r="C6986"/>
      <c r="D6986"/>
      <c r="E6986" s="56"/>
      <c r="H6986" s="244"/>
      <c r="I6986" s="244"/>
      <c r="J6986" s="244"/>
      <c r="K6986" s="18"/>
      <c r="L6986" s="18"/>
      <c r="M6986" s="18"/>
      <c r="N6986" s="18"/>
      <c r="O6986" s="18"/>
      <c r="P6986" s="18"/>
      <c r="Q6986" s="18"/>
      <c r="R6986" s="18"/>
      <c r="S6986" s="18"/>
      <c r="T6986" s="18"/>
      <c r="U6986" s="18"/>
      <c r="V6986" s="18"/>
      <c r="W6986" s="18"/>
      <c r="X6986" s="18"/>
      <c r="Y6986" s="18"/>
      <c r="Z6986" s="18"/>
    </row>
    <row r="6987" spans="1:26" hidden="1">
      <c r="A6987" s="56"/>
      <c r="B6987" s="56"/>
      <c r="C6987"/>
      <c r="D6987"/>
      <c r="E6987" s="56"/>
      <c r="H6987" s="244"/>
      <c r="I6987" s="244"/>
      <c r="J6987" s="244"/>
      <c r="K6987" s="18"/>
      <c r="L6987" s="18"/>
      <c r="M6987" s="18"/>
      <c r="N6987" s="18"/>
      <c r="O6987" s="18"/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</row>
    <row r="6988" spans="1:26" hidden="1">
      <c r="A6988" s="56"/>
      <c r="B6988" s="56"/>
      <c r="C6988"/>
      <c r="D6988"/>
      <c r="E6988" s="56"/>
      <c r="H6988" s="244"/>
      <c r="I6988" s="244"/>
      <c r="J6988" s="244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8"/>
      <c r="X6988" s="18"/>
      <c r="Y6988" s="18"/>
      <c r="Z6988" s="18"/>
    </row>
    <row r="6989" spans="1:26" hidden="1">
      <c r="A6989" s="56"/>
      <c r="B6989" s="56"/>
      <c r="C6989"/>
      <c r="D6989"/>
      <c r="E6989" s="56"/>
      <c r="H6989" s="244"/>
      <c r="I6989" s="244"/>
      <c r="J6989" s="244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</row>
    <row r="6990" spans="1:26" hidden="1">
      <c r="A6990" s="56"/>
      <c r="B6990" s="56"/>
      <c r="C6990"/>
      <c r="D6990"/>
      <c r="E6990" s="56"/>
      <c r="H6990" s="244"/>
      <c r="I6990" s="244"/>
      <c r="J6990" s="244"/>
      <c r="K6990" s="18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8"/>
    </row>
    <row r="6991" spans="1:26" hidden="1">
      <c r="A6991" s="56"/>
      <c r="B6991" s="56"/>
      <c r="C6991"/>
      <c r="D6991"/>
      <c r="E6991" s="56"/>
      <c r="H6991" s="244"/>
      <c r="I6991" s="244"/>
      <c r="J6991" s="244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</row>
    <row r="6992" spans="1:26" hidden="1">
      <c r="A6992" s="56"/>
      <c r="B6992" s="56"/>
      <c r="C6992"/>
      <c r="D6992"/>
      <c r="E6992" s="56"/>
      <c r="H6992" s="244"/>
      <c r="I6992" s="244"/>
      <c r="J6992" s="244"/>
      <c r="K6992" s="18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</row>
    <row r="6993" spans="1:26" hidden="1">
      <c r="A6993" s="56"/>
      <c r="B6993" s="56"/>
      <c r="C6993"/>
      <c r="D6993"/>
      <c r="E6993" s="56"/>
      <c r="H6993" s="244"/>
      <c r="I6993" s="244"/>
      <c r="J6993" s="244"/>
      <c r="K6993" s="18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</row>
    <row r="6994" spans="1:26" hidden="1">
      <c r="A6994" s="56"/>
      <c r="B6994" s="56"/>
      <c r="C6994"/>
      <c r="D6994"/>
      <c r="E6994" s="56"/>
      <c r="H6994" s="244"/>
      <c r="I6994" s="244"/>
      <c r="J6994" s="244"/>
      <c r="K6994" s="18"/>
      <c r="L6994" s="18"/>
      <c r="M6994" s="18"/>
      <c r="N6994" s="18"/>
      <c r="O6994" s="18"/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8"/>
    </row>
    <row r="6995" spans="1:26" hidden="1">
      <c r="A6995" s="56"/>
      <c r="B6995" s="56"/>
      <c r="C6995"/>
      <c r="D6995"/>
      <c r="E6995" s="56"/>
      <c r="H6995" s="244"/>
      <c r="I6995" s="244"/>
      <c r="J6995" s="244"/>
      <c r="K6995" s="18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</row>
    <row r="6996" spans="1:26" hidden="1">
      <c r="A6996" s="56"/>
      <c r="B6996" s="56"/>
      <c r="C6996"/>
      <c r="D6996"/>
      <c r="E6996" s="56"/>
      <c r="H6996" s="244"/>
      <c r="I6996" s="244"/>
      <c r="J6996" s="244"/>
      <c r="K6996" s="18"/>
      <c r="L6996" s="18"/>
      <c r="M6996" s="18"/>
      <c r="N6996" s="18"/>
      <c r="O6996" s="18"/>
      <c r="P6996" s="18"/>
      <c r="Q6996" s="18"/>
      <c r="R6996" s="18"/>
      <c r="S6996" s="18"/>
      <c r="T6996" s="18"/>
      <c r="U6996" s="18"/>
      <c r="V6996" s="18"/>
      <c r="W6996" s="18"/>
      <c r="X6996" s="18"/>
      <c r="Y6996" s="18"/>
      <c r="Z6996" s="18"/>
    </row>
    <row r="6997" spans="1:26" hidden="1">
      <c r="A6997" s="56"/>
      <c r="B6997" s="56"/>
      <c r="C6997"/>
      <c r="D6997"/>
      <c r="E6997" s="56"/>
      <c r="H6997" s="244"/>
      <c r="I6997" s="244"/>
      <c r="J6997" s="244"/>
      <c r="K6997" s="18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</row>
    <row r="6998" spans="1:26" hidden="1">
      <c r="A6998" s="56"/>
      <c r="B6998" s="56"/>
      <c r="C6998"/>
      <c r="D6998"/>
      <c r="E6998" s="56"/>
      <c r="H6998" s="244"/>
      <c r="I6998" s="244"/>
      <c r="J6998" s="244"/>
      <c r="K6998" s="18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</row>
    <row r="6999" spans="1:26" hidden="1">
      <c r="A6999" s="56"/>
      <c r="B6999" s="56"/>
      <c r="C6999"/>
      <c r="D6999"/>
      <c r="E6999" s="56"/>
      <c r="H6999" s="244"/>
      <c r="I6999" s="244"/>
      <c r="J6999" s="244"/>
      <c r="K6999" s="18"/>
      <c r="L6999" s="18"/>
      <c r="M6999" s="18"/>
      <c r="N6999" s="18"/>
      <c r="O6999" s="18"/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</row>
    <row r="7000" spans="1:26" hidden="1">
      <c r="A7000" s="56"/>
      <c r="B7000" s="56"/>
      <c r="C7000"/>
      <c r="D7000"/>
      <c r="E7000" s="56"/>
      <c r="H7000" s="244"/>
      <c r="I7000" s="244"/>
      <c r="J7000" s="244"/>
      <c r="K7000" s="18"/>
      <c r="L7000" s="18"/>
      <c r="M7000" s="18"/>
      <c r="N7000" s="18"/>
      <c r="O7000" s="18"/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</row>
    <row r="7001" spans="1:26" hidden="1">
      <c r="A7001" s="56"/>
      <c r="B7001" s="56"/>
      <c r="C7001"/>
      <c r="D7001"/>
      <c r="E7001" s="56"/>
      <c r="H7001" s="244"/>
      <c r="I7001" s="244"/>
      <c r="J7001" s="244"/>
      <c r="K7001" s="18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</row>
    <row r="7002" spans="1:26" hidden="1">
      <c r="A7002" s="56"/>
      <c r="B7002" s="56"/>
      <c r="C7002"/>
      <c r="D7002"/>
      <c r="E7002" s="56"/>
      <c r="H7002" s="244"/>
      <c r="I7002" s="244"/>
      <c r="J7002" s="244"/>
      <c r="K7002" s="18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  <c r="W7002" s="18"/>
      <c r="X7002" s="18"/>
      <c r="Y7002" s="18"/>
      <c r="Z7002" s="18"/>
    </row>
    <row r="7003" spans="1:26" hidden="1">
      <c r="A7003" s="56"/>
      <c r="B7003" s="56"/>
      <c r="C7003"/>
      <c r="D7003"/>
      <c r="E7003" s="56"/>
      <c r="H7003" s="244"/>
      <c r="I7003" s="244"/>
      <c r="J7003" s="244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</row>
    <row r="7004" spans="1:26" hidden="1">
      <c r="A7004" s="56"/>
      <c r="B7004" s="56"/>
      <c r="C7004"/>
      <c r="D7004"/>
      <c r="E7004" s="56"/>
      <c r="H7004" s="244"/>
      <c r="I7004" s="244"/>
      <c r="J7004" s="244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  <c r="W7004" s="18"/>
      <c r="X7004" s="18"/>
      <c r="Y7004" s="18"/>
      <c r="Z7004" s="18"/>
    </row>
    <row r="7005" spans="1:26" hidden="1">
      <c r="A7005" s="56"/>
      <c r="B7005" s="56"/>
      <c r="C7005"/>
      <c r="D7005"/>
      <c r="E7005" s="56"/>
      <c r="H7005" s="244"/>
      <c r="I7005" s="244"/>
      <c r="J7005" s="244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</row>
    <row r="7006" spans="1:26" hidden="1">
      <c r="A7006" s="56"/>
      <c r="B7006" s="56"/>
      <c r="C7006"/>
      <c r="D7006"/>
      <c r="E7006" s="56"/>
      <c r="H7006" s="244"/>
      <c r="I7006" s="244"/>
      <c r="J7006" s="244"/>
      <c r="K7006" s="18"/>
      <c r="L7006" s="18"/>
      <c r="M7006" s="18"/>
      <c r="N7006" s="18"/>
      <c r="O7006" s="18"/>
      <c r="P7006" s="18"/>
      <c r="Q7006" s="18"/>
      <c r="R7006" s="18"/>
      <c r="S7006" s="18"/>
      <c r="T7006" s="18"/>
      <c r="U7006" s="18"/>
      <c r="V7006" s="18"/>
      <c r="W7006" s="18"/>
      <c r="X7006" s="18"/>
      <c r="Y7006" s="18"/>
      <c r="Z7006" s="18"/>
    </row>
    <row r="7007" spans="1:26" hidden="1">
      <c r="A7007" s="56"/>
      <c r="B7007" s="56"/>
      <c r="C7007"/>
      <c r="D7007"/>
      <c r="E7007" s="56"/>
      <c r="H7007" s="244"/>
      <c r="I7007" s="244"/>
      <c r="J7007" s="244"/>
      <c r="K7007" s="18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</row>
    <row r="7008" spans="1:26" hidden="1">
      <c r="A7008" s="56"/>
      <c r="B7008" s="56"/>
      <c r="C7008"/>
      <c r="D7008"/>
      <c r="E7008" s="56"/>
      <c r="H7008" s="244"/>
      <c r="I7008" s="244"/>
      <c r="J7008" s="244"/>
      <c r="K7008" s="18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</row>
    <row r="7009" spans="1:26" hidden="1">
      <c r="A7009" s="56"/>
      <c r="B7009" s="56"/>
      <c r="C7009"/>
      <c r="D7009"/>
      <c r="E7009" s="56"/>
      <c r="H7009" s="244"/>
      <c r="I7009" s="244"/>
      <c r="J7009" s="244"/>
      <c r="K7009" s="18"/>
      <c r="L7009" s="18"/>
      <c r="M7009" s="18"/>
      <c r="N7009" s="18"/>
      <c r="O7009" s="18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</row>
    <row r="7010" spans="1:26" hidden="1">
      <c r="A7010" s="56"/>
      <c r="B7010" s="56"/>
      <c r="C7010"/>
      <c r="D7010"/>
      <c r="E7010" s="56"/>
      <c r="H7010" s="244"/>
      <c r="I7010" s="244"/>
      <c r="J7010" s="244"/>
      <c r="K7010" s="18"/>
      <c r="L7010" s="18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</row>
    <row r="7011" spans="1:26" hidden="1">
      <c r="A7011" s="56"/>
      <c r="B7011" s="56"/>
      <c r="C7011"/>
      <c r="D7011"/>
      <c r="E7011" s="56"/>
      <c r="H7011" s="244"/>
      <c r="I7011" s="244"/>
      <c r="J7011" s="244"/>
      <c r="K7011" s="18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</row>
    <row r="7012" spans="1:26" hidden="1">
      <c r="A7012" s="56"/>
      <c r="B7012" s="56"/>
      <c r="C7012"/>
      <c r="D7012"/>
      <c r="E7012" s="56"/>
      <c r="H7012" s="244"/>
      <c r="I7012" s="244"/>
      <c r="J7012" s="244"/>
      <c r="K7012" s="18"/>
      <c r="L7012" s="18"/>
      <c r="M7012" s="18"/>
      <c r="N7012" s="18"/>
      <c r="O7012" s="18"/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</row>
    <row r="7013" spans="1:26" hidden="1">
      <c r="A7013" s="56"/>
      <c r="B7013" s="56"/>
      <c r="C7013"/>
      <c r="D7013"/>
      <c r="E7013" s="56"/>
      <c r="H7013" s="244"/>
      <c r="I7013" s="244"/>
      <c r="J7013" s="244"/>
      <c r="K7013" s="18"/>
      <c r="L7013" s="18"/>
      <c r="M7013" s="18"/>
      <c r="N7013" s="18"/>
      <c r="O7013" s="18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</row>
    <row r="7014" spans="1:26" hidden="1">
      <c r="A7014" s="56"/>
      <c r="B7014" s="56"/>
      <c r="C7014"/>
      <c r="D7014"/>
      <c r="E7014" s="56"/>
      <c r="H7014" s="244"/>
      <c r="I7014" s="244"/>
      <c r="J7014" s="244"/>
      <c r="K7014" s="18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8"/>
    </row>
    <row r="7015" spans="1:26" hidden="1">
      <c r="A7015" s="56"/>
      <c r="B7015" s="56"/>
      <c r="C7015"/>
      <c r="D7015"/>
      <c r="E7015" s="56"/>
      <c r="H7015" s="244"/>
      <c r="I7015" s="244"/>
      <c r="J7015" s="244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</row>
    <row r="7016" spans="1:26" hidden="1">
      <c r="A7016" s="56"/>
      <c r="B7016" s="56"/>
      <c r="C7016"/>
      <c r="D7016"/>
      <c r="E7016" s="56"/>
      <c r="H7016" s="244"/>
      <c r="I7016" s="244"/>
      <c r="J7016" s="244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</row>
    <row r="7017" spans="1:26" hidden="1">
      <c r="A7017" s="56"/>
      <c r="B7017" s="56"/>
      <c r="C7017"/>
      <c r="D7017"/>
      <c r="E7017" s="56"/>
      <c r="H7017" s="244"/>
      <c r="I7017" s="244"/>
      <c r="J7017" s="244"/>
      <c r="K7017" s="18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</row>
    <row r="7018" spans="1:26" hidden="1">
      <c r="A7018" s="56"/>
      <c r="B7018" s="56"/>
      <c r="C7018"/>
      <c r="D7018"/>
      <c r="E7018" s="56"/>
      <c r="H7018" s="244"/>
      <c r="I7018" s="244"/>
      <c r="J7018" s="244"/>
      <c r="K7018" s="18"/>
      <c r="L7018" s="18"/>
      <c r="M7018" s="18"/>
      <c r="N7018" s="18"/>
      <c r="O7018" s="18"/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</row>
    <row r="7019" spans="1:26" hidden="1">
      <c r="A7019" s="56"/>
      <c r="B7019" s="56"/>
      <c r="C7019"/>
      <c r="D7019"/>
      <c r="E7019" s="56"/>
      <c r="H7019" s="244"/>
      <c r="I7019" s="244"/>
      <c r="J7019" s="244"/>
      <c r="K7019" s="18"/>
      <c r="L7019" s="18"/>
      <c r="M7019" s="18"/>
      <c r="N7019" s="18"/>
      <c r="O7019" s="18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</row>
    <row r="7020" spans="1:26" hidden="1">
      <c r="A7020" s="56"/>
      <c r="B7020" s="56"/>
      <c r="C7020"/>
      <c r="D7020"/>
      <c r="E7020" s="56"/>
      <c r="H7020" s="244"/>
      <c r="I7020" s="244"/>
      <c r="J7020" s="244"/>
      <c r="K7020" s="18"/>
      <c r="L7020" s="18"/>
      <c r="M7020" s="18"/>
      <c r="N7020" s="18"/>
      <c r="O7020" s="18"/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</row>
    <row r="7021" spans="1:26" hidden="1">
      <c r="A7021" s="56"/>
      <c r="B7021" s="56"/>
      <c r="C7021"/>
      <c r="D7021"/>
      <c r="E7021" s="56"/>
      <c r="H7021" s="244"/>
      <c r="I7021" s="244"/>
      <c r="J7021" s="244"/>
      <c r="K7021" s="18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</row>
    <row r="7022" spans="1:26" hidden="1">
      <c r="A7022" s="56"/>
      <c r="B7022" s="56"/>
      <c r="C7022"/>
      <c r="D7022"/>
      <c r="E7022" s="56"/>
      <c r="H7022" s="244"/>
      <c r="I7022" s="244"/>
      <c r="J7022" s="244"/>
      <c r="K7022" s="18"/>
      <c r="L7022" s="18"/>
      <c r="M7022" s="18"/>
      <c r="N7022" s="18"/>
      <c r="O7022" s="18"/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</row>
    <row r="7023" spans="1:26" hidden="1">
      <c r="A7023" s="56"/>
      <c r="B7023" s="56"/>
      <c r="C7023"/>
      <c r="D7023"/>
      <c r="E7023" s="56"/>
      <c r="H7023" s="244"/>
      <c r="I7023" s="244"/>
      <c r="J7023" s="244"/>
      <c r="K7023" s="18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</row>
    <row r="7024" spans="1:26" hidden="1">
      <c r="A7024" s="56"/>
      <c r="B7024" s="56"/>
      <c r="C7024"/>
      <c r="D7024"/>
      <c r="E7024" s="56"/>
      <c r="H7024" s="244"/>
      <c r="I7024" s="244"/>
      <c r="J7024" s="244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</row>
    <row r="7025" spans="1:26" hidden="1">
      <c r="A7025" s="56"/>
      <c r="B7025" s="56"/>
      <c r="C7025"/>
      <c r="D7025"/>
      <c r="E7025" s="56"/>
      <c r="H7025" s="244"/>
      <c r="I7025" s="244"/>
      <c r="J7025" s="244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</row>
    <row r="7026" spans="1:26" hidden="1">
      <c r="A7026" s="56"/>
      <c r="B7026" s="56"/>
      <c r="C7026"/>
      <c r="D7026"/>
      <c r="E7026" s="56"/>
      <c r="H7026" s="244"/>
      <c r="I7026" s="244"/>
      <c r="J7026" s="244"/>
      <c r="K7026" s="18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</row>
    <row r="7027" spans="1:26" hidden="1">
      <c r="A7027" s="56"/>
      <c r="B7027" s="56"/>
      <c r="C7027"/>
      <c r="D7027"/>
      <c r="E7027" s="56"/>
      <c r="H7027" s="244"/>
      <c r="I7027" s="244"/>
      <c r="J7027" s="244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</row>
    <row r="7028" spans="1:26" hidden="1">
      <c r="A7028" s="56"/>
      <c r="B7028" s="56"/>
      <c r="C7028"/>
      <c r="D7028"/>
      <c r="E7028" s="56"/>
      <c r="H7028" s="244"/>
      <c r="I7028" s="244"/>
      <c r="J7028" s="244"/>
      <c r="K7028" s="18"/>
      <c r="L7028" s="18"/>
      <c r="M7028" s="18"/>
      <c r="N7028" s="18"/>
      <c r="O7028" s="18"/>
      <c r="P7028" s="18"/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</row>
    <row r="7029" spans="1:26" hidden="1">
      <c r="A7029" s="56"/>
      <c r="B7029" s="56"/>
      <c r="C7029"/>
      <c r="D7029"/>
      <c r="E7029" s="56"/>
      <c r="H7029" s="244"/>
      <c r="I7029" s="244"/>
      <c r="J7029" s="244"/>
      <c r="K7029" s="18"/>
      <c r="L7029" s="18"/>
      <c r="M7029" s="18"/>
      <c r="N7029" s="18"/>
      <c r="O7029" s="18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</row>
    <row r="7030" spans="1:26" hidden="1">
      <c r="A7030" s="56"/>
      <c r="B7030" s="56"/>
      <c r="C7030"/>
      <c r="D7030"/>
      <c r="E7030" s="56"/>
      <c r="H7030" s="244"/>
      <c r="I7030" s="244"/>
      <c r="J7030" s="244"/>
      <c r="K7030" s="18"/>
      <c r="L7030" s="18"/>
      <c r="M7030" s="18"/>
      <c r="N7030" s="18"/>
      <c r="O7030" s="18"/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8"/>
    </row>
    <row r="7031" spans="1:26" hidden="1">
      <c r="A7031" s="56"/>
      <c r="B7031" s="56"/>
      <c r="C7031"/>
      <c r="D7031"/>
      <c r="E7031" s="56"/>
      <c r="H7031" s="244"/>
      <c r="I7031" s="244"/>
      <c r="J7031" s="244"/>
      <c r="K7031" s="18"/>
      <c r="L7031" s="18"/>
      <c r="M7031" s="18"/>
      <c r="N7031" s="18"/>
      <c r="O7031" s="18"/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</row>
    <row r="7032" spans="1:26" hidden="1">
      <c r="A7032" s="56"/>
      <c r="B7032" s="56"/>
      <c r="C7032"/>
      <c r="D7032"/>
      <c r="E7032" s="56"/>
      <c r="H7032" s="244"/>
      <c r="I7032" s="244"/>
      <c r="J7032" s="244"/>
      <c r="K7032" s="18"/>
      <c r="L7032" s="18"/>
      <c r="M7032" s="18"/>
      <c r="N7032" s="18"/>
      <c r="O7032" s="18"/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8"/>
    </row>
    <row r="7033" spans="1:26" hidden="1">
      <c r="A7033" s="56"/>
      <c r="B7033" s="56"/>
      <c r="C7033"/>
      <c r="D7033"/>
      <c r="E7033" s="56"/>
      <c r="H7033" s="244"/>
      <c r="I7033" s="244"/>
      <c r="J7033" s="244"/>
      <c r="K7033" s="18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</row>
    <row r="7034" spans="1:26" hidden="1">
      <c r="A7034" s="56"/>
      <c r="B7034" s="56"/>
      <c r="C7034"/>
      <c r="D7034"/>
      <c r="E7034" s="56"/>
      <c r="H7034" s="244"/>
      <c r="I7034" s="244"/>
      <c r="J7034" s="244"/>
      <c r="K7034" s="18"/>
      <c r="L7034" s="18"/>
      <c r="M7034" s="18"/>
      <c r="N7034" s="18"/>
      <c r="O7034" s="18"/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8"/>
    </row>
    <row r="7035" spans="1:26" hidden="1">
      <c r="A7035" s="56"/>
      <c r="B7035" s="56"/>
      <c r="C7035"/>
      <c r="D7035"/>
      <c r="E7035" s="56"/>
      <c r="H7035" s="244"/>
      <c r="I7035" s="244"/>
      <c r="J7035" s="244"/>
      <c r="K7035" s="18"/>
      <c r="L7035" s="18"/>
      <c r="M7035" s="18"/>
      <c r="N7035" s="18"/>
      <c r="O7035" s="18"/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</row>
    <row r="7036" spans="1:26" hidden="1">
      <c r="A7036" s="56"/>
      <c r="B7036" s="56"/>
      <c r="C7036"/>
      <c r="D7036"/>
      <c r="E7036" s="56"/>
      <c r="H7036" s="244"/>
      <c r="I7036" s="244"/>
      <c r="J7036" s="244"/>
      <c r="K7036" s="18"/>
      <c r="L7036" s="18"/>
      <c r="M7036" s="18"/>
      <c r="N7036" s="18"/>
      <c r="O7036" s="18"/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</row>
    <row r="7037" spans="1:26" hidden="1">
      <c r="A7037" s="56"/>
      <c r="B7037" s="56"/>
      <c r="C7037"/>
      <c r="D7037"/>
      <c r="E7037" s="56"/>
      <c r="H7037" s="244"/>
      <c r="I7037" s="244"/>
      <c r="J7037" s="244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</row>
    <row r="7038" spans="1:26" hidden="1">
      <c r="A7038" s="56"/>
      <c r="B7038" s="56"/>
      <c r="C7038"/>
      <c r="D7038"/>
      <c r="E7038" s="56"/>
      <c r="H7038" s="244"/>
      <c r="I7038" s="244"/>
      <c r="J7038" s="244"/>
      <c r="K7038" s="18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</row>
    <row r="7039" spans="1:26" hidden="1">
      <c r="A7039" s="56"/>
      <c r="B7039" s="56"/>
      <c r="C7039"/>
      <c r="D7039"/>
      <c r="E7039" s="56"/>
      <c r="H7039" s="244"/>
      <c r="I7039" s="244"/>
      <c r="J7039" s="244"/>
      <c r="K7039" s="18"/>
      <c r="L7039" s="18"/>
      <c r="M7039" s="18"/>
      <c r="N7039" s="18"/>
      <c r="O7039" s="18"/>
      <c r="P7039" s="18"/>
      <c r="Q7039" s="18"/>
      <c r="R7039" s="18"/>
      <c r="S7039" s="18"/>
      <c r="T7039" s="18"/>
      <c r="U7039" s="18"/>
      <c r="V7039" s="18"/>
      <c r="W7039" s="18"/>
      <c r="X7039" s="18"/>
      <c r="Y7039" s="18"/>
      <c r="Z7039" s="18"/>
    </row>
    <row r="7040" spans="1:26" hidden="1">
      <c r="A7040" s="56"/>
      <c r="B7040" s="56"/>
      <c r="C7040"/>
      <c r="D7040"/>
      <c r="E7040" s="56"/>
      <c r="H7040" s="244"/>
      <c r="I7040" s="244"/>
      <c r="J7040" s="244"/>
      <c r="K7040" s="18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  <c r="W7040" s="18"/>
      <c r="X7040" s="18"/>
      <c r="Y7040" s="18"/>
      <c r="Z7040" s="18"/>
    </row>
    <row r="7041" spans="1:26" hidden="1">
      <c r="A7041" s="56"/>
      <c r="B7041" s="56"/>
      <c r="C7041"/>
      <c r="D7041"/>
      <c r="E7041" s="56"/>
      <c r="H7041" s="244"/>
      <c r="I7041" s="244"/>
      <c r="J7041" s="244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</row>
    <row r="7042" spans="1:26" hidden="1">
      <c r="A7042" s="56"/>
      <c r="B7042" s="56"/>
      <c r="C7042"/>
      <c r="D7042"/>
      <c r="E7042" s="56"/>
      <c r="H7042" s="244"/>
      <c r="I7042" s="244"/>
      <c r="J7042" s="244"/>
      <c r="K7042" s="18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  <c r="W7042" s="18"/>
      <c r="X7042" s="18"/>
      <c r="Y7042" s="18"/>
      <c r="Z7042" s="18"/>
    </row>
    <row r="7043" spans="1:26" hidden="1">
      <c r="A7043" s="56"/>
      <c r="B7043" s="56"/>
      <c r="C7043"/>
      <c r="D7043"/>
      <c r="E7043" s="56"/>
      <c r="H7043" s="244"/>
      <c r="I7043" s="244"/>
      <c r="J7043" s="244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</row>
    <row r="7044" spans="1:26" hidden="1">
      <c r="A7044" s="56"/>
      <c r="B7044" s="56"/>
      <c r="C7044"/>
      <c r="D7044"/>
      <c r="E7044" s="56"/>
      <c r="H7044" s="244"/>
      <c r="I7044" s="244"/>
      <c r="J7044" s="244"/>
      <c r="K7044" s="18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</row>
    <row r="7045" spans="1:26" hidden="1">
      <c r="A7045" s="56"/>
      <c r="B7045" s="56"/>
      <c r="C7045"/>
      <c r="D7045"/>
      <c r="E7045" s="56"/>
      <c r="H7045" s="244"/>
      <c r="I7045" s="244"/>
      <c r="J7045" s="244"/>
      <c r="K7045" s="18"/>
      <c r="L7045" s="18"/>
      <c r="M7045" s="18"/>
      <c r="N7045" s="18"/>
      <c r="O7045" s="18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</row>
    <row r="7046" spans="1:26" hidden="1">
      <c r="A7046" s="56"/>
      <c r="B7046" s="56"/>
      <c r="C7046"/>
      <c r="D7046"/>
      <c r="E7046" s="56"/>
      <c r="H7046" s="244"/>
      <c r="I7046" s="244"/>
      <c r="J7046" s="244"/>
      <c r="K7046" s="18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</row>
    <row r="7047" spans="1:26" hidden="1">
      <c r="A7047" s="56"/>
      <c r="B7047" s="56"/>
      <c r="C7047"/>
      <c r="D7047"/>
      <c r="E7047" s="56"/>
      <c r="H7047" s="244"/>
      <c r="I7047" s="244"/>
      <c r="J7047" s="244"/>
      <c r="K7047" s="18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</row>
    <row r="7048" spans="1:26" hidden="1">
      <c r="A7048" s="56"/>
      <c r="B7048" s="56"/>
      <c r="C7048"/>
      <c r="D7048"/>
      <c r="E7048" s="56"/>
      <c r="H7048" s="244"/>
      <c r="I7048" s="244"/>
      <c r="J7048" s="244"/>
      <c r="K7048" s="18"/>
      <c r="L7048" s="18"/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</row>
    <row r="7049" spans="1:26" hidden="1">
      <c r="A7049" s="56"/>
      <c r="B7049" s="56"/>
      <c r="C7049"/>
      <c r="D7049"/>
      <c r="E7049" s="56"/>
      <c r="H7049" s="244"/>
      <c r="I7049" s="244"/>
      <c r="J7049" s="244"/>
      <c r="K7049" s="18"/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</row>
    <row r="7050" spans="1:26" hidden="1">
      <c r="A7050" s="56"/>
      <c r="B7050" s="56"/>
      <c r="C7050"/>
      <c r="D7050"/>
      <c r="E7050" s="56"/>
      <c r="H7050" s="244"/>
      <c r="I7050" s="244"/>
      <c r="J7050" s="244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</row>
    <row r="7051" spans="1:26" hidden="1">
      <c r="A7051" s="56"/>
      <c r="B7051" s="56"/>
      <c r="C7051"/>
      <c r="D7051"/>
      <c r="E7051" s="56"/>
      <c r="H7051" s="244"/>
      <c r="I7051" s="244"/>
      <c r="J7051" s="244"/>
      <c r="K7051" s="18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</row>
    <row r="7052" spans="1:26" hidden="1">
      <c r="A7052" s="56"/>
      <c r="B7052" s="56"/>
      <c r="C7052"/>
      <c r="D7052"/>
      <c r="E7052" s="56"/>
      <c r="H7052" s="244"/>
      <c r="I7052" s="244"/>
      <c r="J7052" s="244"/>
      <c r="K7052" s="18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  <c r="W7052" s="18"/>
      <c r="X7052" s="18"/>
      <c r="Y7052" s="18"/>
      <c r="Z7052" s="18"/>
    </row>
    <row r="7053" spans="1:26" hidden="1">
      <c r="A7053" s="56"/>
      <c r="B7053" s="56"/>
      <c r="C7053"/>
      <c r="D7053"/>
      <c r="E7053" s="56"/>
      <c r="H7053" s="244"/>
      <c r="I7053" s="244"/>
      <c r="J7053" s="244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</row>
    <row r="7054" spans="1:26" hidden="1">
      <c r="A7054" s="56"/>
      <c r="B7054" s="56"/>
      <c r="C7054"/>
      <c r="D7054"/>
      <c r="E7054" s="56"/>
      <c r="H7054" s="244"/>
      <c r="I7054" s="244"/>
      <c r="J7054" s="244"/>
      <c r="K7054" s="18"/>
      <c r="L7054" s="18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</row>
    <row r="7055" spans="1:26" hidden="1">
      <c r="A7055" s="56"/>
      <c r="B7055" s="56"/>
      <c r="C7055"/>
      <c r="D7055"/>
      <c r="E7055" s="56"/>
      <c r="H7055" s="244"/>
      <c r="I7055" s="244"/>
      <c r="J7055" s="244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</row>
    <row r="7056" spans="1:26" hidden="1">
      <c r="A7056" s="56"/>
      <c r="B7056" s="56"/>
      <c r="C7056"/>
      <c r="D7056"/>
      <c r="E7056" s="56"/>
      <c r="H7056" s="244"/>
      <c r="I7056" s="244"/>
      <c r="J7056" s="244"/>
      <c r="K7056" s="18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</row>
    <row r="7057" spans="1:26" hidden="1">
      <c r="A7057" s="56"/>
      <c r="B7057" s="56"/>
      <c r="C7057"/>
      <c r="D7057"/>
      <c r="E7057" s="56"/>
      <c r="H7057" s="244"/>
      <c r="I7057" s="244"/>
      <c r="J7057" s="244"/>
      <c r="K7057" s="18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</row>
    <row r="7058" spans="1:26" hidden="1">
      <c r="A7058" s="56"/>
      <c r="B7058" s="56"/>
      <c r="C7058"/>
      <c r="D7058"/>
      <c r="E7058" s="56"/>
      <c r="H7058" s="244"/>
      <c r="I7058" s="244"/>
      <c r="J7058" s="244"/>
      <c r="K7058" s="18"/>
      <c r="L7058" s="18"/>
      <c r="M7058" s="18"/>
      <c r="N7058" s="18"/>
      <c r="O7058" s="18"/>
      <c r="P7058" s="18"/>
      <c r="Q7058" s="18"/>
      <c r="R7058" s="18"/>
      <c r="S7058" s="18"/>
      <c r="T7058" s="18"/>
      <c r="U7058" s="18"/>
      <c r="V7058" s="18"/>
      <c r="W7058" s="18"/>
      <c r="X7058" s="18"/>
      <c r="Y7058" s="18"/>
      <c r="Z7058" s="18"/>
    </row>
    <row r="7059" spans="1:26" hidden="1">
      <c r="A7059" s="56"/>
      <c r="B7059" s="56"/>
      <c r="C7059"/>
      <c r="D7059"/>
      <c r="E7059" s="56"/>
      <c r="H7059" s="244"/>
      <c r="I7059" s="244"/>
      <c r="J7059" s="244"/>
      <c r="K7059" s="18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</row>
    <row r="7060" spans="1:26" hidden="1">
      <c r="A7060" s="56"/>
      <c r="B7060" s="56"/>
      <c r="C7060"/>
      <c r="D7060"/>
      <c r="E7060" s="56"/>
      <c r="H7060" s="244"/>
      <c r="I7060" s="244"/>
      <c r="J7060" s="244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</row>
    <row r="7061" spans="1:26" hidden="1">
      <c r="A7061" s="56"/>
      <c r="B7061" s="56"/>
      <c r="C7061"/>
      <c r="D7061"/>
      <c r="E7061" s="56"/>
      <c r="H7061" s="244"/>
      <c r="I7061" s="244"/>
      <c r="J7061" s="244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</row>
    <row r="7062" spans="1:26" hidden="1">
      <c r="A7062" s="56"/>
      <c r="B7062" s="56"/>
      <c r="C7062"/>
      <c r="D7062"/>
      <c r="E7062" s="56"/>
      <c r="H7062" s="244"/>
      <c r="I7062" s="244"/>
      <c r="J7062" s="244"/>
      <c r="K7062" s="18"/>
      <c r="L7062" s="18"/>
      <c r="M7062" s="18"/>
      <c r="N7062" s="18"/>
      <c r="O7062" s="18"/>
      <c r="P7062" s="18"/>
      <c r="Q7062" s="18"/>
      <c r="R7062" s="18"/>
      <c r="S7062" s="18"/>
      <c r="T7062" s="18"/>
      <c r="U7062" s="18"/>
      <c r="V7062" s="18"/>
      <c r="W7062" s="18"/>
      <c r="X7062" s="18"/>
      <c r="Y7062" s="18"/>
      <c r="Z7062" s="18"/>
    </row>
    <row r="7063" spans="1:26" hidden="1">
      <c r="A7063" s="56"/>
      <c r="B7063" s="56"/>
      <c r="C7063"/>
      <c r="D7063"/>
      <c r="E7063" s="56"/>
      <c r="H7063" s="244"/>
      <c r="I7063" s="244"/>
      <c r="J7063" s="244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</row>
    <row r="7064" spans="1:26" hidden="1">
      <c r="A7064" s="56"/>
      <c r="B7064" s="56"/>
      <c r="C7064"/>
      <c r="D7064"/>
      <c r="E7064" s="56"/>
      <c r="H7064" s="244"/>
      <c r="I7064" s="244"/>
      <c r="J7064" s="244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</row>
    <row r="7065" spans="1:26" hidden="1">
      <c r="A7065" s="56"/>
      <c r="B7065" s="56"/>
      <c r="C7065"/>
      <c r="D7065"/>
      <c r="E7065" s="56"/>
      <c r="H7065" s="244"/>
      <c r="I7065" s="244"/>
      <c r="J7065" s="244"/>
      <c r="K7065" s="18"/>
      <c r="L7065" s="18"/>
      <c r="M7065" s="18"/>
      <c r="N7065" s="18"/>
      <c r="O7065" s="18"/>
      <c r="P7065" s="18"/>
      <c r="Q7065" s="18"/>
      <c r="R7065" s="18"/>
      <c r="S7065" s="18"/>
      <c r="T7065" s="18"/>
      <c r="U7065" s="18"/>
      <c r="V7065" s="18"/>
      <c r="W7065" s="18"/>
      <c r="X7065" s="18"/>
      <c r="Y7065" s="18"/>
      <c r="Z7065" s="18"/>
    </row>
    <row r="7066" spans="1:26" hidden="1">
      <c r="A7066" s="56"/>
      <c r="B7066" s="56"/>
      <c r="C7066"/>
      <c r="D7066"/>
      <c r="E7066" s="56"/>
      <c r="H7066" s="244"/>
      <c r="I7066" s="244"/>
      <c r="J7066" s="244"/>
      <c r="K7066" s="18"/>
      <c r="L7066" s="18"/>
      <c r="M7066" s="18"/>
      <c r="N7066" s="18"/>
      <c r="O7066" s="18"/>
      <c r="P7066" s="18"/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</row>
    <row r="7067" spans="1:26" hidden="1">
      <c r="A7067" s="56"/>
      <c r="B7067" s="56"/>
      <c r="C7067"/>
      <c r="D7067"/>
      <c r="E7067" s="56"/>
      <c r="H7067" s="244"/>
      <c r="I7067" s="244"/>
      <c r="J7067" s="244"/>
      <c r="K7067" s="18"/>
      <c r="L7067" s="18"/>
      <c r="M7067" s="18"/>
      <c r="N7067" s="18"/>
      <c r="O7067" s="18"/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</row>
    <row r="7068" spans="1:26" hidden="1">
      <c r="A7068" s="56"/>
      <c r="B7068" s="56"/>
      <c r="C7068"/>
      <c r="D7068"/>
      <c r="E7068" s="56"/>
      <c r="H7068" s="244"/>
      <c r="I7068" s="244"/>
      <c r="J7068" s="244"/>
      <c r="K7068" s="18"/>
      <c r="L7068" s="18"/>
      <c r="M7068" s="18"/>
      <c r="N7068" s="18"/>
      <c r="O7068" s="18"/>
      <c r="P7068" s="18"/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</row>
    <row r="7069" spans="1:26" hidden="1">
      <c r="A7069" s="56"/>
      <c r="B7069" s="56"/>
      <c r="C7069"/>
      <c r="D7069"/>
      <c r="E7069" s="56"/>
      <c r="H7069" s="244"/>
      <c r="I7069" s="244"/>
      <c r="J7069" s="244"/>
      <c r="K7069" s="18"/>
      <c r="L7069" s="18"/>
      <c r="M7069" s="18"/>
      <c r="N7069" s="18"/>
      <c r="O7069" s="18"/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</row>
    <row r="7070" spans="1:26" hidden="1">
      <c r="A7070" s="56"/>
      <c r="B7070" s="56"/>
      <c r="C7070"/>
      <c r="D7070"/>
      <c r="E7070" s="56"/>
      <c r="H7070" s="244"/>
      <c r="I7070" s="244"/>
      <c r="J7070" s="244"/>
      <c r="K7070" s="18"/>
      <c r="L7070" s="18"/>
      <c r="M7070" s="18"/>
      <c r="N7070" s="18"/>
      <c r="O7070" s="18"/>
      <c r="P7070" s="18"/>
      <c r="Q7070" s="18"/>
      <c r="R7070" s="18"/>
      <c r="S7070" s="18"/>
      <c r="T7070" s="18"/>
      <c r="U7070" s="18"/>
      <c r="V7070" s="18"/>
      <c r="W7070" s="18"/>
      <c r="X7070" s="18"/>
      <c r="Y7070" s="18"/>
      <c r="Z7070" s="18"/>
    </row>
    <row r="7071" spans="1:26" hidden="1">
      <c r="A7071" s="56"/>
      <c r="B7071" s="56"/>
      <c r="C7071"/>
      <c r="D7071"/>
      <c r="E7071" s="56"/>
      <c r="H7071" s="244"/>
      <c r="I7071" s="244"/>
      <c r="J7071" s="244"/>
      <c r="K7071" s="18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</row>
    <row r="7072" spans="1:26" hidden="1">
      <c r="A7072" s="56"/>
      <c r="B7072" s="56"/>
      <c r="C7072"/>
      <c r="D7072"/>
      <c r="E7072" s="56"/>
      <c r="H7072" s="244"/>
      <c r="I7072" s="244"/>
      <c r="J7072" s="244"/>
      <c r="K7072" s="18"/>
      <c r="L7072" s="18"/>
      <c r="M7072" s="18"/>
      <c r="N7072" s="18"/>
      <c r="O7072" s="18"/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</row>
    <row r="7073" spans="1:26" hidden="1">
      <c r="A7073" s="56"/>
      <c r="B7073" s="56"/>
      <c r="C7073"/>
      <c r="D7073"/>
      <c r="E7073" s="56"/>
      <c r="H7073" s="244"/>
      <c r="I7073" s="244"/>
      <c r="J7073" s="244"/>
      <c r="K7073" s="18"/>
      <c r="L7073" s="18"/>
      <c r="M7073" s="18"/>
      <c r="N7073" s="18"/>
      <c r="O7073" s="18"/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</row>
    <row r="7074" spans="1:26" hidden="1">
      <c r="A7074" s="56"/>
      <c r="B7074" s="56"/>
      <c r="C7074"/>
      <c r="D7074"/>
      <c r="E7074" s="56"/>
      <c r="H7074" s="244"/>
      <c r="I7074" s="244"/>
      <c r="J7074" s="244"/>
      <c r="K7074" s="18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</row>
    <row r="7075" spans="1:26" hidden="1">
      <c r="A7075" s="56"/>
      <c r="B7075" s="56"/>
      <c r="C7075"/>
      <c r="D7075"/>
      <c r="E7075" s="56"/>
      <c r="H7075" s="244"/>
      <c r="I7075" s="244"/>
      <c r="J7075" s="244"/>
      <c r="K7075" s="18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</row>
    <row r="7076" spans="1:26" hidden="1">
      <c r="A7076" s="56"/>
      <c r="B7076" s="56"/>
      <c r="C7076"/>
      <c r="D7076"/>
      <c r="E7076" s="56"/>
      <c r="H7076" s="244"/>
      <c r="I7076" s="244"/>
      <c r="J7076" s="244"/>
      <c r="K7076" s="18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</row>
    <row r="7077" spans="1:26" hidden="1">
      <c r="A7077" s="56"/>
      <c r="B7077" s="56"/>
      <c r="C7077"/>
      <c r="D7077"/>
      <c r="E7077" s="56"/>
      <c r="H7077" s="244"/>
      <c r="I7077" s="244"/>
      <c r="J7077" s="244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</row>
    <row r="7078" spans="1:26" hidden="1">
      <c r="A7078" s="56"/>
      <c r="B7078" s="56"/>
      <c r="C7078"/>
      <c r="D7078"/>
      <c r="E7078" s="56"/>
      <c r="H7078" s="244"/>
      <c r="I7078" s="244"/>
      <c r="J7078" s="244"/>
      <c r="K7078" s="18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</row>
    <row r="7079" spans="1:26" hidden="1">
      <c r="A7079" s="56"/>
      <c r="B7079" s="56"/>
      <c r="C7079"/>
      <c r="D7079"/>
      <c r="E7079" s="56"/>
      <c r="H7079" s="244"/>
      <c r="I7079" s="244"/>
      <c r="J7079" s="244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</row>
    <row r="7080" spans="1:26" hidden="1">
      <c r="A7080" s="56"/>
      <c r="B7080" s="56"/>
      <c r="C7080"/>
      <c r="D7080"/>
      <c r="E7080" s="56"/>
      <c r="H7080" s="244"/>
      <c r="I7080" s="244"/>
      <c r="J7080" s="244"/>
      <c r="K7080" s="18"/>
      <c r="L7080" s="18"/>
      <c r="M7080" s="18"/>
      <c r="N7080" s="18"/>
      <c r="O7080" s="18"/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</row>
    <row r="7081" spans="1:26" hidden="1">
      <c r="A7081" s="56"/>
      <c r="B7081" s="56"/>
      <c r="C7081"/>
      <c r="D7081"/>
      <c r="E7081" s="56"/>
      <c r="H7081" s="244"/>
      <c r="I7081" s="244"/>
      <c r="J7081" s="244"/>
      <c r="K7081" s="18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</row>
    <row r="7082" spans="1:26" hidden="1">
      <c r="A7082" s="56"/>
      <c r="B7082" s="56"/>
      <c r="C7082"/>
      <c r="D7082"/>
      <c r="E7082" s="56"/>
      <c r="H7082" s="244"/>
      <c r="I7082" s="244"/>
      <c r="J7082" s="244"/>
      <c r="K7082" s="18"/>
      <c r="L7082" s="18"/>
      <c r="M7082" s="18"/>
      <c r="N7082" s="18"/>
      <c r="O7082" s="18"/>
      <c r="P7082" s="18"/>
      <c r="Q7082" s="18"/>
      <c r="R7082" s="18"/>
      <c r="S7082" s="18"/>
      <c r="T7082" s="18"/>
      <c r="U7082" s="18"/>
      <c r="V7082" s="18"/>
      <c r="W7082" s="18"/>
      <c r="X7082" s="18"/>
      <c r="Y7082" s="18"/>
      <c r="Z7082" s="18"/>
    </row>
    <row r="7083" spans="1:26" hidden="1">
      <c r="A7083" s="56"/>
      <c r="B7083" s="56"/>
      <c r="C7083"/>
      <c r="D7083"/>
      <c r="E7083" s="56"/>
      <c r="H7083" s="244"/>
      <c r="I7083" s="244"/>
      <c r="J7083" s="244"/>
      <c r="K7083" s="18"/>
      <c r="L7083" s="18"/>
      <c r="M7083" s="18"/>
      <c r="N7083" s="18"/>
      <c r="O7083" s="18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</row>
    <row r="7084" spans="1:26" hidden="1">
      <c r="A7084" s="56"/>
      <c r="B7084" s="56"/>
      <c r="C7084"/>
      <c r="D7084"/>
      <c r="E7084" s="56"/>
      <c r="H7084" s="244"/>
      <c r="I7084" s="244"/>
      <c r="J7084" s="244"/>
      <c r="K7084" s="18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</row>
    <row r="7085" spans="1:26" hidden="1">
      <c r="A7085" s="56"/>
      <c r="B7085" s="56"/>
      <c r="C7085"/>
      <c r="D7085"/>
      <c r="E7085" s="56"/>
      <c r="H7085" s="244"/>
      <c r="I7085" s="244"/>
      <c r="J7085" s="244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</row>
    <row r="7086" spans="1:26" hidden="1">
      <c r="A7086" s="56"/>
      <c r="B7086" s="56"/>
      <c r="C7086"/>
      <c r="D7086"/>
      <c r="E7086" s="56"/>
      <c r="H7086" s="244"/>
      <c r="I7086" s="244"/>
      <c r="J7086" s="244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</row>
    <row r="7087" spans="1:26" hidden="1">
      <c r="A7087" s="56"/>
      <c r="B7087" s="56"/>
      <c r="C7087"/>
      <c r="D7087"/>
      <c r="E7087" s="56"/>
      <c r="H7087" s="244"/>
      <c r="I7087" s="244"/>
      <c r="J7087" s="244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</row>
    <row r="7088" spans="1:26" hidden="1">
      <c r="A7088" s="56"/>
      <c r="B7088" s="56"/>
      <c r="C7088"/>
      <c r="D7088"/>
      <c r="E7088" s="56"/>
      <c r="H7088" s="244"/>
      <c r="I7088" s="244"/>
      <c r="J7088" s="244"/>
      <c r="K7088" s="18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</row>
    <row r="7089" spans="1:26" hidden="1">
      <c r="A7089" s="56"/>
      <c r="B7089" s="56"/>
      <c r="C7089"/>
      <c r="D7089"/>
      <c r="E7089" s="56"/>
      <c r="H7089" s="244"/>
      <c r="I7089" s="244"/>
      <c r="J7089" s="244"/>
      <c r="K7089" s="18"/>
      <c r="L7089" s="18"/>
      <c r="M7089" s="18"/>
      <c r="N7089" s="18"/>
      <c r="O7089" s="18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</row>
    <row r="7090" spans="1:26" hidden="1">
      <c r="A7090" s="56"/>
      <c r="B7090" s="56"/>
      <c r="C7090"/>
      <c r="D7090"/>
      <c r="E7090" s="56"/>
      <c r="H7090" s="244"/>
      <c r="I7090" s="244"/>
      <c r="J7090" s="244"/>
      <c r="K7090" s="18"/>
      <c r="L7090" s="18"/>
      <c r="M7090" s="18"/>
      <c r="N7090" s="18"/>
      <c r="O7090" s="18"/>
      <c r="P7090" s="18"/>
      <c r="Q7090" s="18"/>
      <c r="R7090" s="18"/>
      <c r="S7090" s="18"/>
      <c r="T7090" s="18"/>
      <c r="U7090" s="18"/>
      <c r="V7090" s="18"/>
      <c r="W7090" s="18"/>
      <c r="X7090" s="18"/>
      <c r="Y7090" s="18"/>
      <c r="Z7090" s="18"/>
    </row>
    <row r="7091" spans="1:26" hidden="1">
      <c r="A7091" s="56"/>
      <c r="B7091" s="56"/>
      <c r="C7091"/>
      <c r="D7091"/>
      <c r="E7091" s="56"/>
      <c r="H7091" s="244"/>
      <c r="I7091" s="244"/>
      <c r="J7091" s="244"/>
      <c r="K7091" s="18"/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</row>
    <row r="7092" spans="1:26" hidden="1">
      <c r="A7092" s="56"/>
      <c r="B7092" s="56"/>
      <c r="C7092"/>
      <c r="D7092"/>
      <c r="E7092" s="56"/>
      <c r="H7092" s="244"/>
      <c r="I7092" s="244"/>
      <c r="J7092" s="244"/>
      <c r="K7092" s="18"/>
      <c r="L7092" s="18"/>
      <c r="M7092" s="18"/>
      <c r="N7092" s="18"/>
      <c r="O7092" s="18"/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</row>
    <row r="7093" spans="1:26" hidden="1">
      <c r="A7093" s="56"/>
      <c r="B7093" s="56"/>
      <c r="C7093"/>
      <c r="D7093"/>
      <c r="E7093" s="56"/>
      <c r="H7093" s="244"/>
      <c r="I7093" s="244"/>
      <c r="J7093" s="244"/>
      <c r="K7093" s="18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</row>
    <row r="7094" spans="1:26" hidden="1">
      <c r="A7094" s="56"/>
      <c r="B7094" s="56"/>
      <c r="C7094"/>
      <c r="D7094"/>
      <c r="E7094" s="56"/>
      <c r="H7094" s="244"/>
      <c r="I7094" s="244"/>
      <c r="J7094" s="244"/>
      <c r="K7094" s="18"/>
      <c r="L7094" s="18"/>
      <c r="M7094" s="18"/>
      <c r="N7094" s="18"/>
      <c r="O7094" s="18"/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</row>
    <row r="7095" spans="1:26" hidden="1">
      <c r="A7095" s="56"/>
      <c r="B7095" s="56"/>
      <c r="C7095"/>
      <c r="D7095"/>
      <c r="E7095" s="56"/>
      <c r="H7095" s="244"/>
      <c r="I7095" s="244"/>
      <c r="J7095" s="244"/>
      <c r="K7095" s="18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</row>
    <row r="7096" spans="1:26" hidden="1">
      <c r="A7096" s="56"/>
      <c r="B7096" s="56"/>
      <c r="C7096"/>
      <c r="D7096"/>
      <c r="E7096" s="56"/>
      <c r="H7096" s="244"/>
      <c r="I7096" s="244"/>
      <c r="J7096" s="244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8"/>
      <c r="X7096" s="18"/>
      <c r="Y7096" s="18"/>
      <c r="Z7096" s="18"/>
    </row>
    <row r="7097" spans="1:26" hidden="1">
      <c r="A7097" s="56"/>
      <c r="B7097" s="56"/>
      <c r="C7097"/>
      <c r="D7097"/>
      <c r="E7097" s="56"/>
      <c r="H7097" s="244"/>
      <c r="I7097" s="244"/>
      <c r="J7097" s="244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</row>
    <row r="7098" spans="1:26" hidden="1">
      <c r="A7098" s="56"/>
      <c r="B7098" s="56"/>
      <c r="C7098"/>
      <c r="D7098"/>
      <c r="E7098" s="56"/>
      <c r="H7098" s="244"/>
      <c r="I7098" s="244"/>
      <c r="J7098" s="244"/>
      <c r="K7098" s="18"/>
      <c r="L7098" s="18"/>
      <c r="M7098" s="18"/>
      <c r="N7098" s="18"/>
      <c r="O7098" s="18"/>
      <c r="P7098" s="18"/>
      <c r="Q7098" s="18"/>
      <c r="R7098" s="18"/>
      <c r="S7098" s="18"/>
      <c r="T7098" s="18"/>
      <c r="U7098" s="18"/>
      <c r="V7098" s="18"/>
      <c r="W7098" s="18"/>
      <c r="X7098" s="18"/>
      <c r="Y7098" s="18"/>
      <c r="Z7098" s="18"/>
    </row>
    <row r="7099" spans="1:26" hidden="1">
      <c r="A7099" s="56"/>
      <c r="B7099" s="56"/>
      <c r="C7099"/>
      <c r="D7099"/>
      <c r="E7099" s="56"/>
      <c r="H7099" s="244"/>
      <c r="I7099" s="244"/>
      <c r="J7099" s="244"/>
      <c r="K7099" s="18"/>
      <c r="L7099" s="18"/>
      <c r="M7099" s="18"/>
      <c r="N7099" s="18"/>
      <c r="O7099" s="18"/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</row>
    <row r="7100" spans="1:26" hidden="1">
      <c r="A7100" s="56"/>
      <c r="B7100" s="56"/>
      <c r="C7100"/>
      <c r="D7100"/>
      <c r="E7100" s="56"/>
      <c r="H7100" s="244"/>
      <c r="I7100" s="244"/>
      <c r="J7100" s="244"/>
      <c r="K7100" s="18"/>
      <c r="L7100" s="18"/>
      <c r="M7100" s="18"/>
      <c r="N7100" s="18"/>
      <c r="O7100" s="18"/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</row>
    <row r="7101" spans="1:26" hidden="1">
      <c r="A7101" s="56"/>
      <c r="B7101" s="56"/>
      <c r="C7101"/>
      <c r="D7101"/>
      <c r="E7101" s="56"/>
      <c r="H7101" s="244"/>
      <c r="I7101" s="244"/>
      <c r="J7101" s="244"/>
      <c r="K7101" s="18"/>
      <c r="L7101" s="18"/>
      <c r="M7101" s="18"/>
      <c r="N7101" s="18"/>
      <c r="O7101" s="18"/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</row>
    <row r="7102" spans="1:26" hidden="1">
      <c r="A7102" s="56"/>
      <c r="B7102" s="56"/>
      <c r="C7102"/>
      <c r="D7102"/>
      <c r="E7102" s="56"/>
      <c r="H7102" s="244"/>
      <c r="I7102" s="244"/>
      <c r="J7102" s="244"/>
      <c r="K7102" s="18"/>
      <c r="L7102" s="18"/>
      <c r="M7102" s="18"/>
      <c r="N7102" s="18"/>
      <c r="O7102" s="18"/>
      <c r="P7102" s="18"/>
      <c r="Q7102" s="18"/>
      <c r="R7102" s="18"/>
      <c r="S7102" s="18"/>
      <c r="T7102" s="18"/>
      <c r="U7102" s="18"/>
      <c r="V7102" s="18"/>
      <c r="W7102" s="18"/>
      <c r="X7102" s="18"/>
      <c r="Y7102" s="18"/>
      <c r="Z7102" s="18"/>
    </row>
    <row r="7103" spans="1:26" hidden="1">
      <c r="A7103" s="56"/>
      <c r="B7103" s="56"/>
      <c r="C7103"/>
      <c r="D7103"/>
      <c r="E7103" s="56"/>
      <c r="H7103" s="244"/>
      <c r="I7103" s="244"/>
      <c r="J7103" s="244"/>
      <c r="K7103" s="18"/>
      <c r="L7103" s="18"/>
      <c r="M7103" s="18"/>
      <c r="N7103" s="18"/>
      <c r="O7103" s="18"/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</row>
    <row r="7104" spans="1:26" hidden="1">
      <c r="A7104" s="56"/>
      <c r="B7104" s="56"/>
      <c r="C7104"/>
      <c r="D7104"/>
      <c r="E7104" s="56"/>
      <c r="H7104" s="244"/>
      <c r="I7104" s="244"/>
      <c r="J7104" s="244"/>
      <c r="K7104" s="18"/>
      <c r="L7104" s="18"/>
      <c r="M7104" s="18"/>
      <c r="N7104" s="18"/>
      <c r="O7104" s="18"/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</row>
    <row r="7105" spans="1:26" hidden="1">
      <c r="A7105" s="56"/>
      <c r="B7105" s="56"/>
      <c r="C7105"/>
      <c r="D7105"/>
      <c r="E7105" s="56"/>
      <c r="H7105" s="244"/>
      <c r="I7105" s="244"/>
      <c r="J7105" s="244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</row>
    <row r="7106" spans="1:26" hidden="1">
      <c r="A7106" s="56"/>
      <c r="B7106" s="56"/>
      <c r="C7106"/>
      <c r="D7106"/>
      <c r="E7106" s="56"/>
      <c r="H7106" s="244"/>
      <c r="I7106" s="244"/>
      <c r="J7106" s="244"/>
      <c r="K7106" s="18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</row>
    <row r="7107" spans="1:26" hidden="1">
      <c r="A7107" s="56"/>
      <c r="B7107" s="56"/>
      <c r="C7107"/>
      <c r="D7107"/>
      <c r="E7107" s="56"/>
      <c r="H7107" s="244"/>
      <c r="I7107" s="244"/>
      <c r="J7107" s="244"/>
      <c r="K7107" s="18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</row>
    <row r="7108" spans="1:26" hidden="1">
      <c r="A7108" s="56"/>
      <c r="B7108" s="56"/>
      <c r="C7108"/>
      <c r="D7108"/>
      <c r="E7108" s="56"/>
      <c r="H7108" s="244"/>
      <c r="I7108" s="244"/>
      <c r="J7108" s="244"/>
      <c r="K7108" s="18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</row>
    <row r="7109" spans="1:26" hidden="1">
      <c r="A7109" s="56"/>
      <c r="B7109" s="56"/>
      <c r="C7109"/>
      <c r="D7109"/>
      <c r="E7109" s="56"/>
      <c r="H7109" s="244"/>
      <c r="I7109" s="244"/>
      <c r="J7109" s="244"/>
      <c r="K7109" s="18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</row>
    <row r="7110" spans="1:26" hidden="1">
      <c r="A7110" s="56"/>
      <c r="B7110" s="56"/>
      <c r="C7110"/>
      <c r="D7110"/>
      <c r="E7110" s="56"/>
      <c r="H7110" s="244"/>
      <c r="I7110" s="244"/>
      <c r="J7110" s="244"/>
      <c r="K7110" s="18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</row>
    <row r="7111" spans="1:26" hidden="1">
      <c r="A7111" s="56"/>
      <c r="B7111" s="56"/>
      <c r="C7111"/>
      <c r="D7111"/>
      <c r="E7111" s="56"/>
      <c r="H7111" s="244"/>
      <c r="I7111" s="244"/>
      <c r="J7111" s="244"/>
      <c r="K7111" s="18"/>
      <c r="L7111" s="18"/>
      <c r="M7111" s="18"/>
      <c r="N7111" s="18"/>
      <c r="O7111" s="18"/>
      <c r="P7111" s="18"/>
      <c r="Q7111" s="18"/>
      <c r="R7111" s="18"/>
      <c r="S7111" s="18"/>
      <c r="T7111" s="18"/>
      <c r="U7111" s="18"/>
      <c r="V7111" s="18"/>
      <c r="W7111" s="18"/>
      <c r="X7111" s="18"/>
      <c r="Y7111" s="18"/>
      <c r="Z7111" s="18"/>
    </row>
    <row r="7112" spans="1:26" hidden="1">
      <c r="A7112" s="56"/>
      <c r="B7112" s="56"/>
      <c r="C7112"/>
      <c r="D7112"/>
      <c r="E7112" s="56"/>
      <c r="H7112" s="244"/>
      <c r="I7112" s="244"/>
      <c r="J7112" s="244"/>
      <c r="K7112" s="18"/>
      <c r="L7112" s="18"/>
      <c r="M7112" s="18"/>
      <c r="N7112" s="18"/>
      <c r="O7112" s="18"/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</row>
    <row r="7113" spans="1:26" hidden="1">
      <c r="A7113" s="56"/>
      <c r="B7113" s="56"/>
      <c r="C7113"/>
      <c r="D7113"/>
      <c r="E7113" s="56"/>
      <c r="H7113" s="244"/>
      <c r="I7113" s="244"/>
      <c r="J7113" s="244"/>
      <c r="K7113" s="18"/>
      <c r="L7113" s="18"/>
      <c r="M7113" s="18"/>
      <c r="N7113" s="18"/>
      <c r="O7113" s="18"/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</row>
    <row r="7114" spans="1:26" hidden="1">
      <c r="A7114" s="56"/>
      <c r="B7114" s="56"/>
      <c r="C7114"/>
      <c r="D7114"/>
      <c r="E7114" s="56"/>
      <c r="H7114" s="244"/>
      <c r="I7114" s="244"/>
      <c r="J7114" s="244"/>
      <c r="K7114" s="18"/>
      <c r="L7114" s="18"/>
      <c r="M7114" s="18"/>
      <c r="N7114" s="18"/>
      <c r="O7114" s="18"/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</row>
    <row r="7115" spans="1:26" hidden="1">
      <c r="A7115" s="56"/>
      <c r="B7115" s="56"/>
      <c r="C7115"/>
      <c r="D7115"/>
      <c r="E7115" s="56"/>
      <c r="H7115" s="244"/>
      <c r="I7115" s="244"/>
      <c r="J7115" s="244"/>
      <c r="K7115" s="18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</row>
    <row r="7116" spans="1:26" hidden="1">
      <c r="A7116" s="56"/>
      <c r="B7116" s="56"/>
      <c r="C7116"/>
      <c r="D7116"/>
      <c r="E7116" s="56"/>
      <c r="H7116" s="244"/>
      <c r="I7116" s="244"/>
      <c r="J7116" s="244"/>
      <c r="K7116" s="18"/>
      <c r="L7116" s="18"/>
      <c r="M7116" s="18"/>
      <c r="N7116" s="18"/>
      <c r="O7116" s="18"/>
      <c r="P7116" s="18"/>
      <c r="Q7116" s="18"/>
      <c r="R7116" s="18"/>
      <c r="S7116" s="18"/>
      <c r="T7116" s="18"/>
      <c r="U7116" s="18"/>
      <c r="V7116" s="18"/>
      <c r="W7116" s="18"/>
      <c r="X7116" s="18"/>
      <c r="Y7116" s="18"/>
      <c r="Z7116" s="18"/>
    </row>
    <row r="7117" spans="1:26" hidden="1">
      <c r="A7117" s="56"/>
      <c r="B7117" s="56"/>
      <c r="C7117"/>
      <c r="D7117"/>
      <c r="E7117" s="56"/>
      <c r="H7117" s="244"/>
      <c r="I7117" s="244"/>
      <c r="J7117" s="244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</row>
    <row r="7118" spans="1:26" hidden="1">
      <c r="A7118" s="56"/>
      <c r="B7118" s="56"/>
      <c r="C7118"/>
      <c r="D7118"/>
      <c r="E7118" s="56"/>
      <c r="H7118" s="244"/>
      <c r="I7118" s="244"/>
      <c r="J7118" s="244"/>
      <c r="K7118" s="18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8"/>
    </row>
    <row r="7119" spans="1:26" hidden="1">
      <c r="A7119" s="56"/>
      <c r="B7119" s="56"/>
      <c r="C7119"/>
      <c r="D7119"/>
      <c r="E7119" s="56"/>
      <c r="H7119" s="244"/>
      <c r="I7119" s="244"/>
      <c r="J7119" s="244"/>
      <c r="K7119" s="18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</row>
    <row r="7120" spans="1:26" hidden="1">
      <c r="A7120" s="56"/>
      <c r="B7120" s="56"/>
      <c r="C7120"/>
      <c r="D7120"/>
      <c r="E7120" s="56"/>
      <c r="H7120" s="244"/>
      <c r="I7120" s="244"/>
      <c r="J7120" s="244"/>
      <c r="K7120" s="18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  <c r="W7120" s="18"/>
      <c r="X7120" s="18"/>
      <c r="Y7120" s="18"/>
      <c r="Z7120" s="18"/>
    </row>
    <row r="7121" spans="1:26" hidden="1">
      <c r="A7121" s="56"/>
      <c r="B7121" s="56"/>
      <c r="C7121"/>
      <c r="D7121"/>
      <c r="E7121" s="56"/>
      <c r="H7121" s="244"/>
      <c r="I7121" s="244"/>
      <c r="J7121" s="244"/>
      <c r="K7121" s="18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</row>
    <row r="7122" spans="1:26" hidden="1">
      <c r="A7122" s="56"/>
      <c r="B7122" s="56"/>
      <c r="C7122"/>
      <c r="D7122"/>
      <c r="E7122" s="56"/>
      <c r="H7122" s="244"/>
      <c r="I7122" s="244"/>
      <c r="J7122" s="244"/>
      <c r="K7122" s="18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</row>
    <row r="7123" spans="1:26" hidden="1">
      <c r="A7123" s="56"/>
      <c r="B7123" s="56"/>
      <c r="C7123"/>
      <c r="D7123"/>
      <c r="E7123" s="56"/>
      <c r="H7123" s="244"/>
      <c r="I7123" s="244"/>
      <c r="J7123" s="244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</row>
    <row r="7124" spans="1:26" hidden="1">
      <c r="A7124" s="56"/>
      <c r="B7124" s="56"/>
      <c r="C7124"/>
      <c r="D7124"/>
      <c r="E7124" s="56"/>
      <c r="H7124" s="244"/>
      <c r="I7124" s="244"/>
      <c r="J7124" s="244"/>
      <c r="K7124" s="18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</row>
    <row r="7125" spans="1:26" hidden="1">
      <c r="A7125" s="56"/>
      <c r="B7125" s="56"/>
      <c r="C7125"/>
      <c r="D7125"/>
      <c r="E7125" s="56"/>
      <c r="H7125" s="244"/>
      <c r="I7125" s="244"/>
      <c r="J7125" s="244"/>
      <c r="K7125" s="18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</row>
    <row r="7126" spans="1:26" hidden="1">
      <c r="A7126" s="56"/>
      <c r="B7126" s="56"/>
      <c r="C7126"/>
      <c r="D7126"/>
      <c r="E7126" s="56"/>
      <c r="H7126" s="244"/>
      <c r="I7126" s="244"/>
      <c r="J7126" s="244"/>
      <c r="K7126" s="18"/>
      <c r="L7126" s="18"/>
      <c r="M7126" s="18"/>
      <c r="N7126" s="18"/>
      <c r="O7126" s="18"/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</row>
    <row r="7127" spans="1:26" hidden="1">
      <c r="A7127" s="56"/>
      <c r="B7127" s="56"/>
      <c r="C7127"/>
      <c r="D7127"/>
      <c r="E7127" s="56"/>
      <c r="H7127" s="244"/>
      <c r="I7127" s="244"/>
      <c r="J7127" s="244"/>
      <c r="K7127" s="18"/>
      <c r="L7127" s="18"/>
      <c r="M7127" s="18"/>
      <c r="N7127" s="18"/>
      <c r="O7127" s="18"/>
      <c r="P7127" s="18"/>
      <c r="Q7127" s="18"/>
      <c r="R7127" s="18"/>
      <c r="S7127" s="18"/>
      <c r="T7127" s="18"/>
      <c r="U7127" s="18"/>
      <c r="V7127" s="18"/>
      <c r="W7127" s="18"/>
      <c r="X7127" s="18"/>
      <c r="Y7127" s="18"/>
      <c r="Z7127" s="18"/>
    </row>
    <row r="7128" spans="1:26" hidden="1">
      <c r="A7128" s="56"/>
      <c r="B7128" s="56"/>
      <c r="C7128"/>
      <c r="D7128"/>
      <c r="E7128" s="56"/>
      <c r="H7128" s="244"/>
      <c r="I7128" s="244"/>
      <c r="J7128" s="244"/>
      <c r="K7128" s="18"/>
      <c r="L7128" s="18"/>
      <c r="M7128" s="18"/>
      <c r="N7128" s="18"/>
      <c r="O7128" s="18"/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</row>
    <row r="7129" spans="1:26" hidden="1">
      <c r="A7129" s="56"/>
      <c r="B7129" s="56"/>
      <c r="C7129"/>
      <c r="D7129"/>
      <c r="E7129" s="56"/>
      <c r="H7129" s="244"/>
      <c r="I7129" s="244"/>
      <c r="J7129" s="244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</row>
    <row r="7130" spans="1:26" hidden="1">
      <c r="A7130" s="56"/>
      <c r="B7130" s="56"/>
      <c r="C7130"/>
      <c r="D7130"/>
      <c r="E7130" s="56"/>
      <c r="H7130" s="244"/>
      <c r="I7130" s="244"/>
      <c r="J7130" s="244"/>
      <c r="K7130" s="18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</row>
    <row r="7131" spans="1:26" hidden="1">
      <c r="A7131" s="56"/>
      <c r="B7131" s="56"/>
      <c r="C7131"/>
      <c r="D7131"/>
      <c r="E7131" s="56"/>
      <c r="H7131" s="244"/>
      <c r="I7131" s="244"/>
      <c r="J7131" s="244"/>
      <c r="K7131" s="18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</row>
    <row r="7132" spans="1:26" hidden="1">
      <c r="A7132" s="56"/>
      <c r="B7132" s="56"/>
      <c r="C7132"/>
      <c r="D7132"/>
      <c r="E7132" s="56"/>
      <c r="H7132" s="244"/>
      <c r="I7132" s="244"/>
      <c r="J7132" s="244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</row>
    <row r="7133" spans="1:26" hidden="1">
      <c r="A7133" s="56"/>
      <c r="B7133" s="56"/>
      <c r="C7133"/>
      <c r="D7133"/>
      <c r="E7133" s="56"/>
      <c r="H7133" s="244"/>
      <c r="I7133" s="244"/>
      <c r="J7133" s="244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</row>
    <row r="7134" spans="1:26" hidden="1">
      <c r="A7134" s="56"/>
      <c r="B7134" s="56"/>
      <c r="C7134"/>
      <c r="D7134"/>
      <c r="E7134" s="56"/>
      <c r="H7134" s="244"/>
      <c r="I7134" s="244"/>
      <c r="J7134" s="244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</row>
    <row r="7135" spans="1:26" hidden="1">
      <c r="A7135" s="56"/>
      <c r="B7135" s="56"/>
      <c r="C7135"/>
      <c r="D7135"/>
      <c r="E7135" s="56"/>
      <c r="H7135" s="244"/>
      <c r="I7135" s="244"/>
      <c r="J7135" s="244"/>
      <c r="K7135" s="18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</row>
    <row r="7136" spans="1:26" hidden="1">
      <c r="A7136" s="56"/>
      <c r="B7136" s="56"/>
      <c r="C7136"/>
      <c r="D7136"/>
      <c r="E7136" s="56"/>
      <c r="H7136" s="244"/>
      <c r="I7136" s="244"/>
      <c r="J7136" s="244"/>
      <c r="K7136" s="18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</row>
    <row r="7137" spans="1:26" hidden="1">
      <c r="A7137" s="56"/>
      <c r="B7137" s="56"/>
      <c r="C7137"/>
      <c r="D7137"/>
      <c r="E7137" s="56"/>
      <c r="H7137" s="244"/>
      <c r="I7137" s="244"/>
      <c r="J7137" s="244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</row>
    <row r="7138" spans="1:26" hidden="1">
      <c r="A7138" s="56"/>
      <c r="B7138" s="56"/>
      <c r="C7138"/>
      <c r="D7138"/>
      <c r="E7138" s="56"/>
      <c r="H7138" s="244"/>
      <c r="I7138" s="244"/>
      <c r="J7138" s="244"/>
      <c r="K7138" s="18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</row>
    <row r="7139" spans="1:26" hidden="1">
      <c r="A7139" s="56"/>
      <c r="B7139" s="56"/>
      <c r="C7139"/>
      <c r="D7139"/>
      <c r="E7139" s="56"/>
      <c r="H7139" s="244"/>
      <c r="I7139" s="244"/>
      <c r="J7139" s="244"/>
      <c r="K7139" s="18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</row>
    <row r="7140" spans="1:26" hidden="1">
      <c r="A7140" s="56"/>
      <c r="B7140" s="56"/>
      <c r="C7140"/>
      <c r="D7140"/>
      <c r="E7140" s="56"/>
      <c r="H7140" s="244"/>
      <c r="I7140" s="244"/>
      <c r="J7140" s="244"/>
      <c r="K7140" s="18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</row>
    <row r="7141" spans="1:26" hidden="1">
      <c r="A7141" s="56"/>
      <c r="B7141" s="56"/>
      <c r="C7141"/>
      <c r="D7141"/>
      <c r="E7141" s="56"/>
      <c r="H7141" s="244"/>
      <c r="I7141" s="244"/>
      <c r="J7141" s="244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</row>
    <row r="7142" spans="1:26" hidden="1">
      <c r="A7142" s="56"/>
      <c r="B7142" s="56"/>
      <c r="C7142"/>
      <c r="D7142"/>
      <c r="E7142" s="56"/>
      <c r="H7142" s="244"/>
      <c r="I7142" s="244"/>
      <c r="J7142" s="244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</row>
    <row r="7143" spans="1:26" hidden="1">
      <c r="A7143" s="56"/>
      <c r="B7143" s="56"/>
      <c r="C7143"/>
      <c r="D7143"/>
      <c r="E7143" s="56"/>
      <c r="H7143" s="244"/>
      <c r="I7143" s="244"/>
      <c r="J7143" s="244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</row>
    <row r="7144" spans="1:26" hidden="1">
      <c r="A7144" s="56"/>
      <c r="B7144" s="56"/>
      <c r="C7144"/>
      <c r="D7144"/>
      <c r="E7144" s="56"/>
      <c r="H7144" s="244"/>
      <c r="I7144" s="244"/>
      <c r="J7144" s="244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</row>
    <row r="7145" spans="1:26" hidden="1">
      <c r="A7145" s="56"/>
      <c r="B7145" s="56"/>
      <c r="C7145"/>
      <c r="D7145"/>
      <c r="E7145" s="56"/>
      <c r="H7145" s="244"/>
      <c r="I7145" s="244"/>
      <c r="J7145" s="244"/>
      <c r="K7145" s="18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</row>
    <row r="7146" spans="1:26" hidden="1">
      <c r="A7146" s="56"/>
      <c r="B7146" s="56"/>
      <c r="C7146"/>
      <c r="D7146"/>
      <c r="E7146" s="56"/>
      <c r="H7146" s="244"/>
      <c r="I7146" s="244"/>
      <c r="J7146" s="244"/>
      <c r="K7146" s="18"/>
      <c r="L7146" s="18"/>
      <c r="M7146" s="18"/>
      <c r="N7146" s="18"/>
      <c r="O7146" s="18"/>
      <c r="P7146" s="18"/>
      <c r="Q7146" s="18"/>
      <c r="R7146" s="18"/>
      <c r="S7146" s="18"/>
      <c r="T7146" s="18"/>
      <c r="U7146" s="18"/>
      <c r="V7146" s="18"/>
      <c r="W7146" s="18"/>
      <c r="X7146" s="18"/>
      <c r="Y7146" s="18"/>
      <c r="Z7146" s="18"/>
    </row>
    <row r="7147" spans="1:26" hidden="1">
      <c r="A7147" s="56"/>
      <c r="B7147" s="56"/>
      <c r="C7147"/>
      <c r="D7147"/>
      <c r="E7147" s="56"/>
      <c r="H7147" s="244"/>
      <c r="I7147" s="244"/>
      <c r="J7147" s="244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</row>
    <row r="7148" spans="1:26" hidden="1">
      <c r="A7148" s="56"/>
      <c r="B7148" s="56"/>
      <c r="C7148"/>
      <c r="D7148"/>
      <c r="E7148" s="56"/>
      <c r="H7148" s="244"/>
      <c r="I7148" s="244"/>
      <c r="J7148" s="244"/>
      <c r="K7148" s="18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</row>
    <row r="7149" spans="1:26" hidden="1">
      <c r="A7149" s="56"/>
      <c r="B7149" s="56"/>
      <c r="C7149"/>
      <c r="D7149"/>
      <c r="E7149" s="56"/>
      <c r="H7149" s="244"/>
      <c r="I7149" s="244"/>
      <c r="J7149" s="244"/>
      <c r="K7149" s="18"/>
      <c r="L7149" s="18"/>
      <c r="M7149" s="18"/>
      <c r="N7149" s="18"/>
      <c r="O7149" s="18"/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</row>
    <row r="7150" spans="1:26" hidden="1">
      <c r="A7150" s="56"/>
      <c r="B7150" s="56"/>
      <c r="C7150"/>
      <c r="D7150"/>
      <c r="E7150" s="56"/>
      <c r="H7150" s="244"/>
      <c r="I7150" s="244"/>
      <c r="J7150" s="244"/>
      <c r="K7150" s="18"/>
      <c r="L7150" s="18"/>
      <c r="M7150" s="18"/>
      <c r="N7150" s="18"/>
      <c r="O7150" s="18"/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</row>
    <row r="7151" spans="1:26" hidden="1">
      <c r="A7151" s="56"/>
      <c r="B7151" s="56"/>
      <c r="C7151"/>
      <c r="D7151"/>
      <c r="E7151" s="56"/>
      <c r="H7151" s="244"/>
      <c r="I7151" s="244"/>
      <c r="J7151" s="244"/>
      <c r="K7151" s="18"/>
      <c r="L7151" s="18"/>
      <c r="M7151" s="18"/>
      <c r="N7151" s="18"/>
      <c r="O7151" s="18"/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</row>
    <row r="7152" spans="1:26" hidden="1">
      <c r="A7152" s="56"/>
      <c r="B7152" s="56"/>
      <c r="C7152"/>
      <c r="D7152"/>
      <c r="E7152" s="56"/>
      <c r="H7152" s="244"/>
      <c r="I7152" s="244"/>
      <c r="J7152" s="244"/>
      <c r="K7152" s="18"/>
      <c r="L7152" s="18"/>
      <c r="M7152" s="18"/>
      <c r="N7152" s="18"/>
      <c r="O7152" s="18"/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</row>
    <row r="7153" spans="1:26" hidden="1">
      <c r="A7153" s="56"/>
      <c r="B7153" s="56"/>
      <c r="C7153"/>
      <c r="D7153"/>
      <c r="E7153" s="56"/>
      <c r="H7153" s="244"/>
      <c r="I7153" s="244"/>
      <c r="J7153" s="244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</row>
    <row r="7154" spans="1:26" hidden="1">
      <c r="A7154" s="56"/>
      <c r="B7154" s="56"/>
      <c r="C7154"/>
      <c r="D7154"/>
      <c r="E7154" s="56"/>
      <c r="H7154" s="244"/>
      <c r="I7154" s="244"/>
      <c r="J7154" s="244"/>
      <c r="K7154" s="18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</row>
    <row r="7155" spans="1:26" hidden="1">
      <c r="A7155" s="56"/>
      <c r="B7155" s="56"/>
      <c r="C7155"/>
      <c r="D7155"/>
      <c r="E7155" s="56"/>
      <c r="H7155" s="244"/>
      <c r="I7155" s="244"/>
      <c r="J7155" s="244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</row>
    <row r="7156" spans="1:26" hidden="1">
      <c r="A7156" s="56"/>
      <c r="B7156" s="56"/>
      <c r="C7156"/>
      <c r="D7156"/>
      <c r="E7156" s="56"/>
      <c r="H7156" s="244"/>
      <c r="I7156" s="244"/>
      <c r="J7156" s="244"/>
      <c r="K7156" s="18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</row>
    <row r="7157" spans="1:26" hidden="1">
      <c r="A7157" s="56"/>
      <c r="B7157" s="56"/>
      <c r="C7157"/>
      <c r="D7157"/>
      <c r="E7157" s="56"/>
      <c r="H7157" s="244"/>
      <c r="I7157" s="244"/>
      <c r="J7157" s="244"/>
      <c r="K7157" s="18"/>
      <c r="L7157" s="18"/>
      <c r="M7157" s="18"/>
      <c r="N7157" s="18"/>
      <c r="O7157" s="18"/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</row>
    <row r="7158" spans="1:26" hidden="1">
      <c r="A7158" s="56"/>
      <c r="B7158" s="56"/>
      <c r="C7158"/>
      <c r="D7158"/>
      <c r="E7158" s="56"/>
      <c r="H7158" s="244"/>
      <c r="I7158" s="244"/>
      <c r="J7158" s="244"/>
      <c r="K7158" s="18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</row>
    <row r="7159" spans="1:26" hidden="1">
      <c r="A7159" s="56"/>
      <c r="B7159" s="56"/>
      <c r="C7159"/>
      <c r="D7159"/>
      <c r="E7159" s="56"/>
      <c r="H7159" s="244"/>
      <c r="I7159" s="244"/>
      <c r="J7159" s="244"/>
      <c r="K7159" s="18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</row>
    <row r="7160" spans="1:26" hidden="1">
      <c r="A7160" s="56"/>
      <c r="B7160" s="56"/>
      <c r="C7160"/>
      <c r="D7160"/>
      <c r="E7160" s="56"/>
      <c r="H7160" s="244"/>
      <c r="I7160" s="244"/>
      <c r="J7160" s="244"/>
      <c r="K7160" s="18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</row>
    <row r="7161" spans="1:26" hidden="1">
      <c r="A7161" s="56"/>
      <c r="B7161" s="56"/>
      <c r="C7161"/>
      <c r="D7161"/>
      <c r="E7161" s="56"/>
      <c r="H7161" s="244"/>
      <c r="I7161" s="244"/>
      <c r="J7161" s="244"/>
      <c r="K7161" s="18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</row>
    <row r="7162" spans="1:26" hidden="1">
      <c r="A7162" s="56"/>
      <c r="B7162" s="56"/>
      <c r="C7162"/>
      <c r="D7162"/>
      <c r="E7162" s="56"/>
      <c r="H7162" s="244"/>
      <c r="I7162" s="244"/>
      <c r="J7162" s="244"/>
      <c r="K7162" s="18"/>
      <c r="L7162" s="18"/>
      <c r="M7162" s="18"/>
      <c r="N7162" s="18"/>
      <c r="O7162" s="18"/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</row>
    <row r="7163" spans="1:26" hidden="1">
      <c r="A7163" s="56"/>
      <c r="B7163" s="56"/>
      <c r="C7163"/>
      <c r="D7163"/>
      <c r="E7163" s="56"/>
      <c r="H7163" s="244"/>
      <c r="I7163" s="244"/>
      <c r="J7163" s="244"/>
      <c r="K7163" s="18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</row>
    <row r="7164" spans="1:26" hidden="1">
      <c r="A7164" s="56"/>
      <c r="B7164" s="56"/>
      <c r="C7164"/>
      <c r="D7164"/>
      <c r="E7164" s="56"/>
      <c r="H7164" s="244"/>
      <c r="I7164" s="244"/>
      <c r="J7164" s="244"/>
      <c r="K7164" s="18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</row>
    <row r="7165" spans="1:26" hidden="1">
      <c r="A7165" s="56"/>
      <c r="B7165" s="56"/>
      <c r="C7165"/>
      <c r="D7165"/>
      <c r="E7165" s="56"/>
      <c r="H7165" s="244"/>
      <c r="I7165" s="244"/>
      <c r="J7165" s="244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</row>
    <row r="7166" spans="1:26" hidden="1">
      <c r="A7166" s="56"/>
      <c r="B7166" s="56"/>
      <c r="C7166"/>
      <c r="D7166"/>
      <c r="E7166" s="56"/>
      <c r="H7166" s="244"/>
      <c r="I7166" s="244"/>
      <c r="J7166" s="244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</row>
    <row r="7167" spans="1:26" hidden="1">
      <c r="A7167" s="56"/>
      <c r="B7167" s="56"/>
      <c r="C7167"/>
      <c r="D7167"/>
      <c r="E7167" s="56"/>
      <c r="H7167" s="244"/>
      <c r="I7167" s="244"/>
      <c r="J7167" s="244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</row>
    <row r="7168" spans="1:26" hidden="1">
      <c r="A7168" s="56"/>
      <c r="B7168" s="56"/>
      <c r="C7168"/>
      <c r="D7168"/>
      <c r="E7168" s="56"/>
      <c r="H7168" s="244"/>
      <c r="I7168" s="244"/>
      <c r="J7168" s="244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</row>
    <row r="7169" spans="1:26" hidden="1">
      <c r="A7169" s="56"/>
      <c r="B7169" s="56"/>
      <c r="C7169"/>
      <c r="D7169"/>
      <c r="E7169" s="56"/>
      <c r="H7169" s="244"/>
      <c r="I7169" s="244"/>
      <c r="J7169" s="244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</row>
    <row r="7170" spans="1:26" hidden="1">
      <c r="A7170" s="56"/>
      <c r="B7170" s="56"/>
      <c r="C7170"/>
      <c r="D7170"/>
      <c r="E7170" s="56"/>
      <c r="H7170" s="244"/>
      <c r="I7170" s="244"/>
      <c r="J7170" s="244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</row>
    <row r="7171" spans="1:26" hidden="1">
      <c r="A7171" s="56"/>
      <c r="B7171" s="56"/>
      <c r="C7171"/>
      <c r="D7171"/>
      <c r="E7171" s="56"/>
      <c r="H7171" s="244"/>
      <c r="I7171" s="244"/>
      <c r="J7171" s="244"/>
      <c r="K7171" s="18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</row>
    <row r="7172" spans="1:26" hidden="1">
      <c r="A7172" s="56"/>
      <c r="B7172" s="56"/>
      <c r="C7172"/>
      <c r="D7172"/>
      <c r="E7172" s="56"/>
      <c r="H7172" s="244"/>
      <c r="I7172" s="244"/>
      <c r="J7172" s="244"/>
      <c r="K7172" s="18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</row>
    <row r="7173" spans="1:26" hidden="1">
      <c r="A7173" s="56"/>
      <c r="B7173" s="56"/>
      <c r="C7173"/>
      <c r="D7173"/>
      <c r="E7173" s="56"/>
      <c r="H7173" s="244"/>
      <c r="I7173" s="244"/>
      <c r="J7173" s="244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</row>
    <row r="7174" spans="1:26" hidden="1">
      <c r="A7174" s="56"/>
      <c r="B7174" s="56"/>
      <c r="C7174"/>
      <c r="D7174"/>
      <c r="E7174" s="56"/>
      <c r="H7174" s="244"/>
      <c r="I7174" s="244"/>
      <c r="J7174" s="244"/>
      <c r="K7174" s="18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</row>
    <row r="7175" spans="1:26" hidden="1">
      <c r="A7175" s="56"/>
      <c r="B7175" s="56"/>
      <c r="C7175"/>
      <c r="D7175"/>
      <c r="E7175" s="56"/>
      <c r="H7175" s="244"/>
      <c r="I7175" s="244"/>
      <c r="J7175" s="244"/>
      <c r="K7175" s="18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</row>
    <row r="7176" spans="1:26" hidden="1">
      <c r="A7176" s="56"/>
      <c r="B7176" s="56"/>
      <c r="C7176"/>
      <c r="D7176"/>
      <c r="E7176" s="56"/>
      <c r="H7176" s="244"/>
      <c r="I7176" s="244"/>
      <c r="J7176" s="244"/>
      <c r="K7176" s="18"/>
      <c r="L7176" s="18"/>
      <c r="M7176" s="18"/>
      <c r="N7176" s="18"/>
      <c r="O7176" s="18"/>
      <c r="P7176" s="18"/>
      <c r="Q7176" s="18"/>
      <c r="R7176" s="18"/>
      <c r="S7176" s="18"/>
      <c r="T7176" s="18"/>
      <c r="U7176" s="18"/>
      <c r="V7176" s="18"/>
      <c r="W7176" s="18"/>
      <c r="X7176" s="18"/>
      <c r="Y7176" s="18"/>
      <c r="Z7176" s="18"/>
    </row>
    <row r="7177" spans="1:26" hidden="1">
      <c r="A7177" s="56"/>
      <c r="B7177" s="56"/>
      <c r="C7177"/>
      <c r="D7177"/>
      <c r="E7177" s="56"/>
      <c r="H7177" s="244"/>
      <c r="I7177" s="244"/>
      <c r="J7177" s="244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</row>
    <row r="7178" spans="1:26" hidden="1">
      <c r="A7178" s="56"/>
      <c r="B7178" s="56"/>
      <c r="C7178"/>
      <c r="D7178"/>
      <c r="E7178" s="56"/>
      <c r="H7178" s="244"/>
      <c r="I7178" s="244"/>
      <c r="J7178" s="244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  <c r="W7178" s="18"/>
      <c r="X7178" s="18"/>
      <c r="Y7178" s="18"/>
      <c r="Z7178" s="18"/>
    </row>
    <row r="7179" spans="1:26" hidden="1">
      <c r="A7179" s="56"/>
      <c r="B7179" s="56"/>
      <c r="C7179"/>
      <c r="D7179"/>
      <c r="E7179" s="56"/>
      <c r="H7179" s="244"/>
      <c r="I7179" s="244"/>
      <c r="J7179" s="244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</row>
    <row r="7180" spans="1:26" hidden="1">
      <c r="A7180" s="56"/>
      <c r="B7180" s="56"/>
      <c r="C7180"/>
      <c r="D7180"/>
      <c r="E7180" s="56"/>
      <c r="H7180" s="244"/>
      <c r="I7180" s="244"/>
      <c r="J7180" s="244"/>
      <c r="K7180" s="18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8"/>
    </row>
    <row r="7181" spans="1:26" hidden="1">
      <c r="A7181" s="56"/>
      <c r="B7181" s="56"/>
      <c r="C7181"/>
      <c r="D7181"/>
      <c r="E7181" s="56"/>
      <c r="H7181" s="244"/>
      <c r="I7181" s="244"/>
      <c r="J7181" s="244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</row>
    <row r="7182" spans="1:26" hidden="1">
      <c r="A7182" s="56"/>
      <c r="B7182" s="56"/>
      <c r="C7182"/>
      <c r="D7182"/>
      <c r="E7182" s="56"/>
      <c r="H7182" s="244"/>
      <c r="I7182" s="244"/>
      <c r="J7182" s="244"/>
      <c r="K7182" s="18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  <c r="W7182" s="18"/>
      <c r="X7182" s="18"/>
      <c r="Y7182" s="18"/>
      <c r="Z7182" s="18"/>
    </row>
    <row r="7183" spans="1:26" hidden="1">
      <c r="A7183" s="56"/>
      <c r="B7183" s="56"/>
      <c r="C7183"/>
      <c r="D7183"/>
      <c r="E7183" s="56"/>
      <c r="H7183" s="244"/>
      <c r="I7183" s="244"/>
      <c r="J7183" s="244"/>
      <c r="K7183" s="18"/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</row>
    <row r="7184" spans="1:26" hidden="1">
      <c r="A7184" s="56"/>
      <c r="B7184" s="56"/>
      <c r="C7184"/>
      <c r="D7184"/>
      <c r="E7184" s="56"/>
      <c r="H7184" s="244"/>
      <c r="I7184" s="244"/>
      <c r="J7184" s="244"/>
      <c r="K7184" s="18"/>
      <c r="L7184" s="18"/>
      <c r="M7184" s="18"/>
      <c r="N7184" s="18"/>
      <c r="O7184" s="18"/>
      <c r="P7184" s="18"/>
      <c r="Q7184" s="18"/>
      <c r="R7184" s="18"/>
      <c r="S7184" s="18"/>
      <c r="T7184" s="18"/>
      <c r="U7184" s="18"/>
      <c r="V7184" s="18"/>
      <c r="W7184" s="18"/>
      <c r="X7184" s="18"/>
      <c r="Y7184" s="18"/>
      <c r="Z7184" s="18"/>
    </row>
    <row r="7185" spans="1:26" hidden="1">
      <c r="A7185" s="56"/>
      <c r="B7185" s="56"/>
      <c r="C7185"/>
      <c r="D7185"/>
      <c r="E7185" s="56"/>
      <c r="H7185" s="244"/>
      <c r="I7185" s="244"/>
      <c r="J7185" s="244"/>
      <c r="K7185" s="18"/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</row>
    <row r="7186" spans="1:26" hidden="1">
      <c r="A7186" s="56"/>
      <c r="B7186" s="56"/>
      <c r="C7186"/>
      <c r="D7186"/>
      <c r="E7186" s="56"/>
      <c r="H7186" s="244"/>
      <c r="I7186" s="244"/>
      <c r="J7186" s="244"/>
      <c r="K7186" s="18"/>
      <c r="L7186" s="18"/>
      <c r="M7186" s="18"/>
      <c r="N7186" s="18"/>
      <c r="O7186" s="18"/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</row>
    <row r="7187" spans="1:26" hidden="1">
      <c r="A7187" s="56"/>
      <c r="B7187" s="56"/>
      <c r="C7187"/>
      <c r="D7187"/>
      <c r="E7187" s="56"/>
      <c r="H7187" s="244"/>
      <c r="I7187" s="244"/>
      <c r="J7187" s="244"/>
      <c r="K7187" s="18"/>
      <c r="L7187" s="18"/>
      <c r="M7187" s="18"/>
      <c r="N7187" s="18"/>
      <c r="O7187" s="18"/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</row>
    <row r="7188" spans="1:26" hidden="1">
      <c r="A7188" s="56"/>
      <c r="B7188" s="56"/>
      <c r="C7188"/>
      <c r="D7188"/>
      <c r="E7188" s="56"/>
      <c r="H7188" s="244"/>
      <c r="I7188" s="244"/>
      <c r="J7188" s="244"/>
      <c r="K7188" s="18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</row>
    <row r="7189" spans="1:26" hidden="1">
      <c r="A7189" s="56"/>
      <c r="B7189" s="56"/>
      <c r="C7189"/>
      <c r="D7189"/>
      <c r="E7189" s="56"/>
      <c r="H7189" s="244"/>
      <c r="I7189" s="244"/>
      <c r="J7189" s="244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</row>
    <row r="7190" spans="1:26" hidden="1">
      <c r="A7190" s="56"/>
      <c r="B7190" s="56"/>
      <c r="C7190"/>
      <c r="D7190"/>
      <c r="E7190" s="56"/>
      <c r="H7190" s="244"/>
      <c r="I7190" s="244"/>
      <c r="J7190" s="244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</row>
    <row r="7191" spans="1:26" hidden="1">
      <c r="A7191" s="56"/>
      <c r="B7191" s="56"/>
      <c r="C7191"/>
      <c r="D7191"/>
      <c r="E7191" s="56"/>
      <c r="H7191" s="244"/>
      <c r="I7191" s="244"/>
      <c r="J7191" s="244"/>
      <c r="K7191" s="18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</row>
    <row r="7192" spans="1:26" hidden="1">
      <c r="A7192" s="56"/>
      <c r="B7192" s="56"/>
      <c r="C7192"/>
      <c r="D7192"/>
      <c r="E7192" s="56"/>
      <c r="H7192" s="244"/>
      <c r="I7192" s="244"/>
      <c r="J7192" s="244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</row>
    <row r="7193" spans="1:26" hidden="1">
      <c r="A7193" s="56"/>
      <c r="B7193" s="56"/>
      <c r="C7193"/>
      <c r="D7193"/>
      <c r="E7193" s="56"/>
      <c r="H7193" s="244"/>
      <c r="I7193" s="244"/>
      <c r="J7193" s="244"/>
      <c r="K7193" s="18"/>
      <c r="L7193" s="18"/>
      <c r="M7193" s="18"/>
      <c r="N7193" s="18"/>
      <c r="O7193" s="18"/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</row>
    <row r="7194" spans="1:26" hidden="1">
      <c r="A7194" s="56"/>
      <c r="B7194" s="56"/>
      <c r="C7194"/>
      <c r="D7194"/>
      <c r="E7194" s="56"/>
      <c r="H7194" s="244"/>
      <c r="I7194" s="244"/>
      <c r="J7194" s="244"/>
      <c r="K7194" s="18"/>
      <c r="L7194" s="18"/>
      <c r="M7194" s="18"/>
      <c r="N7194" s="18"/>
      <c r="O7194" s="18"/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</row>
    <row r="7195" spans="1:26" hidden="1">
      <c r="A7195" s="56"/>
      <c r="B7195" s="56"/>
      <c r="C7195"/>
      <c r="D7195"/>
      <c r="E7195" s="56"/>
      <c r="H7195" s="244"/>
      <c r="I7195" s="244"/>
      <c r="J7195" s="244"/>
      <c r="K7195" s="18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</row>
    <row r="7196" spans="1:26" hidden="1">
      <c r="A7196" s="56"/>
      <c r="B7196" s="56"/>
      <c r="C7196"/>
      <c r="D7196"/>
      <c r="E7196" s="56"/>
      <c r="H7196" s="244"/>
      <c r="I7196" s="244"/>
      <c r="J7196" s="244"/>
      <c r="K7196" s="18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</row>
    <row r="7197" spans="1:26" hidden="1">
      <c r="A7197" s="56"/>
      <c r="B7197" s="56"/>
      <c r="C7197"/>
      <c r="D7197"/>
      <c r="E7197" s="56"/>
      <c r="H7197" s="244"/>
      <c r="I7197" s="244"/>
      <c r="J7197" s="244"/>
      <c r="K7197" s="18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</row>
    <row r="7198" spans="1:26" hidden="1">
      <c r="A7198" s="56"/>
      <c r="B7198" s="56"/>
      <c r="C7198"/>
      <c r="D7198"/>
      <c r="E7198" s="56"/>
      <c r="H7198" s="244"/>
      <c r="I7198" s="244"/>
      <c r="J7198" s="244"/>
      <c r="K7198" s="18"/>
      <c r="L7198" s="18"/>
      <c r="M7198" s="18"/>
      <c r="N7198" s="18"/>
      <c r="O7198" s="18"/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</row>
    <row r="7199" spans="1:26" hidden="1">
      <c r="A7199" s="56"/>
      <c r="B7199" s="56"/>
      <c r="C7199"/>
      <c r="D7199"/>
      <c r="E7199" s="56"/>
      <c r="H7199" s="244"/>
      <c r="I7199" s="244"/>
      <c r="J7199" s="244"/>
      <c r="K7199" s="18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</row>
    <row r="7200" spans="1:26" hidden="1">
      <c r="A7200" s="56"/>
      <c r="B7200" s="56"/>
      <c r="C7200"/>
      <c r="D7200"/>
      <c r="E7200" s="56"/>
      <c r="H7200" s="244"/>
      <c r="I7200" s="244"/>
      <c r="J7200" s="244"/>
      <c r="K7200" s="18"/>
      <c r="L7200" s="18"/>
      <c r="M7200" s="18"/>
      <c r="N7200" s="18"/>
      <c r="O7200" s="18"/>
      <c r="P7200" s="18"/>
      <c r="Q7200" s="18"/>
      <c r="R7200" s="18"/>
      <c r="S7200" s="18"/>
      <c r="T7200" s="18"/>
      <c r="U7200" s="18"/>
      <c r="V7200" s="18"/>
      <c r="W7200" s="18"/>
      <c r="X7200" s="18"/>
      <c r="Y7200" s="18"/>
      <c r="Z7200" s="18"/>
    </row>
    <row r="7201" spans="1:26" hidden="1">
      <c r="A7201" s="56"/>
      <c r="B7201" s="56"/>
      <c r="C7201"/>
      <c r="D7201"/>
      <c r="E7201" s="56"/>
      <c r="H7201" s="244"/>
      <c r="I7201" s="244"/>
      <c r="J7201" s="244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</row>
    <row r="7202" spans="1:26" hidden="1">
      <c r="A7202" s="56"/>
      <c r="B7202" s="56"/>
      <c r="C7202"/>
      <c r="D7202"/>
      <c r="E7202" s="56"/>
      <c r="H7202" s="244"/>
      <c r="I7202" s="244"/>
      <c r="J7202" s="244"/>
      <c r="K7202" s="18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</row>
    <row r="7203" spans="1:26" hidden="1">
      <c r="A7203" s="56"/>
      <c r="B7203" s="56"/>
      <c r="C7203"/>
      <c r="D7203"/>
      <c r="E7203" s="56"/>
      <c r="H7203" s="244"/>
      <c r="I7203" s="244"/>
      <c r="J7203" s="244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</row>
    <row r="7204" spans="1:26" hidden="1">
      <c r="A7204" s="56"/>
      <c r="B7204" s="56"/>
      <c r="C7204"/>
      <c r="D7204"/>
      <c r="E7204" s="56"/>
      <c r="H7204" s="244"/>
      <c r="I7204" s="244"/>
      <c r="J7204" s="244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</row>
    <row r="7205" spans="1:26" hidden="1">
      <c r="A7205" s="56"/>
      <c r="B7205" s="56"/>
      <c r="C7205"/>
      <c r="D7205"/>
      <c r="E7205" s="56"/>
      <c r="H7205" s="244"/>
      <c r="I7205" s="244"/>
      <c r="J7205" s="244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</row>
    <row r="7206" spans="1:26" hidden="1">
      <c r="A7206" s="56"/>
      <c r="B7206" s="56"/>
      <c r="C7206"/>
      <c r="D7206"/>
      <c r="E7206" s="56"/>
      <c r="H7206" s="244"/>
      <c r="I7206" s="244"/>
      <c r="J7206" s="244"/>
      <c r="K7206" s="18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</row>
    <row r="7207" spans="1:26" hidden="1">
      <c r="A7207" s="56"/>
      <c r="B7207" s="56"/>
      <c r="C7207"/>
      <c r="D7207"/>
      <c r="E7207" s="56"/>
      <c r="H7207" s="244"/>
      <c r="I7207" s="244"/>
      <c r="J7207" s="244"/>
      <c r="K7207" s="18"/>
      <c r="L7207" s="18"/>
      <c r="M7207" s="18"/>
      <c r="N7207" s="18"/>
      <c r="O7207" s="18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</row>
    <row r="7208" spans="1:26" hidden="1">
      <c r="A7208" s="56"/>
      <c r="B7208" s="56"/>
      <c r="C7208"/>
      <c r="D7208"/>
      <c r="E7208" s="56"/>
      <c r="H7208" s="244"/>
      <c r="I7208" s="244"/>
      <c r="J7208" s="244"/>
      <c r="K7208" s="18"/>
      <c r="L7208" s="18"/>
      <c r="M7208" s="18"/>
      <c r="N7208" s="18"/>
      <c r="O7208" s="18"/>
      <c r="P7208" s="18"/>
      <c r="Q7208" s="18"/>
      <c r="R7208" s="18"/>
      <c r="S7208" s="18"/>
      <c r="T7208" s="18"/>
      <c r="U7208" s="18"/>
      <c r="V7208" s="18"/>
      <c r="W7208" s="18"/>
      <c r="X7208" s="18"/>
      <c r="Y7208" s="18"/>
      <c r="Z7208" s="18"/>
    </row>
    <row r="7209" spans="1:26" hidden="1">
      <c r="A7209" s="56"/>
      <c r="B7209" s="56"/>
      <c r="C7209"/>
      <c r="D7209"/>
      <c r="E7209" s="56"/>
      <c r="H7209" s="244"/>
      <c r="I7209" s="244"/>
      <c r="J7209" s="244"/>
      <c r="K7209" s="18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</row>
    <row r="7210" spans="1:26" hidden="1">
      <c r="A7210" s="56"/>
      <c r="B7210" s="56"/>
      <c r="C7210"/>
      <c r="D7210"/>
      <c r="E7210" s="56"/>
      <c r="H7210" s="244"/>
      <c r="I7210" s="244"/>
      <c r="J7210" s="244"/>
      <c r="K7210" s="18"/>
      <c r="L7210" s="18"/>
      <c r="M7210" s="18"/>
      <c r="N7210" s="18"/>
      <c r="O7210" s="18"/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</row>
    <row r="7211" spans="1:26" hidden="1">
      <c r="A7211" s="56"/>
      <c r="B7211" s="56"/>
      <c r="C7211"/>
      <c r="D7211"/>
      <c r="E7211" s="56"/>
      <c r="H7211" s="244"/>
      <c r="I7211" s="244"/>
      <c r="J7211" s="244"/>
      <c r="K7211" s="18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</row>
    <row r="7212" spans="1:26" hidden="1">
      <c r="A7212" s="56"/>
      <c r="B7212" s="56"/>
      <c r="C7212"/>
      <c r="D7212"/>
      <c r="E7212" s="56"/>
      <c r="H7212" s="244"/>
      <c r="I7212" s="244"/>
      <c r="J7212" s="244"/>
      <c r="K7212" s="18"/>
      <c r="L7212" s="18"/>
      <c r="M7212" s="18"/>
      <c r="N7212" s="18"/>
      <c r="O7212" s="18"/>
      <c r="P7212" s="18"/>
      <c r="Q7212" s="18"/>
      <c r="R7212" s="18"/>
      <c r="S7212" s="18"/>
      <c r="T7212" s="18"/>
      <c r="U7212" s="18"/>
      <c r="V7212" s="18"/>
      <c r="W7212" s="18"/>
      <c r="X7212" s="18"/>
      <c r="Y7212" s="18"/>
      <c r="Z7212" s="18"/>
    </row>
    <row r="7213" spans="1:26" hidden="1">
      <c r="A7213" s="56"/>
      <c r="B7213" s="56"/>
      <c r="C7213"/>
      <c r="D7213"/>
      <c r="E7213" s="56"/>
      <c r="H7213" s="244"/>
      <c r="I7213" s="244"/>
      <c r="J7213" s="244"/>
      <c r="K7213" s="18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</row>
    <row r="7214" spans="1:26" hidden="1">
      <c r="A7214" s="56"/>
      <c r="B7214" s="56"/>
      <c r="C7214"/>
      <c r="D7214"/>
      <c r="E7214" s="56"/>
      <c r="H7214" s="244"/>
      <c r="I7214" s="244"/>
      <c r="J7214" s="244"/>
      <c r="K7214" s="18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</row>
    <row r="7215" spans="1:26" hidden="1">
      <c r="A7215" s="56"/>
      <c r="B7215" s="56"/>
      <c r="C7215"/>
      <c r="D7215"/>
      <c r="E7215" s="56"/>
      <c r="H7215" s="244"/>
      <c r="I7215" s="244"/>
      <c r="J7215" s="244"/>
      <c r="K7215" s="18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</row>
    <row r="7216" spans="1:26" hidden="1">
      <c r="A7216" s="56"/>
      <c r="B7216" s="56"/>
      <c r="C7216"/>
      <c r="D7216"/>
      <c r="E7216" s="56"/>
      <c r="H7216" s="244"/>
      <c r="I7216" s="244"/>
      <c r="J7216" s="244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</row>
    <row r="7217" spans="1:26" hidden="1">
      <c r="A7217" s="56"/>
      <c r="B7217" s="56"/>
      <c r="C7217"/>
      <c r="D7217"/>
      <c r="E7217" s="56"/>
      <c r="H7217" s="244"/>
      <c r="I7217" s="244"/>
      <c r="J7217" s="244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</row>
    <row r="7218" spans="1:26" hidden="1">
      <c r="A7218" s="56"/>
      <c r="B7218" s="56"/>
      <c r="C7218"/>
      <c r="D7218"/>
      <c r="E7218" s="56"/>
      <c r="H7218" s="244"/>
      <c r="I7218" s="244"/>
      <c r="J7218" s="244"/>
      <c r="K7218" s="18"/>
      <c r="L7218" s="18"/>
      <c r="M7218" s="18"/>
      <c r="N7218" s="18"/>
      <c r="O7218" s="18"/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</row>
    <row r="7219" spans="1:26" hidden="1">
      <c r="A7219" s="56"/>
      <c r="B7219" s="56"/>
      <c r="C7219"/>
      <c r="D7219"/>
      <c r="E7219" s="56"/>
      <c r="H7219" s="244"/>
      <c r="I7219" s="244"/>
      <c r="J7219" s="244"/>
      <c r="K7219" s="18"/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</row>
    <row r="7220" spans="1:26" hidden="1">
      <c r="A7220" s="56"/>
      <c r="B7220" s="56"/>
      <c r="C7220"/>
      <c r="D7220"/>
      <c r="E7220" s="56"/>
      <c r="H7220" s="244"/>
      <c r="I7220" s="244"/>
      <c r="J7220" s="244"/>
      <c r="K7220" s="18"/>
      <c r="L7220" s="18"/>
      <c r="M7220" s="18"/>
      <c r="N7220" s="18"/>
      <c r="O7220" s="18"/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</row>
    <row r="7221" spans="1:26" hidden="1">
      <c r="A7221" s="56"/>
      <c r="B7221" s="56"/>
      <c r="C7221"/>
      <c r="D7221"/>
      <c r="E7221" s="56"/>
      <c r="H7221" s="244"/>
      <c r="I7221" s="244"/>
      <c r="J7221" s="244"/>
      <c r="K7221" s="18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</row>
    <row r="7222" spans="1:26" hidden="1">
      <c r="A7222" s="56"/>
      <c r="B7222" s="56"/>
      <c r="C7222"/>
      <c r="D7222"/>
      <c r="E7222" s="56"/>
      <c r="H7222" s="244"/>
      <c r="I7222" s="244"/>
      <c r="J7222" s="244"/>
      <c r="K7222" s="18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</row>
    <row r="7223" spans="1:26" hidden="1">
      <c r="A7223" s="56"/>
      <c r="B7223" s="56"/>
      <c r="C7223"/>
      <c r="D7223"/>
      <c r="E7223" s="56"/>
      <c r="H7223" s="244"/>
      <c r="I7223" s="244"/>
      <c r="J7223" s="244"/>
      <c r="K7223" s="18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</row>
    <row r="7224" spans="1:26" hidden="1">
      <c r="A7224" s="56"/>
      <c r="B7224" s="56"/>
      <c r="C7224"/>
      <c r="D7224"/>
      <c r="E7224" s="56"/>
      <c r="H7224" s="244"/>
      <c r="I7224" s="244"/>
      <c r="J7224" s="244"/>
      <c r="K7224" s="18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  <c r="W7224" s="18"/>
      <c r="X7224" s="18"/>
      <c r="Y7224" s="18"/>
      <c r="Z7224" s="18"/>
    </row>
    <row r="7225" spans="1:26" hidden="1">
      <c r="A7225" s="56"/>
      <c r="B7225" s="56"/>
      <c r="C7225"/>
      <c r="D7225"/>
      <c r="E7225" s="56"/>
      <c r="H7225" s="244"/>
      <c r="I7225" s="244"/>
      <c r="J7225" s="244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</row>
    <row r="7226" spans="1:26" hidden="1">
      <c r="A7226" s="56"/>
      <c r="B7226" s="56"/>
      <c r="C7226"/>
      <c r="D7226"/>
      <c r="E7226" s="56"/>
      <c r="H7226" s="244"/>
      <c r="I7226" s="244"/>
      <c r="J7226" s="244"/>
      <c r="K7226" s="18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  <c r="W7226" s="18"/>
      <c r="X7226" s="18"/>
      <c r="Y7226" s="18"/>
      <c r="Z7226" s="18"/>
    </row>
    <row r="7227" spans="1:26" hidden="1">
      <c r="A7227" s="56"/>
      <c r="B7227" s="56"/>
      <c r="C7227"/>
      <c r="D7227"/>
      <c r="E7227" s="56"/>
      <c r="H7227" s="244"/>
      <c r="I7227" s="244"/>
      <c r="J7227" s="244"/>
      <c r="K7227" s="18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</row>
    <row r="7228" spans="1:26" hidden="1">
      <c r="A7228" s="56"/>
      <c r="B7228" s="56"/>
      <c r="C7228"/>
      <c r="D7228"/>
      <c r="E7228" s="56"/>
      <c r="H7228" s="244"/>
      <c r="I7228" s="244"/>
      <c r="J7228" s="244"/>
      <c r="K7228" s="18"/>
      <c r="L7228" s="18"/>
      <c r="M7228" s="18"/>
      <c r="N7228" s="18"/>
      <c r="O7228" s="18"/>
      <c r="P7228" s="18"/>
      <c r="Q7228" s="18"/>
      <c r="R7228" s="18"/>
      <c r="S7228" s="18"/>
      <c r="T7228" s="18"/>
      <c r="U7228" s="18"/>
      <c r="V7228" s="18"/>
      <c r="W7228" s="18"/>
      <c r="X7228" s="18"/>
      <c r="Y7228" s="18"/>
      <c r="Z7228" s="18"/>
    </row>
    <row r="7229" spans="1:26" hidden="1">
      <c r="A7229" s="56"/>
      <c r="B7229" s="56"/>
      <c r="C7229"/>
      <c r="D7229"/>
      <c r="E7229" s="56"/>
      <c r="H7229" s="244"/>
      <c r="I7229" s="244"/>
      <c r="J7229" s="244"/>
      <c r="K7229" s="18"/>
      <c r="L7229" s="18"/>
      <c r="M7229" s="18"/>
      <c r="N7229" s="18"/>
      <c r="O7229" s="18"/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</row>
    <row r="7230" spans="1:26" hidden="1">
      <c r="A7230" s="56"/>
      <c r="B7230" s="56"/>
      <c r="C7230"/>
      <c r="D7230"/>
      <c r="E7230" s="56"/>
      <c r="H7230" s="244"/>
      <c r="I7230" s="244"/>
      <c r="J7230" s="244"/>
      <c r="K7230" s="18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</row>
    <row r="7231" spans="1:26" hidden="1">
      <c r="A7231" s="56"/>
      <c r="B7231" s="56"/>
      <c r="C7231"/>
      <c r="D7231"/>
      <c r="E7231" s="56"/>
      <c r="H7231" s="244"/>
      <c r="I7231" s="244"/>
      <c r="J7231" s="244"/>
      <c r="K7231" s="18"/>
      <c r="L7231" s="18"/>
      <c r="M7231" s="18"/>
      <c r="N7231" s="18"/>
      <c r="O7231" s="18"/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</row>
    <row r="7232" spans="1:26" hidden="1">
      <c r="A7232" s="56"/>
      <c r="B7232" s="56"/>
      <c r="C7232"/>
      <c r="D7232"/>
      <c r="E7232" s="56"/>
      <c r="H7232" s="244"/>
      <c r="I7232" s="244"/>
      <c r="J7232" s="244"/>
      <c r="K7232" s="18"/>
      <c r="L7232" s="18"/>
      <c r="M7232" s="18"/>
      <c r="N7232" s="18"/>
      <c r="O7232" s="18"/>
      <c r="P7232" s="18"/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</row>
    <row r="7233" spans="1:26" hidden="1">
      <c r="A7233" s="56"/>
      <c r="B7233" s="56"/>
      <c r="C7233"/>
      <c r="D7233"/>
      <c r="E7233" s="56"/>
      <c r="H7233" s="244"/>
      <c r="I7233" s="244"/>
      <c r="J7233" s="244"/>
      <c r="K7233" s="18"/>
      <c r="L7233" s="18"/>
      <c r="M7233" s="18"/>
      <c r="N7233" s="18"/>
      <c r="O7233" s="18"/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</row>
    <row r="7234" spans="1:26" hidden="1">
      <c r="A7234" s="56"/>
      <c r="B7234" s="56"/>
      <c r="C7234"/>
      <c r="D7234"/>
      <c r="E7234" s="56"/>
      <c r="H7234" s="244"/>
      <c r="I7234" s="244"/>
      <c r="J7234" s="244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</row>
    <row r="7235" spans="1:26" hidden="1">
      <c r="A7235" s="56"/>
      <c r="B7235" s="56"/>
      <c r="C7235"/>
      <c r="D7235"/>
      <c r="E7235" s="56"/>
      <c r="H7235" s="244"/>
      <c r="I7235" s="244"/>
      <c r="J7235" s="244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</row>
    <row r="7236" spans="1:26" hidden="1">
      <c r="A7236" s="56"/>
      <c r="B7236" s="56"/>
      <c r="C7236"/>
      <c r="D7236"/>
      <c r="E7236" s="56"/>
      <c r="H7236" s="244"/>
      <c r="I7236" s="244"/>
      <c r="J7236" s="244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</row>
    <row r="7237" spans="1:26" hidden="1">
      <c r="A7237" s="56"/>
      <c r="B7237" s="56"/>
      <c r="C7237"/>
      <c r="D7237"/>
      <c r="E7237" s="56"/>
      <c r="H7237" s="244"/>
      <c r="I7237" s="244"/>
      <c r="J7237" s="244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</row>
    <row r="7238" spans="1:26" hidden="1">
      <c r="A7238" s="56"/>
      <c r="B7238" s="56"/>
      <c r="C7238"/>
      <c r="D7238"/>
      <c r="E7238" s="56"/>
      <c r="H7238" s="244"/>
      <c r="I7238" s="244"/>
      <c r="J7238" s="244"/>
      <c r="K7238" s="18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</row>
    <row r="7239" spans="1:26" hidden="1">
      <c r="A7239" s="56"/>
      <c r="B7239" s="56"/>
      <c r="C7239"/>
      <c r="D7239"/>
      <c r="E7239" s="56"/>
      <c r="H7239" s="244"/>
      <c r="I7239" s="244"/>
      <c r="J7239" s="244"/>
      <c r="K7239" s="18"/>
      <c r="L7239" s="18"/>
      <c r="M7239" s="18"/>
      <c r="N7239" s="18"/>
      <c r="O7239" s="18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</row>
    <row r="7240" spans="1:26" hidden="1">
      <c r="A7240" s="56"/>
      <c r="B7240" s="56"/>
      <c r="C7240"/>
      <c r="D7240"/>
      <c r="E7240" s="56"/>
      <c r="H7240" s="244"/>
      <c r="I7240" s="244"/>
      <c r="J7240" s="244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8"/>
      <c r="X7240" s="18"/>
      <c r="Y7240" s="18"/>
      <c r="Z7240" s="18"/>
    </row>
    <row r="7241" spans="1:26" hidden="1">
      <c r="A7241" s="56"/>
      <c r="B7241" s="56"/>
      <c r="C7241"/>
      <c r="D7241"/>
      <c r="E7241" s="56"/>
      <c r="H7241" s="244"/>
      <c r="I7241" s="244"/>
      <c r="J7241" s="244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</row>
    <row r="7242" spans="1:26" hidden="1">
      <c r="A7242" s="56"/>
      <c r="B7242" s="56"/>
      <c r="C7242"/>
      <c r="D7242"/>
      <c r="E7242" s="56"/>
      <c r="H7242" s="244"/>
      <c r="I7242" s="244"/>
      <c r="J7242" s="244"/>
      <c r="K7242" s="18"/>
      <c r="L7242" s="18"/>
      <c r="M7242" s="18"/>
      <c r="N7242" s="18"/>
      <c r="O7242" s="18"/>
      <c r="P7242" s="18"/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</row>
    <row r="7243" spans="1:26" hidden="1">
      <c r="A7243" s="56"/>
      <c r="B7243" s="56"/>
      <c r="C7243"/>
      <c r="D7243"/>
      <c r="E7243" s="56"/>
      <c r="H7243" s="244"/>
      <c r="I7243" s="244"/>
      <c r="J7243" s="244"/>
      <c r="K7243" s="18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</row>
    <row r="7244" spans="1:26" hidden="1">
      <c r="A7244" s="56"/>
      <c r="B7244" s="56"/>
      <c r="C7244"/>
      <c r="D7244"/>
      <c r="E7244" s="56"/>
      <c r="H7244" s="244"/>
      <c r="I7244" s="244"/>
      <c r="J7244" s="244"/>
      <c r="K7244" s="18"/>
      <c r="L7244" s="18"/>
      <c r="M7244" s="18"/>
      <c r="N7244" s="18"/>
      <c r="O7244" s="18"/>
      <c r="P7244" s="18"/>
      <c r="Q7244" s="18"/>
      <c r="R7244" s="18"/>
      <c r="S7244" s="18"/>
      <c r="T7244" s="18"/>
      <c r="U7244" s="18"/>
      <c r="V7244" s="18"/>
      <c r="W7244" s="18"/>
      <c r="X7244" s="18"/>
      <c r="Y7244" s="18"/>
      <c r="Z7244" s="18"/>
    </row>
    <row r="7245" spans="1:26" hidden="1">
      <c r="A7245" s="56"/>
      <c r="B7245" s="56"/>
      <c r="C7245"/>
      <c r="D7245"/>
      <c r="E7245" s="56"/>
      <c r="H7245" s="244"/>
      <c r="I7245" s="244"/>
      <c r="J7245" s="244"/>
      <c r="K7245" s="18"/>
      <c r="L7245" s="18"/>
      <c r="M7245" s="18"/>
      <c r="N7245" s="18"/>
      <c r="O7245" s="18"/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</row>
    <row r="7246" spans="1:26" hidden="1">
      <c r="A7246" s="56"/>
      <c r="B7246" s="56"/>
      <c r="C7246"/>
      <c r="D7246"/>
      <c r="E7246" s="56"/>
      <c r="H7246" s="244"/>
      <c r="I7246" s="244"/>
      <c r="J7246" s="244"/>
      <c r="K7246" s="18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</row>
    <row r="7247" spans="1:26" hidden="1">
      <c r="A7247" s="56"/>
      <c r="B7247" s="56"/>
      <c r="C7247"/>
      <c r="D7247"/>
      <c r="E7247" s="56"/>
      <c r="H7247" s="244"/>
      <c r="I7247" s="244"/>
      <c r="J7247" s="244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</row>
    <row r="7248" spans="1:26" hidden="1">
      <c r="A7248" s="56"/>
      <c r="B7248" s="56"/>
      <c r="C7248"/>
      <c r="D7248"/>
      <c r="E7248" s="56"/>
      <c r="H7248" s="244"/>
      <c r="I7248" s="244"/>
      <c r="J7248" s="244"/>
      <c r="K7248" s="18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</row>
    <row r="7249" spans="1:26" hidden="1">
      <c r="A7249" s="56"/>
      <c r="B7249" s="56"/>
      <c r="C7249"/>
      <c r="D7249"/>
      <c r="E7249" s="56"/>
      <c r="H7249" s="244"/>
      <c r="I7249" s="244"/>
      <c r="J7249" s="244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</row>
    <row r="7250" spans="1:26" hidden="1">
      <c r="A7250" s="56"/>
      <c r="B7250" s="56"/>
      <c r="C7250"/>
      <c r="D7250"/>
      <c r="E7250" s="56"/>
      <c r="H7250" s="244"/>
      <c r="I7250" s="244"/>
      <c r="J7250" s="244"/>
      <c r="K7250" s="18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</row>
    <row r="7251" spans="1:26" hidden="1">
      <c r="A7251" s="56"/>
      <c r="B7251" s="56"/>
      <c r="C7251"/>
      <c r="D7251"/>
      <c r="E7251" s="56"/>
      <c r="H7251" s="244"/>
      <c r="I7251" s="244"/>
      <c r="J7251" s="244"/>
      <c r="K7251" s="18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  <c r="W7251" s="18"/>
      <c r="X7251" s="18"/>
      <c r="Y7251" s="18"/>
      <c r="Z7251" s="18"/>
    </row>
    <row r="7252" spans="1:26" hidden="1">
      <c r="A7252" s="56"/>
      <c r="B7252" s="56"/>
      <c r="C7252"/>
      <c r="D7252"/>
      <c r="E7252" s="56"/>
      <c r="H7252" s="244"/>
      <c r="I7252" s="244"/>
      <c r="J7252" s="244"/>
      <c r="K7252" s="18"/>
      <c r="L7252" s="18"/>
      <c r="M7252" s="18"/>
      <c r="N7252" s="18"/>
      <c r="O7252" s="18"/>
      <c r="P7252" s="18"/>
      <c r="Q7252" s="18"/>
      <c r="R7252" s="18"/>
      <c r="S7252" s="18"/>
      <c r="T7252" s="18"/>
      <c r="U7252" s="18"/>
      <c r="V7252" s="18"/>
      <c r="W7252" s="18"/>
      <c r="X7252" s="18"/>
      <c r="Y7252" s="18"/>
      <c r="Z7252" s="18"/>
    </row>
    <row r="7253" spans="1:26" hidden="1">
      <c r="A7253" s="56"/>
      <c r="B7253" s="56"/>
      <c r="C7253"/>
      <c r="D7253"/>
      <c r="E7253" s="56"/>
      <c r="H7253" s="244"/>
      <c r="I7253" s="244"/>
      <c r="J7253" s="244"/>
      <c r="K7253" s="18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</row>
    <row r="7254" spans="1:26" hidden="1">
      <c r="A7254" s="56"/>
      <c r="B7254" s="56"/>
      <c r="C7254"/>
      <c r="D7254"/>
      <c r="E7254" s="56"/>
      <c r="H7254" s="244"/>
      <c r="I7254" s="244"/>
      <c r="J7254" s="244"/>
      <c r="K7254" s="18"/>
      <c r="L7254" s="18"/>
      <c r="M7254" s="18"/>
      <c r="N7254" s="18"/>
      <c r="O7254" s="18"/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</row>
    <row r="7255" spans="1:26" hidden="1">
      <c r="A7255" s="56"/>
      <c r="B7255" s="56"/>
      <c r="C7255"/>
      <c r="D7255"/>
      <c r="E7255" s="56"/>
      <c r="H7255" s="244"/>
      <c r="I7255" s="244"/>
      <c r="J7255" s="244"/>
      <c r="K7255" s="18"/>
      <c r="L7255" s="18"/>
      <c r="M7255" s="18"/>
      <c r="N7255" s="18"/>
      <c r="O7255" s="18"/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</row>
    <row r="7256" spans="1:26" hidden="1">
      <c r="A7256" s="56"/>
      <c r="B7256" s="56"/>
      <c r="C7256"/>
      <c r="D7256"/>
      <c r="E7256" s="56"/>
      <c r="H7256" s="244"/>
      <c r="I7256" s="244"/>
      <c r="J7256" s="244"/>
      <c r="K7256" s="18"/>
      <c r="L7256" s="18"/>
      <c r="M7256" s="18"/>
      <c r="N7256" s="18"/>
      <c r="O7256" s="18"/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8"/>
    </row>
    <row r="7257" spans="1:26" hidden="1">
      <c r="A7257" s="56"/>
      <c r="B7257" s="56"/>
      <c r="C7257"/>
      <c r="D7257"/>
      <c r="E7257" s="56"/>
      <c r="H7257" s="244"/>
      <c r="I7257" s="244"/>
      <c r="J7257" s="244"/>
      <c r="K7257" s="18"/>
      <c r="L7257" s="18"/>
      <c r="M7257" s="18"/>
      <c r="N7257" s="18"/>
      <c r="O7257" s="18"/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</row>
    <row r="7258" spans="1:26" hidden="1">
      <c r="A7258" s="56"/>
      <c r="B7258" s="56"/>
      <c r="C7258"/>
      <c r="D7258"/>
      <c r="E7258" s="56"/>
      <c r="H7258" s="244"/>
      <c r="I7258" s="244"/>
      <c r="J7258" s="244"/>
      <c r="K7258" s="18"/>
      <c r="L7258" s="18"/>
      <c r="M7258" s="18"/>
      <c r="N7258" s="18"/>
      <c r="O7258" s="18"/>
      <c r="P7258" s="18"/>
      <c r="Q7258" s="18"/>
      <c r="R7258" s="18"/>
      <c r="S7258" s="18"/>
      <c r="T7258" s="18"/>
      <c r="U7258" s="18"/>
      <c r="V7258" s="18"/>
      <c r="W7258" s="18"/>
      <c r="X7258" s="18"/>
      <c r="Y7258" s="18"/>
      <c r="Z7258" s="18"/>
    </row>
    <row r="7259" spans="1:26" hidden="1">
      <c r="A7259" s="56"/>
      <c r="B7259" s="56"/>
      <c r="C7259"/>
      <c r="D7259"/>
      <c r="E7259" s="56"/>
      <c r="H7259" s="244"/>
      <c r="I7259" s="244"/>
      <c r="J7259" s="244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</row>
    <row r="7260" spans="1:26" hidden="1">
      <c r="A7260" s="56"/>
      <c r="B7260" s="56"/>
      <c r="C7260"/>
      <c r="D7260"/>
      <c r="E7260" s="56"/>
      <c r="H7260" s="244"/>
      <c r="I7260" s="244"/>
      <c r="J7260" s="244"/>
      <c r="K7260" s="18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  <c r="W7260" s="18"/>
      <c r="X7260" s="18"/>
      <c r="Y7260" s="18"/>
      <c r="Z7260" s="18"/>
    </row>
    <row r="7261" spans="1:26" hidden="1">
      <c r="A7261" s="56"/>
      <c r="B7261" s="56"/>
      <c r="C7261"/>
      <c r="D7261"/>
      <c r="E7261" s="56"/>
      <c r="H7261" s="244"/>
      <c r="I7261" s="244"/>
      <c r="J7261" s="244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</row>
    <row r="7262" spans="1:26" hidden="1">
      <c r="A7262" s="56"/>
      <c r="B7262" s="56"/>
      <c r="C7262"/>
      <c r="D7262"/>
      <c r="E7262" s="56"/>
      <c r="H7262" s="244"/>
      <c r="I7262" s="244"/>
      <c r="J7262" s="244"/>
      <c r="K7262" s="18"/>
      <c r="L7262" s="18"/>
      <c r="M7262" s="18"/>
      <c r="N7262" s="18"/>
      <c r="O7262" s="18"/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</row>
    <row r="7263" spans="1:26" hidden="1">
      <c r="A7263" s="56"/>
      <c r="B7263" s="56"/>
      <c r="C7263"/>
      <c r="D7263"/>
      <c r="E7263" s="56"/>
      <c r="H7263" s="244"/>
      <c r="I7263" s="244"/>
      <c r="J7263" s="244"/>
      <c r="K7263" s="18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</row>
    <row r="7264" spans="1:26" hidden="1">
      <c r="A7264" s="56"/>
      <c r="B7264" s="56"/>
      <c r="C7264"/>
      <c r="D7264"/>
      <c r="E7264" s="56"/>
      <c r="H7264" s="244"/>
      <c r="I7264" s="244"/>
      <c r="J7264" s="244"/>
      <c r="K7264" s="18"/>
      <c r="L7264" s="18"/>
      <c r="M7264" s="18"/>
      <c r="N7264" s="18"/>
      <c r="O7264" s="18"/>
      <c r="P7264" s="18"/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</row>
    <row r="7265" spans="1:26" hidden="1">
      <c r="A7265" s="56"/>
      <c r="B7265" s="56"/>
      <c r="C7265"/>
      <c r="D7265"/>
      <c r="E7265" s="56"/>
      <c r="H7265" s="244"/>
      <c r="I7265" s="244"/>
      <c r="J7265" s="244"/>
      <c r="K7265" s="18"/>
      <c r="L7265" s="18"/>
      <c r="M7265" s="18"/>
      <c r="N7265" s="18"/>
      <c r="O7265" s="18"/>
      <c r="P7265" s="18"/>
      <c r="Q7265" s="18"/>
      <c r="R7265" s="18"/>
      <c r="S7265" s="18"/>
      <c r="T7265" s="18"/>
      <c r="U7265" s="18"/>
      <c r="V7265" s="18"/>
      <c r="W7265" s="18"/>
      <c r="X7265" s="18"/>
      <c r="Y7265" s="18"/>
      <c r="Z7265" s="18"/>
    </row>
    <row r="7266" spans="1:26" hidden="1">
      <c r="A7266" s="56"/>
      <c r="B7266" s="56"/>
      <c r="C7266"/>
      <c r="D7266"/>
      <c r="E7266" s="56"/>
      <c r="H7266" s="244"/>
      <c r="I7266" s="244"/>
      <c r="J7266" s="244"/>
      <c r="K7266" s="18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</row>
    <row r="7267" spans="1:26" hidden="1">
      <c r="A7267" s="56"/>
      <c r="B7267" s="56"/>
      <c r="C7267"/>
      <c r="D7267"/>
      <c r="E7267" s="56"/>
      <c r="H7267" s="244"/>
      <c r="I7267" s="244"/>
      <c r="J7267" s="244"/>
      <c r="K7267" s="18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</row>
    <row r="7268" spans="1:26" hidden="1">
      <c r="A7268" s="56"/>
      <c r="B7268" s="56"/>
      <c r="C7268"/>
      <c r="D7268"/>
      <c r="E7268" s="56"/>
      <c r="H7268" s="244"/>
      <c r="I7268" s="244"/>
      <c r="J7268" s="244"/>
      <c r="K7268" s="18"/>
      <c r="L7268" s="18"/>
      <c r="M7268" s="18"/>
      <c r="N7268" s="18"/>
      <c r="O7268" s="18"/>
      <c r="P7268" s="18"/>
      <c r="Q7268" s="18"/>
      <c r="R7268" s="18"/>
      <c r="S7268" s="18"/>
      <c r="T7268" s="18"/>
      <c r="U7268" s="18"/>
      <c r="V7268" s="18"/>
      <c r="W7268" s="18"/>
      <c r="X7268" s="18"/>
      <c r="Y7268" s="18"/>
      <c r="Z7268" s="18"/>
    </row>
    <row r="7269" spans="1:26" hidden="1">
      <c r="A7269" s="56"/>
      <c r="B7269" s="56"/>
      <c r="C7269"/>
      <c r="D7269"/>
      <c r="E7269" s="56"/>
      <c r="H7269" s="244"/>
      <c r="I7269" s="244"/>
      <c r="J7269" s="244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</row>
    <row r="7270" spans="1:26" hidden="1">
      <c r="A7270" s="56"/>
      <c r="B7270" s="56"/>
      <c r="C7270"/>
      <c r="D7270"/>
      <c r="E7270" s="56"/>
      <c r="H7270" s="244"/>
      <c r="I7270" s="244"/>
      <c r="J7270" s="244"/>
      <c r="K7270" s="18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  <c r="W7270" s="18"/>
      <c r="X7270" s="18"/>
      <c r="Y7270" s="18"/>
      <c r="Z7270" s="18"/>
    </row>
    <row r="7271" spans="1:26" hidden="1">
      <c r="A7271" s="56"/>
      <c r="B7271" s="56"/>
      <c r="C7271"/>
      <c r="D7271"/>
      <c r="E7271" s="56"/>
      <c r="H7271" s="244"/>
      <c r="I7271" s="244"/>
      <c r="J7271" s="244"/>
      <c r="K7271" s="18"/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</row>
    <row r="7272" spans="1:26" hidden="1">
      <c r="A7272" s="56"/>
      <c r="B7272" s="56"/>
      <c r="C7272"/>
      <c r="D7272"/>
      <c r="E7272" s="56"/>
      <c r="H7272" s="244"/>
      <c r="I7272" s="244"/>
      <c r="J7272" s="244"/>
      <c r="K7272" s="18"/>
      <c r="L7272" s="18"/>
      <c r="M7272" s="18"/>
      <c r="N7272" s="18"/>
      <c r="O7272" s="18"/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</row>
    <row r="7273" spans="1:26" hidden="1">
      <c r="A7273" s="56"/>
      <c r="B7273" s="56"/>
      <c r="C7273"/>
      <c r="D7273"/>
      <c r="E7273" s="56"/>
      <c r="H7273" s="244"/>
      <c r="I7273" s="244"/>
      <c r="J7273" s="244"/>
      <c r="K7273" s="18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</row>
    <row r="7274" spans="1:26" hidden="1">
      <c r="A7274" s="56"/>
      <c r="B7274" s="56"/>
      <c r="C7274"/>
      <c r="D7274"/>
      <c r="E7274" s="56"/>
      <c r="H7274" s="244"/>
      <c r="I7274" s="244"/>
      <c r="J7274" s="244"/>
      <c r="K7274" s="18"/>
      <c r="L7274" s="18"/>
      <c r="M7274" s="18"/>
      <c r="N7274" s="18"/>
      <c r="O7274" s="18"/>
      <c r="P7274" s="18"/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</row>
    <row r="7275" spans="1:26" hidden="1">
      <c r="A7275" s="56"/>
      <c r="B7275" s="56"/>
      <c r="C7275"/>
      <c r="D7275"/>
      <c r="E7275" s="56"/>
      <c r="H7275" s="244"/>
      <c r="I7275" s="244"/>
      <c r="J7275" s="244"/>
      <c r="K7275" s="18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</row>
    <row r="7276" spans="1:26" hidden="1">
      <c r="A7276" s="56"/>
      <c r="B7276" s="56"/>
      <c r="C7276"/>
      <c r="D7276"/>
      <c r="E7276" s="56"/>
      <c r="H7276" s="244"/>
      <c r="I7276" s="244"/>
      <c r="J7276" s="244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</row>
    <row r="7277" spans="1:26" hidden="1">
      <c r="A7277" s="56"/>
      <c r="B7277" s="56"/>
      <c r="C7277"/>
      <c r="D7277"/>
      <c r="E7277" s="56"/>
      <c r="H7277" s="244"/>
      <c r="I7277" s="244"/>
      <c r="J7277" s="244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</row>
    <row r="7278" spans="1:26" hidden="1">
      <c r="A7278" s="56"/>
      <c r="B7278" s="56"/>
      <c r="C7278"/>
      <c r="D7278"/>
      <c r="E7278" s="56"/>
      <c r="H7278" s="244"/>
      <c r="I7278" s="244"/>
      <c r="J7278" s="244"/>
      <c r="K7278" s="18"/>
      <c r="L7278" s="18"/>
      <c r="M7278" s="18"/>
      <c r="N7278" s="18"/>
      <c r="O7278" s="18"/>
      <c r="P7278" s="18"/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</row>
    <row r="7279" spans="1:26" hidden="1">
      <c r="A7279" s="56"/>
      <c r="B7279" s="56"/>
      <c r="C7279"/>
      <c r="D7279"/>
      <c r="E7279" s="56"/>
      <c r="H7279" s="244"/>
      <c r="I7279" s="244"/>
      <c r="J7279" s="244"/>
      <c r="K7279" s="18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</row>
    <row r="7280" spans="1:26" hidden="1">
      <c r="A7280" s="56"/>
      <c r="B7280" s="56"/>
      <c r="C7280"/>
      <c r="D7280"/>
      <c r="E7280" s="56"/>
      <c r="H7280" s="244"/>
      <c r="I7280" s="244"/>
      <c r="J7280" s="244"/>
      <c r="K7280" s="18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  <c r="W7280" s="18"/>
      <c r="X7280" s="18"/>
      <c r="Y7280" s="18"/>
      <c r="Z7280" s="18"/>
    </row>
    <row r="7281" spans="1:26" hidden="1">
      <c r="A7281" s="56"/>
      <c r="B7281" s="56"/>
      <c r="C7281"/>
      <c r="D7281"/>
      <c r="E7281" s="56"/>
      <c r="H7281" s="244"/>
      <c r="I7281" s="244"/>
      <c r="J7281" s="244"/>
      <c r="K7281" s="18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</row>
    <row r="7282" spans="1:26" hidden="1">
      <c r="A7282" s="56"/>
      <c r="B7282" s="56"/>
      <c r="C7282"/>
      <c r="D7282"/>
      <c r="E7282" s="56"/>
      <c r="H7282" s="244"/>
      <c r="I7282" s="244"/>
      <c r="J7282" s="244"/>
      <c r="K7282" s="18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</row>
    <row r="7283" spans="1:26" hidden="1">
      <c r="A7283" s="56"/>
      <c r="B7283" s="56"/>
      <c r="C7283"/>
      <c r="D7283"/>
      <c r="E7283" s="56"/>
      <c r="H7283" s="244"/>
      <c r="I7283" s="244"/>
      <c r="J7283" s="244"/>
      <c r="K7283" s="18"/>
      <c r="L7283" s="18"/>
      <c r="M7283" s="18"/>
      <c r="N7283" s="18"/>
      <c r="O7283" s="18"/>
      <c r="P7283" s="18"/>
      <c r="Q7283" s="18"/>
      <c r="R7283" s="18"/>
      <c r="S7283" s="18"/>
      <c r="T7283" s="18"/>
      <c r="U7283" s="18"/>
      <c r="V7283" s="18"/>
      <c r="W7283" s="18"/>
      <c r="X7283" s="18"/>
      <c r="Y7283" s="18"/>
      <c r="Z7283" s="18"/>
    </row>
    <row r="7284" spans="1:26" hidden="1">
      <c r="A7284" s="56"/>
      <c r="B7284" s="56"/>
      <c r="C7284"/>
      <c r="D7284"/>
      <c r="E7284" s="56"/>
      <c r="H7284" s="244"/>
      <c r="I7284" s="244"/>
      <c r="J7284" s="244"/>
      <c r="K7284" s="18"/>
      <c r="L7284" s="18"/>
      <c r="M7284" s="18"/>
      <c r="N7284" s="18"/>
      <c r="O7284" s="18"/>
      <c r="P7284" s="18"/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</row>
    <row r="7285" spans="1:26" hidden="1">
      <c r="A7285" s="56"/>
      <c r="B7285" s="56"/>
      <c r="C7285"/>
      <c r="D7285"/>
      <c r="E7285" s="56"/>
      <c r="H7285" s="244"/>
      <c r="I7285" s="244"/>
      <c r="J7285" s="244"/>
      <c r="K7285" s="18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</row>
    <row r="7286" spans="1:26" hidden="1">
      <c r="A7286" s="56"/>
      <c r="B7286" s="56"/>
      <c r="C7286"/>
      <c r="D7286"/>
      <c r="E7286" s="56"/>
      <c r="H7286" s="244"/>
      <c r="I7286" s="244"/>
      <c r="J7286" s="244"/>
      <c r="K7286" s="18"/>
      <c r="L7286" s="18"/>
      <c r="M7286" s="18"/>
      <c r="N7286" s="18"/>
      <c r="O7286" s="18"/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</row>
    <row r="7287" spans="1:26" hidden="1">
      <c r="A7287" s="56"/>
      <c r="B7287" s="56"/>
      <c r="C7287"/>
      <c r="D7287"/>
      <c r="E7287" s="56"/>
      <c r="H7287" s="244"/>
      <c r="I7287" s="244"/>
      <c r="J7287" s="244"/>
      <c r="K7287" s="18"/>
      <c r="L7287" s="18"/>
      <c r="M7287" s="18"/>
      <c r="N7287" s="18"/>
      <c r="O7287" s="18"/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</row>
    <row r="7288" spans="1:26" hidden="1">
      <c r="A7288" s="56"/>
      <c r="B7288" s="56"/>
      <c r="C7288"/>
      <c r="D7288"/>
      <c r="E7288" s="56"/>
      <c r="H7288" s="244"/>
      <c r="I7288" s="244"/>
      <c r="J7288" s="244"/>
      <c r="K7288" s="18"/>
      <c r="L7288" s="18"/>
      <c r="M7288" s="18"/>
      <c r="N7288" s="18"/>
      <c r="O7288" s="18"/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</row>
    <row r="7289" spans="1:26" hidden="1">
      <c r="A7289" s="56"/>
      <c r="B7289" s="56"/>
      <c r="C7289"/>
      <c r="D7289"/>
      <c r="E7289" s="56"/>
      <c r="H7289" s="244"/>
      <c r="I7289" s="244"/>
      <c r="J7289" s="244"/>
      <c r="K7289" s="18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</row>
    <row r="7290" spans="1:26" hidden="1">
      <c r="A7290" s="56"/>
      <c r="B7290" s="56"/>
      <c r="C7290"/>
      <c r="D7290"/>
      <c r="E7290" s="56"/>
      <c r="H7290" s="244"/>
      <c r="I7290" s="244"/>
      <c r="J7290" s="244"/>
      <c r="K7290" s="18"/>
      <c r="L7290" s="18"/>
      <c r="M7290" s="18"/>
      <c r="N7290" s="18"/>
      <c r="O7290" s="18"/>
      <c r="P7290" s="18"/>
      <c r="Q7290" s="18"/>
      <c r="R7290" s="18"/>
      <c r="S7290" s="18"/>
      <c r="T7290" s="18"/>
      <c r="U7290" s="18"/>
      <c r="V7290" s="18"/>
      <c r="W7290" s="18"/>
      <c r="X7290" s="18"/>
      <c r="Y7290" s="18"/>
      <c r="Z7290" s="18"/>
    </row>
    <row r="7291" spans="1:26" hidden="1">
      <c r="A7291" s="56"/>
      <c r="B7291" s="56"/>
      <c r="C7291"/>
      <c r="D7291"/>
      <c r="E7291" s="56"/>
      <c r="H7291" s="244"/>
      <c r="I7291" s="244"/>
      <c r="J7291" s="244"/>
      <c r="K7291" s="18"/>
      <c r="L7291" s="18"/>
      <c r="M7291" s="18"/>
      <c r="N7291" s="18"/>
      <c r="O7291" s="18"/>
      <c r="P7291" s="18"/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</row>
    <row r="7292" spans="1:26" hidden="1">
      <c r="A7292" s="56"/>
      <c r="B7292" s="56"/>
      <c r="C7292"/>
      <c r="D7292"/>
      <c r="E7292" s="56"/>
      <c r="H7292" s="244"/>
      <c r="I7292" s="244"/>
      <c r="J7292" s="244"/>
      <c r="K7292" s="18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</row>
    <row r="7293" spans="1:26" hidden="1">
      <c r="A7293" s="56"/>
      <c r="B7293" s="56"/>
      <c r="C7293"/>
      <c r="D7293"/>
      <c r="E7293" s="56"/>
      <c r="H7293" s="244"/>
      <c r="I7293" s="244"/>
      <c r="J7293" s="244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</row>
    <row r="7294" spans="1:26" hidden="1">
      <c r="A7294" s="56"/>
      <c r="B7294" s="56"/>
      <c r="C7294"/>
      <c r="D7294"/>
      <c r="E7294" s="56"/>
      <c r="H7294" s="244"/>
      <c r="I7294" s="244"/>
      <c r="J7294" s="244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</row>
    <row r="7295" spans="1:26" hidden="1">
      <c r="A7295" s="56"/>
      <c r="B7295" s="56"/>
      <c r="C7295"/>
      <c r="D7295"/>
      <c r="E7295" s="56"/>
      <c r="H7295" s="244"/>
      <c r="I7295" s="244"/>
      <c r="J7295" s="244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</row>
    <row r="7296" spans="1:26" hidden="1">
      <c r="A7296" s="56"/>
      <c r="B7296" s="56"/>
      <c r="C7296"/>
      <c r="D7296"/>
      <c r="E7296" s="56"/>
      <c r="H7296" s="244"/>
      <c r="I7296" s="244"/>
      <c r="J7296" s="244"/>
      <c r="K7296" s="18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</row>
    <row r="7297" spans="1:26" hidden="1">
      <c r="A7297" s="56"/>
      <c r="B7297" s="56"/>
      <c r="C7297"/>
      <c r="D7297"/>
      <c r="E7297" s="56"/>
      <c r="H7297" s="244"/>
      <c r="I7297" s="244"/>
      <c r="J7297" s="244"/>
      <c r="K7297" s="18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</row>
    <row r="7298" spans="1:26" hidden="1">
      <c r="A7298" s="56"/>
      <c r="B7298" s="56"/>
      <c r="C7298"/>
      <c r="D7298"/>
      <c r="E7298" s="56"/>
      <c r="H7298" s="244"/>
      <c r="I7298" s="244"/>
      <c r="J7298" s="244"/>
      <c r="K7298" s="18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</row>
    <row r="7299" spans="1:26" hidden="1">
      <c r="A7299" s="56"/>
      <c r="B7299" s="56"/>
      <c r="C7299"/>
      <c r="D7299"/>
      <c r="E7299" s="56"/>
      <c r="H7299" s="244"/>
      <c r="I7299" s="244"/>
      <c r="J7299" s="244"/>
      <c r="K7299" s="18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</row>
    <row r="7300" spans="1:26" hidden="1">
      <c r="A7300" s="56"/>
      <c r="B7300" s="56"/>
      <c r="C7300"/>
      <c r="D7300"/>
      <c r="E7300" s="56"/>
      <c r="H7300" s="244"/>
      <c r="I7300" s="244"/>
      <c r="J7300" s="244"/>
      <c r="K7300" s="18"/>
      <c r="L7300" s="18"/>
      <c r="M7300" s="18"/>
      <c r="N7300" s="18"/>
      <c r="O7300" s="18"/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</row>
    <row r="7301" spans="1:26" hidden="1">
      <c r="A7301" s="56"/>
      <c r="B7301" s="56"/>
      <c r="C7301"/>
      <c r="D7301"/>
      <c r="E7301" s="56"/>
      <c r="H7301" s="244"/>
      <c r="I7301" s="244"/>
      <c r="J7301" s="244"/>
      <c r="K7301" s="18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</row>
    <row r="7302" spans="1:26" hidden="1">
      <c r="A7302" s="56"/>
      <c r="B7302" s="56"/>
      <c r="C7302"/>
      <c r="D7302"/>
      <c r="E7302" s="56"/>
      <c r="H7302" s="244"/>
      <c r="I7302" s="244"/>
      <c r="J7302" s="244"/>
      <c r="K7302" s="18"/>
      <c r="L7302" s="18"/>
      <c r="M7302" s="18"/>
      <c r="N7302" s="18"/>
      <c r="O7302" s="18"/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</row>
    <row r="7303" spans="1:26" hidden="1">
      <c r="A7303" s="56"/>
      <c r="B7303" s="56"/>
      <c r="C7303"/>
      <c r="D7303"/>
      <c r="E7303" s="56"/>
      <c r="H7303" s="244"/>
      <c r="I7303" s="244"/>
      <c r="J7303" s="244"/>
      <c r="K7303" s="18"/>
      <c r="L7303" s="18"/>
      <c r="M7303" s="18"/>
      <c r="N7303" s="18"/>
      <c r="O7303" s="18"/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</row>
    <row r="7304" spans="1:26" hidden="1">
      <c r="A7304" s="56"/>
      <c r="B7304" s="56"/>
      <c r="C7304"/>
      <c r="D7304"/>
      <c r="E7304" s="56"/>
      <c r="H7304" s="244"/>
      <c r="I7304" s="244"/>
      <c r="J7304" s="244"/>
      <c r="K7304" s="18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</row>
    <row r="7305" spans="1:26" hidden="1">
      <c r="A7305" s="56"/>
      <c r="B7305" s="56"/>
      <c r="C7305"/>
      <c r="D7305"/>
      <c r="E7305" s="56"/>
      <c r="H7305" s="244"/>
      <c r="I7305" s="244"/>
      <c r="J7305" s="244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</row>
    <row r="7306" spans="1:26" hidden="1">
      <c r="A7306" s="56"/>
      <c r="B7306" s="56"/>
      <c r="C7306"/>
      <c r="D7306"/>
      <c r="E7306" s="56"/>
      <c r="H7306" s="244"/>
      <c r="I7306" s="244"/>
      <c r="J7306" s="244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</row>
    <row r="7307" spans="1:26" hidden="1">
      <c r="A7307" s="56"/>
      <c r="B7307" s="56"/>
      <c r="C7307"/>
      <c r="D7307"/>
      <c r="E7307" s="56"/>
      <c r="H7307" s="244"/>
      <c r="I7307" s="244"/>
      <c r="J7307" s="244"/>
      <c r="K7307" s="18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</row>
    <row r="7308" spans="1:26" hidden="1">
      <c r="A7308" s="56"/>
      <c r="B7308" s="56"/>
      <c r="C7308"/>
      <c r="D7308"/>
      <c r="E7308" s="56"/>
      <c r="H7308" s="244"/>
      <c r="I7308" s="244"/>
      <c r="J7308" s="244"/>
      <c r="K7308" s="18"/>
      <c r="L7308" s="18"/>
      <c r="M7308" s="18"/>
      <c r="N7308" s="18"/>
      <c r="O7308" s="18"/>
      <c r="P7308" s="18"/>
      <c r="Q7308" s="18"/>
      <c r="R7308" s="18"/>
      <c r="S7308" s="18"/>
      <c r="T7308" s="18"/>
      <c r="U7308" s="18"/>
      <c r="V7308" s="18"/>
      <c r="W7308" s="18"/>
      <c r="X7308" s="18"/>
      <c r="Y7308" s="18"/>
      <c r="Z7308" s="18"/>
    </row>
    <row r="7309" spans="1:26" hidden="1">
      <c r="A7309" s="56"/>
      <c r="B7309" s="56"/>
      <c r="C7309"/>
      <c r="D7309"/>
      <c r="E7309" s="56"/>
      <c r="H7309" s="244"/>
      <c r="I7309" s="244"/>
      <c r="J7309" s="244"/>
      <c r="K7309" s="18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</row>
    <row r="7310" spans="1:26" hidden="1">
      <c r="A7310" s="56"/>
      <c r="B7310" s="56"/>
      <c r="C7310"/>
      <c r="D7310"/>
      <c r="E7310" s="56"/>
      <c r="H7310" s="244"/>
      <c r="I7310" s="244"/>
      <c r="J7310" s="244"/>
      <c r="K7310" s="18"/>
      <c r="L7310" s="18"/>
      <c r="M7310" s="18"/>
      <c r="N7310" s="18"/>
      <c r="O7310" s="18"/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</row>
    <row r="7311" spans="1:26" hidden="1">
      <c r="A7311" s="56"/>
      <c r="B7311" s="56"/>
      <c r="C7311"/>
      <c r="D7311"/>
      <c r="E7311" s="56"/>
      <c r="H7311" s="244"/>
      <c r="I7311" s="244"/>
      <c r="J7311" s="244"/>
      <c r="K7311" s="18"/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</row>
    <row r="7312" spans="1:26" hidden="1">
      <c r="A7312" s="56"/>
      <c r="B7312" s="56"/>
      <c r="C7312"/>
      <c r="D7312"/>
      <c r="E7312" s="56"/>
      <c r="H7312" s="244"/>
      <c r="I7312" s="244"/>
      <c r="J7312" s="244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8"/>
      <c r="X7312" s="18"/>
      <c r="Y7312" s="18"/>
      <c r="Z7312" s="18"/>
    </row>
    <row r="7313" spans="1:26" hidden="1">
      <c r="A7313" s="56"/>
      <c r="B7313" s="56"/>
      <c r="C7313"/>
      <c r="D7313"/>
      <c r="E7313" s="56"/>
      <c r="H7313" s="244"/>
      <c r="I7313" s="244"/>
      <c r="J7313" s="244"/>
      <c r="K7313" s="18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</row>
    <row r="7314" spans="1:26" hidden="1">
      <c r="A7314" s="56"/>
      <c r="B7314" s="56"/>
      <c r="C7314"/>
      <c r="D7314"/>
      <c r="E7314" s="56"/>
      <c r="H7314" s="244"/>
      <c r="I7314" s="244"/>
      <c r="J7314" s="244"/>
      <c r="K7314" s="18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</row>
    <row r="7315" spans="1:26" hidden="1">
      <c r="A7315" s="56"/>
      <c r="B7315" s="56"/>
      <c r="C7315"/>
      <c r="D7315"/>
      <c r="E7315" s="56"/>
      <c r="H7315" s="244"/>
      <c r="I7315" s="244"/>
      <c r="J7315" s="244"/>
      <c r="K7315" s="18"/>
      <c r="L7315" s="18"/>
      <c r="M7315" s="18"/>
      <c r="N7315" s="18"/>
      <c r="O7315" s="18"/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</row>
    <row r="7316" spans="1:26" hidden="1">
      <c r="A7316" s="56"/>
      <c r="B7316" s="56"/>
      <c r="C7316"/>
      <c r="D7316"/>
      <c r="E7316" s="56"/>
      <c r="H7316" s="244"/>
      <c r="I7316" s="244"/>
      <c r="J7316" s="244"/>
      <c r="K7316" s="18"/>
      <c r="L7316" s="18"/>
      <c r="M7316" s="18"/>
      <c r="N7316" s="18"/>
      <c r="O7316" s="18"/>
      <c r="P7316" s="18"/>
      <c r="Q7316" s="18"/>
      <c r="R7316" s="18"/>
      <c r="S7316" s="18"/>
      <c r="T7316" s="18"/>
      <c r="U7316" s="18"/>
      <c r="V7316" s="18"/>
      <c r="W7316" s="18"/>
      <c r="X7316" s="18"/>
      <c r="Y7316" s="18"/>
      <c r="Z7316" s="18"/>
    </row>
    <row r="7317" spans="1:26" hidden="1">
      <c r="A7317" s="56"/>
      <c r="B7317" s="56"/>
      <c r="C7317"/>
      <c r="D7317"/>
      <c r="E7317" s="56"/>
      <c r="H7317" s="244"/>
      <c r="I7317" s="244"/>
      <c r="J7317" s="244"/>
      <c r="K7317" s="18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</row>
    <row r="7318" spans="1:26" hidden="1">
      <c r="A7318" s="56"/>
      <c r="B7318" s="56"/>
      <c r="C7318"/>
      <c r="D7318"/>
      <c r="E7318" s="56"/>
      <c r="H7318" s="244"/>
      <c r="I7318" s="244"/>
      <c r="J7318" s="244"/>
      <c r="K7318" s="18"/>
      <c r="L7318" s="18"/>
      <c r="M7318" s="18"/>
      <c r="N7318" s="18"/>
      <c r="O7318" s="18"/>
      <c r="P7318" s="18"/>
      <c r="Q7318" s="18"/>
      <c r="R7318" s="18"/>
      <c r="S7318" s="18"/>
      <c r="T7318" s="18"/>
      <c r="U7318" s="18"/>
      <c r="V7318" s="18"/>
      <c r="W7318" s="18"/>
      <c r="X7318" s="18"/>
      <c r="Y7318" s="18"/>
      <c r="Z7318" s="18"/>
    </row>
    <row r="7319" spans="1:26" hidden="1">
      <c r="A7319" s="56"/>
      <c r="B7319" s="56"/>
      <c r="C7319"/>
      <c r="D7319"/>
      <c r="E7319" s="56"/>
      <c r="H7319" s="244"/>
      <c r="I7319" s="244"/>
      <c r="J7319" s="244"/>
      <c r="K7319" s="18"/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  <c r="W7319" s="18"/>
      <c r="X7319" s="18"/>
      <c r="Y7319" s="18"/>
      <c r="Z7319" s="18"/>
    </row>
    <row r="7320" spans="1:26" hidden="1">
      <c r="A7320" s="56"/>
      <c r="B7320" s="56"/>
      <c r="C7320"/>
      <c r="D7320"/>
      <c r="E7320" s="56"/>
      <c r="H7320" s="244"/>
      <c r="I7320" s="244"/>
      <c r="J7320" s="244"/>
      <c r="K7320" s="18"/>
      <c r="L7320" s="18"/>
      <c r="M7320" s="18"/>
      <c r="N7320" s="18"/>
      <c r="O7320" s="18"/>
      <c r="P7320" s="18"/>
      <c r="Q7320" s="18"/>
      <c r="R7320" s="18"/>
      <c r="S7320" s="18"/>
      <c r="T7320" s="18"/>
      <c r="U7320" s="18"/>
      <c r="V7320" s="18"/>
      <c r="W7320" s="18"/>
      <c r="X7320" s="18"/>
      <c r="Y7320" s="18"/>
      <c r="Z7320" s="18"/>
    </row>
    <row r="7321" spans="1:26" hidden="1">
      <c r="A7321" s="56"/>
      <c r="B7321" s="56"/>
      <c r="C7321"/>
      <c r="D7321"/>
      <c r="E7321" s="56"/>
      <c r="H7321" s="244"/>
      <c r="I7321" s="244"/>
      <c r="J7321" s="244"/>
      <c r="K7321" s="18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</row>
    <row r="7322" spans="1:26" hidden="1">
      <c r="A7322" s="56"/>
      <c r="B7322" s="56"/>
      <c r="C7322"/>
      <c r="D7322"/>
      <c r="E7322" s="56"/>
      <c r="H7322" s="244"/>
      <c r="I7322" s="244"/>
      <c r="J7322" s="244"/>
      <c r="K7322" s="18"/>
      <c r="L7322" s="18"/>
      <c r="M7322" s="18"/>
      <c r="N7322" s="18"/>
      <c r="O7322" s="18"/>
      <c r="P7322" s="18"/>
      <c r="Q7322" s="18"/>
      <c r="R7322" s="18"/>
      <c r="S7322" s="18"/>
      <c r="T7322" s="18"/>
      <c r="U7322" s="18"/>
      <c r="V7322" s="18"/>
      <c r="W7322" s="18"/>
      <c r="X7322" s="18"/>
      <c r="Y7322" s="18"/>
      <c r="Z7322" s="18"/>
    </row>
    <row r="7323" spans="1:26" hidden="1">
      <c r="A7323" s="56"/>
      <c r="B7323" s="56"/>
      <c r="C7323"/>
      <c r="D7323"/>
      <c r="E7323" s="56"/>
      <c r="H7323" s="244"/>
      <c r="I7323" s="244"/>
      <c r="J7323" s="244"/>
      <c r="K7323" s="18"/>
      <c r="L7323" s="18"/>
      <c r="M7323" s="18"/>
      <c r="N7323" s="18"/>
      <c r="O7323" s="18"/>
      <c r="P7323" s="18"/>
      <c r="Q7323" s="18"/>
      <c r="R7323" s="18"/>
      <c r="S7323" s="18"/>
      <c r="T7323" s="18"/>
      <c r="U7323" s="18"/>
      <c r="V7323" s="18"/>
      <c r="W7323" s="18"/>
      <c r="X7323" s="18"/>
      <c r="Y7323" s="18"/>
      <c r="Z7323" s="18"/>
    </row>
    <row r="7324" spans="1:26" hidden="1">
      <c r="A7324" s="56"/>
      <c r="B7324" s="56"/>
      <c r="C7324"/>
      <c r="D7324"/>
      <c r="E7324" s="56"/>
      <c r="H7324" s="244"/>
      <c r="I7324" s="244"/>
      <c r="J7324" s="244"/>
      <c r="K7324" s="18"/>
      <c r="L7324" s="18"/>
      <c r="M7324" s="18"/>
      <c r="N7324" s="18"/>
      <c r="O7324" s="18"/>
      <c r="P7324" s="18"/>
      <c r="Q7324" s="18"/>
      <c r="R7324" s="18"/>
      <c r="S7324" s="18"/>
      <c r="T7324" s="18"/>
      <c r="U7324" s="18"/>
      <c r="V7324" s="18"/>
      <c r="W7324" s="18"/>
      <c r="X7324" s="18"/>
      <c r="Y7324" s="18"/>
      <c r="Z7324" s="18"/>
    </row>
    <row r="7325" spans="1:26" hidden="1">
      <c r="A7325" s="56"/>
      <c r="B7325" s="56"/>
      <c r="C7325"/>
      <c r="D7325"/>
      <c r="E7325" s="56"/>
      <c r="H7325" s="244"/>
      <c r="I7325" s="244"/>
      <c r="J7325" s="244"/>
      <c r="K7325" s="18"/>
      <c r="L7325" s="18"/>
      <c r="M7325" s="18"/>
      <c r="N7325" s="18"/>
      <c r="O7325" s="18"/>
      <c r="P7325" s="18"/>
      <c r="Q7325" s="18"/>
      <c r="R7325" s="18"/>
      <c r="S7325" s="18"/>
      <c r="T7325" s="18"/>
      <c r="U7325" s="18"/>
      <c r="V7325" s="18"/>
      <c r="W7325" s="18"/>
      <c r="X7325" s="18"/>
      <c r="Y7325" s="18"/>
      <c r="Z7325" s="18"/>
    </row>
    <row r="7326" spans="1:26" hidden="1">
      <c r="A7326" s="56"/>
      <c r="B7326" s="56"/>
      <c r="C7326"/>
      <c r="D7326"/>
      <c r="E7326" s="56"/>
      <c r="H7326" s="244"/>
      <c r="I7326" s="244"/>
      <c r="J7326" s="244"/>
      <c r="K7326" s="18"/>
      <c r="L7326" s="18"/>
      <c r="M7326" s="18"/>
      <c r="N7326" s="18"/>
      <c r="O7326" s="18"/>
      <c r="P7326" s="18"/>
      <c r="Q7326" s="18"/>
      <c r="R7326" s="18"/>
      <c r="S7326" s="18"/>
      <c r="T7326" s="18"/>
      <c r="U7326" s="18"/>
      <c r="V7326" s="18"/>
      <c r="W7326" s="18"/>
      <c r="X7326" s="18"/>
      <c r="Y7326" s="18"/>
      <c r="Z7326" s="18"/>
    </row>
    <row r="7327" spans="1:26">
      <c r="H7327" s="6">
        <f>SUBTOTAL(9,Budget_2015)</f>
        <v>389325100</v>
      </c>
      <c r="I7327" s="6">
        <f>SUBTOTAL(9,Budget_2015)</f>
        <v>389325100</v>
      </c>
      <c r="J7327" s="6">
        <f>SUBTOTAL(9,Budget_2015)</f>
        <v>389325100</v>
      </c>
      <c r="N7327"/>
    </row>
    <row r="7328" spans="1:26">
      <c r="N7328"/>
    </row>
    <row r="7329" spans="5:14">
      <c r="E7329" s="492"/>
      <c r="N7329"/>
    </row>
    <row r="7330" spans="5:14">
      <c r="F7330" s="2">
        <v>-10000000</v>
      </c>
      <c r="N7330"/>
    </row>
    <row r="7331" spans="5:14">
      <c r="F7331" s="2">
        <v>-42667500</v>
      </c>
      <c r="N7331"/>
    </row>
    <row r="7332" spans="5:14">
      <c r="F7332" s="2">
        <v>-16000000</v>
      </c>
      <c r="N7332"/>
    </row>
    <row r="7333" spans="5:14">
      <c r="F7333" s="2">
        <v>-69000000</v>
      </c>
      <c r="N7333"/>
    </row>
    <row r="7334" spans="5:14">
      <c r="F7334" s="2">
        <v>-3000000</v>
      </c>
      <c r="N7334"/>
    </row>
    <row r="7335" spans="5:14">
      <c r="F7335" s="2">
        <v>-23000000</v>
      </c>
      <c r="N7335"/>
    </row>
    <row r="7336" spans="5:14">
      <c r="F7336" s="2">
        <v>-4000000</v>
      </c>
      <c r="N7336"/>
    </row>
    <row r="7337" spans="5:14">
      <c r="F7337" s="2">
        <v>-810000</v>
      </c>
      <c r="N7337" s="18"/>
    </row>
    <row r="7338" spans="5:14">
      <c r="F7338" s="2">
        <v>-1500000</v>
      </c>
      <c r="N7338" s="18"/>
    </row>
    <row r="7339" spans="5:14">
      <c r="F7339" s="2">
        <v>-158000</v>
      </c>
      <c r="N7339" s="18"/>
    </row>
    <row r="7340" spans="5:14">
      <c r="F7340" s="2">
        <v>0</v>
      </c>
      <c r="N7340" s="18"/>
    </row>
    <row r="7341" spans="5:14">
      <c r="F7341" s="2">
        <v>-1000000</v>
      </c>
      <c r="N7341" s="18"/>
    </row>
    <row r="7342" spans="5:14">
      <c r="F7342" s="2">
        <v>-775000</v>
      </c>
      <c r="N7342" s="18"/>
    </row>
    <row r="7343" spans="5:14">
      <c r="F7343" s="2">
        <v>-1150000</v>
      </c>
      <c r="N7343" s="18"/>
    </row>
    <row r="7344" spans="5:14">
      <c r="F7344" s="2">
        <v>-270000</v>
      </c>
      <c r="N7344" s="18"/>
    </row>
    <row r="7345" spans="8:14">
      <c r="H7345" s="3"/>
      <c r="N7345"/>
    </row>
    <row r="7346" spans="8:14">
      <c r="N7346"/>
    </row>
    <row r="7347" spans="8:14">
      <c r="N7347"/>
    </row>
    <row r="7348" spans="8:14">
      <c r="N7348"/>
    </row>
    <row r="7349" spans="8:14">
      <c r="N7349"/>
    </row>
    <row r="7350" spans="8:14">
      <c r="N7350"/>
    </row>
    <row r="7351" spans="8:14">
      <c r="N7351"/>
    </row>
    <row r="7352" spans="8:14">
      <c r="N7352"/>
    </row>
    <row r="7353" spans="8:14">
      <c r="N7353"/>
    </row>
    <row r="7354" spans="8:14">
      <c r="N7354"/>
    </row>
    <row r="7355" spans="8:14">
      <c r="N7355"/>
    </row>
    <row r="7356" spans="8:14">
      <c r="N7356"/>
    </row>
    <row r="7357" spans="8:14">
      <c r="N7357"/>
    </row>
    <row r="7358" spans="8:14">
      <c r="N7358"/>
    </row>
    <row r="7359" spans="8:14">
      <c r="N7359"/>
    </row>
    <row r="7360" spans="8:14">
      <c r="N7360"/>
    </row>
    <row r="7361" spans="14:14">
      <c r="N7361"/>
    </row>
    <row r="7362" spans="14:14">
      <c r="N7362"/>
    </row>
    <row r="7363" spans="14:14">
      <c r="N7363"/>
    </row>
    <row r="7364" spans="14:14">
      <c r="N7364"/>
    </row>
    <row r="7365" spans="14:14">
      <c r="N7365"/>
    </row>
    <row r="7366" spans="14:14">
      <c r="N7366"/>
    </row>
    <row r="7367" spans="14:14">
      <c r="N7367"/>
    </row>
    <row r="7368" spans="14:14">
      <c r="N7368"/>
    </row>
    <row r="7369" spans="14:14">
      <c r="N7369"/>
    </row>
    <row r="7370" spans="14:14">
      <c r="N7370"/>
    </row>
    <row r="7371" spans="14:14">
      <c r="N7371"/>
    </row>
    <row r="7372" spans="14:14">
      <c r="N7372"/>
    </row>
    <row r="7373" spans="14:14">
      <c r="N7373"/>
    </row>
    <row r="7374" spans="14:14">
      <c r="N7374"/>
    </row>
    <row r="7375" spans="14:14">
      <c r="N7375"/>
    </row>
    <row r="7376" spans="14:14">
      <c r="N7376"/>
    </row>
    <row r="7377" spans="14:14">
      <c r="N7377"/>
    </row>
    <row r="7378" spans="14:14">
      <c r="N7378"/>
    </row>
    <row r="7379" spans="14:14">
      <c r="N7379"/>
    </row>
    <row r="7380" spans="14:14">
      <c r="N7380"/>
    </row>
    <row r="7381" spans="14:14">
      <c r="N7381"/>
    </row>
    <row r="7382" spans="14:14">
      <c r="N7382"/>
    </row>
    <row r="7383" spans="14:14">
      <c r="N7383"/>
    </row>
    <row r="7384" spans="14:14">
      <c r="N7384"/>
    </row>
    <row r="7385" spans="14:14">
      <c r="N7385"/>
    </row>
    <row r="7386" spans="14:14">
      <c r="N7386"/>
    </row>
    <row r="7387" spans="14:14">
      <c r="N7387"/>
    </row>
    <row r="7388" spans="14:14">
      <c r="N7388"/>
    </row>
    <row r="7389" spans="14:14">
      <c r="N7389"/>
    </row>
    <row r="7390" spans="14:14">
      <c r="N7390"/>
    </row>
    <row r="7391" spans="14:14">
      <c r="N7391"/>
    </row>
    <row r="7392" spans="14:14">
      <c r="N7392"/>
    </row>
    <row r="7393" spans="14:14">
      <c r="N7393"/>
    </row>
    <row r="7394" spans="14:14">
      <c r="N7394"/>
    </row>
    <row r="7395" spans="14:14">
      <c r="N7395"/>
    </row>
    <row r="7396" spans="14:14">
      <c r="N7396"/>
    </row>
    <row r="7397" spans="14:14">
      <c r="N7397"/>
    </row>
    <row r="7398" spans="14:14">
      <c r="N7398"/>
    </row>
    <row r="7399" spans="14:14">
      <c r="N7399"/>
    </row>
    <row r="7400" spans="14:14">
      <c r="N7400"/>
    </row>
    <row r="7401" spans="14:14">
      <c r="N7401"/>
    </row>
    <row r="7402" spans="14:14">
      <c r="N7402"/>
    </row>
    <row r="7403" spans="14:14">
      <c r="N7403"/>
    </row>
    <row r="7404" spans="14:14">
      <c r="N7404"/>
    </row>
    <row r="7405" spans="14:14">
      <c r="N7405"/>
    </row>
    <row r="7406" spans="14:14">
      <c r="N7406"/>
    </row>
    <row r="7407" spans="14:14">
      <c r="N7407"/>
    </row>
    <row r="7408" spans="14:14">
      <c r="N7408"/>
    </row>
    <row r="7409" spans="14:14">
      <c r="N7409"/>
    </row>
    <row r="7410" spans="14:14">
      <c r="N7410"/>
    </row>
    <row r="7411" spans="14:14">
      <c r="N7411"/>
    </row>
    <row r="7412" spans="14:14">
      <c r="N7412"/>
    </row>
    <row r="7413" spans="14:14">
      <c r="N7413"/>
    </row>
    <row r="7414" spans="14:14">
      <c r="N7414"/>
    </row>
    <row r="7415" spans="14:14">
      <c r="N7415"/>
    </row>
    <row r="7416" spans="14:14">
      <c r="N7416"/>
    </row>
    <row r="7417" spans="14:14">
      <c r="N7417"/>
    </row>
    <row r="7418" spans="14:14">
      <c r="N7418"/>
    </row>
    <row r="7419" spans="14:14">
      <c r="N7419"/>
    </row>
    <row r="7420" spans="14:14">
      <c r="N7420"/>
    </row>
    <row r="7421" spans="14:14">
      <c r="N7421"/>
    </row>
    <row r="7422" spans="14:14">
      <c r="N7422"/>
    </row>
    <row r="7423" spans="14:14">
      <c r="N7423"/>
    </row>
    <row r="7424" spans="14:14">
      <c r="N7424"/>
    </row>
    <row r="7425" spans="14:14">
      <c r="N7425"/>
    </row>
    <row r="7426" spans="14:14">
      <c r="N7426"/>
    </row>
    <row r="7427" spans="14:14">
      <c r="N7427"/>
    </row>
    <row r="7428" spans="14:14">
      <c r="N7428"/>
    </row>
    <row r="7429" spans="14:14">
      <c r="N7429"/>
    </row>
    <row r="7430" spans="14:14">
      <c r="N7430"/>
    </row>
    <row r="7431" spans="14:14">
      <c r="N7431"/>
    </row>
    <row r="7432" spans="14:14">
      <c r="N7432"/>
    </row>
    <row r="7433" spans="14:14">
      <c r="N7433"/>
    </row>
    <row r="7434" spans="14:14">
      <c r="N7434"/>
    </row>
    <row r="7435" spans="14:14">
      <c r="N7435"/>
    </row>
    <row r="7436" spans="14:14">
      <c r="N7436"/>
    </row>
    <row r="7437" spans="14:14">
      <c r="N7437"/>
    </row>
    <row r="7438" spans="14:14">
      <c r="N7438"/>
    </row>
    <row r="7439" spans="14:14">
      <c r="N7439"/>
    </row>
    <row r="7440" spans="14:14">
      <c r="N7440"/>
    </row>
    <row r="7441" spans="14:14">
      <c r="N7441"/>
    </row>
    <row r="7442" spans="14:14">
      <c r="N7442"/>
    </row>
    <row r="7443" spans="14:14">
      <c r="N7443"/>
    </row>
    <row r="7444" spans="14:14">
      <c r="N7444"/>
    </row>
    <row r="7445" spans="14:14">
      <c r="N7445"/>
    </row>
    <row r="7446" spans="14:14">
      <c r="N7446"/>
    </row>
    <row r="7447" spans="14:14">
      <c r="N7447"/>
    </row>
    <row r="7448" spans="14:14">
      <c r="N7448"/>
    </row>
    <row r="7449" spans="14:14">
      <c r="N7449"/>
    </row>
    <row r="7450" spans="14:14">
      <c r="N7450"/>
    </row>
    <row r="7451" spans="14:14">
      <c r="N7451"/>
    </row>
    <row r="7452" spans="14:14">
      <c r="N7452"/>
    </row>
    <row r="7453" spans="14:14">
      <c r="N7453"/>
    </row>
    <row r="7454" spans="14:14">
      <c r="N7454"/>
    </row>
    <row r="7455" spans="14:14">
      <c r="N7455"/>
    </row>
    <row r="7456" spans="14:14">
      <c r="N7456"/>
    </row>
    <row r="7457" spans="14:14">
      <c r="N7457"/>
    </row>
    <row r="7458" spans="14:14">
      <c r="N7458"/>
    </row>
    <row r="7459" spans="14:14">
      <c r="N7459"/>
    </row>
    <row r="7460" spans="14:14">
      <c r="N7460"/>
    </row>
    <row r="7461" spans="14:14">
      <c r="N7461"/>
    </row>
    <row r="7462" spans="14:14">
      <c r="N7462"/>
    </row>
    <row r="7463" spans="14:14">
      <c r="N7463"/>
    </row>
    <row r="7464" spans="14:14">
      <c r="N7464"/>
    </row>
    <row r="7465" spans="14:14">
      <c r="N7465"/>
    </row>
    <row r="7466" spans="14:14">
      <c r="N7466"/>
    </row>
    <row r="7467" spans="14:14">
      <c r="N7467"/>
    </row>
    <row r="7468" spans="14:14">
      <c r="N7468"/>
    </row>
    <row r="7469" spans="14:14">
      <c r="N7469"/>
    </row>
    <row r="7470" spans="14:14">
      <c r="N7470"/>
    </row>
    <row r="7471" spans="14:14">
      <c r="N7471"/>
    </row>
    <row r="7472" spans="14:14">
      <c r="N7472"/>
    </row>
    <row r="7473" spans="14:14">
      <c r="N7473"/>
    </row>
    <row r="7474" spans="14:14">
      <c r="N7474"/>
    </row>
    <row r="7475" spans="14:14">
      <c r="N7475"/>
    </row>
    <row r="7476" spans="14:14">
      <c r="N7476"/>
    </row>
    <row r="7477" spans="14:14">
      <c r="N7477"/>
    </row>
    <row r="7478" spans="14:14">
      <c r="N7478"/>
    </row>
    <row r="7479" spans="14:14">
      <c r="N7479"/>
    </row>
    <row r="7480" spans="14:14">
      <c r="N7480"/>
    </row>
    <row r="7481" spans="14:14">
      <c r="N7481"/>
    </row>
    <row r="7482" spans="14:14">
      <c r="N7482"/>
    </row>
    <row r="7483" spans="14:14">
      <c r="N7483"/>
    </row>
    <row r="7484" spans="14:14">
      <c r="N7484"/>
    </row>
    <row r="7485" spans="14:14">
      <c r="N7485"/>
    </row>
    <row r="7486" spans="14:14">
      <c r="N7486"/>
    </row>
    <row r="7487" spans="14:14">
      <c r="N7487"/>
    </row>
    <row r="7488" spans="14:14">
      <c r="N7488"/>
    </row>
    <row r="7489" spans="14:14">
      <c r="N7489"/>
    </row>
    <row r="7490" spans="14:14">
      <c r="N7490"/>
    </row>
    <row r="7491" spans="14:14">
      <c r="N7491"/>
    </row>
    <row r="7492" spans="14:14">
      <c r="N7492"/>
    </row>
    <row r="7493" spans="14:14">
      <c r="N7493"/>
    </row>
    <row r="7494" spans="14:14">
      <c r="N7494"/>
    </row>
    <row r="7495" spans="14:14">
      <c r="N7495"/>
    </row>
    <row r="7496" spans="14:14">
      <c r="N7496"/>
    </row>
    <row r="7497" spans="14:14">
      <c r="N7497"/>
    </row>
    <row r="7498" spans="14:14">
      <c r="N7498"/>
    </row>
    <row r="7499" spans="14:14">
      <c r="N7499"/>
    </row>
    <row r="7500" spans="14:14">
      <c r="N7500"/>
    </row>
    <row r="7501" spans="14:14">
      <c r="N7501"/>
    </row>
    <row r="7502" spans="14:14">
      <c r="N7502"/>
    </row>
    <row r="7503" spans="14:14">
      <c r="N7503"/>
    </row>
    <row r="7504" spans="14:14">
      <c r="N7504"/>
    </row>
    <row r="7505" spans="14:14">
      <c r="N7505"/>
    </row>
    <row r="7506" spans="14:14">
      <c r="N7506"/>
    </row>
    <row r="7507" spans="14:14">
      <c r="N7507"/>
    </row>
    <row r="7508" spans="14:14">
      <c r="N7508"/>
    </row>
    <row r="7509" spans="14:14">
      <c r="N7509"/>
    </row>
    <row r="7510" spans="14:14">
      <c r="N7510"/>
    </row>
    <row r="7511" spans="14:14">
      <c r="N7511"/>
    </row>
    <row r="7512" spans="14:14">
      <c r="N7512"/>
    </row>
    <row r="7513" spans="14:14">
      <c r="N7513"/>
    </row>
    <row r="7514" spans="14:14">
      <c r="N7514"/>
    </row>
    <row r="7515" spans="14:14">
      <c r="N7515"/>
    </row>
    <row r="7516" spans="14:14">
      <c r="N7516"/>
    </row>
    <row r="7517" spans="14:14">
      <c r="N7517"/>
    </row>
    <row r="7518" spans="14:14">
      <c r="N7518"/>
    </row>
    <row r="7519" spans="14:14">
      <c r="N7519"/>
    </row>
    <row r="7520" spans="14:14">
      <c r="N7520"/>
    </row>
    <row r="7521" spans="14:14">
      <c r="N7521"/>
    </row>
    <row r="7522" spans="14:14">
      <c r="N7522"/>
    </row>
    <row r="7523" spans="14:14">
      <c r="N7523"/>
    </row>
    <row r="7524" spans="14:14">
      <c r="N7524"/>
    </row>
    <row r="7525" spans="14:14">
      <c r="N7525"/>
    </row>
    <row r="7526" spans="14:14">
      <c r="N7526"/>
    </row>
    <row r="7527" spans="14:14">
      <c r="N7527"/>
    </row>
    <row r="7528" spans="14:14">
      <c r="N7528"/>
    </row>
    <row r="7529" spans="14:14">
      <c r="N7529"/>
    </row>
    <row r="7530" spans="14:14">
      <c r="N7530"/>
    </row>
    <row r="7531" spans="14:14">
      <c r="N7531"/>
    </row>
    <row r="7532" spans="14:14">
      <c r="N7532"/>
    </row>
    <row r="7533" spans="14:14">
      <c r="N7533"/>
    </row>
    <row r="7534" spans="14:14">
      <c r="N7534"/>
    </row>
    <row r="7535" spans="14:14">
      <c r="N7535"/>
    </row>
    <row r="7536" spans="14:14">
      <c r="N7536"/>
    </row>
    <row r="7537" spans="14:14">
      <c r="N7537"/>
    </row>
    <row r="7538" spans="14:14">
      <c r="N7538"/>
    </row>
    <row r="7539" spans="14:14">
      <c r="N7539"/>
    </row>
    <row r="7540" spans="14:14">
      <c r="N7540"/>
    </row>
    <row r="7541" spans="14:14">
      <c r="N7541"/>
    </row>
    <row r="7542" spans="14:14">
      <c r="N7542"/>
    </row>
    <row r="7543" spans="14:14">
      <c r="N7543"/>
    </row>
    <row r="7544" spans="14:14">
      <c r="N7544"/>
    </row>
    <row r="7545" spans="14:14">
      <c r="N7545"/>
    </row>
    <row r="7546" spans="14:14">
      <c r="N7546"/>
    </row>
    <row r="7547" spans="14:14">
      <c r="N7547"/>
    </row>
    <row r="7548" spans="14:14">
      <c r="N7548"/>
    </row>
    <row r="7549" spans="14:14">
      <c r="N7549"/>
    </row>
    <row r="7550" spans="14:14">
      <c r="N7550"/>
    </row>
    <row r="7551" spans="14:14">
      <c r="N7551"/>
    </row>
    <row r="7552" spans="14:14">
      <c r="N7552"/>
    </row>
    <row r="7553" spans="14:14">
      <c r="N7553"/>
    </row>
    <row r="7554" spans="14:14">
      <c r="N7554"/>
    </row>
    <row r="7555" spans="14:14">
      <c r="N7555"/>
    </row>
    <row r="7556" spans="14:14">
      <c r="N7556"/>
    </row>
    <row r="7557" spans="14:14">
      <c r="N7557"/>
    </row>
    <row r="7558" spans="14:14">
      <c r="N7558"/>
    </row>
    <row r="7559" spans="14:14">
      <c r="N7559"/>
    </row>
    <row r="7560" spans="14:14">
      <c r="N7560"/>
    </row>
    <row r="7561" spans="14:14">
      <c r="N7561"/>
    </row>
    <row r="7562" spans="14:14">
      <c r="N7562"/>
    </row>
    <row r="7563" spans="14:14">
      <c r="N7563"/>
    </row>
    <row r="7564" spans="14:14">
      <c r="N7564"/>
    </row>
    <row r="7565" spans="14:14">
      <c r="N7565"/>
    </row>
    <row r="7566" spans="14:14">
      <c r="N7566"/>
    </row>
    <row r="7567" spans="14:14">
      <c r="N7567"/>
    </row>
    <row r="7568" spans="14:14">
      <c r="N7568"/>
    </row>
    <row r="7569" spans="14:14">
      <c r="N7569"/>
    </row>
    <row r="7570" spans="14:14">
      <c r="N7570"/>
    </row>
    <row r="7571" spans="14:14">
      <c r="N7571"/>
    </row>
    <row r="7572" spans="14:14">
      <c r="N7572"/>
    </row>
    <row r="7573" spans="14:14">
      <c r="N7573"/>
    </row>
    <row r="7574" spans="14:14">
      <c r="N7574"/>
    </row>
    <row r="7575" spans="14:14">
      <c r="N7575"/>
    </row>
    <row r="7576" spans="14:14">
      <c r="N7576"/>
    </row>
    <row r="7577" spans="14:14">
      <c r="N7577"/>
    </row>
    <row r="7578" spans="14:14">
      <c r="N7578"/>
    </row>
    <row r="7579" spans="14:14">
      <c r="N7579"/>
    </row>
    <row r="7580" spans="14:14">
      <c r="N7580"/>
    </row>
    <row r="7581" spans="14:14">
      <c r="N7581"/>
    </row>
    <row r="7582" spans="14:14">
      <c r="N7582"/>
    </row>
    <row r="7583" spans="14:14">
      <c r="N7583"/>
    </row>
    <row r="7584" spans="14:14">
      <c r="N7584"/>
    </row>
    <row r="7585" spans="14:14">
      <c r="N7585"/>
    </row>
    <row r="7586" spans="14:14">
      <c r="N7586"/>
    </row>
    <row r="7587" spans="14:14">
      <c r="N7587"/>
    </row>
    <row r="7588" spans="14:14">
      <c r="N7588"/>
    </row>
    <row r="7589" spans="14:14">
      <c r="N7589"/>
    </row>
    <row r="7590" spans="14:14">
      <c r="N7590"/>
    </row>
    <row r="7591" spans="14:14">
      <c r="N7591"/>
    </row>
    <row r="7592" spans="14:14">
      <c r="N7592"/>
    </row>
    <row r="7593" spans="14:14">
      <c r="N7593"/>
    </row>
    <row r="7594" spans="14:14">
      <c r="N7594"/>
    </row>
    <row r="7595" spans="14:14">
      <c r="N7595"/>
    </row>
    <row r="7596" spans="14:14">
      <c r="N7596"/>
    </row>
    <row r="7597" spans="14:14">
      <c r="N7597"/>
    </row>
    <row r="7598" spans="14:14">
      <c r="N7598"/>
    </row>
    <row r="7599" spans="14:14">
      <c r="N7599"/>
    </row>
    <row r="7600" spans="14:14">
      <c r="N7600"/>
    </row>
    <row r="7601" spans="14:14">
      <c r="N7601"/>
    </row>
    <row r="7602" spans="14:14">
      <c r="N7602"/>
    </row>
    <row r="7603" spans="14:14">
      <c r="N7603"/>
    </row>
    <row r="7604" spans="14:14">
      <c r="N7604"/>
    </row>
    <row r="7605" spans="14:14">
      <c r="N7605"/>
    </row>
    <row r="7606" spans="14:14">
      <c r="N7606"/>
    </row>
    <row r="7607" spans="14:14">
      <c r="N7607"/>
    </row>
    <row r="7608" spans="14:14">
      <c r="N7608"/>
    </row>
    <row r="7609" spans="14:14">
      <c r="N7609"/>
    </row>
    <row r="7610" spans="14:14">
      <c r="N7610"/>
    </row>
    <row r="7611" spans="14:14">
      <c r="N7611"/>
    </row>
    <row r="7612" spans="14:14">
      <c r="N7612"/>
    </row>
    <row r="7613" spans="14:14">
      <c r="N7613"/>
    </row>
    <row r="7614" spans="14:14">
      <c r="N7614"/>
    </row>
    <row r="7615" spans="14:14">
      <c r="N7615"/>
    </row>
    <row r="7616" spans="14:14">
      <c r="N7616"/>
    </row>
    <row r="7617" spans="14:14">
      <c r="N7617"/>
    </row>
    <row r="7618" spans="14:14">
      <c r="N7618"/>
    </row>
    <row r="7619" spans="14:14">
      <c r="N7619"/>
    </row>
    <row r="7620" spans="14:14">
      <c r="N7620"/>
    </row>
    <row r="7621" spans="14:14">
      <c r="N7621"/>
    </row>
    <row r="7622" spans="14:14">
      <c r="N7622"/>
    </row>
    <row r="7623" spans="14:14">
      <c r="N7623"/>
    </row>
    <row r="7624" spans="14:14">
      <c r="N7624"/>
    </row>
    <row r="7625" spans="14:14">
      <c r="N7625"/>
    </row>
    <row r="7626" spans="14:14">
      <c r="N7626"/>
    </row>
    <row r="7627" spans="14:14">
      <c r="N7627"/>
    </row>
    <row r="7628" spans="14:14">
      <c r="N7628"/>
    </row>
    <row r="7629" spans="14:14">
      <c r="N7629"/>
    </row>
    <row r="7630" spans="14:14">
      <c r="N7630"/>
    </row>
    <row r="7631" spans="14:14">
      <c r="N7631"/>
    </row>
    <row r="7632" spans="14:14">
      <c r="N7632"/>
    </row>
    <row r="7633" spans="14:14">
      <c r="N7633"/>
    </row>
    <row r="7634" spans="14:14">
      <c r="N7634"/>
    </row>
    <row r="7635" spans="14:14">
      <c r="N7635"/>
    </row>
    <row r="7636" spans="14:14">
      <c r="N7636"/>
    </row>
    <row r="7637" spans="14:14">
      <c r="N7637"/>
    </row>
    <row r="7638" spans="14:14">
      <c r="N7638"/>
    </row>
    <row r="7639" spans="14:14">
      <c r="N7639"/>
    </row>
    <row r="7640" spans="14:14">
      <c r="N7640"/>
    </row>
    <row r="7641" spans="14:14">
      <c r="N7641"/>
    </row>
    <row r="7642" spans="14:14">
      <c r="N7642"/>
    </row>
    <row r="7643" spans="14:14">
      <c r="N7643"/>
    </row>
    <row r="7644" spans="14:14">
      <c r="N7644"/>
    </row>
    <row r="7645" spans="14:14">
      <c r="N7645"/>
    </row>
    <row r="7646" spans="14:14">
      <c r="N7646"/>
    </row>
    <row r="7647" spans="14:14">
      <c r="N7647"/>
    </row>
    <row r="7648" spans="14:14">
      <c r="N7648"/>
    </row>
    <row r="7649" spans="14:14">
      <c r="N7649"/>
    </row>
    <row r="7650" spans="14:14">
      <c r="N7650"/>
    </row>
    <row r="7651" spans="14:14">
      <c r="N7651"/>
    </row>
    <row r="7652" spans="14:14">
      <c r="N7652"/>
    </row>
    <row r="7653" spans="14:14">
      <c r="N7653"/>
    </row>
    <row r="7654" spans="14:14">
      <c r="N7654"/>
    </row>
    <row r="7655" spans="14:14">
      <c r="N7655"/>
    </row>
    <row r="7656" spans="14:14">
      <c r="N7656"/>
    </row>
    <row r="7657" spans="14:14">
      <c r="N7657"/>
    </row>
    <row r="7658" spans="14:14">
      <c r="N7658"/>
    </row>
    <row r="7659" spans="14:14">
      <c r="N7659"/>
    </row>
    <row r="7660" spans="14:14">
      <c r="N7660"/>
    </row>
    <row r="7661" spans="14:14">
      <c r="N7661"/>
    </row>
    <row r="7662" spans="14:14">
      <c r="N7662"/>
    </row>
    <row r="7663" spans="14:14">
      <c r="N7663"/>
    </row>
    <row r="7664" spans="14:14">
      <c r="N7664"/>
    </row>
    <row r="7665" spans="14:14">
      <c r="N7665"/>
    </row>
    <row r="7666" spans="14:14">
      <c r="N7666"/>
    </row>
    <row r="7667" spans="14:14">
      <c r="N7667"/>
    </row>
    <row r="7668" spans="14:14">
      <c r="N7668"/>
    </row>
    <row r="7669" spans="14:14">
      <c r="N7669"/>
    </row>
    <row r="7670" spans="14:14">
      <c r="N7670"/>
    </row>
    <row r="7671" spans="14:14">
      <c r="N7671"/>
    </row>
    <row r="7672" spans="14:14">
      <c r="N7672"/>
    </row>
    <row r="7673" spans="14:14">
      <c r="N7673"/>
    </row>
    <row r="7674" spans="14:14">
      <c r="N7674"/>
    </row>
    <row r="7675" spans="14:14">
      <c r="N7675"/>
    </row>
    <row r="7676" spans="14:14">
      <c r="N7676"/>
    </row>
    <row r="7677" spans="14:14">
      <c r="N7677"/>
    </row>
    <row r="7678" spans="14:14">
      <c r="N7678"/>
    </row>
    <row r="7679" spans="14:14">
      <c r="N7679"/>
    </row>
    <row r="7680" spans="14:14">
      <c r="N7680"/>
    </row>
    <row r="7681" spans="14:14">
      <c r="N7681"/>
    </row>
    <row r="7682" spans="14:14">
      <c r="N7682"/>
    </row>
    <row r="7683" spans="14:14">
      <c r="N7683"/>
    </row>
    <row r="7684" spans="14:14">
      <c r="N7684"/>
    </row>
    <row r="7685" spans="14:14">
      <c r="N7685"/>
    </row>
    <row r="7686" spans="14:14">
      <c r="N7686"/>
    </row>
    <row r="7687" spans="14:14">
      <c r="N7687"/>
    </row>
    <row r="7688" spans="14:14">
      <c r="N7688"/>
    </row>
    <row r="7689" spans="14:14">
      <c r="N7689"/>
    </row>
    <row r="7690" spans="14:14">
      <c r="N7690"/>
    </row>
    <row r="7691" spans="14:14">
      <c r="N7691"/>
    </row>
    <row r="7692" spans="14:14">
      <c r="N7692"/>
    </row>
    <row r="7693" spans="14:14">
      <c r="N7693"/>
    </row>
    <row r="7694" spans="14:14">
      <c r="N7694"/>
    </row>
    <row r="7695" spans="14:14">
      <c r="N7695"/>
    </row>
    <row r="7696" spans="14:14">
      <c r="N7696"/>
    </row>
    <row r="7697" spans="14:14">
      <c r="N7697"/>
    </row>
    <row r="7698" spans="14:14">
      <c r="N7698"/>
    </row>
    <row r="7699" spans="14:14">
      <c r="N7699"/>
    </row>
    <row r="7700" spans="14:14">
      <c r="N7700"/>
    </row>
    <row r="7701" spans="14:14">
      <c r="N7701"/>
    </row>
    <row r="7702" spans="14:14">
      <c r="N7702"/>
    </row>
    <row r="7703" spans="14:14">
      <c r="N7703"/>
    </row>
    <row r="7704" spans="14:14">
      <c r="N7704"/>
    </row>
    <row r="7705" spans="14:14">
      <c r="N7705"/>
    </row>
    <row r="7706" spans="14:14">
      <c r="N7706"/>
    </row>
    <row r="7707" spans="14:14">
      <c r="N7707"/>
    </row>
    <row r="7708" spans="14:14">
      <c r="N7708"/>
    </row>
    <row r="7709" spans="14:14">
      <c r="N7709"/>
    </row>
    <row r="7710" spans="14:14">
      <c r="N7710"/>
    </row>
    <row r="7711" spans="14:14">
      <c r="N7711"/>
    </row>
    <row r="7712" spans="14:14">
      <c r="N7712"/>
    </row>
    <row r="7713" spans="14:14">
      <c r="N7713"/>
    </row>
    <row r="7714" spans="14:14">
      <c r="N7714"/>
    </row>
    <row r="7715" spans="14:14">
      <c r="N7715"/>
    </row>
    <row r="7716" spans="14:14">
      <c r="N7716"/>
    </row>
    <row r="7717" spans="14:14">
      <c r="N7717"/>
    </row>
    <row r="7718" spans="14:14">
      <c r="N7718"/>
    </row>
    <row r="7719" spans="14:14">
      <c r="N7719"/>
    </row>
    <row r="7720" spans="14:14">
      <c r="N7720"/>
    </row>
    <row r="7721" spans="14:14">
      <c r="N7721"/>
    </row>
    <row r="7722" spans="14:14">
      <c r="N7722"/>
    </row>
    <row r="7723" spans="14:14">
      <c r="N7723"/>
    </row>
    <row r="7724" spans="14:14">
      <c r="N7724"/>
    </row>
    <row r="7725" spans="14:14">
      <c r="N7725"/>
    </row>
    <row r="7726" spans="14:14">
      <c r="N7726"/>
    </row>
    <row r="7727" spans="14:14">
      <c r="N7727"/>
    </row>
    <row r="7728" spans="14:14">
      <c r="N7728"/>
    </row>
    <row r="7729" spans="14:14">
      <c r="N7729"/>
    </row>
    <row r="7730" spans="14:14">
      <c r="N7730"/>
    </row>
    <row r="7731" spans="14:14">
      <c r="N7731"/>
    </row>
    <row r="7732" spans="14:14">
      <c r="N7732"/>
    </row>
    <row r="7733" spans="14:14">
      <c r="N7733"/>
    </row>
    <row r="7734" spans="14:14">
      <c r="N7734"/>
    </row>
    <row r="7735" spans="14:14">
      <c r="N7735"/>
    </row>
    <row r="7736" spans="14:14">
      <c r="N7736"/>
    </row>
    <row r="7737" spans="14:14">
      <c r="N7737"/>
    </row>
    <row r="7738" spans="14:14">
      <c r="N7738"/>
    </row>
    <row r="7739" spans="14:14">
      <c r="N7739"/>
    </row>
    <row r="7740" spans="14:14">
      <c r="N7740"/>
    </row>
    <row r="7741" spans="14:14">
      <c r="N7741"/>
    </row>
    <row r="7742" spans="14:14">
      <c r="N7742"/>
    </row>
    <row r="7743" spans="14:14">
      <c r="N7743"/>
    </row>
    <row r="7744" spans="14:14">
      <c r="N7744"/>
    </row>
    <row r="7745" spans="14:14">
      <c r="N7745"/>
    </row>
    <row r="7746" spans="14:14">
      <c r="N7746"/>
    </row>
    <row r="7747" spans="14:14">
      <c r="N7747"/>
    </row>
    <row r="7748" spans="14:14">
      <c r="N7748"/>
    </row>
    <row r="7749" spans="14:14">
      <c r="N7749"/>
    </row>
    <row r="7750" spans="14:14">
      <c r="N7750"/>
    </row>
    <row r="7751" spans="14:14">
      <c r="N7751"/>
    </row>
    <row r="7752" spans="14:14">
      <c r="N7752"/>
    </row>
    <row r="7753" spans="14:14">
      <c r="N7753"/>
    </row>
    <row r="7754" spans="14:14">
      <c r="N7754"/>
    </row>
    <row r="7755" spans="14:14">
      <c r="N7755"/>
    </row>
    <row r="7756" spans="14:14">
      <c r="N7756"/>
    </row>
    <row r="7757" spans="14:14">
      <c r="N7757"/>
    </row>
    <row r="7758" spans="14:14">
      <c r="N7758"/>
    </row>
    <row r="7759" spans="14:14">
      <c r="N7759"/>
    </row>
    <row r="7760" spans="14:14">
      <c r="N7760"/>
    </row>
    <row r="7761" spans="14:14">
      <c r="N7761"/>
    </row>
    <row r="7762" spans="14:14">
      <c r="N7762"/>
    </row>
    <row r="7763" spans="14:14">
      <c r="N7763"/>
    </row>
    <row r="7764" spans="14:14">
      <c r="N7764"/>
    </row>
    <row r="7765" spans="14:14">
      <c r="N7765"/>
    </row>
    <row r="7766" spans="14:14">
      <c r="N7766"/>
    </row>
    <row r="7767" spans="14:14">
      <c r="N7767"/>
    </row>
    <row r="7768" spans="14:14">
      <c r="N7768"/>
    </row>
    <row r="7769" spans="14:14">
      <c r="N7769"/>
    </row>
    <row r="7770" spans="14:14">
      <c r="N7770"/>
    </row>
    <row r="7771" spans="14:14">
      <c r="N7771"/>
    </row>
    <row r="7772" spans="14:14">
      <c r="N7772"/>
    </row>
    <row r="7773" spans="14:14">
      <c r="N7773"/>
    </row>
    <row r="7774" spans="14:14">
      <c r="N7774"/>
    </row>
    <row r="7775" spans="14:14">
      <c r="N7775"/>
    </row>
    <row r="7776" spans="14:14">
      <c r="N7776"/>
    </row>
    <row r="7777" spans="14:14">
      <c r="N7777"/>
    </row>
    <row r="7778" spans="14:14">
      <c r="N7778"/>
    </row>
    <row r="7779" spans="14:14">
      <c r="N7779"/>
    </row>
    <row r="7780" spans="14:14">
      <c r="N7780"/>
    </row>
    <row r="7781" spans="14:14">
      <c r="N7781"/>
    </row>
    <row r="7782" spans="14:14">
      <c r="N7782"/>
    </row>
    <row r="7783" spans="14:14">
      <c r="N7783"/>
    </row>
    <row r="7784" spans="14:14">
      <c r="N7784"/>
    </row>
    <row r="7785" spans="14:14">
      <c r="N7785"/>
    </row>
    <row r="7786" spans="14:14">
      <c r="N7786"/>
    </row>
    <row r="7787" spans="14:14">
      <c r="N7787"/>
    </row>
    <row r="7788" spans="14:14">
      <c r="N7788"/>
    </row>
    <row r="7789" spans="14:14">
      <c r="N7789"/>
    </row>
    <row r="7790" spans="14:14">
      <c r="N7790"/>
    </row>
    <row r="7791" spans="14:14">
      <c r="N7791"/>
    </row>
    <row r="7792" spans="14:14">
      <c r="N7792"/>
    </row>
    <row r="7793" spans="14:14">
      <c r="N7793"/>
    </row>
    <row r="7794" spans="14:14">
      <c r="N7794"/>
    </row>
    <row r="7795" spans="14:14">
      <c r="N7795"/>
    </row>
    <row r="7796" spans="14:14">
      <c r="N7796"/>
    </row>
    <row r="7797" spans="14:14">
      <c r="N7797"/>
    </row>
    <row r="7798" spans="14:14">
      <c r="N7798"/>
    </row>
    <row r="7799" spans="14:14">
      <c r="N7799"/>
    </row>
    <row r="7800" spans="14:14">
      <c r="N7800"/>
    </row>
    <row r="7801" spans="14:14">
      <c r="N7801"/>
    </row>
    <row r="7802" spans="14:14">
      <c r="N7802"/>
    </row>
    <row r="7803" spans="14:14">
      <c r="N7803"/>
    </row>
    <row r="7804" spans="14:14">
      <c r="N7804"/>
    </row>
    <row r="7805" spans="14:14">
      <c r="N7805"/>
    </row>
    <row r="7806" spans="14:14">
      <c r="N7806"/>
    </row>
    <row r="7807" spans="14:14">
      <c r="N7807"/>
    </row>
    <row r="7808" spans="14:14">
      <c r="N7808"/>
    </row>
    <row r="7809" spans="14:14">
      <c r="N7809"/>
    </row>
    <row r="7810" spans="14:14">
      <c r="N7810"/>
    </row>
    <row r="7811" spans="14:14">
      <c r="N7811"/>
    </row>
    <row r="7812" spans="14:14">
      <c r="N7812"/>
    </row>
    <row r="7813" spans="14:14">
      <c r="N7813"/>
    </row>
    <row r="7814" spans="14:14">
      <c r="N7814"/>
    </row>
    <row r="7815" spans="14:14">
      <c r="N7815"/>
    </row>
    <row r="7816" spans="14:14">
      <c r="N7816"/>
    </row>
    <row r="7817" spans="14:14">
      <c r="N7817"/>
    </row>
    <row r="7818" spans="14:14">
      <c r="N7818"/>
    </row>
    <row r="7819" spans="14:14">
      <c r="N7819"/>
    </row>
    <row r="7820" spans="14:14">
      <c r="N7820"/>
    </row>
    <row r="7821" spans="14:14">
      <c r="N7821"/>
    </row>
    <row r="7822" spans="14:14">
      <c r="N7822"/>
    </row>
    <row r="7823" spans="14:14">
      <c r="N7823"/>
    </row>
    <row r="7824" spans="14:14">
      <c r="N7824"/>
    </row>
    <row r="7825" spans="14:14">
      <c r="N7825"/>
    </row>
    <row r="7826" spans="14:14">
      <c r="N7826"/>
    </row>
    <row r="7827" spans="14:14">
      <c r="N7827"/>
    </row>
    <row r="7828" spans="14:14">
      <c r="N7828"/>
    </row>
    <row r="7829" spans="14:14">
      <c r="N7829"/>
    </row>
    <row r="7830" spans="14:14">
      <c r="N7830"/>
    </row>
    <row r="7831" spans="14:14">
      <c r="N7831"/>
    </row>
    <row r="7832" spans="14:14">
      <c r="N7832"/>
    </row>
    <row r="7833" spans="14:14">
      <c r="N7833"/>
    </row>
    <row r="7834" spans="14:14">
      <c r="N7834"/>
    </row>
    <row r="7835" spans="14:14">
      <c r="N7835"/>
    </row>
    <row r="7836" spans="14:14">
      <c r="N7836"/>
    </row>
    <row r="7837" spans="14:14">
      <c r="N7837"/>
    </row>
    <row r="7838" spans="14:14">
      <c r="N7838"/>
    </row>
    <row r="7839" spans="14:14">
      <c r="N7839"/>
    </row>
    <row r="7840" spans="14:14">
      <c r="N7840"/>
    </row>
    <row r="7841" spans="14:14">
      <c r="N7841"/>
    </row>
    <row r="7842" spans="14:14">
      <c r="N7842"/>
    </row>
    <row r="7843" spans="14:14">
      <c r="N7843"/>
    </row>
    <row r="7844" spans="14:14">
      <c r="N7844"/>
    </row>
    <row r="7845" spans="14:14">
      <c r="N7845"/>
    </row>
    <row r="7846" spans="14:14">
      <c r="N7846"/>
    </row>
    <row r="7847" spans="14:14">
      <c r="N7847"/>
    </row>
    <row r="7848" spans="14:14">
      <c r="N7848"/>
    </row>
    <row r="7849" spans="14:14">
      <c r="N7849"/>
    </row>
    <row r="7850" spans="14:14">
      <c r="N7850"/>
    </row>
    <row r="7851" spans="14:14">
      <c r="N7851"/>
    </row>
    <row r="7852" spans="14:14">
      <c r="N7852"/>
    </row>
    <row r="7853" spans="14:14">
      <c r="N7853"/>
    </row>
    <row r="7854" spans="14:14">
      <c r="N7854"/>
    </row>
    <row r="7855" spans="14:14">
      <c r="N7855"/>
    </row>
    <row r="7856" spans="14:14">
      <c r="N7856"/>
    </row>
    <row r="7857" spans="14:14">
      <c r="N7857"/>
    </row>
    <row r="7858" spans="14:14">
      <c r="N7858"/>
    </row>
    <row r="7859" spans="14:14">
      <c r="N7859"/>
    </row>
    <row r="7860" spans="14:14">
      <c r="N7860"/>
    </row>
    <row r="7861" spans="14:14">
      <c r="N7861"/>
    </row>
    <row r="7862" spans="14:14">
      <c r="N7862"/>
    </row>
    <row r="7863" spans="14:14">
      <c r="N7863"/>
    </row>
    <row r="7864" spans="14:14">
      <c r="N7864"/>
    </row>
    <row r="7865" spans="14:14">
      <c r="N7865"/>
    </row>
    <row r="7866" spans="14:14">
      <c r="N7866"/>
    </row>
    <row r="7867" spans="14:14">
      <c r="N7867"/>
    </row>
    <row r="7868" spans="14:14">
      <c r="N7868"/>
    </row>
    <row r="7869" spans="14:14">
      <c r="N7869"/>
    </row>
    <row r="7870" spans="14:14">
      <c r="N7870"/>
    </row>
    <row r="7871" spans="14:14">
      <c r="N7871"/>
    </row>
    <row r="7872" spans="14:14">
      <c r="N7872"/>
    </row>
    <row r="7873" spans="14:14">
      <c r="N7873"/>
    </row>
    <row r="7874" spans="14:14">
      <c r="N7874"/>
    </row>
    <row r="7875" spans="14:14">
      <c r="N7875"/>
    </row>
    <row r="7876" spans="14:14">
      <c r="N7876"/>
    </row>
    <row r="7877" spans="14:14">
      <c r="N7877"/>
    </row>
    <row r="7878" spans="14:14">
      <c r="N7878"/>
    </row>
    <row r="7879" spans="14:14">
      <c r="N7879"/>
    </row>
    <row r="7880" spans="14:14">
      <c r="N7880"/>
    </row>
    <row r="7881" spans="14:14">
      <c r="N7881"/>
    </row>
    <row r="7882" spans="14:14">
      <c r="N7882"/>
    </row>
    <row r="7883" spans="14:14">
      <c r="N7883"/>
    </row>
    <row r="7884" spans="14:14">
      <c r="N7884"/>
    </row>
    <row r="7885" spans="14:14">
      <c r="N7885"/>
    </row>
    <row r="7886" spans="14:14">
      <c r="N7886"/>
    </row>
    <row r="7887" spans="14:14">
      <c r="N7887"/>
    </row>
    <row r="7888" spans="14:14">
      <c r="N7888"/>
    </row>
    <row r="7889" spans="14:14">
      <c r="N7889"/>
    </row>
    <row r="7890" spans="14:14">
      <c r="N7890"/>
    </row>
    <row r="7891" spans="14:14">
      <c r="N7891"/>
    </row>
    <row r="7892" spans="14:14">
      <c r="N7892"/>
    </row>
    <row r="7893" spans="14:14">
      <c r="N7893"/>
    </row>
    <row r="7894" spans="14:14">
      <c r="N7894"/>
    </row>
    <row r="7895" spans="14:14">
      <c r="N7895"/>
    </row>
    <row r="7896" spans="14:14">
      <c r="N7896"/>
    </row>
    <row r="7897" spans="14:14">
      <c r="N7897"/>
    </row>
    <row r="7898" spans="14:14">
      <c r="N7898"/>
    </row>
    <row r="7899" spans="14:14">
      <c r="N7899"/>
    </row>
    <row r="7900" spans="14:14">
      <c r="N7900"/>
    </row>
    <row r="7901" spans="14:14">
      <c r="N7901"/>
    </row>
    <row r="7902" spans="14:14">
      <c r="N7902"/>
    </row>
    <row r="7903" spans="14:14">
      <c r="N7903"/>
    </row>
    <row r="7904" spans="14:14">
      <c r="N7904"/>
    </row>
    <row r="7905" spans="14:14">
      <c r="N7905"/>
    </row>
    <row r="7906" spans="14:14">
      <c r="N7906"/>
    </row>
    <row r="7907" spans="14:14">
      <c r="N7907"/>
    </row>
    <row r="7908" spans="14:14">
      <c r="N7908"/>
    </row>
    <row r="7909" spans="14:14">
      <c r="N7909"/>
    </row>
    <row r="7910" spans="14:14">
      <c r="N7910"/>
    </row>
    <row r="7911" spans="14:14">
      <c r="N7911"/>
    </row>
    <row r="7912" spans="14:14">
      <c r="N7912"/>
    </row>
    <row r="7913" spans="14:14">
      <c r="N7913"/>
    </row>
    <row r="7914" spans="14:14">
      <c r="N7914"/>
    </row>
    <row r="7915" spans="14:14">
      <c r="N7915"/>
    </row>
    <row r="7916" spans="14:14">
      <c r="N7916"/>
    </row>
    <row r="7917" spans="14:14">
      <c r="N7917"/>
    </row>
    <row r="7918" spans="14:14">
      <c r="N7918"/>
    </row>
    <row r="7919" spans="14:14">
      <c r="N7919"/>
    </row>
    <row r="7920" spans="14:14">
      <c r="N7920"/>
    </row>
    <row r="7921" spans="14:14">
      <c r="N7921"/>
    </row>
    <row r="7922" spans="14:14">
      <c r="N7922"/>
    </row>
    <row r="7923" spans="14:14">
      <c r="N7923"/>
    </row>
    <row r="7924" spans="14:14">
      <c r="N7924"/>
    </row>
    <row r="7925" spans="14:14">
      <c r="N7925"/>
    </row>
    <row r="7926" spans="14:14">
      <c r="N7926"/>
    </row>
    <row r="7927" spans="14:14">
      <c r="N7927"/>
    </row>
    <row r="7928" spans="14:14">
      <c r="N7928"/>
    </row>
    <row r="7929" spans="14:14">
      <c r="N7929"/>
    </row>
    <row r="7930" spans="14:14">
      <c r="N7930"/>
    </row>
    <row r="7931" spans="14:14">
      <c r="N7931"/>
    </row>
    <row r="7932" spans="14:14">
      <c r="N7932"/>
    </row>
    <row r="7933" spans="14:14">
      <c r="N7933"/>
    </row>
    <row r="7934" spans="14:14">
      <c r="N7934"/>
    </row>
    <row r="7935" spans="14:14">
      <c r="N7935"/>
    </row>
    <row r="7936" spans="14:14">
      <c r="N7936"/>
    </row>
    <row r="7937" spans="14:14">
      <c r="N7937"/>
    </row>
    <row r="7938" spans="14:14">
      <c r="N7938"/>
    </row>
    <row r="7939" spans="14:14">
      <c r="N7939"/>
    </row>
    <row r="7940" spans="14:14">
      <c r="N7940"/>
    </row>
    <row r="7941" spans="14:14">
      <c r="N7941"/>
    </row>
    <row r="7942" spans="14:14">
      <c r="N7942"/>
    </row>
    <row r="7943" spans="14:14">
      <c r="N7943"/>
    </row>
    <row r="7944" spans="14:14">
      <c r="N7944"/>
    </row>
    <row r="7945" spans="14:14">
      <c r="N7945"/>
    </row>
    <row r="7946" spans="14:14">
      <c r="N7946"/>
    </row>
    <row r="7947" spans="14:14">
      <c r="N7947"/>
    </row>
    <row r="7948" spans="14:14">
      <c r="N7948"/>
    </row>
    <row r="7949" spans="14:14">
      <c r="N7949"/>
    </row>
    <row r="7950" spans="14:14">
      <c r="N7950"/>
    </row>
    <row r="7951" spans="14:14">
      <c r="N7951"/>
    </row>
    <row r="7952" spans="14:14">
      <c r="N7952"/>
    </row>
    <row r="7953" spans="14:14">
      <c r="N7953"/>
    </row>
    <row r="7954" spans="14:14">
      <c r="N7954"/>
    </row>
    <row r="7955" spans="14:14">
      <c r="N7955"/>
    </row>
    <row r="7956" spans="14:14">
      <c r="N7956"/>
    </row>
    <row r="7957" spans="14:14">
      <c r="N7957"/>
    </row>
    <row r="7958" spans="14:14">
      <c r="N7958"/>
    </row>
    <row r="7959" spans="14:14">
      <c r="N7959"/>
    </row>
    <row r="7960" spans="14:14">
      <c r="N7960"/>
    </row>
    <row r="7961" spans="14:14">
      <c r="N7961"/>
    </row>
    <row r="7962" spans="14:14">
      <c r="N7962"/>
    </row>
    <row r="7963" spans="14:14">
      <c r="N7963"/>
    </row>
    <row r="7964" spans="14:14">
      <c r="N7964"/>
    </row>
    <row r="7965" spans="14:14">
      <c r="N7965"/>
    </row>
    <row r="7966" spans="14:14">
      <c r="N7966"/>
    </row>
    <row r="7967" spans="14:14">
      <c r="N7967"/>
    </row>
    <row r="7968" spans="14:14">
      <c r="N7968"/>
    </row>
    <row r="7969" spans="14:14">
      <c r="N7969"/>
    </row>
    <row r="7970" spans="14:14">
      <c r="N7970"/>
    </row>
    <row r="7971" spans="14:14">
      <c r="N7971"/>
    </row>
    <row r="7972" spans="14:14">
      <c r="N7972"/>
    </row>
    <row r="7973" spans="14:14">
      <c r="N7973"/>
    </row>
    <row r="7974" spans="14:14">
      <c r="N7974"/>
    </row>
    <row r="7975" spans="14:14">
      <c r="N7975"/>
    </row>
    <row r="7976" spans="14:14">
      <c r="N7976"/>
    </row>
    <row r="7977" spans="14:14">
      <c r="N7977"/>
    </row>
    <row r="7978" spans="14:14">
      <c r="N7978"/>
    </row>
    <row r="7979" spans="14:14">
      <c r="N7979"/>
    </row>
    <row r="7980" spans="14:14">
      <c r="N7980"/>
    </row>
    <row r="7981" spans="14:14">
      <c r="N7981"/>
    </row>
    <row r="7982" spans="14:14">
      <c r="N7982"/>
    </row>
    <row r="7983" spans="14:14">
      <c r="N7983"/>
    </row>
    <row r="7984" spans="14:14">
      <c r="N7984"/>
    </row>
    <row r="7985" spans="14:14">
      <c r="N7985"/>
    </row>
    <row r="7986" spans="14:14">
      <c r="N7986"/>
    </row>
    <row r="7987" spans="14:14">
      <c r="N7987"/>
    </row>
    <row r="7988" spans="14:14">
      <c r="N7988"/>
    </row>
    <row r="7989" spans="14:14">
      <c r="N7989"/>
    </row>
    <row r="7990" spans="14:14">
      <c r="N7990"/>
    </row>
    <row r="7991" spans="14:14">
      <c r="N7991"/>
    </row>
    <row r="7992" spans="14:14">
      <c r="N7992"/>
    </row>
    <row r="7993" spans="14:14">
      <c r="N7993"/>
    </row>
    <row r="7994" spans="14:14">
      <c r="N7994"/>
    </row>
    <row r="7995" spans="14:14">
      <c r="N7995"/>
    </row>
    <row r="7996" spans="14:14">
      <c r="N7996"/>
    </row>
    <row r="7997" spans="14:14">
      <c r="N7997"/>
    </row>
    <row r="7998" spans="14:14">
      <c r="N7998"/>
    </row>
    <row r="7999" spans="14:14">
      <c r="N7999"/>
    </row>
    <row r="8000" spans="14:14">
      <c r="N8000"/>
    </row>
    <row r="8001" spans="14:14">
      <c r="N8001"/>
    </row>
    <row r="8002" spans="14:14">
      <c r="N8002"/>
    </row>
    <row r="8003" spans="14:14">
      <c r="N8003"/>
    </row>
    <row r="8004" spans="14:14">
      <c r="N8004"/>
    </row>
    <row r="8005" spans="14:14">
      <c r="N8005"/>
    </row>
    <row r="8006" spans="14:14">
      <c r="N8006"/>
    </row>
    <row r="8007" spans="14:14">
      <c r="N8007"/>
    </row>
    <row r="8008" spans="14:14">
      <c r="N8008"/>
    </row>
    <row r="8009" spans="14:14">
      <c r="N8009"/>
    </row>
    <row r="8010" spans="14:14">
      <c r="N8010"/>
    </row>
    <row r="8011" spans="14:14">
      <c r="N8011"/>
    </row>
    <row r="8012" spans="14:14">
      <c r="N8012"/>
    </row>
    <row r="8013" spans="14:14">
      <c r="N8013"/>
    </row>
    <row r="8014" spans="14:14">
      <c r="N8014"/>
    </row>
    <row r="8015" spans="14:14">
      <c r="N8015"/>
    </row>
    <row r="8016" spans="14:14">
      <c r="N8016"/>
    </row>
    <row r="8017" spans="14:14">
      <c r="N8017"/>
    </row>
    <row r="8018" spans="14:14">
      <c r="N8018"/>
    </row>
    <row r="8019" spans="14:14">
      <c r="N8019"/>
    </row>
    <row r="8020" spans="14:14">
      <c r="N8020"/>
    </row>
    <row r="8021" spans="14:14">
      <c r="N8021"/>
    </row>
    <row r="8022" spans="14:14">
      <c r="N8022"/>
    </row>
    <row r="8023" spans="14:14">
      <c r="N8023"/>
    </row>
    <row r="8024" spans="14:14">
      <c r="N8024"/>
    </row>
    <row r="8025" spans="14:14">
      <c r="N8025"/>
    </row>
    <row r="8026" spans="14:14">
      <c r="N8026"/>
    </row>
    <row r="8027" spans="14:14">
      <c r="N8027"/>
    </row>
    <row r="8028" spans="14:14">
      <c r="N8028"/>
    </row>
    <row r="8029" spans="14:14">
      <c r="N8029"/>
    </row>
    <row r="8030" spans="14:14">
      <c r="N8030"/>
    </row>
    <row r="8031" spans="14:14">
      <c r="N8031"/>
    </row>
    <row r="8032" spans="14:14">
      <c r="N8032"/>
    </row>
    <row r="8033" spans="14:14">
      <c r="N8033"/>
    </row>
    <row r="8034" spans="14:14">
      <c r="N8034"/>
    </row>
    <row r="8035" spans="14:14">
      <c r="N8035"/>
    </row>
    <row r="8036" spans="14:14">
      <c r="N8036"/>
    </row>
    <row r="8037" spans="14:14">
      <c r="N8037"/>
    </row>
    <row r="8038" spans="14:14">
      <c r="N8038"/>
    </row>
    <row r="8039" spans="14:14">
      <c r="N8039"/>
    </row>
    <row r="8040" spans="14:14">
      <c r="N8040"/>
    </row>
    <row r="8041" spans="14:14">
      <c r="N8041"/>
    </row>
    <row r="8042" spans="14:14">
      <c r="N8042"/>
    </row>
    <row r="8043" spans="14:14">
      <c r="N8043"/>
    </row>
    <row r="8044" spans="14:14">
      <c r="N8044"/>
    </row>
    <row r="8045" spans="14:14">
      <c r="N8045"/>
    </row>
    <row r="8046" spans="14:14">
      <c r="N8046"/>
    </row>
    <row r="8047" spans="14:14">
      <c r="N8047"/>
    </row>
    <row r="8048" spans="14:14">
      <c r="N8048"/>
    </row>
    <row r="8049" spans="14:14">
      <c r="N8049"/>
    </row>
    <row r="8050" spans="14:14">
      <c r="N8050"/>
    </row>
    <row r="8051" spans="14:14">
      <c r="N8051"/>
    </row>
    <row r="8052" spans="14:14">
      <c r="N8052"/>
    </row>
    <row r="8053" spans="14:14">
      <c r="N8053"/>
    </row>
    <row r="8054" spans="14:14">
      <c r="N8054"/>
    </row>
    <row r="8055" spans="14:14">
      <c r="N8055"/>
    </row>
    <row r="8056" spans="14:14">
      <c r="N8056"/>
    </row>
    <row r="8057" spans="14:14">
      <c r="N8057"/>
    </row>
    <row r="8058" spans="14:14">
      <c r="N8058"/>
    </row>
    <row r="8059" spans="14:14">
      <c r="N8059"/>
    </row>
    <row r="8060" spans="14:14">
      <c r="N8060"/>
    </row>
    <row r="8061" spans="14:14">
      <c r="N8061"/>
    </row>
    <row r="8062" spans="14:14">
      <c r="N8062"/>
    </row>
    <row r="8063" spans="14:14">
      <c r="N8063"/>
    </row>
    <row r="8064" spans="14:14">
      <c r="N8064"/>
    </row>
    <row r="8065" spans="14:14">
      <c r="N8065"/>
    </row>
    <row r="8066" spans="14:14">
      <c r="N8066"/>
    </row>
    <row r="8067" spans="14:14">
      <c r="N8067"/>
    </row>
    <row r="8068" spans="14:14">
      <c r="N8068"/>
    </row>
    <row r="8069" spans="14:14">
      <c r="N8069"/>
    </row>
    <row r="8070" spans="14:14">
      <c r="N8070"/>
    </row>
    <row r="8071" spans="14:14">
      <c r="N8071"/>
    </row>
    <row r="8072" spans="14:14">
      <c r="N8072"/>
    </row>
    <row r="8073" spans="14:14">
      <c r="N8073"/>
    </row>
    <row r="8074" spans="14:14">
      <c r="N8074"/>
    </row>
    <row r="8075" spans="14:14">
      <c r="N8075"/>
    </row>
    <row r="8076" spans="14:14">
      <c r="N8076"/>
    </row>
    <row r="8077" spans="14:14">
      <c r="N8077"/>
    </row>
    <row r="8078" spans="14:14">
      <c r="N8078"/>
    </row>
    <row r="8079" spans="14:14">
      <c r="N8079"/>
    </row>
    <row r="8080" spans="14:14">
      <c r="N8080"/>
    </row>
    <row r="8081" spans="14:14">
      <c r="N8081"/>
    </row>
    <row r="8082" spans="14:14">
      <c r="N8082"/>
    </row>
    <row r="8083" spans="14:14">
      <c r="N8083"/>
    </row>
    <row r="8084" spans="14:14">
      <c r="N8084"/>
    </row>
    <row r="8085" spans="14:14">
      <c r="N8085"/>
    </row>
    <row r="8086" spans="14:14">
      <c r="N8086"/>
    </row>
    <row r="8087" spans="14:14">
      <c r="N8087"/>
    </row>
    <row r="8088" spans="14:14">
      <c r="N8088"/>
    </row>
    <row r="8089" spans="14:14">
      <c r="N8089"/>
    </row>
    <row r="8090" spans="14:14">
      <c r="N8090"/>
    </row>
    <row r="8091" spans="14:14">
      <c r="N8091"/>
    </row>
    <row r="8092" spans="14:14">
      <c r="N8092"/>
    </row>
    <row r="8093" spans="14:14">
      <c r="N8093"/>
    </row>
    <row r="8094" spans="14:14">
      <c r="N8094"/>
    </row>
    <row r="8095" spans="14:14">
      <c r="N8095"/>
    </row>
    <row r="8096" spans="14:14">
      <c r="N8096"/>
    </row>
    <row r="8097" spans="14:14">
      <c r="N8097"/>
    </row>
    <row r="8098" spans="14:14">
      <c r="N8098"/>
    </row>
    <row r="8099" spans="14:14">
      <c r="N8099"/>
    </row>
    <row r="8100" spans="14:14">
      <c r="N8100"/>
    </row>
    <row r="8101" spans="14:14">
      <c r="N8101"/>
    </row>
    <row r="8102" spans="14:14">
      <c r="N8102"/>
    </row>
    <row r="8103" spans="14:14">
      <c r="N8103"/>
    </row>
    <row r="8104" spans="14:14">
      <c r="N8104"/>
    </row>
    <row r="8105" spans="14:14">
      <c r="N8105"/>
    </row>
    <row r="8106" spans="14:14">
      <c r="N8106"/>
    </row>
    <row r="8107" spans="14:14">
      <c r="N8107"/>
    </row>
    <row r="8108" spans="14:14">
      <c r="N8108"/>
    </row>
    <row r="8109" spans="14:14">
      <c r="N8109"/>
    </row>
    <row r="8110" spans="14:14">
      <c r="N8110"/>
    </row>
    <row r="8111" spans="14:14">
      <c r="N8111"/>
    </row>
    <row r="8112" spans="14:14">
      <c r="N8112"/>
    </row>
    <row r="8113" spans="14:14">
      <c r="N8113"/>
    </row>
    <row r="8114" spans="14:14">
      <c r="N8114"/>
    </row>
    <row r="8115" spans="14:14">
      <c r="N8115"/>
    </row>
    <row r="8116" spans="14:14">
      <c r="N8116"/>
    </row>
    <row r="8117" spans="14:14">
      <c r="N8117"/>
    </row>
    <row r="8118" spans="14:14">
      <c r="N8118"/>
    </row>
    <row r="8119" spans="14:14">
      <c r="N8119"/>
    </row>
    <row r="8120" spans="14:14">
      <c r="N8120"/>
    </row>
    <row r="8121" spans="14:14">
      <c r="N8121"/>
    </row>
    <row r="8122" spans="14:14">
      <c r="N8122"/>
    </row>
    <row r="8123" spans="14:14">
      <c r="N8123"/>
    </row>
    <row r="8124" spans="14:14">
      <c r="N8124"/>
    </row>
    <row r="8125" spans="14:14">
      <c r="N8125"/>
    </row>
    <row r="8126" spans="14:14">
      <c r="N8126"/>
    </row>
    <row r="8127" spans="14:14">
      <c r="N8127"/>
    </row>
    <row r="8128" spans="14:14">
      <c r="N8128"/>
    </row>
    <row r="8129" spans="14:14">
      <c r="N8129"/>
    </row>
    <row r="8130" spans="14:14">
      <c r="N8130"/>
    </row>
    <row r="8131" spans="14:14">
      <c r="N8131"/>
    </row>
    <row r="8132" spans="14:14">
      <c r="N8132"/>
    </row>
    <row r="8133" spans="14:14">
      <c r="N8133"/>
    </row>
    <row r="8134" spans="14:14">
      <c r="N8134"/>
    </row>
    <row r="8135" spans="14:14">
      <c r="N8135"/>
    </row>
    <row r="8136" spans="14:14">
      <c r="N8136"/>
    </row>
    <row r="8137" spans="14:14">
      <c r="N8137"/>
    </row>
    <row r="8138" spans="14:14">
      <c r="N8138"/>
    </row>
    <row r="8139" spans="14:14">
      <c r="N8139"/>
    </row>
    <row r="8140" spans="14:14">
      <c r="N8140"/>
    </row>
    <row r="8141" spans="14:14">
      <c r="N8141"/>
    </row>
    <row r="8142" spans="14:14">
      <c r="N8142"/>
    </row>
    <row r="8143" spans="14:14">
      <c r="N8143"/>
    </row>
    <row r="8144" spans="14:14">
      <c r="N8144"/>
    </row>
    <row r="8145" spans="14:14">
      <c r="N8145"/>
    </row>
    <row r="8146" spans="14:14">
      <c r="N8146"/>
    </row>
    <row r="8147" spans="14:14">
      <c r="N8147"/>
    </row>
    <row r="8148" spans="14:14">
      <c r="N8148"/>
    </row>
    <row r="8149" spans="14:14">
      <c r="N8149"/>
    </row>
    <row r="8150" spans="14:14">
      <c r="N8150"/>
    </row>
    <row r="8151" spans="14:14">
      <c r="N8151"/>
    </row>
    <row r="8152" spans="14:14">
      <c r="N8152"/>
    </row>
    <row r="8153" spans="14:14">
      <c r="N8153"/>
    </row>
    <row r="8154" spans="14:14">
      <c r="N8154"/>
    </row>
    <row r="8155" spans="14:14">
      <c r="N8155"/>
    </row>
    <row r="8156" spans="14:14">
      <c r="N8156"/>
    </row>
    <row r="8157" spans="14:14">
      <c r="N8157"/>
    </row>
    <row r="8158" spans="14:14">
      <c r="N8158"/>
    </row>
    <row r="8159" spans="14:14">
      <c r="N8159"/>
    </row>
    <row r="8160" spans="14:14">
      <c r="N8160"/>
    </row>
    <row r="8161" spans="14:14">
      <c r="N8161"/>
    </row>
    <row r="8162" spans="14:14">
      <c r="N8162"/>
    </row>
    <row r="8163" spans="14:14">
      <c r="N8163"/>
    </row>
    <row r="8164" spans="14:14">
      <c r="N8164"/>
    </row>
    <row r="8165" spans="14:14">
      <c r="N8165"/>
    </row>
    <row r="8166" spans="14:14">
      <c r="N8166"/>
    </row>
    <row r="8167" spans="14:14">
      <c r="N8167"/>
    </row>
    <row r="8168" spans="14:14">
      <c r="N8168"/>
    </row>
    <row r="8169" spans="14:14">
      <c r="N8169"/>
    </row>
    <row r="8170" spans="14:14">
      <c r="N8170"/>
    </row>
    <row r="8171" spans="14:14">
      <c r="N8171"/>
    </row>
    <row r="8172" spans="14:14">
      <c r="N8172"/>
    </row>
    <row r="8173" spans="14:14">
      <c r="N8173"/>
    </row>
    <row r="8174" spans="14:14">
      <c r="N8174"/>
    </row>
    <row r="8175" spans="14:14">
      <c r="N8175"/>
    </row>
    <row r="8176" spans="14:14">
      <c r="N8176"/>
    </row>
    <row r="8177" spans="14:14">
      <c r="N8177"/>
    </row>
    <row r="8178" spans="14:14">
      <c r="N8178"/>
    </row>
    <row r="8179" spans="14:14">
      <c r="N8179"/>
    </row>
    <row r="8180" spans="14:14">
      <c r="N8180"/>
    </row>
    <row r="8181" spans="14:14">
      <c r="N8181"/>
    </row>
    <row r="8182" spans="14:14">
      <c r="N8182"/>
    </row>
    <row r="8183" spans="14:14">
      <c r="N8183"/>
    </row>
    <row r="8184" spans="14:14">
      <c r="N8184"/>
    </row>
    <row r="8185" spans="14:14">
      <c r="N8185"/>
    </row>
    <row r="8186" spans="14:14">
      <c r="N8186"/>
    </row>
    <row r="8187" spans="14:14">
      <c r="N8187"/>
    </row>
    <row r="8188" spans="14:14">
      <c r="N8188"/>
    </row>
    <row r="8189" spans="14:14">
      <c r="N8189"/>
    </row>
    <row r="8190" spans="14:14">
      <c r="N8190"/>
    </row>
    <row r="8191" spans="14:14">
      <c r="N8191"/>
    </row>
    <row r="8192" spans="14:14">
      <c r="N8192"/>
    </row>
    <row r="8193" spans="14:14">
      <c r="N8193"/>
    </row>
    <row r="8194" spans="14:14">
      <c r="N8194"/>
    </row>
    <row r="8195" spans="14:14">
      <c r="N8195"/>
    </row>
    <row r="8196" spans="14:14">
      <c r="N8196"/>
    </row>
    <row r="8197" spans="14:14">
      <c r="N8197"/>
    </row>
    <row r="8198" spans="14:14">
      <c r="N8198"/>
    </row>
    <row r="8199" spans="14:14">
      <c r="N8199"/>
    </row>
    <row r="8200" spans="14:14">
      <c r="N8200"/>
    </row>
    <row r="8201" spans="14:14">
      <c r="N8201"/>
    </row>
    <row r="8202" spans="14:14">
      <c r="N8202"/>
    </row>
    <row r="8203" spans="14:14">
      <c r="N8203"/>
    </row>
    <row r="8204" spans="14:14">
      <c r="N8204"/>
    </row>
    <row r="8205" spans="14:14">
      <c r="N8205"/>
    </row>
    <row r="8206" spans="14:14">
      <c r="N8206"/>
    </row>
    <row r="8207" spans="14:14">
      <c r="N8207"/>
    </row>
    <row r="8208" spans="14:14">
      <c r="N8208"/>
    </row>
    <row r="8209" spans="14:14">
      <c r="N8209"/>
    </row>
    <row r="8210" spans="14:14">
      <c r="N8210"/>
    </row>
    <row r="8211" spans="14:14">
      <c r="N8211"/>
    </row>
    <row r="8212" spans="14:14">
      <c r="N8212"/>
    </row>
    <row r="8213" spans="14:14">
      <c r="N8213"/>
    </row>
    <row r="8214" spans="14:14">
      <c r="N8214"/>
    </row>
    <row r="8215" spans="14:14">
      <c r="N8215"/>
    </row>
    <row r="8216" spans="14:14">
      <c r="N8216"/>
    </row>
    <row r="8217" spans="14:14">
      <c r="N8217"/>
    </row>
    <row r="8218" spans="14:14">
      <c r="N8218"/>
    </row>
    <row r="8219" spans="14:14">
      <c r="N8219"/>
    </row>
    <row r="8220" spans="14:14">
      <c r="N8220"/>
    </row>
    <row r="8221" spans="14:14">
      <c r="N8221"/>
    </row>
    <row r="8222" spans="14:14">
      <c r="N8222"/>
    </row>
    <row r="8223" spans="14:14">
      <c r="N8223"/>
    </row>
    <row r="8224" spans="14:14">
      <c r="N8224"/>
    </row>
    <row r="8225" spans="14:14">
      <c r="N8225"/>
    </row>
    <row r="8226" spans="14:14">
      <c r="N8226"/>
    </row>
    <row r="8227" spans="14:14">
      <c r="N8227"/>
    </row>
    <row r="8228" spans="14:14">
      <c r="N8228"/>
    </row>
    <row r="8229" spans="14:14">
      <c r="N8229"/>
    </row>
    <row r="8230" spans="14:14">
      <c r="N8230"/>
    </row>
    <row r="8231" spans="14:14">
      <c r="N8231"/>
    </row>
    <row r="8232" spans="14:14">
      <c r="N8232"/>
    </row>
    <row r="8233" spans="14:14">
      <c r="N8233"/>
    </row>
    <row r="8234" spans="14:14">
      <c r="N8234"/>
    </row>
    <row r="8235" spans="14:14">
      <c r="N8235"/>
    </row>
    <row r="8236" spans="14:14">
      <c r="N8236"/>
    </row>
    <row r="8237" spans="14:14">
      <c r="N8237"/>
    </row>
    <row r="8238" spans="14:14">
      <c r="N8238"/>
    </row>
    <row r="8239" spans="14:14">
      <c r="N8239"/>
    </row>
    <row r="8240" spans="14:14">
      <c r="N8240"/>
    </row>
    <row r="8241" spans="14:14">
      <c r="N8241"/>
    </row>
    <row r="8242" spans="14:14">
      <c r="N8242"/>
    </row>
    <row r="8243" spans="14:14">
      <c r="N8243"/>
    </row>
    <row r="8244" spans="14:14">
      <c r="N8244"/>
    </row>
    <row r="8245" spans="14:14">
      <c r="N8245"/>
    </row>
    <row r="8246" spans="14:14">
      <c r="N8246"/>
    </row>
    <row r="8247" spans="14:14">
      <c r="N8247"/>
    </row>
    <row r="8248" spans="14:14">
      <c r="N8248"/>
    </row>
    <row r="8249" spans="14:14">
      <c r="N8249"/>
    </row>
    <row r="8250" spans="14:14">
      <c r="N8250"/>
    </row>
    <row r="8251" spans="14:14">
      <c r="N8251"/>
    </row>
    <row r="8252" spans="14:14">
      <c r="N8252"/>
    </row>
    <row r="8253" spans="14:14">
      <c r="N8253"/>
    </row>
    <row r="8254" spans="14:14">
      <c r="N8254"/>
    </row>
    <row r="8255" spans="14:14">
      <c r="N8255"/>
    </row>
    <row r="8256" spans="14:14">
      <c r="N8256"/>
    </row>
    <row r="8257" spans="14:14">
      <c r="N8257"/>
    </row>
    <row r="8258" spans="14:14">
      <c r="N8258"/>
    </row>
    <row r="8259" spans="14:14">
      <c r="N8259"/>
    </row>
    <row r="8260" spans="14:14">
      <c r="N8260"/>
    </row>
    <row r="8261" spans="14:14">
      <c r="N8261"/>
    </row>
    <row r="8262" spans="14:14">
      <c r="N8262"/>
    </row>
    <row r="8263" spans="14:14">
      <c r="N8263"/>
    </row>
    <row r="8264" spans="14:14">
      <c r="N8264"/>
    </row>
    <row r="8265" spans="14:14">
      <c r="N8265"/>
    </row>
    <row r="8266" spans="14:14">
      <c r="N8266"/>
    </row>
    <row r="8267" spans="14:14">
      <c r="N8267"/>
    </row>
    <row r="8268" spans="14:14">
      <c r="N8268"/>
    </row>
    <row r="8269" spans="14:14">
      <c r="N8269"/>
    </row>
    <row r="8270" spans="14:14">
      <c r="N8270"/>
    </row>
    <row r="8271" spans="14:14">
      <c r="N8271"/>
    </row>
    <row r="8272" spans="14:14">
      <c r="N8272"/>
    </row>
    <row r="8273" spans="14:14">
      <c r="N8273"/>
    </row>
    <row r="8274" spans="14:14">
      <c r="N8274"/>
    </row>
    <row r="8275" spans="14:14">
      <c r="N8275"/>
    </row>
    <row r="8276" spans="14:14">
      <c r="N8276"/>
    </row>
    <row r="8277" spans="14:14">
      <c r="N8277"/>
    </row>
    <row r="8278" spans="14:14">
      <c r="N8278"/>
    </row>
    <row r="8279" spans="14:14">
      <c r="N8279"/>
    </row>
    <row r="8280" spans="14:14">
      <c r="N8280"/>
    </row>
    <row r="8281" spans="14:14">
      <c r="N8281"/>
    </row>
    <row r="8282" spans="14:14">
      <c r="N8282"/>
    </row>
    <row r="8283" spans="14:14">
      <c r="N8283"/>
    </row>
    <row r="8284" spans="14:14">
      <c r="N8284"/>
    </row>
    <row r="8285" spans="14:14">
      <c r="N8285"/>
    </row>
    <row r="8286" spans="14:14">
      <c r="N8286"/>
    </row>
    <row r="8287" spans="14:14">
      <c r="N8287"/>
    </row>
    <row r="8288" spans="14:14">
      <c r="N8288"/>
    </row>
    <row r="8289" spans="14:14">
      <c r="N8289"/>
    </row>
    <row r="8290" spans="14:14">
      <c r="N8290"/>
    </row>
    <row r="8291" spans="14:14">
      <c r="N8291"/>
    </row>
    <row r="8292" spans="14:14">
      <c r="N8292"/>
    </row>
    <row r="8293" spans="14:14">
      <c r="N8293"/>
    </row>
    <row r="8294" spans="14:14">
      <c r="N8294"/>
    </row>
    <row r="8295" spans="14:14">
      <c r="N8295"/>
    </row>
    <row r="8296" spans="14:14">
      <c r="N8296"/>
    </row>
    <row r="8297" spans="14:14">
      <c r="N8297"/>
    </row>
    <row r="8298" spans="14:14">
      <c r="N8298"/>
    </row>
    <row r="8299" spans="14:14">
      <c r="N8299"/>
    </row>
    <row r="8300" spans="14:14">
      <c r="N8300"/>
    </row>
    <row r="8301" spans="14:14">
      <c r="N8301"/>
    </row>
    <row r="8302" spans="14:14">
      <c r="N8302"/>
    </row>
    <row r="8303" spans="14:14">
      <c r="N8303"/>
    </row>
    <row r="8304" spans="14:14">
      <c r="N8304"/>
    </row>
    <row r="8305" spans="14:14">
      <c r="N8305"/>
    </row>
    <row r="8306" spans="14:14">
      <c r="N8306"/>
    </row>
    <row r="8307" spans="14:14">
      <c r="N8307"/>
    </row>
    <row r="8308" spans="14:14">
      <c r="N8308"/>
    </row>
    <row r="8309" spans="14:14">
      <c r="N8309"/>
    </row>
    <row r="8310" spans="14:14">
      <c r="N8310"/>
    </row>
    <row r="8311" spans="14:14">
      <c r="N8311"/>
    </row>
    <row r="8312" spans="14:14">
      <c r="N8312"/>
    </row>
    <row r="8313" spans="14:14">
      <c r="N8313"/>
    </row>
    <row r="8314" spans="14:14">
      <c r="N8314"/>
    </row>
    <row r="8315" spans="14:14">
      <c r="N8315"/>
    </row>
    <row r="8316" spans="14:14">
      <c r="N8316"/>
    </row>
    <row r="8317" spans="14:14">
      <c r="N8317"/>
    </row>
    <row r="8318" spans="14:14">
      <c r="N8318"/>
    </row>
    <row r="8319" spans="14:14">
      <c r="N8319"/>
    </row>
    <row r="8320" spans="14:14">
      <c r="N8320"/>
    </row>
    <row r="8321" spans="14:14">
      <c r="N8321"/>
    </row>
    <row r="8322" spans="14:14">
      <c r="N8322"/>
    </row>
    <row r="8323" spans="14:14">
      <c r="N8323"/>
    </row>
    <row r="8324" spans="14:14">
      <c r="N8324"/>
    </row>
    <row r="8325" spans="14:14">
      <c r="N8325"/>
    </row>
    <row r="8326" spans="14:14">
      <c r="N8326"/>
    </row>
    <row r="8327" spans="14:14">
      <c r="N8327"/>
    </row>
    <row r="8328" spans="14:14">
      <c r="N8328"/>
    </row>
    <row r="8329" spans="14:14">
      <c r="N8329"/>
    </row>
    <row r="8330" spans="14:14">
      <c r="N8330"/>
    </row>
    <row r="8331" spans="14:14">
      <c r="N8331"/>
    </row>
    <row r="8332" spans="14:14">
      <c r="N8332"/>
    </row>
    <row r="8333" spans="14:14">
      <c r="N8333"/>
    </row>
    <row r="8334" spans="14:14">
      <c r="N8334"/>
    </row>
    <row r="8335" spans="14:14">
      <c r="N8335"/>
    </row>
    <row r="8336" spans="14:14">
      <c r="N8336"/>
    </row>
    <row r="8337" spans="14:14">
      <c r="N8337"/>
    </row>
    <row r="8338" spans="14:14">
      <c r="N8338"/>
    </row>
    <row r="8339" spans="14:14">
      <c r="N8339"/>
    </row>
    <row r="8340" spans="14:14">
      <c r="N8340"/>
    </row>
    <row r="8341" spans="14:14">
      <c r="N8341"/>
    </row>
    <row r="8342" spans="14:14">
      <c r="N8342"/>
    </row>
    <row r="8343" spans="14:14">
      <c r="N8343"/>
    </row>
    <row r="8344" spans="14:14">
      <c r="N8344"/>
    </row>
    <row r="8345" spans="14:14">
      <c r="N8345"/>
    </row>
    <row r="8346" spans="14:14">
      <c r="N8346"/>
    </row>
    <row r="8347" spans="14:14">
      <c r="N8347"/>
    </row>
    <row r="8348" spans="14:14">
      <c r="N8348"/>
    </row>
    <row r="8349" spans="14:14">
      <c r="N8349"/>
    </row>
    <row r="8350" spans="14:14">
      <c r="N8350"/>
    </row>
    <row r="8351" spans="14:14">
      <c r="N8351"/>
    </row>
    <row r="8352" spans="14:14">
      <c r="N8352"/>
    </row>
    <row r="8353" spans="14:14">
      <c r="N8353"/>
    </row>
    <row r="8354" spans="14:14">
      <c r="N8354"/>
    </row>
    <row r="8355" spans="14:14">
      <c r="N8355"/>
    </row>
    <row r="8356" spans="14:14">
      <c r="N8356"/>
    </row>
    <row r="8357" spans="14:14">
      <c r="N8357"/>
    </row>
    <row r="8358" spans="14:14">
      <c r="N8358"/>
    </row>
    <row r="8359" spans="14:14">
      <c r="N8359"/>
    </row>
    <row r="8360" spans="14:14">
      <c r="N8360"/>
    </row>
    <row r="8361" spans="14:14">
      <c r="N8361"/>
    </row>
    <row r="8362" spans="14:14">
      <c r="N8362"/>
    </row>
    <row r="8363" spans="14:14">
      <c r="N8363"/>
    </row>
    <row r="8364" spans="14:14">
      <c r="N8364"/>
    </row>
    <row r="8365" spans="14:14">
      <c r="N8365"/>
    </row>
    <row r="8366" spans="14:14">
      <c r="N8366"/>
    </row>
    <row r="8367" spans="14:14">
      <c r="N8367"/>
    </row>
    <row r="8368" spans="14:14">
      <c r="N8368"/>
    </row>
    <row r="8369" spans="14:14">
      <c r="N8369"/>
    </row>
    <row r="8370" spans="14:14">
      <c r="N8370"/>
    </row>
    <row r="8371" spans="14:14">
      <c r="N8371"/>
    </row>
    <row r="8372" spans="14:14">
      <c r="N8372"/>
    </row>
    <row r="8373" spans="14:14">
      <c r="N8373"/>
    </row>
    <row r="8374" spans="14:14">
      <c r="N8374"/>
    </row>
    <row r="8375" spans="14:14">
      <c r="N8375"/>
    </row>
    <row r="8376" spans="14:14">
      <c r="N8376"/>
    </row>
    <row r="8377" spans="14:14">
      <c r="N8377"/>
    </row>
    <row r="8378" spans="14:14">
      <c r="N8378"/>
    </row>
    <row r="8379" spans="14:14">
      <c r="N8379"/>
    </row>
    <row r="8380" spans="14:14">
      <c r="N8380"/>
    </row>
    <row r="8381" spans="14:14">
      <c r="N8381"/>
    </row>
    <row r="8382" spans="14:14">
      <c r="N8382"/>
    </row>
    <row r="8383" spans="14:14">
      <c r="N8383"/>
    </row>
    <row r="8384" spans="14:14">
      <c r="N8384"/>
    </row>
    <row r="8385" spans="14:14">
      <c r="N8385"/>
    </row>
    <row r="8386" spans="14:14">
      <c r="N8386"/>
    </row>
    <row r="8387" spans="14:14">
      <c r="N8387"/>
    </row>
    <row r="8388" spans="14:14">
      <c r="N8388"/>
    </row>
    <row r="8389" spans="14:14">
      <c r="N8389"/>
    </row>
    <row r="8390" spans="14:14">
      <c r="N8390"/>
    </row>
    <row r="8391" spans="14:14">
      <c r="N8391"/>
    </row>
    <row r="8392" spans="14:14">
      <c r="N8392"/>
    </row>
    <row r="8393" spans="14:14">
      <c r="N8393"/>
    </row>
    <row r="8394" spans="14:14">
      <c r="N8394"/>
    </row>
    <row r="8395" spans="14:14">
      <c r="N8395"/>
    </row>
    <row r="8396" spans="14:14">
      <c r="N8396"/>
    </row>
    <row r="8397" spans="14:14">
      <c r="N8397"/>
    </row>
    <row r="8398" spans="14:14">
      <c r="N8398"/>
    </row>
    <row r="8399" spans="14:14">
      <c r="N8399"/>
    </row>
    <row r="8400" spans="14:14">
      <c r="N8400"/>
    </row>
    <row r="8401" spans="14:14">
      <c r="N8401"/>
    </row>
    <row r="8402" spans="14:14">
      <c r="N8402"/>
    </row>
    <row r="8403" spans="14:14">
      <c r="N8403"/>
    </row>
    <row r="8404" spans="14:14">
      <c r="N8404"/>
    </row>
    <row r="8405" spans="14:14">
      <c r="N8405"/>
    </row>
    <row r="8406" spans="14:14">
      <c r="N8406"/>
    </row>
    <row r="8407" spans="14:14">
      <c r="N8407"/>
    </row>
    <row r="8408" spans="14:14">
      <c r="N8408"/>
    </row>
    <row r="8409" spans="14:14">
      <c r="N8409"/>
    </row>
    <row r="8410" spans="14:14">
      <c r="N8410"/>
    </row>
    <row r="8411" spans="14:14">
      <c r="N8411"/>
    </row>
    <row r="8412" spans="14:14">
      <c r="N8412"/>
    </row>
    <row r="8413" spans="14:14">
      <c r="N8413"/>
    </row>
    <row r="8414" spans="14:14">
      <c r="N8414"/>
    </row>
    <row r="8415" spans="14:14">
      <c r="N8415"/>
    </row>
    <row r="8416" spans="14:14">
      <c r="N8416"/>
    </row>
    <row r="8417" spans="14:14">
      <c r="N8417"/>
    </row>
    <row r="8418" spans="14:14">
      <c r="N8418"/>
    </row>
    <row r="8419" spans="14:14">
      <c r="N8419"/>
    </row>
    <row r="8420" spans="14:14">
      <c r="N8420"/>
    </row>
    <row r="8421" spans="14:14">
      <c r="N8421"/>
    </row>
    <row r="8422" spans="14:14">
      <c r="N8422"/>
    </row>
    <row r="8423" spans="14:14">
      <c r="N8423"/>
    </row>
    <row r="8424" spans="14:14">
      <c r="N8424"/>
    </row>
    <row r="8425" spans="14:14">
      <c r="N8425"/>
    </row>
    <row r="8426" spans="14:14">
      <c r="N8426"/>
    </row>
    <row r="8427" spans="14:14">
      <c r="N8427"/>
    </row>
    <row r="8428" spans="14:14">
      <c r="N8428"/>
    </row>
    <row r="8429" spans="14:14">
      <c r="N8429"/>
    </row>
    <row r="8430" spans="14:14">
      <c r="N8430"/>
    </row>
    <row r="8431" spans="14:14">
      <c r="N8431"/>
    </row>
    <row r="8432" spans="14:14">
      <c r="N8432"/>
    </row>
    <row r="8433" spans="14:14">
      <c r="N8433"/>
    </row>
    <row r="8434" spans="14:14">
      <c r="N8434"/>
    </row>
    <row r="8435" spans="14:14">
      <c r="N8435"/>
    </row>
    <row r="8436" spans="14:14">
      <c r="N8436"/>
    </row>
    <row r="8437" spans="14:14">
      <c r="N8437"/>
    </row>
    <row r="8438" spans="14:14">
      <c r="N8438"/>
    </row>
    <row r="8439" spans="14:14">
      <c r="N8439"/>
    </row>
    <row r="8440" spans="14:14">
      <c r="N8440"/>
    </row>
    <row r="8441" spans="14:14">
      <c r="N8441"/>
    </row>
    <row r="8442" spans="14:14">
      <c r="N8442"/>
    </row>
    <row r="8443" spans="14:14">
      <c r="N8443"/>
    </row>
    <row r="8444" spans="14:14">
      <c r="N8444"/>
    </row>
    <row r="8445" spans="14:14">
      <c r="N8445"/>
    </row>
    <row r="8446" spans="14:14">
      <c r="N8446"/>
    </row>
    <row r="8447" spans="14:14">
      <c r="N8447"/>
    </row>
    <row r="8448" spans="14:14">
      <c r="N8448"/>
    </row>
    <row r="8449" spans="14:14">
      <c r="N8449"/>
    </row>
    <row r="8450" spans="14:14">
      <c r="N8450"/>
    </row>
    <row r="8451" spans="14:14">
      <c r="N8451"/>
    </row>
    <row r="8452" spans="14:14">
      <c r="N8452"/>
    </row>
    <row r="8453" spans="14:14">
      <c r="N8453"/>
    </row>
    <row r="8454" spans="14:14">
      <c r="N8454"/>
    </row>
    <row r="8455" spans="14:14">
      <c r="N8455"/>
    </row>
    <row r="8456" spans="14:14">
      <c r="N8456"/>
    </row>
    <row r="8457" spans="14:14">
      <c r="N8457"/>
    </row>
    <row r="8458" spans="14:14">
      <c r="N8458"/>
    </row>
    <row r="8459" spans="14:14">
      <c r="N8459"/>
    </row>
    <row r="8460" spans="14:14">
      <c r="N8460"/>
    </row>
    <row r="8461" spans="14:14">
      <c r="N8461"/>
    </row>
    <row r="8462" spans="14:14">
      <c r="N8462"/>
    </row>
    <row r="8463" spans="14:14">
      <c r="N8463"/>
    </row>
    <row r="8464" spans="14:14">
      <c r="N8464"/>
    </row>
    <row r="8465" spans="14:14">
      <c r="N8465"/>
    </row>
    <row r="8466" spans="14:14">
      <c r="N8466"/>
    </row>
    <row r="8467" spans="14:14">
      <c r="N8467"/>
    </row>
    <row r="8468" spans="14:14">
      <c r="N8468"/>
    </row>
    <row r="8469" spans="14:14">
      <c r="N8469"/>
    </row>
    <row r="8470" spans="14:14">
      <c r="N8470"/>
    </row>
    <row r="8471" spans="14:14">
      <c r="N8471"/>
    </row>
    <row r="8472" spans="14:14">
      <c r="N8472"/>
    </row>
    <row r="8473" spans="14:14">
      <c r="N8473"/>
    </row>
    <row r="8474" spans="14:14">
      <c r="N8474"/>
    </row>
    <row r="8475" spans="14:14">
      <c r="N8475"/>
    </row>
    <row r="8476" spans="14:14">
      <c r="N8476"/>
    </row>
    <row r="8477" spans="14:14">
      <c r="N8477"/>
    </row>
    <row r="8478" spans="14:14">
      <c r="N8478"/>
    </row>
    <row r="8479" spans="14:14">
      <c r="N8479"/>
    </row>
    <row r="8480" spans="14:14">
      <c r="N8480"/>
    </row>
    <row r="8481" spans="14:14">
      <c r="N8481"/>
    </row>
    <row r="8482" spans="14:14">
      <c r="N8482"/>
    </row>
    <row r="8483" spans="14:14">
      <c r="N8483"/>
    </row>
    <row r="8484" spans="14:14">
      <c r="N8484"/>
    </row>
    <row r="8485" spans="14:14">
      <c r="N8485"/>
    </row>
    <row r="8486" spans="14:14">
      <c r="N8486"/>
    </row>
    <row r="8487" spans="14:14">
      <c r="N8487"/>
    </row>
    <row r="8488" spans="14:14">
      <c r="N8488"/>
    </row>
    <row r="8489" spans="14:14">
      <c r="N8489"/>
    </row>
    <row r="8490" spans="14:14">
      <c r="N8490"/>
    </row>
    <row r="8491" spans="14:14">
      <c r="N8491"/>
    </row>
    <row r="8492" spans="14:14">
      <c r="N8492"/>
    </row>
    <row r="8493" spans="14:14">
      <c r="N8493"/>
    </row>
    <row r="8494" spans="14:14">
      <c r="N8494"/>
    </row>
    <row r="8495" spans="14:14">
      <c r="N8495"/>
    </row>
    <row r="8496" spans="14:14">
      <c r="N8496"/>
    </row>
    <row r="8497" spans="14:14">
      <c r="N8497"/>
    </row>
    <row r="8498" spans="14:14">
      <c r="N8498"/>
    </row>
    <row r="8499" spans="14:14">
      <c r="N8499"/>
    </row>
    <row r="8500" spans="14:14">
      <c r="N8500"/>
    </row>
    <row r="8501" spans="14:14">
      <c r="N8501"/>
    </row>
    <row r="8502" spans="14:14">
      <c r="N8502"/>
    </row>
    <row r="8503" spans="14:14">
      <c r="N8503"/>
    </row>
    <row r="8504" spans="14:14">
      <c r="N8504"/>
    </row>
    <row r="8505" spans="14:14">
      <c r="N8505"/>
    </row>
    <row r="8506" spans="14:14">
      <c r="N8506"/>
    </row>
    <row r="8507" spans="14:14">
      <c r="N8507"/>
    </row>
    <row r="8508" spans="14:14">
      <c r="N8508"/>
    </row>
    <row r="8509" spans="14:14">
      <c r="N8509"/>
    </row>
    <row r="8510" spans="14:14">
      <c r="N8510"/>
    </row>
    <row r="8511" spans="14:14">
      <c r="N8511"/>
    </row>
    <row r="8512" spans="14:14">
      <c r="N8512"/>
    </row>
    <row r="8513" spans="14:14">
      <c r="N8513"/>
    </row>
    <row r="8514" spans="14:14">
      <c r="N8514"/>
    </row>
    <row r="8515" spans="14:14">
      <c r="N8515"/>
    </row>
    <row r="8516" spans="14:14">
      <c r="N8516"/>
    </row>
    <row r="8517" spans="14:14">
      <c r="N8517"/>
    </row>
    <row r="8518" spans="14:14">
      <c r="N8518"/>
    </row>
    <row r="8519" spans="14:14">
      <c r="N8519"/>
    </row>
    <row r="8520" spans="14:14">
      <c r="N8520"/>
    </row>
    <row r="8521" spans="14:14">
      <c r="N8521"/>
    </row>
    <row r="8522" spans="14:14">
      <c r="N8522"/>
    </row>
    <row r="8523" spans="14:14">
      <c r="N8523"/>
    </row>
    <row r="8524" spans="14:14">
      <c r="N8524"/>
    </row>
    <row r="8525" spans="14:14">
      <c r="N8525"/>
    </row>
    <row r="8526" spans="14:14">
      <c r="N8526"/>
    </row>
    <row r="8527" spans="14:14">
      <c r="N8527"/>
    </row>
    <row r="8528" spans="14:14">
      <c r="N8528"/>
    </row>
    <row r="8529" spans="14:14">
      <c r="N8529"/>
    </row>
    <row r="8530" spans="14:14">
      <c r="N8530"/>
    </row>
    <row r="8531" spans="14:14">
      <c r="N8531"/>
    </row>
    <row r="8532" spans="14:14">
      <c r="N8532"/>
    </row>
    <row r="8533" spans="14:14">
      <c r="N8533"/>
    </row>
    <row r="8534" spans="14:14">
      <c r="N8534"/>
    </row>
    <row r="8535" spans="14:14">
      <c r="N8535"/>
    </row>
    <row r="8536" spans="14:14">
      <c r="N8536"/>
    </row>
    <row r="8537" spans="14:14">
      <c r="N8537"/>
    </row>
    <row r="8538" spans="14:14">
      <c r="N8538"/>
    </row>
    <row r="8539" spans="14:14">
      <c r="N8539"/>
    </row>
    <row r="8540" spans="14:14">
      <c r="N8540"/>
    </row>
    <row r="8541" spans="14:14">
      <c r="N8541"/>
    </row>
    <row r="8542" spans="14:14">
      <c r="N8542"/>
    </row>
    <row r="8543" spans="14:14">
      <c r="N8543"/>
    </row>
    <row r="8544" spans="14:14">
      <c r="N8544"/>
    </row>
    <row r="8545" spans="14:14">
      <c r="N8545"/>
    </row>
    <row r="8546" spans="14:14">
      <c r="N8546"/>
    </row>
    <row r="8547" spans="14:14">
      <c r="N8547"/>
    </row>
    <row r="8548" spans="14:14">
      <c r="N8548"/>
    </row>
    <row r="8549" spans="14:14">
      <c r="N8549"/>
    </row>
    <row r="8550" spans="14:14">
      <c r="N8550"/>
    </row>
    <row r="8551" spans="14:14">
      <c r="N8551"/>
    </row>
    <row r="8552" spans="14:14">
      <c r="N8552"/>
    </row>
    <row r="8553" spans="14:14">
      <c r="N8553"/>
    </row>
    <row r="8554" spans="14:14">
      <c r="N8554"/>
    </row>
    <row r="8555" spans="14:14">
      <c r="N8555"/>
    </row>
    <row r="8556" spans="14:14">
      <c r="N8556"/>
    </row>
    <row r="8557" spans="14:14">
      <c r="N8557"/>
    </row>
    <row r="8558" spans="14:14">
      <c r="N8558"/>
    </row>
    <row r="8559" spans="14:14">
      <c r="N8559"/>
    </row>
    <row r="8560" spans="14:14">
      <c r="N8560"/>
    </row>
    <row r="8561" spans="14:14">
      <c r="N8561"/>
    </row>
    <row r="8562" spans="14:14">
      <c r="N8562"/>
    </row>
    <row r="8563" spans="14:14">
      <c r="N8563"/>
    </row>
    <row r="8564" spans="14:14">
      <c r="N8564"/>
    </row>
    <row r="8565" spans="14:14">
      <c r="N8565"/>
    </row>
    <row r="8566" spans="14:14">
      <c r="N8566"/>
    </row>
    <row r="8567" spans="14:14">
      <c r="N8567"/>
    </row>
    <row r="8568" spans="14:14">
      <c r="N8568"/>
    </row>
    <row r="8569" spans="14:14">
      <c r="N8569"/>
    </row>
    <row r="8570" spans="14:14">
      <c r="N8570"/>
    </row>
    <row r="8571" spans="14:14">
      <c r="N8571"/>
    </row>
    <row r="8572" spans="14:14">
      <c r="N8572"/>
    </row>
    <row r="8573" spans="14:14">
      <c r="N8573"/>
    </row>
    <row r="8574" spans="14:14">
      <c r="N8574"/>
    </row>
    <row r="8575" spans="14:14">
      <c r="N8575"/>
    </row>
    <row r="8576" spans="14:14">
      <c r="N8576"/>
    </row>
    <row r="8577" spans="14:14">
      <c r="N8577"/>
    </row>
    <row r="8578" spans="14:14">
      <c r="N8578"/>
    </row>
    <row r="8579" spans="14:14">
      <c r="N8579"/>
    </row>
    <row r="8580" spans="14:14">
      <c r="N8580"/>
    </row>
    <row r="8581" spans="14:14">
      <c r="N8581"/>
    </row>
    <row r="8582" spans="14:14">
      <c r="N8582"/>
    </row>
    <row r="8583" spans="14:14">
      <c r="N8583"/>
    </row>
    <row r="8584" spans="14:14">
      <c r="N8584"/>
    </row>
    <row r="8585" spans="14:14">
      <c r="N8585"/>
    </row>
    <row r="8586" spans="14:14">
      <c r="N8586"/>
    </row>
    <row r="8587" spans="14:14">
      <c r="N8587"/>
    </row>
    <row r="8588" spans="14:14">
      <c r="N8588"/>
    </row>
    <row r="8589" spans="14:14">
      <c r="N8589"/>
    </row>
    <row r="8590" spans="14:14">
      <c r="N8590"/>
    </row>
    <row r="8591" spans="14:14">
      <c r="N8591"/>
    </row>
    <row r="8592" spans="14:14">
      <c r="N8592"/>
    </row>
    <row r="8593" spans="14:14">
      <c r="N8593"/>
    </row>
    <row r="8594" spans="14:14">
      <c r="N8594"/>
    </row>
    <row r="8595" spans="14:14">
      <c r="N8595"/>
    </row>
    <row r="8596" spans="14:14">
      <c r="N8596"/>
    </row>
    <row r="8597" spans="14:14">
      <c r="N8597"/>
    </row>
    <row r="8598" spans="14:14">
      <c r="N8598"/>
    </row>
    <row r="8599" spans="14:14">
      <c r="N8599"/>
    </row>
    <row r="8600" spans="14:14">
      <c r="N8600"/>
    </row>
    <row r="8601" spans="14:14">
      <c r="N8601"/>
    </row>
    <row r="8602" spans="14:14">
      <c r="N8602"/>
    </row>
    <row r="8603" spans="14:14">
      <c r="N8603"/>
    </row>
    <row r="8604" spans="14:14">
      <c r="N8604"/>
    </row>
    <row r="8605" spans="14:14">
      <c r="N8605"/>
    </row>
    <row r="8606" spans="14:14">
      <c r="N8606"/>
    </row>
    <row r="8607" spans="14:14">
      <c r="N8607"/>
    </row>
    <row r="8608" spans="14:14">
      <c r="N8608"/>
    </row>
    <row r="8609" spans="14:14">
      <c r="N8609"/>
    </row>
    <row r="8610" spans="14:14">
      <c r="N8610"/>
    </row>
    <row r="8611" spans="14:14">
      <c r="N8611"/>
    </row>
    <row r="8612" spans="14:14">
      <c r="N8612"/>
    </row>
    <row r="8613" spans="14:14">
      <c r="N8613"/>
    </row>
    <row r="8614" spans="14:14">
      <c r="N8614"/>
    </row>
    <row r="8615" spans="14:14">
      <c r="N8615"/>
    </row>
    <row r="8616" spans="14:14">
      <c r="N8616"/>
    </row>
    <row r="8617" spans="14:14">
      <c r="N8617"/>
    </row>
    <row r="8618" spans="14:14">
      <c r="N8618"/>
    </row>
    <row r="8619" spans="14:14">
      <c r="N8619"/>
    </row>
    <row r="8620" spans="14:14">
      <c r="N8620"/>
    </row>
    <row r="8621" spans="14:14">
      <c r="N8621"/>
    </row>
    <row r="8622" spans="14:14">
      <c r="N8622"/>
    </row>
    <row r="8623" spans="14:14">
      <c r="N8623"/>
    </row>
    <row r="8624" spans="14:14">
      <c r="N8624"/>
    </row>
    <row r="8625" spans="14:14">
      <c r="N8625"/>
    </row>
    <row r="8626" spans="14:14">
      <c r="N8626"/>
    </row>
    <row r="8627" spans="14:14">
      <c r="N8627"/>
    </row>
    <row r="8628" spans="14:14">
      <c r="N8628"/>
    </row>
    <row r="8629" spans="14:14">
      <c r="N8629"/>
    </row>
    <row r="8630" spans="14:14">
      <c r="N8630"/>
    </row>
    <row r="8631" spans="14:14">
      <c r="N8631"/>
    </row>
    <row r="8632" spans="14:14">
      <c r="N8632"/>
    </row>
    <row r="8633" spans="14:14">
      <c r="N8633"/>
    </row>
    <row r="8634" spans="14:14">
      <c r="N8634"/>
    </row>
    <row r="8635" spans="14:14">
      <c r="N8635"/>
    </row>
    <row r="8636" spans="14:14">
      <c r="N8636"/>
    </row>
    <row r="8637" spans="14:14">
      <c r="N8637"/>
    </row>
    <row r="8638" spans="14:14">
      <c r="N8638"/>
    </row>
    <row r="8639" spans="14:14">
      <c r="N8639"/>
    </row>
    <row r="8640" spans="14:14">
      <c r="N8640"/>
    </row>
    <row r="8641" spans="14:14">
      <c r="N8641"/>
    </row>
    <row r="8642" spans="14:14">
      <c r="N8642"/>
    </row>
    <row r="8643" spans="14:14">
      <c r="N8643"/>
    </row>
    <row r="8644" spans="14:14">
      <c r="N8644"/>
    </row>
    <row r="8645" spans="14:14">
      <c r="N8645"/>
    </row>
    <row r="8646" spans="14:14">
      <c r="N8646"/>
    </row>
    <row r="8647" spans="14:14">
      <c r="N8647"/>
    </row>
    <row r="8648" spans="14:14">
      <c r="N8648"/>
    </row>
    <row r="8649" spans="14:14">
      <c r="N8649"/>
    </row>
    <row r="8650" spans="14:14">
      <c r="N8650"/>
    </row>
    <row r="8651" spans="14:14">
      <c r="N8651"/>
    </row>
    <row r="8652" spans="14:14">
      <c r="N8652"/>
    </row>
    <row r="8653" spans="14:14">
      <c r="N8653"/>
    </row>
    <row r="8654" spans="14:14">
      <c r="N8654"/>
    </row>
    <row r="8655" spans="14:14">
      <c r="N8655"/>
    </row>
    <row r="8656" spans="14:14">
      <c r="N8656"/>
    </row>
    <row r="8657" spans="14:14">
      <c r="N8657"/>
    </row>
    <row r="8658" spans="14:14">
      <c r="N8658"/>
    </row>
    <row r="8659" spans="14:14">
      <c r="N8659"/>
    </row>
    <row r="8660" spans="14:14">
      <c r="N8660"/>
    </row>
    <row r="8661" spans="14:14">
      <c r="N8661"/>
    </row>
    <row r="8662" spans="14:14">
      <c r="N8662"/>
    </row>
    <row r="8663" spans="14:14">
      <c r="N8663"/>
    </row>
    <row r="8664" spans="14:14">
      <c r="N8664"/>
    </row>
    <row r="8665" spans="14:14">
      <c r="N8665"/>
    </row>
    <row r="8666" spans="14:14">
      <c r="N8666"/>
    </row>
    <row r="8667" spans="14:14">
      <c r="N8667"/>
    </row>
    <row r="8668" spans="14:14">
      <c r="N8668"/>
    </row>
    <row r="8669" spans="14:14">
      <c r="N8669"/>
    </row>
    <row r="8670" spans="14:14">
      <c r="N8670"/>
    </row>
    <row r="8671" spans="14:14">
      <c r="N8671"/>
    </row>
    <row r="8672" spans="14:14">
      <c r="N8672"/>
    </row>
    <row r="8673" spans="14:14">
      <c r="N8673"/>
    </row>
    <row r="8674" spans="14:14">
      <c r="N8674"/>
    </row>
    <row r="8675" spans="14:14">
      <c r="N8675"/>
    </row>
    <row r="8676" spans="14:14">
      <c r="N8676"/>
    </row>
    <row r="8677" spans="14:14">
      <c r="N8677"/>
    </row>
    <row r="8678" spans="14:14">
      <c r="N8678"/>
    </row>
    <row r="8679" spans="14:14">
      <c r="N8679"/>
    </row>
    <row r="8680" spans="14:14">
      <c r="N8680"/>
    </row>
    <row r="8681" spans="14:14">
      <c r="N8681"/>
    </row>
    <row r="8682" spans="14:14">
      <c r="N8682"/>
    </row>
    <row r="8683" spans="14:14">
      <c r="N8683"/>
    </row>
    <row r="8684" spans="14:14">
      <c r="N8684"/>
    </row>
    <row r="8685" spans="14:14">
      <c r="N8685"/>
    </row>
    <row r="8686" spans="14:14">
      <c r="N8686"/>
    </row>
    <row r="8687" spans="14:14">
      <c r="N8687"/>
    </row>
    <row r="8688" spans="14:14">
      <c r="N8688"/>
    </row>
    <row r="8689" spans="14:14">
      <c r="N8689"/>
    </row>
    <row r="8690" spans="14:14">
      <c r="N8690"/>
    </row>
    <row r="8691" spans="14:14">
      <c r="N8691"/>
    </row>
    <row r="8692" spans="14:14">
      <c r="N8692"/>
    </row>
    <row r="8693" spans="14:14">
      <c r="N8693"/>
    </row>
    <row r="8694" spans="14:14">
      <c r="N8694"/>
    </row>
    <row r="8695" spans="14:14">
      <c r="N8695"/>
    </row>
    <row r="8696" spans="14:14">
      <c r="N8696"/>
    </row>
    <row r="8697" spans="14:14">
      <c r="N8697"/>
    </row>
    <row r="8698" spans="14:14">
      <c r="N8698"/>
    </row>
    <row r="8699" spans="14:14">
      <c r="N8699"/>
    </row>
    <row r="8700" spans="14:14">
      <c r="N8700"/>
    </row>
    <row r="8701" spans="14:14">
      <c r="N8701"/>
    </row>
    <row r="8702" spans="14:14">
      <c r="N8702"/>
    </row>
    <row r="8703" spans="14:14">
      <c r="N8703"/>
    </row>
    <row r="8704" spans="14:14">
      <c r="N8704"/>
    </row>
    <row r="8705" spans="14:14">
      <c r="N8705"/>
    </row>
    <row r="8706" spans="14:14">
      <c r="N8706"/>
    </row>
    <row r="8707" spans="14:14">
      <c r="N8707"/>
    </row>
    <row r="8708" spans="14:14">
      <c r="N8708"/>
    </row>
    <row r="8709" spans="14:14">
      <c r="N8709"/>
    </row>
    <row r="8710" spans="14:14">
      <c r="N8710"/>
    </row>
    <row r="8711" spans="14:14">
      <c r="N8711"/>
    </row>
    <row r="8712" spans="14:14">
      <c r="N8712"/>
    </row>
    <row r="8713" spans="14:14">
      <c r="N8713"/>
    </row>
    <row r="8714" spans="14:14">
      <c r="N8714"/>
    </row>
    <row r="8715" spans="14:14">
      <c r="N8715"/>
    </row>
    <row r="8716" spans="14:14">
      <c r="N8716"/>
    </row>
    <row r="8717" spans="14:14">
      <c r="N8717"/>
    </row>
    <row r="8718" spans="14:14">
      <c r="N8718"/>
    </row>
    <row r="8719" spans="14:14">
      <c r="N8719"/>
    </row>
    <row r="8720" spans="14:14">
      <c r="N8720"/>
    </row>
    <row r="8721" spans="14:14">
      <c r="N8721"/>
    </row>
    <row r="8722" spans="14:14">
      <c r="N8722"/>
    </row>
    <row r="8723" spans="14:14">
      <c r="N8723"/>
    </row>
    <row r="8724" spans="14:14">
      <c r="N8724"/>
    </row>
    <row r="8725" spans="14:14">
      <c r="N8725"/>
    </row>
    <row r="8726" spans="14:14">
      <c r="N8726"/>
    </row>
    <row r="8727" spans="14:14">
      <c r="N8727"/>
    </row>
    <row r="8728" spans="14:14">
      <c r="N8728"/>
    </row>
    <row r="8729" spans="14:14">
      <c r="N8729"/>
    </row>
    <row r="8730" spans="14:14">
      <c r="N8730"/>
    </row>
    <row r="8731" spans="14:14">
      <c r="N8731"/>
    </row>
    <row r="8732" spans="14:14">
      <c r="N8732"/>
    </row>
    <row r="8733" spans="14:14">
      <c r="N8733"/>
    </row>
    <row r="8734" spans="14:14">
      <c r="N8734"/>
    </row>
    <row r="8735" spans="14:14">
      <c r="N8735"/>
    </row>
    <row r="8736" spans="14:14">
      <c r="N8736"/>
    </row>
    <row r="8737" spans="14:14">
      <c r="N8737"/>
    </row>
    <row r="8738" spans="14:14">
      <c r="N8738"/>
    </row>
    <row r="8739" spans="14:14">
      <c r="N8739"/>
    </row>
    <row r="8740" spans="14:14">
      <c r="N8740"/>
    </row>
    <row r="8741" spans="14:14">
      <c r="N8741"/>
    </row>
    <row r="8742" spans="14:14">
      <c r="N8742"/>
    </row>
    <row r="8743" spans="14:14">
      <c r="N8743"/>
    </row>
    <row r="8744" spans="14:14">
      <c r="N8744"/>
    </row>
    <row r="8745" spans="14:14">
      <c r="N8745"/>
    </row>
    <row r="8746" spans="14:14">
      <c r="N8746"/>
    </row>
    <row r="8747" spans="14:14">
      <c r="N8747"/>
    </row>
    <row r="8748" spans="14:14">
      <c r="N8748"/>
    </row>
    <row r="8749" spans="14:14">
      <c r="N8749"/>
    </row>
    <row r="8750" spans="14:14">
      <c r="N8750"/>
    </row>
    <row r="8751" spans="14:14">
      <c r="N8751"/>
    </row>
    <row r="8752" spans="14:14">
      <c r="N8752"/>
    </row>
    <row r="8753" spans="14:14">
      <c r="N8753"/>
    </row>
    <row r="8754" spans="14:14">
      <c r="N8754"/>
    </row>
    <row r="8755" spans="14:14">
      <c r="N8755"/>
    </row>
    <row r="8756" spans="14:14">
      <c r="N8756"/>
    </row>
    <row r="8757" spans="14:14">
      <c r="N8757"/>
    </row>
    <row r="8758" spans="14:14">
      <c r="N8758"/>
    </row>
    <row r="8759" spans="14:14">
      <c r="N8759"/>
    </row>
    <row r="8760" spans="14:14">
      <c r="N8760"/>
    </row>
    <row r="8761" spans="14:14">
      <c r="N8761"/>
    </row>
    <row r="8762" spans="14:14">
      <c r="N8762"/>
    </row>
    <row r="8763" spans="14:14">
      <c r="N8763"/>
    </row>
    <row r="8764" spans="14:14">
      <c r="N8764"/>
    </row>
    <row r="8765" spans="14:14">
      <c r="N8765"/>
    </row>
    <row r="8766" spans="14:14">
      <c r="N8766"/>
    </row>
    <row r="8767" spans="14:14">
      <c r="N8767"/>
    </row>
    <row r="8768" spans="14:14">
      <c r="N8768"/>
    </row>
    <row r="8769" spans="14:14">
      <c r="N8769"/>
    </row>
    <row r="8770" spans="14:14">
      <c r="N8770"/>
    </row>
    <row r="8771" spans="14:14">
      <c r="N8771"/>
    </row>
    <row r="8772" spans="14:14">
      <c r="N8772"/>
    </row>
    <row r="8773" spans="14:14">
      <c r="N8773"/>
    </row>
    <row r="8774" spans="14:14">
      <c r="N8774"/>
    </row>
    <row r="8775" spans="14:14">
      <c r="N8775"/>
    </row>
    <row r="8776" spans="14:14">
      <c r="N8776"/>
    </row>
    <row r="8777" spans="14:14">
      <c r="N8777"/>
    </row>
    <row r="8778" spans="14:14">
      <c r="N8778"/>
    </row>
    <row r="8779" spans="14:14">
      <c r="N8779"/>
    </row>
    <row r="8780" spans="14:14">
      <c r="N8780"/>
    </row>
    <row r="8781" spans="14:14">
      <c r="N8781"/>
    </row>
    <row r="8782" spans="14:14">
      <c r="N8782"/>
    </row>
    <row r="8783" spans="14:14">
      <c r="N8783"/>
    </row>
    <row r="8784" spans="14:14">
      <c r="N8784"/>
    </row>
    <row r="8785" spans="14:14">
      <c r="N8785"/>
    </row>
    <row r="8786" spans="14:14">
      <c r="N8786"/>
    </row>
    <row r="8787" spans="14:14">
      <c r="N8787"/>
    </row>
    <row r="8788" spans="14:14">
      <c r="N8788"/>
    </row>
    <row r="8789" spans="14:14">
      <c r="N8789"/>
    </row>
    <row r="8790" spans="14:14">
      <c r="N8790"/>
    </row>
    <row r="8791" spans="14:14">
      <c r="N8791"/>
    </row>
    <row r="8792" spans="14:14">
      <c r="N8792"/>
    </row>
    <row r="8793" spans="14:14">
      <c r="N8793"/>
    </row>
    <row r="8794" spans="14:14">
      <c r="N8794"/>
    </row>
    <row r="8795" spans="14:14">
      <c r="N8795"/>
    </row>
    <row r="8796" spans="14:14">
      <c r="N8796"/>
    </row>
    <row r="8797" spans="14:14">
      <c r="N8797"/>
    </row>
    <row r="8798" spans="14:14">
      <c r="N8798"/>
    </row>
    <row r="8799" spans="14:14">
      <c r="N8799"/>
    </row>
    <row r="8800" spans="14:14">
      <c r="N8800"/>
    </row>
    <row r="8801" spans="14:14">
      <c r="N8801"/>
    </row>
    <row r="8802" spans="14:14">
      <c r="N8802"/>
    </row>
    <row r="8803" spans="14:14">
      <c r="N8803"/>
    </row>
    <row r="8804" spans="14:14">
      <c r="N8804"/>
    </row>
    <row r="8805" spans="14:14">
      <c r="N8805"/>
    </row>
    <row r="8806" spans="14:14">
      <c r="N8806"/>
    </row>
    <row r="8807" spans="14:14">
      <c r="N8807"/>
    </row>
    <row r="8808" spans="14:14">
      <c r="N8808"/>
    </row>
    <row r="8809" spans="14:14">
      <c r="N8809"/>
    </row>
    <row r="8810" spans="14:14">
      <c r="N8810"/>
    </row>
    <row r="8811" spans="14:14">
      <c r="N8811"/>
    </row>
    <row r="8812" spans="14:14">
      <c r="N8812"/>
    </row>
    <row r="8813" spans="14:14">
      <c r="N8813"/>
    </row>
    <row r="8814" spans="14:14">
      <c r="N8814"/>
    </row>
    <row r="8815" spans="14:14">
      <c r="N8815"/>
    </row>
    <row r="8816" spans="14:14">
      <c r="N8816"/>
    </row>
    <row r="8817" spans="14:14">
      <c r="N8817"/>
    </row>
    <row r="8818" spans="14:14">
      <c r="N8818"/>
    </row>
    <row r="8819" spans="14:14">
      <c r="N8819"/>
    </row>
    <row r="8820" spans="14:14">
      <c r="N8820"/>
    </row>
    <row r="8821" spans="14:14">
      <c r="N8821"/>
    </row>
    <row r="8822" spans="14:14">
      <c r="N8822"/>
    </row>
    <row r="8823" spans="14:14">
      <c r="N8823"/>
    </row>
    <row r="8824" spans="14:14">
      <c r="N8824"/>
    </row>
    <row r="8825" spans="14:14">
      <c r="N8825"/>
    </row>
    <row r="8826" spans="14:14">
      <c r="N8826"/>
    </row>
    <row r="8827" spans="14:14">
      <c r="N8827"/>
    </row>
    <row r="8828" spans="14:14">
      <c r="N8828"/>
    </row>
    <row r="8829" spans="14:14">
      <c r="N8829"/>
    </row>
    <row r="8830" spans="14:14">
      <c r="N8830"/>
    </row>
    <row r="8831" spans="14:14">
      <c r="N8831"/>
    </row>
    <row r="8832" spans="14:14">
      <c r="N8832"/>
    </row>
    <row r="8833" spans="14:14">
      <c r="N8833"/>
    </row>
    <row r="8834" spans="14:14">
      <c r="N8834"/>
    </row>
    <row r="8835" spans="14:14">
      <c r="N8835"/>
    </row>
    <row r="8836" spans="14:14">
      <c r="N8836"/>
    </row>
    <row r="8837" spans="14:14">
      <c r="N8837"/>
    </row>
    <row r="8838" spans="14:14">
      <c r="N8838"/>
    </row>
    <row r="8839" spans="14:14">
      <c r="N8839"/>
    </row>
    <row r="8840" spans="14:14">
      <c r="N8840"/>
    </row>
    <row r="8841" spans="14:14">
      <c r="N8841"/>
    </row>
    <row r="8842" spans="14:14">
      <c r="N8842"/>
    </row>
    <row r="8843" spans="14:14">
      <c r="N8843"/>
    </row>
    <row r="8844" spans="14:14">
      <c r="N8844"/>
    </row>
    <row r="8845" spans="14:14">
      <c r="N8845"/>
    </row>
    <row r="8846" spans="14:14">
      <c r="N8846"/>
    </row>
    <row r="8847" spans="14:14">
      <c r="N8847"/>
    </row>
    <row r="8848" spans="14:14">
      <c r="N8848"/>
    </row>
    <row r="8849" spans="14:14">
      <c r="N8849"/>
    </row>
    <row r="8850" spans="14:14">
      <c r="N8850"/>
    </row>
    <row r="8851" spans="14:14">
      <c r="N8851"/>
    </row>
    <row r="8852" spans="14:14">
      <c r="N8852"/>
    </row>
    <row r="8853" spans="14:14">
      <c r="N8853"/>
    </row>
    <row r="8854" spans="14:14">
      <c r="N8854"/>
    </row>
    <row r="8855" spans="14:14">
      <c r="N8855"/>
    </row>
    <row r="8856" spans="14:14">
      <c r="N8856"/>
    </row>
    <row r="8857" spans="14:14">
      <c r="N8857"/>
    </row>
    <row r="8858" spans="14:14">
      <c r="N8858"/>
    </row>
    <row r="8859" spans="14:14">
      <c r="N8859"/>
    </row>
    <row r="8860" spans="14:14">
      <c r="N8860"/>
    </row>
    <row r="8861" spans="14:14">
      <c r="N8861"/>
    </row>
    <row r="8862" spans="14:14">
      <c r="N8862"/>
    </row>
    <row r="8863" spans="14:14">
      <c r="N8863"/>
    </row>
    <row r="8864" spans="14:14">
      <c r="N8864"/>
    </row>
    <row r="8865" spans="14:14">
      <c r="N8865"/>
    </row>
    <row r="8866" spans="14:14">
      <c r="N8866"/>
    </row>
    <row r="8867" spans="14:14">
      <c r="N8867"/>
    </row>
    <row r="8868" spans="14:14">
      <c r="N8868"/>
    </row>
    <row r="8869" spans="14:14">
      <c r="N8869"/>
    </row>
    <row r="8870" spans="14:14">
      <c r="N8870"/>
    </row>
    <row r="8871" spans="14:14">
      <c r="N8871"/>
    </row>
    <row r="8872" spans="14:14">
      <c r="N8872"/>
    </row>
    <row r="8873" spans="14:14">
      <c r="N8873"/>
    </row>
    <row r="8874" spans="14:14">
      <c r="N8874"/>
    </row>
    <row r="8875" spans="14:14">
      <c r="N8875"/>
    </row>
    <row r="8876" spans="14:14">
      <c r="N8876"/>
    </row>
    <row r="8877" spans="14:14">
      <c r="N8877"/>
    </row>
    <row r="8878" spans="14:14">
      <c r="N8878"/>
    </row>
    <row r="8879" spans="14:14">
      <c r="N8879"/>
    </row>
    <row r="8880" spans="14:14">
      <c r="N8880"/>
    </row>
    <row r="8881" spans="14:14">
      <c r="N8881"/>
    </row>
    <row r="8882" spans="14:14">
      <c r="N8882"/>
    </row>
    <row r="8883" spans="14:14">
      <c r="N8883"/>
    </row>
    <row r="8884" spans="14:14">
      <c r="N8884"/>
    </row>
    <row r="8885" spans="14:14">
      <c r="N8885"/>
    </row>
    <row r="8886" spans="14:14">
      <c r="N8886"/>
    </row>
    <row r="8887" spans="14:14">
      <c r="N8887"/>
    </row>
    <row r="8888" spans="14:14">
      <c r="N8888"/>
    </row>
    <row r="8889" spans="14:14">
      <c r="N8889"/>
    </row>
    <row r="8890" spans="14:14">
      <c r="N8890"/>
    </row>
    <row r="8891" spans="14:14">
      <c r="N8891"/>
    </row>
    <row r="8892" spans="14:14">
      <c r="N8892"/>
    </row>
    <row r="8893" spans="14:14">
      <c r="N8893"/>
    </row>
    <row r="8894" spans="14:14">
      <c r="N8894"/>
    </row>
    <row r="8895" spans="14:14">
      <c r="N8895"/>
    </row>
    <row r="8896" spans="14:14">
      <c r="N8896"/>
    </row>
    <row r="8897" spans="14:14">
      <c r="N8897"/>
    </row>
    <row r="8898" spans="14:14">
      <c r="N8898"/>
    </row>
    <row r="8899" spans="14:14">
      <c r="N8899"/>
    </row>
    <row r="8900" spans="14:14">
      <c r="N8900"/>
    </row>
    <row r="8901" spans="14:14">
      <c r="N8901"/>
    </row>
    <row r="8902" spans="14:14">
      <c r="N8902"/>
    </row>
    <row r="8903" spans="14:14">
      <c r="N8903"/>
    </row>
    <row r="8904" spans="14:14">
      <c r="N8904"/>
    </row>
    <row r="8905" spans="14:14">
      <c r="N8905"/>
    </row>
    <row r="8906" spans="14:14">
      <c r="N8906"/>
    </row>
    <row r="8907" spans="14:14">
      <c r="N8907"/>
    </row>
    <row r="8908" spans="14:14">
      <c r="N8908"/>
    </row>
    <row r="8909" spans="14:14">
      <c r="N8909"/>
    </row>
    <row r="8910" spans="14:14">
      <c r="N8910"/>
    </row>
    <row r="8911" spans="14:14">
      <c r="N8911"/>
    </row>
    <row r="8912" spans="14:14">
      <c r="N8912"/>
    </row>
    <row r="8913" spans="14:14">
      <c r="N8913"/>
    </row>
    <row r="8914" spans="14:14">
      <c r="N8914"/>
    </row>
    <row r="8915" spans="14:14">
      <c r="N8915"/>
    </row>
    <row r="8916" spans="14:14">
      <c r="N8916"/>
    </row>
    <row r="8917" spans="14:14">
      <c r="N8917"/>
    </row>
    <row r="8918" spans="14:14">
      <c r="N8918"/>
    </row>
    <row r="8919" spans="14:14">
      <c r="N8919"/>
    </row>
    <row r="8920" spans="14:14">
      <c r="N8920"/>
    </row>
    <row r="8921" spans="14:14">
      <c r="N8921"/>
    </row>
    <row r="8922" spans="14:14">
      <c r="N8922"/>
    </row>
    <row r="8923" spans="14:14">
      <c r="N8923"/>
    </row>
    <row r="8924" spans="14:14">
      <c r="N8924"/>
    </row>
    <row r="8925" spans="14:14">
      <c r="N8925"/>
    </row>
    <row r="8926" spans="14:14">
      <c r="N8926"/>
    </row>
    <row r="8927" spans="14:14">
      <c r="N8927"/>
    </row>
    <row r="8928" spans="14:14">
      <c r="N8928"/>
    </row>
    <row r="8929" spans="14:14">
      <c r="N8929"/>
    </row>
    <row r="8930" spans="14:14">
      <c r="N8930"/>
    </row>
    <row r="8931" spans="14:14">
      <c r="N8931"/>
    </row>
    <row r="8932" spans="14:14">
      <c r="N8932"/>
    </row>
    <row r="8933" spans="14:14">
      <c r="N8933"/>
    </row>
    <row r="8934" spans="14:14">
      <c r="N8934"/>
    </row>
    <row r="8935" spans="14:14">
      <c r="N8935"/>
    </row>
    <row r="8936" spans="14:14">
      <c r="N8936"/>
    </row>
    <row r="8937" spans="14:14">
      <c r="N8937"/>
    </row>
    <row r="8938" spans="14:14">
      <c r="N8938"/>
    </row>
    <row r="8939" spans="14:14">
      <c r="N8939"/>
    </row>
    <row r="8940" spans="14:14">
      <c r="N8940"/>
    </row>
    <row r="8941" spans="14:14">
      <c r="N8941"/>
    </row>
    <row r="8942" spans="14:14">
      <c r="N8942"/>
    </row>
    <row r="8943" spans="14:14">
      <c r="N8943"/>
    </row>
    <row r="8944" spans="14:14">
      <c r="N8944"/>
    </row>
    <row r="8945" spans="14:14">
      <c r="N8945"/>
    </row>
    <row r="8946" spans="14:14">
      <c r="N8946"/>
    </row>
    <row r="8947" spans="14:14">
      <c r="N8947"/>
    </row>
    <row r="8948" spans="14:14">
      <c r="N8948"/>
    </row>
    <row r="8949" spans="14:14">
      <c r="N8949"/>
    </row>
    <row r="8950" spans="14:14">
      <c r="N8950"/>
    </row>
    <row r="8951" spans="14:14">
      <c r="N8951"/>
    </row>
    <row r="8952" spans="14:14">
      <c r="N8952"/>
    </row>
    <row r="8953" spans="14:14">
      <c r="N8953"/>
    </row>
    <row r="8954" spans="14:14">
      <c r="N8954"/>
    </row>
    <row r="8955" spans="14:14">
      <c r="N8955"/>
    </row>
    <row r="8956" spans="14:14">
      <c r="N8956"/>
    </row>
    <row r="8957" spans="14:14">
      <c r="N8957"/>
    </row>
    <row r="8958" spans="14:14">
      <c r="N8958"/>
    </row>
    <row r="8959" spans="14:14">
      <c r="N8959"/>
    </row>
    <row r="8960" spans="14:14">
      <c r="N8960"/>
    </row>
    <row r="8961" spans="14:14">
      <c r="N8961"/>
    </row>
    <row r="8962" spans="14:14">
      <c r="N8962"/>
    </row>
    <row r="8963" spans="14:14">
      <c r="N8963"/>
    </row>
    <row r="8964" spans="14:14">
      <c r="N8964"/>
    </row>
    <row r="8965" spans="14:14">
      <c r="N8965"/>
    </row>
    <row r="8966" spans="14:14">
      <c r="N8966"/>
    </row>
    <row r="8967" spans="14:14">
      <c r="N8967"/>
    </row>
    <row r="8968" spans="14:14">
      <c r="N8968"/>
    </row>
    <row r="8969" spans="14:14">
      <c r="N8969"/>
    </row>
    <row r="8970" spans="14:14">
      <c r="N8970"/>
    </row>
    <row r="8971" spans="14:14">
      <c r="N8971"/>
    </row>
    <row r="8972" spans="14:14">
      <c r="N8972"/>
    </row>
    <row r="8973" spans="14:14">
      <c r="N8973"/>
    </row>
    <row r="8974" spans="14:14">
      <c r="N8974"/>
    </row>
    <row r="8975" spans="14:14">
      <c r="N8975"/>
    </row>
    <row r="8976" spans="14:14">
      <c r="N8976"/>
    </row>
    <row r="8977" spans="14:14">
      <c r="N8977"/>
    </row>
    <row r="8978" spans="14:14">
      <c r="N8978"/>
    </row>
    <row r="8979" spans="14:14">
      <c r="N8979"/>
    </row>
    <row r="8980" spans="14:14">
      <c r="N8980"/>
    </row>
    <row r="8981" spans="14:14">
      <c r="N8981"/>
    </row>
    <row r="8982" spans="14:14">
      <c r="N8982"/>
    </row>
    <row r="8983" spans="14:14">
      <c r="N8983"/>
    </row>
    <row r="8984" spans="14:14">
      <c r="N8984"/>
    </row>
    <row r="8985" spans="14:14">
      <c r="N8985"/>
    </row>
    <row r="8986" spans="14:14">
      <c r="N8986"/>
    </row>
    <row r="8987" spans="14:14">
      <c r="N8987"/>
    </row>
    <row r="8988" spans="14:14">
      <c r="N8988"/>
    </row>
    <row r="8989" spans="14:14">
      <c r="N8989"/>
    </row>
    <row r="8990" spans="14:14">
      <c r="N8990"/>
    </row>
    <row r="8991" spans="14:14">
      <c r="N8991"/>
    </row>
    <row r="8992" spans="14:14">
      <c r="N8992"/>
    </row>
    <row r="8993" spans="14:14">
      <c r="N8993"/>
    </row>
    <row r="8994" spans="14:14">
      <c r="N8994"/>
    </row>
    <row r="8995" spans="14:14">
      <c r="N8995"/>
    </row>
    <row r="8996" spans="14:14">
      <c r="N8996"/>
    </row>
    <row r="8997" spans="14:14">
      <c r="N8997"/>
    </row>
    <row r="8998" spans="14:14">
      <c r="N8998"/>
    </row>
    <row r="8999" spans="14:14">
      <c r="N8999"/>
    </row>
    <row r="9000" spans="14:14">
      <c r="N9000"/>
    </row>
    <row r="9001" spans="14:14">
      <c r="N9001"/>
    </row>
    <row r="9002" spans="14:14">
      <c r="N9002"/>
    </row>
    <row r="9003" spans="14:14">
      <c r="N9003"/>
    </row>
    <row r="9004" spans="14:14">
      <c r="N9004"/>
    </row>
    <row r="9005" spans="14:14">
      <c r="N9005"/>
    </row>
    <row r="9006" spans="14:14">
      <c r="N9006"/>
    </row>
    <row r="9007" spans="14:14">
      <c r="N9007"/>
    </row>
    <row r="9008" spans="14:14">
      <c r="N9008"/>
    </row>
    <row r="9009" spans="14:14">
      <c r="N9009"/>
    </row>
    <row r="9010" spans="14:14">
      <c r="N9010"/>
    </row>
    <row r="9011" spans="14:14">
      <c r="N9011"/>
    </row>
    <row r="9012" spans="14:14">
      <c r="N9012"/>
    </row>
    <row r="9013" spans="14:14">
      <c r="N9013"/>
    </row>
    <row r="9014" spans="14:14">
      <c r="N9014"/>
    </row>
    <row r="9015" spans="14:14">
      <c r="N9015"/>
    </row>
    <row r="9016" spans="14:14">
      <c r="N9016"/>
    </row>
    <row r="9017" spans="14:14">
      <c r="N9017"/>
    </row>
    <row r="9018" spans="14:14">
      <c r="N9018"/>
    </row>
    <row r="9019" spans="14:14">
      <c r="N9019"/>
    </row>
    <row r="9020" spans="14:14">
      <c r="N9020"/>
    </row>
    <row r="9021" spans="14:14">
      <c r="N9021"/>
    </row>
    <row r="9022" spans="14:14">
      <c r="N9022"/>
    </row>
    <row r="9023" spans="14:14">
      <c r="N9023"/>
    </row>
    <row r="9024" spans="14:14">
      <c r="N9024"/>
    </row>
    <row r="9025" spans="14:14">
      <c r="N9025"/>
    </row>
    <row r="9026" spans="14:14">
      <c r="N9026"/>
    </row>
    <row r="9027" spans="14:14">
      <c r="N9027"/>
    </row>
    <row r="9028" spans="14:14">
      <c r="N9028"/>
    </row>
    <row r="9029" spans="14:14">
      <c r="N9029"/>
    </row>
    <row r="9030" spans="14:14">
      <c r="N9030"/>
    </row>
    <row r="9031" spans="14:14">
      <c r="N9031"/>
    </row>
    <row r="9032" spans="14:14">
      <c r="N9032"/>
    </row>
    <row r="9033" spans="14:14">
      <c r="N9033"/>
    </row>
    <row r="9034" spans="14:14">
      <c r="N9034"/>
    </row>
    <row r="9035" spans="14:14">
      <c r="N9035"/>
    </row>
    <row r="9036" spans="14:14">
      <c r="N9036"/>
    </row>
    <row r="9037" spans="14:14">
      <c r="N9037"/>
    </row>
    <row r="9038" spans="14:14">
      <c r="N9038"/>
    </row>
    <row r="9039" spans="14:14">
      <c r="N9039"/>
    </row>
    <row r="9040" spans="14:14">
      <c r="N9040"/>
    </row>
    <row r="9041" spans="14:14">
      <c r="N9041"/>
    </row>
    <row r="9042" spans="14:14">
      <c r="N9042"/>
    </row>
    <row r="9043" spans="14:14">
      <c r="N9043"/>
    </row>
    <row r="9044" spans="14:14">
      <c r="N9044"/>
    </row>
    <row r="9045" spans="14:14">
      <c r="N9045"/>
    </row>
    <row r="9046" spans="14:14">
      <c r="N9046"/>
    </row>
    <row r="9047" spans="14:14">
      <c r="N9047"/>
    </row>
    <row r="9048" spans="14:14">
      <c r="N9048"/>
    </row>
    <row r="9049" spans="14:14">
      <c r="N9049"/>
    </row>
    <row r="9050" spans="14:14">
      <c r="N9050"/>
    </row>
    <row r="9051" spans="14:14">
      <c r="N9051"/>
    </row>
    <row r="9052" spans="14:14">
      <c r="N9052"/>
    </row>
    <row r="9053" spans="14:14">
      <c r="N9053"/>
    </row>
    <row r="9054" spans="14:14">
      <c r="N9054"/>
    </row>
    <row r="9055" spans="14:14">
      <c r="N9055"/>
    </row>
    <row r="9056" spans="14:14">
      <c r="N9056"/>
    </row>
    <row r="9057" spans="14:14">
      <c r="N9057"/>
    </row>
    <row r="9058" spans="14:14">
      <c r="N9058"/>
    </row>
    <row r="9059" spans="14:14">
      <c r="N9059"/>
    </row>
    <row r="9060" spans="14:14">
      <c r="N9060"/>
    </row>
    <row r="9061" spans="14:14">
      <c r="N9061"/>
    </row>
    <row r="9062" spans="14:14">
      <c r="N9062"/>
    </row>
    <row r="9063" spans="14:14">
      <c r="N9063"/>
    </row>
    <row r="9064" spans="14:14">
      <c r="N9064"/>
    </row>
    <row r="9065" spans="14:14">
      <c r="N9065"/>
    </row>
    <row r="9066" spans="14:14">
      <c r="N9066"/>
    </row>
    <row r="9067" spans="14:14">
      <c r="N9067"/>
    </row>
    <row r="9068" spans="14:14">
      <c r="N9068"/>
    </row>
    <row r="9069" spans="14:14">
      <c r="N9069"/>
    </row>
    <row r="9070" spans="14:14">
      <c r="N9070"/>
    </row>
    <row r="9071" spans="14:14">
      <c r="N9071"/>
    </row>
    <row r="9072" spans="14:14">
      <c r="N9072"/>
    </row>
    <row r="9073" spans="14:14">
      <c r="N9073"/>
    </row>
    <row r="9074" spans="14:14">
      <c r="N9074"/>
    </row>
    <row r="9075" spans="14:14">
      <c r="N9075"/>
    </row>
    <row r="9076" spans="14:14">
      <c r="N9076"/>
    </row>
    <row r="9077" spans="14:14">
      <c r="N9077"/>
    </row>
    <row r="9078" spans="14:14">
      <c r="N9078"/>
    </row>
    <row r="9079" spans="14:14">
      <c r="N9079"/>
    </row>
    <row r="9080" spans="14:14">
      <c r="N9080"/>
    </row>
    <row r="9081" spans="14:14">
      <c r="N9081"/>
    </row>
    <row r="9082" spans="14:14">
      <c r="N9082"/>
    </row>
    <row r="9083" spans="14:14">
      <c r="N9083"/>
    </row>
    <row r="9084" spans="14:14">
      <c r="N9084"/>
    </row>
    <row r="9085" spans="14:14">
      <c r="N9085"/>
    </row>
    <row r="9086" spans="14:14">
      <c r="N9086"/>
    </row>
    <row r="9087" spans="14:14">
      <c r="N9087"/>
    </row>
    <row r="9088" spans="14:14">
      <c r="N9088"/>
    </row>
    <row r="9089" spans="14:14">
      <c r="N9089"/>
    </row>
    <row r="9090" spans="14:14">
      <c r="N9090"/>
    </row>
    <row r="9091" spans="14:14">
      <c r="N9091"/>
    </row>
    <row r="9092" spans="14:14">
      <c r="N9092"/>
    </row>
    <row r="9093" spans="14:14">
      <c r="N9093"/>
    </row>
    <row r="9094" spans="14:14">
      <c r="N9094"/>
    </row>
    <row r="9095" spans="14:14">
      <c r="N9095"/>
    </row>
    <row r="9096" spans="14:14">
      <c r="N9096"/>
    </row>
    <row r="9097" spans="14:14">
      <c r="N9097"/>
    </row>
    <row r="9098" spans="14:14">
      <c r="N9098"/>
    </row>
    <row r="9099" spans="14:14">
      <c r="N9099"/>
    </row>
    <row r="9100" spans="14:14">
      <c r="N9100"/>
    </row>
    <row r="9101" spans="14:14">
      <c r="N9101"/>
    </row>
    <row r="9102" spans="14:14">
      <c r="N9102"/>
    </row>
    <row r="9103" spans="14:14">
      <c r="N9103"/>
    </row>
    <row r="9104" spans="14:14">
      <c r="N9104"/>
    </row>
    <row r="9105" spans="14:14">
      <c r="N9105"/>
    </row>
    <row r="9106" spans="14:14">
      <c r="N9106"/>
    </row>
    <row r="9107" spans="14:14">
      <c r="N9107"/>
    </row>
    <row r="9108" spans="14:14">
      <c r="N9108"/>
    </row>
    <row r="9109" spans="14:14">
      <c r="N9109"/>
    </row>
    <row r="9110" spans="14:14">
      <c r="N9110"/>
    </row>
    <row r="9111" spans="14:14">
      <c r="N9111"/>
    </row>
    <row r="9112" spans="14:14">
      <c r="N9112"/>
    </row>
    <row r="9113" spans="14:14">
      <c r="N9113"/>
    </row>
    <row r="9114" spans="14:14">
      <c r="N9114"/>
    </row>
    <row r="9115" spans="14:14">
      <c r="N9115"/>
    </row>
    <row r="9116" spans="14:14">
      <c r="N9116"/>
    </row>
    <row r="9117" spans="14:14">
      <c r="N9117"/>
    </row>
    <row r="9118" spans="14:14">
      <c r="N9118"/>
    </row>
    <row r="9119" spans="14:14">
      <c r="N9119"/>
    </row>
    <row r="9120" spans="14:14">
      <c r="N9120"/>
    </row>
    <row r="9121" spans="14:14">
      <c r="N9121"/>
    </row>
    <row r="9122" spans="14:14">
      <c r="N9122"/>
    </row>
    <row r="9123" spans="14:14">
      <c r="N9123"/>
    </row>
    <row r="9124" spans="14:14">
      <c r="N9124"/>
    </row>
    <row r="9125" spans="14:14">
      <c r="N9125"/>
    </row>
    <row r="9126" spans="14:14">
      <c r="N9126"/>
    </row>
    <row r="9127" spans="14:14">
      <c r="N9127"/>
    </row>
    <row r="9128" spans="14:14">
      <c r="N9128"/>
    </row>
    <row r="9129" spans="14:14">
      <c r="N9129"/>
    </row>
    <row r="9130" spans="14:14">
      <c r="N9130"/>
    </row>
    <row r="9131" spans="14:14">
      <c r="N9131"/>
    </row>
    <row r="9132" spans="14:14">
      <c r="N9132"/>
    </row>
    <row r="9133" spans="14:14">
      <c r="N9133"/>
    </row>
    <row r="9134" spans="14:14">
      <c r="N9134"/>
    </row>
    <row r="9135" spans="14:14">
      <c r="N9135"/>
    </row>
    <row r="9136" spans="14:14">
      <c r="N9136"/>
    </row>
    <row r="9137" spans="14:14">
      <c r="N9137"/>
    </row>
    <row r="9138" spans="14:14">
      <c r="N9138"/>
    </row>
    <row r="9139" spans="14:14">
      <c r="N9139"/>
    </row>
    <row r="9140" spans="14:14">
      <c r="N9140"/>
    </row>
    <row r="9141" spans="14:14">
      <c r="N9141"/>
    </row>
    <row r="9142" spans="14:14">
      <c r="N9142"/>
    </row>
    <row r="9143" spans="14:14">
      <c r="N9143"/>
    </row>
    <row r="9144" spans="14:14">
      <c r="N9144"/>
    </row>
    <row r="9145" spans="14:14">
      <c r="N9145"/>
    </row>
    <row r="9146" spans="14:14">
      <c r="N9146"/>
    </row>
    <row r="9147" spans="14:14">
      <c r="N9147"/>
    </row>
    <row r="9148" spans="14:14">
      <c r="N9148"/>
    </row>
    <row r="9149" spans="14:14">
      <c r="N9149"/>
    </row>
    <row r="9150" spans="14:14">
      <c r="N9150"/>
    </row>
    <row r="9151" spans="14:14">
      <c r="N9151"/>
    </row>
    <row r="9152" spans="14:14">
      <c r="N9152"/>
    </row>
    <row r="9153" spans="14:14">
      <c r="N9153"/>
    </row>
    <row r="9154" spans="14:14">
      <c r="N9154"/>
    </row>
    <row r="9155" spans="14:14">
      <c r="N9155"/>
    </row>
    <row r="9156" spans="14:14">
      <c r="N9156"/>
    </row>
    <row r="9157" spans="14:14">
      <c r="N9157"/>
    </row>
    <row r="9158" spans="14:14">
      <c r="N9158"/>
    </row>
    <row r="9159" spans="14:14">
      <c r="N9159"/>
    </row>
    <row r="9160" spans="14:14">
      <c r="N9160"/>
    </row>
    <row r="9161" spans="14:14">
      <c r="N9161"/>
    </row>
    <row r="9162" spans="14:14">
      <c r="N9162"/>
    </row>
    <row r="9163" spans="14:14">
      <c r="N9163"/>
    </row>
    <row r="9164" spans="14:14">
      <c r="N9164"/>
    </row>
    <row r="9165" spans="14:14">
      <c r="N9165"/>
    </row>
    <row r="9166" spans="14:14">
      <c r="N9166"/>
    </row>
    <row r="9167" spans="14:14">
      <c r="N9167"/>
    </row>
    <row r="9168" spans="14:14">
      <c r="N9168"/>
    </row>
    <row r="9169" spans="14:14">
      <c r="N9169"/>
    </row>
    <row r="9170" spans="14:14">
      <c r="N9170"/>
    </row>
    <row r="9171" spans="14:14">
      <c r="N9171"/>
    </row>
    <row r="9172" spans="14:14">
      <c r="N9172"/>
    </row>
    <row r="9173" spans="14:14">
      <c r="N9173"/>
    </row>
    <row r="9174" spans="14:14">
      <c r="N9174"/>
    </row>
    <row r="9175" spans="14:14">
      <c r="N9175"/>
    </row>
    <row r="9176" spans="14:14">
      <c r="N9176"/>
    </row>
    <row r="9177" spans="14:14">
      <c r="N9177"/>
    </row>
    <row r="9178" spans="14:14">
      <c r="N9178"/>
    </row>
    <row r="9179" spans="14:14">
      <c r="N9179"/>
    </row>
    <row r="9180" spans="14:14">
      <c r="N9180"/>
    </row>
    <row r="9181" spans="14:14">
      <c r="N9181"/>
    </row>
    <row r="9182" spans="14:14">
      <c r="N9182"/>
    </row>
    <row r="9183" spans="14:14">
      <c r="N9183"/>
    </row>
    <row r="9184" spans="14:14">
      <c r="N9184"/>
    </row>
    <row r="9185" spans="14:14">
      <c r="N9185"/>
    </row>
    <row r="9186" spans="14:14">
      <c r="N9186"/>
    </row>
    <row r="9187" spans="14:14">
      <c r="N9187"/>
    </row>
    <row r="9188" spans="14:14">
      <c r="N9188"/>
    </row>
    <row r="9189" spans="14:14">
      <c r="N9189"/>
    </row>
    <row r="9190" spans="14:14">
      <c r="N9190"/>
    </row>
    <row r="9191" spans="14:14">
      <c r="N9191"/>
    </row>
    <row r="9192" spans="14:14">
      <c r="N9192"/>
    </row>
    <row r="9193" spans="14:14">
      <c r="N9193"/>
    </row>
    <row r="9194" spans="14:14">
      <c r="N9194"/>
    </row>
    <row r="9195" spans="14:14">
      <c r="N9195"/>
    </row>
    <row r="9196" spans="14:14">
      <c r="N9196"/>
    </row>
    <row r="9197" spans="14:14">
      <c r="N9197"/>
    </row>
    <row r="9198" spans="14:14">
      <c r="N9198"/>
    </row>
    <row r="9199" spans="14:14">
      <c r="N9199"/>
    </row>
    <row r="9200" spans="14:14">
      <c r="N9200"/>
    </row>
    <row r="9201" spans="14:14">
      <c r="N9201"/>
    </row>
    <row r="9202" spans="14:14">
      <c r="N9202"/>
    </row>
    <row r="9203" spans="14:14">
      <c r="N9203"/>
    </row>
    <row r="9204" spans="14:14">
      <c r="N9204"/>
    </row>
    <row r="9205" spans="14:14">
      <c r="N9205"/>
    </row>
    <row r="9206" spans="14:14">
      <c r="N9206"/>
    </row>
    <row r="9207" spans="14:14">
      <c r="N9207"/>
    </row>
    <row r="9208" spans="14:14">
      <c r="N9208"/>
    </row>
    <row r="9209" spans="14:14">
      <c r="N9209"/>
    </row>
    <row r="9210" spans="14:14">
      <c r="N9210"/>
    </row>
    <row r="9211" spans="14:14">
      <c r="N9211"/>
    </row>
    <row r="9212" spans="14:14">
      <c r="N9212"/>
    </row>
    <row r="9213" spans="14:14">
      <c r="N9213"/>
    </row>
    <row r="9214" spans="14:14">
      <c r="N9214"/>
    </row>
    <row r="9215" spans="14:14">
      <c r="N9215"/>
    </row>
    <row r="9216" spans="14:14">
      <c r="N9216"/>
    </row>
    <row r="9217" spans="14:14">
      <c r="N9217"/>
    </row>
    <row r="9218" spans="14:14">
      <c r="N9218"/>
    </row>
    <row r="9219" spans="14:14">
      <c r="N9219"/>
    </row>
    <row r="9220" spans="14:14">
      <c r="N9220"/>
    </row>
    <row r="9221" spans="14:14">
      <c r="N9221"/>
    </row>
    <row r="9222" spans="14:14">
      <c r="N9222"/>
    </row>
    <row r="9223" spans="14:14">
      <c r="N9223"/>
    </row>
    <row r="9224" spans="14:14">
      <c r="N9224"/>
    </row>
    <row r="9225" spans="14:14">
      <c r="N9225"/>
    </row>
    <row r="9226" spans="14:14">
      <c r="N9226"/>
    </row>
    <row r="9227" spans="14:14">
      <c r="N9227"/>
    </row>
    <row r="9228" spans="14:14">
      <c r="N9228"/>
    </row>
    <row r="9229" spans="14:14">
      <c r="N9229"/>
    </row>
    <row r="9230" spans="14:14">
      <c r="N9230"/>
    </row>
    <row r="9231" spans="14:14">
      <c r="N9231"/>
    </row>
    <row r="9232" spans="14:14">
      <c r="N9232"/>
    </row>
    <row r="9233" spans="14:14">
      <c r="N9233"/>
    </row>
    <row r="9234" spans="14:14">
      <c r="N9234"/>
    </row>
    <row r="9235" spans="14:14">
      <c r="N9235"/>
    </row>
    <row r="9236" spans="14:14">
      <c r="N9236"/>
    </row>
    <row r="9237" spans="14:14">
      <c r="N9237"/>
    </row>
    <row r="9238" spans="14:14">
      <c r="N9238"/>
    </row>
    <row r="9239" spans="14:14">
      <c r="N9239"/>
    </row>
    <row r="9240" spans="14:14">
      <c r="N9240"/>
    </row>
    <row r="9241" spans="14:14">
      <c r="N9241"/>
    </row>
    <row r="9242" spans="14:14">
      <c r="N9242"/>
    </row>
    <row r="9243" spans="14:14">
      <c r="N9243"/>
    </row>
    <row r="9244" spans="14:14">
      <c r="N9244"/>
    </row>
    <row r="9245" spans="14:14">
      <c r="N9245"/>
    </row>
    <row r="9246" spans="14:14">
      <c r="N9246"/>
    </row>
    <row r="9247" spans="14:14">
      <c r="N9247"/>
    </row>
    <row r="9248" spans="14:14">
      <c r="N9248"/>
    </row>
    <row r="9249" spans="14:14">
      <c r="N9249"/>
    </row>
    <row r="9250" spans="14:14">
      <c r="N9250"/>
    </row>
    <row r="9251" spans="14:14">
      <c r="N9251"/>
    </row>
    <row r="9252" spans="14:14">
      <c r="N9252"/>
    </row>
    <row r="9253" spans="14:14">
      <c r="N9253"/>
    </row>
    <row r="9254" spans="14:14">
      <c r="N9254"/>
    </row>
    <row r="9255" spans="14:14">
      <c r="N9255"/>
    </row>
    <row r="9256" spans="14:14">
      <c r="N9256"/>
    </row>
    <row r="9257" spans="14:14">
      <c r="N9257"/>
    </row>
    <row r="9258" spans="14:14">
      <c r="N9258"/>
    </row>
    <row r="9259" spans="14:14">
      <c r="N9259"/>
    </row>
    <row r="9260" spans="14:14">
      <c r="N9260"/>
    </row>
    <row r="9261" spans="14:14">
      <c r="N9261"/>
    </row>
    <row r="9262" spans="14:14">
      <c r="N9262"/>
    </row>
    <row r="9263" spans="14:14">
      <c r="N9263"/>
    </row>
    <row r="9264" spans="14:14">
      <c r="N9264"/>
    </row>
    <row r="9265" spans="14:14">
      <c r="N9265"/>
    </row>
    <row r="9266" spans="14:14">
      <c r="N9266"/>
    </row>
    <row r="9267" spans="14:14">
      <c r="N9267"/>
    </row>
    <row r="9268" spans="14:14">
      <c r="N9268"/>
    </row>
    <row r="9269" spans="14:14">
      <c r="N9269"/>
    </row>
    <row r="9270" spans="14:14">
      <c r="N9270"/>
    </row>
    <row r="9271" spans="14:14">
      <c r="N9271"/>
    </row>
    <row r="9272" spans="14:14">
      <c r="N9272"/>
    </row>
    <row r="9273" spans="14:14">
      <c r="N9273"/>
    </row>
    <row r="9274" spans="14:14">
      <c r="N9274"/>
    </row>
    <row r="9275" spans="14:14">
      <c r="N9275"/>
    </row>
    <row r="9276" spans="14:14">
      <c r="N9276"/>
    </row>
    <row r="9277" spans="14:14">
      <c r="N9277"/>
    </row>
    <row r="9278" spans="14:14">
      <c r="N9278"/>
    </row>
    <row r="9279" spans="14:14">
      <c r="N9279"/>
    </row>
    <row r="9280" spans="14:14">
      <c r="N9280"/>
    </row>
    <row r="9281" spans="14:14">
      <c r="N9281"/>
    </row>
    <row r="9282" spans="14:14">
      <c r="N9282"/>
    </row>
    <row r="9283" spans="14:14">
      <c r="N9283"/>
    </row>
    <row r="9284" spans="14:14">
      <c r="N9284"/>
    </row>
    <row r="9285" spans="14:14">
      <c r="N9285"/>
    </row>
    <row r="9286" spans="14:14">
      <c r="N9286"/>
    </row>
    <row r="9287" spans="14:14">
      <c r="N9287"/>
    </row>
    <row r="9288" spans="14:14">
      <c r="N9288"/>
    </row>
    <row r="9289" spans="14:14">
      <c r="N9289"/>
    </row>
    <row r="9290" spans="14:14">
      <c r="N9290"/>
    </row>
    <row r="9291" spans="14:14">
      <c r="N9291"/>
    </row>
    <row r="9292" spans="14:14">
      <c r="N9292"/>
    </row>
    <row r="9293" spans="14:14">
      <c r="N9293"/>
    </row>
    <row r="9294" spans="14:14">
      <c r="N9294"/>
    </row>
    <row r="9295" spans="14:14">
      <c r="N9295"/>
    </row>
    <row r="9296" spans="14:14">
      <c r="N9296"/>
    </row>
    <row r="9297" spans="14:14">
      <c r="N9297"/>
    </row>
    <row r="9298" spans="14:14">
      <c r="N9298"/>
    </row>
    <row r="9299" spans="14:14">
      <c r="N9299"/>
    </row>
    <row r="9300" spans="14:14">
      <c r="N9300"/>
    </row>
    <row r="9301" spans="14:14">
      <c r="N9301"/>
    </row>
    <row r="9302" spans="14:14">
      <c r="N9302"/>
    </row>
    <row r="9303" spans="14:14">
      <c r="N9303"/>
    </row>
    <row r="9304" spans="14:14">
      <c r="N9304"/>
    </row>
    <row r="9305" spans="14:14">
      <c r="N9305"/>
    </row>
    <row r="9306" spans="14:14">
      <c r="N9306"/>
    </row>
    <row r="9307" spans="14:14">
      <c r="N9307"/>
    </row>
    <row r="9308" spans="14:14">
      <c r="N9308"/>
    </row>
    <row r="9309" spans="14:14">
      <c r="N9309"/>
    </row>
    <row r="9310" spans="14:14">
      <c r="N9310"/>
    </row>
    <row r="9311" spans="14:14">
      <c r="N9311"/>
    </row>
    <row r="9312" spans="14:14">
      <c r="N9312"/>
    </row>
    <row r="9313" spans="14:14">
      <c r="N9313"/>
    </row>
    <row r="9314" spans="14:14">
      <c r="N9314"/>
    </row>
    <row r="9315" spans="14:14">
      <c r="N9315"/>
    </row>
    <row r="9316" spans="14:14">
      <c r="N9316"/>
    </row>
    <row r="9317" spans="14:14">
      <c r="N9317"/>
    </row>
    <row r="9318" spans="14:14">
      <c r="N9318"/>
    </row>
    <row r="9319" spans="14:14">
      <c r="N9319"/>
    </row>
    <row r="9320" spans="14:14">
      <c r="N9320"/>
    </row>
    <row r="9321" spans="14:14">
      <c r="N9321"/>
    </row>
    <row r="9322" spans="14:14">
      <c r="N9322"/>
    </row>
    <row r="9323" spans="14:14">
      <c r="N9323"/>
    </row>
    <row r="9324" spans="14:14">
      <c r="N9324"/>
    </row>
    <row r="9325" spans="14:14">
      <c r="N9325"/>
    </row>
    <row r="9326" spans="14:14">
      <c r="N9326"/>
    </row>
    <row r="9327" spans="14:14">
      <c r="N9327"/>
    </row>
    <row r="9328" spans="14:14">
      <c r="N9328"/>
    </row>
    <row r="9329" spans="14:14">
      <c r="N9329"/>
    </row>
    <row r="9330" spans="14:14">
      <c r="N9330"/>
    </row>
    <row r="9331" spans="14:14">
      <c r="N9331"/>
    </row>
    <row r="9332" spans="14:14">
      <c r="N9332"/>
    </row>
    <row r="9333" spans="14:14">
      <c r="N9333"/>
    </row>
    <row r="9334" spans="14:14">
      <c r="N9334"/>
    </row>
    <row r="9335" spans="14:14">
      <c r="N9335"/>
    </row>
    <row r="9336" spans="14:14">
      <c r="N9336"/>
    </row>
    <row r="9337" spans="14:14">
      <c r="N9337"/>
    </row>
    <row r="9338" spans="14:14">
      <c r="N9338"/>
    </row>
    <row r="9339" spans="14:14">
      <c r="N9339"/>
    </row>
    <row r="9340" spans="14:14">
      <c r="N9340"/>
    </row>
    <row r="9341" spans="14:14">
      <c r="N9341"/>
    </row>
    <row r="9342" spans="14:14">
      <c r="N9342"/>
    </row>
    <row r="9343" spans="14:14">
      <c r="N9343"/>
    </row>
    <row r="9344" spans="14:14">
      <c r="N9344"/>
    </row>
    <row r="9345" spans="14:14">
      <c r="N9345"/>
    </row>
    <row r="9346" spans="14:14">
      <c r="N9346"/>
    </row>
    <row r="9347" spans="14:14">
      <c r="N9347"/>
    </row>
    <row r="9348" spans="14:14">
      <c r="N9348"/>
    </row>
    <row r="9349" spans="14:14">
      <c r="N9349"/>
    </row>
    <row r="9350" spans="14:14">
      <c r="N9350"/>
    </row>
    <row r="9351" spans="14:14">
      <c r="N9351"/>
    </row>
    <row r="9352" spans="14:14">
      <c r="N9352"/>
    </row>
    <row r="9353" spans="14:14">
      <c r="N9353"/>
    </row>
    <row r="9354" spans="14:14">
      <c r="N9354"/>
    </row>
    <row r="9355" spans="14:14">
      <c r="N9355"/>
    </row>
    <row r="9356" spans="14:14">
      <c r="N9356"/>
    </row>
    <row r="9357" spans="14:14">
      <c r="N9357"/>
    </row>
    <row r="9358" spans="14:14">
      <c r="N9358"/>
    </row>
    <row r="9359" spans="14:14">
      <c r="N9359"/>
    </row>
    <row r="9360" spans="14:14">
      <c r="N9360"/>
    </row>
    <row r="9361" spans="14:14">
      <c r="N9361"/>
    </row>
    <row r="9362" spans="14:14">
      <c r="N9362"/>
    </row>
    <row r="9363" spans="14:14">
      <c r="N9363"/>
    </row>
    <row r="9364" spans="14:14">
      <c r="N9364"/>
    </row>
    <row r="9365" spans="14:14">
      <c r="N9365"/>
    </row>
    <row r="9366" spans="14:14">
      <c r="N9366"/>
    </row>
    <row r="9367" spans="14:14">
      <c r="N9367"/>
    </row>
    <row r="9368" spans="14:14">
      <c r="N9368"/>
    </row>
    <row r="9369" spans="14:14">
      <c r="N9369"/>
    </row>
    <row r="9370" spans="14:14">
      <c r="N9370"/>
    </row>
    <row r="9371" spans="14:14">
      <c r="N9371"/>
    </row>
    <row r="9372" spans="14:14">
      <c r="N9372"/>
    </row>
    <row r="9373" spans="14:14">
      <c r="N9373"/>
    </row>
    <row r="9374" spans="14:14">
      <c r="N9374"/>
    </row>
    <row r="9375" spans="14:14">
      <c r="N9375"/>
    </row>
    <row r="9376" spans="14:14">
      <c r="N9376"/>
    </row>
    <row r="9377" spans="14:14">
      <c r="N9377"/>
    </row>
    <row r="9378" spans="14:14">
      <c r="N9378"/>
    </row>
    <row r="9379" spans="14:14">
      <c r="N9379"/>
    </row>
    <row r="9380" spans="14:14">
      <c r="N9380"/>
    </row>
    <row r="9381" spans="14:14">
      <c r="N9381"/>
    </row>
    <row r="9382" spans="14:14">
      <c r="N9382"/>
    </row>
    <row r="9383" spans="14:14">
      <c r="N9383"/>
    </row>
    <row r="9384" spans="14:14">
      <c r="N9384"/>
    </row>
    <row r="9385" spans="14:14">
      <c r="N9385"/>
    </row>
    <row r="9386" spans="14:14">
      <c r="N9386"/>
    </row>
    <row r="9387" spans="14:14">
      <c r="N9387"/>
    </row>
    <row r="9388" spans="14:14">
      <c r="N9388"/>
    </row>
    <row r="9389" spans="14:14">
      <c r="N9389"/>
    </row>
    <row r="9390" spans="14:14">
      <c r="N9390"/>
    </row>
    <row r="9391" spans="14:14">
      <c r="N9391"/>
    </row>
    <row r="9392" spans="14:14">
      <c r="N9392"/>
    </row>
    <row r="9393" spans="14:14">
      <c r="N9393"/>
    </row>
    <row r="9394" spans="14:14">
      <c r="N9394"/>
    </row>
    <row r="9395" spans="14:14">
      <c r="N9395"/>
    </row>
    <row r="9396" spans="14:14">
      <c r="N9396"/>
    </row>
    <row r="9397" spans="14:14">
      <c r="N9397"/>
    </row>
    <row r="9398" spans="14:14">
      <c r="N9398"/>
    </row>
    <row r="9399" spans="14:14">
      <c r="N9399"/>
    </row>
    <row r="9400" spans="14:14">
      <c r="N9400"/>
    </row>
    <row r="9401" spans="14:14">
      <c r="N9401"/>
    </row>
    <row r="9402" spans="14:14">
      <c r="N9402"/>
    </row>
    <row r="9403" spans="14:14">
      <c r="N9403"/>
    </row>
    <row r="9404" spans="14:14">
      <c r="N9404"/>
    </row>
    <row r="9405" spans="14:14">
      <c r="N9405"/>
    </row>
    <row r="9406" spans="14:14">
      <c r="N9406"/>
    </row>
    <row r="9407" spans="14:14">
      <c r="N9407"/>
    </row>
    <row r="9408" spans="14:14">
      <c r="N9408"/>
    </row>
    <row r="9409" spans="14:14">
      <c r="N9409"/>
    </row>
    <row r="9410" spans="14:14">
      <c r="N9410"/>
    </row>
    <row r="9411" spans="14:14">
      <c r="N9411"/>
    </row>
    <row r="9412" spans="14:14">
      <c r="N9412"/>
    </row>
    <row r="9413" spans="14:14">
      <c r="N9413"/>
    </row>
    <row r="9414" spans="14:14">
      <c r="N9414"/>
    </row>
    <row r="9415" spans="14:14">
      <c r="N9415"/>
    </row>
    <row r="9416" spans="14:14">
      <c r="N9416"/>
    </row>
    <row r="9417" spans="14:14">
      <c r="N9417"/>
    </row>
    <row r="9418" spans="14:14">
      <c r="N9418"/>
    </row>
    <row r="9419" spans="14:14">
      <c r="N9419"/>
    </row>
    <row r="9420" spans="14:14">
      <c r="N9420"/>
    </row>
    <row r="9421" spans="14:14">
      <c r="N9421"/>
    </row>
    <row r="9422" spans="14:14">
      <c r="N9422"/>
    </row>
    <row r="9423" spans="14:14">
      <c r="N9423"/>
    </row>
    <row r="9424" spans="14:14">
      <c r="N9424"/>
    </row>
    <row r="9425" spans="14:14">
      <c r="N9425"/>
    </row>
    <row r="9426" spans="14:14">
      <c r="N9426"/>
    </row>
    <row r="9427" spans="14:14">
      <c r="N9427"/>
    </row>
    <row r="9428" spans="14:14">
      <c r="N9428"/>
    </row>
    <row r="9429" spans="14:14">
      <c r="N9429"/>
    </row>
    <row r="9430" spans="14:14">
      <c r="N9430"/>
    </row>
    <row r="9431" spans="14:14">
      <c r="N9431"/>
    </row>
    <row r="9432" spans="14:14">
      <c r="N9432"/>
    </row>
    <row r="9433" spans="14:14">
      <c r="N9433"/>
    </row>
    <row r="9434" spans="14:14">
      <c r="N9434"/>
    </row>
    <row r="9435" spans="14:14">
      <c r="N9435"/>
    </row>
    <row r="9436" spans="14:14">
      <c r="N9436"/>
    </row>
    <row r="9437" spans="14:14">
      <c r="N9437"/>
    </row>
    <row r="9438" spans="14:14">
      <c r="N9438"/>
    </row>
    <row r="9439" spans="14:14">
      <c r="N9439"/>
    </row>
    <row r="9440" spans="14:14">
      <c r="N9440"/>
    </row>
    <row r="9441" spans="14:14">
      <c r="N9441"/>
    </row>
    <row r="9442" spans="14:14">
      <c r="N9442"/>
    </row>
    <row r="9443" spans="14:14">
      <c r="N9443"/>
    </row>
    <row r="9444" spans="14:14">
      <c r="N9444"/>
    </row>
    <row r="9445" spans="14:14">
      <c r="N9445"/>
    </row>
    <row r="9446" spans="14:14">
      <c r="N9446"/>
    </row>
    <row r="9447" spans="14:14">
      <c r="N9447"/>
    </row>
    <row r="9448" spans="14:14">
      <c r="N9448"/>
    </row>
    <row r="9449" spans="14:14">
      <c r="N9449"/>
    </row>
    <row r="9450" spans="14:14">
      <c r="N9450"/>
    </row>
    <row r="9451" spans="14:14">
      <c r="N9451"/>
    </row>
    <row r="9452" spans="14:14">
      <c r="N9452"/>
    </row>
    <row r="9453" spans="14:14">
      <c r="N9453"/>
    </row>
    <row r="9454" spans="14:14">
      <c r="N9454"/>
    </row>
    <row r="9455" spans="14:14">
      <c r="N9455"/>
    </row>
    <row r="9456" spans="14:14">
      <c r="N9456"/>
    </row>
    <row r="9457" spans="14:14">
      <c r="N9457"/>
    </row>
    <row r="9458" spans="14:14">
      <c r="N9458"/>
    </row>
    <row r="9459" spans="14:14">
      <c r="N9459"/>
    </row>
    <row r="9460" spans="14:14">
      <c r="N9460"/>
    </row>
    <row r="9461" spans="14:14">
      <c r="N9461"/>
    </row>
    <row r="9462" spans="14:14">
      <c r="N9462"/>
    </row>
    <row r="9463" spans="14:14">
      <c r="N9463"/>
    </row>
    <row r="9464" spans="14:14">
      <c r="N9464"/>
    </row>
    <row r="9465" spans="14:14">
      <c r="N9465"/>
    </row>
    <row r="9466" spans="14:14">
      <c r="N9466"/>
    </row>
    <row r="9467" spans="14:14">
      <c r="N9467"/>
    </row>
    <row r="9468" spans="14:14">
      <c r="N9468"/>
    </row>
    <row r="9469" spans="14:14">
      <c r="N9469"/>
    </row>
    <row r="9470" spans="14:14">
      <c r="N9470"/>
    </row>
    <row r="9471" spans="14:14">
      <c r="N9471"/>
    </row>
    <row r="9472" spans="14:14">
      <c r="N9472"/>
    </row>
    <row r="9473" spans="14:14">
      <c r="N9473"/>
    </row>
    <row r="9474" spans="14:14">
      <c r="N9474"/>
    </row>
    <row r="9475" spans="14:14">
      <c r="N9475"/>
    </row>
    <row r="9476" spans="14:14">
      <c r="N9476"/>
    </row>
    <row r="9477" spans="14:14">
      <c r="N9477"/>
    </row>
    <row r="9478" spans="14:14">
      <c r="N9478"/>
    </row>
    <row r="9479" spans="14:14">
      <c r="N9479"/>
    </row>
    <row r="9480" spans="14:14">
      <c r="N9480"/>
    </row>
    <row r="9481" spans="14:14">
      <c r="N9481"/>
    </row>
    <row r="9482" spans="14:14">
      <c r="N9482"/>
    </row>
    <row r="9483" spans="14:14">
      <c r="N9483"/>
    </row>
    <row r="9484" spans="14:14">
      <c r="N9484"/>
    </row>
    <row r="9485" spans="14:14">
      <c r="N9485"/>
    </row>
    <row r="9486" spans="14:14">
      <c r="N9486"/>
    </row>
    <row r="9487" spans="14:14">
      <c r="N9487"/>
    </row>
    <row r="9488" spans="14:14">
      <c r="N9488"/>
    </row>
    <row r="9489" spans="14:14">
      <c r="N9489"/>
    </row>
    <row r="9490" spans="14:14">
      <c r="N9490"/>
    </row>
    <row r="9491" spans="14:14">
      <c r="N9491"/>
    </row>
    <row r="9492" spans="14:14">
      <c r="N9492"/>
    </row>
    <row r="9493" spans="14:14">
      <c r="N9493"/>
    </row>
    <row r="9494" spans="14:14">
      <c r="N9494"/>
    </row>
    <row r="9495" spans="14:14">
      <c r="N9495"/>
    </row>
    <row r="9496" spans="14:14">
      <c r="N9496"/>
    </row>
    <row r="9497" spans="14:14">
      <c r="N9497"/>
    </row>
    <row r="9498" spans="14:14">
      <c r="N9498"/>
    </row>
    <row r="9499" spans="14:14">
      <c r="N9499"/>
    </row>
    <row r="9500" spans="14:14">
      <c r="N9500"/>
    </row>
    <row r="9501" spans="14:14">
      <c r="N9501"/>
    </row>
    <row r="9502" spans="14:14">
      <c r="N9502"/>
    </row>
    <row r="9503" spans="14:14">
      <c r="N9503"/>
    </row>
    <row r="9504" spans="14:14">
      <c r="N9504"/>
    </row>
    <row r="9505" spans="14:14">
      <c r="N9505"/>
    </row>
    <row r="9506" spans="14:14">
      <c r="N9506"/>
    </row>
    <row r="9507" spans="14:14">
      <c r="N9507"/>
    </row>
    <row r="9508" spans="14:14">
      <c r="N9508"/>
    </row>
    <row r="9509" spans="14:14">
      <c r="N9509"/>
    </row>
    <row r="9510" spans="14:14">
      <c r="N9510"/>
    </row>
    <row r="9511" spans="14:14">
      <c r="N9511"/>
    </row>
    <row r="9512" spans="14:14">
      <c r="N9512"/>
    </row>
    <row r="9513" spans="14:14">
      <c r="N9513"/>
    </row>
    <row r="9514" spans="14:14">
      <c r="N9514"/>
    </row>
    <row r="9515" spans="14:14">
      <c r="N9515"/>
    </row>
    <row r="9516" spans="14:14">
      <c r="N9516"/>
    </row>
    <row r="9517" spans="14:14">
      <c r="N9517"/>
    </row>
    <row r="9518" spans="14:14">
      <c r="N9518"/>
    </row>
    <row r="9519" spans="14:14">
      <c r="N9519"/>
    </row>
    <row r="9520" spans="14:14">
      <c r="N9520"/>
    </row>
    <row r="9521" spans="14:14">
      <c r="N9521"/>
    </row>
    <row r="9522" spans="14:14">
      <c r="N9522"/>
    </row>
    <row r="9523" spans="14:14">
      <c r="N9523"/>
    </row>
    <row r="9524" spans="14:14">
      <c r="N9524"/>
    </row>
    <row r="9525" spans="14:14">
      <c r="N9525"/>
    </row>
    <row r="9526" spans="14:14">
      <c r="N9526"/>
    </row>
    <row r="9527" spans="14:14">
      <c r="N9527"/>
    </row>
    <row r="9528" spans="14:14">
      <c r="N9528"/>
    </row>
    <row r="9529" spans="14:14">
      <c r="N9529"/>
    </row>
    <row r="9530" spans="14:14">
      <c r="N9530"/>
    </row>
    <row r="9531" spans="14:14">
      <c r="N9531"/>
    </row>
    <row r="9532" spans="14:14">
      <c r="N9532"/>
    </row>
    <row r="9533" spans="14:14">
      <c r="N9533"/>
    </row>
    <row r="9534" spans="14:14">
      <c r="N9534"/>
    </row>
    <row r="9535" spans="14:14">
      <c r="N9535"/>
    </row>
    <row r="9536" spans="14:14">
      <c r="N9536"/>
    </row>
    <row r="9537" spans="14:14">
      <c r="N9537"/>
    </row>
    <row r="9538" spans="14:14">
      <c r="N9538"/>
    </row>
    <row r="9539" spans="14:14">
      <c r="N9539"/>
    </row>
    <row r="9540" spans="14:14">
      <c r="N9540"/>
    </row>
    <row r="9541" spans="14:14">
      <c r="N9541"/>
    </row>
    <row r="9542" spans="14:14">
      <c r="N9542"/>
    </row>
    <row r="9543" spans="14:14">
      <c r="N9543"/>
    </row>
    <row r="9544" spans="14:14">
      <c r="N9544"/>
    </row>
    <row r="9545" spans="14:14">
      <c r="N9545"/>
    </row>
    <row r="9546" spans="14:14">
      <c r="N9546"/>
    </row>
    <row r="9547" spans="14:14">
      <c r="N9547"/>
    </row>
    <row r="9548" spans="14:14">
      <c r="N9548"/>
    </row>
    <row r="9549" spans="14:14">
      <c r="N9549"/>
    </row>
    <row r="9550" spans="14:14">
      <c r="N9550"/>
    </row>
    <row r="9551" spans="14:14">
      <c r="N9551"/>
    </row>
    <row r="9552" spans="14:14">
      <c r="N9552"/>
    </row>
    <row r="9553" spans="14:14">
      <c r="N9553"/>
    </row>
    <row r="9554" spans="14:14">
      <c r="N9554"/>
    </row>
    <row r="9555" spans="14:14">
      <c r="N9555"/>
    </row>
    <row r="9556" spans="14:14">
      <c r="N9556"/>
    </row>
    <row r="9557" spans="14:14">
      <c r="N9557"/>
    </row>
    <row r="9558" spans="14:14">
      <c r="N9558"/>
    </row>
    <row r="9559" spans="14:14">
      <c r="N9559"/>
    </row>
    <row r="9560" spans="14:14">
      <c r="N9560"/>
    </row>
    <row r="9561" spans="14:14">
      <c r="N9561"/>
    </row>
    <row r="9562" spans="14:14">
      <c r="N9562"/>
    </row>
    <row r="9563" spans="14:14">
      <c r="N9563"/>
    </row>
    <row r="9564" spans="14:14">
      <c r="N9564"/>
    </row>
    <row r="9565" spans="14:14">
      <c r="N9565"/>
    </row>
    <row r="9566" spans="14:14">
      <c r="N9566"/>
    </row>
    <row r="9567" spans="14:14">
      <c r="N9567"/>
    </row>
    <row r="9568" spans="14:14">
      <c r="N9568"/>
    </row>
    <row r="9569" spans="14:14">
      <c r="N9569"/>
    </row>
    <row r="9570" spans="14:14">
      <c r="N9570"/>
    </row>
    <row r="9571" spans="14:14">
      <c r="N9571"/>
    </row>
    <row r="9572" spans="14:14">
      <c r="N9572"/>
    </row>
    <row r="9573" spans="14:14">
      <c r="N9573"/>
    </row>
    <row r="9574" spans="14:14">
      <c r="N9574"/>
    </row>
    <row r="9575" spans="14:14">
      <c r="N9575"/>
    </row>
    <row r="9576" spans="14:14">
      <c r="N9576"/>
    </row>
    <row r="9577" spans="14:14">
      <c r="N9577"/>
    </row>
    <row r="9578" spans="14:14">
      <c r="N9578"/>
    </row>
    <row r="9579" spans="14:14">
      <c r="N9579"/>
    </row>
    <row r="9580" spans="14:14">
      <c r="N9580"/>
    </row>
    <row r="9581" spans="14:14">
      <c r="N9581"/>
    </row>
    <row r="9582" spans="14:14">
      <c r="N9582"/>
    </row>
    <row r="9583" spans="14:14">
      <c r="N9583"/>
    </row>
    <row r="9584" spans="14:14">
      <c r="N9584"/>
    </row>
    <row r="9585" spans="14:14">
      <c r="N9585"/>
    </row>
    <row r="9586" spans="14:14">
      <c r="N9586"/>
    </row>
    <row r="9587" spans="14:14">
      <c r="N9587"/>
    </row>
    <row r="9588" spans="14:14">
      <c r="N9588"/>
    </row>
    <row r="9589" spans="14:14">
      <c r="N9589"/>
    </row>
    <row r="9590" spans="14:14">
      <c r="N9590"/>
    </row>
    <row r="9591" spans="14:14">
      <c r="N9591"/>
    </row>
    <row r="9592" spans="14:14">
      <c r="N9592"/>
    </row>
    <row r="9593" spans="14:14">
      <c r="N9593"/>
    </row>
    <row r="9594" spans="14:14">
      <c r="N9594"/>
    </row>
    <row r="9595" spans="14:14">
      <c r="N9595"/>
    </row>
    <row r="9596" spans="14:14">
      <c r="N9596"/>
    </row>
    <row r="9597" spans="14:14">
      <c r="N9597"/>
    </row>
    <row r="9598" spans="14:14">
      <c r="N9598"/>
    </row>
    <row r="9599" spans="14:14">
      <c r="N9599"/>
    </row>
    <row r="9600" spans="14:14">
      <c r="N9600"/>
    </row>
    <row r="9601" spans="14:14">
      <c r="N9601"/>
    </row>
    <row r="9602" spans="14:14">
      <c r="N9602"/>
    </row>
    <row r="9603" spans="14:14">
      <c r="N9603"/>
    </row>
    <row r="9604" spans="14:14">
      <c r="N9604"/>
    </row>
    <row r="9605" spans="14:14">
      <c r="N9605"/>
    </row>
    <row r="9606" spans="14:14">
      <c r="N9606"/>
    </row>
    <row r="9607" spans="14:14">
      <c r="N9607"/>
    </row>
    <row r="9608" spans="14:14">
      <c r="N9608"/>
    </row>
    <row r="9609" spans="14:14">
      <c r="N9609"/>
    </row>
    <row r="9610" spans="14:14">
      <c r="N9610"/>
    </row>
    <row r="9611" spans="14:14">
      <c r="N9611"/>
    </row>
    <row r="9612" spans="14:14">
      <c r="N9612"/>
    </row>
    <row r="9613" spans="14:14">
      <c r="N9613"/>
    </row>
    <row r="9614" spans="14:14">
      <c r="N9614"/>
    </row>
    <row r="9615" spans="14:14">
      <c r="N9615"/>
    </row>
    <row r="9616" spans="14:14">
      <c r="N9616"/>
    </row>
    <row r="9617" spans="14:14">
      <c r="N9617"/>
    </row>
    <row r="9618" spans="14:14">
      <c r="N9618"/>
    </row>
    <row r="9619" spans="14:14">
      <c r="N9619"/>
    </row>
    <row r="9620" spans="14:14">
      <c r="N9620"/>
    </row>
    <row r="9621" spans="14:14">
      <c r="N9621"/>
    </row>
    <row r="9622" spans="14:14">
      <c r="N9622"/>
    </row>
    <row r="9623" spans="14:14">
      <c r="N9623"/>
    </row>
    <row r="9624" spans="14:14">
      <c r="N9624"/>
    </row>
    <row r="9625" spans="14:14">
      <c r="N9625"/>
    </row>
    <row r="9626" spans="14:14">
      <c r="N9626"/>
    </row>
    <row r="9627" spans="14:14">
      <c r="N9627"/>
    </row>
    <row r="9628" spans="14:14">
      <c r="N9628"/>
    </row>
    <row r="9629" spans="14:14">
      <c r="N9629"/>
    </row>
    <row r="9630" spans="14:14">
      <c r="N9630"/>
    </row>
    <row r="9631" spans="14:14">
      <c r="N9631"/>
    </row>
    <row r="9632" spans="14:14">
      <c r="N9632"/>
    </row>
    <row r="9633" spans="14:14">
      <c r="N9633"/>
    </row>
    <row r="9634" spans="14:14">
      <c r="N9634"/>
    </row>
    <row r="9635" spans="14:14">
      <c r="N9635"/>
    </row>
    <row r="9636" spans="14:14">
      <c r="N9636"/>
    </row>
    <row r="9637" spans="14:14">
      <c r="N9637"/>
    </row>
    <row r="9638" spans="14:14">
      <c r="N9638"/>
    </row>
    <row r="9639" spans="14:14">
      <c r="N9639"/>
    </row>
    <row r="9640" spans="14:14">
      <c r="N9640"/>
    </row>
    <row r="9641" spans="14:14">
      <c r="N9641"/>
    </row>
    <row r="9642" spans="14:14">
      <c r="N9642"/>
    </row>
    <row r="9643" spans="14:14">
      <c r="N9643"/>
    </row>
    <row r="9644" spans="14:14">
      <c r="N9644"/>
    </row>
    <row r="9645" spans="14:14">
      <c r="N9645"/>
    </row>
    <row r="9646" spans="14:14">
      <c r="N9646"/>
    </row>
    <row r="9647" spans="14:14">
      <c r="N9647"/>
    </row>
    <row r="9648" spans="14:14">
      <c r="N9648"/>
    </row>
    <row r="9649" spans="14:14">
      <c r="N9649"/>
    </row>
    <row r="9650" spans="14:14">
      <c r="N9650"/>
    </row>
    <row r="9651" spans="14:14">
      <c r="N9651"/>
    </row>
    <row r="9652" spans="14:14">
      <c r="N9652"/>
    </row>
    <row r="9653" spans="14:14">
      <c r="N9653"/>
    </row>
    <row r="9654" spans="14:14">
      <c r="N9654"/>
    </row>
    <row r="9655" spans="14:14">
      <c r="N9655"/>
    </row>
    <row r="9656" spans="14:14">
      <c r="N9656"/>
    </row>
    <row r="9657" spans="14:14">
      <c r="N9657"/>
    </row>
    <row r="9658" spans="14:14">
      <c r="N9658"/>
    </row>
    <row r="9659" spans="14:14">
      <c r="N9659"/>
    </row>
    <row r="9660" spans="14:14">
      <c r="N9660"/>
    </row>
    <row r="9661" spans="14:14">
      <c r="N9661"/>
    </row>
    <row r="9662" spans="14:14">
      <c r="N9662"/>
    </row>
    <row r="9663" spans="14:14">
      <c r="N9663"/>
    </row>
    <row r="9664" spans="14:14">
      <c r="N9664"/>
    </row>
    <row r="9665" spans="14:14">
      <c r="N9665"/>
    </row>
    <row r="9666" spans="14:14">
      <c r="N9666"/>
    </row>
    <row r="9667" spans="14:14">
      <c r="N9667"/>
    </row>
    <row r="9668" spans="14:14">
      <c r="N9668"/>
    </row>
    <row r="9669" spans="14:14">
      <c r="N9669"/>
    </row>
    <row r="9670" spans="14:14">
      <c r="N9670"/>
    </row>
    <row r="9671" spans="14:14">
      <c r="N9671"/>
    </row>
    <row r="9672" spans="14:14">
      <c r="N9672"/>
    </row>
    <row r="9673" spans="14:14">
      <c r="N9673"/>
    </row>
    <row r="9674" spans="14:14">
      <c r="N9674"/>
    </row>
    <row r="9675" spans="14:14">
      <c r="N9675"/>
    </row>
    <row r="9676" spans="14:14">
      <c r="N9676"/>
    </row>
    <row r="9677" spans="14:14">
      <c r="N9677"/>
    </row>
    <row r="9678" spans="14:14">
      <c r="N9678"/>
    </row>
    <row r="9679" spans="14:14">
      <c r="N9679"/>
    </row>
    <row r="9680" spans="14:14">
      <c r="N9680"/>
    </row>
    <row r="9681" spans="14:14">
      <c r="N9681"/>
    </row>
    <row r="9682" spans="14:14">
      <c r="N9682"/>
    </row>
    <row r="9683" spans="14:14">
      <c r="N9683"/>
    </row>
    <row r="9684" spans="14:14">
      <c r="N9684"/>
    </row>
    <row r="9685" spans="14:14">
      <c r="N9685"/>
    </row>
    <row r="9686" spans="14:14">
      <c r="N9686"/>
    </row>
    <row r="9687" spans="14:14">
      <c r="N9687"/>
    </row>
    <row r="9688" spans="14:14">
      <c r="N9688"/>
    </row>
    <row r="9689" spans="14:14">
      <c r="N9689"/>
    </row>
    <row r="9690" spans="14:14">
      <c r="N9690"/>
    </row>
    <row r="9691" spans="14:14">
      <c r="N9691"/>
    </row>
    <row r="9692" spans="14:14">
      <c r="N9692"/>
    </row>
    <row r="9693" spans="14:14">
      <c r="N9693"/>
    </row>
    <row r="9694" spans="14:14">
      <c r="N9694"/>
    </row>
    <row r="9695" spans="14:14">
      <c r="N9695"/>
    </row>
    <row r="9696" spans="14:14">
      <c r="N9696"/>
    </row>
    <row r="9697" spans="14:14">
      <c r="N9697"/>
    </row>
    <row r="9698" spans="14:14">
      <c r="N9698"/>
    </row>
    <row r="9699" spans="14:14">
      <c r="N9699"/>
    </row>
    <row r="9700" spans="14:14">
      <c r="N9700"/>
    </row>
    <row r="9701" spans="14:14">
      <c r="N9701"/>
    </row>
    <row r="9702" spans="14:14">
      <c r="N9702"/>
    </row>
    <row r="9703" spans="14:14">
      <c r="N9703"/>
    </row>
    <row r="9704" spans="14:14">
      <c r="N9704"/>
    </row>
    <row r="9705" spans="14:14">
      <c r="N9705"/>
    </row>
    <row r="9706" spans="14:14">
      <c r="N9706"/>
    </row>
    <row r="9707" spans="14:14">
      <c r="N9707"/>
    </row>
    <row r="9708" spans="14:14">
      <c r="N9708"/>
    </row>
    <row r="9709" spans="14:14">
      <c r="N9709"/>
    </row>
    <row r="9710" spans="14:14">
      <c r="N9710"/>
    </row>
    <row r="9711" spans="14:14">
      <c r="N9711"/>
    </row>
    <row r="9712" spans="14:14">
      <c r="N9712"/>
    </row>
    <row r="9713" spans="14:14">
      <c r="N9713"/>
    </row>
    <row r="9714" spans="14:14">
      <c r="N9714"/>
    </row>
    <row r="9715" spans="14:14">
      <c r="N9715"/>
    </row>
    <row r="9716" spans="14:14">
      <c r="N9716"/>
    </row>
    <row r="9717" spans="14:14">
      <c r="N9717"/>
    </row>
    <row r="9718" spans="14:14">
      <c r="N9718"/>
    </row>
    <row r="9719" spans="14:14">
      <c r="N9719"/>
    </row>
    <row r="9720" spans="14:14">
      <c r="N9720"/>
    </row>
    <row r="9721" spans="14:14">
      <c r="N9721"/>
    </row>
    <row r="9722" spans="14:14">
      <c r="N9722"/>
    </row>
    <row r="9723" spans="14:14">
      <c r="N9723"/>
    </row>
    <row r="9724" spans="14:14">
      <c r="N9724"/>
    </row>
    <row r="9725" spans="14:14">
      <c r="N9725"/>
    </row>
    <row r="9726" spans="14:14">
      <c r="N9726"/>
    </row>
    <row r="9727" spans="14:14">
      <c r="N9727"/>
    </row>
    <row r="9728" spans="14:14">
      <c r="N9728"/>
    </row>
    <row r="9729" spans="14:14">
      <c r="N9729"/>
    </row>
    <row r="9730" spans="14:14">
      <c r="N9730"/>
    </row>
    <row r="9731" spans="14:14">
      <c r="N9731"/>
    </row>
    <row r="9732" spans="14:14">
      <c r="N9732"/>
    </row>
    <row r="9733" spans="14:14">
      <c r="N9733"/>
    </row>
    <row r="9734" spans="14:14">
      <c r="N9734"/>
    </row>
    <row r="9735" spans="14:14">
      <c r="N9735"/>
    </row>
    <row r="9736" spans="14:14">
      <c r="N9736"/>
    </row>
    <row r="9737" spans="14:14">
      <c r="N9737"/>
    </row>
    <row r="9738" spans="14:14">
      <c r="N9738"/>
    </row>
    <row r="9739" spans="14:14">
      <c r="N9739"/>
    </row>
    <row r="9740" spans="14:14">
      <c r="N9740"/>
    </row>
    <row r="9741" spans="14:14">
      <c r="N9741"/>
    </row>
    <row r="9742" spans="14:14">
      <c r="N9742"/>
    </row>
    <row r="9743" spans="14:14">
      <c r="N9743"/>
    </row>
    <row r="9744" spans="14:14">
      <c r="N9744"/>
    </row>
    <row r="9745" spans="14:14">
      <c r="N9745"/>
    </row>
    <row r="9746" spans="14:14">
      <c r="N9746"/>
    </row>
    <row r="9747" spans="14:14">
      <c r="N9747"/>
    </row>
    <row r="9748" spans="14:14">
      <c r="N9748"/>
    </row>
    <row r="9749" spans="14:14">
      <c r="N9749"/>
    </row>
    <row r="9750" spans="14:14">
      <c r="N9750"/>
    </row>
    <row r="9751" spans="14:14">
      <c r="N9751"/>
    </row>
    <row r="9752" spans="14:14">
      <c r="N9752"/>
    </row>
    <row r="9753" spans="14:14">
      <c r="N9753"/>
    </row>
    <row r="9754" spans="14:14">
      <c r="N9754"/>
    </row>
    <row r="9755" spans="14:14">
      <c r="N9755"/>
    </row>
    <row r="9756" spans="14:14">
      <c r="N9756"/>
    </row>
    <row r="9757" spans="14:14">
      <c r="N9757"/>
    </row>
    <row r="9758" spans="14:14">
      <c r="N9758"/>
    </row>
    <row r="9759" spans="14:14">
      <c r="N9759"/>
    </row>
    <row r="9760" spans="14:14">
      <c r="N9760"/>
    </row>
    <row r="9761" spans="14:14">
      <c r="N9761"/>
    </row>
    <row r="9762" spans="14:14">
      <c r="N9762"/>
    </row>
    <row r="9763" spans="14:14">
      <c r="N9763"/>
    </row>
    <row r="9764" spans="14:14">
      <c r="N9764"/>
    </row>
    <row r="9765" spans="14:14">
      <c r="N9765"/>
    </row>
    <row r="9766" spans="14:14">
      <c r="N9766"/>
    </row>
    <row r="9767" spans="14:14">
      <c r="N9767"/>
    </row>
    <row r="9768" spans="14:14">
      <c r="N9768"/>
    </row>
    <row r="9769" spans="14:14">
      <c r="N9769"/>
    </row>
    <row r="9770" spans="14:14">
      <c r="N9770"/>
    </row>
    <row r="9771" spans="14:14">
      <c r="N9771"/>
    </row>
    <row r="9772" spans="14:14">
      <c r="N9772"/>
    </row>
    <row r="9773" spans="14:14">
      <c r="N9773"/>
    </row>
    <row r="9774" spans="14:14">
      <c r="N9774"/>
    </row>
    <row r="9775" spans="14:14">
      <c r="N9775"/>
    </row>
    <row r="9776" spans="14:14">
      <c r="N9776"/>
    </row>
    <row r="9777" spans="14:14">
      <c r="N9777"/>
    </row>
    <row r="9778" spans="14:14">
      <c r="N9778"/>
    </row>
    <row r="9779" spans="14:14">
      <c r="N9779"/>
    </row>
    <row r="9780" spans="14:14">
      <c r="N9780"/>
    </row>
    <row r="9781" spans="14:14">
      <c r="N9781"/>
    </row>
    <row r="9782" spans="14:14">
      <c r="N9782"/>
    </row>
    <row r="9783" spans="14:14">
      <c r="N9783"/>
    </row>
    <row r="9784" spans="14:14">
      <c r="N9784"/>
    </row>
    <row r="9785" spans="14:14">
      <c r="N9785"/>
    </row>
    <row r="9786" spans="14:14">
      <c r="N9786"/>
    </row>
    <row r="9787" spans="14:14">
      <c r="N9787"/>
    </row>
    <row r="9788" spans="14:14">
      <c r="N9788"/>
    </row>
    <row r="9789" spans="14:14">
      <c r="N9789"/>
    </row>
    <row r="9790" spans="14:14">
      <c r="N9790"/>
    </row>
    <row r="9791" spans="14:14">
      <c r="N9791"/>
    </row>
    <row r="9792" spans="14:14">
      <c r="N9792"/>
    </row>
    <row r="9793" spans="14:14">
      <c r="N9793"/>
    </row>
    <row r="9794" spans="14:14">
      <c r="N9794"/>
    </row>
    <row r="9795" spans="14:14">
      <c r="N9795"/>
    </row>
    <row r="9796" spans="14:14">
      <c r="N9796"/>
    </row>
    <row r="9797" spans="14:14">
      <c r="N9797"/>
    </row>
    <row r="9798" spans="14:14">
      <c r="N9798"/>
    </row>
    <row r="9799" spans="14:14">
      <c r="N9799"/>
    </row>
    <row r="9800" spans="14:14">
      <c r="N9800"/>
    </row>
    <row r="9801" spans="14:14">
      <c r="N9801"/>
    </row>
    <row r="9802" spans="14:14">
      <c r="N9802"/>
    </row>
    <row r="9803" spans="14:14">
      <c r="N9803"/>
    </row>
    <row r="9804" spans="14:14">
      <c r="N9804"/>
    </row>
    <row r="9805" spans="14:14">
      <c r="N9805"/>
    </row>
    <row r="9806" spans="14:14">
      <c r="N9806"/>
    </row>
    <row r="9807" spans="14:14">
      <c r="N9807"/>
    </row>
    <row r="9808" spans="14:14">
      <c r="N9808"/>
    </row>
    <row r="9809" spans="14:14">
      <c r="N9809"/>
    </row>
    <row r="9810" spans="14:14">
      <c r="N9810"/>
    </row>
    <row r="9811" spans="14:14">
      <c r="N9811"/>
    </row>
    <row r="9812" spans="14:14">
      <c r="N9812"/>
    </row>
    <row r="9813" spans="14:14">
      <c r="N9813"/>
    </row>
    <row r="9814" spans="14:14">
      <c r="N9814"/>
    </row>
    <row r="9815" spans="14:14">
      <c r="N9815"/>
    </row>
    <row r="9816" spans="14:14">
      <c r="N9816"/>
    </row>
    <row r="9817" spans="14:14">
      <c r="N9817"/>
    </row>
    <row r="9818" spans="14:14">
      <c r="N9818"/>
    </row>
    <row r="9819" spans="14:14">
      <c r="N9819"/>
    </row>
    <row r="9820" spans="14:14">
      <c r="N9820"/>
    </row>
    <row r="9821" spans="14:14">
      <c r="N9821"/>
    </row>
    <row r="9822" spans="14:14">
      <c r="N9822"/>
    </row>
    <row r="9823" spans="14:14">
      <c r="N9823"/>
    </row>
    <row r="9824" spans="14:14">
      <c r="N9824"/>
    </row>
    <row r="9825" spans="14:14">
      <c r="N9825"/>
    </row>
    <row r="9826" spans="14:14">
      <c r="N9826"/>
    </row>
    <row r="9827" spans="14:14">
      <c r="N9827"/>
    </row>
    <row r="9828" spans="14:14">
      <c r="N9828"/>
    </row>
    <row r="9829" spans="14:14">
      <c r="N9829"/>
    </row>
    <row r="9830" spans="14:14">
      <c r="N9830"/>
    </row>
    <row r="9831" spans="14:14">
      <c r="N9831"/>
    </row>
    <row r="9832" spans="14:14">
      <c r="N9832"/>
    </row>
    <row r="9833" spans="14:14">
      <c r="N9833"/>
    </row>
    <row r="9834" spans="14:14">
      <c r="N9834"/>
    </row>
    <row r="9835" spans="14:14">
      <c r="N9835"/>
    </row>
    <row r="9836" spans="14:14">
      <c r="N9836"/>
    </row>
    <row r="9837" spans="14:14">
      <c r="N9837"/>
    </row>
    <row r="9838" spans="14:14">
      <c r="N9838"/>
    </row>
    <row r="9839" spans="14:14">
      <c r="N9839"/>
    </row>
    <row r="9840" spans="14:14">
      <c r="N9840"/>
    </row>
    <row r="9841" spans="14:14">
      <c r="N9841"/>
    </row>
    <row r="9842" spans="14:14">
      <c r="N9842"/>
    </row>
    <row r="9843" spans="14:14">
      <c r="N9843"/>
    </row>
    <row r="9844" spans="14:14">
      <c r="N9844"/>
    </row>
    <row r="9845" spans="14:14">
      <c r="N9845"/>
    </row>
    <row r="9846" spans="14:14">
      <c r="N9846"/>
    </row>
    <row r="9847" spans="14:14">
      <c r="N9847"/>
    </row>
    <row r="9848" spans="14:14">
      <c r="N9848"/>
    </row>
    <row r="9849" spans="14:14">
      <c r="N9849"/>
    </row>
    <row r="9850" spans="14:14">
      <c r="N9850"/>
    </row>
    <row r="9851" spans="14:14">
      <c r="N9851"/>
    </row>
    <row r="9852" spans="14:14">
      <c r="N9852"/>
    </row>
    <row r="9853" spans="14:14">
      <c r="N9853"/>
    </row>
    <row r="9854" spans="14:14">
      <c r="N9854"/>
    </row>
    <row r="9855" spans="14:14">
      <c r="N9855"/>
    </row>
    <row r="9856" spans="14:14">
      <c r="N9856"/>
    </row>
    <row r="9857" spans="14:14">
      <c r="N9857"/>
    </row>
    <row r="9858" spans="14:14">
      <c r="N9858"/>
    </row>
    <row r="9859" spans="14:14">
      <c r="N9859"/>
    </row>
    <row r="9860" spans="14:14">
      <c r="N9860"/>
    </row>
    <row r="9861" spans="14:14">
      <c r="N9861"/>
    </row>
    <row r="9862" spans="14:14">
      <c r="N9862"/>
    </row>
    <row r="9863" spans="14:14">
      <c r="N9863"/>
    </row>
    <row r="9864" spans="14:14">
      <c r="N9864"/>
    </row>
    <row r="9865" spans="14:14">
      <c r="N9865"/>
    </row>
    <row r="9866" spans="14:14">
      <c r="N9866"/>
    </row>
    <row r="9867" spans="14:14">
      <c r="N9867"/>
    </row>
    <row r="9868" spans="14:14">
      <c r="N9868"/>
    </row>
    <row r="9869" spans="14:14">
      <c r="N9869"/>
    </row>
    <row r="9870" spans="14:14">
      <c r="N9870"/>
    </row>
    <row r="9871" spans="14:14">
      <c r="N9871"/>
    </row>
    <row r="9872" spans="14:14">
      <c r="N9872"/>
    </row>
    <row r="9873" spans="14:14">
      <c r="N9873"/>
    </row>
    <row r="9874" spans="14:14">
      <c r="N9874"/>
    </row>
    <row r="9875" spans="14:14">
      <c r="N9875"/>
    </row>
    <row r="9876" spans="14:14">
      <c r="N9876"/>
    </row>
    <row r="9877" spans="14:14">
      <c r="N9877"/>
    </row>
    <row r="9878" spans="14:14">
      <c r="N9878"/>
    </row>
    <row r="9879" spans="14:14">
      <c r="N9879"/>
    </row>
    <row r="9880" spans="14:14">
      <c r="N9880"/>
    </row>
    <row r="9881" spans="14:14">
      <c r="N9881"/>
    </row>
    <row r="9882" spans="14:14">
      <c r="N9882"/>
    </row>
    <row r="9883" spans="14:14">
      <c r="N9883"/>
    </row>
    <row r="9884" spans="14:14">
      <c r="N9884"/>
    </row>
    <row r="9885" spans="14:14">
      <c r="N9885"/>
    </row>
    <row r="9886" spans="14:14">
      <c r="N9886"/>
    </row>
    <row r="9887" spans="14:14">
      <c r="N9887"/>
    </row>
    <row r="9888" spans="14:14">
      <c r="N9888"/>
    </row>
    <row r="9889" spans="14:14">
      <c r="N9889"/>
    </row>
    <row r="9890" spans="14:14">
      <c r="N9890"/>
    </row>
    <row r="9891" spans="14:14">
      <c r="N9891"/>
    </row>
    <row r="9892" spans="14:14">
      <c r="N9892"/>
    </row>
    <row r="9893" spans="14:14">
      <c r="N9893"/>
    </row>
    <row r="9894" spans="14:14">
      <c r="N9894"/>
    </row>
    <row r="9895" spans="14:14">
      <c r="N9895"/>
    </row>
    <row r="9896" spans="14:14">
      <c r="N9896"/>
    </row>
    <row r="9897" spans="14:14">
      <c r="N9897"/>
    </row>
    <row r="9898" spans="14:14">
      <c r="N9898"/>
    </row>
    <row r="9899" spans="14:14">
      <c r="N9899"/>
    </row>
    <row r="9900" spans="14:14">
      <c r="N9900"/>
    </row>
    <row r="9901" spans="14:14">
      <c r="N9901"/>
    </row>
    <row r="9902" spans="14:14">
      <c r="N9902"/>
    </row>
    <row r="9903" spans="14:14">
      <c r="N9903"/>
    </row>
    <row r="9904" spans="14:14">
      <c r="N9904"/>
    </row>
    <row r="9905" spans="14:14">
      <c r="N9905"/>
    </row>
    <row r="9906" spans="14:14">
      <c r="N9906"/>
    </row>
    <row r="9907" spans="14:14">
      <c r="N9907"/>
    </row>
    <row r="9908" spans="14:14">
      <c r="N9908"/>
    </row>
    <row r="9909" spans="14:14">
      <c r="N9909"/>
    </row>
    <row r="9910" spans="14:14">
      <c r="N9910"/>
    </row>
    <row r="9911" spans="14:14">
      <c r="N9911"/>
    </row>
    <row r="9912" spans="14:14">
      <c r="N9912"/>
    </row>
    <row r="9913" spans="14:14">
      <c r="N9913"/>
    </row>
    <row r="9914" spans="14:14">
      <c r="N9914"/>
    </row>
    <row r="9915" spans="14:14">
      <c r="N9915"/>
    </row>
    <row r="9916" spans="14:14">
      <c r="N9916"/>
    </row>
    <row r="9917" spans="14:14">
      <c r="N9917"/>
    </row>
    <row r="9918" spans="14:14">
      <c r="N9918"/>
    </row>
    <row r="9919" spans="14:14">
      <c r="N9919"/>
    </row>
    <row r="9920" spans="14:14">
      <c r="N9920"/>
    </row>
    <row r="9921" spans="14:14">
      <c r="N9921"/>
    </row>
    <row r="9922" spans="14:14">
      <c r="N9922"/>
    </row>
    <row r="9923" spans="14:14">
      <c r="N9923"/>
    </row>
    <row r="9924" spans="14:14">
      <c r="N9924"/>
    </row>
    <row r="9925" spans="14:14">
      <c r="N9925"/>
    </row>
    <row r="9926" spans="14:14">
      <c r="N9926"/>
    </row>
    <row r="9927" spans="14:14">
      <c r="N9927"/>
    </row>
    <row r="9928" spans="14:14">
      <c r="N9928"/>
    </row>
    <row r="9929" spans="14:14">
      <c r="N9929"/>
    </row>
    <row r="9930" spans="14:14">
      <c r="N9930"/>
    </row>
    <row r="9931" spans="14:14">
      <c r="N9931"/>
    </row>
    <row r="9932" spans="14:14">
      <c r="N9932"/>
    </row>
    <row r="9933" spans="14:14">
      <c r="N9933"/>
    </row>
    <row r="9934" spans="14:14">
      <c r="N9934"/>
    </row>
    <row r="9935" spans="14:14">
      <c r="N9935"/>
    </row>
    <row r="9936" spans="14:14">
      <c r="N9936"/>
    </row>
    <row r="9937" spans="14:14">
      <c r="N9937"/>
    </row>
    <row r="9938" spans="14:14">
      <c r="N9938"/>
    </row>
    <row r="9939" spans="14:14">
      <c r="N9939"/>
    </row>
    <row r="9940" spans="14:14">
      <c r="N9940"/>
    </row>
    <row r="9941" spans="14:14">
      <c r="N9941"/>
    </row>
    <row r="9942" spans="14:14">
      <c r="N9942"/>
    </row>
    <row r="9943" spans="14:14">
      <c r="N9943"/>
    </row>
    <row r="9944" spans="14:14">
      <c r="N9944"/>
    </row>
    <row r="9945" spans="14:14">
      <c r="N9945"/>
    </row>
    <row r="9946" spans="14:14">
      <c r="N9946"/>
    </row>
    <row r="9947" spans="14:14">
      <c r="N9947"/>
    </row>
    <row r="9948" spans="14:14">
      <c r="N9948"/>
    </row>
    <row r="9949" spans="14:14">
      <c r="N9949"/>
    </row>
    <row r="9950" spans="14:14">
      <c r="N9950"/>
    </row>
    <row r="9951" spans="14:14">
      <c r="N9951"/>
    </row>
    <row r="9952" spans="14:14">
      <c r="N9952"/>
    </row>
    <row r="9953" spans="14:14">
      <c r="N9953"/>
    </row>
    <row r="9954" spans="14:14">
      <c r="N9954"/>
    </row>
    <row r="9955" spans="14:14">
      <c r="N9955"/>
    </row>
    <row r="9956" spans="14:14">
      <c r="N9956"/>
    </row>
    <row r="9957" spans="14:14">
      <c r="N9957"/>
    </row>
    <row r="9958" spans="14:14">
      <c r="N9958"/>
    </row>
    <row r="9959" spans="14:14">
      <c r="N9959"/>
    </row>
    <row r="9960" spans="14:14">
      <c r="N9960"/>
    </row>
    <row r="9961" spans="14:14">
      <c r="N9961"/>
    </row>
    <row r="9962" spans="14:14">
      <c r="N9962"/>
    </row>
    <row r="9963" spans="14:14">
      <c r="N9963"/>
    </row>
    <row r="9964" spans="14:14">
      <c r="N9964"/>
    </row>
    <row r="9965" spans="14:14">
      <c r="N9965"/>
    </row>
    <row r="9966" spans="14:14">
      <c r="N9966"/>
    </row>
    <row r="9967" spans="14:14">
      <c r="N9967"/>
    </row>
    <row r="9968" spans="14:14">
      <c r="N9968"/>
    </row>
    <row r="9969" spans="14:14">
      <c r="N9969"/>
    </row>
    <row r="9970" spans="14:14">
      <c r="N9970"/>
    </row>
    <row r="9971" spans="14:14">
      <c r="N9971"/>
    </row>
    <row r="9972" spans="14:14">
      <c r="N9972"/>
    </row>
    <row r="9973" spans="14:14">
      <c r="N9973"/>
    </row>
    <row r="9974" spans="14:14">
      <c r="N9974"/>
    </row>
    <row r="9975" spans="14:14">
      <c r="N9975"/>
    </row>
    <row r="9976" spans="14:14">
      <c r="N9976"/>
    </row>
    <row r="9977" spans="14:14">
      <c r="N9977"/>
    </row>
    <row r="9978" spans="14:14">
      <c r="N9978"/>
    </row>
    <row r="9979" spans="14:14">
      <c r="N9979"/>
    </row>
    <row r="9980" spans="14:14">
      <c r="N9980"/>
    </row>
    <row r="9981" spans="14:14">
      <c r="N9981"/>
    </row>
    <row r="9982" spans="14:14">
      <c r="N9982"/>
    </row>
    <row r="9983" spans="14:14">
      <c r="N9983"/>
    </row>
    <row r="9984" spans="14:14">
      <c r="N9984"/>
    </row>
    <row r="9985" spans="14:14">
      <c r="N9985"/>
    </row>
    <row r="9986" spans="14:14">
      <c r="N9986"/>
    </row>
    <row r="9987" spans="14:14">
      <c r="N9987"/>
    </row>
    <row r="9988" spans="14:14">
      <c r="N9988"/>
    </row>
    <row r="9989" spans="14:14">
      <c r="N9989"/>
    </row>
    <row r="9990" spans="14:14">
      <c r="N9990"/>
    </row>
    <row r="9991" spans="14:14">
      <c r="N9991"/>
    </row>
    <row r="9992" spans="14:14">
      <c r="N9992"/>
    </row>
    <row r="9993" spans="14:14">
      <c r="N9993"/>
    </row>
    <row r="9994" spans="14:14">
      <c r="N9994"/>
    </row>
    <row r="9995" spans="14:14">
      <c r="N9995"/>
    </row>
    <row r="9996" spans="14:14">
      <c r="N9996"/>
    </row>
    <row r="9997" spans="14:14">
      <c r="N9997"/>
    </row>
    <row r="9998" spans="14:14">
      <c r="N9998"/>
    </row>
    <row r="9999" spans="14:14">
      <c r="N9999"/>
    </row>
    <row r="10000" spans="14:14">
      <c r="N10000"/>
    </row>
    <row r="10001" spans="14:14">
      <c r="N10001"/>
    </row>
    <row r="10002" spans="14:14">
      <c r="N10002"/>
    </row>
    <row r="10003" spans="14:14">
      <c r="N10003"/>
    </row>
    <row r="10004" spans="14:14">
      <c r="N10004"/>
    </row>
    <row r="10005" spans="14:14">
      <c r="N10005"/>
    </row>
    <row r="10006" spans="14:14">
      <c r="N10006"/>
    </row>
    <row r="10007" spans="14:14">
      <c r="N10007"/>
    </row>
    <row r="10008" spans="14:14">
      <c r="N10008"/>
    </row>
    <row r="10009" spans="14:14">
      <c r="N10009"/>
    </row>
    <row r="10010" spans="14:14">
      <c r="N10010"/>
    </row>
    <row r="10011" spans="14:14">
      <c r="N10011"/>
    </row>
    <row r="10012" spans="14:14">
      <c r="N10012"/>
    </row>
    <row r="10013" spans="14:14">
      <c r="N10013"/>
    </row>
    <row r="10014" spans="14:14">
      <c r="N10014"/>
    </row>
    <row r="10015" spans="14:14">
      <c r="N10015"/>
    </row>
    <row r="10016" spans="14:14">
      <c r="N10016"/>
    </row>
    <row r="10017" spans="14:14">
      <c r="N10017"/>
    </row>
    <row r="10018" spans="14:14">
      <c r="N10018"/>
    </row>
    <row r="10019" spans="14:14">
      <c r="N10019"/>
    </row>
    <row r="10020" spans="14:14">
      <c r="N10020"/>
    </row>
    <row r="10021" spans="14:14">
      <c r="N10021"/>
    </row>
    <row r="10022" spans="14:14">
      <c r="N10022"/>
    </row>
    <row r="10023" spans="14:14">
      <c r="N10023"/>
    </row>
    <row r="10024" spans="14:14">
      <c r="N10024"/>
    </row>
    <row r="10025" spans="14:14">
      <c r="N10025"/>
    </row>
    <row r="10026" spans="14:14">
      <c r="N10026"/>
    </row>
    <row r="10027" spans="14:14">
      <c r="N10027"/>
    </row>
    <row r="10028" spans="14:14">
      <c r="N10028"/>
    </row>
    <row r="10029" spans="14:14">
      <c r="N10029"/>
    </row>
    <row r="10030" spans="14:14">
      <c r="N10030"/>
    </row>
    <row r="10031" spans="14:14">
      <c r="N10031"/>
    </row>
    <row r="10032" spans="14:14">
      <c r="N10032"/>
    </row>
    <row r="10033" spans="14:14">
      <c r="N10033"/>
    </row>
    <row r="10034" spans="14:14">
      <c r="N10034"/>
    </row>
    <row r="10035" spans="14:14">
      <c r="N10035"/>
    </row>
    <row r="10036" spans="14:14">
      <c r="N10036"/>
    </row>
    <row r="10037" spans="14:14">
      <c r="N10037"/>
    </row>
    <row r="10038" spans="14:14">
      <c r="N10038"/>
    </row>
    <row r="10039" spans="14:14">
      <c r="N10039"/>
    </row>
    <row r="10040" spans="14:14">
      <c r="N10040"/>
    </row>
    <row r="10041" spans="14:14">
      <c r="N10041"/>
    </row>
    <row r="10042" spans="14:14">
      <c r="N10042"/>
    </row>
    <row r="10043" spans="14:14">
      <c r="N10043"/>
    </row>
    <row r="10044" spans="14:14">
      <c r="N10044"/>
    </row>
    <row r="10045" spans="14:14">
      <c r="N10045"/>
    </row>
    <row r="10046" spans="14:14">
      <c r="N10046"/>
    </row>
    <row r="10047" spans="14:14">
      <c r="N10047"/>
    </row>
    <row r="10048" spans="14:14">
      <c r="N10048"/>
    </row>
    <row r="10049" spans="14:14">
      <c r="N10049"/>
    </row>
    <row r="10050" spans="14:14">
      <c r="N10050"/>
    </row>
    <row r="10051" spans="14:14">
      <c r="N10051"/>
    </row>
    <row r="10052" spans="14:14">
      <c r="N10052"/>
    </row>
    <row r="10053" spans="14:14">
      <c r="N10053"/>
    </row>
    <row r="10054" spans="14:14">
      <c r="N10054"/>
    </row>
    <row r="10055" spans="14:14">
      <c r="N10055"/>
    </row>
    <row r="10056" spans="14:14">
      <c r="N10056"/>
    </row>
    <row r="10057" spans="14:14">
      <c r="N10057"/>
    </row>
    <row r="10058" spans="14:14">
      <c r="N10058"/>
    </row>
    <row r="10059" spans="14:14">
      <c r="N10059"/>
    </row>
    <row r="10060" spans="14:14">
      <c r="N10060"/>
    </row>
    <row r="10061" spans="14:14">
      <c r="N10061"/>
    </row>
    <row r="10062" spans="14:14">
      <c r="N10062"/>
    </row>
    <row r="10063" spans="14:14">
      <c r="N10063"/>
    </row>
    <row r="10064" spans="14:14">
      <c r="N10064"/>
    </row>
    <row r="10065" spans="14:14">
      <c r="N10065"/>
    </row>
    <row r="10066" spans="14:14">
      <c r="N10066"/>
    </row>
    <row r="10067" spans="14:14">
      <c r="N10067"/>
    </row>
    <row r="10068" spans="14:14">
      <c r="N10068"/>
    </row>
    <row r="10069" spans="14:14">
      <c r="N10069"/>
    </row>
    <row r="10070" spans="14:14">
      <c r="N10070"/>
    </row>
    <row r="10071" spans="14:14">
      <c r="N10071"/>
    </row>
    <row r="10072" spans="14:14">
      <c r="N10072"/>
    </row>
    <row r="10073" spans="14:14">
      <c r="N10073"/>
    </row>
    <row r="10074" spans="14:14">
      <c r="N10074"/>
    </row>
    <row r="10075" spans="14:14">
      <c r="N10075"/>
    </row>
    <row r="10076" spans="14:14">
      <c r="N10076"/>
    </row>
    <row r="10077" spans="14:14">
      <c r="N10077"/>
    </row>
    <row r="10078" spans="14:14">
      <c r="N10078"/>
    </row>
    <row r="10079" spans="14:14">
      <c r="N10079"/>
    </row>
    <row r="10080" spans="14:14">
      <c r="N10080"/>
    </row>
    <row r="10081" spans="14:14">
      <c r="N10081"/>
    </row>
    <row r="10082" spans="14:14">
      <c r="N10082"/>
    </row>
    <row r="10083" spans="14:14">
      <c r="N10083"/>
    </row>
    <row r="10084" spans="14:14">
      <c r="N10084"/>
    </row>
    <row r="10085" spans="14:14">
      <c r="N10085"/>
    </row>
    <row r="10086" spans="14:14">
      <c r="N10086"/>
    </row>
    <row r="10087" spans="14:14">
      <c r="N10087"/>
    </row>
    <row r="10088" spans="14:14">
      <c r="N10088"/>
    </row>
    <row r="10089" spans="14:14">
      <c r="N10089"/>
    </row>
    <row r="10090" spans="14:14">
      <c r="N10090"/>
    </row>
    <row r="10091" spans="14:14">
      <c r="N10091"/>
    </row>
    <row r="10092" spans="14:14">
      <c r="N10092"/>
    </row>
    <row r="10093" spans="14:14">
      <c r="N10093"/>
    </row>
    <row r="10094" spans="14:14">
      <c r="N10094"/>
    </row>
    <row r="10095" spans="14:14">
      <c r="N10095"/>
    </row>
    <row r="10096" spans="14:14">
      <c r="N10096"/>
    </row>
    <row r="10097" spans="14:14">
      <c r="N10097"/>
    </row>
    <row r="10098" spans="14:14">
      <c r="N10098"/>
    </row>
    <row r="10099" spans="14:14">
      <c r="N10099"/>
    </row>
    <row r="10100" spans="14:14">
      <c r="N10100"/>
    </row>
    <row r="10101" spans="14:14">
      <c r="N10101"/>
    </row>
    <row r="10102" spans="14:14">
      <c r="N10102"/>
    </row>
    <row r="10103" spans="14:14">
      <c r="N10103"/>
    </row>
    <row r="10104" spans="14:14">
      <c r="N10104"/>
    </row>
    <row r="10105" spans="14:14">
      <c r="N10105"/>
    </row>
    <row r="10106" spans="14:14">
      <c r="N10106"/>
    </row>
    <row r="10107" spans="14:14">
      <c r="N10107"/>
    </row>
    <row r="10108" spans="14:14">
      <c r="N10108"/>
    </row>
    <row r="10109" spans="14:14">
      <c r="N10109"/>
    </row>
    <row r="10110" spans="14:14">
      <c r="N10110"/>
    </row>
    <row r="10111" spans="14:14">
      <c r="N10111"/>
    </row>
    <row r="10112" spans="14:14">
      <c r="N10112"/>
    </row>
    <row r="10113" spans="14:14">
      <c r="N10113"/>
    </row>
    <row r="10114" spans="14:14">
      <c r="N10114"/>
    </row>
    <row r="10115" spans="14:14">
      <c r="N10115"/>
    </row>
    <row r="10116" spans="14:14">
      <c r="N10116"/>
    </row>
    <row r="10117" spans="14:14">
      <c r="N10117"/>
    </row>
    <row r="10118" spans="14:14">
      <c r="N10118"/>
    </row>
    <row r="10119" spans="14:14">
      <c r="N10119"/>
    </row>
    <row r="10120" spans="14:14">
      <c r="N10120"/>
    </row>
    <row r="10121" spans="14:14">
      <c r="N10121"/>
    </row>
    <row r="10122" spans="14:14">
      <c r="N10122"/>
    </row>
    <row r="10123" spans="14:14">
      <c r="N10123"/>
    </row>
    <row r="10124" spans="14:14">
      <c r="N10124"/>
    </row>
    <row r="10125" spans="14:14">
      <c r="N10125"/>
    </row>
    <row r="10126" spans="14:14">
      <c r="N10126"/>
    </row>
    <row r="10127" spans="14:14">
      <c r="N10127"/>
    </row>
    <row r="10128" spans="14:14">
      <c r="N10128"/>
    </row>
    <row r="10129" spans="14:14">
      <c r="N10129"/>
    </row>
    <row r="10130" spans="14:14">
      <c r="N10130"/>
    </row>
    <row r="10131" spans="14:14">
      <c r="N10131"/>
    </row>
    <row r="10132" spans="14:14">
      <c r="N10132"/>
    </row>
    <row r="10133" spans="14:14">
      <c r="N10133"/>
    </row>
    <row r="10134" spans="14:14">
      <c r="N10134"/>
    </row>
    <row r="10135" spans="14:14">
      <c r="N10135"/>
    </row>
    <row r="10136" spans="14:14">
      <c r="N10136"/>
    </row>
    <row r="10137" spans="14:14">
      <c r="N10137"/>
    </row>
    <row r="10138" spans="14:14">
      <c r="N10138"/>
    </row>
    <row r="10139" spans="14:14">
      <c r="N10139"/>
    </row>
    <row r="10140" spans="14:14">
      <c r="N10140"/>
    </row>
    <row r="10141" spans="14:14">
      <c r="N10141"/>
    </row>
    <row r="10142" spans="14:14">
      <c r="N10142"/>
    </row>
    <row r="10143" spans="14:14">
      <c r="N10143"/>
    </row>
    <row r="10144" spans="14:14">
      <c r="N10144"/>
    </row>
    <row r="10145" spans="14:14">
      <c r="N10145"/>
    </row>
    <row r="10146" spans="14:14">
      <c r="N10146"/>
    </row>
    <row r="10147" spans="14:14">
      <c r="N10147"/>
    </row>
    <row r="10148" spans="14:14">
      <c r="N10148"/>
    </row>
    <row r="10149" spans="14:14">
      <c r="N10149"/>
    </row>
    <row r="10150" spans="14:14">
      <c r="N10150"/>
    </row>
    <row r="10151" spans="14:14">
      <c r="N10151"/>
    </row>
    <row r="10152" spans="14:14">
      <c r="N10152"/>
    </row>
    <row r="10153" spans="14:14">
      <c r="N10153"/>
    </row>
    <row r="10154" spans="14:14">
      <c r="N10154"/>
    </row>
    <row r="10155" spans="14:14">
      <c r="N10155"/>
    </row>
    <row r="10156" spans="14:14">
      <c r="N10156"/>
    </row>
    <row r="10157" spans="14:14">
      <c r="N10157"/>
    </row>
    <row r="10158" spans="14:14">
      <c r="N10158"/>
    </row>
    <row r="10159" spans="14:14">
      <c r="N10159"/>
    </row>
    <row r="10160" spans="14:14">
      <c r="N10160"/>
    </row>
    <row r="10161" spans="14:14">
      <c r="N10161"/>
    </row>
    <row r="10162" spans="14:14">
      <c r="N10162"/>
    </row>
    <row r="10163" spans="14:14">
      <c r="N10163"/>
    </row>
    <row r="10164" spans="14:14">
      <c r="N10164"/>
    </row>
    <row r="10165" spans="14:14">
      <c r="N10165"/>
    </row>
    <row r="10166" spans="14:14">
      <c r="N10166"/>
    </row>
    <row r="10167" spans="14:14">
      <c r="N10167"/>
    </row>
    <row r="10168" spans="14:14">
      <c r="N10168"/>
    </row>
    <row r="10169" spans="14:14">
      <c r="N10169"/>
    </row>
    <row r="10170" spans="14:14">
      <c r="N10170"/>
    </row>
    <row r="10171" spans="14:14">
      <c r="N10171"/>
    </row>
    <row r="10172" spans="14:14">
      <c r="N10172"/>
    </row>
    <row r="10173" spans="14:14">
      <c r="N10173"/>
    </row>
    <row r="10174" spans="14:14">
      <c r="N10174"/>
    </row>
    <row r="10175" spans="14:14">
      <c r="N10175"/>
    </row>
    <row r="10176" spans="14:14">
      <c r="N10176"/>
    </row>
    <row r="10177" spans="14:14">
      <c r="N10177"/>
    </row>
    <row r="10178" spans="14:14">
      <c r="N10178"/>
    </row>
    <row r="10179" spans="14:14">
      <c r="N10179"/>
    </row>
    <row r="10180" spans="14:14">
      <c r="N10180"/>
    </row>
    <row r="10181" spans="14:14">
      <c r="N10181"/>
    </row>
    <row r="10182" spans="14:14">
      <c r="N10182"/>
    </row>
    <row r="10183" spans="14:14">
      <c r="N10183"/>
    </row>
    <row r="10184" spans="14:14">
      <c r="N10184"/>
    </row>
    <row r="10185" spans="14:14">
      <c r="N10185"/>
    </row>
    <row r="10186" spans="14:14">
      <c r="N10186"/>
    </row>
    <row r="10187" spans="14:14">
      <c r="N10187"/>
    </row>
    <row r="10188" spans="14:14">
      <c r="N10188"/>
    </row>
    <row r="10189" spans="14:14">
      <c r="N10189"/>
    </row>
    <row r="10190" spans="14:14">
      <c r="N10190"/>
    </row>
    <row r="10191" spans="14:14">
      <c r="N10191"/>
    </row>
    <row r="10192" spans="14:14">
      <c r="N10192"/>
    </row>
    <row r="10193" spans="14:14">
      <c r="N10193"/>
    </row>
    <row r="10194" spans="14:14">
      <c r="N10194"/>
    </row>
    <row r="10195" spans="14:14">
      <c r="N10195"/>
    </row>
    <row r="10196" spans="14:14">
      <c r="N10196"/>
    </row>
    <row r="10197" spans="14:14">
      <c r="N10197"/>
    </row>
    <row r="10198" spans="14:14">
      <c r="N10198"/>
    </row>
    <row r="10199" spans="14:14">
      <c r="N10199"/>
    </row>
    <row r="10200" spans="14:14">
      <c r="N10200"/>
    </row>
    <row r="10201" spans="14:14">
      <c r="N10201"/>
    </row>
    <row r="10202" spans="14:14">
      <c r="N10202"/>
    </row>
    <row r="10203" spans="14:14">
      <c r="N10203"/>
    </row>
    <row r="10204" spans="14:14">
      <c r="N10204"/>
    </row>
    <row r="10205" spans="14:14">
      <c r="N10205"/>
    </row>
    <row r="10206" spans="14:14">
      <c r="N10206"/>
    </row>
    <row r="10207" spans="14:14">
      <c r="N10207"/>
    </row>
    <row r="10208" spans="14:14">
      <c r="N10208"/>
    </row>
    <row r="10209" spans="14:14">
      <c r="N10209"/>
    </row>
    <row r="10210" spans="14:14">
      <c r="N10210"/>
    </row>
    <row r="10211" spans="14:14">
      <c r="N10211"/>
    </row>
    <row r="10212" spans="14:14">
      <c r="N10212"/>
    </row>
    <row r="10213" spans="14:14">
      <c r="N10213"/>
    </row>
    <row r="10214" spans="14:14">
      <c r="N10214"/>
    </row>
    <row r="10215" spans="14:14">
      <c r="N10215"/>
    </row>
    <row r="10216" spans="14:14">
      <c r="N10216"/>
    </row>
    <row r="10217" spans="14:14">
      <c r="N10217"/>
    </row>
    <row r="10218" spans="14:14">
      <c r="N10218"/>
    </row>
    <row r="10219" spans="14:14">
      <c r="N10219"/>
    </row>
    <row r="10220" spans="14:14">
      <c r="N10220"/>
    </row>
    <row r="10221" spans="14:14">
      <c r="N10221"/>
    </row>
    <row r="10222" spans="14:14">
      <c r="N10222"/>
    </row>
    <row r="10223" spans="14:14">
      <c r="N10223"/>
    </row>
    <row r="10224" spans="14:14">
      <c r="N10224"/>
    </row>
    <row r="10225" spans="14:14">
      <c r="N10225"/>
    </row>
    <row r="10226" spans="14:14">
      <c r="N10226"/>
    </row>
    <row r="10227" spans="14:14">
      <c r="N10227"/>
    </row>
    <row r="10228" spans="14:14">
      <c r="N10228"/>
    </row>
    <row r="10229" spans="14:14">
      <c r="N10229"/>
    </row>
    <row r="10230" spans="14:14">
      <c r="N10230"/>
    </row>
    <row r="10231" spans="14:14">
      <c r="N10231"/>
    </row>
    <row r="10232" spans="14:14">
      <c r="N10232"/>
    </row>
    <row r="10233" spans="14:14">
      <c r="N10233"/>
    </row>
    <row r="10234" spans="14:14">
      <c r="N10234"/>
    </row>
    <row r="10235" spans="14:14">
      <c r="N10235"/>
    </row>
    <row r="10236" spans="14:14">
      <c r="N10236"/>
    </row>
    <row r="10237" spans="14:14">
      <c r="N10237"/>
    </row>
    <row r="10238" spans="14:14">
      <c r="N10238"/>
    </row>
    <row r="10239" spans="14:14">
      <c r="N10239"/>
    </row>
    <row r="10240" spans="14:14">
      <c r="N10240"/>
    </row>
    <row r="10241" spans="14:14">
      <c r="N10241"/>
    </row>
    <row r="10242" spans="14:14">
      <c r="N10242"/>
    </row>
    <row r="10243" spans="14:14">
      <c r="N10243"/>
    </row>
    <row r="10244" spans="14:14">
      <c r="N10244"/>
    </row>
    <row r="10245" spans="14:14">
      <c r="N10245"/>
    </row>
    <row r="10246" spans="14:14">
      <c r="N10246"/>
    </row>
    <row r="10247" spans="14:14">
      <c r="N10247"/>
    </row>
    <row r="10248" spans="14:14">
      <c r="N10248"/>
    </row>
    <row r="10249" spans="14:14">
      <c r="N10249"/>
    </row>
    <row r="10250" spans="14:14">
      <c r="N10250"/>
    </row>
    <row r="10251" spans="14:14">
      <c r="N10251"/>
    </row>
    <row r="10252" spans="14:14">
      <c r="N10252"/>
    </row>
    <row r="10253" spans="14:14">
      <c r="N10253"/>
    </row>
    <row r="10254" spans="14:14">
      <c r="N10254"/>
    </row>
    <row r="10255" spans="14:14">
      <c r="N10255"/>
    </row>
    <row r="10256" spans="14:14">
      <c r="N10256"/>
    </row>
    <row r="10257" spans="14:14">
      <c r="N10257"/>
    </row>
    <row r="10258" spans="14:14">
      <c r="N10258"/>
    </row>
    <row r="10259" spans="14:14">
      <c r="N10259"/>
    </row>
    <row r="10260" spans="14:14">
      <c r="N10260"/>
    </row>
    <row r="10261" spans="14:14">
      <c r="N10261"/>
    </row>
    <row r="10262" spans="14:14">
      <c r="N10262"/>
    </row>
    <row r="10263" spans="14:14">
      <c r="N10263"/>
    </row>
    <row r="10264" spans="14:14">
      <c r="N10264"/>
    </row>
    <row r="10265" spans="14:14">
      <c r="N10265"/>
    </row>
    <row r="10266" spans="14:14">
      <c r="N10266"/>
    </row>
    <row r="10267" spans="14:14">
      <c r="N10267"/>
    </row>
    <row r="10268" spans="14:14">
      <c r="N10268"/>
    </row>
    <row r="10269" spans="14:14">
      <c r="N10269"/>
    </row>
    <row r="10270" spans="14:14">
      <c r="N10270"/>
    </row>
    <row r="10271" spans="14:14">
      <c r="N10271"/>
    </row>
    <row r="10272" spans="14:14">
      <c r="N10272"/>
    </row>
    <row r="10273" spans="14:14">
      <c r="N10273"/>
    </row>
    <row r="10274" spans="14:14">
      <c r="N10274"/>
    </row>
    <row r="10275" spans="14:14">
      <c r="N10275"/>
    </row>
    <row r="10276" spans="14:14">
      <c r="N10276"/>
    </row>
    <row r="10277" spans="14:14">
      <c r="N10277"/>
    </row>
    <row r="10278" spans="14:14">
      <c r="N10278"/>
    </row>
    <row r="10279" spans="14:14">
      <c r="N10279"/>
    </row>
    <row r="10280" spans="14:14">
      <c r="N10280"/>
    </row>
    <row r="10281" spans="14:14">
      <c r="N10281"/>
    </row>
    <row r="10282" spans="14:14">
      <c r="N10282"/>
    </row>
    <row r="10283" spans="14:14">
      <c r="N10283"/>
    </row>
    <row r="10284" spans="14:14">
      <c r="N10284"/>
    </row>
    <row r="10285" spans="14:14">
      <c r="N10285"/>
    </row>
    <row r="10286" spans="14:14">
      <c r="N10286"/>
    </row>
    <row r="10287" spans="14:14">
      <c r="N10287"/>
    </row>
    <row r="10288" spans="14:14">
      <c r="N10288"/>
    </row>
    <row r="10289" spans="14:14">
      <c r="N10289"/>
    </row>
    <row r="10290" spans="14:14">
      <c r="N10290"/>
    </row>
    <row r="10291" spans="14:14">
      <c r="N10291"/>
    </row>
    <row r="10292" spans="14:14">
      <c r="N10292"/>
    </row>
    <row r="10293" spans="14:14">
      <c r="N10293"/>
    </row>
    <row r="10294" spans="14:14">
      <c r="N10294"/>
    </row>
    <row r="10295" spans="14:14">
      <c r="N10295"/>
    </row>
    <row r="10296" spans="14:14">
      <c r="N10296"/>
    </row>
    <row r="10297" spans="14:14">
      <c r="N10297"/>
    </row>
    <row r="10298" spans="14:14">
      <c r="N10298"/>
    </row>
    <row r="10299" spans="14:14">
      <c r="N10299"/>
    </row>
    <row r="10300" spans="14:14">
      <c r="N10300"/>
    </row>
    <row r="10301" spans="14:14">
      <c r="N10301"/>
    </row>
    <row r="10302" spans="14:14">
      <c r="N10302"/>
    </row>
    <row r="10303" spans="14:14">
      <c r="N10303"/>
    </row>
    <row r="10304" spans="14:14">
      <c r="N10304"/>
    </row>
    <row r="10305" spans="14:14">
      <c r="N10305"/>
    </row>
    <row r="10306" spans="14:14">
      <c r="N10306"/>
    </row>
    <row r="10307" spans="14:14">
      <c r="N10307"/>
    </row>
    <row r="10308" spans="14:14">
      <c r="N10308"/>
    </row>
    <row r="10309" spans="14:14">
      <c r="N10309"/>
    </row>
    <row r="10310" spans="14:14">
      <c r="N10310"/>
    </row>
    <row r="10311" spans="14:14">
      <c r="N10311"/>
    </row>
    <row r="10312" spans="14:14">
      <c r="N10312"/>
    </row>
    <row r="10313" spans="14:14">
      <c r="N10313"/>
    </row>
    <row r="10314" spans="14:14">
      <c r="N10314"/>
    </row>
    <row r="10315" spans="14:14">
      <c r="N10315"/>
    </row>
    <row r="10316" spans="14:14">
      <c r="N10316"/>
    </row>
    <row r="10317" spans="14:14">
      <c r="N10317"/>
    </row>
    <row r="10318" spans="14:14">
      <c r="N10318"/>
    </row>
    <row r="10319" spans="14:14">
      <c r="N10319"/>
    </row>
    <row r="10320" spans="14:14">
      <c r="N10320"/>
    </row>
    <row r="10321" spans="14:14">
      <c r="N10321"/>
    </row>
    <row r="10322" spans="14:14">
      <c r="N10322"/>
    </row>
    <row r="10323" spans="14:14">
      <c r="N10323"/>
    </row>
    <row r="10324" spans="14:14">
      <c r="N10324"/>
    </row>
    <row r="10325" spans="14:14">
      <c r="N10325"/>
    </row>
    <row r="10326" spans="14:14">
      <c r="N10326"/>
    </row>
    <row r="10327" spans="14:14">
      <c r="N10327"/>
    </row>
    <row r="10328" spans="14:14">
      <c r="N10328"/>
    </row>
    <row r="10329" spans="14:14">
      <c r="N10329"/>
    </row>
    <row r="10330" spans="14:14">
      <c r="N10330"/>
    </row>
    <row r="10331" spans="14:14">
      <c r="N10331"/>
    </row>
    <row r="10332" spans="14:14">
      <c r="N10332"/>
    </row>
    <row r="10333" spans="14:14">
      <c r="N10333"/>
    </row>
    <row r="10334" spans="14:14">
      <c r="N10334"/>
    </row>
    <row r="10335" spans="14:14">
      <c r="N10335"/>
    </row>
    <row r="10336" spans="14:14">
      <c r="N10336"/>
    </row>
    <row r="10337" spans="14:14">
      <c r="N10337"/>
    </row>
    <row r="10338" spans="14:14">
      <c r="N10338"/>
    </row>
    <row r="10339" spans="14:14">
      <c r="N10339"/>
    </row>
    <row r="10340" spans="14:14">
      <c r="N10340"/>
    </row>
    <row r="10341" spans="14:14">
      <c r="N10341"/>
    </row>
    <row r="10342" spans="14:14">
      <c r="N10342"/>
    </row>
    <row r="10343" spans="14:14">
      <c r="N10343"/>
    </row>
    <row r="10344" spans="14:14">
      <c r="N10344"/>
    </row>
    <row r="10345" spans="14:14">
      <c r="N10345"/>
    </row>
    <row r="10346" spans="14:14">
      <c r="N10346"/>
    </row>
    <row r="10347" spans="14:14">
      <c r="N10347"/>
    </row>
    <row r="10348" spans="14:14">
      <c r="N10348"/>
    </row>
    <row r="10349" spans="14:14">
      <c r="N10349"/>
    </row>
    <row r="10350" spans="14:14">
      <c r="N10350"/>
    </row>
    <row r="10351" spans="14:14">
      <c r="N10351"/>
    </row>
    <row r="10352" spans="14:14">
      <c r="N10352"/>
    </row>
    <row r="10353" spans="14:14">
      <c r="N10353"/>
    </row>
    <row r="10354" spans="14:14">
      <c r="N10354"/>
    </row>
    <row r="10355" spans="14:14">
      <c r="N10355"/>
    </row>
    <row r="10356" spans="14:14">
      <c r="N10356"/>
    </row>
    <row r="10357" spans="14:14">
      <c r="N10357"/>
    </row>
    <row r="10358" spans="14:14">
      <c r="N10358"/>
    </row>
    <row r="10359" spans="14:14">
      <c r="N10359"/>
    </row>
    <row r="10360" spans="14:14">
      <c r="N10360"/>
    </row>
    <row r="10361" spans="14:14">
      <c r="N10361"/>
    </row>
    <row r="10362" spans="14:14">
      <c r="N10362"/>
    </row>
    <row r="10363" spans="14:14">
      <c r="N10363"/>
    </row>
    <row r="10364" spans="14:14">
      <c r="N10364"/>
    </row>
    <row r="10365" spans="14:14">
      <c r="N10365"/>
    </row>
    <row r="10366" spans="14:14">
      <c r="N10366"/>
    </row>
    <row r="10367" spans="14:14">
      <c r="N10367"/>
    </row>
    <row r="10368" spans="14:14">
      <c r="N10368"/>
    </row>
    <row r="10369" spans="14:14">
      <c r="N10369"/>
    </row>
    <row r="10370" spans="14:14">
      <c r="N10370"/>
    </row>
    <row r="10371" spans="14:14">
      <c r="N10371"/>
    </row>
    <row r="10372" spans="14:14">
      <c r="N10372"/>
    </row>
    <row r="10373" spans="14:14">
      <c r="N10373"/>
    </row>
    <row r="10374" spans="14:14">
      <c r="N10374"/>
    </row>
    <row r="10375" spans="14:14">
      <c r="N10375"/>
    </row>
    <row r="10376" spans="14:14">
      <c r="N10376"/>
    </row>
    <row r="10377" spans="14:14">
      <c r="N10377"/>
    </row>
    <row r="10378" spans="14:14">
      <c r="N10378"/>
    </row>
    <row r="10379" spans="14:14">
      <c r="N10379"/>
    </row>
    <row r="10380" spans="14:14">
      <c r="N10380"/>
    </row>
    <row r="10381" spans="14:14">
      <c r="N10381"/>
    </row>
    <row r="10382" spans="14:14">
      <c r="N10382"/>
    </row>
    <row r="10383" spans="14:14">
      <c r="N10383"/>
    </row>
    <row r="10384" spans="14:14">
      <c r="N10384"/>
    </row>
    <row r="10385" spans="14:14">
      <c r="N10385"/>
    </row>
    <row r="10386" spans="14:14">
      <c r="N10386"/>
    </row>
    <row r="10387" spans="14:14">
      <c r="N10387"/>
    </row>
    <row r="10388" spans="14:14">
      <c r="N10388"/>
    </row>
    <row r="10389" spans="14:14">
      <c r="N10389"/>
    </row>
    <row r="10390" spans="14:14">
      <c r="N10390"/>
    </row>
    <row r="10391" spans="14:14">
      <c r="N10391"/>
    </row>
    <row r="10392" spans="14:14">
      <c r="N10392"/>
    </row>
    <row r="10393" spans="14:14">
      <c r="N10393"/>
    </row>
    <row r="10394" spans="14:14">
      <c r="N10394"/>
    </row>
    <row r="10395" spans="14:14">
      <c r="N10395"/>
    </row>
    <row r="10396" spans="14:14">
      <c r="N10396"/>
    </row>
    <row r="10397" spans="14:14">
      <c r="N10397"/>
    </row>
    <row r="10398" spans="14:14">
      <c r="N10398"/>
    </row>
    <row r="10399" spans="14:14">
      <c r="N10399"/>
    </row>
    <row r="10400" spans="14:14">
      <c r="N10400"/>
    </row>
    <row r="10401" spans="14:14">
      <c r="N10401"/>
    </row>
    <row r="10402" spans="14:14">
      <c r="N10402"/>
    </row>
    <row r="10403" spans="14:14">
      <c r="N10403"/>
    </row>
    <row r="10404" spans="14:14">
      <c r="N10404"/>
    </row>
    <row r="10405" spans="14:14">
      <c r="N10405"/>
    </row>
    <row r="10406" spans="14:14">
      <c r="N10406"/>
    </row>
    <row r="10407" spans="14:14">
      <c r="N10407"/>
    </row>
    <row r="10408" spans="14:14">
      <c r="N10408"/>
    </row>
    <row r="10409" spans="14:14">
      <c r="N10409"/>
    </row>
    <row r="10410" spans="14:14">
      <c r="N10410"/>
    </row>
    <row r="10411" spans="14:14">
      <c r="N10411"/>
    </row>
    <row r="10412" spans="14:14">
      <c r="N10412"/>
    </row>
    <row r="10413" spans="14:14">
      <c r="N10413"/>
    </row>
    <row r="10414" spans="14:14">
      <c r="N10414"/>
    </row>
    <row r="10415" spans="14:14">
      <c r="N10415"/>
    </row>
    <row r="10416" spans="14:14">
      <c r="N10416"/>
    </row>
    <row r="10417" spans="14:14">
      <c r="N10417"/>
    </row>
    <row r="10418" spans="14:14">
      <c r="N10418"/>
    </row>
    <row r="10419" spans="14:14">
      <c r="N10419"/>
    </row>
    <row r="10420" spans="14:14">
      <c r="N10420"/>
    </row>
    <row r="10421" spans="14:14">
      <c r="N10421"/>
    </row>
    <row r="10422" spans="14:14">
      <c r="N10422"/>
    </row>
    <row r="10423" spans="14:14">
      <c r="N10423"/>
    </row>
    <row r="10424" spans="14:14">
      <c r="N10424"/>
    </row>
    <row r="10425" spans="14:14">
      <c r="N10425"/>
    </row>
    <row r="10426" spans="14:14">
      <c r="N10426"/>
    </row>
    <row r="10427" spans="14:14">
      <c r="N10427"/>
    </row>
    <row r="10428" spans="14:14">
      <c r="N10428"/>
    </row>
    <row r="10429" spans="14:14">
      <c r="N10429"/>
    </row>
    <row r="10430" spans="14:14">
      <c r="N10430"/>
    </row>
    <row r="10431" spans="14:14">
      <c r="N10431"/>
    </row>
    <row r="10432" spans="14:14">
      <c r="N10432"/>
    </row>
    <row r="10433" spans="14:14">
      <c r="N10433"/>
    </row>
    <row r="10434" spans="14:14">
      <c r="N10434"/>
    </row>
    <row r="10435" spans="14:14">
      <c r="N10435"/>
    </row>
    <row r="10436" spans="14:14">
      <c r="N10436"/>
    </row>
    <row r="10437" spans="14:14">
      <c r="N10437"/>
    </row>
    <row r="10438" spans="14:14">
      <c r="N10438"/>
    </row>
    <row r="10439" spans="14:14">
      <c r="N10439"/>
    </row>
    <row r="10440" spans="14:14">
      <c r="N10440"/>
    </row>
    <row r="10441" spans="14:14">
      <c r="N10441"/>
    </row>
    <row r="10442" spans="14:14">
      <c r="N10442"/>
    </row>
    <row r="10443" spans="14:14">
      <c r="N10443"/>
    </row>
    <row r="10444" spans="14:14">
      <c r="N10444"/>
    </row>
    <row r="10445" spans="14:14">
      <c r="N10445"/>
    </row>
    <row r="10446" spans="14:14">
      <c r="N10446"/>
    </row>
    <row r="10447" spans="14:14">
      <c r="N10447"/>
    </row>
    <row r="10448" spans="14:14">
      <c r="N10448"/>
    </row>
    <row r="10449" spans="14:14">
      <c r="N10449"/>
    </row>
    <row r="10450" spans="14:14">
      <c r="N10450"/>
    </row>
    <row r="10451" spans="14:14">
      <c r="N10451"/>
    </row>
    <row r="10452" spans="14:14">
      <c r="N10452"/>
    </row>
    <row r="10453" spans="14:14">
      <c r="N10453"/>
    </row>
    <row r="10454" spans="14:14">
      <c r="N10454"/>
    </row>
    <row r="10455" spans="14:14">
      <c r="N10455"/>
    </row>
    <row r="10456" spans="14:14">
      <c r="N10456"/>
    </row>
    <row r="10457" spans="14:14">
      <c r="N10457"/>
    </row>
    <row r="10458" spans="14:14">
      <c r="N10458"/>
    </row>
    <row r="10459" spans="14:14">
      <c r="N10459"/>
    </row>
    <row r="10460" spans="14:14">
      <c r="N10460"/>
    </row>
    <row r="10461" spans="14:14">
      <c r="N10461"/>
    </row>
    <row r="10462" spans="14:14">
      <c r="N10462"/>
    </row>
    <row r="10463" spans="14:14">
      <c r="N10463"/>
    </row>
    <row r="10464" spans="14:14">
      <c r="N10464"/>
    </row>
    <row r="10465" spans="14:14">
      <c r="N10465"/>
    </row>
    <row r="10466" spans="14:14">
      <c r="N10466"/>
    </row>
    <row r="10467" spans="14:14">
      <c r="N10467"/>
    </row>
    <row r="10468" spans="14:14">
      <c r="N10468"/>
    </row>
    <row r="10469" spans="14:14">
      <c r="N10469"/>
    </row>
    <row r="10470" spans="14:14">
      <c r="N10470"/>
    </row>
    <row r="10471" spans="14:14">
      <c r="N10471"/>
    </row>
    <row r="10472" spans="14:14">
      <c r="N10472"/>
    </row>
    <row r="10473" spans="14:14">
      <c r="N10473"/>
    </row>
    <row r="10474" spans="14:14">
      <c r="N10474"/>
    </row>
    <row r="10475" spans="14:14">
      <c r="N10475"/>
    </row>
    <row r="10476" spans="14:14">
      <c r="N10476"/>
    </row>
    <row r="10477" spans="14:14">
      <c r="N10477"/>
    </row>
    <row r="10478" spans="14:14">
      <c r="N10478"/>
    </row>
    <row r="10479" spans="14:14">
      <c r="N10479"/>
    </row>
    <row r="10480" spans="14:14">
      <c r="N10480"/>
    </row>
    <row r="10481" spans="14:14">
      <c r="N10481"/>
    </row>
    <row r="10482" spans="14:14">
      <c r="N10482"/>
    </row>
    <row r="10483" spans="14:14">
      <c r="N10483"/>
    </row>
    <row r="10484" spans="14:14">
      <c r="N10484"/>
    </row>
    <row r="10485" spans="14:14">
      <c r="N10485"/>
    </row>
    <row r="10486" spans="14:14">
      <c r="N10486"/>
    </row>
    <row r="10487" spans="14:14">
      <c r="N10487"/>
    </row>
    <row r="10488" spans="14:14">
      <c r="N10488"/>
    </row>
    <row r="10489" spans="14:14">
      <c r="N10489"/>
    </row>
    <row r="10490" spans="14:14">
      <c r="N10490"/>
    </row>
    <row r="10491" spans="14:14">
      <c r="N10491"/>
    </row>
    <row r="10492" spans="14:14">
      <c r="N10492"/>
    </row>
    <row r="10493" spans="14:14">
      <c r="N10493"/>
    </row>
    <row r="10494" spans="14:14">
      <c r="N10494"/>
    </row>
    <row r="10495" spans="14:14">
      <c r="N10495"/>
    </row>
    <row r="10496" spans="14:14">
      <c r="N10496"/>
    </row>
    <row r="10497" spans="14:14">
      <c r="N10497"/>
    </row>
    <row r="10498" spans="14:14">
      <c r="N10498"/>
    </row>
    <row r="10499" spans="14:14">
      <c r="N10499"/>
    </row>
    <row r="10500" spans="14:14">
      <c r="N10500"/>
    </row>
    <row r="10501" spans="14:14">
      <c r="N10501"/>
    </row>
    <row r="10502" spans="14:14">
      <c r="N10502"/>
    </row>
    <row r="10503" spans="14:14">
      <c r="N10503"/>
    </row>
    <row r="10504" spans="14:14">
      <c r="N10504"/>
    </row>
    <row r="10505" spans="14:14">
      <c r="N10505"/>
    </row>
    <row r="10506" spans="14:14">
      <c r="N10506"/>
    </row>
    <row r="10507" spans="14:14">
      <c r="N10507"/>
    </row>
    <row r="10508" spans="14:14">
      <c r="N10508"/>
    </row>
    <row r="10509" spans="14:14">
      <c r="N10509"/>
    </row>
    <row r="10510" spans="14:14">
      <c r="N10510"/>
    </row>
    <row r="10511" spans="14:14">
      <c r="N10511"/>
    </row>
    <row r="10512" spans="14:14">
      <c r="N10512"/>
    </row>
    <row r="10513" spans="14:14">
      <c r="N10513"/>
    </row>
    <row r="10514" spans="14:14">
      <c r="N10514"/>
    </row>
    <row r="10515" spans="14:14">
      <c r="N10515"/>
    </row>
    <row r="10516" spans="14:14">
      <c r="N10516"/>
    </row>
    <row r="10517" spans="14:14">
      <c r="N10517"/>
    </row>
    <row r="10518" spans="14:14">
      <c r="N10518"/>
    </row>
    <row r="10519" spans="14:14">
      <c r="N10519"/>
    </row>
    <row r="10520" spans="14:14">
      <c r="N10520"/>
    </row>
    <row r="10521" spans="14:14">
      <c r="N10521"/>
    </row>
    <row r="10522" spans="14:14">
      <c r="N10522"/>
    </row>
    <row r="10523" spans="14:14">
      <c r="N10523"/>
    </row>
    <row r="10524" spans="14:14">
      <c r="N10524"/>
    </row>
    <row r="10525" spans="14:14">
      <c r="N10525"/>
    </row>
    <row r="10526" spans="14:14">
      <c r="N10526"/>
    </row>
    <row r="10527" spans="14:14">
      <c r="N10527"/>
    </row>
    <row r="10528" spans="14:14">
      <c r="N10528"/>
    </row>
    <row r="10529" spans="14:14">
      <c r="N10529"/>
    </row>
    <row r="10530" spans="14:14">
      <c r="N10530"/>
    </row>
    <row r="10531" spans="14:14">
      <c r="N10531"/>
    </row>
    <row r="10532" spans="14:14">
      <c r="N10532"/>
    </row>
    <row r="10533" spans="14:14">
      <c r="N10533"/>
    </row>
    <row r="10534" spans="14:14">
      <c r="N10534"/>
    </row>
    <row r="10535" spans="14:14">
      <c r="N10535"/>
    </row>
    <row r="10536" spans="14:14">
      <c r="N10536"/>
    </row>
    <row r="10537" spans="14:14">
      <c r="N10537"/>
    </row>
    <row r="10538" spans="14:14">
      <c r="N10538"/>
    </row>
    <row r="10539" spans="14:14">
      <c r="N10539"/>
    </row>
    <row r="10540" spans="14:14">
      <c r="N10540"/>
    </row>
    <row r="10541" spans="14:14">
      <c r="N10541"/>
    </row>
    <row r="10542" spans="14:14">
      <c r="N10542"/>
    </row>
    <row r="10543" spans="14:14">
      <c r="N10543"/>
    </row>
    <row r="10544" spans="14:14">
      <c r="N10544"/>
    </row>
    <row r="10545" spans="14:14">
      <c r="N10545"/>
    </row>
    <row r="10546" spans="14:14">
      <c r="N10546"/>
    </row>
    <row r="10547" spans="14:14">
      <c r="N10547"/>
    </row>
    <row r="10548" spans="14:14">
      <c r="N10548"/>
    </row>
    <row r="10549" spans="14:14">
      <c r="N10549"/>
    </row>
    <row r="10550" spans="14:14">
      <c r="N10550"/>
    </row>
    <row r="10551" spans="14:14">
      <c r="N10551"/>
    </row>
    <row r="10552" spans="14:14">
      <c r="N10552"/>
    </row>
    <row r="10553" spans="14:14">
      <c r="N10553"/>
    </row>
    <row r="10554" spans="14:14">
      <c r="N10554"/>
    </row>
    <row r="10555" spans="14:14">
      <c r="N10555"/>
    </row>
    <row r="10556" spans="14:14">
      <c r="N10556"/>
    </row>
    <row r="10557" spans="14:14">
      <c r="N10557"/>
    </row>
    <row r="10558" spans="14:14">
      <c r="N10558"/>
    </row>
    <row r="10559" spans="14:14">
      <c r="N10559"/>
    </row>
    <row r="10560" spans="14:14">
      <c r="N10560"/>
    </row>
    <row r="10561" spans="14:14">
      <c r="N10561"/>
    </row>
    <row r="10562" spans="14:14">
      <c r="N10562"/>
    </row>
    <row r="10563" spans="14:14">
      <c r="N10563"/>
    </row>
    <row r="10564" spans="14:14">
      <c r="N10564"/>
    </row>
    <row r="10565" spans="14:14">
      <c r="N10565"/>
    </row>
    <row r="10566" spans="14:14">
      <c r="N10566"/>
    </row>
    <row r="10567" spans="14:14">
      <c r="N10567"/>
    </row>
    <row r="10568" spans="14:14">
      <c r="N10568"/>
    </row>
    <row r="10569" spans="14:14">
      <c r="N10569"/>
    </row>
    <row r="10570" spans="14:14">
      <c r="N10570"/>
    </row>
    <row r="10571" spans="14:14">
      <c r="N10571"/>
    </row>
    <row r="10572" spans="14:14">
      <c r="N10572"/>
    </row>
    <row r="10573" spans="14:14">
      <c r="N10573"/>
    </row>
    <row r="10574" spans="14:14">
      <c r="N10574"/>
    </row>
    <row r="10575" spans="14:14">
      <c r="N10575"/>
    </row>
    <row r="10576" spans="14:14">
      <c r="N10576"/>
    </row>
    <row r="10577" spans="14:14">
      <c r="N10577"/>
    </row>
    <row r="10578" spans="14:14">
      <c r="N10578"/>
    </row>
    <row r="10579" spans="14:14">
      <c r="N10579"/>
    </row>
    <row r="10580" spans="14:14">
      <c r="N10580"/>
    </row>
    <row r="10581" spans="14:14">
      <c r="N10581"/>
    </row>
    <row r="10582" spans="14:14">
      <c r="N10582"/>
    </row>
    <row r="10583" spans="14:14">
      <c r="N10583"/>
    </row>
    <row r="10584" spans="14:14">
      <c r="N10584"/>
    </row>
    <row r="10585" spans="14:14">
      <c r="N10585"/>
    </row>
    <row r="10586" spans="14:14">
      <c r="N10586"/>
    </row>
    <row r="10587" spans="14:14">
      <c r="N10587"/>
    </row>
    <row r="10588" spans="14:14">
      <c r="N10588"/>
    </row>
    <row r="10589" spans="14:14">
      <c r="N10589"/>
    </row>
    <row r="10590" spans="14:14">
      <c r="N10590"/>
    </row>
    <row r="10591" spans="14:14">
      <c r="N10591"/>
    </row>
    <row r="10592" spans="14:14">
      <c r="N10592"/>
    </row>
    <row r="10593" spans="14:14">
      <c r="N10593"/>
    </row>
    <row r="10594" spans="14:14">
      <c r="N10594"/>
    </row>
    <row r="10595" spans="14:14">
      <c r="N10595"/>
    </row>
    <row r="10596" spans="14:14">
      <c r="N10596"/>
    </row>
    <row r="10597" spans="14:14">
      <c r="N10597"/>
    </row>
    <row r="10598" spans="14:14">
      <c r="N10598"/>
    </row>
    <row r="10599" spans="14:14">
      <c r="N10599"/>
    </row>
    <row r="10600" spans="14:14">
      <c r="N10600"/>
    </row>
    <row r="10601" spans="14:14">
      <c r="N10601"/>
    </row>
    <row r="10602" spans="14:14">
      <c r="N10602"/>
    </row>
    <row r="10603" spans="14:14">
      <c r="N10603"/>
    </row>
    <row r="10604" spans="14:14">
      <c r="N10604"/>
    </row>
    <row r="10605" spans="14:14">
      <c r="N10605"/>
    </row>
    <row r="10606" spans="14:14">
      <c r="N10606"/>
    </row>
    <row r="10607" spans="14:14">
      <c r="N10607"/>
    </row>
    <row r="10608" spans="14:14">
      <c r="N10608"/>
    </row>
    <row r="10609" spans="14:14">
      <c r="N10609"/>
    </row>
    <row r="10610" spans="14:14">
      <c r="N10610"/>
    </row>
    <row r="10611" spans="14:14">
      <c r="N10611"/>
    </row>
    <row r="10612" spans="14:14">
      <c r="N10612"/>
    </row>
    <row r="10613" spans="14:14">
      <c r="N10613"/>
    </row>
    <row r="10614" spans="14:14">
      <c r="N10614"/>
    </row>
    <row r="10615" spans="14:14">
      <c r="N10615"/>
    </row>
    <row r="10616" spans="14:14">
      <c r="N10616"/>
    </row>
    <row r="10617" spans="14:14">
      <c r="N10617"/>
    </row>
    <row r="10618" spans="14:14">
      <c r="N10618"/>
    </row>
    <row r="10619" spans="14:14">
      <c r="N10619"/>
    </row>
    <row r="10620" spans="14:14">
      <c r="N10620"/>
    </row>
    <row r="10621" spans="14:14">
      <c r="N10621"/>
    </row>
    <row r="10622" spans="14:14">
      <c r="N10622"/>
    </row>
    <row r="10623" spans="14:14">
      <c r="N10623"/>
    </row>
    <row r="10624" spans="14:14">
      <c r="N10624"/>
    </row>
    <row r="10625" spans="14:14">
      <c r="N10625"/>
    </row>
    <row r="10626" spans="14:14">
      <c r="N10626"/>
    </row>
    <row r="10627" spans="14:14">
      <c r="N10627"/>
    </row>
    <row r="10628" spans="14:14">
      <c r="N10628"/>
    </row>
    <row r="10629" spans="14:14">
      <c r="N10629"/>
    </row>
    <row r="10630" spans="14:14">
      <c r="N10630"/>
    </row>
    <row r="10631" spans="14:14">
      <c r="N10631"/>
    </row>
    <row r="10632" spans="14:14">
      <c r="N10632"/>
    </row>
    <row r="10633" spans="14:14">
      <c r="N10633"/>
    </row>
    <row r="10634" spans="14:14">
      <c r="N10634"/>
    </row>
    <row r="10635" spans="14:14">
      <c r="N10635"/>
    </row>
    <row r="10636" spans="14:14">
      <c r="N10636"/>
    </row>
    <row r="10637" spans="14:14">
      <c r="N10637"/>
    </row>
    <row r="10638" spans="14:14">
      <c r="N10638"/>
    </row>
    <row r="10639" spans="14:14">
      <c r="N10639"/>
    </row>
    <row r="10640" spans="14:14">
      <c r="N10640"/>
    </row>
    <row r="10641" spans="14:14">
      <c r="N10641"/>
    </row>
    <row r="10642" spans="14:14">
      <c r="N10642"/>
    </row>
    <row r="10643" spans="14:14">
      <c r="N10643"/>
    </row>
    <row r="10644" spans="14:14">
      <c r="N10644"/>
    </row>
    <row r="10645" spans="14:14">
      <c r="N10645"/>
    </row>
    <row r="10646" spans="14:14">
      <c r="N10646"/>
    </row>
    <row r="10647" spans="14:14">
      <c r="N10647"/>
    </row>
    <row r="10648" spans="14:14">
      <c r="N10648"/>
    </row>
    <row r="10649" spans="14:14">
      <c r="N10649"/>
    </row>
    <row r="10650" spans="14:14">
      <c r="N10650"/>
    </row>
    <row r="10651" spans="14:14">
      <c r="N10651"/>
    </row>
    <row r="10652" spans="14:14">
      <c r="N10652"/>
    </row>
    <row r="10653" spans="14:14">
      <c r="N10653"/>
    </row>
    <row r="10654" spans="14:14">
      <c r="N10654"/>
    </row>
    <row r="10655" spans="14:14">
      <c r="N10655"/>
    </row>
    <row r="10656" spans="14:14">
      <c r="N10656"/>
    </row>
    <row r="10657" spans="14:14">
      <c r="N10657"/>
    </row>
    <row r="10658" spans="14:14">
      <c r="N10658"/>
    </row>
    <row r="10659" spans="14:14">
      <c r="N10659"/>
    </row>
    <row r="10660" spans="14:14">
      <c r="N10660"/>
    </row>
    <row r="10661" spans="14:14">
      <c r="N10661"/>
    </row>
    <row r="10662" spans="14:14">
      <c r="N10662"/>
    </row>
    <row r="10663" spans="14:14">
      <c r="N10663"/>
    </row>
    <row r="10664" spans="14:14">
      <c r="N10664"/>
    </row>
    <row r="10665" spans="14:14">
      <c r="N10665"/>
    </row>
    <row r="10666" spans="14:14">
      <c r="N10666"/>
    </row>
    <row r="10667" spans="14:14">
      <c r="N10667"/>
    </row>
    <row r="10668" spans="14:14">
      <c r="N10668"/>
    </row>
    <row r="10669" spans="14:14">
      <c r="N10669"/>
    </row>
    <row r="10670" spans="14:14">
      <c r="N10670"/>
    </row>
    <row r="10671" spans="14:14">
      <c r="N10671"/>
    </row>
    <row r="10672" spans="14:14">
      <c r="N10672"/>
    </row>
    <row r="10673" spans="14:14">
      <c r="N10673"/>
    </row>
    <row r="10674" spans="14:14">
      <c r="N10674"/>
    </row>
    <row r="10675" spans="14:14">
      <c r="N10675"/>
    </row>
    <row r="10676" spans="14:14">
      <c r="N10676"/>
    </row>
    <row r="10677" spans="14:14">
      <c r="N10677"/>
    </row>
    <row r="10678" spans="14:14">
      <c r="N10678"/>
    </row>
    <row r="10679" spans="14:14">
      <c r="N10679"/>
    </row>
    <row r="10680" spans="14:14">
      <c r="N10680"/>
    </row>
    <row r="10681" spans="14:14">
      <c r="N10681"/>
    </row>
    <row r="10682" spans="14:14">
      <c r="N10682"/>
    </row>
    <row r="10683" spans="14:14">
      <c r="N10683"/>
    </row>
    <row r="10684" spans="14:14">
      <c r="N10684"/>
    </row>
    <row r="10685" spans="14:14">
      <c r="N10685"/>
    </row>
    <row r="10686" spans="14:14">
      <c r="N10686"/>
    </row>
    <row r="10687" spans="14:14">
      <c r="N10687"/>
    </row>
    <row r="10688" spans="14:14">
      <c r="N10688"/>
    </row>
    <row r="10689" spans="14:14">
      <c r="N10689"/>
    </row>
    <row r="10690" spans="14:14">
      <c r="N10690"/>
    </row>
    <row r="10691" spans="14:14">
      <c r="N10691"/>
    </row>
    <row r="10692" spans="14:14">
      <c r="N10692"/>
    </row>
    <row r="10693" spans="14:14">
      <c r="N10693"/>
    </row>
    <row r="10694" spans="14:14">
      <c r="N10694"/>
    </row>
    <row r="10695" spans="14:14">
      <c r="N10695"/>
    </row>
    <row r="10696" spans="14:14">
      <c r="N10696"/>
    </row>
    <row r="10697" spans="14:14">
      <c r="N10697"/>
    </row>
    <row r="10698" spans="14:14">
      <c r="N10698"/>
    </row>
    <row r="10699" spans="14:14">
      <c r="N10699"/>
    </row>
    <row r="10700" spans="14:14">
      <c r="N10700"/>
    </row>
    <row r="10701" spans="14:14">
      <c r="N10701"/>
    </row>
    <row r="10702" spans="14:14">
      <c r="N10702"/>
    </row>
    <row r="10703" spans="14:14">
      <c r="N10703"/>
    </row>
    <row r="10704" spans="14:14">
      <c r="N10704"/>
    </row>
    <row r="10705" spans="14:14">
      <c r="N10705"/>
    </row>
    <row r="10706" spans="14:14">
      <c r="N10706"/>
    </row>
    <row r="10707" spans="14:14">
      <c r="N10707"/>
    </row>
    <row r="10708" spans="14:14">
      <c r="N10708"/>
    </row>
    <row r="10709" spans="14:14">
      <c r="N10709"/>
    </row>
    <row r="10710" spans="14:14">
      <c r="N10710"/>
    </row>
    <row r="10711" spans="14:14">
      <c r="N10711"/>
    </row>
    <row r="10712" spans="14:14">
      <c r="N10712"/>
    </row>
    <row r="10713" spans="14:14">
      <c r="N10713"/>
    </row>
    <row r="10714" spans="14:14">
      <c r="N10714"/>
    </row>
    <row r="10715" spans="14:14">
      <c r="N10715"/>
    </row>
    <row r="10716" spans="14:14">
      <c r="N10716"/>
    </row>
    <row r="10717" spans="14:14">
      <c r="N10717"/>
    </row>
    <row r="10718" spans="14:14">
      <c r="N10718"/>
    </row>
    <row r="10719" spans="14:14">
      <c r="N10719"/>
    </row>
    <row r="10720" spans="14:14">
      <c r="N10720"/>
    </row>
    <row r="10721" spans="14:14">
      <c r="N10721"/>
    </row>
    <row r="10722" spans="14:14">
      <c r="N10722"/>
    </row>
    <row r="10723" spans="14:14">
      <c r="N10723"/>
    </row>
    <row r="10724" spans="14:14">
      <c r="N10724"/>
    </row>
    <row r="10725" spans="14:14">
      <c r="N10725"/>
    </row>
    <row r="10726" spans="14:14">
      <c r="N10726"/>
    </row>
    <row r="10727" spans="14:14">
      <c r="N10727"/>
    </row>
    <row r="10728" spans="14:14">
      <c r="N10728"/>
    </row>
    <row r="10729" spans="14:14">
      <c r="N10729"/>
    </row>
    <row r="10730" spans="14:14">
      <c r="N10730"/>
    </row>
    <row r="10731" spans="14:14">
      <c r="N10731"/>
    </row>
    <row r="10732" spans="14:14">
      <c r="N10732"/>
    </row>
    <row r="10733" spans="14:14">
      <c r="N10733"/>
    </row>
    <row r="10734" spans="14:14">
      <c r="N10734"/>
    </row>
    <row r="10735" spans="14:14">
      <c r="N10735"/>
    </row>
    <row r="10736" spans="14:14">
      <c r="N10736"/>
    </row>
    <row r="10737" spans="14:14">
      <c r="N10737"/>
    </row>
    <row r="10738" spans="14:14">
      <c r="N10738"/>
    </row>
    <row r="10739" spans="14:14">
      <c r="N10739"/>
    </row>
    <row r="10740" spans="14:14">
      <c r="N10740"/>
    </row>
    <row r="10741" spans="14:14">
      <c r="N10741"/>
    </row>
    <row r="10742" spans="14:14">
      <c r="N10742"/>
    </row>
    <row r="10743" spans="14:14">
      <c r="N10743"/>
    </row>
    <row r="10744" spans="14:14">
      <c r="N10744"/>
    </row>
    <row r="10745" spans="14:14">
      <c r="N10745"/>
    </row>
    <row r="10746" spans="14:14">
      <c r="N10746"/>
    </row>
    <row r="10747" spans="14:14">
      <c r="N10747"/>
    </row>
    <row r="10748" spans="14:14">
      <c r="N10748"/>
    </row>
    <row r="10749" spans="14:14">
      <c r="N10749"/>
    </row>
    <row r="10750" spans="14:14">
      <c r="N10750"/>
    </row>
    <row r="10751" spans="14:14">
      <c r="N10751"/>
    </row>
    <row r="10752" spans="14:14">
      <c r="N10752"/>
    </row>
    <row r="10753" spans="14:14">
      <c r="N10753"/>
    </row>
    <row r="10754" spans="14:14">
      <c r="N10754"/>
    </row>
    <row r="10755" spans="14:14">
      <c r="N10755"/>
    </row>
    <row r="10756" spans="14:14">
      <c r="N10756"/>
    </row>
    <row r="10757" spans="14:14">
      <c r="N10757"/>
    </row>
    <row r="10758" spans="14:14">
      <c r="N10758"/>
    </row>
    <row r="10759" spans="14:14">
      <c r="N10759"/>
    </row>
    <row r="10760" spans="14:14">
      <c r="N10760"/>
    </row>
    <row r="10761" spans="14:14">
      <c r="N10761"/>
    </row>
    <row r="10762" spans="14:14">
      <c r="N10762"/>
    </row>
    <row r="10763" spans="14:14">
      <c r="N10763"/>
    </row>
    <row r="10764" spans="14:14">
      <c r="N10764"/>
    </row>
    <row r="10765" spans="14:14">
      <c r="N10765"/>
    </row>
    <row r="10766" spans="14:14">
      <c r="N10766"/>
    </row>
    <row r="10767" spans="14:14">
      <c r="N10767"/>
    </row>
    <row r="10768" spans="14:14">
      <c r="N10768"/>
    </row>
    <row r="10769" spans="14:14">
      <c r="N10769"/>
    </row>
    <row r="10770" spans="14:14">
      <c r="N10770"/>
    </row>
    <row r="10771" spans="14:14">
      <c r="N10771"/>
    </row>
    <row r="10772" spans="14:14">
      <c r="N10772"/>
    </row>
    <row r="10773" spans="14:14">
      <c r="N10773"/>
    </row>
    <row r="10774" spans="14:14">
      <c r="N10774"/>
    </row>
    <row r="10775" spans="14:14">
      <c r="N10775"/>
    </row>
    <row r="10776" spans="14:14">
      <c r="N10776"/>
    </row>
    <row r="10777" spans="14:14">
      <c r="N10777"/>
    </row>
    <row r="10778" spans="14:14">
      <c r="N10778"/>
    </row>
    <row r="10779" spans="14:14">
      <c r="N10779"/>
    </row>
    <row r="10780" spans="14:14">
      <c r="N10780"/>
    </row>
    <row r="10781" spans="14:14">
      <c r="N10781"/>
    </row>
    <row r="10782" spans="14:14">
      <c r="N10782"/>
    </row>
    <row r="10783" spans="14:14">
      <c r="N10783"/>
    </row>
    <row r="10784" spans="14:14">
      <c r="N10784"/>
    </row>
    <row r="10785" spans="14:14">
      <c r="N10785"/>
    </row>
    <row r="10786" spans="14:14">
      <c r="N10786"/>
    </row>
    <row r="10787" spans="14:14">
      <c r="N10787"/>
    </row>
    <row r="10788" spans="14:14">
      <c r="N10788"/>
    </row>
    <row r="10789" spans="14:14">
      <c r="N10789"/>
    </row>
    <row r="10790" spans="14:14">
      <c r="N10790"/>
    </row>
    <row r="10791" spans="14:14">
      <c r="N10791"/>
    </row>
    <row r="10792" spans="14:14">
      <c r="N10792"/>
    </row>
    <row r="10793" spans="14:14">
      <c r="N10793"/>
    </row>
    <row r="10794" spans="14:14">
      <c r="N10794"/>
    </row>
    <row r="10795" spans="14:14">
      <c r="N10795"/>
    </row>
    <row r="10796" spans="14:14">
      <c r="N10796"/>
    </row>
    <row r="10797" spans="14:14">
      <c r="N10797"/>
    </row>
    <row r="10798" spans="14:14">
      <c r="N10798"/>
    </row>
    <row r="10799" spans="14:14">
      <c r="N10799"/>
    </row>
    <row r="10800" spans="14:14">
      <c r="N10800"/>
    </row>
    <row r="10801" spans="14:14">
      <c r="N10801"/>
    </row>
    <row r="10802" spans="14:14">
      <c r="N10802"/>
    </row>
    <row r="10803" spans="14:14">
      <c r="N10803"/>
    </row>
    <row r="10804" spans="14:14">
      <c r="N10804"/>
    </row>
    <row r="10805" spans="14:14">
      <c r="N10805"/>
    </row>
    <row r="10806" spans="14:14">
      <c r="N10806"/>
    </row>
    <row r="10807" spans="14:14">
      <c r="N10807"/>
    </row>
    <row r="10808" spans="14:14">
      <c r="N10808"/>
    </row>
    <row r="10809" spans="14:14">
      <c r="N10809"/>
    </row>
    <row r="10810" spans="14:14">
      <c r="N10810"/>
    </row>
    <row r="10811" spans="14:14">
      <c r="N10811"/>
    </row>
    <row r="10812" spans="14:14">
      <c r="N10812"/>
    </row>
    <row r="10813" spans="14:14">
      <c r="N10813"/>
    </row>
    <row r="10814" spans="14:14">
      <c r="N10814"/>
    </row>
    <row r="10815" spans="14:14">
      <c r="N10815"/>
    </row>
    <row r="10816" spans="14:14">
      <c r="N10816"/>
    </row>
    <row r="10817" spans="14:14">
      <c r="N10817"/>
    </row>
    <row r="10818" spans="14:14">
      <c r="N10818"/>
    </row>
    <row r="10819" spans="14:14">
      <c r="N10819"/>
    </row>
    <row r="10820" spans="14:14">
      <c r="N10820"/>
    </row>
    <row r="10821" spans="14:14">
      <c r="N10821"/>
    </row>
    <row r="10822" spans="14:14">
      <c r="N10822"/>
    </row>
    <row r="10823" spans="14:14">
      <c r="N10823"/>
    </row>
    <row r="10824" spans="14:14">
      <c r="N10824"/>
    </row>
    <row r="10825" spans="14:14">
      <c r="N10825"/>
    </row>
    <row r="10826" spans="14:14">
      <c r="N10826"/>
    </row>
    <row r="10827" spans="14:14">
      <c r="N10827"/>
    </row>
    <row r="10828" spans="14:14">
      <c r="N10828"/>
    </row>
    <row r="10829" spans="14:14">
      <c r="N10829"/>
    </row>
    <row r="10830" spans="14:14">
      <c r="N10830"/>
    </row>
    <row r="10831" spans="14:14">
      <c r="N10831"/>
    </row>
    <row r="10832" spans="14:14">
      <c r="N10832"/>
    </row>
    <row r="10833" spans="14:14">
      <c r="N10833"/>
    </row>
    <row r="10834" spans="14:14">
      <c r="N10834"/>
    </row>
    <row r="10835" spans="14:14">
      <c r="N10835"/>
    </row>
    <row r="10836" spans="14:14">
      <c r="N10836"/>
    </row>
    <row r="10837" spans="14:14">
      <c r="N10837"/>
    </row>
    <row r="10838" spans="14:14">
      <c r="N10838"/>
    </row>
    <row r="10839" spans="14:14">
      <c r="N10839"/>
    </row>
    <row r="10840" spans="14:14">
      <c r="N10840"/>
    </row>
    <row r="10841" spans="14:14">
      <c r="N10841"/>
    </row>
    <row r="10842" spans="14:14">
      <c r="N10842"/>
    </row>
    <row r="10843" spans="14:14">
      <c r="N10843"/>
    </row>
    <row r="10844" spans="14:14">
      <c r="N10844"/>
    </row>
    <row r="10845" spans="14:14">
      <c r="N10845"/>
    </row>
    <row r="10846" spans="14:14">
      <c r="N10846"/>
    </row>
    <row r="10847" spans="14:14">
      <c r="N10847"/>
    </row>
    <row r="10848" spans="14:14">
      <c r="N10848"/>
    </row>
    <row r="10849" spans="14:14">
      <c r="N10849"/>
    </row>
    <row r="10850" spans="14:14">
      <c r="N10850"/>
    </row>
    <row r="10851" spans="14:14">
      <c r="N10851"/>
    </row>
    <row r="10852" spans="14:14">
      <c r="N10852"/>
    </row>
    <row r="10853" spans="14:14">
      <c r="N10853"/>
    </row>
    <row r="10854" spans="14:14">
      <c r="N10854"/>
    </row>
    <row r="10855" spans="14:14">
      <c r="N10855"/>
    </row>
    <row r="10856" spans="14:14">
      <c r="N10856"/>
    </row>
    <row r="10857" spans="14:14">
      <c r="N10857"/>
    </row>
    <row r="10858" spans="14:14">
      <c r="N10858"/>
    </row>
    <row r="10859" spans="14:14">
      <c r="N10859"/>
    </row>
    <row r="10860" spans="14:14">
      <c r="N10860"/>
    </row>
    <row r="10861" spans="14:14">
      <c r="N10861"/>
    </row>
    <row r="10862" spans="14:14">
      <c r="N10862"/>
    </row>
    <row r="10863" spans="14:14">
      <c r="N10863"/>
    </row>
    <row r="10864" spans="14:14">
      <c r="N10864"/>
    </row>
    <row r="10865" spans="14:14">
      <c r="N10865"/>
    </row>
    <row r="10866" spans="14:14">
      <c r="N10866"/>
    </row>
    <row r="10867" spans="14:14">
      <c r="N10867"/>
    </row>
    <row r="10868" spans="14:14">
      <c r="N10868"/>
    </row>
    <row r="10869" spans="14:14">
      <c r="N10869"/>
    </row>
    <row r="10870" spans="14:14">
      <c r="N10870"/>
    </row>
    <row r="10871" spans="14:14">
      <c r="N10871"/>
    </row>
    <row r="10872" spans="14:14">
      <c r="N10872"/>
    </row>
    <row r="10873" spans="14:14">
      <c r="N10873"/>
    </row>
    <row r="10874" spans="14:14">
      <c r="N10874"/>
    </row>
    <row r="10875" spans="14:14">
      <c r="N10875"/>
    </row>
    <row r="10876" spans="14:14">
      <c r="N10876"/>
    </row>
    <row r="10877" spans="14:14">
      <c r="N10877"/>
    </row>
    <row r="10878" spans="14:14">
      <c r="N10878"/>
    </row>
    <row r="10879" spans="14:14">
      <c r="N10879"/>
    </row>
    <row r="10880" spans="14:14">
      <c r="N10880"/>
    </row>
    <row r="10881" spans="14:14">
      <c r="N10881"/>
    </row>
    <row r="10882" spans="14:14">
      <c r="N10882"/>
    </row>
    <row r="10883" spans="14:14">
      <c r="N10883"/>
    </row>
    <row r="10884" spans="14:14">
      <c r="N10884"/>
    </row>
    <row r="10885" spans="14:14">
      <c r="N10885"/>
    </row>
    <row r="10886" spans="14:14">
      <c r="N10886"/>
    </row>
    <row r="10887" spans="14:14">
      <c r="N10887"/>
    </row>
    <row r="10888" spans="14:14">
      <c r="N10888"/>
    </row>
    <row r="10889" spans="14:14">
      <c r="N10889"/>
    </row>
    <row r="10890" spans="14:14">
      <c r="N10890"/>
    </row>
    <row r="10891" spans="14:14">
      <c r="N10891"/>
    </row>
    <row r="10892" spans="14:14">
      <c r="N10892"/>
    </row>
    <row r="10893" spans="14:14">
      <c r="N10893"/>
    </row>
    <row r="10894" spans="14:14">
      <c r="N10894"/>
    </row>
    <row r="10895" spans="14:14">
      <c r="N10895"/>
    </row>
    <row r="10896" spans="14:14">
      <c r="N10896"/>
    </row>
    <row r="10897" spans="14:14">
      <c r="N10897"/>
    </row>
    <row r="10898" spans="14:14">
      <c r="N10898"/>
    </row>
    <row r="10899" spans="14:14">
      <c r="N10899"/>
    </row>
    <row r="10900" spans="14:14">
      <c r="N10900"/>
    </row>
    <row r="10901" spans="14:14">
      <c r="N10901"/>
    </row>
    <row r="10902" spans="14:14">
      <c r="N10902"/>
    </row>
    <row r="10903" spans="14:14">
      <c r="N10903"/>
    </row>
    <row r="10904" spans="14:14">
      <c r="N10904"/>
    </row>
    <row r="10905" spans="14:14">
      <c r="N10905"/>
    </row>
    <row r="10906" spans="14:14">
      <c r="N10906"/>
    </row>
    <row r="10907" spans="14:14">
      <c r="N10907"/>
    </row>
    <row r="10908" spans="14:14">
      <c r="N10908"/>
    </row>
    <row r="10909" spans="14:14">
      <c r="N10909"/>
    </row>
    <row r="10910" spans="14:14">
      <c r="N10910"/>
    </row>
    <row r="10911" spans="14:14">
      <c r="N10911"/>
    </row>
    <row r="10912" spans="14:14">
      <c r="N10912"/>
    </row>
    <row r="10913" spans="14:14">
      <c r="N10913"/>
    </row>
    <row r="10914" spans="14:14">
      <c r="N10914"/>
    </row>
    <row r="10915" spans="14:14">
      <c r="N10915"/>
    </row>
    <row r="10916" spans="14:14">
      <c r="N10916"/>
    </row>
    <row r="10917" spans="14:14">
      <c r="N10917"/>
    </row>
    <row r="10918" spans="14:14">
      <c r="N10918"/>
    </row>
    <row r="10919" spans="14:14">
      <c r="N10919"/>
    </row>
    <row r="10920" spans="14:14">
      <c r="N10920"/>
    </row>
    <row r="10921" spans="14:14">
      <c r="N10921"/>
    </row>
    <row r="10922" spans="14:14">
      <c r="N10922"/>
    </row>
    <row r="10923" spans="14:14">
      <c r="N10923"/>
    </row>
    <row r="10924" spans="14:14">
      <c r="N10924"/>
    </row>
    <row r="10925" spans="14:14">
      <c r="N10925"/>
    </row>
    <row r="10926" spans="14:14">
      <c r="N10926"/>
    </row>
    <row r="10927" spans="14:14">
      <c r="N10927"/>
    </row>
    <row r="10928" spans="14:14">
      <c r="N10928"/>
    </row>
    <row r="10929" spans="14:14">
      <c r="N10929"/>
    </row>
    <row r="10930" spans="14:14">
      <c r="N10930"/>
    </row>
    <row r="10931" spans="14:14">
      <c r="N10931"/>
    </row>
    <row r="10932" spans="14:14">
      <c r="N10932"/>
    </row>
    <row r="10933" spans="14:14">
      <c r="N10933"/>
    </row>
    <row r="10934" spans="14:14">
      <c r="N10934"/>
    </row>
    <row r="10935" spans="14:14">
      <c r="N10935"/>
    </row>
    <row r="10936" spans="14:14">
      <c r="N10936"/>
    </row>
    <row r="10937" spans="14:14">
      <c r="N10937"/>
    </row>
    <row r="10938" spans="14:14">
      <c r="N10938"/>
    </row>
    <row r="10939" spans="14:14">
      <c r="N10939"/>
    </row>
    <row r="10940" spans="14:14">
      <c r="N10940"/>
    </row>
    <row r="10941" spans="14:14">
      <c r="N10941"/>
    </row>
    <row r="10942" spans="14:14">
      <c r="N10942"/>
    </row>
    <row r="10943" spans="14:14">
      <c r="N10943"/>
    </row>
    <row r="10944" spans="14:14">
      <c r="N10944"/>
    </row>
    <row r="10945" spans="14:14">
      <c r="N10945"/>
    </row>
    <row r="10946" spans="14:14">
      <c r="N10946"/>
    </row>
    <row r="10947" spans="14:14">
      <c r="N10947"/>
    </row>
    <row r="10948" spans="14:14">
      <c r="N10948"/>
    </row>
    <row r="10949" spans="14:14">
      <c r="N10949"/>
    </row>
    <row r="10950" spans="14:14">
      <c r="N10950"/>
    </row>
    <row r="10951" spans="14:14">
      <c r="N10951"/>
    </row>
    <row r="10952" spans="14:14">
      <c r="N10952"/>
    </row>
    <row r="10953" spans="14:14">
      <c r="N10953"/>
    </row>
    <row r="10954" spans="14:14">
      <c r="N10954"/>
    </row>
    <row r="10955" spans="14:14">
      <c r="N10955"/>
    </row>
    <row r="10956" spans="14:14">
      <c r="N10956"/>
    </row>
    <row r="10957" spans="14:14">
      <c r="N10957"/>
    </row>
    <row r="10958" spans="14:14">
      <c r="N10958"/>
    </row>
    <row r="10959" spans="14:14">
      <c r="N10959"/>
    </row>
    <row r="10960" spans="14:14">
      <c r="N10960"/>
    </row>
    <row r="10961" spans="14:14">
      <c r="N10961"/>
    </row>
    <row r="10962" spans="14:14">
      <c r="N10962"/>
    </row>
    <row r="10963" spans="14:14">
      <c r="N10963"/>
    </row>
    <row r="10964" spans="14:14">
      <c r="N10964"/>
    </row>
    <row r="10965" spans="14:14">
      <c r="N10965"/>
    </row>
    <row r="10966" spans="14:14">
      <c r="N10966"/>
    </row>
    <row r="10967" spans="14:14">
      <c r="N10967"/>
    </row>
    <row r="10968" spans="14:14">
      <c r="N10968"/>
    </row>
    <row r="10969" spans="14:14">
      <c r="N10969"/>
    </row>
    <row r="10970" spans="14:14">
      <c r="N10970"/>
    </row>
    <row r="10971" spans="14:14">
      <c r="N10971"/>
    </row>
    <row r="10972" spans="14:14">
      <c r="N10972"/>
    </row>
    <row r="10973" spans="14:14">
      <c r="N10973"/>
    </row>
    <row r="10974" spans="14:14">
      <c r="N10974"/>
    </row>
    <row r="10975" spans="14:14">
      <c r="N10975"/>
    </row>
    <row r="10976" spans="14:14">
      <c r="N10976"/>
    </row>
    <row r="10977" spans="14:14">
      <c r="N10977"/>
    </row>
    <row r="10978" spans="14:14">
      <c r="N10978"/>
    </row>
    <row r="10979" spans="14:14">
      <c r="N10979"/>
    </row>
    <row r="10980" spans="14:14">
      <c r="N10980"/>
    </row>
    <row r="10981" spans="14:14">
      <c r="N10981"/>
    </row>
    <row r="10982" spans="14:14">
      <c r="N10982"/>
    </row>
    <row r="10983" spans="14:14">
      <c r="N10983"/>
    </row>
    <row r="10984" spans="14:14">
      <c r="N10984"/>
    </row>
    <row r="10985" spans="14:14">
      <c r="N10985"/>
    </row>
    <row r="10986" spans="14:14">
      <c r="N10986"/>
    </row>
    <row r="10987" spans="14:14">
      <c r="N10987"/>
    </row>
    <row r="10988" spans="14:14">
      <c r="N10988"/>
    </row>
    <row r="10989" spans="14:14">
      <c r="N10989"/>
    </row>
    <row r="10990" spans="14:14">
      <c r="N10990"/>
    </row>
    <row r="10991" spans="14:14">
      <c r="N10991"/>
    </row>
    <row r="10992" spans="14:14">
      <c r="N10992"/>
    </row>
    <row r="10993" spans="14:14">
      <c r="N10993"/>
    </row>
    <row r="10994" spans="14:14">
      <c r="N10994"/>
    </row>
    <row r="10995" spans="14:14">
      <c r="N10995"/>
    </row>
    <row r="10996" spans="14:14">
      <c r="N10996"/>
    </row>
    <row r="10997" spans="14:14">
      <c r="N10997"/>
    </row>
    <row r="10998" spans="14:14">
      <c r="N10998"/>
    </row>
    <row r="10999" spans="14:14">
      <c r="N10999"/>
    </row>
    <row r="11000" spans="14:14">
      <c r="N11000"/>
    </row>
    <row r="11001" spans="14:14">
      <c r="N11001"/>
    </row>
    <row r="11002" spans="14:14">
      <c r="N11002"/>
    </row>
    <row r="11003" spans="14:14">
      <c r="N11003"/>
    </row>
    <row r="11004" spans="14:14">
      <c r="N11004"/>
    </row>
    <row r="11005" spans="14:14">
      <c r="N11005"/>
    </row>
    <row r="11006" spans="14:14">
      <c r="N11006"/>
    </row>
    <row r="11007" spans="14:14">
      <c r="N11007"/>
    </row>
    <row r="11008" spans="14:14">
      <c r="N11008"/>
    </row>
    <row r="11009" spans="14:14">
      <c r="N11009"/>
    </row>
    <row r="11010" spans="14:14">
      <c r="N11010"/>
    </row>
    <row r="11011" spans="14:14">
      <c r="N11011"/>
    </row>
    <row r="11012" spans="14:14">
      <c r="N11012"/>
    </row>
    <row r="11013" spans="14:14">
      <c r="N11013"/>
    </row>
    <row r="11014" spans="14:14">
      <c r="N11014"/>
    </row>
    <row r="11015" spans="14:14">
      <c r="N11015"/>
    </row>
    <row r="11016" spans="14:14">
      <c r="N11016"/>
    </row>
    <row r="11017" spans="14:14">
      <c r="N11017"/>
    </row>
    <row r="11018" spans="14:14">
      <c r="N11018"/>
    </row>
    <row r="11019" spans="14:14">
      <c r="N11019"/>
    </row>
    <row r="11020" spans="14:14">
      <c r="N11020"/>
    </row>
    <row r="11021" spans="14:14">
      <c r="N11021"/>
    </row>
    <row r="11022" spans="14:14">
      <c r="N11022"/>
    </row>
    <row r="11023" spans="14:14">
      <c r="N11023"/>
    </row>
    <row r="11024" spans="14:14">
      <c r="N11024"/>
    </row>
    <row r="11025" spans="14:14">
      <c r="N11025"/>
    </row>
    <row r="11026" spans="14:14">
      <c r="N11026"/>
    </row>
    <row r="11027" spans="14:14">
      <c r="N11027"/>
    </row>
    <row r="11028" spans="14:14">
      <c r="N11028"/>
    </row>
    <row r="11029" spans="14:14">
      <c r="N11029"/>
    </row>
    <row r="11030" spans="14:14">
      <c r="N11030"/>
    </row>
    <row r="11031" spans="14:14">
      <c r="N11031"/>
    </row>
    <row r="11032" spans="14:14">
      <c r="N11032"/>
    </row>
    <row r="11033" spans="14:14">
      <c r="N11033"/>
    </row>
    <row r="11034" spans="14:14">
      <c r="N11034"/>
    </row>
    <row r="11035" spans="14:14">
      <c r="N11035"/>
    </row>
    <row r="11036" spans="14:14">
      <c r="N11036"/>
    </row>
    <row r="11037" spans="14:14">
      <c r="N11037"/>
    </row>
    <row r="11038" spans="14:14">
      <c r="N11038"/>
    </row>
    <row r="11039" spans="14:14">
      <c r="N11039"/>
    </row>
    <row r="11040" spans="14:14">
      <c r="N11040"/>
    </row>
    <row r="11041" spans="14:14">
      <c r="N11041"/>
    </row>
    <row r="11042" spans="14:14">
      <c r="N11042"/>
    </row>
    <row r="11043" spans="14:14">
      <c r="N11043"/>
    </row>
    <row r="11044" spans="14:14">
      <c r="N11044"/>
    </row>
    <row r="11045" spans="14:14">
      <c r="N11045"/>
    </row>
    <row r="11046" spans="14:14">
      <c r="N11046"/>
    </row>
    <row r="11047" spans="14:14">
      <c r="N11047"/>
    </row>
    <row r="11048" spans="14:14">
      <c r="N11048"/>
    </row>
    <row r="11049" spans="14:14">
      <c r="N11049"/>
    </row>
    <row r="11050" spans="14:14">
      <c r="N11050"/>
    </row>
    <row r="11051" spans="14:14">
      <c r="N11051"/>
    </row>
    <row r="11052" spans="14:14">
      <c r="N11052"/>
    </row>
    <row r="11053" spans="14:14">
      <c r="N11053"/>
    </row>
    <row r="11054" spans="14:14">
      <c r="N11054"/>
    </row>
    <row r="11055" spans="14:14">
      <c r="N11055"/>
    </row>
    <row r="11056" spans="14:14">
      <c r="N11056"/>
    </row>
    <row r="11057" spans="14:14">
      <c r="N11057"/>
    </row>
    <row r="11058" spans="14:14">
      <c r="N11058"/>
    </row>
    <row r="11059" spans="14:14">
      <c r="N11059"/>
    </row>
    <row r="11060" spans="14:14">
      <c r="N11060"/>
    </row>
    <row r="11061" spans="14:14">
      <c r="N11061"/>
    </row>
    <row r="11062" spans="14:14">
      <c r="N11062"/>
    </row>
    <row r="11063" spans="14:14">
      <c r="N11063"/>
    </row>
    <row r="11064" spans="14:14">
      <c r="N11064"/>
    </row>
    <row r="11065" spans="14:14">
      <c r="N11065"/>
    </row>
    <row r="11066" spans="14:14">
      <c r="N11066"/>
    </row>
    <row r="11067" spans="14:14">
      <c r="N11067"/>
    </row>
    <row r="11068" spans="14:14">
      <c r="N11068"/>
    </row>
    <row r="11069" spans="14:14">
      <c r="N11069"/>
    </row>
    <row r="11070" spans="14:14">
      <c r="N11070"/>
    </row>
    <row r="11071" spans="14:14">
      <c r="N11071"/>
    </row>
    <row r="11072" spans="14:14">
      <c r="N11072"/>
    </row>
    <row r="11073" spans="14:14">
      <c r="N11073"/>
    </row>
    <row r="11074" spans="14:14">
      <c r="N11074"/>
    </row>
    <row r="11075" spans="14:14">
      <c r="N11075"/>
    </row>
    <row r="11076" spans="14:14">
      <c r="N11076"/>
    </row>
    <row r="11077" spans="14:14">
      <c r="N11077"/>
    </row>
    <row r="11078" spans="14:14">
      <c r="N11078"/>
    </row>
    <row r="11079" spans="14:14">
      <c r="N11079"/>
    </row>
    <row r="11080" spans="14:14">
      <c r="N11080"/>
    </row>
    <row r="11081" spans="14:14">
      <c r="N11081"/>
    </row>
    <row r="11082" spans="14:14">
      <c r="N11082"/>
    </row>
    <row r="11083" spans="14:14">
      <c r="N11083"/>
    </row>
    <row r="11084" spans="14:14">
      <c r="N11084"/>
    </row>
    <row r="11085" spans="14:14">
      <c r="N11085"/>
    </row>
    <row r="11086" spans="14:14">
      <c r="N11086"/>
    </row>
    <row r="11087" spans="14:14">
      <c r="N11087"/>
    </row>
    <row r="11088" spans="14:14">
      <c r="N11088"/>
    </row>
    <row r="11089" spans="14:14">
      <c r="N11089"/>
    </row>
    <row r="11090" spans="14:14">
      <c r="N11090"/>
    </row>
    <row r="11091" spans="14:14">
      <c r="N11091"/>
    </row>
    <row r="11092" spans="14:14">
      <c r="N11092"/>
    </row>
    <row r="11093" spans="14:14">
      <c r="N11093"/>
    </row>
    <row r="11094" spans="14:14">
      <c r="N11094"/>
    </row>
    <row r="11095" spans="14:14">
      <c r="N11095"/>
    </row>
    <row r="11096" spans="14:14">
      <c r="N11096"/>
    </row>
    <row r="11097" spans="14:14">
      <c r="N11097"/>
    </row>
    <row r="11098" spans="14:14">
      <c r="N11098"/>
    </row>
    <row r="11099" spans="14:14">
      <c r="N11099"/>
    </row>
    <row r="11100" spans="14:14">
      <c r="N11100"/>
    </row>
    <row r="11101" spans="14:14">
      <c r="N11101"/>
    </row>
    <row r="11102" spans="14:14">
      <c r="N11102"/>
    </row>
    <row r="11103" spans="14:14">
      <c r="N11103"/>
    </row>
    <row r="11104" spans="14:14">
      <c r="N11104"/>
    </row>
    <row r="11105" spans="14:14">
      <c r="N11105"/>
    </row>
    <row r="11106" spans="14:14">
      <c r="N11106"/>
    </row>
    <row r="11107" spans="14:14">
      <c r="N11107"/>
    </row>
    <row r="11108" spans="14:14">
      <c r="N11108"/>
    </row>
    <row r="11109" spans="14:14">
      <c r="N11109"/>
    </row>
    <row r="11110" spans="14:14">
      <c r="N11110"/>
    </row>
    <row r="11111" spans="14:14">
      <c r="N11111"/>
    </row>
    <row r="11112" spans="14:14">
      <c r="N11112"/>
    </row>
    <row r="11113" spans="14:14">
      <c r="N11113"/>
    </row>
    <row r="11114" spans="14:14">
      <c r="N11114"/>
    </row>
    <row r="11115" spans="14:14">
      <c r="N11115"/>
    </row>
    <row r="11116" spans="14:14">
      <c r="N11116"/>
    </row>
    <row r="11117" spans="14:14">
      <c r="N11117"/>
    </row>
    <row r="11118" spans="14:14">
      <c r="N11118"/>
    </row>
    <row r="11119" spans="14:14">
      <c r="N11119"/>
    </row>
    <row r="11120" spans="14:14">
      <c r="N11120"/>
    </row>
    <row r="11121" spans="14:14">
      <c r="N11121"/>
    </row>
    <row r="11122" spans="14:14">
      <c r="N11122"/>
    </row>
    <row r="11123" spans="14:14">
      <c r="N11123"/>
    </row>
    <row r="11124" spans="14:14">
      <c r="N11124"/>
    </row>
    <row r="11125" spans="14:14">
      <c r="N11125"/>
    </row>
    <row r="11126" spans="14:14">
      <c r="N11126"/>
    </row>
    <row r="11127" spans="14:14">
      <c r="N11127"/>
    </row>
    <row r="11128" spans="14:14">
      <c r="N11128"/>
    </row>
    <row r="11129" spans="14:14">
      <c r="N11129"/>
    </row>
    <row r="11130" spans="14:14">
      <c r="N11130"/>
    </row>
    <row r="11131" spans="14:14">
      <c r="N11131"/>
    </row>
    <row r="11132" spans="14:14">
      <c r="N11132"/>
    </row>
    <row r="11133" spans="14:14">
      <c r="N11133"/>
    </row>
    <row r="11134" spans="14:14">
      <c r="N11134"/>
    </row>
    <row r="11135" spans="14:14">
      <c r="N11135"/>
    </row>
    <row r="11136" spans="14:14">
      <c r="N11136"/>
    </row>
    <row r="11137" spans="14:14">
      <c r="N11137"/>
    </row>
    <row r="11138" spans="14:14">
      <c r="N11138"/>
    </row>
    <row r="11139" spans="14:14">
      <c r="N11139"/>
    </row>
    <row r="11140" spans="14:14">
      <c r="N11140"/>
    </row>
    <row r="11141" spans="14:14">
      <c r="N11141"/>
    </row>
    <row r="11142" spans="14:14">
      <c r="N11142"/>
    </row>
    <row r="11143" spans="14:14">
      <c r="N11143"/>
    </row>
    <row r="11144" spans="14:14">
      <c r="N11144"/>
    </row>
    <row r="11145" spans="14:14">
      <c r="N11145"/>
    </row>
    <row r="11146" spans="14:14">
      <c r="N11146"/>
    </row>
    <row r="11147" spans="14:14">
      <c r="N11147"/>
    </row>
    <row r="11148" spans="14:14">
      <c r="N11148"/>
    </row>
    <row r="11149" spans="14:14">
      <c r="N11149"/>
    </row>
    <row r="11150" spans="14:14">
      <c r="N11150"/>
    </row>
    <row r="11151" spans="14:14">
      <c r="N11151"/>
    </row>
    <row r="11152" spans="14:14">
      <c r="N11152"/>
    </row>
    <row r="11153" spans="14:14">
      <c r="N11153"/>
    </row>
    <row r="11154" spans="14:14">
      <c r="N11154"/>
    </row>
    <row r="11155" spans="14:14">
      <c r="N11155"/>
    </row>
    <row r="11156" spans="14:14">
      <c r="N11156"/>
    </row>
    <row r="11157" spans="14:14">
      <c r="N11157"/>
    </row>
    <row r="11158" spans="14:14">
      <c r="N11158"/>
    </row>
    <row r="11159" spans="14:14">
      <c r="N11159"/>
    </row>
    <row r="11160" spans="14:14">
      <c r="N11160"/>
    </row>
    <row r="11161" spans="14:14">
      <c r="N11161"/>
    </row>
    <row r="11162" spans="14:14">
      <c r="N11162"/>
    </row>
    <row r="11163" spans="14:14">
      <c r="N11163"/>
    </row>
    <row r="11164" spans="14:14">
      <c r="N11164"/>
    </row>
    <row r="11165" spans="14:14">
      <c r="N11165"/>
    </row>
    <row r="11166" spans="14:14">
      <c r="N11166"/>
    </row>
    <row r="11167" spans="14:14">
      <c r="N11167"/>
    </row>
    <row r="11168" spans="14:14">
      <c r="N11168"/>
    </row>
    <row r="11169" spans="14:14">
      <c r="N11169"/>
    </row>
    <row r="11170" spans="14:14">
      <c r="N11170"/>
    </row>
    <row r="11171" spans="14:14">
      <c r="N11171"/>
    </row>
    <row r="11172" spans="14:14">
      <c r="N11172"/>
    </row>
    <row r="11173" spans="14:14">
      <c r="N11173"/>
    </row>
    <row r="11174" spans="14:14">
      <c r="N11174"/>
    </row>
    <row r="11175" spans="14:14">
      <c r="N11175"/>
    </row>
    <row r="11176" spans="14:14">
      <c r="N11176"/>
    </row>
    <row r="11177" spans="14:14">
      <c r="N11177"/>
    </row>
    <row r="11178" spans="14:14">
      <c r="N11178"/>
    </row>
    <row r="11179" spans="14:14">
      <c r="N11179"/>
    </row>
    <row r="11180" spans="14:14">
      <c r="N11180"/>
    </row>
    <row r="11181" spans="14:14">
      <c r="N11181"/>
    </row>
    <row r="11182" spans="14:14">
      <c r="N11182"/>
    </row>
    <row r="11183" spans="14:14">
      <c r="N11183"/>
    </row>
    <row r="11184" spans="14:14">
      <c r="N11184"/>
    </row>
    <row r="11185" spans="14:14">
      <c r="N11185"/>
    </row>
    <row r="11186" spans="14:14">
      <c r="N11186"/>
    </row>
    <row r="11187" spans="14:14">
      <c r="N11187"/>
    </row>
    <row r="11188" spans="14:14">
      <c r="N11188"/>
    </row>
    <row r="11189" spans="14:14">
      <c r="N11189"/>
    </row>
    <row r="11190" spans="14:14">
      <c r="N11190"/>
    </row>
    <row r="11191" spans="14:14">
      <c r="N11191"/>
    </row>
    <row r="11192" spans="14:14">
      <c r="N11192"/>
    </row>
    <row r="11193" spans="14:14">
      <c r="N11193"/>
    </row>
    <row r="11194" spans="14:14">
      <c r="N11194"/>
    </row>
    <row r="11195" spans="14:14">
      <c r="N11195"/>
    </row>
    <row r="11196" spans="14:14">
      <c r="N11196"/>
    </row>
    <row r="11197" spans="14:14">
      <c r="N11197"/>
    </row>
    <row r="11198" spans="14:14">
      <c r="N11198"/>
    </row>
    <row r="11199" spans="14:14">
      <c r="N11199"/>
    </row>
    <row r="11200" spans="14:14">
      <c r="N11200"/>
    </row>
    <row r="11201" spans="14:14">
      <c r="N11201"/>
    </row>
    <row r="11202" spans="14:14">
      <c r="N11202"/>
    </row>
    <row r="11203" spans="14:14">
      <c r="N11203"/>
    </row>
    <row r="11204" spans="14:14">
      <c r="N11204"/>
    </row>
    <row r="11205" spans="14:14">
      <c r="N11205"/>
    </row>
    <row r="11206" spans="14:14">
      <c r="N11206"/>
    </row>
    <row r="11207" spans="14:14">
      <c r="N11207"/>
    </row>
    <row r="11208" spans="14:14">
      <c r="N11208"/>
    </row>
    <row r="11209" spans="14:14">
      <c r="N11209"/>
    </row>
    <row r="11210" spans="14:14">
      <c r="N11210"/>
    </row>
    <row r="11211" spans="14:14">
      <c r="N11211"/>
    </row>
    <row r="11212" spans="14:14">
      <c r="N11212"/>
    </row>
    <row r="11213" spans="14:14">
      <c r="N11213"/>
    </row>
    <row r="11214" spans="14:14">
      <c r="N11214"/>
    </row>
    <row r="11215" spans="14:14">
      <c r="N11215"/>
    </row>
    <row r="11216" spans="14:14">
      <c r="N11216"/>
    </row>
    <row r="11217" spans="14:14">
      <c r="N11217"/>
    </row>
    <row r="11218" spans="14:14">
      <c r="N11218"/>
    </row>
    <row r="11219" spans="14:14">
      <c r="N11219"/>
    </row>
    <row r="11220" spans="14:14">
      <c r="N11220"/>
    </row>
    <row r="11221" spans="14:14">
      <c r="N11221"/>
    </row>
    <row r="11222" spans="14:14">
      <c r="N11222"/>
    </row>
    <row r="11223" spans="14:14">
      <c r="N11223"/>
    </row>
    <row r="11224" spans="14:14">
      <c r="N11224"/>
    </row>
    <row r="11225" spans="14:14">
      <c r="N11225"/>
    </row>
    <row r="11226" spans="14:14">
      <c r="N11226"/>
    </row>
    <row r="11227" spans="14:14">
      <c r="N11227"/>
    </row>
    <row r="11228" spans="14:14">
      <c r="N11228"/>
    </row>
    <row r="11229" spans="14:14">
      <c r="N11229"/>
    </row>
    <row r="11230" spans="14:14">
      <c r="N11230"/>
    </row>
    <row r="11231" spans="14:14">
      <c r="N11231"/>
    </row>
    <row r="11232" spans="14:14">
      <c r="N11232"/>
    </row>
    <row r="11233" spans="14:14">
      <c r="N11233"/>
    </row>
    <row r="11234" spans="14:14">
      <c r="N11234"/>
    </row>
    <row r="11235" spans="14:14">
      <c r="N11235"/>
    </row>
    <row r="11236" spans="14:14">
      <c r="N11236"/>
    </row>
    <row r="11237" spans="14:14">
      <c r="N11237"/>
    </row>
    <row r="11238" spans="14:14">
      <c r="N11238"/>
    </row>
    <row r="11239" spans="14:14">
      <c r="N11239"/>
    </row>
    <row r="11240" spans="14:14">
      <c r="N11240"/>
    </row>
    <row r="11241" spans="14:14">
      <c r="N11241"/>
    </row>
    <row r="11242" spans="14:14">
      <c r="N11242"/>
    </row>
    <row r="11243" spans="14:14">
      <c r="N11243"/>
    </row>
    <row r="11244" spans="14:14">
      <c r="N11244"/>
    </row>
    <row r="11245" spans="14:14">
      <c r="N11245"/>
    </row>
    <row r="11246" spans="14:14">
      <c r="N11246"/>
    </row>
    <row r="11247" spans="14:14">
      <c r="N11247"/>
    </row>
    <row r="11248" spans="14:14">
      <c r="N11248"/>
    </row>
    <row r="11249" spans="14:14">
      <c r="N11249"/>
    </row>
    <row r="11250" spans="14:14">
      <c r="N11250"/>
    </row>
    <row r="11251" spans="14:14">
      <c r="N11251"/>
    </row>
    <row r="11252" spans="14:14">
      <c r="N11252"/>
    </row>
    <row r="11253" spans="14:14">
      <c r="N11253"/>
    </row>
    <row r="11254" spans="14:14">
      <c r="N11254"/>
    </row>
    <row r="11255" spans="14:14">
      <c r="N11255"/>
    </row>
    <row r="11256" spans="14:14">
      <c r="N11256"/>
    </row>
    <row r="11257" spans="14:14">
      <c r="N11257"/>
    </row>
    <row r="11258" spans="14:14">
      <c r="N11258"/>
    </row>
    <row r="11259" spans="14:14">
      <c r="N11259"/>
    </row>
    <row r="11260" spans="14:14">
      <c r="N11260"/>
    </row>
    <row r="11261" spans="14:14">
      <c r="N11261"/>
    </row>
    <row r="11262" spans="14:14">
      <c r="N11262"/>
    </row>
    <row r="11263" spans="14:14">
      <c r="N11263"/>
    </row>
    <row r="11264" spans="14:14">
      <c r="N11264"/>
    </row>
    <row r="11265" spans="14:14">
      <c r="N11265"/>
    </row>
    <row r="11266" spans="14:14">
      <c r="N11266"/>
    </row>
    <row r="11267" spans="14:14">
      <c r="N11267"/>
    </row>
    <row r="11268" spans="14:14">
      <c r="N11268"/>
    </row>
    <row r="11269" spans="14:14">
      <c r="N11269"/>
    </row>
    <row r="11270" spans="14:14">
      <c r="N11270"/>
    </row>
    <row r="11271" spans="14:14">
      <c r="N11271"/>
    </row>
    <row r="11272" spans="14:14">
      <c r="N11272"/>
    </row>
    <row r="11273" spans="14:14">
      <c r="N11273"/>
    </row>
    <row r="11274" spans="14:14">
      <c r="N11274"/>
    </row>
    <row r="11275" spans="14:14">
      <c r="N11275"/>
    </row>
    <row r="11276" spans="14:14">
      <c r="N11276"/>
    </row>
    <row r="11277" spans="14:14">
      <c r="N11277"/>
    </row>
    <row r="11278" spans="14:14">
      <c r="N11278"/>
    </row>
    <row r="11279" spans="14:14">
      <c r="N11279"/>
    </row>
    <row r="11280" spans="14:14">
      <c r="N11280"/>
    </row>
    <row r="11281" spans="14:14">
      <c r="N11281"/>
    </row>
    <row r="11282" spans="14:14">
      <c r="N11282"/>
    </row>
    <row r="11283" spans="14:14">
      <c r="N11283"/>
    </row>
    <row r="11284" spans="14:14">
      <c r="N11284"/>
    </row>
    <row r="11285" spans="14:14">
      <c r="N11285"/>
    </row>
    <row r="11286" spans="14:14">
      <c r="N11286"/>
    </row>
    <row r="11287" spans="14:14">
      <c r="N11287"/>
    </row>
    <row r="11288" spans="14:14">
      <c r="N11288"/>
    </row>
    <row r="11289" spans="14:14">
      <c r="N11289"/>
    </row>
    <row r="11290" spans="14:14">
      <c r="N11290"/>
    </row>
    <row r="11291" spans="14:14">
      <c r="N11291"/>
    </row>
    <row r="11292" spans="14:14">
      <c r="N11292"/>
    </row>
    <row r="11293" spans="14:14">
      <c r="N11293"/>
    </row>
    <row r="11294" spans="14:14">
      <c r="N11294"/>
    </row>
    <row r="11295" spans="14:14">
      <c r="N11295"/>
    </row>
    <row r="11296" spans="14:14">
      <c r="N11296"/>
    </row>
    <row r="11297" spans="14:14">
      <c r="N11297"/>
    </row>
    <row r="11298" spans="14:14">
      <c r="N11298"/>
    </row>
    <row r="11299" spans="14:14">
      <c r="N11299"/>
    </row>
    <row r="11300" spans="14:14">
      <c r="N11300"/>
    </row>
    <row r="11301" spans="14:14">
      <c r="N11301"/>
    </row>
    <row r="11302" spans="14:14">
      <c r="N11302"/>
    </row>
    <row r="11303" spans="14:14">
      <c r="N11303"/>
    </row>
    <row r="11304" spans="14:14">
      <c r="N11304"/>
    </row>
    <row r="11305" spans="14:14">
      <c r="N11305"/>
    </row>
    <row r="11306" spans="14:14">
      <c r="N11306"/>
    </row>
    <row r="11307" spans="14:14">
      <c r="N11307"/>
    </row>
    <row r="11308" spans="14:14">
      <c r="N11308"/>
    </row>
    <row r="11309" spans="14:14">
      <c r="N11309"/>
    </row>
    <row r="11310" spans="14:14">
      <c r="N11310"/>
    </row>
    <row r="11311" spans="14:14">
      <c r="N11311"/>
    </row>
    <row r="11312" spans="14:14">
      <c r="N11312"/>
    </row>
    <row r="11313" spans="14:14">
      <c r="N11313"/>
    </row>
    <row r="11314" spans="14:14">
      <c r="N11314"/>
    </row>
    <row r="11315" spans="14:14">
      <c r="N11315"/>
    </row>
    <row r="11316" spans="14:14">
      <c r="N11316"/>
    </row>
    <row r="11317" spans="14:14">
      <c r="N11317"/>
    </row>
    <row r="11318" spans="14:14">
      <c r="N11318"/>
    </row>
    <row r="11319" spans="14:14">
      <c r="N11319"/>
    </row>
    <row r="11320" spans="14:14">
      <c r="N11320"/>
    </row>
    <row r="11321" spans="14:14">
      <c r="N11321"/>
    </row>
    <row r="11322" spans="14:14">
      <c r="N11322"/>
    </row>
    <row r="11323" spans="14:14">
      <c r="N11323"/>
    </row>
    <row r="11324" spans="14:14">
      <c r="N11324"/>
    </row>
    <row r="11325" spans="14:14">
      <c r="N11325"/>
    </row>
    <row r="11326" spans="14:14">
      <c r="N11326"/>
    </row>
    <row r="11327" spans="14:14">
      <c r="N11327"/>
    </row>
    <row r="11328" spans="14:14">
      <c r="N11328"/>
    </row>
    <row r="11329" spans="14:14">
      <c r="N11329"/>
    </row>
    <row r="11330" spans="14:14">
      <c r="N11330"/>
    </row>
    <row r="11331" spans="14:14">
      <c r="N11331"/>
    </row>
    <row r="11332" spans="14:14">
      <c r="N11332"/>
    </row>
    <row r="11333" spans="14:14">
      <c r="N11333"/>
    </row>
    <row r="11334" spans="14:14">
      <c r="N11334"/>
    </row>
    <row r="11335" spans="14:14">
      <c r="N11335"/>
    </row>
    <row r="11336" spans="14:14">
      <c r="N11336"/>
    </row>
    <row r="11337" spans="14:14">
      <c r="N11337"/>
    </row>
    <row r="11338" spans="14:14">
      <c r="N11338"/>
    </row>
    <row r="11339" spans="14:14">
      <c r="N11339"/>
    </row>
    <row r="11340" spans="14:14">
      <c r="N11340"/>
    </row>
    <row r="11341" spans="14:14">
      <c r="N11341"/>
    </row>
    <row r="11342" spans="14:14">
      <c r="N11342"/>
    </row>
    <row r="11343" spans="14:14">
      <c r="N11343"/>
    </row>
    <row r="11344" spans="14:14">
      <c r="N11344"/>
    </row>
    <row r="11345" spans="14:14">
      <c r="N11345"/>
    </row>
    <row r="11346" spans="14:14">
      <c r="N11346"/>
    </row>
    <row r="11347" spans="14:14">
      <c r="N11347"/>
    </row>
    <row r="11348" spans="14:14">
      <c r="N11348"/>
    </row>
    <row r="11349" spans="14:14">
      <c r="N11349"/>
    </row>
    <row r="11350" spans="14:14">
      <c r="N11350"/>
    </row>
    <row r="11351" spans="14:14">
      <c r="N11351"/>
    </row>
    <row r="11352" spans="14:14">
      <c r="N11352"/>
    </row>
    <row r="11353" spans="14:14">
      <c r="N11353"/>
    </row>
    <row r="11354" spans="14:14">
      <c r="N11354"/>
    </row>
    <row r="11355" spans="14:14">
      <c r="N11355"/>
    </row>
    <row r="11356" spans="14:14">
      <c r="N11356"/>
    </row>
    <row r="11357" spans="14:14">
      <c r="N11357"/>
    </row>
    <row r="11358" spans="14:14">
      <c r="N11358"/>
    </row>
    <row r="11359" spans="14:14">
      <c r="N11359"/>
    </row>
    <row r="11360" spans="14:14">
      <c r="N11360"/>
    </row>
    <row r="11361" spans="14:14">
      <c r="N11361"/>
    </row>
    <row r="11362" spans="14:14">
      <c r="N11362"/>
    </row>
    <row r="11363" spans="14:14">
      <c r="N11363"/>
    </row>
    <row r="11364" spans="14:14">
      <c r="N11364"/>
    </row>
    <row r="11365" spans="14:14">
      <c r="N11365"/>
    </row>
    <row r="11366" spans="14:14">
      <c r="N11366"/>
    </row>
    <row r="11367" spans="14:14">
      <c r="N11367"/>
    </row>
    <row r="11368" spans="14:14">
      <c r="N11368"/>
    </row>
    <row r="11369" spans="14:14">
      <c r="N11369"/>
    </row>
    <row r="11370" spans="14:14">
      <c r="N11370"/>
    </row>
    <row r="11371" spans="14:14">
      <c r="N11371"/>
    </row>
    <row r="11372" spans="14:14">
      <c r="N11372"/>
    </row>
    <row r="11373" spans="14:14">
      <c r="N11373"/>
    </row>
    <row r="11374" spans="14:14">
      <c r="N11374"/>
    </row>
    <row r="11375" spans="14:14">
      <c r="N11375"/>
    </row>
    <row r="11376" spans="14:14">
      <c r="N11376"/>
    </row>
    <row r="11377" spans="14:14">
      <c r="N11377"/>
    </row>
    <row r="11378" spans="14:14">
      <c r="N11378"/>
    </row>
    <row r="11379" spans="14:14">
      <c r="N11379"/>
    </row>
    <row r="11380" spans="14:14">
      <c r="N11380"/>
    </row>
    <row r="11381" spans="14:14">
      <c r="N11381"/>
    </row>
    <row r="11382" spans="14:14">
      <c r="N11382"/>
    </row>
    <row r="11383" spans="14:14">
      <c r="N11383"/>
    </row>
    <row r="11384" spans="14:14">
      <c r="N11384"/>
    </row>
    <row r="11385" spans="14:14">
      <c r="N11385"/>
    </row>
    <row r="11386" spans="14:14">
      <c r="N11386"/>
    </row>
    <row r="11387" spans="14:14">
      <c r="N11387"/>
    </row>
    <row r="11388" spans="14:14">
      <c r="N11388"/>
    </row>
    <row r="11389" spans="14:14">
      <c r="N11389"/>
    </row>
    <row r="11390" spans="14:14">
      <c r="N11390"/>
    </row>
    <row r="11391" spans="14:14">
      <c r="N11391"/>
    </row>
    <row r="11392" spans="14:14">
      <c r="N11392"/>
    </row>
    <row r="11393" spans="14:14">
      <c r="N11393"/>
    </row>
    <row r="11394" spans="14:14">
      <c r="N11394"/>
    </row>
    <row r="11395" spans="14:14">
      <c r="N11395"/>
    </row>
    <row r="11396" spans="14:14">
      <c r="N11396"/>
    </row>
    <row r="11397" spans="14:14">
      <c r="N11397"/>
    </row>
    <row r="11398" spans="14:14">
      <c r="N11398"/>
    </row>
    <row r="11399" spans="14:14">
      <c r="N11399"/>
    </row>
    <row r="11400" spans="14:14">
      <c r="N11400"/>
    </row>
    <row r="11401" spans="14:14">
      <c r="N11401"/>
    </row>
    <row r="11402" spans="14:14">
      <c r="N11402"/>
    </row>
    <row r="11403" spans="14:14">
      <c r="N11403"/>
    </row>
    <row r="11404" spans="14:14">
      <c r="N11404"/>
    </row>
    <row r="11405" spans="14:14">
      <c r="N11405"/>
    </row>
    <row r="11406" spans="14:14">
      <c r="N11406"/>
    </row>
    <row r="11407" spans="14:14">
      <c r="N11407"/>
    </row>
    <row r="11408" spans="14:14">
      <c r="N11408"/>
    </row>
    <row r="11409" spans="14:14">
      <c r="N11409"/>
    </row>
    <row r="11410" spans="14:14">
      <c r="N11410"/>
    </row>
    <row r="11411" spans="14:14">
      <c r="N11411"/>
    </row>
    <row r="11412" spans="14:14">
      <c r="N11412"/>
    </row>
    <row r="11413" spans="14:14">
      <c r="N11413"/>
    </row>
    <row r="11414" spans="14:14">
      <c r="N11414"/>
    </row>
    <row r="11415" spans="14:14">
      <c r="N11415"/>
    </row>
    <row r="11416" spans="14:14">
      <c r="N11416"/>
    </row>
    <row r="11417" spans="14:14">
      <c r="N11417"/>
    </row>
    <row r="11418" spans="14:14">
      <c r="N11418"/>
    </row>
    <row r="11419" spans="14:14">
      <c r="N11419"/>
    </row>
    <row r="11420" spans="14:14">
      <c r="N11420"/>
    </row>
    <row r="11421" spans="14:14">
      <c r="N11421"/>
    </row>
    <row r="11422" spans="14:14">
      <c r="N11422"/>
    </row>
    <row r="11423" spans="14:14">
      <c r="N11423"/>
    </row>
    <row r="11424" spans="14:14">
      <c r="N11424"/>
    </row>
    <row r="11425" spans="14:14">
      <c r="N11425"/>
    </row>
    <row r="11426" spans="14:14">
      <c r="N11426"/>
    </row>
    <row r="11427" spans="14:14">
      <c r="N11427"/>
    </row>
    <row r="11428" spans="14:14">
      <c r="N11428"/>
    </row>
    <row r="11429" spans="14:14">
      <c r="N11429"/>
    </row>
    <row r="11430" spans="14:14">
      <c r="N11430"/>
    </row>
    <row r="11431" spans="14:14">
      <c r="N11431"/>
    </row>
    <row r="11432" spans="14:14">
      <c r="N11432"/>
    </row>
    <row r="11433" spans="14:14">
      <c r="N11433"/>
    </row>
    <row r="11434" spans="14:14">
      <c r="N11434"/>
    </row>
    <row r="11435" spans="14:14">
      <c r="N11435"/>
    </row>
    <row r="11436" spans="14:14">
      <c r="N11436"/>
    </row>
    <row r="11437" spans="14:14">
      <c r="N11437"/>
    </row>
    <row r="11438" spans="14:14">
      <c r="N11438"/>
    </row>
    <row r="11439" spans="14:14">
      <c r="N11439"/>
    </row>
    <row r="11440" spans="14:14">
      <c r="N11440"/>
    </row>
    <row r="11441" spans="14:14">
      <c r="N11441"/>
    </row>
    <row r="11442" spans="14:14">
      <c r="N11442"/>
    </row>
    <row r="11443" spans="14:14">
      <c r="N11443"/>
    </row>
    <row r="11444" spans="14:14">
      <c r="N11444"/>
    </row>
    <row r="11445" spans="14:14">
      <c r="N11445"/>
    </row>
    <row r="11446" spans="14:14">
      <c r="N11446"/>
    </row>
    <row r="11447" spans="14:14">
      <c r="N11447"/>
    </row>
    <row r="11448" spans="14:14">
      <c r="N11448"/>
    </row>
    <row r="11449" spans="14:14">
      <c r="N11449"/>
    </row>
    <row r="11450" spans="14:14">
      <c r="N11450"/>
    </row>
    <row r="11451" spans="14:14">
      <c r="N11451"/>
    </row>
    <row r="11452" spans="14:14">
      <c r="N11452"/>
    </row>
    <row r="11453" spans="14:14">
      <c r="N11453"/>
    </row>
    <row r="11454" spans="14:14">
      <c r="N11454"/>
    </row>
    <row r="11455" spans="14:14">
      <c r="N11455"/>
    </row>
    <row r="11456" spans="14:14">
      <c r="N11456"/>
    </row>
    <row r="11457" spans="14:14">
      <c r="N11457"/>
    </row>
    <row r="11458" spans="14:14">
      <c r="N11458"/>
    </row>
    <row r="11459" spans="14:14">
      <c r="N11459"/>
    </row>
    <row r="11460" spans="14:14">
      <c r="N11460"/>
    </row>
    <row r="11461" spans="14:14">
      <c r="N11461"/>
    </row>
    <row r="11462" spans="14:14">
      <c r="N11462"/>
    </row>
    <row r="11463" spans="14:14">
      <c r="N11463"/>
    </row>
    <row r="11464" spans="14:14">
      <c r="N11464"/>
    </row>
    <row r="11465" spans="14:14">
      <c r="N11465"/>
    </row>
    <row r="11466" spans="14:14">
      <c r="N11466"/>
    </row>
    <row r="11467" spans="14:14">
      <c r="N11467"/>
    </row>
    <row r="11468" spans="14:14">
      <c r="N11468"/>
    </row>
    <row r="11469" spans="14:14">
      <c r="N11469"/>
    </row>
    <row r="11470" spans="14:14">
      <c r="N11470"/>
    </row>
    <row r="11471" spans="14:14">
      <c r="N11471"/>
    </row>
    <row r="11472" spans="14:14">
      <c r="N11472"/>
    </row>
    <row r="11473" spans="14:14">
      <c r="N11473"/>
    </row>
    <row r="11474" spans="14:14">
      <c r="N11474"/>
    </row>
    <row r="11475" spans="14:14">
      <c r="N11475"/>
    </row>
    <row r="11476" spans="14:14">
      <c r="N11476"/>
    </row>
    <row r="11477" spans="14:14">
      <c r="N11477"/>
    </row>
    <row r="11478" spans="14:14">
      <c r="N11478"/>
    </row>
    <row r="11479" spans="14:14">
      <c r="N11479"/>
    </row>
    <row r="11480" spans="14:14">
      <c r="N11480"/>
    </row>
    <row r="11481" spans="14:14">
      <c r="N11481"/>
    </row>
    <row r="11482" spans="14:14">
      <c r="N11482"/>
    </row>
    <row r="11483" spans="14:14">
      <c r="N11483"/>
    </row>
    <row r="11484" spans="14:14">
      <c r="N11484"/>
    </row>
    <row r="11485" spans="14:14">
      <c r="N11485"/>
    </row>
    <row r="11486" spans="14:14">
      <c r="N11486"/>
    </row>
    <row r="11487" spans="14:14">
      <c r="N11487"/>
    </row>
    <row r="11488" spans="14:14">
      <c r="N11488"/>
    </row>
    <row r="11489" spans="14:14">
      <c r="N11489"/>
    </row>
    <row r="11490" spans="14:14">
      <c r="N11490"/>
    </row>
    <row r="11491" spans="14:14">
      <c r="N11491"/>
    </row>
    <row r="11492" spans="14:14">
      <c r="N11492"/>
    </row>
    <row r="11493" spans="14:14">
      <c r="N11493"/>
    </row>
    <row r="11494" spans="14:14">
      <c r="N11494"/>
    </row>
    <row r="11495" spans="14:14">
      <c r="N11495"/>
    </row>
    <row r="11496" spans="14:14">
      <c r="N11496"/>
    </row>
    <row r="11497" spans="14:14">
      <c r="N11497"/>
    </row>
    <row r="11498" spans="14:14">
      <c r="N11498"/>
    </row>
    <row r="11499" spans="14:14">
      <c r="N11499"/>
    </row>
    <row r="11500" spans="14:14">
      <c r="N11500"/>
    </row>
    <row r="11501" spans="14:14">
      <c r="N11501"/>
    </row>
    <row r="11502" spans="14:14">
      <c r="N11502"/>
    </row>
    <row r="11503" spans="14:14">
      <c r="N11503"/>
    </row>
    <row r="11504" spans="14:14">
      <c r="N11504"/>
    </row>
    <row r="11505" spans="14:14">
      <c r="N11505"/>
    </row>
    <row r="11506" spans="14:14">
      <c r="N11506"/>
    </row>
    <row r="11507" spans="14:14">
      <c r="N11507"/>
    </row>
    <row r="11508" spans="14:14">
      <c r="N11508"/>
    </row>
    <row r="11509" spans="14:14">
      <c r="N11509"/>
    </row>
    <row r="11510" spans="14:14">
      <c r="N11510"/>
    </row>
    <row r="11511" spans="14:14">
      <c r="N11511"/>
    </row>
    <row r="11512" spans="14:14">
      <c r="N11512"/>
    </row>
    <row r="11513" spans="14:14">
      <c r="N11513"/>
    </row>
    <row r="11514" spans="14:14">
      <c r="N11514"/>
    </row>
    <row r="11515" spans="14:14">
      <c r="N11515"/>
    </row>
    <row r="11516" spans="14:14">
      <c r="N11516"/>
    </row>
    <row r="11517" spans="14:14">
      <c r="N11517"/>
    </row>
    <row r="11518" spans="14:14">
      <c r="N11518"/>
    </row>
    <row r="11519" spans="14:14">
      <c r="N11519"/>
    </row>
    <row r="11520" spans="14:14">
      <c r="N11520"/>
    </row>
    <row r="11521" spans="14:14">
      <c r="N11521"/>
    </row>
    <row r="11522" spans="14:14">
      <c r="N11522"/>
    </row>
    <row r="11523" spans="14:14">
      <c r="N11523"/>
    </row>
    <row r="11524" spans="14:14">
      <c r="N11524"/>
    </row>
    <row r="11525" spans="14:14">
      <c r="N11525"/>
    </row>
    <row r="11526" spans="14:14">
      <c r="N11526"/>
    </row>
    <row r="11527" spans="14:14">
      <c r="N11527"/>
    </row>
    <row r="11528" spans="14:14">
      <c r="N11528"/>
    </row>
    <row r="11529" spans="14:14">
      <c r="N11529"/>
    </row>
    <row r="11530" spans="14:14">
      <c r="N11530"/>
    </row>
    <row r="11531" spans="14:14">
      <c r="N11531"/>
    </row>
    <row r="11532" spans="14:14">
      <c r="N11532"/>
    </row>
    <row r="11533" spans="14:14">
      <c r="N11533"/>
    </row>
    <row r="11534" spans="14:14">
      <c r="N11534"/>
    </row>
    <row r="11535" spans="14:14">
      <c r="N11535"/>
    </row>
    <row r="11536" spans="14:14">
      <c r="N11536"/>
    </row>
    <row r="11537" spans="14:14">
      <c r="N11537"/>
    </row>
    <row r="11538" spans="14:14">
      <c r="N11538"/>
    </row>
    <row r="11539" spans="14:14">
      <c r="N11539"/>
    </row>
    <row r="11540" spans="14:14">
      <c r="N11540"/>
    </row>
    <row r="11541" spans="14:14">
      <c r="N11541"/>
    </row>
    <row r="11542" spans="14:14">
      <c r="N11542"/>
    </row>
    <row r="11543" spans="14:14">
      <c r="N11543"/>
    </row>
    <row r="11544" spans="14:14">
      <c r="N11544"/>
    </row>
    <row r="11545" spans="14:14">
      <c r="N11545"/>
    </row>
    <row r="11546" spans="14:14">
      <c r="N11546"/>
    </row>
    <row r="11547" spans="14:14">
      <c r="N11547"/>
    </row>
    <row r="11548" spans="14:14">
      <c r="N11548"/>
    </row>
    <row r="11549" spans="14:14">
      <c r="N11549"/>
    </row>
    <row r="11550" spans="14:14">
      <c r="N11550"/>
    </row>
    <row r="11551" spans="14:14">
      <c r="N11551"/>
    </row>
    <row r="11552" spans="14:14">
      <c r="N11552"/>
    </row>
    <row r="11553" spans="14:14">
      <c r="N11553"/>
    </row>
    <row r="11554" spans="14:14">
      <c r="N11554"/>
    </row>
    <row r="11555" spans="14:14">
      <c r="N11555"/>
    </row>
    <row r="11556" spans="14:14">
      <c r="N11556"/>
    </row>
    <row r="11557" spans="14:14">
      <c r="N11557"/>
    </row>
    <row r="11558" spans="14:14">
      <c r="N11558"/>
    </row>
    <row r="11559" spans="14:14">
      <c r="N11559"/>
    </row>
    <row r="11560" spans="14:14">
      <c r="N11560"/>
    </row>
    <row r="11561" spans="14:14">
      <c r="N11561"/>
    </row>
    <row r="11562" spans="14:14">
      <c r="N11562"/>
    </row>
    <row r="11563" spans="14:14">
      <c r="N11563"/>
    </row>
    <row r="11564" spans="14:14">
      <c r="N11564"/>
    </row>
    <row r="11565" spans="14:14">
      <c r="N11565"/>
    </row>
    <row r="11566" spans="14:14">
      <c r="N11566"/>
    </row>
    <row r="11567" spans="14:14">
      <c r="N11567"/>
    </row>
    <row r="11568" spans="14:14">
      <c r="N11568"/>
    </row>
    <row r="11569" spans="14:14">
      <c r="N11569"/>
    </row>
    <row r="11570" spans="14:14">
      <c r="N11570"/>
    </row>
    <row r="11571" spans="14:14">
      <c r="N11571"/>
    </row>
    <row r="11572" spans="14:14">
      <c r="N11572"/>
    </row>
    <row r="11573" spans="14:14">
      <c r="N11573"/>
    </row>
    <row r="11574" spans="14:14">
      <c r="N11574"/>
    </row>
    <row r="11575" spans="14:14">
      <c r="N11575"/>
    </row>
    <row r="11576" spans="14:14">
      <c r="N11576"/>
    </row>
    <row r="11577" spans="14:14">
      <c r="N11577"/>
    </row>
    <row r="11578" spans="14:14">
      <c r="N11578"/>
    </row>
    <row r="11579" spans="14:14">
      <c r="N11579"/>
    </row>
    <row r="11580" spans="14:14">
      <c r="N11580"/>
    </row>
    <row r="11581" spans="14:14">
      <c r="N11581"/>
    </row>
    <row r="11582" spans="14:14">
      <c r="N11582"/>
    </row>
    <row r="11583" spans="14:14">
      <c r="N11583"/>
    </row>
    <row r="11584" spans="14:14">
      <c r="N11584"/>
    </row>
    <row r="11585" spans="14:14">
      <c r="N11585"/>
    </row>
    <row r="11586" spans="14:14">
      <c r="N11586"/>
    </row>
    <row r="11587" spans="14:14">
      <c r="N11587"/>
    </row>
    <row r="11588" spans="14:14">
      <c r="N11588"/>
    </row>
    <row r="11589" spans="14:14">
      <c r="N11589"/>
    </row>
    <row r="11590" spans="14:14">
      <c r="N11590"/>
    </row>
    <row r="11591" spans="14:14">
      <c r="N11591"/>
    </row>
    <row r="11592" spans="14:14">
      <c r="N11592"/>
    </row>
    <row r="11593" spans="14:14">
      <c r="N11593"/>
    </row>
    <row r="11594" spans="14:14">
      <c r="N11594"/>
    </row>
    <row r="11595" spans="14:14">
      <c r="N11595"/>
    </row>
    <row r="11596" spans="14:14">
      <c r="N11596"/>
    </row>
    <row r="11597" spans="14:14">
      <c r="N11597"/>
    </row>
    <row r="11598" spans="14:14">
      <c r="N11598"/>
    </row>
    <row r="11599" spans="14:14">
      <c r="N11599"/>
    </row>
    <row r="11600" spans="14:14">
      <c r="N11600"/>
    </row>
    <row r="11601" spans="14:14">
      <c r="N11601"/>
    </row>
    <row r="11602" spans="14:14">
      <c r="N11602"/>
    </row>
    <row r="11603" spans="14:14">
      <c r="N11603"/>
    </row>
    <row r="11604" spans="14:14">
      <c r="N11604"/>
    </row>
    <row r="11605" spans="14:14">
      <c r="N11605"/>
    </row>
    <row r="11606" spans="14:14">
      <c r="N11606"/>
    </row>
    <row r="11607" spans="14:14">
      <c r="N11607"/>
    </row>
    <row r="11608" spans="14:14">
      <c r="N11608"/>
    </row>
    <row r="11609" spans="14:14">
      <c r="N11609"/>
    </row>
    <row r="11610" spans="14:14">
      <c r="N11610"/>
    </row>
    <row r="11611" spans="14:14">
      <c r="N11611"/>
    </row>
    <row r="11612" spans="14:14">
      <c r="N11612"/>
    </row>
    <row r="11613" spans="14:14">
      <c r="N11613"/>
    </row>
    <row r="11614" spans="14:14">
      <c r="N11614"/>
    </row>
    <row r="11615" spans="14:14">
      <c r="N11615"/>
    </row>
    <row r="11616" spans="14:14">
      <c r="N11616"/>
    </row>
    <row r="11617" spans="14:14">
      <c r="N11617"/>
    </row>
    <row r="11618" spans="14:14">
      <c r="N11618"/>
    </row>
    <row r="11619" spans="14:14">
      <c r="N11619"/>
    </row>
    <row r="11620" spans="14:14">
      <c r="N11620"/>
    </row>
    <row r="11621" spans="14:14">
      <c r="N11621"/>
    </row>
    <row r="11622" spans="14:14">
      <c r="N11622"/>
    </row>
    <row r="11623" spans="14:14">
      <c r="N11623"/>
    </row>
    <row r="11624" spans="14:14">
      <c r="N11624"/>
    </row>
    <row r="11625" spans="14:14">
      <c r="N11625"/>
    </row>
    <row r="11626" spans="14:14">
      <c r="N11626"/>
    </row>
    <row r="11627" spans="14:14">
      <c r="N11627"/>
    </row>
    <row r="11628" spans="14:14">
      <c r="N11628"/>
    </row>
    <row r="11629" spans="14:14">
      <c r="N11629"/>
    </row>
    <row r="11630" spans="14:14">
      <c r="N11630"/>
    </row>
    <row r="11631" spans="14:14">
      <c r="N11631"/>
    </row>
    <row r="11632" spans="14:14">
      <c r="N11632"/>
    </row>
    <row r="11633" spans="14:14">
      <c r="N11633"/>
    </row>
    <row r="11634" spans="14:14">
      <c r="N11634"/>
    </row>
    <row r="11635" spans="14:14">
      <c r="N11635"/>
    </row>
    <row r="11636" spans="14:14">
      <c r="N11636"/>
    </row>
    <row r="11637" spans="14:14">
      <c r="N11637"/>
    </row>
    <row r="11638" spans="14:14">
      <c r="N11638"/>
    </row>
    <row r="11639" spans="14:14">
      <c r="N11639"/>
    </row>
    <row r="11640" spans="14:14">
      <c r="N11640"/>
    </row>
    <row r="11641" spans="14:14">
      <c r="N11641"/>
    </row>
    <row r="11642" spans="14:14">
      <c r="N11642"/>
    </row>
    <row r="11643" spans="14:14">
      <c r="N11643"/>
    </row>
    <row r="11644" spans="14:14">
      <c r="N11644"/>
    </row>
    <row r="11645" spans="14:14">
      <c r="N11645"/>
    </row>
    <row r="11646" spans="14:14">
      <c r="N11646"/>
    </row>
    <row r="11647" spans="14:14">
      <c r="N11647"/>
    </row>
    <row r="11648" spans="14:14">
      <c r="N11648"/>
    </row>
    <row r="11649" spans="14:14">
      <c r="N11649"/>
    </row>
    <row r="11650" spans="14:14">
      <c r="N11650"/>
    </row>
    <row r="11651" spans="14:14">
      <c r="N11651"/>
    </row>
    <row r="11652" spans="14:14">
      <c r="N11652"/>
    </row>
    <row r="11653" spans="14:14">
      <c r="N11653"/>
    </row>
    <row r="11654" spans="14:14">
      <c r="N11654"/>
    </row>
    <row r="11655" spans="14:14">
      <c r="N11655"/>
    </row>
    <row r="11656" spans="14:14">
      <c r="N11656"/>
    </row>
    <row r="11657" spans="14:14">
      <c r="N11657"/>
    </row>
    <row r="11658" spans="14:14">
      <c r="N11658"/>
    </row>
    <row r="11659" spans="14:14">
      <c r="N11659"/>
    </row>
    <row r="11660" spans="14:14">
      <c r="N11660"/>
    </row>
    <row r="11661" spans="14:14">
      <c r="N11661"/>
    </row>
    <row r="11662" spans="14:14">
      <c r="N11662"/>
    </row>
    <row r="11663" spans="14:14">
      <c r="N11663"/>
    </row>
    <row r="11664" spans="14:14">
      <c r="N11664"/>
    </row>
    <row r="11665" spans="14:14">
      <c r="N11665"/>
    </row>
    <row r="11666" spans="14:14">
      <c r="N11666"/>
    </row>
    <row r="11667" spans="14:14">
      <c r="N11667"/>
    </row>
    <row r="11668" spans="14:14">
      <c r="N11668"/>
    </row>
    <row r="11669" spans="14:14">
      <c r="N11669"/>
    </row>
    <row r="11670" spans="14:14">
      <c r="N11670"/>
    </row>
    <row r="11671" spans="14:14">
      <c r="N11671"/>
    </row>
    <row r="11672" spans="14:14">
      <c r="N11672"/>
    </row>
    <row r="11673" spans="14:14">
      <c r="N11673"/>
    </row>
    <row r="11674" spans="14:14">
      <c r="N11674"/>
    </row>
    <row r="11675" spans="14:14">
      <c r="N11675"/>
    </row>
    <row r="11676" spans="14:14">
      <c r="N11676"/>
    </row>
    <row r="11677" spans="14:14">
      <c r="N11677"/>
    </row>
    <row r="11678" spans="14:14">
      <c r="N11678"/>
    </row>
    <row r="11679" spans="14:14">
      <c r="N11679"/>
    </row>
    <row r="11680" spans="14:14">
      <c r="N11680"/>
    </row>
    <row r="11681" spans="14:14">
      <c r="N11681"/>
    </row>
    <row r="11682" spans="14:14">
      <c r="N11682"/>
    </row>
    <row r="11683" spans="14:14">
      <c r="N11683"/>
    </row>
    <row r="11684" spans="14:14">
      <c r="N11684"/>
    </row>
    <row r="11685" spans="14:14">
      <c r="N11685"/>
    </row>
    <row r="11686" spans="14:14">
      <c r="N11686"/>
    </row>
    <row r="11687" spans="14:14">
      <c r="N11687"/>
    </row>
    <row r="11688" spans="14:14">
      <c r="N11688"/>
    </row>
    <row r="11689" spans="14:14">
      <c r="N11689"/>
    </row>
    <row r="11690" spans="14:14">
      <c r="N11690"/>
    </row>
    <row r="11691" spans="14:14">
      <c r="N11691"/>
    </row>
    <row r="11692" spans="14:14">
      <c r="N11692"/>
    </row>
    <row r="11693" spans="14:14">
      <c r="N11693"/>
    </row>
    <row r="11694" spans="14:14">
      <c r="N11694"/>
    </row>
    <row r="11695" spans="14:14">
      <c r="N11695"/>
    </row>
    <row r="11696" spans="14:14">
      <c r="N11696"/>
    </row>
    <row r="11697" spans="14:14">
      <c r="N11697"/>
    </row>
    <row r="11698" spans="14:14">
      <c r="N11698"/>
    </row>
    <row r="11699" spans="14:14">
      <c r="N11699"/>
    </row>
    <row r="11700" spans="14:14">
      <c r="N11700"/>
    </row>
    <row r="11701" spans="14:14">
      <c r="N11701"/>
    </row>
    <row r="11702" spans="14:14">
      <c r="N11702"/>
    </row>
    <row r="11703" spans="14:14">
      <c r="N11703"/>
    </row>
    <row r="11704" spans="14:14">
      <c r="N11704"/>
    </row>
    <row r="11705" spans="14:14">
      <c r="N11705"/>
    </row>
    <row r="11706" spans="14:14">
      <c r="N11706"/>
    </row>
    <row r="11707" spans="14:14">
      <c r="N11707"/>
    </row>
    <row r="11708" spans="14:14">
      <c r="N11708"/>
    </row>
    <row r="11709" spans="14:14">
      <c r="N11709"/>
    </row>
    <row r="11710" spans="14:14">
      <c r="N11710"/>
    </row>
    <row r="11711" spans="14:14">
      <c r="N11711"/>
    </row>
    <row r="11712" spans="14:14">
      <c r="N11712"/>
    </row>
    <row r="11713" spans="14:14">
      <c r="N11713"/>
    </row>
    <row r="11714" spans="14:14">
      <c r="N11714"/>
    </row>
    <row r="11715" spans="14:14">
      <c r="N11715"/>
    </row>
    <row r="11716" spans="14:14">
      <c r="N11716"/>
    </row>
    <row r="11717" spans="14:14">
      <c r="N11717"/>
    </row>
    <row r="11718" spans="14:14">
      <c r="N11718"/>
    </row>
    <row r="11719" spans="14:14">
      <c r="N11719"/>
    </row>
    <row r="11720" spans="14:14">
      <c r="N11720"/>
    </row>
    <row r="11721" spans="14:14">
      <c r="N11721"/>
    </row>
    <row r="11722" spans="14:14">
      <c r="N11722"/>
    </row>
    <row r="11723" spans="14:14">
      <c r="N11723"/>
    </row>
    <row r="11724" spans="14:14">
      <c r="N11724"/>
    </row>
    <row r="11725" spans="14:14">
      <c r="N11725"/>
    </row>
    <row r="11726" spans="14:14">
      <c r="N11726"/>
    </row>
    <row r="11727" spans="14:14">
      <c r="N11727"/>
    </row>
    <row r="11728" spans="14:14">
      <c r="N11728"/>
    </row>
    <row r="11729" spans="14:14">
      <c r="N11729"/>
    </row>
    <row r="11730" spans="14:14">
      <c r="N11730"/>
    </row>
    <row r="11731" spans="14:14">
      <c r="N11731"/>
    </row>
    <row r="11732" spans="14:14">
      <c r="N11732"/>
    </row>
    <row r="11733" spans="14:14">
      <c r="N11733"/>
    </row>
    <row r="11734" spans="14:14">
      <c r="N11734"/>
    </row>
    <row r="11735" spans="14:14">
      <c r="N11735"/>
    </row>
    <row r="11736" spans="14:14">
      <c r="N11736"/>
    </row>
    <row r="11737" spans="14:14">
      <c r="N11737"/>
    </row>
    <row r="11738" spans="14:14">
      <c r="N11738"/>
    </row>
    <row r="11739" spans="14:14">
      <c r="N11739"/>
    </row>
    <row r="11740" spans="14:14">
      <c r="N11740"/>
    </row>
    <row r="11741" spans="14:14">
      <c r="N11741"/>
    </row>
    <row r="11742" spans="14:14">
      <c r="N11742"/>
    </row>
    <row r="11743" spans="14:14">
      <c r="N11743"/>
    </row>
    <row r="11744" spans="14:14">
      <c r="N11744"/>
    </row>
    <row r="11745" spans="14:14">
      <c r="N11745"/>
    </row>
    <row r="11746" spans="14:14">
      <c r="N11746"/>
    </row>
    <row r="11747" spans="14:14">
      <c r="N11747"/>
    </row>
    <row r="11748" spans="14:14">
      <c r="N11748"/>
    </row>
    <row r="11749" spans="14:14">
      <c r="N11749"/>
    </row>
    <row r="11750" spans="14:14">
      <c r="N11750"/>
    </row>
    <row r="11751" spans="14:14">
      <c r="N11751"/>
    </row>
    <row r="11752" spans="14:14">
      <c r="N11752"/>
    </row>
    <row r="11753" spans="14:14">
      <c r="N11753"/>
    </row>
    <row r="11754" spans="14:14">
      <c r="N11754"/>
    </row>
    <row r="11755" spans="14:14">
      <c r="N11755"/>
    </row>
    <row r="11756" spans="14:14">
      <c r="N11756"/>
    </row>
    <row r="11757" spans="14:14">
      <c r="N11757"/>
    </row>
    <row r="11758" spans="14:14">
      <c r="N11758"/>
    </row>
    <row r="11759" spans="14:14">
      <c r="N11759"/>
    </row>
    <row r="11760" spans="14:14">
      <c r="N11760"/>
    </row>
    <row r="11761" spans="14:14">
      <c r="N11761"/>
    </row>
    <row r="11762" spans="14:14">
      <c r="N11762"/>
    </row>
    <row r="11763" spans="14:14">
      <c r="N11763"/>
    </row>
    <row r="11764" spans="14:14">
      <c r="N11764"/>
    </row>
    <row r="11765" spans="14:14">
      <c r="N11765"/>
    </row>
    <row r="11766" spans="14:14">
      <c r="N11766"/>
    </row>
    <row r="11767" spans="14:14">
      <c r="N11767"/>
    </row>
    <row r="11768" spans="14:14">
      <c r="N11768"/>
    </row>
    <row r="11769" spans="14:14">
      <c r="N11769"/>
    </row>
    <row r="11770" spans="14:14">
      <c r="N11770"/>
    </row>
    <row r="11771" spans="14:14">
      <c r="N11771"/>
    </row>
    <row r="11772" spans="14:14">
      <c r="N11772"/>
    </row>
    <row r="11773" spans="14:14">
      <c r="N11773"/>
    </row>
    <row r="11774" spans="14:14">
      <c r="N11774"/>
    </row>
    <row r="11775" spans="14:14">
      <c r="N11775"/>
    </row>
    <row r="11776" spans="14:14">
      <c r="N11776"/>
    </row>
    <row r="11777" spans="14:14">
      <c r="N11777"/>
    </row>
    <row r="11778" spans="14:14">
      <c r="N11778"/>
    </row>
    <row r="11779" spans="14:14">
      <c r="N11779"/>
    </row>
    <row r="11780" spans="14:14">
      <c r="N11780"/>
    </row>
    <row r="11781" spans="14:14">
      <c r="N11781"/>
    </row>
    <row r="11782" spans="14:14">
      <c r="N11782"/>
    </row>
    <row r="11783" spans="14:14">
      <c r="N11783"/>
    </row>
    <row r="11784" spans="14:14">
      <c r="N11784"/>
    </row>
    <row r="11785" spans="14:14">
      <c r="N11785"/>
    </row>
    <row r="11786" spans="14:14">
      <c r="N11786"/>
    </row>
    <row r="11787" spans="14:14">
      <c r="N11787"/>
    </row>
    <row r="11788" spans="14:14">
      <c r="N11788"/>
    </row>
    <row r="11789" spans="14:14">
      <c r="N11789"/>
    </row>
    <row r="11790" spans="14:14">
      <c r="N11790"/>
    </row>
    <row r="11791" spans="14:14">
      <c r="N11791"/>
    </row>
    <row r="11792" spans="14:14">
      <c r="N11792"/>
    </row>
    <row r="11793" spans="14:14">
      <c r="N11793"/>
    </row>
    <row r="11794" spans="14:14">
      <c r="N11794"/>
    </row>
    <row r="11795" spans="14:14">
      <c r="N11795"/>
    </row>
    <row r="11796" spans="14:14">
      <c r="N11796"/>
    </row>
    <row r="11797" spans="14:14">
      <c r="N11797"/>
    </row>
    <row r="11798" spans="14:14">
      <c r="N11798"/>
    </row>
    <row r="11799" spans="14:14">
      <c r="N11799"/>
    </row>
    <row r="11800" spans="14:14">
      <c r="N11800"/>
    </row>
    <row r="11801" spans="14:14">
      <c r="N11801"/>
    </row>
    <row r="11802" spans="14:14">
      <c r="N11802"/>
    </row>
    <row r="11803" spans="14:14">
      <c r="N11803"/>
    </row>
    <row r="11804" spans="14:14">
      <c r="N11804"/>
    </row>
    <row r="11805" spans="14:14">
      <c r="N11805"/>
    </row>
    <row r="11806" spans="14:14">
      <c r="N11806"/>
    </row>
    <row r="11807" spans="14:14">
      <c r="N11807"/>
    </row>
    <row r="11808" spans="14:14">
      <c r="N11808"/>
    </row>
    <row r="11809" spans="14:14">
      <c r="N11809"/>
    </row>
    <row r="11810" spans="14:14">
      <c r="N11810"/>
    </row>
    <row r="11811" spans="14:14">
      <c r="N11811"/>
    </row>
    <row r="11812" spans="14:14">
      <c r="N11812"/>
    </row>
    <row r="11813" spans="14:14">
      <c r="N11813"/>
    </row>
    <row r="11814" spans="14:14">
      <c r="N11814"/>
    </row>
    <row r="11815" spans="14:14">
      <c r="N11815"/>
    </row>
    <row r="11816" spans="14:14">
      <c r="N11816"/>
    </row>
    <row r="11817" spans="14:14">
      <c r="N11817"/>
    </row>
    <row r="11818" spans="14:14">
      <c r="N11818"/>
    </row>
    <row r="11819" spans="14:14">
      <c r="N11819"/>
    </row>
    <row r="11820" spans="14:14">
      <c r="N11820"/>
    </row>
    <row r="11821" spans="14:14">
      <c r="N11821"/>
    </row>
    <row r="11822" spans="14:14">
      <c r="N11822"/>
    </row>
    <row r="11823" spans="14:14">
      <c r="N11823"/>
    </row>
    <row r="11824" spans="14:14">
      <c r="N11824"/>
    </row>
    <row r="11825" spans="14:14">
      <c r="N11825"/>
    </row>
    <row r="11826" spans="14:14">
      <c r="N11826"/>
    </row>
    <row r="11827" spans="14:14">
      <c r="N11827"/>
    </row>
    <row r="11828" spans="14:14">
      <c r="N11828"/>
    </row>
    <row r="11829" spans="14:14">
      <c r="N11829"/>
    </row>
    <row r="11830" spans="14:14">
      <c r="N11830"/>
    </row>
    <row r="11831" spans="14:14">
      <c r="N11831"/>
    </row>
    <row r="11832" spans="14:14">
      <c r="N11832"/>
    </row>
    <row r="11833" spans="14:14">
      <c r="N11833"/>
    </row>
    <row r="11834" spans="14:14">
      <c r="N11834"/>
    </row>
    <row r="11835" spans="14:14">
      <c r="N11835"/>
    </row>
    <row r="11836" spans="14:14">
      <c r="N11836"/>
    </row>
    <row r="11837" spans="14:14">
      <c r="N11837"/>
    </row>
    <row r="11838" spans="14:14">
      <c r="N11838"/>
    </row>
    <row r="11839" spans="14:14">
      <c r="N11839"/>
    </row>
    <row r="11840" spans="14:14">
      <c r="N11840"/>
    </row>
    <row r="11841" spans="14:14">
      <c r="N11841"/>
    </row>
    <row r="11842" spans="14:14">
      <c r="N11842"/>
    </row>
    <row r="11843" spans="14:14">
      <c r="N11843"/>
    </row>
    <row r="11844" spans="14:14">
      <c r="N11844"/>
    </row>
    <row r="11845" spans="14:14">
      <c r="N11845"/>
    </row>
    <row r="11846" spans="14:14">
      <c r="N11846"/>
    </row>
    <row r="11847" spans="14:14">
      <c r="N11847"/>
    </row>
    <row r="11848" spans="14:14">
      <c r="N11848"/>
    </row>
    <row r="11849" spans="14:14">
      <c r="N11849"/>
    </row>
    <row r="11850" spans="14:14">
      <c r="N11850"/>
    </row>
    <row r="11851" spans="14:14">
      <c r="N11851"/>
    </row>
    <row r="11852" spans="14:14">
      <c r="N11852"/>
    </row>
    <row r="11853" spans="14:14">
      <c r="N11853"/>
    </row>
    <row r="11854" spans="14:14">
      <c r="N11854"/>
    </row>
    <row r="11855" spans="14:14">
      <c r="N11855"/>
    </row>
    <row r="11856" spans="14:14">
      <c r="N11856"/>
    </row>
    <row r="11857" spans="14:14">
      <c r="N11857"/>
    </row>
    <row r="11858" spans="14:14">
      <c r="N11858"/>
    </row>
    <row r="11859" spans="14:14">
      <c r="N11859"/>
    </row>
    <row r="11860" spans="14:14">
      <c r="N11860"/>
    </row>
    <row r="11861" spans="14:14">
      <c r="N11861"/>
    </row>
    <row r="11862" spans="14:14">
      <c r="N11862"/>
    </row>
    <row r="11863" spans="14:14">
      <c r="N11863"/>
    </row>
    <row r="11864" spans="14:14">
      <c r="N11864"/>
    </row>
  </sheetData>
  <autoFilter ref="A2:Z7326">
    <filterColumn colId="11">
      <filters>
        <filter val="9"/>
      </filters>
    </filterColumn>
    <sortState ref="A3:Z7305">
      <sortCondition ref="L2:L7305"/>
    </sortState>
  </autoFilter>
  <sortState ref="N7316:N7323">
    <sortCondition ref="N7316"/>
  </sortState>
  <phoneticPr fontId="0" type="noConversion"/>
  <printOptions horizontalCentered="1"/>
  <pageMargins left="0" right="0" top="0.55118110236220474" bottom="0.41" header="0.31496062992125984" footer="0.23622047244094491"/>
  <pageSetup paperSize="9" scale="84" orientation="portrait" r:id="rId1"/>
  <headerFooter alignWithMargins="0">
    <oddHeader>&amp;L&amp;"David,Bold"&amp;14אגף התקציבים&amp;C&amp;"David,Bold"&amp;16עיריית חולון&amp;R&amp;"David,Bold"&amp;14מינהל הגזברות</oddHeader>
    <oddFooter>&amp;C&amp;P</oddFooter>
  </headerFooter>
  <rowBreaks count="96" manualBreakCount="96">
    <brk id="52" max="9" man="1"/>
    <brk id="87" max="9" man="1"/>
    <brk id="165" max="9" man="1"/>
    <brk id="173" max="9" man="1"/>
    <brk id="205" max="9" man="1"/>
    <brk id="238" max="9" man="1"/>
    <brk id="247" max="9" man="1"/>
    <brk id="286" max="9" man="1"/>
    <brk id="308" max="9" man="1"/>
    <brk id="351" max="9" man="1"/>
    <brk id="367" max="9" man="1"/>
    <brk id="406" max="9" man="1"/>
    <brk id="443" max="9" man="1"/>
    <brk id="462" max="9" man="1"/>
    <brk id="502" max="9" man="1"/>
    <brk id="516" max="9" man="1"/>
    <brk id="539" max="9" man="1"/>
    <brk id="554" max="9" man="1"/>
    <brk id="564" max="9" man="1"/>
    <brk id="610" max="9" man="1"/>
    <brk id="671" max="9" man="1"/>
    <brk id="717" max="9" man="1"/>
    <brk id="728" max="9" man="1"/>
    <brk id="767" max="9" man="1"/>
    <brk id="833" max="9" man="1"/>
    <brk id="885" max="9" man="1"/>
    <brk id="932" max="9" man="1"/>
    <brk id="977" max="9" man="1"/>
    <brk id="1013" max="9" man="1"/>
    <brk id="1032" max="9" man="1"/>
    <brk id="1076" max="9" man="1"/>
    <brk id="1125" max="9" man="1"/>
    <brk id="1164" max="9" man="1"/>
    <brk id="1200" max="9" man="1"/>
    <brk id="1229" max="9" man="1"/>
    <brk id="1277" max="9" man="1"/>
    <brk id="1319" max="9" man="1"/>
    <brk id="1363" max="9" man="1"/>
    <brk id="1400" max="9" man="1"/>
    <brk id="1450" max="9" man="1"/>
    <brk id="1484" max="9" man="1"/>
    <brk id="1524" max="9" man="1"/>
    <brk id="1551" max="9" man="1"/>
    <brk id="1601" max="9" man="1"/>
    <brk id="1643" max="9" man="1"/>
    <brk id="1679" max="9" man="1"/>
    <brk id="1699" max="9" man="1"/>
    <brk id="1719" max="9" man="1"/>
    <brk id="1755" max="9" man="1"/>
    <brk id="1801" max="9" man="1"/>
    <brk id="1831" max="9" man="1"/>
    <brk id="1883" max="9" man="1"/>
    <brk id="1889" max="9" man="1"/>
    <brk id="1928" max="9" man="1"/>
    <brk id="1968" max="9" man="1"/>
    <brk id="2013" max="9" man="1"/>
    <brk id="2046" max="9" man="1"/>
    <brk id="2096" max="9" man="1"/>
    <brk id="2139" max="9" man="1"/>
    <brk id="2217" max="9" man="1"/>
    <brk id="2258" max="9" man="1"/>
    <brk id="2301" max="9" man="1"/>
    <brk id="2343" max="9" man="1"/>
    <brk id="2400" max="9" man="1"/>
    <brk id="2441" max="9" man="1"/>
    <brk id="2503" max="9" man="1"/>
    <brk id="2510" max="9" man="1"/>
    <brk id="2558" max="9" man="1"/>
    <brk id="2603" max="9" man="1"/>
    <brk id="2638" max="9" man="1"/>
    <brk id="2675" max="9" man="1"/>
    <brk id="2716" max="9" man="1"/>
    <brk id="2839" max="9" man="1"/>
    <brk id="2876" max="9" man="1"/>
    <brk id="2901" max="9" man="1"/>
    <brk id="2953" max="9" man="1"/>
    <brk id="2988" max="9" man="1"/>
    <brk id="3011" max="9" man="1"/>
    <brk id="3023" max="9" man="1"/>
    <brk id="3059" max="9" man="1"/>
    <brk id="3105" max="9" man="1"/>
    <brk id="3141" max="9" man="1"/>
    <brk id="3167" max="9" man="1"/>
    <brk id="3217" max="9" man="1"/>
    <brk id="3268" max="9" man="1"/>
    <brk id="3313" max="9" man="1"/>
    <brk id="3337" max="9" man="1"/>
    <brk id="3359" max="9" man="1"/>
    <brk id="3406" max="9" man="1"/>
    <brk id="3457" max="9" man="1"/>
    <brk id="3517" max="9" man="1"/>
    <brk id="3571" max="9" man="1"/>
    <brk id="3590" max="9" man="1"/>
    <brk id="3616" max="9" man="1"/>
    <brk id="3645" max="9" man="1"/>
    <brk id="3682" max="9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355"/>
  <sheetViews>
    <sheetView rightToLeft="1" topLeftCell="A237" zoomScale="70" zoomScaleNormal="70" workbookViewId="0">
      <pane xSplit="1" topLeftCell="O1" activePane="topRight" state="frozen"/>
      <selection pane="topRight" activeCell="AL268" sqref="R268:AL272"/>
    </sheetView>
  </sheetViews>
  <sheetFormatPr defaultRowHeight="12.75"/>
  <cols>
    <col min="1" max="1" width="33.85546875" customWidth="1"/>
    <col min="2" max="2" width="20.5703125" customWidth="1"/>
    <col min="3" max="3" width="20" customWidth="1"/>
    <col min="4" max="4" width="9.7109375" customWidth="1"/>
    <col min="5" max="5" width="16.85546875" customWidth="1"/>
    <col min="6" max="6" width="22.85546875" customWidth="1"/>
    <col min="7" max="7" width="26.28515625" customWidth="1"/>
    <col min="8" max="8" width="15.85546875" customWidth="1"/>
    <col min="9" max="9" width="14.5703125" customWidth="1"/>
    <col min="10" max="10" width="22.140625" customWidth="1"/>
    <col min="11" max="11" width="16" customWidth="1"/>
    <col min="12" max="12" width="14.5703125" customWidth="1"/>
    <col min="13" max="13" width="24" customWidth="1"/>
    <col min="14" max="14" width="16.140625" customWidth="1"/>
    <col min="15" max="15" width="15.85546875" customWidth="1"/>
    <col min="16" max="16" width="15.42578125" customWidth="1"/>
    <col min="17" max="17" width="24" customWidth="1"/>
    <col min="18" max="18" width="16.140625" customWidth="1"/>
    <col min="19" max="19" width="24.5703125" bestFit="1" customWidth="1"/>
    <col min="20" max="20" width="17.7109375" bestFit="1" customWidth="1"/>
    <col min="21" max="21" width="18.28515625" customWidth="1"/>
    <col min="22" max="22" width="15.42578125" customWidth="1"/>
    <col min="23" max="23" width="16.85546875" bestFit="1" customWidth="1"/>
    <col min="24" max="26" width="32.42578125" bestFit="1" customWidth="1"/>
    <col min="27" max="27" width="19.7109375" bestFit="1" customWidth="1"/>
    <col min="28" max="28" width="14.28515625" bestFit="1" customWidth="1"/>
    <col min="29" max="29" width="15.42578125" bestFit="1" customWidth="1"/>
    <col min="30" max="30" width="17.7109375" customWidth="1"/>
    <col min="31" max="31" width="14.85546875" customWidth="1"/>
    <col min="32" max="32" width="16.140625" customWidth="1"/>
    <col min="33" max="33" width="19" customWidth="1"/>
    <col min="34" max="36" width="16.28515625" customWidth="1"/>
    <col min="37" max="37" width="30.140625" bestFit="1" customWidth="1"/>
    <col min="38" max="38" width="14.85546875" bestFit="1" customWidth="1"/>
    <col min="39" max="39" width="17.7109375" bestFit="1" customWidth="1"/>
    <col min="40" max="41" width="13" bestFit="1" customWidth="1"/>
    <col min="42" max="43" width="12" bestFit="1" customWidth="1"/>
    <col min="44" max="44" width="32.42578125" bestFit="1" customWidth="1"/>
    <col min="45" max="45" width="19.7109375" bestFit="1" customWidth="1"/>
    <col min="46" max="46" width="9.5703125" bestFit="1" customWidth="1"/>
    <col min="48" max="56" width="35" customWidth="1"/>
    <col min="57" max="57" width="23.140625" bestFit="1" customWidth="1"/>
    <col min="58" max="58" width="6.42578125" bestFit="1" customWidth="1"/>
  </cols>
  <sheetData>
    <row r="2" spans="1:44">
      <c r="AR2" s="326" t="s">
        <v>6371</v>
      </c>
    </row>
    <row r="3" spans="1:44">
      <c r="A3" s="250" t="s">
        <v>4693</v>
      </c>
      <c r="B3" s="250" t="s">
        <v>4694</v>
      </c>
    </row>
    <row r="4" spans="1:44">
      <c r="A4" s="250" t="s">
        <v>4695</v>
      </c>
      <c r="B4" t="s">
        <v>173</v>
      </c>
      <c r="C4" t="s">
        <v>174</v>
      </c>
      <c r="D4" t="s">
        <v>192</v>
      </c>
      <c r="E4" t="s">
        <v>187</v>
      </c>
      <c r="F4" t="s">
        <v>180</v>
      </c>
      <c r="G4" t="s">
        <v>205</v>
      </c>
      <c r="H4" t="s">
        <v>215</v>
      </c>
      <c r="I4" t="s">
        <v>217</v>
      </c>
      <c r="J4" t="s">
        <v>50</v>
      </c>
      <c r="K4" t="s">
        <v>58</v>
      </c>
      <c r="L4" t="s">
        <v>61</v>
      </c>
      <c r="M4" t="s">
        <v>85</v>
      </c>
      <c r="N4" t="s">
        <v>66</v>
      </c>
      <c r="O4" t="s">
        <v>160</v>
      </c>
      <c r="P4" t="s">
        <v>129</v>
      </c>
      <c r="Q4" t="s">
        <v>152</v>
      </c>
      <c r="R4" t="s">
        <v>114</v>
      </c>
      <c r="S4" t="s">
        <v>4696</v>
      </c>
      <c r="T4" t="s">
        <v>8897</v>
      </c>
      <c r="U4" t="s">
        <v>2354</v>
      </c>
    </row>
    <row r="5" spans="1:44">
      <c r="A5" s="43" t="s">
        <v>228</v>
      </c>
      <c r="B5" s="60"/>
      <c r="C5" s="60"/>
      <c r="D5" s="60"/>
      <c r="E5" s="60"/>
      <c r="F5" s="60"/>
      <c r="G5" s="60"/>
      <c r="H5" s="60"/>
      <c r="I5" s="60"/>
      <c r="J5" s="60">
        <v>108932000</v>
      </c>
      <c r="K5" s="60"/>
      <c r="L5" s="60"/>
      <c r="M5" s="60">
        <v>29367200</v>
      </c>
      <c r="N5" s="60">
        <v>3227300</v>
      </c>
      <c r="O5" s="60"/>
      <c r="P5" s="60">
        <v>42708000</v>
      </c>
      <c r="Q5" s="60">
        <v>13393600</v>
      </c>
      <c r="R5" s="60">
        <v>167000000</v>
      </c>
      <c r="S5" s="60"/>
      <c r="T5" s="60"/>
      <c r="U5" s="60">
        <v>364628100</v>
      </c>
    </row>
    <row r="6" spans="1:44">
      <c r="A6" s="152" t="s">
        <v>232</v>
      </c>
      <c r="B6" s="60"/>
      <c r="C6" s="60"/>
      <c r="D6" s="60"/>
      <c r="E6" s="60"/>
      <c r="F6" s="60"/>
      <c r="G6" s="60"/>
      <c r="H6" s="60"/>
      <c r="I6" s="60"/>
      <c r="J6" s="60">
        <v>53094000</v>
      </c>
      <c r="K6" s="60"/>
      <c r="L6" s="60"/>
      <c r="M6" s="60">
        <v>26254400</v>
      </c>
      <c r="N6" s="60">
        <v>881700</v>
      </c>
      <c r="O6" s="60"/>
      <c r="P6" s="60">
        <v>4242000</v>
      </c>
      <c r="Q6" s="60">
        <v>13393600</v>
      </c>
      <c r="R6" s="60"/>
      <c r="S6" s="60"/>
      <c r="T6" s="60"/>
      <c r="U6" s="60">
        <v>97865700</v>
      </c>
    </row>
    <row r="7" spans="1:44">
      <c r="A7" s="251" t="s">
        <v>233</v>
      </c>
      <c r="B7" s="60"/>
      <c r="C7" s="60"/>
      <c r="D7" s="60"/>
      <c r="E7" s="60"/>
      <c r="F7" s="60"/>
      <c r="G7" s="60"/>
      <c r="H7" s="60"/>
      <c r="I7" s="60"/>
      <c r="J7" s="60">
        <v>53094000</v>
      </c>
      <c r="K7" s="60"/>
      <c r="L7" s="60"/>
      <c r="M7" s="60">
        <v>26254400</v>
      </c>
      <c r="N7" s="60">
        <v>881700</v>
      </c>
      <c r="O7" s="60"/>
      <c r="P7" s="60">
        <v>4242000</v>
      </c>
      <c r="Q7" s="60">
        <v>13393600</v>
      </c>
      <c r="R7" s="60"/>
      <c r="S7" s="60"/>
      <c r="T7" s="60"/>
      <c r="U7" s="60">
        <v>97865700</v>
      </c>
    </row>
    <row r="8" spans="1:44">
      <c r="A8" s="152" t="s">
        <v>293</v>
      </c>
      <c r="B8" s="60"/>
      <c r="C8" s="60"/>
      <c r="D8" s="60"/>
      <c r="E8" s="60"/>
      <c r="F8" s="60"/>
      <c r="G8" s="60"/>
      <c r="H8" s="60"/>
      <c r="I8" s="60"/>
      <c r="J8" s="60">
        <v>55838000</v>
      </c>
      <c r="K8" s="60"/>
      <c r="L8" s="60"/>
      <c r="M8" s="60">
        <v>3112800</v>
      </c>
      <c r="N8" s="60">
        <v>2345600</v>
      </c>
      <c r="O8" s="60"/>
      <c r="P8" s="60">
        <v>23366000</v>
      </c>
      <c r="Q8" s="60"/>
      <c r="R8" s="60"/>
      <c r="S8" s="60"/>
      <c r="T8" s="60"/>
      <c r="U8" s="60">
        <v>84662400</v>
      </c>
    </row>
    <row r="9" spans="1:44">
      <c r="A9" s="251" t="s">
        <v>294</v>
      </c>
      <c r="B9" s="60"/>
      <c r="C9" s="60"/>
      <c r="D9" s="60"/>
      <c r="E9" s="60"/>
      <c r="F9" s="60"/>
      <c r="G9" s="60"/>
      <c r="H9" s="60"/>
      <c r="I9" s="60"/>
      <c r="J9" s="60">
        <v>55838000</v>
      </c>
      <c r="K9" s="60"/>
      <c r="L9" s="60"/>
      <c r="M9" s="60">
        <v>3112800</v>
      </c>
      <c r="N9" s="60">
        <v>2345600</v>
      </c>
      <c r="O9" s="60"/>
      <c r="P9" s="60">
        <v>23366000</v>
      </c>
      <c r="Q9" s="60"/>
      <c r="R9" s="60"/>
      <c r="S9" s="60"/>
      <c r="T9" s="60"/>
      <c r="U9" s="60">
        <v>84662400</v>
      </c>
    </row>
    <row r="10" spans="1:44">
      <c r="A10" s="152" t="s">
        <v>382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>
        <v>15100000</v>
      </c>
      <c r="Q10" s="60"/>
      <c r="R10" s="60"/>
      <c r="S10" s="60"/>
      <c r="T10" s="60"/>
      <c r="U10" s="60">
        <v>15100000</v>
      </c>
    </row>
    <row r="11" spans="1:44">
      <c r="A11" s="251" t="s">
        <v>383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>
        <v>15100000</v>
      </c>
      <c r="Q11" s="60"/>
      <c r="R11" s="60"/>
      <c r="S11" s="60"/>
      <c r="T11" s="60"/>
      <c r="U11" s="60">
        <v>15100000</v>
      </c>
    </row>
    <row r="12" spans="1:44">
      <c r="A12" s="152" t="s">
        <v>394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>
        <v>167000000</v>
      </c>
      <c r="S12" s="60"/>
      <c r="T12" s="60"/>
      <c r="U12" s="60">
        <v>167000000</v>
      </c>
    </row>
    <row r="13" spans="1:44">
      <c r="A13" s="251" t="s">
        <v>395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>
        <v>167000000</v>
      </c>
      <c r="S13" s="60"/>
      <c r="T13" s="60"/>
      <c r="U13" s="60">
        <v>167000000</v>
      </c>
    </row>
    <row r="14" spans="1:44">
      <c r="A14" s="43" t="s">
        <v>1915</v>
      </c>
      <c r="B14" s="60">
        <v>-1380000000</v>
      </c>
      <c r="C14" s="60">
        <v>-23050000</v>
      </c>
      <c r="D14" s="60"/>
      <c r="E14" s="60"/>
      <c r="F14" s="60"/>
      <c r="G14" s="60"/>
      <c r="H14" s="60"/>
      <c r="I14" s="60">
        <v>-1780000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>
        <v>-1404830000</v>
      </c>
    </row>
    <row r="15" spans="1:44">
      <c r="A15" s="152" t="s">
        <v>1918</v>
      </c>
      <c r="B15" s="60">
        <v>-1380000000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>
        <v>-1380000000</v>
      </c>
    </row>
    <row r="16" spans="1:44">
      <c r="A16" s="251" t="s">
        <v>173</v>
      </c>
      <c r="B16" s="60">
        <v>-1380000000</v>
      </c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>
        <v>-1380000000</v>
      </c>
    </row>
    <row r="17" spans="1:21">
      <c r="A17" s="152" t="s">
        <v>1960</v>
      </c>
      <c r="B17" s="60"/>
      <c r="C17" s="60">
        <v>-23050000</v>
      </c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>
        <v>-23050000</v>
      </c>
    </row>
    <row r="18" spans="1:21">
      <c r="A18" s="251" t="s">
        <v>174</v>
      </c>
      <c r="B18" s="60"/>
      <c r="C18" s="60">
        <v>-23050000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>
        <v>-23050000</v>
      </c>
    </row>
    <row r="19" spans="1:21">
      <c r="A19" s="152" t="s">
        <v>2031</v>
      </c>
      <c r="B19" s="60"/>
      <c r="C19" s="60"/>
      <c r="D19" s="60"/>
      <c r="E19" s="60"/>
      <c r="F19" s="60"/>
      <c r="G19" s="60"/>
      <c r="H19" s="60"/>
      <c r="I19" s="60">
        <v>-1780000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>
        <v>-1780000</v>
      </c>
    </row>
    <row r="20" spans="1:21">
      <c r="A20" s="251" t="s">
        <v>2032</v>
      </c>
      <c r="B20" s="60"/>
      <c r="C20" s="60"/>
      <c r="D20" s="60"/>
      <c r="E20" s="60"/>
      <c r="F20" s="60"/>
      <c r="G20" s="60"/>
      <c r="H20" s="60"/>
      <c r="I20" s="60">
        <v>-1780000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>
        <v>-1780000</v>
      </c>
    </row>
    <row r="21" spans="1:21">
      <c r="A21" s="43" t="s">
        <v>1614</v>
      </c>
      <c r="B21" s="60"/>
      <c r="C21" s="60">
        <v>0</v>
      </c>
      <c r="D21" s="60">
        <v>-11092000</v>
      </c>
      <c r="E21" s="60">
        <v>-5000</v>
      </c>
      <c r="F21" s="60">
        <v>-10000</v>
      </c>
      <c r="G21" s="60">
        <v>-1000000</v>
      </c>
      <c r="H21" s="60"/>
      <c r="I21" s="60"/>
      <c r="J21" s="60">
        <v>6142000</v>
      </c>
      <c r="K21" s="60"/>
      <c r="L21" s="60">
        <v>205409000</v>
      </c>
      <c r="M21" s="60">
        <v>5188000</v>
      </c>
      <c r="N21" s="60">
        <v>3950300</v>
      </c>
      <c r="O21" s="60"/>
      <c r="P21" s="60">
        <v>5308000</v>
      </c>
      <c r="Q21" s="60">
        <v>163327800</v>
      </c>
      <c r="R21" s="60"/>
      <c r="S21" s="60"/>
      <c r="T21" s="60"/>
      <c r="U21" s="60">
        <v>377218100</v>
      </c>
    </row>
    <row r="22" spans="1:21">
      <c r="A22" s="152" t="s">
        <v>1618</v>
      </c>
      <c r="B22" s="60"/>
      <c r="C22" s="60">
        <v>0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>
        <v>0</v>
      </c>
    </row>
    <row r="23" spans="1:21">
      <c r="A23" s="251" t="s">
        <v>76</v>
      </c>
      <c r="B23" s="60"/>
      <c r="C23" s="60">
        <v>0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>
        <v>0</v>
      </c>
    </row>
    <row r="24" spans="1:21">
      <c r="A24" s="152" t="s">
        <v>74</v>
      </c>
      <c r="B24" s="60"/>
      <c r="C24" s="60"/>
      <c r="D24" s="60">
        <v>-10985000</v>
      </c>
      <c r="E24" s="60">
        <v>-5000</v>
      </c>
      <c r="F24" s="60">
        <v>-10000</v>
      </c>
      <c r="G24" s="60">
        <v>-1000000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>
        <v>-12000000</v>
      </c>
    </row>
    <row r="25" spans="1:21">
      <c r="A25" s="251" t="s">
        <v>1659</v>
      </c>
      <c r="B25" s="60"/>
      <c r="C25" s="60"/>
      <c r="D25" s="60">
        <v>-10985000</v>
      </c>
      <c r="E25" s="60">
        <v>-5000</v>
      </c>
      <c r="F25" s="60">
        <v>-10000</v>
      </c>
      <c r="G25" s="60">
        <v>-1000000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>
        <v>-12000000</v>
      </c>
    </row>
    <row r="26" spans="1:21">
      <c r="A26" s="152" t="s">
        <v>79</v>
      </c>
      <c r="B26" s="60"/>
      <c r="C26" s="60"/>
      <c r="D26" s="60">
        <v>-107000</v>
      </c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>
        <v>-107000</v>
      </c>
    </row>
    <row r="27" spans="1:21">
      <c r="A27" s="251" t="s">
        <v>1708</v>
      </c>
      <c r="B27" s="60"/>
      <c r="C27" s="60"/>
      <c r="D27" s="60">
        <v>-107000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>
        <v>-107000</v>
      </c>
    </row>
    <row r="28" spans="1:21">
      <c r="A28" s="152" t="s">
        <v>1658</v>
      </c>
      <c r="B28" s="60"/>
      <c r="C28" s="60"/>
      <c r="D28" s="60"/>
      <c r="E28" s="60"/>
      <c r="F28" s="60"/>
      <c r="G28" s="60"/>
      <c r="H28" s="60"/>
      <c r="I28" s="60"/>
      <c r="J28" s="60">
        <v>6142000</v>
      </c>
      <c r="K28" s="60"/>
      <c r="L28" s="60"/>
      <c r="M28" s="60">
        <v>713400</v>
      </c>
      <c r="N28" s="60">
        <v>3950300</v>
      </c>
      <c r="O28" s="60"/>
      <c r="P28" s="60">
        <v>3409700</v>
      </c>
      <c r="Q28" s="60"/>
      <c r="R28" s="60"/>
      <c r="S28" s="60"/>
      <c r="T28" s="60"/>
      <c r="U28" s="60">
        <v>14215400</v>
      </c>
    </row>
    <row r="29" spans="1:21">
      <c r="A29" s="251" t="s">
        <v>1659</v>
      </c>
      <c r="B29" s="60"/>
      <c r="C29" s="60"/>
      <c r="D29" s="60"/>
      <c r="E29" s="60"/>
      <c r="F29" s="60"/>
      <c r="G29" s="60"/>
      <c r="H29" s="60"/>
      <c r="I29" s="60"/>
      <c r="J29" s="60">
        <v>6142000</v>
      </c>
      <c r="K29" s="60"/>
      <c r="L29" s="60"/>
      <c r="M29" s="60">
        <v>713400</v>
      </c>
      <c r="N29" s="60">
        <v>3950300</v>
      </c>
      <c r="O29" s="60"/>
      <c r="P29" s="60">
        <v>3409700</v>
      </c>
      <c r="Q29" s="60"/>
      <c r="R29" s="60"/>
      <c r="S29" s="60"/>
      <c r="T29" s="60"/>
      <c r="U29" s="60">
        <v>14215400</v>
      </c>
    </row>
    <row r="30" spans="1:21">
      <c r="A30" s="152" t="s">
        <v>1795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>
        <v>205409000</v>
      </c>
      <c r="M30" s="60">
        <v>4474600</v>
      </c>
      <c r="N30" s="60"/>
      <c r="O30" s="60"/>
      <c r="P30" s="60">
        <v>1898300</v>
      </c>
      <c r="Q30" s="60">
        <v>160252800</v>
      </c>
      <c r="R30" s="60"/>
      <c r="S30" s="60"/>
      <c r="T30" s="60"/>
      <c r="U30" s="60">
        <v>372034700</v>
      </c>
    </row>
    <row r="31" spans="1:21">
      <c r="A31" s="251" t="s">
        <v>1796</v>
      </c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>
        <v>205409000</v>
      </c>
      <c r="M31" s="60">
        <v>4474600</v>
      </c>
      <c r="N31" s="60"/>
      <c r="O31" s="60"/>
      <c r="P31" s="60">
        <v>1898300</v>
      </c>
      <c r="Q31" s="60">
        <v>160252800</v>
      </c>
      <c r="R31" s="60"/>
      <c r="S31" s="60"/>
      <c r="T31" s="60"/>
      <c r="U31" s="60">
        <v>372034700</v>
      </c>
    </row>
    <row r="32" spans="1:21">
      <c r="A32" s="152" t="s">
        <v>1617</v>
      </c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>
        <v>450000</v>
      </c>
      <c r="R32" s="87"/>
      <c r="S32" s="87"/>
      <c r="T32" s="87"/>
      <c r="U32" s="87">
        <v>450000</v>
      </c>
    </row>
    <row r="33" spans="1:21">
      <c r="A33" s="251" t="s">
        <v>76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>
        <v>450000</v>
      </c>
      <c r="R33" s="60"/>
      <c r="S33" s="60"/>
      <c r="T33" s="60"/>
      <c r="U33" s="60">
        <v>450000</v>
      </c>
    </row>
    <row r="34" spans="1:21">
      <c r="A34" s="152" t="s">
        <v>1766</v>
      </c>
      <c r="B34" s="87"/>
      <c r="C34" s="87">
        <v>0</v>
      </c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>
        <v>0</v>
      </c>
    </row>
    <row r="35" spans="1:21">
      <c r="A35" s="251" t="s">
        <v>1767</v>
      </c>
      <c r="B35" s="87"/>
      <c r="C35" s="87">
        <v>0</v>
      </c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>
        <v>0</v>
      </c>
    </row>
    <row r="36" spans="1:21">
      <c r="A36" s="152" t="s">
        <v>1707</v>
      </c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>
        <v>2625000</v>
      </c>
      <c r="R36" s="87"/>
      <c r="S36" s="87"/>
      <c r="T36" s="87"/>
      <c r="U36" s="87">
        <v>2625000</v>
      </c>
    </row>
    <row r="37" spans="1:21">
      <c r="A37" s="251" t="s">
        <v>1708</v>
      </c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>
        <v>2625000</v>
      </c>
      <c r="R37" s="60"/>
      <c r="S37" s="60"/>
      <c r="T37" s="60"/>
      <c r="U37" s="60">
        <v>2625000</v>
      </c>
    </row>
    <row r="38" spans="1:21">
      <c r="A38" s="43" t="s">
        <v>925</v>
      </c>
      <c r="B38" s="60"/>
      <c r="C38" s="60">
        <v>-9000000</v>
      </c>
      <c r="D38" s="60"/>
      <c r="E38" s="60"/>
      <c r="F38" s="60">
        <v>-19780800</v>
      </c>
      <c r="G38" s="60">
        <v>-11453000</v>
      </c>
      <c r="H38" s="60"/>
      <c r="I38" s="60">
        <v>-921548500</v>
      </c>
      <c r="J38" s="60">
        <v>847609400</v>
      </c>
      <c r="K38" s="60">
        <v>25013500</v>
      </c>
      <c r="L38" s="60"/>
      <c r="M38" s="60">
        <v>27817300</v>
      </c>
      <c r="N38" s="60">
        <v>14611100</v>
      </c>
      <c r="O38" s="60"/>
      <c r="P38" s="60">
        <v>177349100</v>
      </c>
      <c r="Q38" s="60">
        <v>278947300</v>
      </c>
      <c r="R38" s="60"/>
      <c r="S38" s="60"/>
      <c r="T38" s="60"/>
      <c r="U38" s="60">
        <v>409565400</v>
      </c>
    </row>
    <row r="39" spans="1:21">
      <c r="A39" s="152" t="s">
        <v>929</v>
      </c>
      <c r="B39" s="60"/>
      <c r="C39" s="60">
        <v>-9000000</v>
      </c>
      <c r="D39" s="60"/>
      <c r="E39" s="60"/>
      <c r="F39" s="60">
        <v>-2006000</v>
      </c>
      <c r="G39" s="60">
        <v>-11453000</v>
      </c>
      <c r="H39" s="60"/>
      <c r="I39" s="60">
        <v>-280041000</v>
      </c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>
        <v>-302500000</v>
      </c>
    </row>
    <row r="40" spans="1:21">
      <c r="A40" s="251" t="s">
        <v>930</v>
      </c>
      <c r="B40" s="60"/>
      <c r="C40" s="60">
        <v>-9000000</v>
      </c>
      <c r="D40" s="60"/>
      <c r="E40" s="60"/>
      <c r="F40" s="60">
        <v>-2006000</v>
      </c>
      <c r="G40" s="60">
        <v>-11453000</v>
      </c>
      <c r="H40" s="60"/>
      <c r="I40" s="60">
        <v>-280041000</v>
      </c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>
        <v>-302500000</v>
      </c>
    </row>
    <row r="41" spans="1:21">
      <c r="A41" s="152" t="s">
        <v>1172</v>
      </c>
      <c r="B41" s="60"/>
      <c r="C41" s="60"/>
      <c r="D41" s="60"/>
      <c r="E41" s="60"/>
      <c r="F41" s="60">
        <v>-11948800</v>
      </c>
      <c r="G41" s="60"/>
      <c r="H41" s="60"/>
      <c r="I41" s="60">
        <v>-1037000</v>
      </c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>
        <v>-12985800</v>
      </c>
    </row>
    <row r="42" spans="1:21">
      <c r="A42" s="251" t="s">
        <v>1173</v>
      </c>
      <c r="B42" s="60"/>
      <c r="C42" s="60"/>
      <c r="D42" s="60"/>
      <c r="E42" s="60"/>
      <c r="F42" s="60">
        <v>-11948800</v>
      </c>
      <c r="G42" s="60"/>
      <c r="H42" s="60"/>
      <c r="I42" s="60">
        <v>-1037000</v>
      </c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>
        <v>-12985800</v>
      </c>
    </row>
    <row r="43" spans="1:21">
      <c r="A43" s="152" t="s">
        <v>1359</v>
      </c>
      <c r="B43" s="60"/>
      <c r="C43" s="60"/>
      <c r="D43" s="60"/>
      <c r="E43" s="60"/>
      <c r="F43" s="60">
        <v>-5826000</v>
      </c>
      <c r="G43" s="60"/>
      <c r="H43" s="60"/>
      <c r="I43" s="60">
        <v>-194470500</v>
      </c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>
        <v>-200296500</v>
      </c>
    </row>
    <row r="44" spans="1:21">
      <c r="A44" s="251" t="s">
        <v>1360</v>
      </c>
      <c r="B44" s="60"/>
      <c r="C44" s="60"/>
      <c r="D44" s="60"/>
      <c r="E44" s="60"/>
      <c r="F44" s="60">
        <v>-5826000</v>
      </c>
      <c r="G44" s="60"/>
      <c r="H44" s="60"/>
      <c r="I44" s="60">
        <v>-194470500</v>
      </c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>
        <v>-200296500</v>
      </c>
    </row>
    <row r="45" spans="1:21">
      <c r="A45" s="152" t="s">
        <v>928</v>
      </c>
      <c r="B45" s="60"/>
      <c r="C45" s="60"/>
      <c r="D45" s="60"/>
      <c r="E45" s="60"/>
      <c r="F45" s="60"/>
      <c r="G45" s="60"/>
      <c r="H45" s="60"/>
      <c r="I45" s="60"/>
      <c r="J45" s="60">
        <v>288699400</v>
      </c>
      <c r="K45" s="60">
        <v>17408600</v>
      </c>
      <c r="L45" s="60"/>
      <c r="M45" s="60">
        <v>17708200</v>
      </c>
      <c r="N45" s="60">
        <v>11363100</v>
      </c>
      <c r="O45" s="60"/>
      <c r="P45" s="60">
        <v>137586600</v>
      </c>
      <c r="Q45" s="60">
        <v>11875300</v>
      </c>
      <c r="R45" s="60"/>
      <c r="S45" s="60"/>
      <c r="T45" s="60"/>
      <c r="U45" s="60">
        <v>484641200</v>
      </c>
    </row>
    <row r="46" spans="1:21">
      <c r="A46" s="251" t="s">
        <v>930</v>
      </c>
      <c r="B46" s="60"/>
      <c r="C46" s="60"/>
      <c r="D46" s="60"/>
      <c r="E46" s="60"/>
      <c r="F46" s="60"/>
      <c r="G46" s="60"/>
      <c r="H46" s="60"/>
      <c r="I46" s="60"/>
      <c r="J46" s="60">
        <v>288699400</v>
      </c>
      <c r="K46" s="60">
        <v>17408600</v>
      </c>
      <c r="L46" s="60"/>
      <c r="M46" s="60">
        <v>17708200</v>
      </c>
      <c r="N46" s="60">
        <v>11363100</v>
      </c>
      <c r="O46" s="60"/>
      <c r="P46" s="60">
        <v>137586600</v>
      </c>
      <c r="Q46" s="60">
        <v>11875300</v>
      </c>
      <c r="R46" s="60"/>
      <c r="S46" s="60"/>
      <c r="T46" s="60"/>
      <c r="U46" s="60">
        <v>484641200</v>
      </c>
    </row>
    <row r="47" spans="1:21">
      <c r="A47" s="152" t="s">
        <v>1171</v>
      </c>
      <c r="B47" s="60"/>
      <c r="C47" s="60"/>
      <c r="D47" s="60"/>
      <c r="E47" s="60"/>
      <c r="F47" s="60"/>
      <c r="G47" s="60"/>
      <c r="H47" s="60"/>
      <c r="I47" s="60"/>
      <c r="J47" s="60">
        <v>30948100</v>
      </c>
      <c r="K47" s="60">
        <v>7604900</v>
      </c>
      <c r="L47" s="60"/>
      <c r="M47" s="60">
        <v>2869100</v>
      </c>
      <c r="N47" s="60">
        <v>845500</v>
      </c>
      <c r="O47" s="60"/>
      <c r="P47" s="60">
        <v>34550000</v>
      </c>
      <c r="Q47" s="60">
        <v>67935200</v>
      </c>
      <c r="R47" s="60"/>
      <c r="S47" s="60"/>
      <c r="T47" s="60"/>
      <c r="U47" s="60">
        <v>144752800</v>
      </c>
    </row>
    <row r="48" spans="1:21">
      <c r="A48" s="251" t="s">
        <v>1173</v>
      </c>
      <c r="B48" s="60"/>
      <c r="C48" s="60"/>
      <c r="D48" s="60"/>
      <c r="E48" s="60"/>
      <c r="F48" s="60"/>
      <c r="G48" s="60"/>
      <c r="H48" s="60"/>
      <c r="I48" s="60"/>
      <c r="J48" s="60">
        <v>30948100</v>
      </c>
      <c r="K48" s="60">
        <v>7604900</v>
      </c>
      <c r="L48" s="60"/>
      <c r="M48" s="60">
        <v>2869100</v>
      </c>
      <c r="N48" s="60">
        <v>845500</v>
      </c>
      <c r="O48" s="60"/>
      <c r="P48" s="60">
        <v>34550000</v>
      </c>
      <c r="Q48" s="60">
        <v>67935200</v>
      </c>
      <c r="R48" s="60"/>
      <c r="S48" s="60"/>
      <c r="T48" s="60"/>
      <c r="U48" s="60">
        <v>144752800</v>
      </c>
    </row>
    <row r="49" spans="1:21">
      <c r="A49" s="152" t="s">
        <v>1275</v>
      </c>
      <c r="B49" s="60"/>
      <c r="C49" s="60"/>
      <c r="D49" s="60"/>
      <c r="E49" s="60"/>
      <c r="F49" s="60"/>
      <c r="G49" s="60"/>
      <c r="H49" s="60"/>
      <c r="I49" s="60"/>
      <c r="J49" s="60">
        <v>440000000</v>
      </c>
      <c r="K49" s="60"/>
      <c r="L49" s="60"/>
      <c r="M49" s="60">
        <v>6000000</v>
      </c>
      <c r="N49" s="60"/>
      <c r="O49" s="60"/>
      <c r="P49" s="60"/>
      <c r="Q49" s="60">
        <v>771900</v>
      </c>
      <c r="R49" s="60"/>
      <c r="S49" s="60"/>
      <c r="T49" s="60"/>
      <c r="U49" s="60">
        <v>446771900</v>
      </c>
    </row>
    <row r="50" spans="1:21">
      <c r="A50" s="251" t="s">
        <v>1277</v>
      </c>
      <c r="B50" s="60"/>
      <c r="C50" s="60"/>
      <c r="D50" s="60"/>
      <c r="E50" s="60"/>
      <c r="F50" s="60"/>
      <c r="G50" s="60"/>
      <c r="H50" s="60"/>
      <c r="I50" s="60"/>
      <c r="J50" s="60">
        <v>440000000</v>
      </c>
      <c r="K50" s="60"/>
      <c r="L50" s="60"/>
      <c r="M50" s="60">
        <v>6000000</v>
      </c>
      <c r="N50" s="60"/>
      <c r="O50" s="60"/>
      <c r="P50" s="60"/>
      <c r="Q50" s="60">
        <v>771900</v>
      </c>
      <c r="R50" s="60"/>
      <c r="S50" s="60"/>
      <c r="T50" s="60"/>
      <c r="U50" s="60">
        <v>446771900</v>
      </c>
    </row>
    <row r="51" spans="1:21">
      <c r="A51" s="152" t="s">
        <v>1358</v>
      </c>
      <c r="B51" s="60"/>
      <c r="C51" s="60"/>
      <c r="D51" s="60"/>
      <c r="E51" s="60"/>
      <c r="F51" s="60"/>
      <c r="G51" s="60"/>
      <c r="H51" s="60"/>
      <c r="I51" s="60"/>
      <c r="J51" s="60">
        <v>87924900</v>
      </c>
      <c r="K51" s="60"/>
      <c r="L51" s="60"/>
      <c r="M51" s="60">
        <v>1240000</v>
      </c>
      <c r="N51" s="60">
        <v>2402500</v>
      </c>
      <c r="O51" s="60"/>
      <c r="P51" s="60">
        <v>2450800</v>
      </c>
      <c r="Q51" s="60">
        <v>182872800</v>
      </c>
      <c r="R51" s="60"/>
      <c r="S51" s="60"/>
      <c r="T51" s="60"/>
      <c r="U51" s="60">
        <v>276891000</v>
      </c>
    </row>
    <row r="52" spans="1:21">
      <c r="A52" s="251" t="s">
        <v>1360</v>
      </c>
      <c r="B52" s="60"/>
      <c r="C52" s="60"/>
      <c r="D52" s="60"/>
      <c r="E52" s="60"/>
      <c r="F52" s="60"/>
      <c r="G52" s="60"/>
      <c r="H52" s="60"/>
      <c r="I52" s="60"/>
      <c r="J52" s="60">
        <v>87924900</v>
      </c>
      <c r="K52" s="60"/>
      <c r="L52" s="60"/>
      <c r="M52" s="60">
        <v>1240000</v>
      </c>
      <c r="N52" s="60">
        <v>2402500</v>
      </c>
      <c r="O52" s="60"/>
      <c r="P52" s="60">
        <v>2450800</v>
      </c>
      <c r="Q52" s="60">
        <v>182872800</v>
      </c>
      <c r="R52" s="60"/>
      <c r="S52" s="60"/>
      <c r="T52" s="60"/>
      <c r="U52" s="60">
        <v>276891000</v>
      </c>
    </row>
    <row r="53" spans="1:21">
      <c r="A53" s="152" t="s">
        <v>1550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>
        <v>9604300</v>
      </c>
      <c r="R53" s="60"/>
      <c r="S53" s="60"/>
      <c r="T53" s="60"/>
      <c r="U53" s="60">
        <v>9604300</v>
      </c>
    </row>
    <row r="54" spans="1:21">
      <c r="A54" s="251" t="s">
        <v>1552</v>
      </c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>
        <v>9604300</v>
      </c>
      <c r="R54" s="60"/>
      <c r="S54" s="60"/>
      <c r="T54" s="60"/>
      <c r="U54" s="60">
        <v>9604300</v>
      </c>
    </row>
    <row r="55" spans="1:21">
      <c r="A55" s="152" t="s">
        <v>1595</v>
      </c>
      <c r="B55" s="60"/>
      <c r="C55" s="60"/>
      <c r="D55" s="60"/>
      <c r="E55" s="60"/>
      <c r="F55" s="60"/>
      <c r="G55" s="60"/>
      <c r="H55" s="60"/>
      <c r="I55" s="60"/>
      <c r="J55" s="60">
        <v>37000</v>
      </c>
      <c r="K55" s="60"/>
      <c r="L55" s="60"/>
      <c r="M55" s="60"/>
      <c r="N55" s="60"/>
      <c r="O55" s="60"/>
      <c r="P55" s="60">
        <v>2761700</v>
      </c>
      <c r="Q55" s="60">
        <v>5177800</v>
      </c>
      <c r="R55" s="60"/>
      <c r="S55" s="60"/>
      <c r="T55" s="60"/>
      <c r="U55" s="60">
        <v>7976500</v>
      </c>
    </row>
    <row r="56" spans="1:21">
      <c r="A56" s="251" t="s">
        <v>1597</v>
      </c>
      <c r="B56" s="60"/>
      <c r="C56" s="60"/>
      <c r="D56" s="60"/>
      <c r="E56" s="60"/>
      <c r="F56" s="60"/>
      <c r="G56" s="60"/>
      <c r="H56" s="60"/>
      <c r="I56" s="60"/>
      <c r="J56" s="60">
        <v>37000</v>
      </c>
      <c r="K56" s="60"/>
      <c r="L56" s="60"/>
      <c r="M56" s="60"/>
      <c r="N56" s="60"/>
      <c r="O56" s="60"/>
      <c r="P56" s="60">
        <v>2761700</v>
      </c>
      <c r="Q56" s="60">
        <v>5177800</v>
      </c>
      <c r="R56" s="60"/>
      <c r="S56" s="60"/>
      <c r="T56" s="60"/>
      <c r="U56" s="60">
        <v>7976500</v>
      </c>
    </row>
    <row r="57" spans="1:21">
      <c r="A57" s="152" t="s">
        <v>1605</v>
      </c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>
        <v>710000</v>
      </c>
      <c r="R57" s="60"/>
      <c r="S57" s="60"/>
      <c r="T57" s="60"/>
      <c r="U57" s="60">
        <v>710000</v>
      </c>
    </row>
    <row r="58" spans="1:21">
      <c r="A58" s="251" t="s">
        <v>1607</v>
      </c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>
        <v>710000</v>
      </c>
      <c r="R58" s="60"/>
      <c r="S58" s="60"/>
      <c r="T58" s="60"/>
      <c r="U58" s="60">
        <v>710000</v>
      </c>
    </row>
    <row r="59" spans="1:21">
      <c r="A59" s="152" t="s">
        <v>1276</v>
      </c>
      <c r="B59" s="87"/>
      <c r="C59" s="87"/>
      <c r="D59" s="87"/>
      <c r="E59" s="87"/>
      <c r="F59" s="87"/>
      <c r="G59" s="87"/>
      <c r="H59" s="87"/>
      <c r="I59" s="87">
        <v>-446000000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>
        <v>-446000000</v>
      </c>
    </row>
    <row r="60" spans="1:21">
      <c r="A60" s="251" t="s">
        <v>1277</v>
      </c>
      <c r="B60" s="60"/>
      <c r="C60" s="60"/>
      <c r="D60" s="60"/>
      <c r="E60" s="60"/>
      <c r="F60" s="60"/>
      <c r="G60" s="60"/>
      <c r="H60" s="60"/>
      <c r="I60" s="60">
        <v>-446000000</v>
      </c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>
        <v>-446000000</v>
      </c>
    </row>
    <row r="61" spans="1:21">
      <c r="A61" s="43" t="s">
        <v>414</v>
      </c>
      <c r="B61" s="60"/>
      <c r="C61" s="60">
        <v>-22560800</v>
      </c>
      <c r="D61" s="60">
        <v>-7945000</v>
      </c>
      <c r="E61" s="60"/>
      <c r="F61" s="60">
        <v>-57125400</v>
      </c>
      <c r="G61" s="60"/>
      <c r="H61" s="60">
        <v>-40000000</v>
      </c>
      <c r="I61" s="60">
        <v>-1039500</v>
      </c>
      <c r="J61" s="60">
        <v>237513000</v>
      </c>
      <c r="K61" s="60"/>
      <c r="L61" s="60"/>
      <c r="M61" s="60">
        <v>19441400</v>
      </c>
      <c r="N61" s="60">
        <v>9627000</v>
      </c>
      <c r="O61" s="60"/>
      <c r="P61" s="60">
        <v>105922400</v>
      </c>
      <c r="Q61" s="60">
        <v>21853900</v>
      </c>
      <c r="R61" s="60"/>
      <c r="S61" s="60"/>
      <c r="T61" s="60"/>
      <c r="U61" s="60">
        <v>265687000</v>
      </c>
    </row>
    <row r="62" spans="1:21">
      <c r="A62" s="152" t="s">
        <v>419</v>
      </c>
      <c r="B62" s="60"/>
      <c r="C62" s="60">
        <v>-2756500</v>
      </c>
      <c r="D62" s="60">
        <v>-7945000</v>
      </c>
      <c r="E62" s="60"/>
      <c r="F62" s="60">
        <v>-1418500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>
        <v>-12120000</v>
      </c>
    </row>
    <row r="63" spans="1:21">
      <c r="A63" s="251" t="s">
        <v>420</v>
      </c>
      <c r="B63" s="60"/>
      <c r="C63" s="60">
        <v>-2756500</v>
      </c>
      <c r="D63" s="60">
        <v>-7945000</v>
      </c>
      <c r="E63" s="60"/>
      <c r="F63" s="60">
        <v>-1418500</v>
      </c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>
        <v>-12120000</v>
      </c>
    </row>
    <row r="64" spans="1:21">
      <c r="A64" s="152" t="s">
        <v>537</v>
      </c>
      <c r="B64" s="60"/>
      <c r="C64" s="60"/>
      <c r="D64" s="60"/>
      <c r="E64" s="60"/>
      <c r="F64" s="60">
        <v>-6200</v>
      </c>
      <c r="G64" s="60"/>
      <c r="H64" s="60"/>
      <c r="I64" s="60">
        <v>-989500</v>
      </c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>
        <v>-995700</v>
      </c>
    </row>
    <row r="65" spans="1:21">
      <c r="A65" s="251" t="s">
        <v>538</v>
      </c>
      <c r="B65" s="60"/>
      <c r="C65" s="60"/>
      <c r="D65" s="60"/>
      <c r="E65" s="60"/>
      <c r="F65" s="60">
        <v>-6200</v>
      </c>
      <c r="G65" s="60"/>
      <c r="H65" s="60"/>
      <c r="I65" s="60">
        <v>-989500</v>
      </c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>
        <v>-995700</v>
      </c>
    </row>
    <row r="66" spans="1:21">
      <c r="A66" s="152" t="s">
        <v>596</v>
      </c>
      <c r="B66" s="60"/>
      <c r="C66" s="60">
        <v>-11500000</v>
      </c>
      <c r="D66" s="60"/>
      <c r="E66" s="60"/>
      <c r="F66" s="60">
        <v>-1757700</v>
      </c>
      <c r="G66" s="60"/>
      <c r="H66" s="60"/>
      <c r="I66" s="60">
        <v>-50000</v>
      </c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>
        <v>-13307700</v>
      </c>
    </row>
    <row r="67" spans="1:21">
      <c r="A67" s="251" t="s">
        <v>597</v>
      </c>
      <c r="B67" s="60"/>
      <c r="C67" s="60">
        <v>-11500000</v>
      </c>
      <c r="D67" s="60"/>
      <c r="E67" s="60"/>
      <c r="F67" s="60">
        <v>-1757700</v>
      </c>
      <c r="G67" s="60"/>
      <c r="H67" s="60"/>
      <c r="I67" s="60">
        <v>-50000</v>
      </c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>
        <v>-13307700</v>
      </c>
    </row>
    <row r="68" spans="1:21">
      <c r="A68" s="152" t="s">
        <v>649</v>
      </c>
      <c r="B68" s="60"/>
      <c r="C68" s="60">
        <v>-8304300</v>
      </c>
      <c r="D68" s="60"/>
      <c r="E68" s="60"/>
      <c r="F68" s="60">
        <v>-50638000</v>
      </c>
      <c r="G68" s="60"/>
      <c r="H68" s="60">
        <v>-40000000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>
        <v>-98942300</v>
      </c>
    </row>
    <row r="69" spans="1:21">
      <c r="A69" s="251" t="s">
        <v>650</v>
      </c>
      <c r="B69" s="60"/>
      <c r="C69" s="60">
        <v>-8304300</v>
      </c>
      <c r="D69" s="60"/>
      <c r="E69" s="60"/>
      <c r="F69" s="60">
        <v>-50638000</v>
      </c>
      <c r="G69" s="60"/>
      <c r="H69" s="60">
        <v>-40000000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>
        <v>-98942300</v>
      </c>
    </row>
    <row r="70" spans="1:21">
      <c r="A70" s="152" t="s">
        <v>60</v>
      </c>
      <c r="B70" s="60"/>
      <c r="C70" s="60"/>
      <c r="D70" s="60"/>
      <c r="E70" s="60"/>
      <c r="F70" s="60">
        <v>-3305000</v>
      </c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>
        <v>-3305000</v>
      </c>
    </row>
    <row r="71" spans="1:21">
      <c r="A71" s="251" t="s">
        <v>869</v>
      </c>
      <c r="B71" s="60"/>
      <c r="C71" s="60"/>
      <c r="D71" s="60"/>
      <c r="E71" s="60"/>
      <c r="F71" s="60">
        <v>-3305000</v>
      </c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>
        <v>-3305000</v>
      </c>
    </row>
    <row r="72" spans="1:21">
      <c r="A72" s="152" t="s">
        <v>418</v>
      </c>
      <c r="B72" s="60"/>
      <c r="C72" s="60"/>
      <c r="D72" s="60"/>
      <c r="E72" s="60"/>
      <c r="F72" s="60"/>
      <c r="G72" s="60"/>
      <c r="H72" s="60"/>
      <c r="I72" s="60"/>
      <c r="J72" s="60">
        <v>102030000</v>
      </c>
      <c r="K72" s="60"/>
      <c r="L72" s="60"/>
      <c r="M72" s="60">
        <v>16226000</v>
      </c>
      <c r="N72" s="60">
        <v>2021100</v>
      </c>
      <c r="O72" s="60"/>
      <c r="P72" s="60">
        <v>17246600</v>
      </c>
      <c r="Q72" s="60">
        <v>58000</v>
      </c>
      <c r="R72" s="60"/>
      <c r="S72" s="60"/>
      <c r="T72" s="60"/>
      <c r="U72" s="60">
        <v>137581700</v>
      </c>
    </row>
    <row r="73" spans="1:21">
      <c r="A73" s="251" t="s">
        <v>420</v>
      </c>
      <c r="B73" s="60"/>
      <c r="C73" s="60"/>
      <c r="D73" s="60"/>
      <c r="E73" s="60"/>
      <c r="F73" s="60"/>
      <c r="G73" s="60"/>
      <c r="H73" s="60"/>
      <c r="I73" s="60"/>
      <c r="J73" s="60">
        <v>102030000</v>
      </c>
      <c r="K73" s="60"/>
      <c r="L73" s="60"/>
      <c r="M73" s="60">
        <v>16226000</v>
      </c>
      <c r="N73" s="60">
        <v>2021100</v>
      </c>
      <c r="O73" s="60"/>
      <c r="P73" s="60">
        <v>17246600</v>
      </c>
      <c r="Q73" s="60">
        <v>58000</v>
      </c>
      <c r="R73" s="60"/>
      <c r="S73" s="60"/>
      <c r="T73" s="60"/>
      <c r="U73" s="60">
        <v>137581700</v>
      </c>
    </row>
    <row r="74" spans="1:21">
      <c r="A74" s="152" t="s">
        <v>536</v>
      </c>
      <c r="B74" s="60"/>
      <c r="C74" s="60"/>
      <c r="D74" s="60"/>
      <c r="E74" s="60"/>
      <c r="F74" s="60"/>
      <c r="G74" s="60"/>
      <c r="H74" s="60"/>
      <c r="I74" s="60"/>
      <c r="J74" s="60">
        <v>9833000</v>
      </c>
      <c r="K74" s="60"/>
      <c r="L74" s="60"/>
      <c r="M74" s="60">
        <v>174200</v>
      </c>
      <c r="N74" s="60">
        <v>710100</v>
      </c>
      <c r="O74" s="60"/>
      <c r="P74" s="60">
        <v>1321600</v>
      </c>
      <c r="Q74" s="60">
        <v>15301500</v>
      </c>
      <c r="R74" s="60"/>
      <c r="S74" s="60"/>
      <c r="T74" s="60"/>
      <c r="U74" s="60">
        <v>27340400</v>
      </c>
    </row>
    <row r="75" spans="1:21">
      <c r="A75" s="251" t="s">
        <v>538</v>
      </c>
      <c r="B75" s="60"/>
      <c r="C75" s="60"/>
      <c r="D75" s="60"/>
      <c r="E75" s="60"/>
      <c r="F75" s="60"/>
      <c r="G75" s="60"/>
      <c r="H75" s="60"/>
      <c r="I75" s="60"/>
      <c r="J75" s="60">
        <v>9833000</v>
      </c>
      <c r="K75" s="60"/>
      <c r="L75" s="60"/>
      <c r="M75" s="60">
        <v>174200</v>
      </c>
      <c r="N75" s="60">
        <v>710100</v>
      </c>
      <c r="O75" s="60"/>
      <c r="P75" s="60">
        <v>1321600</v>
      </c>
      <c r="Q75" s="60">
        <v>15301500</v>
      </c>
      <c r="R75" s="60"/>
      <c r="S75" s="60"/>
      <c r="T75" s="60"/>
      <c r="U75" s="60">
        <v>27340400</v>
      </c>
    </row>
    <row r="76" spans="1:21">
      <c r="A76" s="152" t="s">
        <v>133</v>
      </c>
      <c r="B76" s="60"/>
      <c r="C76" s="60"/>
      <c r="D76" s="60"/>
      <c r="E76" s="60"/>
      <c r="F76" s="60"/>
      <c r="G76" s="60"/>
      <c r="H76" s="60"/>
      <c r="I76" s="60"/>
      <c r="J76" s="60">
        <v>34640000</v>
      </c>
      <c r="K76" s="60"/>
      <c r="L76" s="60"/>
      <c r="M76" s="60">
        <v>730500</v>
      </c>
      <c r="N76" s="60">
        <v>437100</v>
      </c>
      <c r="O76" s="60"/>
      <c r="P76" s="60">
        <v>13719500</v>
      </c>
      <c r="Q76" s="60"/>
      <c r="R76" s="60"/>
      <c r="S76" s="60"/>
      <c r="T76" s="60"/>
      <c r="U76" s="60">
        <v>49527100</v>
      </c>
    </row>
    <row r="77" spans="1:21">
      <c r="A77" s="251" t="s">
        <v>597</v>
      </c>
      <c r="B77" s="60"/>
      <c r="C77" s="60"/>
      <c r="D77" s="60"/>
      <c r="E77" s="60"/>
      <c r="F77" s="60"/>
      <c r="G77" s="60"/>
      <c r="H77" s="60"/>
      <c r="I77" s="60"/>
      <c r="J77" s="60">
        <v>34640000</v>
      </c>
      <c r="K77" s="60"/>
      <c r="L77" s="60"/>
      <c r="M77" s="60">
        <v>730500</v>
      </c>
      <c r="N77" s="60">
        <v>437100</v>
      </c>
      <c r="O77" s="60"/>
      <c r="P77" s="60">
        <v>13719500</v>
      </c>
      <c r="Q77" s="60"/>
      <c r="R77" s="60"/>
      <c r="S77" s="60"/>
      <c r="T77" s="60"/>
      <c r="U77" s="60">
        <v>49527100</v>
      </c>
    </row>
    <row r="78" spans="1:21">
      <c r="A78" s="152" t="s">
        <v>136</v>
      </c>
      <c r="B78" s="60"/>
      <c r="C78" s="60"/>
      <c r="D78" s="60"/>
      <c r="E78" s="60"/>
      <c r="F78" s="60"/>
      <c r="G78" s="60"/>
      <c r="H78" s="60"/>
      <c r="I78" s="60"/>
      <c r="J78" s="60">
        <v>54741000</v>
      </c>
      <c r="K78" s="60"/>
      <c r="L78" s="60"/>
      <c r="M78" s="60">
        <v>557000</v>
      </c>
      <c r="N78" s="60">
        <v>5346600</v>
      </c>
      <c r="O78" s="60"/>
      <c r="P78" s="60">
        <v>49589900</v>
      </c>
      <c r="Q78" s="60">
        <v>1642100</v>
      </c>
      <c r="R78" s="60"/>
      <c r="S78" s="60"/>
      <c r="T78" s="60"/>
      <c r="U78" s="60">
        <v>111876600</v>
      </c>
    </row>
    <row r="79" spans="1:21">
      <c r="A79" s="251" t="s">
        <v>650</v>
      </c>
      <c r="B79" s="60"/>
      <c r="C79" s="60"/>
      <c r="D79" s="60"/>
      <c r="E79" s="60"/>
      <c r="F79" s="60"/>
      <c r="G79" s="60"/>
      <c r="H79" s="60"/>
      <c r="I79" s="60"/>
      <c r="J79" s="60">
        <v>54741000</v>
      </c>
      <c r="K79" s="60"/>
      <c r="L79" s="60"/>
      <c r="M79" s="60">
        <v>557000</v>
      </c>
      <c r="N79" s="60">
        <v>5346600</v>
      </c>
      <c r="O79" s="60"/>
      <c r="P79" s="60">
        <v>49589900</v>
      </c>
      <c r="Q79" s="60">
        <v>1642100</v>
      </c>
      <c r="R79" s="60"/>
      <c r="S79" s="60"/>
      <c r="T79" s="60"/>
      <c r="U79" s="60">
        <v>111876600</v>
      </c>
    </row>
    <row r="80" spans="1:21">
      <c r="A80" s="152" t="s">
        <v>767</v>
      </c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>
        <v>1797300</v>
      </c>
      <c r="Q80" s="60">
        <v>73100</v>
      </c>
      <c r="R80" s="60"/>
      <c r="S80" s="60"/>
      <c r="T80" s="60"/>
      <c r="U80" s="60">
        <v>1870400</v>
      </c>
    </row>
    <row r="81" spans="1:21">
      <c r="A81" s="251" t="s">
        <v>769</v>
      </c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>
        <v>1797300</v>
      </c>
      <c r="Q81" s="60">
        <v>73100</v>
      </c>
      <c r="R81" s="60"/>
      <c r="S81" s="60"/>
      <c r="T81" s="60"/>
      <c r="U81" s="60">
        <v>1870400</v>
      </c>
    </row>
    <row r="82" spans="1:21">
      <c r="A82" s="152" t="s">
        <v>796</v>
      </c>
      <c r="B82" s="60"/>
      <c r="C82" s="60"/>
      <c r="D82" s="60"/>
      <c r="E82" s="60"/>
      <c r="F82" s="60"/>
      <c r="G82" s="60"/>
      <c r="H82" s="60"/>
      <c r="I82" s="60"/>
      <c r="J82" s="60">
        <v>8916000</v>
      </c>
      <c r="K82" s="60"/>
      <c r="L82" s="60"/>
      <c r="M82" s="60">
        <v>238000</v>
      </c>
      <c r="N82" s="60">
        <v>37500</v>
      </c>
      <c r="O82" s="60"/>
      <c r="P82" s="60">
        <v>19517900</v>
      </c>
      <c r="Q82" s="60">
        <v>2506000</v>
      </c>
      <c r="R82" s="60"/>
      <c r="S82" s="60"/>
      <c r="T82" s="60"/>
      <c r="U82" s="60">
        <v>31215400</v>
      </c>
    </row>
    <row r="83" spans="1:21">
      <c r="A83" s="251" t="s">
        <v>798</v>
      </c>
      <c r="B83" s="60"/>
      <c r="C83" s="60"/>
      <c r="D83" s="60"/>
      <c r="E83" s="60"/>
      <c r="F83" s="60"/>
      <c r="G83" s="60"/>
      <c r="H83" s="60"/>
      <c r="I83" s="60"/>
      <c r="J83" s="60">
        <v>8916000</v>
      </c>
      <c r="K83" s="60"/>
      <c r="L83" s="60"/>
      <c r="M83" s="60">
        <v>238000</v>
      </c>
      <c r="N83" s="60">
        <v>37500</v>
      </c>
      <c r="O83" s="60"/>
      <c r="P83" s="60">
        <v>19517900</v>
      </c>
      <c r="Q83" s="60">
        <v>2506000</v>
      </c>
      <c r="R83" s="60"/>
      <c r="S83" s="60"/>
      <c r="T83" s="60"/>
      <c r="U83" s="60">
        <v>31215400</v>
      </c>
    </row>
    <row r="84" spans="1:21">
      <c r="A84" s="152" t="s">
        <v>143</v>
      </c>
      <c r="B84" s="60"/>
      <c r="C84" s="60"/>
      <c r="D84" s="60"/>
      <c r="E84" s="60"/>
      <c r="F84" s="60"/>
      <c r="G84" s="60"/>
      <c r="H84" s="60"/>
      <c r="I84" s="60"/>
      <c r="J84" s="60">
        <v>3319000</v>
      </c>
      <c r="K84" s="60"/>
      <c r="L84" s="60"/>
      <c r="M84" s="60">
        <v>25700</v>
      </c>
      <c r="N84" s="60">
        <v>4000</v>
      </c>
      <c r="O84" s="60"/>
      <c r="P84" s="60">
        <v>11000</v>
      </c>
      <c r="Q84" s="60">
        <v>2273200</v>
      </c>
      <c r="R84" s="60"/>
      <c r="S84" s="60"/>
      <c r="T84" s="60"/>
      <c r="U84" s="60">
        <v>5632900</v>
      </c>
    </row>
    <row r="85" spans="1:21">
      <c r="A85" s="251" t="s">
        <v>841</v>
      </c>
      <c r="B85" s="60"/>
      <c r="C85" s="60"/>
      <c r="D85" s="60"/>
      <c r="E85" s="60"/>
      <c r="F85" s="60"/>
      <c r="G85" s="60"/>
      <c r="H85" s="60"/>
      <c r="I85" s="60"/>
      <c r="J85" s="60">
        <v>3319000</v>
      </c>
      <c r="K85" s="60"/>
      <c r="L85" s="60"/>
      <c r="M85" s="60">
        <v>25700</v>
      </c>
      <c r="N85" s="60">
        <v>4000</v>
      </c>
      <c r="O85" s="60"/>
      <c r="P85" s="60">
        <v>11000</v>
      </c>
      <c r="Q85" s="60">
        <v>2273200</v>
      </c>
      <c r="R85" s="60"/>
      <c r="S85" s="60"/>
      <c r="T85" s="60"/>
      <c r="U85" s="60">
        <v>5632900</v>
      </c>
    </row>
    <row r="86" spans="1:21">
      <c r="A86" s="152" t="s">
        <v>868</v>
      </c>
      <c r="B86" s="60"/>
      <c r="C86" s="60"/>
      <c r="D86" s="60"/>
      <c r="E86" s="60"/>
      <c r="F86" s="60"/>
      <c r="G86" s="60"/>
      <c r="H86" s="60"/>
      <c r="I86" s="60"/>
      <c r="J86" s="60">
        <v>24034000</v>
      </c>
      <c r="K86" s="60"/>
      <c r="L86" s="60"/>
      <c r="M86" s="60">
        <v>1490000</v>
      </c>
      <c r="N86" s="60">
        <v>1070600</v>
      </c>
      <c r="O86" s="60"/>
      <c r="P86" s="60">
        <v>2718600</v>
      </c>
      <c r="Q86" s="60"/>
      <c r="R86" s="60"/>
      <c r="S86" s="60"/>
      <c r="T86" s="60"/>
      <c r="U86" s="60">
        <v>29313200</v>
      </c>
    </row>
    <row r="87" spans="1:21">
      <c r="A87" s="251" t="s">
        <v>869</v>
      </c>
      <c r="B87" s="60"/>
      <c r="C87" s="60"/>
      <c r="D87" s="60"/>
      <c r="E87" s="60"/>
      <c r="F87" s="60"/>
      <c r="G87" s="60"/>
      <c r="H87" s="60"/>
      <c r="I87" s="60"/>
      <c r="J87" s="60">
        <v>24034000</v>
      </c>
      <c r="K87" s="60"/>
      <c r="L87" s="60"/>
      <c r="M87" s="60">
        <v>1490000</v>
      </c>
      <c r="N87" s="60">
        <v>1070600</v>
      </c>
      <c r="O87" s="60"/>
      <c r="P87" s="60">
        <v>2718600</v>
      </c>
      <c r="Q87" s="60"/>
      <c r="R87" s="60"/>
      <c r="S87" s="60"/>
      <c r="T87" s="60"/>
      <c r="U87" s="60">
        <v>29313200</v>
      </c>
    </row>
    <row r="88" spans="1:21">
      <c r="A88" s="43" t="s">
        <v>2281</v>
      </c>
      <c r="B88" s="60"/>
      <c r="C88" s="60"/>
      <c r="D88" s="60">
        <v>-16600000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>
        <v>-16600000</v>
      </c>
    </row>
    <row r="89" spans="1:21">
      <c r="A89" s="152" t="s">
        <v>88</v>
      </c>
      <c r="B89" s="60"/>
      <c r="C89" s="60"/>
      <c r="D89" s="60">
        <v>-14100000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>
        <v>-14100000</v>
      </c>
    </row>
    <row r="90" spans="1:21">
      <c r="A90" s="251" t="s">
        <v>2283</v>
      </c>
      <c r="B90" s="60"/>
      <c r="C90" s="60"/>
      <c r="D90" s="60">
        <v>-14100000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>
        <v>-14100000</v>
      </c>
    </row>
    <row r="91" spans="1:21">
      <c r="A91" s="152" t="s">
        <v>94</v>
      </c>
      <c r="B91" s="87"/>
      <c r="C91" s="87"/>
      <c r="D91" s="87">
        <v>-100000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>
        <v>-100000</v>
      </c>
    </row>
    <row r="92" spans="1:21">
      <c r="A92" s="251" t="s">
        <v>4696</v>
      </c>
      <c r="B92" s="87"/>
      <c r="C92" s="87"/>
      <c r="D92" s="87">
        <v>-100000</v>
      </c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>
        <v>-100000</v>
      </c>
    </row>
    <row r="93" spans="1:21">
      <c r="A93" s="152" t="s">
        <v>8896</v>
      </c>
      <c r="B93" s="87"/>
      <c r="C93" s="87"/>
      <c r="D93" s="87">
        <v>-2400000</v>
      </c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>
        <v>-2400000</v>
      </c>
    </row>
    <row r="94" spans="1:21">
      <c r="A94" s="251" t="s">
        <v>4696</v>
      </c>
      <c r="B94" s="87"/>
      <c r="C94" s="87"/>
      <c r="D94" s="87">
        <v>-2400000</v>
      </c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>
        <v>-2400000</v>
      </c>
    </row>
    <row r="95" spans="1:21">
      <c r="A95" s="43" t="s">
        <v>4696</v>
      </c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>
        <v>2165700</v>
      </c>
      <c r="T95" s="87"/>
      <c r="U95" s="87">
        <v>2165700</v>
      </c>
    </row>
    <row r="96" spans="1:21">
      <c r="A96" s="152" t="s">
        <v>4696</v>
      </c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>
        <v>2165700</v>
      </c>
      <c r="T96" s="87"/>
      <c r="U96" s="87">
        <v>2165700</v>
      </c>
    </row>
    <row r="97" spans="1:21">
      <c r="A97" s="251" t="s">
        <v>4696</v>
      </c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>
        <v>2165700</v>
      </c>
      <c r="T97" s="87"/>
      <c r="U97" s="87">
        <v>2165700</v>
      </c>
    </row>
    <row r="98" spans="1:21">
      <c r="A98" s="43" t="s">
        <v>8897</v>
      </c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>
        <v>-2165700.0000004768</v>
      </c>
      <c r="U98" s="87">
        <v>-2165700.0000004768</v>
      </c>
    </row>
    <row r="99" spans="1:21">
      <c r="A99" s="152" t="s">
        <v>8897</v>
      </c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>
        <v>-2165700.0000004768</v>
      </c>
      <c r="U99" s="87">
        <v>-2165700.0000004768</v>
      </c>
    </row>
    <row r="100" spans="1:21">
      <c r="A100" s="251" t="s">
        <v>8897</v>
      </c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>
        <v>-2165700.0000004768</v>
      </c>
      <c r="U100" s="87">
        <v>-2165700.0000004768</v>
      </c>
    </row>
    <row r="101" spans="1:21">
      <c r="A101" s="43" t="s">
        <v>2354</v>
      </c>
      <c r="B101" s="60">
        <v>-1380000000</v>
      </c>
      <c r="C101" s="60">
        <v>-54610800</v>
      </c>
      <c r="D101" s="60">
        <v>-35637000</v>
      </c>
      <c r="E101" s="60">
        <v>-5000</v>
      </c>
      <c r="F101" s="60">
        <v>-76916200</v>
      </c>
      <c r="G101" s="60">
        <v>-12453000</v>
      </c>
      <c r="H101" s="60">
        <v>-40000000</v>
      </c>
      <c r="I101" s="60">
        <v>-924368000</v>
      </c>
      <c r="J101" s="60">
        <v>1200196400</v>
      </c>
      <c r="K101" s="60">
        <v>25013500</v>
      </c>
      <c r="L101" s="60">
        <v>205409000</v>
      </c>
      <c r="M101" s="60">
        <v>81813900</v>
      </c>
      <c r="N101" s="60">
        <v>31415700</v>
      </c>
      <c r="O101" s="60"/>
      <c r="P101" s="60">
        <v>331287500</v>
      </c>
      <c r="Q101" s="60">
        <v>477522600</v>
      </c>
      <c r="R101" s="60">
        <v>167000000</v>
      </c>
      <c r="S101" s="60">
        <v>2165700</v>
      </c>
      <c r="T101" s="60">
        <v>-2165700.0000004768</v>
      </c>
      <c r="U101" s="60">
        <v>-4331400.0000004768</v>
      </c>
    </row>
    <row r="102" spans="1:21">
      <c r="B102" s="60">
        <f>SUM(B101:I101)</f>
        <v>-2523990000</v>
      </c>
      <c r="J102" s="60">
        <f>SUM(J101:T101)</f>
        <v>2519658599.9999995</v>
      </c>
    </row>
    <row r="103" spans="1:21">
      <c r="J103" s="60">
        <f>J102+B102</f>
        <v>-4331400.0000004768</v>
      </c>
    </row>
    <row r="123" spans="1:16" ht="13.5" thickBot="1"/>
    <row r="124" spans="1:16" ht="21" thickBot="1">
      <c r="A124" s="516" t="s">
        <v>925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8"/>
    </row>
    <row r="126" spans="1:16">
      <c r="A126" s="250" t="s">
        <v>2332</v>
      </c>
      <c r="B126" s="43" t="s">
        <v>4697</v>
      </c>
    </row>
    <row r="128" spans="1:16">
      <c r="A128" s="250" t="s">
        <v>4693</v>
      </c>
      <c r="B128" s="250" t="s">
        <v>4694</v>
      </c>
    </row>
    <row r="129" spans="1:49" ht="60">
      <c r="A129" s="250" t="s">
        <v>4695</v>
      </c>
      <c r="B129" t="s">
        <v>174</v>
      </c>
      <c r="C129" t="s">
        <v>180</v>
      </c>
      <c r="D129" t="s">
        <v>205</v>
      </c>
      <c r="E129" t="s">
        <v>217</v>
      </c>
      <c r="F129" t="s">
        <v>50</v>
      </c>
      <c r="G129" t="s">
        <v>58</v>
      </c>
      <c r="H129" t="s">
        <v>85</v>
      </c>
      <c r="I129" t="s">
        <v>66</v>
      </c>
      <c r="J129" t="s">
        <v>160</v>
      </c>
      <c r="K129" t="s">
        <v>129</v>
      </c>
      <c r="L129" t="s">
        <v>152</v>
      </c>
      <c r="M129" t="s">
        <v>114</v>
      </c>
      <c r="N129" t="s">
        <v>4700</v>
      </c>
      <c r="R129" t="s">
        <v>4698</v>
      </c>
      <c r="S129" t="s">
        <v>4699</v>
      </c>
      <c r="T129" t="s">
        <v>4700</v>
      </c>
      <c r="U129" s="245" t="s">
        <v>2566</v>
      </c>
      <c r="W129" s="245" t="s">
        <v>4701</v>
      </c>
      <c r="X129" s="245" t="s">
        <v>4702</v>
      </c>
      <c r="Y129" s="245" t="s">
        <v>4703</v>
      </c>
      <c r="Z129" s="245" t="s">
        <v>4704</v>
      </c>
      <c r="AB129" s="42" t="s">
        <v>2566</v>
      </c>
      <c r="AC129" s="42" t="s">
        <v>4746</v>
      </c>
      <c r="AD129" s="42" t="s">
        <v>4749</v>
      </c>
      <c r="AE129" s="42" t="s">
        <v>4747</v>
      </c>
      <c r="AF129" s="42" t="s">
        <v>4748</v>
      </c>
      <c r="AG129" s="42" t="s">
        <v>4751</v>
      </c>
      <c r="AH129" s="42" t="s">
        <v>4746</v>
      </c>
      <c r="AI129" s="42" t="s">
        <v>4747</v>
      </c>
      <c r="AJ129" s="42" t="s">
        <v>4748</v>
      </c>
    </row>
    <row r="130" spans="1:49" ht="13.5" thickBot="1">
      <c r="A130" s="43" t="s">
        <v>925</v>
      </c>
      <c r="B130" s="90">
        <v>-9000000</v>
      </c>
      <c r="C130" s="90">
        <v>-19780800</v>
      </c>
      <c r="D130" s="90">
        <v>-11453000</v>
      </c>
      <c r="E130" s="90">
        <v>-921548500</v>
      </c>
      <c r="F130" s="90">
        <v>847609400</v>
      </c>
      <c r="G130" s="90">
        <v>25013500</v>
      </c>
      <c r="H130" s="90">
        <v>27817300</v>
      </c>
      <c r="I130" s="90">
        <v>14611100</v>
      </c>
      <c r="J130" s="90"/>
      <c r="K130" s="90">
        <v>177349100</v>
      </c>
      <c r="L130" s="90">
        <v>278947300</v>
      </c>
      <c r="M130" s="90"/>
      <c r="N130" s="90">
        <v>409565400</v>
      </c>
      <c r="Q130" s="497" t="s">
        <v>925</v>
      </c>
      <c r="R130" s="252">
        <f>-E130</f>
        <v>921548500</v>
      </c>
      <c r="S130" s="252">
        <f>-SUM(B130:D130)</f>
        <v>40233800</v>
      </c>
      <c r="T130" s="252">
        <f>N130</f>
        <v>409565400</v>
      </c>
      <c r="U130" s="60">
        <f>SUM(R130:T130)</f>
        <v>1371347700</v>
      </c>
      <c r="W130" s="253">
        <f>SUM(F130:G130)/SUM($F130:$L130)</f>
        <v>0.6363250545430601</v>
      </c>
      <c r="X130" s="253">
        <f>SUM(H130:J130)/SUM($F130:$L130)</f>
        <v>3.0939199445917328E-2</v>
      </c>
      <c r="Y130" s="253">
        <f>SUM(K130)/SUM($F130:$L130)</f>
        <v>0.12932467819795082</v>
      </c>
      <c r="Z130" s="253">
        <f>SUM(L130)/SUM($F130:$L130)</f>
        <v>0.20341106781307178</v>
      </c>
      <c r="AB130" s="275">
        <f t="shared" ref="AB130" si="0">U130/תושבים_2015</f>
        <v>4889.6187244725434</v>
      </c>
      <c r="AC130" s="275">
        <f t="shared" ref="AC130" si="1">R130/תושבים_2015</f>
        <v>3285.8339289952401</v>
      </c>
      <c r="AD130" s="275">
        <f t="shared" ref="AD130" si="2">(T130+S130)/תושבים_2015</f>
        <v>1603.7847954773035</v>
      </c>
      <c r="AE130" s="275">
        <f t="shared" ref="AE130" si="3">(T130*(1-יחס_ארנונה)+S130*AG130)/תושבים_2015</f>
        <v>922.59838103411823</v>
      </c>
      <c r="AF130" s="275">
        <f t="shared" ref="AF130" si="4">(T130*יחס_ארנונה+S130*(1-AG130))/תושבים_2015</f>
        <v>681.1864144431853</v>
      </c>
      <c r="AG130" s="282">
        <v>0.33</v>
      </c>
      <c r="AH130" s="276">
        <f>AC130/$AF130</f>
        <v>4.8236926916417486</v>
      </c>
      <c r="AI130" s="276">
        <f>AE130/$AF130</f>
        <v>1.3543992679129804</v>
      </c>
      <c r="AJ130">
        <v>1</v>
      </c>
    </row>
    <row r="131" spans="1:49">
      <c r="A131" s="152" t="s">
        <v>1607</v>
      </c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>
        <v>710000</v>
      </c>
      <c r="M131" s="90"/>
      <c r="N131" s="90">
        <v>710000</v>
      </c>
      <c r="Q131" s="498" t="s">
        <v>1607</v>
      </c>
      <c r="R131" s="252">
        <f t="shared" ref="R131:R166" si="5">-E131</f>
        <v>0</v>
      </c>
      <c r="S131" s="252">
        <f t="shared" ref="S131:S166" si="6">-SUM(B131:D131)</f>
        <v>0</v>
      </c>
      <c r="T131" s="252">
        <f t="shared" ref="T131:T166" si="7">N131</f>
        <v>710000</v>
      </c>
      <c r="U131" s="60">
        <f t="shared" ref="U131:U167" si="8">SUM(R131:T131)</f>
        <v>710000</v>
      </c>
      <c r="W131" s="253">
        <f t="shared" ref="W131:W167" si="9">SUM(F131:G131)/SUM($F131:$L131)</f>
        <v>0</v>
      </c>
      <c r="X131" s="253">
        <f t="shared" ref="X131:X167" si="10">SUM(H131:J131)/SUM($F131:$L131)</f>
        <v>0</v>
      </c>
      <c r="Y131" s="253">
        <f t="shared" ref="Y131:Y167" si="11">SUM(K131)/SUM($F131:$L131)</f>
        <v>0</v>
      </c>
      <c r="Z131" s="253">
        <f t="shared" ref="Z131:Z167" si="12">SUM(L131)/SUM($F131:$L131)</f>
        <v>1</v>
      </c>
      <c r="AB131" s="291">
        <f t="shared" ref="AB131:AB140" si="13">AO131/תושבים_2015</f>
        <v>2.5315456425642497</v>
      </c>
      <c r="AC131" s="292">
        <f t="shared" ref="AC131:AC140" si="14">AL131/תושבים_2015</f>
        <v>0</v>
      </c>
      <c r="AD131" s="292">
        <f t="shared" ref="AD131:AD140" si="15">(AN131+AM131)/תושבים_2015</f>
        <v>2.5315456425642497</v>
      </c>
      <c r="AE131" s="292">
        <f t="shared" ref="AE131:AE140" si="16">(AN131*(1-יחס_ארנונה)+AM131*AG131)/תושבים_2015</f>
        <v>1.5172988958048443</v>
      </c>
      <c r="AF131" s="292">
        <f t="shared" ref="AF131:AF140" si="17">(AN131*יחס_ארנונה+AM131*(1-AG131))/תושבים_2015</f>
        <v>1.0142467467594052</v>
      </c>
      <c r="AG131" s="293">
        <f t="shared" ref="AG131:AG140" si="18">IF(SUM($B131:$D131)=0,0,(SUM($B131:$D131)-$C131)/SUM($B131:$D131))</f>
        <v>0</v>
      </c>
      <c r="AH131" s="294">
        <f t="shared" ref="AH131" si="19">AC131/$AF131</f>
        <v>0</v>
      </c>
      <c r="AI131" s="294">
        <f t="shared" ref="AI131" si="20">AE131/$AF131</f>
        <v>1.4959859626394945</v>
      </c>
      <c r="AJ131" s="295">
        <v>1</v>
      </c>
      <c r="AK131" t="s">
        <v>4799</v>
      </c>
      <c r="AL131" s="60">
        <f>R131</f>
        <v>0</v>
      </c>
      <c r="AM131" s="60">
        <f t="shared" ref="AM131:AO131" si="21">S131</f>
        <v>0</v>
      </c>
      <c r="AN131" s="60">
        <f t="shared" si="21"/>
        <v>710000</v>
      </c>
      <c r="AO131" s="60">
        <f t="shared" si="21"/>
        <v>710000</v>
      </c>
      <c r="AQ131" s="60">
        <f>W131</f>
        <v>0</v>
      </c>
      <c r="AR131" s="60">
        <f t="shared" ref="AR131:AT131" si="22">X131</f>
        <v>0</v>
      </c>
      <c r="AS131" s="60">
        <f t="shared" si="22"/>
        <v>0</v>
      </c>
      <c r="AT131" s="60">
        <f t="shared" si="22"/>
        <v>1</v>
      </c>
    </row>
    <row r="132" spans="1:49" ht="13.5" thickBot="1">
      <c r="A132" s="251" t="s">
        <v>2258</v>
      </c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>
        <v>710000</v>
      </c>
      <c r="M132" s="90"/>
      <c r="N132" s="481">
        <v>710000</v>
      </c>
      <c r="Q132" s="251" t="s">
        <v>2258</v>
      </c>
      <c r="R132" s="252">
        <f t="shared" si="5"/>
        <v>0</v>
      </c>
      <c r="S132" s="252">
        <f t="shared" si="6"/>
        <v>0</v>
      </c>
      <c r="T132" s="252">
        <f t="shared" si="7"/>
        <v>710000</v>
      </c>
      <c r="U132" s="60">
        <f t="shared" si="8"/>
        <v>710000</v>
      </c>
      <c r="W132" s="253">
        <f t="shared" si="9"/>
        <v>0</v>
      </c>
      <c r="X132" s="253">
        <f t="shared" si="10"/>
        <v>0</v>
      </c>
      <c r="Y132" s="253">
        <f t="shared" si="11"/>
        <v>0</v>
      </c>
      <c r="Z132" s="253">
        <f t="shared" si="12"/>
        <v>1</v>
      </c>
      <c r="AB132" s="300">
        <f t="shared" si="13"/>
        <v>0</v>
      </c>
      <c r="AC132" s="301">
        <f t="shared" si="14"/>
        <v>0</v>
      </c>
      <c r="AD132" s="301">
        <f t="shared" si="15"/>
        <v>0</v>
      </c>
      <c r="AE132" s="301">
        <f t="shared" si="16"/>
        <v>0</v>
      </c>
      <c r="AF132" s="301">
        <f t="shared" si="17"/>
        <v>0</v>
      </c>
      <c r="AG132" s="302">
        <f t="shared" si="18"/>
        <v>0</v>
      </c>
      <c r="AH132" s="303" t="e">
        <f t="shared" ref="AH132:AH165" si="23">AC132/$AF132</f>
        <v>#DIV/0!</v>
      </c>
      <c r="AI132" s="303" t="e">
        <f t="shared" ref="AI132:AI165" si="24">AE132/$AF132</f>
        <v>#DIV/0!</v>
      </c>
      <c r="AJ132" s="68">
        <v>1</v>
      </c>
    </row>
    <row r="133" spans="1:49">
      <c r="A133" s="152" t="s">
        <v>1277</v>
      </c>
      <c r="B133" s="90"/>
      <c r="C133" s="90"/>
      <c r="D133" s="90"/>
      <c r="E133" s="90">
        <v>-446000000</v>
      </c>
      <c r="F133" s="90">
        <v>440000000</v>
      </c>
      <c r="G133" s="90"/>
      <c r="H133" s="90">
        <v>6000000</v>
      </c>
      <c r="I133" s="90"/>
      <c r="J133" s="90"/>
      <c r="K133" s="90"/>
      <c r="L133" s="90">
        <v>771900</v>
      </c>
      <c r="M133" s="90"/>
      <c r="N133" s="481">
        <v>771900</v>
      </c>
      <c r="Q133" s="498" t="s">
        <v>1277</v>
      </c>
      <c r="R133" s="252">
        <f t="shared" si="5"/>
        <v>446000000</v>
      </c>
      <c r="S133" s="252">
        <f t="shared" si="6"/>
        <v>0</v>
      </c>
      <c r="T133" s="252">
        <f t="shared" si="7"/>
        <v>771900</v>
      </c>
      <c r="U133" s="60">
        <f t="shared" si="8"/>
        <v>446771900</v>
      </c>
      <c r="W133" s="253">
        <f t="shared" si="9"/>
        <v>0.98484260088873088</v>
      </c>
      <c r="X133" s="253">
        <f t="shared" si="10"/>
        <v>1.3429671830300876E-2</v>
      </c>
      <c r="Y133" s="253">
        <f t="shared" si="11"/>
        <v>0</v>
      </c>
      <c r="Z133" s="253">
        <f t="shared" si="12"/>
        <v>1.7277272809682078E-3</v>
      </c>
      <c r="AB133" s="291">
        <f t="shared" si="13"/>
        <v>0</v>
      </c>
      <c r="AC133" s="292">
        <f t="shared" si="14"/>
        <v>0</v>
      </c>
      <c r="AD133" s="292">
        <f t="shared" si="15"/>
        <v>0</v>
      </c>
      <c r="AE133" s="292">
        <f t="shared" si="16"/>
        <v>0</v>
      </c>
      <c r="AF133" s="292">
        <f t="shared" si="17"/>
        <v>0</v>
      </c>
      <c r="AG133" s="293">
        <f t="shared" si="18"/>
        <v>0</v>
      </c>
      <c r="AH133" s="294" t="e">
        <f t="shared" si="23"/>
        <v>#DIV/0!</v>
      </c>
      <c r="AI133" s="294" t="e">
        <f t="shared" si="24"/>
        <v>#DIV/0!</v>
      </c>
      <c r="AJ133" s="295">
        <v>1</v>
      </c>
      <c r="AK133" t="s">
        <v>4802</v>
      </c>
      <c r="AL133" s="60">
        <f>R133-AL134-AL135-AL136</f>
        <v>0</v>
      </c>
      <c r="AM133" s="60">
        <f t="shared" ref="AM133:AO133" si="25">S133-AM134-AM135-AM136</f>
        <v>0</v>
      </c>
      <c r="AN133" s="60">
        <f t="shared" si="25"/>
        <v>0</v>
      </c>
      <c r="AO133" s="60">
        <f t="shared" si="25"/>
        <v>0</v>
      </c>
      <c r="AQ133" s="238">
        <f>IF((SUM(F133:G133)-SUM(F134:G135))=0,0,(SUM(F133:G133)-SUM(F134:G135))/(SUM($F133:$M133)-SUM(F134:M135)))</f>
        <v>0.98654708520179368</v>
      </c>
      <c r="AR133" s="238">
        <f>IF((SUM(H133:I133)-SUM(H134:I135))=0,0,(SUM(H133:I133)-SUM(H134:I135))/(SUM($F133:$M133)-SUM(F134:M135)))</f>
        <v>1.3452914798206279E-2</v>
      </c>
      <c r="AS133" s="238">
        <f>IF((SUM(J133:K133)-SUM(J134:K135))=0,0,(SUM(J133:K133)-SUM(J134:K135))/(SUM($F133:$M133)-SUM(F134:M135)))</f>
        <v>0</v>
      </c>
      <c r="AT133" s="238">
        <f>IF((SUM(K133:L133)-SUM(K134:L135))=0,0,(SUM(K133:L133)-SUM(K134:L135))/(SUM($F133:$M133)-SUM(F134:M135)))</f>
        <v>0</v>
      </c>
      <c r="AU133" s="304"/>
    </row>
    <row r="134" spans="1:49">
      <c r="A134" s="251" t="s">
        <v>1332</v>
      </c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>
        <v>499900</v>
      </c>
      <c r="M134" s="90"/>
      <c r="N134" s="481">
        <v>499900</v>
      </c>
      <c r="Q134" s="251" t="s">
        <v>1332</v>
      </c>
      <c r="R134" s="252">
        <f t="shared" si="5"/>
        <v>0</v>
      </c>
      <c r="S134" s="252">
        <f t="shared" si="6"/>
        <v>0</v>
      </c>
      <c r="T134" s="252">
        <f t="shared" si="7"/>
        <v>499900</v>
      </c>
      <c r="U134" s="60">
        <f t="shared" si="8"/>
        <v>499900</v>
      </c>
      <c r="W134" s="253">
        <f t="shared" si="9"/>
        <v>0</v>
      </c>
      <c r="X134" s="253">
        <f t="shared" si="10"/>
        <v>0</v>
      </c>
      <c r="Y134" s="253">
        <f t="shared" si="11"/>
        <v>0</v>
      </c>
      <c r="Z134" s="253">
        <f t="shared" si="12"/>
        <v>1</v>
      </c>
      <c r="AB134" s="297">
        <f t="shared" si="13"/>
        <v>0.96983157010912102</v>
      </c>
      <c r="AC134" s="298">
        <f t="shared" si="14"/>
        <v>0</v>
      </c>
      <c r="AD134" s="298">
        <f t="shared" si="15"/>
        <v>0.96983157010912102</v>
      </c>
      <c r="AE134" s="298">
        <f t="shared" si="16"/>
        <v>0.58127506994213751</v>
      </c>
      <c r="AF134" s="298">
        <f t="shared" si="17"/>
        <v>0.38855650016698345</v>
      </c>
      <c r="AG134" s="296">
        <f t="shared" si="18"/>
        <v>0</v>
      </c>
      <c r="AH134" s="299">
        <f t="shared" si="23"/>
        <v>0</v>
      </c>
      <c r="AI134" s="299">
        <f t="shared" si="24"/>
        <v>1.4959859626394942</v>
      </c>
      <c r="AJ134" s="64">
        <v>1</v>
      </c>
      <c r="AK134" t="s">
        <v>1283</v>
      </c>
      <c r="AL134" s="60">
        <f>R135</f>
        <v>0</v>
      </c>
      <c r="AM134" s="60">
        <f t="shared" ref="AM134:AO134" si="26">S135</f>
        <v>0</v>
      </c>
      <c r="AN134" s="60">
        <f t="shared" si="26"/>
        <v>272000</v>
      </c>
      <c r="AO134" s="60">
        <f t="shared" si="26"/>
        <v>272000</v>
      </c>
      <c r="AQ134" s="238">
        <f>W134</f>
        <v>0</v>
      </c>
      <c r="AR134" s="238">
        <f t="shared" ref="AR134:AT134" si="27">X134</f>
        <v>0</v>
      </c>
      <c r="AS134" s="238">
        <f t="shared" si="27"/>
        <v>0</v>
      </c>
      <c r="AT134" s="238">
        <f t="shared" si="27"/>
        <v>1</v>
      </c>
      <c r="AU134" s="304"/>
    </row>
    <row r="135" spans="1:49">
      <c r="A135" s="251" t="s">
        <v>1355</v>
      </c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>
        <v>272000</v>
      </c>
      <c r="M135" s="90"/>
      <c r="N135" s="90">
        <v>272000</v>
      </c>
      <c r="Q135" s="251" t="s">
        <v>1355</v>
      </c>
      <c r="R135" s="252">
        <f t="shared" si="5"/>
        <v>0</v>
      </c>
      <c r="S135" s="252">
        <f t="shared" si="6"/>
        <v>0</v>
      </c>
      <c r="T135" s="252">
        <f t="shared" si="7"/>
        <v>272000</v>
      </c>
      <c r="U135" s="60">
        <f t="shared" si="8"/>
        <v>272000</v>
      </c>
      <c r="W135" s="253">
        <f t="shared" si="9"/>
        <v>0</v>
      </c>
      <c r="X135" s="253">
        <f t="shared" si="10"/>
        <v>0</v>
      </c>
      <c r="Y135" s="253">
        <f t="shared" si="11"/>
        <v>0</v>
      </c>
      <c r="Z135" s="253">
        <f t="shared" si="12"/>
        <v>1</v>
      </c>
      <c r="AB135" s="297">
        <f t="shared" si="13"/>
        <v>1.7824220657998147</v>
      </c>
      <c r="AC135" s="298">
        <f t="shared" si="14"/>
        <v>0</v>
      </c>
      <c r="AD135" s="298">
        <f t="shared" si="15"/>
        <v>1.7824220657998147</v>
      </c>
      <c r="AE135" s="298">
        <f t="shared" si="16"/>
        <v>1.0683066450885093</v>
      </c>
      <c r="AF135" s="298">
        <f t="shared" si="17"/>
        <v>0.71411542071130518</v>
      </c>
      <c r="AG135" s="296">
        <f t="shared" si="18"/>
        <v>0</v>
      </c>
      <c r="AH135" s="299">
        <f t="shared" si="23"/>
        <v>0</v>
      </c>
      <c r="AI135" s="299">
        <f t="shared" si="24"/>
        <v>1.4959859626394942</v>
      </c>
      <c r="AJ135" s="64">
        <v>1</v>
      </c>
      <c r="AK135" t="s">
        <v>578</v>
      </c>
      <c r="AL135" s="60">
        <f>R134</f>
        <v>0</v>
      </c>
      <c r="AM135" s="60">
        <f t="shared" ref="AM135:AO135" si="28">S134</f>
        <v>0</v>
      </c>
      <c r="AN135" s="60">
        <f t="shared" si="28"/>
        <v>499900</v>
      </c>
      <c r="AO135" s="60">
        <f t="shared" si="28"/>
        <v>499900</v>
      </c>
      <c r="AQ135" s="238">
        <f>W127</f>
        <v>0</v>
      </c>
      <c r="AR135" s="238">
        <f t="shared" ref="AR135:AT135" si="29">X127</f>
        <v>0</v>
      </c>
      <c r="AS135" s="238">
        <f t="shared" si="29"/>
        <v>0</v>
      </c>
      <c r="AT135" s="238">
        <f t="shared" si="29"/>
        <v>0</v>
      </c>
      <c r="AU135" s="304"/>
    </row>
    <row r="136" spans="1:49" ht="13.5" thickBot="1">
      <c r="A136" s="251" t="s">
        <v>1307</v>
      </c>
      <c r="B136" s="90"/>
      <c r="C136" s="90"/>
      <c r="D136" s="90"/>
      <c r="E136" s="90">
        <v>-446000000</v>
      </c>
      <c r="F136" s="90">
        <v>440000000</v>
      </c>
      <c r="G136" s="90"/>
      <c r="H136" s="90">
        <v>6000000</v>
      </c>
      <c r="I136" s="90"/>
      <c r="J136" s="90"/>
      <c r="K136" s="90"/>
      <c r="L136" s="90"/>
      <c r="M136" s="90"/>
      <c r="N136" s="90">
        <v>0</v>
      </c>
      <c r="Q136" s="251" t="s">
        <v>1307</v>
      </c>
      <c r="R136" s="252">
        <f t="shared" si="5"/>
        <v>446000000</v>
      </c>
      <c r="S136" s="252">
        <f t="shared" si="6"/>
        <v>0</v>
      </c>
      <c r="T136" s="252">
        <f t="shared" si="7"/>
        <v>0</v>
      </c>
      <c r="U136" s="60">
        <f t="shared" si="8"/>
        <v>446000000</v>
      </c>
      <c r="W136" s="253">
        <f t="shared" si="9"/>
        <v>0.98654708520179368</v>
      </c>
      <c r="X136" s="253">
        <f t="shared" si="10"/>
        <v>1.3452914798206279E-2</v>
      </c>
      <c r="Y136" s="253">
        <f t="shared" si="11"/>
        <v>0</v>
      </c>
      <c r="Z136" s="253">
        <f t="shared" si="12"/>
        <v>0</v>
      </c>
      <c r="AB136" s="300">
        <f t="shared" si="13"/>
        <v>1590.2385303995145</v>
      </c>
      <c r="AC136" s="301">
        <f t="shared" si="14"/>
        <v>1590.2385303995145</v>
      </c>
      <c r="AD136" s="301">
        <f t="shared" si="15"/>
        <v>0</v>
      </c>
      <c r="AE136" s="301">
        <f t="shared" si="16"/>
        <v>0</v>
      </c>
      <c r="AF136" s="301">
        <f t="shared" si="17"/>
        <v>0</v>
      </c>
      <c r="AG136" s="302">
        <f t="shared" si="18"/>
        <v>0</v>
      </c>
      <c r="AH136" s="303" t="e">
        <f t="shared" si="23"/>
        <v>#DIV/0!</v>
      </c>
      <c r="AI136" s="303" t="e">
        <f t="shared" si="24"/>
        <v>#DIV/0!</v>
      </c>
      <c r="AJ136" s="68">
        <v>1</v>
      </c>
      <c r="AK136" t="s">
        <v>6373</v>
      </c>
      <c r="AL136" s="60">
        <f>R136</f>
        <v>446000000</v>
      </c>
      <c r="AM136" s="60">
        <f t="shared" ref="AM136:AO136" si="30">S136</f>
        <v>0</v>
      </c>
      <c r="AN136" s="60">
        <f t="shared" si="30"/>
        <v>0</v>
      </c>
      <c r="AO136" s="60">
        <f t="shared" si="30"/>
        <v>446000000</v>
      </c>
      <c r="AQ136" s="238">
        <f>W135</f>
        <v>0</v>
      </c>
      <c r="AR136" s="238">
        <f t="shared" ref="AR136:AT136" si="31">X135</f>
        <v>0</v>
      </c>
      <c r="AS136" s="238">
        <f t="shared" si="31"/>
        <v>0</v>
      </c>
      <c r="AT136" s="238">
        <f t="shared" si="31"/>
        <v>1</v>
      </c>
    </row>
    <row r="137" spans="1:49">
      <c r="A137" s="152" t="s">
        <v>1552</v>
      </c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>
        <v>9604300</v>
      </c>
      <c r="M137" s="90"/>
      <c r="N137" s="90">
        <v>9604300</v>
      </c>
      <c r="Q137" s="498" t="s">
        <v>1552</v>
      </c>
      <c r="R137" s="252">
        <f t="shared" si="5"/>
        <v>0</v>
      </c>
      <c r="S137" s="252">
        <f t="shared" si="6"/>
        <v>0</v>
      </c>
      <c r="T137" s="252">
        <f t="shared" si="7"/>
        <v>9604300</v>
      </c>
      <c r="U137" s="60">
        <f t="shared" si="8"/>
        <v>9604300</v>
      </c>
      <c r="W137" s="253">
        <f t="shared" si="9"/>
        <v>0</v>
      </c>
      <c r="X137" s="253">
        <f t="shared" si="10"/>
        <v>0</v>
      </c>
      <c r="Y137" s="253">
        <f t="shared" si="11"/>
        <v>0</v>
      </c>
      <c r="Z137" s="253">
        <f t="shared" si="12"/>
        <v>1</v>
      </c>
      <c r="AB137" s="297">
        <f t="shared" si="13"/>
        <v>0</v>
      </c>
      <c r="AC137" s="298">
        <f t="shared" si="14"/>
        <v>0</v>
      </c>
      <c r="AD137" s="298">
        <f t="shared" si="15"/>
        <v>0</v>
      </c>
      <c r="AE137" s="292">
        <f t="shared" si="16"/>
        <v>0</v>
      </c>
      <c r="AF137" s="292">
        <f t="shared" si="17"/>
        <v>0</v>
      </c>
      <c r="AG137" s="293">
        <f t="shared" si="18"/>
        <v>0</v>
      </c>
      <c r="AH137" s="294" t="e">
        <f t="shared" si="23"/>
        <v>#DIV/0!</v>
      </c>
      <c r="AI137" s="294" t="e">
        <f t="shared" si="24"/>
        <v>#DIV/0!</v>
      </c>
      <c r="AJ137" s="295">
        <v>1</v>
      </c>
      <c r="AL137" s="60"/>
      <c r="AM137" s="60"/>
      <c r="AN137" s="60"/>
      <c r="AO137" s="60"/>
      <c r="AQ137" s="238"/>
      <c r="AR137" s="238"/>
      <c r="AS137" s="238"/>
      <c r="AT137" s="238"/>
    </row>
    <row r="138" spans="1:49">
      <c r="A138" s="251" t="s">
        <v>1557</v>
      </c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>
        <v>9604300</v>
      </c>
      <c r="M138" s="90"/>
      <c r="N138" s="90">
        <v>9604300</v>
      </c>
      <c r="Q138" s="251" t="s">
        <v>1557</v>
      </c>
      <c r="R138" s="252">
        <f t="shared" si="5"/>
        <v>0</v>
      </c>
      <c r="S138" s="252">
        <f t="shared" si="6"/>
        <v>0</v>
      </c>
      <c r="T138" s="252">
        <f t="shared" si="7"/>
        <v>9604300</v>
      </c>
      <c r="U138" s="60">
        <f t="shared" si="8"/>
        <v>9604300</v>
      </c>
      <c r="W138" s="253">
        <f t="shared" si="9"/>
        <v>0</v>
      </c>
      <c r="X138" s="253">
        <f t="shared" si="10"/>
        <v>0</v>
      </c>
      <c r="Y138" s="253">
        <f t="shared" si="11"/>
        <v>0</v>
      </c>
      <c r="Z138" s="253">
        <f t="shared" si="12"/>
        <v>1</v>
      </c>
      <c r="AB138" s="297">
        <f t="shared" si="13"/>
        <v>0</v>
      </c>
      <c r="AC138" s="298">
        <f t="shared" si="14"/>
        <v>0</v>
      </c>
      <c r="AD138" s="298">
        <f t="shared" si="15"/>
        <v>0</v>
      </c>
      <c r="AE138" s="298">
        <f t="shared" si="16"/>
        <v>0</v>
      </c>
      <c r="AF138" s="298">
        <f t="shared" si="17"/>
        <v>0</v>
      </c>
      <c r="AG138" s="296">
        <f t="shared" si="18"/>
        <v>0</v>
      </c>
      <c r="AH138" s="299" t="e">
        <f t="shared" si="23"/>
        <v>#DIV/0!</v>
      </c>
      <c r="AI138" s="299" t="e">
        <f t="shared" si="24"/>
        <v>#DIV/0!</v>
      </c>
      <c r="AJ138" s="65">
        <v>1</v>
      </c>
      <c r="AK138" t="s">
        <v>4801</v>
      </c>
      <c r="AL138" s="60">
        <f>R137-AL139</f>
        <v>0</v>
      </c>
      <c r="AM138" s="60">
        <f t="shared" ref="AM138:AO138" si="32">S137-AM139</f>
        <v>0</v>
      </c>
      <c r="AN138" s="60">
        <f t="shared" si="32"/>
        <v>0</v>
      </c>
      <c r="AO138" s="60">
        <f t="shared" si="32"/>
        <v>0</v>
      </c>
      <c r="AQ138" s="238">
        <f>W136</f>
        <v>0.98654708520179368</v>
      </c>
      <c r="AR138" s="238">
        <f t="shared" ref="AR138:AT138" si="33">X136</f>
        <v>1.3452914798206279E-2</v>
      </c>
      <c r="AS138" s="238">
        <f t="shared" si="33"/>
        <v>0</v>
      </c>
      <c r="AT138" s="238">
        <f t="shared" si="33"/>
        <v>0</v>
      </c>
    </row>
    <row r="139" spans="1:49">
      <c r="A139" s="152" t="s">
        <v>930</v>
      </c>
      <c r="B139" s="90">
        <v>-9000000</v>
      </c>
      <c r="C139" s="90">
        <v>-2006000</v>
      </c>
      <c r="D139" s="90">
        <v>-11453000</v>
      </c>
      <c r="E139" s="90">
        <v>-280041000</v>
      </c>
      <c r="F139" s="90">
        <v>288699400</v>
      </c>
      <c r="G139" s="90">
        <v>17408600</v>
      </c>
      <c r="H139" s="90">
        <v>17708200</v>
      </c>
      <c r="I139" s="90">
        <v>11363100</v>
      </c>
      <c r="J139" s="90"/>
      <c r="K139" s="90">
        <v>137586600</v>
      </c>
      <c r="L139" s="90">
        <v>11875300</v>
      </c>
      <c r="M139" s="90"/>
      <c r="N139" s="90">
        <v>182141200</v>
      </c>
      <c r="Q139" s="498" t="s">
        <v>930</v>
      </c>
      <c r="R139" s="252">
        <f t="shared" si="5"/>
        <v>280041000</v>
      </c>
      <c r="S139" s="252">
        <f t="shared" si="6"/>
        <v>22459000</v>
      </c>
      <c r="T139" s="252">
        <f t="shared" si="7"/>
        <v>182141200</v>
      </c>
      <c r="U139" s="60">
        <f t="shared" si="8"/>
        <v>484641200</v>
      </c>
      <c r="W139" s="253">
        <f t="shared" si="9"/>
        <v>0.63161778239241728</v>
      </c>
      <c r="X139" s="253">
        <f t="shared" si="10"/>
        <v>5.9985201423238467E-2</v>
      </c>
      <c r="Y139" s="253">
        <f t="shared" si="11"/>
        <v>0.28389373416870045</v>
      </c>
      <c r="Z139" s="253">
        <f t="shared" si="12"/>
        <v>2.4503282015643738E-2</v>
      </c>
      <c r="AB139" s="297">
        <f t="shared" si="13"/>
        <v>34.244681429408203</v>
      </c>
      <c r="AC139" s="298">
        <f t="shared" si="14"/>
        <v>0</v>
      </c>
      <c r="AD139" s="298">
        <f t="shared" si="15"/>
        <v>34.244681429408203</v>
      </c>
      <c r="AE139" s="298">
        <f t="shared" si="16"/>
        <v>20.524779978842908</v>
      </c>
      <c r="AF139" s="298">
        <f t="shared" si="17"/>
        <v>13.71990145056529</v>
      </c>
      <c r="AG139" s="296">
        <f t="shared" si="18"/>
        <v>0.91068168662896831</v>
      </c>
      <c r="AH139" s="299">
        <f t="shared" si="23"/>
        <v>0</v>
      </c>
      <c r="AI139" s="299">
        <f t="shared" si="24"/>
        <v>1.4959859626394942</v>
      </c>
      <c r="AJ139" s="65">
        <v>1</v>
      </c>
      <c r="AK139" t="s">
        <v>4800</v>
      </c>
      <c r="AL139" s="60">
        <f>R138</f>
        <v>0</v>
      </c>
      <c r="AM139" s="60">
        <f t="shared" ref="AM139:AO139" si="34">S138</f>
        <v>0</v>
      </c>
      <c r="AN139" s="60">
        <f t="shared" si="34"/>
        <v>9604300</v>
      </c>
      <c r="AO139" s="60">
        <f t="shared" si="34"/>
        <v>9604300</v>
      </c>
      <c r="AQ139" s="238">
        <f>W137</f>
        <v>0</v>
      </c>
      <c r="AR139" s="238">
        <f t="shared" ref="AR139:AT139" si="35">X137</f>
        <v>0</v>
      </c>
      <c r="AS139" s="238">
        <f t="shared" si="35"/>
        <v>0</v>
      </c>
      <c r="AT139" s="238">
        <f t="shared" si="35"/>
        <v>1</v>
      </c>
    </row>
    <row r="140" spans="1:49">
      <c r="A140" s="251" t="s">
        <v>1068</v>
      </c>
      <c r="B140" s="90"/>
      <c r="C140" s="90"/>
      <c r="D140" s="90"/>
      <c r="E140" s="90"/>
      <c r="F140" s="90">
        <v>25500</v>
      </c>
      <c r="G140" s="90">
        <v>1345500</v>
      </c>
      <c r="H140" s="90"/>
      <c r="I140" s="90"/>
      <c r="J140" s="90"/>
      <c r="K140" s="90">
        <v>3822900</v>
      </c>
      <c r="L140" s="90">
        <v>5000000</v>
      </c>
      <c r="M140" s="90"/>
      <c r="N140" s="90">
        <v>10193900</v>
      </c>
      <c r="Q140" s="251" t="s">
        <v>1068</v>
      </c>
      <c r="R140" s="252">
        <f t="shared" si="5"/>
        <v>0</v>
      </c>
      <c r="S140" s="252">
        <f t="shared" si="6"/>
        <v>0</v>
      </c>
      <c r="T140" s="252">
        <f t="shared" si="7"/>
        <v>10193900</v>
      </c>
      <c r="U140" s="60">
        <f t="shared" si="8"/>
        <v>10193900</v>
      </c>
      <c r="W140" s="253">
        <f t="shared" si="9"/>
        <v>0.13449219631348158</v>
      </c>
      <c r="X140" s="253">
        <f t="shared" si="10"/>
        <v>0</v>
      </c>
      <c r="Y140" s="253">
        <f t="shared" si="11"/>
        <v>0.3750183933528875</v>
      </c>
      <c r="Z140" s="253">
        <f t="shared" si="12"/>
        <v>0.49048941033363092</v>
      </c>
      <c r="AB140" s="297">
        <f t="shared" si="13"/>
        <v>0</v>
      </c>
      <c r="AC140" s="298">
        <f t="shared" si="14"/>
        <v>0</v>
      </c>
      <c r="AD140" s="298">
        <f t="shared" si="15"/>
        <v>0</v>
      </c>
      <c r="AE140" s="298">
        <f t="shared" si="16"/>
        <v>0</v>
      </c>
      <c r="AF140" s="298">
        <f t="shared" si="17"/>
        <v>0</v>
      </c>
      <c r="AG140" s="296">
        <f t="shared" si="18"/>
        <v>0</v>
      </c>
      <c r="AH140" s="299" t="e">
        <f t="shared" si="23"/>
        <v>#DIV/0!</v>
      </c>
      <c r="AI140" s="299" t="e">
        <f t="shared" si="24"/>
        <v>#DIV/0!</v>
      </c>
      <c r="AJ140" s="65">
        <v>1</v>
      </c>
      <c r="AK140" t="s">
        <v>7635</v>
      </c>
      <c r="AL140" s="60"/>
      <c r="AM140" s="60"/>
      <c r="AN140" s="60"/>
      <c r="AO140" s="60"/>
      <c r="AQ140" s="238"/>
      <c r="AR140" s="238"/>
      <c r="AS140" s="238"/>
      <c r="AT140" s="238"/>
    </row>
    <row r="141" spans="1:49">
      <c r="A141" s="251" t="s">
        <v>979</v>
      </c>
      <c r="B141" s="90">
        <v>-1000000</v>
      </c>
      <c r="C141" s="90">
        <v>-6000</v>
      </c>
      <c r="D141" s="90">
        <v>-3445000</v>
      </c>
      <c r="E141" s="90">
        <v>-71108000</v>
      </c>
      <c r="F141" s="90">
        <v>90025600</v>
      </c>
      <c r="G141" s="90">
        <v>13168400</v>
      </c>
      <c r="H141" s="90">
        <v>8716300</v>
      </c>
      <c r="I141" s="90">
        <v>5423500</v>
      </c>
      <c r="J141" s="90"/>
      <c r="K141" s="90">
        <v>13448700</v>
      </c>
      <c r="L141" s="90">
        <v>1015000</v>
      </c>
      <c r="M141" s="90"/>
      <c r="N141" s="90">
        <v>56238500</v>
      </c>
      <c r="Q141" s="251" t="s">
        <v>979</v>
      </c>
      <c r="R141" s="252">
        <f t="shared" si="5"/>
        <v>71108000</v>
      </c>
      <c r="S141" s="252">
        <f t="shared" si="6"/>
        <v>4451000</v>
      </c>
      <c r="T141" s="252">
        <f t="shared" si="7"/>
        <v>56238500</v>
      </c>
      <c r="U141" s="60">
        <f t="shared" si="8"/>
        <v>131797500</v>
      </c>
      <c r="W141" s="253">
        <f t="shared" si="9"/>
        <v>0.78297388038468108</v>
      </c>
      <c r="X141" s="253">
        <f t="shared" si="10"/>
        <v>0.10728428080957529</v>
      </c>
      <c r="Y141" s="253">
        <f t="shared" si="11"/>
        <v>0.10204063051271837</v>
      </c>
      <c r="Z141" s="253">
        <f t="shared" si="12"/>
        <v>7.7012082930252848E-3</v>
      </c>
      <c r="AB141" s="297"/>
      <c r="AC141" s="298"/>
      <c r="AD141" s="298"/>
      <c r="AE141" s="298"/>
      <c r="AF141" s="298"/>
      <c r="AG141" s="296"/>
      <c r="AH141" s="299"/>
      <c r="AI141" s="299"/>
      <c r="AJ141" s="64"/>
      <c r="AL141" s="318" t="s">
        <v>4765</v>
      </c>
      <c r="AM141" s="318"/>
      <c r="AN141" s="318"/>
      <c r="AO141" s="318"/>
      <c r="AP141" s="318"/>
      <c r="AQ141" s="318"/>
      <c r="AR141" s="318"/>
      <c r="AS141" s="318"/>
      <c r="AT141" s="318"/>
      <c r="AU141" s="318"/>
    </row>
    <row r="142" spans="1:49">
      <c r="A142" s="251" t="s">
        <v>1158</v>
      </c>
      <c r="B142" s="90"/>
      <c r="C142" s="90"/>
      <c r="D142" s="90"/>
      <c r="E142" s="90"/>
      <c r="F142" s="90">
        <v>4392000</v>
      </c>
      <c r="G142" s="90">
        <v>350000</v>
      </c>
      <c r="H142" s="90">
        <v>140000</v>
      </c>
      <c r="I142" s="90">
        <v>71700</v>
      </c>
      <c r="J142" s="90"/>
      <c r="K142" s="90">
        <v>1911000</v>
      </c>
      <c r="L142" s="90">
        <v>478800</v>
      </c>
      <c r="M142" s="90"/>
      <c r="N142" s="90">
        <v>7343500</v>
      </c>
      <c r="Q142" s="251" t="s">
        <v>1158</v>
      </c>
      <c r="R142" s="252">
        <f t="shared" si="5"/>
        <v>0</v>
      </c>
      <c r="S142" s="252">
        <f t="shared" si="6"/>
        <v>0</v>
      </c>
      <c r="T142" s="252">
        <f t="shared" si="7"/>
        <v>7343500</v>
      </c>
      <c r="U142" s="60">
        <f t="shared" si="8"/>
        <v>7343500</v>
      </c>
      <c r="W142" s="253">
        <f t="shared" si="9"/>
        <v>0.64574113161299107</v>
      </c>
      <c r="X142" s="253">
        <f t="shared" si="10"/>
        <v>2.8828215428610336E-2</v>
      </c>
      <c r="Y142" s="253">
        <f t="shared" si="11"/>
        <v>0.26023013549397428</v>
      </c>
      <c r="Z142" s="253">
        <f t="shared" si="12"/>
        <v>6.5200517464424318E-2</v>
      </c>
      <c r="AB142" s="427">
        <f>AO145/$AW$145</f>
        <v>0</v>
      </c>
      <c r="AC142" s="428">
        <f>AL145/$AW$145</f>
        <v>0</v>
      </c>
      <c r="AD142" s="428">
        <f>(AN145+AM145)/$AW$145</f>
        <v>0</v>
      </c>
      <c r="AE142" s="428">
        <f>(AN145*(1-יחס_ארנונה)+AM145*AG145)/$AW$145</f>
        <v>0</v>
      </c>
      <c r="AF142" s="428">
        <f>(AN145*יחס_ארנונה+AM145*(1-AG145))/$AW$145</f>
        <v>0</v>
      </c>
      <c r="AG142" s="296">
        <f t="shared" ref="AG142" si="36">IF(SUM($B141:$D141)=0,0,(SUM($B141:$D141)-$C141)/SUM($B141:$D141))</f>
        <v>0.99865198831723212</v>
      </c>
      <c r="AH142" s="299" t="e">
        <f t="shared" ref="AH142" si="37">AC142/$AF142</f>
        <v>#DIV/0!</v>
      </c>
      <c r="AI142" s="299" t="e">
        <f t="shared" ref="AI142" si="38">AE142/$AF142</f>
        <v>#DIV/0!</v>
      </c>
      <c r="AJ142" s="325">
        <v>1</v>
      </c>
      <c r="AK142" s="290"/>
      <c r="AL142" t="s">
        <v>4698</v>
      </c>
      <c r="AM142" t="s">
        <v>4699</v>
      </c>
      <c r="AN142" t="s">
        <v>4700</v>
      </c>
      <c r="AO142" s="245" t="s">
        <v>2566</v>
      </c>
      <c r="AQ142" s="245" t="s">
        <v>4701</v>
      </c>
      <c r="AR142" s="245" t="s">
        <v>4702</v>
      </c>
      <c r="AS142" s="245" t="s">
        <v>4703</v>
      </c>
      <c r="AT142" s="245" t="s">
        <v>4704</v>
      </c>
    </row>
    <row r="143" spans="1:49">
      <c r="A143" s="251" t="s">
        <v>1028</v>
      </c>
      <c r="B143" s="90">
        <v>0</v>
      </c>
      <c r="C143" s="90">
        <v>0</v>
      </c>
      <c r="D143" s="90">
        <v>-6103000</v>
      </c>
      <c r="E143" s="90">
        <v>-118344000</v>
      </c>
      <c r="F143" s="90">
        <v>121175000</v>
      </c>
      <c r="G143" s="90">
        <v>400000</v>
      </c>
      <c r="H143" s="90">
        <v>6434000</v>
      </c>
      <c r="I143" s="90">
        <v>3090800</v>
      </c>
      <c r="J143" s="90"/>
      <c r="K143" s="90">
        <v>23047400</v>
      </c>
      <c r="L143" s="90">
        <v>2338600</v>
      </c>
      <c r="M143" s="90"/>
      <c r="N143" s="90">
        <v>32038800</v>
      </c>
      <c r="Q143" s="251" t="s">
        <v>1028</v>
      </c>
      <c r="R143" s="252">
        <f t="shared" si="5"/>
        <v>118344000</v>
      </c>
      <c r="S143" s="252">
        <f t="shared" si="6"/>
        <v>6103000</v>
      </c>
      <c r="T143" s="252">
        <f t="shared" si="7"/>
        <v>32038800</v>
      </c>
      <c r="U143" s="60">
        <f t="shared" si="8"/>
        <v>156485800</v>
      </c>
      <c r="W143" s="253">
        <f t="shared" si="9"/>
        <v>0.77690755327320438</v>
      </c>
      <c r="X143" s="253">
        <f t="shared" si="10"/>
        <v>6.0866864597298925E-2</v>
      </c>
      <c r="Y143" s="253">
        <f t="shared" si="11"/>
        <v>0.14728109515368168</v>
      </c>
      <c r="Z143" s="253">
        <f t="shared" si="12"/>
        <v>1.4944486975815059E-2</v>
      </c>
      <c r="AB143" s="427">
        <f>AO143/$AW$143</f>
        <v>14575.10687273923</v>
      </c>
      <c r="AC143" s="428">
        <f>AL143/$AW$143</f>
        <v>11213.4166392634</v>
      </c>
      <c r="AD143" s="428">
        <f>(AN143+AM143)/$AW$143</f>
        <v>3361.6902334758302</v>
      </c>
      <c r="AE143" s="428">
        <f>(AN143*(1-יחס_ארנונה)+AM143*AG143)/$AW$143</f>
        <v>1877.5603114058044</v>
      </c>
      <c r="AF143" s="428">
        <f>(AN143*יחס_ארנונה+AM143*(1-AG143))/$AW$143</f>
        <v>1484.1299220700257</v>
      </c>
      <c r="AG143" s="296">
        <v>0.33</v>
      </c>
      <c r="AH143" s="299">
        <f t="shared" ref="AH143:AH148" si="39">AC143/$AF143</f>
        <v>7.5555491958704115</v>
      </c>
      <c r="AI143" s="299">
        <f t="shared" ref="AI143:AI148" si="40">AE143/$AF143</f>
        <v>1.2650916092218074</v>
      </c>
      <c r="AJ143" s="325">
        <v>1</v>
      </c>
      <c r="AK143" s="245" t="s">
        <v>940</v>
      </c>
      <c r="AL143" s="60">
        <f>R144</f>
        <v>68200000</v>
      </c>
      <c r="AM143" s="60">
        <f t="shared" ref="AM143:AN143" si="41">S144</f>
        <v>3100000</v>
      </c>
      <c r="AN143" s="60">
        <f t="shared" si="41"/>
        <v>17345800</v>
      </c>
      <c r="AO143" s="60">
        <f>U144</f>
        <v>88645800</v>
      </c>
      <c r="AQ143" s="238">
        <f>W144</f>
        <v>0.53626906181680345</v>
      </c>
      <c r="AR143" s="238">
        <f t="shared" ref="AR143:AT143" si="42">X144</f>
        <v>3.7260648558645755E-2</v>
      </c>
      <c r="AS143" s="238">
        <f t="shared" si="42"/>
        <v>0.42647028962455075</v>
      </c>
      <c r="AT143" s="238">
        <f t="shared" si="42"/>
        <v>0</v>
      </c>
      <c r="AU143" s="304">
        <f>SUM(AQ143:AT143)</f>
        <v>1</v>
      </c>
      <c r="AV143" s="129" t="str">
        <f>דמוגרפיה!B46</f>
        <v>גנ"י במימון העירייה</v>
      </c>
      <c r="AW143">
        <f>דמוגרפיה!P46</f>
        <v>6082</v>
      </c>
    </row>
    <row r="144" spans="1:49">
      <c r="A144" s="251" t="s">
        <v>940</v>
      </c>
      <c r="B144" s="90"/>
      <c r="C144" s="90">
        <v>-2000000</v>
      </c>
      <c r="D144" s="90">
        <v>-1100000</v>
      </c>
      <c r="E144" s="90">
        <v>-68200000</v>
      </c>
      <c r="F144" s="90">
        <v>47538000</v>
      </c>
      <c r="G144" s="90"/>
      <c r="H144" s="90">
        <v>864000</v>
      </c>
      <c r="I144" s="90">
        <v>2439000</v>
      </c>
      <c r="J144" s="90"/>
      <c r="K144" s="90">
        <v>37804800</v>
      </c>
      <c r="L144" s="90"/>
      <c r="M144" s="90"/>
      <c r="N144" s="90">
        <v>17345800</v>
      </c>
      <c r="Q144" s="251" t="s">
        <v>940</v>
      </c>
      <c r="R144" s="252">
        <f t="shared" si="5"/>
        <v>68200000</v>
      </c>
      <c r="S144" s="252">
        <f t="shared" si="6"/>
        <v>3100000</v>
      </c>
      <c r="T144" s="252">
        <f t="shared" si="7"/>
        <v>17345800</v>
      </c>
      <c r="U144" s="60">
        <f t="shared" si="8"/>
        <v>88645800</v>
      </c>
      <c r="W144" s="253">
        <f t="shared" si="9"/>
        <v>0.53626906181680345</v>
      </c>
      <c r="X144" s="253">
        <f t="shared" si="10"/>
        <v>3.7260648558645755E-2</v>
      </c>
      <c r="Y144" s="253">
        <f t="shared" si="11"/>
        <v>0.42647028962455075</v>
      </c>
      <c r="Z144" s="253">
        <f t="shared" si="12"/>
        <v>0</v>
      </c>
      <c r="AB144" s="427">
        <f>AO144/$AW$144</f>
        <v>8365.4395430022214</v>
      </c>
      <c r="AC144" s="428">
        <f>AL144/$AW$144</f>
        <v>4513.3608378292602</v>
      </c>
      <c r="AD144" s="428">
        <f>(AN144+AM144)/$AW$144</f>
        <v>3852.0787051729608</v>
      </c>
      <c r="AE144" s="428">
        <f>(AN144*(1-יחס_ארנונה)+AM144*AG144)/$AW$144</f>
        <v>2139.4429046774517</v>
      </c>
      <c r="AF144" s="428">
        <f>(AN144*יחס_ארנונה+AM144*(1-AG144))/$AW$144</f>
        <v>1712.6358004955086</v>
      </c>
      <c r="AG144" s="296">
        <f>IF(SUM($B140:$D140)=0,0,(SUM($B140:$D140)-$C140)/SUM($B140:$D140))</f>
        <v>0</v>
      </c>
      <c r="AH144" s="299">
        <f t="shared" si="39"/>
        <v>2.6353301948513694</v>
      </c>
      <c r="AI144" s="299">
        <f t="shared" si="40"/>
        <v>1.2492106635038558</v>
      </c>
      <c r="AJ144" s="64">
        <v>1</v>
      </c>
      <c r="AK144" s="245" t="s">
        <v>979</v>
      </c>
      <c r="AL144" s="60">
        <f>R141</f>
        <v>71108000</v>
      </c>
      <c r="AM144" s="60">
        <f t="shared" ref="AM144:AN144" si="43">S141</f>
        <v>4451000</v>
      </c>
      <c r="AN144" s="60">
        <f t="shared" si="43"/>
        <v>56238500</v>
      </c>
      <c r="AO144" s="60">
        <f>U141</f>
        <v>131797500</v>
      </c>
      <c r="AP144" s="60"/>
      <c r="AQ144" s="238">
        <f>W141</f>
        <v>0.78297388038468108</v>
      </c>
      <c r="AR144" s="238">
        <f t="shared" ref="AR144:AT144" si="44">X141</f>
        <v>0.10728428080957529</v>
      </c>
      <c r="AS144" s="238">
        <f t="shared" si="44"/>
        <v>0.10204063051271837</v>
      </c>
      <c r="AT144" s="238">
        <f t="shared" si="44"/>
        <v>7.7012082930252848E-3</v>
      </c>
      <c r="AU144" s="304">
        <f t="shared" ref="AU144:AU150" si="45">SUM(AQ144:AT144)</f>
        <v>1</v>
      </c>
      <c r="AV144" s="129" t="str">
        <f>דמוגרפיה!B47</f>
        <v>יסודי במימון העירייה</v>
      </c>
      <c r="AW144">
        <f>דמוגרפיה!P47</f>
        <v>15755</v>
      </c>
    </row>
    <row r="145" spans="1:53">
      <c r="A145" s="251" t="s">
        <v>935</v>
      </c>
      <c r="B145" s="90"/>
      <c r="C145" s="90"/>
      <c r="D145" s="90"/>
      <c r="E145" s="90">
        <v>0</v>
      </c>
      <c r="F145" s="90">
        <v>14398000</v>
      </c>
      <c r="G145" s="90"/>
      <c r="H145" s="90">
        <v>477300</v>
      </c>
      <c r="I145" s="90">
        <v>211300</v>
      </c>
      <c r="J145" s="90"/>
      <c r="K145" s="90">
        <v>4360300</v>
      </c>
      <c r="L145" s="90"/>
      <c r="M145" s="90"/>
      <c r="N145" s="90">
        <v>19446900</v>
      </c>
      <c r="Q145" s="251" t="s">
        <v>935</v>
      </c>
      <c r="R145" s="252">
        <f t="shared" si="5"/>
        <v>0</v>
      </c>
      <c r="S145" s="252">
        <f t="shared" si="6"/>
        <v>0</v>
      </c>
      <c r="T145" s="252">
        <f t="shared" si="7"/>
        <v>19446900</v>
      </c>
      <c r="U145" s="60">
        <f t="shared" si="8"/>
        <v>19446900</v>
      </c>
      <c r="W145" s="253">
        <f t="shared" si="9"/>
        <v>0.74037507263368452</v>
      </c>
      <c r="X145" s="253">
        <f t="shared" si="10"/>
        <v>3.5409242604219696E-2</v>
      </c>
      <c r="Y145" s="253">
        <f t="shared" si="11"/>
        <v>0.22421568476209575</v>
      </c>
      <c r="Z145" s="253">
        <f t="shared" si="12"/>
        <v>0</v>
      </c>
      <c r="AB145" s="427">
        <f>AO145/$AW$145</f>
        <v>0</v>
      </c>
      <c r="AC145" s="428">
        <f>AL145/$AW$145</f>
        <v>0</v>
      </c>
      <c r="AD145" s="428">
        <f>(AN145+AM145)/$AW$145</f>
        <v>0</v>
      </c>
      <c r="AE145" s="428">
        <f>(AN145*(1-יחס_ארנונה)+AM145*AG145)/$AW$145</f>
        <v>0</v>
      </c>
      <c r="AF145" s="428">
        <f>(AN145*יחס_ארנונה+AM145*(1-AG145))/$AW$145</f>
        <v>0</v>
      </c>
      <c r="AG145" s="296">
        <v>1</v>
      </c>
      <c r="AH145" s="299" t="e">
        <f t="shared" si="39"/>
        <v>#DIV/0!</v>
      </c>
      <c r="AI145" s="299" t="e">
        <f t="shared" si="40"/>
        <v>#DIV/0!</v>
      </c>
      <c r="AJ145" s="64">
        <v>1</v>
      </c>
      <c r="AK145" s="245" t="s">
        <v>2</v>
      </c>
      <c r="AL145" s="60">
        <f>R125</f>
        <v>0</v>
      </c>
      <c r="AM145" s="60">
        <f t="shared" ref="AM145:AN145" si="46">S125</f>
        <v>0</v>
      </c>
      <c r="AN145" s="60">
        <f t="shared" si="46"/>
        <v>0</v>
      </c>
      <c r="AO145" s="60">
        <f>U125</f>
        <v>0</v>
      </c>
      <c r="AQ145" s="238">
        <f>W125</f>
        <v>0</v>
      </c>
      <c r="AR145" s="238">
        <f t="shared" ref="AR145:AT145" si="47">X125</f>
        <v>0</v>
      </c>
      <c r="AS145" s="238">
        <f t="shared" si="47"/>
        <v>0</v>
      </c>
      <c r="AT145" s="238">
        <f t="shared" si="47"/>
        <v>0</v>
      </c>
      <c r="AU145" s="304">
        <f t="shared" si="45"/>
        <v>0</v>
      </c>
      <c r="AV145" s="129" t="str">
        <f>דמוגרפיה!B48</f>
        <v>חט"ב במימון העירייה</v>
      </c>
      <c r="AW145">
        <f>דמוגרפיה!P48</f>
        <v>4729</v>
      </c>
    </row>
    <row r="146" spans="1:53">
      <c r="A146" s="251" t="s">
        <v>1163</v>
      </c>
      <c r="B146" s="90"/>
      <c r="C146" s="90"/>
      <c r="D146" s="90"/>
      <c r="E146" s="90"/>
      <c r="F146" s="90"/>
      <c r="G146" s="90">
        <v>1286000</v>
      </c>
      <c r="H146" s="90">
        <v>77000</v>
      </c>
      <c r="I146" s="90"/>
      <c r="J146" s="90"/>
      <c r="K146" s="90"/>
      <c r="L146" s="90"/>
      <c r="M146" s="90"/>
      <c r="N146" s="90">
        <v>1363000</v>
      </c>
      <c r="O146" s="283"/>
      <c r="Q146" s="251" t="s">
        <v>1163</v>
      </c>
      <c r="R146" s="252">
        <f t="shared" si="5"/>
        <v>0</v>
      </c>
      <c r="S146" s="252">
        <f t="shared" si="6"/>
        <v>0</v>
      </c>
      <c r="T146" s="252">
        <f t="shared" si="7"/>
        <v>1363000</v>
      </c>
      <c r="U146" s="60">
        <f t="shared" si="8"/>
        <v>1363000</v>
      </c>
      <c r="W146" s="253">
        <f t="shared" si="9"/>
        <v>0.94350696991929572</v>
      </c>
      <c r="X146" s="253">
        <f t="shared" si="10"/>
        <v>5.6493030080704332E-2</v>
      </c>
      <c r="Y146" s="253">
        <f t="shared" si="11"/>
        <v>0</v>
      </c>
      <c r="Z146" s="253">
        <f t="shared" si="12"/>
        <v>0</v>
      </c>
      <c r="AB146" s="427">
        <f>AO146/$AW$146</f>
        <v>38743.698935380045</v>
      </c>
      <c r="AC146" s="428">
        <f>AL146/$AW$146</f>
        <v>29300.321861846991</v>
      </c>
      <c r="AD146" s="428">
        <f>(AN146+AM146)/$AW$146</f>
        <v>9443.3770735330527</v>
      </c>
      <c r="AE146" s="428">
        <f>(AN146*(1-יחס_ארנונה)+AM146*AG146)/($AW$146)</f>
        <v>4754.3129779737055</v>
      </c>
      <c r="AF146" s="428">
        <f>(AN146*יחס_ארנונה+AM146*(1-AG146))/$AW$146</f>
        <v>4689.0640955593472</v>
      </c>
      <c r="AG146" s="296">
        <f>IF(SUM($B142:$D142)=0,0,(SUM($B142:$D142)-$C142)/SUM($B142:$D142))</f>
        <v>0</v>
      </c>
      <c r="AH146" s="299">
        <f t="shared" si="39"/>
        <v>6.2486503201342627</v>
      </c>
      <c r="AI146" s="299">
        <f t="shared" si="40"/>
        <v>1.0139151184723942</v>
      </c>
      <c r="AJ146" s="64">
        <v>1</v>
      </c>
      <c r="AK146" s="245" t="s">
        <v>1028</v>
      </c>
      <c r="AL146" s="60">
        <f>R143</f>
        <v>118344000</v>
      </c>
      <c r="AM146" s="60">
        <f t="shared" ref="AM146:AN146" si="48">S143</f>
        <v>6103000</v>
      </c>
      <c r="AN146" s="60">
        <f t="shared" si="48"/>
        <v>32038800</v>
      </c>
      <c r="AO146" s="60">
        <f>U143</f>
        <v>156485800</v>
      </c>
      <c r="AQ146" s="238">
        <f>W143</f>
        <v>0.77690755327320438</v>
      </c>
      <c r="AR146" s="238">
        <f t="shared" ref="AR146:AT146" si="49">X143</f>
        <v>6.0866864597298925E-2</v>
      </c>
      <c r="AS146" s="238">
        <f t="shared" si="49"/>
        <v>0.14728109515368168</v>
      </c>
      <c r="AT146" s="238">
        <f t="shared" si="49"/>
        <v>1.4944486975815059E-2</v>
      </c>
      <c r="AU146" s="304">
        <f t="shared" si="45"/>
        <v>1</v>
      </c>
      <c r="AV146" s="129" t="str">
        <f>דמוגרפיה!B49</f>
        <v>חט"ע במימון העירייה</v>
      </c>
      <c r="AW146">
        <f>דמוגרפיה!P49</f>
        <v>4039</v>
      </c>
    </row>
    <row r="147" spans="1:53">
      <c r="A147" s="251" t="s">
        <v>1108</v>
      </c>
      <c r="B147" s="90">
        <v>-8000000</v>
      </c>
      <c r="C147" s="90"/>
      <c r="D147" s="90">
        <v>-805000</v>
      </c>
      <c r="E147" s="90">
        <v>-22389000</v>
      </c>
      <c r="F147" s="90">
        <v>11145300</v>
      </c>
      <c r="G147" s="90">
        <v>858700</v>
      </c>
      <c r="H147" s="90">
        <v>999600</v>
      </c>
      <c r="I147" s="90">
        <v>126800</v>
      </c>
      <c r="J147" s="90"/>
      <c r="K147" s="90">
        <v>53191500</v>
      </c>
      <c r="L147" s="90">
        <v>3042900</v>
      </c>
      <c r="M147" s="90"/>
      <c r="N147" s="90">
        <v>38170800</v>
      </c>
      <c r="O147" s="283"/>
      <c r="Q147" s="251" t="s">
        <v>1108</v>
      </c>
      <c r="R147" s="252">
        <f t="shared" si="5"/>
        <v>22389000</v>
      </c>
      <c r="S147" s="252">
        <f t="shared" si="6"/>
        <v>8805000</v>
      </c>
      <c r="T147" s="252">
        <f t="shared" si="7"/>
        <v>38170800</v>
      </c>
      <c r="U147" s="60">
        <f t="shared" si="8"/>
        <v>69364800</v>
      </c>
      <c r="W147" s="253">
        <f t="shared" si="9"/>
        <v>0.17305607455078079</v>
      </c>
      <c r="X147" s="253">
        <f t="shared" si="10"/>
        <v>1.6238783936521117E-2</v>
      </c>
      <c r="Y147" s="253">
        <f t="shared" si="11"/>
        <v>0.76683707009895508</v>
      </c>
      <c r="Z147" s="253">
        <f t="shared" si="12"/>
        <v>4.3868071413742993E-2</v>
      </c>
      <c r="AB147" s="427">
        <f>AO147/$AW$147</f>
        <v>2946.4041823231496</v>
      </c>
      <c r="AC147" s="428">
        <f>AL147/$AW$147</f>
        <v>731.54713282143439</v>
      </c>
      <c r="AD147" s="428">
        <f>(AN147+AM147)/$AW$147</f>
        <v>2214.8570495017152</v>
      </c>
      <c r="AE147" s="428">
        <f>(AN147*(1-יחס_ארנונה)+AM147*AG147)/$AW$147</f>
        <v>1442.7537645472878</v>
      </c>
      <c r="AF147" s="428">
        <f>(AN147*יחס_ארנונה+AM147*(1-AG147))/$AW$147</f>
        <v>772.10328495442741</v>
      </c>
      <c r="AG147" s="296">
        <v>1</v>
      </c>
      <c r="AH147" s="299">
        <f t="shared" si="39"/>
        <v>0.94747315168412116</v>
      </c>
      <c r="AI147" s="299">
        <f t="shared" si="40"/>
        <v>1.8686020285905725</v>
      </c>
      <c r="AJ147" s="325">
        <v>1</v>
      </c>
      <c r="AK147" s="245" t="s">
        <v>2481</v>
      </c>
      <c r="AL147" s="60">
        <f>R145+R146+R147</f>
        <v>22389000</v>
      </c>
      <c r="AM147" s="60">
        <f t="shared" ref="AM147:AN147" si="50">S145+S146+S147</f>
        <v>8805000</v>
      </c>
      <c r="AN147" s="60">
        <f t="shared" si="50"/>
        <v>58980700</v>
      </c>
      <c r="AO147" s="60">
        <f>U145+U146+U147</f>
        <v>90174700</v>
      </c>
      <c r="AQ147" s="238">
        <f>SUM(F145:G147)/SUM($F145:$L147)</f>
        <v>0.30704842932662929</v>
      </c>
      <c r="AR147" s="238">
        <f>SUM(H145:I147)/SUM($F145:$L147)</f>
        <v>2.0981494809519743E-2</v>
      </c>
      <c r="AS147" s="238">
        <f>SUM(K145:K147)/SUM($F145:$L147)</f>
        <v>0.63822557768420629</v>
      </c>
      <c r="AT147" s="238">
        <f>SUM(L145:L147)/SUM($F145:$L147)</f>
        <v>3.3744498179644623E-2</v>
      </c>
      <c r="AU147" s="304">
        <f t="shared" si="45"/>
        <v>1</v>
      </c>
      <c r="AV147" s="129" t="str">
        <f>דמוגרפיה!B50</f>
        <v>סה"כ תלמידים במימון העייריה</v>
      </c>
      <c r="AW147">
        <f>דמוגרפיה!P50</f>
        <v>30605</v>
      </c>
    </row>
    <row r="148" spans="1:53" ht="13.5" thickBot="1">
      <c r="A148" s="152" t="s">
        <v>1597</v>
      </c>
      <c r="B148" s="90"/>
      <c r="C148" s="90"/>
      <c r="D148" s="90"/>
      <c r="E148" s="90"/>
      <c r="F148" s="90">
        <v>37000</v>
      </c>
      <c r="G148" s="90"/>
      <c r="H148" s="90"/>
      <c r="I148" s="90"/>
      <c r="J148" s="90"/>
      <c r="K148" s="90">
        <v>2761700</v>
      </c>
      <c r="L148" s="90">
        <v>5177800</v>
      </c>
      <c r="M148" s="90"/>
      <c r="N148" s="90">
        <v>7976500</v>
      </c>
      <c r="O148" s="283"/>
      <c r="Q148" s="498" t="s">
        <v>1597</v>
      </c>
      <c r="R148" s="252">
        <f t="shared" si="5"/>
        <v>0</v>
      </c>
      <c r="S148" s="252">
        <f t="shared" si="6"/>
        <v>0</v>
      </c>
      <c r="T148" s="252">
        <f t="shared" si="7"/>
        <v>7976500</v>
      </c>
      <c r="U148" s="60">
        <f t="shared" si="8"/>
        <v>7976500</v>
      </c>
      <c r="W148" s="253">
        <f t="shared" si="9"/>
        <v>4.6386259637685705E-3</v>
      </c>
      <c r="X148" s="253">
        <f t="shared" si="10"/>
        <v>0</v>
      </c>
      <c r="Y148" s="253">
        <f t="shared" si="11"/>
        <v>0.34622954930107191</v>
      </c>
      <c r="Z148" s="253">
        <f t="shared" si="12"/>
        <v>0.64913182473515951</v>
      </c>
      <c r="AB148" s="429">
        <f>AO148/לא_ילדים</f>
        <v>33.949455315923991</v>
      </c>
      <c r="AC148" s="430">
        <f>AL148/לא_ילדים</f>
        <v>0</v>
      </c>
      <c r="AD148" s="430">
        <f>(AN148+AM148)/לא_ילדים</f>
        <v>33.949455315923991</v>
      </c>
      <c r="AE148" s="430">
        <f>(AN148*(1-יחס_ארנונה)+AM148*AG148)/לא_ילדים</f>
        <v>20.347834223462964</v>
      </c>
      <c r="AF148" s="430">
        <f>(AN148*יחס_ארנונה+AM148*(1-AG148))/לא_ילדים</f>
        <v>13.601621092461031</v>
      </c>
      <c r="AG148" s="296">
        <f t="shared" ref="AG148:AG152" si="51">IF(SUM($B147:$D147)=0,0,(SUM($B147:$D147)-$C147)/SUM($B147:$D147))</f>
        <v>1</v>
      </c>
      <c r="AH148" s="303">
        <f t="shared" si="39"/>
        <v>0</v>
      </c>
      <c r="AI148" s="303">
        <f t="shared" si="40"/>
        <v>1.4959859626394942</v>
      </c>
      <c r="AJ148" s="329">
        <v>1</v>
      </c>
      <c r="AK148" s="245" t="s">
        <v>4767</v>
      </c>
      <c r="AL148" s="60">
        <f>R142</f>
        <v>0</v>
      </c>
      <c r="AM148" s="60">
        <f t="shared" ref="AM148:AN148" si="52">S142</f>
        <v>0</v>
      </c>
      <c r="AN148" s="60">
        <f t="shared" si="52"/>
        <v>7343500</v>
      </c>
      <c r="AO148" s="60">
        <f>U142</f>
        <v>7343500</v>
      </c>
      <c r="AQ148" s="238">
        <f>W142</f>
        <v>0.64574113161299107</v>
      </c>
      <c r="AR148" s="238">
        <f t="shared" ref="AR148:AT148" si="53">X142</f>
        <v>2.8828215428610336E-2</v>
      </c>
      <c r="AS148" s="238">
        <f t="shared" si="53"/>
        <v>0.26023013549397428</v>
      </c>
      <c r="AT148" s="238">
        <f t="shared" si="53"/>
        <v>6.5200517464424318E-2</v>
      </c>
      <c r="AU148" s="304">
        <f t="shared" si="45"/>
        <v>1</v>
      </c>
      <c r="AV148" t="s">
        <v>6372</v>
      </c>
      <c r="AW148">
        <f>AW146+AW145</f>
        <v>8768</v>
      </c>
    </row>
    <row r="149" spans="1:53">
      <c r="A149" s="251" t="s">
        <v>4696</v>
      </c>
      <c r="B149" s="90"/>
      <c r="C149" s="90"/>
      <c r="D149" s="90"/>
      <c r="E149" s="90"/>
      <c r="F149" s="90">
        <v>37000</v>
      </c>
      <c r="G149" s="90"/>
      <c r="H149" s="90"/>
      <c r="I149" s="90"/>
      <c r="J149" s="90"/>
      <c r="K149" s="90">
        <v>2761700</v>
      </c>
      <c r="L149" s="90">
        <v>5177800</v>
      </c>
      <c r="M149" s="90"/>
      <c r="N149" s="90">
        <v>7976500</v>
      </c>
      <c r="O149" s="283"/>
      <c r="Q149" s="251" t="s">
        <v>4696</v>
      </c>
      <c r="R149" s="252">
        <f t="shared" si="5"/>
        <v>0</v>
      </c>
      <c r="S149" s="252">
        <f t="shared" si="6"/>
        <v>0</v>
      </c>
      <c r="T149" s="252">
        <f t="shared" si="7"/>
        <v>7976500</v>
      </c>
      <c r="U149" s="60">
        <f t="shared" si="8"/>
        <v>7976500</v>
      </c>
      <c r="W149" s="253">
        <f t="shared" si="9"/>
        <v>4.6386259637685705E-3</v>
      </c>
      <c r="X149" s="253">
        <f t="shared" si="10"/>
        <v>0</v>
      </c>
      <c r="Y149" s="253">
        <f t="shared" si="11"/>
        <v>0.34622954930107191</v>
      </c>
      <c r="Z149" s="253">
        <f t="shared" si="12"/>
        <v>0.64913182473515951</v>
      </c>
      <c r="AB149" s="427">
        <f>AO149/$AW$148</f>
        <v>17847.376824817518</v>
      </c>
      <c r="AC149" s="428">
        <f>AL149/$AW$148</f>
        <v>13497.262773722628</v>
      </c>
      <c r="AD149" s="428">
        <f>(AN149+AM149)/$AW$148</f>
        <v>4350.1140510948908</v>
      </c>
      <c r="AE149" s="428">
        <f>(AN149*(1-יחס_ארנונה)+AM149*AG149)/$AW$148</f>
        <v>2190.0855517832797</v>
      </c>
      <c r="AF149" s="428">
        <f>(AN149*יחס_ארנונה+AM149*(1-AG149))/$AW$148</f>
        <v>2160.0284993116106</v>
      </c>
      <c r="AG149" s="296">
        <f t="shared" si="51"/>
        <v>0</v>
      </c>
      <c r="AH149" s="299">
        <f t="shared" ref="AH149" si="54">AC149/$AF149</f>
        <v>6.2486503201342636</v>
      </c>
      <c r="AI149" s="299">
        <f t="shared" ref="AI149" si="55">AE149/$AF149</f>
        <v>1.0139151184723942</v>
      </c>
      <c r="AJ149" s="325">
        <v>1</v>
      </c>
      <c r="AK149" s="245" t="s">
        <v>7638</v>
      </c>
      <c r="AL149" s="60">
        <f>AL145+AL146</f>
        <v>118344000</v>
      </c>
      <c r="AM149" s="60">
        <f t="shared" ref="AM149:AO149" si="56">AM145+AM146</f>
        <v>6103000</v>
      </c>
      <c r="AN149" s="60">
        <f t="shared" si="56"/>
        <v>32038800</v>
      </c>
      <c r="AO149" s="60">
        <f t="shared" si="56"/>
        <v>156485800</v>
      </c>
      <c r="AQ149" s="238">
        <f>W143</f>
        <v>0.77690755327320438</v>
      </c>
      <c r="AR149" s="238">
        <f t="shared" ref="AR149:AT149" si="57">X143</f>
        <v>6.0866864597298925E-2</v>
      </c>
      <c r="AS149" s="238">
        <f t="shared" si="57"/>
        <v>0.14728109515368168</v>
      </c>
      <c r="AT149" s="238">
        <f t="shared" si="57"/>
        <v>1.4944486975815059E-2</v>
      </c>
      <c r="AU149" s="304">
        <f t="shared" si="45"/>
        <v>1</v>
      </c>
    </row>
    <row r="150" spans="1:53">
      <c r="A150" s="152" t="s">
        <v>1360</v>
      </c>
      <c r="B150" s="90"/>
      <c r="C150" s="90">
        <v>-5826000</v>
      </c>
      <c r="D150" s="90"/>
      <c r="E150" s="90">
        <v>-194470500</v>
      </c>
      <c r="F150" s="90">
        <v>87924900</v>
      </c>
      <c r="G150" s="90"/>
      <c r="H150" s="90">
        <v>1240000</v>
      </c>
      <c r="I150" s="90">
        <v>2402500</v>
      </c>
      <c r="J150" s="90"/>
      <c r="K150" s="90">
        <v>2450800</v>
      </c>
      <c r="L150" s="90">
        <v>182872800</v>
      </c>
      <c r="M150" s="90"/>
      <c r="N150" s="90">
        <v>76594499.999999985</v>
      </c>
      <c r="O150" s="283"/>
      <c r="Q150" s="498" t="s">
        <v>1360</v>
      </c>
      <c r="R150" s="252">
        <f t="shared" si="5"/>
        <v>194470500</v>
      </c>
      <c r="S150" s="252">
        <f t="shared" si="6"/>
        <v>5826000</v>
      </c>
      <c r="T150" s="252">
        <f t="shared" si="7"/>
        <v>76594499.999999985</v>
      </c>
      <c r="U150" s="60">
        <f t="shared" si="8"/>
        <v>276891000</v>
      </c>
      <c r="W150" s="253">
        <f t="shared" si="9"/>
        <v>0.31754336543983014</v>
      </c>
      <c r="X150" s="253">
        <f t="shared" si="10"/>
        <v>1.3154996009259961E-2</v>
      </c>
      <c r="Y150" s="253">
        <f t="shared" si="11"/>
        <v>8.8511363677403736E-3</v>
      </c>
      <c r="Z150" s="253">
        <f t="shared" si="12"/>
        <v>0.66045050218316959</v>
      </c>
      <c r="AB150" s="324">
        <f>AO150/תושבים_2015</f>
        <v>28.44066734917428</v>
      </c>
      <c r="AC150" s="299">
        <f>AL150/תושבים_2015</f>
        <v>0</v>
      </c>
      <c r="AD150" s="299">
        <f>(AM150+AN150)/תושבים_2015</f>
        <v>28.44066734917428</v>
      </c>
      <c r="AE150" s="299">
        <f>(AN150*(1-יחס_ארנונה)+AM150*AG150)/תושבים_2015</f>
        <v>17.046105130123017</v>
      </c>
      <c r="AF150" s="299">
        <f>(AN150*יחס_ארנונה+AM150*(1-AG150))/תושבים_2015</f>
        <v>11.394562219051263</v>
      </c>
      <c r="AG150" s="296">
        <f t="shared" si="51"/>
        <v>0</v>
      </c>
      <c r="AH150" s="299">
        <f>AC150/$AF150</f>
        <v>0</v>
      </c>
      <c r="AI150" s="299">
        <f>AE150/$AF150</f>
        <v>1.4959859626394945</v>
      </c>
      <c r="AJ150" s="325">
        <v>1</v>
      </c>
      <c r="AK150" s="309" t="s">
        <v>4803</v>
      </c>
      <c r="AL150" s="60">
        <f>R148</f>
        <v>0</v>
      </c>
      <c r="AM150" s="60">
        <f t="shared" ref="AM150:AO150" si="58">S148</f>
        <v>0</v>
      </c>
      <c r="AN150" s="60">
        <f t="shared" si="58"/>
        <v>7976500</v>
      </c>
      <c r="AO150" s="60">
        <f t="shared" si="58"/>
        <v>7976500</v>
      </c>
      <c r="AQ150" s="238">
        <f>W148</f>
        <v>4.6386259637685705E-3</v>
      </c>
      <c r="AR150" s="238">
        <f t="shared" ref="AR150:AT150" si="59">X148</f>
        <v>0</v>
      </c>
      <c r="AS150" s="238">
        <f t="shared" si="59"/>
        <v>0.34622954930107191</v>
      </c>
      <c r="AT150" s="238">
        <f t="shared" si="59"/>
        <v>0.64913182473515951</v>
      </c>
      <c r="AU150" s="304">
        <f t="shared" si="45"/>
        <v>1</v>
      </c>
    </row>
    <row r="151" spans="1:53" ht="13.5" thickBot="1">
      <c r="A151" s="251" t="s">
        <v>1365</v>
      </c>
      <c r="B151" s="90"/>
      <c r="C151" s="90"/>
      <c r="D151" s="90"/>
      <c r="E151" s="90">
        <v>-21140000</v>
      </c>
      <c r="F151" s="90">
        <v>65446000</v>
      </c>
      <c r="G151" s="90"/>
      <c r="H151" s="90">
        <v>1240000</v>
      </c>
      <c r="I151" s="90">
        <v>2402500</v>
      </c>
      <c r="J151" s="90"/>
      <c r="K151" s="90">
        <v>2159400</v>
      </c>
      <c r="L151" s="90"/>
      <c r="M151" s="90"/>
      <c r="N151" s="90">
        <v>50107900</v>
      </c>
      <c r="O151" s="283"/>
      <c r="Q151" s="251" t="s">
        <v>1365</v>
      </c>
      <c r="R151" s="252">
        <f t="shared" si="5"/>
        <v>21140000</v>
      </c>
      <c r="S151" s="252">
        <f t="shared" si="6"/>
        <v>0</v>
      </c>
      <c r="T151" s="252">
        <f t="shared" si="7"/>
        <v>50107900</v>
      </c>
      <c r="U151" s="60">
        <f t="shared" si="8"/>
        <v>71247900</v>
      </c>
      <c r="W151" s="253">
        <f t="shared" si="9"/>
        <v>0.91856742444338713</v>
      </c>
      <c r="X151" s="253">
        <f t="shared" si="10"/>
        <v>5.1124313839425443E-2</v>
      </c>
      <c r="Y151" s="253">
        <f t="shared" si="11"/>
        <v>3.0308261717187455E-2</v>
      </c>
      <c r="Z151" s="253">
        <f t="shared" si="12"/>
        <v>0</v>
      </c>
      <c r="AB151" s="324">
        <f>AO151/תושבים_2015</f>
        <v>0</v>
      </c>
      <c r="AC151" s="299">
        <f>AL151/תושבים_2015</f>
        <v>0</v>
      </c>
      <c r="AD151" s="299">
        <f>(AM151+AN151)/תושבים_2015</f>
        <v>0</v>
      </c>
      <c r="AE151" s="299">
        <f>(AN151*(1-יחס_ארנונה)+AM151*AG151)/תושבים_2015</f>
        <v>0</v>
      </c>
      <c r="AF151" s="299">
        <f>(AN151*יחס_ארנונה+AM151*(1-AG151))/תושבים_2015</f>
        <v>0</v>
      </c>
      <c r="AG151" s="296">
        <f t="shared" si="51"/>
        <v>0</v>
      </c>
      <c r="AH151" s="299" t="e">
        <f>AC151/$AF151</f>
        <v>#DIV/0!</v>
      </c>
      <c r="AI151" s="299" t="e">
        <f>AE151/$AF151</f>
        <v>#DIV/0!</v>
      </c>
      <c r="AJ151" s="325">
        <v>1</v>
      </c>
      <c r="AK151" s="309" t="s">
        <v>7636</v>
      </c>
      <c r="AL151" s="60"/>
      <c r="AM151" s="60"/>
      <c r="AN151" s="60"/>
      <c r="AO151" s="60"/>
      <c r="AP151" s="318"/>
      <c r="AQ151" s="238"/>
      <c r="AR151" s="238"/>
      <c r="AS151" s="238"/>
      <c r="AT151" s="238"/>
      <c r="AU151" s="318"/>
      <c r="AV151" t="str">
        <f>חינוך!B33</f>
        <v>חט"ב במימון העירייה</v>
      </c>
      <c r="AW151">
        <f>חינוך!L33</f>
        <v>4729</v>
      </c>
    </row>
    <row r="152" spans="1:53">
      <c r="A152" s="251" t="s">
        <v>1523</v>
      </c>
      <c r="B152" s="90"/>
      <c r="C152" s="90"/>
      <c r="D152" s="90"/>
      <c r="E152" s="90">
        <v>-2195000</v>
      </c>
      <c r="F152" s="90"/>
      <c r="G152" s="90"/>
      <c r="H152" s="90"/>
      <c r="I152" s="90"/>
      <c r="J152" s="90"/>
      <c r="K152" s="90"/>
      <c r="L152" s="90">
        <v>3179700</v>
      </c>
      <c r="M152" s="90"/>
      <c r="N152" s="90">
        <v>984700</v>
      </c>
      <c r="O152" s="238"/>
      <c r="Q152" s="251" t="s">
        <v>1523</v>
      </c>
      <c r="R152" s="252">
        <f t="shared" si="5"/>
        <v>2195000</v>
      </c>
      <c r="S152" s="252">
        <f t="shared" si="6"/>
        <v>0</v>
      </c>
      <c r="T152" s="252">
        <f t="shared" si="7"/>
        <v>984700</v>
      </c>
      <c r="U152" s="60">
        <f t="shared" si="8"/>
        <v>3179700</v>
      </c>
      <c r="W152" s="253">
        <f t="shared" si="9"/>
        <v>0</v>
      </c>
      <c r="X152" s="253">
        <f t="shared" si="10"/>
        <v>0</v>
      </c>
      <c r="Y152" s="253">
        <f t="shared" si="11"/>
        <v>0</v>
      </c>
      <c r="Z152" s="253">
        <f t="shared" si="12"/>
        <v>1</v>
      </c>
      <c r="AB152" s="327">
        <f>U151/תושבים_2015</f>
        <v>254.03846589697662</v>
      </c>
      <c r="AC152" s="294">
        <f>R151/תושבים_2015</f>
        <v>75.375880118039774</v>
      </c>
      <c r="AD152" s="294">
        <f>(T151+S151)/תושבים_2015</f>
        <v>178.66258577893686</v>
      </c>
      <c r="AE152" s="294">
        <f>(T151*(1-יחס_ארנונה)+S151*AG152)/תושבים_2015</f>
        <v>107.08262160718247</v>
      </c>
      <c r="AF152" s="294">
        <f>(T151*יחס_ארנונה+S151*(1-AG152))/תושבים_2015</f>
        <v>71.579964171754369</v>
      </c>
      <c r="AG152" s="293">
        <f t="shared" si="51"/>
        <v>0</v>
      </c>
      <c r="AH152" s="294">
        <f t="shared" ref="AH152" si="60">AC152/$AF152</f>
        <v>1.0530304253460814</v>
      </c>
      <c r="AI152" s="294">
        <f t="shared" ref="AI152" si="61">AE152/$AF152</f>
        <v>1.4959859626394942</v>
      </c>
      <c r="AJ152" s="328">
        <v>1</v>
      </c>
    </row>
    <row r="153" spans="1:53">
      <c r="A153" s="251" t="s">
        <v>10</v>
      </c>
      <c r="B153" s="90"/>
      <c r="C153" s="90">
        <v>-26000</v>
      </c>
      <c r="D153" s="90"/>
      <c r="E153" s="90">
        <v>-10000000</v>
      </c>
      <c r="F153" s="90">
        <v>1372339.0551520479</v>
      </c>
      <c r="G153" s="90"/>
      <c r="H153" s="90"/>
      <c r="I153" s="90"/>
      <c r="J153" s="90"/>
      <c r="K153" s="90"/>
      <c r="L153" s="90">
        <v>10000000</v>
      </c>
      <c r="M153" s="90"/>
      <c r="N153" s="90">
        <v>1346339.0551520474</v>
      </c>
      <c r="O153" s="508"/>
      <c r="P153" s="283"/>
      <c r="Q153" s="251" t="s">
        <v>10</v>
      </c>
      <c r="R153" s="252">
        <f t="shared" si="5"/>
        <v>10000000</v>
      </c>
      <c r="S153" s="252">
        <f t="shared" si="6"/>
        <v>26000</v>
      </c>
      <c r="T153" s="252">
        <f t="shared" si="7"/>
        <v>1346339.0551520474</v>
      </c>
      <c r="U153" s="60">
        <f t="shared" si="8"/>
        <v>11372339.055152047</v>
      </c>
      <c r="W153" s="253">
        <f t="shared" si="9"/>
        <v>0.12067342070058426</v>
      </c>
      <c r="X153" s="253">
        <f t="shared" si="10"/>
        <v>0</v>
      </c>
      <c r="Y153" s="253">
        <f t="shared" si="11"/>
        <v>0</v>
      </c>
      <c r="Z153" s="253">
        <f t="shared" si="12"/>
        <v>0.87932657929941582</v>
      </c>
      <c r="AL153" s="318" t="s">
        <v>4766</v>
      </c>
      <c r="AM153" s="318"/>
      <c r="AN153" s="318"/>
      <c r="AO153" s="318"/>
      <c r="BA153" s="282">
        <v>0</v>
      </c>
    </row>
    <row r="154" spans="1:53">
      <c r="A154" s="251" t="s">
        <v>1453</v>
      </c>
      <c r="B154" s="90"/>
      <c r="C154" s="90">
        <v>-1800000</v>
      </c>
      <c r="D154" s="90"/>
      <c r="E154" s="90">
        <v>-30810000</v>
      </c>
      <c r="F154" s="90">
        <v>3586251.312485537</v>
      </c>
      <c r="G154" s="90"/>
      <c r="H154" s="90"/>
      <c r="I154" s="90"/>
      <c r="J154" s="90"/>
      <c r="K154" s="90">
        <v>291400</v>
      </c>
      <c r="L154" s="90">
        <v>32369200</v>
      </c>
      <c r="M154" s="90"/>
      <c r="N154" s="90">
        <v>3636851.3124855384</v>
      </c>
      <c r="O154" s="508"/>
      <c r="P154" s="283"/>
      <c r="Q154" s="251" t="s">
        <v>1453</v>
      </c>
      <c r="R154" s="252">
        <f t="shared" si="5"/>
        <v>30810000</v>
      </c>
      <c r="S154" s="252">
        <f t="shared" si="6"/>
        <v>1800000</v>
      </c>
      <c r="T154" s="252">
        <f t="shared" si="7"/>
        <v>3636851.3124855384</v>
      </c>
      <c r="U154" s="60">
        <f t="shared" si="8"/>
        <v>36246851.312485538</v>
      </c>
      <c r="W154" s="253">
        <f t="shared" si="9"/>
        <v>9.8939664622681917E-2</v>
      </c>
      <c r="X154" s="253">
        <f t="shared" si="10"/>
        <v>0</v>
      </c>
      <c r="Y154" s="253">
        <f t="shared" si="11"/>
        <v>8.0393189876778286E-3</v>
      </c>
      <c r="Z154" s="253">
        <f t="shared" si="12"/>
        <v>0.89302101638964027</v>
      </c>
      <c r="AL154" t="s">
        <v>4698</v>
      </c>
      <c r="AM154" t="s">
        <v>4699</v>
      </c>
      <c r="AN154" t="s">
        <v>4700</v>
      </c>
      <c r="AO154" s="245" t="s">
        <v>2566</v>
      </c>
      <c r="AQ154" s="245" t="s">
        <v>4701</v>
      </c>
      <c r="AR154" s="245" t="s">
        <v>4702</v>
      </c>
      <c r="AS154" s="245" t="s">
        <v>4703</v>
      </c>
      <c r="AT154" s="245" t="s">
        <v>4704</v>
      </c>
    </row>
    <row r="155" spans="1:53">
      <c r="A155" s="251" t="s">
        <v>1498</v>
      </c>
      <c r="B155" s="90"/>
      <c r="C155" s="90"/>
      <c r="D155" s="90"/>
      <c r="E155" s="90">
        <v>-2658000</v>
      </c>
      <c r="F155" s="90"/>
      <c r="G155" s="90"/>
      <c r="H155" s="90"/>
      <c r="I155" s="90"/>
      <c r="J155" s="90"/>
      <c r="K155" s="90"/>
      <c r="L155" s="90">
        <v>8794100</v>
      </c>
      <c r="M155" s="90"/>
      <c r="N155" s="90">
        <v>6136100</v>
      </c>
      <c r="O155" s="508"/>
      <c r="P155" s="283"/>
      <c r="Q155" s="251" t="s">
        <v>1498</v>
      </c>
      <c r="R155" s="252">
        <f t="shared" si="5"/>
        <v>2658000</v>
      </c>
      <c r="S155" s="252">
        <f t="shared" si="6"/>
        <v>0</v>
      </c>
      <c r="T155" s="252">
        <f t="shared" si="7"/>
        <v>6136100</v>
      </c>
      <c r="U155" s="60">
        <f t="shared" si="8"/>
        <v>8794100</v>
      </c>
      <c r="W155" s="253">
        <f t="shared" si="9"/>
        <v>0</v>
      </c>
      <c r="X155" s="253">
        <f t="shared" si="10"/>
        <v>0</v>
      </c>
      <c r="Y155" s="253">
        <f t="shared" si="11"/>
        <v>0</v>
      </c>
      <c r="Z155" s="253">
        <f t="shared" si="12"/>
        <v>1</v>
      </c>
      <c r="AB155" s="297">
        <f>AO155/תושבים_2015</f>
        <v>285.39433284806717</v>
      </c>
      <c r="AC155" s="298">
        <f>AL155/תושבים_2015</f>
        <v>84.853131270061994</v>
      </c>
      <c r="AD155" s="298">
        <f>(AN155+AM155)/תושבים_2015</f>
        <v>200.54120157800514</v>
      </c>
      <c r="AE155" s="298">
        <f>(AN155*(1-יחס_ארנונה)+AM155*AG155)/תושבים_2015</f>
        <v>120.19571703612348</v>
      </c>
      <c r="AF155" s="298">
        <f>(AN155*יחס_ארנונה+AM155*(1-AG155))/תושבים_2015</f>
        <v>80.345484541881675</v>
      </c>
      <c r="AG155" s="296">
        <v>0</v>
      </c>
      <c r="AH155" s="299">
        <f>AC155/$AF155</f>
        <v>1.0561032988211132</v>
      </c>
      <c r="AI155" s="299">
        <f>AE155/$AF155</f>
        <v>1.4959859626394945</v>
      </c>
      <c r="AJ155" s="64">
        <v>1</v>
      </c>
      <c r="AK155" t="s">
        <v>4769</v>
      </c>
      <c r="AL155" s="60">
        <f>R151+R155</f>
        <v>23798000</v>
      </c>
      <c r="AM155" s="60">
        <f t="shared" ref="AM155:AO155" si="62">S151+S155</f>
        <v>0</v>
      </c>
      <c r="AN155" s="60">
        <f t="shared" si="62"/>
        <v>56244000</v>
      </c>
      <c r="AO155" s="60">
        <f t="shared" si="62"/>
        <v>80042000</v>
      </c>
      <c r="AQ155" s="238">
        <f>($U$151*W151+$U$155*W155)/$AO$155</f>
        <v>0.81764573598860601</v>
      </c>
      <c r="AR155" s="238">
        <f t="shared" ref="AR155:AT155" si="63">($U$151*X151+$U$155*X155)/$AO$155</f>
        <v>4.5507358636715727E-2</v>
      </c>
      <c r="AS155" s="238">
        <f t="shared" si="63"/>
        <v>2.6978336373403963E-2</v>
      </c>
      <c r="AT155" s="238">
        <f t="shared" si="63"/>
        <v>0.10986856900127433</v>
      </c>
    </row>
    <row r="156" spans="1:53">
      <c r="A156" s="251" t="s">
        <v>1408</v>
      </c>
      <c r="B156" s="90"/>
      <c r="C156" s="90">
        <v>-3000000</v>
      </c>
      <c r="D156" s="90"/>
      <c r="E156" s="90">
        <v>-16000000</v>
      </c>
      <c r="F156" s="90">
        <v>2195742.4882432758</v>
      </c>
      <c r="G156" s="90"/>
      <c r="H156" s="90"/>
      <c r="I156" s="90"/>
      <c r="J156" s="90"/>
      <c r="K156" s="90"/>
      <c r="L156" s="90">
        <v>16000000</v>
      </c>
      <c r="M156" s="90"/>
      <c r="N156" s="90">
        <v>-804257.51175672561</v>
      </c>
      <c r="O156" s="508"/>
      <c r="P156" s="283"/>
      <c r="Q156" s="251" t="s">
        <v>1408</v>
      </c>
      <c r="R156" s="252">
        <f t="shared" si="5"/>
        <v>16000000</v>
      </c>
      <c r="S156" s="252">
        <f t="shared" si="6"/>
        <v>3000000</v>
      </c>
      <c r="T156" s="252">
        <f t="shared" si="7"/>
        <v>-804257.51175672561</v>
      </c>
      <c r="U156" s="60">
        <f t="shared" si="8"/>
        <v>18195742.488243274</v>
      </c>
      <c r="W156" s="253">
        <f t="shared" si="9"/>
        <v>0.12067342070058422</v>
      </c>
      <c r="X156" s="253">
        <f t="shared" si="10"/>
        <v>0</v>
      </c>
      <c r="Y156" s="253">
        <f t="shared" si="11"/>
        <v>0</v>
      </c>
      <c r="Z156" s="253">
        <f t="shared" si="12"/>
        <v>0.87932657929941582</v>
      </c>
      <c r="AB156" s="297">
        <f>AO156/תושבים_2015</f>
        <v>1027.0487802997648</v>
      </c>
      <c r="AC156" s="298">
        <f>AL156/תושבים_2015</f>
        <v>701.22209798270342</v>
      </c>
      <c r="AD156" s="298">
        <f>(AN156+AM156)/תושבים_2015</f>
        <v>325.82668231706123</v>
      </c>
      <c r="AE156" s="298">
        <f>(AN156*(1-יחס_ארנונה)+AM156*AG156)/תושבים_2015</f>
        <v>182.83601287297253</v>
      </c>
      <c r="AF156" s="298">
        <f>(AN156*יחס_ארנונה+AM156*(1-AG156))/תושבים_2015</f>
        <v>142.99066944408867</v>
      </c>
      <c r="AG156" s="296">
        <v>0</v>
      </c>
      <c r="AH156" s="331">
        <f>AC156/$AF156</f>
        <v>4.903971012296652</v>
      </c>
      <c r="AI156" s="331">
        <f>AE156/$AF156</f>
        <v>1.2786569472245457</v>
      </c>
      <c r="AJ156" s="333">
        <v>1</v>
      </c>
      <c r="AK156" t="s">
        <v>4768</v>
      </c>
      <c r="AL156" s="60">
        <f>R149+R150+R152</f>
        <v>196665500</v>
      </c>
      <c r="AM156" s="60">
        <f t="shared" ref="AM156:AO156" si="64">S149+S150+S152</f>
        <v>5826000</v>
      </c>
      <c r="AN156" s="60">
        <f t="shared" si="64"/>
        <v>85555699.999999985</v>
      </c>
      <c r="AO156" s="60">
        <f t="shared" si="64"/>
        <v>288047200</v>
      </c>
      <c r="AQ156" s="238">
        <f>(W149*$U$149+W150*$U$150+$U$152*W152)/$AO$156</f>
        <v>0.30537321661172195</v>
      </c>
      <c r="AR156" s="238">
        <f t="shared" ref="AR156:AT156" si="65">(X149*$U$149+X150*$U$150+$U$152*X152)/$AO$156</f>
        <v>1.2645496987993634E-2</v>
      </c>
      <c r="AS156" s="238">
        <f t="shared" si="65"/>
        <v>1.8095992601212578E-2</v>
      </c>
      <c r="AT156" s="238">
        <f t="shared" si="65"/>
        <v>0.6638852937990718</v>
      </c>
    </row>
    <row r="157" spans="1:53">
      <c r="A157" s="251" t="s">
        <v>1388</v>
      </c>
      <c r="B157" s="90"/>
      <c r="C157" s="90">
        <v>-300000</v>
      </c>
      <c r="D157" s="90"/>
      <c r="E157" s="90">
        <v>-42667500</v>
      </c>
      <c r="F157" s="90">
        <v>5855427.6635699989</v>
      </c>
      <c r="G157" s="90"/>
      <c r="H157" s="90"/>
      <c r="I157" s="90"/>
      <c r="J157" s="90"/>
      <c r="K157" s="90"/>
      <c r="L157" s="90">
        <v>42667500</v>
      </c>
      <c r="M157" s="90"/>
      <c r="N157" s="90">
        <v>5555427.6635700017</v>
      </c>
      <c r="O157" s="508"/>
      <c r="P157" s="283"/>
      <c r="Q157" s="251" t="s">
        <v>1388</v>
      </c>
      <c r="R157" s="252">
        <f t="shared" si="5"/>
        <v>42667500</v>
      </c>
      <c r="S157" s="252">
        <f t="shared" si="6"/>
        <v>300000</v>
      </c>
      <c r="T157" s="252">
        <f t="shared" si="7"/>
        <v>5555427.6635700017</v>
      </c>
      <c r="U157" s="60">
        <f t="shared" si="8"/>
        <v>48522927.663570002</v>
      </c>
      <c r="W157" s="253">
        <f t="shared" si="9"/>
        <v>0.12067342070058422</v>
      </c>
      <c r="X157" s="253">
        <f t="shared" si="10"/>
        <v>0</v>
      </c>
      <c r="Y157" s="253">
        <f t="shared" si="11"/>
        <v>0</v>
      </c>
      <c r="Z157" s="253">
        <f t="shared" si="12"/>
        <v>0.87932657929941571</v>
      </c>
      <c r="AB157" s="297">
        <f>AO157/קשישים</f>
        <v>402.61611502178903</v>
      </c>
      <c r="AC157" s="298">
        <f>AL157/קשישים</f>
        <v>354.03105119292985</v>
      </c>
      <c r="AD157" s="298">
        <f>(AN157+AM157)/קשישים</f>
        <v>48.585063828859148</v>
      </c>
      <c r="AE157" s="298">
        <f>(AN157*(1-יחס_ארנונה)+AM157*AG157)/קשישים</f>
        <v>28.568088239932123</v>
      </c>
      <c r="AF157" s="298">
        <f>(AN157*יחס_ארנונה+AM157*(1-AG157))/קשישים</f>
        <v>20.016975588927021</v>
      </c>
      <c r="AG157" s="296">
        <v>0</v>
      </c>
      <c r="AH157" s="299">
        <f>AC157/$AF157</f>
        <v>17.686540587518753</v>
      </c>
      <c r="AI157" s="299">
        <f>AE157/$AF157</f>
        <v>1.4271930398783821</v>
      </c>
      <c r="AJ157" s="64">
        <v>1</v>
      </c>
      <c r="AK157" t="s">
        <v>4771</v>
      </c>
      <c r="AL157" s="60">
        <f>R153</f>
        <v>10000000</v>
      </c>
      <c r="AM157" s="60">
        <f t="shared" ref="AM157:AO157" si="66">S153</f>
        <v>26000</v>
      </c>
      <c r="AN157" s="60">
        <f t="shared" si="66"/>
        <v>1346339.0551520474</v>
      </c>
      <c r="AO157" s="60">
        <f t="shared" si="66"/>
        <v>11372339.055152047</v>
      </c>
      <c r="AQ157" s="304">
        <f>W153</f>
        <v>0.12067342070058426</v>
      </c>
      <c r="AR157" s="304">
        <f t="shared" ref="AR157:AT157" si="67">X153</f>
        <v>0</v>
      </c>
      <c r="AS157" s="304">
        <f t="shared" si="67"/>
        <v>0</v>
      </c>
      <c r="AT157" s="304">
        <f t="shared" si="67"/>
        <v>0.87932657929941582</v>
      </c>
    </row>
    <row r="158" spans="1:53">
      <c r="A158" s="251" t="s">
        <v>1428</v>
      </c>
      <c r="B158" s="90"/>
      <c r="C158" s="90">
        <v>-700000</v>
      </c>
      <c r="D158" s="90"/>
      <c r="E158" s="90">
        <v>-69000000</v>
      </c>
      <c r="F158" s="90">
        <v>9469139.4805491287</v>
      </c>
      <c r="G158" s="90"/>
      <c r="H158" s="90"/>
      <c r="I158" s="90"/>
      <c r="J158" s="90"/>
      <c r="K158" s="90"/>
      <c r="L158" s="90">
        <v>69000000</v>
      </c>
      <c r="M158" s="90"/>
      <c r="N158" s="90">
        <v>8769139.4805491269</v>
      </c>
      <c r="O158" s="508"/>
      <c r="P158" s="283"/>
      <c r="Q158" s="251" t="s">
        <v>1428</v>
      </c>
      <c r="R158" s="252">
        <f t="shared" si="5"/>
        <v>69000000</v>
      </c>
      <c r="S158" s="252">
        <f t="shared" si="6"/>
        <v>700000</v>
      </c>
      <c r="T158" s="252">
        <f t="shared" si="7"/>
        <v>8769139.4805491269</v>
      </c>
      <c r="U158" s="60">
        <f t="shared" si="8"/>
        <v>78469139.480549127</v>
      </c>
      <c r="W158" s="253">
        <f t="shared" si="9"/>
        <v>0.12067342070058423</v>
      </c>
      <c r="X158" s="253">
        <f t="shared" si="10"/>
        <v>0</v>
      </c>
      <c r="Y158" s="253">
        <f t="shared" si="11"/>
        <v>0</v>
      </c>
      <c r="Z158" s="253">
        <f t="shared" si="12"/>
        <v>0.87932657929941582</v>
      </c>
      <c r="AB158" s="297">
        <f>AO158/ילדים</f>
        <v>564.99565560128337</v>
      </c>
      <c r="AC158" s="298">
        <f>AL158/ילדים</f>
        <v>480.2490566423179</v>
      </c>
      <c r="AD158" s="298">
        <f>(AN158+AM158)/ילדים</f>
        <v>84.746598958965521</v>
      </c>
      <c r="AE158" s="298">
        <f>(AN158*(1-יחס_ארנונה)+AM158*AG158)/ילדים</f>
        <v>33.977056149360564</v>
      </c>
      <c r="AF158" s="298">
        <f>(AN158*יחס_ארנונה+AM158*(1-AG158))/ילדים</f>
        <v>50.76954280960495</v>
      </c>
      <c r="AG158" s="296">
        <v>0</v>
      </c>
      <c r="AH158" s="299">
        <f>AC158/$AF158</f>
        <v>9.4593929758898856</v>
      </c>
      <c r="AI158" s="299">
        <f>AE158/$AF158</f>
        <v>0.66924093204425195</v>
      </c>
      <c r="AJ158" s="64">
        <v>1</v>
      </c>
      <c r="AK158" t="s">
        <v>4770</v>
      </c>
      <c r="AL158" s="60">
        <f>R154</f>
        <v>30810000</v>
      </c>
      <c r="AM158" s="60">
        <f t="shared" ref="AM158:AO158" si="68">S154</f>
        <v>1800000</v>
      </c>
      <c r="AN158" s="60">
        <f t="shared" si="68"/>
        <v>3636851.3124855384</v>
      </c>
      <c r="AO158" s="60">
        <f t="shared" si="68"/>
        <v>36246851.312485538</v>
      </c>
      <c r="AQ158" s="304">
        <f>W154</f>
        <v>9.8939664622681917E-2</v>
      </c>
      <c r="AR158" s="304">
        <f t="shared" ref="AR158:AT158" si="69">X154</f>
        <v>0</v>
      </c>
      <c r="AS158" s="304">
        <f t="shared" si="69"/>
        <v>8.0393189876778286E-3</v>
      </c>
      <c r="AT158" s="304">
        <f t="shared" si="69"/>
        <v>0.89302101638964027</v>
      </c>
    </row>
    <row r="159" spans="1:53">
      <c r="A159" s="251" t="s">
        <v>1547</v>
      </c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>
        <v>862300</v>
      </c>
      <c r="M159" s="90"/>
      <c r="N159" s="90">
        <v>862300</v>
      </c>
      <c r="O159" s="508"/>
      <c r="Q159" s="251" t="s">
        <v>1547</v>
      </c>
      <c r="R159" s="252">
        <f t="shared" si="5"/>
        <v>0</v>
      </c>
      <c r="S159" s="252">
        <f t="shared" si="6"/>
        <v>0</v>
      </c>
      <c r="T159" s="252">
        <f t="shared" si="7"/>
        <v>862300</v>
      </c>
      <c r="U159" s="60">
        <f t="shared" si="8"/>
        <v>862300</v>
      </c>
      <c r="W159" s="253">
        <f t="shared" si="9"/>
        <v>0</v>
      </c>
      <c r="X159" s="253">
        <f t="shared" si="10"/>
        <v>0</v>
      </c>
      <c r="Y159" s="253">
        <f t="shared" si="11"/>
        <v>0</v>
      </c>
      <c r="Z159" s="253">
        <f t="shared" si="12"/>
        <v>1</v>
      </c>
      <c r="AB159" s="297">
        <f>AO159/תושבים_2015</f>
        <v>93.318628770770673</v>
      </c>
      <c r="AC159" s="298">
        <f>AL159/תושבים_2015</f>
        <v>57.048915888771823</v>
      </c>
      <c r="AD159" s="298">
        <f>(AN159+AM159)/תושבים_2015</f>
        <v>36.269712881998849</v>
      </c>
      <c r="AE159" s="298">
        <f>(AN159*(1-יחס_ארנונה)+AM159*AG159)/תושבים_2015</f>
        <v>15.327374095571983</v>
      </c>
      <c r="AF159" s="298">
        <f>(AN159*יחס_ארנונה+AM159*(1-AG159))/תושבים_2015</f>
        <v>20.942338786426863</v>
      </c>
      <c r="AG159" s="296">
        <v>0</v>
      </c>
      <c r="AH159" s="299">
        <f>AC159/$AF159</f>
        <v>2.7240947857144939</v>
      </c>
      <c r="AI159" s="299">
        <f>AE159/$AF159</f>
        <v>0.73188454507793332</v>
      </c>
      <c r="AJ159" s="64">
        <v>1</v>
      </c>
      <c r="AK159" t="s">
        <v>4772</v>
      </c>
      <c r="AL159" s="60">
        <f>R148+R156</f>
        <v>16000000</v>
      </c>
      <c r="AM159" s="60">
        <f t="shared" ref="AM159:AO159" si="70">S148+S156</f>
        <v>3000000</v>
      </c>
      <c r="AN159" s="60">
        <f t="shared" si="70"/>
        <v>7172242.4882432744</v>
      </c>
      <c r="AO159" s="60">
        <f t="shared" si="70"/>
        <v>26172242.488243274</v>
      </c>
      <c r="AQ159" s="238">
        <f>(W148*$U$148+W156*$U$156)/$AO$159</f>
        <v>8.5309559899050952E-2</v>
      </c>
      <c r="AR159" s="238">
        <f t="shared" ref="AR159:AT159" si="71">(X148*$U$148+X156*$U$156)/$AO$159</f>
        <v>0</v>
      </c>
      <c r="AS159" s="238">
        <f t="shared" si="71"/>
        <v>0.10552018999673306</v>
      </c>
      <c r="AT159" s="238">
        <f t="shared" si="71"/>
        <v>0.80917025010421606</v>
      </c>
    </row>
    <row r="160" spans="1:53" ht="13.5" thickBot="1">
      <c r="A160" s="152" t="s">
        <v>1173</v>
      </c>
      <c r="B160" s="90"/>
      <c r="C160" s="90">
        <v>-11948800</v>
      </c>
      <c r="D160" s="90"/>
      <c r="E160" s="90">
        <v>-1037000</v>
      </c>
      <c r="F160" s="90">
        <v>30948100</v>
      </c>
      <c r="G160" s="90">
        <v>7604900</v>
      </c>
      <c r="H160" s="90">
        <v>2869100</v>
      </c>
      <c r="I160" s="90">
        <v>845500</v>
      </c>
      <c r="J160" s="90"/>
      <c r="K160" s="90">
        <v>34550000</v>
      </c>
      <c r="L160" s="90">
        <v>67935200</v>
      </c>
      <c r="M160" s="90"/>
      <c r="N160" s="90">
        <v>131767000</v>
      </c>
      <c r="O160" s="241"/>
      <c r="Q160" s="498" t="s">
        <v>1173</v>
      </c>
      <c r="R160" s="252">
        <f t="shared" si="5"/>
        <v>1037000</v>
      </c>
      <c r="S160" s="252">
        <f t="shared" si="6"/>
        <v>11948800</v>
      </c>
      <c r="T160" s="252">
        <f t="shared" si="7"/>
        <v>131767000</v>
      </c>
      <c r="U160" s="60">
        <f t="shared" si="8"/>
        <v>144752800</v>
      </c>
      <c r="W160" s="253">
        <f t="shared" si="9"/>
        <v>0.2663368169734886</v>
      </c>
      <c r="X160" s="253">
        <f t="shared" si="10"/>
        <v>2.5661679774070002E-2</v>
      </c>
      <c r="Y160" s="253">
        <f t="shared" si="11"/>
        <v>0.23868277504822014</v>
      </c>
      <c r="Z160" s="253">
        <f t="shared" si="12"/>
        <v>0.46931872820422127</v>
      </c>
    </row>
    <row r="161" spans="1:47">
      <c r="A161" s="251" t="s">
        <v>1198</v>
      </c>
      <c r="B161" s="90"/>
      <c r="C161" s="90">
        <v>-185000</v>
      </c>
      <c r="D161" s="90"/>
      <c r="E161" s="90"/>
      <c r="F161" s="90"/>
      <c r="G161" s="90"/>
      <c r="H161" s="90"/>
      <c r="I161" s="90">
        <v>0</v>
      </c>
      <c r="J161" s="90"/>
      <c r="K161" s="90"/>
      <c r="L161" s="90">
        <v>10703000</v>
      </c>
      <c r="M161" s="90"/>
      <c r="N161" s="90">
        <v>10518000</v>
      </c>
      <c r="Q161" s="251" t="s">
        <v>1198</v>
      </c>
      <c r="R161" s="252">
        <f t="shared" si="5"/>
        <v>0</v>
      </c>
      <c r="S161" s="252">
        <f t="shared" si="6"/>
        <v>185000</v>
      </c>
      <c r="T161" s="252">
        <f t="shared" si="7"/>
        <v>10518000</v>
      </c>
      <c r="U161" s="60">
        <f t="shared" si="8"/>
        <v>10703000</v>
      </c>
      <c r="W161" s="253">
        <f t="shared" si="9"/>
        <v>0</v>
      </c>
      <c r="X161" s="253">
        <f t="shared" si="10"/>
        <v>0</v>
      </c>
      <c r="Y161" s="253">
        <f t="shared" si="11"/>
        <v>0</v>
      </c>
      <c r="Z161" s="253">
        <f t="shared" si="12"/>
        <v>1</v>
      </c>
      <c r="AB161" s="291">
        <f t="shared" ref="AB161" si="72">U161/תושבים_2015</f>
        <v>38.162159172345305</v>
      </c>
      <c r="AC161" s="292">
        <f t="shared" ref="AC161" si="73">R161/תושבים_2015</f>
        <v>0</v>
      </c>
      <c r="AD161" s="292">
        <f t="shared" ref="AD161" si="74">(T161+S161)/תושבים_2015</f>
        <v>38.162159172345305</v>
      </c>
      <c r="AE161" s="292">
        <f t="shared" ref="AE161" si="75">(T161*(1-יחס_ארנונה)+S161*AG161)/תושבים_2015</f>
        <v>22.477394064894863</v>
      </c>
      <c r="AF161" s="292">
        <f t="shared" ref="AF161" si="76">(T161*יחס_ארנונה+S161*(1-AG161))/תושבים_2015</f>
        <v>15.684765107450438</v>
      </c>
      <c r="AG161" s="293">
        <f>IF(SUM($B161:$D161)=0,0,(SUM($B161:$D161)-$C161)/SUM($B161:$D161))</f>
        <v>0</v>
      </c>
      <c r="AH161" s="294">
        <f t="shared" si="23"/>
        <v>0</v>
      </c>
      <c r="AI161" s="294">
        <f t="shared" si="24"/>
        <v>1.4330717681081402</v>
      </c>
      <c r="AJ161" s="295">
        <v>1</v>
      </c>
      <c r="AL161" s="318" t="s">
        <v>4773</v>
      </c>
      <c r="AM161" s="318"/>
      <c r="AN161" s="318"/>
      <c r="AO161" s="318"/>
      <c r="AP161" s="318"/>
      <c r="AQ161" s="318"/>
      <c r="AR161" s="318"/>
      <c r="AS161" s="318"/>
      <c r="AT161" s="318"/>
      <c r="AU161" s="318"/>
    </row>
    <row r="162" spans="1:47">
      <c r="A162" s="251" t="s">
        <v>1178</v>
      </c>
      <c r="B162" s="90"/>
      <c r="C162" s="90">
        <v>-65000</v>
      </c>
      <c r="D162" s="90"/>
      <c r="E162" s="90"/>
      <c r="F162" s="90">
        <v>8175500</v>
      </c>
      <c r="G162" s="90">
        <v>1837500</v>
      </c>
      <c r="H162" s="90">
        <v>198700</v>
      </c>
      <c r="I162" s="90">
        <v>110500</v>
      </c>
      <c r="J162" s="90"/>
      <c r="K162" s="90">
        <v>2339300</v>
      </c>
      <c r="L162" s="90"/>
      <c r="M162" s="90"/>
      <c r="N162" s="90">
        <v>12596500</v>
      </c>
      <c r="Q162" s="251" t="s">
        <v>1178</v>
      </c>
      <c r="R162" s="252">
        <f t="shared" si="5"/>
        <v>0</v>
      </c>
      <c r="S162" s="252">
        <f t="shared" si="6"/>
        <v>65000</v>
      </c>
      <c r="T162" s="252">
        <f t="shared" si="7"/>
        <v>12596500</v>
      </c>
      <c r="U162" s="60">
        <f t="shared" si="8"/>
        <v>12661500</v>
      </c>
      <c r="W162" s="253">
        <f t="shared" si="9"/>
        <v>0.79082257236504361</v>
      </c>
      <c r="X162" s="253">
        <f t="shared" si="10"/>
        <v>2.4420487304031908E-2</v>
      </c>
      <c r="Y162" s="253">
        <f t="shared" si="11"/>
        <v>0.18475694033092446</v>
      </c>
      <c r="Z162" s="253">
        <f t="shared" si="12"/>
        <v>0</v>
      </c>
      <c r="AB162" s="297"/>
      <c r="AC162" s="298"/>
      <c r="AD162" s="298"/>
      <c r="AE162" s="298"/>
      <c r="AF162" s="298"/>
      <c r="AG162" s="296"/>
      <c r="AH162" s="299"/>
      <c r="AI162" s="299"/>
      <c r="AJ162" s="64"/>
      <c r="AL162" t="s">
        <v>4698</v>
      </c>
      <c r="AM162" t="s">
        <v>4699</v>
      </c>
      <c r="AN162" t="s">
        <v>4700</v>
      </c>
      <c r="AO162" s="245" t="s">
        <v>2566</v>
      </c>
      <c r="AQ162" s="245" t="s">
        <v>4701</v>
      </c>
      <c r="AR162" s="245" t="s">
        <v>4702</v>
      </c>
      <c r="AS162" s="245" t="s">
        <v>4703</v>
      </c>
      <c r="AT162" s="245" t="s">
        <v>4704</v>
      </c>
    </row>
    <row r="163" spans="1:47">
      <c r="A163" s="251" t="s">
        <v>1193</v>
      </c>
      <c r="B163" s="90"/>
      <c r="C163" s="90">
        <v>-590000</v>
      </c>
      <c r="D163" s="90"/>
      <c r="E163" s="90"/>
      <c r="F163" s="90">
        <v>8930000</v>
      </c>
      <c r="G163" s="90"/>
      <c r="H163" s="90">
        <v>317900</v>
      </c>
      <c r="I163" s="90">
        <v>232800</v>
      </c>
      <c r="J163" s="90"/>
      <c r="K163" s="90">
        <v>1942900</v>
      </c>
      <c r="L163" s="90">
        <v>32739400</v>
      </c>
      <c r="M163" s="90"/>
      <c r="N163" s="90">
        <v>43573000</v>
      </c>
      <c r="Q163" s="251" t="s">
        <v>1193</v>
      </c>
      <c r="R163" s="252">
        <f t="shared" si="5"/>
        <v>0</v>
      </c>
      <c r="S163" s="252">
        <f t="shared" si="6"/>
        <v>590000</v>
      </c>
      <c r="T163" s="252">
        <f t="shared" si="7"/>
        <v>43573000</v>
      </c>
      <c r="U163" s="60">
        <f t="shared" si="8"/>
        <v>44163000</v>
      </c>
      <c r="W163" s="253">
        <f t="shared" si="9"/>
        <v>0.20220546611416798</v>
      </c>
      <c r="X163" s="253">
        <f t="shared" si="10"/>
        <v>1.24697144668614E-2</v>
      </c>
      <c r="Y163" s="253">
        <f t="shared" si="11"/>
        <v>4.3993840998120599E-2</v>
      </c>
      <c r="Z163" s="253">
        <f t="shared" si="12"/>
        <v>0.74133097842085005</v>
      </c>
      <c r="AB163" s="297">
        <f>AO163/תושבים_2015</f>
        <v>91.184847822267059</v>
      </c>
      <c r="AC163" s="298">
        <f>AL163/תושבים_2015</f>
        <v>3.3480582512222963</v>
      </c>
      <c r="AD163" s="298">
        <f>(AN163+AM163)/תושבים_2015</f>
        <v>87.836789571044761</v>
      </c>
      <c r="AE163" s="298">
        <f>(AN163*(1-יחס_ארנונה)+AM163*AG163)/תושבים_2015</f>
        <v>47.974426636511197</v>
      </c>
      <c r="AF163" s="298">
        <f>(AN163*יחס_ארנונה+AM163*(1-AG163))/תושבים_2015</f>
        <v>39.862362934533557</v>
      </c>
      <c r="AG163" s="296">
        <v>0</v>
      </c>
      <c r="AH163" s="299">
        <f t="shared" si="23"/>
        <v>8.3990461296056459E-2</v>
      </c>
      <c r="AI163" s="299">
        <f t="shared" si="24"/>
        <v>1.2035018274079783</v>
      </c>
      <c r="AJ163" s="64">
        <v>1</v>
      </c>
      <c r="AK163" t="s">
        <v>4727</v>
      </c>
      <c r="AL163" s="60">
        <f>R159+R164+R165</f>
        <v>939000</v>
      </c>
      <c r="AM163" s="60">
        <f t="shared" ref="AM163:AO163" si="77">S159+S164+S165</f>
        <v>2185800</v>
      </c>
      <c r="AN163" s="60">
        <f t="shared" si="77"/>
        <v>22449000</v>
      </c>
      <c r="AO163" s="60">
        <f t="shared" si="77"/>
        <v>25573800</v>
      </c>
      <c r="AQ163" s="238">
        <f>($U$159*W159+$U$164*W164+$U$165*W165)/$AO$163</f>
        <v>0.39348864853873888</v>
      </c>
      <c r="AR163" s="238">
        <f t="shared" ref="AR163:AT163" si="78">($U$159*X159+$U$164*X164+$U$165*X165)/$AO$163</f>
        <v>1.7306774902439214E-2</v>
      </c>
      <c r="AS163" s="238">
        <f t="shared" si="78"/>
        <v>0.29431683989082574</v>
      </c>
      <c r="AT163" s="238">
        <f t="shared" si="78"/>
        <v>0.29488773666799617</v>
      </c>
      <c r="AU163" s="304">
        <f>SUM(AQ163:AT163)</f>
        <v>1</v>
      </c>
    </row>
    <row r="164" spans="1:47">
      <c r="A164" s="251" t="s">
        <v>1247</v>
      </c>
      <c r="B164" s="90"/>
      <c r="C164" s="90">
        <v>-1314000</v>
      </c>
      <c r="D164" s="90"/>
      <c r="E164" s="90">
        <v>-939000</v>
      </c>
      <c r="F164" s="90">
        <v>2332000</v>
      </c>
      <c r="G164" s="90"/>
      <c r="H164" s="90">
        <v>71500</v>
      </c>
      <c r="I164" s="90">
        <v>5000</v>
      </c>
      <c r="J164" s="90"/>
      <c r="K164" s="90">
        <v>3254400</v>
      </c>
      <c r="L164" s="90">
        <v>2386100</v>
      </c>
      <c r="M164" s="90"/>
      <c r="N164" s="90">
        <v>5796000</v>
      </c>
      <c r="Q164" s="251" t="s">
        <v>1247</v>
      </c>
      <c r="R164" s="252">
        <f t="shared" si="5"/>
        <v>939000</v>
      </c>
      <c r="S164" s="252">
        <f t="shared" si="6"/>
        <v>1314000</v>
      </c>
      <c r="T164" s="252">
        <f t="shared" si="7"/>
        <v>5796000</v>
      </c>
      <c r="U164" s="60">
        <f t="shared" si="8"/>
        <v>8049000</v>
      </c>
      <c r="W164" s="253">
        <f t="shared" si="9"/>
        <v>0.2897254317306498</v>
      </c>
      <c r="X164" s="253">
        <f t="shared" si="10"/>
        <v>9.5042862467387256E-3</v>
      </c>
      <c r="Y164" s="253">
        <f t="shared" si="11"/>
        <v>0.40432351844949682</v>
      </c>
      <c r="Z164" s="253">
        <f t="shared" si="12"/>
        <v>0.29644676357311467</v>
      </c>
      <c r="AA164" s="304">
        <f>SUM(W164:Z164)</f>
        <v>1</v>
      </c>
      <c r="AB164" s="297">
        <f>AO164/תושבים_2015</f>
        <v>188.23682008796999</v>
      </c>
      <c r="AC164" s="298">
        <f>AL164/תושבים_2015</f>
        <v>0</v>
      </c>
      <c r="AD164" s="298">
        <f>(AN164+AM164)/תושבים_2015</f>
        <v>188.23682008796999</v>
      </c>
      <c r="AE164" s="298">
        <f>(AN164*(1-יחס_ארנונה)+AM164*AG164)/תושבים_2015</f>
        <v>105.93973224172272</v>
      </c>
      <c r="AF164" s="298">
        <f>(AN164*יחס_ארנונה+AM164*(1-AG164))/תושבים_2015</f>
        <v>82.297087846247265</v>
      </c>
      <c r="AG164" s="296">
        <v>0</v>
      </c>
      <c r="AH164" s="299">
        <f t="shared" si="23"/>
        <v>0</v>
      </c>
      <c r="AI164" s="299">
        <f t="shared" si="24"/>
        <v>1.287284094908026</v>
      </c>
      <c r="AJ164" s="64">
        <v>1</v>
      </c>
      <c r="AK164" t="s">
        <v>4724</v>
      </c>
      <c r="AL164" s="60">
        <f>R163+R166</f>
        <v>0</v>
      </c>
      <c r="AM164" s="60">
        <f t="shared" ref="AM164:AO164" si="79">S163+S166</f>
        <v>3220000</v>
      </c>
      <c r="AN164" s="60">
        <f t="shared" si="79"/>
        <v>49573100</v>
      </c>
      <c r="AO164" s="60">
        <f t="shared" si="79"/>
        <v>52793100</v>
      </c>
      <c r="AQ164" s="238">
        <f>($U$163*W163+$U$166*W166)/$AO$164</f>
        <v>0.30445266521571945</v>
      </c>
      <c r="AR164" s="238">
        <f t="shared" ref="AR164:AT164" si="80">($U$163*X163+$U$166*X166)/$AO$164</f>
        <v>2.0356826933822791E-2</v>
      </c>
      <c r="AS164" s="238">
        <f t="shared" si="80"/>
        <v>5.5045072177992954E-2</v>
      </c>
      <c r="AT164" s="238">
        <f t="shared" si="80"/>
        <v>0.62014543567246472</v>
      </c>
      <c r="AU164" s="304">
        <f t="shared" ref="AU164:AU167" si="81">SUM(AQ164:AT164)</f>
        <v>0.99999999999999989</v>
      </c>
    </row>
    <row r="165" spans="1:47">
      <c r="A165" s="251" t="s">
        <v>2482</v>
      </c>
      <c r="B165" s="90"/>
      <c r="C165" s="90">
        <v>-871800</v>
      </c>
      <c r="D165" s="90"/>
      <c r="E165" s="90"/>
      <c r="F165" s="90">
        <v>3781800</v>
      </c>
      <c r="G165" s="90">
        <v>3949200</v>
      </c>
      <c r="H165" s="90">
        <v>316400</v>
      </c>
      <c r="I165" s="90">
        <v>49700</v>
      </c>
      <c r="J165" s="90"/>
      <c r="K165" s="90">
        <v>4272400</v>
      </c>
      <c r="L165" s="90">
        <v>4293000</v>
      </c>
      <c r="M165" s="90"/>
      <c r="N165" s="90">
        <v>15790700</v>
      </c>
      <c r="Q165" s="251" t="s">
        <v>2482</v>
      </c>
      <c r="R165" s="252">
        <f t="shared" si="5"/>
        <v>0</v>
      </c>
      <c r="S165" s="252">
        <f t="shared" si="6"/>
        <v>871800</v>
      </c>
      <c r="T165" s="252">
        <f t="shared" si="7"/>
        <v>15790700</v>
      </c>
      <c r="U165" s="60">
        <f t="shared" si="8"/>
        <v>16662500</v>
      </c>
      <c r="W165" s="253">
        <f t="shared" si="9"/>
        <v>0.46397599399849965</v>
      </c>
      <c r="X165" s="253">
        <f t="shared" si="10"/>
        <v>2.1971492873218305E-2</v>
      </c>
      <c r="Y165" s="253">
        <f t="shared" si="11"/>
        <v>0.2564081020255064</v>
      </c>
      <c r="Z165" s="253">
        <f t="shared" si="12"/>
        <v>0.25764441110277569</v>
      </c>
      <c r="AA165" s="304">
        <f>SUM(W165:Z165)</f>
        <v>1</v>
      </c>
      <c r="AB165" s="297">
        <f>AO165/תושבים_2015</f>
        <v>795.91060312214756</v>
      </c>
      <c r="AC165" s="298">
        <f>AL165/תושבים_2015</f>
        <v>249.72093263136952</v>
      </c>
      <c r="AD165" s="298">
        <f>(AN165+AM165)/תושבים_2015</f>
        <v>546.1896704907781</v>
      </c>
      <c r="AE165" s="298">
        <f>(AN165*(1-יחס_ארנונה)+AM165*AG165)/תושבים_2015</f>
        <v>300.33144965424333</v>
      </c>
      <c r="AF165" s="298">
        <f>(AN165*יחס_ארנונה+AM165*(1-AG165))/תושבים_2015</f>
        <v>245.85822083653471</v>
      </c>
      <c r="AG165" s="296">
        <v>0</v>
      </c>
      <c r="AH165" s="299">
        <f t="shared" si="23"/>
        <v>1.0157111353921455</v>
      </c>
      <c r="AI165" s="299">
        <f t="shared" si="24"/>
        <v>1.2215635850302788</v>
      </c>
      <c r="AJ165" s="64">
        <v>1</v>
      </c>
      <c r="AK165" t="s">
        <v>4725</v>
      </c>
      <c r="AL165" s="60">
        <f>R158+R160</f>
        <v>70037000</v>
      </c>
      <c r="AM165" s="60">
        <f t="shared" ref="AM165:AO165" si="82">S158+S160</f>
        <v>12648800</v>
      </c>
      <c r="AN165" s="60">
        <f t="shared" si="82"/>
        <v>140536139.48054913</v>
      </c>
      <c r="AO165" s="60">
        <f t="shared" si="82"/>
        <v>223221939.48054913</v>
      </c>
      <c r="AQ165" s="238">
        <f>($U$158*W158+$U$160*W160)/$AO$165</f>
        <v>0.21513180824563899</v>
      </c>
      <c r="AR165" s="238">
        <f t="shared" ref="AR165:AT165" si="83">($U$158*X158+$U$160*X160)/$AO$165</f>
        <v>1.6640837404441954E-2</v>
      </c>
      <c r="AS165" s="238">
        <f t="shared" si="83"/>
        <v>0.15477869281308068</v>
      </c>
      <c r="AT165" s="238">
        <f t="shared" si="83"/>
        <v>0.61344866153683841</v>
      </c>
      <c r="AU165" s="304">
        <f t="shared" si="81"/>
        <v>1</v>
      </c>
    </row>
    <row r="166" spans="1:47">
      <c r="A166" s="251" t="s">
        <v>1188</v>
      </c>
      <c r="B166" s="90"/>
      <c r="C166" s="90">
        <v>-2630000</v>
      </c>
      <c r="D166" s="90"/>
      <c r="E166" s="90"/>
      <c r="F166" s="90">
        <v>7143000</v>
      </c>
      <c r="G166" s="90"/>
      <c r="H166" s="90">
        <v>224000</v>
      </c>
      <c r="I166" s="90">
        <v>300000</v>
      </c>
      <c r="J166" s="90"/>
      <c r="K166" s="90">
        <v>963100</v>
      </c>
      <c r="L166" s="90"/>
      <c r="M166" s="90"/>
      <c r="N166" s="90">
        <v>6000100</v>
      </c>
      <c r="Q166" s="251" t="s">
        <v>1188</v>
      </c>
      <c r="R166" s="252">
        <f t="shared" si="5"/>
        <v>0</v>
      </c>
      <c r="S166" s="252">
        <f t="shared" si="6"/>
        <v>2630000</v>
      </c>
      <c r="T166" s="252">
        <f t="shared" si="7"/>
        <v>6000100</v>
      </c>
      <c r="U166" s="60">
        <f t="shared" si="8"/>
        <v>8630100</v>
      </c>
      <c r="W166" s="253">
        <f t="shared" si="9"/>
        <v>0.82768449960023638</v>
      </c>
      <c r="X166" s="253">
        <f t="shared" si="10"/>
        <v>6.0717720536262614E-2</v>
      </c>
      <c r="Y166" s="253">
        <f t="shared" si="11"/>
        <v>0.111597779863501</v>
      </c>
      <c r="Z166" s="253">
        <f t="shared" si="12"/>
        <v>0</v>
      </c>
      <c r="AA166" s="304">
        <f t="shared" ref="AA166:AA167" si="84">SUM(W166:Z166)</f>
        <v>1</v>
      </c>
      <c r="AB166" s="332">
        <f>AO166/ילדים_ונוער</f>
        <v>250.93666303249682</v>
      </c>
      <c r="AC166" s="330">
        <f>AL166/ילדים_ונוער</f>
        <v>0</v>
      </c>
      <c r="AD166" s="330">
        <f>(AN166+AM166)/ילדים_ונוער</f>
        <v>250.93666303249682</v>
      </c>
      <c r="AE166" s="298">
        <f>(AN166*(1-יחס_ארנונה)+AM166*AG166)/ילדים_ונוער</f>
        <v>147.80092066694581</v>
      </c>
      <c r="AF166" s="298">
        <f>(AN166*יחס_ארנונה+AM166*(1-AG166))/ילדים_ונוער</f>
        <v>103.13574236555101</v>
      </c>
      <c r="AG166" s="296">
        <v>0</v>
      </c>
      <c r="AH166" s="299">
        <f>AC166/$AF166</f>
        <v>0</v>
      </c>
      <c r="AI166" s="299">
        <f>AE166/$AF166</f>
        <v>1.4330717681081402</v>
      </c>
      <c r="AJ166" s="64">
        <v>1</v>
      </c>
      <c r="AK166" t="s">
        <v>1247</v>
      </c>
      <c r="AL166" s="60">
        <f>R161</f>
        <v>0</v>
      </c>
      <c r="AM166" s="60">
        <f t="shared" ref="AM166:AO166" si="85">S161</f>
        <v>185000</v>
      </c>
      <c r="AN166" s="60">
        <f t="shared" si="85"/>
        <v>10518000</v>
      </c>
      <c r="AO166" s="60">
        <f t="shared" si="85"/>
        <v>10703000</v>
      </c>
      <c r="AQ166" s="238">
        <f>W161</f>
        <v>0</v>
      </c>
      <c r="AR166" s="238">
        <f t="shared" ref="AR166:AT166" si="86">X161</f>
        <v>0</v>
      </c>
      <c r="AS166" s="238">
        <f t="shared" si="86"/>
        <v>0</v>
      </c>
      <c r="AT166" s="238">
        <f t="shared" si="86"/>
        <v>1</v>
      </c>
      <c r="AU166" s="304">
        <f t="shared" si="81"/>
        <v>1</v>
      </c>
    </row>
    <row r="167" spans="1:47">
      <c r="A167" s="251" t="s">
        <v>1183</v>
      </c>
      <c r="B167" s="90"/>
      <c r="C167" s="90">
        <v>-530000</v>
      </c>
      <c r="D167" s="90"/>
      <c r="E167" s="90">
        <v>0</v>
      </c>
      <c r="F167" s="90">
        <v>486000</v>
      </c>
      <c r="G167" s="90">
        <v>99000</v>
      </c>
      <c r="H167" s="90">
        <v>1459600</v>
      </c>
      <c r="I167" s="90">
        <v>7500</v>
      </c>
      <c r="J167" s="90"/>
      <c r="K167" s="90">
        <v>14541900</v>
      </c>
      <c r="L167" s="90">
        <v>2279100</v>
      </c>
      <c r="M167" s="90"/>
      <c r="N167" s="90">
        <v>18343100</v>
      </c>
      <c r="Q167" s="251" t="s">
        <v>1183</v>
      </c>
      <c r="R167" s="252">
        <f t="shared" ref="R167" si="87">-E167</f>
        <v>0</v>
      </c>
      <c r="S167" s="252">
        <f t="shared" ref="S167" si="88">-SUM(B167:D167)</f>
        <v>530000</v>
      </c>
      <c r="T167" s="252">
        <f t="shared" ref="T167" si="89">O167</f>
        <v>0</v>
      </c>
      <c r="U167" s="60">
        <f t="shared" si="8"/>
        <v>530000</v>
      </c>
      <c r="W167" s="253">
        <f t="shared" si="9"/>
        <v>3.0996497660691673E-2</v>
      </c>
      <c r="X167" s="253">
        <f t="shared" si="10"/>
        <v>7.7734977295727786E-2</v>
      </c>
      <c r="Y167" s="253">
        <f t="shared" si="11"/>
        <v>0.77050934928549097</v>
      </c>
      <c r="Z167" s="253">
        <f t="shared" si="12"/>
        <v>0.12075917575808956</v>
      </c>
      <c r="AA167" s="304">
        <f t="shared" si="84"/>
        <v>1</v>
      </c>
      <c r="AB167" s="297">
        <f>AO167/תושבים_2015</f>
        <v>45.145303032855281</v>
      </c>
      <c r="AC167" s="298">
        <f>AL167/תושבים_2015</f>
        <v>0</v>
      </c>
      <c r="AD167" s="298">
        <f>(AN167+AM167)/תושבים_2015</f>
        <v>45.145303032855281</v>
      </c>
      <c r="AE167" s="298">
        <f>(AN167*(1-יחס_ארנונה)+AM167*AG167)/תושבים_2015</f>
        <v>26.919233156346085</v>
      </c>
      <c r="AF167" s="298">
        <f>(AN167*יחס_ארנונה+AM167*(1-AG167))/תושבים_2015</f>
        <v>18.22606987650919</v>
      </c>
      <c r="AG167" s="296">
        <v>0</v>
      </c>
      <c r="AH167" s="299">
        <f>AC167/$AF167</f>
        <v>0</v>
      </c>
      <c r="AI167" s="299">
        <f>AE167/$AF167</f>
        <v>1.4769631269240959</v>
      </c>
      <c r="AJ167" s="64">
        <v>1</v>
      </c>
      <c r="AK167" t="s">
        <v>2482</v>
      </c>
      <c r="AL167" s="60">
        <f>R162</f>
        <v>0</v>
      </c>
      <c r="AM167" s="60">
        <f t="shared" ref="AM167:AO167" si="90">S162</f>
        <v>65000</v>
      </c>
      <c r="AN167" s="60">
        <f t="shared" si="90"/>
        <v>12596500</v>
      </c>
      <c r="AO167" s="60">
        <f t="shared" si="90"/>
        <v>12661500</v>
      </c>
      <c r="AQ167" s="238">
        <f>W162</f>
        <v>0.79082257236504361</v>
      </c>
      <c r="AR167" s="238">
        <f t="shared" ref="AR167:AT167" si="91">X162</f>
        <v>2.4420487304031908E-2</v>
      </c>
      <c r="AS167" s="238">
        <f t="shared" si="91"/>
        <v>0.18475694033092446</v>
      </c>
      <c r="AT167" s="238">
        <f t="shared" si="91"/>
        <v>0</v>
      </c>
      <c r="AU167" s="304">
        <f t="shared" si="81"/>
        <v>1</v>
      </c>
    </row>
    <row r="168" spans="1:47">
      <c r="A168" s="251" t="s">
        <v>32</v>
      </c>
      <c r="B168" s="90"/>
      <c r="C168" s="90">
        <v>-135000</v>
      </c>
      <c r="D168" s="90"/>
      <c r="E168" s="90">
        <v>-98000</v>
      </c>
      <c r="F168" s="90">
        <v>99800</v>
      </c>
      <c r="G168" s="90">
        <v>1719200</v>
      </c>
      <c r="H168" s="90">
        <v>281000</v>
      </c>
      <c r="I168" s="90">
        <v>140000</v>
      </c>
      <c r="J168" s="90"/>
      <c r="K168" s="90">
        <v>6458800</v>
      </c>
      <c r="L168" s="90"/>
      <c r="M168" s="90"/>
      <c r="N168" s="90">
        <v>8465800</v>
      </c>
      <c r="Q168" s="251" t="s">
        <v>32</v>
      </c>
      <c r="R168" s="252"/>
      <c r="S168" s="252"/>
      <c r="T168" s="252"/>
      <c r="U168" s="60"/>
      <c r="W168" s="253"/>
      <c r="X168" s="253"/>
      <c r="Y168" s="253"/>
      <c r="Z168" s="253"/>
      <c r="AA168" s="304"/>
      <c r="AB168" s="297"/>
      <c r="AC168" s="298"/>
      <c r="AD168" s="298"/>
      <c r="AE168" s="298"/>
      <c r="AF168" s="298"/>
      <c r="AG168" s="296"/>
      <c r="AH168" s="299"/>
      <c r="AI168" s="299"/>
      <c r="AJ168" s="64"/>
    </row>
    <row r="169" spans="1:47">
      <c r="A169" s="251" t="s">
        <v>1218</v>
      </c>
      <c r="B169" s="90"/>
      <c r="C169" s="90">
        <v>-5628000</v>
      </c>
      <c r="D169" s="90"/>
      <c r="E169" s="90"/>
      <c r="F169" s="90"/>
      <c r="G169" s="90"/>
      <c r="H169" s="90"/>
      <c r="I169" s="90"/>
      <c r="J169" s="90"/>
      <c r="K169" s="90">
        <v>777200</v>
      </c>
      <c r="L169" s="90">
        <v>15534600</v>
      </c>
      <c r="M169" s="90"/>
      <c r="N169" s="90">
        <v>10683800</v>
      </c>
      <c r="Q169" s="251" t="s">
        <v>1218</v>
      </c>
      <c r="R169" s="252"/>
      <c r="S169" s="252"/>
      <c r="T169" s="252"/>
      <c r="U169" s="60"/>
      <c r="W169" s="253"/>
      <c r="X169" s="253"/>
      <c r="Y169" s="253"/>
      <c r="Z169" s="253"/>
      <c r="AA169" s="304"/>
      <c r="AB169" s="297"/>
      <c r="AC169" s="298"/>
      <c r="AD169" s="298"/>
      <c r="AE169" s="298"/>
      <c r="AF169" s="298"/>
      <c r="AG169" s="296"/>
      <c r="AH169" s="299"/>
      <c r="AI169" s="299"/>
      <c r="AJ169" s="64"/>
    </row>
    <row r="170" spans="1:47" ht="13.5" thickBot="1">
      <c r="A170" s="43" t="s">
        <v>4700</v>
      </c>
      <c r="B170" s="90">
        <v>-9000000</v>
      </c>
      <c r="C170" s="90">
        <v>-19780800</v>
      </c>
      <c r="D170" s="90">
        <v>-11453000</v>
      </c>
      <c r="E170" s="90">
        <v>-921548500</v>
      </c>
      <c r="F170" s="90">
        <v>847609400</v>
      </c>
      <c r="G170" s="90">
        <v>25013500</v>
      </c>
      <c r="H170" s="90">
        <v>27817300</v>
      </c>
      <c r="I170" s="90">
        <v>14611100</v>
      </c>
      <c r="J170" s="90"/>
      <c r="K170" s="90">
        <v>177349100</v>
      </c>
      <c r="L170" s="90">
        <v>278947300</v>
      </c>
      <c r="M170" s="90"/>
      <c r="N170" s="90">
        <v>409565400</v>
      </c>
      <c r="Q170" s="499" t="s">
        <v>4700</v>
      </c>
      <c r="R170" s="252"/>
      <c r="S170" s="252">
        <f t="shared" ref="S170" si="92">-SUM(B170:F170)</f>
        <v>114172900</v>
      </c>
      <c r="T170" s="252" t="str">
        <f t="shared" ref="T170" si="93">Q170</f>
        <v>במימון הארנונה</v>
      </c>
      <c r="U170" s="60">
        <f>SUM(R170:T170)</f>
        <v>114172900</v>
      </c>
      <c r="W170" s="253"/>
      <c r="X170" s="253"/>
      <c r="Y170" s="253"/>
      <c r="Z170" s="253"/>
      <c r="AA170" s="304"/>
      <c r="AB170" s="300"/>
      <c r="AC170" s="301"/>
      <c r="AD170" s="301"/>
      <c r="AE170" s="301"/>
      <c r="AF170" s="301"/>
      <c r="AG170" s="302"/>
      <c r="AH170" s="303"/>
      <c r="AI170" s="303"/>
      <c r="AJ170" s="68"/>
    </row>
    <row r="171" spans="1:47">
      <c r="R171" s="252"/>
      <c r="S171" s="252"/>
      <c r="T171" s="252"/>
      <c r="U171" s="60"/>
      <c r="W171" s="253"/>
      <c r="X171" s="253"/>
      <c r="Y171" s="253"/>
      <c r="Z171" s="253"/>
      <c r="AA171" s="304"/>
      <c r="AB171" s="298"/>
      <c r="AC171" s="298"/>
      <c r="AD171" s="298"/>
      <c r="AE171" s="298"/>
      <c r="AF171" s="298"/>
      <c r="AG171" s="296"/>
      <c r="AH171" s="299"/>
      <c r="AI171" s="299"/>
      <c r="AJ171" s="65"/>
    </row>
    <row r="172" spans="1:47">
      <c r="Q172" s="251"/>
      <c r="R172" s="252"/>
      <c r="S172" s="252"/>
      <c r="T172" s="252"/>
      <c r="U172" s="60"/>
      <c r="W172" s="253"/>
      <c r="X172" s="253"/>
      <c r="Y172" s="253"/>
      <c r="Z172" s="253"/>
      <c r="AA172" s="304"/>
      <c r="AB172" s="298"/>
      <c r="AC172" s="298"/>
      <c r="AD172" s="298"/>
      <c r="AE172" s="298"/>
      <c r="AF172" s="298"/>
      <c r="AG172" s="296"/>
      <c r="AH172" s="299"/>
      <c r="AI172" s="299"/>
      <c r="AJ172" s="65"/>
    </row>
    <row r="173" spans="1:47">
      <c r="Q173" s="251"/>
      <c r="R173" s="252"/>
      <c r="S173" s="252"/>
      <c r="T173" s="252"/>
      <c r="U173" s="60"/>
      <c r="W173" s="253"/>
      <c r="X173" s="253"/>
      <c r="Y173" s="253"/>
      <c r="Z173" s="253"/>
      <c r="AB173" s="275"/>
      <c r="AC173" s="275"/>
      <c r="AD173" s="275"/>
      <c r="AE173" s="275"/>
      <c r="AF173" s="275"/>
      <c r="AG173" s="282"/>
      <c r="AH173" s="276"/>
      <c r="AI173" s="276"/>
    </row>
    <row r="174" spans="1:47">
      <c r="Q174" s="251"/>
      <c r="R174" s="252"/>
      <c r="S174" s="252"/>
      <c r="T174" s="252"/>
      <c r="U174" s="60"/>
      <c r="W174" s="253"/>
      <c r="X174" s="253"/>
      <c r="Y174" s="253"/>
      <c r="Z174" s="253"/>
      <c r="AB174" s="275"/>
      <c r="AC174" s="275"/>
      <c r="AD174" s="275"/>
      <c r="AE174" s="275"/>
      <c r="AF174" s="275"/>
      <c r="AG174" s="282"/>
      <c r="AH174" s="276"/>
      <c r="AI174" s="276"/>
    </row>
    <row r="175" spans="1:47">
      <c r="Q175" s="251"/>
      <c r="R175" s="252"/>
      <c r="S175" s="252"/>
      <c r="T175" s="252"/>
      <c r="U175" s="60"/>
      <c r="W175" s="253"/>
      <c r="X175" s="253"/>
      <c r="Y175" s="253"/>
      <c r="Z175" s="253"/>
      <c r="AB175" s="275"/>
      <c r="AC175" s="275"/>
      <c r="AD175" s="275"/>
      <c r="AE175" s="275"/>
      <c r="AF175" s="275"/>
      <c r="AG175" s="282"/>
      <c r="AH175" s="276"/>
      <c r="AI175" s="276"/>
    </row>
    <row r="176" spans="1:47">
      <c r="R176" s="252"/>
      <c r="S176" s="252"/>
      <c r="T176" s="252"/>
      <c r="U176" s="60"/>
      <c r="W176" s="253"/>
      <c r="X176" s="253"/>
      <c r="Y176" s="253"/>
      <c r="Z176" s="253"/>
      <c r="AB176" s="275"/>
      <c r="AC176" s="275"/>
      <c r="AD176" s="275"/>
      <c r="AE176" s="275"/>
      <c r="AF176" s="275"/>
      <c r="AG176" s="282"/>
      <c r="AH176" s="276"/>
      <c r="AI176" s="276"/>
    </row>
    <row r="177" spans="1:41">
      <c r="R177" s="252"/>
      <c r="S177" s="252"/>
      <c r="T177" s="252"/>
      <c r="U177" s="60"/>
      <c r="W177" s="253"/>
      <c r="X177" s="253"/>
      <c r="Y177" s="253"/>
      <c r="Z177" s="253"/>
      <c r="AB177" s="275"/>
      <c r="AC177" s="275"/>
      <c r="AD177" s="275"/>
      <c r="AE177" s="275"/>
      <c r="AF177" s="275"/>
      <c r="AG177" s="282"/>
      <c r="AH177" s="276"/>
      <c r="AI177" s="276"/>
    </row>
    <row r="178" spans="1:41">
      <c r="R178" s="252"/>
      <c r="S178" s="252"/>
      <c r="T178" s="252"/>
      <c r="U178" s="60"/>
      <c r="W178" s="253"/>
      <c r="X178" s="253"/>
      <c r="Y178" s="253"/>
      <c r="Z178" s="253"/>
      <c r="AB178" s="275"/>
      <c r="AC178" s="275"/>
      <c r="AD178" s="275"/>
      <c r="AE178" s="275"/>
      <c r="AF178" s="275"/>
      <c r="AG178" s="282"/>
      <c r="AH178" s="276"/>
      <c r="AI178" s="276"/>
    </row>
    <row r="179" spans="1:41">
      <c r="R179" s="252"/>
      <c r="S179" s="252"/>
      <c r="T179" s="252"/>
      <c r="U179" s="60"/>
      <c r="W179" s="253"/>
      <c r="X179" s="238"/>
      <c r="Y179" s="238"/>
      <c r="Z179" s="238"/>
      <c r="AB179" s="275"/>
      <c r="AC179" s="275"/>
      <c r="AD179" s="275"/>
      <c r="AE179" s="275"/>
      <c r="AF179" s="275"/>
      <c r="AG179" s="282"/>
      <c r="AH179" s="276"/>
      <c r="AI179" s="276"/>
    </row>
    <row r="180" spans="1:41">
      <c r="R180" s="60"/>
      <c r="S180" s="60"/>
      <c r="T180" s="60"/>
      <c r="W180" s="253"/>
      <c r="X180" s="238"/>
      <c r="Y180" s="238"/>
      <c r="Z180" s="238"/>
    </row>
    <row r="181" spans="1:41" ht="13.5" thickBot="1"/>
    <row r="182" spans="1:41" ht="21" thickBot="1">
      <c r="A182" s="516" t="s">
        <v>414</v>
      </c>
      <c r="B182" s="517"/>
      <c r="C182" s="517"/>
      <c r="D182" s="517"/>
      <c r="E182" s="517"/>
      <c r="F182" s="517"/>
      <c r="G182" s="517"/>
      <c r="H182" s="517"/>
      <c r="I182" s="517"/>
      <c r="J182" s="517"/>
      <c r="K182" s="517"/>
      <c r="L182" s="517"/>
      <c r="M182" s="517"/>
      <c r="N182" s="517"/>
      <c r="O182" s="517"/>
      <c r="P182" s="518"/>
    </row>
    <row r="183" spans="1:41">
      <c r="A183" s="250" t="s">
        <v>2332</v>
      </c>
      <c r="B183" s="43" t="s">
        <v>4697</v>
      </c>
    </row>
    <row r="184" spans="1:41">
      <c r="W184" s="245"/>
    </row>
    <row r="185" spans="1:41">
      <c r="A185" s="250" t="s">
        <v>4693</v>
      </c>
      <c r="B185" s="250" t="s">
        <v>4694</v>
      </c>
    </row>
    <row r="186" spans="1:41" ht="75">
      <c r="A186" s="250" t="s">
        <v>4695</v>
      </c>
      <c r="B186" t="s">
        <v>174</v>
      </c>
      <c r="C186" t="s">
        <v>192</v>
      </c>
      <c r="D186" t="s">
        <v>180</v>
      </c>
      <c r="E186" t="s">
        <v>215</v>
      </c>
      <c r="F186" t="s">
        <v>217</v>
      </c>
      <c r="G186" t="s">
        <v>50</v>
      </c>
      <c r="H186" t="s">
        <v>85</v>
      </c>
      <c r="I186" t="s">
        <v>66</v>
      </c>
      <c r="J186" t="s">
        <v>129</v>
      </c>
      <c r="K186" t="s">
        <v>152</v>
      </c>
      <c r="L186" t="s">
        <v>2354</v>
      </c>
      <c r="T186" t="s">
        <v>4698</v>
      </c>
      <c r="U186" t="s">
        <v>4699</v>
      </c>
      <c r="V186" t="s">
        <v>4700</v>
      </c>
      <c r="W186" s="245" t="s">
        <v>2566</v>
      </c>
      <c r="Y186" s="268" t="s">
        <v>4701</v>
      </c>
      <c r="Z186" s="245" t="s">
        <v>4702</v>
      </c>
      <c r="AA186" s="245" t="s">
        <v>4703</v>
      </c>
      <c r="AB186" s="245" t="s">
        <v>4704</v>
      </c>
      <c r="AC186" s="245"/>
      <c r="AE186" s="42" t="s">
        <v>2566</v>
      </c>
      <c r="AF186" s="42" t="s">
        <v>4746</v>
      </c>
      <c r="AG186" s="42" t="s">
        <v>4749</v>
      </c>
      <c r="AH186" s="42" t="s">
        <v>4747</v>
      </c>
      <c r="AI186" s="42" t="s">
        <v>4748</v>
      </c>
      <c r="AJ186" s="42" t="s">
        <v>4751</v>
      </c>
      <c r="AK186" s="42" t="s">
        <v>4746</v>
      </c>
      <c r="AL186" s="42" t="s">
        <v>4747</v>
      </c>
      <c r="AM186" s="42" t="s">
        <v>4748</v>
      </c>
    </row>
    <row r="187" spans="1:41">
      <c r="A187" s="43" t="s">
        <v>414</v>
      </c>
      <c r="B187" s="60">
        <v>-22560800</v>
      </c>
      <c r="C187" s="60">
        <v>-7945000</v>
      </c>
      <c r="D187" s="60">
        <v>-57125400</v>
      </c>
      <c r="E187" s="60">
        <v>-40000000</v>
      </c>
      <c r="F187" s="60">
        <v>-1039500</v>
      </c>
      <c r="G187" s="60">
        <v>237513000</v>
      </c>
      <c r="H187" s="60">
        <v>19441400</v>
      </c>
      <c r="I187" s="60">
        <v>9627000</v>
      </c>
      <c r="J187" s="60">
        <v>105922400</v>
      </c>
      <c r="K187" s="60">
        <v>21853900</v>
      </c>
      <c r="L187" s="60">
        <v>265687000</v>
      </c>
      <c r="S187" s="497" t="s">
        <v>414</v>
      </c>
      <c r="T187" s="263">
        <f>-F187</f>
        <v>1039500</v>
      </c>
      <c r="U187" s="263">
        <f>-SUM(B187:E187)</f>
        <v>127631200</v>
      </c>
      <c r="V187" s="252">
        <f>L187</f>
        <v>265687000</v>
      </c>
      <c r="W187" s="252">
        <f>V187+U187+T187</f>
        <v>394357700</v>
      </c>
      <c r="Y187" s="473">
        <f>SUM(G187)/SUM($G187:$K187)</f>
        <v>0.60227808408457606</v>
      </c>
      <c r="Z187" s="473">
        <f>SUM(H187:I187)/SUM($G187:$K187)</f>
        <v>7.3710745346166687E-2</v>
      </c>
      <c r="AA187" s="473">
        <f>SUM(J187)/SUM($G187:$K187)</f>
        <v>0.26859473011430995</v>
      </c>
      <c r="AB187" s="473">
        <f>SUM(K187)/SUM($G187:$K187)</f>
        <v>5.5416440454947376E-2</v>
      </c>
      <c r="AC187" s="473"/>
      <c r="AE187" s="476">
        <f t="shared" ref="AE187:AE227" si="94">W187/תושבים_2015</f>
        <v>1406.1049535868444</v>
      </c>
      <c r="AF187" s="476">
        <f t="shared" ref="AF187:AF227" si="95">T187/תושבים_2015</f>
        <v>3.7063967541486447</v>
      </c>
      <c r="AG187" s="476">
        <f t="shared" ref="AG187:AG227" si="96">(V187+U187)/תושבים_2015</f>
        <v>1402.3985568326959</v>
      </c>
      <c r="AH187" s="476">
        <f>(V187*(1-יחס_ארנונה)+U187*AJ187)/תושבים_2015</f>
        <v>781.28201921149389</v>
      </c>
      <c r="AI187" s="476">
        <f>(V187*יחס_ארנונה+U187*(1-AJ187))/תושבים_2015</f>
        <v>621.11653762120181</v>
      </c>
      <c r="AJ187" s="477">
        <v>0.46914784164456536</v>
      </c>
      <c r="AK187" s="478">
        <f t="shared" ref="AK187:AK227" si="97">AF187/$AI187</f>
        <v>5.9673129431453845E-3</v>
      </c>
      <c r="AL187" s="478">
        <f t="shared" ref="AL187:AL227" si="98">AH187/$AI187</f>
        <v>1.2578670376475656</v>
      </c>
      <c r="AM187" s="479">
        <v>1</v>
      </c>
      <c r="AN187" s="202">
        <f>AH188+AH190+AH198+AH201+AH205+AH211+AH217+AH222</f>
        <v>471.16986017096252</v>
      </c>
      <c r="AO187" s="202">
        <f>AI188+AI190+AI198+AI201+AI205+AI211+AI217+AI222</f>
        <v>276.16487652463508</v>
      </c>
    </row>
    <row r="188" spans="1:41">
      <c r="A188" s="152" t="s">
        <v>769</v>
      </c>
      <c r="B188" s="60"/>
      <c r="C188" s="60"/>
      <c r="D188" s="60"/>
      <c r="E188" s="60"/>
      <c r="F188" s="60"/>
      <c r="G188" s="60"/>
      <c r="H188" s="60"/>
      <c r="I188" s="60"/>
      <c r="J188" s="60">
        <v>1797300</v>
      </c>
      <c r="K188" s="60">
        <v>73100</v>
      </c>
      <c r="L188" s="60">
        <v>1870400</v>
      </c>
      <c r="S188" s="498" t="s">
        <v>769</v>
      </c>
      <c r="T188" s="263">
        <f t="shared" ref="T188:T228" si="99">-F188</f>
        <v>0</v>
      </c>
      <c r="U188" s="263">
        <f t="shared" ref="U188:U228" si="100">-SUM(B188:E188)</f>
        <v>0</v>
      </c>
      <c r="V188" s="252">
        <f t="shared" ref="V188:V228" si="101">L188</f>
        <v>1870400</v>
      </c>
      <c r="W188" s="252">
        <f t="shared" ref="W188:W228" si="102">V188+U188+T188</f>
        <v>1870400</v>
      </c>
      <c r="X188" s="479"/>
      <c r="Y188" s="473">
        <f t="shared" ref="Y188:Y228" si="103">SUM(G188)/SUM($G188:$K188)</f>
        <v>0</v>
      </c>
      <c r="Z188" s="473">
        <f t="shared" ref="Z188:Z228" si="104">SUM(H188:I188)/SUM($G188:$K188)</f>
        <v>0</v>
      </c>
      <c r="AA188" s="473">
        <f t="shared" ref="AA188:AA228" si="105">SUM(J188)/SUM($G188:$K188)</f>
        <v>0.96091745081266045</v>
      </c>
      <c r="AB188" s="473">
        <f t="shared" ref="AB188:AB228" si="106">SUM(K188)/SUM($G188:$K188)</f>
        <v>3.9082549187339603E-2</v>
      </c>
      <c r="AC188" s="473"/>
      <c r="AD188" s="479"/>
      <c r="AE188" s="335">
        <f t="shared" si="94"/>
        <v>6.6690182673974263</v>
      </c>
      <c r="AF188" s="335">
        <f t="shared" si="95"/>
        <v>0</v>
      </c>
      <c r="AG188" s="335">
        <f t="shared" si="96"/>
        <v>6.6690182673974263</v>
      </c>
      <c r="AH188" s="335">
        <f>SUM(AH189:AH191)</f>
        <v>3.997120922131522</v>
      </c>
      <c r="AI188" s="335">
        <f>SUM(AI189:AI191)</f>
        <v>2.6718973452659038</v>
      </c>
      <c r="AJ188" s="502">
        <v>1</v>
      </c>
      <c r="AK188" s="475">
        <f t="shared" si="97"/>
        <v>0</v>
      </c>
      <c r="AL188" s="475">
        <f t="shared" si="98"/>
        <v>1.4959859626394942</v>
      </c>
      <c r="AM188" s="474">
        <v>1</v>
      </c>
    </row>
    <row r="189" spans="1:41">
      <c r="A189" s="251" t="s">
        <v>778</v>
      </c>
      <c r="B189" s="60"/>
      <c r="C189" s="60"/>
      <c r="D189" s="60"/>
      <c r="E189" s="60"/>
      <c r="F189" s="60"/>
      <c r="G189" s="60"/>
      <c r="H189" s="60"/>
      <c r="I189" s="60"/>
      <c r="J189" s="60">
        <v>888000</v>
      </c>
      <c r="K189" s="60"/>
      <c r="L189" s="60">
        <v>888000</v>
      </c>
      <c r="S189" s="251" t="s">
        <v>778</v>
      </c>
      <c r="T189" s="442">
        <f t="shared" si="99"/>
        <v>0</v>
      </c>
      <c r="U189" s="442">
        <f t="shared" si="100"/>
        <v>0</v>
      </c>
      <c r="V189" s="60">
        <f t="shared" si="101"/>
        <v>888000</v>
      </c>
      <c r="W189" s="60">
        <f t="shared" si="102"/>
        <v>888000</v>
      </c>
      <c r="Y189" s="334">
        <f t="shared" si="103"/>
        <v>0</v>
      </c>
      <c r="Z189" s="334">
        <f t="shared" si="104"/>
        <v>0</v>
      </c>
      <c r="AA189" s="334">
        <f t="shared" si="105"/>
        <v>1</v>
      </c>
      <c r="AB189" s="334">
        <f t="shared" si="106"/>
        <v>0</v>
      </c>
      <c r="AC189" s="334"/>
      <c r="AE189" s="432">
        <f t="shared" si="94"/>
        <v>3.1662148318268364</v>
      </c>
      <c r="AF189" s="432">
        <f t="shared" si="95"/>
        <v>0</v>
      </c>
      <c r="AG189" s="432">
        <f t="shared" si="96"/>
        <v>3.1662148318268364</v>
      </c>
      <c r="AH189" s="432">
        <f>(V189*(1-יחס_ארנונה)+U189*AJ189)/תושבים_2015</f>
        <v>1.8976921401052138</v>
      </c>
      <c r="AI189" s="432">
        <f>(V189*יחס_ארנונה+U189*(1-AJ189))/תושבים_2015</f>
        <v>1.2685226917216224</v>
      </c>
      <c r="AJ189" s="503">
        <v>1</v>
      </c>
      <c r="AK189" s="433">
        <f t="shared" si="97"/>
        <v>0</v>
      </c>
      <c r="AL189" s="433">
        <f t="shared" si="98"/>
        <v>1.4959859626394945</v>
      </c>
      <c r="AM189" s="431">
        <v>1</v>
      </c>
    </row>
    <row r="190" spans="1:41">
      <c r="A190" s="251" t="s">
        <v>793</v>
      </c>
      <c r="B190" s="60"/>
      <c r="C190" s="60"/>
      <c r="D190" s="60"/>
      <c r="E190" s="60"/>
      <c r="F190" s="60"/>
      <c r="G190" s="60"/>
      <c r="H190" s="60"/>
      <c r="I190" s="60"/>
      <c r="J190" s="60">
        <v>909300</v>
      </c>
      <c r="K190" s="60"/>
      <c r="L190" s="60">
        <v>909300</v>
      </c>
      <c r="S190" s="251" t="s">
        <v>793</v>
      </c>
      <c r="T190" s="442">
        <f t="shared" si="99"/>
        <v>0</v>
      </c>
      <c r="U190" s="442">
        <f t="shared" si="100"/>
        <v>0</v>
      </c>
      <c r="V190" s="480">
        <f t="shared" si="101"/>
        <v>909300</v>
      </c>
      <c r="W190" s="480">
        <f t="shared" si="102"/>
        <v>909300</v>
      </c>
      <c r="Y190" s="334">
        <f t="shared" si="103"/>
        <v>0</v>
      </c>
      <c r="Z190" s="334">
        <f t="shared" si="104"/>
        <v>0</v>
      </c>
      <c r="AA190" s="334">
        <f t="shared" si="105"/>
        <v>1</v>
      </c>
      <c r="AB190" s="334">
        <f t="shared" si="106"/>
        <v>0</v>
      </c>
      <c r="AC190" s="473"/>
      <c r="AE190" s="432">
        <f t="shared" si="94"/>
        <v>3.2421612011037637</v>
      </c>
      <c r="AF190" s="432">
        <f t="shared" si="95"/>
        <v>0</v>
      </c>
      <c r="AG190" s="432">
        <f t="shared" si="96"/>
        <v>3.2421612011037637</v>
      </c>
      <c r="AH190" s="432">
        <f>(V190*(1-יחס_ארנונה)+U190*AJ190)/תושבים_2015</f>
        <v>1.9432111069793589</v>
      </c>
      <c r="AI190" s="432">
        <f>(V190*יחס_ארנונה+U190*(1-AJ190))/תושבים_2015</f>
        <v>1.2989500941244045</v>
      </c>
      <c r="AJ190" s="503">
        <v>0.54</v>
      </c>
      <c r="AK190" s="433">
        <f t="shared" si="97"/>
        <v>0</v>
      </c>
      <c r="AL190" s="433">
        <f t="shared" si="98"/>
        <v>1.4959859626394942</v>
      </c>
      <c r="AM190" s="431">
        <v>1</v>
      </c>
      <c r="AN190" s="275">
        <f>SUM(AH191:AH197)</f>
        <v>218.89991214590628</v>
      </c>
      <c r="AO190" s="275">
        <f>SUM(AI191:AI197)</f>
        <v>493.63284652319493</v>
      </c>
    </row>
    <row r="191" spans="1:41">
      <c r="A191" s="251" t="s">
        <v>783</v>
      </c>
      <c r="B191" s="60"/>
      <c r="C191" s="60"/>
      <c r="D191" s="60"/>
      <c r="E191" s="60"/>
      <c r="F191" s="60"/>
      <c r="G191" s="60"/>
      <c r="H191" s="60"/>
      <c r="I191" s="60"/>
      <c r="J191" s="60"/>
      <c r="K191" s="60">
        <v>73100</v>
      </c>
      <c r="L191" s="60">
        <v>73100</v>
      </c>
      <c r="S191" s="251" t="s">
        <v>783</v>
      </c>
      <c r="T191" s="442">
        <f t="shared" si="99"/>
        <v>0</v>
      </c>
      <c r="U191" s="442">
        <f t="shared" si="100"/>
        <v>0</v>
      </c>
      <c r="V191" s="480">
        <f t="shared" si="101"/>
        <v>73100</v>
      </c>
      <c r="W191" s="480">
        <f t="shared" si="102"/>
        <v>73100</v>
      </c>
      <c r="Y191" s="334">
        <f t="shared" si="103"/>
        <v>0</v>
      </c>
      <c r="Z191" s="334">
        <f t="shared" si="104"/>
        <v>0</v>
      </c>
      <c r="AA191" s="334">
        <f t="shared" si="105"/>
        <v>0</v>
      </c>
      <c r="AB191" s="334">
        <f t="shared" si="106"/>
        <v>1</v>
      </c>
      <c r="AC191" s="334"/>
      <c r="AE191" s="432">
        <f t="shared" si="94"/>
        <v>0.26064223446682627</v>
      </c>
      <c r="AF191" s="432">
        <f t="shared" si="95"/>
        <v>0</v>
      </c>
      <c r="AG191" s="432">
        <f t="shared" si="96"/>
        <v>0.26064223446682627</v>
      </c>
      <c r="AH191" s="432">
        <f t="shared" ref="AH191:AH197" si="107">(V191*(1-יחס_ארנונה)+U191*AJ191)/תושבים_2015</f>
        <v>0.15621767504694944</v>
      </c>
      <c r="AI191" s="432">
        <f t="shared" ref="AI191:AI197" si="108">(V191*יחס_ארנונה+U191*(1-AJ191))/תושבים_2015</f>
        <v>0.1044245594198768</v>
      </c>
      <c r="AJ191" s="503">
        <v>1</v>
      </c>
      <c r="AK191" s="433">
        <f t="shared" si="97"/>
        <v>0</v>
      </c>
      <c r="AL191" s="433">
        <f t="shared" si="98"/>
        <v>1.495985962639494</v>
      </c>
      <c r="AM191" s="431">
        <v>1</v>
      </c>
    </row>
    <row r="192" spans="1:41">
      <c r="A192" s="152" t="s">
        <v>650</v>
      </c>
      <c r="B192" s="60">
        <v>-8304300</v>
      </c>
      <c r="C192" s="60"/>
      <c r="D192" s="60">
        <v>-50638000</v>
      </c>
      <c r="E192" s="60">
        <v>-40000000</v>
      </c>
      <c r="F192" s="60"/>
      <c r="G192" s="60">
        <v>54741000</v>
      </c>
      <c r="H192" s="60">
        <v>557000</v>
      </c>
      <c r="I192" s="60">
        <v>5346600</v>
      </c>
      <c r="J192" s="60">
        <v>49589900</v>
      </c>
      <c r="K192" s="60">
        <v>1642100</v>
      </c>
      <c r="L192" s="60">
        <v>12934300</v>
      </c>
      <c r="S192" s="498" t="s">
        <v>650</v>
      </c>
      <c r="T192" s="263">
        <f t="shared" si="99"/>
        <v>0</v>
      </c>
      <c r="U192" s="263">
        <f t="shared" si="100"/>
        <v>98942300</v>
      </c>
      <c r="V192" s="252">
        <f t="shared" si="101"/>
        <v>12934300</v>
      </c>
      <c r="W192" s="252">
        <f t="shared" si="102"/>
        <v>111876600</v>
      </c>
      <c r="X192" s="479"/>
      <c r="Y192" s="473">
        <f t="shared" si="103"/>
        <v>0.48929803015107715</v>
      </c>
      <c r="Z192" s="473">
        <f t="shared" si="104"/>
        <v>5.2768854255492215E-2</v>
      </c>
      <c r="AA192" s="473">
        <f t="shared" si="105"/>
        <v>0.44325533668345302</v>
      </c>
      <c r="AB192" s="473">
        <f t="shared" si="106"/>
        <v>1.4677778909977601E-2</v>
      </c>
      <c r="AC192" s="473"/>
      <c r="AD192" s="479"/>
      <c r="AE192" s="335">
        <f t="shared" si="94"/>
        <v>398.90242145761061</v>
      </c>
      <c r="AF192" s="335">
        <f t="shared" si="95"/>
        <v>0</v>
      </c>
      <c r="AG192" s="335">
        <f t="shared" si="96"/>
        <v>398.90242145761061</v>
      </c>
      <c r="AH192" s="335">
        <f>SUM(AH193:AH198)</f>
        <v>135.00415448324944</v>
      </c>
      <c r="AI192" s="335">
        <f>SUM(AI193:AI198)</f>
        <v>263.89826697436121</v>
      </c>
      <c r="AJ192" s="502">
        <v>1</v>
      </c>
      <c r="AK192" s="475">
        <f t="shared" si="97"/>
        <v>0</v>
      </c>
      <c r="AL192" s="475">
        <f t="shared" si="98"/>
        <v>0.51157651026319795</v>
      </c>
      <c r="AM192" s="474">
        <v>1</v>
      </c>
    </row>
    <row r="193" spans="1:39">
      <c r="A193" s="251" t="s">
        <v>13</v>
      </c>
      <c r="B193" s="60">
        <v>-7704300</v>
      </c>
      <c r="C193" s="60"/>
      <c r="D193" s="60">
        <v>-49608000</v>
      </c>
      <c r="E193" s="60"/>
      <c r="F193" s="60"/>
      <c r="G193" s="60"/>
      <c r="H193" s="60"/>
      <c r="I193" s="60"/>
      <c r="J193" s="60"/>
      <c r="K193" s="60"/>
      <c r="L193" s="60">
        <v>-57312300</v>
      </c>
      <c r="S193" s="251" t="s">
        <v>13</v>
      </c>
      <c r="T193" s="442">
        <f t="shared" si="99"/>
        <v>0</v>
      </c>
      <c r="U193" s="442">
        <f t="shared" si="100"/>
        <v>57312300</v>
      </c>
      <c r="V193" s="480">
        <f t="shared" si="101"/>
        <v>-57312300</v>
      </c>
      <c r="W193" s="480">
        <f t="shared" si="102"/>
        <v>0</v>
      </c>
      <c r="Y193" s="334" t="e">
        <f t="shared" si="103"/>
        <v>#DIV/0!</v>
      </c>
      <c r="Z193" s="334" t="e">
        <f t="shared" si="104"/>
        <v>#DIV/0!</v>
      </c>
      <c r="AA193" s="334" t="e">
        <f t="shared" si="105"/>
        <v>#DIV/0!</v>
      </c>
      <c r="AB193" s="334" t="e">
        <f t="shared" si="106"/>
        <v>#DIV/0!</v>
      </c>
      <c r="AC193" s="334"/>
      <c r="AE193" s="432">
        <f t="shared" si="94"/>
        <v>0</v>
      </c>
      <c r="AF193" s="432">
        <f t="shared" si="95"/>
        <v>0</v>
      </c>
      <c r="AG193" s="432">
        <f t="shared" si="96"/>
        <v>0</v>
      </c>
      <c r="AH193" s="432">
        <f t="shared" si="107"/>
        <v>-20.303574423758395</v>
      </c>
      <c r="AI193" s="432">
        <f t="shared" si="108"/>
        <v>20.303574423758395</v>
      </c>
      <c r="AJ193" s="503">
        <v>0.5</v>
      </c>
      <c r="AK193" s="433">
        <f t="shared" si="97"/>
        <v>0</v>
      </c>
      <c r="AL193" s="433">
        <f t="shared" si="98"/>
        <v>-1</v>
      </c>
      <c r="AM193" s="431">
        <v>1</v>
      </c>
    </row>
    <row r="194" spans="1:39">
      <c r="A194" s="251" t="s">
        <v>714</v>
      </c>
      <c r="B194" s="60">
        <v>-600000</v>
      </c>
      <c r="C194" s="60"/>
      <c r="D194" s="60"/>
      <c r="E194" s="60"/>
      <c r="F194" s="60"/>
      <c r="G194" s="60">
        <v>7227000</v>
      </c>
      <c r="H194" s="60">
        <v>56600</v>
      </c>
      <c r="I194" s="60">
        <v>55000</v>
      </c>
      <c r="J194" s="60">
        <v>28602500</v>
      </c>
      <c r="K194" s="60"/>
      <c r="L194" s="60">
        <v>35341100</v>
      </c>
      <c r="S194" s="251" t="s">
        <v>714</v>
      </c>
      <c r="T194" s="442">
        <f t="shared" si="99"/>
        <v>0</v>
      </c>
      <c r="U194" s="442">
        <f t="shared" si="100"/>
        <v>600000</v>
      </c>
      <c r="V194" s="480">
        <f t="shared" si="101"/>
        <v>35341100</v>
      </c>
      <c r="W194" s="480">
        <f t="shared" si="102"/>
        <v>35941100</v>
      </c>
      <c r="Y194" s="334">
        <f t="shared" si="103"/>
        <v>0.20107898756576734</v>
      </c>
      <c r="Z194" s="334">
        <f t="shared" si="104"/>
        <v>3.1050802563082377E-3</v>
      </c>
      <c r="AA194" s="334">
        <f t="shared" si="105"/>
        <v>0.79581593217792446</v>
      </c>
      <c r="AB194" s="334">
        <f t="shared" si="106"/>
        <v>0</v>
      </c>
      <c r="AC194" s="334"/>
      <c r="AE194" s="432">
        <f t="shared" si="94"/>
        <v>128.15004942812106</v>
      </c>
      <c r="AF194" s="432">
        <f t="shared" si="95"/>
        <v>0</v>
      </c>
      <c r="AG194" s="432">
        <f t="shared" si="96"/>
        <v>128.15004942812106</v>
      </c>
      <c r="AH194" s="432">
        <f t="shared" si="107"/>
        <v>77.664703369108636</v>
      </c>
      <c r="AI194" s="432">
        <f t="shared" si="108"/>
        <v>50.485346059012421</v>
      </c>
      <c r="AJ194" s="503">
        <v>1</v>
      </c>
      <c r="AK194" s="433">
        <f t="shared" si="97"/>
        <v>0</v>
      </c>
      <c r="AL194" s="433">
        <f t="shared" si="98"/>
        <v>1.5383613153473528</v>
      </c>
      <c r="AM194" s="431">
        <v>1</v>
      </c>
    </row>
    <row r="195" spans="1:39">
      <c r="A195" s="251" t="s">
        <v>660</v>
      </c>
      <c r="B195" s="60"/>
      <c r="C195" s="60"/>
      <c r="D195" s="60">
        <v>-350000</v>
      </c>
      <c r="E195" s="60"/>
      <c r="F195" s="60"/>
      <c r="G195" s="60">
        <v>13748000</v>
      </c>
      <c r="H195" s="60">
        <v>166900</v>
      </c>
      <c r="I195" s="60">
        <v>32000</v>
      </c>
      <c r="J195" s="60">
        <v>224200</v>
      </c>
      <c r="K195" s="60"/>
      <c r="L195" s="60">
        <v>13821100</v>
      </c>
      <c r="S195" s="251" t="s">
        <v>660</v>
      </c>
      <c r="T195" s="442">
        <f t="shared" si="99"/>
        <v>0</v>
      </c>
      <c r="U195" s="442">
        <f t="shared" si="100"/>
        <v>350000</v>
      </c>
      <c r="V195" s="480">
        <f t="shared" si="101"/>
        <v>13821100</v>
      </c>
      <c r="W195" s="480">
        <f t="shared" si="102"/>
        <v>14171100</v>
      </c>
      <c r="Y195" s="334">
        <f t="shared" si="103"/>
        <v>0.9701434609875027</v>
      </c>
      <c r="Z195" s="334">
        <f t="shared" si="104"/>
        <v>1.4035607680420011E-2</v>
      </c>
      <c r="AA195" s="334">
        <f t="shared" si="105"/>
        <v>1.5820931332077254E-2</v>
      </c>
      <c r="AB195" s="334">
        <f t="shared" si="106"/>
        <v>0</v>
      </c>
      <c r="AC195" s="334"/>
      <c r="AE195" s="432">
        <f t="shared" si="94"/>
        <v>50.5278682469609</v>
      </c>
      <c r="AF195" s="432">
        <f t="shared" si="95"/>
        <v>0</v>
      </c>
      <c r="AG195" s="432">
        <f t="shared" si="96"/>
        <v>50.5278682469609</v>
      </c>
      <c r="AH195" s="432">
        <f t="shared" si="107"/>
        <v>30.160225713038137</v>
      </c>
      <c r="AI195" s="432">
        <f t="shared" si="108"/>
        <v>20.367642533922762</v>
      </c>
      <c r="AJ195" s="503">
        <v>0.5</v>
      </c>
      <c r="AK195" s="433">
        <f t="shared" si="97"/>
        <v>0</v>
      </c>
      <c r="AL195" s="433">
        <f t="shared" si="98"/>
        <v>1.4807911943076186</v>
      </c>
      <c r="AM195" s="431">
        <v>1</v>
      </c>
    </row>
    <row r="196" spans="1:39">
      <c r="A196" s="251" t="s">
        <v>709</v>
      </c>
      <c r="B196" s="60"/>
      <c r="C196" s="60"/>
      <c r="D196" s="60"/>
      <c r="E196" s="60">
        <v>-40000000</v>
      </c>
      <c r="F196" s="60"/>
      <c r="G196" s="60">
        <v>4133000</v>
      </c>
      <c r="H196" s="60">
        <v>24400</v>
      </c>
      <c r="I196" s="60">
        <v>129000</v>
      </c>
      <c r="J196" s="60">
        <v>53800</v>
      </c>
      <c r="K196" s="60">
        <v>1642100</v>
      </c>
      <c r="L196" s="60">
        <v>-34017700</v>
      </c>
      <c r="S196" s="251" t="s">
        <v>709</v>
      </c>
      <c r="T196" s="442">
        <f t="shared" si="99"/>
        <v>0</v>
      </c>
      <c r="U196" s="442">
        <f t="shared" si="100"/>
        <v>40000000</v>
      </c>
      <c r="V196" s="480">
        <f t="shared" si="101"/>
        <v>-34017700</v>
      </c>
      <c r="W196" s="480">
        <f t="shared" si="102"/>
        <v>5982300</v>
      </c>
      <c r="Y196" s="334">
        <f t="shared" si="103"/>
        <v>0.69087140397505975</v>
      </c>
      <c r="Z196" s="334">
        <f t="shared" si="104"/>
        <v>2.5642311485549036E-2</v>
      </c>
      <c r="AA196" s="334">
        <f t="shared" si="105"/>
        <v>8.9931965966267152E-3</v>
      </c>
      <c r="AB196" s="334">
        <f t="shared" si="106"/>
        <v>0.2744930879427645</v>
      </c>
      <c r="AC196" s="334"/>
      <c r="AE196" s="432">
        <f t="shared" si="94"/>
        <v>21.330233095087479</v>
      </c>
      <c r="AF196" s="432">
        <f t="shared" si="95"/>
        <v>0</v>
      </c>
      <c r="AG196" s="432">
        <f t="shared" si="96"/>
        <v>21.330233095087479</v>
      </c>
      <c r="AH196" s="432">
        <f t="shared" si="107"/>
        <v>-72.697209363127399</v>
      </c>
      <c r="AI196" s="432">
        <f t="shared" si="108"/>
        <v>94.027442458214892</v>
      </c>
      <c r="AJ196" s="503">
        <v>0</v>
      </c>
      <c r="AK196" s="433">
        <f t="shared" si="97"/>
        <v>0</v>
      </c>
      <c r="AL196" s="433">
        <f t="shared" si="98"/>
        <v>-0.77314885380864751</v>
      </c>
      <c r="AM196" s="431">
        <v>1</v>
      </c>
    </row>
    <row r="197" spans="1:39">
      <c r="A197" s="251" t="s">
        <v>739</v>
      </c>
      <c r="B197" s="60">
        <v>0</v>
      </c>
      <c r="C197" s="60"/>
      <c r="D197" s="441">
        <v>-680000</v>
      </c>
      <c r="E197" s="60"/>
      <c r="F197" s="60"/>
      <c r="G197" s="60">
        <v>23404000</v>
      </c>
      <c r="H197" s="60">
        <v>164100</v>
      </c>
      <c r="I197" s="60">
        <v>5094600</v>
      </c>
      <c r="J197" s="60">
        <v>3130800</v>
      </c>
      <c r="K197" s="60"/>
      <c r="L197" s="60">
        <v>31113500</v>
      </c>
      <c r="S197" s="251" t="s">
        <v>739</v>
      </c>
      <c r="T197" s="442">
        <f t="shared" si="99"/>
        <v>0</v>
      </c>
      <c r="U197" s="442">
        <f t="shared" si="100"/>
        <v>680000</v>
      </c>
      <c r="V197" s="480">
        <f t="shared" si="101"/>
        <v>31113500</v>
      </c>
      <c r="W197" s="480">
        <f t="shared" si="102"/>
        <v>31793500</v>
      </c>
      <c r="Y197" s="334">
        <f t="shared" si="103"/>
        <v>0.73612530863226755</v>
      </c>
      <c r="Z197" s="334">
        <f t="shared" si="104"/>
        <v>0.16540173305864406</v>
      </c>
      <c r="AA197" s="334">
        <f t="shared" si="105"/>
        <v>9.8472958309088338E-2</v>
      </c>
      <c r="AB197" s="334">
        <f t="shared" si="106"/>
        <v>0</v>
      </c>
      <c r="AC197" s="334"/>
      <c r="AE197" s="432">
        <f t="shared" si="94"/>
        <v>113.36154420685419</v>
      </c>
      <c r="AF197" s="432">
        <f t="shared" si="95"/>
        <v>0</v>
      </c>
      <c r="AG197" s="432">
        <f t="shared" si="96"/>
        <v>113.36154420685419</v>
      </c>
      <c r="AH197" s="432">
        <f t="shared" si="107"/>
        <v>68.915394692348897</v>
      </c>
      <c r="AI197" s="432">
        <f t="shared" si="108"/>
        <v>44.446149514505294</v>
      </c>
      <c r="AJ197" s="503">
        <v>1</v>
      </c>
      <c r="AK197" s="433">
        <f t="shared" si="97"/>
        <v>0</v>
      </c>
      <c r="AL197" s="433">
        <f t="shared" si="98"/>
        <v>1.5505368956619718</v>
      </c>
      <c r="AM197" s="431">
        <v>1</v>
      </c>
    </row>
    <row r="198" spans="1:39">
      <c r="A198" s="251" t="s">
        <v>675</v>
      </c>
      <c r="B198" s="60"/>
      <c r="C198" s="60"/>
      <c r="D198" s="60"/>
      <c r="E198" s="60"/>
      <c r="F198" s="60"/>
      <c r="G198" s="60">
        <v>6229000</v>
      </c>
      <c r="H198" s="60">
        <v>145000</v>
      </c>
      <c r="I198" s="60">
        <v>36000</v>
      </c>
      <c r="J198" s="60">
        <v>17578600</v>
      </c>
      <c r="K198" s="60"/>
      <c r="L198" s="60">
        <v>23988600</v>
      </c>
      <c r="S198" s="251" t="s">
        <v>675</v>
      </c>
      <c r="T198" s="442">
        <f t="shared" si="99"/>
        <v>0</v>
      </c>
      <c r="U198" s="442">
        <f t="shared" si="100"/>
        <v>0</v>
      </c>
      <c r="V198" s="480">
        <f t="shared" si="101"/>
        <v>23988600</v>
      </c>
      <c r="W198" s="480">
        <f t="shared" si="102"/>
        <v>23988600</v>
      </c>
      <c r="Y198" s="334">
        <f t="shared" si="103"/>
        <v>0.25966500754525068</v>
      </c>
      <c r="Z198" s="334">
        <f t="shared" si="104"/>
        <v>7.5452506607305136E-3</v>
      </c>
      <c r="AA198" s="334">
        <f t="shared" si="105"/>
        <v>0.73278974179401879</v>
      </c>
      <c r="AB198" s="334">
        <f t="shared" si="106"/>
        <v>0</v>
      </c>
      <c r="AC198" s="473"/>
      <c r="AE198" s="432">
        <f t="shared" si="94"/>
        <v>85.532726480586987</v>
      </c>
      <c r="AF198" s="432">
        <f t="shared" si="95"/>
        <v>0</v>
      </c>
      <c r="AG198" s="432">
        <f t="shared" si="96"/>
        <v>85.532726480586987</v>
      </c>
      <c r="AH198" s="432">
        <f t="shared" ref="AH198:AH216" si="109">(V198*(1-יחס_ארנונה)+U198*AJ198)/תושבים_2015</f>
        <v>51.264614495639556</v>
      </c>
      <c r="AI198" s="432">
        <f t="shared" ref="AI198" si="110">(V198*יחס_ארנונה+U198*(1-AJ198))/תושבים_2015</f>
        <v>34.268111984947424</v>
      </c>
      <c r="AJ198" s="503">
        <v>1</v>
      </c>
      <c r="AK198" s="433">
        <f t="shared" si="97"/>
        <v>0</v>
      </c>
      <c r="AL198" s="433">
        <f t="shared" si="98"/>
        <v>1.495985962639494</v>
      </c>
      <c r="AM198" s="431">
        <v>1</v>
      </c>
    </row>
    <row r="199" spans="1:39">
      <c r="A199" s="152" t="s">
        <v>869</v>
      </c>
      <c r="B199" s="60"/>
      <c r="C199" s="60"/>
      <c r="D199" s="60">
        <v>-3305000</v>
      </c>
      <c r="E199" s="60"/>
      <c r="F199" s="60"/>
      <c r="G199" s="60">
        <v>24034000</v>
      </c>
      <c r="H199" s="60">
        <v>1490000</v>
      </c>
      <c r="I199" s="60">
        <v>1070600</v>
      </c>
      <c r="J199" s="60">
        <v>2718600</v>
      </c>
      <c r="K199" s="60"/>
      <c r="L199" s="60">
        <v>26008200</v>
      </c>
      <c r="S199" s="498" t="s">
        <v>869</v>
      </c>
      <c r="T199" s="263">
        <f t="shared" si="99"/>
        <v>0</v>
      </c>
      <c r="U199" s="263">
        <f t="shared" si="100"/>
        <v>3305000</v>
      </c>
      <c r="V199" s="252">
        <f t="shared" si="101"/>
        <v>26008200</v>
      </c>
      <c r="W199" s="252">
        <f t="shared" si="102"/>
        <v>29313200</v>
      </c>
      <c r="X199" s="479"/>
      <c r="Y199" s="473">
        <f t="shared" si="103"/>
        <v>0.81990366114924329</v>
      </c>
      <c r="Z199" s="473">
        <f t="shared" si="104"/>
        <v>8.7353137835514377E-2</v>
      </c>
      <c r="AA199" s="473">
        <f t="shared" si="105"/>
        <v>9.2743201015242277E-2</v>
      </c>
      <c r="AB199" s="473">
        <f t="shared" si="106"/>
        <v>0</v>
      </c>
      <c r="AC199" s="473"/>
      <c r="AD199" s="479"/>
      <c r="AE199" s="335">
        <f t="shared" si="94"/>
        <v>104.51789257692164</v>
      </c>
      <c r="AF199" s="335">
        <f t="shared" si="95"/>
        <v>0</v>
      </c>
      <c r="AG199" s="335">
        <f t="shared" si="96"/>
        <v>104.51789257692164</v>
      </c>
      <c r="AH199" s="335">
        <f>SUM(AH200:AH201)</f>
        <v>67.364748578234355</v>
      </c>
      <c r="AI199" s="335">
        <f>SUM(AI200:AI201)</f>
        <v>37.153143998687277</v>
      </c>
      <c r="AJ199" s="502">
        <v>0.60616129721725831</v>
      </c>
      <c r="AK199" s="475">
        <f t="shared" si="97"/>
        <v>0</v>
      </c>
      <c r="AL199" s="475">
        <f t="shared" si="98"/>
        <v>1.8131641451559131</v>
      </c>
      <c r="AM199" s="474">
        <v>1</v>
      </c>
    </row>
    <row r="200" spans="1:39">
      <c r="A200" s="251" t="s">
        <v>879</v>
      </c>
      <c r="B200" s="60"/>
      <c r="C200" s="60"/>
      <c r="D200" s="60"/>
      <c r="E200" s="60"/>
      <c r="F200" s="60"/>
      <c r="G200" s="60">
        <v>2613000</v>
      </c>
      <c r="H200" s="60">
        <v>64600</v>
      </c>
      <c r="I200" s="60">
        <v>647300</v>
      </c>
      <c r="J200" s="60">
        <v>1440000</v>
      </c>
      <c r="K200" s="60"/>
      <c r="L200" s="60">
        <v>4764900</v>
      </c>
      <c r="S200" s="251" t="s">
        <v>879</v>
      </c>
      <c r="T200" s="442">
        <f t="shared" si="99"/>
        <v>0</v>
      </c>
      <c r="U200" s="442">
        <f t="shared" si="100"/>
        <v>0</v>
      </c>
      <c r="V200" s="480">
        <f t="shared" si="101"/>
        <v>4764900</v>
      </c>
      <c r="W200" s="480">
        <f t="shared" si="102"/>
        <v>4764900</v>
      </c>
      <c r="Y200" s="334">
        <f t="shared" si="103"/>
        <v>0.54838506579361579</v>
      </c>
      <c r="Z200" s="334">
        <f t="shared" si="104"/>
        <v>0.14940502423975319</v>
      </c>
      <c r="AA200" s="334">
        <f t="shared" si="105"/>
        <v>0.302209909966631</v>
      </c>
      <c r="AB200" s="334">
        <f t="shared" si="106"/>
        <v>0</v>
      </c>
      <c r="AC200" s="334"/>
      <c r="AE200" s="432">
        <f t="shared" si="94"/>
        <v>16.989523707400554</v>
      </c>
      <c r="AF200" s="432">
        <f t="shared" si="95"/>
        <v>0</v>
      </c>
      <c r="AG200" s="432">
        <f t="shared" si="96"/>
        <v>16.989523707400554</v>
      </c>
      <c r="AH200" s="432">
        <f t="shared" si="109"/>
        <v>10.182785223409159</v>
      </c>
      <c r="AI200" s="432">
        <f>(V200*יחס_ארנונה+U200*(1-AJ200))/תושבים_2015</f>
        <v>6.8067384839913947</v>
      </c>
      <c r="AJ200" s="503">
        <v>0.8</v>
      </c>
      <c r="AK200" s="433">
        <f t="shared" si="97"/>
        <v>0</v>
      </c>
      <c r="AL200" s="433">
        <f t="shared" si="98"/>
        <v>1.4959859626394942</v>
      </c>
      <c r="AM200" s="431">
        <v>1</v>
      </c>
    </row>
    <row r="201" spans="1:39">
      <c r="A201" s="251" t="s">
        <v>874</v>
      </c>
      <c r="B201" s="60"/>
      <c r="C201" s="60"/>
      <c r="D201" s="60">
        <v>-3305000</v>
      </c>
      <c r="E201" s="60"/>
      <c r="F201" s="60"/>
      <c r="G201" s="60">
        <v>21421000</v>
      </c>
      <c r="H201" s="60">
        <v>1425400</v>
      </c>
      <c r="I201" s="60">
        <v>423300</v>
      </c>
      <c r="J201" s="60">
        <v>1278600</v>
      </c>
      <c r="K201" s="60"/>
      <c r="L201" s="60">
        <v>21243300</v>
      </c>
      <c r="S201" s="251" t="s">
        <v>874</v>
      </c>
      <c r="T201" s="442">
        <f t="shared" si="99"/>
        <v>0</v>
      </c>
      <c r="U201" s="442">
        <f t="shared" si="100"/>
        <v>3305000</v>
      </c>
      <c r="V201" s="480">
        <f t="shared" si="101"/>
        <v>21243300</v>
      </c>
      <c r="W201" s="480">
        <f t="shared" si="102"/>
        <v>24548300</v>
      </c>
      <c r="Y201" s="334">
        <f t="shared" si="103"/>
        <v>0.87260624971993983</v>
      </c>
      <c r="Z201" s="334">
        <f t="shared" si="104"/>
        <v>7.5308677179275141E-2</v>
      </c>
      <c r="AA201" s="334">
        <f t="shared" si="105"/>
        <v>5.208507310078498E-2</v>
      </c>
      <c r="AB201" s="334">
        <f t="shared" si="106"/>
        <v>0</v>
      </c>
      <c r="AC201" s="473"/>
      <c r="AE201" s="432">
        <f t="shared" si="94"/>
        <v>87.528368869521088</v>
      </c>
      <c r="AF201" s="432">
        <f t="shared" si="95"/>
        <v>0</v>
      </c>
      <c r="AG201" s="432">
        <f t="shared" si="96"/>
        <v>87.528368869521088</v>
      </c>
      <c r="AH201" s="432">
        <f t="shared" si="109"/>
        <v>57.1819633548252</v>
      </c>
      <c r="AI201" s="432">
        <f>(V201*יחס_ארנונה+U201*(1-AJ201))/תושבים_2015</f>
        <v>30.346405514695881</v>
      </c>
      <c r="AJ201" s="503">
        <v>1</v>
      </c>
      <c r="AK201" s="433">
        <f t="shared" si="97"/>
        <v>0</v>
      </c>
      <c r="AL201" s="433">
        <f t="shared" si="98"/>
        <v>1.8843076267182166</v>
      </c>
      <c r="AM201" s="431">
        <v>1</v>
      </c>
    </row>
    <row r="202" spans="1:39">
      <c r="A202" s="152" t="s">
        <v>841</v>
      </c>
      <c r="B202" s="60"/>
      <c r="C202" s="60"/>
      <c r="D202" s="60"/>
      <c r="E202" s="60"/>
      <c r="F202" s="60"/>
      <c r="G202" s="60">
        <v>3319000</v>
      </c>
      <c r="H202" s="60">
        <v>25700</v>
      </c>
      <c r="I202" s="60">
        <v>4000</v>
      </c>
      <c r="J202" s="60">
        <v>11000</v>
      </c>
      <c r="K202" s="60">
        <v>2273200</v>
      </c>
      <c r="L202" s="60">
        <v>5632900</v>
      </c>
      <c r="S202" s="498" t="s">
        <v>841</v>
      </c>
      <c r="T202" s="263">
        <f t="shared" si="99"/>
        <v>0</v>
      </c>
      <c r="U202" s="263">
        <f t="shared" si="100"/>
        <v>0</v>
      </c>
      <c r="V202" s="252">
        <f t="shared" si="101"/>
        <v>5632900</v>
      </c>
      <c r="W202" s="252">
        <f t="shared" si="102"/>
        <v>5632900</v>
      </c>
      <c r="X202" s="479"/>
      <c r="Y202" s="473">
        <f t="shared" si="103"/>
        <v>0.58921692201175235</v>
      </c>
      <c r="Z202" s="473">
        <f t="shared" si="104"/>
        <v>5.2725949333380677E-3</v>
      </c>
      <c r="AA202" s="473">
        <f t="shared" si="105"/>
        <v>1.9528129382733583E-3</v>
      </c>
      <c r="AB202" s="473">
        <f t="shared" si="106"/>
        <v>0.40355767011663618</v>
      </c>
      <c r="AC202" s="473"/>
      <c r="AD202" s="479"/>
      <c r="AE202" s="335">
        <f t="shared" si="94"/>
        <v>20.084427394366426</v>
      </c>
      <c r="AF202" s="335">
        <f t="shared" si="95"/>
        <v>0</v>
      </c>
      <c r="AG202" s="335">
        <f t="shared" si="96"/>
        <v>20.084427394366426</v>
      </c>
      <c r="AH202" s="335">
        <f>SUM(AH203)</f>
        <v>12.03773654954804</v>
      </c>
      <c r="AI202" s="335">
        <f>SUM(AI203)</f>
        <v>8.0466908448183858</v>
      </c>
      <c r="AJ202" s="502">
        <v>1</v>
      </c>
      <c r="AK202" s="475">
        <f t="shared" si="97"/>
        <v>0</v>
      </c>
      <c r="AL202" s="475">
        <f t="shared" si="98"/>
        <v>1.4959859626394945</v>
      </c>
      <c r="AM202" s="474">
        <v>1</v>
      </c>
    </row>
    <row r="203" spans="1:39">
      <c r="A203" s="251" t="s">
        <v>846</v>
      </c>
      <c r="B203" s="60"/>
      <c r="C203" s="60"/>
      <c r="D203" s="60"/>
      <c r="E203" s="60"/>
      <c r="F203" s="60"/>
      <c r="G203" s="60">
        <v>3319000</v>
      </c>
      <c r="H203" s="60">
        <v>25700</v>
      </c>
      <c r="I203" s="60">
        <v>4000</v>
      </c>
      <c r="J203" s="60">
        <v>11000</v>
      </c>
      <c r="K203" s="60">
        <v>2273200</v>
      </c>
      <c r="L203" s="60">
        <v>5632900</v>
      </c>
      <c r="S203" s="251" t="s">
        <v>846</v>
      </c>
      <c r="T203" s="442">
        <f t="shared" si="99"/>
        <v>0</v>
      </c>
      <c r="U203" s="442">
        <f t="shared" si="100"/>
        <v>0</v>
      </c>
      <c r="V203" s="480">
        <f t="shared" si="101"/>
        <v>5632900</v>
      </c>
      <c r="W203" s="480">
        <f t="shared" si="102"/>
        <v>5632900</v>
      </c>
      <c r="Y203" s="334">
        <f t="shared" si="103"/>
        <v>0.58921692201175235</v>
      </c>
      <c r="Z203" s="334">
        <f t="shared" si="104"/>
        <v>5.2725949333380677E-3</v>
      </c>
      <c r="AA203" s="334">
        <f t="shared" si="105"/>
        <v>1.9528129382733583E-3</v>
      </c>
      <c r="AB203" s="334">
        <f t="shared" si="106"/>
        <v>0.40355767011663618</v>
      </c>
      <c r="AC203" s="334"/>
      <c r="AE203" s="432">
        <f t="shared" si="94"/>
        <v>20.084427394366426</v>
      </c>
      <c r="AF203" s="432">
        <f t="shared" si="95"/>
        <v>0</v>
      </c>
      <c r="AG203" s="432">
        <f t="shared" si="96"/>
        <v>20.084427394366426</v>
      </c>
      <c r="AH203" s="432">
        <f t="shared" si="109"/>
        <v>12.03773654954804</v>
      </c>
      <c r="AI203" s="432">
        <f>(V203*יחס_ארנונה+U203*(1-AJ203))/תושבים_2015</f>
        <v>8.0466908448183858</v>
      </c>
      <c r="AJ203" s="503">
        <v>1</v>
      </c>
      <c r="AK203" s="433">
        <f t="shared" si="97"/>
        <v>0</v>
      </c>
      <c r="AL203" s="433">
        <f t="shared" si="98"/>
        <v>1.4959859626394945</v>
      </c>
      <c r="AM203" s="431">
        <v>1</v>
      </c>
    </row>
    <row r="204" spans="1:39">
      <c r="A204" s="152" t="s">
        <v>798</v>
      </c>
      <c r="B204" s="60"/>
      <c r="C204" s="60"/>
      <c r="D204" s="60"/>
      <c r="E204" s="60"/>
      <c r="F204" s="60"/>
      <c r="G204" s="60">
        <v>8916000</v>
      </c>
      <c r="H204" s="60">
        <v>238000</v>
      </c>
      <c r="I204" s="60">
        <v>37500</v>
      </c>
      <c r="J204" s="60">
        <v>19517900</v>
      </c>
      <c r="K204" s="60">
        <v>2506000</v>
      </c>
      <c r="L204" s="60">
        <v>31215400</v>
      </c>
      <c r="S204" s="504" t="s">
        <v>798</v>
      </c>
      <c r="T204" s="263">
        <f t="shared" si="99"/>
        <v>0</v>
      </c>
      <c r="U204" s="263">
        <f t="shared" si="100"/>
        <v>0</v>
      </c>
      <c r="V204" s="252">
        <f t="shared" si="101"/>
        <v>31215400</v>
      </c>
      <c r="W204" s="252">
        <f t="shared" si="102"/>
        <v>31215400</v>
      </c>
      <c r="X204" s="479"/>
      <c r="Y204" s="473">
        <f t="shared" si="103"/>
        <v>0.28562824759573802</v>
      </c>
      <c r="Z204" s="473">
        <f t="shared" si="104"/>
        <v>8.8257718946417475E-3</v>
      </c>
      <c r="AA204" s="473">
        <f t="shared" si="105"/>
        <v>0.62526509351153592</v>
      </c>
      <c r="AB204" s="473">
        <f t="shared" si="106"/>
        <v>8.0280886998084278E-2</v>
      </c>
      <c r="AC204" s="473"/>
      <c r="AD204" s="479"/>
      <c r="AE204" s="335">
        <f t="shared" si="94"/>
        <v>111.300295564648</v>
      </c>
      <c r="AF204" s="335">
        <f t="shared" si="95"/>
        <v>0</v>
      </c>
      <c r="AG204" s="335">
        <f t="shared" si="96"/>
        <v>111.300295564648</v>
      </c>
      <c r="AH204" s="335">
        <f>SUM(AH205:AH208)</f>
        <v>66.708580214234559</v>
      </c>
      <c r="AI204" s="335">
        <f>SUM(AI205:AI208)</f>
        <v>44.591715350413438</v>
      </c>
      <c r="AJ204" s="502">
        <v>1</v>
      </c>
      <c r="AK204" s="475">
        <f t="shared" si="97"/>
        <v>0</v>
      </c>
      <c r="AL204" s="475">
        <f t="shared" si="98"/>
        <v>1.4959859626394942</v>
      </c>
      <c r="AM204" s="474">
        <v>1</v>
      </c>
    </row>
    <row r="205" spans="1:39">
      <c r="A205" s="251" t="s">
        <v>12</v>
      </c>
      <c r="B205" s="60"/>
      <c r="C205" s="60"/>
      <c r="D205" s="60"/>
      <c r="E205" s="60"/>
      <c r="F205" s="60"/>
      <c r="G205" s="60"/>
      <c r="H205" s="60"/>
      <c r="I205" s="60"/>
      <c r="J205" s="60">
        <v>2000000</v>
      </c>
      <c r="K205" s="60"/>
      <c r="L205" s="60">
        <v>2000000</v>
      </c>
      <c r="S205" s="251" t="s">
        <v>12</v>
      </c>
      <c r="T205" s="442">
        <f t="shared" si="99"/>
        <v>0</v>
      </c>
      <c r="U205" s="442">
        <f t="shared" si="100"/>
        <v>0</v>
      </c>
      <c r="V205" s="480">
        <f t="shared" si="101"/>
        <v>2000000</v>
      </c>
      <c r="W205" s="480">
        <f t="shared" si="102"/>
        <v>2000000</v>
      </c>
      <c r="Y205" s="334">
        <f t="shared" si="103"/>
        <v>0</v>
      </c>
      <c r="Z205" s="334">
        <f t="shared" si="104"/>
        <v>0</v>
      </c>
      <c r="AA205" s="334">
        <f t="shared" si="105"/>
        <v>1</v>
      </c>
      <c r="AB205" s="334">
        <f t="shared" si="106"/>
        <v>0</v>
      </c>
      <c r="AC205" s="473"/>
      <c r="AE205" s="432">
        <f t="shared" si="94"/>
        <v>7.1311144860964779</v>
      </c>
      <c r="AF205" s="432">
        <f t="shared" si="95"/>
        <v>0</v>
      </c>
      <c r="AG205" s="432">
        <f t="shared" si="96"/>
        <v>7.1311144860964779</v>
      </c>
      <c r="AH205" s="432">
        <f t="shared" si="109"/>
        <v>4.2740813966333642</v>
      </c>
      <c r="AI205" s="432">
        <f>(V205*יחס_ארנונה+U205*(1-AJ205))/תושבים_2015</f>
        <v>2.8570330894631133</v>
      </c>
      <c r="AJ205" s="503">
        <v>1</v>
      </c>
      <c r="AK205" s="433">
        <f t="shared" si="97"/>
        <v>0</v>
      </c>
      <c r="AL205" s="433">
        <f t="shared" si="98"/>
        <v>1.4959859626394945</v>
      </c>
      <c r="AM205" s="431">
        <v>1</v>
      </c>
    </row>
    <row r="206" spans="1:39">
      <c r="A206" s="251" t="s">
        <v>803</v>
      </c>
      <c r="B206" s="60"/>
      <c r="C206" s="60"/>
      <c r="D206" s="60"/>
      <c r="E206" s="60"/>
      <c r="F206" s="60"/>
      <c r="G206" s="60">
        <v>2913000</v>
      </c>
      <c r="H206" s="60">
        <v>157800</v>
      </c>
      <c r="I206" s="60">
        <v>6900</v>
      </c>
      <c r="J206" s="60">
        <v>5600</v>
      </c>
      <c r="K206" s="60">
        <v>2088300</v>
      </c>
      <c r="L206" s="60">
        <v>5171600</v>
      </c>
      <c r="S206" s="251" t="s">
        <v>803</v>
      </c>
      <c r="T206" s="442">
        <f t="shared" si="99"/>
        <v>0</v>
      </c>
      <c r="U206" s="442">
        <f t="shared" si="100"/>
        <v>0</v>
      </c>
      <c r="V206" s="480">
        <f t="shared" si="101"/>
        <v>5171600</v>
      </c>
      <c r="W206" s="480">
        <f t="shared" si="102"/>
        <v>5171600</v>
      </c>
      <c r="Y206" s="334">
        <f t="shared" si="103"/>
        <v>0.56326862092969299</v>
      </c>
      <c r="Z206" s="334">
        <f t="shared" si="104"/>
        <v>3.1847010596333825E-2</v>
      </c>
      <c r="AA206" s="334">
        <f t="shared" si="105"/>
        <v>1.0828370330265296E-3</v>
      </c>
      <c r="AB206" s="334">
        <f t="shared" si="106"/>
        <v>0.40380153144094671</v>
      </c>
      <c r="AC206" s="334"/>
      <c r="AE206" s="432">
        <f t="shared" si="94"/>
        <v>18.439635838148273</v>
      </c>
      <c r="AF206" s="432">
        <f t="shared" si="95"/>
        <v>0</v>
      </c>
      <c r="AG206" s="432">
        <f t="shared" si="96"/>
        <v>18.439635838148273</v>
      </c>
      <c r="AH206" s="432">
        <f t="shared" si="109"/>
        <v>11.051919675414553</v>
      </c>
      <c r="AI206" s="432">
        <f>(V206*יחס_ארנונה+U206*(1-AJ206))/תושבים_2015</f>
        <v>7.3877161627337191</v>
      </c>
      <c r="AJ206" s="503">
        <v>0.60616129721725842</v>
      </c>
      <c r="AK206" s="433">
        <f t="shared" si="97"/>
        <v>0</v>
      </c>
      <c r="AL206" s="433">
        <f t="shared" si="98"/>
        <v>1.4959859626394942</v>
      </c>
      <c r="AM206" s="431">
        <v>1</v>
      </c>
    </row>
    <row r="207" spans="1:39">
      <c r="A207" s="251" t="s">
        <v>813</v>
      </c>
      <c r="B207" s="60"/>
      <c r="C207" s="60"/>
      <c r="D207" s="60"/>
      <c r="E207" s="60"/>
      <c r="F207" s="60"/>
      <c r="G207" s="60">
        <v>6003000</v>
      </c>
      <c r="H207" s="60">
        <v>80200</v>
      </c>
      <c r="I207" s="60">
        <v>30600</v>
      </c>
      <c r="J207" s="60">
        <v>17512300</v>
      </c>
      <c r="K207" s="60"/>
      <c r="L207" s="60">
        <v>23626100</v>
      </c>
      <c r="S207" s="251" t="s">
        <v>813</v>
      </c>
      <c r="T207" s="442">
        <f t="shared" si="99"/>
        <v>0</v>
      </c>
      <c r="U207" s="442">
        <f t="shared" si="100"/>
        <v>0</v>
      </c>
      <c r="V207" s="480">
        <f t="shared" si="101"/>
        <v>23626100</v>
      </c>
      <c r="W207" s="480">
        <f t="shared" si="102"/>
        <v>23626100</v>
      </c>
      <c r="Y207" s="334">
        <f t="shared" si="103"/>
        <v>0.25408340775667587</v>
      </c>
      <c r="Z207" s="334">
        <f t="shared" si="104"/>
        <v>4.6897287322071775E-3</v>
      </c>
      <c r="AA207" s="334">
        <f t="shared" si="105"/>
        <v>0.741226863511117</v>
      </c>
      <c r="AB207" s="334">
        <f t="shared" si="106"/>
        <v>0</v>
      </c>
      <c r="AC207" s="334"/>
      <c r="AE207" s="432">
        <f t="shared" si="94"/>
        <v>84.240211979982007</v>
      </c>
      <c r="AF207" s="432">
        <f t="shared" si="95"/>
        <v>0</v>
      </c>
      <c r="AG207" s="432">
        <f t="shared" si="96"/>
        <v>84.240211979982007</v>
      </c>
      <c r="AH207" s="432">
        <f t="shared" si="109"/>
        <v>50.489937242499764</v>
      </c>
      <c r="AI207" s="432">
        <f>(V207*יחס_ארנונה+U207*(1-AJ207))/תושבים_2015</f>
        <v>33.750274737482236</v>
      </c>
      <c r="AJ207" s="503">
        <v>1</v>
      </c>
      <c r="AK207" s="433">
        <f t="shared" si="97"/>
        <v>0</v>
      </c>
      <c r="AL207" s="433">
        <f t="shared" si="98"/>
        <v>1.4959859626394942</v>
      </c>
      <c r="AM207" s="431">
        <v>1</v>
      </c>
    </row>
    <row r="208" spans="1:39">
      <c r="A208" s="251" t="s">
        <v>837</v>
      </c>
      <c r="B208" s="60"/>
      <c r="C208" s="60"/>
      <c r="D208" s="60"/>
      <c r="E208" s="60"/>
      <c r="F208" s="60"/>
      <c r="G208" s="60"/>
      <c r="H208" s="60"/>
      <c r="I208" s="60"/>
      <c r="J208" s="60"/>
      <c r="K208" s="60">
        <v>417700</v>
      </c>
      <c r="L208" s="60">
        <v>417700</v>
      </c>
      <c r="S208" s="251" t="s">
        <v>832</v>
      </c>
      <c r="T208" s="442">
        <f t="shared" si="99"/>
        <v>0</v>
      </c>
      <c r="U208" s="442">
        <f t="shared" si="100"/>
        <v>0</v>
      </c>
      <c r="V208" s="480">
        <f t="shared" si="101"/>
        <v>417700</v>
      </c>
      <c r="W208" s="480">
        <f t="shared" si="102"/>
        <v>417700</v>
      </c>
      <c r="Y208" s="334">
        <f t="shared" si="103"/>
        <v>0</v>
      </c>
      <c r="Z208" s="334">
        <f t="shared" si="104"/>
        <v>0</v>
      </c>
      <c r="AA208" s="334">
        <f t="shared" si="105"/>
        <v>0</v>
      </c>
      <c r="AB208" s="334">
        <f t="shared" si="106"/>
        <v>1</v>
      </c>
      <c r="AC208" s="334"/>
      <c r="AE208" s="432">
        <f t="shared" si="94"/>
        <v>1.4893332604212495</v>
      </c>
      <c r="AF208" s="432">
        <f t="shared" si="95"/>
        <v>0</v>
      </c>
      <c r="AG208" s="432">
        <f t="shared" si="96"/>
        <v>1.4893332604212495</v>
      </c>
      <c r="AH208" s="432">
        <f t="shared" si="109"/>
        <v>0.89264189968687813</v>
      </c>
      <c r="AI208" s="432">
        <f>(V208*יחס_ארנונה+U208*(1-AJ208))/תושבים_2015</f>
        <v>0.59669136073437123</v>
      </c>
      <c r="AJ208" s="503">
        <v>0.60616129721725842</v>
      </c>
      <c r="AK208" s="433">
        <f t="shared" si="97"/>
        <v>0</v>
      </c>
      <c r="AL208" s="433">
        <f t="shared" si="98"/>
        <v>1.4959859626394942</v>
      </c>
      <c r="AM208" s="431">
        <v>1</v>
      </c>
    </row>
    <row r="209" spans="1:39">
      <c r="A209" s="152" t="s">
        <v>538</v>
      </c>
      <c r="B209" s="60"/>
      <c r="C209" s="60"/>
      <c r="D209" s="60">
        <v>-6200</v>
      </c>
      <c r="E209" s="60"/>
      <c r="F209" s="60">
        <v>-989500</v>
      </c>
      <c r="G209" s="60">
        <v>9833000</v>
      </c>
      <c r="H209" s="60">
        <v>174200</v>
      </c>
      <c r="I209" s="60">
        <v>710100</v>
      </c>
      <c r="J209" s="60">
        <v>1321600</v>
      </c>
      <c r="K209" s="60">
        <v>15301500</v>
      </c>
      <c r="L209" s="60">
        <v>26344700</v>
      </c>
      <c r="S209" s="251" t="s">
        <v>837</v>
      </c>
      <c r="T209" s="442">
        <f t="shared" si="99"/>
        <v>989500</v>
      </c>
      <c r="U209" s="442">
        <f t="shared" si="100"/>
        <v>6200</v>
      </c>
      <c r="V209" s="480">
        <f t="shared" si="101"/>
        <v>26344700</v>
      </c>
      <c r="W209" s="480">
        <f t="shared" si="102"/>
        <v>27340400</v>
      </c>
      <c r="Y209" s="334">
        <f t="shared" si="103"/>
        <v>0.35965091951836842</v>
      </c>
      <c r="Z209" s="334">
        <f t="shared" si="104"/>
        <v>3.2344076897192431E-2</v>
      </c>
      <c r="AA209" s="334">
        <f t="shared" si="105"/>
        <v>4.8338722184020716E-2</v>
      </c>
      <c r="AB209" s="334">
        <f t="shared" si="106"/>
        <v>0.55966628140041841</v>
      </c>
      <c r="AC209" s="334"/>
      <c r="AE209" s="432">
        <f t="shared" si="94"/>
        <v>97.483761247836071</v>
      </c>
      <c r="AF209" s="432">
        <f t="shared" si="95"/>
        <v>3.5281188919962325</v>
      </c>
      <c r="AG209" s="432">
        <f t="shared" si="96"/>
        <v>93.955642355839842</v>
      </c>
      <c r="AH209" s="335">
        <f>SUM(AH210:AH216)</f>
        <v>56.299696084943498</v>
      </c>
      <c r="AI209" s="335">
        <f>SUM(AI210:AI216)</f>
        <v>37.655946270896344</v>
      </c>
      <c r="AJ209" s="503">
        <v>1</v>
      </c>
      <c r="AK209" s="433">
        <f t="shared" si="97"/>
        <v>9.3693539570483639E-2</v>
      </c>
      <c r="AL209" s="433">
        <f t="shared" si="98"/>
        <v>1.4951077229589262</v>
      </c>
      <c r="AM209" s="431">
        <v>1</v>
      </c>
    </row>
    <row r="210" spans="1:39">
      <c r="A210" s="251" t="s">
        <v>560</v>
      </c>
      <c r="B210" s="60"/>
      <c r="C210" s="60"/>
      <c r="D210" s="60"/>
      <c r="E210" s="60"/>
      <c r="F210" s="60"/>
      <c r="G210" s="60">
        <v>2483000</v>
      </c>
      <c r="H210" s="60">
        <v>83300</v>
      </c>
      <c r="I210" s="60">
        <v>552300</v>
      </c>
      <c r="J210" s="60">
        <v>27400</v>
      </c>
      <c r="K210" s="60">
        <v>1710700</v>
      </c>
      <c r="L210" s="60">
        <v>4856700</v>
      </c>
      <c r="S210" s="504" t="s">
        <v>538</v>
      </c>
      <c r="T210" s="263">
        <f t="shared" si="99"/>
        <v>0</v>
      </c>
      <c r="U210" s="263">
        <f t="shared" si="100"/>
        <v>0</v>
      </c>
      <c r="V210" s="252">
        <f t="shared" si="101"/>
        <v>4856700</v>
      </c>
      <c r="W210" s="252">
        <f t="shared" si="102"/>
        <v>4856700</v>
      </c>
      <c r="X210" s="479"/>
      <c r="Y210" s="473">
        <f t="shared" si="103"/>
        <v>0.51125249655115612</v>
      </c>
      <c r="Z210" s="473">
        <f t="shared" si="104"/>
        <v>0.13087075586303457</v>
      </c>
      <c r="AA210" s="473">
        <f t="shared" si="105"/>
        <v>5.6416908600490047E-3</v>
      </c>
      <c r="AB210" s="473">
        <f t="shared" si="106"/>
        <v>0.35223505672576028</v>
      </c>
      <c r="AC210" s="473"/>
      <c r="AD210" s="479"/>
      <c r="AE210" s="335">
        <f t="shared" si="94"/>
        <v>17.316841862312383</v>
      </c>
      <c r="AF210" s="335">
        <f t="shared" si="95"/>
        <v>0</v>
      </c>
      <c r="AG210" s="335">
        <f t="shared" si="96"/>
        <v>17.316841862312383</v>
      </c>
      <c r="AH210" s="432">
        <f t="shared" si="109"/>
        <v>10.378965559514629</v>
      </c>
      <c r="AI210" s="432">
        <f t="shared" ref="AI210:AI216" si="111">(V210*יחס_ארנונה+U210*(1-AJ210))/תושבים_2015</f>
        <v>6.9378763027977515</v>
      </c>
      <c r="AJ210" s="502">
        <v>1</v>
      </c>
      <c r="AK210" s="475">
        <f t="shared" si="97"/>
        <v>0</v>
      </c>
      <c r="AL210" s="475">
        <f t="shared" si="98"/>
        <v>1.4959859626394942</v>
      </c>
      <c r="AM210" s="474">
        <v>1</v>
      </c>
    </row>
    <row r="211" spans="1:39">
      <c r="A211" s="251" t="s">
        <v>19</v>
      </c>
      <c r="B211" s="60"/>
      <c r="C211" s="60"/>
      <c r="D211" s="60"/>
      <c r="E211" s="60"/>
      <c r="F211" s="60"/>
      <c r="G211" s="60"/>
      <c r="H211" s="60"/>
      <c r="I211" s="60"/>
      <c r="J211" s="60"/>
      <c r="K211" s="60">
        <v>13500000</v>
      </c>
      <c r="L211" s="60">
        <v>13500000</v>
      </c>
      <c r="S211" s="251" t="s">
        <v>560</v>
      </c>
      <c r="T211" s="442">
        <f t="shared" si="99"/>
        <v>0</v>
      </c>
      <c r="U211" s="442">
        <f t="shared" si="100"/>
        <v>0</v>
      </c>
      <c r="V211" s="480">
        <f t="shared" si="101"/>
        <v>13500000</v>
      </c>
      <c r="W211" s="480">
        <f t="shared" si="102"/>
        <v>13500000</v>
      </c>
      <c r="Y211" s="334">
        <f t="shared" si="103"/>
        <v>0</v>
      </c>
      <c r="Z211" s="334">
        <f t="shared" si="104"/>
        <v>0</v>
      </c>
      <c r="AA211" s="334">
        <f t="shared" si="105"/>
        <v>0</v>
      </c>
      <c r="AB211" s="334">
        <f t="shared" si="106"/>
        <v>1</v>
      </c>
      <c r="AC211" s="473"/>
      <c r="AE211" s="432">
        <f t="shared" si="94"/>
        <v>48.135022781151228</v>
      </c>
      <c r="AF211" s="432">
        <f t="shared" si="95"/>
        <v>0</v>
      </c>
      <c r="AG211" s="432">
        <f t="shared" si="96"/>
        <v>48.135022781151228</v>
      </c>
      <c r="AH211" s="432">
        <f t="shared" si="109"/>
        <v>28.850049427275209</v>
      </c>
      <c r="AI211" s="432">
        <f t="shared" si="111"/>
        <v>19.284973353876016</v>
      </c>
      <c r="AJ211" s="503">
        <v>1</v>
      </c>
      <c r="AK211" s="433">
        <f t="shared" si="97"/>
        <v>0</v>
      </c>
      <c r="AL211" s="433">
        <f t="shared" si="98"/>
        <v>1.4959859626394945</v>
      </c>
      <c r="AM211" s="431">
        <v>1</v>
      </c>
    </row>
    <row r="212" spans="1:39">
      <c r="A212" s="251" t="s">
        <v>14</v>
      </c>
      <c r="B212" s="60"/>
      <c r="C212" s="60"/>
      <c r="D212" s="60"/>
      <c r="E212" s="60"/>
      <c r="F212" s="60"/>
      <c r="G212" s="60">
        <v>1111000</v>
      </c>
      <c r="H212" s="60">
        <v>64000</v>
      </c>
      <c r="I212" s="60">
        <v>154500</v>
      </c>
      <c r="J212" s="60">
        <v>35800</v>
      </c>
      <c r="K212" s="60"/>
      <c r="L212" s="60">
        <v>1365300</v>
      </c>
      <c r="S212" s="251" t="s">
        <v>19</v>
      </c>
      <c r="T212" s="442">
        <f t="shared" si="99"/>
        <v>0</v>
      </c>
      <c r="U212" s="442">
        <f t="shared" si="100"/>
        <v>0</v>
      </c>
      <c r="V212" s="480">
        <f t="shared" si="101"/>
        <v>1365300</v>
      </c>
      <c r="W212" s="480">
        <f t="shared" si="102"/>
        <v>1365300</v>
      </c>
      <c r="Y212" s="334">
        <f t="shared" si="103"/>
        <v>0.81374056983813081</v>
      </c>
      <c r="Z212" s="334">
        <f t="shared" si="104"/>
        <v>0.16003808686735516</v>
      </c>
      <c r="AA212" s="334">
        <f t="shared" si="105"/>
        <v>2.6221343294514025E-2</v>
      </c>
      <c r="AB212" s="334">
        <f t="shared" si="106"/>
        <v>0</v>
      </c>
      <c r="AC212" s="334"/>
      <c r="AE212" s="432">
        <f t="shared" si="94"/>
        <v>4.8680553039337608</v>
      </c>
      <c r="AF212" s="432">
        <f t="shared" si="95"/>
        <v>0</v>
      </c>
      <c r="AG212" s="432">
        <f t="shared" si="96"/>
        <v>4.8680553039337608</v>
      </c>
      <c r="AH212" s="432">
        <f t="shared" si="109"/>
        <v>2.9177016654117662</v>
      </c>
      <c r="AI212" s="432">
        <f t="shared" si="111"/>
        <v>1.9503536385219944</v>
      </c>
      <c r="AJ212" s="503">
        <v>1</v>
      </c>
      <c r="AK212" s="433">
        <f t="shared" si="97"/>
        <v>0</v>
      </c>
      <c r="AL212" s="433">
        <f t="shared" si="98"/>
        <v>1.4959859626394945</v>
      </c>
      <c r="AM212" s="431">
        <v>1</v>
      </c>
    </row>
    <row r="213" spans="1:39">
      <c r="A213" s="251" t="s">
        <v>549</v>
      </c>
      <c r="B213" s="60"/>
      <c r="C213" s="60"/>
      <c r="D213" s="60"/>
      <c r="E213" s="60"/>
      <c r="F213" s="60">
        <v>-62000</v>
      </c>
      <c r="G213" s="60">
        <v>3601000</v>
      </c>
      <c r="H213" s="60"/>
      <c r="I213" s="60"/>
      <c r="J213" s="60">
        <v>1239600</v>
      </c>
      <c r="K213" s="60"/>
      <c r="L213" s="60">
        <v>4778600</v>
      </c>
      <c r="S213" s="251" t="s">
        <v>14</v>
      </c>
      <c r="T213" s="442">
        <f t="shared" si="99"/>
        <v>62000</v>
      </c>
      <c r="U213" s="442">
        <f t="shared" si="100"/>
        <v>0</v>
      </c>
      <c r="V213" s="480">
        <f t="shared" si="101"/>
        <v>4778600</v>
      </c>
      <c r="W213" s="480">
        <f t="shared" si="102"/>
        <v>4840600</v>
      </c>
      <c r="Y213" s="334">
        <f t="shared" si="103"/>
        <v>0.74391604346568607</v>
      </c>
      <c r="Z213" s="334">
        <f t="shared" si="104"/>
        <v>0</v>
      </c>
      <c r="AA213" s="334">
        <f t="shared" si="105"/>
        <v>0.25608395653431393</v>
      </c>
      <c r="AB213" s="334">
        <f t="shared" si="106"/>
        <v>0</v>
      </c>
      <c r="AC213" s="334"/>
      <c r="AE213" s="432">
        <f t="shared" si="94"/>
        <v>17.259436390699307</v>
      </c>
      <c r="AF213" s="432">
        <f t="shared" si="95"/>
        <v>0.22106454906899081</v>
      </c>
      <c r="AG213" s="432">
        <f t="shared" si="96"/>
        <v>17.038371841630315</v>
      </c>
      <c r="AH213" s="432">
        <f t="shared" si="109"/>
        <v>10.212062680976096</v>
      </c>
      <c r="AI213" s="432">
        <f t="shared" si="111"/>
        <v>6.8263091606542163</v>
      </c>
      <c r="AJ213" s="503">
        <v>1</v>
      </c>
      <c r="AK213" s="433">
        <f t="shared" si="97"/>
        <v>3.2384198234555864E-2</v>
      </c>
      <c r="AL213" s="433">
        <f t="shared" si="98"/>
        <v>1.4959859626394942</v>
      </c>
      <c r="AM213" s="431">
        <v>1</v>
      </c>
    </row>
    <row r="214" spans="1:39">
      <c r="A214" s="251" t="s">
        <v>588</v>
      </c>
      <c r="B214" s="60"/>
      <c r="C214" s="60"/>
      <c r="D214" s="60"/>
      <c r="E214" s="60"/>
      <c r="F214" s="60">
        <v>-925500</v>
      </c>
      <c r="G214" s="60">
        <v>1886000</v>
      </c>
      <c r="H214" s="60">
        <v>23500</v>
      </c>
      <c r="I214" s="60"/>
      <c r="J214" s="60">
        <v>6300</v>
      </c>
      <c r="K214" s="60">
        <v>90800</v>
      </c>
      <c r="L214" s="60">
        <v>1081100</v>
      </c>
      <c r="S214" s="251" t="s">
        <v>549</v>
      </c>
      <c r="T214" s="442">
        <f t="shared" si="99"/>
        <v>925500</v>
      </c>
      <c r="U214" s="442">
        <f t="shared" si="100"/>
        <v>0</v>
      </c>
      <c r="V214" s="480">
        <f t="shared" si="101"/>
        <v>1081100</v>
      </c>
      <c r="W214" s="480">
        <f t="shared" si="102"/>
        <v>2006600</v>
      </c>
      <c r="Y214" s="334">
        <f t="shared" si="103"/>
        <v>0.93989833549287349</v>
      </c>
      <c r="Z214" s="334">
        <f t="shared" si="104"/>
        <v>1.1711352536629124E-2</v>
      </c>
      <c r="AA214" s="334">
        <f t="shared" si="105"/>
        <v>3.1396391906707865E-3</v>
      </c>
      <c r="AB214" s="334">
        <f t="shared" si="106"/>
        <v>4.525067277982657E-2</v>
      </c>
      <c r="AC214" s="334"/>
      <c r="AE214" s="432">
        <f t="shared" si="94"/>
        <v>7.1546471639005969</v>
      </c>
      <c r="AF214" s="432">
        <f t="shared" si="95"/>
        <v>3.2999232284411453</v>
      </c>
      <c r="AG214" s="432">
        <f t="shared" si="96"/>
        <v>3.8547239354594511</v>
      </c>
      <c r="AH214" s="432">
        <f t="shared" si="109"/>
        <v>2.3103546989501651</v>
      </c>
      <c r="AI214" s="432">
        <f t="shared" si="111"/>
        <v>1.5443692365092858</v>
      </c>
      <c r="AJ214" s="503">
        <v>1</v>
      </c>
      <c r="AK214" s="433">
        <f t="shared" si="97"/>
        <v>2.1367449897538178</v>
      </c>
      <c r="AL214" s="433">
        <f t="shared" si="98"/>
        <v>1.4959859626394945</v>
      </c>
      <c r="AM214" s="431">
        <v>1</v>
      </c>
    </row>
    <row r="215" spans="1:39">
      <c r="A215" s="251" t="s">
        <v>571</v>
      </c>
      <c r="B215" s="60"/>
      <c r="C215" s="60"/>
      <c r="D215" s="60"/>
      <c r="E215" s="60"/>
      <c r="F215" s="60"/>
      <c r="G215" s="60">
        <v>752000</v>
      </c>
      <c r="H215" s="60">
        <v>3400</v>
      </c>
      <c r="I215" s="60">
        <v>3300</v>
      </c>
      <c r="J215" s="60">
        <v>12500</v>
      </c>
      <c r="K215" s="60"/>
      <c r="L215" s="60">
        <v>771200</v>
      </c>
      <c r="S215" s="251" t="s">
        <v>588</v>
      </c>
      <c r="T215" s="442">
        <f t="shared" si="99"/>
        <v>0</v>
      </c>
      <c r="U215" s="442">
        <f t="shared" si="100"/>
        <v>0</v>
      </c>
      <c r="V215" s="480">
        <f t="shared" si="101"/>
        <v>771200</v>
      </c>
      <c r="W215" s="480">
        <f t="shared" si="102"/>
        <v>771200</v>
      </c>
      <c r="Y215" s="334">
        <f t="shared" si="103"/>
        <v>0.975103734439834</v>
      </c>
      <c r="Z215" s="334">
        <f t="shared" si="104"/>
        <v>8.6877593360995854E-3</v>
      </c>
      <c r="AA215" s="334">
        <f t="shared" si="105"/>
        <v>1.6208506224066391E-2</v>
      </c>
      <c r="AB215" s="334">
        <f t="shared" si="106"/>
        <v>0</v>
      </c>
      <c r="AC215" s="334"/>
      <c r="AE215" s="432">
        <f t="shared" si="94"/>
        <v>2.7497577458388021</v>
      </c>
      <c r="AF215" s="432">
        <f t="shared" si="95"/>
        <v>0</v>
      </c>
      <c r="AG215" s="432">
        <f t="shared" si="96"/>
        <v>2.7497577458388021</v>
      </c>
      <c r="AH215" s="432">
        <f t="shared" si="109"/>
        <v>1.6480857865418252</v>
      </c>
      <c r="AI215" s="432">
        <f t="shared" si="111"/>
        <v>1.1016719592969766</v>
      </c>
      <c r="AJ215" s="503">
        <v>1</v>
      </c>
      <c r="AK215" s="433">
        <f t="shared" si="97"/>
        <v>0</v>
      </c>
      <c r="AL215" s="433">
        <f t="shared" si="98"/>
        <v>1.4959859626394942</v>
      </c>
      <c r="AM215" s="431">
        <v>1</v>
      </c>
    </row>
    <row r="216" spans="1:39">
      <c r="A216" s="251" t="s">
        <v>577</v>
      </c>
      <c r="B216" s="60"/>
      <c r="C216" s="60"/>
      <c r="D216" s="60">
        <v>-6200</v>
      </c>
      <c r="E216" s="60"/>
      <c r="F216" s="60">
        <v>-2000</v>
      </c>
      <c r="G216" s="60"/>
      <c r="H216" s="60"/>
      <c r="I216" s="60"/>
      <c r="J216" s="60"/>
      <c r="K216" s="60"/>
      <c r="L216" s="60">
        <v>-8200</v>
      </c>
      <c r="S216" s="251" t="s">
        <v>571</v>
      </c>
      <c r="T216" s="442">
        <f t="shared" si="99"/>
        <v>2000</v>
      </c>
      <c r="U216" s="442">
        <f t="shared" si="100"/>
        <v>6200</v>
      </c>
      <c r="V216" s="480">
        <f t="shared" si="101"/>
        <v>-8200</v>
      </c>
      <c r="W216" s="480">
        <f t="shared" si="102"/>
        <v>0</v>
      </c>
      <c r="Y216" s="334" t="e">
        <f t="shared" si="103"/>
        <v>#DIV/0!</v>
      </c>
      <c r="Z216" s="334" t="e">
        <f t="shared" si="104"/>
        <v>#DIV/0!</v>
      </c>
      <c r="AA216" s="334" t="e">
        <f t="shared" si="105"/>
        <v>#DIV/0!</v>
      </c>
      <c r="AB216" s="334" t="e">
        <f t="shared" si="106"/>
        <v>#DIV/0!</v>
      </c>
      <c r="AC216" s="334"/>
      <c r="AE216" s="432">
        <f t="shared" si="94"/>
        <v>0</v>
      </c>
      <c r="AF216" s="432">
        <f t="shared" si="95"/>
        <v>7.1311144860964782E-3</v>
      </c>
      <c r="AG216" s="432">
        <f t="shared" si="96"/>
        <v>-7.1311144860964782E-3</v>
      </c>
      <c r="AH216" s="432">
        <f t="shared" si="109"/>
        <v>-1.7523733726196793E-2</v>
      </c>
      <c r="AI216" s="432">
        <f t="shared" si="111"/>
        <v>1.0392619240100317E-2</v>
      </c>
      <c r="AJ216" s="503">
        <v>0</v>
      </c>
      <c r="AK216" s="433">
        <f t="shared" si="97"/>
        <v>0.68617105287383195</v>
      </c>
      <c r="AL216" s="433">
        <f t="shared" si="98"/>
        <v>-1.6861710528738318</v>
      </c>
      <c r="AM216" s="431">
        <v>1</v>
      </c>
    </row>
    <row r="217" spans="1:39">
      <c r="A217" s="152" t="s">
        <v>420</v>
      </c>
      <c r="B217" s="60">
        <v>-2756500</v>
      </c>
      <c r="C217" s="60">
        <v>-7945000</v>
      </c>
      <c r="D217" s="60">
        <v>-1418500</v>
      </c>
      <c r="E217" s="60"/>
      <c r="F217" s="60"/>
      <c r="G217" s="60">
        <v>102030000</v>
      </c>
      <c r="H217" s="60">
        <v>16226000</v>
      </c>
      <c r="I217" s="60">
        <v>2021100</v>
      </c>
      <c r="J217" s="60">
        <v>17246600</v>
      </c>
      <c r="K217" s="60">
        <v>58000</v>
      </c>
      <c r="L217" s="60">
        <v>125461700</v>
      </c>
      <c r="S217" s="251" t="s">
        <v>577</v>
      </c>
      <c r="T217" s="442">
        <f t="shared" si="99"/>
        <v>0</v>
      </c>
      <c r="U217" s="442">
        <f t="shared" si="100"/>
        <v>12120000</v>
      </c>
      <c r="V217" s="480">
        <f t="shared" si="101"/>
        <v>125461700</v>
      </c>
      <c r="W217" s="480">
        <f t="shared" si="102"/>
        <v>137581700</v>
      </c>
      <c r="Y217" s="334">
        <f t="shared" si="103"/>
        <v>0.74159572094253812</v>
      </c>
      <c r="Z217" s="334">
        <f t="shared" si="104"/>
        <v>0.13262737704215022</v>
      </c>
      <c r="AA217" s="334">
        <f t="shared" si="105"/>
        <v>0.12535533432135232</v>
      </c>
      <c r="AB217" s="334">
        <f t="shared" si="106"/>
        <v>4.2156769395929836E-4</v>
      </c>
      <c r="AC217" s="334"/>
      <c r="AE217" s="432">
        <f t="shared" si="94"/>
        <v>490.55542694588991</v>
      </c>
      <c r="AF217" s="432">
        <f t="shared" si="95"/>
        <v>0</v>
      </c>
      <c r="AG217" s="432">
        <f t="shared" si="96"/>
        <v>490.55542694588991</v>
      </c>
      <c r="AH217" s="335">
        <f>SUM(AH218:AH222)</f>
        <v>308.48064974992559</v>
      </c>
      <c r="AI217" s="335">
        <f>SUM(AI218:AI222)</f>
        <v>182.07477719596423</v>
      </c>
      <c r="AJ217" s="503">
        <v>0.4</v>
      </c>
      <c r="AK217" s="433">
        <f t="shared" si="97"/>
        <v>0</v>
      </c>
      <c r="AL217" s="433">
        <f t="shared" si="98"/>
        <v>1.6942525181173924</v>
      </c>
      <c r="AM217" s="431">
        <v>1</v>
      </c>
    </row>
    <row r="218" spans="1:39">
      <c r="A218" s="251" t="s">
        <v>425</v>
      </c>
      <c r="B218" s="60"/>
      <c r="C218" s="60"/>
      <c r="D218" s="60"/>
      <c r="E218" s="60"/>
      <c r="F218" s="60"/>
      <c r="G218" s="60">
        <v>6457000</v>
      </c>
      <c r="H218" s="60">
        <v>387500</v>
      </c>
      <c r="I218" s="60">
        <v>97000</v>
      </c>
      <c r="J218" s="60">
        <v>2503200</v>
      </c>
      <c r="K218" s="60"/>
      <c r="L218" s="60">
        <v>9444700</v>
      </c>
      <c r="S218" s="504" t="s">
        <v>420</v>
      </c>
      <c r="T218" s="442">
        <f t="shared" si="99"/>
        <v>0</v>
      </c>
      <c r="U218" s="442">
        <f t="shared" si="100"/>
        <v>0</v>
      </c>
      <c r="V218" s="480">
        <f t="shared" si="101"/>
        <v>9444700</v>
      </c>
      <c r="W218" s="480">
        <f t="shared" si="102"/>
        <v>9444700</v>
      </c>
      <c r="Y218" s="334">
        <f t="shared" si="103"/>
        <v>0.68366385380160299</v>
      </c>
      <c r="Z218" s="334">
        <f t="shared" si="104"/>
        <v>5.1298611919912758E-2</v>
      </c>
      <c r="AA218" s="334">
        <f t="shared" si="105"/>
        <v>0.26503753427848425</v>
      </c>
      <c r="AB218" s="334">
        <f t="shared" si="106"/>
        <v>0</v>
      </c>
      <c r="AC218" s="334"/>
      <c r="AE218" s="432">
        <f t="shared" si="94"/>
        <v>33.675618493417701</v>
      </c>
      <c r="AF218" s="432">
        <f t="shared" si="95"/>
        <v>0</v>
      </c>
      <c r="AG218" s="432">
        <f t="shared" si="96"/>
        <v>33.675618493417701</v>
      </c>
      <c r="AH218" s="432">
        <f>(V218*(1-יחס_ארנונה)+U218*AJ218)/תושבים_2015</f>
        <v>20.183708283391567</v>
      </c>
      <c r="AI218" s="432">
        <f>(V218*יחס_ארנונה+U218*(1-AJ218))/תושבים_2015</f>
        <v>13.491910210026134</v>
      </c>
      <c r="AJ218" s="503">
        <v>1</v>
      </c>
      <c r="AK218" s="433">
        <f t="shared" si="97"/>
        <v>0</v>
      </c>
      <c r="AL218" s="433">
        <f t="shared" si="98"/>
        <v>1.4959859626394942</v>
      </c>
      <c r="AM218" s="431">
        <v>1</v>
      </c>
    </row>
    <row r="219" spans="1:39">
      <c r="A219" s="251" t="s">
        <v>466</v>
      </c>
      <c r="B219" s="60">
        <v>-1279000</v>
      </c>
      <c r="C219" s="60"/>
      <c r="D219" s="60"/>
      <c r="E219" s="60"/>
      <c r="F219" s="60"/>
      <c r="G219" s="60"/>
      <c r="H219" s="60"/>
      <c r="I219" s="60"/>
      <c r="J219" s="60"/>
      <c r="K219" s="60"/>
      <c r="L219" s="60">
        <v>-1279000</v>
      </c>
      <c r="S219" s="251" t="s">
        <v>425</v>
      </c>
      <c r="T219" s="442">
        <f t="shared" si="99"/>
        <v>0</v>
      </c>
      <c r="U219" s="442">
        <f t="shared" si="100"/>
        <v>1279000</v>
      </c>
      <c r="V219" s="480">
        <f t="shared" si="101"/>
        <v>-1279000</v>
      </c>
      <c r="W219" s="480">
        <f t="shared" si="102"/>
        <v>0</v>
      </c>
      <c r="Y219" s="334" t="e">
        <f t="shared" si="103"/>
        <v>#DIV/0!</v>
      </c>
      <c r="Z219" s="334" t="e">
        <f t="shared" si="104"/>
        <v>#DIV/0!</v>
      </c>
      <c r="AA219" s="334" t="e">
        <f t="shared" si="105"/>
        <v>#DIV/0!</v>
      </c>
      <c r="AB219" s="334" t="e">
        <f t="shared" si="106"/>
        <v>#DIV/0!</v>
      </c>
      <c r="AC219" s="473"/>
      <c r="AE219" s="432">
        <f t="shared" si="94"/>
        <v>0</v>
      </c>
      <c r="AF219" s="432">
        <f t="shared" si="95"/>
        <v>0</v>
      </c>
      <c r="AG219" s="432">
        <f t="shared" si="96"/>
        <v>0</v>
      </c>
      <c r="AH219" s="432">
        <f>(V219*(1-יחס_ארנונה)+U219*AJ219)/תושבים_2015</f>
        <v>1.8270726607116612</v>
      </c>
      <c r="AI219" s="432">
        <f>(V219*יחס_ארנונה+U219*(1-AJ219))/תושבים_2015</f>
        <v>-1.8270726607116612</v>
      </c>
      <c r="AJ219" s="503">
        <v>1</v>
      </c>
      <c r="AK219" s="433">
        <f t="shared" si="97"/>
        <v>0</v>
      </c>
      <c r="AL219" s="433">
        <f t="shared" si="98"/>
        <v>-1</v>
      </c>
      <c r="AM219" s="431">
        <v>1</v>
      </c>
    </row>
    <row r="220" spans="1:39">
      <c r="A220" s="251" t="s">
        <v>78</v>
      </c>
      <c r="B220" s="60"/>
      <c r="C220" s="60">
        <v>-7945000</v>
      </c>
      <c r="D220" s="60">
        <v>-50000</v>
      </c>
      <c r="E220" s="60"/>
      <c r="F220" s="60"/>
      <c r="G220" s="60">
        <v>87319000</v>
      </c>
      <c r="H220" s="60">
        <v>15749600</v>
      </c>
      <c r="I220" s="60">
        <v>1802100</v>
      </c>
      <c r="J220" s="60">
        <v>13503400</v>
      </c>
      <c r="K220" s="60"/>
      <c r="L220" s="60">
        <v>110379100</v>
      </c>
      <c r="S220" s="251" t="s">
        <v>466</v>
      </c>
      <c r="T220" s="442">
        <f t="shared" si="99"/>
        <v>0</v>
      </c>
      <c r="U220" s="442">
        <f t="shared" si="100"/>
        <v>7995000</v>
      </c>
      <c r="V220" s="480">
        <f t="shared" si="101"/>
        <v>110379100</v>
      </c>
      <c r="W220" s="480">
        <f t="shared" si="102"/>
        <v>118374100</v>
      </c>
      <c r="Y220" s="334">
        <f t="shared" si="103"/>
        <v>0.73765291562934798</v>
      </c>
      <c r="Z220" s="334">
        <f t="shared" si="104"/>
        <v>0.14827314420975535</v>
      </c>
      <c r="AA220" s="334">
        <f t="shared" si="105"/>
        <v>0.11407394016089668</v>
      </c>
      <c r="AB220" s="334">
        <f t="shared" si="106"/>
        <v>0</v>
      </c>
      <c r="AC220" s="334"/>
      <c r="AE220" s="432">
        <f t="shared" si="94"/>
        <v>422.06962964431654</v>
      </c>
      <c r="AF220" s="432">
        <f t="shared" si="95"/>
        <v>0</v>
      </c>
      <c r="AG220" s="432">
        <f t="shared" si="96"/>
        <v>422.06962964431654</v>
      </c>
      <c r="AH220" s="432">
        <f>(V220*(1-יחס_ארנונה)+U220*AJ220)/תושבים_2015</f>
        <v>261.54059608592047</v>
      </c>
      <c r="AI220" s="432">
        <f>(V220*יחס_ארנונה+U220*(1-AJ220))/תושבים_2015</f>
        <v>160.52903355839604</v>
      </c>
      <c r="AJ220" s="503">
        <v>0.9</v>
      </c>
      <c r="AK220" s="433">
        <f t="shared" si="97"/>
        <v>0</v>
      </c>
      <c r="AL220" s="433">
        <f t="shared" si="98"/>
        <v>1.6292417034378968</v>
      </c>
      <c r="AM220" s="431">
        <v>1</v>
      </c>
    </row>
    <row r="221" spans="1:39">
      <c r="A221" s="251" t="s">
        <v>514</v>
      </c>
      <c r="B221" s="60"/>
      <c r="C221" s="60"/>
      <c r="D221" s="60"/>
      <c r="E221" s="60"/>
      <c r="F221" s="60"/>
      <c r="G221" s="60">
        <v>3667000</v>
      </c>
      <c r="H221" s="60">
        <v>16000</v>
      </c>
      <c r="I221" s="60">
        <v>116400</v>
      </c>
      <c r="J221" s="60">
        <v>705500</v>
      </c>
      <c r="K221" s="60">
        <v>58000</v>
      </c>
      <c r="L221" s="60">
        <v>4562900</v>
      </c>
      <c r="S221" s="251" t="s">
        <v>78</v>
      </c>
      <c r="T221" s="263">
        <f t="shared" si="99"/>
        <v>0</v>
      </c>
      <c r="U221" s="263">
        <f t="shared" si="100"/>
        <v>0</v>
      </c>
      <c r="V221" s="252">
        <f t="shared" si="101"/>
        <v>4562900</v>
      </c>
      <c r="W221" s="252">
        <f t="shared" si="102"/>
        <v>4562900</v>
      </c>
      <c r="X221" s="479"/>
      <c r="Y221" s="473">
        <f t="shared" si="103"/>
        <v>0.80365556992263687</v>
      </c>
      <c r="Z221" s="473">
        <f t="shared" si="104"/>
        <v>2.9016634158101209E-2</v>
      </c>
      <c r="AA221" s="473">
        <f t="shared" si="105"/>
        <v>0.15461658155997282</v>
      </c>
      <c r="AB221" s="473">
        <f t="shared" si="106"/>
        <v>1.2711214359289048E-2</v>
      </c>
      <c r="AC221" s="473"/>
      <c r="AD221" s="479"/>
      <c r="AE221" s="335">
        <f t="shared" si="94"/>
        <v>16.269281144304809</v>
      </c>
      <c r="AF221" s="335">
        <f t="shared" si="95"/>
        <v>0</v>
      </c>
      <c r="AG221" s="335">
        <f t="shared" si="96"/>
        <v>16.269281144304809</v>
      </c>
      <c r="AH221" s="432">
        <f>(V221*(1-יחס_ארנונה)+U221*AJ221)/תושבים_2015</f>
        <v>9.751103002349188</v>
      </c>
      <c r="AI221" s="335">
        <f>(V221*יחס_ארנונה+U221*(1-AJ221))/תושבים_2015</f>
        <v>6.5181781419556204</v>
      </c>
      <c r="AJ221" s="502">
        <v>0.5</v>
      </c>
      <c r="AK221" s="475">
        <f t="shared" si="97"/>
        <v>0</v>
      </c>
      <c r="AL221" s="475">
        <f t="shared" si="98"/>
        <v>1.4959859626394942</v>
      </c>
      <c r="AM221" s="474">
        <v>1</v>
      </c>
    </row>
    <row r="222" spans="1:39">
      <c r="A222" s="251" t="s">
        <v>490</v>
      </c>
      <c r="B222" s="60">
        <v>-1477500</v>
      </c>
      <c r="C222" s="60"/>
      <c r="D222" s="60">
        <v>-1368500</v>
      </c>
      <c r="E222" s="60"/>
      <c r="F222" s="60"/>
      <c r="G222" s="60">
        <v>4587000</v>
      </c>
      <c r="H222" s="60">
        <v>72900</v>
      </c>
      <c r="I222" s="60">
        <v>5600</v>
      </c>
      <c r="J222" s="60">
        <v>534500</v>
      </c>
      <c r="K222" s="60"/>
      <c r="L222" s="60">
        <v>2354000</v>
      </c>
      <c r="S222" s="251" t="s">
        <v>514</v>
      </c>
      <c r="T222" s="442">
        <f t="shared" si="99"/>
        <v>0</v>
      </c>
      <c r="U222" s="442">
        <f t="shared" si="100"/>
        <v>2846000</v>
      </c>
      <c r="V222" s="480">
        <f t="shared" si="101"/>
        <v>2354000</v>
      </c>
      <c r="W222" s="480">
        <f t="shared" si="102"/>
        <v>5200000</v>
      </c>
      <c r="Y222" s="334">
        <f t="shared" si="103"/>
        <v>0.88211538461538463</v>
      </c>
      <c r="Z222" s="334">
        <f t="shared" si="104"/>
        <v>1.5096153846153846E-2</v>
      </c>
      <c r="AA222" s="334">
        <f t="shared" si="105"/>
        <v>0.10278846153846154</v>
      </c>
      <c r="AB222" s="334">
        <f t="shared" si="106"/>
        <v>0</v>
      </c>
      <c r="AC222" s="334"/>
      <c r="AE222" s="432">
        <f t="shared" si="94"/>
        <v>18.540897663850842</v>
      </c>
      <c r="AF222" s="432">
        <f t="shared" si="95"/>
        <v>0</v>
      </c>
      <c r="AG222" s="432">
        <f t="shared" si="96"/>
        <v>18.540897663850842</v>
      </c>
      <c r="AH222" s="432">
        <f>(V222*(1-יחס_ארנונה)+U222*AJ222)/תושבים_2015</f>
        <v>15.178169717552757</v>
      </c>
      <c r="AI222" s="335">
        <f>(V222*יחס_ארנונה+U222*(1-AJ222))/תושבים_2015</f>
        <v>3.3627279462980848</v>
      </c>
      <c r="AJ222" s="503">
        <v>1</v>
      </c>
      <c r="AK222" s="433">
        <f t="shared" si="97"/>
        <v>0</v>
      </c>
      <c r="AL222" s="433">
        <f t="shared" si="98"/>
        <v>4.5136478359071237</v>
      </c>
      <c r="AM222" s="431">
        <v>1</v>
      </c>
    </row>
    <row r="223" spans="1:39">
      <c r="A223" s="152" t="s">
        <v>597</v>
      </c>
      <c r="B223" s="60">
        <v>-11500000</v>
      </c>
      <c r="C223" s="60"/>
      <c r="D223" s="60">
        <v>-1757700</v>
      </c>
      <c r="E223" s="60"/>
      <c r="F223" s="60">
        <v>-50000</v>
      </c>
      <c r="G223" s="60">
        <v>34640000</v>
      </c>
      <c r="H223" s="60">
        <v>730500</v>
      </c>
      <c r="I223" s="60">
        <v>437100</v>
      </c>
      <c r="J223" s="60">
        <v>13719500</v>
      </c>
      <c r="K223" s="60"/>
      <c r="L223" s="60">
        <v>36219400</v>
      </c>
      <c r="S223" s="251" t="s">
        <v>490</v>
      </c>
      <c r="T223" s="442">
        <f t="shared" si="99"/>
        <v>50000</v>
      </c>
      <c r="U223" s="442">
        <f t="shared" si="100"/>
        <v>13257700</v>
      </c>
      <c r="V223" s="480">
        <f t="shared" si="101"/>
        <v>36219400</v>
      </c>
      <c r="W223" s="480">
        <f t="shared" si="102"/>
        <v>49527100</v>
      </c>
      <c r="Y223" s="334">
        <f t="shared" si="103"/>
        <v>0.69941506771040496</v>
      </c>
      <c r="Z223" s="334">
        <f t="shared" si="104"/>
        <v>2.3574972085989288E-2</v>
      </c>
      <c r="AA223" s="334">
        <f t="shared" si="105"/>
        <v>0.27700996020360569</v>
      </c>
      <c r="AB223" s="334">
        <f t="shared" si="106"/>
        <v>0</v>
      </c>
      <c r="AC223" s="334"/>
      <c r="AE223" s="432">
        <f t="shared" si="94"/>
        <v>176.59171013217443</v>
      </c>
      <c r="AF223" s="432">
        <f t="shared" si="95"/>
        <v>0.17827786215241195</v>
      </c>
      <c r="AG223" s="432">
        <f t="shared" si="96"/>
        <v>176.41343227002201</v>
      </c>
      <c r="AH223" s="335">
        <f>SUM(AH224:AH226)</f>
        <v>121.53983014671894</v>
      </c>
      <c r="AI223" s="335">
        <f>SUM(AI224:AI226)</f>
        <v>54.873602123303087</v>
      </c>
      <c r="AJ223" s="503">
        <v>1</v>
      </c>
      <c r="AK223" s="433">
        <f t="shared" si="97"/>
        <v>3.2488820717804304E-3</v>
      </c>
      <c r="AL223" s="433">
        <f t="shared" si="98"/>
        <v>2.2149052630737507</v>
      </c>
      <c r="AM223" s="431">
        <v>1</v>
      </c>
    </row>
    <row r="224" spans="1:39">
      <c r="A224" s="251" t="s">
        <v>602</v>
      </c>
      <c r="B224" s="60"/>
      <c r="C224" s="60"/>
      <c r="D224" s="60">
        <v>-1757700</v>
      </c>
      <c r="E224" s="60"/>
      <c r="F224" s="60">
        <v>-50000</v>
      </c>
      <c r="G224" s="60">
        <v>7177000</v>
      </c>
      <c r="H224" s="60">
        <v>280800</v>
      </c>
      <c r="I224" s="60">
        <v>266300</v>
      </c>
      <c r="J224" s="60">
        <v>13517200</v>
      </c>
      <c r="K224" s="60"/>
      <c r="L224" s="60">
        <v>19433600</v>
      </c>
      <c r="S224" s="504" t="s">
        <v>597</v>
      </c>
      <c r="T224" s="442">
        <f t="shared" si="99"/>
        <v>50000</v>
      </c>
      <c r="U224" s="442">
        <f t="shared" si="100"/>
        <v>1757700</v>
      </c>
      <c r="V224" s="480">
        <f t="shared" si="101"/>
        <v>19433600</v>
      </c>
      <c r="W224" s="480">
        <f t="shared" si="102"/>
        <v>21241300</v>
      </c>
      <c r="Y224" s="334">
        <f t="shared" si="103"/>
        <v>0.337879508316346</v>
      </c>
      <c r="Z224" s="334">
        <f t="shared" si="104"/>
        <v>2.5756427337309862E-2</v>
      </c>
      <c r="AA224" s="334">
        <f t="shared" si="105"/>
        <v>0.63636406434634418</v>
      </c>
      <c r="AB224" s="334">
        <f t="shared" si="106"/>
        <v>0</v>
      </c>
      <c r="AC224" s="473"/>
      <c r="AE224" s="432">
        <f t="shared" si="94"/>
        <v>75.737071066760564</v>
      </c>
      <c r="AF224" s="432">
        <f t="shared" si="95"/>
        <v>0.17827786215241195</v>
      </c>
      <c r="AG224" s="432">
        <f t="shared" si="96"/>
        <v>75.558793204608151</v>
      </c>
      <c r="AH224" s="432">
        <f t="shared" ref="AH224:AH233" si="112">(V224*(1-יחס_ארנונה)+U224*AJ224)/תושבים_2015</f>
        <v>44.663984097860023</v>
      </c>
      <c r="AI224" s="432">
        <f t="shared" ref="AI224:AI233" si="113">(V224*יחס_ארנונה+U224*(1-AJ224))/תושבים_2015</f>
        <v>30.894809106748127</v>
      </c>
      <c r="AJ224" s="503">
        <v>0.5</v>
      </c>
      <c r="AK224" s="433">
        <f t="shared" si="97"/>
        <v>5.7704794852890687E-3</v>
      </c>
      <c r="AL224" s="433">
        <f t="shared" si="98"/>
        <v>1.4456792383321246</v>
      </c>
      <c r="AM224" s="431">
        <v>1</v>
      </c>
    </row>
    <row r="225" spans="1:39">
      <c r="A225" s="251" t="s">
        <v>626</v>
      </c>
      <c r="B225" s="60">
        <v>-11500000</v>
      </c>
      <c r="C225" s="60"/>
      <c r="D225" s="60"/>
      <c r="E225" s="60"/>
      <c r="F225" s="60"/>
      <c r="G225" s="60">
        <v>11200000</v>
      </c>
      <c r="H225" s="60">
        <v>204200</v>
      </c>
      <c r="I225" s="60">
        <v>55000</v>
      </c>
      <c r="J225" s="60">
        <v>90000</v>
      </c>
      <c r="K225" s="60"/>
      <c r="L225" s="60">
        <v>49200</v>
      </c>
      <c r="S225" s="251" t="s">
        <v>602</v>
      </c>
      <c r="T225" s="442">
        <f t="shared" si="99"/>
        <v>0</v>
      </c>
      <c r="U225" s="442">
        <f t="shared" si="100"/>
        <v>11500000</v>
      </c>
      <c r="V225" s="480">
        <f t="shared" si="101"/>
        <v>49200</v>
      </c>
      <c r="W225" s="480">
        <f t="shared" si="102"/>
        <v>11549200</v>
      </c>
      <c r="Y225" s="334">
        <f t="shared" si="103"/>
        <v>0.9697641395074984</v>
      </c>
      <c r="Z225" s="334">
        <f t="shared" si="104"/>
        <v>2.2443112942887818E-2</v>
      </c>
      <c r="AA225" s="334">
        <f t="shared" si="105"/>
        <v>7.7927475496138258E-3</v>
      </c>
      <c r="AB225" s="334">
        <f t="shared" si="106"/>
        <v>0</v>
      </c>
      <c r="AC225" s="334"/>
      <c r="AE225" s="432">
        <f t="shared" si="94"/>
        <v>41.179333711412724</v>
      </c>
      <c r="AF225" s="432">
        <f t="shared" si="95"/>
        <v>0</v>
      </c>
      <c r="AG225" s="432">
        <f t="shared" si="96"/>
        <v>41.179333711412724</v>
      </c>
      <c r="AH225" s="432">
        <f t="shared" si="112"/>
        <v>41.109050697411931</v>
      </c>
      <c r="AI225" s="432">
        <f t="shared" si="113"/>
        <v>7.0283014000792593E-2</v>
      </c>
      <c r="AJ225" s="503">
        <v>1</v>
      </c>
      <c r="AK225" s="433">
        <f t="shared" si="97"/>
        <v>0</v>
      </c>
      <c r="AL225" s="433">
        <f t="shared" si="98"/>
        <v>584.90733901861893</v>
      </c>
      <c r="AM225" s="431">
        <v>1</v>
      </c>
    </row>
    <row r="226" spans="1:39">
      <c r="A226" s="251" t="s">
        <v>607</v>
      </c>
      <c r="B226" s="60"/>
      <c r="C226" s="60"/>
      <c r="D226" s="60"/>
      <c r="E226" s="60"/>
      <c r="F226" s="60"/>
      <c r="G226" s="60">
        <v>16263000</v>
      </c>
      <c r="H226" s="60">
        <v>245500</v>
      </c>
      <c r="I226" s="60">
        <v>115800</v>
      </c>
      <c r="J226" s="60">
        <v>112300</v>
      </c>
      <c r="K226" s="60"/>
      <c r="L226" s="60">
        <v>16736600</v>
      </c>
      <c r="S226" s="251" t="s">
        <v>626</v>
      </c>
      <c r="T226" s="442">
        <f t="shared" si="99"/>
        <v>0</v>
      </c>
      <c r="U226" s="442">
        <f t="shared" si="100"/>
        <v>0</v>
      </c>
      <c r="V226" s="480">
        <f t="shared" si="101"/>
        <v>16736600</v>
      </c>
      <c r="W226" s="480">
        <f t="shared" si="102"/>
        <v>16736600</v>
      </c>
      <c r="Y226" s="334">
        <f t="shared" si="103"/>
        <v>0.97170273532258644</v>
      </c>
      <c r="Z226" s="334">
        <f t="shared" si="104"/>
        <v>2.1587419189082611E-2</v>
      </c>
      <c r="AA226" s="334">
        <f t="shared" si="105"/>
        <v>6.7098454883309632E-3</v>
      </c>
      <c r="AB226" s="334">
        <f t="shared" si="106"/>
        <v>0</v>
      </c>
      <c r="AC226" s="334"/>
      <c r="AE226" s="432">
        <f t="shared" si="94"/>
        <v>59.675305354001161</v>
      </c>
      <c r="AF226" s="432">
        <f t="shared" si="95"/>
        <v>0</v>
      </c>
      <c r="AG226" s="432">
        <f t="shared" si="96"/>
        <v>59.675305354001161</v>
      </c>
      <c r="AH226" s="432">
        <f t="shared" si="112"/>
        <v>35.76679535144698</v>
      </c>
      <c r="AI226" s="432">
        <f t="shared" si="113"/>
        <v>23.90851000255417</v>
      </c>
      <c r="AJ226" s="503">
        <v>1</v>
      </c>
      <c r="AK226" s="433">
        <f t="shared" si="97"/>
        <v>0</v>
      </c>
      <c r="AL226" s="433">
        <f t="shared" si="98"/>
        <v>1.4959859626394945</v>
      </c>
      <c r="AM226" s="431">
        <v>1</v>
      </c>
    </row>
    <row r="227" spans="1:39">
      <c r="A227" s="43" t="s">
        <v>2354</v>
      </c>
      <c r="B227" s="60">
        <v>-22560800</v>
      </c>
      <c r="C227" s="60">
        <v>-7945000</v>
      </c>
      <c r="D227" s="60">
        <v>-57125400</v>
      </c>
      <c r="E227" s="60">
        <v>-40000000</v>
      </c>
      <c r="F227" s="60">
        <v>-1039500</v>
      </c>
      <c r="G227" s="60">
        <v>237513000</v>
      </c>
      <c r="H227" s="60">
        <v>19441400</v>
      </c>
      <c r="I227" s="60">
        <v>9627000</v>
      </c>
      <c r="J227" s="60">
        <v>105922400</v>
      </c>
      <c r="K227" s="60">
        <v>21853900</v>
      </c>
      <c r="L227" s="60">
        <v>265687000</v>
      </c>
      <c r="S227" s="251" t="s">
        <v>607</v>
      </c>
      <c r="T227" s="442">
        <f t="shared" si="99"/>
        <v>1039500</v>
      </c>
      <c r="U227" s="442">
        <f t="shared" si="100"/>
        <v>127631200</v>
      </c>
      <c r="V227" s="480">
        <f t="shared" si="101"/>
        <v>265687000</v>
      </c>
      <c r="W227" s="480">
        <f t="shared" si="102"/>
        <v>394357700</v>
      </c>
      <c r="Y227" s="334">
        <f t="shared" si="103"/>
        <v>0.60227808408457606</v>
      </c>
      <c r="Z227" s="334">
        <f t="shared" si="104"/>
        <v>7.3710745346166687E-2</v>
      </c>
      <c r="AA227" s="334">
        <f t="shared" si="105"/>
        <v>0.26859473011430995</v>
      </c>
      <c r="AB227" s="334">
        <f t="shared" si="106"/>
        <v>5.5416440454947376E-2</v>
      </c>
      <c r="AC227" s="334"/>
      <c r="AE227" s="432">
        <f t="shared" si="94"/>
        <v>1406.1049535868444</v>
      </c>
      <c r="AF227" s="432">
        <f t="shared" si="95"/>
        <v>3.7063967541486447</v>
      </c>
      <c r="AG227" s="432">
        <f t="shared" si="96"/>
        <v>1402.3985568326959</v>
      </c>
      <c r="AH227" s="432">
        <f t="shared" si="112"/>
        <v>795.32210681313347</v>
      </c>
      <c r="AI227" s="432">
        <f t="shared" si="113"/>
        <v>607.07645001956223</v>
      </c>
      <c r="AJ227" s="503">
        <v>0.5</v>
      </c>
      <c r="AK227" s="433">
        <f t="shared" si="97"/>
        <v>6.1053212557153399E-3</v>
      </c>
      <c r="AL227" s="433">
        <f t="shared" si="98"/>
        <v>1.3100855860699345</v>
      </c>
      <c r="AM227" s="431">
        <v>1</v>
      </c>
    </row>
    <row r="228" spans="1:39">
      <c r="S228" s="505" t="s">
        <v>2354</v>
      </c>
      <c r="T228" s="263">
        <f t="shared" si="99"/>
        <v>0</v>
      </c>
      <c r="U228" s="263">
        <f t="shared" si="100"/>
        <v>0</v>
      </c>
      <c r="V228" s="252">
        <f t="shared" si="101"/>
        <v>0</v>
      </c>
      <c r="W228" s="252">
        <f t="shared" si="102"/>
        <v>0</v>
      </c>
      <c r="X228" s="479"/>
      <c r="Y228" s="473" t="e">
        <f t="shared" si="103"/>
        <v>#DIV/0!</v>
      </c>
      <c r="Z228" s="473" t="e">
        <f t="shared" si="104"/>
        <v>#DIV/0!</v>
      </c>
      <c r="AA228" s="473" t="e">
        <f t="shared" si="105"/>
        <v>#DIV/0!</v>
      </c>
      <c r="AB228" s="473" t="e">
        <f t="shared" si="106"/>
        <v>#DIV/0!</v>
      </c>
      <c r="AC228" s="473"/>
      <c r="AD228" s="479"/>
      <c r="AE228" s="335">
        <f t="shared" ref="AE228:AE233" si="114">W228/תושבים_2015</f>
        <v>0</v>
      </c>
      <c r="AF228" s="335">
        <f t="shared" ref="AF228:AF233" si="115">T228/תושבים_2015</f>
        <v>0</v>
      </c>
      <c r="AG228" s="335">
        <f t="shared" ref="AG228:AG233" si="116">(V228+U228)/תושבים_2015</f>
        <v>0</v>
      </c>
      <c r="AH228" s="335">
        <f t="shared" si="112"/>
        <v>0</v>
      </c>
      <c r="AI228" s="335">
        <f t="shared" si="113"/>
        <v>0</v>
      </c>
      <c r="AJ228" s="502">
        <v>0.5</v>
      </c>
      <c r="AK228" s="475" t="e">
        <f t="shared" ref="AK228:AK233" si="117">AF228/$AI228</f>
        <v>#DIV/0!</v>
      </c>
      <c r="AL228" s="475" t="e">
        <f t="shared" ref="AL228:AL233" si="118">AH228/$AI228</f>
        <v>#DIV/0!</v>
      </c>
      <c r="AM228" s="474">
        <v>1</v>
      </c>
    </row>
    <row r="229" spans="1:39">
      <c r="S229" s="251"/>
      <c r="T229" s="442"/>
      <c r="U229" s="442"/>
      <c r="V229" s="480"/>
      <c r="W229" s="480"/>
      <c r="Y229" s="334"/>
      <c r="Z229" s="334"/>
      <c r="AA229" s="334"/>
      <c r="AB229" s="334"/>
      <c r="AC229" s="334"/>
      <c r="AE229" s="432">
        <f t="shared" si="114"/>
        <v>0</v>
      </c>
      <c r="AF229" s="432">
        <f t="shared" si="115"/>
        <v>0</v>
      </c>
      <c r="AG229" s="432">
        <f t="shared" si="116"/>
        <v>0</v>
      </c>
      <c r="AH229" s="432">
        <f t="shared" si="112"/>
        <v>0</v>
      </c>
      <c r="AI229" s="432">
        <f t="shared" si="113"/>
        <v>0</v>
      </c>
      <c r="AJ229" s="503">
        <v>0.5</v>
      </c>
      <c r="AK229" s="433" t="e">
        <f t="shared" si="117"/>
        <v>#DIV/0!</v>
      </c>
      <c r="AL229" s="433" t="e">
        <f t="shared" si="118"/>
        <v>#DIV/0!</v>
      </c>
      <c r="AM229" s="431">
        <v>1</v>
      </c>
    </row>
    <row r="230" spans="1:39">
      <c r="S230" s="251"/>
      <c r="T230" s="442"/>
      <c r="U230" s="442"/>
      <c r="V230" s="480"/>
      <c r="W230" s="480"/>
      <c r="Y230" s="334"/>
      <c r="Z230" s="334"/>
      <c r="AA230" s="334"/>
      <c r="AB230" s="334"/>
      <c r="AC230" s="431"/>
      <c r="AD230" s="432"/>
      <c r="AE230" s="432">
        <f t="shared" si="114"/>
        <v>0</v>
      </c>
      <c r="AF230" s="432">
        <f t="shared" si="115"/>
        <v>0</v>
      </c>
      <c r="AG230" s="432">
        <f t="shared" si="116"/>
        <v>0</v>
      </c>
      <c r="AH230" s="432">
        <f t="shared" si="112"/>
        <v>0</v>
      </c>
      <c r="AI230" s="432">
        <f t="shared" si="113"/>
        <v>0</v>
      </c>
      <c r="AJ230" s="503">
        <v>0.5</v>
      </c>
      <c r="AK230" s="433" t="e">
        <f t="shared" si="117"/>
        <v>#DIV/0!</v>
      </c>
      <c r="AL230" s="433" t="e">
        <f t="shared" si="118"/>
        <v>#DIV/0!</v>
      </c>
      <c r="AM230" s="431">
        <v>1</v>
      </c>
    </row>
    <row r="231" spans="1:39">
      <c r="S231" s="251"/>
      <c r="T231" s="442"/>
      <c r="U231" s="442"/>
      <c r="V231" s="480"/>
      <c r="W231" s="480"/>
      <c r="Y231" s="270"/>
      <c r="Z231" s="266"/>
      <c r="AA231" s="270"/>
      <c r="AB231" s="266"/>
      <c r="AC231" s="434"/>
      <c r="AD231" s="279"/>
      <c r="AE231" s="432">
        <f t="shared" si="114"/>
        <v>0</v>
      </c>
      <c r="AF231" s="432">
        <f t="shared" si="115"/>
        <v>0</v>
      </c>
      <c r="AG231" s="432">
        <f t="shared" si="116"/>
        <v>0</v>
      </c>
      <c r="AH231" s="432">
        <f t="shared" si="112"/>
        <v>0</v>
      </c>
      <c r="AI231" s="432">
        <f t="shared" si="113"/>
        <v>0</v>
      </c>
      <c r="AJ231" s="503">
        <v>0.5</v>
      </c>
      <c r="AK231" s="433" t="e">
        <f t="shared" si="117"/>
        <v>#DIV/0!</v>
      </c>
      <c r="AL231" s="433" t="e">
        <f t="shared" si="118"/>
        <v>#DIV/0!</v>
      </c>
      <c r="AM231" s="431">
        <v>1</v>
      </c>
    </row>
    <row r="232" spans="1:39">
      <c r="S232" s="251"/>
      <c r="T232" s="442"/>
      <c r="U232" s="442"/>
      <c r="V232" s="480"/>
      <c r="W232" s="480"/>
      <c r="Y232" s="269"/>
      <c r="Z232" s="254"/>
      <c r="AA232" s="269"/>
      <c r="AB232" s="254"/>
      <c r="AD232" s="275"/>
      <c r="AE232" s="432">
        <f t="shared" si="114"/>
        <v>0</v>
      </c>
      <c r="AF232" s="432">
        <f t="shared" si="115"/>
        <v>0</v>
      </c>
      <c r="AG232" s="432">
        <f t="shared" si="116"/>
        <v>0</v>
      </c>
      <c r="AH232" s="432">
        <f t="shared" si="112"/>
        <v>0</v>
      </c>
      <c r="AI232" s="432">
        <f t="shared" si="113"/>
        <v>0</v>
      </c>
      <c r="AJ232" s="503">
        <v>0.5</v>
      </c>
      <c r="AK232" s="433" t="e">
        <f t="shared" si="117"/>
        <v>#DIV/0!</v>
      </c>
      <c r="AL232" s="433" t="e">
        <f t="shared" si="118"/>
        <v>#DIV/0!</v>
      </c>
      <c r="AM232" s="431">
        <v>1</v>
      </c>
    </row>
    <row r="233" spans="1:39">
      <c r="S233" s="499"/>
      <c r="T233" s="442"/>
      <c r="U233" s="442"/>
      <c r="V233" s="480"/>
      <c r="W233" s="480"/>
      <c r="Y233" s="269"/>
      <c r="Z233" s="254"/>
      <c r="AA233" s="269"/>
      <c r="AB233" s="254"/>
      <c r="AD233" s="275"/>
      <c r="AE233" s="432">
        <f t="shared" si="114"/>
        <v>0</v>
      </c>
      <c r="AF233" s="432">
        <f t="shared" si="115"/>
        <v>0</v>
      </c>
      <c r="AG233" s="432">
        <f t="shared" si="116"/>
        <v>0</v>
      </c>
      <c r="AH233" s="432">
        <f t="shared" si="112"/>
        <v>0</v>
      </c>
      <c r="AI233" s="432">
        <f t="shared" si="113"/>
        <v>0</v>
      </c>
      <c r="AJ233" s="503">
        <v>0.5</v>
      </c>
      <c r="AK233" s="433" t="e">
        <f t="shared" si="117"/>
        <v>#DIV/0!</v>
      </c>
      <c r="AL233" s="433" t="e">
        <f t="shared" si="118"/>
        <v>#DIV/0!</v>
      </c>
      <c r="AM233" s="431">
        <v>1</v>
      </c>
    </row>
    <row r="234" spans="1:39">
      <c r="T234" s="442">
        <f t="shared" ref="T234" si="119">-G234</f>
        <v>0</v>
      </c>
      <c r="U234" s="442">
        <f t="shared" ref="U234" si="120">SUM(B234:F234)</f>
        <v>0</v>
      </c>
      <c r="V234" s="480">
        <f t="shared" ref="V234" si="121">S234</f>
        <v>0</v>
      </c>
      <c r="W234" s="480">
        <f t="shared" ref="W234" si="122">V234+U234+T234</f>
        <v>0</v>
      </c>
      <c r="Y234" s="269"/>
      <c r="Z234" s="254"/>
      <c r="AA234" s="269"/>
      <c r="AB234" s="254"/>
      <c r="AD234" s="275"/>
      <c r="AE234" s="275"/>
      <c r="AF234" s="275"/>
      <c r="AG234" s="275"/>
      <c r="AH234" s="275"/>
      <c r="AI234" s="282"/>
      <c r="AJ234" s="276"/>
      <c r="AK234" s="276"/>
    </row>
    <row r="235" spans="1:39">
      <c r="T235" s="60"/>
      <c r="U235" s="60"/>
      <c r="Y235" s="269"/>
      <c r="Z235" s="254"/>
      <c r="AA235" s="269"/>
      <c r="AB235" s="254"/>
      <c r="AD235" s="275"/>
      <c r="AE235" s="275"/>
      <c r="AF235" s="275"/>
      <c r="AG235" s="275"/>
      <c r="AH235" s="275"/>
      <c r="AI235" s="282"/>
      <c r="AJ235" s="276"/>
      <c r="AK235" s="276"/>
    </row>
    <row r="236" spans="1:39">
      <c r="T236" s="60"/>
      <c r="U236" s="60"/>
      <c r="Y236" s="269"/>
      <c r="Z236" s="254"/>
      <c r="AA236" s="269"/>
      <c r="AB236" s="254"/>
      <c r="AD236" s="275"/>
      <c r="AE236" s="275"/>
      <c r="AF236" s="275"/>
      <c r="AG236" s="275"/>
      <c r="AH236" s="275"/>
      <c r="AI236" s="282"/>
      <c r="AJ236" s="276"/>
      <c r="AK236" s="276"/>
    </row>
    <row r="237" spans="1:39">
      <c r="R237" s="263"/>
      <c r="S237" s="263"/>
      <c r="T237" s="263"/>
      <c r="U237" s="264"/>
      <c r="V237" s="265"/>
      <c r="W237" s="270"/>
      <c r="X237" s="266"/>
      <c r="Y237" s="270"/>
      <c r="Z237" s="267"/>
      <c r="AB237" s="278"/>
      <c r="AC237" s="279"/>
      <c r="AD237" s="279"/>
      <c r="AE237" s="279"/>
      <c r="AF237" s="279"/>
      <c r="AG237" s="263" t="e">
        <f>AJ188*S188+S193*AJ193+S200*AJ200+S205*AJ205+S214*AJ214+S220*AJ220+S226*AJ226+S231*AI231+S203*AJ203</f>
        <v>#VALUE!</v>
      </c>
      <c r="AH237" s="280"/>
      <c r="AI237" s="280"/>
      <c r="AJ237" s="281"/>
    </row>
    <row r="238" spans="1:39">
      <c r="R238" s="60"/>
      <c r="S238" s="60"/>
      <c r="T238" s="60"/>
      <c r="U238" s="60"/>
      <c r="W238" s="269"/>
      <c r="X238" s="254"/>
      <c r="Y238" s="269"/>
      <c r="Z238" s="254"/>
      <c r="AB238" s="275"/>
      <c r="AC238" s="275"/>
      <c r="AD238" s="275"/>
      <c r="AE238" s="275"/>
      <c r="AF238" s="275"/>
      <c r="AG238" s="282"/>
      <c r="AH238" s="276"/>
      <c r="AI238" s="276"/>
    </row>
    <row r="239" spans="1:39">
      <c r="R239" s="60"/>
      <c r="S239" s="60"/>
      <c r="T239" s="60"/>
      <c r="U239" s="60"/>
      <c r="W239" s="269"/>
      <c r="X239" s="254"/>
      <c r="Y239" s="269"/>
      <c r="Z239" s="254"/>
      <c r="AB239" s="275"/>
      <c r="AC239" s="275"/>
      <c r="AD239" s="275"/>
      <c r="AE239" s="275"/>
      <c r="AF239" s="275"/>
      <c r="AG239" s="282"/>
      <c r="AH239" s="276"/>
      <c r="AI239" s="276"/>
    </row>
    <row r="240" spans="1:39">
      <c r="R240" s="60"/>
      <c r="S240" s="60"/>
      <c r="T240" s="60"/>
      <c r="U240" s="60"/>
      <c r="W240" s="269"/>
      <c r="X240" s="254"/>
      <c r="Y240" s="269"/>
      <c r="Z240" s="254"/>
      <c r="AB240" s="275"/>
      <c r="AC240" s="275"/>
      <c r="AD240" s="275"/>
      <c r="AE240" s="275"/>
      <c r="AF240" s="275"/>
      <c r="AG240" s="282"/>
      <c r="AH240" s="276"/>
      <c r="AI240" s="276"/>
    </row>
    <row r="241" spans="1:38">
      <c r="R241" s="60"/>
      <c r="S241" s="60"/>
      <c r="T241" s="60"/>
      <c r="U241" s="60"/>
      <c r="W241" s="271"/>
      <c r="X241" s="254"/>
      <c r="Y241" s="271"/>
      <c r="Z241" s="254"/>
      <c r="AB241" s="275"/>
      <c r="AC241" s="275"/>
      <c r="AD241" s="275"/>
      <c r="AE241" s="275"/>
      <c r="AF241" s="275"/>
      <c r="AG241" s="282"/>
      <c r="AH241" s="276"/>
      <c r="AI241" s="276"/>
    </row>
    <row r="242" spans="1:38">
      <c r="R242" s="60">
        <f t="shared" ref="R242" si="123">-G242</f>
        <v>0</v>
      </c>
      <c r="S242" s="60">
        <f t="shared" ref="S242" si="124">-SUM(B242:F242)</f>
        <v>0</v>
      </c>
      <c r="T242" s="60">
        <f t="shared" ref="T242" si="125">P242</f>
        <v>0</v>
      </c>
      <c r="U242" s="60">
        <f t="shared" ref="U242" si="126">SUM(R242:T242)</f>
        <v>0</v>
      </c>
    </row>
    <row r="243" spans="1:38">
      <c r="AG243" s="275"/>
      <c r="AH243" s="275"/>
    </row>
    <row r="244" spans="1:38" ht="13.5" thickBot="1"/>
    <row r="245" spans="1:38" ht="21" thickBot="1">
      <c r="A245" s="516" t="s">
        <v>4706</v>
      </c>
      <c r="B245" s="517"/>
      <c r="C245" s="517"/>
      <c r="D245" s="517"/>
      <c r="E245" s="517"/>
      <c r="F245" s="517"/>
      <c r="G245" s="517"/>
      <c r="H245" s="517"/>
      <c r="I245" s="517"/>
      <c r="J245" s="517"/>
      <c r="K245" s="517"/>
      <c r="L245" s="517"/>
      <c r="M245" s="517"/>
      <c r="N245" s="517"/>
      <c r="O245" s="517"/>
      <c r="P245" s="518"/>
    </row>
    <row r="248" spans="1:38">
      <c r="A248" s="250" t="s">
        <v>2332</v>
      </c>
      <c r="B248" s="43" t="s">
        <v>4697</v>
      </c>
    </row>
    <row r="250" spans="1:38">
      <c r="A250" s="250" t="s">
        <v>4693</v>
      </c>
      <c r="B250" s="250" t="s">
        <v>4694</v>
      </c>
    </row>
    <row r="251" spans="1:38" ht="75">
      <c r="A251" s="250" t="s">
        <v>4695</v>
      </c>
      <c r="B251" t="s">
        <v>174</v>
      </c>
      <c r="C251" t="s">
        <v>192</v>
      </c>
      <c r="D251" t="s">
        <v>187</v>
      </c>
      <c r="E251" t="s">
        <v>180</v>
      </c>
      <c r="F251" t="s">
        <v>205</v>
      </c>
      <c r="G251" t="s">
        <v>50</v>
      </c>
      <c r="H251" t="s">
        <v>61</v>
      </c>
      <c r="I251" t="s">
        <v>85</v>
      </c>
      <c r="J251" t="s">
        <v>66</v>
      </c>
      <c r="K251" t="s">
        <v>160</v>
      </c>
      <c r="L251" t="s">
        <v>129</v>
      </c>
      <c r="M251" t="s">
        <v>152</v>
      </c>
      <c r="N251" t="s">
        <v>114</v>
      </c>
      <c r="O251" t="s">
        <v>2354</v>
      </c>
      <c r="S251" t="s">
        <v>4698</v>
      </c>
      <c r="T251" t="s">
        <v>4699</v>
      </c>
      <c r="U251" t="s">
        <v>4700</v>
      </c>
      <c r="V251" s="245" t="s">
        <v>2566</v>
      </c>
      <c r="X251" s="245" t="s">
        <v>4701</v>
      </c>
      <c r="Y251" s="245" t="s">
        <v>4702</v>
      </c>
      <c r="Z251" s="245" t="s">
        <v>4703</v>
      </c>
      <c r="AA251" s="245" t="s">
        <v>4704</v>
      </c>
      <c r="AB251" s="245" t="s">
        <v>4705</v>
      </c>
      <c r="AD251" s="42" t="s">
        <v>2566</v>
      </c>
      <c r="AE251" s="42" t="s">
        <v>4746</v>
      </c>
      <c r="AF251" s="42" t="s">
        <v>4749</v>
      </c>
      <c r="AG251" s="42" t="s">
        <v>4747</v>
      </c>
      <c r="AH251" s="42" t="s">
        <v>4748</v>
      </c>
      <c r="AI251" s="42" t="s">
        <v>4751</v>
      </c>
      <c r="AJ251" s="42" t="s">
        <v>4746</v>
      </c>
      <c r="AK251" s="42" t="s">
        <v>4747</v>
      </c>
      <c r="AL251" s="42" t="s">
        <v>4748</v>
      </c>
    </row>
    <row r="252" spans="1:38">
      <c r="A252" s="43" t="s">
        <v>228</v>
      </c>
      <c r="B252" s="60"/>
      <c r="C252" s="60"/>
      <c r="D252" s="60"/>
      <c r="E252" s="60"/>
      <c r="F252" s="60"/>
      <c r="G252" s="60">
        <v>108932000</v>
      </c>
      <c r="H252" s="60"/>
      <c r="I252" s="60">
        <v>29367200</v>
      </c>
      <c r="J252" s="60">
        <v>3227300</v>
      </c>
      <c r="K252" s="60"/>
      <c r="L252" s="60">
        <v>42708000</v>
      </c>
      <c r="M252" s="60">
        <v>13393600</v>
      </c>
      <c r="N252" s="60">
        <v>167000000</v>
      </c>
      <c r="O252" s="60">
        <v>364628100</v>
      </c>
      <c r="S252" s="252">
        <f>-F269</f>
        <v>0</v>
      </c>
      <c r="T252" s="252">
        <f>-SUM(B252:F252)</f>
        <v>0</v>
      </c>
      <c r="U252" s="252">
        <f>O252</f>
        <v>364628100</v>
      </c>
      <c r="V252" s="60">
        <f>SUM(S252:U252)</f>
        <v>364628100</v>
      </c>
      <c r="X252" s="254">
        <f>SUM(G252:H252)/SUM($G252:$N252)</f>
        <v>0.29874823141716178</v>
      </c>
      <c r="Y252" s="254">
        <f>SUM(I252:K252)/SUM($G252:$N252)</f>
        <v>8.9391080939730097E-2</v>
      </c>
      <c r="Z252" s="254">
        <f>SUM(L252)/SUM($G252:$N252)</f>
        <v>0.1171275609312612</v>
      </c>
      <c r="AA252" s="254">
        <f>SUM(M252)/SUM($G252:$N252)</f>
        <v>3.6732221131613278E-2</v>
      </c>
      <c r="AB252" s="254">
        <f>SUM(N252)/SUM($G252:$N252)</f>
        <v>0.45800090558023365</v>
      </c>
      <c r="AD252" s="476">
        <f t="shared" ref="AD252:AD264" si="127">V252/תושבים_2015</f>
        <v>1300.1023629739177</v>
      </c>
      <c r="AE252" s="476">
        <f t="shared" ref="AE252:AE264" si="128">S252/תושבים_2015</f>
        <v>0</v>
      </c>
      <c r="AF252" s="476">
        <f t="shared" ref="AF252:AF264" si="129">(U252+T252)/תושבים_2015</f>
        <v>1300.1023629739177</v>
      </c>
      <c r="AG252" s="476">
        <f t="shared" ref="AG252:AG264" si="130">(U252*(1-יחס_ארנונה)+T252*AI252)/תושבים_2015</f>
        <v>779.22508944988499</v>
      </c>
      <c r="AH252" s="476">
        <f t="shared" ref="AH252:AH264" si="131">(U252*יחס_ארנונה+T252*(1-AI252))/תושבים_2015</f>
        <v>520.8772735240326</v>
      </c>
      <c r="AI252" s="477">
        <v>1</v>
      </c>
      <c r="AJ252" s="276">
        <f>AE252/$AH252</f>
        <v>0</v>
      </c>
      <c r="AK252" s="276">
        <f>AG252/$AH252</f>
        <v>1.495985962639494</v>
      </c>
      <c r="AL252">
        <v>1</v>
      </c>
    </row>
    <row r="253" spans="1:38">
      <c r="A253" s="152" t="s">
        <v>383</v>
      </c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>
        <v>15100000</v>
      </c>
      <c r="M253" s="60"/>
      <c r="N253" s="60"/>
      <c r="O253" s="60">
        <v>15100000</v>
      </c>
      <c r="S253" s="252">
        <f t="shared" ref="S253:S265" si="132">-F270</f>
        <v>0</v>
      </c>
      <c r="T253" s="252">
        <f t="shared" ref="T253:T265" si="133">-SUM(B253:F253)</f>
        <v>0</v>
      </c>
      <c r="U253" s="252">
        <f t="shared" ref="U253:U265" si="134">O253</f>
        <v>15100000</v>
      </c>
      <c r="V253" s="60">
        <f t="shared" ref="V253:V265" si="135">SUM(S253:U253)</f>
        <v>15100000</v>
      </c>
      <c r="X253" s="254">
        <f t="shared" ref="X253:X265" si="136">SUM(G253:H253)/SUM($G253:$N253)</f>
        <v>0</v>
      </c>
      <c r="Y253" s="254">
        <f t="shared" ref="Y253:Y265" si="137">SUM(I253:K253)/SUM($G253:$N253)</f>
        <v>0</v>
      </c>
      <c r="Z253" s="254">
        <f t="shared" ref="Z253:Z265" si="138">SUM(L253)/SUM($G253:$N253)</f>
        <v>1</v>
      </c>
      <c r="AA253" s="254">
        <f t="shared" ref="AA253:AA265" si="139">SUM(M253)/SUM($G253:$N253)</f>
        <v>0</v>
      </c>
      <c r="AB253" s="254">
        <f t="shared" ref="AB253:AB265" si="140">SUM(N253)/SUM($G253:$N253)</f>
        <v>0</v>
      </c>
      <c r="AD253" s="476">
        <f t="shared" si="127"/>
        <v>53.83991437002841</v>
      </c>
      <c r="AE253" s="476">
        <f t="shared" si="128"/>
        <v>0</v>
      </c>
      <c r="AF253" s="476">
        <f t="shared" si="129"/>
        <v>53.83991437002841</v>
      </c>
      <c r="AG253" s="476">
        <f t="shared" si="130"/>
        <v>32.269314544581903</v>
      </c>
      <c r="AH253" s="476">
        <f t="shared" si="131"/>
        <v>21.570599825446507</v>
      </c>
      <c r="AI253" s="477">
        <v>1</v>
      </c>
      <c r="AJ253" s="276">
        <f t="shared" ref="AJ253:AJ264" si="141">AE253/$AH253</f>
        <v>0</v>
      </c>
      <c r="AK253" s="276">
        <f t="shared" ref="AK253:AK264" si="142">AG253/$AH253</f>
        <v>1.4959859626394945</v>
      </c>
      <c r="AL253">
        <v>1</v>
      </c>
    </row>
    <row r="254" spans="1:38">
      <c r="A254" s="152" t="s">
        <v>233</v>
      </c>
      <c r="B254" s="60"/>
      <c r="C254" s="60"/>
      <c r="D254" s="60"/>
      <c r="E254" s="60"/>
      <c r="F254" s="60"/>
      <c r="G254" s="60">
        <v>53094000</v>
      </c>
      <c r="H254" s="60"/>
      <c r="I254" s="60">
        <v>26254400</v>
      </c>
      <c r="J254" s="60">
        <v>881700</v>
      </c>
      <c r="K254" s="60"/>
      <c r="L254" s="60">
        <v>4242000</v>
      </c>
      <c r="M254" s="60">
        <v>13393600</v>
      </c>
      <c r="N254" s="60"/>
      <c r="O254" s="60">
        <v>97865700</v>
      </c>
      <c r="S254" s="252">
        <f t="shared" si="132"/>
        <v>0</v>
      </c>
      <c r="T254" s="252">
        <f t="shared" si="133"/>
        <v>0</v>
      </c>
      <c r="U254" s="252">
        <f t="shared" si="134"/>
        <v>97865700</v>
      </c>
      <c r="V254" s="60">
        <f t="shared" si="135"/>
        <v>97865700</v>
      </c>
      <c r="X254" s="254">
        <f t="shared" si="136"/>
        <v>0.54251898264662701</v>
      </c>
      <c r="Y254" s="254">
        <f t="shared" si="137"/>
        <v>0.27727896494890447</v>
      </c>
      <c r="Z254" s="254">
        <f t="shared" si="138"/>
        <v>4.3345114784853117E-2</v>
      </c>
      <c r="AA254" s="254">
        <f t="shared" si="139"/>
        <v>0.13685693761961545</v>
      </c>
      <c r="AB254" s="254">
        <f t="shared" si="140"/>
        <v>0</v>
      </c>
      <c r="AD254" s="476">
        <f t="shared" si="127"/>
        <v>348.94575548098607</v>
      </c>
      <c r="AE254" s="476">
        <f t="shared" si="128"/>
        <v>0</v>
      </c>
      <c r="AF254" s="476">
        <f t="shared" si="129"/>
        <v>348.94575548098607</v>
      </c>
      <c r="AG254" s="476">
        <f t="shared" si="130"/>
        <v>209.14298386925091</v>
      </c>
      <c r="AH254" s="476">
        <f t="shared" si="131"/>
        <v>139.8027716117351</v>
      </c>
      <c r="AI254" s="477">
        <v>1</v>
      </c>
      <c r="AJ254" s="276">
        <f t="shared" si="141"/>
        <v>0</v>
      </c>
      <c r="AK254" s="276">
        <f t="shared" si="142"/>
        <v>1.4959859626394945</v>
      </c>
      <c r="AL254">
        <v>1</v>
      </c>
    </row>
    <row r="255" spans="1:38">
      <c r="A255" s="152" t="s">
        <v>294</v>
      </c>
      <c r="B255" s="60"/>
      <c r="C255" s="60"/>
      <c r="D255" s="60"/>
      <c r="E255" s="60"/>
      <c r="F255" s="60"/>
      <c r="G255" s="60">
        <v>55838000</v>
      </c>
      <c r="H255" s="60"/>
      <c r="I255" s="60">
        <v>3112800</v>
      </c>
      <c r="J255" s="60">
        <v>2345600</v>
      </c>
      <c r="K255" s="60"/>
      <c r="L255" s="60">
        <v>23366000</v>
      </c>
      <c r="M255" s="60"/>
      <c r="N255" s="60"/>
      <c r="O255" s="60">
        <v>84662400</v>
      </c>
      <c r="S255" s="252">
        <f t="shared" si="132"/>
        <v>0</v>
      </c>
      <c r="T255" s="252">
        <f t="shared" si="133"/>
        <v>0</v>
      </c>
      <c r="U255" s="252">
        <f t="shared" si="134"/>
        <v>84662400</v>
      </c>
      <c r="V255" s="60">
        <f t="shared" si="135"/>
        <v>84662400</v>
      </c>
      <c r="X255" s="254">
        <f t="shared" si="136"/>
        <v>0.65953717352685493</v>
      </c>
      <c r="Y255" s="254">
        <f t="shared" si="137"/>
        <v>6.4472540348490009E-2</v>
      </c>
      <c r="Z255" s="254">
        <f t="shared" si="138"/>
        <v>0.27599028612465509</v>
      </c>
      <c r="AA255" s="254">
        <f t="shared" si="139"/>
        <v>0</v>
      </c>
      <c r="AB255" s="254">
        <f t="shared" si="140"/>
        <v>0</v>
      </c>
      <c r="AD255" s="476">
        <f t="shared" si="127"/>
        <v>301.86863353384723</v>
      </c>
      <c r="AE255" s="476">
        <f t="shared" si="128"/>
        <v>0</v>
      </c>
      <c r="AF255" s="476">
        <f t="shared" si="129"/>
        <v>301.86863353384723</v>
      </c>
      <c r="AG255" s="476">
        <f t="shared" si="130"/>
        <v>180.92699441716627</v>
      </c>
      <c r="AH255" s="476">
        <f t="shared" si="131"/>
        <v>120.94163911668096</v>
      </c>
      <c r="AI255" s="477">
        <v>1</v>
      </c>
      <c r="AJ255" s="276">
        <f t="shared" si="141"/>
        <v>0</v>
      </c>
      <c r="AK255" s="276">
        <f t="shared" si="142"/>
        <v>1.4959859626394942</v>
      </c>
      <c r="AL255">
        <v>1</v>
      </c>
    </row>
    <row r="256" spans="1:38">
      <c r="A256" s="152" t="s">
        <v>395</v>
      </c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>
        <v>167000000</v>
      </c>
      <c r="O256" s="60">
        <v>167000000</v>
      </c>
      <c r="S256" s="252">
        <f t="shared" si="132"/>
        <v>0</v>
      </c>
      <c r="T256" s="252">
        <f t="shared" si="133"/>
        <v>0</v>
      </c>
      <c r="U256" s="252">
        <f t="shared" si="134"/>
        <v>167000000</v>
      </c>
      <c r="V256" s="60">
        <f t="shared" si="135"/>
        <v>167000000</v>
      </c>
      <c r="X256" s="254">
        <f t="shared" si="136"/>
        <v>0</v>
      </c>
      <c r="Y256" s="254">
        <f t="shared" si="137"/>
        <v>0</v>
      </c>
      <c r="Z256" s="254">
        <f t="shared" si="138"/>
        <v>0</v>
      </c>
      <c r="AA256" s="254">
        <f t="shared" si="139"/>
        <v>0</v>
      </c>
      <c r="AB256" s="254">
        <f t="shared" si="140"/>
        <v>1</v>
      </c>
      <c r="AD256" s="476">
        <f t="shared" si="127"/>
        <v>595.4480595890559</v>
      </c>
      <c r="AE256" s="476">
        <f t="shared" si="128"/>
        <v>0</v>
      </c>
      <c r="AF256" s="476">
        <f t="shared" si="129"/>
        <v>595.4480595890559</v>
      </c>
      <c r="AG256" s="476">
        <f t="shared" si="130"/>
        <v>356.88579661888588</v>
      </c>
      <c r="AH256" s="476">
        <f t="shared" si="131"/>
        <v>238.56226297016997</v>
      </c>
      <c r="AI256" s="477">
        <v>1</v>
      </c>
      <c r="AJ256" s="276">
        <f t="shared" si="141"/>
        <v>0</v>
      </c>
      <c r="AK256" s="276">
        <f t="shared" si="142"/>
        <v>1.4959859626394942</v>
      </c>
      <c r="AL256">
        <v>1</v>
      </c>
    </row>
    <row r="257" spans="1:40">
      <c r="A257" s="43" t="s">
        <v>1614</v>
      </c>
      <c r="B257" s="60">
        <v>0</v>
      </c>
      <c r="C257" s="60">
        <v>-11092000</v>
      </c>
      <c r="D257" s="60">
        <v>-5000</v>
      </c>
      <c r="E257" s="60">
        <v>-10000</v>
      </c>
      <c r="F257" s="60">
        <v>-1000000</v>
      </c>
      <c r="G257" s="60">
        <v>6142000</v>
      </c>
      <c r="H257" s="472">
        <v>205409000</v>
      </c>
      <c r="I257" s="60">
        <v>5188000</v>
      </c>
      <c r="J257" s="60">
        <v>3950300</v>
      </c>
      <c r="K257" s="472"/>
      <c r="L257" s="60">
        <v>5308000</v>
      </c>
      <c r="M257" s="60">
        <v>163327800</v>
      </c>
      <c r="N257" s="60"/>
      <c r="O257" s="60">
        <v>377218100</v>
      </c>
      <c r="S257" s="252">
        <f t="shared" si="132"/>
        <v>0</v>
      </c>
      <c r="T257" s="252">
        <f t="shared" si="133"/>
        <v>12107000</v>
      </c>
      <c r="U257" s="252">
        <f t="shared" si="134"/>
        <v>377218100</v>
      </c>
      <c r="V257" s="60">
        <f t="shared" si="135"/>
        <v>389325100</v>
      </c>
      <c r="X257" s="254">
        <f t="shared" si="136"/>
        <v>0.54337878549315211</v>
      </c>
      <c r="Y257" s="254">
        <f t="shared" si="137"/>
        <v>2.3472157330724375E-2</v>
      </c>
      <c r="Z257" s="254">
        <f t="shared" si="138"/>
        <v>1.3633849962409308E-2</v>
      </c>
      <c r="AA257" s="254">
        <f t="shared" si="139"/>
        <v>0.41951520721371421</v>
      </c>
      <c r="AB257" s="254">
        <f t="shared" si="140"/>
        <v>0</v>
      </c>
      <c r="AD257" s="476">
        <f t="shared" si="127"/>
        <v>1388.1609302054799</v>
      </c>
      <c r="AE257" s="476">
        <f t="shared" si="128"/>
        <v>0</v>
      </c>
      <c r="AF257" s="476">
        <f t="shared" si="129"/>
        <v>1388.1609302054799</v>
      </c>
      <c r="AG257" s="476">
        <f t="shared" si="130"/>
        <v>849.29863338327709</v>
      </c>
      <c r="AH257" s="476">
        <f t="shared" si="131"/>
        <v>538.86229682220278</v>
      </c>
      <c r="AI257" s="477">
        <v>1</v>
      </c>
      <c r="AJ257" s="276">
        <f t="shared" si="141"/>
        <v>0</v>
      </c>
      <c r="AK257" s="276">
        <f t="shared" si="142"/>
        <v>1.5760958567555943</v>
      </c>
      <c r="AL257">
        <v>1</v>
      </c>
      <c r="AM257" s="275">
        <f>SUM(AG258:AG263)</f>
        <v>857.27084073675996</v>
      </c>
      <c r="AN257" s="275">
        <f>SUM(AH258:AH263)</f>
        <v>530.89008946871979</v>
      </c>
    </row>
    <row r="258" spans="1:40">
      <c r="A258" s="152" t="s">
        <v>76</v>
      </c>
      <c r="B258" s="60">
        <v>0</v>
      </c>
      <c r="C258" s="60"/>
      <c r="D258" s="60"/>
      <c r="E258" s="60"/>
      <c r="F258" s="60"/>
      <c r="G258" s="60"/>
      <c r="H258" s="472"/>
      <c r="I258" s="60"/>
      <c r="J258" s="60"/>
      <c r="K258" s="60"/>
      <c r="L258" s="60"/>
      <c r="M258" s="60">
        <v>450000</v>
      </c>
      <c r="N258" s="60"/>
      <c r="O258" s="60">
        <v>450000</v>
      </c>
      <c r="S258" s="252">
        <f t="shared" si="132"/>
        <v>0</v>
      </c>
      <c r="T258" s="252">
        <f t="shared" si="133"/>
        <v>0</v>
      </c>
      <c r="U258" s="252">
        <f t="shared" si="134"/>
        <v>450000</v>
      </c>
      <c r="V258" s="60">
        <f t="shared" si="135"/>
        <v>450000</v>
      </c>
      <c r="X258" s="254">
        <f t="shared" si="136"/>
        <v>0</v>
      </c>
      <c r="Y258" s="254">
        <f t="shared" si="137"/>
        <v>0</v>
      </c>
      <c r="Z258" s="254">
        <f t="shared" si="138"/>
        <v>0</v>
      </c>
      <c r="AA258" s="254">
        <f t="shared" si="139"/>
        <v>1</v>
      </c>
      <c r="AB258" s="254">
        <f t="shared" si="140"/>
        <v>0</v>
      </c>
      <c r="AD258" s="275">
        <f t="shared" si="127"/>
        <v>1.6045007593717076</v>
      </c>
      <c r="AE258" s="275">
        <f t="shared" si="128"/>
        <v>0</v>
      </c>
      <c r="AF258" s="275">
        <f t="shared" si="129"/>
        <v>1.6045007593717076</v>
      </c>
      <c r="AG258" s="275">
        <f t="shared" si="130"/>
        <v>0.96166831424250687</v>
      </c>
      <c r="AH258" s="275">
        <f t="shared" si="131"/>
        <v>0.64283244512920046</v>
      </c>
      <c r="AI258" s="282">
        <v>1</v>
      </c>
      <c r="AJ258" s="276">
        <f t="shared" si="141"/>
        <v>0</v>
      </c>
      <c r="AK258" s="276">
        <f t="shared" si="142"/>
        <v>1.4959859626394942</v>
      </c>
      <c r="AL258">
        <v>1</v>
      </c>
    </row>
    <row r="259" spans="1:40">
      <c r="A259" s="152" t="s">
        <v>1767</v>
      </c>
      <c r="B259" s="60">
        <v>0</v>
      </c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>
        <v>0</v>
      </c>
      <c r="S259" s="252">
        <f t="shared" si="132"/>
        <v>0</v>
      </c>
      <c r="T259" s="252">
        <f t="shared" si="133"/>
        <v>0</v>
      </c>
      <c r="U259" s="252">
        <f t="shared" si="134"/>
        <v>0</v>
      </c>
      <c r="V259" s="60">
        <f t="shared" si="135"/>
        <v>0</v>
      </c>
      <c r="X259" s="254" t="e">
        <f t="shared" si="136"/>
        <v>#DIV/0!</v>
      </c>
      <c r="Y259" s="254" t="e">
        <f t="shared" si="137"/>
        <v>#DIV/0!</v>
      </c>
      <c r="Z259" s="254" t="e">
        <f t="shared" si="138"/>
        <v>#DIV/0!</v>
      </c>
      <c r="AA259" s="254" t="e">
        <f t="shared" si="139"/>
        <v>#DIV/0!</v>
      </c>
      <c r="AB259" s="254" t="e">
        <f t="shared" si="140"/>
        <v>#DIV/0!</v>
      </c>
      <c r="AD259" s="275">
        <f t="shared" si="127"/>
        <v>0</v>
      </c>
      <c r="AE259" s="275">
        <f t="shared" si="128"/>
        <v>0</v>
      </c>
      <c r="AF259" s="275">
        <f t="shared" si="129"/>
        <v>0</v>
      </c>
      <c r="AG259" s="275">
        <f t="shared" si="130"/>
        <v>0</v>
      </c>
      <c r="AH259" s="275">
        <f t="shared" si="131"/>
        <v>0</v>
      </c>
      <c r="AI259" s="282">
        <v>1</v>
      </c>
      <c r="AJ259" s="276" t="e">
        <f t="shared" si="141"/>
        <v>#DIV/0!</v>
      </c>
      <c r="AK259" s="276" t="e">
        <f t="shared" si="142"/>
        <v>#DIV/0!</v>
      </c>
      <c r="AL259">
        <v>1</v>
      </c>
    </row>
    <row r="260" spans="1:40">
      <c r="A260" s="152" t="s">
        <v>1659</v>
      </c>
      <c r="B260" s="60"/>
      <c r="C260" s="60">
        <v>-10985000</v>
      </c>
      <c r="D260" s="60">
        <v>-5000</v>
      </c>
      <c r="E260" s="60">
        <v>-10000</v>
      </c>
      <c r="F260" s="60">
        <v>-1000000</v>
      </c>
      <c r="G260" s="60">
        <v>6142000</v>
      </c>
      <c r="H260" s="60"/>
      <c r="I260" s="60">
        <v>713400</v>
      </c>
      <c r="J260" s="60">
        <v>3950300</v>
      </c>
      <c r="K260" s="60"/>
      <c r="L260" s="60">
        <v>3409700</v>
      </c>
      <c r="M260" s="60"/>
      <c r="N260" s="60"/>
      <c r="O260" s="60">
        <v>2215400</v>
      </c>
      <c r="S260" s="252">
        <f t="shared" si="132"/>
        <v>0</v>
      </c>
      <c r="T260" s="252">
        <f t="shared" si="133"/>
        <v>12000000</v>
      </c>
      <c r="U260" s="252">
        <f t="shared" si="134"/>
        <v>2215400</v>
      </c>
      <c r="V260" s="60">
        <f t="shared" si="135"/>
        <v>14215400</v>
      </c>
      <c r="X260" s="254">
        <f t="shared" si="136"/>
        <v>0.43206663196251954</v>
      </c>
      <c r="Y260" s="254">
        <f t="shared" si="137"/>
        <v>0.32807377914093167</v>
      </c>
      <c r="Z260" s="254">
        <f t="shared" si="138"/>
        <v>0.23985958889654882</v>
      </c>
      <c r="AA260" s="254">
        <f t="shared" si="139"/>
        <v>0</v>
      </c>
      <c r="AB260" s="254">
        <f t="shared" si="140"/>
        <v>0</v>
      </c>
      <c r="AD260" s="275">
        <f t="shared" si="127"/>
        <v>50.685822432827941</v>
      </c>
      <c r="AE260" s="275">
        <f t="shared" si="128"/>
        <v>0</v>
      </c>
      <c r="AF260" s="275">
        <f t="shared" si="129"/>
        <v>50.685822432827941</v>
      </c>
      <c r="AG260" s="275">
        <f t="shared" si="130"/>
        <v>47.52108687962965</v>
      </c>
      <c r="AH260" s="275">
        <f t="shared" si="131"/>
        <v>3.164735553198291</v>
      </c>
      <c r="AI260" s="282">
        <v>1</v>
      </c>
      <c r="AJ260" s="276">
        <f t="shared" si="141"/>
        <v>0</v>
      </c>
      <c r="AK260" s="276">
        <f t="shared" si="142"/>
        <v>15.015816039227891</v>
      </c>
      <c r="AL260">
        <v>1</v>
      </c>
    </row>
    <row r="261" spans="1:40">
      <c r="A261" s="152" t="s">
        <v>1708</v>
      </c>
      <c r="B261" s="60"/>
      <c r="C261" s="60">
        <v>-107000</v>
      </c>
      <c r="D261" s="60"/>
      <c r="E261" s="60"/>
      <c r="F261" s="60"/>
      <c r="G261" s="60"/>
      <c r="H261" s="60"/>
      <c r="I261" s="60"/>
      <c r="J261" s="60"/>
      <c r="K261" s="60"/>
      <c r="L261" s="60"/>
      <c r="M261" s="60">
        <v>2625000</v>
      </c>
      <c r="N261" s="60"/>
      <c r="O261" s="60">
        <v>2518000</v>
      </c>
      <c r="S261" s="252">
        <f t="shared" si="132"/>
        <v>0</v>
      </c>
      <c r="T261" s="252">
        <f t="shared" si="133"/>
        <v>107000</v>
      </c>
      <c r="U261" s="252">
        <f t="shared" si="134"/>
        <v>2518000</v>
      </c>
      <c r="V261" s="60">
        <f t="shared" si="135"/>
        <v>2625000</v>
      </c>
      <c r="X261" s="254">
        <f t="shared" si="136"/>
        <v>0</v>
      </c>
      <c r="Y261" s="254">
        <f t="shared" si="137"/>
        <v>0</v>
      </c>
      <c r="Z261" s="254">
        <f t="shared" si="138"/>
        <v>0</v>
      </c>
      <c r="AA261" s="254">
        <f t="shared" si="139"/>
        <v>1</v>
      </c>
      <c r="AB261" s="254">
        <f t="shared" si="140"/>
        <v>0</v>
      </c>
      <c r="AD261" s="275">
        <f t="shared" si="127"/>
        <v>9.3595877630016275</v>
      </c>
      <c r="AE261" s="275">
        <f t="shared" si="128"/>
        <v>0</v>
      </c>
      <c r="AF261" s="275">
        <f t="shared" si="129"/>
        <v>9.3595877630016275</v>
      </c>
      <c r="AG261" s="275">
        <f t="shared" si="130"/>
        <v>5.6617687800342633</v>
      </c>
      <c r="AH261" s="275">
        <f t="shared" si="131"/>
        <v>3.6978189829673647</v>
      </c>
      <c r="AI261" s="282">
        <v>0.7357524018072007</v>
      </c>
      <c r="AJ261" s="276">
        <f t="shared" si="141"/>
        <v>0</v>
      </c>
      <c r="AK261" s="276">
        <f t="shared" si="142"/>
        <v>1.5311103128933858</v>
      </c>
      <c r="AL261">
        <v>1</v>
      </c>
    </row>
    <row r="262" spans="1:40">
      <c r="A262" s="152" t="s">
        <v>1796</v>
      </c>
      <c r="B262" s="60"/>
      <c r="C262" s="60"/>
      <c r="D262" s="60"/>
      <c r="E262" s="60"/>
      <c r="F262" s="60"/>
      <c r="G262" s="60"/>
      <c r="H262" s="472">
        <v>205409000</v>
      </c>
      <c r="I262" s="60">
        <v>4474600</v>
      </c>
      <c r="J262" s="60"/>
      <c r="K262" s="472"/>
      <c r="L262" s="60">
        <v>1898300</v>
      </c>
      <c r="M262" s="60">
        <v>160252800</v>
      </c>
      <c r="N262" s="60"/>
      <c r="O262" s="60">
        <v>372034700</v>
      </c>
      <c r="S262" s="252">
        <f t="shared" si="132"/>
        <v>0</v>
      </c>
      <c r="T262" s="252">
        <f t="shared" si="133"/>
        <v>0</v>
      </c>
      <c r="U262" s="252">
        <f t="shared" si="134"/>
        <v>372034700</v>
      </c>
      <c r="V262" s="60">
        <f t="shared" si="135"/>
        <v>372034700</v>
      </c>
      <c r="X262" s="254">
        <f t="shared" si="136"/>
        <v>0.5521232293654329</v>
      </c>
      <c r="Y262" s="254">
        <f t="shared" si="137"/>
        <v>1.2027372715502076E-2</v>
      </c>
      <c r="Z262" s="254">
        <f t="shared" si="138"/>
        <v>5.1024810320112616E-3</v>
      </c>
      <c r="AA262" s="254">
        <f t="shared" si="139"/>
        <v>0.4307469168870538</v>
      </c>
      <c r="AB262" s="254">
        <f t="shared" si="140"/>
        <v>0</v>
      </c>
      <c r="AD262" s="275">
        <f t="shared" si="127"/>
        <v>1326.5110192502787</v>
      </c>
      <c r="AE262" s="275">
        <f t="shared" si="128"/>
        <v>0</v>
      </c>
      <c r="AF262" s="275">
        <f t="shared" si="129"/>
        <v>1326.5110192502787</v>
      </c>
      <c r="AG262" s="275">
        <f t="shared" si="130"/>
        <v>795.05329508603734</v>
      </c>
      <c r="AH262" s="275">
        <f t="shared" si="131"/>
        <v>531.4577241642412</v>
      </c>
      <c r="AI262" s="282">
        <v>1</v>
      </c>
      <c r="AJ262" s="276">
        <f t="shared" si="141"/>
        <v>0</v>
      </c>
      <c r="AK262" s="276">
        <f t="shared" si="142"/>
        <v>1.4959859626394945</v>
      </c>
      <c r="AL262">
        <v>1</v>
      </c>
    </row>
    <row r="263" spans="1:40">
      <c r="A263" s="43" t="s">
        <v>2281</v>
      </c>
      <c r="B263" s="60"/>
      <c r="C263" s="60">
        <v>-16600000</v>
      </c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>
        <v>-16600000</v>
      </c>
      <c r="S263" s="252">
        <f t="shared" si="132"/>
        <v>0</v>
      </c>
      <c r="T263" s="252">
        <f t="shared" si="133"/>
        <v>16600000</v>
      </c>
      <c r="U263" s="252">
        <f t="shared" si="134"/>
        <v>-16600000</v>
      </c>
      <c r="V263" s="60">
        <f t="shared" si="135"/>
        <v>0</v>
      </c>
      <c r="X263" s="254" t="e">
        <f t="shared" si="136"/>
        <v>#DIV/0!</v>
      </c>
      <c r="Y263" s="254" t="e">
        <f t="shared" si="137"/>
        <v>#DIV/0!</v>
      </c>
      <c r="Z263" s="254" t="e">
        <f t="shared" si="138"/>
        <v>#DIV/0!</v>
      </c>
      <c r="AA263" s="254" t="e">
        <f t="shared" si="139"/>
        <v>#DIV/0!</v>
      </c>
      <c r="AB263" s="254" t="e">
        <f t="shared" si="140"/>
        <v>#DIV/0!</v>
      </c>
      <c r="AD263" s="275">
        <f t="shared" si="127"/>
        <v>0</v>
      </c>
      <c r="AE263" s="275">
        <f t="shared" si="128"/>
        <v>0</v>
      </c>
      <c r="AF263" s="275">
        <f t="shared" si="129"/>
        <v>0</v>
      </c>
      <c r="AG263" s="275">
        <f t="shared" si="130"/>
        <v>8.073021676816202</v>
      </c>
      <c r="AH263" s="275">
        <f t="shared" si="131"/>
        <v>-8.0730216768161984</v>
      </c>
      <c r="AI263" s="282">
        <v>0.7357524018072007</v>
      </c>
      <c r="AJ263" s="276">
        <f t="shared" si="141"/>
        <v>0</v>
      </c>
      <c r="AK263" s="276">
        <f t="shared" si="142"/>
        <v>-1.0000000000000004</v>
      </c>
      <c r="AL263">
        <v>1</v>
      </c>
    </row>
    <row r="264" spans="1:40">
      <c r="A264" s="152" t="s">
        <v>2283</v>
      </c>
      <c r="B264" s="60"/>
      <c r="C264" s="60">
        <v>-14100000</v>
      </c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>
        <v>-14100000</v>
      </c>
      <c r="S264" s="252">
        <f t="shared" si="132"/>
        <v>0</v>
      </c>
      <c r="T264" s="252">
        <f t="shared" si="133"/>
        <v>14100000</v>
      </c>
      <c r="U264" s="252">
        <f t="shared" si="134"/>
        <v>-14100000</v>
      </c>
      <c r="V264" s="60">
        <f t="shared" si="135"/>
        <v>0</v>
      </c>
      <c r="X264" s="254" t="e">
        <f t="shared" si="136"/>
        <v>#DIV/0!</v>
      </c>
      <c r="Y264" s="254" t="e">
        <f t="shared" si="137"/>
        <v>#DIV/0!</v>
      </c>
      <c r="Z264" s="254" t="e">
        <f t="shared" si="138"/>
        <v>#DIV/0!</v>
      </c>
      <c r="AA264" s="254" t="e">
        <f t="shared" si="139"/>
        <v>#DIV/0!</v>
      </c>
      <c r="AB264" s="254" t="e">
        <f t="shared" si="140"/>
        <v>#DIV/0!</v>
      </c>
      <c r="AD264" s="275">
        <f t="shared" si="127"/>
        <v>0</v>
      </c>
      <c r="AE264" s="275">
        <f t="shared" si="128"/>
        <v>0</v>
      </c>
      <c r="AF264" s="275">
        <f t="shared" si="129"/>
        <v>0</v>
      </c>
      <c r="AG264" s="275">
        <f t="shared" si="130"/>
        <v>6.8572051592233993</v>
      </c>
      <c r="AH264" s="275">
        <f t="shared" si="131"/>
        <v>-6.8572051592233976</v>
      </c>
      <c r="AI264" s="282">
        <v>0.7357524018072007</v>
      </c>
      <c r="AJ264" s="276">
        <f t="shared" si="141"/>
        <v>0</v>
      </c>
      <c r="AK264" s="276">
        <f t="shared" si="142"/>
        <v>-1.0000000000000002</v>
      </c>
      <c r="AL264">
        <v>1</v>
      </c>
    </row>
    <row r="265" spans="1:40">
      <c r="A265" s="152" t="s">
        <v>4696</v>
      </c>
      <c r="B265" s="60"/>
      <c r="C265" s="60">
        <v>-2500000</v>
      </c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>
        <v>-2500000</v>
      </c>
      <c r="S265" s="252">
        <f t="shared" si="132"/>
        <v>0</v>
      </c>
      <c r="T265" s="252">
        <f t="shared" si="133"/>
        <v>2500000</v>
      </c>
      <c r="U265" s="252">
        <f t="shared" si="134"/>
        <v>-2500000</v>
      </c>
      <c r="V265" s="60">
        <f t="shared" si="135"/>
        <v>0</v>
      </c>
      <c r="X265" s="254" t="e">
        <f t="shared" si="136"/>
        <v>#DIV/0!</v>
      </c>
      <c r="Y265" s="254" t="e">
        <f t="shared" si="137"/>
        <v>#DIV/0!</v>
      </c>
      <c r="Z265" s="254" t="e">
        <f t="shared" si="138"/>
        <v>#DIV/0!</v>
      </c>
      <c r="AA265" s="254" t="e">
        <f t="shared" si="139"/>
        <v>#DIV/0!</v>
      </c>
      <c r="AB265" s="254" t="e">
        <f t="shared" si="140"/>
        <v>#DIV/0!</v>
      </c>
      <c r="AD265" s="275">
        <f t="shared" ref="AD265" si="143">V265/תושבים_2015</f>
        <v>0</v>
      </c>
      <c r="AE265" s="275">
        <f t="shared" ref="AE265" si="144">S265/תושבים_2015</f>
        <v>0</v>
      </c>
      <c r="AF265" s="275">
        <f t="shared" ref="AF265" si="145">(U265+T265)/תושבים_2015</f>
        <v>0</v>
      </c>
      <c r="AG265" s="275">
        <f t="shared" ref="AG265" si="146">(U265*(1-יחס_ארנונה)+T265*AI265)/תושבים_2015</f>
        <v>1.2158165175928022</v>
      </c>
      <c r="AH265" s="275">
        <f t="shared" ref="AH265" si="147">(U265*יחס_ארנונה+T265*(1-AI265))/תושבים_2015</f>
        <v>-1.2158165175928008</v>
      </c>
      <c r="AI265" s="282">
        <v>0.7357524018072007</v>
      </c>
      <c r="AJ265" s="276">
        <f t="shared" ref="AJ265" si="148">AE265/$AH265</f>
        <v>0</v>
      </c>
      <c r="AK265" s="276">
        <f t="shared" ref="AK265" si="149">AG265/$AH265</f>
        <v>-1.0000000000000011</v>
      </c>
      <c r="AL265">
        <v>1</v>
      </c>
    </row>
    <row r="266" spans="1:40">
      <c r="A266" s="43" t="s">
        <v>2354</v>
      </c>
      <c r="B266" s="60">
        <v>0</v>
      </c>
      <c r="C266" s="60">
        <v>-27692000</v>
      </c>
      <c r="D266" s="60">
        <v>-5000</v>
      </c>
      <c r="E266" s="60">
        <v>-10000</v>
      </c>
      <c r="F266" s="60">
        <v>-1000000</v>
      </c>
      <c r="G266" s="60">
        <v>115074000</v>
      </c>
      <c r="H266" s="60">
        <v>205409000</v>
      </c>
      <c r="I266" s="60">
        <v>34555200</v>
      </c>
      <c r="J266" s="60">
        <v>7177600</v>
      </c>
      <c r="K266" s="60"/>
      <c r="L266" s="60">
        <v>48016000</v>
      </c>
      <c r="M266" s="60">
        <v>176721400</v>
      </c>
      <c r="N266" s="60">
        <v>167000000</v>
      </c>
      <c r="O266" s="60">
        <v>725246200</v>
      </c>
      <c r="S266" s="252"/>
      <c r="T266" s="252"/>
      <c r="U266" s="252"/>
      <c r="V266" s="60"/>
      <c r="X266" s="254"/>
      <c r="Y266" s="254"/>
      <c r="Z266" s="254"/>
      <c r="AA266" s="254"/>
      <c r="AB266" s="254"/>
      <c r="AD266" s="275"/>
      <c r="AE266" s="275"/>
      <c r="AF266" s="275"/>
      <c r="AG266" s="275"/>
      <c r="AH266" s="275"/>
      <c r="AI266" s="252">
        <f>T261*30%+T257-T261</f>
        <v>12032100</v>
      </c>
      <c r="AJ266" s="276"/>
      <c r="AK266" s="276"/>
    </row>
    <row r="267" spans="1:40">
      <c r="S267" s="252"/>
      <c r="T267" s="252"/>
      <c r="U267" s="252"/>
      <c r="V267" s="60"/>
      <c r="X267" s="254"/>
      <c r="Y267" s="254"/>
      <c r="Z267" s="254"/>
      <c r="AA267" s="254"/>
      <c r="AB267" s="254"/>
      <c r="AD267" s="275"/>
      <c r="AE267" s="275"/>
      <c r="AF267" s="275"/>
      <c r="AG267" s="275"/>
      <c r="AH267" s="275"/>
      <c r="AI267" s="282">
        <f>AI266/T257</f>
        <v>0.99381349632444038</v>
      </c>
      <c r="AJ267" s="276"/>
      <c r="AK267" s="276"/>
    </row>
    <row r="268" spans="1:40">
      <c r="R268" t="s">
        <v>8914</v>
      </c>
      <c r="S268" s="252">
        <f>-H268</f>
        <v>0</v>
      </c>
      <c r="T268" s="252">
        <f>-SUM(C268:G268)</f>
        <v>0</v>
      </c>
      <c r="U268" s="252">
        <f>GETPIVOTDATA("  תקציב חדש 2016",$A$250,"פרק 1","מפעלים","פרק 2","תשלומים בלתי רגילים","סוג 1","פנסיה ופיצויים")</f>
        <v>205409000</v>
      </c>
      <c r="V268" s="60">
        <f t="shared" ref="V268:V269" si="150">SUM(S268:U268)</f>
        <v>205409000</v>
      </c>
      <c r="X268" s="254"/>
      <c r="Y268" s="254"/>
      <c r="Z268" s="254"/>
      <c r="AA268" s="254"/>
      <c r="AD268" s="275">
        <f t="shared" ref="AD268:AD269" si="151">V268/תושבים_2015</f>
        <v>732.39754773729578</v>
      </c>
      <c r="AE268" s="275">
        <f t="shared" ref="AE268:AE269" si="152">S268/תושבים_2015</f>
        <v>0</v>
      </c>
      <c r="AF268" s="275">
        <f t="shared" ref="AF268:AF269" si="153">(U268+T268)/תושבים_2015</f>
        <v>732.39754773729578</v>
      </c>
      <c r="AG268" s="275">
        <f t="shared" ref="AG268:AG269" si="154">(U268*(1-יחס_ארנונה)+T268*AI268)/תושבים_2015</f>
        <v>438.96739280053134</v>
      </c>
      <c r="AH268" s="275">
        <f t="shared" ref="AH268:AH269" si="155">(U268*יחס_ארנונה+T268*(1-AI268))/תושבים_2015</f>
        <v>293.43015493676432</v>
      </c>
      <c r="AI268" s="282">
        <v>0.5</v>
      </c>
      <c r="AJ268" s="276">
        <f>AE268/$AG268</f>
        <v>0</v>
      </c>
      <c r="AK268" s="276">
        <f>AG268/$AG268</f>
        <v>1</v>
      </c>
      <c r="AL268">
        <v>1</v>
      </c>
    </row>
    <row r="269" spans="1:40">
      <c r="R269" t="s">
        <v>8906</v>
      </c>
      <c r="S269" s="252">
        <f>-H269</f>
        <v>0</v>
      </c>
      <c r="T269" s="252">
        <f>-SUM(C269:G269)</f>
        <v>0</v>
      </c>
      <c r="U269" s="252">
        <f>'הצעת תקציב 2016'!H1234</f>
        <v>160000000</v>
      </c>
      <c r="V269" s="60">
        <f t="shared" si="150"/>
        <v>160000000</v>
      </c>
      <c r="X269" s="254"/>
      <c r="Y269" s="254"/>
      <c r="Z269" s="254"/>
      <c r="AA269" s="254"/>
      <c r="AD269" s="275">
        <f t="shared" si="151"/>
        <v>570.4891588877183</v>
      </c>
      <c r="AE269" s="275">
        <f t="shared" si="152"/>
        <v>0</v>
      </c>
      <c r="AF269" s="275">
        <f t="shared" si="153"/>
        <v>570.4891588877183</v>
      </c>
      <c r="AG269" s="275">
        <f t="shared" si="154"/>
        <v>341.92651173066912</v>
      </c>
      <c r="AH269" s="275">
        <f t="shared" si="155"/>
        <v>228.56264715704907</v>
      </c>
      <c r="AI269" s="282">
        <v>0.5</v>
      </c>
      <c r="AJ269" s="276">
        <f>AE269/$AG269</f>
        <v>0</v>
      </c>
      <c r="AK269" s="276">
        <f>AG269/$AG269</f>
        <v>1</v>
      </c>
      <c r="AL269">
        <v>1</v>
      </c>
    </row>
    <row r="270" spans="1:40">
      <c r="S270" s="252"/>
      <c r="T270" s="252"/>
      <c r="U270" s="252"/>
      <c r="V270" s="60"/>
      <c r="X270" s="254"/>
      <c r="Y270" s="254"/>
      <c r="Z270" s="254"/>
      <c r="AA270" s="254"/>
    </row>
    <row r="271" spans="1:40">
      <c r="S271" s="252"/>
      <c r="T271" s="252"/>
      <c r="U271" s="252"/>
      <c r="V271" s="60"/>
      <c r="X271" s="254"/>
      <c r="Y271" s="254"/>
      <c r="Z271" s="254"/>
      <c r="AA271" s="254"/>
      <c r="AG271" s="202">
        <f>AG269+AG268</f>
        <v>780.89390453120041</v>
      </c>
      <c r="AH271" s="202">
        <f>AH269+AH268</f>
        <v>521.99280209381345</v>
      </c>
    </row>
    <row r="272" spans="1:40">
      <c r="R272" s="252"/>
      <c r="S272" s="252"/>
      <c r="T272" s="252"/>
      <c r="U272" s="60"/>
      <c r="W272" s="254"/>
      <c r="X272" s="254"/>
      <c r="Y272" s="254"/>
      <c r="Z272" s="254"/>
    </row>
    <row r="273" spans="18:27">
      <c r="R273" s="252"/>
      <c r="S273" s="252"/>
      <c r="T273" s="252"/>
      <c r="U273" s="60"/>
      <c r="W273" s="254"/>
      <c r="X273" s="254"/>
      <c r="Y273" s="254"/>
      <c r="Z273" s="254"/>
    </row>
    <row r="274" spans="18:27">
      <c r="R274" s="252"/>
      <c r="S274" s="252"/>
      <c r="T274" s="252"/>
      <c r="U274" s="60"/>
      <c r="W274" s="254"/>
      <c r="X274" s="254"/>
      <c r="Y274" s="254"/>
      <c r="Z274" s="254"/>
    </row>
    <row r="275" spans="18:27">
      <c r="S275" s="252"/>
      <c r="T275" s="252"/>
      <c r="U275" s="252"/>
      <c r="V275" s="60"/>
      <c r="X275" s="254"/>
      <c r="Y275" s="254"/>
      <c r="Z275" s="254"/>
      <c r="AA275" s="254"/>
    </row>
    <row r="276" spans="18:27">
      <c r="S276" s="252"/>
      <c r="T276" s="252"/>
      <c r="U276" s="252"/>
      <c r="V276" s="60"/>
      <c r="X276" s="254"/>
      <c r="Y276" s="254"/>
      <c r="Z276" s="254"/>
      <c r="AA276" s="254"/>
    </row>
    <row r="277" spans="18:27">
      <c r="S277" s="252"/>
      <c r="T277" s="252"/>
      <c r="U277" s="252"/>
      <c r="V277" s="60"/>
      <c r="X277" s="254"/>
      <c r="Y277" s="254"/>
      <c r="Z277" s="254"/>
      <c r="AA277" s="254"/>
    </row>
    <row r="278" spans="18:27">
      <c r="S278" s="252"/>
      <c r="T278" s="252"/>
      <c r="U278" s="252"/>
      <c r="V278" s="60"/>
      <c r="X278" s="254"/>
      <c r="Y278" s="254"/>
      <c r="Z278" s="254"/>
      <c r="AA278" s="254"/>
    </row>
    <row r="279" spans="18:27">
      <c r="S279" s="252"/>
      <c r="T279" s="252"/>
      <c r="U279" s="252"/>
      <c r="V279" s="60"/>
      <c r="X279" s="254"/>
      <c r="Y279" s="254"/>
      <c r="Z279" s="254"/>
      <c r="AA279" s="254"/>
    </row>
    <row r="280" spans="18:27">
      <c r="S280" s="252"/>
      <c r="T280" s="252"/>
      <c r="U280" s="252"/>
      <c r="V280" s="60"/>
      <c r="X280" s="254"/>
      <c r="Y280" s="254"/>
      <c r="Z280" s="254"/>
      <c r="AA280" s="254"/>
    </row>
    <row r="281" spans="18:27">
      <c r="S281" s="252"/>
      <c r="T281" s="252"/>
      <c r="U281" s="252"/>
      <c r="V281" s="60"/>
      <c r="X281" s="254"/>
      <c r="Y281" s="254"/>
      <c r="Z281" s="254"/>
      <c r="AA281" s="254"/>
    </row>
    <row r="282" spans="18:27">
      <c r="S282" s="252"/>
      <c r="T282" s="252"/>
      <c r="U282" s="252"/>
      <c r="V282" s="60"/>
      <c r="X282" s="254"/>
      <c r="Y282" s="254"/>
      <c r="Z282" s="254"/>
      <c r="AA282" s="254"/>
    </row>
    <row r="283" spans="18:27">
      <c r="S283" s="252"/>
      <c r="T283" s="252"/>
      <c r="U283" s="252"/>
      <c r="V283" s="60"/>
      <c r="X283" s="254"/>
      <c r="Y283" s="254"/>
      <c r="Z283" s="254"/>
      <c r="AA283" s="254"/>
    </row>
    <row r="284" spans="18:27">
      <c r="S284" s="252"/>
      <c r="T284" s="252"/>
      <c r="U284" s="252"/>
      <c r="V284" s="60"/>
      <c r="X284" s="254"/>
      <c r="Y284" s="254"/>
      <c r="Z284" s="254"/>
      <c r="AA284" s="254"/>
    </row>
    <row r="285" spans="18:27">
      <c r="S285" s="252"/>
      <c r="T285" s="252"/>
      <c r="U285" s="252"/>
      <c r="V285" s="60"/>
      <c r="X285" s="254"/>
      <c r="Y285" s="254"/>
      <c r="Z285" s="254"/>
      <c r="AA285" s="254"/>
    </row>
    <row r="286" spans="18:27">
      <c r="S286" s="252"/>
      <c r="T286" s="252"/>
      <c r="U286" s="252"/>
      <c r="V286" s="60"/>
      <c r="X286" s="254"/>
      <c r="Y286" s="254"/>
      <c r="Z286" s="254"/>
      <c r="AA286" s="254"/>
    </row>
    <row r="287" spans="18:27">
      <c r="S287" s="252"/>
      <c r="T287" s="252"/>
      <c r="U287" s="252"/>
      <c r="V287" s="60"/>
      <c r="X287" s="254"/>
      <c r="Y287" s="254"/>
      <c r="Z287" s="254"/>
      <c r="AA287" s="254"/>
    </row>
    <row r="288" spans="18:27">
      <c r="S288" s="252"/>
      <c r="T288" s="252"/>
      <c r="U288" s="252"/>
      <c r="V288" s="60"/>
      <c r="X288" s="254"/>
      <c r="Y288" s="254"/>
      <c r="Z288" s="254"/>
      <c r="AA288" s="254"/>
    </row>
    <row r="289" spans="19:27">
      <c r="S289" s="252"/>
      <c r="T289" s="252"/>
      <c r="U289" s="252"/>
      <c r="V289" s="60"/>
      <c r="X289" s="254"/>
      <c r="Y289" s="254"/>
      <c r="Z289" s="254"/>
      <c r="AA289" s="254"/>
    </row>
    <row r="290" spans="19:27">
      <c r="S290" s="252"/>
      <c r="T290" s="252"/>
      <c r="U290" s="252"/>
      <c r="V290" s="60"/>
      <c r="X290" s="254"/>
      <c r="Y290" s="254"/>
      <c r="Z290" s="254"/>
      <c r="AA290" s="254"/>
    </row>
    <row r="291" spans="19:27">
      <c r="S291" s="252"/>
      <c r="T291" s="252"/>
      <c r="U291" s="252"/>
      <c r="V291" s="60"/>
      <c r="X291" s="254"/>
      <c r="Y291" s="254"/>
      <c r="Z291" s="254"/>
      <c r="AA291" s="254"/>
    </row>
    <row r="292" spans="19:27">
      <c r="S292" s="252"/>
      <c r="T292" s="252"/>
      <c r="U292" s="252"/>
      <c r="V292" s="60"/>
      <c r="X292" s="254"/>
      <c r="Y292" s="254"/>
      <c r="Z292" s="254"/>
      <c r="AA292" s="254"/>
    </row>
    <row r="293" spans="19:27">
      <c r="S293" s="252"/>
      <c r="T293" s="252"/>
      <c r="U293" s="252"/>
      <c r="V293" s="60"/>
      <c r="X293" s="254"/>
      <c r="Y293" s="254"/>
      <c r="Z293" s="254"/>
      <c r="AA293" s="254"/>
    </row>
    <row r="294" spans="19:27">
      <c r="S294" s="252"/>
      <c r="T294" s="252"/>
      <c r="U294" s="252"/>
      <c r="V294" s="60"/>
      <c r="X294" s="254"/>
      <c r="Y294" s="254"/>
      <c r="Z294" s="254"/>
      <c r="AA294" s="254"/>
    </row>
    <row r="295" spans="19:27">
      <c r="S295" s="252"/>
      <c r="T295" s="252"/>
      <c r="U295" s="252"/>
      <c r="V295" s="60"/>
      <c r="X295" s="254"/>
      <c r="Y295" s="254"/>
      <c r="Z295" s="254"/>
      <c r="AA295" s="254"/>
    </row>
    <row r="296" spans="19:27">
      <c r="S296" s="252"/>
      <c r="T296" s="252"/>
      <c r="U296" s="252"/>
      <c r="V296" s="60"/>
      <c r="X296" s="254"/>
      <c r="Y296" s="254"/>
      <c r="Z296" s="254"/>
      <c r="AA296" s="254"/>
    </row>
    <row r="297" spans="19:27">
      <c r="S297" s="252"/>
      <c r="T297" s="252"/>
      <c r="U297" s="252"/>
      <c r="V297" s="60"/>
      <c r="X297" s="254"/>
      <c r="Y297" s="254"/>
      <c r="Z297" s="254"/>
      <c r="AA297" s="254"/>
    </row>
    <row r="298" spans="19:27">
      <c r="S298" s="252"/>
      <c r="T298" s="252"/>
      <c r="U298" s="252"/>
      <c r="V298" s="60"/>
      <c r="X298" s="254"/>
      <c r="Y298" s="254"/>
      <c r="Z298" s="254"/>
      <c r="AA298" s="254"/>
    </row>
    <row r="299" spans="19:27">
      <c r="S299" s="252"/>
      <c r="T299" s="252"/>
      <c r="U299" s="252"/>
      <c r="V299" s="60"/>
      <c r="X299" s="254"/>
      <c r="Y299" s="254"/>
      <c r="Z299" s="254"/>
      <c r="AA299" s="254"/>
    </row>
    <row r="300" spans="19:27">
      <c r="S300" s="252"/>
      <c r="T300" s="252"/>
      <c r="U300" s="252"/>
      <c r="V300" s="60"/>
      <c r="X300" s="254"/>
      <c r="Y300" s="254"/>
      <c r="Z300" s="254"/>
      <c r="AA300" s="254"/>
    </row>
    <row r="301" spans="19:27">
      <c r="S301" s="252"/>
      <c r="T301" s="252"/>
      <c r="U301" s="252"/>
      <c r="V301" s="60"/>
      <c r="X301" s="254"/>
      <c r="Y301" s="254"/>
      <c r="Z301" s="254"/>
      <c r="AA301" s="254"/>
    </row>
    <row r="302" spans="19:27">
      <c r="S302" s="252"/>
      <c r="T302" s="252"/>
      <c r="U302" s="252"/>
      <c r="V302" s="60"/>
      <c r="X302" s="254"/>
      <c r="Y302" s="254"/>
      <c r="Z302" s="254"/>
      <c r="AA302" s="254"/>
    </row>
    <row r="303" spans="19:27">
      <c r="S303" s="252"/>
      <c r="T303" s="252"/>
      <c r="U303" s="252"/>
      <c r="V303" s="60"/>
      <c r="X303" s="254"/>
      <c r="Y303" s="254"/>
      <c r="Z303" s="254"/>
      <c r="AA303" s="254"/>
    </row>
    <row r="304" spans="19:27">
      <c r="S304" s="252"/>
      <c r="T304" s="252"/>
      <c r="U304" s="252"/>
      <c r="V304" s="60"/>
      <c r="X304" s="254"/>
      <c r="Y304" s="254"/>
      <c r="Z304" s="254"/>
      <c r="AA304" s="254"/>
    </row>
    <row r="305" spans="19:27">
      <c r="S305" s="252"/>
      <c r="T305" s="252"/>
      <c r="U305" s="252"/>
      <c r="V305" s="60"/>
      <c r="X305" s="254"/>
      <c r="Y305" s="254"/>
      <c r="Z305" s="254"/>
      <c r="AA305" s="254"/>
    </row>
    <row r="306" spans="19:27">
      <c r="S306" s="252"/>
      <c r="T306" s="252"/>
      <c r="U306" s="252"/>
      <c r="V306" s="60"/>
      <c r="X306" s="254"/>
      <c r="Y306" s="254"/>
      <c r="Z306" s="254"/>
      <c r="AA306" s="254"/>
    </row>
    <row r="307" spans="19:27">
      <c r="S307" s="252"/>
      <c r="T307" s="252"/>
      <c r="U307" s="252"/>
      <c r="V307" s="60"/>
      <c r="X307" s="254"/>
      <c r="Y307" s="254"/>
      <c r="Z307" s="254"/>
      <c r="AA307" s="254"/>
    </row>
    <row r="308" spans="19:27">
      <c r="S308" s="252"/>
      <c r="T308" s="252"/>
      <c r="U308" s="252"/>
      <c r="V308" s="60"/>
      <c r="X308" s="254"/>
      <c r="Y308" s="254"/>
      <c r="Z308" s="254"/>
      <c r="AA308" s="254"/>
    </row>
    <row r="309" spans="19:27">
      <c r="S309" s="252"/>
      <c r="T309" s="252"/>
      <c r="U309" s="252"/>
      <c r="V309" s="60"/>
      <c r="X309" s="254"/>
      <c r="Y309" s="254"/>
      <c r="Z309" s="254"/>
      <c r="AA309" s="254"/>
    </row>
    <row r="310" spans="19:27">
      <c r="S310" s="252"/>
      <c r="T310" s="252"/>
      <c r="U310" s="252"/>
      <c r="V310" s="60"/>
      <c r="X310" s="254"/>
      <c r="Y310" s="254"/>
      <c r="Z310" s="254"/>
      <c r="AA310" s="254"/>
    </row>
    <row r="311" spans="19:27">
      <c r="S311" s="252"/>
      <c r="T311" s="252"/>
      <c r="U311" s="252"/>
      <c r="V311" s="60"/>
      <c r="X311" s="254"/>
      <c r="Y311" s="254"/>
      <c r="Z311" s="254"/>
      <c r="AA311" s="254"/>
    </row>
    <row r="312" spans="19:27">
      <c r="S312" s="252"/>
      <c r="T312" s="252"/>
      <c r="U312" s="252"/>
      <c r="V312" s="60"/>
      <c r="X312" s="254"/>
      <c r="Y312" s="254"/>
      <c r="Z312" s="254"/>
      <c r="AA312" s="254"/>
    </row>
    <row r="313" spans="19:27">
      <c r="S313" s="252"/>
      <c r="T313" s="252"/>
      <c r="U313" s="252"/>
      <c r="V313" s="60"/>
      <c r="X313" s="254"/>
      <c r="Y313" s="254"/>
      <c r="Z313" s="254"/>
      <c r="AA313" s="254"/>
    </row>
    <row r="314" spans="19:27">
      <c r="S314" s="252"/>
      <c r="T314" s="252"/>
      <c r="U314" s="252"/>
      <c r="V314" s="60"/>
      <c r="X314" s="254"/>
      <c r="Y314" s="254"/>
      <c r="Z314" s="254"/>
      <c r="AA314" s="254"/>
    </row>
    <row r="315" spans="19:27">
      <c r="S315" s="252"/>
      <c r="T315" s="252"/>
      <c r="U315" s="252"/>
      <c r="V315" s="60"/>
      <c r="X315" s="254"/>
      <c r="Y315" s="254"/>
      <c r="Z315" s="254"/>
      <c r="AA315" s="254"/>
    </row>
    <row r="316" spans="19:27">
      <c r="S316" s="252"/>
      <c r="T316" s="252"/>
      <c r="U316" s="252"/>
      <c r="V316" s="60"/>
      <c r="X316" s="254"/>
      <c r="Y316" s="254"/>
      <c r="Z316" s="254"/>
      <c r="AA316" s="254"/>
    </row>
    <row r="317" spans="19:27">
      <c r="S317" s="252"/>
      <c r="T317" s="252"/>
      <c r="U317" s="252"/>
      <c r="V317" s="60"/>
      <c r="X317" s="254"/>
      <c r="Y317" s="254"/>
      <c r="Z317" s="254"/>
      <c r="AA317" s="254"/>
    </row>
    <row r="318" spans="19:27">
      <c r="S318" s="252"/>
      <c r="T318" s="252"/>
      <c r="U318" s="252"/>
      <c r="V318" s="60"/>
      <c r="X318" s="254"/>
      <c r="Y318" s="254"/>
      <c r="Z318" s="254"/>
      <c r="AA318" s="254"/>
    </row>
    <row r="319" spans="19:27">
      <c r="S319" s="252"/>
      <c r="T319" s="252"/>
      <c r="U319" s="252"/>
      <c r="V319" s="60"/>
      <c r="X319" s="254"/>
      <c r="Y319" s="254"/>
      <c r="Z319" s="254"/>
      <c r="AA319" s="254"/>
    </row>
    <row r="320" spans="19:27">
      <c r="S320" s="252"/>
      <c r="T320" s="252"/>
      <c r="U320" s="252"/>
      <c r="V320" s="60"/>
      <c r="X320" s="254"/>
      <c r="Y320" s="254"/>
      <c r="Z320" s="254"/>
      <c r="AA320" s="254"/>
    </row>
    <row r="321" spans="19:27">
      <c r="S321" s="252"/>
      <c r="T321" s="252"/>
      <c r="U321" s="252"/>
      <c r="V321" s="60"/>
      <c r="X321" s="254"/>
      <c r="Y321" s="254"/>
      <c r="Z321" s="254"/>
      <c r="AA321" s="254"/>
    </row>
    <row r="322" spans="19:27">
      <c r="S322" s="252"/>
      <c r="T322" s="252"/>
      <c r="U322" s="252"/>
      <c r="V322" s="60"/>
      <c r="X322" s="254"/>
      <c r="Y322" s="254"/>
      <c r="Z322" s="254"/>
      <c r="AA322" s="254"/>
    </row>
    <row r="323" spans="19:27">
      <c r="S323" s="252"/>
      <c r="T323" s="252"/>
      <c r="U323" s="252"/>
      <c r="V323" s="60"/>
      <c r="X323" s="254"/>
      <c r="Y323" s="254"/>
      <c r="Z323" s="254"/>
      <c r="AA323" s="254"/>
    </row>
    <row r="324" spans="19:27">
      <c r="S324" s="252"/>
      <c r="T324" s="252"/>
      <c r="U324" s="252"/>
      <c r="V324" s="60"/>
      <c r="X324" s="254"/>
      <c r="Y324" s="254"/>
      <c r="Z324" s="254"/>
      <c r="AA324" s="254"/>
    </row>
    <row r="325" spans="19:27">
      <c r="S325" s="252"/>
      <c r="T325" s="252"/>
      <c r="U325" s="252"/>
      <c r="V325" s="60"/>
      <c r="X325" s="254"/>
      <c r="Y325" s="254"/>
      <c r="Z325" s="254"/>
      <c r="AA325" s="254"/>
    </row>
    <row r="326" spans="19:27">
      <c r="S326" s="252"/>
      <c r="T326" s="252"/>
      <c r="U326" s="252"/>
      <c r="V326" s="60"/>
      <c r="X326" s="254"/>
      <c r="Y326" s="254"/>
      <c r="Z326" s="254"/>
      <c r="AA326" s="254"/>
    </row>
    <row r="327" spans="19:27">
      <c r="S327" s="252"/>
      <c r="T327" s="252"/>
      <c r="U327" s="252"/>
      <c r="V327" s="60"/>
      <c r="X327" s="254"/>
      <c r="Y327" s="254"/>
      <c r="Z327" s="254"/>
      <c r="AA327" s="254"/>
    </row>
    <row r="328" spans="19:27">
      <c r="S328" s="252"/>
      <c r="T328" s="252"/>
      <c r="U328" s="252"/>
      <c r="V328" s="60"/>
      <c r="X328" s="254"/>
      <c r="Y328" s="254"/>
      <c r="Z328" s="254"/>
      <c r="AA328" s="254"/>
    </row>
    <row r="329" spans="19:27">
      <c r="S329" s="252"/>
      <c r="T329" s="252"/>
      <c r="U329" s="252"/>
      <c r="V329" s="60"/>
      <c r="X329" s="254"/>
      <c r="Y329" s="254"/>
      <c r="Z329" s="254"/>
      <c r="AA329" s="254"/>
    </row>
    <row r="330" spans="19:27">
      <c r="S330" s="252"/>
      <c r="T330" s="252"/>
      <c r="U330" s="252"/>
      <c r="V330" s="60"/>
      <c r="X330" s="254"/>
      <c r="Y330" s="254"/>
      <c r="Z330" s="254"/>
      <c r="AA330" s="254"/>
    </row>
    <row r="331" spans="19:27">
      <c r="S331" s="252"/>
      <c r="T331" s="252"/>
      <c r="U331" s="252"/>
      <c r="V331" s="60"/>
      <c r="X331" s="254"/>
      <c r="Y331" s="254"/>
      <c r="Z331" s="254"/>
      <c r="AA331" s="254"/>
    </row>
    <row r="332" spans="19:27">
      <c r="S332" s="252"/>
      <c r="T332" s="252"/>
      <c r="U332" s="252"/>
      <c r="V332" s="60"/>
      <c r="X332" s="254"/>
      <c r="Y332" s="254"/>
      <c r="Z332" s="254"/>
      <c r="AA332" s="254"/>
    </row>
    <row r="333" spans="19:27">
      <c r="S333" s="252"/>
      <c r="T333" s="252"/>
      <c r="U333" s="252"/>
      <c r="V333" s="60"/>
      <c r="X333" s="254"/>
      <c r="Y333" s="254"/>
      <c r="Z333" s="254"/>
      <c r="AA333" s="254"/>
    </row>
    <row r="334" spans="19:27">
      <c r="S334" s="252"/>
      <c r="T334" s="252"/>
      <c r="U334" s="252"/>
      <c r="V334" s="60"/>
      <c r="X334" s="254"/>
      <c r="Y334" s="254"/>
      <c r="Z334" s="254"/>
      <c r="AA334" s="254"/>
    </row>
    <row r="335" spans="19:27">
      <c r="S335" s="252"/>
      <c r="T335" s="252"/>
      <c r="U335" s="252"/>
      <c r="V335" s="60"/>
      <c r="X335" s="254"/>
      <c r="Y335" s="254"/>
      <c r="Z335" s="254"/>
      <c r="AA335" s="254"/>
    </row>
    <row r="336" spans="19:27">
      <c r="S336" s="252"/>
      <c r="T336" s="252"/>
      <c r="U336" s="252"/>
      <c r="V336" s="60"/>
      <c r="X336" s="254"/>
      <c r="Y336" s="254"/>
      <c r="Z336" s="254"/>
      <c r="AA336" s="254"/>
    </row>
    <row r="337" spans="19:27">
      <c r="S337" s="252"/>
      <c r="T337" s="252"/>
      <c r="U337" s="252"/>
      <c r="V337" s="60"/>
      <c r="X337" s="254"/>
      <c r="Y337" s="254"/>
      <c r="Z337" s="254"/>
      <c r="AA337" s="254"/>
    </row>
    <row r="338" spans="19:27">
      <c r="S338" s="252"/>
      <c r="T338" s="252"/>
      <c r="U338" s="252"/>
      <c r="V338" s="60"/>
      <c r="X338" s="254"/>
      <c r="Y338" s="254"/>
      <c r="Z338" s="254"/>
      <c r="AA338" s="254"/>
    </row>
    <row r="339" spans="19:27">
      <c r="S339" s="252"/>
      <c r="T339" s="252"/>
      <c r="U339" s="252"/>
      <c r="V339" s="60"/>
      <c r="X339" s="254"/>
      <c r="Y339" s="254"/>
      <c r="Z339" s="254"/>
      <c r="AA339" s="254"/>
    </row>
    <row r="340" spans="19:27">
      <c r="S340" s="252"/>
      <c r="T340" s="252"/>
      <c r="U340" s="252"/>
      <c r="V340" s="60"/>
      <c r="X340" s="254"/>
      <c r="Y340" s="254"/>
      <c r="Z340" s="254"/>
      <c r="AA340" s="254"/>
    </row>
    <row r="341" spans="19:27">
      <c r="S341" s="252"/>
      <c r="T341" s="252"/>
      <c r="U341" s="252"/>
      <c r="V341" s="60"/>
      <c r="X341" s="254"/>
      <c r="Y341" s="254"/>
      <c r="Z341" s="254"/>
      <c r="AA341" s="254"/>
    </row>
    <row r="342" spans="19:27">
      <c r="S342" s="252"/>
      <c r="T342" s="252"/>
      <c r="U342" s="252"/>
      <c r="V342" s="60"/>
      <c r="X342" s="254"/>
      <c r="Y342" s="254"/>
      <c r="Z342" s="254"/>
      <c r="AA342" s="254"/>
    </row>
    <row r="343" spans="19:27">
      <c r="S343" s="252"/>
      <c r="T343" s="252"/>
      <c r="U343" s="252"/>
      <c r="V343" s="60"/>
      <c r="X343" s="254"/>
      <c r="Y343" s="254"/>
      <c r="Z343" s="254"/>
      <c r="AA343" s="254"/>
    </row>
    <row r="344" spans="19:27">
      <c r="S344" s="252"/>
      <c r="T344" s="252"/>
      <c r="U344" s="252"/>
      <c r="V344" s="60"/>
      <c r="X344" s="254"/>
      <c r="Y344" s="254"/>
      <c r="Z344" s="254"/>
      <c r="AA344" s="254"/>
    </row>
    <row r="345" spans="19:27">
      <c r="S345" s="252"/>
      <c r="T345" s="252"/>
      <c r="U345" s="252"/>
      <c r="V345" s="60"/>
      <c r="X345" s="254"/>
      <c r="Y345" s="254"/>
      <c r="Z345" s="254"/>
      <c r="AA345" s="254"/>
    </row>
    <row r="346" spans="19:27">
      <c r="S346" s="252"/>
      <c r="T346" s="252"/>
      <c r="U346" s="252"/>
      <c r="V346" s="60"/>
      <c r="X346" s="254"/>
      <c r="Y346" s="254"/>
      <c r="Z346" s="254"/>
      <c r="AA346" s="254"/>
    </row>
    <row r="347" spans="19:27">
      <c r="S347" s="252"/>
      <c r="T347" s="252"/>
      <c r="U347" s="252"/>
      <c r="V347" s="60"/>
      <c r="X347" s="254"/>
      <c r="Y347" s="254"/>
      <c r="Z347" s="254"/>
      <c r="AA347" s="254"/>
    </row>
    <row r="348" spans="19:27">
      <c r="S348" s="252"/>
      <c r="T348" s="252"/>
      <c r="U348" s="252"/>
      <c r="V348" s="60"/>
      <c r="X348" s="254"/>
      <c r="Y348" s="254"/>
      <c r="Z348" s="254"/>
      <c r="AA348" s="254"/>
    </row>
    <row r="349" spans="19:27">
      <c r="S349" s="252"/>
      <c r="T349" s="252"/>
      <c r="U349" s="252"/>
      <c r="V349" s="60"/>
      <c r="X349" s="254"/>
      <c r="Y349" s="254"/>
      <c r="Z349" s="254"/>
      <c r="AA349" s="254"/>
    </row>
    <row r="350" spans="19:27">
      <c r="S350" s="252"/>
      <c r="T350" s="252"/>
      <c r="U350" s="252"/>
      <c r="V350" s="60"/>
      <c r="X350" s="254"/>
      <c r="Y350" s="254"/>
      <c r="Z350" s="254"/>
      <c r="AA350" s="254"/>
    </row>
    <row r="351" spans="19:27">
      <c r="S351" s="252"/>
      <c r="T351" s="252"/>
      <c r="U351" s="252"/>
      <c r="V351" s="60"/>
      <c r="X351" s="254"/>
      <c r="Y351" s="254"/>
      <c r="Z351" s="254"/>
      <c r="AA351" s="254"/>
    </row>
    <row r="352" spans="19:27">
      <c r="S352" s="252"/>
      <c r="T352" s="252"/>
      <c r="U352" s="252"/>
      <c r="V352" s="60"/>
      <c r="X352" s="254"/>
      <c r="Y352" s="254"/>
      <c r="Z352" s="254"/>
      <c r="AA352" s="254"/>
    </row>
    <row r="353" spans="19:27">
      <c r="S353" s="252"/>
      <c r="T353" s="252"/>
      <c r="U353" s="252"/>
      <c r="V353" s="60"/>
      <c r="X353" s="254"/>
      <c r="Y353" s="254"/>
      <c r="Z353" s="254"/>
      <c r="AA353" s="254"/>
    </row>
    <row r="354" spans="19:27">
      <c r="S354" s="252"/>
      <c r="T354" s="252"/>
      <c r="U354" s="252"/>
      <c r="V354" s="60"/>
      <c r="X354" s="254"/>
      <c r="Y354" s="254"/>
      <c r="Z354" s="254"/>
      <c r="AA354" s="254"/>
    </row>
    <row r="355" spans="19:27">
      <c r="S355" s="252"/>
      <c r="T355" s="252"/>
      <c r="U355" s="252"/>
      <c r="V355" s="60"/>
      <c r="X355" s="254"/>
      <c r="Y355" s="254"/>
      <c r="Z355" s="254"/>
      <c r="AA355" s="254"/>
    </row>
  </sheetData>
  <mergeCells count="3">
    <mergeCell ref="A182:P182"/>
    <mergeCell ref="A124:P124"/>
    <mergeCell ref="A245:P245"/>
  </mergeCells>
  <conditionalFormatting sqref="W237:Z241 W130:Z180 Y187:AB236 X275:AA355 W272:Z274">
    <cfRule type="cellIs" dxfId="47" priority="35" operator="between">
      <formula>0.3</formula>
      <formula>0.5</formula>
    </cfRule>
    <cfRule type="cellIs" dxfId="46" priority="36" operator="greaterThan">
      <formula>0.5</formula>
    </cfRule>
  </conditionalFormatting>
  <conditionalFormatting sqref="X266:AA267 X252">
    <cfRule type="cellIs" dxfId="45" priority="31" operator="between">
      <formula>0.3</formula>
      <formula>0.5</formula>
    </cfRule>
    <cfRule type="cellIs" dxfId="44" priority="32" operator="greaterThan">
      <formula>0.5</formula>
    </cfRule>
  </conditionalFormatting>
  <conditionalFormatting sqref="AB266:AB267">
    <cfRule type="cellIs" dxfId="43" priority="29" operator="between">
      <formula>0.3</formula>
      <formula>0.5</formula>
    </cfRule>
    <cfRule type="cellIs" dxfId="42" priority="30" operator="greaterThan">
      <formula>0.5</formula>
    </cfRule>
  </conditionalFormatting>
  <conditionalFormatting sqref="AC187">
    <cfRule type="cellIs" dxfId="41" priority="17" operator="between">
      <formula>0.3</formula>
      <formula>0.5</formula>
    </cfRule>
    <cfRule type="cellIs" dxfId="40" priority="18" operator="greaterThan">
      <formula>0.5</formula>
    </cfRule>
  </conditionalFormatting>
  <conditionalFormatting sqref="Y252:AB252">
    <cfRule type="cellIs" dxfId="39" priority="9" operator="between">
      <formula>0.3</formula>
      <formula>0.5</formula>
    </cfRule>
    <cfRule type="cellIs" dxfId="38" priority="10" operator="greaterThan">
      <formula>0.5</formula>
    </cfRule>
  </conditionalFormatting>
  <conditionalFormatting sqref="X253:X265">
    <cfRule type="cellIs" dxfId="37" priority="7" operator="between">
      <formula>0.3</formula>
      <formula>0.5</formula>
    </cfRule>
    <cfRule type="cellIs" dxfId="36" priority="8" operator="greaterThan">
      <formula>0.5</formula>
    </cfRule>
  </conditionalFormatting>
  <conditionalFormatting sqref="Y253:AB265">
    <cfRule type="cellIs" dxfId="35" priority="5" operator="between">
      <formula>0.3</formula>
      <formula>0.5</formula>
    </cfRule>
    <cfRule type="cellIs" dxfId="34" priority="6" operator="greaterThan">
      <formula>0.5</formula>
    </cfRule>
  </conditionalFormatting>
  <conditionalFormatting sqref="X270:AA271">
    <cfRule type="cellIs" dxfId="33" priority="3" operator="between">
      <formula>0.3</formula>
      <formula>0.5</formula>
    </cfRule>
    <cfRule type="cellIs" dxfId="32" priority="4" operator="greaterThan">
      <formula>0.5</formula>
    </cfRule>
  </conditionalFormatting>
  <conditionalFormatting sqref="X268:AA269">
    <cfRule type="cellIs" dxfId="31" priority="1" operator="between">
      <formula>0.3</formula>
      <formula>0.5</formula>
    </cfRule>
    <cfRule type="cellIs" dxfId="30" priority="2" operator="greaterThan">
      <formula>0.5</formula>
    </cfRule>
  </conditionalFormatting>
  <pageMargins left="0.7" right="0.7" top="0.75" bottom="0.75" header="0.3" footer="0.3"/>
  <pageSetup orientation="portrait" horizontalDpi="0" verticalDpi="0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"/>
  <sheetViews>
    <sheetView workbookViewId="0">
      <pane xSplit="1" ySplit="1" topLeftCell="B45" activePane="bottomRight" state="frozen"/>
      <selection pane="topRight" activeCell="B1" sqref="B1"/>
      <selection pane="bottomLeft" activeCell="A2" sqref="A2"/>
      <selection pane="bottomRight" activeCell="A63" sqref="A63:XFD64"/>
    </sheetView>
  </sheetViews>
  <sheetFormatPr defaultRowHeight="12.75"/>
  <cols>
    <col min="1" max="1" width="40.42578125" style="224" bestFit="1" customWidth="1"/>
    <col min="2" max="2" width="10.140625" bestFit="1" customWidth="1"/>
    <col min="3" max="3" width="22.140625" bestFit="1" customWidth="1"/>
    <col min="4" max="4" width="10.42578125" bestFit="1" customWidth="1"/>
    <col min="5" max="5" width="23" bestFit="1" customWidth="1"/>
    <col min="6" max="6" width="81.7109375" bestFit="1" customWidth="1"/>
    <col min="7" max="7" width="31.7109375" bestFit="1" customWidth="1"/>
    <col min="8" max="8" width="14.28515625" bestFit="1" customWidth="1"/>
    <col min="9" max="9" width="13.28515625" bestFit="1" customWidth="1"/>
    <col min="10" max="10" width="14.28515625" bestFit="1" customWidth="1"/>
    <col min="11" max="11" width="13.28515625" bestFit="1" customWidth="1"/>
    <col min="12" max="12" width="9.5703125" bestFit="1" customWidth="1"/>
    <col min="13" max="13" width="19.42578125" bestFit="1" customWidth="1"/>
    <col min="14" max="14" width="13.42578125" customWidth="1"/>
    <col min="15" max="15" width="26.28515625" customWidth="1"/>
    <col min="16" max="16" width="11" customWidth="1"/>
    <col min="17" max="17" width="14.140625" customWidth="1"/>
    <col min="18" max="18" width="12.7109375" customWidth="1"/>
  </cols>
  <sheetData>
    <row r="1" spans="1:23" ht="30">
      <c r="A1" s="218" t="s">
        <v>2568</v>
      </c>
      <c r="B1" s="205" t="s">
        <v>2534</v>
      </c>
      <c r="C1" s="206" t="s">
        <v>2535</v>
      </c>
      <c r="D1" s="206" t="s">
        <v>2536</v>
      </c>
      <c r="E1" s="207" t="s">
        <v>2537</v>
      </c>
      <c r="F1" s="255" t="s">
        <v>4716</v>
      </c>
      <c r="H1" s="519" t="s">
        <v>2567</v>
      </c>
      <c r="I1" s="519"/>
      <c r="J1" s="519"/>
      <c r="K1" s="519"/>
      <c r="M1" s="287" t="s">
        <v>4815</v>
      </c>
      <c r="N1" s="287" t="s">
        <v>4758</v>
      </c>
      <c r="O1" s="287" t="s">
        <v>4761</v>
      </c>
      <c r="P1" s="287" t="s">
        <v>4762</v>
      </c>
      <c r="Q1" s="287" t="s">
        <v>4764</v>
      </c>
      <c r="R1" s="287" t="s">
        <v>4763</v>
      </c>
    </row>
    <row r="2" spans="1:23">
      <c r="A2" s="219" t="s">
        <v>2538</v>
      </c>
      <c r="B2" s="509">
        <f>H2/12</f>
        <v>448.80750034851047</v>
      </c>
      <c r="C2" s="509">
        <f t="shared" ref="C2:D3" si="0">I2/12</f>
        <v>152.20553541330065</v>
      </c>
      <c r="D2" s="509">
        <f t="shared" si="0"/>
        <v>91.65829439818981</v>
      </c>
      <c r="E2" s="509">
        <f>K2/12</f>
        <v>204.94367053701998</v>
      </c>
      <c r="F2" t="s">
        <v>4717</v>
      </c>
      <c r="H2" s="208">
        <f>H22+H23+H24+H25+H26+H15+H16+H19</f>
        <v>5385.6900041821254</v>
      </c>
      <c r="I2" s="208">
        <f t="shared" ref="I2:K2" si="1">I22+I23+I24+I25+I26+I15+I16+I19</f>
        <v>1826.4664249596078</v>
      </c>
      <c r="J2" s="208">
        <f t="shared" si="1"/>
        <v>1099.8995327782777</v>
      </c>
      <c r="K2" s="208">
        <f t="shared" si="1"/>
        <v>2459.3240464442397</v>
      </c>
      <c r="L2" s="283" t="str">
        <f>IF(K2+J2+I2=H2,"OK",K2+J2+I2)</f>
        <v>OK</v>
      </c>
      <c r="M2" s="288">
        <f>J2/H2</f>
        <v>0.20422629819469329</v>
      </c>
      <c r="N2" s="288" t="e">
        <f>(N22*$H$22+N23*$H$23+N24*$H$24+N25*$H$25+N26*$H$26)/$H$2</f>
        <v>#REF!</v>
      </c>
      <c r="O2" s="289" t="e">
        <f>(O22*$H$22+O23*$H$23+O24*$H$24+O25*$H$25+O26*$H$26)/$H$2</f>
        <v>#REF!</v>
      </c>
      <c r="P2" s="289" t="e">
        <f>(P22*$H$22+P23*$H$23+P24*$H$24+P25*$H$25+P26*$H$26)/$H$2</f>
        <v>#REF!</v>
      </c>
      <c r="Q2" s="289" t="e">
        <f>(Q22*$H$22+Q23*$H$23+Q24*$H$24+Q25*$H$25+Q26*$H$26)/$H$2</f>
        <v>#REF!</v>
      </c>
      <c r="R2" s="288">
        <f>(R22*$H$22+R23*$H$23+R24*$H$24+R25*$H$25+R26*$H$26)/$H$2</f>
        <v>0.11584193045900611</v>
      </c>
    </row>
    <row r="3" spans="1:23">
      <c r="A3" s="220" t="s">
        <v>2539</v>
      </c>
      <c r="B3" s="509">
        <f>H3/12</f>
        <v>216.21263964242834</v>
      </c>
      <c r="C3" s="509">
        <f t="shared" si="0"/>
        <v>87.036763661232399</v>
      </c>
      <c r="D3" s="509">
        <f t="shared" si="0"/>
        <v>21.397948969728372</v>
      </c>
      <c r="E3" s="509">
        <f t="shared" ref="E3" si="2">K3/12</f>
        <v>107.77792701146757</v>
      </c>
      <c r="F3" t="s">
        <v>4718</v>
      </c>
      <c r="H3" s="209">
        <f>H23+H24+H25</f>
        <v>2594.55167570914</v>
      </c>
      <c r="I3" s="209">
        <f t="shared" ref="I3:J3" si="3">I23+I24+I25</f>
        <v>1044.4411639347888</v>
      </c>
      <c r="J3" s="209">
        <f t="shared" si="3"/>
        <v>256.77538763674045</v>
      </c>
      <c r="K3" s="209">
        <f t="shared" ref="K3" si="4">K23+K24+K25</f>
        <v>1293.3351241376108</v>
      </c>
      <c r="L3" s="283" t="str">
        <f>IF(K3+J3+I3=H3,"OK",K3+J3+I3)</f>
        <v>OK</v>
      </c>
    </row>
    <row r="4" spans="1:23">
      <c r="A4" s="217"/>
      <c r="B4" s="509"/>
      <c r="C4" s="509"/>
      <c r="D4" s="509"/>
      <c r="E4" s="509"/>
      <c r="H4" s="210"/>
      <c r="I4" s="211"/>
      <c r="J4" s="211"/>
      <c r="K4" s="212"/>
    </row>
    <row r="5" spans="1:23" ht="15">
      <c r="A5" s="221" t="s">
        <v>2540</v>
      </c>
      <c r="B5" s="509"/>
      <c r="C5" s="509"/>
      <c r="D5" s="509"/>
      <c r="E5" s="509"/>
      <c r="H5" s="210"/>
      <c r="I5" s="211"/>
      <c r="J5" s="211"/>
      <c r="K5" s="212"/>
    </row>
    <row r="6" spans="1:23">
      <c r="A6" s="217" t="s">
        <v>2541</v>
      </c>
      <c r="B6" s="509">
        <f t="shared" ref="B6:B9" si="5">H6/12</f>
        <v>1214.5922393949359</v>
      </c>
      <c r="C6" s="509">
        <f t="shared" ref="C6:C10" si="6">I6/12</f>
        <v>123.67749350583547</v>
      </c>
      <c r="D6" s="509">
        <f t="shared" ref="D6:D10" si="7">J6/12</f>
        <v>934.45138660528335</v>
      </c>
      <c r="E6" s="509">
        <f t="shared" ref="E6:E10" si="8">K6/12</f>
        <v>156.46335928381703</v>
      </c>
      <c r="F6" t="s">
        <v>4719</v>
      </c>
      <c r="H6" s="213">
        <f>'ריכוז נתוני 2016'!AB143</f>
        <v>14575.10687273923</v>
      </c>
      <c r="I6" s="213">
        <f>'ריכוז נתוני 2016'!AF143</f>
        <v>1484.1299220700257</v>
      </c>
      <c r="J6" s="213">
        <f>'ריכוז נתוני 2016'!AC143</f>
        <v>11213.4166392634</v>
      </c>
      <c r="K6" s="213">
        <f>'ריכוז נתוני 2016'!AE143</f>
        <v>1877.5603114058044</v>
      </c>
      <c r="L6" s="283" t="str">
        <f t="shared" ref="L6:L10" si="9">IF(K6+J6+I6=H6,"OK",K6+J6+I6)</f>
        <v>OK</v>
      </c>
      <c r="M6" s="288">
        <f t="shared" ref="M6:M10" si="10">J6/H6</f>
        <v>0.76935399082641254</v>
      </c>
      <c r="N6" s="288">
        <f>'ריכוז נתוני 2016'!AQ143</f>
        <v>0.53626906181680345</v>
      </c>
      <c r="O6" s="288">
        <f>'ריכוז נתוני 2016'!AR143</f>
        <v>3.7260648558645755E-2</v>
      </c>
      <c r="P6" s="288">
        <f>'ריכוז נתוני 2016'!AS143</f>
        <v>0.42647028962455075</v>
      </c>
      <c r="Q6" s="288">
        <f>'ריכוז נתוני 2016'!AT143</f>
        <v>0</v>
      </c>
      <c r="R6" s="288">
        <f>'ריכוז נתוני 2016'!AU146</f>
        <v>1</v>
      </c>
      <c r="T6" s="304">
        <v>1</v>
      </c>
      <c r="V6" t="s">
        <v>4707</v>
      </c>
      <c r="W6" s="129" t="s">
        <v>4708</v>
      </c>
    </row>
    <row r="7" spans="1:23">
      <c r="A7" s="262" t="s">
        <v>4759</v>
      </c>
      <c r="B7" s="509">
        <f t="shared" si="5"/>
        <v>697.11996191685182</v>
      </c>
      <c r="C7" s="509">
        <f t="shared" si="6"/>
        <v>142.7196500412924</v>
      </c>
      <c r="D7" s="509">
        <f t="shared" si="7"/>
        <v>376.11340315243837</v>
      </c>
      <c r="E7" s="509">
        <f t="shared" si="8"/>
        <v>178.28690872312097</v>
      </c>
      <c r="F7" s="245" t="s">
        <v>4733</v>
      </c>
      <c r="H7" s="213">
        <f>'ריכוז נתוני 2016'!AB144</f>
        <v>8365.4395430022214</v>
      </c>
      <c r="I7" s="213">
        <f>'ריכוז נתוני 2016'!AF144</f>
        <v>1712.6358004955086</v>
      </c>
      <c r="J7" s="213">
        <f>'ריכוז נתוני 2016'!AC144</f>
        <v>4513.3608378292602</v>
      </c>
      <c r="K7" s="213">
        <f>'ריכוז נתוני 2016'!AE144</f>
        <v>2139.4429046774517</v>
      </c>
      <c r="L7" s="283" t="str">
        <f t="shared" si="9"/>
        <v>OK</v>
      </c>
      <c r="M7" s="288">
        <f t="shared" si="10"/>
        <v>0.53952464955708568</v>
      </c>
      <c r="N7" s="288">
        <f>'ריכוז נתוני 2016'!AQ144</f>
        <v>0.78297388038468108</v>
      </c>
      <c r="O7" s="288">
        <f>'ריכוז נתוני 2016'!AR144</f>
        <v>0.10728428080957529</v>
      </c>
      <c r="P7" s="288">
        <f>'ריכוז נתוני 2016'!AS144</f>
        <v>0.10204063051271837</v>
      </c>
      <c r="Q7" s="288">
        <f>'ריכוז נתוני 2016'!AT144</f>
        <v>7.7012082930252848E-3</v>
      </c>
      <c r="R7" s="288">
        <f>'ריכוז נתוני 2016'!AU144</f>
        <v>1</v>
      </c>
      <c r="T7" s="304">
        <v>1</v>
      </c>
      <c r="W7" s="129" t="s">
        <v>4711</v>
      </c>
    </row>
    <row r="8" spans="1:23">
      <c r="A8" s="262" t="s">
        <v>7639</v>
      </c>
      <c r="B8" s="509">
        <f t="shared" ref="B8" si="11">H8/12</f>
        <v>1487.2814020681265</v>
      </c>
      <c r="C8" s="509">
        <f t="shared" ref="C8" si="12">I8/12</f>
        <v>180.00237494263422</v>
      </c>
      <c r="D8" s="509">
        <f t="shared" ref="D8" si="13">J8/12</f>
        <v>1124.7718978102191</v>
      </c>
      <c r="E8" s="509">
        <f t="shared" ref="E8" si="14">K8/12</f>
        <v>182.50712931527332</v>
      </c>
      <c r="F8" s="245" t="s">
        <v>7637</v>
      </c>
      <c r="H8" s="213">
        <f>'ריכוז נתוני 2016'!AB149</f>
        <v>17847.376824817518</v>
      </c>
      <c r="I8" s="213">
        <f>'ריכוז נתוני 2016'!AF149</f>
        <v>2160.0284993116106</v>
      </c>
      <c r="J8" s="213">
        <f>'ריכוז נתוני 2016'!AC149</f>
        <v>13497.262773722628</v>
      </c>
      <c r="K8" s="213">
        <f>'ריכוז נתוני 2016'!AE149</f>
        <v>2190.0855517832797</v>
      </c>
      <c r="L8" s="283" t="str">
        <f t="shared" si="9"/>
        <v>OK</v>
      </c>
      <c r="M8" s="288">
        <f t="shared" si="10"/>
        <v>0.75626031243729464</v>
      </c>
      <c r="N8" s="288">
        <f>'ריכוז נתוני 2016'!AQ149</f>
        <v>0.77690755327320438</v>
      </c>
      <c r="O8" s="288">
        <f>'ריכוז נתוני 2016'!AR149</f>
        <v>6.0866864597298925E-2</v>
      </c>
      <c r="P8" s="288">
        <f>'ריכוז נתוני 2016'!AS149</f>
        <v>0.14728109515368168</v>
      </c>
      <c r="Q8" s="288">
        <f>'ריכוז נתוני 2016'!AT149</f>
        <v>1.4944486975815059E-2</v>
      </c>
      <c r="R8" s="288">
        <f>'ריכוז נתוני 2016'!AU149</f>
        <v>1</v>
      </c>
      <c r="T8" s="304">
        <v>0.5</v>
      </c>
      <c r="W8" s="129"/>
    </row>
    <row r="9" spans="1:23">
      <c r="A9" s="262" t="s">
        <v>4739</v>
      </c>
      <c r="B9" s="509">
        <f t="shared" si="5"/>
        <v>245.53368186026248</v>
      </c>
      <c r="C9" s="509">
        <f t="shared" si="6"/>
        <v>64.341940412868951</v>
      </c>
      <c r="D9" s="509">
        <f t="shared" si="7"/>
        <v>60.962261068452868</v>
      </c>
      <c r="E9" s="509">
        <f t="shared" si="8"/>
        <v>120.22948037894065</v>
      </c>
      <c r="F9" s="259" t="s">
        <v>4736</v>
      </c>
      <c r="H9" s="213">
        <f>'ריכוז נתוני 2016'!AB147</f>
        <v>2946.4041823231496</v>
      </c>
      <c r="I9" s="213">
        <f>'ריכוז נתוני 2016'!AF147</f>
        <v>772.10328495442741</v>
      </c>
      <c r="J9" s="213">
        <f>'ריכוז נתוני 2016'!AC147</f>
        <v>731.54713282143439</v>
      </c>
      <c r="K9" s="213">
        <f>'ריכוז נתוני 2016'!AE147</f>
        <v>1442.7537645472878</v>
      </c>
      <c r="L9" s="283" t="str">
        <f t="shared" si="9"/>
        <v>OK</v>
      </c>
      <c r="M9" s="288">
        <f t="shared" si="10"/>
        <v>0.24828471844098179</v>
      </c>
      <c r="N9" s="288">
        <f>'ריכוז נתוני 2016'!AQ147</f>
        <v>0.30704842932662929</v>
      </c>
      <c r="O9" s="288">
        <f>'ריכוז נתוני 2016'!AR147</f>
        <v>2.0981494809519743E-2</v>
      </c>
      <c r="P9" s="288">
        <f>'ריכוז נתוני 2016'!AS147</f>
        <v>0.63822557768420629</v>
      </c>
      <c r="Q9" s="288">
        <f>'ריכוז נתוני 2016'!AT147</f>
        <v>3.3744498179644623E-2</v>
      </c>
      <c r="R9" s="288">
        <f>'ריכוז נתוני 2016'!AU147</f>
        <v>1</v>
      </c>
      <c r="T9" s="304">
        <v>1</v>
      </c>
      <c r="W9" s="129" t="s">
        <v>4712</v>
      </c>
    </row>
    <row r="10" spans="1:23">
      <c r="A10" s="262" t="s">
        <v>4740</v>
      </c>
      <c r="B10" s="509">
        <f t="shared" ref="B10" si="15">H10/12</f>
        <v>2.8291212763269993</v>
      </c>
      <c r="C10" s="509">
        <f t="shared" si="6"/>
        <v>1.1334684243717525</v>
      </c>
      <c r="D10" s="509">
        <f t="shared" si="7"/>
        <v>0</v>
      </c>
      <c r="E10" s="509">
        <f t="shared" si="8"/>
        <v>1.695652851955247</v>
      </c>
      <c r="F10" s="245" t="s">
        <v>4737</v>
      </c>
      <c r="H10" s="213">
        <f>'ריכוז נתוני 2016'!AB148</f>
        <v>33.949455315923991</v>
      </c>
      <c r="I10" s="213">
        <f>'ריכוז נתוני 2016'!AF148</f>
        <v>13.601621092461031</v>
      </c>
      <c r="J10" s="213">
        <f>'ריכוז נתוני 2016'!AC148</f>
        <v>0</v>
      </c>
      <c r="K10" s="213">
        <f>'ריכוז נתוני 2016'!AE148</f>
        <v>20.347834223462964</v>
      </c>
      <c r="L10" s="283" t="str">
        <f t="shared" si="9"/>
        <v>OK</v>
      </c>
      <c r="M10" s="288">
        <f t="shared" si="10"/>
        <v>0</v>
      </c>
      <c r="N10" s="288">
        <f>'ריכוז נתוני 2016'!AQ148</f>
        <v>0.64574113161299107</v>
      </c>
      <c r="O10" s="288">
        <f>'ריכוז נתוני 2016'!AR148</f>
        <v>2.8828215428610336E-2</v>
      </c>
      <c r="P10" s="288">
        <f>'ריכוז נתוני 2016'!AS148</f>
        <v>0.26023013549397428</v>
      </c>
      <c r="Q10" s="288">
        <f>'ריכוז נתוני 2016'!AT148</f>
        <v>6.5200517464424318E-2</v>
      </c>
      <c r="R10" s="288">
        <f>'ריכוז נתוני 2016'!AU148</f>
        <v>1</v>
      </c>
      <c r="T10" s="304">
        <v>1</v>
      </c>
    </row>
    <row r="11" spans="1:23">
      <c r="A11" s="217" t="s">
        <v>2542</v>
      </c>
      <c r="B11" s="509">
        <f t="shared" ref="B11:E12" si="16">H11/12</f>
        <v>0</v>
      </c>
      <c r="C11" s="509">
        <f t="shared" si="16"/>
        <v>0</v>
      </c>
      <c r="D11" s="509">
        <f t="shared" si="16"/>
        <v>0</v>
      </c>
      <c r="E11" s="509">
        <f t="shared" si="16"/>
        <v>0</v>
      </c>
      <c r="F11" s="259" t="s">
        <v>4734</v>
      </c>
      <c r="H11" s="213">
        <f>'ריכוז נתוני 2016'!AB142</f>
        <v>0</v>
      </c>
      <c r="I11" s="213">
        <f>'ריכוז נתוני 2016'!AF142</f>
        <v>0</v>
      </c>
      <c r="J11" s="213">
        <f>'ריכוז נתוני 2016'!AC142</f>
        <v>0</v>
      </c>
      <c r="K11" s="213">
        <f>'ריכוז נתוני 2016'!AE142</f>
        <v>0</v>
      </c>
      <c r="L11" s="283" t="str">
        <f>IF(K11+J11+I11=H11,"OK",K11+J11+I11)</f>
        <v>OK</v>
      </c>
      <c r="M11" s="288" t="e">
        <f>J11/H11</f>
        <v>#DIV/0!</v>
      </c>
      <c r="N11" s="288">
        <f>'ריכוז נתוני 2016'!AQ145</f>
        <v>0</v>
      </c>
      <c r="O11" s="288">
        <f>'ריכוז נתוני 2016'!AR145</f>
        <v>0</v>
      </c>
      <c r="P11" s="288">
        <f>'ריכוז נתוני 2016'!AS145</f>
        <v>0</v>
      </c>
      <c r="Q11" s="288">
        <f>'ריכוז נתוני 2016'!AT145</f>
        <v>0</v>
      </c>
      <c r="R11" s="288">
        <f>'ריכוז נתוני 2016'!AU143</f>
        <v>1</v>
      </c>
      <c r="T11" s="304">
        <v>1</v>
      </c>
      <c r="W11" s="129" t="s">
        <v>4710</v>
      </c>
    </row>
    <row r="12" spans="1:23">
      <c r="A12" s="217" t="s">
        <v>2543</v>
      </c>
      <c r="B12" s="509">
        <f t="shared" si="16"/>
        <v>3228.6415779483373</v>
      </c>
      <c r="C12" s="509">
        <f t="shared" si="16"/>
        <v>390.75534129661224</v>
      </c>
      <c r="D12" s="509">
        <f t="shared" si="16"/>
        <v>2441.6934884872494</v>
      </c>
      <c r="E12" s="509">
        <f t="shared" si="16"/>
        <v>396.19274816447546</v>
      </c>
      <c r="F12" s="245" t="s">
        <v>4735</v>
      </c>
      <c r="H12" s="213">
        <f>'ריכוז נתוני 2016'!AB146</f>
        <v>38743.698935380045</v>
      </c>
      <c r="I12" s="213">
        <f>'ריכוז נתוני 2016'!AF146</f>
        <v>4689.0640955593472</v>
      </c>
      <c r="J12" s="213">
        <f>'ריכוז נתוני 2016'!AC146</f>
        <v>29300.321861846991</v>
      </c>
      <c r="K12" s="213">
        <f>'ריכוז נתוני 2016'!AE146</f>
        <v>4754.3129779737055</v>
      </c>
      <c r="L12" s="283" t="str">
        <f>IF(K12+J12+I12=H12,"OK",K12+J12+I12)</f>
        <v>OK</v>
      </c>
      <c r="M12" s="288">
        <f>J12/H12</f>
        <v>0.75626031243729464</v>
      </c>
      <c r="N12" s="288">
        <f>'ריכוז נתוני 2016'!AQ146</f>
        <v>0.77690755327320438</v>
      </c>
      <c r="O12" s="288">
        <f>'ריכוז נתוני 2016'!AR146</f>
        <v>6.0866864597298925E-2</v>
      </c>
      <c r="P12" s="288">
        <f>'ריכוז נתוני 2016'!AS146</f>
        <v>0.14728109515368168</v>
      </c>
      <c r="Q12" s="288">
        <f>'ריכוז נתוני 2016'!AT146</f>
        <v>1.4944486975815059E-2</v>
      </c>
      <c r="R12" s="288">
        <f>'ריכוז נתוני 2016'!AU145</f>
        <v>0</v>
      </c>
      <c r="T12" s="304">
        <v>1</v>
      </c>
      <c r="W12" s="129" t="s">
        <v>4709</v>
      </c>
    </row>
    <row r="13" spans="1:23">
      <c r="A13" s="262"/>
      <c r="B13" s="509"/>
      <c r="C13" s="509"/>
      <c r="D13" s="509"/>
      <c r="E13" s="509"/>
      <c r="F13" s="245"/>
      <c r="H13" s="210"/>
      <c r="I13" s="211"/>
      <c r="J13" s="211"/>
      <c r="K13" s="212"/>
    </row>
    <row r="14" spans="1:23" ht="15">
      <c r="A14" s="221" t="s">
        <v>2544</v>
      </c>
      <c r="B14" s="509"/>
      <c r="C14" s="509"/>
      <c r="D14" s="509"/>
      <c r="E14" s="509"/>
      <c r="H14" s="213"/>
      <c r="I14" s="214"/>
      <c r="J14" s="214"/>
      <c r="K14" s="215"/>
    </row>
    <row r="15" spans="1:23">
      <c r="A15" s="217" t="s">
        <v>2545</v>
      </c>
      <c r="B15" s="509">
        <f t="shared" ref="B15:B18" si="17">H15/12</f>
        <v>23.782861070672265</v>
      </c>
      <c r="C15" s="509">
        <f t="shared" ref="C15:C19" si="18">I15/12</f>
        <v>6.6954570451568065</v>
      </c>
      <c r="D15" s="509">
        <f t="shared" ref="D15:D19" si="19">J15/12</f>
        <v>7.0710942725051664</v>
      </c>
      <c r="E15" s="509">
        <f t="shared" ref="E15:E19" si="20">K15/12</f>
        <v>10.01630975301029</v>
      </c>
      <c r="F15" s="261" t="s">
        <v>4720</v>
      </c>
      <c r="H15" s="213">
        <f>'ריכוז נתוני 2016'!AB155</f>
        <v>285.39433284806717</v>
      </c>
      <c r="I15" s="213">
        <f>'ריכוז נתוני 2016'!AF155</f>
        <v>80.345484541881675</v>
      </c>
      <c r="J15" s="213">
        <f>'ריכוז נתוני 2016'!AC155</f>
        <v>84.853131270061994</v>
      </c>
      <c r="K15" s="213">
        <f>'ריכוז נתוני 2016'!AE155</f>
        <v>120.19571703612348</v>
      </c>
      <c r="L15" s="283" t="str">
        <f t="shared" ref="L15:L19" si="21">IF(K15+J15+I15=H15,"OK",K15+J15+I15)</f>
        <v>OK</v>
      </c>
      <c r="M15" s="288">
        <f t="shared" ref="M15:M19" si="22">J15/H15</f>
        <v>0.29731890757352386</v>
      </c>
      <c r="N15" s="288">
        <f>'ריכוז נתוני 2016'!AQ155</f>
        <v>0.81764573598860601</v>
      </c>
      <c r="O15" s="288">
        <f>'ריכוז נתוני 2016'!AR155</f>
        <v>4.5507358636715727E-2</v>
      </c>
      <c r="P15" s="288">
        <f>'ריכוז נתוני 2016'!AS155</f>
        <v>2.6978336373403963E-2</v>
      </c>
      <c r="Q15" s="288">
        <f>'ריכוז נתוני 2016'!AT155</f>
        <v>0.10986856900127433</v>
      </c>
      <c r="R15" s="288">
        <f>'ריכוז נתוני 2016'!AU155</f>
        <v>0</v>
      </c>
      <c r="W15" t="s">
        <v>4714</v>
      </c>
    </row>
    <row r="16" spans="1:23">
      <c r="A16" s="217" t="s">
        <v>2546</v>
      </c>
      <c r="B16" s="509">
        <f t="shared" si="17"/>
        <v>85.587398358313735</v>
      </c>
      <c r="C16" s="509">
        <f t="shared" si="18"/>
        <v>11.915889120340722</v>
      </c>
      <c r="D16" s="509">
        <f t="shared" si="19"/>
        <v>58.435174831891949</v>
      </c>
      <c r="E16" s="509">
        <f t="shared" si="20"/>
        <v>15.236334406081044</v>
      </c>
      <c r="F16" s="261" t="s">
        <v>4720</v>
      </c>
      <c r="H16" s="213">
        <f>'ריכוז נתוני 2016'!AB156</f>
        <v>1027.0487802997648</v>
      </c>
      <c r="I16" s="213">
        <f>'ריכוז נתוני 2016'!AF156</f>
        <v>142.99066944408867</v>
      </c>
      <c r="J16" s="213">
        <f>'ריכוז נתוני 2016'!AC156</f>
        <v>701.22209798270342</v>
      </c>
      <c r="K16" s="213">
        <f>'ריכוז נתוני 2016'!AE156</f>
        <v>182.83601287297253</v>
      </c>
      <c r="L16" s="283" t="str">
        <f t="shared" si="21"/>
        <v>OK</v>
      </c>
      <c r="M16" s="288">
        <f t="shared" si="22"/>
        <v>0.68275442358057981</v>
      </c>
      <c r="N16" s="288">
        <f>'ריכוז נתוני 2016'!AQ156</f>
        <v>0.30537321661172195</v>
      </c>
      <c r="O16" s="288">
        <f>'ריכוז נתוני 2016'!AR156</f>
        <v>1.2645496987993634E-2</v>
      </c>
      <c r="P16" s="288">
        <f>'ריכוז נתוני 2016'!AS156</f>
        <v>1.8095992601212578E-2</v>
      </c>
      <c r="Q16" s="288">
        <f>'ריכוז נתוני 2016'!AT156</f>
        <v>0.6638852937990718</v>
      </c>
      <c r="R16" s="288">
        <f>'ריכוז נתוני 2016'!AU154</f>
        <v>0</v>
      </c>
      <c r="W16" t="s">
        <v>4714</v>
      </c>
    </row>
    <row r="17" spans="1:23">
      <c r="A17" s="217" t="s">
        <v>2547</v>
      </c>
      <c r="B17" s="509">
        <f t="shared" si="17"/>
        <v>33.551342918482419</v>
      </c>
      <c r="C17" s="509">
        <f t="shared" si="18"/>
        <v>1.6680812990772518</v>
      </c>
      <c r="D17" s="509">
        <f t="shared" si="19"/>
        <v>29.50258759941082</v>
      </c>
      <c r="E17" s="509">
        <f t="shared" si="20"/>
        <v>2.3806740199943435</v>
      </c>
      <c r="F17" s="260" t="s">
        <v>4738</v>
      </c>
      <c r="H17" s="213">
        <f>'ריכוז נתוני 2016'!AB157</f>
        <v>402.61611502178903</v>
      </c>
      <c r="I17" s="213">
        <f>'ריכוז נתוני 2016'!AF157</f>
        <v>20.016975588927021</v>
      </c>
      <c r="J17" s="213">
        <f>'ריכוז נתוני 2016'!AC157</f>
        <v>354.03105119292985</v>
      </c>
      <c r="K17" s="213">
        <f>'ריכוז נתוני 2016'!AE157</f>
        <v>28.568088239932123</v>
      </c>
      <c r="L17" s="283" t="str">
        <f t="shared" si="21"/>
        <v>OK</v>
      </c>
      <c r="M17" s="288">
        <f t="shared" si="22"/>
        <v>0.87932657929941571</v>
      </c>
      <c r="N17" s="288">
        <f>'ריכוז נתוני 2016'!AQ157</f>
        <v>0.12067342070058426</v>
      </c>
      <c r="O17" s="288">
        <f>'ריכוז נתוני 2016'!AR157</f>
        <v>0</v>
      </c>
      <c r="P17" s="288">
        <f>'ריכוז נתוני 2016'!AS157</f>
        <v>0</v>
      </c>
      <c r="Q17" s="288">
        <f>'ריכוז נתוני 2016'!AT157</f>
        <v>0.87932657929941582</v>
      </c>
      <c r="R17" s="288">
        <f>'ריכוז נתוני 2016'!AU157</f>
        <v>0</v>
      </c>
      <c r="W17" t="s">
        <v>4713</v>
      </c>
    </row>
    <row r="18" spans="1:23">
      <c r="A18" s="262" t="s">
        <v>4760</v>
      </c>
      <c r="B18" s="509">
        <f t="shared" si="17"/>
        <v>47.082971300106948</v>
      </c>
      <c r="C18" s="509">
        <f t="shared" si="18"/>
        <v>4.2307952341337458</v>
      </c>
      <c r="D18" s="509">
        <f t="shared" si="19"/>
        <v>40.02075472019316</v>
      </c>
      <c r="E18" s="509">
        <f t="shared" si="20"/>
        <v>2.831421345780047</v>
      </c>
      <c r="F18" s="261" t="s">
        <v>4722</v>
      </c>
      <c r="H18" s="213">
        <f>'ריכוז נתוני 2016'!AB158</f>
        <v>564.99565560128337</v>
      </c>
      <c r="I18" s="213">
        <f>'ריכוז נתוני 2016'!AF158</f>
        <v>50.76954280960495</v>
      </c>
      <c r="J18" s="213">
        <f>'ריכוז נתוני 2016'!AC158</f>
        <v>480.2490566423179</v>
      </c>
      <c r="K18" s="213">
        <f>'ריכוז נתוני 2016'!AE158</f>
        <v>33.977056149360564</v>
      </c>
      <c r="L18" s="283" t="str">
        <f t="shared" si="21"/>
        <v>OK</v>
      </c>
      <c r="M18" s="288">
        <f t="shared" si="22"/>
        <v>0.85000486619888094</v>
      </c>
      <c r="N18" s="288">
        <f>'ריכוז נתוני 2016'!AQ158</f>
        <v>9.8939664622681917E-2</v>
      </c>
      <c r="O18" s="288">
        <f>'ריכוז נתוני 2016'!AR158</f>
        <v>0</v>
      </c>
      <c r="P18" s="288">
        <f>'ריכוז נתוני 2016'!AS158</f>
        <v>8.0393189876778286E-3</v>
      </c>
      <c r="Q18" s="288">
        <f>'ריכוז נתוני 2016'!AT158</f>
        <v>0.89302101638964027</v>
      </c>
      <c r="R18" s="288">
        <f>'ריכוז נתוני 2016'!AU156</f>
        <v>0</v>
      </c>
      <c r="W18" t="s">
        <v>4715</v>
      </c>
    </row>
    <row r="19" spans="1:23">
      <c r="A19" s="217" t="s">
        <v>4774</v>
      </c>
      <c r="B19" s="509">
        <f t="shared" ref="B19" si="23">H19/12</f>
        <v>7.776552397564223</v>
      </c>
      <c r="C19" s="509">
        <f t="shared" si="18"/>
        <v>1.7451948988689052</v>
      </c>
      <c r="D19" s="509">
        <f t="shared" si="19"/>
        <v>4.7540763240643189</v>
      </c>
      <c r="E19" s="509">
        <f t="shared" si="20"/>
        <v>1.2772811746309987</v>
      </c>
      <c r="F19" s="261" t="s">
        <v>4720</v>
      </c>
      <c r="H19" s="213">
        <f>'ריכוז נתוני 2016'!AB159</f>
        <v>93.318628770770673</v>
      </c>
      <c r="I19" s="213">
        <f>'ריכוז נתוני 2016'!AF159</f>
        <v>20.942338786426863</v>
      </c>
      <c r="J19" s="213">
        <f>'ריכוז נתוני 2016'!AC159</f>
        <v>57.048915888771823</v>
      </c>
      <c r="K19" s="213">
        <f>'ריכוז נתוני 2016'!AE159</f>
        <v>15.327374095571983</v>
      </c>
      <c r="L19" s="283" t="str">
        <f t="shared" si="21"/>
        <v>OK</v>
      </c>
      <c r="M19" s="288">
        <f t="shared" si="22"/>
        <v>0.61133469962259801</v>
      </c>
      <c r="N19" s="288">
        <f>'ריכוז נתוני 2016'!AQ159</f>
        <v>8.5309559899050952E-2</v>
      </c>
      <c r="O19" s="288">
        <f>'ריכוז נתוני 2016'!AR159</f>
        <v>0</v>
      </c>
      <c r="P19" s="288">
        <f>'ריכוז נתוני 2016'!AS159</f>
        <v>0.10552018999673306</v>
      </c>
      <c r="Q19" s="288">
        <f>'ריכוז נתוני 2016'!AT159</f>
        <v>0.80917025010421606</v>
      </c>
      <c r="R19" s="288">
        <f>'ריכוז נתוני 2016'!AU153</f>
        <v>0</v>
      </c>
    </row>
    <row r="20" spans="1:23">
      <c r="A20" s="217"/>
      <c r="B20" s="509"/>
      <c r="C20" s="509"/>
      <c r="D20" s="509"/>
      <c r="E20" s="509"/>
      <c r="H20" s="213"/>
      <c r="I20" s="214"/>
      <c r="J20" s="214"/>
      <c r="K20" s="215"/>
    </row>
    <row r="21" spans="1:23" ht="15">
      <c r="A21" s="221" t="s">
        <v>7640</v>
      </c>
      <c r="B21" s="509"/>
      <c r="C21" s="509"/>
      <c r="D21" s="509"/>
      <c r="E21" s="509"/>
      <c r="F21" s="520" t="s">
        <v>4723</v>
      </c>
      <c r="H21" s="210"/>
      <c r="I21" s="211"/>
      <c r="J21" s="211"/>
      <c r="K21" s="212"/>
    </row>
    <row r="22" spans="1:23">
      <c r="A22" s="222" t="s">
        <v>2550</v>
      </c>
      <c r="B22" s="509">
        <f t="shared" ref="B22:B26" si="24">H22/12</f>
        <v>108.34186358115979</v>
      </c>
      <c r="C22" s="509">
        <f t="shared" ref="C22:C26" si="25">I22/12</f>
        <v>43.406439460336038</v>
      </c>
      <c r="D22" s="509">
        <f t="shared" ref="D22:D26" si="26">J22/12</f>
        <v>0</v>
      </c>
      <c r="E22" s="509">
        <f t="shared" ref="E22:E26" si="27">K22/12</f>
        <v>64.935424120823754</v>
      </c>
      <c r="F22" s="520"/>
      <c r="H22" s="216">
        <f>SUM(H58:H61)</f>
        <v>1300.1023629739175</v>
      </c>
      <c r="I22" s="216">
        <f t="shared" ref="I22:K22" si="28">SUM(I58:I61)</f>
        <v>520.87727352403249</v>
      </c>
      <c r="J22" s="216">
        <f t="shared" si="28"/>
        <v>0</v>
      </c>
      <c r="K22" s="216">
        <f t="shared" si="28"/>
        <v>779.22508944988499</v>
      </c>
      <c r="L22" s="283" t="str">
        <f t="shared" ref="L22:L26" si="29">IF(K22+J22+I22=H22,"OK",K22+J22+I22)</f>
        <v>OK</v>
      </c>
      <c r="M22" s="288">
        <f t="shared" ref="M22:M26" si="30">J22/H22</f>
        <v>0</v>
      </c>
      <c r="N22" s="288">
        <f>'ריכוז נתוני 2016'!X252</f>
        <v>0.29874823141716178</v>
      </c>
      <c r="O22" s="289">
        <f>'ריכוז נתוני 2016'!Y252</f>
        <v>8.9391080939730097E-2</v>
      </c>
      <c r="P22" s="289">
        <f>'ריכוז נתוני 2016'!Z252</f>
        <v>0.1171275609312612</v>
      </c>
      <c r="Q22" s="289">
        <f>'ריכוז נתוני 2016'!AA252</f>
        <v>3.6732221131613278E-2</v>
      </c>
      <c r="R22" s="288">
        <f>'ריכוז נתוני 2016'!AB252</f>
        <v>0.45800090558023365</v>
      </c>
      <c r="S22" s="304"/>
    </row>
    <row r="23" spans="1:23">
      <c r="A23" s="222" t="s">
        <v>2551</v>
      </c>
      <c r="B23" s="509">
        <f t="shared" si="24"/>
        <v>117.17541279890371</v>
      </c>
      <c r="C23" s="509">
        <f t="shared" si="25"/>
        <v>52.58050334197582</v>
      </c>
      <c r="D23" s="509">
        <f t="shared" si="26"/>
        <v>0.3088663961790537</v>
      </c>
      <c r="E23" s="509">
        <f t="shared" si="27"/>
        <v>64.286043060748838</v>
      </c>
      <c r="F23" s="520"/>
      <c r="H23" s="216">
        <f>SUM(H47:H54)</f>
        <v>1406.1049535868444</v>
      </c>
      <c r="I23" s="216">
        <f t="shared" ref="I23:K23" si="31">SUM(I47:I54)</f>
        <v>630.96604010370982</v>
      </c>
      <c r="J23" s="216">
        <f t="shared" si="31"/>
        <v>3.7063967541486447</v>
      </c>
      <c r="K23" s="216">
        <f t="shared" si="31"/>
        <v>771.432516728986</v>
      </c>
      <c r="L23" s="283" t="str">
        <f t="shared" si="29"/>
        <v>OK</v>
      </c>
      <c r="M23" s="288">
        <f t="shared" si="30"/>
        <v>2.6359317949161388E-3</v>
      </c>
      <c r="N23" s="288">
        <f>'ריכוז נתוני 2016'!Y187</f>
        <v>0.60227808408457606</v>
      </c>
      <c r="O23" s="289">
        <f>'ריכוז נתוני 2016'!Z187</f>
        <v>7.3710745346166687E-2</v>
      </c>
      <c r="P23" s="289">
        <f>'ריכוז נתוני 2016'!AA187</f>
        <v>0.26859473011430995</v>
      </c>
      <c r="Q23" s="289">
        <f>'ריכוז נתוני 2016'!AB187</f>
        <v>5.5416440454947376E-2</v>
      </c>
      <c r="R23" s="288"/>
    </row>
    <row r="24" spans="1:23">
      <c r="A24" s="217" t="s">
        <v>2548</v>
      </c>
      <c r="B24" s="509">
        <f t="shared" si="24"/>
        <v>93.373131172103328</v>
      </c>
      <c r="C24" s="509">
        <f t="shared" si="25"/>
        <v>32.186978457818725</v>
      </c>
      <c r="D24" s="509">
        <f t="shared" si="26"/>
        <v>21.089082573549316</v>
      </c>
      <c r="E24" s="509">
        <f t="shared" si="27"/>
        <v>40.097070140735276</v>
      </c>
      <c r="F24" s="520"/>
      <c r="H24" s="213">
        <f>SUM(H39:H41)+H43</f>
        <v>1120.4775740652399</v>
      </c>
      <c r="I24" s="213">
        <f t="shared" ref="I24:K24" si="32">SUM(I39:I41)+I43</f>
        <v>386.2437414938247</v>
      </c>
      <c r="J24" s="213">
        <f t="shared" si="32"/>
        <v>253.06899088259181</v>
      </c>
      <c r="K24" s="213">
        <f t="shared" si="32"/>
        <v>481.16484168882334</v>
      </c>
      <c r="L24" s="283" t="str">
        <f t="shared" si="29"/>
        <v>OK</v>
      </c>
      <c r="M24" s="288">
        <f t="shared" si="30"/>
        <v>0.22585814900732396</v>
      </c>
      <c r="N24" s="288">
        <f>(N39*$H$39+N40*$H$40+N41*$H$41+N43*$H$43)/$H$24</f>
        <v>0.26784740986973221</v>
      </c>
      <c r="O24" s="288">
        <f>(O39*$H$39+O40*$H$40+O41*$H$41+O43*$H$43)/$H$24</f>
        <v>1.7632757403410769E-2</v>
      </c>
      <c r="P24" s="288">
        <f>(P39*$H$39+P40*$H$40+P41*$H$41+P43*$H$43)/$H$24</f>
        <v>0.15058726771217712</v>
      </c>
      <c r="Q24" s="288">
        <f>(Q39*$H$39+Q40*$H$40+Q41*$H$41+Q43*$H$43)/$H$24</f>
        <v>0.56393256501467992</v>
      </c>
      <c r="R24" s="288">
        <f>(R39*$H$39+R40*$H$40+R41*$H$41+R43*$H$43)/$H$24</f>
        <v>0</v>
      </c>
    </row>
    <row r="25" spans="1:23">
      <c r="A25" s="217" t="s">
        <v>2549</v>
      </c>
      <c r="B25" s="509">
        <f t="shared" si="24"/>
        <v>5.6640956714213049</v>
      </c>
      <c r="C25" s="509">
        <f t="shared" si="25"/>
        <v>2.2692818614378538</v>
      </c>
      <c r="D25" s="509">
        <f t="shared" si="26"/>
        <v>0</v>
      </c>
      <c r="E25" s="509">
        <f t="shared" si="27"/>
        <v>3.3948138099834515</v>
      </c>
      <c r="F25" s="520"/>
      <c r="H25" s="213">
        <f>SUM(H29:H36)</f>
        <v>67.969148057055662</v>
      </c>
      <c r="I25" s="213">
        <f>SUM(I29:I36)</f>
        <v>27.231382337254246</v>
      </c>
      <c r="J25" s="213">
        <f>SUM(J29:J36)</f>
        <v>0</v>
      </c>
      <c r="K25" s="213">
        <f>SUM(K29:K36)</f>
        <v>40.737765719801416</v>
      </c>
      <c r="L25" s="283" t="str">
        <f t="shared" si="29"/>
        <v>OK</v>
      </c>
      <c r="M25" s="288">
        <f t="shared" si="30"/>
        <v>0</v>
      </c>
      <c r="N25" s="288" t="e">
        <f>(N29*$H$29+N32*$H$32+N30*$H$30+N36*$H$36+N34*$H35+N35*$H34+#REF!*#REF!)/SUM($H$29:$H$36)</f>
        <v>#REF!</v>
      </c>
      <c r="O25" s="288" t="e">
        <f>(O29*$H$29+O32*$H$32+O30*$H$30+O36*$H$36+O34*$H35+O35*$H34+#REF!*#REF!)/SUM($H$29:$H$36)</f>
        <v>#REF!</v>
      </c>
      <c r="P25" s="288" t="e">
        <f>(P29*$H$29+P32*$H$32+P30*$H$30+P36*$H$36+P34*$H35+P35*$H34+#REF!*#REF!)/SUM($H$29:$H$36)</f>
        <v>#REF!</v>
      </c>
      <c r="Q25" s="288" t="e">
        <f>(Q29*$H$29+Q32*$H$32+Q30*$H$30+Q36*$H$36+Q34*$H35+Q35*$H34+#REF!*#REF!)/SUM($H$29:$H$36)</f>
        <v>#REF!</v>
      </c>
      <c r="R25" s="288">
        <f>(R29*$H$29+R31*$H$31+R32*$H$32+R30*$H$30+R33*$H$33+R36*$H$36)/SUM($H$29:$H$36)</f>
        <v>0.41843495412507153</v>
      </c>
      <c r="S25" s="304"/>
    </row>
    <row r="26" spans="1:23">
      <c r="A26" s="286" t="str">
        <f>A62</f>
        <v>Projects/Enterprises and Unusual Payment</v>
      </c>
      <c r="B26" s="509">
        <f t="shared" si="24"/>
        <v>7.1061852983721492</v>
      </c>
      <c r="C26" s="509">
        <f t="shared" si="25"/>
        <v>1.405791227365782</v>
      </c>
      <c r="D26" s="509">
        <f t="shared" si="26"/>
        <v>0</v>
      </c>
      <c r="E26" s="509">
        <f t="shared" si="27"/>
        <v>5.7003940710063858</v>
      </c>
      <c r="F26" s="520"/>
      <c r="H26" s="216">
        <f>H62</f>
        <v>85.274223580465787</v>
      </c>
      <c r="I26" s="216">
        <f t="shared" ref="I26:K26" si="33">I62</f>
        <v>16.869494728389384</v>
      </c>
      <c r="J26" s="216">
        <f t="shared" si="33"/>
        <v>0</v>
      </c>
      <c r="K26" s="216">
        <f t="shared" si="33"/>
        <v>68.40472885207663</v>
      </c>
      <c r="L26" s="283">
        <f t="shared" si="29"/>
        <v>85.274223580466014</v>
      </c>
      <c r="M26" s="288">
        <f t="shared" si="30"/>
        <v>0</v>
      </c>
      <c r="N26" s="288">
        <f>'ריכוז נתוני 2016'!X257</f>
        <v>0.54337878549315211</v>
      </c>
      <c r="O26" s="289">
        <f>'ריכוז נתוני 2016'!Y257</f>
        <v>2.3472157330724375E-2</v>
      </c>
      <c r="P26" s="289">
        <f>'ריכוז נתוני 2016'!Z257</f>
        <v>1.3633849962409308E-2</v>
      </c>
      <c r="Q26" s="289">
        <f>'ריכוז נתוני 2016'!AA257</f>
        <v>0.41951520721371421</v>
      </c>
      <c r="R26" s="288"/>
    </row>
    <row r="27" spans="1:23">
      <c r="A27" s="217"/>
      <c r="B27" s="509"/>
      <c r="C27" s="509"/>
      <c r="D27" s="509"/>
      <c r="E27" s="509"/>
      <c r="H27" s="210"/>
      <c r="I27" s="211"/>
      <c r="J27" s="211"/>
      <c r="K27" s="212"/>
    </row>
    <row r="28" spans="1:23">
      <c r="A28" s="439" t="s">
        <v>2549</v>
      </c>
      <c r="B28" s="510"/>
      <c r="C28" s="510"/>
      <c r="D28" s="510"/>
      <c r="E28" s="510"/>
      <c r="F28" s="439"/>
      <c r="G28" s="439"/>
      <c r="H28" s="439"/>
      <c r="I28" s="439"/>
      <c r="J28" s="439"/>
      <c r="K28" s="439"/>
    </row>
    <row r="29" spans="1:23" ht="14.25">
      <c r="A29" s="223" t="str">
        <f>'ריכוז נתוני 2016'!AK131</f>
        <v>Enviromental services</v>
      </c>
      <c r="B29" s="509">
        <f t="shared" ref="B29:B36" si="34">H29/12</f>
        <v>0.21096213688035415</v>
      </c>
      <c r="C29" s="509">
        <f t="shared" ref="C29:C33" si="35">I29/12</f>
        <v>8.4520562229950427E-2</v>
      </c>
      <c r="D29" s="509">
        <f t="shared" ref="D29:D33" si="36">J29/12</f>
        <v>0</v>
      </c>
      <c r="E29" s="509">
        <f t="shared" ref="E29:E33" si="37">K29/12</f>
        <v>0.1264415746504037</v>
      </c>
      <c r="F29" s="440" t="s">
        <v>4720</v>
      </c>
      <c r="H29" s="213">
        <f>'ריכוז נתוני 2016'!AB131</f>
        <v>2.5315456425642497</v>
      </c>
      <c r="I29" s="213">
        <f>'ריכוז נתוני 2016'!AF131</f>
        <v>1.0142467467594052</v>
      </c>
      <c r="J29" s="213">
        <f>'ריכוז נתוני 2016'!AC131</f>
        <v>0</v>
      </c>
      <c r="K29" s="213">
        <f>'ריכוז נתוני 2016'!AE131</f>
        <v>1.5172988958048443</v>
      </c>
      <c r="L29" s="283" t="str">
        <f t="shared" ref="L29:L36" si="38">IF(K29+J29+I29=H29,"OK",K29+J29+I29)</f>
        <v>OK</v>
      </c>
      <c r="M29" s="288">
        <f t="shared" ref="M29:M36" si="39">J29/H29</f>
        <v>0</v>
      </c>
      <c r="N29" s="288">
        <f>'ריכוז נתוני 2016'!AQ131</f>
        <v>0</v>
      </c>
      <c r="O29" s="288">
        <f>'ריכוז נתוני 2016'!AR131</f>
        <v>0</v>
      </c>
      <c r="P29" s="288">
        <f>'ריכוז נתוני 2016'!AS131</f>
        <v>0</v>
      </c>
      <c r="Q29" s="288">
        <f>'ריכוז נתוני 2016'!AT131</f>
        <v>1</v>
      </c>
      <c r="R29" s="288">
        <f>'ריכוז נתוני 2016'!AU131</f>
        <v>0</v>
      </c>
      <c r="S29" s="304"/>
    </row>
    <row r="30" spans="1:23" ht="14.25">
      <c r="A30" s="223" t="str">
        <f>'ריכוז נתוני 2016'!AK135</f>
        <v>Emergency services</v>
      </c>
      <c r="B30" s="509">
        <f>H30/12</f>
        <v>0.14853517214998455</v>
      </c>
      <c r="C30" s="509">
        <f>I30/12</f>
        <v>5.9509618392608765E-2</v>
      </c>
      <c r="D30" s="509">
        <f>J30/12</f>
        <v>0</v>
      </c>
      <c r="E30" s="509">
        <f>K30/12</f>
        <v>8.9025553757375767E-2</v>
      </c>
      <c r="F30" s="440"/>
      <c r="H30" s="213">
        <f>'ריכוז נתוני 2016'!AB135</f>
        <v>1.7824220657998147</v>
      </c>
      <c r="I30" s="213">
        <f>'ריכוז נתוני 2016'!AF135</f>
        <v>0.71411542071130518</v>
      </c>
      <c r="J30" s="213">
        <f>'ריכוז נתוני 2016'!AC135</f>
        <v>0</v>
      </c>
      <c r="K30" s="213">
        <f>'ריכוז נתוני 2016'!AE135</f>
        <v>1.0683066450885093</v>
      </c>
      <c r="L30" s="283" t="str">
        <f>IF(K30+J30+I30=H30,"OK",K30+J30+I30)</f>
        <v>OK</v>
      </c>
      <c r="M30" s="288">
        <f>J30/H30</f>
        <v>0</v>
      </c>
      <c r="N30" s="288">
        <f>'ריכוז נתוני 2016'!AQ135</f>
        <v>0</v>
      </c>
      <c r="O30" s="288">
        <f>'ריכוז נתוני 2016'!AR135</f>
        <v>0</v>
      </c>
      <c r="P30" s="288">
        <f>'ריכוז נתוני 2016'!AS135</f>
        <v>0</v>
      </c>
      <c r="Q30" s="288">
        <f>'ריכוז נתוני 2016'!AT135</f>
        <v>0</v>
      </c>
      <c r="R30" s="288">
        <f>'ריכוז נתוני 2016'!AU135</f>
        <v>0</v>
      </c>
      <c r="S30" s="304"/>
    </row>
    <row r="31" spans="1:23" ht="14.25">
      <c r="A31" s="223" t="str">
        <f>'ריכוז נתוני 2016'!AK133</f>
        <v>Other Healthcase services</v>
      </c>
      <c r="B31" s="509">
        <f t="shared" si="34"/>
        <v>0</v>
      </c>
      <c r="C31" s="509">
        <f t="shared" si="35"/>
        <v>0</v>
      </c>
      <c r="D31" s="509">
        <f t="shared" si="36"/>
        <v>0</v>
      </c>
      <c r="E31" s="509">
        <f t="shared" si="37"/>
        <v>0</v>
      </c>
      <c r="F31" s="440"/>
      <c r="H31" s="213">
        <f>'ריכוז נתוני 2016'!AB133</f>
        <v>0</v>
      </c>
      <c r="I31" s="213">
        <f>'ריכוז נתוני 2016'!AF133</f>
        <v>0</v>
      </c>
      <c r="J31" s="213">
        <f>'ריכוז נתוני 2016'!AC133</f>
        <v>0</v>
      </c>
      <c r="K31" s="213">
        <f>'ריכוז נתוני 2016'!AE133</f>
        <v>0</v>
      </c>
      <c r="L31" s="283" t="str">
        <f t="shared" si="38"/>
        <v>OK</v>
      </c>
      <c r="M31" s="288" t="e">
        <f t="shared" si="39"/>
        <v>#DIV/0!</v>
      </c>
      <c r="N31" s="288">
        <f>'ריכוז נתוני 2016'!AQ133</f>
        <v>0.98654708520179368</v>
      </c>
      <c r="O31" s="288">
        <f>'ריכוז נתוני 2016'!AR133</f>
        <v>1.3452914798206279E-2</v>
      </c>
      <c r="P31" s="288">
        <f>'ריכוז נתוני 2016'!AS133</f>
        <v>0</v>
      </c>
      <c r="Q31" s="288">
        <f>'ריכוז נתוני 2016'!AT133</f>
        <v>0</v>
      </c>
      <c r="R31" s="288">
        <f>'ריכוז נתוני 2016'!AU133</f>
        <v>0</v>
      </c>
      <c r="S31" s="304"/>
    </row>
    <row r="32" spans="1:23" ht="14.25">
      <c r="A32" s="223" t="str">
        <f>'ריכוז נתוני 2016'!AK134</f>
        <v>Clinics</v>
      </c>
      <c r="B32" s="509">
        <f t="shared" si="34"/>
        <v>8.0819297509093418E-2</v>
      </c>
      <c r="C32" s="509">
        <f t="shared" si="35"/>
        <v>3.2379708347248619E-2</v>
      </c>
      <c r="D32" s="509">
        <f t="shared" si="36"/>
        <v>0</v>
      </c>
      <c r="E32" s="509">
        <f t="shared" si="37"/>
        <v>4.8439589161844793E-2</v>
      </c>
      <c r="F32" s="440"/>
      <c r="H32" s="213">
        <f>'ריכוז נתוני 2016'!AB134</f>
        <v>0.96983157010912102</v>
      </c>
      <c r="I32" s="213">
        <f>'ריכוז נתוני 2016'!AF134</f>
        <v>0.38855650016698345</v>
      </c>
      <c r="J32" s="213">
        <f>'ריכוז נתוני 2016'!AC134</f>
        <v>0</v>
      </c>
      <c r="K32" s="213">
        <f>'ריכוז נתוני 2016'!AE134</f>
        <v>0.58127506994213751</v>
      </c>
      <c r="L32" s="283" t="str">
        <f t="shared" si="38"/>
        <v>OK</v>
      </c>
      <c r="M32" s="288">
        <f t="shared" si="39"/>
        <v>0</v>
      </c>
      <c r="N32" s="288">
        <f>'ריכוז נתוני 2016'!AQ134</f>
        <v>0</v>
      </c>
      <c r="O32" s="288">
        <f>'ריכוז נתוני 2016'!AR134</f>
        <v>0</v>
      </c>
      <c r="P32" s="288">
        <f>'ריכוז נתוני 2016'!AS134</f>
        <v>0</v>
      </c>
      <c r="Q32" s="288">
        <f>'ריכוז נתוני 2016'!AT134</f>
        <v>1</v>
      </c>
      <c r="R32" s="288">
        <f>'ריכוז נתוני 2016'!AU134</f>
        <v>0</v>
      </c>
      <c r="S32" s="304"/>
    </row>
    <row r="33" spans="1:19" ht="14.25">
      <c r="A33" s="223" t="str">
        <f>'ריכוז נתוני 2016'!AK138</f>
        <v>Other Religious services</v>
      </c>
      <c r="B33" s="509">
        <f>H33/12</f>
        <v>0</v>
      </c>
      <c r="C33" s="509">
        <f t="shared" si="35"/>
        <v>0</v>
      </c>
      <c r="D33" s="509">
        <f t="shared" si="36"/>
        <v>0</v>
      </c>
      <c r="E33" s="509">
        <f t="shared" si="37"/>
        <v>0</v>
      </c>
      <c r="F33" s="440"/>
      <c r="H33" s="213">
        <f>'ריכוז נתוני 2016'!AB138</f>
        <v>0</v>
      </c>
      <c r="I33" s="213">
        <f>'ריכוז נתוני 2016'!AF138</f>
        <v>0</v>
      </c>
      <c r="J33" s="213">
        <f>'ריכוז נתוני 2016'!AC138</f>
        <v>0</v>
      </c>
      <c r="K33" s="213">
        <f>'ריכוז נתוני 2016'!AE138</f>
        <v>0</v>
      </c>
      <c r="L33" s="283" t="str">
        <f t="shared" si="38"/>
        <v>OK</v>
      </c>
      <c r="M33" s="288" t="e">
        <f t="shared" si="39"/>
        <v>#DIV/0!</v>
      </c>
      <c r="N33" s="288">
        <f>'ריכוז נתוני 2016'!AQ138</f>
        <v>0.98654708520179368</v>
      </c>
      <c r="O33" s="288">
        <f>'ריכוז נתוני 2016'!AR138</f>
        <v>1.3452914798206279E-2</v>
      </c>
      <c r="P33" s="288">
        <f>'ריכוז נתוני 2016'!AS138</f>
        <v>0</v>
      </c>
      <c r="Q33" s="288">
        <f>'ריכוז נתוני 2016'!AT138</f>
        <v>0</v>
      </c>
      <c r="R33" s="288">
        <f>'ריכוז נתוני 2016'!AU137</f>
        <v>0</v>
      </c>
      <c r="S33" s="304"/>
    </row>
    <row r="34" spans="1:19" ht="14.25">
      <c r="A34" s="223" t="str">
        <f>'ריכוז נתוני 2016'!AK140</f>
        <v>Jewish Religious services</v>
      </c>
      <c r="B34" s="509"/>
      <c r="C34" s="509"/>
      <c r="D34" s="509"/>
      <c r="E34" s="509"/>
      <c r="F34" s="440"/>
      <c r="H34" s="213">
        <f>'ריכוז נתוני 2016'!AB140</f>
        <v>0</v>
      </c>
      <c r="I34" s="213">
        <f>'ריכוז נתוני 2016'!AF140</f>
        <v>0</v>
      </c>
      <c r="J34" s="213">
        <f>'ריכוז נתוני 2016'!AC140</f>
        <v>0</v>
      </c>
      <c r="K34" s="213">
        <f>'ריכוז נתוני 2016'!AE140</f>
        <v>0</v>
      </c>
      <c r="L34" s="283" t="str">
        <f>IF(K35+J35+I35=H35,"OK",K35+J35+I35)</f>
        <v>OK</v>
      </c>
      <c r="M34" s="288">
        <f>J35/H35</f>
        <v>0</v>
      </c>
      <c r="N34" s="288">
        <f>'ריכוז נתוני 2016'!AQ139</f>
        <v>0</v>
      </c>
      <c r="O34" s="288">
        <f>'ריכוז נתוני 2016'!AR139</f>
        <v>0</v>
      </c>
      <c r="P34" s="288">
        <f>'ריכוז נתוני 2016'!AS139</f>
        <v>0</v>
      </c>
      <c r="Q34" s="288">
        <f>'ריכוז נתוני 2016'!AT139</f>
        <v>1</v>
      </c>
      <c r="R34" s="288">
        <f>'ריכוז נתוני 2016'!AU139</f>
        <v>0</v>
      </c>
      <c r="S34" s="304"/>
    </row>
    <row r="35" spans="1:19" ht="14.25">
      <c r="A35" s="223" t="str">
        <f>'ריכוז נתוני 2016'!AK139</f>
        <v>Participation in the Religious council</v>
      </c>
      <c r="B35" s="509"/>
      <c r="C35" s="509"/>
      <c r="D35" s="509"/>
      <c r="E35" s="509"/>
      <c r="F35" s="440"/>
      <c r="H35" s="213">
        <f>'ריכוז נתוני 2016'!AB139</f>
        <v>34.244681429408203</v>
      </c>
      <c r="I35" s="213">
        <f>'ריכוז נתוני 2016'!AF139</f>
        <v>13.71990145056529</v>
      </c>
      <c r="J35" s="213">
        <f>'ריכוז נתוני 2016'!AC139</f>
        <v>0</v>
      </c>
      <c r="K35" s="213">
        <f>'ריכוז נתוני 2016'!AE139</f>
        <v>20.524779978842908</v>
      </c>
      <c r="L35" s="283" t="str">
        <f>IF(K34+J34+I34=H34,"OK",K34+J34+I34)</f>
        <v>OK</v>
      </c>
      <c r="M35" s="288" t="e">
        <f>J34/H34</f>
        <v>#DIV/0!</v>
      </c>
      <c r="N35" s="288">
        <f>'ריכוז נתוני 2016'!AQ140</f>
        <v>0</v>
      </c>
      <c r="O35" s="288">
        <f>'ריכוז נתוני 2016'!AR140</f>
        <v>0</v>
      </c>
      <c r="P35" s="288">
        <f>'ריכוז נתוני 2016'!AS140</f>
        <v>0</v>
      </c>
      <c r="Q35" s="288">
        <f>'ריכוז נתוני 2016'!AT140</f>
        <v>0</v>
      </c>
      <c r="R35" s="288">
        <f>'ריכוז נתוני 2016'!AU138</f>
        <v>0</v>
      </c>
      <c r="S35" s="304"/>
    </row>
    <row r="36" spans="1:19" ht="14.25">
      <c r="A36" s="223" t="str">
        <f>'ריכוז נתוני 2016'!AK150</f>
        <v>Immigrant services (Olim)</v>
      </c>
      <c r="B36" s="509">
        <f t="shared" si="34"/>
        <v>2.37005561243119</v>
      </c>
      <c r="C36" s="509">
        <f t="shared" ref="C36" si="40">I36/12</f>
        <v>0.94954685158760521</v>
      </c>
      <c r="D36" s="509">
        <f t="shared" ref="D36" si="41">J36/12</f>
        <v>0</v>
      </c>
      <c r="E36" s="509">
        <f t="shared" ref="E36" si="42">K36/12</f>
        <v>1.4205087608435847</v>
      </c>
      <c r="F36" s="440"/>
      <c r="H36" s="213">
        <f>'ריכוז נתוני 2016'!AB150</f>
        <v>28.44066734917428</v>
      </c>
      <c r="I36" s="213">
        <f>'ריכוז נתוני 2016'!AF150</f>
        <v>11.394562219051263</v>
      </c>
      <c r="J36" s="213">
        <f>'ריכוז נתוני 2016'!AC150</f>
        <v>0</v>
      </c>
      <c r="K36" s="213">
        <f>'ריכוז נתוני 2016'!AE150</f>
        <v>17.046105130123017</v>
      </c>
      <c r="L36" s="283" t="str">
        <f t="shared" si="38"/>
        <v>OK</v>
      </c>
      <c r="M36" s="288">
        <f t="shared" si="39"/>
        <v>0</v>
      </c>
      <c r="N36" s="288">
        <f>'ריכוז נתוני 2016'!AQ150</f>
        <v>4.6386259637685705E-3</v>
      </c>
      <c r="O36" s="288">
        <f>'ריכוז נתוני 2016'!AR150</f>
        <v>0</v>
      </c>
      <c r="P36" s="288">
        <f>'ריכוז נתוני 2016'!AS150</f>
        <v>0.34622954930107191</v>
      </c>
      <c r="Q36" s="288">
        <f>'ריכוז נתוני 2016'!AT150</f>
        <v>0.64913182473515951</v>
      </c>
      <c r="R36" s="288">
        <f>'ריכוז נתוני 2016'!AU150</f>
        <v>1</v>
      </c>
      <c r="S36" s="304"/>
    </row>
    <row r="37" spans="1:19">
      <c r="B37" s="511"/>
      <c r="C37" s="511"/>
      <c r="D37" s="511"/>
      <c r="E37" s="511"/>
    </row>
    <row r="38" spans="1:19">
      <c r="A38" s="439" t="s">
        <v>7641</v>
      </c>
      <c r="B38" s="510"/>
      <c r="C38" s="510"/>
      <c r="D38" s="510"/>
      <c r="E38" s="510"/>
      <c r="F38" s="439"/>
      <c r="G38" s="439"/>
      <c r="H38" s="439"/>
      <c r="I38" s="439"/>
      <c r="J38" s="439"/>
      <c r="K38" s="439"/>
    </row>
    <row r="39" spans="1:19" ht="14.25">
      <c r="A39" s="223" t="s">
        <v>4752</v>
      </c>
      <c r="B39" s="509">
        <f t="shared" ref="B39:B43" si="43">H39/12</f>
        <v>7.5987373185222546</v>
      </c>
      <c r="C39" s="509">
        <f t="shared" ref="C39:C43" si="44">I39/12</f>
        <v>3.3218635778777963</v>
      </c>
      <c r="D39" s="509">
        <f t="shared" ref="D39:D43" si="45">J39/12</f>
        <v>0.27900485426852467</v>
      </c>
      <c r="E39" s="509">
        <f t="shared" ref="E39:E43" si="46">K39/12</f>
        <v>3.9978688863759331</v>
      </c>
      <c r="F39" s="261" t="s">
        <v>4720</v>
      </c>
      <c r="H39" s="216">
        <f>'ריכוז נתוני 2016'!AB163</f>
        <v>91.184847822267059</v>
      </c>
      <c r="I39" s="216">
        <f>'ריכוז נתוני 2016'!AF163</f>
        <v>39.862362934533557</v>
      </c>
      <c r="J39" s="216">
        <f>'ריכוז נתוני 2016'!AC163</f>
        <v>3.3480582512222963</v>
      </c>
      <c r="K39" s="216">
        <f>'ריכוז נתוני 2016'!AE163</f>
        <v>47.974426636511197</v>
      </c>
      <c r="L39" s="283">
        <f t="shared" ref="L39:L43" si="47">IF(K39+J39+I39=H39,"OK",K39+J39+I39)</f>
        <v>91.184847822267045</v>
      </c>
      <c r="M39" s="288">
        <f t="shared" ref="M39:M43" si="48">J39/H39</f>
        <v>3.6717265326232311E-2</v>
      </c>
      <c r="N39" s="288">
        <f>'ריכוז נתוני 2016'!AQ163</f>
        <v>0.39348864853873888</v>
      </c>
      <c r="O39" s="289">
        <f>'ריכוז נתוני 2016'!AR163</f>
        <v>1.7306774902439214E-2</v>
      </c>
      <c r="P39" s="289">
        <f>'ריכוז נתוני 2016'!AS163</f>
        <v>0.29431683989082574</v>
      </c>
      <c r="Q39" s="289">
        <f>'ריכוז נתוני 2016'!AT163</f>
        <v>0.29488773666799617</v>
      </c>
    </row>
    <row r="40" spans="1:19" ht="14.25">
      <c r="A40" s="223" t="s">
        <v>4753</v>
      </c>
      <c r="B40" s="509">
        <f t="shared" si="43"/>
        <v>15.6864016739975</v>
      </c>
      <c r="C40" s="509">
        <f t="shared" si="44"/>
        <v>6.8580906538539388</v>
      </c>
      <c r="D40" s="509">
        <f t="shared" si="45"/>
        <v>0</v>
      </c>
      <c r="E40" s="509">
        <f t="shared" si="46"/>
        <v>8.8283110201435608</v>
      </c>
      <c r="F40" s="261" t="s">
        <v>4720</v>
      </c>
      <c r="H40" s="216">
        <f>'ריכוז נתוני 2016'!AB164</f>
        <v>188.23682008796999</v>
      </c>
      <c r="I40" s="216">
        <f>'ריכוז נתוני 2016'!AF164</f>
        <v>82.297087846247265</v>
      </c>
      <c r="J40" s="216">
        <f>'ריכוז נתוני 2016'!AC164</f>
        <v>0</v>
      </c>
      <c r="K40" s="216">
        <f>'ריכוז נתוני 2016'!AE164</f>
        <v>105.93973224172272</v>
      </c>
      <c r="L40" s="283" t="str">
        <f t="shared" si="47"/>
        <v>OK</v>
      </c>
      <c r="M40" s="288">
        <f t="shared" si="48"/>
        <v>0</v>
      </c>
      <c r="N40" s="288">
        <f>'ריכוז נתוני 2016'!AQ164</f>
        <v>0.30445266521571945</v>
      </c>
      <c r="O40" s="289">
        <f>'ריכוז נתוני 2016'!AR164</f>
        <v>2.0356826933822791E-2</v>
      </c>
      <c r="P40" s="289">
        <f>'ריכוז נתוני 2016'!AS164</f>
        <v>5.5045072177992954E-2</v>
      </c>
      <c r="Q40" s="289">
        <f>'ריכוז נתוני 2016'!AT164</f>
        <v>0.62014543567246472</v>
      </c>
    </row>
    <row r="41" spans="1:19" ht="14.25">
      <c r="A41" s="223" t="s">
        <v>4754</v>
      </c>
      <c r="B41" s="509">
        <f t="shared" si="43"/>
        <v>66.325883593512302</v>
      </c>
      <c r="C41" s="509">
        <f t="shared" si="44"/>
        <v>20.488185069711225</v>
      </c>
      <c r="D41" s="509">
        <f t="shared" si="45"/>
        <v>20.810077719280795</v>
      </c>
      <c r="E41" s="509">
        <f t="shared" si="46"/>
        <v>25.027620804520279</v>
      </c>
      <c r="F41" s="261" t="s">
        <v>4720</v>
      </c>
      <c r="H41" s="216">
        <f>'ריכוז נתוני 2016'!AB165</f>
        <v>795.91060312214756</v>
      </c>
      <c r="I41" s="216">
        <f>'ריכוז נתוני 2016'!AF165</f>
        <v>245.85822083653471</v>
      </c>
      <c r="J41" s="216">
        <f>'ריכוז נתוני 2016'!AC165</f>
        <v>249.72093263136952</v>
      </c>
      <c r="K41" s="216">
        <f>'ריכוז נתוני 2016'!AE165</f>
        <v>300.33144965424333</v>
      </c>
      <c r="L41" s="283">
        <f t="shared" si="47"/>
        <v>795.91060312214745</v>
      </c>
      <c r="M41" s="288">
        <f t="shared" si="48"/>
        <v>0.31375500169463771</v>
      </c>
      <c r="N41" s="288">
        <f>'ריכוז נתוני 2016'!AQ165</f>
        <v>0.21513180824563899</v>
      </c>
      <c r="O41" s="289">
        <f>'ריכוז נתוני 2016'!AR165</f>
        <v>1.6640837404441954E-2</v>
      </c>
      <c r="P41" s="289">
        <f>'ריכוז נתוני 2016'!AS165</f>
        <v>0.15477869281308068</v>
      </c>
      <c r="Q41" s="289">
        <f>'ריכוז נתוני 2016'!AT165</f>
        <v>0.61344866153683841</v>
      </c>
    </row>
    <row r="42" spans="1:19" ht="14.25">
      <c r="A42" s="223" t="s">
        <v>4755</v>
      </c>
      <c r="B42" s="509">
        <f t="shared" si="43"/>
        <v>20.911388586041401</v>
      </c>
      <c r="C42" s="509">
        <f t="shared" si="44"/>
        <v>8.5946451971292515</v>
      </c>
      <c r="D42" s="509">
        <f t="shared" si="45"/>
        <v>0</v>
      </c>
      <c r="E42" s="509">
        <f t="shared" si="46"/>
        <v>12.316743388912151</v>
      </c>
      <c r="F42" s="261" t="s">
        <v>4721</v>
      </c>
      <c r="H42" s="216">
        <f>'ריכוז נתוני 2016'!AB166</f>
        <v>250.93666303249682</v>
      </c>
      <c r="I42" s="216">
        <f>'ריכוז נתוני 2016'!AF166</f>
        <v>103.13574236555101</v>
      </c>
      <c r="J42" s="216">
        <f>'ריכוז נתוני 2016'!AC166</f>
        <v>0</v>
      </c>
      <c r="K42" s="216">
        <f>'ריכוז נתוני 2016'!AE166</f>
        <v>147.80092066694581</v>
      </c>
      <c r="L42" s="283" t="str">
        <f t="shared" si="47"/>
        <v>OK</v>
      </c>
      <c r="M42" s="288">
        <f t="shared" si="48"/>
        <v>0</v>
      </c>
      <c r="N42" s="288">
        <f>'ריכוז נתוני 2016'!AQ166</f>
        <v>0</v>
      </c>
      <c r="O42" s="289">
        <f>'ריכוז נתוני 2016'!AR166</f>
        <v>0</v>
      </c>
      <c r="P42" s="289">
        <f>'ריכוז נתוני 2016'!AS166</f>
        <v>0</v>
      </c>
      <c r="Q42" s="289">
        <f>'ריכוז נתוני 2016'!AT166</f>
        <v>1</v>
      </c>
    </row>
    <row r="43" spans="1:19" ht="14.25">
      <c r="A43" s="223" t="s">
        <v>2483</v>
      </c>
      <c r="B43" s="509">
        <f t="shared" si="43"/>
        <v>3.7621085860712733</v>
      </c>
      <c r="C43" s="509">
        <f t="shared" si="44"/>
        <v>1.5188391563757657</v>
      </c>
      <c r="D43" s="509">
        <f t="shared" si="45"/>
        <v>0</v>
      </c>
      <c r="E43" s="509">
        <f t="shared" si="46"/>
        <v>2.2432694296955069</v>
      </c>
      <c r="F43" s="261" t="s">
        <v>4720</v>
      </c>
      <c r="H43" s="216">
        <f>'ריכוז נתוני 2016'!AB167</f>
        <v>45.145303032855281</v>
      </c>
      <c r="I43" s="216">
        <f>'ריכוז נתוני 2016'!AF167</f>
        <v>18.22606987650919</v>
      </c>
      <c r="J43" s="216">
        <f>'ריכוז נתוני 2016'!AC167</f>
        <v>0</v>
      </c>
      <c r="K43" s="216">
        <f>'ריכוז נתוני 2016'!AE167</f>
        <v>26.919233156346085</v>
      </c>
      <c r="L43" s="283" t="str">
        <f t="shared" si="47"/>
        <v>OK</v>
      </c>
      <c r="M43" s="288">
        <f t="shared" si="48"/>
        <v>0</v>
      </c>
      <c r="N43" s="288">
        <f>'ריכוז נתוני 2016'!AQ167</f>
        <v>0.79082257236504361</v>
      </c>
      <c r="O43" s="289">
        <f>'ריכוז נתוני 2016'!AR167</f>
        <v>2.4420487304031908E-2</v>
      </c>
      <c r="P43" s="289">
        <f>'ריכוז נתוני 2016'!AS167</f>
        <v>0.18475694033092446</v>
      </c>
      <c r="Q43" s="289">
        <f>'ריכוז נתוני 2016'!AT167</f>
        <v>0</v>
      </c>
    </row>
    <row r="44" spans="1:19">
      <c r="B44" s="511"/>
      <c r="C44" s="511"/>
      <c r="D44" s="511"/>
      <c r="E44" s="511"/>
    </row>
    <row r="45" spans="1:19">
      <c r="A45" s="439" t="s">
        <v>4745</v>
      </c>
      <c r="B45" s="510"/>
      <c r="C45" s="510"/>
      <c r="D45" s="510"/>
      <c r="E45" s="510"/>
      <c r="F45" s="439"/>
      <c r="G45" s="439"/>
      <c r="H45" s="439"/>
      <c r="I45" s="439"/>
      <c r="J45" s="439"/>
      <c r="K45" s="439"/>
    </row>
    <row r="46" spans="1:19">
      <c r="A46" s="222" t="s">
        <v>2551</v>
      </c>
      <c r="B46" s="509">
        <f t="shared" ref="B46" si="49">H46/12</f>
        <v>117.17541279890371</v>
      </c>
      <c r="C46" s="509">
        <f t="shared" ref="C46:C54" si="50">I46/12</f>
        <v>52.58050334197582</v>
      </c>
      <c r="D46" s="509">
        <f t="shared" ref="D46:D54" si="51">J46/12</f>
        <v>0.3088663961790537</v>
      </c>
      <c r="E46" s="509">
        <f t="shared" ref="E46:E54" si="52">K46/12</f>
        <v>64.286043060748838</v>
      </c>
      <c r="F46" s="439"/>
      <c r="H46" s="216">
        <f>SUM(H47:H54)</f>
        <v>1406.1049535868444</v>
      </c>
      <c r="I46" s="216">
        <f t="shared" ref="I46:K46" si="53">SUM(I47:I54)</f>
        <v>630.96604010370982</v>
      </c>
      <c r="J46" s="216">
        <f t="shared" si="53"/>
        <v>3.7063967541486447</v>
      </c>
      <c r="K46" s="216">
        <f t="shared" si="53"/>
        <v>771.432516728986</v>
      </c>
      <c r="L46" s="283" t="str">
        <f t="shared" ref="L46" si="54">IF(K46+J46+I46=H46,"OK",K46+J46+I46)</f>
        <v>OK</v>
      </c>
      <c r="M46" s="288">
        <f t="shared" ref="M46" si="55">J46/H46</f>
        <v>2.6359317949161388E-3</v>
      </c>
      <c r="N46" s="288">
        <f>'ריכוז נתוני 2016'!Y187</f>
        <v>0.60227808408457606</v>
      </c>
      <c r="O46" s="288">
        <f>'ריכוז נתוני 2016'!Z187</f>
        <v>7.3710745346166687E-2</v>
      </c>
      <c r="P46" s="288">
        <f>'ריכוז נתוני 2016'!AA187</f>
        <v>0.26859473011430995</v>
      </c>
      <c r="Q46" s="288">
        <f>'ריכוז נתוני 2016'!AB187</f>
        <v>5.5416440454947376E-2</v>
      </c>
      <c r="R46" s="288">
        <f>'ריכוז נתוני 2016'!AC187</f>
        <v>0</v>
      </c>
    </row>
    <row r="47" spans="1:19" ht="14.25">
      <c r="A47" s="285" t="str">
        <f>Chapter!I42</f>
        <v>Sanitation</v>
      </c>
      <c r="B47" s="509">
        <f t="shared" ref="B47:B54" si="56">H47/12</f>
        <v>40.87961891215749</v>
      </c>
      <c r="C47" s="509">
        <f t="shared" si="50"/>
        <v>15.172898099663685</v>
      </c>
      <c r="D47" s="509">
        <f t="shared" si="51"/>
        <v>0</v>
      </c>
      <c r="E47" s="509">
        <f t="shared" si="52"/>
        <v>25.706720812493799</v>
      </c>
      <c r="F47" s="261" t="s">
        <v>4720</v>
      </c>
      <c r="H47" s="216">
        <f>'ריכוז נתוני 2016'!AE217</f>
        <v>490.55542694588991</v>
      </c>
      <c r="I47" s="216">
        <f>'ריכוז נתוני 2016'!AI217</f>
        <v>182.07477719596423</v>
      </c>
      <c r="J47" s="216">
        <f>'ריכוז נתוני 2016'!AF217</f>
        <v>0</v>
      </c>
      <c r="K47" s="216">
        <f>'ריכוז נתוני 2016'!AH217</f>
        <v>308.48064974992559</v>
      </c>
      <c r="L47" s="283" t="str">
        <f t="shared" ref="L47:L54" si="57">IF(K47+J47+I47=H47,"OK",K47+J47+I47)</f>
        <v>OK</v>
      </c>
      <c r="M47" s="288">
        <f t="shared" ref="M47:M54" si="58">J47/H47</f>
        <v>0</v>
      </c>
      <c r="N47" s="288">
        <f>'ריכוז נתוני 2016'!Y217</f>
        <v>0.74159572094253812</v>
      </c>
      <c r="O47" s="288">
        <f>'ריכוז נתוני 2016'!Z217</f>
        <v>0.13262737704215022</v>
      </c>
      <c r="P47" s="288">
        <f>'ריכוז נתוני 2016'!AA217</f>
        <v>0.12535533432135232</v>
      </c>
      <c r="Q47" s="288">
        <f>'ריכוז נתוני 2016'!AB217</f>
        <v>4.2156769395929836E-4</v>
      </c>
      <c r="R47" s="288">
        <f>'ריכוז נתוני 2016'!AC217</f>
        <v>0</v>
      </c>
    </row>
    <row r="48" spans="1:19" ht="14.25">
      <c r="A48" s="284" t="str">
        <f>Chapter!I62</f>
        <v>Guarding and Security</v>
      </c>
      <c r="B48" s="509">
        <f t="shared" si="56"/>
        <v>8.1236467706530053</v>
      </c>
      <c r="C48" s="509">
        <f t="shared" si="50"/>
        <v>3.1379955225746952</v>
      </c>
      <c r="D48" s="509">
        <f t="shared" si="51"/>
        <v>0.29400990766635271</v>
      </c>
      <c r="E48" s="509">
        <f t="shared" si="52"/>
        <v>4.6916413404119579</v>
      </c>
      <c r="F48" s="261" t="s">
        <v>4720</v>
      </c>
      <c r="H48" s="216">
        <f>'ריכוז נתוני 2016'!AE209</f>
        <v>97.483761247836071</v>
      </c>
      <c r="I48" s="216">
        <f>'ריכוז נתוני 2016'!AI209</f>
        <v>37.655946270896344</v>
      </c>
      <c r="J48" s="216">
        <f>'ריכוז נתוני 2016'!AF209</f>
        <v>3.5281188919962325</v>
      </c>
      <c r="K48" s="216">
        <f>'ריכוז נתוני 2016'!AH209</f>
        <v>56.299696084943498</v>
      </c>
      <c r="L48" s="283" t="str">
        <f t="shared" si="57"/>
        <v>OK</v>
      </c>
      <c r="M48" s="288">
        <f t="shared" si="58"/>
        <v>3.6191862591622652E-2</v>
      </c>
      <c r="N48" s="288">
        <f>'ריכוז נתוני 2016'!Y209</f>
        <v>0.35965091951836842</v>
      </c>
      <c r="O48" s="288">
        <f>'ריכוז נתוני 2016'!Z209</f>
        <v>3.2344076897192431E-2</v>
      </c>
      <c r="P48" s="288">
        <f>'ריכוז נתוני 2016'!AA209</f>
        <v>4.8338722184020716E-2</v>
      </c>
      <c r="Q48" s="288">
        <f>'ריכוז נתוני 2016'!AB209</f>
        <v>0.55966628140041841</v>
      </c>
      <c r="R48" s="288">
        <f>'ריכוז נתוני 2016'!AC209</f>
        <v>0</v>
      </c>
    </row>
    <row r="49" spans="1:19" ht="14.25">
      <c r="A49" s="285" t="str">
        <f>Chapter!I74</f>
        <v>Urban Planning and Construction</v>
      </c>
      <c r="B49" s="509">
        <f t="shared" si="56"/>
        <v>14.715975844347868</v>
      </c>
      <c r="C49" s="509">
        <f t="shared" si="50"/>
        <v>4.5728001769419242</v>
      </c>
      <c r="D49" s="509">
        <f t="shared" si="51"/>
        <v>1.4856488512700996E-2</v>
      </c>
      <c r="E49" s="509">
        <f t="shared" si="52"/>
        <v>10.128319178893245</v>
      </c>
      <c r="F49" s="261" t="s">
        <v>4720</v>
      </c>
      <c r="H49" s="216">
        <f>'ריכוז נתוני 2016'!AE223</f>
        <v>176.59171013217443</v>
      </c>
      <c r="I49" s="216">
        <f>'ריכוז נתוני 2016'!AI223</f>
        <v>54.873602123303087</v>
      </c>
      <c r="J49" s="216">
        <f>'ריכוז נתוני 2016'!AF223</f>
        <v>0.17827786215241195</v>
      </c>
      <c r="K49" s="216">
        <f>'ריכוז נתוני 2016'!AH223</f>
        <v>121.53983014671894</v>
      </c>
      <c r="L49" s="283" t="str">
        <f t="shared" si="57"/>
        <v>OK</v>
      </c>
      <c r="M49" s="288">
        <f t="shared" si="58"/>
        <v>1.0095483078960811E-3</v>
      </c>
      <c r="N49" s="288">
        <f>'ריכוז נתוני 2016'!Y223</f>
        <v>0.69941506771040496</v>
      </c>
      <c r="O49" s="288">
        <f>'ריכוז נתוני 2016'!Z223</f>
        <v>2.3574972085989288E-2</v>
      </c>
      <c r="P49" s="288">
        <f>'ריכוז נתוני 2016'!AA223</f>
        <v>0.27700996020360569</v>
      </c>
      <c r="Q49" s="288">
        <f>'ריכוז נתוני 2016'!AB223</f>
        <v>0</v>
      </c>
      <c r="R49" s="288">
        <f>'ריכוז נתוני 2016'!AC222</f>
        <v>0</v>
      </c>
    </row>
    <row r="50" spans="1:19" ht="14.25">
      <c r="A50" s="284" t="str">
        <f>Chapter!I85</f>
        <v>Public Assets</v>
      </c>
      <c r="B50" s="509">
        <f t="shared" si="56"/>
        <v>33.241868454800887</v>
      </c>
      <c r="C50" s="509">
        <f t="shared" si="50"/>
        <v>21.991522247863433</v>
      </c>
      <c r="D50" s="509">
        <f t="shared" si="51"/>
        <v>0</v>
      </c>
      <c r="E50" s="509">
        <f t="shared" si="52"/>
        <v>11.250346206937452</v>
      </c>
      <c r="F50" s="261" t="s">
        <v>4720</v>
      </c>
      <c r="H50" s="216">
        <f>'ריכוז נתוני 2016'!AE192</f>
        <v>398.90242145761061</v>
      </c>
      <c r="I50" s="216">
        <f>'ריכוז נתוני 2016'!AI192</f>
        <v>263.89826697436121</v>
      </c>
      <c r="J50" s="216">
        <f>'ריכוז נתוני 2016'!AF192</f>
        <v>0</v>
      </c>
      <c r="K50" s="216">
        <f>'ריכוז נתוני 2016'!AH192</f>
        <v>135.00415448324944</v>
      </c>
      <c r="L50" s="283" t="str">
        <f t="shared" si="57"/>
        <v>OK</v>
      </c>
      <c r="M50" s="288">
        <f t="shared" si="58"/>
        <v>0</v>
      </c>
      <c r="N50" s="288">
        <f>'ריכוז נתוני 2016'!Y192</f>
        <v>0.48929803015107715</v>
      </c>
      <c r="O50" s="288">
        <f>'ריכוז נתוני 2016'!Z192</f>
        <v>5.2768854255492215E-2</v>
      </c>
      <c r="P50" s="288">
        <f>'ריכוז נתוני 2016'!AA192</f>
        <v>0.44325533668345302</v>
      </c>
      <c r="Q50" s="288">
        <f>'ריכוז נתוני 2016'!AB192</f>
        <v>1.4677778909977601E-2</v>
      </c>
      <c r="R50" s="288">
        <f>'ריכוז נתוני 2016'!AC190</f>
        <v>0</v>
      </c>
    </row>
    <row r="51" spans="1:19" ht="14.25">
      <c r="A51" s="284" t="str">
        <f>Chapter!I109</f>
        <v>Celebrations, Projects and Events</v>
      </c>
      <c r="B51" s="509">
        <f t="shared" si="56"/>
        <v>0.55575152228311886</v>
      </c>
      <c r="C51" s="509">
        <f t="shared" si="50"/>
        <v>0.222658112105492</v>
      </c>
      <c r="D51" s="509">
        <f t="shared" si="51"/>
        <v>0</v>
      </c>
      <c r="E51" s="509">
        <f t="shared" si="52"/>
        <v>0.33309341017762684</v>
      </c>
      <c r="F51" s="261" t="s">
        <v>4720</v>
      </c>
      <c r="H51" s="216">
        <f>'ריכוז נתוני 2016'!AE188</f>
        <v>6.6690182673974263</v>
      </c>
      <c r="I51" s="216">
        <f>'ריכוז נתוני 2016'!AI188</f>
        <v>2.6718973452659038</v>
      </c>
      <c r="J51" s="216">
        <f>'ריכוז נתוני 2016'!AF188</f>
        <v>0</v>
      </c>
      <c r="K51" s="216">
        <f>'ריכוז נתוני 2016'!AH188</f>
        <v>3.997120922131522</v>
      </c>
      <c r="L51" s="283" t="str">
        <f t="shared" si="57"/>
        <v>OK</v>
      </c>
      <c r="M51" s="288">
        <f t="shared" si="58"/>
        <v>0</v>
      </c>
      <c r="N51" s="288">
        <f>'ריכוז נתוני 2016'!Y188</f>
        <v>0</v>
      </c>
      <c r="O51" s="288">
        <f>'ריכוז נתוני 2016'!Z188</f>
        <v>0</v>
      </c>
      <c r="P51" s="288">
        <f>'ריכוז נתוני 2016'!AA188</f>
        <v>0.96091745081266045</v>
      </c>
      <c r="Q51" s="288">
        <f>'ריכוז נתוני 2016'!AB188</f>
        <v>3.9082549187339603E-2</v>
      </c>
      <c r="R51" s="288">
        <f>'ריכוז נתוני 2016'!AC188</f>
        <v>0</v>
      </c>
    </row>
    <row r="52" spans="1:19" ht="14.25">
      <c r="A52" s="284" t="str">
        <f>Chapter!I115</f>
        <v>Various Municipal Services</v>
      </c>
      <c r="B52" s="509">
        <f t="shared" si="56"/>
        <v>9.2750246303873336</v>
      </c>
      <c r="C52" s="509">
        <f t="shared" si="50"/>
        <v>3.7159762792011199</v>
      </c>
      <c r="D52" s="509">
        <f t="shared" si="51"/>
        <v>0</v>
      </c>
      <c r="E52" s="509">
        <f t="shared" si="52"/>
        <v>5.5590483511862132</v>
      </c>
      <c r="F52" s="261" t="s">
        <v>4720</v>
      </c>
      <c r="H52" s="216">
        <f>'ריכוז נתוני 2016'!AE204</f>
        <v>111.300295564648</v>
      </c>
      <c r="I52" s="216">
        <f>'ריכוז נתוני 2016'!AI204</f>
        <v>44.591715350413438</v>
      </c>
      <c r="J52" s="216">
        <f>'ריכוז נתוני 2016'!AF204</f>
        <v>0</v>
      </c>
      <c r="K52" s="216">
        <f>'ריכוז נתוני 2016'!AH204</f>
        <v>66.708580214234559</v>
      </c>
      <c r="L52" s="283" t="str">
        <f t="shared" si="57"/>
        <v>OK</v>
      </c>
      <c r="M52" s="288">
        <f t="shared" si="58"/>
        <v>0</v>
      </c>
      <c r="N52" s="288">
        <f>'ריכוז נתוני 2016'!Y204</f>
        <v>0.28562824759573802</v>
      </c>
      <c r="O52" s="288">
        <f>'ריכוז נתוני 2016'!Z204</f>
        <v>8.8257718946417475E-3</v>
      </c>
      <c r="P52" s="288">
        <f>'ריכוז נתוני 2016'!AA204</f>
        <v>0.62526509351153592</v>
      </c>
      <c r="Q52" s="288">
        <f>'ריכוז נתוני 2016'!AB204</f>
        <v>8.0280886998084278E-2</v>
      </c>
      <c r="R52" s="288">
        <f>'ריכוז נתוני 2016'!AC205</f>
        <v>0</v>
      </c>
    </row>
    <row r="53" spans="1:19" ht="14.25">
      <c r="A53" s="284" t="str">
        <f>Chapter!I124</f>
        <v>Economic Development</v>
      </c>
      <c r="B53" s="509">
        <f t="shared" si="56"/>
        <v>1.6737022828638688</v>
      </c>
      <c r="C53" s="509">
        <f t="shared" si="50"/>
        <v>0.67055757040153219</v>
      </c>
      <c r="D53" s="509">
        <f t="shared" si="51"/>
        <v>0</v>
      </c>
      <c r="E53" s="509">
        <f t="shared" si="52"/>
        <v>1.0031447124623367</v>
      </c>
      <c r="F53" s="261" t="s">
        <v>4720</v>
      </c>
      <c r="H53" s="216">
        <f>'ריכוז נתוני 2016'!AE202</f>
        <v>20.084427394366426</v>
      </c>
      <c r="I53" s="216">
        <f>'ריכוז נתוני 2016'!AI202</f>
        <v>8.0466908448183858</v>
      </c>
      <c r="J53" s="216">
        <f>'ריכוז נתוני 2016'!AF202</f>
        <v>0</v>
      </c>
      <c r="K53" s="216">
        <f>'ריכוז נתוני 2016'!AH202</f>
        <v>12.03773654954804</v>
      </c>
      <c r="L53" s="283" t="str">
        <f t="shared" si="57"/>
        <v>OK</v>
      </c>
      <c r="M53" s="288">
        <f t="shared" si="58"/>
        <v>0</v>
      </c>
      <c r="N53" s="288">
        <f>'ריכוז נתוני 2016'!Y202</f>
        <v>0.58921692201175235</v>
      </c>
      <c r="O53" s="288">
        <f>'ריכוז נתוני 2016'!Z202</f>
        <v>5.2725949333380677E-3</v>
      </c>
      <c r="P53" s="288">
        <f>'ריכוז נתוני 2016'!AA202</f>
        <v>1.9528129382733583E-3</v>
      </c>
      <c r="Q53" s="288">
        <f>'ריכוז נתוני 2016'!AB202</f>
        <v>0.40355767011663618</v>
      </c>
      <c r="R53" s="288">
        <f>'ריכוז נתוני 2016'!AC201</f>
        <v>0</v>
      </c>
    </row>
    <row r="54" spans="1:19" ht="14.25">
      <c r="A54" s="284" t="str">
        <f>Chapter!I130</f>
        <v>Municipal Supervision</v>
      </c>
      <c r="B54" s="509">
        <f t="shared" si="56"/>
        <v>8.7098243814101366</v>
      </c>
      <c r="C54" s="509">
        <f t="shared" si="50"/>
        <v>3.0960953332239396</v>
      </c>
      <c r="D54" s="509">
        <f t="shared" si="51"/>
        <v>0</v>
      </c>
      <c r="E54" s="509">
        <f t="shared" si="52"/>
        <v>5.6137290481861966</v>
      </c>
      <c r="F54" s="261" t="s">
        <v>4720</v>
      </c>
      <c r="H54" s="216">
        <f>'ריכוז נתוני 2016'!AE199</f>
        <v>104.51789257692164</v>
      </c>
      <c r="I54" s="216">
        <f>'ריכוז נתוני 2016'!AI199</f>
        <v>37.153143998687277</v>
      </c>
      <c r="J54" s="216">
        <f>'ריכוז נתוני 2016'!AF199</f>
        <v>0</v>
      </c>
      <c r="K54" s="216">
        <f>'ריכוז נתוני 2016'!AH199</f>
        <v>67.364748578234355</v>
      </c>
      <c r="L54" s="283" t="str">
        <f t="shared" si="57"/>
        <v>OK</v>
      </c>
      <c r="M54" s="288">
        <f t="shared" si="58"/>
        <v>0</v>
      </c>
      <c r="N54" s="288">
        <f>'ריכוז נתוני 2016'!Y199</f>
        <v>0.81990366114924329</v>
      </c>
      <c r="O54" s="288">
        <f>'ריכוז נתוני 2016'!Z199</f>
        <v>8.7353137835514377E-2</v>
      </c>
      <c r="P54" s="288">
        <f>'ריכוז נתוני 2016'!AA199</f>
        <v>9.2743201015242277E-2</v>
      </c>
      <c r="Q54" s="288">
        <f>'ריכוז נתוני 2016'!AB199</f>
        <v>0</v>
      </c>
      <c r="R54" s="288">
        <f>'ריכוז נתוני 2016'!AC199</f>
        <v>0</v>
      </c>
    </row>
    <row r="55" spans="1:19">
      <c r="B55" s="511"/>
      <c r="C55" s="511"/>
      <c r="D55" s="511"/>
      <c r="E55" s="511"/>
    </row>
    <row r="56" spans="1:19">
      <c r="A56" s="439" t="s">
        <v>4756</v>
      </c>
      <c r="B56" s="510"/>
      <c r="C56" s="510"/>
      <c r="D56" s="510"/>
      <c r="E56" s="510"/>
      <c r="F56" s="439"/>
      <c r="G56" s="439"/>
      <c r="H56" s="439"/>
      <c r="I56" s="439"/>
      <c r="J56" s="439"/>
      <c r="K56" s="439"/>
    </row>
    <row r="57" spans="1:19">
      <c r="A57" s="222" t="s">
        <v>2550</v>
      </c>
      <c r="B57" s="509">
        <f t="shared" ref="B57" si="59">H57/12</f>
        <v>108.34186358115979</v>
      </c>
      <c r="C57" s="509">
        <f t="shared" ref="C57" si="60">I57/12</f>
        <v>43.406439460336038</v>
      </c>
      <c r="D57" s="509">
        <f t="shared" ref="D57" si="61">J57/12</f>
        <v>0</v>
      </c>
      <c r="E57" s="509">
        <f t="shared" ref="E57" si="62">K57/12</f>
        <v>64.935424120823754</v>
      </c>
      <c r="F57" s="438"/>
      <c r="H57" s="216">
        <f>SUM(H58:H61)</f>
        <v>1300.1023629739175</v>
      </c>
      <c r="I57" s="216">
        <f t="shared" ref="I57:K57" si="63">SUM(I58:I61)</f>
        <v>520.87727352403249</v>
      </c>
      <c r="J57" s="216">
        <f t="shared" si="63"/>
        <v>0</v>
      </c>
      <c r="K57" s="216">
        <f t="shared" si="63"/>
        <v>779.22508944988499</v>
      </c>
      <c r="L57" s="283" t="str">
        <f t="shared" ref="L57" si="64">IF(K57+J57+I57=H57,"OK",K57+J57+I57)</f>
        <v>OK</v>
      </c>
      <c r="M57" s="288">
        <f t="shared" ref="M57" si="65">J57/H57</f>
        <v>0</v>
      </c>
      <c r="N57" s="288">
        <f>'ריכוז נתוני 2016'!X252</f>
        <v>0.29874823141716178</v>
      </c>
      <c r="O57" s="288">
        <f>'ריכוז נתוני 2016'!Y252</f>
        <v>8.9391080939730097E-2</v>
      </c>
      <c r="P57" s="288">
        <f>'ריכוז נתוני 2016'!Z252</f>
        <v>0.1171275609312612</v>
      </c>
      <c r="Q57" s="288">
        <f>'ריכוז נתוני 2016'!AA252</f>
        <v>3.6732221131613278E-2</v>
      </c>
      <c r="R57" s="288">
        <f>'ריכוז נתוני 2016'!AB252</f>
        <v>0.45800090558023365</v>
      </c>
      <c r="S57" s="304"/>
    </row>
    <row r="58" spans="1:19" ht="14.25">
      <c r="A58" s="284" t="str">
        <f>Chapter!I3</f>
        <v>General Administration</v>
      </c>
      <c r="B58" s="509">
        <f t="shared" ref="B58:B64" si="66">H58/12</f>
        <v>29.078812956748838</v>
      </c>
      <c r="C58" s="509">
        <f t="shared" ref="C58:C64" si="67">I58/12</f>
        <v>11.650230967644591</v>
      </c>
      <c r="D58" s="509">
        <f t="shared" ref="D58:D64" si="68">J58/12</f>
        <v>0</v>
      </c>
      <c r="E58" s="509">
        <f t="shared" ref="E58:E64" si="69">K58/12</f>
        <v>17.428581989104242</v>
      </c>
      <c r="F58" s="261" t="s">
        <v>4720</v>
      </c>
      <c r="H58" s="216">
        <f>'ריכוז נתוני 2016'!AD254</f>
        <v>348.94575548098607</v>
      </c>
      <c r="I58" s="216">
        <f>'ריכוז נתוני 2016'!AH254</f>
        <v>139.8027716117351</v>
      </c>
      <c r="J58" s="216">
        <f>'ריכוז נתוני 2016'!AE254</f>
        <v>0</v>
      </c>
      <c r="K58" s="216">
        <f>'ריכוז נתוני 2016'!AG254</f>
        <v>209.14298386925091</v>
      </c>
      <c r="L58" s="283" t="str">
        <f t="shared" ref="L58:L62" si="70">IF(K58+J58+I58=H58,"OK",K58+J58+I58)</f>
        <v>OK</v>
      </c>
      <c r="M58" s="288">
        <f t="shared" ref="M58:M62" si="71">J58/H58</f>
        <v>0</v>
      </c>
      <c r="N58" s="288">
        <f>'ריכוז נתוני 2016'!X254</f>
        <v>0.54251898264662701</v>
      </c>
      <c r="O58" s="288">
        <f>'ריכוז נתוני 2016'!Y254</f>
        <v>0.27727896494890447</v>
      </c>
      <c r="P58" s="288">
        <f>'ריכוז נתוני 2016'!Z254</f>
        <v>4.3345114784853117E-2</v>
      </c>
      <c r="Q58" s="288">
        <f>'ריכוז נתוני 2016'!AA254</f>
        <v>0.13685693761961545</v>
      </c>
      <c r="R58" s="288">
        <f>'ריכוז נתוני 2016'!AB254</f>
        <v>0</v>
      </c>
    </row>
    <row r="59" spans="1:19" ht="14.25">
      <c r="A59" s="284" t="str">
        <f>Chapter!I15</f>
        <v>Financial Administration</v>
      </c>
      <c r="B59" s="509">
        <f t="shared" si="66"/>
        <v>25.155719461153936</v>
      </c>
      <c r="C59" s="509">
        <f t="shared" si="67"/>
        <v>10.078469926390079</v>
      </c>
      <c r="D59" s="509">
        <f t="shared" si="68"/>
        <v>0</v>
      </c>
      <c r="E59" s="509">
        <f t="shared" si="69"/>
        <v>15.077249534763856</v>
      </c>
      <c r="F59" s="261" t="s">
        <v>4720</v>
      </c>
      <c r="H59" s="216">
        <f>'ריכוז נתוני 2016'!AD255</f>
        <v>301.86863353384723</v>
      </c>
      <c r="I59" s="216">
        <f>'ריכוז נתוני 2016'!AH255</f>
        <v>120.94163911668096</v>
      </c>
      <c r="J59" s="216">
        <f>'ריכוז נתוני 2016'!AE255</f>
        <v>0</v>
      </c>
      <c r="K59" s="216">
        <f>'ריכוז נתוני 2016'!AG255</f>
        <v>180.92699441716627</v>
      </c>
      <c r="L59" s="283" t="str">
        <f t="shared" si="70"/>
        <v>OK</v>
      </c>
      <c r="M59" s="288">
        <f t="shared" si="71"/>
        <v>0</v>
      </c>
      <c r="N59" s="288">
        <f>'ריכוז נתוני 2016'!X255</f>
        <v>0.65953717352685493</v>
      </c>
      <c r="O59" s="288">
        <f>'ריכוז נתוני 2016'!Y255</f>
        <v>6.4472540348490009E-2</v>
      </c>
      <c r="P59" s="288">
        <f>'ריכוז נתוני 2016'!Z255</f>
        <v>0.27599028612465509</v>
      </c>
      <c r="Q59" s="288">
        <f>'ריכוז נתוני 2016'!AA255</f>
        <v>0</v>
      </c>
      <c r="R59" s="288">
        <f>'ריכוז נתוני 2016'!AB255</f>
        <v>0</v>
      </c>
    </row>
    <row r="60" spans="1:19" ht="14.25">
      <c r="A60" s="284" t="str">
        <f>Chapter!I33</f>
        <v>Financing Expenses</v>
      </c>
      <c r="B60" s="509">
        <f t="shared" si="66"/>
        <v>4.4866595308357011</v>
      </c>
      <c r="C60" s="509">
        <f t="shared" si="67"/>
        <v>1.7975499854538757</v>
      </c>
      <c r="D60" s="509">
        <f t="shared" si="68"/>
        <v>0</v>
      </c>
      <c r="E60" s="509">
        <f t="shared" si="69"/>
        <v>2.6891095453818252</v>
      </c>
      <c r="F60" s="261" t="s">
        <v>4720</v>
      </c>
      <c r="H60" s="216">
        <f>'ריכוז נתוני 2016'!AD253</f>
        <v>53.83991437002841</v>
      </c>
      <c r="I60" s="216">
        <f>'ריכוז נתוני 2016'!AH253</f>
        <v>21.570599825446507</v>
      </c>
      <c r="J60" s="216">
        <f>'ריכוז נתוני 2016'!AE253</f>
        <v>0</v>
      </c>
      <c r="K60" s="216">
        <f>'ריכוז נתוני 2016'!AG253</f>
        <v>32.269314544581903</v>
      </c>
      <c r="L60" s="283" t="str">
        <f t="shared" si="70"/>
        <v>OK</v>
      </c>
      <c r="M60" s="288">
        <f t="shared" si="71"/>
        <v>0</v>
      </c>
      <c r="N60" s="288">
        <f>'ריכוז נתוני 2016'!X253</f>
        <v>0</v>
      </c>
      <c r="O60" s="288">
        <f>'ריכוז נתוני 2016'!Y253</f>
        <v>0</v>
      </c>
      <c r="P60" s="288">
        <f>'ריכוז נתוני 2016'!Z253</f>
        <v>1</v>
      </c>
      <c r="Q60" s="288">
        <f>'ריכוז נתוני 2016'!AA253</f>
        <v>0</v>
      </c>
      <c r="R60" s="288">
        <f>'ריכוז נתוני 2016'!AB253</f>
        <v>0</v>
      </c>
    </row>
    <row r="61" spans="1:19" ht="14.25">
      <c r="A61" s="284" t="str">
        <f>Chapter!I36</f>
        <v>Loan Redemption/Payment</v>
      </c>
      <c r="B61" s="509">
        <f t="shared" si="66"/>
        <v>49.620671632421328</v>
      </c>
      <c r="C61" s="509">
        <f t="shared" si="67"/>
        <v>19.880188580847499</v>
      </c>
      <c r="D61" s="509">
        <f t="shared" si="68"/>
        <v>0</v>
      </c>
      <c r="E61" s="509">
        <f t="shared" si="69"/>
        <v>29.740483051573822</v>
      </c>
      <c r="F61" s="261" t="s">
        <v>4720</v>
      </c>
      <c r="H61" s="216">
        <f>'ריכוז נתוני 2016'!AD256</f>
        <v>595.4480595890559</v>
      </c>
      <c r="I61" s="216">
        <f>'ריכוז נתוני 2016'!AH256</f>
        <v>238.56226297016997</v>
      </c>
      <c r="J61" s="216">
        <f>'ריכוז נתוני 2016'!AE256</f>
        <v>0</v>
      </c>
      <c r="K61" s="216">
        <f>'ריכוז נתוני 2016'!AG256</f>
        <v>356.88579661888588</v>
      </c>
      <c r="L61" s="283" t="str">
        <f t="shared" si="70"/>
        <v>OK</v>
      </c>
      <c r="M61" s="288">
        <f t="shared" si="71"/>
        <v>0</v>
      </c>
      <c r="N61" s="288">
        <f>'ריכוז נתוני 2016'!X256</f>
        <v>0</v>
      </c>
      <c r="O61" s="288">
        <f>'ריכוז נתוני 2016'!Y256</f>
        <v>0</v>
      </c>
      <c r="P61" s="288">
        <f>'ריכוז נתוני 2016'!Z256</f>
        <v>0</v>
      </c>
      <c r="Q61" s="288">
        <f>'ריכוז נתוני 2016'!AA256</f>
        <v>0</v>
      </c>
      <c r="R61" s="288">
        <f>'ריכוז נתוני 2016'!AB256</f>
        <v>1</v>
      </c>
    </row>
    <row r="62" spans="1:19" ht="14.25">
      <c r="A62" s="284" t="s">
        <v>4757</v>
      </c>
      <c r="B62" s="509">
        <f t="shared" si="66"/>
        <v>7.1061852983721492</v>
      </c>
      <c r="C62" s="509">
        <f t="shared" si="67"/>
        <v>1.405791227365782</v>
      </c>
      <c r="D62" s="509">
        <f t="shared" si="68"/>
        <v>0</v>
      </c>
      <c r="E62" s="509">
        <f t="shared" si="69"/>
        <v>5.7003940710063858</v>
      </c>
      <c r="F62" s="261" t="s">
        <v>4720</v>
      </c>
      <c r="H62" s="216">
        <f>'ריכוז נתוני 2016'!AD257-H63-H64</f>
        <v>85.274223580465787</v>
      </c>
      <c r="I62" s="216">
        <f>'ריכוז נתוני 2016'!AH257-I63-I64</f>
        <v>16.869494728389384</v>
      </c>
      <c r="J62" s="216">
        <f>'ריכוז נתוני 2016'!AE257-J63-J64</f>
        <v>0</v>
      </c>
      <c r="K62" s="216">
        <f>'ריכוז נתוני 2016'!AG257-K63-K64</f>
        <v>68.40472885207663</v>
      </c>
      <c r="L62" s="283">
        <f t="shared" si="70"/>
        <v>85.274223580466014</v>
      </c>
      <c r="M62" s="288">
        <f t="shared" si="71"/>
        <v>0</v>
      </c>
      <c r="N62" s="288">
        <f>'ריכוז נתוני 2016'!X257</f>
        <v>0.54337878549315211</v>
      </c>
      <c r="O62" s="289">
        <f>'ריכוז נתוני 2016'!Y257</f>
        <v>2.3472157330724375E-2</v>
      </c>
      <c r="P62" s="289">
        <f>'ריכוז נתוני 2016'!Z257</f>
        <v>1.3633849962409308E-2</v>
      </c>
      <c r="Q62" s="289">
        <f>'ריכוז נתוני 2016'!AA257</f>
        <v>0.41951520721371421</v>
      </c>
      <c r="R62" s="288">
        <f>'ריכוז נתוני 2016'!AB257</f>
        <v>0</v>
      </c>
    </row>
    <row r="63" spans="1:19" ht="14.25">
      <c r="A63" s="284" t="s">
        <v>8912</v>
      </c>
      <c r="B63" s="509">
        <f t="shared" si="66"/>
        <v>61.033128978107982</v>
      </c>
      <c r="C63" s="509">
        <f t="shared" si="67"/>
        <v>24.452512911397026</v>
      </c>
      <c r="D63" s="509">
        <f t="shared" si="68"/>
        <v>0</v>
      </c>
      <c r="E63" s="509">
        <f t="shared" si="69"/>
        <v>36.580616066710945</v>
      </c>
      <c r="F63" s="261" t="s">
        <v>4720</v>
      </c>
      <c r="H63" s="216">
        <f>'ריכוז נתוני 2016'!AD268</f>
        <v>732.39754773729578</v>
      </c>
      <c r="I63" s="216">
        <f>'ריכוז נתוני 2016'!AH268</f>
        <v>293.43015493676432</v>
      </c>
      <c r="J63" s="216">
        <f>'ריכוז נתוני 2016'!AE268</f>
        <v>0</v>
      </c>
      <c r="K63" s="216">
        <f>'ריכוז נתוני 2016'!AG268</f>
        <v>438.96739280053134</v>
      </c>
      <c r="L63" s="283" t="str">
        <f t="shared" ref="L63:L64" si="72">IF(ROUNDDOWN(K63+J63+I63,0)=ROUNDDOWN(H63,0),"OK",K63+J63+I63)</f>
        <v>OK</v>
      </c>
    </row>
    <row r="64" spans="1:19" ht="14.25">
      <c r="A64" s="284" t="s">
        <v>8913</v>
      </c>
      <c r="B64" s="509">
        <f t="shared" si="66"/>
        <v>47.540763240643194</v>
      </c>
      <c r="C64" s="509">
        <f t="shared" si="67"/>
        <v>19.046887263087424</v>
      </c>
      <c r="D64" s="509">
        <f t="shared" si="68"/>
        <v>0</v>
      </c>
      <c r="E64" s="509">
        <f t="shared" si="69"/>
        <v>28.49387597755576</v>
      </c>
      <c r="F64" s="261" t="s">
        <v>4720</v>
      </c>
      <c r="H64" s="216">
        <f>'ריכוז נתוני 2016'!AD269</f>
        <v>570.4891588877183</v>
      </c>
      <c r="I64" s="216">
        <f>'ריכוז נתוני 2016'!AH269</f>
        <v>228.56264715704907</v>
      </c>
      <c r="J64" s="216">
        <f>'ריכוז נתוני 2016'!AE269</f>
        <v>0</v>
      </c>
      <c r="K64" s="216">
        <f>'ריכוז נתוני 2016'!AG269</f>
        <v>341.92651173066912</v>
      </c>
      <c r="L64" s="283" t="str">
        <f t="shared" si="72"/>
        <v>OK</v>
      </c>
    </row>
    <row r="66" spans="1:14">
      <c r="H66" s="519" t="s">
        <v>2567</v>
      </c>
      <c r="I66" s="519"/>
      <c r="J66" s="519"/>
      <c r="K66" s="519"/>
    </row>
    <row r="67" spans="1:14" ht="51">
      <c r="A67"/>
      <c r="H67" s="205" t="s">
        <v>4775</v>
      </c>
      <c r="I67" s="206" t="s">
        <v>2535</v>
      </c>
      <c r="J67" s="206" t="s">
        <v>2536</v>
      </c>
      <c r="K67" s="207" t="s">
        <v>2537</v>
      </c>
      <c r="L67" s="255" t="s">
        <v>7642</v>
      </c>
    </row>
    <row r="68" spans="1:14">
      <c r="H68" s="283">
        <f>4*H2+H7+H8+2*H72+2*H9</f>
        <v>54150.258075259539</v>
      </c>
      <c r="I68" s="283">
        <f>4*I2+I7+I8+2*I72+2*I9</f>
        <v>12929.008054285507</v>
      </c>
      <c r="J68" s="283">
        <f>4*J2+J7+J8+2*J72+2*J9</f>
        <v>23873.316008307869</v>
      </c>
      <c r="K68" s="283">
        <f>4*K2+K7+K8+2*K72+2*K9</f>
        <v>17347.934012666159</v>
      </c>
      <c r="M68" s="288">
        <f t="shared" ref="M68:M101" si="73">J68/H68</f>
        <v>0.44087169400241949</v>
      </c>
      <c r="N68" s="283">
        <f>I68+J68+K68</f>
        <v>54150.258075259539</v>
      </c>
    </row>
    <row r="69" spans="1:14">
      <c r="F69" t="s">
        <v>4776</v>
      </c>
      <c r="G69" s="219" t="s">
        <v>2538</v>
      </c>
      <c r="H69" s="213">
        <f>H2</f>
        <v>5385.6900041821254</v>
      </c>
      <c r="I69" s="213">
        <f>I2</f>
        <v>1826.4664249596078</v>
      </c>
      <c r="J69" s="213">
        <f>J2</f>
        <v>1099.8995327782777</v>
      </c>
      <c r="K69" s="213">
        <f>K2</f>
        <v>2459.3240464442397</v>
      </c>
      <c r="L69" s="305">
        <v>4</v>
      </c>
      <c r="M69" s="288">
        <f t="shared" si="73"/>
        <v>0.20422629819469329</v>
      </c>
    </row>
    <row r="70" spans="1:14">
      <c r="F70" t="s">
        <v>4777</v>
      </c>
      <c r="G70" s="262" t="s">
        <v>4759</v>
      </c>
      <c r="H70" s="213">
        <f>H7+H9</f>
        <v>11311.843725325371</v>
      </c>
      <c r="I70" s="213">
        <f>I7+I9</f>
        <v>2484.7390854499363</v>
      </c>
      <c r="J70" s="213">
        <f>J7+J9</f>
        <v>5244.9079706506946</v>
      </c>
      <c r="K70" s="213">
        <f>K7+K9</f>
        <v>3582.1966692247397</v>
      </c>
      <c r="L70" s="305">
        <v>1</v>
      </c>
      <c r="M70" s="288">
        <f t="shared" si="73"/>
        <v>0.46366517236338778</v>
      </c>
    </row>
    <row r="71" spans="1:14">
      <c r="F71" t="s">
        <v>4777</v>
      </c>
      <c r="G71" s="217" t="s">
        <v>2543</v>
      </c>
      <c r="H71" s="213">
        <f>H8+H9</f>
        <v>20793.781007140667</v>
      </c>
      <c r="I71" s="213">
        <f>I8+I9</f>
        <v>2932.1317842660383</v>
      </c>
      <c r="J71" s="213">
        <f>J8+J9</f>
        <v>14228.809906544062</v>
      </c>
      <c r="K71" s="213">
        <f>K8+K9</f>
        <v>3632.8393163305673</v>
      </c>
      <c r="L71" s="305">
        <v>1</v>
      </c>
      <c r="M71" s="288">
        <f t="shared" si="73"/>
        <v>0.68428199285439395</v>
      </c>
    </row>
    <row r="72" spans="1:14" ht="15" thickBot="1">
      <c r="F72" s="313" t="s">
        <v>4797</v>
      </c>
      <c r="G72" s="306" t="s">
        <v>4755</v>
      </c>
      <c r="H72" s="307">
        <f>H92</f>
        <v>250.93666303249682</v>
      </c>
      <c r="I72" s="307">
        <f t="shared" ref="I72:K72" si="74">I92</f>
        <v>103.13574236555101</v>
      </c>
      <c r="J72" s="307">
        <f t="shared" si="74"/>
        <v>0</v>
      </c>
      <c r="K72" s="307">
        <f t="shared" si="74"/>
        <v>147.80092066694581</v>
      </c>
      <c r="L72" s="308">
        <v>2</v>
      </c>
      <c r="M72" s="288">
        <f t="shared" si="73"/>
        <v>0</v>
      </c>
    </row>
    <row r="73" spans="1:14">
      <c r="E73" s="245" t="s">
        <v>4812</v>
      </c>
      <c r="F73" s="224" t="s">
        <v>4778</v>
      </c>
      <c r="H73" s="213">
        <f>H22</f>
        <v>1300.1023629739175</v>
      </c>
      <c r="I73" s="213">
        <f>I22</f>
        <v>520.87727352403249</v>
      </c>
      <c r="J73" s="213">
        <f>J22</f>
        <v>0</v>
      </c>
      <c r="K73" s="213">
        <f>K22</f>
        <v>779.22508944988499</v>
      </c>
      <c r="L73" s="305">
        <v>4</v>
      </c>
      <c r="M73" s="288">
        <f t="shared" si="73"/>
        <v>0</v>
      </c>
    </row>
    <row r="74" spans="1:14">
      <c r="A74"/>
      <c r="F74" s="310" t="s">
        <v>4779</v>
      </c>
      <c r="H74" s="213">
        <f>H58</f>
        <v>348.94575548098607</v>
      </c>
      <c r="I74" s="213">
        <f t="shared" ref="I74:K74" si="75">I58</f>
        <v>139.8027716117351</v>
      </c>
      <c r="J74" s="213">
        <f t="shared" si="75"/>
        <v>0</v>
      </c>
      <c r="K74" s="213">
        <f t="shared" si="75"/>
        <v>209.14298386925091</v>
      </c>
      <c r="L74" s="305">
        <v>4</v>
      </c>
      <c r="M74" s="288">
        <f t="shared" si="73"/>
        <v>0</v>
      </c>
    </row>
    <row r="75" spans="1:14">
      <c r="F75" s="310" t="s">
        <v>4780</v>
      </c>
      <c r="H75" s="213">
        <f t="shared" ref="H75:K77" si="76">H59</f>
        <v>301.86863353384723</v>
      </c>
      <c r="I75" s="213">
        <f t="shared" si="76"/>
        <v>120.94163911668096</v>
      </c>
      <c r="J75" s="213">
        <f t="shared" si="76"/>
        <v>0</v>
      </c>
      <c r="K75" s="213">
        <f t="shared" si="76"/>
        <v>180.92699441716627</v>
      </c>
      <c r="L75" s="305">
        <v>4</v>
      </c>
      <c r="M75" s="288">
        <f t="shared" si="73"/>
        <v>0</v>
      </c>
    </row>
    <row r="76" spans="1:14">
      <c r="F76" s="310" t="s">
        <v>4781</v>
      </c>
      <c r="H76" s="213">
        <f t="shared" si="76"/>
        <v>53.83991437002841</v>
      </c>
      <c r="I76" s="213">
        <f t="shared" si="76"/>
        <v>21.570599825446507</v>
      </c>
      <c r="J76" s="213">
        <f t="shared" si="76"/>
        <v>0</v>
      </c>
      <c r="K76" s="213">
        <f t="shared" si="76"/>
        <v>32.269314544581903</v>
      </c>
      <c r="L76" s="305">
        <v>4</v>
      </c>
      <c r="M76" s="288">
        <f t="shared" si="73"/>
        <v>0</v>
      </c>
    </row>
    <row r="77" spans="1:14">
      <c r="A77"/>
      <c r="F77" s="310" t="s">
        <v>4782</v>
      </c>
      <c r="H77" s="213">
        <f t="shared" si="76"/>
        <v>595.4480595890559</v>
      </c>
      <c r="I77" s="213">
        <f t="shared" si="76"/>
        <v>238.56226297016997</v>
      </c>
      <c r="J77" s="213">
        <f t="shared" si="76"/>
        <v>0</v>
      </c>
      <c r="K77" s="213">
        <f t="shared" si="76"/>
        <v>356.88579661888588</v>
      </c>
      <c r="L77" s="305">
        <v>4</v>
      </c>
      <c r="M77" s="288">
        <f t="shared" si="73"/>
        <v>0</v>
      </c>
    </row>
    <row r="78" spans="1:14">
      <c r="A78"/>
      <c r="E78" s="245" t="s">
        <v>4812</v>
      </c>
      <c r="F78" s="129" t="s">
        <v>4793</v>
      </c>
      <c r="H78" s="213">
        <f>H26</f>
        <v>85.274223580465787</v>
      </c>
      <c r="I78" s="213">
        <f>I26</f>
        <v>16.869494728389384</v>
      </c>
      <c r="J78" s="213">
        <f>J26</f>
        <v>0</v>
      </c>
      <c r="K78" s="213">
        <f>K26</f>
        <v>68.40472885207663</v>
      </c>
      <c r="L78" s="305">
        <v>4</v>
      </c>
      <c r="M78" s="288">
        <f t="shared" si="73"/>
        <v>0</v>
      </c>
    </row>
    <row r="79" spans="1:14">
      <c r="A79"/>
      <c r="E79" s="245" t="s">
        <v>4812</v>
      </c>
      <c r="F79" s="224" t="s">
        <v>4783</v>
      </c>
      <c r="H79" s="213">
        <f>H23</f>
        <v>1406.1049535868444</v>
      </c>
      <c r="I79" s="213">
        <f>I23</f>
        <v>630.96604010370982</v>
      </c>
      <c r="J79" s="213">
        <f>J23</f>
        <v>3.7063967541486447</v>
      </c>
      <c r="K79" s="213">
        <f>K23</f>
        <v>771.432516728986</v>
      </c>
      <c r="L79" s="305">
        <v>4</v>
      </c>
      <c r="M79" s="288">
        <f t="shared" si="73"/>
        <v>2.6359317949161388E-3</v>
      </c>
    </row>
    <row r="80" spans="1:14">
      <c r="A80"/>
      <c r="F80" s="311" t="s">
        <v>4784</v>
      </c>
      <c r="H80" s="213">
        <f>H47</f>
        <v>490.55542694588991</v>
      </c>
      <c r="I80" s="213">
        <f t="shared" ref="I80:K80" si="77">I47</f>
        <v>182.07477719596423</v>
      </c>
      <c r="J80" s="213">
        <f t="shared" si="77"/>
        <v>0</v>
      </c>
      <c r="K80" s="213">
        <f t="shared" si="77"/>
        <v>308.48064974992559</v>
      </c>
      <c r="L80" s="305">
        <v>4</v>
      </c>
      <c r="M80" s="288">
        <f t="shared" si="73"/>
        <v>0</v>
      </c>
    </row>
    <row r="81" spans="1:13">
      <c r="A81"/>
      <c r="F81" s="311" t="s">
        <v>4785</v>
      </c>
      <c r="H81" s="213">
        <f t="shared" ref="H81:H87" si="78">H48</f>
        <v>97.483761247836071</v>
      </c>
      <c r="I81" s="213">
        <f t="shared" ref="I81:K81" si="79">I48</f>
        <v>37.655946270896344</v>
      </c>
      <c r="J81" s="213">
        <f t="shared" si="79"/>
        <v>3.5281188919962325</v>
      </c>
      <c r="K81" s="213">
        <f t="shared" si="79"/>
        <v>56.299696084943498</v>
      </c>
      <c r="L81" s="305">
        <v>4</v>
      </c>
      <c r="M81" s="288">
        <f t="shared" si="73"/>
        <v>3.6191862591622652E-2</v>
      </c>
    </row>
    <row r="82" spans="1:13">
      <c r="A82"/>
      <c r="F82" s="311" t="s">
        <v>4786</v>
      </c>
      <c r="H82" s="213">
        <f t="shared" si="78"/>
        <v>176.59171013217443</v>
      </c>
      <c r="I82" s="213">
        <f t="shared" ref="I82:K82" si="80">I49</f>
        <v>54.873602123303087</v>
      </c>
      <c r="J82" s="213">
        <f t="shared" si="80"/>
        <v>0.17827786215241195</v>
      </c>
      <c r="K82" s="213">
        <f t="shared" si="80"/>
        <v>121.53983014671894</v>
      </c>
      <c r="L82" s="305">
        <v>4</v>
      </c>
      <c r="M82" s="288">
        <f t="shared" si="73"/>
        <v>1.0095483078960811E-3</v>
      </c>
    </row>
    <row r="83" spans="1:13">
      <c r="F83" s="311" t="s">
        <v>4787</v>
      </c>
      <c r="H83" s="213">
        <f t="shared" si="78"/>
        <v>398.90242145761061</v>
      </c>
      <c r="I83" s="213">
        <f t="shared" ref="I83:K83" si="81">I50</f>
        <v>263.89826697436121</v>
      </c>
      <c r="J83" s="213">
        <f t="shared" si="81"/>
        <v>0</v>
      </c>
      <c r="K83" s="213">
        <f t="shared" si="81"/>
        <v>135.00415448324944</v>
      </c>
      <c r="L83" s="305">
        <v>4</v>
      </c>
      <c r="M83" s="288">
        <f t="shared" si="73"/>
        <v>0</v>
      </c>
    </row>
    <row r="84" spans="1:13">
      <c r="A84"/>
      <c r="F84" s="311" t="s">
        <v>4788</v>
      </c>
      <c r="H84" s="213">
        <f t="shared" si="78"/>
        <v>6.6690182673974263</v>
      </c>
      <c r="I84" s="213">
        <f t="shared" ref="I84:K84" si="82">I51</f>
        <v>2.6718973452659038</v>
      </c>
      <c r="J84" s="213">
        <f t="shared" si="82"/>
        <v>0</v>
      </c>
      <c r="K84" s="213">
        <f t="shared" si="82"/>
        <v>3.997120922131522</v>
      </c>
      <c r="L84" s="305">
        <v>4</v>
      </c>
      <c r="M84" s="288">
        <f t="shared" si="73"/>
        <v>0</v>
      </c>
    </row>
    <row r="85" spans="1:13">
      <c r="A85"/>
      <c r="F85" s="311" t="s">
        <v>4789</v>
      </c>
      <c r="H85" s="213">
        <f t="shared" si="78"/>
        <v>111.300295564648</v>
      </c>
      <c r="I85" s="213">
        <f t="shared" ref="I85:K85" si="83">I52</f>
        <v>44.591715350413438</v>
      </c>
      <c r="J85" s="213">
        <f t="shared" si="83"/>
        <v>0</v>
      </c>
      <c r="K85" s="213">
        <f t="shared" si="83"/>
        <v>66.708580214234559</v>
      </c>
      <c r="L85" s="305">
        <v>4</v>
      </c>
      <c r="M85" s="288">
        <f t="shared" si="73"/>
        <v>0</v>
      </c>
    </row>
    <row r="86" spans="1:13">
      <c r="A86"/>
      <c r="F86" s="311" t="s">
        <v>4790</v>
      </c>
      <c r="H86" s="213">
        <f t="shared" si="78"/>
        <v>20.084427394366426</v>
      </c>
      <c r="I86" s="213">
        <f t="shared" ref="I86:K86" si="84">I53</f>
        <v>8.0466908448183858</v>
      </c>
      <c r="J86" s="213">
        <f t="shared" si="84"/>
        <v>0</v>
      </c>
      <c r="K86" s="213">
        <f t="shared" si="84"/>
        <v>12.03773654954804</v>
      </c>
      <c r="L86" s="305">
        <v>4</v>
      </c>
      <c r="M86" s="288">
        <f t="shared" si="73"/>
        <v>0</v>
      </c>
    </row>
    <row r="87" spans="1:13">
      <c r="A87"/>
      <c r="F87" s="311" t="s">
        <v>4791</v>
      </c>
      <c r="H87" s="213">
        <f t="shared" si="78"/>
        <v>104.51789257692164</v>
      </c>
      <c r="I87" s="213">
        <f t="shared" ref="I87:K87" si="85">I54</f>
        <v>37.153143998687277</v>
      </c>
      <c r="J87" s="213">
        <f t="shared" si="85"/>
        <v>0</v>
      </c>
      <c r="K87" s="213">
        <f t="shared" si="85"/>
        <v>67.364748578234355</v>
      </c>
      <c r="L87" s="305">
        <v>4</v>
      </c>
      <c r="M87" s="288">
        <f t="shared" si="73"/>
        <v>0</v>
      </c>
    </row>
    <row r="88" spans="1:13">
      <c r="A88"/>
      <c r="E88" s="245" t="s">
        <v>4812</v>
      </c>
      <c r="F88" s="224" t="s">
        <v>4792</v>
      </c>
      <c r="H88" s="213">
        <f>H24</f>
        <v>1120.4775740652399</v>
      </c>
      <c r="I88" s="213">
        <f>I24</f>
        <v>386.2437414938247</v>
      </c>
      <c r="J88" s="213">
        <f>J24</f>
        <v>253.06899088259181</v>
      </c>
      <c r="K88" s="213">
        <f>K24</f>
        <v>481.16484168882334</v>
      </c>
      <c r="L88" s="305">
        <v>4</v>
      </c>
      <c r="M88" s="288">
        <f t="shared" si="73"/>
        <v>0.22585814900732396</v>
      </c>
    </row>
    <row r="89" spans="1:13">
      <c r="A89"/>
      <c r="F89" s="311" t="s">
        <v>4794</v>
      </c>
      <c r="H89" s="213">
        <f>H39</f>
        <v>91.184847822267059</v>
      </c>
      <c r="I89" s="213">
        <f t="shared" ref="I89:K89" si="86">I39</f>
        <v>39.862362934533557</v>
      </c>
      <c r="J89" s="213">
        <f t="shared" si="86"/>
        <v>3.3480582512222963</v>
      </c>
      <c r="K89" s="213">
        <f t="shared" si="86"/>
        <v>47.974426636511197</v>
      </c>
      <c r="L89" s="305">
        <v>4</v>
      </c>
      <c r="M89" s="288">
        <f t="shared" si="73"/>
        <v>3.6717265326232311E-2</v>
      </c>
    </row>
    <row r="90" spans="1:13">
      <c r="A90"/>
      <c r="F90" s="311" t="s">
        <v>4795</v>
      </c>
      <c r="H90" s="213">
        <f t="shared" ref="H90:H93" si="87">H40</f>
        <v>188.23682008796999</v>
      </c>
      <c r="I90" s="213">
        <f t="shared" ref="I90:K90" si="88">I40</f>
        <v>82.297087846247265</v>
      </c>
      <c r="J90" s="213">
        <f t="shared" si="88"/>
        <v>0</v>
      </c>
      <c r="K90" s="213">
        <f t="shared" si="88"/>
        <v>105.93973224172272</v>
      </c>
      <c r="L90" s="305">
        <v>4</v>
      </c>
      <c r="M90" s="288">
        <f t="shared" si="73"/>
        <v>0</v>
      </c>
    </row>
    <row r="91" spans="1:13">
      <c r="F91" s="311" t="s">
        <v>4796</v>
      </c>
      <c r="H91" s="213">
        <f t="shared" si="87"/>
        <v>795.91060312214756</v>
      </c>
      <c r="I91" s="213">
        <f t="shared" ref="I91:K91" si="89">I41</f>
        <v>245.85822083653471</v>
      </c>
      <c r="J91" s="213">
        <f t="shared" si="89"/>
        <v>249.72093263136952</v>
      </c>
      <c r="K91" s="213">
        <f t="shared" si="89"/>
        <v>300.33144965424333</v>
      </c>
      <c r="L91" s="305">
        <v>4</v>
      </c>
      <c r="M91" s="288">
        <f t="shared" si="73"/>
        <v>0.31375500169463771</v>
      </c>
    </row>
    <row r="92" spans="1:13">
      <c r="A92"/>
      <c r="F92" s="317" t="s">
        <v>4797</v>
      </c>
      <c r="G92" s="314"/>
      <c r="H92" s="315">
        <f t="shared" si="87"/>
        <v>250.93666303249682</v>
      </c>
      <c r="I92" s="315">
        <f t="shared" ref="I92:K92" si="90">I42</f>
        <v>103.13574236555101</v>
      </c>
      <c r="J92" s="315">
        <f t="shared" si="90"/>
        <v>0</v>
      </c>
      <c r="K92" s="315">
        <f t="shared" si="90"/>
        <v>147.80092066694581</v>
      </c>
      <c r="L92" s="316">
        <v>2</v>
      </c>
      <c r="M92" s="288">
        <f t="shared" si="73"/>
        <v>0</v>
      </c>
    </row>
    <row r="93" spans="1:13">
      <c r="A93"/>
      <c r="F93" s="311" t="s">
        <v>4798</v>
      </c>
      <c r="H93" s="213">
        <f t="shared" si="87"/>
        <v>45.145303032855281</v>
      </c>
      <c r="I93" s="213">
        <f t="shared" ref="I93:K93" si="91">I43</f>
        <v>18.22606987650919</v>
      </c>
      <c r="J93" s="213">
        <f t="shared" si="91"/>
        <v>0</v>
      </c>
      <c r="K93" s="213">
        <f t="shared" si="91"/>
        <v>26.919233156346085</v>
      </c>
      <c r="L93" s="305">
        <v>4</v>
      </c>
      <c r="M93" s="288">
        <f t="shared" si="73"/>
        <v>0</v>
      </c>
    </row>
    <row r="94" spans="1:13">
      <c r="A94"/>
      <c r="E94" s="245" t="s">
        <v>4812</v>
      </c>
      <c r="F94" s="224" t="s">
        <v>4811</v>
      </c>
      <c r="H94" s="213">
        <f>H25</f>
        <v>67.969148057055662</v>
      </c>
      <c r="I94" s="213">
        <f>I25</f>
        <v>27.231382337254246</v>
      </c>
      <c r="J94" s="213">
        <f>J25</f>
        <v>0</v>
      </c>
      <c r="K94" s="213">
        <f>K25</f>
        <v>40.737765719801416</v>
      </c>
      <c r="L94" s="305">
        <v>4</v>
      </c>
      <c r="M94" s="288">
        <f t="shared" si="73"/>
        <v>0</v>
      </c>
    </row>
    <row r="95" spans="1:13">
      <c r="A95"/>
      <c r="F95" s="311" t="s">
        <v>4808</v>
      </c>
      <c r="H95" s="213">
        <f>H29</f>
        <v>2.5315456425642497</v>
      </c>
      <c r="I95" s="213">
        <f>I29</f>
        <v>1.0142467467594052</v>
      </c>
      <c r="J95" s="213">
        <f>J29</f>
        <v>0</v>
      </c>
      <c r="K95" s="213">
        <f>K29</f>
        <v>1.5172988958048443</v>
      </c>
      <c r="L95" s="305">
        <v>4</v>
      </c>
      <c r="M95" s="288">
        <f t="shared" si="73"/>
        <v>0</v>
      </c>
    </row>
    <row r="96" spans="1:13">
      <c r="A96"/>
      <c r="F96" s="312" t="s">
        <v>4804</v>
      </c>
      <c r="H96" s="213">
        <f t="shared" ref="H96:K97" si="92">H31</f>
        <v>0</v>
      </c>
      <c r="I96" s="213">
        <f t="shared" si="92"/>
        <v>0</v>
      </c>
      <c r="J96" s="213">
        <f t="shared" si="92"/>
        <v>0</v>
      </c>
      <c r="K96" s="213">
        <f t="shared" si="92"/>
        <v>0</v>
      </c>
      <c r="L96" s="305">
        <v>4</v>
      </c>
      <c r="M96" s="288" t="e">
        <f t="shared" si="73"/>
        <v>#DIV/0!</v>
      </c>
    </row>
    <row r="97" spans="1:13">
      <c r="A97"/>
      <c r="F97" s="312" t="s">
        <v>4805</v>
      </c>
      <c r="H97" s="213">
        <f t="shared" si="92"/>
        <v>0.96983157010912102</v>
      </c>
      <c r="I97" s="213">
        <f t="shared" si="92"/>
        <v>0.38855650016698345</v>
      </c>
      <c r="J97" s="213">
        <f t="shared" si="92"/>
        <v>0</v>
      </c>
      <c r="K97" s="213">
        <f t="shared" si="92"/>
        <v>0.58127506994213751</v>
      </c>
      <c r="L97" s="305">
        <v>4</v>
      </c>
      <c r="M97" s="288">
        <f t="shared" si="73"/>
        <v>0</v>
      </c>
    </row>
    <row r="98" spans="1:13">
      <c r="F98" s="312" t="s">
        <v>4809</v>
      </c>
      <c r="H98" s="213">
        <f>H30</f>
        <v>1.7824220657998147</v>
      </c>
      <c r="I98" s="213">
        <f>I30</f>
        <v>0.71411542071130518</v>
      </c>
      <c r="J98" s="213">
        <f>J30</f>
        <v>0</v>
      </c>
      <c r="K98" s="213">
        <f>K30</f>
        <v>1.0683066450885093</v>
      </c>
      <c r="L98" s="305">
        <v>4</v>
      </c>
      <c r="M98" s="288"/>
    </row>
    <row r="99" spans="1:13">
      <c r="A99"/>
      <c r="F99" s="312" t="s">
        <v>4806</v>
      </c>
      <c r="H99" s="213">
        <f>H33</f>
        <v>0</v>
      </c>
      <c r="I99" s="213">
        <f t="shared" ref="I99:K99" si="93">I33</f>
        <v>0</v>
      </c>
      <c r="J99" s="213">
        <f t="shared" si="93"/>
        <v>0</v>
      </c>
      <c r="K99" s="213">
        <f t="shared" si="93"/>
        <v>0</v>
      </c>
      <c r="L99" s="305">
        <v>4</v>
      </c>
      <c r="M99" s="288" t="e">
        <f t="shared" si="73"/>
        <v>#DIV/0!</v>
      </c>
    </row>
    <row r="100" spans="1:13">
      <c r="A100"/>
      <c r="F100" s="312" t="s">
        <v>4810</v>
      </c>
      <c r="H100" s="213">
        <f>H35+H34</f>
        <v>34.244681429408203</v>
      </c>
      <c r="I100" s="213">
        <f>I35+I34</f>
        <v>13.71990145056529</v>
      </c>
      <c r="J100" s="213">
        <f>J35+J34</f>
        <v>0</v>
      </c>
      <c r="K100" s="213">
        <f>K35+K34</f>
        <v>20.524779978842908</v>
      </c>
      <c r="L100" s="305">
        <v>4</v>
      </c>
      <c r="M100" s="288">
        <f t="shared" si="73"/>
        <v>0</v>
      </c>
    </row>
    <row r="101" spans="1:13">
      <c r="A101"/>
      <c r="F101" s="311" t="s">
        <v>4807</v>
      </c>
      <c r="H101" s="213">
        <f t="shared" ref="H101:K101" si="94">H36</f>
        <v>28.44066734917428</v>
      </c>
      <c r="I101" s="213">
        <f t="shared" si="94"/>
        <v>11.394562219051263</v>
      </c>
      <c r="J101" s="213">
        <f t="shared" si="94"/>
        <v>0</v>
      </c>
      <c r="K101" s="213">
        <f t="shared" si="94"/>
        <v>17.046105130123017</v>
      </c>
      <c r="L101" s="305">
        <v>4</v>
      </c>
      <c r="M101" s="288">
        <f t="shared" si="73"/>
        <v>0</v>
      </c>
    </row>
    <row r="102" spans="1:13">
      <c r="H102" s="283">
        <f>H73+H78+H79+H94+H88</f>
        <v>3979.9282622635233</v>
      </c>
    </row>
  </sheetData>
  <mergeCells count="3">
    <mergeCell ref="H66:K66"/>
    <mergeCell ref="H1:K1"/>
    <mergeCell ref="F21:F26"/>
  </mergeCells>
  <conditionalFormatting sqref="M6:R12 M15:R19 M36 M30:R35 N47:R54">
    <cfRule type="cellIs" dxfId="29" priority="31" operator="greaterThan">
      <formula>0.5</formula>
    </cfRule>
  </conditionalFormatting>
  <conditionalFormatting sqref="N58:R62">
    <cfRule type="cellIs" dxfId="28" priority="30" operator="greaterThan">
      <formula>0.5</formula>
    </cfRule>
  </conditionalFormatting>
  <conditionalFormatting sqref="N22:R26">
    <cfRule type="cellIs" dxfId="27" priority="27" operator="greaterThan">
      <formula>0.5</formula>
    </cfRule>
  </conditionalFormatting>
  <conditionalFormatting sqref="N29:R29">
    <cfRule type="cellIs" dxfId="26" priority="26" operator="greaterThan">
      <formula>0.5</formula>
    </cfRule>
  </conditionalFormatting>
  <conditionalFormatting sqref="N36:R36">
    <cfRule type="cellIs" dxfId="25" priority="25" operator="greaterThan">
      <formula>0.5</formula>
    </cfRule>
  </conditionalFormatting>
  <conditionalFormatting sqref="N39:Q43">
    <cfRule type="cellIs" dxfId="24" priority="24" operator="greaterThan">
      <formula>0.5</formula>
    </cfRule>
  </conditionalFormatting>
  <conditionalFormatting sqref="N2:R2">
    <cfRule type="cellIs" dxfId="23" priority="23" operator="greaterThan">
      <formula>0.5</formula>
    </cfRule>
  </conditionalFormatting>
  <conditionalFormatting sqref="M2">
    <cfRule type="cellIs" dxfId="22" priority="22" operator="greaterThan">
      <formula>0.5</formula>
    </cfRule>
  </conditionalFormatting>
  <conditionalFormatting sqref="M22:M26">
    <cfRule type="cellIs" dxfId="21" priority="19" operator="greaterThan">
      <formula>0.5</formula>
    </cfRule>
  </conditionalFormatting>
  <conditionalFormatting sqref="M68:M101">
    <cfRule type="cellIs" dxfId="20" priority="13" operator="greaterThan">
      <formula>0.5</formula>
    </cfRule>
  </conditionalFormatting>
  <conditionalFormatting sqref="M39:M43">
    <cfRule type="cellIs" dxfId="19" priority="10" operator="greaterThan">
      <formula>0.5</formula>
    </cfRule>
  </conditionalFormatting>
  <conditionalFormatting sqref="M58:M62">
    <cfRule type="cellIs" dxfId="18" priority="7" operator="greaterThan">
      <formula>0.5</formula>
    </cfRule>
  </conditionalFormatting>
  <conditionalFormatting sqref="M29">
    <cfRule type="cellIs" dxfId="17" priority="6" operator="greaterThan">
      <formula>0.5</formula>
    </cfRule>
  </conditionalFormatting>
  <conditionalFormatting sqref="M47:M54">
    <cfRule type="cellIs" dxfId="16" priority="5" operator="greaterThan">
      <formula>0.5</formula>
    </cfRule>
  </conditionalFormatting>
  <conditionalFormatting sqref="N57:R57">
    <cfRule type="cellIs" dxfId="15" priority="4" operator="greaterThan">
      <formula>0.5</formula>
    </cfRule>
  </conditionalFormatting>
  <conditionalFormatting sqref="M57">
    <cfRule type="cellIs" dxfId="14" priority="3" operator="greaterThan">
      <formula>0.5</formula>
    </cfRule>
  </conditionalFormatting>
  <conditionalFormatting sqref="N46:R46">
    <cfRule type="cellIs" dxfId="13" priority="2" operator="greaterThan">
      <formula>0.5</formula>
    </cfRule>
  </conditionalFormatting>
  <conditionalFormatting sqref="M46">
    <cfRule type="cellIs" dxfId="12" priority="1" operator="greaterThan">
      <formula>0.5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rightToLeft="1" zoomScale="70" zoomScaleNormal="70" workbookViewId="0">
      <selection activeCell="A8" sqref="A8"/>
    </sheetView>
  </sheetViews>
  <sheetFormatPr defaultRowHeight="23.25"/>
  <cols>
    <col min="1" max="1" width="106.7109375" style="40" bestFit="1" customWidth="1"/>
  </cols>
  <sheetData>
    <row r="1" spans="1:20">
      <c r="A1" s="40" t="s">
        <v>2347</v>
      </c>
    </row>
    <row r="2" spans="1:20">
      <c r="A2" s="40" t="s">
        <v>2348</v>
      </c>
    </row>
    <row r="3" spans="1:20">
      <c r="A3" s="40" t="s">
        <v>2349</v>
      </c>
    </row>
    <row r="4" spans="1:20" ht="24" thickBot="1">
      <c r="A4" s="40" t="s">
        <v>2350</v>
      </c>
      <c r="B4" s="49" t="s">
        <v>2357</v>
      </c>
      <c r="C4" s="49" t="s">
        <v>2358</v>
      </c>
      <c r="D4" s="49" t="s">
        <v>2359</v>
      </c>
      <c r="E4" s="49" t="s">
        <v>2360</v>
      </c>
      <c r="F4" s="49" t="s">
        <v>2361</v>
      </c>
      <c r="G4" s="49" t="s">
        <v>2362</v>
      </c>
      <c r="H4" s="49" t="s">
        <v>2363</v>
      </c>
      <c r="I4" s="49" t="s">
        <v>2364</v>
      </c>
      <c r="J4" s="49" t="s">
        <v>2365</v>
      </c>
      <c r="K4" s="49" t="s">
        <v>2366</v>
      </c>
      <c r="L4" s="49" t="s">
        <v>2367</v>
      </c>
      <c r="M4" s="49" t="s">
        <v>2368</v>
      </c>
      <c r="N4" s="49" t="s">
        <v>2369</v>
      </c>
      <c r="O4" s="49" t="s">
        <v>2370</v>
      </c>
      <c r="P4" s="49" t="s">
        <v>2371</v>
      </c>
      <c r="Q4" s="49" t="s">
        <v>2372</v>
      </c>
      <c r="R4" s="49" t="s">
        <v>2373</v>
      </c>
      <c r="S4" s="49" t="s">
        <v>2374</v>
      </c>
      <c r="T4" s="49" t="s">
        <v>2375</v>
      </c>
    </row>
    <row r="5" spans="1:20" ht="57" thickBot="1">
      <c r="A5" s="40" t="s">
        <v>2351</v>
      </c>
      <c r="B5" s="17" t="s">
        <v>4</v>
      </c>
      <c r="C5" s="15" t="s">
        <v>5</v>
      </c>
      <c r="D5" s="20" t="s">
        <v>6</v>
      </c>
      <c r="E5" s="20" t="s">
        <v>29</v>
      </c>
      <c r="F5" s="20" t="s">
        <v>2332</v>
      </c>
      <c r="G5" s="20" t="s">
        <v>2335</v>
      </c>
      <c r="H5" s="20" t="s">
        <v>2333</v>
      </c>
      <c r="I5" s="20" t="s">
        <v>2336</v>
      </c>
      <c r="J5" s="20" t="s">
        <v>2334</v>
      </c>
      <c r="K5" s="20" t="s">
        <v>2337</v>
      </c>
      <c r="L5" s="20" t="s">
        <v>2338</v>
      </c>
      <c r="M5" s="20" t="s">
        <v>2339</v>
      </c>
      <c r="N5" s="20" t="s">
        <v>2340</v>
      </c>
      <c r="O5" s="20" t="s">
        <v>2341</v>
      </c>
      <c r="P5" s="20" t="s">
        <v>2342</v>
      </c>
      <c r="Q5" s="20" t="s">
        <v>2343</v>
      </c>
      <c r="R5" s="20" t="s">
        <v>2344</v>
      </c>
      <c r="S5" s="20" t="s">
        <v>2345</v>
      </c>
      <c r="T5" s="20" t="s">
        <v>2346</v>
      </c>
    </row>
    <row r="6" spans="1:20">
      <c r="A6" s="40" t="s">
        <v>2484</v>
      </c>
    </row>
    <row r="7" spans="1:20">
      <c r="A7" s="40" t="s">
        <v>2485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3"/>
  <sheetViews>
    <sheetView rightToLeft="1" topLeftCell="A253" zoomScale="85" zoomScaleNormal="85" workbookViewId="0">
      <selection activeCell="C268" sqref="C268"/>
    </sheetView>
  </sheetViews>
  <sheetFormatPr defaultRowHeight="12.75"/>
  <cols>
    <col min="1" max="1" width="5" bestFit="1" customWidth="1"/>
    <col min="2" max="2" width="23.28515625" bestFit="1" customWidth="1"/>
    <col min="3" max="3" width="16.5703125" bestFit="1" customWidth="1"/>
    <col min="4" max="4" width="17.5703125" bestFit="1" customWidth="1"/>
    <col min="5" max="5" width="27" bestFit="1" customWidth="1"/>
    <col min="6" max="6" width="18.42578125" bestFit="1" customWidth="1"/>
    <col min="7" max="9" width="15.140625" bestFit="1" customWidth="1"/>
    <col min="10" max="10" width="33.5703125" bestFit="1" customWidth="1"/>
    <col min="11" max="11" width="15.140625" bestFit="1" customWidth="1"/>
    <col min="12" max="12" width="19.140625" bestFit="1" customWidth="1"/>
    <col min="13" max="13" width="20.140625" bestFit="1" customWidth="1"/>
    <col min="14" max="14" width="30" bestFit="1" customWidth="1"/>
  </cols>
  <sheetData>
    <row r="1" spans="1:14" ht="13.5" thickBot="1">
      <c r="A1" s="75"/>
      <c r="B1" s="76" t="s">
        <v>2387</v>
      </c>
      <c r="C1" s="76" t="s">
        <v>2388</v>
      </c>
      <c r="D1" s="76" t="s">
        <v>2389</v>
      </c>
      <c r="E1" s="77"/>
      <c r="F1" s="78"/>
      <c r="G1" s="76" t="s">
        <v>2387</v>
      </c>
      <c r="H1" s="76" t="s">
        <v>2388</v>
      </c>
      <c r="I1" s="76" t="s">
        <v>2389</v>
      </c>
      <c r="J1" s="77"/>
      <c r="K1" s="78" t="s">
        <v>2390</v>
      </c>
      <c r="L1" s="76" t="s">
        <v>2391</v>
      </c>
      <c r="M1" s="76" t="s">
        <v>2392</v>
      </c>
      <c r="N1" s="77"/>
    </row>
    <row r="2" spans="1:14">
      <c r="A2" s="62" t="s">
        <v>1877</v>
      </c>
      <c r="B2" s="63">
        <v>0</v>
      </c>
      <c r="C2" s="63">
        <f>SUMIF('הצעת תקציב 2016'!$N$3:$N$7326,$A2,'הצעת תקציב 2016'!$H$3:$H$7326)</f>
        <v>0</v>
      </c>
      <c r="D2" s="63">
        <f>SUMIF('הצעת תקציב 2016'!$P$3:$P$7326,$A2,'הצעת תקציב 2016'!$H$3:$H$7326)</f>
        <v>0</v>
      </c>
      <c r="E2" s="64" t="str">
        <f>INDEX(Chapter,MATCH(A2,Chapter!$A$1:$A$681,0),8)</f>
        <v>תקציבי עזר</v>
      </c>
      <c r="F2" s="62"/>
      <c r="G2" s="65"/>
      <c r="H2" s="65"/>
      <c r="I2" s="65"/>
      <c r="J2" s="64"/>
      <c r="K2" s="71">
        <f t="shared" ref="K2:K11" si="0">B2+G2</f>
        <v>0</v>
      </c>
      <c r="L2" s="72">
        <f t="shared" ref="L2:L11" si="1">C2+H2</f>
        <v>0</v>
      </c>
      <c r="M2" s="72">
        <f t="shared" ref="M2:M11" si="2">D2+I2</f>
        <v>0</v>
      </c>
      <c r="N2" s="64" t="str">
        <f>IF(ISBLANK(E2),J2,E2)</f>
        <v>תקציבי עזר</v>
      </c>
    </row>
    <row r="3" spans="1:14">
      <c r="A3" s="62" t="s">
        <v>1884</v>
      </c>
      <c r="B3" s="63">
        <f>SUMIF('הצעת תקציב 2016'!$L$3:$L$7326,$A3,'הצעת תקציב 2016'!$H$3:$H$7326)</f>
        <v>0</v>
      </c>
      <c r="C3" s="63">
        <f>SUMIF('הצעת תקציב 2016'!$N$3:$N$7326,$A3,'הצעת תקציב 2016'!$H$3:$H$7326)</f>
        <v>0</v>
      </c>
      <c r="D3" s="63">
        <f>SUMIF('הצעת תקציב 2016'!$P$3:$P$7326,$A3,'הצעת תקציב 2016'!$H$3:$H$7326)</f>
        <v>0</v>
      </c>
      <c r="E3" s="64" t="str">
        <f>INDEX(Chapter,MATCH(A3,Chapter!$A$1:$A$681,0),8)</f>
        <v>משרד הרשות ושירותים</v>
      </c>
      <c r="F3" s="62"/>
      <c r="G3" s="65"/>
      <c r="H3" s="65"/>
      <c r="I3" s="65"/>
      <c r="J3" s="64"/>
      <c r="K3" s="71">
        <f t="shared" si="0"/>
        <v>0</v>
      </c>
      <c r="L3" s="72">
        <f t="shared" si="1"/>
        <v>0</v>
      </c>
      <c r="M3" s="72">
        <f t="shared" si="2"/>
        <v>0</v>
      </c>
      <c r="N3" s="64" t="str">
        <f t="shared" ref="N3:N63" si="3">IF(ISBLANK(E3),J3,E3)</f>
        <v>משרד הרשות ושירותים</v>
      </c>
    </row>
    <row r="4" spans="1:14">
      <c r="A4" s="62" t="s">
        <v>2396</v>
      </c>
      <c r="B4" s="63">
        <f>SUMIF('הצעת תקציב 2016'!$L$3:$L$7326,$A4,'הצעת תקציב 2016'!$H$3:$H$7326)</f>
        <v>0</v>
      </c>
      <c r="C4" s="63">
        <f>SUMIF('הצעת תקציב 2016'!$N$3:$N$7326,$A4,'הצעת תקציב 2016'!$H$3:$H$7326)</f>
        <v>0</v>
      </c>
      <c r="D4" s="63">
        <f>SUMIF('הצעת תקציב 2016'!$P$3:$P$7326,$A4,'הצעת תקציב 2016'!$H$3:$H$7326)</f>
        <v>0</v>
      </c>
      <c r="E4" s="64" t="e">
        <f>INDEX(Chapter,MATCH(A4,Chapter!$A$1:$A$681,0),8)</f>
        <v>#N/A</v>
      </c>
      <c r="F4" s="62"/>
      <c r="G4" s="65"/>
      <c r="H4" s="65"/>
      <c r="I4" s="65"/>
      <c r="J4" s="64"/>
      <c r="K4" s="71">
        <f t="shared" si="0"/>
        <v>0</v>
      </c>
      <c r="L4" s="72">
        <f t="shared" si="1"/>
        <v>0</v>
      </c>
      <c r="M4" s="72">
        <f t="shared" si="2"/>
        <v>0</v>
      </c>
      <c r="N4" s="64" t="e">
        <f t="shared" si="3"/>
        <v>#N/A</v>
      </c>
    </row>
    <row r="5" spans="1:14">
      <c r="A5" s="62" t="s">
        <v>2397</v>
      </c>
      <c r="B5" s="63">
        <f>SUMIF('הצעת תקציב 2016'!$L$3:$L$7326,$A5,'הצעת תקציב 2016'!$H$3:$H$7326)</f>
        <v>0</v>
      </c>
      <c r="C5" s="63">
        <f>SUMIF('הצעת תקציב 2016'!$N$3:$N$7326,$A5,'הצעת תקציב 2016'!$H$3:$H$7326)</f>
        <v>0</v>
      </c>
      <c r="D5" s="63">
        <f>SUMIF('הצעת תקציב 2016'!$P$3:$P$7326,$A5,'הצעת תקציב 2016'!$H$3:$H$7326)</f>
        <v>0</v>
      </c>
      <c r="E5" s="64" t="e">
        <f>INDEX(Chapter,MATCH(A5,Chapter!$A$1:$A$681,0),8)</f>
        <v>#N/A</v>
      </c>
      <c r="F5" s="62"/>
      <c r="G5" s="65"/>
      <c r="H5" s="65"/>
      <c r="I5" s="65"/>
      <c r="J5" s="64"/>
      <c r="K5" s="71">
        <f t="shared" si="0"/>
        <v>0</v>
      </c>
      <c r="L5" s="72">
        <f t="shared" si="1"/>
        <v>0</v>
      </c>
      <c r="M5" s="72">
        <f t="shared" si="2"/>
        <v>0</v>
      </c>
      <c r="N5" s="64" t="e">
        <f t="shared" si="3"/>
        <v>#N/A</v>
      </c>
    </row>
    <row r="6" spans="1:14">
      <c r="A6" s="62" t="s">
        <v>1892</v>
      </c>
      <c r="B6" s="63">
        <f>SUMIF('הצעת תקציב 2016'!$L$3:$L$7326,$A6,'הצעת תקציב 2016'!$H$3:$H$7326)</f>
        <v>0</v>
      </c>
      <c r="C6" s="63">
        <f>SUMIF('הצעת תקציב 2016'!$N$3:$N$7326,$A6,'הצעת תקציב 2016'!$H$3:$H$7326)</f>
        <v>2625000</v>
      </c>
      <c r="D6" s="63">
        <f>SUMIF('הצעת תקציב 2016'!$P$3:$P$7326,$A6,'הצעת תקציב 2016'!$H$3:$H$7326)</f>
        <v>0</v>
      </c>
      <c r="E6" s="64" t="str">
        <f>INDEX(Chapter,MATCH(A6,Chapter!$A$1:$A$681,0),8)</f>
        <v>אפסנאות ומחסנים</v>
      </c>
      <c r="F6" s="62"/>
      <c r="G6" s="65"/>
      <c r="H6" s="65"/>
      <c r="I6" s="65"/>
      <c r="J6" s="64"/>
      <c r="K6" s="71">
        <f t="shared" si="0"/>
        <v>0</v>
      </c>
      <c r="L6" s="72">
        <f t="shared" si="1"/>
        <v>2625000</v>
      </c>
      <c r="M6" s="72">
        <f t="shared" si="2"/>
        <v>0</v>
      </c>
      <c r="N6" s="64" t="str">
        <f t="shared" si="3"/>
        <v>אפסנאות ומחסנים</v>
      </c>
    </row>
    <row r="7" spans="1:14">
      <c r="A7" s="62" t="s">
        <v>2398</v>
      </c>
      <c r="B7" s="63">
        <f>SUMIF('הצעת תקציב 2016'!$L$3:$L$7326,$A7,'הצעת תקציב 2016'!$H$3:$H$7326)</f>
        <v>0</v>
      </c>
      <c r="C7" s="63">
        <f>SUMIF('הצעת תקציב 2016'!$N$3:$N$7326,$A7,'הצעת תקציב 2016'!$H$3:$H$7326)</f>
        <v>0</v>
      </c>
      <c r="D7" s="63">
        <f>SUMIF('הצעת תקציב 2016'!$P$3:$P$7326,$A7,'הצעת תקציב 2016'!$H$3:$H$7326)</f>
        <v>0</v>
      </c>
      <c r="E7" s="64" t="e">
        <f>INDEX(Chapter,MATCH(A7,Chapter!$A$1:$A$681,0),8)</f>
        <v>#N/A</v>
      </c>
      <c r="F7" s="62"/>
      <c r="G7" s="65"/>
      <c r="H7" s="65"/>
      <c r="I7" s="65"/>
      <c r="J7" s="64"/>
      <c r="K7" s="71">
        <f t="shared" si="0"/>
        <v>0</v>
      </c>
      <c r="L7" s="72">
        <f t="shared" si="1"/>
        <v>0</v>
      </c>
      <c r="M7" s="72">
        <f t="shared" si="2"/>
        <v>0</v>
      </c>
      <c r="N7" s="64" t="e">
        <f t="shared" si="3"/>
        <v>#N/A</v>
      </c>
    </row>
    <row r="8" spans="1:14">
      <c r="A8" s="62" t="s">
        <v>2399</v>
      </c>
      <c r="B8" s="63">
        <f>SUMIF('הצעת תקציב 2016'!$L$3:$L$7326,$A8,'הצעת תקציב 2016'!$H$3:$H$7326)</f>
        <v>0</v>
      </c>
      <c r="C8" s="63">
        <f>SUMIF('הצעת תקציב 2016'!$N$3:$N$7326,$A8,'הצעת תקציב 2016'!$H$3:$H$7326)</f>
        <v>0</v>
      </c>
      <c r="D8" s="63">
        <f>SUMIF('הצעת תקציב 2016'!$P$3:$P$7326,$A8,'הצעת תקציב 2016'!$H$3:$H$7326)</f>
        <v>0</v>
      </c>
      <c r="E8" s="64" t="e">
        <f>INDEX(Chapter,MATCH(A8,Chapter!$A$1:$A$681,0),8)</f>
        <v>#N/A</v>
      </c>
      <c r="F8" s="62"/>
      <c r="G8" s="65"/>
      <c r="H8" s="65"/>
      <c r="I8" s="65"/>
      <c r="J8" s="64"/>
      <c r="K8" s="71">
        <f t="shared" si="0"/>
        <v>0</v>
      </c>
      <c r="L8" s="72">
        <f t="shared" si="1"/>
        <v>0</v>
      </c>
      <c r="M8" s="72">
        <f t="shared" si="2"/>
        <v>0</v>
      </c>
      <c r="N8" s="64" t="e">
        <f t="shared" si="3"/>
        <v>#N/A</v>
      </c>
    </row>
    <row r="9" spans="1:14">
      <c r="A9" s="62" t="s">
        <v>1900</v>
      </c>
      <c r="B9" s="63">
        <f>SUMIF('הצעת תקציב 2016'!$L$3:$L$7326,$A9,'הצעת תקציב 2016'!$H$3:$H$7326)</f>
        <v>0</v>
      </c>
      <c r="C9" s="63">
        <f>SUMIF('הצעת תקציב 2016'!$N$3:$N$7326,$A9,'הצעת תקציב 2016'!$H$3:$H$7326)</f>
        <v>0</v>
      </c>
      <c r="D9" s="63">
        <f>SUMIF('הצעת תקציב 2016'!$P$3:$P$7326,$A9,'הצעת תקציב 2016'!$H$3:$H$7326)</f>
        <v>0</v>
      </c>
      <c r="E9" s="64" t="str">
        <f>INDEX(Chapter,MATCH(A9,Chapter!$A$1:$A$681,0),8)</f>
        <v>מוסך ורכב</v>
      </c>
      <c r="F9" s="62"/>
      <c r="G9" s="65"/>
      <c r="H9" s="65"/>
      <c r="I9" s="65"/>
      <c r="J9" s="64"/>
      <c r="K9" s="71">
        <f t="shared" si="0"/>
        <v>0</v>
      </c>
      <c r="L9" s="72">
        <f t="shared" si="1"/>
        <v>0</v>
      </c>
      <c r="M9" s="72">
        <f t="shared" si="2"/>
        <v>0</v>
      </c>
      <c r="N9" s="64" t="str">
        <f t="shared" si="3"/>
        <v>מוסך ורכב</v>
      </c>
    </row>
    <row r="10" spans="1:14">
      <c r="A10" s="62" t="s">
        <v>2400</v>
      </c>
      <c r="B10" s="63">
        <f>SUMIF('הצעת תקציב 2016'!$L$3:$L$7326,$A10,'הצעת תקציב 2016'!$H$3:$H$7326)</f>
        <v>0</v>
      </c>
      <c r="C10" s="63">
        <f>SUMIF('הצעת תקציב 2016'!$N$3:$N$7326,$A10,'הצעת תקציב 2016'!$H$3:$H$7326)</f>
        <v>0</v>
      </c>
      <c r="D10" s="63">
        <f>SUMIF('הצעת תקציב 2016'!$P$3:$P$7326,$A10,'הצעת תקציב 2016'!$H$3:$H$7326)</f>
        <v>0</v>
      </c>
      <c r="E10" s="64" t="e">
        <f>INDEX(Chapter,MATCH(A10,Chapter!$A$1:$A$681,0),8)</f>
        <v>#N/A</v>
      </c>
      <c r="F10" s="62"/>
      <c r="G10" s="65"/>
      <c r="H10" s="65"/>
      <c r="I10" s="65"/>
      <c r="J10" s="64"/>
      <c r="K10" s="71">
        <f t="shared" si="0"/>
        <v>0</v>
      </c>
      <c r="L10" s="72">
        <f t="shared" si="1"/>
        <v>0</v>
      </c>
      <c r="M10" s="72">
        <f t="shared" si="2"/>
        <v>0</v>
      </c>
      <c r="N10" s="64" t="e">
        <f t="shared" si="3"/>
        <v>#N/A</v>
      </c>
    </row>
    <row r="11" spans="1:14">
      <c r="A11" s="62" t="s">
        <v>2401</v>
      </c>
      <c r="B11" s="63">
        <f>SUMIF('הצעת תקציב 2016'!$L$3:$L$7326,$A11,'הצעת תקציב 2016'!$H$3:$H$7326)</f>
        <v>0</v>
      </c>
      <c r="C11" s="63">
        <f>SUMIF('הצעת תקציב 2016'!$N$3:$N$7326,$A11,'הצעת תקציב 2016'!$H$3:$H$7326)</f>
        <v>0</v>
      </c>
      <c r="D11" s="63">
        <f>SUMIF('הצעת תקציב 2016'!$P$3:$P$7326,$A11,'הצעת תקציב 2016'!$H$3:$H$7326)</f>
        <v>0</v>
      </c>
      <c r="E11" s="64" t="e">
        <f>INDEX(Chapter,MATCH(A11,Chapter!$A$1:$A$681,0),8)</f>
        <v>#N/A</v>
      </c>
      <c r="F11" s="62"/>
      <c r="G11" s="65"/>
      <c r="H11" s="65"/>
      <c r="I11" s="65"/>
      <c r="J11" s="64"/>
      <c r="K11" s="71">
        <f t="shared" si="0"/>
        <v>0</v>
      </c>
      <c r="L11" s="72">
        <f t="shared" si="1"/>
        <v>0</v>
      </c>
      <c r="M11" s="72">
        <f t="shared" si="2"/>
        <v>0</v>
      </c>
      <c r="N11" s="64" t="e">
        <f t="shared" si="3"/>
        <v>#N/A</v>
      </c>
    </row>
    <row r="12" spans="1:14">
      <c r="A12" s="62"/>
      <c r="B12" s="65"/>
      <c r="C12" s="65"/>
      <c r="D12" s="65"/>
      <c r="E12" s="64"/>
      <c r="F12" s="62" t="s">
        <v>51</v>
      </c>
      <c r="G12" s="63">
        <f>SUMIF('הצעת תקציב 2016'!$L$3:$L$7326,$F12,'הצעת תקציב 2016'!$H$3:$H$7326)</f>
        <v>-1404830000</v>
      </c>
      <c r="H12" s="63">
        <f>SUMIF('הצעת תקציב 2016'!$N$3:$N$7326,$F12,'הצעת תקציב 2016'!$H$3:$H$7326)</f>
        <v>0</v>
      </c>
      <c r="I12" s="63">
        <f>SUMIF('הצעת תקציב 2016'!$P$3:$P$7326,$F12,'הצעת תקציב 2016'!$H$3:$H$7326)</f>
        <v>0</v>
      </c>
      <c r="J12" s="64" t="str">
        <f>INDEX(Chapter,MATCH(F12,Chapter!$A$1:$A$681,0),8)</f>
        <v>מסים ומענק כללי</v>
      </c>
      <c r="K12" s="71">
        <f>B12+G12</f>
        <v>-1404830000</v>
      </c>
      <c r="L12" s="72">
        <f t="shared" ref="L12:M27" si="4">C12+H12</f>
        <v>0</v>
      </c>
      <c r="M12" s="72">
        <f t="shared" si="4"/>
        <v>0</v>
      </c>
      <c r="N12" s="64" t="str">
        <f t="shared" si="3"/>
        <v>מסים ומענק כללי</v>
      </c>
    </row>
    <row r="13" spans="1:14">
      <c r="A13" s="62"/>
      <c r="B13" s="65"/>
      <c r="C13" s="65"/>
      <c r="D13" s="65"/>
      <c r="E13" s="64"/>
      <c r="F13" s="62" t="s">
        <v>2394</v>
      </c>
      <c r="G13" s="63">
        <f>SUMIF('הצעת תקציב 2016'!$L$3:$L$7326,$F13,'הצעת תקציב 2016'!$H$3:$H$7326)</f>
        <v>0</v>
      </c>
      <c r="H13" s="63">
        <f>SUMIF('הצעת תקציב 2016'!$N$3:$N$7326,$F13,'הצעת תקציב 2016'!$H$3:$H$7326)</f>
        <v>0</v>
      </c>
      <c r="I13" s="63">
        <f>SUMIF('הצעת תקציב 2016'!$P$3:$P$7326,$F13,'הצעת תקציב 2016'!$H$3:$H$7326)</f>
        <v>0</v>
      </c>
      <c r="J13" s="64" t="e">
        <f>INDEX(Chapter,MATCH(F13,Chapter!$A$1:$A$681,0),8)</f>
        <v>#N/A</v>
      </c>
      <c r="K13" s="71">
        <f t="shared" ref="K13:K63" si="5">B13+G13</f>
        <v>0</v>
      </c>
      <c r="L13" s="72">
        <f t="shared" si="4"/>
        <v>0</v>
      </c>
      <c r="M13" s="72">
        <f t="shared" si="4"/>
        <v>0</v>
      </c>
      <c r="N13" s="64" t="e">
        <f t="shared" si="3"/>
        <v>#N/A</v>
      </c>
    </row>
    <row r="14" spans="1:14">
      <c r="A14" s="62"/>
      <c r="B14" s="65"/>
      <c r="C14" s="65"/>
      <c r="D14" s="65"/>
      <c r="E14" s="64"/>
      <c r="F14" s="62" t="s">
        <v>2402</v>
      </c>
      <c r="G14" s="63">
        <f>SUMIF('הצעת תקציב 2016'!$L$3:$L$7326,$F14,'הצעת תקציב 2016'!$H$3:$H$7326)</f>
        <v>0</v>
      </c>
      <c r="H14" s="63">
        <f>SUMIF('הצעת תקציב 2016'!$N$3:$N$7326,$F14,'הצעת תקציב 2016'!$H$3:$H$7326)</f>
        <v>0</v>
      </c>
      <c r="I14" s="63">
        <f>SUMIF('הצעת תקציב 2016'!$P$3:$P$7326,$F14,'הצעת תקציב 2016'!$H$3:$H$7326)</f>
        <v>0</v>
      </c>
      <c r="J14" s="64" t="e">
        <f>INDEX(Chapter,MATCH(F14,Chapter!$A$1:$A$681,0),8)</f>
        <v>#N/A</v>
      </c>
      <c r="K14" s="71">
        <f t="shared" si="5"/>
        <v>0</v>
      </c>
      <c r="L14" s="72">
        <f t="shared" si="4"/>
        <v>0</v>
      </c>
      <c r="M14" s="72">
        <f t="shared" si="4"/>
        <v>0</v>
      </c>
      <c r="N14" s="64" t="e">
        <f t="shared" si="3"/>
        <v>#N/A</v>
      </c>
    </row>
    <row r="15" spans="1:14">
      <c r="A15" s="62"/>
      <c r="B15" s="65"/>
      <c r="C15" s="65"/>
      <c r="D15" s="65"/>
      <c r="E15" s="64"/>
      <c r="F15" s="62" t="s">
        <v>1918</v>
      </c>
      <c r="G15" s="63">
        <f>SUMIF('הצעת תקציב 2016'!$L$3:$L$7326,$F15,'הצעת תקציב 2016'!$H$3:$H$7326)</f>
        <v>0</v>
      </c>
      <c r="H15" s="63">
        <f>SUMIF('הצעת תקציב 2016'!$N$3:$N$7326,$F15,'הצעת תקציב 2016'!$H$3:$H$7326)</f>
        <v>-1380000000</v>
      </c>
      <c r="I15" s="63">
        <f>SUMIF('הצעת תקציב 2016'!$P$3:$P$7326,$F15,'הצעת תקציב 2016'!$H$3:$H$7326)</f>
        <v>0</v>
      </c>
      <c r="J15" s="64" t="str">
        <f>INDEX(Chapter,MATCH(F15,Chapter!$A$1:$A$681,0),8)</f>
        <v>ארנונות</v>
      </c>
      <c r="K15" s="71">
        <f t="shared" si="5"/>
        <v>0</v>
      </c>
      <c r="L15" s="72">
        <f t="shared" si="4"/>
        <v>-1380000000</v>
      </c>
      <c r="M15" s="72">
        <f t="shared" si="4"/>
        <v>0</v>
      </c>
      <c r="N15" s="64" t="str">
        <f t="shared" si="3"/>
        <v>ארנונות</v>
      </c>
    </row>
    <row r="16" spans="1:14">
      <c r="A16" s="62"/>
      <c r="B16" s="65"/>
      <c r="C16" s="65"/>
      <c r="D16" s="65"/>
      <c r="E16" s="64"/>
      <c r="F16" s="62" t="s">
        <v>2403</v>
      </c>
      <c r="G16" s="63">
        <f>SUMIF('הצעת תקציב 2016'!$L$3:$L$7326,$F16,'הצעת תקציב 2016'!$H$3:$H$7326)</f>
        <v>0</v>
      </c>
      <c r="H16" s="63">
        <f>SUMIF('הצעת תקציב 2016'!$N$3:$N$7326,$F16,'הצעת תקציב 2016'!$H$3:$H$7326)</f>
        <v>0</v>
      </c>
      <c r="I16" s="63">
        <f>SUMIF('הצעת תקציב 2016'!$P$3:$P$7326,$F16,'הצעת תקציב 2016'!$H$3:$H$7326)</f>
        <v>-1380000000</v>
      </c>
      <c r="J16" s="64" t="e">
        <f>INDEX(Chapter,MATCH(F16,Chapter!$A$1:$A$681,0),8)</f>
        <v>#N/A</v>
      </c>
      <c r="K16" s="71">
        <f t="shared" si="5"/>
        <v>0</v>
      </c>
      <c r="L16" s="72">
        <f t="shared" si="4"/>
        <v>0</v>
      </c>
      <c r="M16" s="72">
        <f t="shared" si="4"/>
        <v>-1380000000</v>
      </c>
      <c r="N16" s="64" t="e">
        <f t="shared" si="3"/>
        <v>#N/A</v>
      </c>
    </row>
    <row r="17" spans="1:14">
      <c r="A17" s="62"/>
      <c r="B17" s="65"/>
      <c r="C17" s="65"/>
      <c r="D17" s="65"/>
      <c r="E17" s="64"/>
      <c r="F17" s="62" t="s">
        <v>1948</v>
      </c>
      <c r="G17" s="63">
        <f>SUMIF('הצעת תקציב 2016'!$L$3:$L$7326,$F17,'הצעת תקציב 2016'!$H$3:$H$7326)</f>
        <v>0</v>
      </c>
      <c r="H17" s="63">
        <f>SUMIF('הצעת תקציב 2016'!$N$3:$N$7326,$F17,'הצעת תקציב 2016'!$H$3:$H$7326)</f>
        <v>0</v>
      </c>
      <c r="I17" s="63">
        <f>SUMIF('הצעת תקציב 2016'!$P$3:$P$7326,$F17,'הצעת תקציב 2016'!$H$3:$H$7326)</f>
        <v>0</v>
      </c>
      <c r="J17" s="64" t="str">
        <f>INDEX(Chapter,MATCH(F17,Chapter!$A$1:$A$681,0),8)</f>
        <v>הנחות לזכאים</v>
      </c>
      <c r="K17" s="71">
        <f t="shared" si="5"/>
        <v>0</v>
      </c>
      <c r="L17" s="72">
        <f t="shared" si="4"/>
        <v>0</v>
      </c>
      <c r="M17" s="72">
        <f t="shared" si="4"/>
        <v>0</v>
      </c>
      <c r="N17" s="64" t="str">
        <f t="shared" si="3"/>
        <v>הנחות לזכאים</v>
      </c>
    </row>
    <row r="18" spans="1:14">
      <c r="A18" s="62"/>
      <c r="B18" s="65"/>
      <c r="C18" s="65"/>
      <c r="D18" s="65"/>
      <c r="E18" s="64"/>
      <c r="F18" s="62" t="s">
        <v>1960</v>
      </c>
      <c r="G18" s="63">
        <f>SUMIF('הצעת תקציב 2016'!$L$3:$L$7326,$F18,'הצעת תקציב 2016'!$H$3:$H$7326)</f>
        <v>0</v>
      </c>
      <c r="H18" s="63">
        <f>SUMIF('הצעת תקציב 2016'!$N$3:$N$7326,$F18,'הצעת תקציב 2016'!$H$3:$H$7326)</f>
        <v>-23050000</v>
      </c>
      <c r="I18" s="63">
        <f>SUMIF('הצעת תקציב 2016'!$P$3:$P$7326,$F18,'הצעת תקציב 2016'!$H$3:$H$7326)</f>
        <v>0</v>
      </c>
      <c r="J18" s="64" t="str">
        <f>INDEX(Chapter,MATCH(F18,Chapter!$A$1:$A$681,0),8)</f>
        <v>אגרות</v>
      </c>
      <c r="K18" s="71">
        <f t="shared" si="5"/>
        <v>0</v>
      </c>
      <c r="L18" s="72">
        <f t="shared" si="4"/>
        <v>-23050000</v>
      </c>
      <c r="M18" s="72">
        <f t="shared" si="4"/>
        <v>0</v>
      </c>
      <c r="N18" s="64" t="str">
        <f t="shared" si="3"/>
        <v>אגרות</v>
      </c>
    </row>
    <row r="19" spans="1:14">
      <c r="A19" s="62"/>
      <c r="B19" s="65"/>
      <c r="C19" s="65"/>
      <c r="D19" s="65"/>
      <c r="E19" s="64"/>
      <c r="F19" s="62" t="s">
        <v>2404</v>
      </c>
      <c r="G19" s="63">
        <f>SUMIF('הצעת תקציב 2016'!$L$3:$L$7326,$F19,'הצעת תקציב 2016'!$H$3:$H$7326)</f>
        <v>0</v>
      </c>
      <c r="H19" s="63">
        <f>SUMIF('הצעת תקציב 2016'!$N$3:$N$7326,$F19,'הצעת תקציב 2016'!$H$3:$H$7326)</f>
        <v>0</v>
      </c>
      <c r="I19" s="63">
        <f>SUMIF('הצעת תקציב 2016'!$P$3:$P$7326,$F19,'הצעת תקציב 2016'!$H$3:$H$7326)</f>
        <v>-23050000</v>
      </c>
      <c r="J19" s="64" t="e">
        <f>INDEX(Chapter,MATCH(F19,Chapter!$A$1:$A$681,0),8)</f>
        <v>#N/A</v>
      </c>
      <c r="K19" s="71">
        <f t="shared" si="5"/>
        <v>0</v>
      </c>
      <c r="L19" s="72">
        <f t="shared" si="4"/>
        <v>0</v>
      </c>
      <c r="M19" s="72">
        <f t="shared" si="4"/>
        <v>-23050000</v>
      </c>
      <c r="N19" s="64" t="e">
        <f t="shared" si="3"/>
        <v>#N/A</v>
      </c>
    </row>
    <row r="20" spans="1:14">
      <c r="A20" s="62"/>
      <c r="B20" s="65"/>
      <c r="C20" s="65"/>
      <c r="D20" s="65"/>
      <c r="E20" s="64"/>
      <c r="F20" s="62" t="s">
        <v>1963</v>
      </c>
      <c r="G20" s="63">
        <f>SUMIF('הצעת תקציב 2016'!$L$3:$L$7326,$F20,'הצעת תקציב 2016'!$H$3:$H$7326)</f>
        <v>0</v>
      </c>
      <c r="H20" s="63">
        <f>SUMIF('הצעת תקציב 2016'!$N$3:$N$7326,$F20,'הצעת תקציב 2016'!$H$3:$H$7326)</f>
        <v>0</v>
      </c>
      <c r="I20" s="63">
        <f>SUMIF('הצעת תקציב 2016'!$P$3:$P$7326,$F20,'הצעת תקציב 2016'!$H$3:$H$7326)</f>
        <v>0</v>
      </c>
      <c r="J20" s="64" t="str">
        <f>INDEX(Chapter,MATCH(F20,Chapter!$A$1:$A$681,0),8)</f>
        <v>תעודות ואישורים</v>
      </c>
      <c r="K20" s="71">
        <f t="shared" si="5"/>
        <v>0</v>
      </c>
      <c r="L20" s="72">
        <f t="shared" si="4"/>
        <v>0</v>
      </c>
      <c r="M20" s="72">
        <f t="shared" si="4"/>
        <v>0</v>
      </c>
      <c r="N20" s="64" t="str">
        <f t="shared" si="3"/>
        <v>תעודות ואישורים</v>
      </c>
    </row>
    <row r="21" spans="1:14">
      <c r="A21" s="62"/>
      <c r="B21" s="65"/>
      <c r="C21" s="65"/>
      <c r="D21" s="65"/>
      <c r="E21" s="64"/>
      <c r="F21" s="62" t="s">
        <v>1967</v>
      </c>
      <c r="G21" s="63">
        <f>SUMIF('הצעת תקציב 2016'!$L$3:$L$7326,$F21,'הצעת תקציב 2016'!$H$3:$H$7326)</f>
        <v>0</v>
      </c>
      <c r="H21" s="63">
        <f>SUMIF('הצעת תקציב 2016'!$N$3:$N$7326,$F21,'הצעת תקציב 2016'!$H$3:$H$7326)</f>
        <v>0</v>
      </c>
      <c r="I21" s="63">
        <f>SUMIF('הצעת תקציב 2016'!$P$3:$P$7326,$F21,'הצעת תקציב 2016'!$H$3:$H$7326)</f>
        <v>0</v>
      </c>
      <c r="J21" s="64" t="str">
        <f>INDEX(Chapter,MATCH(F21,Chapter!$A$1:$A$681,0),8)</f>
        <v>אגרת רשיונות לשלטים</v>
      </c>
      <c r="K21" s="71">
        <f t="shared" si="5"/>
        <v>0</v>
      </c>
      <c r="L21" s="72">
        <f t="shared" si="4"/>
        <v>0</v>
      </c>
      <c r="M21" s="72">
        <f t="shared" si="4"/>
        <v>0</v>
      </c>
      <c r="N21" s="64" t="str">
        <f t="shared" si="3"/>
        <v>אגרת רשיונות לשלטים</v>
      </c>
    </row>
    <row r="22" spans="1:14">
      <c r="A22" s="62"/>
      <c r="B22" s="65"/>
      <c r="C22" s="65"/>
      <c r="D22" s="65"/>
      <c r="E22" s="64"/>
      <c r="F22" s="62" t="s">
        <v>1971</v>
      </c>
      <c r="G22" s="63">
        <f>SUMIF('הצעת תקציב 2016'!$L$3:$L$7326,$F22,'הצעת תקציב 2016'!$H$3:$H$7326)</f>
        <v>0</v>
      </c>
      <c r="H22" s="63">
        <f>SUMIF('הצעת תקציב 2016'!$N$3:$N$7326,$F22,'הצעת תקציב 2016'!$H$3:$H$7326)</f>
        <v>0</v>
      </c>
      <c r="I22" s="63">
        <f>SUMIF('הצעת תקציב 2016'!$P$3:$P$7326,$F22,'הצעת תקציב 2016'!$H$3:$H$7326)</f>
        <v>0</v>
      </c>
      <c r="J22" s="64" t="str">
        <f>INDEX(Chapter,MATCH(F22,Chapter!$A$1:$A$681,0),8)</f>
        <v>מודעות ופרסומים</v>
      </c>
      <c r="K22" s="71">
        <f t="shared" si="5"/>
        <v>0</v>
      </c>
      <c r="L22" s="72">
        <f t="shared" si="4"/>
        <v>0</v>
      </c>
      <c r="M22" s="72">
        <f t="shared" si="4"/>
        <v>0</v>
      </c>
      <c r="N22" s="64" t="str">
        <f t="shared" si="3"/>
        <v>מודעות ופרסומים</v>
      </c>
    </row>
    <row r="23" spans="1:14">
      <c r="A23" s="62"/>
      <c r="B23" s="65"/>
      <c r="C23" s="65"/>
      <c r="D23" s="65"/>
      <c r="E23" s="64"/>
      <c r="F23" s="62" t="s">
        <v>1995</v>
      </c>
      <c r="G23" s="63">
        <f>SUMIF('הצעת תקציב 2016'!$L$3:$L$7326,$F23,'הצעת תקציב 2016'!$H$3:$H$7326)</f>
        <v>0</v>
      </c>
      <c r="H23" s="63">
        <f>SUMIF('הצעת תקציב 2016'!$N$3:$N$7326,$F23,'הצעת תקציב 2016'!$H$3:$H$7326)</f>
        <v>0</v>
      </c>
      <c r="I23" s="63">
        <f>SUMIF('הצעת תקציב 2016'!$P$3:$P$7326,$F23,'הצעת תקציב 2016'!$H$3:$H$7326)</f>
        <v>0</v>
      </c>
      <c r="J23" s="64" t="str">
        <f>INDEX(Chapter,MATCH(F23,Chapter!$A$1:$A$681,0),8)</f>
        <v>אגרות שונות</v>
      </c>
      <c r="K23" s="71">
        <f t="shared" si="5"/>
        <v>0</v>
      </c>
      <c r="L23" s="72">
        <f t="shared" si="4"/>
        <v>0</v>
      </c>
      <c r="M23" s="72">
        <f t="shared" si="4"/>
        <v>0</v>
      </c>
      <c r="N23" s="64" t="str">
        <f t="shared" si="3"/>
        <v>אגרות שונות</v>
      </c>
    </row>
    <row r="24" spans="1:14">
      <c r="A24" s="62"/>
      <c r="B24" s="65"/>
      <c r="C24" s="65"/>
      <c r="D24" s="65"/>
      <c r="E24" s="64"/>
      <c r="F24" s="62" t="s">
        <v>2028</v>
      </c>
      <c r="G24" s="63">
        <f>SUMIF('הצעת תקציב 2016'!$L$3:$L$7326,$F24,'הצעת תקציב 2016'!$H$3:$H$7326)</f>
        <v>0</v>
      </c>
      <c r="H24" s="63">
        <f>SUMIF('הצעת תקציב 2016'!$N$3:$N$7326,$F24,'הצעת תקציב 2016'!$H$3:$H$7326)</f>
        <v>0</v>
      </c>
      <c r="I24" s="63">
        <f>SUMIF('הצעת תקציב 2016'!$P$3:$P$7326,$F24,'הצעת תקציב 2016'!$H$3:$H$7326)</f>
        <v>0</v>
      </c>
      <c r="J24" s="64" t="str">
        <f>INDEX(Chapter,MATCH(F24,Chapter!$A$1:$A$681,0),8)</f>
        <v>הכנסות מימון</v>
      </c>
      <c r="K24" s="71">
        <f t="shared" si="5"/>
        <v>0</v>
      </c>
      <c r="L24" s="72">
        <f t="shared" si="4"/>
        <v>0</v>
      </c>
      <c r="M24" s="72">
        <f t="shared" si="4"/>
        <v>0</v>
      </c>
      <c r="N24" s="64" t="str">
        <f t="shared" si="3"/>
        <v>הכנסות מימון</v>
      </c>
    </row>
    <row r="25" spans="1:14">
      <c r="A25" s="62"/>
      <c r="B25" s="65"/>
      <c r="C25" s="65"/>
      <c r="D25" s="65"/>
      <c r="E25" s="64"/>
      <c r="F25" s="62" t="s">
        <v>2405</v>
      </c>
      <c r="G25" s="63">
        <f>SUMIF('הצעת תקציב 2016'!$L$3:$L$7326,$F25,'הצעת תקציב 2016'!$H$3:$H$7326)</f>
        <v>0</v>
      </c>
      <c r="H25" s="63">
        <f>SUMIF('הצעת תקציב 2016'!$N$3:$N$7326,$F25,'הצעת תקציב 2016'!$H$3:$H$7326)</f>
        <v>0</v>
      </c>
      <c r="I25" s="63">
        <f>SUMIF('הצעת תקציב 2016'!$P$3:$P$7326,$F25,'הצעת תקציב 2016'!$H$3:$H$7326)</f>
        <v>0</v>
      </c>
      <c r="J25" s="64" t="e">
        <f>INDEX(Chapter,MATCH(F25,Chapter!$A$1:$A$681,0),8)</f>
        <v>#N/A</v>
      </c>
      <c r="K25" s="71">
        <f t="shared" si="5"/>
        <v>0</v>
      </c>
      <c r="L25" s="72">
        <f t="shared" si="4"/>
        <v>0</v>
      </c>
      <c r="M25" s="72">
        <f t="shared" si="4"/>
        <v>0</v>
      </c>
      <c r="N25" s="64" t="e">
        <f t="shared" si="3"/>
        <v>#N/A</v>
      </c>
    </row>
    <row r="26" spans="1:14">
      <c r="A26" s="62"/>
      <c r="B26" s="65"/>
      <c r="C26" s="65"/>
      <c r="D26" s="65"/>
      <c r="E26" s="64"/>
      <c r="F26" s="62" t="s">
        <v>2031</v>
      </c>
      <c r="G26" s="63">
        <f>SUMIF('הצעת תקציב 2016'!$L$3:$L$7326,$F26,'הצעת תקציב 2016'!$H$3:$H$7326)</f>
        <v>0</v>
      </c>
      <c r="H26" s="63">
        <f>SUMIF('הצעת תקציב 2016'!$N$3:$N$7326,$F26,'הצעת תקציב 2016'!$H$3:$H$7326)</f>
        <v>-1780000</v>
      </c>
      <c r="I26" s="63">
        <f>SUMIF('הצעת תקציב 2016'!$P$3:$P$7326,$F26,'הצעת תקציב 2016'!$H$3:$H$7326)</f>
        <v>0</v>
      </c>
      <c r="J26" s="64" t="str">
        <f>INDEX(Chapter,MATCH(F26,Chapter!$A$1:$A$681,0),8)</f>
        <v>מענקים כלליים</v>
      </c>
      <c r="K26" s="71">
        <f t="shared" si="5"/>
        <v>0</v>
      </c>
      <c r="L26" s="72">
        <f t="shared" si="4"/>
        <v>-1780000</v>
      </c>
      <c r="M26" s="72">
        <f t="shared" si="4"/>
        <v>0</v>
      </c>
      <c r="N26" s="64" t="str">
        <f t="shared" si="3"/>
        <v>מענקים כלליים</v>
      </c>
    </row>
    <row r="27" spans="1:14">
      <c r="A27" s="62"/>
      <c r="B27" s="65"/>
      <c r="C27" s="65"/>
      <c r="D27" s="65"/>
      <c r="E27" s="64"/>
      <c r="F27" s="62" t="s">
        <v>2406</v>
      </c>
      <c r="G27" s="63">
        <f>SUMIF('הצעת תקציב 2016'!$L$3:$L$7326,$F27,'הצעת תקציב 2016'!$H$3:$H$7326)</f>
        <v>0</v>
      </c>
      <c r="H27" s="63">
        <f>SUMIF('הצעת תקציב 2016'!$N$3:$N$7326,$F27,'הצעת תקציב 2016'!$H$3:$H$7326)</f>
        <v>0</v>
      </c>
      <c r="I27" s="63">
        <f>SUMIF('הצעת תקציב 2016'!$P$3:$P$7326,$F27,'הצעת תקציב 2016'!$H$3:$H$7326)</f>
        <v>0</v>
      </c>
      <c r="J27" s="64" t="e">
        <f>INDEX(Chapter,MATCH(F27,Chapter!$A$1:$A$681,0),8)</f>
        <v>#N/A</v>
      </c>
      <c r="K27" s="71">
        <f t="shared" si="5"/>
        <v>0</v>
      </c>
      <c r="L27" s="72">
        <f t="shared" si="4"/>
        <v>0</v>
      </c>
      <c r="M27" s="72">
        <f t="shared" si="4"/>
        <v>0</v>
      </c>
      <c r="N27" s="64" t="e">
        <f t="shared" si="3"/>
        <v>#N/A</v>
      </c>
    </row>
    <row r="28" spans="1:14">
      <c r="A28" s="62"/>
      <c r="B28" s="65"/>
      <c r="C28" s="65"/>
      <c r="D28" s="65"/>
      <c r="E28" s="64"/>
      <c r="F28" s="62" t="s">
        <v>2039</v>
      </c>
      <c r="G28" s="63">
        <f>SUMIF('הצעת תקציב 2016'!$L$3:$L$7326,$F28,'הצעת תקציב 2016'!$H$3:$H$7326)</f>
        <v>0</v>
      </c>
      <c r="H28" s="63">
        <f>SUMIF('הצעת תקציב 2016'!$N$3:$N$7326,$F28,'הצעת תקציב 2016'!$H$3:$H$7326)</f>
        <v>0</v>
      </c>
      <c r="I28" s="63">
        <f>SUMIF('הצעת תקציב 2016'!$P$3:$P$7326,$F28,'הצעת תקציב 2016'!$H$3:$H$7326)</f>
        <v>-1600000</v>
      </c>
      <c r="J28" s="64" t="str">
        <f>INDEX(Chapter,MATCH(F28,Chapter!$A$1:$A$681,0),8)</f>
        <v>מענקים חד פעמיים</v>
      </c>
      <c r="K28" s="71">
        <f t="shared" si="5"/>
        <v>0</v>
      </c>
      <c r="L28" s="72">
        <f t="shared" ref="L28:L75" si="6">C28+H28</f>
        <v>0</v>
      </c>
      <c r="M28" s="72">
        <f t="shared" ref="M28:M75" si="7">D28+I28</f>
        <v>-1600000</v>
      </c>
      <c r="N28" s="64" t="str">
        <f t="shared" si="3"/>
        <v>מענקים חד פעמיים</v>
      </c>
    </row>
    <row r="29" spans="1:14">
      <c r="A29" s="62"/>
      <c r="B29" s="65"/>
      <c r="C29" s="65"/>
      <c r="D29" s="65"/>
      <c r="E29" s="64"/>
      <c r="F29" s="62" t="s">
        <v>2055</v>
      </c>
      <c r="G29" s="63">
        <f>SUMIF('הצעת תקציב 2016'!$L$3:$L$7326,$F29,'הצעת תקציב 2016'!$H$3:$H$7326)</f>
        <v>0</v>
      </c>
      <c r="H29" s="63">
        <f>SUMIF('הצעת תקציב 2016'!$N$3:$N$7326,$F29,'הצעת תקציב 2016'!$H$3:$H$7326)</f>
        <v>0</v>
      </c>
      <c r="I29" s="63">
        <f>SUMIF('הצעת תקציב 2016'!$P$3:$P$7326,$F29,'הצעת תקציב 2016'!$H$3:$H$7326)</f>
        <v>0</v>
      </c>
      <c r="J29" s="64" t="str">
        <f>INDEX(Chapter,MATCH(F29,Chapter!$A$1:$A$681,0),8)</f>
        <v>מענקים אחרים</v>
      </c>
      <c r="K29" s="71">
        <f t="shared" si="5"/>
        <v>0</v>
      </c>
      <c r="L29" s="72">
        <f t="shared" si="6"/>
        <v>0</v>
      </c>
      <c r="M29" s="72">
        <f t="shared" si="7"/>
        <v>0</v>
      </c>
      <c r="N29" s="64" t="str">
        <f t="shared" si="3"/>
        <v>מענקים אחרים</v>
      </c>
    </row>
    <row r="30" spans="1:14">
      <c r="A30" s="62" t="s">
        <v>115</v>
      </c>
      <c r="B30" s="63">
        <f>SUMIF('הצעת תקציב 2016'!$L$3:$L$7326,$A30,'הצעת תקציב 2016'!$H$3:$H$7326)</f>
        <v>364628100</v>
      </c>
      <c r="C30" s="63">
        <f>SUMIF('הצעת תקציב 2016'!$N$3:$N$7326,$A30,'הצעת תקציב 2016'!$H$3:$H$7326)</f>
        <v>0</v>
      </c>
      <c r="D30" s="63">
        <f>SUMIF('הצעת תקציב 2016'!$P$3:$P$7326,$A30,'הצעת תקציב 2016'!$H$3:$H$7326)</f>
        <v>0</v>
      </c>
      <c r="E30" s="64" t="str">
        <f>INDEX(Chapter,MATCH(A30,Chapter!$A$1:$A$681,0),8)</f>
        <v>הנהלה כללית</v>
      </c>
      <c r="F30" s="62"/>
      <c r="G30" s="65"/>
      <c r="H30" s="65"/>
      <c r="I30" s="65"/>
      <c r="J30" s="64"/>
      <c r="K30" s="71">
        <f t="shared" si="5"/>
        <v>364628100</v>
      </c>
      <c r="L30" s="72">
        <f t="shared" si="6"/>
        <v>0</v>
      </c>
      <c r="M30" s="72">
        <f t="shared" si="7"/>
        <v>0</v>
      </c>
      <c r="N30" s="64" t="str">
        <f t="shared" si="3"/>
        <v>הנהלה כללית</v>
      </c>
    </row>
    <row r="31" spans="1:14">
      <c r="A31" s="62" t="s">
        <v>232</v>
      </c>
      <c r="B31" s="63">
        <f>SUMIF('הצעת תקציב 2016'!$L$3:$L$7326,$A31,'הצעת תקציב 2016'!$H$3:$H$7326)</f>
        <v>0</v>
      </c>
      <c r="C31" s="63">
        <f>SUMIF('הצעת תקציב 2016'!$N$3:$N$7326,$A31,'הצעת תקציב 2016'!$H$3:$H$7326)</f>
        <v>97865700</v>
      </c>
      <c r="D31" s="63">
        <f>SUMIF('הצעת תקציב 2016'!$P$3:$P$7326,$A31,'הצעת תקציב 2016'!$H$3:$H$7326)</f>
        <v>0</v>
      </c>
      <c r="E31" s="64" t="str">
        <f>INDEX(Chapter,MATCH(A31,Chapter!$A$1:$A$681,0),8)</f>
        <v>מינהל כללי</v>
      </c>
      <c r="F31" s="62"/>
      <c r="G31" s="65"/>
      <c r="H31" s="65"/>
      <c r="I31" s="65"/>
      <c r="J31" s="64"/>
      <c r="K31" s="71">
        <f t="shared" si="5"/>
        <v>0</v>
      </c>
      <c r="L31" s="72">
        <f t="shared" si="6"/>
        <v>97865700</v>
      </c>
      <c r="M31" s="72">
        <f t="shared" si="7"/>
        <v>0</v>
      </c>
      <c r="N31" s="64" t="str">
        <f t="shared" si="3"/>
        <v>מינהל כללי</v>
      </c>
    </row>
    <row r="32" spans="1:14">
      <c r="A32" s="62" t="s">
        <v>237</v>
      </c>
      <c r="B32" s="63">
        <f>SUMIF('הצעת תקציב 2016'!$L$3:$L$7326,$A32,'הצעת תקציב 2016'!$H$3:$H$7326)</f>
        <v>0</v>
      </c>
      <c r="C32" s="63">
        <f>SUMIF('הצעת תקציב 2016'!$N$3:$N$7326,$A32,'הצעת תקציב 2016'!$H$3:$H$7326)</f>
        <v>0</v>
      </c>
      <c r="D32" s="63">
        <f>SUMIF('הצעת תקציב 2016'!$P$3:$P$7326,$A32,'הצעת תקציב 2016'!$H$3:$H$7326)</f>
        <v>5963300</v>
      </c>
      <c r="E32" s="64" t="str">
        <f>INDEX(Chapter,MATCH(A32,Chapter!$A$1:$A$681,0),8)</f>
        <v>הנהלה ורשות</v>
      </c>
      <c r="F32" s="62"/>
      <c r="G32" s="65"/>
      <c r="H32" s="65"/>
      <c r="I32" s="65"/>
      <c r="J32" s="64"/>
      <c r="K32" s="71">
        <f t="shared" si="5"/>
        <v>0</v>
      </c>
      <c r="L32" s="72">
        <f t="shared" si="6"/>
        <v>0</v>
      </c>
      <c r="M32" s="72">
        <f t="shared" si="7"/>
        <v>5963300</v>
      </c>
      <c r="N32" s="64" t="str">
        <f t="shared" si="3"/>
        <v>הנהלה ורשות</v>
      </c>
    </row>
    <row r="33" spans="1:14">
      <c r="A33" s="62" t="s">
        <v>253</v>
      </c>
      <c r="B33" s="63">
        <f>SUMIF('הצעת תקציב 2016'!$L$3:$L$7326,$A33,'הצעת תקציב 2016'!$H$3:$H$7326)</f>
        <v>0</v>
      </c>
      <c r="C33" s="63">
        <f>SUMIF('הצעת תקציב 2016'!$N$3:$N$7326,$A33,'הצעת תקציב 2016'!$H$3:$H$7326)</f>
        <v>0</v>
      </c>
      <c r="D33" s="63">
        <f>SUMIF('הצעת תקציב 2016'!$P$3:$P$7326,$A33,'הצעת תקציב 2016'!$H$3:$H$7326)</f>
        <v>6946100</v>
      </c>
      <c r="E33" s="64" t="str">
        <f>INDEX(Chapter,MATCH(A33,Chapter!$A$1:$A$681,0),8)</f>
        <v>מבקר הרשות</v>
      </c>
      <c r="F33" s="62"/>
      <c r="G33" s="65"/>
      <c r="H33" s="65"/>
      <c r="I33" s="65"/>
      <c r="J33" s="64"/>
      <c r="K33" s="71">
        <f t="shared" si="5"/>
        <v>0</v>
      </c>
      <c r="L33" s="72">
        <f t="shared" si="6"/>
        <v>0</v>
      </c>
      <c r="M33" s="72">
        <f t="shared" si="7"/>
        <v>6946100</v>
      </c>
      <c r="N33" s="64" t="str">
        <f t="shared" si="3"/>
        <v>מבקר הרשות</v>
      </c>
    </row>
    <row r="34" spans="1:14">
      <c r="A34" s="62" t="s">
        <v>258</v>
      </c>
      <c r="B34" s="63">
        <f>SUMIF('הצעת תקציב 2016'!$L$3:$L$7326,$A34,'הצעת תקציב 2016'!$H$3:$H$7326)</f>
        <v>0</v>
      </c>
      <c r="C34" s="63">
        <f>SUMIF('הצעת תקציב 2016'!$N$3:$N$7326,$A34,'הצעת תקציב 2016'!$H$3:$H$7326)</f>
        <v>0</v>
      </c>
      <c r="D34" s="63">
        <f>SUMIF('הצעת תקציב 2016'!$P$3:$P$7326,$A34,'הצעת תקציב 2016'!$H$3:$H$7326)</f>
        <v>9921100</v>
      </c>
      <c r="E34" s="64" t="str">
        <f>INDEX(Chapter,MATCH(A34,Chapter!$A$1:$A$681,0),8)</f>
        <v>מזכירות</v>
      </c>
      <c r="F34" s="62"/>
      <c r="G34" s="65"/>
      <c r="H34" s="65"/>
      <c r="I34" s="65"/>
      <c r="J34" s="64"/>
      <c r="K34" s="71">
        <f t="shared" si="5"/>
        <v>0</v>
      </c>
      <c r="L34" s="72">
        <f t="shared" si="6"/>
        <v>0</v>
      </c>
      <c r="M34" s="72">
        <f t="shared" si="7"/>
        <v>9921100</v>
      </c>
      <c r="N34" s="64" t="str">
        <f t="shared" si="3"/>
        <v>מזכירות</v>
      </c>
    </row>
    <row r="35" spans="1:14">
      <c r="A35" s="62" t="s">
        <v>268</v>
      </c>
      <c r="B35" s="63">
        <f>SUMIF('הצעת תקציב 2016'!$L$3:$L$7326,$A35,'הצעת תקציב 2016'!$H$3:$H$7326)</f>
        <v>0</v>
      </c>
      <c r="C35" s="63">
        <f>SUMIF('הצעת תקציב 2016'!$N$3:$N$7326,$A35,'הצעת תקציב 2016'!$H$3:$H$7326)</f>
        <v>0</v>
      </c>
      <c r="D35" s="63">
        <f>SUMIF('הצעת תקציב 2016'!$P$3:$P$7326,$A35,'הצעת תקציב 2016'!$H$3:$H$7326)</f>
        <v>27303500</v>
      </c>
      <c r="E35" s="64" t="str">
        <f>INDEX(Chapter,MATCH(A35,Chapter!$A$1:$A$681,0),8)</f>
        <v>מנגנון</v>
      </c>
      <c r="F35" s="62"/>
      <c r="G35" s="65"/>
      <c r="H35" s="65"/>
      <c r="I35" s="65"/>
      <c r="J35" s="64"/>
      <c r="K35" s="71">
        <f t="shared" si="5"/>
        <v>0</v>
      </c>
      <c r="L35" s="72">
        <f t="shared" si="6"/>
        <v>0</v>
      </c>
      <c r="M35" s="72">
        <f t="shared" si="7"/>
        <v>27303500</v>
      </c>
      <c r="N35" s="64" t="str">
        <f t="shared" si="3"/>
        <v>מנגנון</v>
      </c>
    </row>
    <row r="36" spans="1:14">
      <c r="A36" s="62" t="s">
        <v>273</v>
      </c>
      <c r="B36" s="63">
        <f>SUMIF('הצעת תקציב 2016'!$L$3:$L$7326,$A36,'הצעת תקציב 2016'!$H$3:$H$7326)</f>
        <v>0</v>
      </c>
      <c r="C36" s="63">
        <f>SUMIF('הצעת תקציב 2016'!$N$3:$N$7326,$A36,'הצעת תקציב 2016'!$H$3:$H$7326)</f>
        <v>0</v>
      </c>
      <c r="D36" s="63">
        <f>SUMIF('הצעת תקציב 2016'!$P$3:$P$7326,$A36,'הצעת תקציב 2016'!$H$3:$H$7326)</f>
        <v>0</v>
      </c>
      <c r="E36" s="64" t="str">
        <f>INDEX(Chapter,MATCH(A36,Chapter!$A$1:$A$681,0),8)</f>
        <v>או״ש והדרכה</v>
      </c>
      <c r="F36" s="62"/>
      <c r="G36" s="65"/>
      <c r="H36" s="65"/>
      <c r="I36" s="65"/>
      <c r="J36" s="64"/>
      <c r="K36" s="71">
        <f t="shared" si="5"/>
        <v>0</v>
      </c>
      <c r="L36" s="72">
        <f t="shared" si="6"/>
        <v>0</v>
      </c>
      <c r="M36" s="72">
        <f t="shared" si="7"/>
        <v>0</v>
      </c>
      <c r="N36" s="64" t="str">
        <f t="shared" si="3"/>
        <v>או״ש והדרכה</v>
      </c>
    </row>
    <row r="37" spans="1:14">
      <c r="A37" s="62" t="s">
        <v>278</v>
      </c>
      <c r="B37" s="63">
        <f>SUMIF('הצעת תקציב 2016'!$L$3:$L$7326,$A37,'הצעת תקציב 2016'!$H$3:$H$7326)</f>
        <v>0</v>
      </c>
      <c r="C37" s="63">
        <f>SUMIF('הצעת תקציב 2016'!$N$3:$N$7326,$A37,'הצעת תקציב 2016'!$H$3:$H$7326)</f>
        <v>0</v>
      </c>
      <c r="D37" s="63">
        <f>SUMIF('הצעת תקציב 2016'!$P$3:$P$7326,$A37,'הצעת תקציב 2016'!$H$3:$H$7326)</f>
        <v>31847400</v>
      </c>
      <c r="E37" s="64" t="str">
        <f>INDEX(Chapter,MATCH(A37,Chapter!$A$1:$A$681,0),8)</f>
        <v>שרות משפטי</v>
      </c>
      <c r="F37" s="62"/>
      <c r="G37" s="65"/>
      <c r="H37" s="65"/>
      <c r="I37" s="65"/>
      <c r="J37" s="64"/>
      <c r="K37" s="71">
        <f t="shared" si="5"/>
        <v>0</v>
      </c>
      <c r="L37" s="72">
        <f t="shared" si="6"/>
        <v>0</v>
      </c>
      <c r="M37" s="72">
        <f t="shared" si="7"/>
        <v>31847400</v>
      </c>
      <c r="N37" s="64" t="str">
        <f t="shared" si="3"/>
        <v>שרות משפטי</v>
      </c>
    </row>
    <row r="38" spans="1:14">
      <c r="A38" s="62" t="s">
        <v>283</v>
      </c>
      <c r="B38" s="63">
        <f>SUMIF('הצעת תקציב 2016'!$L$3:$L$7326,$A38,'הצעת תקציב 2016'!$H$3:$H$7326)</f>
        <v>0</v>
      </c>
      <c r="C38" s="63">
        <f>SUMIF('הצעת תקציב 2016'!$N$3:$N$7326,$A38,'הצעת תקציב 2016'!$H$3:$H$7326)</f>
        <v>0</v>
      </c>
      <c r="D38" s="63">
        <f>SUMIF('הצעת תקציב 2016'!$P$3:$P$7326,$A38,'הצעת תקציב 2016'!$H$3:$H$7326)</f>
        <v>2804400</v>
      </c>
      <c r="E38" s="64" t="str">
        <f>INDEX(Chapter,MATCH(A38,Chapter!$A$1:$A$681,0),8)</f>
        <v>תכנון ומחקר</v>
      </c>
      <c r="F38" s="62"/>
      <c r="G38" s="65"/>
      <c r="H38" s="65"/>
      <c r="I38" s="65"/>
      <c r="J38" s="64"/>
      <c r="K38" s="71">
        <f t="shared" si="5"/>
        <v>0</v>
      </c>
      <c r="L38" s="72">
        <f t="shared" si="6"/>
        <v>0</v>
      </c>
      <c r="M38" s="72">
        <f t="shared" si="7"/>
        <v>2804400</v>
      </c>
      <c r="N38" s="64" t="str">
        <f t="shared" si="3"/>
        <v>תכנון ומחקר</v>
      </c>
    </row>
    <row r="39" spans="1:14">
      <c r="A39" s="62" t="s">
        <v>288</v>
      </c>
      <c r="B39" s="63">
        <f>SUMIF('הצעת תקציב 2016'!$L$3:$L$7326,$A39,'הצעת תקציב 2016'!$H$3:$H$7326)</f>
        <v>0</v>
      </c>
      <c r="C39" s="63">
        <f>SUMIF('הצעת תקציב 2016'!$N$3:$N$7326,$A39,'הצעת תקציב 2016'!$H$3:$H$7326)</f>
        <v>0</v>
      </c>
      <c r="D39" s="63">
        <f>SUMIF('הצעת תקציב 2016'!$P$3:$P$7326,$A39,'הצעת תקציב 2016'!$H$3:$H$7326)</f>
        <v>6765100</v>
      </c>
      <c r="E39" s="64" t="str">
        <f>INDEX(Chapter,MATCH(A39,Chapter!$A$1:$A$681,0),8)</f>
        <v>בחירות ברשויות המקומיות</v>
      </c>
      <c r="F39" s="62"/>
      <c r="G39" s="65"/>
      <c r="H39" s="65"/>
      <c r="I39" s="65"/>
      <c r="J39" s="64"/>
      <c r="K39" s="71">
        <f t="shared" si="5"/>
        <v>0</v>
      </c>
      <c r="L39" s="72">
        <f t="shared" si="6"/>
        <v>0</v>
      </c>
      <c r="M39" s="72">
        <f t="shared" si="7"/>
        <v>6765100</v>
      </c>
      <c r="N39" s="64" t="str">
        <f t="shared" si="3"/>
        <v>בחירות ברשויות המקומיות</v>
      </c>
    </row>
    <row r="40" spans="1:14">
      <c r="A40" s="62" t="s">
        <v>293</v>
      </c>
      <c r="B40" s="63">
        <f>SUMIF('הצעת תקציב 2016'!$L$3:$L$7326,$A40,'הצעת תקציב 2016'!$H$3:$H$7326)</f>
        <v>0</v>
      </c>
      <c r="C40" s="63">
        <f>SUMIF('הצעת תקציב 2016'!$N$3:$N$7326,$A40,'הצעת תקציב 2016'!$H$3:$H$7326)</f>
        <v>84662400</v>
      </c>
      <c r="D40" s="63">
        <f>SUMIF('הצעת תקציב 2016'!$P$3:$P$7326,$A40,'הצעת תקציב 2016'!$H$3:$H$7326)</f>
        <v>0</v>
      </c>
      <c r="E40" s="64" t="str">
        <f>INDEX(Chapter,MATCH(A40,Chapter!$A$1:$A$681,0),8)</f>
        <v>מינהל כספי</v>
      </c>
      <c r="F40" s="62"/>
      <c r="G40" s="65"/>
      <c r="H40" s="65"/>
      <c r="I40" s="65"/>
      <c r="J40" s="64"/>
      <c r="K40" s="71">
        <f t="shared" si="5"/>
        <v>0</v>
      </c>
      <c r="L40" s="72">
        <f t="shared" si="6"/>
        <v>84662400</v>
      </c>
      <c r="M40" s="72">
        <f t="shared" si="7"/>
        <v>0</v>
      </c>
      <c r="N40" s="64" t="str">
        <f t="shared" si="3"/>
        <v>מינהל כספי</v>
      </c>
    </row>
    <row r="41" spans="1:14">
      <c r="A41" s="62" t="s">
        <v>298</v>
      </c>
      <c r="B41" s="63">
        <f>SUMIF('הצעת תקציב 2016'!$L$3:$L$7326,$A41,'הצעת תקציב 2016'!$H$3:$H$7326)</f>
        <v>0</v>
      </c>
      <c r="C41" s="63">
        <f>SUMIF('הצעת תקציב 2016'!$N$3:$N$7326,$A41,'הצעת תקציב 2016'!$H$3:$H$7326)</f>
        <v>0</v>
      </c>
      <c r="D41" s="63">
        <f>SUMIF('הצעת תקציב 2016'!$P$3:$P$7326,$A41,'הצעת תקציב 2016'!$H$3:$H$7326)</f>
        <v>19699700</v>
      </c>
      <c r="E41" s="64" t="str">
        <f>INDEX(Chapter,MATCH(A41,Chapter!$A$1:$A$681,0),8)</f>
        <v>הגזברות</v>
      </c>
      <c r="F41" s="62"/>
      <c r="G41" s="65"/>
      <c r="H41" s="65"/>
      <c r="I41" s="65"/>
      <c r="J41" s="64"/>
      <c r="K41" s="71">
        <f t="shared" si="5"/>
        <v>0</v>
      </c>
      <c r="L41" s="72">
        <f t="shared" si="6"/>
        <v>0</v>
      </c>
      <c r="M41" s="72">
        <f t="shared" si="7"/>
        <v>19699700</v>
      </c>
      <c r="N41" s="64" t="str">
        <f t="shared" si="3"/>
        <v>הגזברות</v>
      </c>
    </row>
    <row r="42" spans="1:14">
      <c r="A42" s="62" t="s">
        <v>337</v>
      </c>
      <c r="B42" s="63">
        <f>SUMIF('הצעת תקציב 2016'!$L$3:$L$7326,$A42,'הצעת תקציב 2016'!$H$3:$H$7326)</f>
        <v>0</v>
      </c>
      <c r="C42" s="63">
        <f>SUMIF('הצעת תקציב 2016'!$N$3:$N$7326,$A42,'הצעת תקציב 2016'!$H$3:$H$7326)</f>
        <v>0</v>
      </c>
      <c r="D42" s="63">
        <f>SUMIF('הצעת תקציב 2016'!$P$3:$P$7326,$A42,'הצעת תקציב 2016'!$H$3:$H$7326)</f>
        <v>0</v>
      </c>
      <c r="E42" s="64" t="str">
        <f>INDEX(Chapter,MATCH(A42,Chapter!$A$1:$A$681,0),8)</f>
        <v>שומה</v>
      </c>
      <c r="F42" s="62"/>
      <c r="G42" s="65"/>
      <c r="H42" s="65"/>
      <c r="I42" s="65"/>
      <c r="J42" s="64"/>
      <c r="K42" s="71">
        <f t="shared" si="5"/>
        <v>0</v>
      </c>
      <c r="L42" s="72">
        <f t="shared" si="6"/>
        <v>0</v>
      </c>
      <c r="M42" s="72">
        <f t="shared" si="7"/>
        <v>0</v>
      </c>
      <c r="N42" s="64" t="str">
        <f t="shared" si="3"/>
        <v>שומה</v>
      </c>
    </row>
    <row r="43" spans="1:14">
      <c r="A43" s="62" t="s">
        <v>342</v>
      </c>
      <c r="B43" s="63">
        <f>SUMIF('הצעת תקציב 2016'!$L$3:$L$7326,$A43,'הצעת תקציב 2016'!$H$3:$H$7326)</f>
        <v>0</v>
      </c>
      <c r="C43" s="63">
        <f>SUMIF('הצעת תקציב 2016'!$N$3:$N$7326,$A43,'הצעת תקציב 2016'!$H$3:$H$7326)</f>
        <v>0</v>
      </c>
      <c r="D43" s="63">
        <f>SUMIF('הצעת תקציב 2016'!$P$3:$P$7326,$A43,'הצעת תקציב 2016'!$H$3:$H$7326)</f>
        <v>64962700</v>
      </c>
      <c r="E43" s="64" t="str">
        <f>INDEX(Chapter,MATCH(A43,Chapter!$A$1:$A$681,0),8)</f>
        <v>גבייה</v>
      </c>
      <c r="F43" s="62"/>
      <c r="G43" s="65"/>
      <c r="H43" s="65"/>
      <c r="I43" s="65"/>
      <c r="J43" s="64"/>
      <c r="K43" s="71">
        <f t="shared" si="5"/>
        <v>0</v>
      </c>
      <c r="L43" s="72">
        <f t="shared" si="6"/>
        <v>0</v>
      </c>
      <c r="M43" s="72">
        <f t="shared" si="7"/>
        <v>64962700</v>
      </c>
      <c r="N43" s="64" t="str">
        <f t="shared" si="3"/>
        <v>גבייה</v>
      </c>
    </row>
    <row r="44" spans="1:14">
      <c r="A44" s="62" t="s">
        <v>382</v>
      </c>
      <c r="B44" s="63">
        <f>SUMIF('הצעת תקציב 2016'!$L$3:$L$7326,$A44,'הצעת תקציב 2016'!$H$3:$H$7326)</f>
        <v>0</v>
      </c>
      <c r="C44" s="63">
        <f>SUMIF('הצעת תקציב 2016'!$N$3:$N$7326,$A44,'הצעת תקציב 2016'!$H$3:$H$7326)</f>
        <v>15100000</v>
      </c>
      <c r="D44" s="63">
        <f>SUMIF('הצעת תקציב 2016'!$P$3:$P$7326,$A44,'הצעת תקציב 2016'!$H$3:$H$7326)</f>
        <v>0</v>
      </c>
      <c r="E44" s="64" t="str">
        <f>INDEX(Chapter,MATCH(A44,Chapter!$A$1:$A$681,0),8)</f>
        <v>הוצאות מימון</v>
      </c>
      <c r="F44" s="62"/>
      <c r="G44" s="65"/>
      <c r="H44" s="65"/>
      <c r="I44" s="65"/>
      <c r="J44" s="64"/>
      <c r="K44" s="71">
        <f t="shared" si="5"/>
        <v>0</v>
      </c>
      <c r="L44" s="72">
        <f t="shared" si="6"/>
        <v>15100000</v>
      </c>
      <c r="M44" s="72">
        <f t="shared" si="7"/>
        <v>0</v>
      </c>
      <c r="N44" s="64" t="str">
        <f t="shared" si="3"/>
        <v>הוצאות מימון</v>
      </c>
    </row>
    <row r="45" spans="1:14">
      <c r="A45" s="62" t="s">
        <v>387</v>
      </c>
      <c r="B45" s="63">
        <f>SUMIF('הצעת תקציב 2016'!$L$3:$L$7326,$A45,'הצעת תקציב 2016'!$H$3:$H$7326)</f>
        <v>0</v>
      </c>
      <c r="C45" s="63">
        <f>SUMIF('הצעת תקציב 2016'!$N$3:$N$7326,$A45,'הצעת תקציב 2016'!$H$3:$H$7326)</f>
        <v>0</v>
      </c>
      <c r="D45" s="63">
        <f>SUMIF('הצעת תקציב 2016'!$P$3:$P$7326,$A45,'הצעת תקציב 2016'!$H$3:$H$7326)</f>
        <v>0</v>
      </c>
      <c r="E45" s="64" t="str">
        <f>INDEX(Chapter,MATCH(A45,Chapter!$A$1:$A$681,0),8)</f>
        <v>עמלות והוצאות בנקאיות</v>
      </c>
      <c r="F45" s="62"/>
      <c r="G45" s="65"/>
      <c r="H45" s="65"/>
      <c r="I45" s="65"/>
      <c r="J45" s="64"/>
      <c r="K45" s="71">
        <f t="shared" si="5"/>
        <v>0</v>
      </c>
      <c r="L45" s="72">
        <f t="shared" si="6"/>
        <v>0</v>
      </c>
      <c r="M45" s="72">
        <f t="shared" si="7"/>
        <v>0</v>
      </c>
      <c r="N45" s="64" t="str">
        <f t="shared" si="3"/>
        <v>עמלות והוצאות בנקאיות</v>
      </c>
    </row>
    <row r="46" spans="1:14">
      <c r="A46" s="62" t="s">
        <v>392</v>
      </c>
      <c r="B46" s="63">
        <f>SUMIF('הצעת תקציב 2016'!$L$3:$L$7326,$A46,'הצעת תקציב 2016'!$H$3:$H$7326)</f>
        <v>0</v>
      </c>
      <c r="C46" s="63">
        <f>SUMIF('הצעת תקציב 2016'!$N$3:$N$7326,$A46,'הצעת תקציב 2016'!$H$3:$H$7326)</f>
        <v>0</v>
      </c>
      <c r="D46" s="63">
        <f>SUMIF('הצעת תקציב 2016'!$P$3:$P$7326,$A46,'הצעת תקציב 2016'!$H$3:$H$7326)</f>
        <v>0</v>
      </c>
      <c r="E46" s="64" t="str">
        <f>INDEX(Chapter,MATCH(A46,Chapter!$A$1:$A$681,0),8)</f>
        <v>הוצאות מימון</v>
      </c>
      <c r="F46" s="62"/>
      <c r="G46" s="65"/>
      <c r="H46" s="65"/>
      <c r="I46" s="65"/>
      <c r="J46" s="64"/>
      <c r="K46" s="71">
        <f t="shared" si="5"/>
        <v>0</v>
      </c>
      <c r="L46" s="72">
        <f t="shared" si="6"/>
        <v>0</v>
      </c>
      <c r="M46" s="72">
        <f t="shared" si="7"/>
        <v>0</v>
      </c>
      <c r="N46" s="64" t="str">
        <f t="shared" si="3"/>
        <v>הוצאות מימון</v>
      </c>
    </row>
    <row r="47" spans="1:14">
      <c r="A47" s="62" t="s">
        <v>2416</v>
      </c>
      <c r="B47" s="63">
        <f>SUMIF('הצעת תקציב 2016'!$L$3:$L$7326,$A47,'הצעת תקציב 2016'!$H$3:$H$7326)</f>
        <v>0</v>
      </c>
      <c r="C47" s="63">
        <f>SUMIF('הצעת תקציב 2016'!$N$3:$N$7326,$A47,'הצעת תקציב 2016'!$H$3:$H$7326)</f>
        <v>0</v>
      </c>
      <c r="D47" s="63">
        <f>SUMIF('הצעת תקציב 2016'!$P$3:$P$7326,$A47,'הצעת תקציב 2016'!$H$3:$H$7326)</f>
        <v>0</v>
      </c>
      <c r="E47" s="64" t="e">
        <f>INDEX(Chapter,MATCH(A47,Chapter!$A$1:$A$681,0),8)</f>
        <v>#N/A</v>
      </c>
      <c r="F47" s="62"/>
      <c r="G47" s="65"/>
      <c r="H47" s="65"/>
      <c r="I47" s="65"/>
      <c r="J47" s="64"/>
      <c r="K47" s="71">
        <f t="shared" si="5"/>
        <v>0</v>
      </c>
      <c r="L47" s="72">
        <f t="shared" si="6"/>
        <v>0</v>
      </c>
      <c r="M47" s="72">
        <f t="shared" si="7"/>
        <v>0</v>
      </c>
      <c r="N47" s="64" t="e">
        <f t="shared" si="3"/>
        <v>#N/A</v>
      </c>
    </row>
    <row r="48" spans="1:14">
      <c r="A48" s="62" t="s">
        <v>394</v>
      </c>
      <c r="B48" s="63">
        <f>SUMIF('הצעת תקציב 2016'!$L$3:$L$7326,$A48,'הצעת תקציב 2016'!$H$3:$H$7326)</f>
        <v>0</v>
      </c>
      <c r="C48" s="63">
        <f>SUMIF('הצעת תקציב 2016'!$N$3:$N$7326,$A48,'הצעת תקציב 2016'!$H$3:$H$7326)</f>
        <v>167000000</v>
      </c>
      <c r="D48" s="63">
        <f>SUMIF('הצעת תקציב 2016'!$P$3:$P$7326,$A48,'הצעת תקציב 2016'!$H$3:$H$7326)</f>
        <v>0</v>
      </c>
      <c r="E48" s="64" t="str">
        <f>INDEX(Chapter,MATCH(A48,Chapter!$A$1:$A$681,0),8)</f>
        <v>פרעון מלוות</v>
      </c>
      <c r="F48" s="62"/>
      <c r="G48" s="65"/>
      <c r="H48" s="65"/>
      <c r="I48" s="65"/>
      <c r="J48" s="64"/>
      <c r="K48" s="71">
        <f t="shared" si="5"/>
        <v>0</v>
      </c>
      <c r="L48" s="72">
        <f t="shared" si="6"/>
        <v>167000000</v>
      </c>
      <c r="M48" s="72">
        <f t="shared" si="7"/>
        <v>0</v>
      </c>
      <c r="N48" s="64" t="str">
        <f t="shared" si="3"/>
        <v>פרעון מלוות</v>
      </c>
    </row>
    <row r="49" spans="1:14">
      <c r="A49" s="62" t="s">
        <v>399</v>
      </c>
      <c r="B49" s="63">
        <f>SUMIF('הצעת תקציב 2016'!$L$3:$L$7326,$A49,'הצעת תקציב 2016'!$H$3:$H$7326)</f>
        <v>0</v>
      </c>
      <c r="C49" s="63">
        <f>SUMIF('הצעת תקציב 2016'!$N$3:$N$7326,$A49,'הצעת תקציב 2016'!$H$3:$H$7326)</f>
        <v>0</v>
      </c>
      <c r="D49" s="63">
        <f>SUMIF('הצעת תקציב 2016'!$P$3:$P$7326,$A49,'הצעת תקציב 2016'!$H$3:$H$7326)</f>
        <v>0</v>
      </c>
      <c r="E49" s="64" t="str">
        <f>INDEX(Chapter,MATCH(A49,Chapter!$A$1:$A$681,0),8)</f>
        <v>פרעון מלוות לפרעון עצמי</v>
      </c>
      <c r="F49" s="62"/>
      <c r="G49" s="65"/>
      <c r="H49" s="65"/>
      <c r="I49" s="65"/>
      <c r="J49" s="64"/>
      <c r="K49" s="71">
        <f t="shared" si="5"/>
        <v>0</v>
      </c>
      <c r="L49" s="72">
        <f t="shared" si="6"/>
        <v>0</v>
      </c>
      <c r="M49" s="72">
        <f t="shared" si="7"/>
        <v>0</v>
      </c>
      <c r="N49" s="64" t="str">
        <f t="shared" si="3"/>
        <v>פרעון מלוות לפרעון עצמי</v>
      </c>
    </row>
    <row r="50" spans="1:14">
      <c r="A50" s="62" t="s">
        <v>130</v>
      </c>
      <c r="B50" s="63">
        <f>SUMIF('הצעת תקציב 2016'!$L$3:$L$7326,$A50,'הצעת תקציב 2016'!$H$3:$H$7326)</f>
        <v>394357700</v>
      </c>
      <c r="C50" s="63">
        <f>SUMIF('הצעת תקציב 2016'!$N$3:$N$7326,$A50,'הצעת תקציב 2016'!$H$3:$H$7326)</f>
        <v>0</v>
      </c>
      <c r="D50" s="63">
        <f>SUMIF('הצעת תקציב 2016'!$P$3:$P$7326,$A50,'הצעת תקציב 2016'!$H$3:$H$7326)</f>
        <v>0</v>
      </c>
      <c r="E50" s="64" t="str">
        <f>INDEX(Chapter,MATCH(A50,Chapter!$A$1:$A$681,0),8)</f>
        <v>שירותים מקומיים</v>
      </c>
      <c r="F50" s="62" t="s">
        <v>59</v>
      </c>
      <c r="G50" s="63">
        <f>SUMIF('הצעת תקציב 2016'!$L$3:$L$7326,$F50,'הצעת תקציב 2016'!$H$3:$H$7326)</f>
        <v>-128670700</v>
      </c>
      <c r="H50" s="63">
        <f>SUMIF('הצעת תקציב 2016'!$N$3:$N$7326,$F50,'הצעת תקציב 2016'!$H$3:$H$7326)</f>
        <v>0</v>
      </c>
      <c r="I50" s="63">
        <f>SUMIF('הצעת תקציב 2016'!$P$3:$P$7326,$F50,'הצעת תקציב 2016'!$H$3:$H$7326)</f>
        <v>0</v>
      </c>
      <c r="J50" s="64" t="str">
        <f>INDEX(Chapter,MATCH(F50,Chapter!$A$1:$A$681,0),8)</f>
        <v>שירותים מקומיים</v>
      </c>
      <c r="K50" s="71">
        <f t="shared" si="5"/>
        <v>265687000</v>
      </c>
      <c r="L50" s="72">
        <f t="shared" si="6"/>
        <v>0</v>
      </c>
      <c r="M50" s="72">
        <f t="shared" si="7"/>
        <v>0</v>
      </c>
      <c r="N50" s="64" t="str">
        <f t="shared" si="3"/>
        <v>שירותים מקומיים</v>
      </c>
    </row>
    <row r="51" spans="1:14">
      <c r="A51" s="62" t="s">
        <v>418</v>
      </c>
      <c r="B51" s="63">
        <f>SUMIF('הצעת תקציב 2016'!$L$3:$L$7326,$A51,'הצעת תקציב 2016'!$H$3:$H$7326)</f>
        <v>0</v>
      </c>
      <c r="C51" s="63">
        <f>SUMIF('הצעת תקציב 2016'!$N$3:$N$7326,$A51,'הצעת תקציב 2016'!$H$3:$H$7326)</f>
        <v>137581700</v>
      </c>
      <c r="D51" s="63">
        <f>SUMIF('הצעת תקציב 2016'!$P$3:$P$7326,$A51,'הצעת תקציב 2016'!$H$3:$H$7326)</f>
        <v>0</v>
      </c>
      <c r="E51" s="64" t="str">
        <f>INDEX(Chapter,MATCH(A51,Chapter!$A$1:$A$681,0),8)</f>
        <v>תברואה</v>
      </c>
      <c r="F51" s="62" t="s">
        <v>419</v>
      </c>
      <c r="G51" s="63">
        <f>SUMIF('הצעת תקציב 2016'!$L$3:$L$7326,$F51,'הצעת תקציב 2016'!$H$3:$H$7326)</f>
        <v>0</v>
      </c>
      <c r="H51" s="63">
        <f>SUMIF('הצעת תקציב 2016'!$N$3:$N$7326,$F51,'הצעת תקציב 2016'!$H$3:$H$7326)</f>
        <v>-12120000</v>
      </c>
      <c r="I51" s="63">
        <f>SUMIF('הצעת תקציב 2016'!$P$3:$P$7326,$F51,'הצעת תקציב 2016'!$H$3:$H$7326)</f>
        <v>0</v>
      </c>
      <c r="J51" s="64" t="str">
        <f>INDEX(Chapter,MATCH(F51,Chapter!$A$1:$A$681,0),8)</f>
        <v>תברואה</v>
      </c>
      <c r="K51" s="71">
        <f t="shared" si="5"/>
        <v>0</v>
      </c>
      <c r="L51" s="72">
        <f t="shared" si="6"/>
        <v>125461700</v>
      </c>
      <c r="M51" s="72">
        <f t="shared" si="7"/>
        <v>0</v>
      </c>
      <c r="N51" s="64" t="str">
        <f t="shared" si="3"/>
        <v>תברואה</v>
      </c>
    </row>
    <row r="52" spans="1:14">
      <c r="A52" s="62" t="s">
        <v>424</v>
      </c>
      <c r="B52" s="63">
        <f>SUMIF('הצעת תקציב 2016'!$L$3:$L$7326,$A52,'הצעת תקציב 2016'!$H$3:$H$7326)</f>
        <v>0</v>
      </c>
      <c r="C52" s="63">
        <f>SUMIF('הצעת תקציב 2016'!$N$3:$N$7326,$A52,'הצעת תקציב 2016'!$H$3:$H$7326)</f>
        <v>0</v>
      </c>
      <c r="D52" s="63">
        <f>SUMIF('הצעת תקציב 2016'!$P$3:$P$7326,$A52,'הצעת תקציב 2016'!$H$3:$H$7326)</f>
        <v>9444700</v>
      </c>
      <c r="E52" s="64" t="str">
        <f>INDEX(Chapter,MATCH(A52,Chapter!$A$1:$A$681,0),8)</f>
        <v>מינהל תברואה</v>
      </c>
      <c r="F52" s="62"/>
      <c r="G52" s="65"/>
      <c r="H52" s="65"/>
      <c r="I52" s="65"/>
      <c r="J52" s="64"/>
      <c r="K52" s="71">
        <f t="shared" si="5"/>
        <v>0</v>
      </c>
      <c r="L52" s="72">
        <f t="shared" si="6"/>
        <v>0</v>
      </c>
      <c r="M52" s="72">
        <f t="shared" si="7"/>
        <v>9444700</v>
      </c>
      <c r="N52" s="64" t="str">
        <f t="shared" si="3"/>
        <v>מינהל תברואה</v>
      </c>
    </row>
    <row r="53" spans="1:14">
      <c r="A53" s="62" t="s">
        <v>429</v>
      </c>
      <c r="B53" s="63">
        <f>SUMIF('הצעת תקציב 2016'!$L$3:$L$7326,$A53,'הצעת תקציב 2016'!$H$3:$H$7326)</f>
        <v>0</v>
      </c>
      <c r="C53" s="63">
        <f>SUMIF('הצעת תקציב 2016'!$N$3:$N$7326,$A53,'הצעת תקציב 2016'!$H$3:$H$7326)</f>
        <v>0</v>
      </c>
      <c r="D53" s="63">
        <f>SUMIF('הצעת תקציב 2016'!$P$3:$P$7326,$A53,'הצעת תקציב 2016'!$H$3:$H$7326)</f>
        <v>118374100</v>
      </c>
      <c r="E53" s="64" t="str">
        <f>INDEX(Chapter,MATCH(A53,Chapter!$A$1:$A$681,0),8)</f>
        <v>שירותי ניקיון</v>
      </c>
      <c r="F53" s="62" t="s">
        <v>430</v>
      </c>
      <c r="G53" s="63">
        <f>SUMIF('הצעת תקציב 2016'!$L$3:$L$7326,$F53,'הצעת תקציב 2016'!$H$3:$H$7326)</f>
        <v>0</v>
      </c>
      <c r="H53" s="63">
        <f>SUMIF('הצעת תקציב 2016'!$N$3:$N$7326,$F53,'הצעת תקציב 2016'!$H$3:$H$7326)</f>
        <v>0</v>
      </c>
      <c r="I53" s="63">
        <f>SUMIF('הצעת תקציב 2016'!$P$3:$P$7326,$F53,'הצעת תקציב 2016'!$H$3:$H$7326)</f>
        <v>-7995000</v>
      </c>
      <c r="J53" s="64" t="str">
        <f>INDEX(Chapter,MATCH(F53,Chapter!$A$1:$A$681,0),8)</f>
        <v>שירותי ניקיון</v>
      </c>
      <c r="K53" s="71">
        <f t="shared" si="5"/>
        <v>0</v>
      </c>
      <c r="L53" s="72">
        <f t="shared" si="6"/>
        <v>0</v>
      </c>
      <c r="M53" s="72">
        <f t="shared" si="7"/>
        <v>110379100</v>
      </c>
      <c r="N53" s="64" t="str">
        <f t="shared" si="3"/>
        <v>שירותי ניקיון</v>
      </c>
    </row>
    <row r="54" spans="1:14">
      <c r="A54" s="62" t="s">
        <v>464</v>
      </c>
      <c r="B54" s="63">
        <f>SUMIF('הצעת תקציב 2016'!$L$3:$L$7326,$A54,'הצעת תקציב 2016'!$H$3:$H$7326)</f>
        <v>0</v>
      </c>
      <c r="C54" s="63">
        <f>SUMIF('הצעת תקציב 2016'!$N$3:$N$7326,$A54,'הצעת תקציב 2016'!$H$3:$H$7326)</f>
        <v>0</v>
      </c>
      <c r="D54" s="63">
        <f>SUMIF('הצעת תקציב 2016'!$P$3:$P$7326,$A54,'הצעת תקציב 2016'!$H$3:$H$7326)</f>
        <v>0</v>
      </c>
      <c r="E54" s="64" t="str">
        <f>INDEX(Chapter,MATCH(A54,Chapter!$A$1:$A$681,0),8)</f>
        <v>פיקוח תברואי</v>
      </c>
      <c r="F54" s="62" t="s">
        <v>465</v>
      </c>
      <c r="G54" s="63">
        <f>SUMIF('הצעת תקציב 2016'!$L$3:$L$7326,$F54,'הצעת תקציב 2016'!$H$3:$H$7326)</f>
        <v>0</v>
      </c>
      <c r="H54" s="63">
        <f>SUMIF('הצעת תקציב 2016'!$N$3:$N$7326,$F54,'הצעת תקציב 2016'!$H$3:$H$7326)</f>
        <v>0</v>
      </c>
      <c r="I54" s="63">
        <f>SUMIF('הצעת תקציב 2016'!$P$3:$P$7326,$F54,'הצעת תקציב 2016'!$H$3:$H$7326)</f>
        <v>-1279000</v>
      </c>
      <c r="J54" s="64" t="str">
        <f>INDEX(Chapter,MATCH(F54,Chapter!$A$1:$A$681,0),8)</f>
        <v>פיקוח תברואי</v>
      </c>
      <c r="K54" s="71">
        <f t="shared" si="5"/>
        <v>0</v>
      </c>
      <c r="L54" s="72">
        <f t="shared" si="6"/>
        <v>0</v>
      </c>
      <c r="M54" s="72">
        <f t="shared" si="7"/>
        <v>-1279000</v>
      </c>
      <c r="N54" s="64" t="str">
        <f t="shared" si="3"/>
        <v>פיקוח תברואי</v>
      </c>
    </row>
    <row r="55" spans="1:14">
      <c r="A55" s="62" t="s">
        <v>488</v>
      </c>
      <c r="B55" s="63">
        <f>SUMIF('הצעת תקציב 2016'!$L$3:$L$7326,$A55,'הצעת תקציב 2016'!$H$3:$H$7326)</f>
        <v>0</v>
      </c>
      <c r="C55" s="63">
        <f>SUMIF('הצעת תקציב 2016'!$N$3:$N$7326,$A55,'הצעת תקציב 2016'!$H$3:$H$7326)</f>
        <v>0</v>
      </c>
      <c r="D55" s="63">
        <f>SUMIF('הצעת תקציב 2016'!$P$3:$P$7326,$A55,'הצעת תקציב 2016'!$H$3:$H$7326)</f>
        <v>5200000</v>
      </c>
      <c r="E55" s="64" t="str">
        <f>INDEX(Chapter,MATCH(A55,Chapter!$A$1:$A$681,0),8)</f>
        <v>שרות וטרינרי</v>
      </c>
      <c r="F55" s="62" t="s">
        <v>489</v>
      </c>
      <c r="G55" s="63">
        <f>SUMIF('הצעת תקציב 2016'!$L$3:$L$7326,$F55,'הצעת תקציב 2016'!$H$3:$H$7326)</f>
        <v>0</v>
      </c>
      <c r="H55" s="63">
        <f>SUMIF('הצעת תקציב 2016'!$N$3:$N$7326,$F55,'הצעת תקציב 2016'!$H$3:$H$7326)</f>
        <v>0</v>
      </c>
      <c r="I55" s="63">
        <f>SUMIF('הצעת תקציב 2016'!$P$3:$P$7326,$F55,'הצעת תקציב 2016'!$H$3:$H$7326)</f>
        <v>-2846000</v>
      </c>
      <c r="J55" s="64" t="str">
        <f>INDEX(Chapter,MATCH(F55,Chapter!$A$1:$A$681,0),8)</f>
        <v>שרות וטרינרי</v>
      </c>
      <c r="K55" s="71">
        <f t="shared" si="5"/>
        <v>0</v>
      </c>
      <c r="L55" s="72">
        <f t="shared" si="6"/>
        <v>0</v>
      </c>
      <c r="M55" s="72">
        <f t="shared" si="7"/>
        <v>2354000</v>
      </c>
      <c r="N55" s="64" t="str">
        <f t="shared" si="3"/>
        <v>שרות וטרינרי</v>
      </c>
    </row>
    <row r="56" spans="1:14">
      <c r="A56" s="62" t="s">
        <v>512</v>
      </c>
      <c r="B56" s="63">
        <f>SUMIF('הצעת תקציב 2016'!$L$3:$L$7326,$A56,'הצעת תקציב 2016'!$H$3:$H$7326)</f>
        <v>0</v>
      </c>
      <c r="C56" s="63">
        <f>SUMIF('הצעת תקציב 2016'!$N$3:$N$7326,$A56,'הצעת תקציב 2016'!$H$3:$H$7326)</f>
        <v>0</v>
      </c>
      <c r="D56" s="63">
        <f>SUMIF('הצעת תקציב 2016'!$P$3:$P$7326,$A56,'הצעת תקציב 2016'!$H$3:$H$7326)</f>
        <v>4562900</v>
      </c>
      <c r="E56" s="64" t="str">
        <f>INDEX(Chapter,MATCH(A56,Chapter!$A$1:$A$681,0),8)</f>
        <v>תברואה מונעת</v>
      </c>
      <c r="F56" s="62"/>
      <c r="G56" s="65"/>
      <c r="H56" s="65"/>
      <c r="I56" s="65"/>
      <c r="J56" s="64"/>
      <c r="K56" s="71">
        <f t="shared" si="5"/>
        <v>0</v>
      </c>
      <c r="L56" s="72">
        <f t="shared" si="6"/>
        <v>0</v>
      </c>
      <c r="M56" s="72">
        <f t="shared" si="7"/>
        <v>4562900</v>
      </c>
      <c r="N56" s="64" t="str">
        <f t="shared" si="3"/>
        <v>תברואה מונעת</v>
      </c>
    </row>
    <row r="57" spans="1:14">
      <c r="A57" s="62" t="s">
        <v>536</v>
      </c>
      <c r="B57" s="63">
        <f>SUMIF('הצעת תקציב 2016'!$L$3:$L$7326,$A57,'הצעת תקציב 2016'!$H$3:$H$7326)</f>
        <v>0</v>
      </c>
      <c r="C57" s="63">
        <f>SUMIF('הצעת תקציב 2016'!$N$3:$N$7326,$A57,'הצעת תקציב 2016'!$H$3:$H$7326)</f>
        <v>27340400</v>
      </c>
      <c r="D57" s="63">
        <f>SUMIF('הצעת תקציב 2016'!$P$3:$P$7326,$A57,'הצעת תקציב 2016'!$H$3:$H$7326)</f>
        <v>0</v>
      </c>
      <c r="E57" s="64" t="str">
        <f>INDEX(Chapter,MATCH(A57,Chapter!$A$1:$A$681,0),8)</f>
        <v>שמירה ובטחון</v>
      </c>
      <c r="F57" s="62" t="s">
        <v>537</v>
      </c>
      <c r="G57" s="63">
        <f>SUMIF('הצעת תקציב 2016'!$L$3:$L$7326,$F57,'הצעת תקציב 2016'!$H$3:$H$7326)</f>
        <v>0</v>
      </c>
      <c r="H57" s="63">
        <f>SUMIF('הצעת תקציב 2016'!$N$3:$N$7326,$F57,'הצעת תקציב 2016'!$H$3:$H$7326)</f>
        <v>-995700</v>
      </c>
      <c r="I57" s="63">
        <f>SUMIF('הצעת תקציב 2016'!$P$3:$P$7326,$F57,'הצעת תקציב 2016'!$H$3:$H$7326)</f>
        <v>0</v>
      </c>
      <c r="J57" s="64" t="str">
        <f>INDEX(Chapter,MATCH(F57,Chapter!$A$1:$A$681,0),8)</f>
        <v>שמירה ובטחון</v>
      </c>
      <c r="K57" s="71">
        <f t="shared" si="5"/>
        <v>0</v>
      </c>
      <c r="L57" s="72">
        <f t="shared" si="6"/>
        <v>26344700</v>
      </c>
      <c r="M57" s="72">
        <f t="shared" si="7"/>
        <v>0</v>
      </c>
      <c r="N57" s="64" t="str">
        <f t="shared" si="3"/>
        <v>שמירה ובטחון</v>
      </c>
    </row>
    <row r="58" spans="1:14">
      <c r="A58" s="62" t="s">
        <v>542</v>
      </c>
      <c r="B58" s="63">
        <f>SUMIF('הצעת תקציב 2016'!$L$3:$L$7326,$A58,'הצעת תקציב 2016'!$H$3:$H$7326)</f>
        <v>0</v>
      </c>
      <c r="C58" s="63">
        <f>SUMIF('הצעת תקציב 2016'!$N$3:$N$7326,$A58,'הצעת תקציב 2016'!$H$3:$H$7326)</f>
        <v>0</v>
      </c>
      <c r="D58" s="63">
        <f>SUMIF('הצעת תקציב 2016'!$P$3:$P$7326,$A58,'הצעת תקציב 2016'!$H$3:$H$7326)</f>
        <v>1365300</v>
      </c>
      <c r="E58" s="64" t="str">
        <f>INDEX(Chapter,MATCH(A58,Chapter!$A$1:$A$681,0),8)</f>
        <v>מינהל שמירה ובטחון</v>
      </c>
      <c r="F58" s="62"/>
      <c r="G58" s="65"/>
      <c r="H58" s="65"/>
      <c r="I58" s="65"/>
      <c r="J58" s="64"/>
      <c r="K58" s="71">
        <f t="shared" si="5"/>
        <v>0</v>
      </c>
      <c r="L58" s="72">
        <f t="shared" si="6"/>
        <v>0</v>
      </c>
      <c r="M58" s="72">
        <f t="shared" si="7"/>
        <v>1365300</v>
      </c>
      <c r="N58" s="64" t="str">
        <f t="shared" si="3"/>
        <v>מינהל שמירה ובטחון</v>
      </c>
    </row>
    <row r="59" spans="1:14">
      <c r="A59" s="62" t="s">
        <v>547</v>
      </c>
      <c r="B59" s="63">
        <f>SUMIF('הצעת תקציב 2016'!$L$3:$L$7326,$A59,'הצעת תקציב 2016'!$H$3:$H$7326)</f>
        <v>0</v>
      </c>
      <c r="C59" s="63">
        <f>SUMIF('הצעת תקציב 2016'!$N$3:$N$7326,$A59,'הצעת תקציב 2016'!$H$3:$H$7326)</f>
        <v>0</v>
      </c>
      <c r="D59" s="63">
        <f>SUMIF('הצעת תקציב 2016'!$P$3:$P$7326,$A59,'הצעת תקציב 2016'!$H$3:$H$7326)</f>
        <v>4840600</v>
      </c>
      <c r="E59" s="64" t="str">
        <f>INDEX(Chapter,MATCH(A59,Chapter!$A$1:$A$681,0),8)</f>
        <v>שמירה ביטחונית</v>
      </c>
      <c r="F59" s="62" t="s">
        <v>548</v>
      </c>
      <c r="G59" s="63">
        <f>SUMIF('הצעת תקציב 2016'!$L$3:$L$7326,$F59,'הצעת תקציב 2016'!$H$3:$H$7326)</f>
        <v>0</v>
      </c>
      <c r="H59" s="63">
        <f>SUMIF('הצעת תקציב 2016'!$N$3:$N$7326,$F59,'הצעת תקציב 2016'!$H$3:$H$7326)</f>
        <v>0</v>
      </c>
      <c r="I59" s="63">
        <f>SUMIF('הצעת תקציב 2016'!$P$3:$P$7326,$F59,'הצעת תקציב 2016'!$H$3:$H$7326)</f>
        <v>-62000</v>
      </c>
      <c r="J59" s="64" t="str">
        <f>INDEX(Chapter,MATCH(F59,Chapter!$A$1:$A$681,0),8)</f>
        <v>שמירה ביטחונית</v>
      </c>
      <c r="K59" s="71">
        <f t="shared" si="5"/>
        <v>0</v>
      </c>
      <c r="L59" s="72">
        <f t="shared" si="6"/>
        <v>0</v>
      </c>
      <c r="M59" s="72">
        <f t="shared" si="7"/>
        <v>4778600</v>
      </c>
      <c r="N59" s="64" t="str">
        <f t="shared" si="3"/>
        <v>שמירה ביטחונית</v>
      </c>
    </row>
    <row r="60" spans="1:14">
      <c r="A60" s="62" t="s">
        <v>558</v>
      </c>
      <c r="B60" s="63">
        <f>SUMIF('הצעת תקציב 2016'!$L$3:$L$7326,$A60,'הצעת תקציב 2016'!$H$3:$H$7326)</f>
        <v>0</v>
      </c>
      <c r="C60" s="63">
        <f>SUMIF('הצעת תקציב 2016'!$N$3:$N$7326,$A60,'הצעת תקציב 2016'!$H$3:$H$7326)</f>
        <v>0</v>
      </c>
      <c r="D60" s="63">
        <f>SUMIF('הצעת תקציב 2016'!$P$3:$P$7326,$A60,'הצעת תקציב 2016'!$H$3:$H$7326)</f>
        <v>4856700</v>
      </c>
      <c r="E60" s="64" t="str">
        <f>INDEX(Chapter,MATCH(A60,Chapter!$A$1:$A$681,0),8)</f>
        <v>הג״א</v>
      </c>
      <c r="F60" s="62" t="s">
        <v>559</v>
      </c>
      <c r="G60" s="63">
        <f>SUMIF('הצעת תקציב 2016'!$L$3:$L$7326,$F60,'הצעת תקציב 2016'!$H$3:$H$7326)</f>
        <v>0</v>
      </c>
      <c r="H60" s="63">
        <f>SUMIF('הצעת תקציב 2016'!$N$3:$N$7326,$F60,'הצעת תקציב 2016'!$H$3:$H$7326)</f>
        <v>0</v>
      </c>
      <c r="I60" s="63">
        <f>SUMIF('הצעת תקציב 2016'!$P$3:$P$7326,$F60,'הצעת תקציב 2016'!$H$3:$H$7326)</f>
        <v>0</v>
      </c>
      <c r="J60" s="64" t="str">
        <f>INDEX(Chapter,MATCH(F60,Chapter!$A$1:$A$681,0),8)</f>
        <v>הג״א</v>
      </c>
      <c r="K60" s="71">
        <f t="shared" si="5"/>
        <v>0</v>
      </c>
      <c r="L60" s="72">
        <f t="shared" si="6"/>
        <v>0</v>
      </c>
      <c r="M60" s="72">
        <f t="shared" si="7"/>
        <v>4856700</v>
      </c>
      <c r="N60" s="64" t="str">
        <f t="shared" si="3"/>
        <v>הג״א</v>
      </c>
    </row>
    <row r="61" spans="1:14">
      <c r="A61" s="62" t="s">
        <v>564</v>
      </c>
      <c r="B61" s="63">
        <f>SUMIF('הצעת תקציב 2016'!$L$3:$L$7326,$A61,'הצעת תקציב 2016'!$H$3:$H$7326)</f>
        <v>0</v>
      </c>
      <c r="C61" s="63">
        <f>SUMIF('הצעת תקציב 2016'!$N$3:$N$7326,$A61,'הצעת תקציב 2016'!$H$3:$H$7326)</f>
        <v>0</v>
      </c>
      <c r="D61" s="63">
        <f>SUMIF('הצעת תקציב 2016'!$P$3:$P$7326,$A61,'הצעת תקציב 2016'!$H$3:$H$7326)</f>
        <v>13500000</v>
      </c>
      <c r="E61" s="64" t="str">
        <f>INDEX(Chapter,MATCH(A61,Chapter!$A$1:$A$681,0),8)</f>
        <v>כבוי אש</v>
      </c>
      <c r="F61" s="62"/>
      <c r="G61" s="65"/>
      <c r="H61" s="65"/>
      <c r="I61" s="65"/>
      <c r="J61" s="64"/>
      <c r="K61" s="71">
        <f t="shared" si="5"/>
        <v>0</v>
      </c>
      <c r="L61" s="72">
        <f t="shared" si="6"/>
        <v>0</v>
      </c>
      <c r="M61" s="72">
        <f t="shared" si="7"/>
        <v>13500000</v>
      </c>
      <c r="N61" s="64" t="str">
        <f t="shared" si="3"/>
        <v>כבוי אש</v>
      </c>
    </row>
    <row r="62" spans="1:14">
      <c r="A62" s="62" t="s">
        <v>575</v>
      </c>
      <c r="B62" s="63">
        <f>SUMIF('הצעת תקציב 2016'!$L$3:$L$7326,$A62,'הצעת תקציב 2016'!$H$3:$H$7326)</f>
        <v>0</v>
      </c>
      <c r="C62" s="63">
        <f>SUMIF('הצעת תקציב 2016'!$N$3:$N$7326,$A62,'הצעת תקציב 2016'!$H$3:$H$7326)</f>
        <v>0</v>
      </c>
      <c r="D62" s="63">
        <f>SUMIF('הצעת תקציב 2016'!$P$3:$P$7326,$A62,'הצעת תקציב 2016'!$H$3:$H$7326)</f>
        <v>0</v>
      </c>
      <c r="E62" s="64" t="str">
        <f>INDEX(Chapter,MATCH(A62,Chapter!$A$1:$A$681,0),8)</f>
        <v>מל״ח ופס"ח</v>
      </c>
      <c r="F62" s="62"/>
      <c r="G62" s="65"/>
      <c r="H62" s="65"/>
      <c r="I62" s="65"/>
      <c r="J62" s="64"/>
      <c r="K62" s="71">
        <f t="shared" si="5"/>
        <v>0</v>
      </c>
      <c r="L62" s="72">
        <f t="shared" si="6"/>
        <v>0</v>
      </c>
      <c r="M62" s="72">
        <f t="shared" si="7"/>
        <v>0</v>
      </c>
      <c r="N62" s="64" t="str">
        <f t="shared" si="3"/>
        <v>מל״ח ופס"ח</v>
      </c>
    </row>
    <row r="63" spans="1:14">
      <c r="A63" s="62" t="s">
        <v>591</v>
      </c>
      <c r="B63" s="63">
        <f>SUMIF('הצעת תקציב 2016'!$L$3:$L$7326,$A63,'הצעת תקציב 2016'!$H$3:$H$7326)</f>
        <v>0</v>
      </c>
      <c r="C63" s="63">
        <f>SUMIF('הצעת תקציב 2016'!$N$3:$N$7326,$A63,'הצעת תקציב 2016'!$H$3:$H$7326)</f>
        <v>0</v>
      </c>
      <c r="D63" s="63">
        <f>SUMIF('הצעת תקציב 2016'!$P$3:$P$7326,$A63,'הצעת תקציב 2016'!$H$3:$H$7326)</f>
        <v>0</v>
      </c>
      <c r="E63" s="64" t="str">
        <f>INDEX(Chapter,MATCH(A63,Chapter!$A$1:$A$681,0),8)</f>
        <v>כסוי הוצאות לשעת חירום</v>
      </c>
      <c r="F63" s="62"/>
      <c r="G63" s="65"/>
      <c r="H63" s="65"/>
      <c r="I63" s="65"/>
      <c r="J63" s="64"/>
      <c r="K63" s="71">
        <f t="shared" si="5"/>
        <v>0</v>
      </c>
      <c r="L63" s="72">
        <f t="shared" si="6"/>
        <v>0</v>
      </c>
      <c r="M63" s="72">
        <f t="shared" si="7"/>
        <v>0</v>
      </c>
      <c r="N63" s="64" t="str">
        <f t="shared" si="3"/>
        <v>כסוי הוצאות לשעת חירום</v>
      </c>
    </row>
    <row r="64" spans="1:14">
      <c r="A64" s="62" t="s">
        <v>133</v>
      </c>
      <c r="B64" s="63">
        <f>SUMIF('הצעת תקציב 2016'!$L$3:$L$7326,$A64,'הצעת תקציב 2016'!$H$3:$H$7326)</f>
        <v>0</v>
      </c>
      <c r="C64" s="63">
        <f>SUMIF('הצעת תקציב 2016'!$N$3:$N$7326,$A64,'הצעת תקציב 2016'!$H$3:$H$7326)</f>
        <v>49527100</v>
      </c>
      <c r="D64" s="63">
        <f>SUMIF('הצעת תקציב 2016'!$P$3:$P$7326,$A64,'הצעת תקציב 2016'!$H$3:$H$7326)</f>
        <v>0</v>
      </c>
      <c r="E64" s="64" t="str">
        <f>INDEX(Chapter,MATCH(A64,Chapter!$A$1:$A$681,0),8)</f>
        <v>תכנון ובנין עיר</v>
      </c>
      <c r="F64" s="62" t="s">
        <v>596</v>
      </c>
      <c r="G64" s="63">
        <f>SUMIF('הצעת תקציב 2016'!$L$3:$L$7326,$F64,'הצעת תקציב 2016'!$H$3:$H$7326)</f>
        <v>0</v>
      </c>
      <c r="H64" s="63">
        <f>SUMIF('הצעת תקציב 2016'!$N$3:$N$7326,$F64,'הצעת תקציב 2016'!$H$3:$H$7326)</f>
        <v>-13307700</v>
      </c>
      <c r="I64" s="63">
        <f>SUMIF('הצעת תקציב 2016'!$P$3:$P$7326,$F64,'הצעת תקציב 2016'!$H$3:$H$7326)</f>
        <v>0</v>
      </c>
      <c r="J64" s="64" t="str">
        <f>INDEX(Chapter,MATCH(F64,Chapter!$A$1:$A$681,0),8)</f>
        <v>תכנון ובנין עיר</v>
      </c>
      <c r="K64" s="71">
        <f t="shared" ref="K64:K119" si="8">B64+G64</f>
        <v>0</v>
      </c>
      <c r="L64" s="72">
        <f t="shared" si="6"/>
        <v>36219400</v>
      </c>
      <c r="M64" s="72">
        <f t="shared" si="7"/>
        <v>0</v>
      </c>
      <c r="N64" s="64" t="str">
        <f t="shared" ref="N64:N130" si="9">IF(ISBLANK(E64),J64,E64)</f>
        <v>תכנון ובנין עיר</v>
      </c>
    </row>
    <row r="65" spans="1:14">
      <c r="A65" s="62" t="s">
        <v>600</v>
      </c>
      <c r="B65" s="63">
        <f>SUMIF('הצעת תקציב 2016'!$L$3:$L$7326,$A65,'הצעת תקציב 2016'!$H$3:$H$7326)</f>
        <v>0</v>
      </c>
      <c r="C65" s="63">
        <f>SUMIF('הצעת תקציב 2016'!$N$3:$N$7326,$A65,'הצעת תקציב 2016'!$H$3:$H$7326)</f>
        <v>0</v>
      </c>
      <c r="D65" s="63">
        <f>SUMIF('הצעת תקציב 2016'!$P$3:$P$7326,$A65,'הצעת תקציב 2016'!$H$3:$H$7326)</f>
        <v>21241300</v>
      </c>
      <c r="E65" s="64" t="str">
        <f>INDEX(Chapter,MATCH(A65,Chapter!$A$1:$A$681,0),8)</f>
        <v>משרד מהנדס הרשות</v>
      </c>
      <c r="F65" s="62" t="s">
        <v>601</v>
      </c>
      <c r="G65" s="63">
        <f>SUMIF('הצעת תקציב 2016'!$L$3:$L$7326,$F65,'הצעת תקציב 2016'!$H$3:$H$7326)</f>
        <v>0</v>
      </c>
      <c r="H65" s="63">
        <f>SUMIF('הצעת תקציב 2016'!$N$3:$N$7326,$F65,'הצעת תקציב 2016'!$H$3:$H$7326)</f>
        <v>0</v>
      </c>
      <c r="I65" s="63">
        <f>SUMIF('הצעת תקציב 2016'!$P$3:$P$7326,$F65,'הצעת תקציב 2016'!$H$3:$H$7326)</f>
        <v>-1807700</v>
      </c>
      <c r="J65" s="64" t="str">
        <f>INDEX(Chapter,MATCH(F65,Chapter!$A$1:$A$681,0),8)</f>
        <v>משרד מהנדס הרשות</v>
      </c>
      <c r="K65" s="71">
        <f t="shared" si="8"/>
        <v>0</v>
      </c>
      <c r="L65" s="72">
        <f t="shared" si="6"/>
        <v>0</v>
      </c>
      <c r="M65" s="72">
        <f t="shared" si="7"/>
        <v>19433600</v>
      </c>
      <c r="N65" s="64" t="str">
        <f t="shared" si="9"/>
        <v>משרד מהנדס הרשות</v>
      </c>
    </row>
    <row r="66" spans="1:14">
      <c r="A66" s="62" t="s">
        <v>605</v>
      </c>
      <c r="B66" s="63">
        <f>SUMIF('הצעת תקציב 2016'!$L$3:$L$7326,$A66,'הצעת תקציב 2016'!$H$3:$H$7326)</f>
        <v>0</v>
      </c>
      <c r="C66" s="63">
        <f>SUMIF('הצעת תקציב 2016'!$N$3:$N$7326,$A66,'הצעת תקציב 2016'!$H$3:$H$7326)</f>
        <v>0</v>
      </c>
      <c r="D66" s="63">
        <f>SUMIF('הצעת תקציב 2016'!$P$3:$P$7326,$A66,'הצעת תקציב 2016'!$H$3:$H$7326)</f>
        <v>16736600</v>
      </c>
      <c r="E66" s="64" t="str">
        <f>INDEX(Chapter,MATCH(A66,Chapter!$A$1:$A$681,0),8)</f>
        <v>תכנון עיר</v>
      </c>
      <c r="F66" s="62" t="s">
        <v>606</v>
      </c>
      <c r="G66" s="63">
        <f>SUMIF('הצעת תקציב 2016'!$L$3:$L$7326,$F66,'הצעת תקציב 2016'!$H$3:$H$7326)</f>
        <v>0</v>
      </c>
      <c r="H66" s="63">
        <f>SUMIF('הצעת תקציב 2016'!$N$3:$N$7326,$F66,'הצעת תקציב 2016'!$H$3:$H$7326)</f>
        <v>0</v>
      </c>
      <c r="I66" s="63">
        <f>SUMIF('הצעת תקציב 2016'!$P$3:$P$7326,$F66,'הצעת תקציב 2016'!$H$3:$H$7326)</f>
        <v>0</v>
      </c>
      <c r="J66" s="64" t="str">
        <f>INDEX(Chapter,MATCH(F66,Chapter!$A$1:$A$681,0),8)</f>
        <v>תכנון עיר</v>
      </c>
      <c r="K66" s="71">
        <f t="shared" si="8"/>
        <v>0</v>
      </c>
      <c r="L66" s="72">
        <f t="shared" si="6"/>
        <v>0</v>
      </c>
      <c r="M66" s="72">
        <f t="shared" si="7"/>
        <v>16736600</v>
      </c>
      <c r="N66" s="64" t="str">
        <f t="shared" si="9"/>
        <v>תכנון עיר</v>
      </c>
    </row>
    <row r="67" spans="1:14">
      <c r="A67" s="62" t="s">
        <v>624</v>
      </c>
      <c r="B67" s="63">
        <f>SUMIF('הצעת תקציב 2016'!$L$3:$L$7326,$A67,'הצעת תקציב 2016'!$H$3:$H$7326)</f>
        <v>0</v>
      </c>
      <c r="C67" s="63">
        <f>SUMIF('הצעת תקציב 2016'!$N$3:$N$7326,$A67,'הצעת תקציב 2016'!$H$3:$H$7326)</f>
        <v>0</v>
      </c>
      <c r="D67" s="63">
        <f>SUMIF('הצעת תקציב 2016'!$P$3:$P$7326,$A67,'הצעת תקציב 2016'!$H$3:$H$7326)</f>
        <v>11549200</v>
      </c>
      <c r="E67" s="64" t="str">
        <f>INDEX(Chapter,MATCH(A67,Chapter!$A$1:$A$681,0),8)</f>
        <v>רישוי ופיקוח על הבניה</v>
      </c>
      <c r="F67" s="62" t="s">
        <v>625</v>
      </c>
      <c r="G67" s="63">
        <f>SUMIF('הצעת תקציב 2016'!$L$3:$L$7326,$F67,'הצעת תקציב 2016'!$H$3:$H$7326)</f>
        <v>0</v>
      </c>
      <c r="H67" s="63">
        <f>SUMIF('הצעת תקציב 2016'!$N$3:$N$7326,$F67,'הצעת תקציב 2016'!$H$3:$H$7326)</f>
        <v>0</v>
      </c>
      <c r="I67" s="63">
        <f>SUMIF('הצעת תקציב 2016'!$P$3:$P$7326,$F67,'הצעת תקציב 2016'!$H$3:$H$7326)</f>
        <v>-11500000</v>
      </c>
      <c r="J67" s="64" t="str">
        <f>INDEX(Chapter,MATCH(F67,Chapter!$A$1:$A$681,0),8)</f>
        <v>רישוי ופיקוח על הבניה</v>
      </c>
      <c r="K67" s="71">
        <f t="shared" si="8"/>
        <v>0</v>
      </c>
      <c r="L67" s="72">
        <f t="shared" si="6"/>
        <v>0</v>
      </c>
      <c r="M67" s="72">
        <f t="shared" si="7"/>
        <v>49200</v>
      </c>
      <c r="N67" s="64" t="str">
        <f t="shared" si="9"/>
        <v>רישוי ופיקוח על הבניה</v>
      </c>
    </row>
    <row r="68" spans="1:14">
      <c r="A68" s="62" t="s">
        <v>2417</v>
      </c>
      <c r="B68" s="63">
        <f>SUMIF('הצעת תקציב 2016'!$L$3:$L$7326,$A68,'הצעת תקציב 2016'!$H$3:$H$7326)</f>
        <v>0</v>
      </c>
      <c r="C68" s="63">
        <f>SUMIF('הצעת תקציב 2016'!$N$3:$N$7326,$A68,'הצעת תקציב 2016'!$H$3:$H$7326)</f>
        <v>0</v>
      </c>
      <c r="D68" s="63">
        <f>SUMIF('הצעת תקציב 2016'!$P$3:$P$7326,$A68,'הצעת תקציב 2016'!$H$3:$H$7326)</f>
        <v>0</v>
      </c>
      <c r="E68" s="64" t="e">
        <f>INDEX(Chapter,MATCH(A68,Chapter!$A$1:$A$681,0),8)</f>
        <v>#N/A</v>
      </c>
      <c r="F68" s="62"/>
      <c r="G68" s="65"/>
      <c r="H68" s="65"/>
      <c r="I68" s="65"/>
      <c r="J68" s="64"/>
      <c r="K68" s="71">
        <f t="shared" si="8"/>
        <v>0</v>
      </c>
      <c r="L68" s="72">
        <f t="shared" si="6"/>
        <v>0</v>
      </c>
      <c r="M68" s="72">
        <f t="shared" si="7"/>
        <v>0</v>
      </c>
      <c r="N68" s="64" t="e">
        <f t="shared" si="9"/>
        <v>#N/A</v>
      </c>
    </row>
    <row r="69" spans="1:14">
      <c r="A69" s="62" t="s">
        <v>2418</v>
      </c>
      <c r="B69" s="63">
        <f>SUMIF('הצעת תקציב 2016'!$L$3:$L$7326,$A69,'הצעת תקציב 2016'!$H$3:$H$7326)</f>
        <v>0</v>
      </c>
      <c r="C69" s="63">
        <f>SUMIF('הצעת תקציב 2016'!$N$3:$N$7326,$A69,'הצעת תקציב 2016'!$H$3:$H$7326)</f>
        <v>0</v>
      </c>
      <c r="D69" s="63">
        <f>SUMIF('הצעת תקציב 2016'!$P$3:$P$7326,$A69,'הצעת תקציב 2016'!$H$3:$H$7326)</f>
        <v>0</v>
      </c>
      <c r="E69" s="64" t="e">
        <f>INDEX(Chapter,MATCH(A69,Chapter!$A$1:$A$681,0),8)</f>
        <v>#N/A</v>
      </c>
      <c r="F69" s="62"/>
      <c r="G69" s="65"/>
      <c r="H69" s="65"/>
      <c r="I69" s="65"/>
      <c r="J69" s="64"/>
      <c r="K69" s="71">
        <f t="shared" si="8"/>
        <v>0</v>
      </c>
      <c r="L69" s="72">
        <f t="shared" si="6"/>
        <v>0</v>
      </c>
      <c r="M69" s="72">
        <f t="shared" si="7"/>
        <v>0</v>
      </c>
      <c r="N69" s="64" t="e">
        <f t="shared" si="9"/>
        <v>#N/A</v>
      </c>
    </row>
    <row r="70" spans="1:14">
      <c r="A70" s="62" t="s">
        <v>136</v>
      </c>
      <c r="B70" s="63">
        <f>SUMIF('הצעת תקציב 2016'!$L$3:$L$7326,$A70,'הצעת תקציב 2016'!$H$3:$H$7326)</f>
        <v>0</v>
      </c>
      <c r="C70" s="63">
        <f>SUMIF('הצעת תקציב 2016'!$N$3:$N$7326,$A70,'הצעת תקציב 2016'!$H$3:$H$7326)</f>
        <v>111876600</v>
      </c>
      <c r="D70" s="63">
        <f>SUMIF('הצעת תקציב 2016'!$P$3:$P$7326,$A70,'הצעת תקציב 2016'!$H$3:$H$7326)</f>
        <v>0</v>
      </c>
      <c r="E70" s="64" t="str">
        <f>INDEX(Chapter,MATCH(A70,Chapter!$A$1:$A$681,0),8)</f>
        <v>נכסים ציבוריים</v>
      </c>
      <c r="F70" s="62" t="s">
        <v>649</v>
      </c>
      <c r="G70" s="63">
        <f>SUMIF('הצעת תקציב 2016'!$L$3:$L$7326,$F70,'הצעת תקציב 2016'!$H$3:$H$7326)</f>
        <v>0</v>
      </c>
      <c r="H70" s="63">
        <f>SUMIF('הצעת תקציב 2016'!$N$3:$N$7326,$F70,'הצעת תקציב 2016'!$H$3:$H$7326)</f>
        <v>-98942300</v>
      </c>
      <c r="I70" s="63">
        <f>SUMIF('הצעת תקציב 2016'!$P$3:$P$7326,$F70,'הצעת תקציב 2016'!$H$3:$H$7326)</f>
        <v>0</v>
      </c>
      <c r="J70" s="64" t="str">
        <f>INDEX(Chapter,MATCH(F70,Chapter!$A$1:$A$681,0),8)</f>
        <v>נכסים ציבוריים</v>
      </c>
      <c r="K70" s="71">
        <f t="shared" si="8"/>
        <v>0</v>
      </c>
      <c r="L70" s="72">
        <f t="shared" si="6"/>
        <v>12934300</v>
      </c>
      <c r="M70" s="72">
        <f t="shared" si="7"/>
        <v>0</v>
      </c>
      <c r="N70" s="64" t="str">
        <f t="shared" si="9"/>
        <v>נכסים ציבוריים</v>
      </c>
    </row>
    <row r="71" spans="1:14">
      <c r="A71" s="62" t="s">
        <v>653</v>
      </c>
      <c r="B71" s="63">
        <f>SUMIF('הצעת תקציב 2016'!$L$3:$L$7326,$A71,'הצעת תקציב 2016'!$H$3:$H$7326)</f>
        <v>0</v>
      </c>
      <c r="C71" s="63">
        <f>SUMIF('הצעת תקציב 2016'!$N$3:$N$7326,$A71,'הצעת תקציב 2016'!$H$3:$H$7326)</f>
        <v>0</v>
      </c>
      <c r="D71" s="63">
        <f>SUMIF('הצעת תקציב 2016'!$P$3:$P$7326,$A71,'הצעת תקציב 2016'!$H$3:$H$7326)</f>
        <v>0</v>
      </c>
      <c r="E71" s="64" t="str">
        <f>INDEX(Chapter,MATCH(A71,Chapter!$A$1:$A$681,0),8)</f>
        <v>מינהל נכסים ציבוריים</v>
      </c>
      <c r="F71" s="62"/>
      <c r="G71" s="65"/>
      <c r="H71" s="65"/>
      <c r="I71" s="65"/>
      <c r="J71" s="64"/>
      <c r="K71" s="71">
        <f t="shared" si="8"/>
        <v>0</v>
      </c>
      <c r="L71" s="72">
        <f t="shared" si="6"/>
        <v>0</v>
      </c>
      <c r="M71" s="72">
        <f t="shared" si="7"/>
        <v>0</v>
      </c>
      <c r="N71" s="64" t="str">
        <f t="shared" si="9"/>
        <v>מינהל נכסים ציבוריים</v>
      </c>
    </row>
    <row r="72" spans="1:14">
      <c r="A72" s="62" t="s">
        <v>658</v>
      </c>
      <c r="B72" s="63">
        <f>SUMIF('הצעת תקציב 2016'!$L$3:$L$7326,$A72,'הצעת תקציב 2016'!$H$3:$H$7326)</f>
        <v>0</v>
      </c>
      <c r="C72" s="63">
        <f>SUMIF('הצעת תקציב 2016'!$N$3:$N$7326,$A72,'הצעת תקציב 2016'!$H$3:$H$7326)</f>
        <v>0</v>
      </c>
      <c r="D72" s="63">
        <f>SUMIF('הצעת תקציב 2016'!$P$3:$P$7326,$A72,'הצעת תקציב 2016'!$H$3:$H$7326)</f>
        <v>14171100</v>
      </c>
      <c r="E72" s="64" t="str">
        <f>INDEX(Chapter,MATCH(A72,Chapter!$A$1:$A$681,0),8)</f>
        <v>דרכים ומדרכות</v>
      </c>
      <c r="F72" s="62"/>
      <c r="G72" s="65"/>
      <c r="H72" s="65"/>
      <c r="I72" s="65"/>
      <c r="J72" s="64"/>
      <c r="K72" s="71">
        <f t="shared" si="8"/>
        <v>0</v>
      </c>
      <c r="L72" s="72">
        <f t="shared" si="6"/>
        <v>0</v>
      </c>
      <c r="M72" s="72">
        <f t="shared" si="7"/>
        <v>14171100</v>
      </c>
      <c r="N72" s="64" t="str">
        <f t="shared" si="9"/>
        <v>דרכים ומדרכות</v>
      </c>
    </row>
    <row r="73" spans="1:14">
      <c r="A73" s="62" t="s">
        <v>673</v>
      </c>
      <c r="B73" s="63">
        <f>SUMIF('הצעת תקציב 2016'!$L$3:$L$7326,$A73,'הצעת תקציב 2016'!$H$3:$H$7326)</f>
        <v>0</v>
      </c>
      <c r="C73" s="63">
        <f>SUMIF('הצעת תקציב 2016'!$N$3:$N$7326,$A73,'הצעת תקציב 2016'!$H$3:$H$7326)</f>
        <v>0</v>
      </c>
      <c r="D73" s="63">
        <f>SUMIF('הצעת תקציב 2016'!$P$3:$P$7326,$A73,'הצעת תקציב 2016'!$H$3:$H$7326)</f>
        <v>23988600</v>
      </c>
      <c r="E73" s="64" t="str">
        <f>INDEX(Chapter,MATCH(A73,Chapter!$A$1:$A$681,0),8)</f>
        <v>תאורת רחובות</v>
      </c>
      <c r="F73" s="62" t="s">
        <v>674</v>
      </c>
      <c r="G73" s="63">
        <f>SUMIF('הצעת תקציב 2016'!$L$3:$L$7326,$F73,'הצעת תקציב 2016'!$H$3:$H$7326)</f>
        <v>0</v>
      </c>
      <c r="H73" s="63">
        <f>SUMIF('הצעת תקציב 2016'!$N$3:$N$7326,$F73,'הצעת תקציב 2016'!$H$3:$H$7326)</f>
        <v>0</v>
      </c>
      <c r="I73" s="63">
        <f>SUMIF('הצעת תקציב 2016'!$P$3:$P$7326,$F73,'הצעת תקציב 2016'!$H$3:$H$7326)</f>
        <v>0</v>
      </c>
      <c r="J73" s="64" t="str">
        <f>INDEX(Chapter,MATCH(F73,Chapter!$A$1:$A$681,0),8)</f>
        <v>תאורת רחובות</v>
      </c>
      <c r="K73" s="71">
        <f t="shared" si="8"/>
        <v>0</v>
      </c>
      <c r="L73" s="72">
        <f t="shared" si="6"/>
        <v>0</v>
      </c>
      <c r="M73" s="72">
        <f t="shared" si="7"/>
        <v>23988600</v>
      </c>
      <c r="N73" s="64" t="str">
        <f t="shared" si="9"/>
        <v>תאורת רחובות</v>
      </c>
    </row>
    <row r="74" spans="1:14">
      <c r="A74" s="62" t="s">
        <v>678</v>
      </c>
      <c r="B74" s="63">
        <f>SUMIF('הצעת תקציב 2016'!$L$3:$L$7326,$A74,'הצעת תקציב 2016'!$H$3:$H$7326)</f>
        <v>0</v>
      </c>
      <c r="C74" s="63">
        <f>SUMIF('הצעת תקציב 2016'!$N$3:$N$7326,$A74,'הצעת תקציב 2016'!$H$3:$H$7326)</f>
        <v>0</v>
      </c>
      <c r="D74" s="63">
        <f>SUMIF('הצעת תקציב 2016'!$P$3:$P$7326,$A74,'הצעת תקציב 2016'!$H$3:$H$7326)</f>
        <v>0</v>
      </c>
      <c r="E74" s="64" t="str">
        <f>INDEX(Chapter,MATCH(A74,Chapter!$A$1:$A$681,0),8)</f>
        <v>בטיחות בדרכים</v>
      </c>
      <c r="F74" s="62" t="s">
        <v>679</v>
      </c>
      <c r="G74" s="63">
        <f>SUMIF('הצעת תקציב 2016'!$L$3:$L$7326,$F74,'הצעת תקציב 2016'!$H$3:$H$7326)</f>
        <v>0</v>
      </c>
      <c r="H74" s="63">
        <f>SUMIF('הצעת תקציב 2016'!$N$3:$N$7326,$F74,'הצעת תקציב 2016'!$H$3:$H$7326)</f>
        <v>0</v>
      </c>
      <c r="I74" s="63">
        <f>SUMIF('הצעת תקציב 2016'!$P$3:$P$7326,$F74,'הצעת תקציב 2016'!$H$3:$H$7326)</f>
        <v>-57312300</v>
      </c>
      <c r="J74" s="64" t="str">
        <f>INDEX(Chapter,MATCH(F74,Chapter!$A$1:$A$681,0),8)</f>
        <v>בטיחות בדרכים</v>
      </c>
      <c r="K74" s="71">
        <f t="shared" si="8"/>
        <v>0</v>
      </c>
      <c r="L74" s="72">
        <f t="shared" si="6"/>
        <v>0</v>
      </c>
      <c r="M74" s="72">
        <f t="shared" si="7"/>
        <v>-57312300</v>
      </c>
      <c r="N74" s="64" t="str">
        <f t="shared" si="9"/>
        <v>בטיחות בדרכים</v>
      </c>
    </row>
    <row r="75" spans="1:14">
      <c r="A75" s="62" t="s">
        <v>707</v>
      </c>
      <c r="B75" s="63">
        <f>SUMIF('הצעת תקציב 2016'!$L$3:$L$7326,$A75,'הצעת תקציב 2016'!$H$3:$H$7326)</f>
        <v>0</v>
      </c>
      <c r="C75" s="63">
        <f>SUMIF('הצעת תקציב 2016'!$N$3:$N$7326,$A75,'הצעת תקציב 2016'!$H$3:$H$7326)</f>
        <v>0</v>
      </c>
      <c r="D75" s="63">
        <f>SUMIF('הצעת תקציב 2016'!$P$3:$P$7326,$A75,'הצעת תקציב 2016'!$H$3:$H$7326)</f>
        <v>5982300</v>
      </c>
      <c r="E75" s="64" t="str">
        <f>INDEX(Chapter,MATCH(A75,Chapter!$A$1:$A$681,0),8)</f>
        <v>תיעול וניקוז</v>
      </c>
      <c r="F75" s="62" t="s">
        <v>708</v>
      </c>
      <c r="G75" s="63">
        <f>SUMIF('הצעת תקציב 2016'!$L$3:$L$7326,$F75,'הצעת תקציב 2016'!$H$3:$H$7326)</f>
        <v>0</v>
      </c>
      <c r="H75" s="63">
        <f>SUMIF('הצעת תקציב 2016'!$N$3:$N$7326,$F75,'הצעת תקציב 2016'!$H$3:$H$7326)</f>
        <v>0</v>
      </c>
      <c r="I75" s="63">
        <f>SUMIF('הצעת תקציב 2016'!$P$3:$P$7326,$F75,'הצעת תקציב 2016'!$H$3:$H$7326)</f>
        <v>-40000000</v>
      </c>
      <c r="J75" s="64" t="str">
        <f>INDEX(Chapter,MATCH(F75,Chapter!$A$1:$A$681,0),8)</f>
        <v>תיעול וניקוז</v>
      </c>
      <c r="K75" s="71">
        <f t="shared" si="8"/>
        <v>0</v>
      </c>
      <c r="L75" s="72">
        <f t="shared" si="6"/>
        <v>0</v>
      </c>
      <c r="M75" s="72">
        <f t="shared" si="7"/>
        <v>-34017700</v>
      </c>
      <c r="N75" s="64" t="str">
        <f t="shared" si="9"/>
        <v>תיעול וניקוז</v>
      </c>
    </row>
    <row r="76" spans="1:14">
      <c r="A76" s="62" t="s">
        <v>712</v>
      </c>
      <c r="B76" s="63">
        <f>SUMIF('הצעת תקציב 2016'!$L$3:$L$7326,$A76,'הצעת תקציב 2016'!$H$3:$H$7326)</f>
        <v>0</v>
      </c>
      <c r="C76" s="63">
        <f>SUMIF('הצעת תקציב 2016'!$N$3:$N$7326,$A76,'הצעת תקציב 2016'!$H$3:$H$7326)</f>
        <v>0</v>
      </c>
      <c r="D76" s="63">
        <f>SUMIF('הצעת תקציב 2016'!$P$3:$P$7326,$A76,'הצעת תקציב 2016'!$H$3:$H$7326)</f>
        <v>35941100</v>
      </c>
      <c r="E76" s="64" t="str">
        <f>INDEX(Chapter,MATCH(A76,Chapter!$A$1:$A$681,0),8)</f>
        <v>גנים ונטיעות</v>
      </c>
      <c r="F76" s="62" t="s">
        <v>713</v>
      </c>
      <c r="G76" s="63">
        <f>SUMIF('הצעת תקציב 2016'!$L$3:$L$7326,$F76,'הצעת תקציב 2016'!$H$3:$H$7326)</f>
        <v>0</v>
      </c>
      <c r="H76" s="63">
        <f>SUMIF('הצעת תקציב 2016'!$N$3:$N$7326,$F76,'הצעת תקציב 2016'!$H$3:$H$7326)</f>
        <v>0</v>
      </c>
      <c r="I76" s="63">
        <f>SUMIF('הצעת תקציב 2016'!$P$3:$P$7326,$F76,'הצעת תקציב 2016'!$H$3:$H$7326)</f>
        <v>-600000</v>
      </c>
      <c r="J76" s="64" t="str">
        <f>INDEX(Chapter,MATCH(F76,Chapter!$A$1:$A$681,0),8)</f>
        <v>גנים ונטיעות</v>
      </c>
      <c r="K76" s="71">
        <f t="shared" si="8"/>
        <v>0</v>
      </c>
      <c r="L76" s="72">
        <f t="shared" ref="L76:L132" si="10">C76+H76</f>
        <v>0</v>
      </c>
      <c r="M76" s="72">
        <f t="shared" ref="M76:M132" si="11">D76+I76</f>
        <v>35341100</v>
      </c>
      <c r="N76" s="64" t="str">
        <f t="shared" si="9"/>
        <v>גנים ונטיעות</v>
      </c>
    </row>
    <row r="77" spans="1:14">
      <c r="A77" s="62" t="s">
        <v>767</v>
      </c>
      <c r="B77" s="63">
        <f>SUMIF('הצעת תקציב 2016'!$L$3:$L$7326,$A77,'הצעת תקציב 2016'!$H$3:$H$7326)</f>
        <v>0</v>
      </c>
      <c r="C77" s="63">
        <f>SUMIF('הצעת תקציב 2016'!$N$3:$N$7326,$A77,'הצעת תקציב 2016'!$H$3:$H$7326)</f>
        <v>1870400</v>
      </c>
      <c r="D77" s="63">
        <f>SUMIF('הצעת תקציב 2016'!$P$3:$P$7326,$A77,'הצעת תקציב 2016'!$H$3:$H$7326)</f>
        <v>0</v>
      </c>
      <c r="E77" s="64" t="str">
        <f>INDEX(Chapter,MATCH(A77,Chapter!$A$1:$A$681,0),8)</f>
        <v>חגיגות מבצעים ואירועים</v>
      </c>
      <c r="F77" s="62" t="s">
        <v>768</v>
      </c>
      <c r="G77" s="63">
        <f>SUMIF('הצעת תקציב 2016'!$L$3:$L$7326,$F77,'הצעת תקציב 2016'!$H$3:$H$7326)</f>
        <v>0</v>
      </c>
      <c r="H77" s="63">
        <f>SUMIF('הצעת תקציב 2016'!$N$3:$N$7326,$F77,'הצעת תקציב 2016'!$H$3:$H$7326)</f>
        <v>0</v>
      </c>
      <c r="I77" s="63">
        <f>SUMIF('הצעת תקציב 2016'!$P$3:$P$7326,$F77,'הצעת תקציב 2016'!$H$3:$H$7326)</f>
        <v>0</v>
      </c>
      <c r="J77" s="64" t="str">
        <f>INDEX(Chapter,MATCH(F77,Chapter!$A$1:$A$681,0),8)</f>
        <v>חגיגות מבצעים ואירועים</v>
      </c>
      <c r="K77" s="71">
        <f t="shared" si="8"/>
        <v>0</v>
      </c>
      <c r="L77" s="72">
        <f t="shared" si="10"/>
        <v>1870400</v>
      </c>
      <c r="M77" s="72">
        <f t="shared" si="11"/>
        <v>0</v>
      </c>
      <c r="N77" s="64" t="str">
        <f t="shared" si="9"/>
        <v>חגיגות מבצעים ואירועים</v>
      </c>
    </row>
    <row r="78" spans="1:14">
      <c r="A78" s="62" t="s">
        <v>772</v>
      </c>
      <c r="B78" s="63">
        <f>SUMIF('הצעת תקציב 2016'!$L$3:$L$7326,$A78,'הצעת תקציב 2016'!$H$3:$H$7326)</f>
        <v>0</v>
      </c>
      <c r="C78" s="63">
        <f>SUMIF('הצעת תקציב 2016'!$N$3:$N$7326,$A78,'הצעת תקציב 2016'!$H$3:$H$7326)</f>
        <v>0</v>
      </c>
      <c r="D78" s="63">
        <f>SUMIF('הצעת תקציב 2016'!$P$3:$P$7326,$A78,'הצעת תקציב 2016'!$H$3:$H$7326)</f>
        <v>0</v>
      </c>
      <c r="E78" s="64" t="str">
        <f>INDEX(Chapter,MATCH(A78,Chapter!$A$1:$A$681,0),8)</f>
        <v>חגיגות יום העצמאות</v>
      </c>
      <c r="F78" s="62"/>
      <c r="G78" s="65"/>
      <c r="H78" s="65"/>
      <c r="I78" s="65"/>
      <c r="J78" s="64"/>
      <c r="K78" s="71">
        <f t="shared" si="8"/>
        <v>0</v>
      </c>
      <c r="L78" s="72">
        <f t="shared" si="10"/>
        <v>0</v>
      </c>
      <c r="M78" s="72">
        <f t="shared" si="11"/>
        <v>0</v>
      </c>
      <c r="N78" s="64" t="str">
        <f t="shared" si="9"/>
        <v>חגיגות יום העצמאות</v>
      </c>
    </row>
    <row r="79" spans="1:14">
      <c r="A79" s="62" t="s">
        <v>776</v>
      </c>
      <c r="B79" s="63">
        <f>SUMIF('הצעת תקציב 2016'!$L$3:$L$7326,$A79,'הצעת תקציב 2016'!$H$3:$H$7326)</f>
        <v>0</v>
      </c>
      <c r="C79" s="63">
        <f>SUMIF('הצעת תקציב 2016'!$N$3:$N$7326,$A79,'הצעת תקציב 2016'!$H$3:$H$7326)</f>
        <v>0</v>
      </c>
      <c r="D79" s="63">
        <f>SUMIF('הצעת תקציב 2016'!$P$3:$P$7326,$A79,'הצעת תקציב 2016'!$H$3:$H$7326)</f>
        <v>888000</v>
      </c>
      <c r="E79" s="64" t="str">
        <f>INDEX(Chapter,MATCH(A79,Chapter!$A$1:$A$681,0),8)</f>
        <v>חגיגות וטכסים אחרים</v>
      </c>
      <c r="F79" s="62"/>
      <c r="G79" s="65"/>
      <c r="H79" s="65"/>
      <c r="I79" s="65"/>
      <c r="J79" s="64"/>
      <c r="K79" s="71">
        <f t="shared" si="8"/>
        <v>0</v>
      </c>
      <c r="L79" s="72">
        <f t="shared" si="10"/>
        <v>0</v>
      </c>
      <c r="M79" s="72">
        <f t="shared" si="11"/>
        <v>888000</v>
      </c>
      <c r="N79" s="64" t="str">
        <f t="shared" si="9"/>
        <v>חגיגות וטכסים אחרים</v>
      </c>
    </row>
    <row r="80" spans="1:14">
      <c r="A80" s="62" t="s">
        <v>781</v>
      </c>
      <c r="B80" s="63">
        <f>SUMIF('הצעת תקציב 2016'!$L$3:$L$7326,$A80,'הצעת תקציב 2016'!$H$3:$H$7326)</f>
        <v>0</v>
      </c>
      <c r="C80" s="63">
        <f>SUMIF('הצעת תקציב 2016'!$N$3:$N$7326,$A80,'הצעת תקציב 2016'!$H$3:$H$7326)</f>
        <v>0</v>
      </c>
      <c r="D80" s="63">
        <f>SUMIF('הצעת תקציב 2016'!$P$3:$P$7326,$A80,'הצעת תקציב 2016'!$H$3:$H$7326)</f>
        <v>73100</v>
      </c>
      <c r="E80" s="64" t="str">
        <f>INDEX(Chapter,MATCH(A80,Chapter!$A$1:$A$681,0),8)</f>
        <v>פעולות אימוץ</v>
      </c>
      <c r="F80" s="62"/>
      <c r="G80" s="65"/>
      <c r="H80" s="65"/>
      <c r="I80" s="65"/>
      <c r="J80" s="64"/>
      <c r="K80" s="71">
        <f t="shared" si="8"/>
        <v>0</v>
      </c>
      <c r="L80" s="72">
        <f t="shared" si="10"/>
        <v>0</v>
      </c>
      <c r="M80" s="72">
        <f t="shared" si="11"/>
        <v>73100</v>
      </c>
      <c r="N80" s="64" t="str">
        <f t="shared" si="9"/>
        <v>פעולות אימוץ</v>
      </c>
    </row>
    <row r="81" spans="1:14">
      <c r="A81" s="62" t="s">
        <v>786</v>
      </c>
      <c r="B81" s="63">
        <f>SUMIF('הצעת תקציב 2016'!$L$3:$L$7326,$A81,'הצעת תקציב 2016'!$H$3:$H$7326)</f>
        <v>0</v>
      </c>
      <c r="C81" s="63">
        <f>SUMIF('הצעת תקציב 2016'!$N$3:$N$7326,$A81,'הצעת תקציב 2016'!$H$3:$H$7326)</f>
        <v>0</v>
      </c>
      <c r="D81" s="63">
        <f>SUMIF('הצעת תקציב 2016'!$P$3:$P$7326,$A81,'הצעת תקציב 2016'!$H$3:$H$7326)</f>
        <v>0</v>
      </c>
      <c r="E81" s="64" t="str">
        <f>INDEX(Chapter,MATCH(A81,Chapter!$A$1:$A$681,0),8)</f>
        <v>קשרים בינלאומיים</v>
      </c>
      <c r="F81" s="62" t="s">
        <v>787</v>
      </c>
      <c r="G81" s="63">
        <f>SUMIF('הצעת תקציב 2016'!$L$3:$L$7326,$F81,'הצעת תקציב 2016'!$H$3:$H$7326)</f>
        <v>0</v>
      </c>
      <c r="H81" s="63">
        <f>SUMIF('הצעת תקציב 2016'!$N$3:$N$7326,$F81,'הצעת תקציב 2016'!$H$3:$H$7326)</f>
        <v>0</v>
      </c>
      <c r="I81" s="63">
        <f>SUMIF('הצעת תקציב 2016'!$P$3:$P$7326,$F81,'הצעת תקציב 2016'!$H$3:$H$7326)</f>
        <v>0</v>
      </c>
      <c r="J81" s="64" t="str">
        <f>INDEX(Chapter,MATCH(F81,Chapter!$A$1:$A$681,0),8)</f>
        <v>קשרים בינלאומיים</v>
      </c>
      <c r="K81" s="71">
        <f t="shared" si="8"/>
        <v>0</v>
      </c>
      <c r="L81" s="72">
        <f t="shared" si="10"/>
        <v>0</v>
      </c>
      <c r="M81" s="72">
        <f t="shared" si="11"/>
        <v>0</v>
      </c>
      <c r="N81" s="64" t="str">
        <f t="shared" si="9"/>
        <v>קשרים בינלאומיים</v>
      </c>
    </row>
    <row r="82" spans="1:14">
      <c r="A82" s="62" t="s">
        <v>796</v>
      </c>
      <c r="B82" s="63">
        <f>SUMIF('הצעת תקציב 2016'!$L$3:$L$7326,$A82,'הצעת תקציב 2016'!$H$3:$H$7326)</f>
        <v>0</v>
      </c>
      <c r="C82" s="63">
        <f>SUMIF('הצעת תקציב 2016'!$N$3:$N$7326,$A82,'הצעת תקציב 2016'!$H$3:$H$7326)</f>
        <v>31215400</v>
      </c>
      <c r="D82" s="63">
        <f>SUMIF('הצעת תקציב 2016'!$P$3:$P$7326,$A82,'הצעת תקציב 2016'!$H$3:$H$7326)</f>
        <v>0</v>
      </c>
      <c r="E82" s="64" t="str">
        <f>INDEX(Chapter,MATCH(A82,Chapter!$A$1:$A$681,0),8)</f>
        <v>שירותים עירוניים שונים</v>
      </c>
      <c r="F82" s="62" t="s">
        <v>797</v>
      </c>
      <c r="G82" s="63">
        <f>SUMIF('הצעת תקציב 2016'!$L$3:$L$7326,$F82,'הצעת תקציב 2016'!$H$3:$H$7326)</f>
        <v>0</v>
      </c>
      <c r="H82" s="63">
        <f>SUMIF('הצעת תקציב 2016'!$N$3:$N$7326,$F82,'הצעת תקציב 2016'!$H$3:$H$7326)</f>
        <v>0</v>
      </c>
      <c r="I82" s="63">
        <f>SUMIF('הצעת תקציב 2016'!$P$3:$P$7326,$F82,'הצעת תקציב 2016'!$H$3:$H$7326)</f>
        <v>0</v>
      </c>
      <c r="J82" s="64" t="str">
        <f>INDEX(Chapter,MATCH(F82,Chapter!$A$1:$A$681,0),8)</f>
        <v>שירותים עירוניים שונים</v>
      </c>
      <c r="K82" s="71">
        <f t="shared" si="8"/>
        <v>0</v>
      </c>
      <c r="L82" s="72">
        <f t="shared" si="10"/>
        <v>31215400</v>
      </c>
      <c r="M82" s="72">
        <f t="shared" si="11"/>
        <v>0</v>
      </c>
      <c r="N82" s="64" t="str">
        <f t="shared" si="9"/>
        <v>שירותים עירוניים שונים</v>
      </c>
    </row>
    <row r="83" spans="1:14">
      <c r="A83" s="62" t="s">
        <v>801</v>
      </c>
      <c r="B83" s="63">
        <f>SUMIF('הצעת תקציב 2016'!$L$3:$L$7326,$A83,'הצעת תקציב 2016'!$H$3:$H$7326)</f>
        <v>0</v>
      </c>
      <c r="C83" s="63">
        <f>SUMIF('הצעת תקציב 2016'!$N$3:$N$7326,$A83,'הצעת תקציב 2016'!$H$3:$H$7326)</f>
        <v>0</v>
      </c>
      <c r="D83" s="63">
        <f>SUMIF('הצעת תקציב 2016'!$P$3:$P$7326,$A83,'הצעת תקציב 2016'!$H$3:$H$7326)</f>
        <v>5171600</v>
      </c>
      <c r="E83" s="64" t="str">
        <f>INDEX(Chapter,MATCH(A83,Chapter!$A$1:$A$681,0),8)</f>
        <v>מוקד עירוני</v>
      </c>
      <c r="F83" s="62"/>
      <c r="G83" s="65"/>
      <c r="H83" s="65"/>
      <c r="I83" s="65"/>
      <c r="J83" s="64"/>
      <c r="K83" s="71">
        <f t="shared" si="8"/>
        <v>0</v>
      </c>
      <c r="L83" s="72">
        <f t="shared" si="10"/>
        <v>0</v>
      </c>
      <c r="M83" s="72">
        <f t="shared" si="11"/>
        <v>5171600</v>
      </c>
      <c r="N83" s="64" t="str">
        <f t="shared" si="9"/>
        <v>מוקד עירוני</v>
      </c>
    </row>
    <row r="84" spans="1:14">
      <c r="A84" s="62" t="s">
        <v>811</v>
      </c>
      <c r="B84" s="63">
        <f>SUMIF('הצעת תקציב 2016'!$L$3:$L$7326,$A84,'הצעת תקציב 2016'!$H$3:$H$7326)</f>
        <v>0</v>
      </c>
      <c r="C84" s="63">
        <f>SUMIF('הצעת תקציב 2016'!$N$3:$N$7326,$A84,'הצעת תקציב 2016'!$H$3:$H$7326)</f>
        <v>0</v>
      </c>
      <c r="D84" s="63">
        <f>SUMIF('הצעת תקציב 2016'!$P$3:$P$7326,$A84,'הצעת תקציב 2016'!$H$3:$H$7326)</f>
        <v>23626100</v>
      </c>
      <c r="E84" s="64" t="str">
        <f>INDEX(Chapter,MATCH(A84,Chapter!$A$1:$A$681,0),8)</f>
        <v>תרבות הדיור</v>
      </c>
      <c r="F84" s="62"/>
      <c r="G84" s="65"/>
      <c r="H84" s="65"/>
      <c r="I84" s="65"/>
      <c r="J84" s="64"/>
      <c r="K84" s="71">
        <f t="shared" si="8"/>
        <v>0</v>
      </c>
      <c r="L84" s="72">
        <f t="shared" si="10"/>
        <v>0</v>
      </c>
      <c r="M84" s="72">
        <f t="shared" si="11"/>
        <v>23626100</v>
      </c>
      <c r="N84" s="64" t="str">
        <f t="shared" si="9"/>
        <v>תרבות הדיור</v>
      </c>
    </row>
    <row r="85" spans="1:14">
      <c r="A85" s="62" t="s">
        <v>816</v>
      </c>
      <c r="B85" s="63">
        <f>SUMIF('הצעת תקציב 2016'!$L$3:$L$7326,$A85,'הצעת תקציב 2016'!$H$3:$H$7326)</f>
        <v>0</v>
      </c>
      <c r="C85" s="63">
        <f>SUMIF('הצעת תקציב 2016'!$N$3:$N$7326,$A85,'הצעת תקציב 2016'!$H$3:$H$7326)</f>
        <v>0</v>
      </c>
      <c r="D85" s="63">
        <f>SUMIF('הצעת תקציב 2016'!$P$3:$P$7326,$A85,'הצעת תקציב 2016'!$H$3:$H$7326)</f>
        <v>0</v>
      </c>
      <c r="E85" s="64" t="str">
        <f>INDEX(Chapter,MATCH(A85,Chapter!$A$1:$A$681,0),8)</f>
        <v>מוסדות כלליים</v>
      </c>
      <c r="F85" s="62"/>
      <c r="G85" s="65"/>
      <c r="H85" s="65"/>
      <c r="I85" s="65"/>
      <c r="J85" s="64"/>
      <c r="K85" s="71">
        <f t="shared" si="8"/>
        <v>0</v>
      </c>
      <c r="L85" s="72">
        <f t="shared" si="10"/>
        <v>0</v>
      </c>
      <c r="M85" s="72">
        <f t="shared" si="11"/>
        <v>0</v>
      </c>
      <c r="N85" s="64" t="str">
        <f t="shared" si="9"/>
        <v>מוסדות כלליים</v>
      </c>
    </row>
    <row r="86" spans="1:14">
      <c r="A86" s="62" t="s">
        <v>826</v>
      </c>
      <c r="B86" s="63">
        <f>SUMIF('הצעת תקציב 2016'!$L$3:$L$7326,$A86,'הצעת תקציב 2016'!$H$3:$H$7326)</f>
        <v>0</v>
      </c>
      <c r="C86" s="63">
        <f>SUMIF('הצעת תקציב 2016'!$N$3:$N$7326,$A86,'הצעת תקציב 2016'!$H$3:$H$7326)</f>
        <v>0</v>
      </c>
      <c r="D86" s="63">
        <f>SUMIF('הצעת תקציב 2016'!$P$3:$P$7326,$A86,'הצעת תקציב 2016'!$H$3:$H$7326)</f>
        <v>2000000</v>
      </c>
      <c r="E86" s="64" t="str">
        <f>INDEX(Chapter,MATCH(A86,Chapter!$A$1:$A$681,0),8)</f>
        <v>בטוח אלמנטרי לרשות</v>
      </c>
      <c r="F86" s="62"/>
      <c r="G86" s="65"/>
      <c r="H86" s="65"/>
      <c r="I86" s="65"/>
      <c r="J86" s="64"/>
      <c r="K86" s="71">
        <f t="shared" si="8"/>
        <v>0</v>
      </c>
      <c r="L86" s="72">
        <f t="shared" si="10"/>
        <v>0</v>
      </c>
      <c r="M86" s="72">
        <f t="shared" si="11"/>
        <v>2000000</v>
      </c>
      <c r="N86" s="64" t="str">
        <f t="shared" si="9"/>
        <v>בטוח אלמנטרי לרשות</v>
      </c>
    </row>
    <row r="87" spans="1:14">
      <c r="A87" s="62" t="s">
        <v>830</v>
      </c>
      <c r="B87" s="63">
        <f>SUMIF('הצעת תקציב 2016'!$L$3:$L$7326,$A87,'הצעת תקציב 2016'!$H$3:$H$7326)</f>
        <v>0</v>
      </c>
      <c r="C87" s="63">
        <f>SUMIF('הצעת תקציב 2016'!$N$3:$N$7326,$A87,'הצעת תקציב 2016'!$H$3:$H$7326)</f>
        <v>0</v>
      </c>
      <c r="D87" s="63">
        <f>SUMIF('הצעת תקציב 2016'!$P$3:$P$7326,$A87,'הצעת תקציב 2016'!$H$3:$H$7326)</f>
        <v>0</v>
      </c>
      <c r="E87" s="64" t="str">
        <f>INDEX(Chapter,MATCH(A87,Chapter!$A$1:$A$681,0),8)</f>
        <v>מפעם - מרכז הדרכה אזורי</v>
      </c>
      <c r="F87" s="62"/>
      <c r="G87" s="65"/>
      <c r="H87" s="65"/>
      <c r="I87" s="65"/>
      <c r="J87" s="64"/>
      <c r="K87" s="71">
        <f t="shared" si="8"/>
        <v>0</v>
      </c>
      <c r="L87" s="72">
        <f t="shared" si="10"/>
        <v>0</v>
      </c>
      <c r="M87" s="72">
        <f t="shared" si="11"/>
        <v>0</v>
      </c>
      <c r="N87" s="64" t="str">
        <f t="shared" si="9"/>
        <v>מפעם - מרכז הדרכה אזורי</v>
      </c>
    </row>
    <row r="88" spans="1:14">
      <c r="A88" s="62" t="s">
        <v>835</v>
      </c>
      <c r="B88" s="63">
        <f>SUMIF('הצעת תקציב 2016'!$L$3:$L$7326,$A88,'הצעת תקציב 2016'!$H$3:$H$7326)</f>
        <v>0</v>
      </c>
      <c r="C88" s="63">
        <f>SUMIF('הצעת תקציב 2016'!$N$3:$N$7326,$A88,'הצעת תקציב 2016'!$H$3:$H$7326)</f>
        <v>0</v>
      </c>
      <c r="D88" s="63">
        <f>SUMIF('הצעת תקציב 2016'!$P$3:$P$7326,$A88,'הצעת תקציב 2016'!$H$3:$H$7326)</f>
        <v>417700</v>
      </c>
      <c r="E88" s="64" t="str">
        <f>INDEX(Chapter,MATCH(A88,Chapter!$A$1:$A$681,0),8)</f>
        <v>שירותים שונים</v>
      </c>
      <c r="F88" s="62" t="s">
        <v>836</v>
      </c>
      <c r="G88" s="63">
        <f>SUMIF('הצעת תקציב 2016'!$L$3:$L$7326,$F88,'הצעת תקציב 2016'!$H$3:$H$7326)</f>
        <v>0</v>
      </c>
      <c r="H88" s="63">
        <f>SUMIF('הצעת תקציב 2016'!$N$3:$N$7326,$F88,'הצעת תקציב 2016'!$H$3:$H$7326)</f>
        <v>0</v>
      </c>
      <c r="I88" s="63">
        <f>SUMIF('הצעת תקציב 2016'!$P$3:$P$7326,$F88,'הצעת תקציב 2016'!$H$3:$H$7326)</f>
        <v>0</v>
      </c>
      <c r="J88" s="64" t="str">
        <f>INDEX(Chapter,MATCH(F88,Chapter!$A$1:$A$681,0),8)</f>
        <v>הכנסות שונות</v>
      </c>
      <c r="K88" s="71">
        <f t="shared" si="8"/>
        <v>0</v>
      </c>
      <c r="L88" s="72">
        <f t="shared" si="10"/>
        <v>0</v>
      </c>
      <c r="M88" s="72">
        <f t="shared" si="11"/>
        <v>417700</v>
      </c>
      <c r="N88" s="64" t="str">
        <f t="shared" si="9"/>
        <v>שירותים שונים</v>
      </c>
    </row>
    <row r="89" spans="1:14">
      <c r="A89" s="62" t="s">
        <v>143</v>
      </c>
      <c r="B89" s="63">
        <f>SUMIF('הצעת תקציב 2016'!$L$3:$L$7326,$A89,'הצעת תקציב 2016'!$H$3:$H$7326)</f>
        <v>0</v>
      </c>
      <c r="C89" s="63">
        <f>SUMIF('הצעת תקציב 2016'!$N$3:$N$7326,$A89,'הצעת תקציב 2016'!$H$3:$H$7326)</f>
        <v>5632900</v>
      </c>
      <c r="D89" s="63">
        <f>SUMIF('הצעת תקציב 2016'!$P$3:$P$7326,$A89,'הצעת תקציב 2016'!$H$3:$H$7326)</f>
        <v>0</v>
      </c>
      <c r="E89" s="64" t="str">
        <f>INDEX(Chapter,MATCH(A89,Chapter!$A$1:$A$681,0),8)</f>
        <v>פיתוח כלכלי</v>
      </c>
      <c r="F89" s="62"/>
      <c r="G89" s="65"/>
      <c r="H89" s="65"/>
      <c r="I89" s="65"/>
      <c r="J89" s="64"/>
      <c r="K89" s="71">
        <f t="shared" si="8"/>
        <v>0</v>
      </c>
      <c r="L89" s="72">
        <f t="shared" si="10"/>
        <v>5632900</v>
      </c>
      <c r="M89" s="72">
        <f t="shared" si="11"/>
        <v>0</v>
      </c>
      <c r="N89" s="64" t="str">
        <f t="shared" si="9"/>
        <v>פיתוח כלכלי</v>
      </c>
    </row>
    <row r="90" spans="1:14">
      <c r="A90" s="62" t="s">
        <v>849</v>
      </c>
      <c r="B90" s="63">
        <f>SUMIF('הצעת תקציב 2016'!$L$3:$L$7326,$A90,'הצעת תקציב 2016'!$H$3:$H$7326)</f>
        <v>0</v>
      </c>
      <c r="C90" s="63">
        <f>SUMIF('הצעת תקציב 2016'!$N$3:$N$7326,$A90,'הצעת תקציב 2016'!$H$3:$H$7326)</f>
        <v>0</v>
      </c>
      <c r="D90" s="63">
        <f>SUMIF('הצעת תקציב 2016'!$P$3:$P$7326,$A90,'הצעת תקציב 2016'!$H$3:$H$7326)</f>
        <v>0</v>
      </c>
      <c r="E90" s="64" t="str">
        <f>INDEX(Chapter,MATCH(A90,Chapter!$A$1:$A$681,0),8)</f>
        <v>עידוד תעשיה ומלאכה</v>
      </c>
      <c r="F90" s="62"/>
      <c r="G90" s="65"/>
      <c r="H90" s="65"/>
      <c r="I90" s="65"/>
      <c r="J90" s="64"/>
      <c r="K90" s="71">
        <f t="shared" si="8"/>
        <v>0</v>
      </c>
      <c r="L90" s="72">
        <f t="shared" si="10"/>
        <v>0</v>
      </c>
      <c r="M90" s="72">
        <f t="shared" si="11"/>
        <v>0</v>
      </c>
      <c r="N90" s="64" t="str">
        <f t="shared" si="9"/>
        <v>עידוד תעשיה ומלאכה</v>
      </c>
    </row>
    <row r="91" spans="1:14">
      <c r="A91" s="62" t="s">
        <v>868</v>
      </c>
      <c r="B91" s="63">
        <f>SUMIF('הצעת תקציב 2016'!$L$3:$L$7326,$A91,'הצעת תקציב 2016'!$H$3:$H$7326)</f>
        <v>0</v>
      </c>
      <c r="C91" s="63">
        <f>SUMIF('הצעת תקציב 2016'!$N$3:$N$7326,$A91,'הצעת תקציב 2016'!$H$3:$H$7326)</f>
        <v>29313200</v>
      </c>
      <c r="D91" s="63">
        <f>SUMIF('הצעת תקציב 2016'!$P$3:$P$7326,$A91,'הצעת תקציב 2016'!$H$3:$H$7326)</f>
        <v>0</v>
      </c>
      <c r="E91" s="64" t="str">
        <f>INDEX(Chapter,MATCH(A91,Chapter!$A$1:$A$681,0),8)</f>
        <v>פיקוח עירוני</v>
      </c>
      <c r="F91" s="62" t="s">
        <v>60</v>
      </c>
      <c r="G91" s="63">
        <f>SUMIF('הצעת תקציב 2016'!$L$3:$L$7326,$F91,'הצעת תקציב 2016'!$H$3:$H$7326)</f>
        <v>0</v>
      </c>
      <c r="H91" s="63">
        <f>SUMIF('הצעת תקציב 2016'!$N$3:$N$7326,$F91,'הצעת תקציב 2016'!$H$3:$H$7326)</f>
        <v>-3305000</v>
      </c>
      <c r="I91" s="63">
        <f>SUMIF('הצעת תקציב 2016'!$P$3:$P$7326,$F91,'הצעת תקציב 2016'!$H$3:$H$7326)</f>
        <v>0</v>
      </c>
      <c r="J91" s="64" t="str">
        <f>INDEX(Chapter,MATCH(F91,Chapter!$A$1:$A$681,0),8)</f>
        <v>פיקוח עירוני</v>
      </c>
      <c r="K91" s="71">
        <f t="shared" si="8"/>
        <v>0</v>
      </c>
      <c r="L91" s="72">
        <f t="shared" si="10"/>
        <v>26008200</v>
      </c>
      <c r="M91" s="72">
        <f t="shared" si="11"/>
        <v>0</v>
      </c>
      <c r="N91" s="64" t="str">
        <f t="shared" si="9"/>
        <v>פיקוח עירוני</v>
      </c>
    </row>
    <row r="92" spans="1:14">
      <c r="A92" s="62" t="s">
        <v>872</v>
      </c>
      <c r="B92" s="63">
        <f>SUMIF('הצעת תקציב 2016'!$L$3:$L$7326,$A92,'הצעת תקציב 2016'!$H$3:$H$7326)</f>
        <v>0</v>
      </c>
      <c r="C92" s="63">
        <f>SUMIF('הצעת תקציב 2016'!$N$3:$N$7326,$A92,'הצעת תקציב 2016'!$H$3:$H$7326)</f>
        <v>0</v>
      </c>
      <c r="D92" s="63">
        <f>SUMIF('הצעת תקציב 2016'!$P$3:$P$7326,$A92,'הצעת תקציב 2016'!$H$3:$H$7326)</f>
        <v>24548300</v>
      </c>
      <c r="E92" s="64" t="str">
        <f>INDEX(Chapter,MATCH(A92,Chapter!$A$1:$A$681,0),8)</f>
        <v>פיקוח על חוקי עזר</v>
      </c>
      <c r="F92" s="62" t="s">
        <v>873</v>
      </c>
      <c r="G92" s="63">
        <f>SUMIF('הצעת תקציב 2016'!$L$3:$L$7326,$F92,'הצעת תקציב 2016'!$H$3:$H$7326)</f>
        <v>0</v>
      </c>
      <c r="H92" s="63">
        <f>SUMIF('הצעת תקציב 2016'!$N$3:$N$7326,$F92,'הצעת תקציב 2016'!$H$3:$H$7326)</f>
        <v>0</v>
      </c>
      <c r="I92" s="63">
        <f>SUMIF('הצעת תקציב 2016'!$P$3:$P$7326,$F92,'הצעת תקציב 2016'!$H$3:$H$7326)</f>
        <v>-3305000</v>
      </c>
      <c r="J92" s="64" t="str">
        <f>INDEX(Chapter,MATCH(F92,Chapter!$A$1:$A$681,0),8)</f>
        <v>פיקוח על חוקי עזר</v>
      </c>
      <c r="K92" s="71">
        <f t="shared" si="8"/>
        <v>0</v>
      </c>
      <c r="L92" s="72">
        <f t="shared" si="10"/>
        <v>0</v>
      </c>
      <c r="M92" s="72">
        <f t="shared" si="11"/>
        <v>21243300</v>
      </c>
      <c r="N92" s="64" t="str">
        <f t="shared" si="9"/>
        <v>פיקוח על חוקי עזר</v>
      </c>
    </row>
    <row r="93" spans="1:14">
      <c r="A93" s="62" t="s">
        <v>877</v>
      </c>
      <c r="B93" s="63">
        <f>SUMIF('הצעת תקציב 2016'!$L$3:$L$7326,$A93,'הצעת תקציב 2016'!$H$3:$H$7326)</f>
        <v>0</v>
      </c>
      <c r="C93" s="63">
        <f>SUMIF('הצעת תקציב 2016'!$N$3:$N$7326,$A93,'הצעת תקציב 2016'!$H$3:$H$7326)</f>
        <v>0</v>
      </c>
      <c r="D93" s="63">
        <f>SUMIF('הצעת תקציב 2016'!$P$3:$P$7326,$A93,'הצעת תקציב 2016'!$H$3:$H$7326)</f>
        <v>4764900</v>
      </c>
      <c r="E93" s="64" t="str">
        <f>INDEX(Chapter,MATCH(A93,Chapter!$A$1:$A$681,0),8)</f>
        <v>בית משפט עירוני</v>
      </c>
      <c r="F93" s="62" t="s">
        <v>878</v>
      </c>
      <c r="G93" s="63">
        <f>SUMIF('הצעת תקציב 2016'!$L$3:$L$7326,$F93,'הצעת תקציב 2016'!$H$3:$H$7326)</f>
        <v>0</v>
      </c>
      <c r="H93" s="63">
        <f>SUMIF('הצעת תקציב 2016'!$N$3:$N$7326,$F93,'הצעת תקציב 2016'!$H$3:$H$7326)</f>
        <v>0</v>
      </c>
      <c r="I93" s="63">
        <f>SUMIF('הצעת תקציב 2016'!$P$3:$P$7326,$F93,'הצעת תקציב 2016'!$H$3:$H$7326)</f>
        <v>0</v>
      </c>
      <c r="J93" s="64" t="str">
        <f>INDEX(Chapter,MATCH(F93,Chapter!$A$1:$A$681,0),8)</f>
        <v>בית משפט עירוני</v>
      </c>
      <c r="K93" s="71">
        <f t="shared" si="8"/>
        <v>0</v>
      </c>
      <c r="L93" s="72">
        <f t="shared" si="10"/>
        <v>0</v>
      </c>
      <c r="M93" s="72">
        <f t="shared" si="11"/>
        <v>4764900</v>
      </c>
      <c r="N93" s="64" t="str">
        <f t="shared" si="9"/>
        <v>בית משפט עירוני</v>
      </c>
    </row>
    <row r="94" spans="1:14">
      <c r="A94" s="62" t="s">
        <v>153</v>
      </c>
      <c r="B94" s="63">
        <f>SUMIF('הצעת תקציב 2016'!$L$3:$L$7326,$A94,'הצעת תקציב 2016'!$H$3:$H$7326)</f>
        <v>1371347700</v>
      </c>
      <c r="C94" s="63">
        <f>SUMIF('הצעת תקציב 2016'!$N$3:$N$7326,$A94,'הצעת תקציב 2016'!$H$3:$H$7326)</f>
        <v>0</v>
      </c>
      <c r="D94" s="63">
        <f>SUMIF('הצעת תקציב 2016'!$P$3:$P$7326,$A94,'הצעת תקציב 2016'!$H$3:$H$7326)</f>
        <v>0</v>
      </c>
      <c r="E94" s="64" t="str">
        <f>INDEX(Chapter,MATCH(A94,Chapter!$A$1:$A$681,0),8)</f>
        <v>שירותים ממלכתיים</v>
      </c>
      <c r="F94" s="62" t="s">
        <v>62</v>
      </c>
      <c r="G94" s="63">
        <f>SUMIF('הצעת תקציב 2016'!$L$3:$L$7326,$F94,'הצעת תקציב 2016'!$H$3:$H$7326)</f>
        <v>-961782300</v>
      </c>
      <c r="H94" s="63">
        <f>SUMIF('הצעת תקציב 2016'!$N$3:$N$7326,$F94,'הצעת תקציב 2016'!$H$3:$H$7326)</f>
        <v>0</v>
      </c>
      <c r="I94" s="63">
        <f>SUMIF('הצעת תקציב 2016'!$P$3:$P$7326,$F94,'הצעת תקציב 2016'!$H$3:$H$7326)</f>
        <v>0</v>
      </c>
      <c r="J94" s="64" t="str">
        <f>INDEX(Chapter,MATCH(F94,Chapter!$A$1:$A$681,0),8)</f>
        <v>שירותים ממלכתיים</v>
      </c>
      <c r="K94" s="71">
        <f t="shared" si="8"/>
        <v>409565400</v>
      </c>
      <c r="L94" s="72">
        <f t="shared" si="10"/>
        <v>0</v>
      </c>
      <c r="M94" s="72">
        <f t="shared" si="11"/>
        <v>0</v>
      </c>
      <c r="N94" s="64" t="str">
        <f t="shared" si="9"/>
        <v>שירותים ממלכתיים</v>
      </c>
    </row>
    <row r="95" spans="1:14">
      <c r="A95" s="62" t="s">
        <v>928</v>
      </c>
      <c r="B95" s="63">
        <f>SUMIF('הצעת תקציב 2016'!$L$3:$L$7326,$A95,'הצעת תקציב 2016'!$H$3:$H$7326)</f>
        <v>0</v>
      </c>
      <c r="C95" s="63">
        <f>SUMIF('הצעת תקציב 2016'!$N$3:$N$7326,$A95,'הצעת תקציב 2016'!$H$3:$H$7326)</f>
        <v>484641200</v>
      </c>
      <c r="D95" s="63">
        <f>SUMIF('הצעת תקציב 2016'!$P$3:$P$7326,$A95,'הצעת תקציב 2016'!$H$3:$H$7326)</f>
        <v>0</v>
      </c>
      <c r="E95" s="64" t="str">
        <f>INDEX(Chapter,MATCH(A95,Chapter!$A$1:$A$681,0),8)</f>
        <v>חינוך</v>
      </c>
      <c r="F95" s="62" t="s">
        <v>929</v>
      </c>
      <c r="G95" s="63">
        <f>SUMIF('הצעת תקציב 2016'!$L$3:$L$7326,$F95,'הצעת תקציב 2016'!$H$3:$H$7326)</f>
        <v>0</v>
      </c>
      <c r="H95" s="63">
        <f>SUMIF('הצעת תקציב 2016'!$N$3:$N$7326,$F95,'הצעת תקציב 2016'!$H$3:$H$7326)</f>
        <v>-302500000</v>
      </c>
      <c r="I95" s="63">
        <f>SUMIF('הצעת תקציב 2016'!$P$3:$P$7326,$F95,'הצעת תקציב 2016'!$H$3:$H$7326)</f>
        <v>0</v>
      </c>
      <c r="J95" s="64" t="str">
        <f>INDEX(Chapter,MATCH(F95,Chapter!$A$1:$A$681,0),8)</f>
        <v>חינוך</v>
      </c>
      <c r="K95" s="71">
        <f t="shared" si="8"/>
        <v>0</v>
      </c>
      <c r="L95" s="72">
        <f t="shared" si="10"/>
        <v>182141200</v>
      </c>
      <c r="M95" s="72">
        <f t="shared" si="11"/>
        <v>0</v>
      </c>
      <c r="N95" s="64" t="str">
        <f t="shared" si="9"/>
        <v>חינוך</v>
      </c>
    </row>
    <row r="96" spans="1:14">
      <c r="A96" s="62" t="s">
        <v>933</v>
      </c>
      <c r="B96" s="63">
        <f>SUMIF('הצעת תקציב 2016'!$L$3:$L$7326,$A96,'הצעת תקציב 2016'!$H$3:$H$7326)</f>
        <v>0</v>
      </c>
      <c r="C96" s="63">
        <f>SUMIF('הצעת תקציב 2016'!$N$3:$N$7326,$A96,'הצעת תקציב 2016'!$H$3:$H$7326)</f>
        <v>0</v>
      </c>
      <c r="D96" s="63">
        <f>SUMIF('הצעת תקציב 2016'!$P$3:$P$7326,$A96,'הצעת תקציב 2016'!$H$3:$H$7326)</f>
        <v>19446900</v>
      </c>
      <c r="E96" s="64" t="str">
        <f>INDEX(Chapter,MATCH(A96,Chapter!$A$1:$A$681,0),8)</f>
        <v>מינהל החינוך</v>
      </c>
      <c r="F96" s="62" t="s">
        <v>934</v>
      </c>
      <c r="G96" s="63">
        <f>SUMIF('הצעת תקציב 2016'!$L$3:$L$7326,$F96,'הצעת תקציב 2016'!$H$3:$H$7326)</f>
        <v>0</v>
      </c>
      <c r="H96" s="63">
        <f>SUMIF('הצעת תקציב 2016'!$N$3:$N$7326,$F96,'הצעת תקציב 2016'!$H$3:$H$7326)</f>
        <v>0</v>
      </c>
      <c r="I96" s="63">
        <f>SUMIF('הצעת תקציב 2016'!$P$3:$P$7326,$F96,'הצעת תקציב 2016'!$H$3:$H$7326)</f>
        <v>0</v>
      </c>
      <c r="J96" s="64" t="str">
        <f>INDEX(Chapter,MATCH(F96,Chapter!$A$1:$A$681,0),8)</f>
        <v>מינהל החינוך</v>
      </c>
      <c r="K96" s="71">
        <f t="shared" si="8"/>
        <v>0</v>
      </c>
      <c r="L96" s="72">
        <f t="shared" si="10"/>
        <v>0</v>
      </c>
      <c r="M96" s="72">
        <f t="shared" si="11"/>
        <v>19446900</v>
      </c>
      <c r="N96" s="64" t="str">
        <f t="shared" si="9"/>
        <v>מינהל החינוך</v>
      </c>
    </row>
    <row r="97" spans="1:14">
      <c r="A97" s="62" t="s">
        <v>938</v>
      </c>
      <c r="B97" s="63">
        <f>SUMIF('הצעת תקציב 2016'!$L$3:$L$7326,$A97,'הצעת תקציב 2016'!$H$3:$H$7326)</f>
        <v>0</v>
      </c>
      <c r="C97" s="63">
        <f>SUMIF('הצעת תקציב 2016'!$N$3:$N$7326,$A97,'הצעת תקציב 2016'!$H$3:$H$7326)</f>
        <v>0</v>
      </c>
      <c r="D97" s="63">
        <f>SUMIF('הצעת תקציב 2016'!$P$3:$P$7326,$A97,'הצעת תקציב 2016'!$H$3:$H$7326)</f>
        <v>88645800</v>
      </c>
      <c r="E97" s="64" t="str">
        <f>INDEX(Chapter,MATCH(A97,Chapter!$A$1:$A$681,0),8)</f>
        <v>חינוך קדם יסודי</v>
      </c>
      <c r="F97" s="62" t="s">
        <v>939</v>
      </c>
      <c r="G97" s="63">
        <f>SUMIF('הצעת תקציב 2016'!$L$3:$L$7326,$F97,'הצעת תקציב 2016'!$H$3:$H$7326)</f>
        <v>0</v>
      </c>
      <c r="H97" s="63">
        <f>SUMIF('הצעת תקציב 2016'!$N$3:$N$7326,$F97,'הצעת תקציב 2016'!$H$3:$H$7326)</f>
        <v>0</v>
      </c>
      <c r="I97" s="63">
        <f>SUMIF('הצעת תקציב 2016'!$P$3:$P$7326,$F97,'הצעת תקציב 2016'!$H$3:$H$7326)</f>
        <v>-71300000</v>
      </c>
      <c r="J97" s="64" t="str">
        <f>INDEX(Chapter,MATCH(F97,Chapter!$A$1:$A$681,0),8)</f>
        <v>חינוך קדם יסודי</v>
      </c>
      <c r="K97" s="71">
        <f t="shared" si="8"/>
        <v>0</v>
      </c>
      <c r="L97" s="72">
        <f t="shared" si="10"/>
        <v>0</v>
      </c>
      <c r="M97" s="72">
        <f t="shared" si="11"/>
        <v>17345800</v>
      </c>
      <c r="N97" s="64" t="str">
        <f t="shared" si="9"/>
        <v>חינוך קדם יסודי</v>
      </c>
    </row>
    <row r="98" spans="1:14">
      <c r="A98" s="62" t="s">
        <v>977</v>
      </c>
      <c r="B98" s="63">
        <f>SUMIF('הצעת תקציב 2016'!$L$3:$L$7326,$A98,'הצעת תקציב 2016'!$H$3:$H$7326)</f>
        <v>0</v>
      </c>
      <c r="C98" s="63">
        <f>SUMIF('הצעת תקציב 2016'!$N$3:$N$7326,$A98,'הצעת תקציב 2016'!$H$3:$H$7326)</f>
        <v>0</v>
      </c>
      <c r="D98" s="63">
        <f>SUMIF('הצעת תקציב 2016'!$P$3:$P$7326,$A98,'הצעת תקציב 2016'!$H$3:$H$7326)</f>
        <v>131797500</v>
      </c>
      <c r="E98" s="64" t="str">
        <f>INDEX(Chapter,MATCH(A98,Chapter!$A$1:$A$681,0),8)</f>
        <v>חינוך יסודי</v>
      </c>
      <c r="F98" s="62" t="s">
        <v>978</v>
      </c>
      <c r="G98" s="63">
        <f>SUMIF('הצעת תקציב 2016'!$L$3:$L$7326,$F98,'הצעת תקציב 2016'!$H$3:$H$7326)</f>
        <v>0</v>
      </c>
      <c r="H98" s="63">
        <f>SUMIF('הצעת תקציב 2016'!$N$3:$N$7326,$F98,'הצעת תקציב 2016'!$H$3:$H$7326)</f>
        <v>0</v>
      </c>
      <c r="I98" s="63">
        <f>SUMIF('הצעת תקציב 2016'!$P$3:$P$7326,$F98,'הצעת תקציב 2016'!$H$3:$H$7326)</f>
        <v>-75559000</v>
      </c>
      <c r="J98" s="64" t="str">
        <f>INDEX(Chapter,MATCH(F98,Chapter!$A$1:$A$681,0),8)</f>
        <v>חינוך יסודי</v>
      </c>
      <c r="K98" s="71">
        <f t="shared" si="8"/>
        <v>0</v>
      </c>
      <c r="L98" s="72">
        <f t="shared" si="10"/>
        <v>0</v>
      </c>
      <c r="M98" s="72">
        <f t="shared" si="11"/>
        <v>56238500</v>
      </c>
      <c r="N98" s="64" t="str">
        <f t="shared" si="9"/>
        <v>חינוך יסודי</v>
      </c>
    </row>
    <row r="99" spans="1:14">
      <c r="A99" s="62" t="s">
        <v>1022</v>
      </c>
      <c r="B99" s="63">
        <f>SUMIF('הצעת תקציב 2016'!$L$3:$L$7326,$A99,'הצעת תקציב 2016'!$H$3:$H$7326)</f>
        <v>0</v>
      </c>
      <c r="C99" s="63">
        <f>SUMIF('הצעת תקציב 2016'!$N$3:$N$7326,$A99,'הצעת תקציב 2016'!$H$3:$H$7326)</f>
        <v>0</v>
      </c>
      <c r="D99" s="63">
        <f>SUMIF('הצעת תקציב 2016'!$P$3:$P$7326,$A99,'הצעת תקציב 2016'!$H$3:$H$7326)</f>
        <v>0</v>
      </c>
      <c r="E99" s="64" t="str">
        <f>INDEX(Chapter,MATCH(A99,Chapter!$A$1:$A$681,0),8)</f>
        <v>חטיבות ביניים</v>
      </c>
      <c r="F99" s="62" t="s">
        <v>1023</v>
      </c>
      <c r="G99" s="63">
        <f>SUMIF('הצעת תקציב 2016'!$L$3:$L$7326,$F99,'הצעת תקציב 2016'!$H$3:$H$7326)</f>
        <v>0</v>
      </c>
      <c r="H99" s="63">
        <f>SUMIF('הצעת תקציב 2016'!$N$3:$N$7326,$F99,'הצעת תקציב 2016'!$H$3:$H$7326)</f>
        <v>0</v>
      </c>
      <c r="I99" s="63">
        <f>SUMIF('הצעת תקציב 2016'!$P$3:$P$7326,$F99,'הצעת תקציב 2016'!$H$3:$H$7326)</f>
        <v>0</v>
      </c>
      <c r="J99" s="64" t="str">
        <f>INDEX(Chapter,MATCH(F99,Chapter!$A$1:$A$681,0),8)</f>
        <v>חטיבות ביניים</v>
      </c>
      <c r="K99" s="71">
        <f t="shared" si="8"/>
        <v>0</v>
      </c>
      <c r="L99" s="72">
        <f t="shared" si="10"/>
        <v>0</v>
      </c>
      <c r="M99" s="72">
        <f t="shared" si="11"/>
        <v>0</v>
      </c>
      <c r="N99" s="64" t="str">
        <f t="shared" si="9"/>
        <v>חטיבות ביניים</v>
      </c>
    </row>
    <row r="100" spans="1:14">
      <c r="A100" s="62" t="s">
        <v>1026</v>
      </c>
      <c r="B100" s="63">
        <f>SUMIF('הצעת תקציב 2016'!$L$3:$L$7326,$A100,'הצעת תקציב 2016'!$H$3:$H$7326)</f>
        <v>0</v>
      </c>
      <c r="C100" s="63">
        <f>SUMIF('הצעת תקציב 2016'!$N$3:$N$7326,$A100,'הצעת תקציב 2016'!$H$3:$H$7326)</f>
        <v>0</v>
      </c>
      <c r="D100" s="63">
        <f>SUMIF('הצעת תקציב 2016'!$P$3:$P$7326,$A100,'הצעת תקציב 2016'!$H$3:$H$7326)</f>
        <v>156485800</v>
      </c>
      <c r="E100" s="64" t="str">
        <f>INDEX(Chapter,MATCH(A100,Chapter!$A$1:$A$681,0),8)</f>
        <v>חינוך על יסודי</v>
      </c>
      <c r="F100" s="62" t="s">
        <v>1027</v>
      </c>
      <c r="G100" s="63">
        <f>SUMIF('הצעת תקציב 2016'!$L$3:$L$7326,$F100,'הצעת תקציב 2016'!$H$3:$H$7326)</f>
        <v>0</v>
      </c>
      <c r="H100" s="63">
        <f>SUMIF('הצעת תקציב 2016'!$N$3:$N$7326,$F100,'הצעת תקציב 2016'!$H$3:$H$7326)</f>
        <v>0</v>
      </c>
      <c r="I100" s="63">
        <f>SUMIF('הצעת תקציב 2016'!$P$3:$P$7326,$F100,'הצעת תקציב 2016'!$H$3:$H$7326)</f>
        <v>-124447000</v>
      </c>
      <c r="J100" s="64" t="str">
        <f>INDEX(Chapter,MATCH(F100,Chapter!$A$1:$A$681,0),8)</f>
        <v>חינוך על יסודי</v>
      </c>
      <c r="K100" s="71">
        <f t="shared" si="8"/>
        <v>0</v>
      </c>
      <c r="L100" s="72">
        <f t="shared" si="10"/>
        <v>0</v>
      </c>
      <c r="M100" s="72">
        <f t="shared" si="11"/>
        <v>32038800</v>
      </c>
      <c r="N100" s="64" t="str">
        <f t="shared" si="9"/>
        <v>חינוך על יסודי</v>
      </c>
    </row>
    <row r="101" spans="1:14">
      <c r="A101" s="62" t="s">
        <v>1066</v>
      </c>
      <c r="B101" s="63">
        <f>SUMIF('הצעת תקציב 2016'!$L$3:$L$7326,$A101,'הצעת תקציב 2016'!$H$3:$H$7326)</f>
        <v>0</v>
      </c>
      <c r="C101" s="63">
        <f>SUMIF('הצעת תקציב 2016'!$N$3:$N$7326,$A101,'הצעת תקציב 2016'!$H$3:$H$7326)</f>
        <v>0</v>
      </c>
      <c r="D101" s="63">
        <f>SUMIF('הצעת תקציב 2016'!$P$3:$P$7326,$A101,'הצעת תקציב 2016'!$H$3:$H$7326)</f>
        <v>10193900</v>
      </c>
      <c r="E101" s="64" t="str">
        <f>INDEX(Chapter,MATCH(A101,Chapter!$A$1:$A$681,0),8)</f>
        <v>חינוך גבוה</v>
      </c>
      <c r="F101" s="62" t="s">
        <v>1067</v>
      </c>
      <c r="G101" s="63">
        <f>SUMIF('הצעת תקציב 2016'!$L$3:$L$7326,$F101,'הצעת תקציב 2016'!$H$3:$H$7326)</f>
        <v>0</v>
      </c>
      <c r="H101" s="63">
        <f>SUMIF('הצעת תקציב 2016'!$N$3:$N$7326,$F101,'הצעת תקציב 2016'!$H$3:$H$7326)</f>
        <v>0</v>
      </c>
      <c r="I101" s="63">
        <f>SUMIF('הצעת תקציב 2016'!$P$3:$P$7326,$F101,'הצעת תקציב 2016'!$H$3:$H$7326)</f>
        <v>0</v>
      </c>
      <c r="J101" s="64" t="str">
        <f>INDEX(Chapter,MATCH(F101,Chapter!$A$1:$A$681,0),8)</f>
        <v>חינוך גבוה</v>
      </c>
      <c r="K101" s="71">
        <f t="shared" ref="K101" si="12">B101+G101</f>
        <v>0</v>
      </c>
      <c r="L101" s="72">
        <f t="shared" ref="L101" si="13">C101+H101</f>
        <v>0</v>
      </c>
      <c r="M101" s="72">
        <f t="shared" ref="M101" si="14">D101+I101</f>
        <v>10193900</v>
      </c>
      <c r="N101" s="64" t="str">
        <f t="shared" ref="N101" si="15">IF(ISBLANK(E101),J101,E101)</f>
        <v>חינוך גבוה</v>
      </c>
    </row>
    <row r="102" spans="1:14">
      <c r="A102" s="62" t="s">
        <v>1106</v>
      </c>
      <c r="B102" s="63">
        <f>SUMIF('הצעת תקציב 2016'!$L$3:$L$7326,$A102,'הצעת תקציב 2016'!$H$3:$H$7326)</f>
        <v>0</v>
      </c>
      <c r="C102" s="63">
        <f>SUMIF('הצעת תקציב 2016'!$N$3:$N$7326,$A102,'הצעת תקציב 2016'!$H$3:$H$7326)</f>
        <v>0</v>
      </c>
      <c r="D102" s="63">
        <f>SUMIF('הצעת תקציב 2016'!$P$3:$P$7326,$A102,'הצעת תקציב 2016'!$H$3:$H$7326)</f>
        <v>69364800</v>
      </c>
      <c r="E102" s="64" t="str">
        <f>INDEX(Chapter,MATCH(A102,Chapter!$A$1:$A$681,0),8)</f>
        <v>שירותים נוספים לבתי״ס וגנ״י</v>
      </c>
      <c r="F102" s="62" t="s">
        <v>1107</v>
      </c>
      <c r="G102" s="63">
        <f>SUMIF('הצעת תקציב 2016'!$L$3:$L$7326,$F102,'הצעת תקציב 2016'!$H$3:$H$7326)</f>
        <v>0</v>
      </c>
      <c r="H102" s="63">
        <f>SUMIF('הצעת תקציב 2016'!$N$3:$N$7326,$F102,'הצעת תקציב 2016'!$H$3:$H$7326)</f>
        <v>0</v>
      </c>
      <c r="I102" s="63">
        <f>SUMIF('הצעת תקציב 2016'!$P$3:$P$7326,$F102,'הצעת תקציב 2016'!$H$3:$H$7326)</f>
        <v>-31194000</v>
      </c>
      <c r="J102" s="64" t="str">
        <f>INDEX(Chapter,MATCH(F102,Chapter!$A$1:$A$681,0),8)</f>
        <v>שירותים נוספים לבתי״ס וגנ״י</v>
      </c>
      <c r="K102" s="71">
        <f t="shared" si="8"/>
        <v>0</v>
      </c>
      <c r="L102" s="72">
        <f t="shared" si="10"/>
        <v>0</v>
      </c>
      <c r="M102" s="72">
        <f t="shared" si="11"/>
        <v>38170800</v>
      </c>
      <c r="N102" s="64" t="str">
        <f t="shared" si="9"/>
        <v>שירותים נוספים לבתי״ס וגנ״י</v>
      </c>
    </row>
    <row r="103" spans="1:14">
      <c r="A103" s="62" t="s">
        <v>1156</v>
      </c>
      <c r="B103" s="63">
        <f>SUMIF('הצעת תקציב 2016'!$L$3:$L$7326,$A103,'הצעת תקציב 2016'!$H$3:$H$7326)</f>
        <v>0</v>
      </c>
      <c r="C103" s="63">
        <f>SUMIF('הצעת תקציב 2016'!$N$3:$N$7326,$A103,'הצעת תקציב 2016'!$H$3:$H$7326)</f>
        <v>0</v>
      </c>
      <c r="D103" s="63">
        <f>SUMIF('הצעת תקציב 2016'!$P$3:$P$7326,$A103,'הצעת תקציב 2016'!$H$3:$H$7326)</f>
        <v>7343500</v>
      </c>
      <c r="E103" s="64" t="str">
        <f>INDEX(Chapter,MATCH(A103,Chapter!$A$1:$A$681,0),8)</f>
        <v>חינוך מבוגרים</v>
      </c>
      <c r="F103" s="62" t="s">
        <v>1157</v>
      </c>
      <c r="G103" s="63">
        <f>SUMIF('הצעת תקציב 2016'!$L$3:$L$7326,$F103,'הצעת תקציב 2016'!$H$3:$H$7326)</f>
        <v>0</v>
      </c>
      <c r="H103" s="63">
        <f>SUMIF('הצעת תקציב 2016'!$N$3:$N$7326,$F103,'הצעת תקציב 2016'!$H$3:$H$7326)</f>
        <v>0</v>
      </c>
      <c r="I103" s="63">
        <f>SUMIF('הצעת תקציב 2016'!$P$3:$P$7326,$F103,'הצעת תקציב 2016'!$H$3:$H$7326)</f>
        <v>0</v>
      </c>
      <c r="J103" s="64" t="str">
        <f>INDEX(Chapter,MATCH(F103,Chapter!$A$1:$A$681,0),8)</f>
        <v>חינוך מבוגרים</v>
      </c>
      <c r="K103" s="71">
        <f t="shared" si="8"/>
        <v>0</v>
      </c>
      <c r="L103" s="72">
        <f t="shared" si="10"/>
        <v>0</v>
      </c>
      <c r="M103" s="72">
        <f t="shared" si="11"/>
        <v>7343500</v>
      </c>
      <c r="N103" s="64" t="str">
        <f t="shared" si="9"/>
        <v>חינוך מבוגרים</v>
      </c>
    </row>
    <row r="104" spans="1:14">
      <c r="A104" s="62" t="s">
        <v>1161</v>
      </c>
      <c r="B104" s="63">
        <f>SUMIF('הצעת תקציב 2016'!$L$3:$L$7326,$A104,'הצעת תקציב 2016'!$H$3:$H$7326)</f>
        <v>0</v>
      </c>
      <c r="C104" s="63">
        <f>SUMIF('הצעת תקציב 2016'!$N$3:$N$7326,$A104,'הצעת תקציב 2016'!$H$3:$H$7326)</f>
        <v>0</v>
      </c>
      <c r="D104" s="63">
        <f>SUMIF('הצעת תקציב 2016'!$P$3:$P$7326,$A104,'הצעת תקציב 2016'!$H$3:$H$7326)</f>
        <v>1363000</v>
      </c>
      <c r="E104" s="64" t="str">
        <f>INDEX(Chapter,MATCH(A104,Chapter!$A$1:$A$681,0),8)</f>
        <v>שירותי חינוך מיוחדים</v>
      </c>
      <c r="F104" s="62"/>
      <c r="G104" s="65"/>
      <c r="H104" s="65"/>
      <c r="I104" s="65"/>
      <c r="J104" s="64"/>
      <c r="K104" s="71">
        <f t="shared" si="8"/>
        <v>0</v>
      </c>
      <c r="L104" s="72">
        <f t="shared" si="10"/>
        <v>0</v>
      </c>
      <c r="M104" s="72">
        <f t="shared" si="11"/>
        <v>1363000</v>
      </c>
      <c r="N104" s="64" t="str">
        <f t="shared" si="9"/>
        <v>שירותי חינוך מיוחדים</v>
      </c>
    </row>
    <row r="105" spans="1:14">
      <c r="A105" s="62" t="s">
        <v>1171</v>
      </c>
      <c r="B105" s="63">
        <f>SUMIF('הצעת תקציב 2016'!$L$3:$L$7326,$A105,'הצעת תקציב 2016'!$H$3:$H$7326)</f>
        <v>0</v>
      </c>
      <c r="C105" s="63">
        <f>SUMIF('הצעת תקציב 2016'!$N$3:$N$7326,$A105,'הצעת תקציב 2016'!$H$3:$H$7326)</f>
        <v>144752800</v>
      </c>
      <c r="D105" s="63">
        <f>SUMIF('הצעת תקציב 2016'!$P$3:$P$7326,$A105,'הצעת תקציב 2016'!$H$3:$H$7326)</f>
        <v>0</v>
      </c>
      <c r="E105" s="64" t="str">
        <f>INDEX(Chapter,MATCH(A105,Chapter!$A$1:$A$681,0),8)</f>
        <v>תרבות</v>
      </c>
      <c r="F105" s="62" t="s">
        <v>1172</v>
      </c>
      <c r="G105" s="63">
        <f>SUMIF('הצעת תקציב 2016'!$L$3:$L$7326,$F105,'הצעת תקציב 2016'!$H$3:$H$7326)</f>
        <v>0</v>
      </c>
      <c r="H105" s="63">
        <f>SUMIF('הצעת תקציב 2016'!$N$3:$N$7326,$F105,'הצעת תקציב 2016'!$H$3:$H$7326)</f>
        <v>-12985800</v>
      </c>
      <c r="I105" s="63">
        <f>SUMIF('הצעת תקציב 2016'!$P$3:$P$7326,$F105,'הצעת תקציב 2016'!$H$3:$H$7326)</f>
        <v>0</v>
      </c>
      <c r="J105" s="64" t="str">
        <f>INDEX(Chapter,MATCH(F105,Chapter!$A$1:$A$681,0),8)</f>
        <v>תרבות</v>
      </c>
      <c r="K105" s="71">
        <f t="shared" si="8"/>
        <v>0</v>
      </c>
      <c r="L105" s="72">
        <f t="shared" si="10"/>
        <v>131767000</v>
      </c>
      <c r="M105" s="72">
        <f t="shared" si="11"/>
        <v>0</v>
      </c>
      <c r="N105" s="64" t="str">
        <f t="shared" si="9"/>
        <v>תרבות</v>
      </c>
    </row>
    <row r="106" spans="1:14">
      <c r="A106" s="62">
        <v>821</v>
      </c>
      <c r="B106" s="63">
        <f>SUMIF('הצעת תקציב 2016'!$L$3:$L$7326,$A106,'הצעת תקציב 2016'!$H$3:$H$7326)</f>
        <v>0</v>
      </c>
      <c r="C106" s="63">
        <f>SUMIF('הצעת תקציב 2016'!$N$3:$N$7326,$A106,'הצעת תקציב 2016'!$H$3:$H$7326)</f>
        <v>0</v>
      </c>
      <c r="D106" s="63">
        <f>SUMIF('הצעת תקציב 2016'!$P$3:$P$7326,$A106,'הצעת תקציב 2016'!$H$3:$H$7326)</f>
        <v>12661500</v>
      </c>
      <c r="E106" s="64" t="e">
        <f>INDEX(Chapter,MATCH(A106,Chapter!$A$1:$A$681,0),8)</f>
        <v>#N/A</v>
      </c>
      <c r="F106" s="62">
        <v>321</v>
      </c>
      <c r="G106" s="63">
        <f>SUMIF('הצעת תקציב 2016'!$L$3:$L$7326,$F106,'הצעת תקציב 2016'!$H$3:$H$7326)</f>
        <v>0</v>
      </c>
      <c r="H106" s="63">
        <f>SUMIF('הצעת תקציב 2016'!$N$3:$N$7326,$F106,'הצעת תקציב 2016'!$H$3:$H$7326)</f>
        <v>0</v>
      </c>
      <c r="I106" s="63">
        <f>SUMIF('הצעת תקציב 2016'!$P$3:$P$7326,$F106,'הצעת תקציב 2016'!$H$3:$H$7326)</f>
        <v>-65000</v>
      </c>
      <c r="J106" s="64" t="e">
        <f>INDEX(Chapter,MATCH(F106,Chapter!$A$1:$A$681,0),8)</f>
        <v>#N/A</v>
      </c>
      <c r="K106" s="71">
        <f t="shared" ref="K106" si="16">B106+G106</f>
        <v>0</v>
      </c>
      <c r="L106" s="72">
        <f t="shared" ref="L106" si="17">C106+H106</f>
        <v>0</v>
      </c>
      <c r="M106" s="72">
        <f t="shared" ref="M106" si="18">D106+I106</f>
        <v>12596500</v>
      </c>
      <c r="N106" s="64" t="e">
        <f t="shared" ref="N106" si="19">IF(ISBLANK(E106),J106,E106)</f>
        <v>#N/A</v>
      </c>
    </row>
    <row r="107" spans="1:14">
      <c r="A107" s="62" t="s">
        <v>1181</v>
      </c>
      <c r="B107" s="63">
        <f>SUMIF('הצעת תקציב 2016'!$L$3:$L$7326,$A107,'הצעת תקציב 2016'!$H$3:$H$7326)</f>
        <v>0</v>
      </c>
      <c r="C107" s="63">
        <f>SUMIF('הצעת תקציב 2016'!$N$3:$N$7326,$A107,'הצעת תקציב 2016'!$H$3:$H$7326)</f>
        <v>0</v>
      </c>
      <c r="D107" s="63">
        <f>SUMIF('הצעת תקציב 2016'!$P$3:$P$7326,$A107,'הצעת תקציב 2016'!$H$3:$H$7326)</f>
        <v>18873100</v>
      </c>
      <c r="E107" s="64" t="str">
        <f>INDEX(Chapter,MATCH(A107,Chapter!$A$1:$A$681,0),8)</f>
        <v>פעולות תרבות</v>
      </c>
      <c r="F107" s="62">
        <v>322</v>
      </c>
      <c r="G107" s="63">
        <f>SUMIF('הצעת תקציב 2016'!$L$3:$L$7326,$F107,'הצעת תקציב 2016'!$H$3:$H$7326)</f>
        <v>0</v>
      </c>
      <c r="H107" s="63">
        <f>SUMIF('הצעת תקציב 2016'!$N$3:$N$7326,$F107,'הצעת תקציב 2016'!$H$3:$H$7326)</f>
        <v>0</v>
      </c>
      <c r="I107" s="63">
        <f>SUMIF('הצעת תקציב 2016'!$P$3:$P$7326,$F107,'הצעת תקציב 2016'!$H$3:$H$7326)</f>
        <v>-530000</v>
      </c>
      <c r="J107" s="64" t="e">
        <f>INDEX(Chapter,MATCH(F107,Chapter!$A$1:$A$681,0),8)</f>
        <v>#N/A</v>
      </c>
      <c r="K107" s="71">
        <f t="shared" si="8"/>
        <v>0</v>
      </c>
      <c r="L107" s="72">
        <f t="shared" si="10"/>
        <v>0</v>
      </c>
      <c r="M107" s="72">
        <f t="shared" si="11"/>
        <v>18343100</v>
      </c>
      <c r="N107" s="64" t="str">
        <f t="shared" si="9"/>
        <v>פעולות תרבות</v>
      </c>
    </row>
    <row r="108" spans="1:14">
      <c r="A108" s="62" t="s">
        <v>1186</v>
      </c>
      <c r="B108" s="63">
        <f>SUMIF('הצעת תקציב 2016'!$L$3:$L$7326,$A108,'הצעת תקציב 2016'!$H$3:$H$7326)</f>
        <v>0</v>
      </c>
      <c r="C108" s="63">
        <f>SUMIF('הצעת תקציב 2016'!$N$3:$N$7326,$A108,'הצעת תקציב 2016'!$H$3:$H$7326)</f>
        <v>0</v>
      </c>
      <c r="D108" s="63">
        <f>SUMIF('הצעת תקציב 2016'!$P$3:$P$7326,$A108,'הצעת תקציב 2016'!$H$3:$H$7326)</f>
        <v>8630100</v>
      </c>
      <c r="E108" s="64" t="str">
        <f>INDEX(Chapter,MATCH(A108,Chapter!$A$1:$A$681,0),8)</f>
        <v>ספריות עירוניות</v>
      </c>
      <c r="F108" s="62" t="s">
        <v>1187</v>
      </c>
      <c r="G108" s="63">
        <f>SUMIF('הצעת תקציב 2016'!$L$3:$L$7326,$F108,'הצעת תקציב 2016'!$H$3:$H$7326)</f>
        <v>0</v>
      </c>
      <c r="H108" s="63">
        <f>SUMIF('הצעת תקציב 2016'!$N$3:$N$7326,$F108,'הצעת תקציב 2016'!$H$3:$H$7326)</f>
        <v>0</v>
      </c>
      <c r="I108" s="63">
        <f>SUMIF('הצעת תקציב 2016'!$P$3:$P$7326,$F108,'הצעת תקציב 2016'!$H$3:$H$7326)</f>
        <v>-2630000</v>
      </c>
      <c r="J108" s="64" t="str">
        <f>INDEX(Chapter,MATCH(F108,Chapter!$A$1:$A$681,0),8)</f>
        <v>ספריות עירוניות</v>
      </c>
      <c r="K108" s="71">
        <f t="shared" si="8"/>
        <v>0</v>
      </c>
      <c r="L108" s="72">
        <f t="shared" si="10"/>
        <v>0</v>
      </c>
      <c r="M108" s="72">
        <f t="shared" si="11"/>
        <v>6000100</v>
      </c>
      <c r="N108" s="64" t="str">
        <f t="shared" si="9"/>
        <v>ספריות עירוניות</v>
      </c>
    </row>
    <row r="109" spans="1:14">
      <c r="A109" s="62">
        <v>824</v>
      </c>
      <c r="B109" s="63">
        <f>SUMIF('הצעת תקציב 2016'!$L$3:$L$7326,$A109,'הצעת תקציב 2016'!$H$3:$H$7326)</f>
        <v>0</v>
      </c>
      <c r="C109" s="63">
        <f>SUMIF('הצעת תקציב 2016'!$N$3:$N$7326,$A109,'הצעת תקציב 2016'!$H$3:$H$7326)</f>
        <v>0</v>
      </c>
      <c r="D109" s="63">
        <f>SUMIF('הצעת תקציב 2016'!$P$3:$P$7326,$A109,'הצעת תקציב 2016'!$H$3:$H$7326)</f>
        <v>44163000</v>
      </c>
      <c r="E109" s="64" t="e">
        <f>INDEX(Chapter,MATCH(A109,Chapter!$A$1:$A$681,0),8)</f>
        <v>#N/A</v>
      </c>
      <c r="F109" s="62">
        <v>324</v>
      </c>
      <c r="G109" s="63">
        <f>SUMIF('הצעת תקציב 2016'!$L$3:$L$7326,$F109,'הצעת תקציב 2016'!$H$3:$H$7326)</f>
        <v>0</v>
      </c>
      <c r="H109" s="63">
        <f>SUMIF('הצעת תקציב 2016'!$N$3:$N$7326,$F109,'הצעת תקציב 2016'!$H$3:$H$7326)</f>
        <v>0</v>
      </c>
      <c r="I109" s="63">
        <f>SUMIF('הצעת תקציב 2016'!$P$3:$P$7326,$F109,'הצעת תקציב 2016'!$H$3:$H$7326)</f>
        <v>-590000</v>
      </c>
      <c r="J109" s="64" t="e">
        <f>INDEX(Chapter,MATCH(F109,Chapter!$A$1:$A$681,0),8)</f>
        <v>#N/A</v>
      </c>
      <c r="K109" s="71">
        <f t="shared" ref="K109" si="20">B109+G109</f>
        <v>0</v>
      </c>
      <c r="L109" s="72">
        <f t="shared" ref="L109" si="21">C109+H109</f>
        <v>0</v>
      </c>
      <c r="M109" s="72">
        <f t="shared" ref="M109" si="22">D109+I109</f>
        <v>43573000</v>
      </c>
      <c r="N109" s="64" t="e">
        <f t="shared" ref="N109" si="23">IF(ISBLANK(E109),J109,E109)</f>
        <v>#N/A</v>
      </c>
    </row>
    <row r="110" spans="1:14">
      <c r="A110" s="62" t="s">
        <v>1196</v>
      </c>
      <c r="B110" s="63">
        <f>SUMIF('הצעת תקציב 2016'!$L$3:$L$7326,$A110,'הצעת תקציב 2016'!$H$3:$H$7326)</f>
        <v>0</v>
      </c>
      <c r="C110" s="63">
        <f>SUMIF('הצעת תקציב 2016'!$N$3:$N$7326,$A110,'הצעת תקציב 2016'!$H$3:$H$7326)</f>
        <v>0</v>
      </c>
      <c r="D110" s="63">
        <f>SUMIF('הצעת תקציב 2016'!$P$3:$P$7326,$A110,'הצעת תקציב 2016'!$H$3:$H$7326)</f>
        <v>10703000</v>
      </c>
      <c r="E110" s="64" t="str">
        <f>INDEX(Chapter,MATCH(A110,Chapter!$A$1:$A$681,0),8)</f>
        <v>מוסיקה ומחול</v>
      </c>
      <c r="F110" s="62" t="s">
        <v>1197</v>
      </c>
      <c r="G110" s="63">
        <f>SUMIF('הצעת תקציב 2016'!$L$3:$L$7326,$F110,'הצעת תקציב 2016'!$H$3:$H$7326)</f>
        <v>0</v>
      </c>
      <c r="H110" s="63">
        <f>SUMIF('הצעת תקציב 2016'!$N$3:$N$7326,$F110,'הצעת תקציב 2016'!$H$3:$H$7326)</f>
        <v>0</v>
      </c>
      <c r="I110" s="63">
        <f>SUMIF('הצעת תקציב 2016'!$P$3:$P$7326,$F110,'הצעת תקציב 2016'!$H$3:$H$7326)</f>
        <v>-185000</v>
      </c>
      <c r="J110" s="64" t="str">
        <f>INDEX(Chapter,MATCH(F110,Chapter!$A$1:$A$681,0),8)</f>
        <v>מוסיקה ומחול</v>
      </c>
      <c r="K110" s="71">
        <f t="shared" si="8"/>
        <v>0</v>
      </c>
      <c r="L110" s="72">
        <f t="shared" si="10"/>
        <v>0</v>
      </c>
      <c r="M110" s="72">
        <f t="shared" si="11"/>
        <v>10518000</v>
      </c>
      <c r="N110" s="64" t="str">
        <f t="shared" si="9"/>
        <v>מוסיקה ומחול</v>
      </c>
    </row>
    <row r="111" spans="1:14">
      <c r="A111" s="62" t="s">
        <v>1216</v>
      </c>
      <c r="B111" s="63">
        <f>SUMIF('הצעת תקציב 2016'!$L$3:$L$7326,$A111,'הצעת תקציב 2016'!$H$3:$H$7326)</f>
        <v>0</v>
      </c>
      <c r="C111" s="63">
        <f>SUMIF('הצעת תקציב 2016'!$N$3:$N$7326,$A111,'הצעת תקציב 2016'!$H$3:$H$7326)</f>
        <v>0</v>
      </c>
      <c r="D111" s="63">
        <f>SUMIF('הצעת תקציב 2016'!$P$3:$P$7326,$A111,'הצעת תקציב 2016'!$H$3:$H$7326)</f>
        <v>16311800</v>
      </c>
      <c r="E111" s="64" t="str">
        <f>INDEX(Chapter,MATCH(A111,Chapter!$A$1:$A$681,0),8)</f>
        <v>מוקדי תרבות</v>
      </c>
      <c r="F111" s="62" t="s">
        <v>1217</v>
      </c>
      <c r="G111" s="63">
        <f>SUMIF('הצעת תקציב 2016'!$L$3:$L$7326,$F111,'הצעת תקציב 2016'!$H$3:$H$7326)</f>
        <v>0</v>
      </c>
      <c r="H111" s="63">
        <f>SUMIF('הצעת תקציב 2016'!$N$3:$N$7326,$F111,'הצעת תקציב 2016'!$H$3:$H$7326)</f>
        <v>0</v>
      </c>
      <c r="I111" s="63">
        <f>SUMIF('הצעת תקציב 2016'!$P$3:$P$7326,$F111,'הצעת תקציב 2016'!$H$3:$H$7326)</f>
        <v>-5628000</v>
      </c>
      <c r="J111" s="64" t="str">
        <f>INDEX(Chapter,MATCH(F111,Chapter!$A$1:$A$681,0),8)</f>
        <v>מוקדי תרבות</v>
      </c>
      <c r="K111" s="71">
        <f t="shared" si="8"/>
        <v>0</v>
      </c>
      <c r="L111" s="72">
        <f t="shared" si="10"/>
        <v>0</v>
      </c>
      <c r="M111" s="72">
        <f t="shared" si="11"/>
        <v>10683800</v>
      </c>
      <c r="N111" s="64" t="str">
        <f t="shared" si="9"/>
        <v>מוקדי תרבות</v>
      </c>
    </row>
    <row r="112" spans="1:14">
      <c r="A112" s="62" t="s">
        <v>1245</v>
      </c>
      <c r="B112" s="63">
        <f>SUMIF('הצעת תקציב 2016'!$L$3:$L$7326,$A112,'הצעת תקציב 2016'!$H$3:$H$7326)</f>
        <v>0</v>
      </c>
      <c r="C112" s="63">
        <f>SUMIF('הצעת תקציב 2016'!$N$3:$N$7326,$A112,'הצעת תקציב 2016'!$H$3:$H$7326)</f>
        <v>0</v>
      </c>
      <c r="D112" s="63">
        <f>SUMIF('הצעת תקציב 2016'!$P$3:$P$7326,$A112,'הצעת תקציב 2016'!$H$3:$H$7326)</f>
        <v>8049000</v>
      </c>
      <c r="E112" s="64" t="str">
        <f>INDEX(Chapter,MATCH(A112,Chapter!$A$1:$A$681,0),8)</f>
        <v>נוער</v>
      </c>
      <c r="F112" s="62" t="s">
        <v>1246</v>
      </c>
      <c r="G112" s="63">
        <f>SUMIF('הצעת תקציב 2016'!$L$3:$L$7326,$F112,'הצעת תקציב 2016'!$H$3:$H$7326)</f>
        <v>0</v>
      </c>
      <c r="H112" s="63">
        <f>SUMIF('הצעת תקציב 2016'!$N$3:$N$7326,$F112,'הצעת תקציב 2016'!$H$3:$H$7326)</f>
        <v>0</v>
      </c>
      <c r="I112" s="63">
        <f>SUMIF('הצעת תקציב 2016'!$P$3:$P$7326,$F112,'הצעת תקציב 2016'!$H$3:$H$7326)</f>
        <v>-2253000</v>
      </c>
      <c r="J112" s="64" t="str">
        <f>INDEX(Chapter,MATCH(F112,Chapter!$A$1:$A$681,0),8)</f>
        <v>נוער</v>
      </c>
      <c r="K112" s="71">
        <f t="shared" si="8"/>
        <v>0</v>
      </c>
      <c r="L112" s="72">
        <f t="shared" si="10"/>
        <v>0</v>
      </c>
      <c r="M112" s="72">
        <f t="shared" si="11"/>
        <v>5796000</v>
      </c>
      <c r="N112" s="64" t="str">
        <f t="shared" si="9"/>
        <v>נוער</v>
      </c>
    </row>
    <row r="113" spans="1:14">
      <c r="A113" s="62" t="s">
        <v>2419</v>
      </c>
      <c r="B113" s="63">
        <f>SUMIF('הצעת תקציב 2016'!$L$3:$L$7326,$A113,'הצעת תקציב 2016'!$H$3:$H$7326)</f>
        <v>0</v>
      </c>
      <c r="C113" s="63">
        <f>SUMIF('הצעת תקציב 2016'!$N$3:$N$7326,$A113,'הצעת תקציב 2016'!$H$3:$H$7326)</f>
        <v>0</v>
      </c>
      <c r="D113" s="63">
        <f>SUMIF('הצעת תקציב 2016'!$P$3:$P$7326,$A113,'הצעת תקציב 2016'!$H$3:$H$7326)</f>
        <v>16662500</v>
      </c>
      <c r="E113" s="64" t="str">
        <f>INDEX(Chapter,MATCH(A113,Chapter!$A$1:$A$681,0),8)</f>
        <v>ספורט</v>
      </c>
      <c r="F113" s="62" t="s">
        <v>2407</v>
      </c>
      <c r="G113" s="63">
        <f>SUMIF('הצעת תקציב 2016'!$L$3:$L$7326,$F113,'הצעת תקציב 2016'!$H$3:$H$7326)</f>
        <v>0</v>
      </c>
      <c r="H113" s="63">
        <f>SUMIF('הצעת תקציב 2016'!$N$3:$N$7326,$F113,'הצעת תקציב 2016'!$H$3:$H$7326)</f>
        <v>0</v>
      </c>
      <c r="I113" s="63">
        <f>SUMIF('הצעת תקציב 2016'!$P$3:$P$7326,$F113,'הצעת תקציב 2016'!$H$3:$H$7326)</f>
        <v>-871800</v>
      </c>
      <c r="J113" s="64" t="str">
        <f>INDEX(Chapter,MATCH(F113,Chapter!$A$1:$A$681,0),8)</f>
        <v>ספורט</v>
      </c>
      <c r="K113" s="71">
        <f t="shared" si="8"/>
        <v>0</v>
      </c>
      <c r="L113" s="72">
        <f t="shared" si="10"/>
        <v>0</v>
      </c>
      <c r="M113" s="72">
        <f t="shared" si="11"/>
        <v>15790700</v>
      </c>
      <c r="N113" s="64" t="str">
        <f t="shared" si="9"/>
        <v>ספורט</v>
      </c>
    </row>
    <row r="114" spans="1:14">
      <c r="A114" s="62" t="s">
        <v>1275</v>
      </c>
      <c r="B114" s="63">
        <f>SUMIF('הצעת תקציב 2016'!$L$3:$L$7326,$A114,'הצעת תקציב 2016'!$H$3:$H$7326)</f>
        <v>0</v>
      </c>
      <c r="C114" s="63">
        <f>SUMIF('הצעת תקציב 2016'!$N$3:$N$7326,$A114,'הצעת תקציב 2016'!$H$3:$H$7326)</f>
        <v>446771900</v>
      </c>
      <c r="D114" s="63">
        <f>SUMIF('הצעת תקציב 2016'!$P$3:$P$7326,$A114,'הצעת תקציב 2016'!$H$3:$H$7326)</f>
        <v>0</v>
      </c>
      <c r="E114" s="64" t="str">
        <f>INDEX(Chapter,MATCH(A114,Chapter!$A$1:$A$681,0),8)</f>
        <v>בריאות</v>
      </c>
      <c r="F114" s="62"/>
      <c r="G114" s="65"/>
      <c r="H114" s="65"/>
      <c r="I114" s="65"/>
      <c r="J114" s="64"/>
      <c r="K114" s="71">
        <f t="shared" si="8"/>
        <v>0</v>
      </c>
      <c r="L114" s="72">
        <f t="shared" si="10"/>
        <v>446771900</v>
      </c>
      <c r="M114" s="72">
        <f t="shared" si="11"/>
        <v>0</v>
      </c>
      <c r="N114" s="64" t="str">
        <f t="shared" si="9"/>
        <v>בריאות</v>
      </c>
    </row>
    <row r="115" spans="1:14">
      <c r="A115" s="62" t="s">
        <v>1280</v>
      </c>
      <c r="B115" s="63">
        <f>SUMIF('הצעת תקציב 2016'!$L$3:$L$7326,$A115,'הצעת תקציב 2016'!$H$3:$H$7326)</f>
        <v>0</v>
      </c>
      <c r="C115" s="63">
        <f>SUMIF('הצעת תקציב 2016'!$N$3:$N$7326,$A115,'הצעת תקציב 2016'!$H$3:$H$7326)</f>
        <v>0</v>
      </c>
      <c r="D115" s="63">
        <f>SUMIF('הצעת תקציב 2016'!$P$3:$P$7326,$A115,'הצעת תקציב 2016'!$H$3:$H$7326)</f>
        <v>0</v>
      </c>
      <c r="E115" s="64" t="str">
        <f>INDEX(Chapter,MATCH(A115,Chapter!$A$1:$A$681,0),8)</f>
        <v>מרפאות</v>
      </c>
      <c r="F115" s="62"/>
      <c r="G115" s="65"/>
      <c r="H115" s="65"/>
      <c r="I115" s="65"/>
      <c r="J115" s="64"/>
      <c r="K115" s="71">
        <f t="shared" si="8"/>
        <v>0</v>
      </c>
      <c r="L115" s="72">
        <f t="shared" si="10"/>
        <v>0</v>
      </c>
      <c r="M115" s="72">
        <f t="shared" si="11"/>
        <v>0</v>
      </c>
      <c r="N115" s="64" t="str">
        <f t="shared" si="9"/>
        <v>מרפאות</v>
      </c>
    </row>
    <row r="116" spans="1:14">
      <c r="A116" s="62" t="s">
        <v>1330</v>
      </c>
      <c r="B116" s="63">
        <f>SUMIF('הצעת תקציב 2016'!$L$3:$L$7326,$A116,'הצעת תקציב 2016'!$H$3:$H$7326)</f>
        <v>0</v>
      </c>
      <c r="C116" s="63">
        <f>SUMIF('הצעת תקציב 2016'!$N$3:$N$7326,$A116,'הצעת תקציב 2016'!$H$3:$H$7326)</f>
        <v>0</v>
      </c>
      <c r="D116" s="63">
        <f>SUMIF('הצעת תקציב 2016'!$P$3:$P$7326,$A116,'הצעת תקציב 2016'!$H$3:$H$7326)</f>
        <v>499900</v>
      </c>
      <c r="E116" s="64" t="str">
        <f>INDEX(Chapter,MATCH(A116,Chapter!$A$1:$A$681,0),8)</f>
        <v>שירותי חירום ריפואים</v>
      </c>
      <c r="F116" s="62"/>
      <c r="G116" s="65"/>
      <c r="H116" s="65"/>
      <c r="I116" s="65"/>
      <c r="J116" s="64"/>
      <c r="K116" s="71">
        <f t="shared" si="8"/>
        <v>0</v>
      </c>
      <c r="L116" s="72">
        <f t="shared" si="10"/>
        <v>0</v>
      </c>
      <c r="M116" s="72">
        <f t="shared" si="11"/>
        <v>499900</v>
      </c>
      <c r="N116" s="64" t="str">
        <f t="shared" si="9"/>
        <v>שירותי חירום ריפואים</v>
      </c>
    </row>
    <row r="117" spans="1:14">
      <c r="A117" s="62" t="s">
        <v>1358</v>
      </c>
      <c r="B117" s="63">
        <f>SUMIF('הצעת תקציב 2016'!$L$3:$L$7326,$A117,'הצעת תקציב 2016'!$H$3:$H$7326)</f>
        <v>0</v>
      </c>
      <c r="C117" s="63">
        <f>SUMIF('הצעת תקציב 2016'!$N$3:$N$7326,$A117,'הצעת תקציב 2016'!$H$3:$H$7326)</f>
        <v>276891000</v>
      </c>
      <c r="D117" s="63">
        <f>SUMIF('הצעת תקציב 2016'!$P$3:$P$7326,$A117,'הצעת תקציב 2016'!$H$3:$H$7326)</f>
        <v>0</v>
      </c>
      <c r="E117" s="64" t="str">
        <f>INDEX(Chapter,MATCH(A117,Chapter!$A$1:$A$681,0),8)</f>
        <v>רווחה</v>
      </c>
      <c r="F117" s="62" t="s">
        <v>1359</v>
      </c>
      <c r="G117" s="63">
        <f>SUMIF('הצעת תקציב 2016'!$L$3:$L$7326,$F117,'הצעת תקציב 2016'!$H$3:$H$7326)</f>
        <v>0</v>
      </c>
      <c r="H117" s="63">
        <f>SUMIF('הצעת תקציב 2016'!$N$3:$N$7326,$F117,'הצעת תקציב 2016'!$H$3:$H$7326)</f>
        <v>-200296500</v>
      </c>
      <c r="I117" s="63">
        <f>SUMIF('הצעת תקציב 2016'!$P$3:$P$7326,$F117,'הצעת תקציב 2016'!$H$3:$H$7326)</f>
        <v>0</v>
      </c>
      <c r="J117" s="64" t="str">
        <f>INDEX(Chapter,MATCH(F117,Chapter!$A$1:$A$681,0),8)</f>
        <v>רווחה</v>
      </c>
      <c r="K117" s="71">
        <f t="shared" si="8"/>
        <v>0</v>
      </c>
      <c r="L117" s="72">
        <f t="shared" si="10"/>
        <v>76594500</v>
      </c>
      <c r="M117" s="72">
        <f t="shared" si="11"/>
        <v>0</v>
      </c>
      <c r="N117" s="64" t="str">
        <f t="shared" si="9"/>
        <v>רווחה</v>
      </c>
    </row>
    <row r="118" spans="1:14">
      <c r="A118" s="62" t="s">
        <v>1363</v>
      </c>
      <c r="B118" s="63">
        <f>SUMIF('הצעת תקציב 2016'!$L$3:$L$7326,$A118,'הצעת תקציב 2016'!$H$3:$H$7326)</f>
        <v>0</v>
      </c>
      <c r="C118" s="63">
        <f>SUMIF('הצעת תקציב 2016'!$N$3:$N$7326,$A118,'הצעת תקציב 2016'!$H$3:$H$7326)</f>
        <v>0</v>
      </c>
      <c r="D118" s="63">
        <f>SUMIF('הצעת תקציב 2016'!$P$3:$P$7326,$A118,'הצעת תקציב 2016'!$H$3:$H$7326)</f>
        <v>71247900</v>
      </c>
      <c r="E118" s="64" t="str">
        <f>INDEX(Chapter,MATCH(A118,Chapter!$A$1:$A$681,0),8)</f>
        <v>מינהל הרווחה</v>
      </c>
      <c r="F118" s="62" t="s">
        <v>1364</v>
      </c>
      <c r="G118" s="63">
        <f>SUMIF('הצעת תקציב 2016'!$L$3:$L$7326,$F118,'הצעת תקציב 2016'!$H$3:$H$7326)</f>
        <v>0</v>
      </c>
      <c r="H118" s="63">
        <f>SUMIF('הצעת תקציב 2016'!$N$3:$N$7326,$F118,'הצעת תקציב 2016'!$H$3:$H$7326)</f>
        <v>0</v>
      </c>
      <c r="I118" s="63">
        <f>SUMIF('הצעת תקציב 2016'!$P$3:$P$7326,$F118,'הצעת תקציב 2016'!$H$3:$H$7326)</f>
        <v>-21140000</v>
      </c>
      <c r="J118" s="64" t="str">
        <f>INDEX(Chapter,MATCH(F118,Chapter!$A$1:$A$681,0),8)</f>
        <v>מינהל הרווחה</v>
      </c>
      <c r="K118" s="71">
        <f t="shared" si="8"/>
        <v>0</v>
      </c>
      <c r="L118" s="72">
        <f t="shared" si="10"/>
        <v>0</v>
      </c>
      <c r="M118" s="72">
        <f t="shared" si="11"/>
        <v>50107900</v>
      </c>
      <c r="N118" s="64" t="str">
        <f t="shared" si="9"/>
        <v>מינהל הרווחה</v>
      </c>
    </row>
    <row r="119" spans="1:14">
      <c r="A119" s="62" t="s">
        <v>1367</v>
      </c>
      <c r="B119" s="63">
        <f>SUMIF('הצעת תקציב 2016'!$L$3:$L$7326,$A119,'הצעת תקציב 2016'!$H$3:$H$7326)</f>
        <v>0</v>
      </c>
      <c r="C119" s="63">
        <f>SUMIF('הצעת תקציב 2016'!$N$3:$N$7326,$A119,'הצעת תקציב 2016'!$H$3:$H$7326)</f>
        <v>0</v>
      </c>
      <c r="D119" s="63">
        <f>SUMIF('הצעת תקציב 2016'!$P$3:$P$7326,$A119,'הצעת תקציב 2016'!$H$3:$H$7326)</f>
        <v>11372339.055152047</v>
      </c>
      <c r="E119" s="64" t="str">
        <f>INDEX(Chapter,MATCH(A119,Chapter!$A$1:$A$681,0),8)</f>
        <v>רווחת הפרט והמשפחה</v>
      </c>
      <c r="F119" s="62" t="s">
        <v>1368</v>
      </c>
      <c r="G119" s="63">
        <f>SUMIF('הצעת תקציב 2016'!$L$3:$L$7326,$F119,'הצעת תקציב 2016'!$H$3:$H$7326)</f>
        <v>0</v>
      </c>
      <c r="H119" s="63">
        <f>SUMIF('הצעת תקציב 2016'!$N$3:$N$7326,$F119,'הצעת תקציב 2016'!$H$3:$H$7326)</f>
        <v>0</v>
      </c>
      <c r="I119" s="63">
        <f>SUMIF('הצעת תקציב 2016'!$P$3:$P$7326,$F119,'הצעת תקציב 2016'!$H$3:$H$7326)</f>
        <v>-10026000</v>
      </c>
      <c r="J119" s="64" t="str">
        <f>INDEX(Chapter,MATCH(F119,Chapter!$A$1:$A$681,0),8)</f>
        <v>רווחת הפרט והמשפחה</v>
      </c>
      <c r="K119" s="71">
        <f t="shared" si="8"/>
        <v>0</v>
      </c>
      <c r="L119" s="72">
        <f t="shared" si="10"/>
        <v>0</v>
      </c>
      <c r="M119" s="72">
        <f t="shared" si="11"/>
        <v>1346339.0551520474</v>
      </c>
      <c r="N119" s="64" t="str">
        <f t="shared" si="9"/>
        <v>רווחת הפרט והמשפחה</v>
      </c>
    </row>
    <row r="120" spans="1:14">
      <c r="A120" s="62" t="s">
        <v>1386</v>
      </c>
      <c r="B120" s="63">
        <f>SUMIF('הצעת תקציב 2016'!$L$3:$L$7326,$A120,'הצעת תקציב 2016'!$H$3:$H$7326)</f>
        <v>0</v>
      </c>
      <c r="C120" s="63">
        <f>SUMIF('הצעת תקציב 2016'!$N$3:$N$7326,$A120,'הצעת תקציב 2016'!$H$3:$H$7326)</f>
        <v>0</v>
      </c>
      <c r="D120" s="63">
        <f>SUMIF('הצעת תקציב 2016'!$P$3:$P$7326,$A120,'הצעת תקציב 2016'!$H$3:$H$7326)</f>
        <v>48522927.663570002</v>
      </c>
      <c r="E120" s="64" t="str">
        <f>INDEX(Chapter,MATCH(A120,Chapter!$A$1:$A$681,0),8)</f>
        <v>שירותים לילד ולנוער</v>
      </c>
      <c r="F120" s="62" t="s">
        <v>1387</v>
      </c>
      <c r="G120" s="63">
        <f>SUMIF('הצעת תקציב 2016'!$L$3:$L$7326,$F120,'הצעת תקציב 2016'!$H$3:$H$7326)</f>
        <v>0</v>
      </c>
      <c r="H120" s="63">
        <f>SUMIF('הצעת תקציב 2016'!$N$3:$N$7326,$F120,'הצעת תקציב 2016'!$H$3:$H$7326)</f>
        <v>0</v>
      </c>
      <c r="I120" s="63">
        <f>SUMIF('הצעת תקציב 2016'!$P$3:$P$7326,$F120,'הצעת תקציב 2016'!$H$3:$H$7326)</f>
        <v>-42967500</v>
      </c>
      <c r="J120" s="64" t="str">
        <f>INDEX(Chapter,MATCH(F120,Chapter!$A$1:$A$681,0),8)</f>
        <v>שירותים לילד ולנוער</v>
      </c>
      <c r="K120" s="71">
        <f t="shared" ref="K120:K160" si="24">B120+G120</f>
        <v>0</v>
      </c>
      <c r="L120" s="72">
        <f t="shared" si="10"/>
        <v>0</v>
      </c>
      <c r="M120" s="72">
        <f t="shared" si="11"/>
        <v>5555427.6635700017</v>
      </c>
      <c r="N120" s="64" t="str">
        <f t="shared" si="9"/>
        <v>שירותים לילד ולנוער</v>
      </c>
    </row>
    <row r="121" spans="1:14">
      <c r="A121" s="62" t="s">
        <v>1406</v>
      </c>
      <c r="B121" s="63">
        <f>SUMIF('הצעת תקציב 2016'!$L$3:$L$7326,$A121,'הצעת תקציב 2016'!$H$3:$H$7326)</f>
        <v>0</v>
      </c>
      <c r="C121" s="63">
        <f>SUMIF('הצעת תקציב 2016'!$N$3:$N$7326,$A121,'הצעת תקציב 2016'!$H$3:$H$7326)</f>
        <v>0</v>
      </c>
      <c r="D121" s="63">
        <f>SUMIF('הצעת תקציב 2016'!$P$3:$P$7326,$A121,'הצעת תקציב 2016'!$H$3:$H$7326)</f>
        <v>18195742.488243274</v>
      </c>
      <c r="E121" s="64" t="str">
        <f>INDEX(Chapter,MATCH(A121,Chapter!$A$1:$A$681,0),8)</f>
        <v>שירותים לזקן</v>
      </c>
      <c r="F121" s="62" t="s">
        <v>1407</v>
      </c>
      <c r="G121" s="63">
        <f>SUMIF('הצעת תקציב 2016'!$L$3:$L$7326,$F121,'הצעת תקציב 2016'!$H$3:$H$7326)</f>
        <v>0</v>
      </c>
      <c r="H121" s="63">
        <f>SUMIF('הצעת תקציב 2016'!$N$3:$N$7326,$F121,'הצעת תקציב 2016'!$H$3:$H$7326)</f>
        <v>0</v>
      </c>
      <c r="I121" s="63">
        <f>SUMIF('הצעת תקציב 2016'!$P$3:$P$7326,$F121,'הצעת תקציב 2016'!$H$3:$H$7326)</f>
        <v>-19000000</v>
      </c>
      <c r="J121" s="64" t="str">
        <f>INDEX(Chapter,MATCH(F121,Chapter!$A$1:$A$681,0),8)</f>
        <v>שירותים לזקן</v>
      </c>
      <c r="K121" s="71">
        <f t="shared" si="24"/>
        <v>0</v>
      </c>
      <c r="L121" s="72">
        <f t="shared" si="10"/>
        <v>0</v>
      </c>
      <c r="M121" s="72">
        <f t="shared" si="11"/>
        <v>-804257.51175672561</v>
      </c>
      <c r="N121" s="64" t="str">
        <f t="shared" si="9"/>
        <v>שירותים לזקן</v>
      </c>
    </row>
    <row r="122" spans="1:14">
      <c r="A122" s="62" t="s">
        <v>1426</v>
      </c>
      <c r="B122" s="63">
        <f>SUMIF('הצעת תקציב 2016'!$L$3:$L$7326,$A122,'הצעת תקציב 2016'!$H$3:$H$7326)</f>
        <v>0</v>
      </c>
      <c r="C122" s="63">
        <f>SUMIF('הצעת תקציב 2016'!$N$3:$N$7326,$A122,'הצעת תקציב 2016'!$H$3:$H$7326)</f>
        <v>0</v>
      </c>
      <c r="D122" s="63">
        <f>SUMIF('הצעת תקציב 2016'!$P$3:$P$7326,$A122,'הצעת תקציב 2016'!$H$3:$H$7326)</f>
        <v>78469139.480549127</v>
      </c>
      <c r="E122" s="64" t="str">
        <f>INDEX(Chapter,MATCH(A122,Chapter!$A$1:$A$681,0),8)</f>
        <v>שירותים למפגר</v>
      </c>
      <c r="F122" s="62" t="s">
        <v>1427</v>
      </c>
      <c r="G122" s="63">
        <f>SUMIF('הצעת תקציב 2016'!$L$3:$L$7326,$F122,'הצעת תקציב 2016'!$H$3:$H$7326)</f>
        <v>0</v>
      </c>
      <c r="H122" s="63">
        <f>SUMIF('הצעת תקציב 2016'!$N$3:$N$7326,$F122,'הצעת תקציב 2016'!$H$3:$H$7326)</f>
        <v>0</v>
      </c>
      <c r="I122" s="63">
        <f>SUMIF('הצעת תקציב 2016'!$P$3:$P$7326,$F122,'הצעת תקציב 2016'!$H$3:$H$7326)</f>
        <v>-69700000</v>
      </c>
      <c r="J122" s="64" t="str">
        <f>INDEX(Chapter,MATCH(F122,Chapter!$A$1:$A$681,0),8)</f>
        <v>שירותים למפגר</v>
      </c>
      <c r="K122" s="71">
        <f t="shared" si="24"/>
        <v>0</v>
      </c>
      <c r="L122" s="72">
        <f t="shared" si="10"/>
        <v>0</v>
      </c>
      <c r="M122" s="72">
        <f t="shared" si="11"/>
        <v>8769139.4805491269</v>
      </c>
      <c r="N122" s="64" t="str">
        <f t="shared" si="9"/>
        <v>שירותים למפגר</v>
      </c>
    </row>
    <row r="123" spans="1:14">
      <c r="A123" s="62" t="s">
        <v>1451</v>
      </c>
      <c r="B123" s="63">
        <f>SUMIF('הצעת תקציב 2016'!$L$3:$L$7326,$A123,'הצעת תקציב 2016'!$H$3:$H$7326)</f>
        <v>0</v>
      </c>
      <c r="C123" s="63">
        <f>SUMIF('הצעת תקציב 2016'!$N$3:$N$7326,$A123,'הצעת תקציב 2016'!$H$3:$H$7326)</f>
        <v>0</v>
      </c>
      <c r="D123" s="63">
        <f>SUMIF('הצעת תקציב 2016'!$P$3:$P$7326,$A123,'הצעת תקציב 2016'!$H$3:$H$7326)</f>
        <v>36246851.312485538</v>
      </c>
      <c r="E123" s="64" t="str">
        <f>INDEX(Chapter,MATCH(A123,Chapter!$A$1:$A$681,0),8)</f>
        <v>שירותי שיקום</v>
      </c>
      <c r="F123" s="62" t="s">
        <v>1452</v>
      </c>
      <c r="G123" s="63">
        <f>SUMIF('הצעת תקציב 2016'!$L$3:$L$7326,$F123,'הצעת תקציב 2016'!$H$3:$H$7326)</f>
        <v>0</v>
      </c>
      <c r="H123" s="63">
        <f>SUMIF('הצעת תקציב 2016'!$N$3:$N$7326,$F123,'הצעת תקציב 2016'!$H$3:$H$7326)</f>
        <v>0</v>
      </c>
      <c r="I123" s="63">
        <f>SUMIF('הצעת תקציב 2016'!$P$3:$P$7326,$F123,'הצעת תקציב 2016'!$H$3:$H$7326)</f>
        <v>-32610000</v>
      </c>
      <c r="J123" s="64" t="str">
        <f>INDEX(Chapter,MATCH(F123,Chapter!$A$1:$A$681,0),8)</f>
        <v>שירותי שיקום</v>
      </c>
      <c r="K123" s="71">
        <f t="shared" si="24"/>
        <v>0</v>
      </c>
      <c r="L123" s="72">
        <f t="shared" si="10"/>
        <v>0</v>
      </c>
      <c r="M123" s="72">
        <f t="shared" si="11"/>
        <v>3636851.3124855384</v>
      </c>
      <c r="N123" s="64" t="str">
        <f t="shared" si="9"/>
        <v>שירותי שיקום</v>
      </c>
    </row>
    <row r="124" spans="1:14">
      <c r="A124" s="62" t="s">
        <v>1496</v>
      </c>
      <c r="B124" s="63">
        <f>SUMIF('הצעת תקציב 2016'!$L$3:$L$7326,$A124,'הצעת תקציב 2016'!$H$3:$H$7326)</f>
        <v>0</v>
      </c>
      <c r="C124" s="63">
        <f>SUMIF('הצעת תקציב 2016'!$N$3:$N$7326,$A124,'הצעת תקציב 2016'!$H$3:$H$7326)</f>
        <v>0</v>
      </c>
      <c r="D124" s="63">
        <f>SUMIF('הצעת תקציב 2016'!$P$3:$P$7326,$A124,'הצעת תקציב 2016'!$H$3:$H$7326)</f>
        <v>8794100</v>
      </c>
      <c r="E124" s="64" t="str">
        <f>INDEX(Chapter,MATCH(A124,Chapter!$A$1:$A$681,0),8)</f>
        <v>שירותי תיקון</v>
      </c>
      <c r="F124" s="62" t="s">
        <v>1497</v>
      </c>
      <c r="G124" s="63">
        <f>SUMIF('הצעת תקציב 2016'!$L$3:$L$7326,$F124,'הצעת תקציב 2016'!$H$3:$H$7326)</f>
        <v>0</v>
      </c>
      <c r="H124" s="63">
        <f>SUMIF('הצעת תקציב 2016'!$N$3:$N$7326,$F124,'הצעת תקציב 2016'!$H$3:$H$7326)</f>
        <v>0</v>
      </c>
      <c r="I124" s="63">
        <f>SUMIF('הצעת תקציב 2016'!$P$3:$P$7326,$F124,'הצעת תקציב 2016'!$H$3:$H$7326)</f>
        <v>-2658000</v>
      </c>
      <c r="J124" s="64" t="str">
        <f>INDEX(Chapter,MATCH(F124,Chapter!$A$1:$A$681,0),8)</f>
        <v>שירותי תיקון</v>
      </c>
      <c r="K124" s="71">
        <f t="shared" si="24"/>
        <v>0</v>
      </c>
      <c r="L124" s="72">
        <f t="shared" si="10"/>
        <v>0</v>
      </c>
      <c r="M124" s="72">
        <f t="shared" si="11"/>
        <v>6136100</v>
      </c>
      <c r="N124" s="64" t="str">
        <f t="shared" si="9"/>
        <v>שירותי תיקון</v>
      </c>
    </row>
    <row r="125" spans="1:14">
      <c r="A125" s="62" t="s">
        <v>1521</v>
      </c>
      <c r="B125" s="63">
        <f>SUMIF('הצעת תקציב 2016'!$L$3:$L$7326,$A125,'הצעת תקציב 2016'!$H$3:$H$7326)</f>
        <v>0</v>
      </c>
      <c r="C125" s="63">
        <f>SUMIF('הצעת תקציב 2016'!$N$3:$N$7326,$A125,'הצעת תקציב 2016'!$H$3:$H$7326)</f>
        <v>0</v>
      </c>
      <c r="D125" s="63">
        <f>SUMIF('הצעת תקציב 2016'!$P$3:$P$7326,$A125,'הצעת תקציב 2016'!$H$3:$H$7326)</f>
        <v>3179700</v>
      </c>
      <c r="E125" s="64" t="str">
        <f>INDEX(Chapter,MATCH(A125,Chapter!$A$1:$A$681,0),8)</f>
        <v>עבודה קהילתית</v>
      </c>
      <c r="F125" s="62" t="s">
        <v>1522</v>
      </c>
      <c r="G125" s="63">
        <f>SUMIF('הצעת תקציב 2016'!$L$3:$L$7326,$F125,'הצעת תקציב 2016'!$H$3:$H$7326)</f>
        <v>0</v>
      </c>
      <c r="H125" s="63">
        <f>SUMIF('הצעת תקציב 2016'!$N$3:$N$7326,$F125,'הצעת תקציב 2016'!$H$3:$H$7326)</f>
        <v>0</v>
      </c>
      <c r="I125" s="63">
        <f>SUMIF('הצעת תקציב 2016'!$P$3:$P$7326,$F125,'הצעת תקציב 2016'!$H$3:$H$7326)</f>
        <v>-2195000</v>
      </c>
      <c r="J125" s="64" t="str">
        <f>INDEX(Chapter,MATCH(F125,Chapter!$A$1:$A$681,0),8)</f>
        <v>עבודה קהילתית</v>
      </c>
      <c r="K125" s="71">
        <f t="shared" si="24"/>
        <v>0</v>
      </c>
      <c r="L125" s="72">
        <f t="shared" si="10"/>
        <v>0</v>
      </c>
      <c r="M125" s="72">
        <f t="shared" si="11"/>
        <v>984700</v>
      </c>
      <c r="N125" s="64" t="str">
        <f t="shared" si="9"/>
        <v>עבודה קהילתית</v>
      </c>
    </row>
    <row r="126" spans="1:14">
      <c r="A126" s="62" t="s">
        <v>1550</v>
      </c>
      <c r="B126" s="63">
        <f>SUMIF('הצעת תקציב 2016'!$L$3:$L$7326,$A126,'הצעת תקציב 2016'!$H$3:$H$7326)</f>
        <v>0</v>
      </c>
      <c r="C126" s="63">
        <f>SUMIF('הצעת תקציב 2016'!$N$3:$N$7326,$A126,'הצעת תקציב 2016'!$H$3:$H$7326)</f>
        <v>9604300</v>
      </c>
      <c r="D126" s="63">
        <f>SUMIF('הצעת תקציב 2016'!$P$3:$P$7326,$A126,'הצעת תקציב 2016'!$H$3:$H$7326)</f>
        <v>0</v>
      </c>
      <c r="E126" s="64" t="str">
        <f>INDEX(Chapter,MATCH(A126,Chapter!$A$1:$A$681,0),8)</f>
        <v>דת</v>
      </c>
      <c r="F126" s="62"/>
      <c r="G126" s="65"/>
      <c r="H126" s="65"/>
      <c r="I126" s="65"/>
      <c r="J126" s="64"/>
      <c r="K126" s="71">
        <f t="shared" si="24"/>
        <v>0</v>
      </c>
      <c r="L126" s="72">
        <f t="shared" si="10"/>
        <v>9604300</v>
      </c>
      <c r="M126" s="72">
        <f t="shared" si="11"/>
        <v>0</v>
      </c>
      <c r="N126" s="64" t="str">
        <f t="shared" si="9"/>
        <v>דת</v>
      </c>
    </row>
    <row r="127" spans="1:14">
      <c r="A127" s="62" t="s">
        <v>1555</v>
      </c>
      <c r="B127" s="63">
        <f>SUMIF('הצעת תקציב 2016'!$L$3:$L$7326,$A127,'הצעת תקציב 2016'!$H$3:$H$7326)</f>
        <v>0</v>
      </c>
      <c r="C127" s="63">
        <f>SUMIF('הצעת תקציב 2016'!$N$3:$N$7326,$A127,'הצעת תקציב 2016'!$H$3:$H$7326)</f>
        <v>0</v>
      </c>
      <c r="D127" s="63">
        <f>SUMIF('הצעת תקציב 2016'!$P$3:$P$7326,$A127,'הצעת תקציב 2016'!$H$3:$H$7326)</f>
        <v>9604300</v>
      </c>
      <c r="E127" s="64" t="str">
        <f>INDEX(Chapter,MATCH(A127,Chapter!$A$1:$A$681,0),8)</f>
        <v>השתתפות בתקציב המועצה הדתית</v>
      </c>
      <c r="F127" s="62"/>
      <c r="G127" s="65"/>
      <c r="H127" s="65"/>
      <c r="I127" s="65"/>
      <c r="J127" s="64"/>
      <c r="K127" s="71">
        <f t="shared" si="24"/>
        <v>0</v>
      </c>
      <c r="L127" s="72">
        <f t="shared" si="10"/>
        <v>0</v>
      </c>
      <c r="M127" s="72">
        <f t="shared" si="11"/>
        <v>9604300</v>
      </c>
      <c r="N127" s="64" t="str">
        <f t="shared" si="9"/>
        <v>השתתפות בתקציב המועצה הדתית</v>
      </c>
    </row>
    <row r="128" spans="1:14">
      <c r="A128" s="62" t="s">
        <v>1590</v>
      </c>
      <c r="B128" s="63">
        <f>SUMIF('הצעת תקציב 2016'!$L$3:$L$7326,$A128,'הצעת תקציב 2016'!$H$3:$H$7326)</f>
        <v>0</v>
      </c>
      <c r="C128" s="63">
        <f>SUMIF('הצעת תקציב 2016'!$N$3:$N$7326,$A128,'הצעת תקציב 2016'!$H$3:$H$7326)</f>
        <v>0</v>
      </c>
      <c r="D128" s="63">
        <f>SUMIF('הצעת תקציב 2016'!$P$3:$P$7326,$A128,'הצעת תקציב 2016'!$H$3:$H$7326)</f>
        <v>0</v>
      </c>
      <c r="E128" s="64" t="str">
        <f>INDEX(Chapter,MATCH(A128,Chapter!$A$1:$A$681,0),8)</f>
        <v>שירותי דת שונים</v>
      </c>
      <c r="F128" s="62"/>
      <c r="G128" s="65"/>
      <c r="H128" s="65"/>
      <c r="I128" s="65"/>
      <c r="J128" s="64"/>
      <c r="K128" s="71">
        <f t="shared" si="24"/>
        <v>0</v>
      </c>
      <c r="L128" s="72">
        <f t="shared" si="10"/>
        <v>0</v>
      </c>
      <c r="M128" s="72">
        <f t="shared" si="11"/>
        <v>0</v>
      </c>
      <c r="N128" s="64" t="str">
        <f t="shared" si="9"/>
        <v>שירותי דת שונים</v>
      </c>
    </row>
    <row r="129" spans="1:14">
      <c r="A129" s="62" t="s">
        <v>1595</v>
      </c>
      <c r="B129" s="63">
        <f>SUMIF('הצעת תקציב 2016'!$L$3:$L$7326,$A129,'הצעת תקציב 2016'!$H$3:$H$7326)</f>
        <v>0</v>
      </c>
      <c r="C129" s="63">
        <f>SUMIF('הצעת תקציב 2016'!$N$3:$N$7326,$A129,'הצעת תקציב 2016'!$H$3:$H$7326)</f>
        <v>7976500</v>
      </c>
      <c r="D129" s="63">
        <f>SUMIF('הצעת תקציב 2016'!$P$3:$P$7326,$A129,'הצעת תקציב 2016'!$H$3:$H$7326)</f>
        <v>0</v>
      </c>
      <c r="E129" s="64" t="str">
        <f>INDEX(Chapter,MATCH(A129,Chapter!$A$1:$A$681,0),8)</f>
        <v>קליטת עליה</v>
      </c>
      <c r="F129" s="62" t="s">
        <v>1596</v>
      </c>
      <c r="G129" s="63">
        <f>SUMIF('הצעת תקציב 2016'!$L$3:$L$7326,$F129,'הצעת תקציב 2016'!$H$3:$H$7326)</f>
        <v>0</v>
      </c>
      <c r="H129" s="63">
        <f>SUMIF('הצעת תקציב 2016'!$N$3:$N$7326,$F129,'הצעת תקציב 2016'!$H$3:$H$7326)</f>
        <v>0</v>
      </c>
      <c r="I129" s="63">
        <f>SUMIF('הצעת תקציב 2016'!$P$3:$P$7326,$F129,'הצעת תקציב 2016'!$H$3:$H$7326)</f>
        <v>0</v>
      </c>
      <c r="J129" s="64" t="str">
        <f>INDEX(Chapter,MATCH(F129,Chapter!$A$1:$A$681,0),8)</f>
        <v>קליטת עליה</v>
      </c>
      <c r="K129" s="71">
        <f t="shared" si="24"/>
        <v>0</v>
      </c>
      <c r="L129" s="72">
        <f t="shared" si="10"/>
        <v>7976500</v>
      </c>
      <c r="M129" s="72">
        <f t="shared" si="11"/>
        <v>0</v>
      </c>
      <c r="N129" s="64" t="str">
        <f t="shared" si="9"/>
        <v>קליטת עליה</v>
      </c>
    </row>
    <row r="130" spans="1:14">
      <c r="A130" s="62" t="s">
        <v>2420</v>
      </c>
      <c r="B130" s="63">
        <f>SUMIF('הצעת תקציב 2016'!$L$3:$L$7326,$A130,'הצעת תקציב 2016'!$H$3:$H$7326)</f>
        <v>0</v>
      </c>
      <c r="C130" s="63">
        <f>SUMIF('הצעת תקציב 2016'!$N$3:$N$7326,$A130,'הצעת תקציב 2016'!$H$3:$H$7326)</f>
        <v>0</v>
      </c>
      <c r="D130" s="63">
        <f>SUMIF('הצעת תקציב 2016'!$P$3:$P$7326,$A130,'הצעת תקציב 2016'!$H$3:$H$7326)</f>
        <v>0</v>
      </c>
      <c r="E130" s="64" t="e">
        <f>INDEX(Chapter,MATCH(A130,Chapter!$A$1:$A$681,0),8)</f>
        <v>#N/A</v>
      </c>
      <c r="F130" s="62" t="s">
        <v>2408</v>
      </c>
      <c r="G130" s="63">
        <f>SUMIF('הצעת תקציב 2016'!$L$3:$L$7326,$F130,'הצעת תקציב 2016'!$H$3:$H$7326)</f>
        <v>0</v>
      </c>
      <c r="H130" s="63">
        <f>SUMIF('הצעת תקציב 2016'!$N$3:$N$7326,$F130,'הצעת תקציב 2016'!$H$3:$H$7326)</f>
        <v>0</v>
      </c>
      <c r="I130" s="63">
        <f>SUMIF('הצעת תקציב 2016'!$P$3:$P$7326,$F130,'הצעת תקציב 2016'!$H$3:$H$7326)</f>
        <v>0</v>
      </c>
      <c r="J130" s="64" t="e">
        <f>INDEX(Chapter,MATCH(F130,Chapter!$A$1:$A$681,0),8)</f>
        <v>#N/A</v>
      </c>
      <c r="K130" s="71">
        <f t="shared" si="24"/>
        <v>0</v>
      </c>
      <c r="L130" s="72">
        <f t="shared" si="10"/>
        <v>0</v>
      </c>
      <c r="M130" s="72">
        <f t="shared" si="11"/>
        <v>0</v>
      </c>
      <c r="N130" s="64" t="e">
        <f t="shared" si="9"/>
        <v>#N/A</v>
      </c>
    </row>
    <row r="131" spans="1:14">
      <c r="A131" s="62" t="s">
        <v>1600</v>
      </c>
      <c r="B131" s="63">
        <f>SUMIF('הצעת תקציב 2016'!$L$3:$L$7326,$A131,'הצעת תקציב 2016'!$H$3:$H$7326)</f>
        <v>0</v>
      </c>
      <c r="C131" s="63">
        <f>SUMIF('הצעת תקציב 2016'!$N$3:$N$7326,$A131,'הצעת תקציב 2016'!$H$3:$H$7326)</f>
        <v>0</v>
      </c>
      <c r="D131" s="63">
        <f>SUMIF('הצעת תקציב 2016'!$P$3:$P$7326,$A131,'הצעת תקציב 2016'!$H$3:$H$7326)</f>
        <v>0</v>
      </c>
      <c r="E131" s="64" t="str">
        <f>INDEX(Chapter,MATCH(A131,Chapter!$A$1:$A$681,0),8)</f>
        <v>שירותים שונים לקליטת העלייה</v>
      </c>
      <c r="F131" s="62" t="s">
        <v>1601</v>
      </c>
      <c r="G131" s="63">
        <f>SUMIF('הצעת תקציב 2016'!$L$3:$L$7326,$F131,'הצעת תקציב 2016'!$H$3:$H$7326)</f>
        <v>0</v>
      </c>
      <c r="H131" s="63">
        <f>SUMIF('הצעת תקציב 2016'!$N$3:$N$7326,$F131,'הצעת תקציב 2016'!$H$3:$H$7326)</f>
        <v>0</v>
      </c>
      <c r="I131" s="63">
        <f>SUMIF('הצעת תקציב 2016'!$P$3:$P$7326,$F131,'הצעת תקציב 2016'!$H$3:$H$7326)</f>
        <v>0</v>
      </c>
      <c r="J131" s="64" t="str">
        <f>INDEX(Chapter,MATCH(F131,Chapter!$A$1:$A$681,0),8)</f>
        <v>שירותים שונים לקליטת העלייה</v>
      </c>
      <c r="K131" s="71">
        <f t="shared" si="24"/>
        <v>0</v>
      </c>
      <c r="L131" s="72">
        <f t="shared" si="10"/>
        <v>0</v>
      </c>
      <c r="M131" s="72">
        <f t="shared" si="11"/>
        <v>0</v>
      </c>
      <c r="N131" s="64" t="str">
        <f t="shared" ref="N131:N160" si="25">IF(ISBLANK(E131),J131,E131)</f>
        <v>שירותים שונים לקליטת העלייה</v>
      </c>
    </row>
    <row r="132" spans="1:14">
      <c r="A132" s="62" t="s">
        <v>1605</v>
      </c>
      <c r="B132" s="63">
        <f>SUMIF('הצעת תקציב 2016'!$L$3:$L$7326,$A132,'הצעת תקציב 2016'!$H$3:$H$7326)</f>
        <v>0</v>
      </c>
      <c r="C132" s="63">
        <f>SUMIF('הצעת תקציב 2016'!$N$3:$N$7326,$A132,'הצעת תקציב 2016'!$H$3:$H$7326)</f>
        <v>710000</v>
      </c>
      <c r="D132" s="63">
        <f>SUMIF('הצעת תקציב 2016'!$P$3:$P$7326,$A132,'הצעת תקציב 2016'!$H$3:$H$7326)</f>
        <v>0</v>
      </c>
      <c r="E132" s="64" t="str">
        <f>INDEX(Chapter,MATCH(A132,Chapter!$A$1:$A$681,0),8)</f>
        <v>איכות הסביבה</v>
      </c>
      <c r="F132" s="62" t="s">
        <v>1606</v>
      </c>
      <c r="G132" s="63">
        <f>SUMIF('הצעת תקציב 2016'!$L$3:$L$7326,$F132,'הצעת תקציב 2016'!$H$3:$H$7326)</f>
        <v>0</v>
      </c>
      <c r="H132" s="63">
        <f>SUMIF('הצעת תקציב 2016'!$N$3:$N$7326,$F132,'הצעת תקציב 2016'!$H$3:$H$7326)</f>
        <v>0</v>
      </c>
      <c r="I132" s="63">
        <f>SUMIF('הצעת תקציב 2016'!$P$3:$P$7326,$F132,'הצעת תקציב 2016'!$H$3:$H$7326)</f>
        <v>0</v>
      </c>
      <c r="J132" s="64" t="str">
        <f>INDEX(Chapter,MATCH(F132,Chapter!$A$1:$A$681,0),8)</f>
        <v>איכות הסביבה</v>
      </c>
      <c r="K132" s="71">
        <f t="shared" si="24"/>
        <v>0</v>
      </c>
      <c r="L132" s="72">
        <f t="shared" si="10"/>
        <v>710000</v>
      </c>
      <c r="M132" s="72">
        <f t="shared" si="11"/>
        <v>0</v>
      </c>
      <c r="N132" s="64" t="str">
        <f t="shared" si="25"/>
        <v>איכות הסביבה</v>
      </c>
    </row>
    <row r="133" spans="1:14">
      <c r="A133" s="62" t="s">
        <v>1610</v>
      </c>
      <c r="B133" s="63">
        <f>SUMIF('הצעת תקציב 2016'!$L$3:$L$7326,$A133,'הצעת תקציב 2016'!$H$3:$H$7326)</f>
        <v>0</v>
      </c>
      <c r="C133" s="63">
        <f>SUMIF('הצעת תקציב 2016'!$N$3:$N$7326,$A133,'הצעת תקציב 2016'!$H$3:$H$7326)</f>
        <v>0</v>
      </c>
      <c r="D133" s="63">
        <f>SUMIF('הצעת תקציב 2016'!$P$3:$P$7326,$A133,'הצעת תקציב 2016'!$H$3:$H$7326)</f>
        <v>710000</v>
      </c>
      <c r="E133" s="64" t="str">
        <f>INDEX(Chapter,MATCH(A133,Chapter!$A$1:$A$681,0),8)</f>
        <v>שירותים שונים לאיכות הסביבה</v>
      </c>
      <c r="F133" s="62" t="s">
        <v>1611</v>
      </c>
      <c r="G133" s="63">
        <f>SUMIF('הצעת תקציב 2016'!$L$3:$L$7326,$F133,'הצעת תקציב 2016'!$H$3:$H$7326)</f>
        <v>0</v>
      </c>
      <c r="H133" s="63">
        <f>SUMIF('הצעת תקציב 2016'!$N$3:$N$7326,$F133,'הצעת תקציב 2016'!$H$3:$H$7326)</f>
        <v>0</v>
      </c>
      <c r="I133" s="63">
        <f>SUMIF('הצעת תקציב 2016'!$P$3:$P$7326,$F133,'הצעת תקציב 2016'!$H$3:$H$7326)</f>
        <v>0</v>
      </c>
      <c r="J133" s="64" t="str">
        <f>INDEX(Chapter,MATCH(F133,Chapter!$A$1:$A$681,0),8)</f>
        <v>שירותים שונים לאיכות הסביבה</v>
      </c>
      <c r="K133" s="71">
        <f t="shared" si="24"/>
        <v>0</v>
      </c>
      <c r="L133" s="72">
        <f t="shared" ref="L133:L160" si="26">C133+H133</f>
        <v>0</v>
      </c>
      <c r="M133" s="72">
        <f t="shared" ref="M133:M160" si="27">D133+I133</f>
        <v>710000</v>
      </c>
      <c r="N133" s="64" t="str">
        <f t="shared" si="25"/>
        <v>שירותים שונים לאיכות הסביבה</v>
      </c>
    </row>
    <row r="134" spans="1:14">
      <c r="A134" s="62" t="s">
        <v>161</v>
      </c>
      <c r="B134" s="63">
        <f>SUMIF('הצעת תקציב 2016'!$L$3:$L$7326,$A134,'הצעת תקציב 2016'!$H$3:$H$7326)</f>
        <v>389325100</v>
      </c>
      <c r="C134" s="63">
        <f>SUMIF('הצעת תקציב 2016'!$N$3:$N$7326,$A134,'הצעת תקציב 2016'!$H$3:$H$7326)</f>
        <v>0</v>
      </c>
      <c r="D134" s="63">
        <f>SUMIF('הצעת תקציב 2016'!$P$3:$P$7326,$A134,'הצעת תקציב 2016'!$H$3:$H$7326)</f>
        <v>0</v>
      </c>
      <c r="E134" s="64" t="str">
        <f>INDEX(Chapter,MATCH(A134,Chapter!$A$1:$A$681,0),8)</f>
        <v>מפעלים</v>
      </c>
      <c r="F134" s="62" t="s">
        <v>67</v>
      </c>
      <c r="G134" s="63">
        <f>SUMIF('הצעת תקציב 2016'!$L$3:$L$7326,$F134,'הצעת תקציב 2016'!$H$3:$H$7326)</f>
        <v>-12107000</v>
      </c>
      <c r="H134" s="63">
        <f>SUMIF('הצעת תקציב 2016'!$N$3:$N$7326,$F134,'הצעת תקציב 2016'!$H$3:$H$7326)</f>
        <v>0</v>
      </c>
      <c r="I134" s="63">
        <f>SUMIF('הצעת תקציב 2016'!$P$3:$P$7326,$F134,'הצעת תקציב 2016'!$H$3:$H$7326)</f>
        <v>0</v>
      </c>
      <c r="J134" s="64" t="str">
        <f>INDEX(Chapter,MATCH(F134,Chapter!$A$1:$A$681,0),8)</f>
        <v>מפעלים</v>
      </c>
      <c r="K134" s="71">
        <f t="shared" si="24"/>
        <v>377218100</v>
      </c>
      <c r="L134" s="72">
        <f t="shared" si="26"/>
        <v>0</v>
      </c>
      <c r="M134" s="72">
        <f t="shared" si="27"/>
        <v>0</v>
      </c>
      <c r="N134" s="64" t="str">
        <f t="shared" si="25"/>
        <v>מפעלים</v>
      </c>
    </row>
    <row r="135" spans="1:14">
      <c r="A135" s="62" t="s">
        <v>1617</v>
      </c>
      <c r="B135" s="63">
        <f>SUMIF('הצעת תקציב 2016'!$L$3:$L$7326,$A135,'הצעת תקציב 2016'!$H$3:$H$7326)</f>
        <v>0</v>
      </c>
      <c r="C135" s="63">
        <f>SUMIF('הצעת תקציב 2016'!$N$3:$N$7326,$A135,'הצעת תקציב 2016'!$H$3:$H$7326)</f>
        <v>450000</v>
      </c>
      <c r="D135" s="63">
        <f>SUMIF('הצעת תקציב 2016'!$P$3:$P$7326,$A135,'הצעת תקציב 2016'!$H$3:$H$7326)</f>
        <v>0</v>
      </c>
      <c r="E135" s="64" t="str">
        <f>INDEX(Chapter,MATCH(A135,Chapter!$A$1:$A$681,0),8)</f>
        <v>מים</v>
      </c>
      <c r="F135" s="62" t="s">
        <v>1618</v>
      </c>
      <c r="G135" s="63">
        <f>SUMIF('הצעת תקציב 2016'!$L$3:$L$7326,$F135,'הצעת תקציב 2016'!$H$3:$H$7326)</f>
        <v>0</v>
      </c>
      <c r="H135" s="63">
        <f>SUMIF('הצעת תקציב 2016'!$N$3:$N$7326,$F135,'הצעת תקציב 2016'!$H$3:$H$7326)</f>
        <v>0</v>
      </c>
      <c r="I135" s="63">
        <f>SUMIF('הצעת תקציב 2016'!$P$3:$P$7326,$F135,'הצעת תקציב 2016'!$H$3:$H$7326)</f>
        <v>0</v>
      </c>
      <c r="J135" s="64" t="str">
        <f>INDEX(Chapter,MATCH(F135,Chapter!$A$1:$A$681,0),8)</f>
        <v>מים</v>
      </c>
      <c r="K135" s="71">
        <f t="shared" si="24"/>
        <v>0</v>
      </c>
      <c r="L135" s="72">
        <f t="shared" si="26"/>
        <v>450000</v>
      </c>
      <c r="M135" s="72">
        <f t="shared" si="27"/>
        <v>0</v>
      </c>
      <c r="N135" s="64" t="str">
        <f t="shared" si="25"/>
        <v>מים</v>
      </c>
    </row>
    <row r="136" spans="1:14">
      <c r="A136" s="62"/>
      <c r="B136" s="65"/>
      <c r="C136" s="65"/>
      <c r="D136" s="65"/>
      <c r="E136" s="64"/>
      <c r="F136" s="62" t="s">
        <v>2409</v>
      </c>
      <c r="G136" s="63">
        <f>SUMIF('הצעת תקציב 2016'!$L$3:$L$7326,$F136,'הצעת תקציב 2016'!$H$3:$H$7326)</f>
        <v>0</v>
      </c>
      <c r="H136" s="63">
        <f>SUMIF('הצעת תקציב 2016'!$N$3:$N$7326,$F136,'הצעת תקציב 2016'!$H$3:$H$7326)</f>
        <v>0</v>
      </c>
      <c r="I136" s="63">
        <f>SUMIF('הצעת תקציב 2016'!$P$3:$P$7326,$F136,'הצעת תקציב 2016'!$H$3:$H$7326)</f>
        <v>0</v>
      </c>
      <c r="J136" s="64" t="e">
        <f>INDEX(Chapter,MATCH(F136,Chapter!$A$1:$A$681,0),8)</f>
        <v>#N/A</v>
      </c>
      <c r="K136" s="71">
        <f t="shared" si="24"/>
        <v>0</v>
      </c>
      <c r="L136" s="72">
        <f t="shared" si="26"/>
        <v>0</v>
      </c>
      <c r="M136" s="72">
        <f t="shared" si="27"/>
        <v>0</v>
      </c>
      <c r="N136" s="64" t="e">
        <f t="shared" si="25"/>
        <v>#N/A</v>
      </c>
    </row>
    <row r="137" spans="1:14">
      <c r="A137" s="62" t="s">
        <v>1626</v>
      </c>
      <c r="B137" s="63">
        <f>SUMIF('הצעת תקציב 2016'!$L$3:$L$7326,$A137,'הצעת תקציב 2016'!$H$3:$H$7326)</f>
        <v>0</v>
      </c>
      <c r="C137" s="63">
        <f>SUMIF('הצעת תקציב 2016'!$N$3:$N$7326,$A137,'הצעת תקציב 2016'!$H$3:$H$7326)</f>
        <v>0</v>
      </c>
      <c r="D137" s="63">
        <f>SUMIF('הצעת תקציב 2016'!$P$3:$P$7326,$A137,'הצעת תקציב 2016'!$H$3:$H$7326)</f>
        <v>0</v>
      </c>
      <c r="E137" s="64" t="str">
        <f>INDEX(Chapter,MATCH(A137,Chapter!$A$1:$A$681,0),8)</f>
        <v>גביה</v>
      </c>
      <c r="F137" s="62" t="s">
        <v>1627</v>
      </c>
      <c r="G137" s="63">
        <f>SUMIF('הצעת תקציב 2016'!$L$3:$L$7326,$F137,'הצעת תקציב 2016'!$H$3:$H$7326)</f>
        <v>0</v>
      </c>
      <c r="H137" s="63">
        <f>SUMIF('הצעת תקציב 2016'!$N$3:$N$7326,$F137,'הצעת תקציב 2016'!$H$3:$H$7326)</f>
        <v>0</v>
      </c>
      <c r="I137" s="63">
        <f>SUMIF('הצעת תקציב 2016'!$P$3:$P$7326,$F137,'הצעת תקציב 2016'!$H$3:$H$7326)</f>
        <v>0</v>
      </c>
      <c r="J137" s="64" t="str">
        <f>INDEX(Chapter,MATCH(F137,Chapter!$A$1:$A$681,0),8)</f>
        <v>גביה</v>
      </c>
      <c r="K137" s="71">
        <f t="shared" si="24"/>
        <v>0</v>
      </c>
      <c r="L137" s="72">
        <f t="shared" si="26"/>
        <v>0</v>
      </c>
      <c r="M137" s="72">
        <f t="shared" si="27"/>
        <v>0</v>
      </c>
      <c r="N137" s="64" t="str">
        <f t="shared" si="25"/>
        <v>גביה</v>
      </c>
    </row>
    <row r="138" spans="1:14">
      <c r="A138" s="62" t="s">
        <v>1629</v>
      </c>
      <c r="B138" s="63">
        <f>SUMIF('הצעת תקציב 2016'!$L$3:$L$7326,$A138,'הצעת תקציב 2016'!$H$3:$H$7326)</f>
        <v>0</v>
      </c>
      <c r="C138" s="63">
        <f>SUMIF('הצעת תקציב 2016'!$N$3:$N$7326,$A138,'הצעת תקציב 2016'!$H$3:$H$7326)</f>
        <v>0</v>
      </c>
      <c r="D138" s="63">
        <f>SUMIF('הצעת תקציב 2016'!$P$3:$P$7326,$A138,'הצעת תקציב 2016'!$H$3:$H$7326)</f>
        <v>0</v>
      </c>
      <c r="E138" s="64" t="str">
        <f>INDEX(Chapter,MATCH(A138,Chapter!$A$1:$A$681,0),8)</f>
        <v>תפעול ואחזקת משק המים</v>
      </c>
      <c r="F138" s="62"/>
      <c r="G138" s="65"/>
      <c r="H138" s="65"/>
      <c r="I138" s="65"/>
      <c r="J138" s="64"/>
      <c r="K138" s="71">
        <f t="shared" si="24"/>
        <v>0</v>
      </c>
      <c r="L138" s="72">
        <f t="shared" si="26"/>
        <v>0</v>
      </c>
      <c r="M138" s="72">
        <f t="shared" si="27"/>
        <v>0</v>
      </c>
      <c r="N138" s="64" t="str">
        <f t="shared" si="25"/>
        <v>תפעול ואחזקת משק המים</v>
      </c>
    </row>
    <row r="139" spans="1:14">
      <c r="A139" s="62" t="s">
        <v>1658</v>
      </c>
      <c r="B139" s="63">
        <f>SUMIF('הצעת תקציב 2016'!$L$3:$L$7326,$A139,'הצעת תקציב 2016'!$H$3:$H$7326)</f>
        <v>0</v>
      </c>
      <c r="C139" s="63">
        <f>SUMIF('הצעת תקציב 2016'!$N$3:$N$7326,$A139,'הצעת תקציב 2016'!$H$3:$H$7326)</f>
        <v>14215400</v>
      </c>
      <c r="D139" s="63">
        <f>SUMIF('הצעת תקציב 2016'!$P$3:$P$7326,$A139,'הצעת תקציב 2016'!$H$3:$H$7326)</f>
        <v>0</v>
      </c>
      <c r="E139" s="64" t="str">
        <f>INDEX(Chapter,MATCH(A139,Chapter!$A$1:$A$681,0),8)</f>
        <v>נכסים</v>
      </c>
      <c r="F139" s="62" t="s">
        <v>74</v>
      </c>
      <c r="G139" s="63">
        <f>SUMIF('הצעת תקציב 2016'!$L$3:$L$7326,$F139,'הצעת תקציב 2016'!$H$3:$H$7326)</f>
        <v>0</v>
      </c>
      <c r="H139" s="63">
        <f>SUMIF('הצעת תקציב 2016'!$N$3:$N$7326,$F139,'הצעת תקציב 2016'!$H$3:$H$7326)</f>
        <v>-12000000</v>
      </c>
      <c r="I139" s="63">
        <f>SUMIF('הצעת תקציב 2016'!$P$3:$P$7326,$F139,'הצעת תקציב 2016'!$H$3:$H$7326)</f>
        <v>0</v>
      </c>
      <c r="J139" s="64" t="str">
        <f>INDEX(Chapter,MATCH(F139,Chapter!$A$1:$A$681,0),8)</f>
        <v>נכסים</v>
      </c>
      <c r="K139" s="71">
        <f t="shared" si="24"/>
        <v>0</v>
      </c>
      <c r="L139" s="72">
        <f t="shared" si="26"/>
        <v>2215400</v>
      </c>
      <c r="M139" s="72">
        <f t="shared" si="27"/>
        <v>0</v>
      </c>
      <c r="N139" s="64" t="str">
        <f t="shared" si="25"/>
        <v>נכסים</v>
      </c>
    </row>
    <row r="140" spans="1:14">
      <c r="A140" s="62"/>
      <c r="B140" s="65"/>
      <c r="C140" s="65"/>
      <c r="D140" s="65"/>
      <c r="E140" s="64"/>
      <c r="F140" s="62" t="s">
        <v>2410</v>
      </c>
      <c r="G140" s="63">
        <f>SUMIF('הצעת תקציב 2016'!$L$3:$L$7326,$F140,'הצעת תקציב 2016'!$H$3:$H$7326)</f>
        <v>0</v>
      </c>
      <c r="H140" s="63">
        <f>SUMIF('הצעת תקציב 2016'!$N$3:$N$7326,$F140,'הצעת תקציב 2016'!$H$3:$H$7326)</f>
        <v>0</v>
      </c>
      <c r="I140" s="63">
        <f>SUMIF('הצעת תקציב 2016'!$P$3:$P$7326,$F140,'הצעת תקציב 2016'!$H$3:$H$7326)</f>
        <v>-8479000</v>
      </c>
      <c r="J140" s="64" t="e">
        <f>INDEX(Chapter,MATCH(F140,Chapter!$A$1:$A$681,0),8)</f>
        <v>#N/A</v>
      </c>
      <c r="K140" s="71">
        <f t="shared" si="24"/>
        <v>0</v>
      </c>
      <c r="L140" s="72">
        <f t="shared" si="26"/>
        <v>0</v>
      </c>
      <c r="M140" s="72">
        <f t="shared" si="27"/>
        <v>-8479000</v>
      </c>
      <c r="N140" s="64" t="e">
        <f t="shared" si="25"/>
        <v>#N/A</v>
      </c>
    </row>
    <row r="141" spans="1:14">
      <c r="A141" s="62"/>
      <c r="B141" s="65"/>
      <c r="C141" s="65"/>
      <c r="D141" s="65"/>
      <c r="E141" s="64"/>
      <c r="F141" s="62" t="s">
        <v>1673</v>
      </c>
      <c r="G141" s="63">
        <f>SUMIF('הצעת תקציב 2016'!$L$3:$L$7326,$F141,'הצעת תקציב 2016'!$H$3:$H$7326)</f>
        <v>0</v>
      </c>
      <c r="H141" s="63">
        <f>SUMIF('הצעת תקציב 2016'!$N$3:$N$7326,$F141,'הצעת תקציב 2016'!$H$3:$H$7326)</f>
        <v>0</v>
      </c>
      <c r="I141" s="63">
        <f>SUMIF('הצעת תקציב 2016'!$P$3:$P$7326,$F141,'הצעת תקציב 2016'!$H$3:$H$7326)</f>
        <v>0</v>
      </c>
      <c r="J141" s="64" t="str">
        <f>INDEX(Chapter,MATCH(F141,Chapter!$A$1:$A$681,0),8)</f>
        <v>משרדים ועסקים</v>
      </c>
      <c r="K141" s="71">
        <f t="shared" si="24"/>
        <v>0</v>
      </c>
      <c r="L141" s="72">
        <f t="shared" si="26"/>
        <v>0</v>
      </c>
      <c r="M141" s="72">
        <f t="shared" si="27"/>
        <v>0</v>
      </c>
      <c r="N141" s="64" t="str">
        <f t="shared" si="25"/>
        <v>משרדים ועסקים</v>
      </c>
    </row>
    <row r="142" spans="1:14">
      <c r="A142" s="62" t="s">
        <v>1702</v>
      </c>
      <c r="B142" s="63">
        <f>SUMIF('הצעת תקציב 2016'!$L$3:$L$7326,$A142,'הצעת תקציב 2016'!$H$3:$H$7326)</f>
        <v>0</v>
      </c>
      <c r="C142" s="63">
        <f>SUMIF('הצעת תקציב 2016'!$N$3:$N$7326,$A142,'הצעת תקציב 2016'!$H$3:$H$7326)</f>
        <v>0</v>
      </c>
      <c r="D142" s="63">
        <f>SUMIF('הצעת תקציב 2016'!$P$3:$P$7326,$A142,'הצעת תקציב 2016'!$H$3:$H$7326)</f>
        <v>0</v>
      </c>
      <c r="E142" s="64" t="str">
        <f>INDEX(Chapter,MATCH(A142,Chapter!$A$1:$A$681,0),8)</f>
        <v>נכסים אחרים</v>
      </c>
      <c r="F142" s="62" t="s">
        <v>1703</v>
      </c>
      <c r="G142" s="63">
        <f>SUMIF('הצעת תקציב 2016'!$L$3:$L$7326,$F142,'הצעת תקציב 2016'!$H$3:$H$7326)</f>
        <v>0</v>
      </c>
      <c r="H142" s="63">
        <f>SUMIF('הצעת תקציב 2016'!$N$3:$N$7326,$F142,'הצעת תקציב 2016'!$H$3:$H$7326)</f>
        <v>0</v>
      </c>
      <c r="I142" s="63">
        <f>SUMIF('הצעת תקציב 2016'!$P$3:$P$7326,$F142,'הצעת תקציב 2016'!$H$3:$H$7326)</f>
        <v>0</v>
      </c>
      <c r="J142" s="64" t="str">
        <f>INDEX(Chapter,MATCH(F142,Chapter!$A$1:$A$681,0),8)</f>
        <v>נכסים אחרים</v>
      </c>
      <c r="K142" s="71">
        <f t="shared" si="24"/>
        <v>0</v>
      </c>
      <c r="L142" s="72">
        <f t="shared" si="26"/>
        <v>0</v>
      </c>
      <c r="M142" s="72">
        <f t="shared" si="27"/>
        <v>0</v>
      </c>
      <c r="N142" s="64" t="str">
        <f t="shared" si="25"/>
        <v>נכסים אחרים</v>
      </c>
    </row>
    <row r="143" spans="1:14">
      <c r="A143" s="62"/>
      <c r="B143" s="65"/>
      <c r="C143" s="65"/>
      <c r="D143" s="65"/>
      <c r="E143" s="64"/>
      <c r="F143" s="62" t="s">
        <v>1766</v>
      </c>
      <c r="G143" s="63">
        <f>SUMIF('הצעת תקציב 2016'!$L$3:$L$7326,$F143,'הצעת תקציב 2016'!$H$3:$H$7326)</f>
        <v>0</v>
      </c>
      <c r="H143" s="63">
        <f>SUMIF('הצעת תקציב 2016'!$N$3:$N$7326,$F143,'הצעת תקציב 2016'!$H$3:$H$7326)</f>
        <v>0</v>
      </c>
      <c r="I143" s="63">
        <f>SUMIF('הצעת תקציב 2016'!$P$3:$P$7326,$F143,'הצעת תקציב 2016'!$H$3:$H$7326)</f>
        <v>0</v>
      </c>
      <c r="J143" s="64" t="str">
        <f>INDEX(Chapter,MATCH(F143,Chapter!$A$1:$A$681,0),8)</f>
        <v>מפעל הביוב</v>
      </c>
      <c r="K143" s="71">
        <f t="shared" si="24"/>
        <v>0</v>
      </c>
      <c r="L143" s="72">
        <f t="shared" si="26"/>
        <v>0</v>
      </c>
      <c r="M143" s="72">
        <f t="shared" si="27"/>
        <v>0</v>
      </c>
      <c r="N143" s="64" t="str">
        <f t="shared" si="25"/>
        <v>מפעל הביוב</v>
      </c>
    </row>
    <row r="144" spans="1:14">
      <c r="A144" s="62"/>
      <c r="B144" s="65"/>
      <c r="C144" s="65"/>
      <c r="D144" s="65"/>
      <c r="E144" s="64"/>
      <c r="F144" s="62" t="s">
        <v>2411</v>
      </c>
      <c r="G144" s="63">
        <f>SUMIF('הצעת תקציב 2016'!$L$3:$L$7326,$F144,'הצעת תקציב 2016'!$H$3:$H$7326)</f>
        <v>0</v>
      </c>
      <c r="H144" s="63">
        <f>SUMIF('הצעת תקציב 2016'!$N$3:$N$7326,$F144,'הצעת תקציב 2016'!$H$3:$H$7326)</f>
        <v>0</v>
      </c>
      <c r="I144" s="63">
        <f>SUMIF('הצעת תקציב 2016'!$P$3:$P$7326,$F144,'הצעת תקציב 2016'!$H$3:$H$7326)</f>
        <v>0</v>
      </c>
      <c r="J144" s="64" t="e">
        <f>INDEX(Chapter,MATCH(F144,Chapter!$A$1:$A$681,0),8)</f>
        <v>#N/A</v>
      </c>
      <c r="K144" s="71">
        <f t="shared" si="24"/>
        <v>0</v>
      </c>
      <c r="L144" s="72">
        <f t="shared" si="26"/>
        <v>0</v>
      </c>
      <c r="M144" s="72">
        <f t="shared" si="27"/>
        <v>0</v>
      </c>
      <c r="N144" s="64" t="e">
        <f t="shared" si="25"/>
        <v>#N/A</v>
      </c>
    </row>
    <row r="145" spans="1:14">
      <c r="A145" s="62"/>
      <c r="B145" s="65"/>
      <c r="C145" s="65"/>
      <c r="D145" s="65"/>
      <c r="E145" s="64"/>
      <c r="F145" s="62" t="s">
        <v>1776</v>
      </c>
      <c r="G145" s="63">
        <f>SUMIF('הצעת תקציב 2016'!$L$3:$L$7326,$F145,'הצעת תקציב 2016'!$H$3:$H$7326)</f>
        <v>0</v>
      </c>
      <c r="H145" s="63">
        <f>SUMIF('הצעת תקציב 2016'!$N$3:$N$7326,$F145,'הצעת תקציב 2016'!$H$3:$H$7326)</f>
        <v>0</v>
      </c>
      <c r="I145" s="63">
        <f>SUMIF('הצעת תקציב 2016'!$P$3:$P$7326,$F145,'הצעת תקציב 2016'!$H$3:$H$7326)</f>
        <v>0</v>
      </c>
      <c r="J145" s="64" t="str">
        <f>INDEX(Chapter,MATCH(F145,Chapter!$A$1:$A$681,0),8)</f>
        <v>ביוב עירוני</v>
      </c>
      <c r="K145" s="71">
        <f t="shared" si="24"/>
        <v>0</v>
      </c>
      <c r="L145" s="72">
        <f t="shared" si="26"/>
        <v>0</v>
      </c>
      <c r="M145" s="72">
        <f t="shared" si="27"/>
        <v>0</v>
      </c>
      <c r="N145" s="64" t="str">
        <f t="shared" si="25"/>
        <v>ביוב עירוני</v>
      </c>
    </row>
    <row r="146" spans="1:14">
      <c r="A146" s="62"/>
      <c r="B146" s="65"/>
      <c r="C146" s="65"/>
      <c r="D146" s="65"/>
      <c r="E146" s="64"/>
      <c r="F146" s="62" t="s">
        <v>86</v>
      </c>
      <c r="G146" s="63">
        <f>SUMIF('הצעת תקציב 2016'!$L$3:$L$7326,$F146,'הצעת תקציב 2016'!$H$3:$H$7326)</f>
        <v>-16600000</v>
      </c>
      <c r="H146" s="63">
        <f>SUMIF('הצעת תקציב 2016'!$N$3:$N$7326,$F146,'הצעת תקציב 2016'!$H$3:$H$7326)</f>
        <v>0</v>
      </c>
      <c r="I146" s="63">
        <f>SUMIF('הצעת תקציב 2016'!$P$3:$P$7326,$F146,'הצעת תקציב 2016'!$H$3:$H$7326)</f>
        <v>0</v>
      </c>
      <c r="J146" s="64" t="str">
        <f>INDEX(Chapter,MATCH(F146,Chapter!$A$1:$A$681,0),8)</f>
        <v>תקבולים בלתי רגילים</v>
      </c>
      <c r="K146" s="71">
        <f t="shared" si="24"/>
        <v>-16600000</v>
      </c>
      <c r="L146" s="72">
        <f t="shared" si="26"/>
        <v>0</v>
      </c>
      <c r="M146" s="72">
        <f t="shared" si="27"/>
        <v>0</v>
      </c>
      <c r="N146" s="64" t="str">
        <f t="shared" si="25"/>
        <v>תקבולים בלתי רגילים</v>
      </c>
    </row>
    <row r="147" spans="1:14">
      <c r="A147" s="62"/>
      <c r="B147" s="65"/>
      <c r="C147" s="65"/>
      <c r="D147" s="65"/>
      <c r="E147" s="64"/>
      <c r="F147" s="62" t="s">
        <v>2395</v>
      </c>
      <c r="G147" s="63">
        <f>SUMIF('הצעת תקציב 2016'!$L$3:$L$7326,$F147,'הצעת תקציב 2016'!$H$3:$H$7326)</f>
        <v>0</v>
      </c>
      <c r="H147" s="63">
        <f>SUMIF('הצעת תקציב 2016'!$N$3:$N$7326,$F147,'הצעת תקציב 2016'!$H$3:$H$7326)</f>
        <v>0</v>
      </c>
      <c r="I147" s="63">
        <f>SUMIF('הצעת תקציב 2016'!$P$3:$P$7326,$F147,'הצעת תקציב 2016'!$H$3:$H$7326)</f>
        <v>0</v>
      </c>
      <c r="J147" s="64" t="e">
        <f>INDEX(Chapter,MATCH(F147,Chapter!$A$1:$A$681,0),8)</f>
        <v>#N/A</v>
      </c>
      <c r="K147" s="71">
        <f t="shared" si="24"/>
        <v>0</v>
      </c>
      <c r="L147" s="72">
        <f t="shared" si="26"/>
        <v>0</v>
      </c>
      <c r="M147" s="72">
        <f t="shared" si="27"/>
        <v>0</v>
      </c>
      <c r="N147" s="64" t="e">
        <f t="shared" si="25"/>
        <v>#N/A</v>
      </c>
    </row>
    <row r="148" spans="1:14">
      <c r="A148" s="62"/>
      <c r="B148" s="65"/>
      <c r="C148" s="65"/>
      <c r="D148" s="65"/>
      <c r="E148" s="64"/>
      <c r="F148" s="62" t="s">
        <v>2412</v>
      </c>
      <c r="G148" s="63">
        <f>SUMIF('הצעת תקציב 2016'!$L$3:$L$7326,$F148,'הצעת תקציב 2016'!$H$3:$H$7326)</f>
        <v>0</v>
      </c>
      <c r="H148" s="63">
        <f>SUMIF('הצעת תקציב 2016'!$N$3:$N$7326,$F148,'הצעת תקציב 2016'!$H$3:$H$7326)</f>
        <v>0</v>
      </c>
      <c r="I148" s="63">
        <f>SUMIF('הצעת תקציב 2016'!$P$3:$P$7326,$F148,'הצעת תקציב 2016'!$H$3:$H$7326)</f>
        <v>0</v>
      </c>
      <c r="J148" s="64" t="e">
        <f>INDEX(Chapter,MATCH(F148,Chapter!$A$1:$A$681,0),8)</f>
        <v>#N/A</v>
      </c>
      <c r="K148" s="71">
        <f t="shared" si="24"/>
        <v>0</v>
      </c>
      <c r="L148" s="72">
        <f t="shared" si="26"/>
        <v>0</v>
      </c>
      <c r="M148" s="72">
        <f t="shared" si="27"/>
        <v>0</v>
      </c>
      <c r="N148" s="64" t="e">
        <f t="shared" si="25"/>
        <v>#N/A</v>
      </c>
    </row>
    <row r="149" spans="1:14">
      <c r="A149" s="62"/>
      <c r="B149" s="65"/>
      <c r="C149" s="65"/>
      <c r="D149" s="65"/>
      <c r="E149" s="64"/>
      <c r="F149" s="62" t="s">
        <v>88</v>
      </c>
      <c r="G149" s="63">
        <f>SUMIF('הצעת תקציב 2016'!$L$3:$L$7326,$F149,'הצעת תקציב 2016'!$H$3:$H$7326)</f>
        <v>0</v>
      </c>
      <c r="H149" s="63">
        <f>SUMIF('הצעת תקציב 2016'!$N$3:$N$7326,$F149,'הצעת תקציב 2016'!$H$3:$H$7326)</f>
        <v>-14100000</v>
      </c>
      <c r="I149" s="63">
        <f>SUMIF('הצעת תקציב 2016'!$P$3:$P$7326,$F149,'הצעת תקציב 2016'!$H$3:$H$7326)</f>
        <v>0</v>
      </c>
      <c r="J149" s="64" t="str">
        <f>INDEX(Chapter,MATCH(F149,Chapter!$A$1:$A$681,0),8)</f>
        <v>ריבית והחזר הוצאות משנים קודמות</v>
      </c>
      <c r="K149" s="71">
        <f t="shared" si="24"/>
        <v>0</v>
      </c>
      <c r="L149" s="72">
        <f t="shared" si="26"/>
        <v>-14100000</v>
      </c>
      <c r="M149" s="72">
        <f t="shared" si="27"/>
        <v>0</v>
      </c>
      <c r="N149" s="64" t="str">
        <f t="shared" si="25"/>
        <v>ריבית והחזר הוצאות משנים קודמות</v>
      </c>
    </row>
    <row r="150" spans="1:14">
      <c r="A150" s="62"/>
      <c r="B150" s="65"/>
      <c r="C150" s="65"/>
      <c r="D150" s="65"/>
      <c r="E150" s="64"/>
      <c r="F150" s="62" t="s">
        <v>2413</v>
      </c>
      <c r="G150" s="63">
        <f>SUMIF('הצעת תקציב 2016'!$L$3:$L$7326,$F150,'הצעת תקציב 2016'!$H$3:$H$7326)</f>
        <v>0</v>
      </c>
      <c r="H150" s="63">
        <f>SUMIF('הצעת תקציב 2016'!$N$3:$N$7326,$F150,'הצעת תקציב 2016'!$H$3:$H$7326)</f>
        <v>0</v>
      </c>
      <c r="I150" s="63">
        <f>SUMIF('הצעת תקציב 2016'!$P$3:$P$7326,$F150,'הצעת תקציב 2016'!$H$3:$H$7326)</f>
        <v>-14100000</v>
      </c>
      <c r="J150" s="64" t="e">
        <f>INDEX(Chapter,MATCH(F150,Chapter!$A$1:$A$681,0),8)</f>
        <v>#N/A</v>
      </c>
      <c r="K150" s="71">
        <f t="shared" si="24"/>
        <v>0</v>
      </c>
      <c r="L150" s="72">
        <f t="shared" si="26"/>
        <v>0</v>
      </c>
      <c r="M150" s="72">
        <f t="shared" si="27"/>
        <v>-14100000</v>
      </c>
      <c r="N150" s="64" t="e">
        <f t="shared" si="25"/>
        <v>#N/A</v>
      </c>
    </row>
    <row r="151" spans="1:14">
      <c r="A151" s="62"/>
      <c r="B151" s="65"/>
      <c r="C151" s="65"/>
      <c r="D151" s="65"/>
      <c r="E151" s="64"/>
      <c r="F151" s="62" t="s">
        <v>2286</v>
      </c>
      <c r="G151" s="63">
        <f>SUMIF('הצעת תקציב 2016'!$L$3:$L$7326,$F151,'הצעת תקציב 2016'!$H$3:$H$7326)</f>
        <v>0</v>
      </c>
      <c r="H151" s="63">
        <f>SUMIF('הצעת תקציב 2016'!$N$3:$N$7326,$F151,'הצעת תקציב 2016'!$H$3:$H$7326)</f>
        <v>0</v>
      </c>
      <c r="I151" s="63">
        <f>SUMIF('הצעת תקציב 2016'!$P$3:$P$7326,$F151,'הצעת תקציב 2016'!$H$3:$H$7326)</f>
        <v>0</v>
      </c>
      <c r="J151" s="64" t="str">
        <f>INDEX(Chapter,MATCH(F151,Chapter!$A$1:$A$681,0),8)</f>
        <v>ריבית ודיבידנדים</v>
      </c>
      <c r="K151" s="71">
        <f t="shared" si="24"/>
        <v>0</v>
      </c>
      <c r="L151" s="72">
        <f t="shared" si="26"/>
        <v>0</v>
      </c>
      <c r="M151" s="72">
        <f t="shared" si="27"/>
        <v>0</v>
      </c>
      <c r="N151" s="64" t="str">
        <f t="shared" si="25"/>
        <v>ריבית ודיבידנדים</v>
      </c>
    </row>
    <row r="152" spans="1:14">
      <c r="A152" s="62"/>
      <c r="B152" s="65"/>
      <c r="C152" s="65"/>
      <c r="D152" s="65"/>
      <c r="E152" s="64"/>
      <c r="F152" s="62" t="s">
        <v>2414</v>
      </c>
      <c r="G152" s="63">
        <f>SUMIF('הצעת תקציב 2016'!$L$3:$L$7326,$F152,'הצעת תקציב 2016'!$H$3:$H$7326)</f>
        <v>0</v>
      </c>
      <c r="H152" s="63">
        <f>SUMIF('הצעת תקציב 2016'!$N$3:$N$7326,$F152,'הצעת תקציב 2016'!$H$3:$H$7326)</f>
        <v>0</v>
      </c>
      <c r="I152" s="63">
        <f>SUMIF('הצעת תקציב 2016'!$P$3:$P$7326,$F152,'הצעת תקציב 2016'!$H$3:$H$7326)</f>
        <v>0</v>
      </c>
      <c r="J152" s="64" t="e">
        <f>INDEX(Chapter,MATCH(F152,Chapter!$A$1:$A$681,0),8)</f>
        <v>#N/A</v>
      </c>
      <c r="K152" s="71">
        <f t="shared" si="24"/>
        <v>0</v>
      </c>
      <c r="L152" s="72">
        <f t="shared" si="26"/>
        <v>0</v>
      </c>
      <c r="M152" s="72">
        <f t="shared" si="27"/>
        <v>0</v>
      </c>
      <c r="N152" s="64" t="e">
        <f t="shared" si="25"/>
        <v>#N/A</v>
      </c>
    </row>
    <row r="153" spans="1:14">
      <c r="A153" s="62"/>
      <c r="B153" s="65"/>
      <c r="C153" s="65"/>
      <c r="D153" s="65"/>
      <c r="E153" s="64"/>
      <c r="F153" s="62" t="s">
        <v>2290</v>
      </c>
      <c r="G153" s="63">
        <f>SUMIF('הצעת תקציב 2016'!$L$3:$L$7326,$F153,'הצעת תקציב 2016'!$H$3:$H$7326)</f>
        <v>0</v>
      </c>
      <c r="H153" s="63">
        <f>SUMIF('הצעת תקציב 2016'!$N$3:$N$7326,$F153,'הצעת תקציב 2016'!$H$3:$H$7326)</f>
        <v>0</v>
      </c>
      <c r="I153" s="63">
        <f>SUMIF('הצעת תקציב 2016'!$P$3:$P$7326,$F153,'הצעת תקציב 2016'!$H$3:$H$7326)</f>
        <v>0</v>
      </c>
      <c r="J153" s="64" t="str">
        <f>INDEX(Chapter,MATCH(F153,Chapter!$A$1:$A$681,0),8)</f>
        <v>תקבולים מהחזר הוצאות משנים קודמות</v>
      </c>
      <c r="K153" s="71">
        <f t="shared" si="24"/>
        <v>0</v>
      </c>
      <c r="L153" s="72">
        <f t="shared" si="26"/>
        <v>0</v>
      </c>
      <c r="M153" s="72">
        <f t="shared" si="27"/>
        <v>0</v>
      </c>
      <c r="N153" s="64" t="str">
        <f t="shared" si="25"/>
        <v>תקבולים מהחזר הוצאות משנים קודמות</v>
      </c>
    </row>
    <row r="154" spans="1:14">
      <c r="A154" s="62" t="s">
        <v>1795</v>
      </c>
      <c r="B154" s="63">
        <f>SUMIF('הצעת תקציב 2016'!$L$3:$L$7326,$A154,'הצעת תקציב 2016'!$H$3:$H$7326)</f>
        <v>0</v>
      </c>
      <c r="C154" s="63">
        <f>SUMIF('הצעת תקציב 2016'!$N$3:$N$7326,$A154,'הצעת תקציב 2016'!$H$3:$H$7326)</f>
        <v>372034700</v>
      </c>
      <c r="D154" s="63">
        <f>SUMIF('הצעת תקציב 2016'!$P$3:$P$7326,$A154,'הצעת תקציב 2016'!$H$3:$H$7326)</f>
        <v>0</v>
      </c>
      <c r="E154" s="64" t="str">
        <f>INDEX(Chapter,MATCH(A154,Chapter!$A$1:$A$681,0),8)</f>
        <v>תשלומים בלתי רגילים</v>
      </c>
      <c r="F154" s="62" t="s">
        <v>110</v>
      </c>
      <c r="G154" s="63">
        <f>SUMIF('הצעת תקציב 2016'!$L$3:$L$7326,$F154,'הצעת תקציב 2016'!$H$3:$H$7326)</f>
        <v>0</v>
      </c>
      <c r="H154" s="63">
        <f>SUMIF('הצעת תקציב 2016'!$N$3:$N$7326,$F154,'הצעת תקציב 2016'!$H$3:$H$7326)</f>
        <v>0</v>
      </c>
      <c r="I154" s="63">
        <f>SUMIF('הצעת תקציב 2016'!$P$3:$P$7326,$F154,'הצעת תקציב 2016'!$H$3:$H$7326)</f>
        <v>0</v>
      </c>
      <c r="J154" s="64" t="str">
        <f>INDEX(Chapter,MATCH(F154,Chapter!$A$1:$A$681,0),8)</f>
        <v>החזר מקרנות והכנסות מיוחדות</v>
      </c>
      <c r="K154" s="71">
        <f t="shared" si="24"/>
        <v>0</v>
      </c>
      <c r="L154" s="72">
        <f t="shared" si="26"/>
        <v>372034700</v>
      </c>
      <c r="M154" s="72">
        <f t="shared" si="27"/>
        <v>0</v>
      </c>
      <c r="N154" s="64" t="str">
        <f t="shared" si="25"/>
        <v>תשלומים בלתי רגילים</v>
      </c>
    </row>
    <row r="155" spans="1:14">
      <c r="A155" s="62"/>
      <c r="B155" s="65"/>
      <c r="C155" s="65"/>
      <c r="D155" s="65"/>
      <c r="E155" s="64"/>
      <c r="F155" s="62" t="s">
        <v>2415</v>
      </c>
      <c r="G155" s="63">
        <f>SUMIF('הצעת תקציב 2016'!$L$3:$L$7326,$F155,'הצעת תקציב 2016'!$H$3:$H$7326)</f>
        <v>0</v>
      </c>
      <c r="H155" s="63">
        <f>SUMIF('הצעת תקציב 2016'!$N$3:$N$7326,$F155,'הצעת תקציב 2016'!$H$3:$H$7326)</f>
        <v>0</v>
      </c>
      <c r="I155" s="63">
        <f>SUMIF('הצעת תקציב 2016'!$P$3:$P$7326,$F155,'הצעת תקציב 2016'!$H$3:$H$7326)</f>
        <v>0</v>
      </c>
      <c r="J155" s="64" t="e">
        <f>INDEX(Chapter,MATCH(F155,Chapter!$A$1:$A$681,0),8)</f>
        <v>#N/A</v>
      </c>
      <c r="K155" s="71">
        <f t="shared" si="24"/>
        <v>0</v>
      </c>
      <c r="L155" s="72">
        <f t="shared" si="26"/>
        <v>0</v>
      </c>
      <c r="M155" s="72">
        <f t="shared" si="27"/>
        <v>0</v>
      </c>
      <c r="N155" s="64" t="e">
        <f t="shared" si="25"/>
        <v>#N/A</v>
      </c>
    </row>
    <row r="156" spans="1:14">
      <c r="A156" s="62" t="s">
        <v>1799</v>
      </c>
      <c r="B156" s="63">
        <f>SUMIF('הצעת תקציב 2016'!$L$3:$L$7326,$A156,'הצעת תקציב 2016'!$H$3:$H$7326)</f>
        <v>0</v>
      </c>
      <c r="C156" s="63">
        <f>SUMIF('הצעת תקציב 2016'!$N$3:$N$7326,$A156,'הצעת תקציב 2016'!$H$3:$H$7326)</f>
        <v>0</v>
      </c>
      <c r="D156" s="63">
        <f>SUMIF('הצעת תקציב 2016'!$P$3:$P$7326,$A156,'הצעת תקציב 2016'!$H$3:$H$7326)</f>
        <v>212034700</v>
      </c>
      <c r="E156" s="64" t="str">
        <f>INDEX(Chapter,MATCH(A156,Chapter!$A$1:$A$681,0),8)</f>
        <v>הפרשות לקרנות תקציביות</v>
      </c>
      <c r="F156" s="62"/>
      <c r="G156" s="65"/>
      <c r="H156" s="65"/>
      <c r="I156" s="65"/>
      <c r="J156" s="64"/>
      <c r="K156" s="71">
        <f t="shared" si="24"/>
        <v>0</v>
      </c>
      <c r="L156" s="72">
        <f t="shared" si="26"/>
        <v>0</v>
      </c>
      <c r="M156" s="72">
        <f t="shared" si="27"/>
        <v>212034700</v>
      </c>
      <c r="N156" s="64" t="str">
        <f t="shared" si="25"/>
        <v>הפרשות לקרנות תקציביות</v>
      </c>
    </row>
    <row r="157" spans="1:14">
      <c r="A157" s="62" t="s">
        <v>1838</v>
      </c>
      <c r="B157" s="63">
        <f>SUMIF('הצעת תקציב 2016'!$L$3:$L$7326,$A157,'הצעת תקציב 2016'!$H$3:$H$7326)</f>
        <v>0</v>
      </c>
      <c r="C157" s="63">
        <f>SUMIF('הצעת תקציב 2016'!$N$3:$N$7326,$A157,'הצעת תקציב 2016'!$H$3:$H$7326)</f>
        <v>0</v>
      </c>
      <c r="D157" s="63">
        <f>SUMIF('הצעת תקציב 2016'!$P$3:$P$7326,$A157,'הצעת תקציב 2016'!$H$3:$H$7326)</f>
        <v>0</v>
      </c>
      <c r="E157" s="64" t="str">
        <f>INDEX(Chapter,MATCH(A157,Chapter!$A$1:$A$681,0),8)</f>
        <v>רזרבה תקציבית (כולל התייקרויות)</v>
      </c>
      <c r="F157" s="62"/>
      <c r="G157" s="65"/>
      <c r="H157" s="65"/>
      <c r="I157" s="65"/>
      <c r="J157" s="64"/>
      <c r="K157" s="71">
        <f t="shared" si="24"/>
        <v>0</v>
      </c>
      <c r="L157" s="72">
        <f t="shared" si="26"/>
        <v>0</v>
      </c>
      <c r="M157" s="72">
        <f t="shared" si="27"/>
        <v>0</v>
      </c>
      <c r="N157" s="64" t="str">
        <f t="shared" si="25"/>
        <v>רזרבה תקציבית (כולל התייקרויות)</v>
      </c>
    </row>
    <row r="158" spans="1:14">
      <c r="A158" s="62" t="s">
        <v>1847</v>
      </c>
      <c r="B158" s="63">
        <f>SUMIF('הצעת תקציב 2016'!$L$3:$L$7326,$A158,'הצעת תקציב 2016'!$H$3:$H$7326)</f>
        <v>0</v>
      </c>
      <c r="C158" s="63">
        <f>SUMIF('הצעת תקציב 2016'!$N$3:$N$7326,$A158,'הצעת תקציב 2016'!$H$3:$H$7326)</f>
        <v>0</v>
      </c>
      <c r="D158" s="63">
        <f>SUMIF('הצעת תקציב 2016'!$P$3:$P$7326,$A158,'הצעת תקציב 2016'!$H$3:$H$7326)</f>
        <v>0</v>
      </c>
      <c r="E158" s="64" t="str">
        <f>INDEX(Chapter,MATCH(A158,Chapter!$A$1:$A$681,0),8)</f>
        <v>הוצאות מיוחדות ובלתי נצפות מראש</v>
      </c>
      <c r="F158" s="62" t="s">
        <v>1848</v>
      </c>
      <c r="G158" s="63">
        <f>SUMIF('הצעת תקציב 2016'!$L$3:$L$7326,$F158,'הצעת תקציב 2016'!$H$3:$H$7326)</f>
        <v>0</v>
      </c>
      <c r="H158" s="63">
        <f>SUMIF('הצעת תקציב 2016'!$N$3:$N$7326,$F158,'הצעת תקציב 2016'!$H$3:$H$7326)</f>
        <v>0</v>
      </c>
      <c r="I158" s="63">
        <f>SUMIF('הצעת תקציב 2016'!$P$3:$P$7326,$F158,'הצעת תקציב 2016'!$H$3:$H$7326)</f>
        <v>0</v>
      </c>
      <c r="J158" s="64" t="str">
        <f>INDEX(Chapter,MATCH(F158,Chapter!$A$1:$A$681,0),8)</f>
        <v>הכנסות מיוחדות ובלתי נצפות מראש</v>
      </c>
      <c r="K158" s="71">
        <f t="shared" si="24"/>
        <v>0</v>
      </c>
      <c r="L158" s="72">
        <f t="shared" si="26"/>
        <v>0</v>
      </c>
      <c r="M158" s="72">
        <f t="shared" si="27"/>
        <v>0</v>
      </c>
      <c r="N158" s="64" t="str">
        <f t="shared" si="25"/>
        <v>הוצאות מיוחדות ובלתי נצפות מראש</v>
      </c>
    </row>
    <row r="159" spans="1:14">
      <c r="A159" s="62" t="s">
        <v>1852</v>
      </c>
      <c r="B159" s="63">
        <f>SUMIF('הצעת תקציב 2016'!$L$3:$L$7326,$A159,'הצעת תקציב 2016'!$H$3:$H$7326)</f>
        <v>0</v>
      </c>
      <c r="C159" s="63">
        <f>SUMIF('הצעת תקציב 2016'!$N$3:$N$7326,$A159,'הצעת תקציב 2016'!$H$3:$H$7326)</f>
        <v>0</v>
      </c>
      <c r="D159" s="63">
        <f>SUMIF('הצעת תקציב 2016'!$P$3:$P$7326,$A159,'הצעת תקציב 2016'!$H$3:$H$7326)</f>
        <v>160000000</v>
      </c>
      <c r="E159" s="64" t="str">
        <f>INDEX(Chapter,MATCH(A159,Chapter!$A$1:$A$681,0),8)</f>
        <v>הנחות ממיסים לפי חוק או תקנות</v>
      </c>
      <c r="F159" s="62"/>
      <c r="G159" s="65"/>
      <c r="H159" s="65"/>
      <c r="I159" s="65"/>
      <c r="J159" s="64"/>
      <c r="K159" s="71">
        <f t="shared" si="24"/>
        <v>0</v>
      </c>
      <c r="L159" s="72">
        <f t="shared" si="26"/>
        <v>0</v>
      </c>
      <c r="M159" s="72">
        <f t="shared" si="27"/>
        <v>160000000</v>
      </c>
      <c r="N159" s="64" t="str">
        <f t="shared" si="25"/>
        <v>הנחות ממיסים לפי חוק או תקנות</v>
      </c>
    </row>
    <row r="160" spans="1:14" ht="13.5" thickBot="1">
      <c r="A160" s="66"/>
      <c r="B160" s="67"/>
      <c r="C160" s="67"/>
      <c r="D160" s="67"/>
      <c r="E160" s="68"/>
      <c r="F160" s="66" t="s">
        <v>1858</v>
      </c>
      <c r="G160" s="70">
        <f>SUMIF('הצעת תקציב 2016'!$L$3:$L$7326,$F160,'הצעת תקציב 2016'!$H$3:$H$7326)</f>
        <v>0</v>
      </c>
      <c r="H160" s="70">
        <f>SUMIF('הצעת תקציב 2016'!$N$3:$N$7326,$F160,'הצעת תקציב 2016'!$H$3:$H$7326)</f>
        <v>0</v>
      </c>
      <c r="I160" s="70">
        <f>SUMIF('הצעת תקציב 2016'!$P$3:$P$7326,$F160,'הצעת תקציב 2016'!$H$3:$H$7326)</f>
        <v>0</v>
      </c>
      <c r="J160" s="68" t="str">
        <f>INDEX(Chapter,MATCH(F160,Chapter!$A$1:$A$681,0),8)</f>
        <v>הכנסות לכיסוי גרעון</v>
      </c>
      <c r="K160" s="73">
        <f t="shared" si="24"/>
        <v>0</v>
      </c>
      <c r="L160" s="74">
        <f t="shared" si="26"/>
        <v>0</v>
      </c>
      <c r="M160" s="74">
        <f t="shared" si="27"/>
        <v>0</v>
      </c>
      <c r="N160" s="68" t="str">
        <f t="shared" si="25"/>
        <v>הכנסות לכיסוי גרעון</v>
      </c>
    </row>
    <row r="161" spans="1:14">
      <c r="K161" s="60"/>
      <c r="L161" s="60"/>
      <c r="M161" s="60"/>
    </row>
    <row r="162" spans="1:14">
      <c r="K162" s="60"/>
      <c r="L162" s="60"/>
      <c r="M162" s="60"/>
    </row>
    <row r="163" spans="1:14">
      <c r="K163" s="60"/>
      <c r="L163" s="60"/>
      <c r="M163" s="60"/>
    </row>
    <row r="164" spans="1:14">
      <c r="C164">
        <v>1</v>
      </c>
      <c r="D164">
        <v>2</v>
      </c>
      <c r="E164">
        <v>3</v>
      </c>
      <c r="F164">
        <v>4</v>
      </c>
      <c r="G164">
        <v>5</v>
      </c>
      <c r="H164">
        <v>6</v>
      </c>
      <c r="I164">
        <v>7</v>
      </c>
      <c r="J164">
        <v>8</v>
      </c>
      <c r="K164">
        <v>9</v>
      </c>
    </row>
    <row r="165" spans="1:14" ht="30">
      <c r="A165" s="34"/>
      <c r="B165" s="52" t="s">
        <v>2356</v>
      </c>
      <c r="C165" s="52" t="str">
        <f>INDEX(Revenue_type,MATCH(C$164*1,type!$A$118:$A$168,0),8)</f>
        <v>ארנונות</v>
      </c>
      <c r="D165" s="52" t="str">
        <f>INDEX(Revenue_type,MATCH(D$164*1,type!$A$118:$A$168,0),8)</f>
        <v>אגרות</v>
      </c>
      <c r="E165" s="52" t="str">
        <f>INDEX(Revenue_type,MATCH(E$164*1,type!$A$118:$A$168,0),8)</f>
        <v>היטלים</v>
      </c>
      <c r="F165" s="52" t="str">
        <f>INDEX(Revenue_type,MATCH(F$164*1,type!$A$118:$A$168,0),8)</f>
        <v>שירותים ושכר לימוד</v>
      </c>
      <c r="G165" s="52" t="str">
        <f>INDEX(Revenue_type,MATCH(G$164*1,type!$A$118:$A$168,0),8)</f>
        <v>החזרות</v>
      </c>
      <c r="H165" s="52" t="str">
        <f>INDEX(Revenue_type,MATCH(H$164*1,type!$A$118:$A$168,0),8)</f>
        <v>הכנסות מרכוש ומפעלים</v>
      </c>
      <c r="I165" s="52" t="str">
        <f>INDEX(Revenue_type,MATCH(I$164*1,type!$A$118:$A$168,0),8)</f>
        <v>השתתפות מוסדות ותרומות</v>
      </c>
      <c r="J165" s="52" t="str">
        <f>INDEX(Revenue_type,MATCH(J$164*1,type!$A$118:$A$168,0),8)</f>
        <v>השתתפויות בעלים ע"ח עבודות פיתוח</v>
      </c>
      <c r="K165" s="52" t="str">
        <f>INDEX(Revenue_type,MATCH(K$164*1,type!$A$118:$A$168,0),8)</f>
        <v>השתתפות משרדי ממשלה</v>
      </c>
      <c r="L165" s="52" t="s">
        <v>2421</v>
      </c>
      <c r="M165" s="52" t="s">
        <v>2422</v>
      </c>
      <c r="N165" s="52" t="s">
        <v>2423</v>
      </c>
    </row>
    <row r="170" spans="1:14">
      <c r="A170" s="88">
        <v>11</v>
      </c>
      <c r="B170" s="65"/>
      <c r="C170" s="55">
        <f>SUMIFS('הצעת תקציב 2016'!$H$3:$H$7326,'הצעת תקציב 2016'!$N$3:$N$7326,$A170,'הצעת תקציב 2016'!$U$3:$U$7326,C$164)</f>
        <v>-1380000000</v>
      </c>
      <c r="D170" s="55">
        <f>SUMIFS('הצעת תקציב 2016'!$H$3:$H$7326,'הצעת תקציב 2016'!$N$3:$N$7326,$A170,'הצעת תקציב 2016'!$U$3:$U$7326,D$164)</f>
        <v>0</v>
      </c>
      <c r="E170" s="55">
        <f>SUMIFS('הצעת תקציב 2016'!$H$3:$H$7326,'הצעת תקציב 2016'!$N$3:$N$7326,$A170,'הצעת תקציב 2016'!$U$3:$U$7326,E$164)</f>
        <v>0</v>
      </c>
      <c r="F170" s="55">
        <f>SUMIFS('הצעת תקציב 2016'!$H$3:$H$7326,'הצעת תקציב 2016'!$N$3:$N$7326,$A170,'הצעת תקציב 2016'!$U$3:$U$7326,F$164)</f>
        <v>0</v>
      </c>
      <c r="G170" s="55">
        <f>SUMIFS('הצעת תקציב 2016'!$H$3:$H$7326,'הצעת תקציב 2016'!$N$3:$N$7326,$A170,'הצעת תקציב 2016'!$U$3:$U$7326,G$164)</f>
        <v>0</v>
      </c>
      <c r="H170" s="55">
        <f>SUMIFS('הצעת תקציב 2016'!$H$3:$H$7326,'הצעת תקציב 2016'!$N$3:$N$7326,$A170,'הצעת תקציב 2016'!$U$3:$U$7326,H$164)</f>
        <v>0</v>
      </c>
      <c r="I170" s="55">
        <f>SUMIFS('הצעת תקציב 2016'!$H$3:$H$7326,'הצעת תקציב 2016'!$N$3:$N$7326,$A170,'הצעת תקציב 2016'!$U$3:$U$7326,I$164)</f>
        <v>0</v>
      </c>
      <c r="J170" s="55">
        <f>SUMIFS('הצעת תקציב 2016'!$H$3:$H$7326,'הצעת תקציב 2016'!$N$3:$N$7326,$A170,'הצעת תקציב 2016'!$U$3:$U$7326,J$164)</f>
        <v>0</v>
      </c>
      <c r="K170" s="55">
        <f>SUMIFS('הצעת תקציב 2016'!$H$3:$H$7326,'הצעת תקציב 2016'!$N$3:$N$7326,$A170,'הצעת תקציב 2016'!$U$3:$U$7326,K$164)</f>
        <v>0</v>
      </c>
      <c r="L170" s="83">
        <f t="shared" ref="L170:L230" si="28">SUM(C170:K170)</f>
        <v>-1380000000</v>
      </c>
      <c r="N170" s="90">
        <f t="shared" ref="N170:N201" si="29">M170+L170</f>
        <v>-1380000000</v>
      </c>
    </row>
    <row r="171" spans="1:14">
      <c r="A171" s="88">
        <v>12</v>
      </c>
      <c r="B171" s="65"/>
      <c r="C171" s="55">
        <f>SUMIFS('הצעת תקציב 2016'!$H$3:$H$7326,'הצעת תקציב 2016'!$N$3:$N$7326,$A171,'הצעת תקציב 2016'!$U$3:$U$7326,C$164)</f>
        <v>0</v>
      </c>
      <c r="D171" s="55">
        <f>SUMIFS('הצעת תקציב 2016'!$H$3:$H$7326,'הצעת תקציב 2016'!$N$3:$N$7326,$A171,'הצעת תקציב 2016'!$U$3:$U$7326,D$164)</f>
        <v>-23050000</v>
      </c>
      <c r="E171" s="55">
        <f>SUMIFS('הצעת תקציב 2016'!$H$3:$H$7326,'הצעת תקציב 2016'!$N$3:$N$7326,$A171,'הצעת תקציב 2016'!$U$3:$U$7326,E$164)</f>
        <v>0</v>
      </c>
      <c r="F171" s="55">
        <f>SUMIFS('הצעת תקציב 2016'!$H$3:$H$7326,'הצעת תקציב 2016'!$N$3:$N$7326,$A171,'הצעת תקציב 2016'!$U$3:$U$7326,F$164)</f>
        <v>0</v>
      </c>
      <c r="G171" s="55">
        <f>SUMIFS('הצעת תקציב 2016'!$H$3:$H$7326,'הצעת תקציב 2016'!$N$3:$N$7326,$A171,'הצעת תקציב 2016'!$U$3:$U$7326,G$164)</f>
        <v>0</v>
      </c>
      <c r="H171" s="55">
        <f>SUMIFS('הצעת תקציב 2016'!$H$3:$H$7326,'הצעת תקציב 2016'!$N$3:$N$7326,$A171,'הצעת תקציב 2016'!$U$3:$U$7326,H$164)</f>
        <v>0</v>
      </c>
      <c r="I171" s="55">
        <f>SUMIFS('הצעת תקציב 2016'!$H$3:$H$7326,'הצעת תקציב 2016'!$N$3:$N$7326,$A171,'הצעת תקציב 2016'!$U$3:$U$7326,I$164)</f>
        <v>0</v>
      </c>
      <c r="J171" s="55">
        <f>SUMIFS('הצעת תקציב 2016'!$H$3:$H$7326,'הצעת תקציב 2016'!$N$3:$N$7326,$A171,'הצעת תקציב 2016'!$U$3:$U$7326,J$164)</f>
        <v>0</v>
      </c>
      <c r="K171" s="55">
        <f>SUMIFS('הצעת תקציב 2016'!$H$3:$H$7326,'הצעת תקציב 2016'!$N$3:$N$7326,$A171,'הצעת תקציב 2016'!$U$3:$U$7326,K$164)</f>
        <v>0</v>
      </c>
      <c r="L171" s="83">
        <f t="shared" si="28"/>
        <v>-23050000</v>
      </c>
      <c r="N171" s="90">
        <f t="shared" si="29"/>
        <v>-23050000</v>
      </c>
    </row>
    <row r="172" spans="1:14">
      <c r="A172" s="88">
        <v>16</v>
      </c>
      <c r="B172" s="65"/>
      <c r="C172" s="55">
        <f>SUMIFS('הצעת תקציב 2016'!$H$3:$H$7326,'הצעת תקציב 2016'!$N$3:$N$7326,$A172,'הצעת תקציב 2016'!$U$3:$U$7326,C$164)</f>
        <v>0</v>
      </c>
      <c r="D172" s="55">
        <f>SUMIFS('הצעת תקציב 2016'!$H$3:$H$7326,'הצעת תקציב 2016'!$N$3:$N$7326,$A172,'הצעת תקציב 2016'!$U$3:$U$7326,D$164)</f>
        <v>0</v>
      </c>
      <c r="E172" s="55">
        <f>SUMIFS('הצעת תקציב 2016'!$H$3:$H$7326,'הצעת תקציב 2016'!$N$3:$N$7326,$A172,'הצעת תקציב 2016'!$U$3:$U$7326,E$164)</f>
        <v>0</v>
      </c>
      <c r="F172" s="55">
        <f>SUMIFS('הצעת תקציב 2016'!$H$3:$H$7326,'הצעת תקציב 2016'!$N$3:$N$7326,$A172,'הצעת תקציב 2016'!$U$3:$U$7326,F$164)</f>
        <v>0</v>
      </c>
      <c r="G172" s="55">
        <f>SUMIFS('הצעת תקציב 2016'!$H$3:$H$7326,'הצעת תקציב 2016'!$N$3:$N$7326,$A172,'הצעת תקציב 2016'!$U$3:$U$7326,G$164)</f>
        <v>0</v>
      </c>
      <c r="H172" s="55">
        <f>SUMIFS('הצעת תקציב 2016'!$H$3:$H$7326,'הצעת תקציב 2016'!$N$3:$N$7326,$A172,'הצעת תקציב 2016'!$U$3:$U$7326,H$164)</f>
        <v>0</v>
      </c>
      <c r="I172" s="55">
        <f>SUMIFS('הצעת תקציב 2016'!$H$3:$H$7326,'הצעת תקציב 2016'!$N$3:$N$7326,$A172,'הצעת תקציב 2016'!$U$3:$U$7326,I$164)</f>
        <v>0</v>
      </c>
      <c r="J172" s="55">
        <f>SUMIFS('הצעת תקציב 2016'!$H$3:$H$7326,'הצעת תקציב 2016'!$N$3:$N$7326,$A172,'הצעת תקציב 2016'!$U$3:$U$7326,J$164)</f>
        <v>0</v>
      </c>
      <c r="K172" s="55">
        <f>SUMIFS('הצעת תקציב 2016'!$H$3:$H$7326,'הצעת תקציב 2016'!$N$3:$N$7326,$A172,'הצעת תקציב 2016'!$U$3:$U$7326,K$164)</f>
        <v>0</v>
      </c>
      <c r="L172" s="83">
        <f t="shared" si="28"/>
        <v>0</v>
      </c>
      <c r="N172" s="90">
        <f t="shared" si="29"/>
        <v>0</v>
      </c>
    </row>
    <row r="173" spans="1:14">
      <c r="A173" s="88">
        <v>19</v>
      </c>
      <c r="B173" s="65"/>
      <c r="C173" s="55">
        <f>SUMIFS('הצעת תקציב 2016'!$H$3:$H$7326,'הצעת תקציב 2016'!$N$3:$N$7326,$A173,'הצעת תקציב 2016'!$U$3:$U$7326,C$164)</f>
        <v>0</v>
      </c>
      <c r="D173" s="55">
        <f>SUMIFS('הצעת תקציב 2016'!$H$3:$H$7326,'הצעת תקציב 2016'!$N$3:$N$7326,$A173,'הצעת תקציב 2016'!$U$3:$U$7326,D$164)</f>
        <v>0</v>
      </c>
      <c r="E173" s="55">
        <f>SUMIFS('הצעת תקציב 2016'!$H$3:$H$7326,'הצעת תקציב 2016'!$N$3:$N$7326,$A173,'הצעת תקציב 2016'!$U$3:$U$7326,E$164)</f>
        <v>0</v>
      </c>
      <c r="F173" s="55">
        <f>SUMIFS('הצעת תקציב 2016'!$H$3:$H$7326,'הצעת תקציב 2016'!$N$3:$N$7326,$A173,'הצעת תקציב 2016'!$U$3:$U$7326,F$164)</f>
        <v>0</v>
      </c>
      <c r="G173" s="55">
        <f>SUMIFS('הצעת תקציב 2016'!$H$3:$H$7326,'הצעת תקציב 2016'!$N$3:$N$7326,$A173,'הצעת תקציב 2016'!$U$3:$U$7326,G$164)</f>
        <v>0</v>
      </c>
      <c r="H173" s="55">
        <f>SUMIFS('הצעת תקציב 2016'!$H$3:$H$7326,'הצעת תקציב 2016'!$N$3:$N$7326,$A173,'הצעת תקציב 2016'!$U$3:$U$7326,H$164)</f>
        <v>0</v>
      </c>
      <c r="I173" s="55">
        <f>SUMIFS('הצעת תקציב 2016'!$H$3:$H$7326,'הצעת תקציב 2016'!$N$3:$N$7326,$A173,'הצעת תקציב 2016'!$U$3:$U$7326,I$164)</f>
        <v>0</v>
      </c>
      <c r="J173" s="55">
        <f>SUMIFS('הצעת תקציב 2016'!$H$3:$H$7326,'הצעת תקציב 2016'!$N$3:$N$7326,$A173,'הצעת תקציב 2016'!$U$3:$U$7326,J$164)</f>
        <v>0</v>
      </c>
      <c r="K173" s="55">
        <f>SUMIFS('הצעת תקציב 2016'!$H$3:$H$7326,'הצעת תקציב 2016'!$N$3:$N$7326,$A173,'הצעת תקציב 2016'!$U$3:$U$7326,K$164)</f>
        <v>-1780000</v>
      </c>
      <c r="L173" s="83">
        <f t="shared" si="28"/>
        <v>-1780000</v>
      </c>
      <c r="N173" s="90">
        <f t="shared" si="29"/>
        <v>-1780000</v>
      </c>
    </row>
    <row r="174" spans="1:14">
      <c r="A174" s="87">
        <v>61</v>
      </c>
      <c r="B174" s="65"/>
      <c r="C174" s="55"/>
      <c r="D174" s="55"/>
      <c r="E174" s="55"/>
      <c r="F174" s="55"/>
      <c r="G174" s="55"/>
      <c r="H174" s="55"/>
      <c r="I174" s="55"/>
      <c r="J174" s="55"/>
      <c r="K174" s="55"/>
      <c r="L174" s="83"/>
      <c r="M174" s="83">
        <f>INDEX($A$204:$L$230,MATCH(A174,$A$204:$A$230,0),12)</f>
        <v>97865700</v>
      </c>
      <c r="N174" s="90">
        <f t="shared" si="29"/>
        <v>97865700</v>
      </c>
    </row>
    <row r="175" spans="1:14">
      <c r="A175" s="87">
        <v>62</v>
      </c>
      <c r="B175" s="65"/>
      <c r="C175" s="55"/>
      <c r="D175" s="55"/>
      <c r="E175" s="55"/>
      <c r="F175" s="55"/>
      <c r="G175" s="55"/>
      <c r="H175" s="55"/>
      <c r="I175" s="55"/>
      <c r="J175" s="55"/>
      <c r="K175" s="55"/>
      <c r="L175" s="83"/>
      <c r="M175" s="83">
        <f>INDEX($A$204:$L$230,MATCH(A175,$A$204:$A$230,0),12)</f>
        <v>84662400</v>
      </c>
      <c r="N175" s="90">
        <f t="shared" si="29"/>
        <v>84662400</v>
      </c>
    </row>
    <row r="176" spans="1:14">
      <c r="A176" s="87">
        <v>63</v>
      </c>
      <c r="B176" s="65"/>
      <c r="C176" s="55"/>
      <c r="D176" s="55"/>
      <c r="E176" s="55"/>
      <c r="F176" s="55"/>
      <c r="G176" s="55"/>
      <c r="H176" s="55"/>
      <c r="I176" s="55"/>
      <c r="J176" s="55"/>
      <c r="K176" s="55"/>
      <c r="L176" s="83"/>
      <c r="M176" s="83">
        <f>INDEX($A$204:$L$230,MATCH(A176,$A$204:$A$230,0),12)</f>
        <v>15100000</v>
      </c>
      <c r="N176" s="90">
        <f t="shared" si="29"/>
        <v>15100000</v>
      </c>
    </row>
    <row r="177" spans="1:14">
      <c r="A177" s="87">
        <v>64</v>
      </c>
      <c r="B177" s="65"/>
      <c r="C177" s="55"/>
      <c r="D177" s="55"/>
      <c r="E177" s="55"/>
      <c r="F177" s="55"/>
      <c r="G177" s="55"/>
      <c r="H177" s="55"/>
      <c r="I177" s="55"/>
      <c r="J177" s="55"/>
      <c r="K177" s="55"/>
      <c r="L177" s="83"/>
      <c r="M177" s="83">
        <f>INDEX($A$204:$L$230,MATCH(A177,$A$204:$A$230,0),12)</f>
        <v>167000000</v>
      </c>
      <c r="N177" s="90">
        <f t="shared" si="29"/>
        <v>167000000</v>
      </c>
    </row>
    <row r="178" spans="1:14">
      <c r="A178" s="88">
        <v>21</v>
      </c>
      <c r="B178" s="65"/>
      <c r="C178" s="55">
        <f>SUMIFS('הצעת תקציב 2016'!$H$3:$H$7326,'הצעת תקציב 2016'!$N$3:$N$7326,$A178,'הצעת תקציב 2016'!$U$3:$U$7326,C$164)</f>
        <v>0</v>
      </c>
      <c r="D178" s="55">
        <f>SUMIFS('הצעת תקציב 2016'!$H$3:$H$7326,'הצעת תקציב 2016'!$N$3:$N$7326,$A178,'הצעת תקציב 2016'!$U$3:$U$7326,D$164)</f>
        <v>-2756500</v>
      </c>
      <c r="E178" s="55">
        <f>SUMIFS('הצעת תקציב 2016'!$H$3:$H$7326,'הצעת תקציב 2016'!$N$3:$N$7326,$A178,'הצעת תקציב 2016'!$U$3:$U$7326,E$164)</f>
        <v>0</v>
      </c>
      <c r="F178" s="55">
        <f>SUMIFS('הצעת תקציב 2016'!$H$3:$H$7326,'הצעת תקציב 2016'!$N$3:$N$7326,$A178,'הצעת תקציב 2016'!$U$3:$U$7326,F$164)</f>
        <v>-1418500</v>
      </c>
      <c r="G178" s="55">
        <f>SUMIFS('הצעת תקציב 2016'!$H$3:$H$7326,'הצעת תקציב 2016'!$N$3:$N$7326,$A178,'הצעת תקציב 2016'!$U$3:$U$7326,G$164)</f>
        <v>0</v>
      </c>
      <c r="H178" s="55">
        <f>SUMIFS('הצעת תקציב 2016'!$H$3:$H$7326,'הצעת תקציב 2016'!$N$3:$N$7326,$A178,'הצעת תקציב 2016'!$U$3:$U$7326,H$164)</f>
        <v>-7945000</v>
      </c>
      <c r="I178" s="55">
        <f>SUMIFS('הצעת תקציב 2016'!$H$3:$H$7326,'הצעת תקציב 2016'!$N$3:$N$7326,$A178,'הצעת תקציב 2016'!$U$3:$U$7326,I$164)</f>
        <v>0</v>
      </c>
      <c r="J178" s="55">
        <f>SUMIFS('הצעת תקציב 2016'!$H$3:$H$7326,'הצעת תקציב 2016'!$N$3:$N$7326,$A178,'הצעת תקציב 2016'!$U$3:$U$7326,J$164)</f>
        <v>0</v>
      </c>
      <c r="K178" s="55">
        <f>SUMIFS('הצעת תקציב 2016'!$H$3:$H$7326,'הצעת תקציב 2016'!$N$3:$N$7326,$A178,'הצעת תקציב 2016'!$U$3:$U$7326,K$164)</f>
        <v>0</v>
      </c>
      <c r="L178" s="83">
        <f t="shared" si="28"/>
        <v>-12120000</v>
      </c>
      <c r="M178" s="83">
        <f t="shared" ref="M178:M183" si="30">INDEX($A$204:$L$230,MATCH(A178+50,$A$204:$A$230,0),12)</f>
        <v>137581700</v>
      </c>
      <c r="N178" s="90">
        <f t="shared" si="29"/>
        <v>125461700</v>
      </c>
    </row>
    <row r="179" spans="1:14">
      <c r="A179" s="88">
        <v>22</v>
      </c>
      <c r="B179" s="65"/>
      <c r="C179" s="55">
        <f>SUMIFS('הצעת תקציב 2016'!$H$3:$H$7326,'הצעת תקציב 2016'!$N$3:$N$7326,$A179,'הצעת תקציב 2016'!$U$3:$U$7326,C$164)</f>
        <v>0</v>
      </c>
      <c r="D179" s="55">
        <f>SUMIFS('הצעת תקציב 2016'!$H$3:$H$7326,'הצעת תקציב 2016'!$N$3:$N$7326,$A179,'הצעת תקציב 2016'!$U$3:$U$7326,D$164)</f>
        <v>0</v>
      </c>
      <c r="E179" s="55">
        <f>SUMIFS('הצעת תקציב 2016'!$H$3:$H$7326,'הצעת תקציב 2016'!$N$3:$N$7326,$A179,'הצעת תקציב 2016'!$U$3:$U$7326,E$164)</f>
        <v>0</v>
      </c>
      <c r="F179" s="55">
        <f>SUMIFS('הצעת תקציב 2016'!$H$3:$H$7326,'הצעת תקציב 2016'!$N$3:$N$7326,$A179,'הצעת תקציב 2016'!$U$3:$U$7326,F$164)</f>
        <v>-6200</v>
      </c>
      <c r="G179" s="55">
        <f>SUMIFS('הצעת תקציב 2016'!$H$3:$H$7326,'הצעת תקציב 2016'!$N$3:$N$7326,$A179,'הצעת תקציב 2016'!$U$3:$U$7326,G$164)</f>
        <v>0</v>
      </c>
      <c r="H179" s="55">
        <f>SUMIFS('הצעת תקציב 2016'!$H$3:$H$7326,'הצעת תקציב 2016'!$N$3:$N$7326,$A179,'הצעת תקציב 2016'!$U$3:$U$7326,H$164)</f>
        <v>0</v>
      </c>
      <c r="I179" s="55">
        <f>SUMIFS('הצעת תקציב 2016'!$H$3:$H$7326,'הצעת תקציב 2016'!$N$3:$N$7326,$A179,'הצעת תקציב 2016'!$U$3:$U$7326,I$164)</f>
        <v>0</v>
      </c>
      <c r="J179" s="55">
        <f>SUMIFS('הצעת תקציב 2016'!$H$3:$H$7326,'הצעת תקציב 2016'!$N$3:$N$7326,$A179,'הצעת תקציב 2016'!$U$3:$U$7326,J$164)</f>
        <v>0</v>
      </c>
      <c r="K179" s="55">
        <f>SUMIFS('הצעת תקציב 2016'!$H$3:$H$7326,'הצעת תקציב 2016'!$N$3:$N$7326,$A179,'הצעת תקציב 2016'!$U$3:$U$7326,K$164)</f>
        <v>-989500</v>
      </c>
      <c r="L179" s="83">
        <f t="shared" si="28"/>
        <v>-995700</v>
      </c>
      <c r="M179" s="83">
        <f t="shared" si="30"/>
        <v>27340400</v>
      </c>
      <c r="N179" s="90">
        <f t="shared" si="29"/>
        <v>26344700</v>
      </c>
    </row>
    <row r="180" spans="1:14">
      <c r="A180" s="88">
        <v>23</v>
      </c>
      <c r="B180" s="65"/>
      <c r="C180" s="55">
        <f>SUMIFS('הצעת תקציב 2016'!$H$3:$H$7326,'הצעת תקציב 2016'!$N$3:$N$7326,$A180,'הצעת תקציב 2016'!$U$3:$U$7326,C$164)</f>
        <v>0</v>
      </c>
      <c r="D180" s="55">
        <f>SUMIFS('הצעת תקציב 2016'!$H$3:$H$7326,'הצעת תקציב 2016'!$N$3:$N$7326,$A180,'הצעת תקציב 2016'!$U$3:$U$7326,D$164)</f>
        <v>-11500000</v>
      </c>
      <c r="E180" s="55">
        <f>SUMIFS('הצעת תקציב 2016'!$H$3:$H$7326,'הצעת תקציב 2016'!$N$3:$N$7326,$A180,'הצעת תקציב 2016'!$U$3:$U$7326,E$164)</f>
        <v>0</v>
      </c>
      <c r="F180" s="55">
        <f>SUMIFS('הצעת תקציב 2016'!$H$3:$H$7326,'הצעת תקציב 2016'!$N$3:$N$7326,$A180,'הצעת תקציב 2016'!$U$3:$U$7326,F$164)</f>
        <v>-1757700</v>
      </c>
      <c r="G180" s="55">
        <f>SUMIFS('הצעת תקציב 2016'!$H$3:$H$7326,'הצעת תקציב 2016'!$N$3:$N$7326,$A180,'הצעת תקציב 2016'!$U$3:$U$7326,G$164)</f>
        <v>0</v>
      </c>
      <c r="H180" s="55">
        <f>SUMIFS('הצעת תקציב 2016'!$H$3:$H$7326,'הצעת תקציב 2016'!$N$3:$N$7326,$A180,'הצעת תקציב 2016'!$U$3:$U$7326,H$164)</f>
        <v>0</v>
      </c>
      <c r="I180" s="55">
        <f>SUMIFS('הצעת תקציב 2016'!$H$3:$H$7326,'הצעת תקציב 2016'!$N$3:$N$7326,$A180,'הצעת תקציב 2016'!$U$3:$U$7326,I$164)</f>
        <v>0</v>
      </c>
      <c r="J180" s="55">
        <f>SUMIFS('הצעת תקציב 2016'!$H$3:$H$7326,'הצעת תקציב 2016'!$N$3:$N$7326,$A180,'הצעת תקציב 2016'!$U$3:$U$7326,J$164)</f>
        <v>0</v>
      </c>
      <c r="K180" s="55">
        <f>SUMIFS('הצעת תקציב 2016'!$H$3:$H$7326,'הצעת תקציב 2016'!$N$3:$N$7326,$A180,'הצעת תקציב 2016'!$U$3:$U$7326,K$164)</f>
        <v>-50000</v>
      </c>
      <c r="L180" s="83">
        <f t="shared" si="28"/>
        <v>-13307700</v>
      </c>
      <c r="M180" s="83">
        <f t="shared" si="30"/>
        <v>49527100</v>
      </c>
      <c r="N180" s="90">
        <f t="shared" si="29"/>
        <v>36219400</v>
      </c>
    </row>
    <row r="181" spans="1:14">
      <c r="A181" s="88">
        <v>24</v>
      </c>
      <c r="B181" s="65"/>
      <c r="C181" s="55">
        <f>SUMIFS('הצעת תקציב 2016'!$H$3:$H$7326,'הצעת תקציב 2016'!$N$3:$N$7326,$A181,'הצעת תקציב 2016'!$U$3:$U$7326,C$164)</f>
        <v>0</v>
      </c>
      <c r="D181" s="55">
        <f>SUMIFS('הצעת תקציב 2016'!$H$3:$H$7326,'הצעת תקציב 2016'!$N$3:$N$7326,$A181,'הצעת תקציב 2016'!$U$3:$U$7326,D$164)</f>
        <v>-8304300</v>
      </c>
      <c r="E181" s="55">
        <f>SUMIFS('הצעת תקציב 2016'!$H$3:$H$7326,'הצעת תקציב 2016'!$N$3:$N$7326,$A181,'הצעת תקציב 2016'!$U$3:$U$7326,E$164)</f>
        <v>0</v>
      </c>
      <c r="F181" s="55">
        <f>SUMIFS('הצעת תקציב 2016'!$H$3:$H$7326,'הצעת תקציב 2016'!$N$3:$N$7326,$A181,'הצעת תקציב 2016'!$U$3:$U$7326,F$164)</f>
        <v>-50638000</v>
      </c>
      <c r="G181" s="55">
        <f>SUMIFS('הצעת תקציב 2016'!$H$3:$H$7326,'הצעת תקציב 2016'!$N$3:$N$7326,$A181,'הצעת תקציב 2016'!$U$3:$U$7326,G$164)</f>
        <v>0</v>
      </c>
      <c r="H181" s="55">
        <f>SUMIFS('הצעת תקציב 2016'!$H$3:$H$7326,'הצעת תקציב 2016'!$N$3:$N$7326,$A181,'הצעת תקציב 2016'!$U$3:$U$7326,H$164)</f>
        <v>0</v>
      </c>
      <c r="I181" s="55">
        <f>SUMIFS('הצעת תקציב 2016'!$H$3:$H$7326,'הצעת תקציב 2016'!$N$3:$N$7326,$A181,'הצעת תקציב 2016'!$U$3:$U$7326,I$164)</f>
        <v>0</v>
      </c>
      <c r="J181" s="55">
        <f>SUMIFS('הצעת תקציב 2016'!$H$3:$H$7326,'הצעת תקציב 2016'!$N$3:$N$7326,$A181,'הצעת תקציב 2016'!$U$3:$U$7326,J$164)</f>
        <v>-40000000</v>
      </c>
      <c r="K181" s="55">
        <f>SUMIFS('הצעת תקציב 2016'!$H$3:$H$7326,'הצעת תקציב 2016'!$N$3:$N$7326,$A181,'הצעת תקציב 2016'!$U$3:$U$7326,K$164)</f>
        <v>0</v>
      </c>
      <c r="L181" s="83">
        <f t="shared" si="28"/>
        <v>-98942300</v>
      </c>
      <c r="M181" s="83">
        <f t="shared" si="30"/>
        <v>111876600</v>
      </c>
      <c r="N181" s="90">
        <f t="shared" si="29"/>
        <v>12934300</v>
      </c>
    </row>
    <row r="182" spans="1:14">
      <c r="A182" s="88">
        <v>25</v>
      </c>
      <c r="B182" s="65"/>
      <c r="C182" s="55">
        <f>SUMIFS('הצעת תקציב 2016'!$H$3:$H$7326,'הצעת תקציב 2016'!$N$3:$N$7326,$A182,'הצעת תקציב 2016'!$U$3:$U$7326,C$164)</f>
        <v>0</v>
      </c>
      <c r="D182" s="55">
        <f>SUMIFS('הצעת תקציב 2016'!$H$3:$H$7326,'הצעת תקציב 2016'!$N$3:$N$7326,$A182,'הצעת תקציב 2016'!$U$3:$U$7326,D$164)</f>
        <v>0</v>
      </c>
      <c r="E182" s="55">
        <f>SUMIFS('הצעת תקציב 2016'!$H$3:$H$7326,'הצעת תקציב 2016'!$N$3:$N$7326,$A182,'הצעת תקציב 2016'!$U$3:$U$7326,E$164)</f>
        <v>0</v>
      </c>
      <c r="F182" s="55">
        <f>SUMIFS('הצעת תקציב 2016'!$H$3:$H$7326,'הצעת תקציב 2016'!$N$3:$N$7326,$A182,'הצעת תקציב 2016'!$U$3:$U$7326,F$164)</f>
        <v>0</v>
      </c>
      <c r="G182" s="55">
        <f>SUMIFS('הצעת תקציב 2016'!$H$3:$H$7326,'הצעת תקציב 2016'!$N$3:$N$7326,$A182,'הצעת תקציב 2016'!$U$3:$U$7326,G$164)</f>
        <v>0</v>
      </c>
      <c r="H182" s="55">
        <f>SUMIFS('הצעת תקציב 2016'!$H$3:$H$7326,'הצעת תקציב 2016'!$N$3:$N$7326,$A182,'הצעת תקציב 2016'!$U$3:$U$7326,H$164)</f>
        <v>0</v>
      </c>
      <c r="I182" s="55">
        <f>SUMIFS('הצעת תקציב 2016'!$H$3:$H$7326,'הצעת תקציב 2016'!$N$3:$N$7326,$A182,'הצעת תקציב 2016'!$U$3:$U$7326,I$164)</f>
        <v>0</v>
      </c>
      <c r="J182" s="55">
        <f>SUMIFS('הצעת תקציב 2016'!$H$3:$H$7326,'הצעת תקציב 2016'!$N$3:$N$7326,$A182,'הצעת תקציב 2016'!$U$3:$U$7326,J$164)</f>
        <v>0</v>
      </c>
      <c r="K182" s="55">
        <f>SUMIFS('הצעת תקציב 2016'!$H$3:$H$7326,'הצעת תקציב 2016'!$N$3:$N$7326,$A182,'הצעת תקציב 2016'!$U$3:$U$7326,K$164)</f>
        <v>0</v>
      </c>
      <c r="L182" s="83">
        <f t="shared" si="28"/>
        <v>0</v>
      </c>
      <c r="M182" s="83">
        <f t="shared" si="30"/>
        <v>1870400</v>
      </c>
      <c r="N182" s="90">
        <f t="shared" si="29"/>
        <v>1870400</v>
      </c>
    </row>
    <row r="183" spans="1:14">
      <c r="A183" s="88">
        <v>26</v>
      </c>
      <c r="B183" s="65"/>
      <c r="C183" s="55">
        <f>SUMIFS('הצעת תקציב 2016'!$H$3:$H$7326,'הצעת תקציב 2016'!$N$3:$N$7326,$A183,'הצעת תקציב 2016'!$U$3:$U$7326,C$164)</f>
        <v>0</v>
      </c>
      <c r="D183" s="55">
        <f>SUMIFS('הצעת תקציב 2016'!$H$3:$H$7326,'הצעת תקציב 2016'!$N$3:$N$7326,$A183,'הצעת תקציב 2016'!$U$3:$U$7326,D$164)</f>
        <v>0</v>
      </c>
      <c r="E183" s="55">
        <f>SUMIFS('הצעת תקציב 2016'!$H$3:$H$7326,'הצעת תקציב 2016'!$N$3:$N$7326,$A183,'הצעת תקציב 2016'!$U$3:$U$7326,E$164)</f>
        <v>0</v>
      </c>
      <c r="F183" s="55">
        <f>SUMIFS('הצעת תקציב 2016'!$H$3:$H$7326,'הצעת תקציב 2016'!$N$3:$N$7326,$A183,'הצעת תקציב 2016'!$U$3:$U$7326,F$164)</f>
        <v>0</v>
      </c>
      <c r="G183" s="55">
        <f>SUMIFS('הצעת תקציב 2016'!$H$3:$H$7326,'הצעת תקציב 2016'!$N$3:$N$7326,$A183,'הצעת תקציב 2016'!$U$3:$U$7326,G$164)</f>
        <v>0</v>
      </c>
      <c r="H183" s="55">
        <f>SUMIFS('הצעת תקציב 2016'!$H$3:$H$7326,'הצעת תקציב 2016'!$N$3:$N$7326,$A183,'הצעת תקציב 2016'!$U$3:$U$7326,H$164)</f>
        <v>0</v>
      </c>
      <c r="I183" s="55">
        <f>SUMIFS('הצעת תקציב 2016'!$H$3:$H$7326,'הצעת תקציב 2016'!$N$3:$N$7326,$A183,'הצעת תקציב 2016'!$U$3:$U$7326,I$164)</f>
        <v>0</v>
      </c>
      <c r="J183" s="55">
        <f>SUMIFS('הצעת תקציב 2016'!$H$3:$H$7326,'הצעת תקציב 2016'!$N$3:$N$7326,$A183,'הצעת תקציב 2016'!$U$3:$U$7326,J$164)</f>
        <v>0</v>
      </c>
      <c r="K183" s="55">
        <f>SUMIFS('הצעת תקציב 2016'!$H$3:$H$7326,'הצעת תקציב 2016'!$N$3:$N$7326,$A183,'הצעת תקציב 2016'!$U$3:$U$7326,K$164)</f>
        <v>0</v>
      </c>
      <c r="L183" s="83">
        <f t="shared" si="28"/>
        <v>0</v>
      </c>
      <c r="M183" s="83">
        <f t="shared" si="30"/>
        <v>31215400</v>
      </c>
      <c r="N183" s="90">
        <f t="shared" si="29"/>
        <v>31215400</v>
      </c>
    </row>
    <row r="184" spans="1:14">
      <c r="A184" s="87">
        <v>77</v>
      </c>
      <c r="B184" s="65"/>
      <c r="C184" s="55"/>
      <c r="D184" s="55"/>
      <c r="E184" s="55"/>
      <c r="F184" s="55"/>
      <c r="G184" s="55"/>
      <c r="H184" s="55"/>
      <c r="I184" s="55"/>
      <c r="J184" s="55"/>
      <c r="K184" s="55"/>
      <c r="L184" s="83"/>
      <c r="M184" s="83">
        <f>INDEX($A$204:$L$230,MATCH(A184,$A$204:$A$230,0),12)</f>
        <v>5632900</v>
      </c>
      <c r="N184" s="90">
        <f t="shared" si="29"/>
        <v>5632900</v>
      </c>
    </row>
    <row r="185" spans="1:14">
      <c r="A185" s="88">
        <v>28</v>
      </c>
      <c r="B185" s="65"/>
      <c r="C185" s="55">
        <f>SUMIFS('הצעת תקציב 2016'!$H$3:$H$7326,'הצעת תקציב 2016'!$N$3:$N$7326,$A185,'הצעת תקציב 2016'!$U$3:$U$7326,C$164)</f>
        <v>0</v>
      </c>
      <c r="D185" s="55">
        <f>SUMIFS('הצעת תקציב 2016'!$H$3:$H$7326,'הצעת תקציב 2016'!$N$3:$N$7326,$A185,'הצעת תקציב 2016'!$U$3:$U$7326,D$164)</f>
        <v>0</v>
      </c>
      <c r="E185" s="55">
        <f>SUMIFS('הצעת תקציב 2016'!$H$3:$H$7326,'הצעת תקציב 2016'!$N$3:$N$7326,$A185,'הצעת תקציב 2016'!$U$3:$U$7326,E$164)</f>
        <v>0</v>
      </c>
      <c r="F185" s="55">
        <f>SUMIFS('הצעת תקציב 2016'!$H$3:$H$7326,'הצעת תקציב 2016'!$N$3:$N$7326,$A185,'הצעת תקציב 2016'!$U$3:$U$7326,F$164)</f>
        <v>-3305000</v>
      </c>
      <c r="G185" s="55">
        <f>SUMIFS('הצעת תקציב 2016'!$H$3:$H$7326,'הצעת תקציב 2016'!$N$3:$N$7326,$A185,'הצעת תקציב 2016'!$U$3:$U$7326,G$164)</f>
        <v>0</v>
      </c>
      <c r="H185" s="55">
        <f>SUMIFS('הצעת תקציב 2016'!$H$3:$H$7326,'הצעת תקציב 2016'!$N$3:$N$7326,$A185,'הצעת תקציב 2016'!$U$3:$U$7326,H$164)</f>
        <v>0</v>
      </c>
      <c r="I185" s="55">
        <f>SUMIFS('הצעת תקציב 2016'!$H$3:$H$7326,'הצעת תקציב 2016'!$N$3:$N$7326,$A185,'הצעת תקציב 2016'!$U$3:$U$7326,I$164)</f>
        <v>0</v>
      </c>
      <c r="J185" s="55">
        <f>SUMIFS('הצעת תקציב 2016'!$H$3:$H$7326,'הצעת תקציב 2016'!$N$3:$N$7326,$A185,'הצעת תקציב 2016'!$U$3:$U$7326,J$164)</f>
        <v>0</v>
      </c>
      <c r="K185" s="55">
        <f>SUMIFS('הצעת תקציב 2016'!$H$3:$H$7326,'הצעת תקציב 2016'!$N$3:$N$7326,$A185,'הצעת תקציב 2016'!$U$3:$U$7326,K$164)</f>
        <v>0</v>
      </c>
      <c r="L185" s="83">
        <f t="shared" si="28"/>
        <v>-3305000</v>
      </c>
      <c r="M185" s="83">
        <f>INDEX($A$204:$L$230,MATCH(A185+50,$A$204:$A$230,0),12)</f>
        <v>29313200</v>
      </c>
      <c r="N185" s="90">
        <f t="shared" si="29"/>
        <v>26008200</v>
      </c>
    </row>
    <row r="186" spans="1:14">
      <c r="A186" s="88">
        <v>31</v>
      </c>
      <c r="B186" s="65"/>
      <c r="C186" s="55">
        <f>SUMIFS('הצעת תקציב 2016'!$H$3:$H$7326,'הצעת תקציב 2016'!$N$3:$N$7326,$A186,'הצעת תקציב 2016'!$U$3:$U$7326,C$164)</f>
        <v>0</v>
      </c>
      <c r="D186" s="55">
        <f>SUMIFS('הצעת תקציב 2016'!$H$3:$H$7326,'הצעת תקציב 2016'!$N$3:$N$7326,$A186,'הצעת תקציב 2016'!$U$3:$U$7326,D$164)</f>
        <v>-9000000</v>
      </c>
      <c r="E186" s="55">
        <f>SUMIFS('הצעת תקציב 2016'!$H$3:$H$7326,'הצעת תקציב 2016'!$N$3:$N$7326,$A186,'הצעת תקציב 2016'!$U$3:$U$7326,E$164)</f>
        <v>0</v>
      </c>
      <c r="F186" s="55">
        <f>SUMIFS('הצעת תקציב 2016'!$H$3:$H$7326,'הצעת תקציב 2016'!$N$3:$N$7326,$A186,'הצעת תקציב 2016'!$U$3:$U$7326,F$164)</f>
        <v>-2006000</v>
      </c>
      <c r="G186" s="55">
        <f>SUMIFS('הצעת תקציב 2016'!$H$3:$H$7326,'הצעת תקציב 2016'!$N$3:$N$7326,$A186,'הצעת תקציב 2016'!$U$3:$U$7326,G$164)</f>
        <v>0</v>
      </c>
      <c r="H186" s="55">
        <f>SUMIFS('הצעת תקציב 2016'!$H$3:$H$7326,'הצעת תקציב 2016'!$N$3:$N$7326,$A186,'הצעת תקציב 2016'!$U$3:$U$7326,H$164)</f>
        <v>0</v>
      </c>
      <c r="I186" s="55">
        <f>SUMIFS('הצעת תקציב 2016'!$H$3:$H$7326,'הצעת תקציב 2016'!$N$3:$N$7326,$A186,'הצעת תקציב 2016'!$U$3:$U$7326,I$164)</f>
        <v>-11453000</v>
      </c>
      <c r="J186" s="55">
        <f>SUMIFS('הצעת תקציב 2016'!$H$3:$H$7326,'הצעת תקציב 2016'!$N$3:$N$7326,$A186,'הצעת תקציב 2016'!$U$3:$U$7326,J$164)</f>
        <v>0</v>
      </c>
      <c r="K186" s="55">
        <f>SUMIFS('הצעת תקציב 2016'!$H$3:$H$7326,'הצעת תקציב 2016'!$N$3:$N$7326,$A186,'הצעת תקציב 2016'!$U$3:$U$7326,K$164)</f>
        <v>-280041000</v>
      </c>
      <c r="L186" s="83">
        <f t="shared" si="28"/>
        <v>-302500000</v>
      </c>
      <c r="M186" s="83">
        <f>INDEX($A$204:$L$230,MATCH(A186+50,$A$204:$A$230,0),12)</f>
        <v>484641200</v>
      </c>
      <c r="N186" s="90">
        <f t="shared" si="29"/>
        <v>182141200</v>
      </c>
    </row>
    <row r="187" spans="1:14">
      <c r="A187" s="88">
        <v>32</v>
      </c>
      <c r="B187" s="65"/>
      <c r="C187" s="55">
        <f>SUMIFS('הצעת תקציב 2016'!$H$3:$H$7326,'הצעת תקציב 2016'!$N$3:$N$7326,$A187,'הצעת תקציב 2016'!$U$3:$U$7326,C$164)</f>
        <v>0</v>
      </c>
      <c r="D187" s="55">
        <f>SUMIFS('הצעת תקציב 2016'!$H$3:$H$7326,'הצעת תקציב 2016'!$N$3:$N$7326,$A187,'הצעת תקציב 2016'!$U$3:$U$7326,D$164)</f>
        <v>0</v>
      </c>
      <c r="E187" s="55">
        <f>SUMIFS('הצעת תקציב 2016'!$H$3:$H$7326,'הצעת תקציב 2016'!$N$3:$N$7326,$A187,'הצעת תקציב 2016'!$U$3:$U$7326,E$164)</f>
        <v>0</v>
      </c>
      <c r="F187" s="55">
        <f>SUMIFS('הצעת תקציב 2016'!$H$3:$H$7326,'הצעת תקציב 2016'!$N$3:$N$7326,$A187,'הצעת תקציב 2016'!$U$3:$U$7326,F$164)</f>
        <v>-11948800</v>
      </c>
      <c r="G187" s="55">
        <f>SUMIFS('הצעת תקציב 2016'!$H$3:$H$7326,'הצעת תקציב 2016'!$N$3:$N$7326,$A187,'הצעת תקציב 2016'!$U$3:$U$7326,G$164)</f>
        <v>0</v>
      </c>
      <c r="H187" s="55">
        <f>SUMIFS('הצעת תקציב 2016'!$H$3:$H$7326,'הצעת תקציב 2016'!$N$3:$N$7326,$A187,'הצעת תקציב 2016'!$U$3:$U$7326,H$164)</f>
        <v>0</v>
      </c>
      <c r="I187" s="55">
        <f>SUMIFS('הצעת תקציב 2016'!$H$3:$H$7326,'הצעת תקציב 2016'!$N$3:$N$7326,$A187,'הצעת תקציב 2016'!$U$3:$U$7326,I$164)</f>
        <v>0</v>
      </c>
      <c r="J187" s="55">
        <f>SUMIFS('הצעת תקציב 2016'!$H$3:$H$7326,'הצעת תקציב 2016'!$N$3:$N$7326,$A187,'הצעת תקציב 2016'!$U$3:$U$7326,J$164)</f>
        <v>0</v>
      </c>
      <c r="K187" s="55">
        <f>SUMIFS('הצעת תקציב 2016'!$H$3:$H$7326,'הצעת תקציב 2016'!$N$3:$N$7326,$A187,'הצעת תקציב 2016'!$U$3:$U$7326,K$164)</f>
        <v>-1037000</v>
      </c>
      <c r="L187" s="83">
        <f t="shared" si="28"/>
        <v>-12985800</v>
      </c>
      <c r="M187" s="83">
        <f>INDEX($A$204:$L$230,MATCH(A187+50,$A$204:$A$230,0),12)</f>
        <v>144752800</v>
      </c>
      <c r="N187" s="90">
        <f t="shared" si="29"/>
        <v>131767000</v>
      </c>
    </row>
    <row r="188" spans="1:14">
      <c r="A188" s="87">
        <v>83</v>
      </c>
      <c r="B188" s="65"/>
      <c r="C188" s="55"/>
      <c r="D188" s="55"/>
      <c r="E188" s="55"/>
      <c r="F188" s="55"/>
      <c r="G188" s="55"/>
      <c r="H188" s="55"/>
      <c r="I188" s="55"/>
      <c r="J188" s="55"/>
      <c r="K188" s="55"/>
      <c r="L188" s="83"/>
      <c r="M188" s="83">
        <f>INDEX($A$204:$L$230,MATCH(A188,$A$204:$A$230,0),12)</f>
        <v>446771900</v>
      </c>
      <c r="N188" s="90">
        <f t="shared" si="29"/>
        <v>446771900</v>
      </c>
    </row>
    <row r="189" spans="1:14">
      <c r="A189" s="88">
        <v>34</v>
      </c>
      <c r="B189" s="65"/>
      <c r="C189" s="55">
        <f>SUMIFS('הצעת תקציב 2016'!$H$3:$H$7326,'הצעת תקציב 2016'!$N$3:$N$7326,$A189,'הצעת תקציב 2016'!$U$3:$U$7326,C$164)</f>
        <v>0</v>
      </c>
      <c r="D189" s="55">
        <f>SUMIFS('הצעת תקציב 2016'!$H$3:$H$7326,'הצעת תקציב 2016'!$N$3:$N$7326,$A189,'הצעת תקציב 2016'!$U$3:$U$7326,D$164)</f>
        <v>0</v>
      </c>
      <c r="E189" s="55">
        <f>SUMIFS('הצעת תקציב 2016'!$H$3:$H$7326,'הצעת תקציב 2016'!$N$3:$N$7326,$A189,'הצעת תקציב 2016'!$U$3:$U$7326,E$164)</f>
        <v>0</v>
      </c>
      <c r="F189" s="55">
        <f>SUMIFS('הצעת תקציב 2016'!$H$3:$H$7326,'הצעת תקציב 2016'!$N$3:$N$7326,$A189,'הצעת תקציב 2016'!$U$3:$U$7326,F$164)</f>
        <v>-5826000</v>
      </c>
      <c r="G189" s="55">
        <f>SUMIFS('הצעת תקציב 2016'!$H$3:$H$7326,'הצעת תקציב 2016'!$N$3:$N$7326,$A189,'הצעת תקציב 2016'!$U$3:$U$7326,G$164)</f>
        <v>0</v>
      </c>
      <c r="H189" s="55">
        <f>SUMIFS('הצעת תקציב 2016'!$H$3:$H$7326,'הצעת תקציב 2016'!$N$3:$N$7326,$A189,'הצעת תקציב 2016'!$U$3:$U$7326,H$164)</f>
        <v>0</v>
      </c>
      <c r="I189" s="55">
        <f>SUMIFS('הצעת תקציב 2016'!$H$3:$H$7326,'הצעת תקציב 2016'!$N$3:$N$7326,$A189,'הצעת תקציב 2016'!$U$3:$U$7326,I$164)</f>
        <v>0</v>
      </c>
      <c r="J189" s="55">
        <f>SUMIFS('הצעת תקציב 2016'!$H$3:$H$7326,'הצעת תקציב 2016'!$N$3:$N$7326,$A189,'הצעת תקציב 2016'!$U$3:$U$7326,J$164)</f>
        <v>0</v>
      </c>
      <c r="K189" s="55">
        <f>SUMIFS('הצעת תקציב 2016'!$H$3:$H$7326,'הצעת תקציב 2016'!$N$3:$N$7326,$A189,'הצעת תקציב 2016'!$U$3:$U$7326,K$164)</f>
        <v>-194470500</v>
      </c>
      <c r="L189" s="83">
        <f t="shared" si="28"/>
        <v>-200296500</v>
      </c>
      <c r="M189" s="83">
        <f>INDEX($A$204:$L$230,MATCH(A189+50,$A$204:$A$230,0),12)</f>
        <v>276891000</v>
      </c>
      <c r="N189" s="90">
        <f t="shared" si="29"/>
        <v>76594500</v>
      </c>
    </row>
    <row r="190" spans="1:14">
      <c r="A190" s="87">
        <v>85</v>
      </c>
      <c r="B190" s="65"/>
      <c r="C190" s="55"/>
      <c r="D190" s="55"/>
      <c r="E190" s="55"/>
      <c r="F190" s="55"/>
      <c r="G190" s="55"/>
      <c r="H190" s="55"/>
      <c r="I190" s="55"/>
      <c r="J190" s="55"/>
      <c r="K190" s="55"/>
      <c r="L190" s="83"/>
      <c r="M190" s="83">
        <f>INDEX($A$204:$L$230,MATCH(A190,$A$204:$A$230,0),12)</f>
        <v>9604300</v>
      </c>
      <c r="N190" s="90">
        <f t="shared" si="29"/>
        <v>9604300</v>
      </c>
    </row>
    <row r="191" spans="1:14">
      <c r="A191" s="88">
        <v>36</v>
      </c>
      <c r="B191" s="65"/>
      <c r="C191" s="55">
        <f>SUMIFS('הצעת תקציב 2016'!$H$3:$H$7326,'הצעת תקציב 2016'!$N$3:$N$7326,$A191,'הצעת תקציב 2016'!$U$3:$U$7326,C$164)</f>
        <v>0</v>
      </c>
      <c r="D191" s="55">
        <f>SUMIFS('הצעת תקציב 2016'!$H$3:$H$7326,'הצעת תקציב 2016'!$N$3:$N$7326,$A191,'הצעת תקציב 2016'!$U$3:$U$7326,D$164)</f>
        <v>0</v>
      </c>
      <c r="E191" s="55">
        <f>SUMIFS('הצעת תקציב 2016'!$H$3:$H$7326,'הצעת תקציב 2016'!$N$3:$N$7326,$A191,'הצעת תקציב 2016'!$U$3:$U$7326,E$164)</f>
        <v>0</v>
      </c>
      <c r="F191" s="55">
        <f>SUMIFS('הצעת תקציב 2016'!$H$3:$H$7326,'הצעת תקציב 2016'!$N$3:$N$7326,$A191,'הצעת תקציב 2016'!$U$3:$U$7326,F$164)</f>
        <v>0</v>
      </c>
      <c r="G191" s="55">
        <f>SUMIFS('הצעת תקציב 2016'!$H$3:$H$7326,'הצעת תקציב 2016'!$N$3:$N$7326,$A191,'הצעת תקציב 2016'!$U$3:$U$7326,G$164)</f>
        <v>0</v>
      </c>
      <c r="H191" s="55">
        <f>SUMIFS('הצעת תקציב 2016'!$H$3:$H$7326,'הצעת תקציב 2016'!$N$3:$N$7326,$A191,'הצעת תקציב 2016'!$U$3:$U$7326,H$164)</f>
        <v>0</v>
      </c>
      <c r="I191" s="55">
        <f>SUMIFS('הצעת תקציב 2016'!$H$3:$H$7326,'הצעת תקציב 2016'!$N$3:$N$7326,$A191,'הצעת תקציב 2016'!$U$3:$U$7326,I$164)</f>
        <v>0</v>
      </c>
      <c r="J191" s="55">
        <f>SUMIFS('הצעת תקציב 2016'!$H$3:$H$7326,'הצעת תקציב 2016'!$N$3:$N$7326,$A191,'הצעת תקציב 2016'!$U$3:$U$7326,J$164)</f>
        <v>0</v>
      </c>
      <c r="K191" s="55">
        <f>SUMIFS('הצעת תקציב 2016'!$H$3:$H$7326,'הצעת תקציב 2016'!$N$3:$N$7326,$A191,'הצעת תקציב 2016'!$U$3:$U$7326,K$164)</f>
        <v>0</v>
      </c>
      <c r="L191" s="83">
        <f t="shared" si="28"/>
        <v>0</v>
      </c>
      <c r="M191" s="83">
        <f>INDEX($A$204:$L$230,MATCH(A191+50,$A$204:$A$230,0),12)</f>
        <v>7976500</v>
      </c>
      <c r="N191" s="90">
        <f t="shared" si="29"/>
        <v>7976500</v>
      </c>
    </row>
    <row r="192" spans="1:14">
      <c r="A192" s="88">
        <v>37</v>
      </c>
      <c r="B192" s="65"/>
      <c r="C192" s="55">
        <f>SUMIFS('הצעת תקציב 2016'!$H$3:$H$7326,'הצעת תקציב 2016'!$N$3:$N$7326,$A192,'הצעת תקציב 2016'!$U$3:$U$7326,C$164)</f>
        <v>0</v>
      </c>
      <c r="D192" s="55">
        <f>SUMIFS('הצעת תקציב 2016'!$H$3:$H$7326,'הצעת תקציב 2016'!$N$3:$N$7326,$A192,'הצעת תקציב 2016'!$U$3:$U$7326,D$164)</f>
        <v>0</v>
      </c>
      <c r="E192" s="55">
        <f>SUMIFS('הצעת תקציב 2016'!$H$3:$H$7326,'הצעת תקציב 2016'!$N$3:$N$7326,$A192,'הצעת תקציב 2016'!$U$3:$U$7326,E$164)</f>
        <v>0</v>
      </c>
      <c r="F192" s="55">
        <f>SUMIFS('הצעת תקציב 2016'!$H$3:$H$7326,'הצעת תקציב 2016'!$N$3:$N$7326,$A192,'הצעת תקציב 2016'!$U$3:$U$7326,F$164)</f>
        <v>0</v>
      </c>
      <c r="G192" s="55">
        <f>SUMIFS('הצעת תקציב 2016'!$H$3:$H$7326,'הצעת תקציב 2016'!$N$3:$N$7326,$A192,'הצעת תקציב 2016'!$U$3:$U$7326,G$164)</f>
        <v>0</v>
      </c>
      <c r="H192" s="55">
        <f>SUMIFS('הצעת תקציב 2016'!$H$3:$H$7326,'הצעת תקציב 2016'!$N$3:$N$7326,$A192,'הצעת תקציב 2016'!$U$3:$U$7326,H$164)</f>
        <v>0</v>
      </c>
      <c r="I192" s="55">
        <f>SUMIFS('הצעת תקציב 2016'!$H$3:$H$7326,'הצעת תקציב 2016'!$N$3:$N$7326,$A192,'הצעת תקציב 2016'!$U$3:$U$7326,I$164)</f>
        <v>0</v>
      </c>
      <c r="J192" s="55">
        <f>SUMIFS('הצעת תקציב 2016'!$H$3:$H$7326,'הצעת תקציב 2016'!$N$3:$N$7326,$A192,'הצעת תקציב 2016'!$U$3:$U$7326,J$164)</f>
        <v>0</v>
      </c>
      <c r="K192" s="55">
        <f>SUMIFS('הצעת תקציב 2016'!$H$3:$H$7326,'הצעת תקציב 2016'!$N$3:$N$7326,$A192,'הצעת תקציב 2016'!$U$3:$U$7326,K$164)</f>
        <v>0</v>
      </c>
      <c r="L192" s="83">
        <f t="shared" si="28"/>
        <v>0</v>
      </c>
      <c r="M192" s="83">
        <f>INDEX($A$204:$L$230,MATCH(A192+50,$A$204:$A$230,0),12)</f>
        <v>710000</v>
      </c>
      <c r="N192" s="90">
        <f t="shared" si="29"/>
        <v>710000</v>
      </c>
    </row>
    <row r="193" spans="1:17">
      <c r="A193" s="88">
        <v>38</v>
      </c>
      <c r="B193" s="65"/>
      <c r="C193" s="55">
        <f>SUMIFS('הצעת תקציב 2016'!$H$3:$H$7326,'הצעת תקציב 2016'!$N$3:$N$7326,$A193,'הצעת תקציב 2016'!$U$3:$U$7326,C$164)</f>
        <v>0</v>
      </c>
      <c r="D193" s="55">
        <f>SUMIFS('הצעת תקציב 2016'!$H$3:$H$7326,'הצעת תקציב 2016'!$N$3:$N$7326,$A193,'הצעת תקציב 2016'!$U$3:$U$7326,D$164)</f>
        <v>0</v>
      </c>
      <c r="E193" s="55">
        <f>SUMIFS('הצעת תקציב 2016'!$H$3:$H$7326,'הצעת תקציב 2016'!$N$3:$N$7326,$A193,'הצעת תקציב 2016'!$U$3:$U$7326,E$164)</f>
        <v>0</v>
      </c>
      <c r="F193" s="55">
        <f>SUMIFS('הצעת תקציב 2016'!$H$3:$H$7326,'הצעת תקציב 2016'!$N$3:$N$7326,$A193,'הצעת תקציב 2016'!$U$3:$U$7326,F$164)</f>
        <v>0</v>
      </c>
      <c r="G193" s="55">
        <f>SUMIFS('הצעת תקציב 2016'!$H$3:$H$7326,'הצעת תקציב 2016'!$N$3:$N$7326,$A193,'הצעת תקציב 2016'!$U$3:$U$7326,G$164)</f>
        <v>0</v>
      </c>
      <c r="H193" s="55">
        <f>SUMIFS('הצעת תקציב 2016'!$H$3:$H$7326,'הצעת תקציב 2016'!$N$3:$N$7326,$A193,'הצעת תקציב 2016'!$U$3:$U$7326,H$164)</f>
        <v>0</v>
      </c>
      <c r="I193" s="55">
        <f>SUMIFS('הצעת תקציב 2016'!$H$3:$H$7326,'הצעת תקציב 2016'!$N$3:$N$7326,$A193,'הצעת תקציב 2016'!$U$3:$U$7326,I$164)</f>
        <v>0</v>
      </c>
      <c r="J193" s="55">
        <f>SUMIFS('הצעת תקציב 2016'!$H$3:$H$7326,'הצעת תקציב 2016'!$N$3:$N$7326,$A193,'הצעת תקציב 2016'!$U$3:$U$7326,J$164)</f>
        <v>0</v>
      </c>
      <c r="K193" s="55">
        <f>SUMIFS('הצעת תקציב 2016'!$H$3:$H$7326,'הצעת תקציב 2016'!$N$3:$N$7326,$A193,'הצעת תקציב 2016'!$U$3:$U$7326,K$164)</f>
        <v>0</v>
      </c>
      <c r="L193" s="83">
        <f t="shared" ref="L193" si="31">SUM(C193:K193)</f>
        <v>0</v>
      </c>
      <c r="M193" s="83">
        <f>INDEX($A$204:$L$230,MATCH(A193+50,$A$204:$A$230,0),12)</f>
        <v>0</v>
      </c>
      <c r="N193" s="90">
        <f t="shared" ref="N193" si="32">M193+L193</f>
        <v>0</v>
      </c>
    </row>
    <row r="194" spans="1:17" ht="15.75">
      <c r="A194" s="88">
        <v>41</v>
      </c>
      <c r="B194" s="65"/>
      <c r="C194" s="55">
        <f>SUMIFS('הצעת תקציב 2016'!$H$3:$H$7326,'הצעת תקציב 2016'!$N$3:$N$7326,$A194,'הצעת תקציב 2016'!$U$3:$U$7326,C$164)</f>
        <v>0</v>
      </c>
      <c r="D194" s="55">
        <f>SUMIFS('הצעת תקציב 2016'!$H$3:$H$7326,'הצעת תקציב 2016'!$N$3:$N$7326,$A194,'הצעת תקציב 2016'!$U$3:$U$7326,D$164)</f>
        <v>0</v>
      </c>
      <c r="E194" s="55">
        <f>SUMIFS('הצעת תקציב 2016'!$H$3:$H$7326,'הצעת תקציב 2016'!$N$3:$N$7326,$A194,'הצעת תקציב 2016'!$U$3:$U$7326,E$164)</f>
        <v>0</v>
      </c>
      <c r="F194" s="55">
        <f>SUMIFS('הצעת תקציב 2016'!$H$3:$H$7326,'הצעת תקציב 2016'!$N$3:$N$7326,$A194,'הצעת תקציב 2016'!$U$3:$U$7326,F$164)</f>
        <v>0</v>
      </c>
      <c r="G194" s="55">
        <f>SUMIFS('הצעת תקציב 2016'!$H$3:$H$7326,'הצעת תקציב 2016'!$N$3:$N$7326,$A194,'הצעת תקציב 2016'!$U$3:$U$7326,G$164)</f>
        <v>0</v>
      </c>
      <c r="H194" s="55">
        <f>SUMIFS('הצעת תקציב 2016'!$H$3:$H$7326,'הצעת תקציב 2016'!$N$3:$N$7326,$A194,'הצעת תקציב 2016'!$U$3:$U$7326,H$164)</f>
        <v>0</v>
      </c>
      <c r="I194" s="55">
        <f>SUMIFS('הצעת תקציב 2016'!$H$3:$H$7326,'הצעת תקציב 2016'!$N$3:$N$7326,$A194,'הצעת תקציב 2016'!$U$3:$U$7326,I$164)</f>
        <v>0</v>
      </c>
      <c r="J194" s="55">
        <f>SUMIFS('הצעת תקציב 2016'!$H$3:$H$7326,'הצעת תקציב 2016'!$N$3:$N$7326,$A194,'הצעת תקציב 2016'!$U$3:$U$7326,J$164)</f>
        <v>0</v>
      </c>
      <c r="K194" s="55">
        <f>SUMIFS('הצעת תקציב 2016'!$H$3:$H$7326,'הצעת תקציב 2016'!$N$3:$N$7326,$A194,'הצעת תקציב 2016'!$U$3:$U$7326,K$164)</f>
        <v>0</v>
      </c>
      <c r="L194" s="83">
        <f t="shared" si="28"/>
        <v>0</v>
      </c>
      <c r="M194" s="83">
        <f>INDEX($A$204:$L$230,MATCH(A194+50,$A$204:$A$230,0),12)</f>
        <v>450000</v>
      </c>
      <c r="N194" s="90">
        <f t="shared" si="29"/>
        <v>450000</v>
      </c>
      <c r="Q194" s="18"/>
    </row>
    <row r="195" spans="1:17" ht="15.75">
      <c r="A195" s="88">
        <v>42</v>
      </c>
      <c r="B195" s="65"/>
      <c r="C195" s="55">
        <f>SUMIFS('הצעת תקציב 2016'!$H$3:$H$7326,'הצעת תקציב 2016'!$N$3:$N$7326,$A195,'הצעת תקציב 2016'!$U$3:$U$7326,C$164)</f>
        <v>0</v>
      </c>
      <c r="D195" s="55">
        <f>SUMIFS('הצעת תקציב 2016'!$H$3:$H$7326,'הצעת תקציב 2016'!$N$3:$N$7326,$A195,'הצעת תקציב 2016'!$U$3:$U$7326,D$164)</f>
        <v>0</v>
      </c>
      <c r="E195" s="55">
        <f>SUMIFS('הצעת תקציב 2016'!$H$3:$H$7326,'הצעת תקציב 2016'!$N$3:$N$7326,$A195,'הצעת תקציב 2016'!$U$3:$U$7326,E$164)</f>
        <v>0</v>
      </c>
      <c r="F195" s="55">
        <f>SUMIFS('הצעת תקציב 2016'!$H$3:$H$7326,'הצעת תקציב 2016'!$N$3:$N$7326,$A195,'הצעת תקציב 2016'!$U$3:$U$7326,F$164)</f>
        <v>0</v>
      </c>
      <c r="G195" s="55">
        <f>SUMIFS('הצעת תקציב 2016'!$H$3:$H$7326,'הצעת תקציב 2016'!$N$3:$N$7326,$A195,'הצעת תקציב 2016'!$U$3:$U$7326,G$164)</f>
        <v>0</v>
      </c>
      <c r="H195" s="55">
        <f>SUMIFS('הצעת תקציב 2016'!$H$3:$H$7326,'הצעת תקציב 2016'!$N$3:$N$7326,$A195,'הצעת תקציב 2016'!$U$3:$U$7326,H$164)</f>
        <v>0</v>
      </c>
      <c r="I195" s="55">
        <f>SUMIFS('הצעת תקציב 2016'!$H$3:$H$7326,'הצעת תקציב 2016'!$N$3:$N$7326,$A195,'הצעת תקציב 2016'!$U$3:$U$7326,I$164)</f>
        <v>0</v>
      </c>
      <c r="J195" s="55">
        <f>SUMIFS('הצעת תקציב 2016'!$H$3:$H$7326,'הצעת תקציב 2016'!$N$3:$N$7326,$A195,'הצעת תקציב 2016'!$U$3:$U$7326,J$164)</f>
        <v>0</v>
      </c>
      <c r="K195" s="55">
        <f>SUMIFS('הצעת תקציב 2016'!$H$3:$H$7326,'הצעת תקציב 2016'!$N$3:$N$7326,$A195,'הצעת תקציב 2016'!$U$3:$U$7326,K$164)</f>
        <v>0</v>
      </c>
      <c r="L195" s="83">
        <f t="shared" ref="L195:L196" si="33">SUM(C195:K195)</f>
        <v>0</v>
      </c>
      <c r="M195" s="83">
        <f>INDEX($A$204:$L$230,MATCH(A195+50,$A$204:$A$230,0),12)</f>
        <v>0</v>
      </c>
      <c r="N195" s="90">
        <f t="shared" ref="N195:N196" si="34">M195+L195</f>
        <v>0</v>
      </c>
      <c r="Q195" s="18"/>
    </row>
    <row r="196" spans="1:17" ht="15.75">
      <c r="A196" s="88">
        <v>43</v>
      </c>
      <c r="B196" s="65"/>
      <c r="C196" s="55">
        <f>SUMIFS('הצעת תקציב 2016'!$H$3:$H$7326,'הצעת תקציב 2016'!$N$3:$N$7326,$A196,'הצעת תקציב 2016'!$U$3:$U$7326,C$164)</f>
        <v>0</v>
      </c>
      <c r="D196" s="55">
        <f>SUMIFS('הצעת תקציב 2016'!$H$3:$H$7326,'הצעת תקציב 2016'!$N$3:$N$7326,$A196,'הצעת תקציב 2016'!$U$3:$U$7326,D$164)</f>
        <v>0</v>
      </c>
      <c r="E196" s="55">
        <f>SUMIFS('הצעת תקציב 2016'!$H$3:$H$7326,'הצעת תקציב 2016'!$N$3:$N$7326,$A196,'הצעת תקציב 2016'!$U$3:$U$7326,E$164)</f>
        <v>0</v>
      </c>
      <c r="F196" s="55">
        <f>SUMIFS('הצעת תקציב 2016'!$H$3:$H$7326,'הצעת תקציב 2016'!$N$3:$N$7326,$A196,'הצעת תקציב 2016'!$U$3:$U$7326,F$164)</f>
        <v>-10000</v>
      </c>
      <c r="G196" s="55">
        <f>SUMIFS('הצעת תקציב 2016'!$H$3:$H$7326,'הצעת תקציב 2016'!$N$3:$N$7326,$A196,'הצעת תקציב 2016'!$U$3:$U$7326,G$164)</f>
        <v>-5000</v>
      </c>
      <c r="H196" s="55">
        <f>SUMIFS('הצעת תקציב 2016'!$H$3:$H$7326,'הצעת תקציב 2016'!$N$3:$N$7326,$A196,'הצעת תקציב 2016'!$U$3:$U$7326,H$164)</f>
        <v>-10985000</v>
      </c>
      <c r="I196" s="55">
        <f>SUMIFS('הצעת תקציב 2016'!$H$3:$H$7326,'הצעת תקציב 2016'!$N$3:$N$7326,$A196,'הצעת תקציב 2016'!$U$3:$U$7326,I$164)</f>
        <v>-1000000</v>
      </c>
      <c r="J196" s="55">
        <f>SUMIFS('הצעת תקציב 2016'!$H$3:$H$7326,'הצעת תקציב 2016'!$N$3:$N$7326,$A196,'הצעת תקציב 2016'!$U$3:$U$7326,J$164)</f>
        <v>0</v>
      </c>
      <c r="K196" s="55">
        <f>SUMIFS('הצעת תקציב 2016'!$H$3:$H$7326,'הצעת תקציב 2016'!$N$3:$N$7326,$A196,'הצעת תקציב 2016'!$U$3:$U$7326,K$164)</f>
        <v>0</v>
      </c>
      <c r="L196" s="83">
        <f t="shared" si="33"/>
        <v>-12000000</v>
      </c>
      <c r="M196" s="83">
        <f t="shared" ref="M196:M199" si="35">INDEX($A$204:$L$230,MATCH(A196+50,$A$204:$A$230,0),12)</f>
        <v>14215400</v>
      </c>
      <c r="N196" s="90">
        <f t="shared" si="34"/>
        <v>2215400</v>
      </c>
      <c r="Q196" s="18"/>
    </row>
    <row r="197" spans="1:17" ht="15.75">
      <c r="A197" s="88">
        <v>44</v>
      </c>
      <c r="B197" s="65"/>
      <c r="C197" s="55">
        <f>SUMIFS('הצעת תקציב 2016'!$H$3:$H$7326,'הצעת תקציב 2016'!$N$3:$N$7326,$A197,'הצעת תקציב 2016'!$U$3:$U$7326,C$164)</f>
        <v>0</v>
      </c>
      <c r="D197" s="55">
        <f>SUMIFS('הצעת תקציב 2016'!$H$3:$H$7326,'הצעת תקציב 2016'!$N$3:$N$7326,$A197,'הצעת תקציב 2016'!$U$3:$U$7326,D$164)</f>
        <v>0</v>
      </c>
      <c r="E197" s="55">
        <f>SUMIFS('הצעת תקציב 2016'!$H$3:$H$7326,'הצעת תקציב 2016'!$N$3:$N$7326,$A197,'הצעת תקציב 2016'!$U$3:$U$7326,E$164)</f>
        <v>0</v>
      </c>
      <c r="F197" s="55">
        <f>SUMIFS('הצעת תקציב 2016'!$H$3:$H$7326,'הצעת תקציב 2016'!$N$3:$N$7326,$A197,'הצעת תקציב 2016'!$U$3:$U$7326,F$164)</f>
        <v>0</v>
      </c>
      <c r="G197" s="55">
        <f>SUMIFS('הצעת תקציב 2016'!$H$3:$H$7326,'הצעת תקציב 2016'!$N$3:$N$7326,$A197,'הצעת תקציב 2016'!$U$3:$U$7326,G$164)</f>
        <v>0</v>
      </c>
      <c r="H197" s="55">
        <f>SUMIFS('הצעת תקציב 2016'!$H$3:$H$7326,'הצעת תקציב 2016'!$N$3:$N$7326,$A197,'הצעת תקציב 2016'!$U$3:$U$7326,H$164)</f>
        <v>-107000</v>
      </c>
      <c r="I197" s="55">
        <f>SUMIFS('הצעת תקציב 2016'!$H$3:$H$7326,'הצעת תקציב 2016'!$N$3:$N$7326,$A197,'הצעת תקציב 2016'!$U$3:$U$7326,I$164)</f>
        <v>0</v>
      </c>
      <c r="J197" s="55">
        <f>SUMIFS('הצעת תקציב 2016'!$H$3:$H$7326,'הצעת תקציב 2016'!$N$3:$N$7326,$A197,'הצעת תקציב 2016'!$U$3:$U$7326,J$164)</f>
        <v>0</v>
      </c>
      <c r="K197" s="55">
        <f>SUMIFS('הצעת תקציב 2016'!$H$3:$H$7326,'הצעת תקציב 2016'!$N$3:$N$7326,$A197,'הצעת תקציב 2016'!$U$3:$U$7326,K$164)</f>
        <v>0</v>
      </c>
      <c r="L197" s="83">
        <f t="shared" ref="L197:L199" si="36">SUM(C197:K197)</f>
        <v>-107000</v>
      </c>
      <c r="M197" s="83">
        <f t="shared" si="35"/>
        <v>2625000</v>
      </c>
      <c r="N197" s="90">
        <f t="shared" ref="N197:N199" si="37">M197+L197</f>
        <v>2518000</v>
      </c>
      <c r="Q197" s="18"/>
    </row>
    <row r="198" spans="1:17" ht="15.75">
      <c r="A198" s="88">
        <v>47</v>
      </c>
      <c r="B198" s="65"/>
      <c r="C198" s="55">
        <f>SUMIFS('הצעת תקציב 2016'!$H$3:$H$7326,'הצעת תקציב 2016'!$N$3:$N$7326,$A198,'הצעת תקציב 2016'!$U$3:$U$7326,C$164)</f>
        <v>0</v>
      </c>
      <c r="D198" s="55">
        <f>SUMIFS('הצעת תקציב 2016'!$H$3:$H$7326,'הצעת תקציב 2016'!$N$3:$N$7326,$A198,'הצעת תקציב 2016'!$U$3:$U$7326,D$164)</f>
        <v>0</v>
      </c>
      <c r="E198" s="55">
        <f>SUMIFS('הצעת תקציב 2016'!$H$3:$H$7326,'הצעת תקציב 2016'!$N$3:$N$7326,$A198,'הצעת תקציב 2016'!$U$3:$U$7326,E$164)</f>
        <v>0</v>
      </c>
      <c r="F198" s="55">
        <f>SUMIFS('הצעת תקציב 2016'!$H$3:$H$7326,'הצעת תקציב 2016'!$N$3:$N$7326,$A198,'הצעת תקציב 2016'!$U$3:$U$7326,F$164)</f>
        <v>0</v>
      </c>
      <c r="G198" s="55">
        <f>SUMIFS('הצעת תקציב 2016'!$H$3:$H$7326,'הצעת תקציב 2016'!$N$3:$N$7326,$A198,'הצעת תקציב 2016'!$U$3:$U$7326,G$164)</f>
        <v>0</v>
      </c>
      <c r="H198" s="55">
        <f>SUMIFS('הצעת תקציב 2016'!$H$3:$H$7326,'הצעת תקציב 2016'!$N$3:$N$7326,$A198,'הצעת תקציב 2016'!$U$3:$U$7326,H$164)</f>
        <v>0</v>
      </c>
      <c r="I198" s="55">
        <f>SUMIFS('הצעת תקציב 2016'!$H$3:$H$7326,'הצעת תקציב 2016'!$N$3:$N$7326,$A198,'הצעת תקציב 2016'!$U$3:$U$7326,I$164)</f>
        <v>0</v>
      </c>
      <c r="J198" s="55">
        <f>SUMIFS('הצעת תקציב 2016'!$H$3:$H$7326,'הצעת תקציב 2016'!$N$3:$N$7326,$A198,'הצעת תקציב 2016'!$U$3:$U$7326,J$164)</f>
        <v>0</v>
      </c>
      <c r="K198" s="55">
        <f>SUMIFS('הצעת תקציב 2016'!$H$3:$H$7326,'הצעת תקציב 2016'!$N$3:$N$7326,$A198,'הצעת תקציב 2016'!$U$3:$U$7326,K$164)</f>
        <v>0</v>
      </c>
      <c r="L198" s="83">
        <f t="shared" si="36"/>
        <v>0</v>
      </c>
      <c r="M198" s="83">
        <f t="shared" si="35"/>
        <v>0</v>
      </c>
      <c r="N198" s="90">
        <f t="shared" si="37"/>
        <v>0</v>
      </c>
      <c r="Q198" s="18"/>
    </row>
    <row r="199" spans="1:17" ht="15.75">
      <c r="A199" s="88">
        <v>48</v>
      </c>
      <c r="B199" s="65"/>
      <c r="C199" s="55">
        <f>SUMIFS('הצעת תקציב 2016'!$H$3:$H$7326,'הצעת תקציב 2016'!$N$3:$N$7326,$A199,'הצעת תקציב 2016'!$U$3:$U$7326,C$164)</f>
        <v>0</v>
      </c>
      <c r="D199" s="55">
        <f>SUMIFS('הצעת תקציב 2016'!$H$3:$H$7326,'הצעת תקציב 2016'!$N$3:$N$7326,$A199,'הצעת תקציב 2016'!$U$3:$U$7326,D$164)</f>
        <v>0</v>
      </c>
      <c r="E199" s="55">
        <f>SUMIFS('הצעת תקציב 2016'!$H$3:$H$7326,'הצעת תקציב 2016'!$N$3:$N$7326,$A199,'הצעת תקציב 2016'!$U$3:$U$7326,E$164)</f>
        <v>0</v>
      </c>
      <c r="F199" s="55">
        <f>SUMIFS('הצעת תקציב 2016'!$H$3:$H$7326,'הצעת תקציב 2016'!$N$3:$N$7326,$A199,'הצעת תקציב 2016'!$U$3:$U$7326,F$164)</f>
        <v>0</v>
      </c>
      <c r="G199" s="55">
        <f>SUMIFS('הצעת תקציב 2016'!$H$3:$H$7326,'הצעת תקציב 2016'!$N$3:$N$7326,$A199,'הצעת תקציב 2016'!$U$3:$U$7326,G$164)</f>
        <v>0</v>
      </c>
      <c r="H199" s="55">
        <f>SUMIFS('הצעת תקציב 2016'!$H$3:$H$7326,'הצעת תקציב 2016'!$N$3:$N$7326,$A199,'הצעת תקציב 2016'!$U$3:$U$7326,H$164)</f>
        <v>0</v>
      </c>
      <c r="I199" s="55">
        <f>SUMIFS('הצעת תקציב 2016'!$H$3:$H$7326,'הצעת תקציב 2016'!$N$3:$N$7326,$A199,'הצעת תקציב 2016'!$U$3:$U$7326,I$164)</f>
        <v>0</v>
      </c>
      <c r="J199" s="55">
        <f>SUMIFS('הצעת תקציב 2016'!$H$3:$H$7326,'הצעת תקציב 2016'!$N$3:$N$7326,$A199,'הצעת תקציב 2016'!$U$3:$U$7326,J$164)</f>
        <v>0</v>
      </c>
      <c r="K199" s="55">
        <f>SUMIFS('הצעת תקציב 2016'!$H$3:$H$7326,'הצעת תקציב 2016'!$N$3:$N$7326,$A199,'הצעת תקציב 2016'!$U$3:$U$7326,K$164)</f>
        <v>0</v>
      </c>
      <c r="L199" s="83">
        <f t="shared" si="36"/>
        <v>0</v>
      </c>
      <c r="M199" s="83">
        <f t="shared" si="35"/>
        <v>0</v>
      </c>
      <c r="N199" s="90">
        <f t="shared" si="37"/>
        <v>0</v>
      </c>
      <c r="Q199" s="18"/>
    </row>
    <row r="200" spans="1:17" ht="15.75">
      <c r="A200" s="88">
        <v>51</v>
      </c>
      <c r="B200" s="65"/>
      <c r="C200" s="55">
        <f>SUMIFS('הצעת תקציב 2016'!$H$3:$H$7326,'הצעת תקציב 2016'!$N$3:$N$7326,$A200,'הצעת תקציב 2016'!$U$3:$U$7326,C$164)</f>
        <v>0</v>
      </c>
      <c r="D200" s="55">
        <f>SUMIFS('הצעת תקציב 2016'!$H$3:$H$7326,'הצעת תקציב 2016'!$N$3:$N$7326,$A200,'הצעת תקציב 2016'!$U$3:$U$7326,D$164)</f>
        <v>0</v>
      </c>
      <c r="E200" s="55">
        <f>SUMIFS('הצעת תקציב 2016'!$H$3:$H$7326,'הצעת תקציב 2016'!$N$3:$N$7326,$A200,'הצעת תקציב 2016'!$U$3:$U$7326,E$164)</f>
        <v>0</v>
      </c>
      <c r="F200" s="55">
        <f>SUMIFS('הצעת תקציב 2016'!$H$3:$H$7326,'הצעת תקציב 2016'!$N$3:$N$7326,$A200,'הצעת תקציב 2016'!$U$3:$U$7326,F$164)</f>
        <v>0</v>
      </c>
      <c r="G200" s="55">
        <f>SUMIFS('הצעת תקציב 2016'!$H$3:$H$7326,'הצעת תקציב 2016'!$N$3:$N$7326,$A200,'הצעת תקציב 2016'!$U$3:$U$7326,G$164)</f>
        <v>0</v>
      </c>
      <c r="H200" s="55">
        <f>SUMIFS('הצעת תקציב 2016'!$H$3:$H$7326,'הצעת תקציב 2016'!$N$3:$N$7326,$A200,'הצעת תקציב 2016'!$U$3:$U$7326,H$164)</f>
        <v>-14100000</v>
      </c>
      <c r="I200" s="55">
        <f>SUMIFS('הצעת תקציב 2016'!$H$3:$H$7326,'הצעת תקציב 2016'!$N$3:$N$7326,$A200,'הצעת תקציב 2016'!$U$3:$U$7326,I$164)</f>
        <v>0</v>
      </c>
      <c r="J200" s="55">
        <f>SUMIFS('הצעת תקציב 2016'!$H$3:$H$7326,'הצעת תקציב 2016'!$N$3:$N$7326,$A200,'הצעת תקציב 2016'!$U$3:$U$7326,J$164)</f>
        <v>0</v>
      </c>
      <c r="K200" s="55">
        <f>SUMIFS('הצעת תקציב 2016'!$H$3:$H$7326,'הצעת תקציב 2016'!$N$3:$N$7326,$A200,'הצעת תקציב 2016'!$U$3:$U$7326,K$164)</f>
        <v>0</v>
      </c>
      <c r="L200" s="83">
        <f t="shared" si="28"/>
        <v>-14100000</v>
      </c>
      <c r="M200" s="83"/>
      <c r="N200" s="90">
        <f t="shared" si="29"/>
        <v>-14100000</v>
      </c>
      <c r="Q200" s="18"/>
    </row>
    <row r="201" spans="1:17" ht="16.5" thickBot="1">
      <c r="A201" s="89">
        <v>59</v>
      </c>
      <c r="B201" s="67"/>
      <c r="C201" s="84">
        <f>SUMIFS('הצעת תקציב 2016'!$H$3:$H$7326,'הצעת תקציב 2016'!$N$3:$N$7326,$A201,'הצעת תקציב 2016'!$U$3:$U$7326,C$164)</f>
        <v>0</v>
      </c>
      <c r="D201" s="84">
        <f>SUMIFS('הצעת תקציב 2016'!$H$3:$H$7326,'הצעת תקציב 2016'!$N$3:$N$7326,$A201,'הצעת תקציב 2016'!$U$3:$U$7326,D$164)</f>
        <v>0</v>
      </c>
      <c r="E201" s="84">
        <f>SUMIFS('הצעת תקציב 2016'!$H$3:$H$7326,'הצעת תקציב 2016'!$N$3:$N$7326,$A201,'הצעת תקציב 2016'!$U$3:$U$7326,E$164)</f>
        <v>0</v>
      </c>
      <c r="F201" s="84">
        <f>SUMIFS('הצעת תקציב 2016'!$H$3:$H$7326,'הצעת תקציב 2016'!$N$3:$N$7326,$A201,'הצעת תקציב 2016'!$U$3:$U$7326,F$164)</f>
        <v>0</v>
      </c>
      <c r="G201" s="84">
        <f>SUMIFS('הצעת תקציב 2016'!$H$3:$H$7326,'הצעת תקציב 2016'!$N$3:$N$7326,$A201,'הצעת תקציב 2016'!$U$3:$U$7326,G$164)</f>
        <v>0</v>
      </c>
      <c r="H201" s="84">
        <f>SUMIFS('הצעת תקציב 2016'!$H$3:$H$7326,'הצעת תקציב 2016'!$N$3:$N$7326,$A201,'הצעת תקציב 2016'!$U$3:$U$7326,H$164)</f>
        <v>0</v>
      </c>
      <c r="I201" s="84">
        <f>SUMIFS('הצעת תקציב 2016'!$H$3:$H$7326,'הצעת תקציב 2016'!$N$3:$N$7326,$A201,'הצעת תקציב 2016'!$U$3:$U$7326,I$164)</f>
        <v>0</v>
      </c>
      <c r="J201" s="84">
        <f>SUMIFS('הצעת תקציב 2016'!$H$3:$H$7326,'הצעת תקציב 2016'!$N$3:$N$7326,$A201,'הצעת תקציב 2016'!$U$3:$U$7326,J$164)</f>
        <v>0</v>
      </c>
      <c r="K201" s="84">
        <f>SUMIFS('הצעת תקציב 2016'!$H$3:$H$7326,'הצעת תקציב 2016'!$N$3:$N$7326,$A201,'הצעת תקציב 2016'!$U$3:$U$7326,K$164)</f>
        <v>0</v>
      </c>
      <c r="L201" s="85">
        <f t="shared" si="28"/>
        <v>0</v>
      </c>
      <c r="M201" s="83">
        <f>INDEX($A$204:$L$230,MATCH(A201+40,$A$204:$A$230,0),12)</f>
        <v>372034700</v>
      </c>
      <c r="N201" s="90">
        <f t="shared" si="29"/>
        <v>372034700</v>
      </c>
      <c r="Q201" s="18"/>
    </row>
    <row r="202" spans="1:17" ht="15.75">
      <c r="A202" s="91"/>
      <c r="B202" s="65"/>
      <c r="C202" s="92">
        <f t="shared" ref="C202:J202" si="38">SUM(C178:C201)</f>
        <v>0</v>
      </c>
      <c r="D202" s="92">
        <f t="shared" si="38"/>
        <v>-31560800</v>
      </c>
      <c r="E202" s="92">
        <f t="shared" si="38"/>
        <v>0</v>
      </c>
      <c r="F202" s="92">
        <f t="shared" si="38"/>
        <v>-76916200</v>
      </c>
      <c r="G202" s="92">
        <f t="shared" si="38"/>
        <v>-5000</v>
      </c>
      <c r="H202" s="92">
        <f t="shared" si="38"/>
        <v>-33137000</v>
      </c>
      <c r="I202" s="92">
        <f t="shared" si="38"/>
        <v>-12453000</v>
      </c>
      <c r="J202" s="92">
        <f t="shared" si="38"/>
        <v>-40000000</v>
      </c>
      <c r="K202" s="92">
        <f>SUM(K178:K201)</f>
        <v>-476588000</v>
      </c>
      <c r="L202" s="86"/>
      <c r="M202" s="86"/>
      <c r="N202" s="90"/>
      <c r="Q202" s="18"/>
    </row>
    <row r="203" spans="1:17" ht="30">
      <c r="A203" s="65"/>
      <c r="B203" s="65"/>
      <c r="C203" s="52" t="str">
        <f>INDEX(Expenditure_type,MATCH(C$164*1,type!$A$2:$A$117,0),8)</f>
        <v>משכורות וש"ע לעובדים לפי תקן</v>
      </c>
      <c r="D203" s="52" t="str">
        <f>INDEX(Expenditure_type,MATCH(D$164*1,type!$A$2:$A$117,0),8)</f>
        <v>משכורות וש"ע לעובדים בלי תקן</v>
      </c>
      <c r="E203" s="52" t="str">
        <f>INDEX(Expenditure_type,MATCH(E$164*1,type!$A$2:$A$117,0),8)</f>
        <v>פנסיה ופיצויים</v>
      </c>
      <c r="F203" s="52" t="str">
        <f>INDEX(Expenditure_type,MATCH(F$164*1,type!$A$2:$A$117,0),8)</f>
        <v>אחזקת בינים ואספקת ציוד</v>
      </c>
      <c r="G203" s="52" t="str">
        <f>INDEX(Expenditure_type,MATCH(G$164*1,type!$A$2:$A$117,0),8)</f>
        <v>הוצאות מנהליות</v>
      </c>
      <c r="H203" s="52" t="str">
        <f>INDEX(Expenditure_type,MATCH(H$164*1,type!$A$2:$A$117,0),8)</f>
        <v>מימון ופירעון מלוות</v>
      </c>
      <c r="I203" s="52" t="str">
        <f>INDEX(Expenditure_type,MATCH(I$164*1,type!$A$2:$A$117,0),8)</f>
        <v>הוצאות לפעולות</v>
      </c>
      <c r="J203" s="52" t="str">
        <f>INDEX(Expenditure_type,MATCH(J$164*1,type!$A$2:$A$117,0),8)</f>
        <v>השתתפויות תמיכות ותרומות</v>
      </c>
      <c r="K203" s="52" t="str">
        <f>INDEX(Expenditure_type,MATCH(K$164*1,type!$A$2:$A$117,0),8)</f>
        <v>הוצאות חד פעמיות</v>
      </c>
      <c r="L203" s="86"/>
      <c r="N203" s="90"/>
      <c r="Q203" s="18"/>
    </row>
    <row r="204" spans="1:17" ht="15.75">
      <c r="A204" s="87">
        <v>61</v>
      </c>
      <c r="C204" s="79">
        <f>SUMIFS('הצעת תקציב 2016'!$H$3:$H$7326,'הצעת תקציב 2016'!$N$3:$N$7326,$A204,'הצעת תקציב 2016'!$U$3:$U$7326,C$164)</f>
        <v>53094000</v>
      </c>
      <c r="D204" s="79">
        <f>SUMIFS('הצעת תקציב 2016'!$H$3:$H$7326,'הצעת תקציב 2016'!$N$3:$N$7326,$A204,'הצעת תקציב 2016'!$U$3:$U$7326,D$164)</f>
        <v>0</v>
      </c>
      <c r="E204" s="79">
        <f>SUMIFS('הצעת תקציב 2016'!$H$3:$H$7326,'הצעת תקציב 2016'!$N$3:$N$7326,$A204,'הצעת תקציב 2016'!$U$3:$U$7326,E$164)</f>
        <v>0</v>
      </c>
      <c r="F204" s="79">
        <f>SUMIFS('הצעת תקציב 2016'!$H$3:$H$7326,'הצעת תקציב 2016'!$N$3:$N$7326,$A204,'הצעת תקציב 2016'!$U$3:$U$7326,F$164)</f>
        <v>881700</v>
      </c>
      <c r="G204" s="79">
        <f>SUMIFS('הצעת תקציב 2016'!$H$3:$H$7326,'הצעת תקציב 2016'!$N$3:$N$7326,$A204,'הצעת תקציב 2016'!$U$3:$U$7326,G$164)</f>
        <v>26254400</v>
      </c>
      <c r="H204" s="79">
        <f>SUMIFS('הצעת תקציב 2016'!$H$3:$H$7326,'הצעת תקציב 2016'!$N$3:$N$7326,$A204,'הצעת תקציב 2016'!$U$3:$U$7326,H$164)</f>
        <v>0</v>
      </c>
      <c r="I204" s="79">
        <f>SUMIFS('הצעת תקציב 2016'!$H$3:$H$7326,'הצעת תקציב 2016'!$N$3:$N$7326,$A204,'הצעת תקציב 2016'!$U$3:$U$7326,I$164)</f>
        <v>4242000</v>
      </c>
      <c r="J204" s="79">
        <f>SUMIFS('הצעת תקציב 2016'!$H$3:$H$7326,'הצעת תקציב 2016'!$N$3:$N$7326,$A204,'הצעת תקציב 2016'!$U$3:$U$7326,J$164)</f>
        <v>13393600</v>
      </c>
      <c r="K204" s="79">
        <f>SUMIFS('הצעת תקציב 2016'!$H$3:$H$7326,'הצעת תקציב 2016'!$N$3:$N$7326,$A204,'הצעת תקציב 2016'!$U$3:$U$7326,K$164)</f>
        <v>0</v>
      </c>
      <c r="L204" s="59">
        <f t="shared" si="28"/>
        <v>97865700</v>
      </c>
      <c r="Q204" s="18"/>
    </row>
    <row r="205" spans="1:17">
      <c r="A205" s="87">
        <v>62</v>
      </c>
      <c r="C205" s="55">
        <f>SUMIFS('הצעת תקציב 2016'!$H$3:$H$7326,'הצעת תקציב 2016'!$N$3:$N$7326,$A205,'הצעת תקציב 2016'!$U$3:$U$7326,C$164)</f>
        <v>55838000</v>
      </c>
      <c r="D205" s="55">
        <f>SUMIFS('הצעת תקציב 2016'!$H$3:$H$7326,'הצעת תקציב 2016'!$N$3:$N$7326,$A205,'הצעת תקציב 2016'!$U$3:$U$7326,D$164)</f>
        <v>0</v>
      </c>
      <c r="E205" s="55">
        <f>SUMIFS('הצעת תקציב 2016'!$H$3:$H$7326,'הצעת תקציב 2016'!$N$3:$N$7326,$A205,'הצעת תקציב 2016'!$U$3:$U$7326,E$164)</f>
        <v>0</v>
      </c>
      <c r="F205" s="55">
        <f>SUMIFS('הצעת תקציב 2016'!$H$3:$H$7326,'הצעת תקציב 2016'!$N$3:$N$7326,$A205,'הצעת תקציב 2016'!$U$3:$U$7326,F$164)</f>
        <v>2345600</v>
      </c>
      <c r="G205" s="55">
        <f>SUMIFS('הצעת תקציב 2016'!$H$3:$H$7326,'הצעת תקציב 2016'!$N$3:$N$7326,$A205,'הצעת תקציב 2016'!$U$3:$U$7326,G$164)</f>
        <v>3112800</v>
      </c>
      <c r="H205" s="55">
        <f>SUMIFS('הצעת תקציב 2016'!$H$3:$H$7326,'הצעת תקציב 2016'!$N$3:$N$7326,$A205,'הצעת תקציב 2016'!$U$3:$U$7326,H$164)</f>
        <v>0</v>
      </c>
      <c r="I205" s="55">
        <f>SUMIFS('הצעת תקציב 2016'!$H$3:$H$7326,'הצעת תקציב 2016'!$N$3:$N$7326,$A205,'הצעת תקציב 2016'!$U$3:$U$7326,I$164)</f>
        <v>23366000</v>
      </c>
      <c r="J205" s="55">
        <f>SUMIFS('הצעת תקציב 2016'!$H$3:$H$7326,'הצעת תקציב 2016'!$N$3:$N$7326,$A205,'הצעת תקציב 2016'!$U$3:$U$7326,J$164)</f>
        <v>0</v>
      </c>
      <c r="K205" s="55">
        <f>SUMIFS('הצעת תקציב 2016'!$H$3:$H$7326,'הצעת תקציב 2016'!$N$3:$N$7326,$A205,'הצעת תקציב 2016'!$U$3:$U$7326,K$164)</f>
        <v>0</v>
      </c>
      <c r="L205" s="59">
        <f t="shared" si="28"/>
        <v>84662400</v>
      </c>
    </row>
    <row r="206" spans="1:17">
      <c r="A206" s="87">
        <v>63</v>
      </c>
      <c r="C206" s="55">
        <f>SUMIFS('הצעת תקציב 2016'!$H$3:$H$7326,'הצעת תקציב 2016'!$N$3:$N$7326,$A206,'הצעת תקציב 2016'!$U$3:$U$7326,C$164)</f>
        <v>0</v>
      </c>
      <c r="D206" s="55">
        <f>SUMIFS('הצעת תקציב 2016'!$H$3:$H$7326,'הצעת תקציב 2016'!$N$3:$N$7326,$A206,'הצעת תקציב 2016'!$U$3:$U$7326,D$164)</f>
        <v>0</v>
      </c>
      <c r="E206" s="55">
        <f>SUMIFS('הצעת תקציב 2016'!$H$3:$H$7326,'הצעת תקציב 2016'!$N$3:$N$7326,$A206,'הצעת תקציב 2016'!$U$3:$U$7326,E$164)</f>
        <v>0</v>
      </c>
      <c r="F206" s="55">
        <f>SUMIFS('הצעת תקציב 2016'!$H$3:$H$7326,'הצעת תקציב 2016'!$N$3:$N$7326,$A206,'הצעת תקציב 2016'!$U$3:$U$7326,F$164)</f>
        <v>0</v>
      </c>
      <c r="G206" s="55">
        <f>SUMIFS('הצעת תקציב 2016'!$H$3:$H$7326,'הצעת תקציב 2016'!$N$3:$N$7326,$A206,'הצעת תקציב 2016'!$U$3:$U$7326,G$164)</f>
        <v>0</v>
      </c>
      <c r="H206" s="55">
        <f>SUMIFS('הצעת תקציב 2016'!$H$3:$H$7326,'הצעת תקציב 2016'!$N$3:$N$7326,$A206,'הצעת תקציב 2016'!$U$3:$U$7326,H$164)</f>
        <v>0</v>
      </c>
      <c r="I206" s="55">
        <f>SUMIFS('הצעת תקציב 2016'!$H$3:$H$7326,'הצעת תקציב 2016'!$N$3:$N$7326,$A206,'הצעת תקציב 2016'!$U$3:$U$7326,I$164)</f>
        <v>15100000</v>
      </c>
      <c r="J206" s="55">
        <f>SUMIFS('הצעת תקציב 2016'!$H$3:$H$7326,'הצעת תקציב 2016'!$N$3:$N$7326,$A206,'הצעת תקציב 2016'!$U$3:$U$7326,J$164)</f>
        <v>0</v>
      </c>
      <c r="K206" s="55">
        <f>SUMIFS('הצעת תקציב 2016'!$H$3:$H$7326,'הצעת תקציב 2016'!$N$3:$N$7326,$A206,'הצעת תקציב 2016'!$U$3:$U$7326,K$164)</f>
        <v>0</v>
      </c>
      <c r="L206" s="59">
        <f t="shared" si="28"/>
        <v>15100000</v>
      </c>
    </row>
    <row r="207" spans="1:17">
      <c r="A207" s="87">
        <v>64</v>
      </c>
      <c r="C207" s="55">
        <f>SUMIFS('הצעת תקציב 2016'!$H$3:$H$7326,'הצעת תקציב 2016'!$N$3:$N$7326,$A207,'הצעת תקציב 2016'!$U$3:$U$7326,C$164)</f>
        <v>0</v>
      </c>
      <c r="D207" s="55">
        <f>SUMIFS('הצעת תקציב 2016'!$H$3:$H$7326,'הצעת תקציב 2016'!$N$3:$N$7326,$A207,'הצעת תקציב 2016'!$U$3:$U$7326,D$164)</f>
        <v>0</v>
      </c>
      <c r="E207" s="55">
        <f>SUMIFS('הצעת תקציב 2016'!$H$3:$H$7326,'הצעת תקציב 2016'!$N$3:$N$7326,$A207,'הצעת תקציב 2016'!$U$3:$U$7326,E$164)</f>
        <v>0</v>
      </c>
      <c r="F207" s="55">
        <f>SUMIFS('הצעת תקציב 2016'!$H$3:$H$7326,'הצעת תקציב 2016'!$N$3:$N$7326,$A207,'הצעת תקציב 2016'!$U$3:$U$7326,F$164)</f>
        <v>0</v>
      </c>
      <c r="G207" s="55">
        <f>SUMIFS('הצעת תקציב 2016'!$H$3:$H$7326,'הצעת תקציב 2016'!$N$3:$N$7326,$A207,'הצעת תקציב 2016'!$U$3:$U$7326,G$164)</f>
        <v>0</v>
      </c>
      <c r="H207" s="55">
        <f>SUMIFS('הצעת תקציב 2016'!$H$3:$H$7326,'הצעת תקציב 2016'!$N$3:$N$7326,$A207,'הצעת תקציב 2016'!$U$3:$U$7326,H$164)</f>
        <v>167000000</v>
      </c>
      <c r="I207" s="55">
        <f>SUMIFS('הצעת תקציב 2016'!$H$3:$H$7326,'הצעת תקציב 2016'!$N$3:$N$7326,$A207,'הצעת תקציב 2016'!$U$3:$U$7326,I$164)</f>
        <v>0</v>
      </c>
      <c r="J207" s="55">
        <f>SUMIFS('הצעת תקציב 2016'!$H$3:$H$7326,'הצעת תקציב 2016'!$N$3:$N$7326,$A207,'הצעת תקציב 2016'!$U$3:$U$7326,J$164)</f>
        <v>0</v>
      </c>
      <c r="K207" s="55">
        <f>SUMIFS('הצעת תקציב 2016'!$H$3:$H$7326,'הצעת תקציב 2016'!$N$3:$N$7326,$A207,'הצעת תקציב 2016'!$U$3:$U$7326,K$164)</f>
        <v>0</v>
      </c>
      <c r="L207" s="59">
        <f t="shared" si="28"/>
        <v>167000000</v>
      </c>
    </row>
    <row r="208" spans="1:17">
      <c r="A208" s="87">
        <v>71</v>
      </c>
      <c r="C208" s="55">
        <f>SUMIFS('הצעת תקציב 2016'!$H$3:$H$7326,'הצעת תקציב 2016'!$N$3:$N$7326,$A208,'הצעת תקציב 2016'!$U$3:$U$7326,C$164)</f>
        <v>102030000</v>
      </c>
      <c r="D208" s="55">
        <f>SUMIFS('הצעת תקציב 2016'!$H$3:$H$7326,'הצעת תקציב 2016'!$N$3:$N$7326,$A208,'הצעת תקציב 2016'!$U$3:$U$7326,D$164)</f>
        <v>0</v>
      </c>
      <c r="E208" s="55">
        <f>SUMIFS('הצעת תקציב 2016'!$H$3:$H$7326,'הצעת תקציב 2016'!$N$3:$N$7326,$A208,'הצעת תקציב 2016'!$U$3:$U$7326,E$164)</f>
        <v>0</v>
      </c>
      <c r="F208" s="55">
        <f>SUMIFS('הצעת תקציב 2016'!$H$3:$H$7326,'הצעת תקציב 2016'!$N$3:$N$7326,$A208,'הצעת תקציב 2016'!$U$3:$U$7326,F$164)</f>
        <v>2021100</v>
      </c>
      <c r="G208" s="55">
        <f>SUMIFS('הצעת תקציב 2016'!$H$3:$H$7326,'הצעת תקציב 2016'!$N$3:$N$7326,$A208,'הצעת תקציב 2016'!$U$3:$U$7326,G$164)</f>
        <v>16226000</v>
      </c>
      <c r="H208" s="55">
        <f>SUMIFS('הצעת תקציב 2016'!$H$3:$H$7326,'הצעת תקציב 2016'!$N$3:$N$7326,$A208,'הצעת תקציב 2016'!$U$3:$U$7326,H$164)</f>
        <v>0</v>
      </c>
      <c r="I208" s="55">
        <f>SUMIFS('הצעת תקציב 2016'!$H$3:$H$7326,'הצעת תקציב 2016'!$N$3:$N$7326,$A208,'הצעת תקציב 2016'!$U$3:$U$7326,I$164)</f>
        <v>17246600</v>
      </c>
      <c r="J208" s="55">
        <f>SUMIFS('הצעת תקציב 2016'!$H$3:$H$7326,'הצעת תקציב 2016'!$N$3:$N$7326,$A208,'הצעת תקציב 2016'!$U$3:$U$7326,J$164)</f>
        <v>58000</v>
      </c>
      <c r="K208" s="55">
        <f>SUMIFS('הצעת תקציב 2016'!$H$3:$H$7326,'הצעת תקציב 2016'!$N$3:$N$7326,$A208,'הצעת תקציב 2016'!$U$3:$U$7326,K$164)</f>
        <v>0</v>
      </c>
      <c r="L208" s="59">
        <f t="shared" si="28"/>
        <v>137581700</v>
      </c>
    </row>
    <row r="209" spans="1:12">
      <c r="A209" s="87">
        <v>72</v>
      </c>
      <c r="C209" s="55">
        <f>SUMIFS('הצעת תקציב 2016'!$H$3:$H$7326,'הצעת תקציב 2016'!$N$3:$N$7326,$A209,'הצעת תקציב 2016'!$U$3:$U$7326,C$164)</f>
        <v>9833000</v>
      </c>
      <c r="D209" s="55">
        <f>SUMIFS('הצעת תקציב 2016'!$H$3:$H$7326,'הצעת תקציב 2016'!$N$3:$N$7326,$A209,'הצעת תקציב 2016'!$U$3:$U$7326,D$164)</f>
        <v>0</v>
      </c>
      <c r="E209" s="55">
        <f>SUMIFS('הצעת תקציב 2016'!$H$3:$H$7326,'הצעת תקציב 2016'!$N$3:$N$7326,$A209,'הצעת תקציב 2016'!$U$3:$U$7326,E$164)</f>
        <v>0</v>
      </c>
      <c r="F209" s="55">
        <f>SUMIFS('הצעת תקציב 2016'!$H$3:$H$7326,'הצעת תקציב 2016'!$N$3:$N$7326,$A209,'הצעת תקציב 2016'!$U$3:$U$7326,F$164)</f>
        <v>710100</v>
      </c>
      <c r="G209" s="55">
        <f>SUMIFS('הצעת תקציב 2016'!$H$3:$H$7326,'הצעת תקציב 2016'!$N$3:$N$7326,$A209,'הצעת תקציב 2016'!$U$3:$U$7326,G$164)</f>
        <v>174200</v>
      </c>
      <c r="H209" s="55">
        <f>SUMIFS('הצעת תקציב 2016'!$H$3:$H$7326,'הצעת תקציב 2016'!$N$3:$N$7326,$A209,'הצעת תקציב 2016'!$U$3:$U$7326,H$164)</f>
        <v>0</v>
      </c>
      <c r="I209" s="55">
        <f>SUMIFS('הצעת תקציב 2016'!$H$3:$H$7326,'הצעת תקציב 2016'!$N$3:$N$7326,$A209,'הצעת תקציב 2016'!$U$3:$U$7326,I$164)</f>
        <v>1321600</v>
      </c>
      <c r="J209" s="55">
        <f>SUMIFS('הצעת תקציב 2016'!$H$3:$H$7326,'הצעת תקציב 2016'!$N$3:$N$7326,$A209,'הצעת תקציב 2016'!$U$3:$U$7326,J$164)</f>
        <v>15301500</v>
      </c>
      <c r="K209" s="55">
        <f>SUMIFS('הצעת תקציב 2016'!$H$3:$H$7326,'הצעת תקציב 2016'!$N$3:$N$7326,$A209,'הצעת תקציב 2016'!$U$3:$U$7326,K$164)</f>
        <v>0</v>
      </c>
      <c r="L209" s="59">
        <f t="shared" si="28"/>
        <v>27340400</v>
      </c>
    </row>
    <row r="210" spans="1:12">
      <c r="A210" s="87">
        <v>73</v>
      </c>
      <c r="C210" s="55">
        <f>SUMIFS('הצעת תקציב 2016'!$H$3:$H$7326,'הצעת תקציב 2016'!$N$3:$N$7326,$A210,'הצעת תקציב 2016'!$U$3:$U$7326,C$164)</f>
        <v>34640000</v>
      </c>
      <c r="D210" s="55">
        <f>SUMIFS('הצעת תקציב 2016'!$H$3:$H$7326,'הצעת תקציב 2016'!$N$3:$N$7326,$A210,'הצעת תקציב 2016'!$U$3:$U$7326,D$164)</f>
        <v>0</v>
      </c>
      <c r="E210" s="55">
        <f>SUMIFS('הצעת תקציב 2016'!$H$3:$H$7326,'הצעת תקציב 2016'!$N$3:$N$7326,$A210,'הצעת תקציב 2016'!$U$3:$U$7326,E$164)</f>
        <v>0</v>
      </c>
      <c r="F210" s="55">
        <f>SUMIFS('הצעת תקציב 2016'!$H$3:$H$7326,'הצעת תקציב 2016'!$N$3:$N$7326,$A210,'הצעת תקציב 2016'!$U$3:$U$7326,F$164)</f>
        <v>437100</v>
      </c>
      <c r="G210" s="55">
        <f>SUMIFS('הצעת תקציב 2016'!$H$3:$H$7326,'הצעת תקציב 2016'!$N$3:$N$7326,$A210,'הצעת תקציב 2016'!$U$3:$U$7326,G$164)</f>
        <v>730500</v>
      </c>
      <c r="H210" s="55">
        <f>SUMIFS('הצעת תקציב 2016'!$H$3:$H$7326,'הצעת תקציב 2016'!$N$3:$N$7326,$A210,'הצעת תקציב 2016'!$U$3:$U$7326,H$164)</f>
        <v>0</v>
      </c>
      <c r="I210" s="55">
        <f>SUMIFS('הצעת תקציב 2016'!$H$3:$H$7326,'הצעת תקציב 2016'!$N$3:$N$7326,$A210,'הצעת תקציב 2016'!$U$3:$U$7326,I$164)</f>
        <v>13719500</v>
      </c>
      <c r="J210" s="55">
        <f>SUMIFS('הצעת תקציב 2016'!$H$3:$H$7326,'הצעת תקציב 2016'!$N$3:$N$7326,$A210,'הצעת תקציב 2016'!$U$3:$U$7326,J$164)</f>
        <v>0</v>
      </c>
      <c r="K210" s="55">
        <f>SUMIFS('הצעת תקציב 2016'!$H$3:$H$7326,'הצעת תקציב 2016'!$N$3:$N$7326,$A210,'הצעת תקציב 2016'!$U$3:$U$7326,K$164)</f>
        <v>0</v>
      </c>
      <c r="L210" s="59">
        <f t="shared" si="28"/>
        <v>49527100</v>
      </c>
    </row>
    <row r="211" spans="1:12">
      <c r="A211" s="87">
        <v>74</v>
      </c>
      <c r="C211" s="55">
        <f>SUMIFS('הצעת תקציב 2016'!$H$3:$H$7326,'הצעת תקציב 2016'!$N$3:$N$7326,$A211,'הצעת תקציב 2016'!$U$3:$U$7326,C$164)</f>
        <v>54741000</v>
      </c>
      <c r="D211" s="55">
        <f>SUMIFS('הצעת תקציב 2016'!$H$3:$H$7326,'הצעת תקציב 2016'!$N$3:$N$7326,$A211,'הצעת תקציב 2016'!$U$3:$U$7326,D$164)</f>
        <v>0</v>
      </c>
      <c r="E211" s="55">
        <f>SUMIFS('הצעת תקציב 2016'!$H$3:$H$7326,'הצעת תקציב 2016'!$N$3:$N$7326,$A211,'הצעת תקציב 2016'!$U$3:$U$7326,E$164)</f>
        <v>0</v>
      </c>
      <c r="F211" s="55">
        <f>SUMIFS('הצעת תקציב 2016'!$H$3:$H$7326,'הצעת תקציב 2016'!$N$3:$N$7326,$A211,'הצעת תקציב 2016'!$U$3:$U$7326,F$164)</f>
        <v>5346600</v>
      </c>
      <c r="G211" s="55">
        <f>SUMIFS('הצעת תקציב 2016'!$H$3:$H$7326,'הצעת תקציב 2016'!$N$3:$N$7326,$A211,'הצעת תקציב 2016'!$U$3:$U$7326,G$164)</f>
        <v>557000</v>
      </c>
      <c r="H211" s="55">
        <f>SUMIFS('הצעת תקציב 2016'!$H$3:$H$7326,'הצעת תקציב 2016'!$N$3:$N$7326,$A211,'הצעת תקציב 2016'!$U$3:$U$7326,H$164)</f>
        <v>0</v>
      </c>
      <c r="I211" s="55">
        <f>SUMIFS('הצעת תקציב 2016'!$H$3:$H$7326,'הצעת תקציב 2016'!$N$3:$N$7326,$A211,'הצעת תקציב 2016'!$U$3:$U$7326,I$164)</f>
        <v>49589900</v>
      </c>
      <c r="J211" s="55">
        <f>SUMIFS('הצעת תקציב 2016'!$H$3:$H$7326,'הצעת תקציב 2016'!$N$3:$N$7326,$A211,'הצעת תקציב 2016'!$U$3:$U$7326,J$164)</f>
        <v>1642100</v>
      </c>
      <c r="K211" s="55">
        <f>SUMIFS('הצעת תקציב 2016'!$H$3:$H$7326,'הצעת תקציב 2016'!$N$3:$N$7326,$A211,'הצעת תקציב 2016'!$U$3:$U$7326,K$164)</f>
        <v>0</v>
      </c>
      <c r="L211" s="59">
        <f t="shared" si="28"/>
        <v>111876600</v>
      </c>
    </row>
    <row r="212" spans="1:12">
      <c r="A212" s="87">
        <v>75</v>
      </c>
      <c r="C212" s="55">
        <f>SUMIFS('הצעת תקציב 2016'!$H$3:$H$7326,'הצעת תקציב 2016'!$N$3:$N$7326,$A212,'הצעת תקציב 2016'!$U$3:$U$7326,C$164)</f>
        <v>0</v>
      </c>
      <c r="D212" s="55">
        <f>SUMIFS('הצעת תקציב 2016'!$H$3:$H$7326,'הצעת תקציב 2016'!$N$3:$N$7326,$A212,'הצעת תקציב 2016'!$U$3:$U$7326,D$164)</f>
        <v>0</v>
      </c>
      <c r="E212" s="55">
        <f>SUMIFS('הצעת תקציב 2016'!$H$3:$H$7326,'הצעת תקציב 2016'!$N$3:$N$7326,$A212,'הצעת תקציב 2016'!$U$3:$U$7326,E$164)</f>
        <v>0</v>
      </c>
      <c r="F212" s="55">
        <f>SUMIFS('הצעת תקציב 2016'!$H$3:$H$7326,'הצעת תקציב 2016'!$N$3:$N$7326,$A212,'הצעת תקציב 2016'!$U$3:$U$7326,F$164)</f>
        <v>0</v>
      </c>
      <c r="G212" s="55">
        <f>SUMIFS('הצעת תקציב 2016'!$H$3:$H$7326,'הצעת תקציב 2016'!$N$3:$N$7326,$A212,'הצעת תקציב 2016'!$U$3:$U$7326,G$164)</f>
        <v>0</v>
      </c>
      <c r="H212" s="55">
        <f>SUMIFS('הצעת תקציב 2016'!$H$3:$H$7326,'הצעת תקציב 2016'!$N$3:$N$7326,$A212,'הצעת תקציב 2016'!$U$3:$U$7326,H$164)</f>
        <v>0</v>
      </c>
      <c r="I212" s="55">
        <f>SUMIFS('הצעת תקציב 2016'!$H$3:$H$7326,'הצעת תקציב 2016'!$N$3:$N$7326,$A212,'הצעת תקציב 2016'!$U$3:$U$7326,I$164)</f>
        <v>1797300</v>
      </c>
      <c r="J212" s="55">
        <f>SUMIFS('הצעת תקציב 2016'!$H$3:$H$7326,'הצעת תקציב 2016'!$N$3:$N$7326,$A212,'הצעת תקציב 2016'!$U$3:$U$7326,J$164)</f>
        <v>73100</v>
      </c>
      <c r="K212" s="55">
        <f>SUMIFS('הצעת תקציב 2016'!$H$3:$H$7326,'הצעת תקציב 2016'!$N$3:$N$7326,$A212,'הצעת תקציב 2016'!$U$3:$U$7326,K$164)</f>
        <v>0</v>
      </c>
      <c r="L212" s="59">
        <f t="shared" si="28"/>
        <v>1870400</v>
      </c>
    </row>
    <row r="213" spans="1:12">
      <c r="A213" s="87">
        <v>76</v>
      </c>
      <c r="C213" s="55">
        <f>SUMIFS('הצעת תקציב 2016'!$H$3:$H$7326,'הצעת תקציב 2016'!$N$3:$N$7326,$A213,'הצעת תקציב 2016'!$U$3:$U$7326,C$164)</f>
        <v>8916000</v>
      </c>
      <c r="D213" s="55">
        <f>SUMIFS('הצעת תקציב 2016'!$H$3:$H$7326,'הצעת תקציב 2016'!$N$3:$N$7326,$A213,'הצעת תקציב 2016'!$U$3:$U$7326,D$164)</f>
        <v>0</v>
      </c>
      <c r="E213" s="55">
        <f>SUMIFS('הצעת תקציב 2016'!$H$3:$H$7326,'הצעת תקציב 2016'!$N$3:$N$7326,$A213,'הצעת תקציב 2016'!$U$3:$U$7326,E$164)</f>
        <v>0</v>
      </c>
      <c r="F213" s="55">
        <f>SUMIFS('הצעת תקציב 2016'!$H$3:$H$7326,'הצעת תקציב 2016'!$N$3:$N$7326,$A213,'הצעת תקציב 2016'!$U$3:$U$7326,F$164)</f>
        <v>37500</v>
      </c>
      <c r="G213" s="55">
        <f>SUMIFS('הצעת תקציב 2016'!$H$3:$H$7326,'הצעת תקציב 2016'!$N$3:$N$7326,$A213,'הצעת תקציב 2016'!$U$3:$U$7326,G$164)</f>
        <v>238000</v>
      </c>
      <c r="H213" s="55">
        <f>SUMIFS('הצעת תקציב 2016'!$H$3:$H$7326,'הצעת תקציב 2016'!$N$3:$N$7326,$A213,'הצעת תקציב 2016'!$U$3:$U$7326,H$164)</f>
        <v>0</v>
      </c>
      <c r="I213" s="55">
        <f>SUMIFS('הצעת תקציב 2016'!$H$3:$H$7326,'הצעת תקציב 2016'!$N$3:$N$7326,$A213,'הצעת תקציב 2016'!$U$3:$U$7326,I$164)</f>
        <v>19517900</v>
      </c>
      <c r="J213" s="55">
        <f>SUMIFS('הצעת תקציב 2016'!$H$3:$H$7326,'הצעת תקציב 2016'!$N$3:$N$7326,$A213,'הצעת תקציב 2016'!$U$3:$U$7326,J$164)</f>
        <v>2506000</v>
      </c>
      <c r="K213" s="55">
        <f>SUMIFS('הצעת תקציב 2016'!$H$3:$H$7326,'הצעת תקציב 2016'!$N$3:$N$7326,$A213,'הצעת תקציב 2016'!$U$3:$U$7326,K$164)</f>
        <v>0</v>
      </c>
      <c r="L213" s="59">
        <f t="shared" si="28"/>
        <v>31215400</v>
      </c>
    </row>
    <row r="214" spans="1:12">
      <c r="A214" s="87">
        <v>77</v>
      </c>
      <c r="C214" s="55">
        <f>SUMIFS('הצעת תקציב 2016'!$H$3:$H$7326,'הצעת תקציב 2016'!$N$3:$N$7326,$A214,'הצעת תקציב 2016'!$U$3:$U$7326,C$164)</f>
        <v>3319000</v>
      </c>
      <c r="D214" s="55">
        <f>SUMIFS('הצעת תקציב 2016'!$H$3:$H$7326,'הצעת תקציב 2016'!$N$3:$N$7326,$A214,'הצעת תקציב 2016'!$U$3:$U$7326,D$164)</f>
        <v>0</v>
      </c>
      <c r="E214" s="55">
        <f>SUMIFS('הצעת תקציב 2016'!$H$3:$H$7326,'הצעת תקציב 2016'!$N$3:$N$7326,$A214,'הצעת תקציב 2016'!$U$3:$U$7326,E$164)</f>
        <v>0</v>
      </c>
      <c r="F214" s="55">
        <f>SUMIFS('הצעת תקציב 2016'!$H$3:$H$7326,'הצעת תקציב 2016'!$N$3:$N$7326,$A214,'הצעת תקציב 2016'!$U$3:$U$7326,F$164)</f>
        <v>4000</v>
      </c>
      <c r="G214" s="55">
        <f>SUMIFS('הצעת תקציב 2016'!$H$3:$H$7326,'הצעת תקציב 2016'!$N$3:$N$7326,$A214,'הצעת תקציב 2016'!$U$3:$U$7326,G$164)</f>
        <v>25700</v>
      </c>
      <c r="H214" s="55">
        <f>SUMIFS('הצעת תקציב 2016'!$H$3:$H$7326,'הצעת תקציב 2016'!$N$3:$N$7326,$A214,'הצעת תקציב 2016'!$U$3:$U$7326,H$164)</f>
        <v>0</v>
      </c>
      <c r="I214" s="55">
        <f>SUMIFS('הצעת תקציב 2016'!$H$3:$H$7326,'הצעת תקציב 2016'!$N$3:$N$7326,$A214,'הצעת תקציב 2016'!$U$3:$U$7326,I$164)</f>
        <v>11000</v>
      </c>
      <c r="J214" s="55">
        <f>SUMIFS('הצעת תקציב 2016'!$H$3:$H$7326,'הצעת תקציב 2016'!$N$3:$N$7326,$A214,'הצעת תקציב 2016'!$U$3:$U$7326,J$164)</f>
        <v>2273200</v>
      </c>
      <c r="K214" s="55">
        <f>SUMIFS('הצעת תקציב 2016'!$H$3:$H$7326,'הצעת תקציב 2016'!$N$3:$N$7326,$A214,'הצעת תקציב 2016'!$U$3:$U$7326,K$164)</f>
        <v>0</v>
      </c>
      <c r="L214" s="59">
        <f t="shared" si="28"/>
        <v>5632900</v>
      </c>
    </row>
    <row r="215" spans="1:12">
      <c r="A215" s="87">
        <v>78</v>
      </c>
      <c r="C215" s="55">
        <f>SUMIFS('הצעת תקציב 2016'!$H$3:$H$7326,'הצעת תקציב 2016'!$N$3:$N$7326,$A215,'הצעת תקציב 2016'!$U$3:$U$7326,C$164)</f>
        <v>24034000</v>
      </c>
      <c r="D215" s="55">
        <f>SUMIFS('הצעת תקציב 2016'!$H$3:$H$7326,'הצעת תקציב 2016'!$N$3:$N$7326,$A215,'הצעת תקציב 2016'!$U$3:$U$7326,D$164)</f>
        <v>0</v>
      </c>
      <c r="E215" s="55">
        <f>SUMIFS('הצעת תקציב 2016'!$H$3:$H$7326,'הצעת תקציב 2016'!$N$3:$N$7326,$A215,'הצעת תקציב 2016'!$U$3:$U$7326,E$164)</f>
        <v>0</v>
      </c>
      <c r="F215" s="55">
        <f>SUMIFS('הצעת תקציב 2016'!$H$3:$H$7326,'הצעת תקציב 2016'!$N$3:$N$7326,$A215,'הצעת תקציב 2016'!$U$3:$U$7326,F$164)</f>
        <v>1070600</v>
      </c>
      <c r="G215" s="55">
        <f>SUMIFS('הצעת תקציב 2016'!$H$3:$H$7326,'הצעת תקציב 2016'!$N$3:$N$7326,$A215,'הצעת תקציב 2016'!$U$3:$U$7326,G$164)</f>
        <v>1490000</v>
      </c>
      <c r="H215" s="55">
        <f>SUMIFS('הצעת תקציב 2016'!$H$3:$H$7326,'הצעת תקציב 2016'!$N$3:$N$7326,$A215,'הצעת תקציב 2016'!$U$3:$U$7326,H$164)</f>
        <v>0</v>
      </c>
      <c r="I215" s="55">
        <f>SUMIFS('הצעת תקציב 2016'!$H$3:$H$7326,'הצעת תקציב 2016'!$N$3:$N$7326,$A215,'הצעת תקציב 2016'!$U$3:$U$7326,I$164)</f>
        <v>2718600</v>
      </c>
      <c r="J215" s="55">
        <f>SUMIFS('הצעת תקציב 2016'!$H$3:$H$7326,'הצעת תקציב 2016'!$N$3:$N$7326,$A215,'הצעת תקציב 2016'!$U$3:$U$7326,J$164)</f>
        <v>0</v>
      </c>
      <c r="K215" s="55">
        <f>SUMIFS('הצעת תקציב 2016'!$H$3:$H$7326,'הצעת תקציב 2016'!$N$3:$N$7326,$A215,'הצעת תקציב 2016'!$U$3:$U$7326,K$164)</f>
        <v>0</v>
      </c>
      <c r="L215" s="59">
        <f t="shared" si="28"/>
        <v>29313200</v>
      </c>
    </row>
    <row r="216" spans="1:12">
      <c r="A216" s="87">
        <v>81</v>
      </c>
      <c r="C216" s="55">
        <f>SUMIFS('הצעת תקציב 2016'!$H$3:$H$7326,'הצעת תקציב 2016'!$N$3:$N$7326,$A216,'הצעת תקציב 2016'!$U$3:$U$7326,C$164)</f>
        <v>288699400</v>
      </c>
      <c r="D216" s="55">
        <f>SUMIFS('הצעת תקציב 2016'!$H$3:$H$7326,'הצעת תקציב 2016'!$N$3:$N$7326,$A216,'הצעת תקציב 2016'!$U$3:$U$7326,D$164)</f>
        <v>17408600</v>
      </c>
      <c r="E216" s="55">
        <f>SUMIFS('הצעת תקציב 2016'!$H$3:$H$7326,'הצעת תקציב 2016'!$N$3:$N$7326,$A216,'הצעת תקציב 2016'!$U$3:$U$7326,E$164)</f>
        <v>0</v>
      </c>
      <c r="F216" s="55">
        <f>SUMIFS('הצעת תקציב 2016'!$H$3:$H$7326,'הצעת תקציב 2016'!$N$3:$N$7326,$A216,'הצעת תקציב 2016'!$U$3:$U$7326,F$164)</f>
        <v>11363100</v>
      </c>
      <c r="G216" s="55">
        <f>SUMIFS('הצעת תקציב 2016'!$H$3:$H$7326,'הצעת תקציב 2016'!$N$3:$N$7326,$A216,'הצעת תקציב 2016'!$U$3:$U$7326,G$164)</f>
        <v>17708200</v>
      </c>
      <c r="H216" s="55">
        <f>SUMIFS('הצעת תקציב 2016'!$H$3:$H$7326,'הצעת תקציב 2016'!$N$3:$N$7326,$A216,'הצעת תקציב 2016'!$U$3:$U$7326,H$164)</f>
        <v>0</v>
      </c>
      <c r="I216" s="55">
        <f>SUMIFS('הצעת תקציב 2016'!$H$3:$H$7326,'הצעת תקציב 2016'!$N$3:$N$7326,$A216,'הצעת תקציב 2016'!$U$3:$U$7326,I$164)</f>
        <v>137586600</v>
      </c>
      <c r="J216" s="55">
        <f>SUMIFS('הצעת תקציב 2016'!$H$3:$H$7326,'הצעת תקציב 2016'!$N$3:$N$7326,$A216,'הצעת תקציב 2016'!$U$3:$U$7326,J$164)</f>
        <v>11875300</v>
      </c>
      <c r="K216" s="55">
        <f>SUMIFS('הצעת תקציב 2016'!$H$3:$H$7326,'הצעת תקציב 2016'!$N$3:$N$7326,$A216,'הצעת תקציב 2016'!$U$3:$U$7326,K$164)</f>
        <v>0</v>
      </c>
      <c r="L216" s="59">
        <f t="shared" si="28"/>
        <v>484641200</v>
      </c>
    </row>
    <row r="217" spans="1:12">
      <c r="A217" s="87">
        <v>82</v>
      </c>
      <c r="C217" s="55">
        <f>SUMIFS('הצעת תקציב 2016'!$H$3:$H$7326,'הצעת תקציב 2016'!$N$3:$N$7326,$A217,'הצעת תקציב 2016'!$U$3:$U$7326,C$164)</f>
        <v>30948100</v>
      </c>
      <c r="D217" s="55">
        <f>SUMIFS('הצעת תקציב 2016'!$H$3:$H$7326,'הצעת תקציב 2016'!$N$3:$N$7326,$A217,'הצעת תקציב 2016'!$U$3:$U$7326,D$164)</f>
        <v>7604900</v>
      </c>
      <c r="E217" s="55">
        <f>SUMIFS('הצעת תקציב 2016'!$H$3:$H$7326,'הצעת תקציב 2016'!$N$3:$N$7326,$A217,'הצעת תקציב 2016'!$U$3:$U$7326,E$164)</f>
        <v>0</v>
      </c>
      <c r="F217" s="55">
        <f>SUMIFS('הצעת תקציב 2016'!$H$3:$H$7326,'הצעת תקציב 2016'!$N$3:$N$7326,$A217,'הצעת תקציב 2016'!$U$3:$U$7326,F$164)</f>
        <v>845500</v>
      </c>
      <c r="G217" s="55">
        <f>SUMIFS('הצעת תקציב 2016'!$H$3:$H$7326,'הצעת תקציב 2016'!$N$3:$N$7326,$A217,'הצעת תקציב 2016'!$U$3:$U$7326,G$164)</f>
        <v>2869100</v>
      </c>
      <c r="H217" s="55">
        <f>SUMIFS('הצעת תקציב 2016'!$H$3:$H$7326,'הצעת תקציב 2016'!$N$3:$N$7326,$A217,'הצעת תקציב 2016'!$U$3:$U$7326,H$164)</f>
        <v>0</v>
      </c>
      <c r="I217" s="55">
        <f>SUMIFS('הצעת תקציב 2016'!$H$3:$H$7326,'הצעת תקציב 2016'!$N$3:$N$7326,$A217,'הצעת תקציב 2016'!$U$3:$U$7326,I$164)</f>
        <v>34550000</v>
      </c>
      <c r="J217" s="55">
        <f>SUMIFS('הצעת תקציב 2016'!$H$3:$H$7326,'הצעת תקציב 2016'!$N$3:$N$7326,$A217,'הצעת תקציב 2016'!$U$3:$U$7326,J$164)</f>
        <v>67935200</v>
      </c>
      <c r="K217" s="55">
        <f>SUMIFS('הצעת תקציב 2016'!$H$3:$H$7326,'הצעת תקציב 2016'!$N$3:$N$7326,$A217,'הצעת תקציב 2016'!$U$3:$U$7326,K$164)</f>
        <v>0</v>
      </c>
      <c r="L217" s="59">
        <f t="shared" si="28"/>
        <v>144752800</v>
      </c>
    </row>
    <row r="218" spans="1:12">
      <c r="A218" s="87">
        <v>83</v>
      </c>
      <c r="C218" s="55">
        <f>SUMIFS('הצעת תקציב 2016'!$H$3:$H$7326,'הצעת תקציב 2016'!$N$3:$N$7326,$A218,'הצעת תקציב 2016'!$U$3:$U$7326,C$164)</f>
        <v>440000000</v>
      </c>
      <c r="D218" s="55">
        <f>SUMIFS('הצעת תקציב 2016'!$H$3:$H$7326,'הצעת תקציב 2016'!$N$3:$N$7326,$A218,'הצעת תקציב 2016'!$U$3:$U$7326,D$164)</f>
        <v>0</v>
      </c>
      <c r="E218" s="55">
        <f>SUMIFS('הצעת תקציב 2016'!$H$3:$H$7326,'הצעת תקציב 2016'!$N$3:$N$7326,$A218,'הצעת תקציב 2016'!$U$3:$U$7326,E$164)</f>
        <v>0</v>
      </c>
      <c r="F218" s="55">
        <f>SUMIFS('הצעת תקציב 2016'!$H$3:$H$7326,'הצעת תקציב 2016'!$N$3:$N$7326,$A218,'הצעת תקציב 2016'!$U$3:$U$7326,F$164)</f>
        <v>0</v>
      </c>
      <c r="G218" s="55">
        <f>SUMIFS('הצעת תקציב 2016'!$H$3:$H$7326,'הצעת תקציב 2016'!$N$3:$N$7326,$A218,'הצעת תקציב 2016'!$U$3:$U$7326,G$164)</f>
        <v>6000000</v>
      </c>
      <c r="H218" s="55">
        <f>SUMIFS('הצעת תקציב 2016'!$H$3:$H$7326,'הצעת תקציב 2016'!$N$3:$N$7326,$A218,'הצעת תקציב 2016'!$U$3:$U$7326,H$164)</f>
        <v>0</v>
      </c>
      <c r="I218" s="55">
        <f>SUMIFS('הצעת תקציב 2016'!$H$3:$H$7326,'הצעת תקציב 2016'!$N$3:$N$7326,$A218,'הצעת תקציב 2016'!$U$3:$U$7326,I$164)</f>
        <v>0</v>
      </c>
      <c r="J218" s="55">
        <f>SUMIFS('הצעת תקציב 2016'!$H$3:$H$7326,'הצעת תקציב 2016'!$N$3:$N$7326,$A218,'הצעת תקציב 2016'!$U$3:$U$7326,J$164)</f>
        <v>771900</v>
      </c>
      <c r="K218" s="55">
        <f>SUMIFS('הצעת תקציב 2016'!$H$3:$H$7326,'הצעת תקציב 2016'!$N$3:$N$7326,$A218,'הצעת תקציב 2016'!$U$3:$U$7326,K$164)</f>
        <v>0</v>
      </c>
      <c r="L218" s="59">
        <f t="shared" si="28"/>
        <v>446771900</v>
      </c>
    </row>
    <row r="219" spans="1:12">
      <c r="A219" s="87">
        <v>84</v>
      </c>
      <c r="C219" s="55">
        <f>SUMIFS('הצעת תקציב 2016'!$H$3:$H$7326,'הצעת תקציב 2016'!$N$3:$N$7326,$A219,'הצעת תקציב 2016'!$U$3:$U$7326,C$164)</f>
        <v>87924900</v>
      </c>
      <c r="D219" s="55">
        <f>SUMIFS('הצעת תקציב 2016'!$H$3:$H$7326,'הצעת תקציב 2016'!$N$3:$N$7326,$A219,'הצעת תקציב 2016'!$U$3:$U$7326,D$164)</f>
        <v>0</v>
      </c>
      <c r="E219" s="55">
        <f>SUMIFS('הצעת תקציב 2016'!$H$3:$H$7326,'הצעת תקציב 2016'!$N$3:$N$7326,$A219,'הצעת תקציב 2016'!$U$3:$U$7326,E$164)</f>
        <v>0</v>
      </c>
      <c r="F219" s="55">
        <f>SUMIFS('הצעת תקציב 2016'!$H$3:$H$7326,'הצעת תקציב 2016'!$N$3:$N$7326,$A219,'הצעת תקציב 2016'!$U$3:$U$7326,F$164)</f>
        <v>2402500</v>
      </c>
      <c r="G219" s="55">
        <f>SUMIFS('הצעת תקציב 2016'!$H$3:$H$7326,'הצעת תקציב 2016'!$N$3:$N$7326,$A219,'הצעת תקציב 2016'!$U$3:$U$7326,G$164)</f>
        <v>1240000</v>
      </c>
      <c r="H219" s="55">
        <f>SUMIFS('הצעת תקציב 2016'!$H$3:$H$7326,'הצעת תקציב 2016'!$N$3:$N$7326,$A219,'הצעת תקציב 2016'!$U$3:$U$7326,H$164)</f>
        <v>0</v>
      </c>
      <c r="I219" s="55">
        <f>SUMIFS('הצעת תקציב 2016'!$H$3:$H$7326,'הצעת תקציב 2016'!$N$3:$N$7326,$A219,'הצעת תקציב 2016'!$U$3:$U$7326,I$164)</f>
        <v>2450800</v>
      </c>
      <c r="J219" s="55">
        <f>SUMIFS('הצעת תקציב 2016'!$H$3:$H$7326,'הצעת תקציב 2016'!$N$3:$N$7326,$A219,'הצעת תקציב 2016'!$U$3:$U$7326,J$164)</f>
        <v>182872800</v>
      </c>
      <c r="K219" s="55">
        <f>SUMIFS('הצעת תקציב 2016'!$H$3:$H$7326,'הצעת תקציב 2016'!$N$3:$N$7326,$A219,'הצעת תקציב 2016'!$U$3:$U$7326,K$164)</f>
        <v>0</v>
      </c>
      <c r="L219" s="59">
        <f t="shared" si="28"/>
        <v>276891000</v>
      </c>
    </row>
    <row r="220" spans="1:12">
      <c r="A220" s="87">
        <v>85</v>
      </c>
      <c r="C220" s="55">
        <f>SUMIFS('הצעת תקציב 2016'!$H$3:$H$7326,'הצעת תקציב 2016'!$N$3:$N$7326,$A220,'הצעת תקציב 2016'!$U$3:$U$7326,C$164)</f>
        <v>0</v>
      </c>
      <c r="D220" s="55">
        <f>SUMIFS('הצעת תקציב 2016'!$H$3:$H$7326,'הצעת תקציב 2016'!$N$3:$N$7326,$A220,'הצעת תקציב 2016'!$U$3:$U$7326,D$164)</f>
        <v>0</v>
      </c>
      <c r="E220" s="55">
        <f>SUMIFS('הצעת תקציב 2016'!$H$3:$H$7326,'הצעת תקציב 2016'!$N$3:$N$7326,$A220,'הצעת תקציב 2016'!$U$3:$U$7326,E$164)</f>
        <v>0</v>
      </c>
      <c r="F220" s="55">
        <f>SUMIFS('הצעת תקציב 2016'!$H$3:$H$7326,'הצעת תקציב 2016'!$N$3:$N$7326,$A220,'הצעת תקציב 2016'!$U$3:$U$7326,F$164)</f>
        <v>0</v>
      </c>
      <c r="G220" s="55">
        <f>SUMIFS('הצעת תקציב 2016'!$H$3:$H$7326,'הצעת תקציב 2016'!$N$3:$N$7326,$A220,'הצעת תקציב 2016'!$U$3:$U$7326,G$164)</f>
        <v>0</v>
      </c>
      <c r="H220" s="55">
        <f>SUMIFS('הצעת תקציב 2016'!$H$3:$H$7326,'הצעת תקציב 2016'!$N$3:$N$7326,$A220,'הצעת תקציב 2016'!$U$3:$U$7326,H$164)</f>
        <v>0</v>
      </c>
      <c r="I220" s="55">
        <f>SUMIFS('הצעת תקציב 2016'!$H$3:$H$7326,'הצעת תקציב 2016'!$N$3:$N$7326,$A220,'הצעת תקציב 2016'!$U$3:$U$7326,I$164)</f>
        <v>0</v>
      </c>
      <c r="J220" s="55">
        <f>SUMIFS('הצעת תקציב 2016'!$H$3:$H$7326,'הצעת תקציב 2016'!$N$3:$N$7326,$A220,'הצעת תקציב 2016'!$U$3:$U$7326,J$164)</f>
        <v>9604300</v>
      </c>
      <c r="K220" s="55">
        <f>SUMIFS('הצעת תקציב 2016'!$H$3:$H$7326,'הצעת תקציב 2016'!$N$3:$N$7326,$A220,'הצעת תקציב 2016'!$U$3:$U$7326,K$164)</f>
        <v>0</v>
      </c>
      <c r="L220" s="59">
        <f t="shared" si="28"/>
        <v>9604300</v>
      </c>
    </row>
    <row r="221" spans="1:12">
      <c r="A221" s="87">
        <v>86</v>
      </c>
      <c r="C221" s="55">
        <f>SUMIFS('הצעת תקציב 2016'!$H$3:$H$7326,'הצעת תקציב 2016'!$N$3:$N$7326,$A221,'הצעת תקציב 2016'!$U$3:$U$7326,C$164)</f>
        <v>37000</v>
      </c>
      <c r="D221" s="55">
        <f>SUMIFS('הצעת תקציב 2016'!$H$3:$H$7326,'הצעת תקציב 2016'!$N$3:$N$7326,$A221,'הצעת תקציב 2016'!$U$3:$U$7326,D$164)</f>
        <v>0</v>
      </c>
      <c r="E221" s="55">
        <f>SUMIFS('הצעת תקציב 2016'!$H$3:$H$7326,'הצעת תקציב 2016'!$N$3:$N$7326,$A221,'הצעת תקציב 2016'!$U$3:$U$7326,E$164)</f>
        <v>0</v>
      </c>
      <c r="F221" s="55">
        <f>SUMIFS('הצעת תקציב 2016'!$H$3:$H$7326,'הצעת תקציב 2016'!$N$3:$N$7326,$A221,'הצעת תקציב 2016'!$U$3:$U$7326,F$164)</f>
        <v>0</v>
      </c>
      <c r="G221" s="55">
        <f>SUMIFS('הצעת תקציב 2016'!$H$3:$H$7326,'הצעת תקציב 2016'!$N$3:$N$7326,$A221,'הצעת תקציב 2016'!$U$3:$U$7326,G$164)</f>
        <v>0</v>
      </c>
      <c r="H221" s="55">
        <f>SUMIFS('הצעת תקציב 2016'!$H$3:$H$7326,'הצעת תקציב 2016'!$N$3:$N$7326,$A221,'הצעת תקציב 2016'!$U$3:$U$7326,H$164)</f>
        <v>0</v>
      </c>
      <c r="I221" s="55">
        <f>SUMIFS('הצעת תקציב 2016'!$H$3:$H$7326,'הצעת תקציב 2016'!$N$3:$N$7326,$A221,'הצעת תקציב 2016'!$U$3:$U$7326,I$164)</f>
        <v>2761700</v>
      </c>
      <c r="J221" s="55">
        <f>SUMIFS('הצעת תקציב 2016'!$H$3:$H$7326,'הצעת תקציב 2016'!$N$3:$N$7326,$A221,'הצעת תקציב 2016'!$U$3:$U$7326,J$164)</f>
        <v>5177800</v>
      </c>
      <c r="K221" s="55">
        <f>SUMIFS('הצעת תקציב 2016'!$H$3:$H$7326,'הצעת תקציב 2016'!$N$3:$N$7326,$A221,'הצעת תקציב 2016'!$U$3:$U$7326,K$164)</f>
        <v>0</v>
      </c>
      <c r="L221" s="59">
        <f t="shared" si="28"/>
        <v>7976500</v>
      </c>
    </row>
    <row r="222" spans="1:12">
      <c r="A222" s="87">
        <v>87</v>
      </c>
      <c r="C222" s="55">
        <f>SUMIFS('הצעת תקציב 2016'!$H$3:$H$7326,'הצעת תקציב 2016'!$N$3:$N$7326,$A222,'הצעת תקציב 2016'!$U$3:$U$7326,C$164)</f>
        <v>0</v>
      </c>
      <c r="D222" s="55">
        <f>SUMIFS('הצעת תקציב 2016'!$H$3:$H$7326,'הצעת תקציב 2016'!$N$3:$N$7326,$A222,'הצעת תקציב 2016'!$U$3:$U$7326,D$164)</f>
        <v>0</v>
      </c>
      <c r="E222" s="55">
        <f>SUMIFS('הצעת תקציב 2016'!$H$3:$H$7326,'הצעת תקציב 2016'!$N$3:$N$7326,$A222,'הצעת תקציב 2016'!$U$3:$U$7326,E$164)</f>
        <v>0</v>
      </c>
      <c r="F222" s="55">
        <f>SUMIFS('הצעת תקציב 2016'!$H$3:$H$7326,'הצעת תקציב 2016'!$N$3:$N$7326,$A222,'הצעת תקציב 2016'!$U$3:$U$7326,F$164)</f>
        <v>0</v>
      </c>
      <c r="G222" s="55">
        <f>SUMIFS('הצעת תקציב 2016'!$H$3:$H$7326,'הצעת תקציב 2016'!$N$3:$N$7326,$A222,'הצעת תקציב 2016'!$U$3:$U$7326,G$164)</f>
        <v>0</v>
      </c>
      <c r="H222" s="55">
        <f>SUMIFS('הצעת תקציב 2016'!$H$3:$H$7326,'הצעת תקציב 2016'!$N$3:$N$7326,$A222,'הצעת תקציב 2016'!$U$3:$U$7326,H$164)</f>
        <v>0</v>
      </c>
      <c r="I222" s="55">
        <f>SUMIFS('הצעת תקציב 2016'!$H$3:$H$7326,'הצעת תקציב 2016'!$N$3:$N$7326,$A222,'הצעת תקציב 2016'!$U$3:$U$7326,I$164)</f>
        <v>0</v>
      </c>
      <c r="J222" s="55">
        <f>SUMIFS('הצעת תקציב 2016'!$H$3:$H$7326,'הצעת תקציב 2016'!$N$3:$N$7326,$A222,'הצעת תקציב 2016'!$U$3:$U$7326,J$164)</f>
        <v>710000</v>
      </c>
      <c r="K222" s="55">
        <f>SUMIFS('הצעת תקציב 2016'!$H$3:$H$7326,'הצעת תקציב 2016'!$N$3:$N$7326,$A222,'הצעת תקציב 2016'!$U$3:$U$7326,K$164)</f>
        <v>0</v>
      </c>
      <c r="L222" s="59">
        <f t="shared" si="28"/>
        <v>710000</v>
      </c>
    </row>
    <row r="223" spans="1:12">
      <c r="A223" s="87">
        <v>88</v>
      </c>
      <c r="C223" s="55">
        <f>SUMIFS('הצעת תקציב 2016'!$H$3:$H$7326,'הצעת תקציב 2016'!$N$3:$N$7326,$A223,'הצעת תקציב 2016'!$U$3:$U$7326,C$164)</f>
        <v>0</v>
      </c>
      <c r="D223" s="55">
        <f>SUMIFS('הצעת תקציב 2016'!$H$3:$H$7326,'הצעת תקציב 2016'!$N$3:$N$7326,$A223,'הצעת תקציב 2016'!$U$3:$U$7326,D$164)</f>
        <v>0</v>
      </c>
      <c r="E223" s="55">
        <f>SUMIFS('הצעת תקציב 2016'!$H$3:$H$7326,'הצעת תקציב 2016'!$N$3:$N$7326,$A223,'הצעת תקציב 2016'!$U$3:$U$7326,E$164)</f>
        <v>0</v>
      </c>
      <c r="F223" s="55">
        <f>SUMIFS('הצעת תקציב 2016'!$H$3:$H$7326,'הצעת תקציב 2016'!$N$3:$N$7326,$A223,'הצעת תקציב 2016'!$U$3:$U$7326,F$164)</f>
        <v>0</v>
      </c>
      <c r="G223" s="55">
        <f>SUMIFS('הצעת תקציב 2016'!$H$3:$H$7326,'הצעת תקציב 2016'!$N$3:$N$7326,$A223,'הצעת תקציב 2016'!$U$3:$U$7326,G$164)</f>
        <v>0</v>
      </c>
      <c r="H223" s="55">
        <f>SUMIFS('הצעת תקציב 2016'!$H$3:$H$7326,'הצעת תקציב 2016'!$N$3:$N$7326,$A223,'הצעת תקציב 2016'!$U$3:$U$7326,H$164)</f>
        <v>0</v>
      </c>
      <c r="I223" s="55">
        <f>SUMIFS('הצעת תקציב 2016'!$H$3:$H$7326,'הצעת תקציב 2016'!$N$3:$N$7326,$A223,'הצעת תקציב 2016'!$U$3:$U$7326,I$164)</f>
        <v>0</v>
      </c>
      <c r="J223" s="55">
        <f>SUMIFS('הצעת תקציב 2016'!$H$3:$H$7326,'הצעת תקציב 2016'!$N$3:$N$7326,$A223,'הצעת תקציב 2016'!$U$3:$U$7326,J$164)</f>
        <v>0</v>
      </c>
      <c r="K223" s="55">
        <f>SUMIFS('הצעת תקציב 2016'!$H$3:$H$7326,'הצעת תקציב 2016'!$N$3:$N$7326,$A223,'הצעת תקציב 2016'!$U$3:$U$7326,K$164)</f>
        <v>0</v>
      </c>
      <c r="L223" s="59">
        <f t="shared" ref="L223" si="39">SUM(C223:K223)</f>
        <v>0</v>
      </c>
    </row>
    <row r="224" spans="1:12">
      <c r="A224" s="87">
        <v>91</v>
      </c>
      <c r="C224" s="55">
        <f>SUMIFS('הצעת תקציב 2016'!$H$3:$H$7326,'הצעת תקציב 2016'!$N$3:$N$7326,$A224,'הצעת תקציב 2016'!$U$3:$U$7326,C$164)</f>
        <v>0</v>
      </c>
      <c r="D224" s="55">
        <f>SUMIFS('הצעת תקציב 2016'!$H$3:$H$7326,'הצעת תקציב 2016'!$N$3:$N$7326,$A224,'הצעת תקציב 2016'!$U$3:$U$7326,D$164)</f>
        <v>0</v>
      </c>
      <c r="E224" s="55">
        <f>SUMIFS('הצעת תקציב 2016'!$H$3:$H$7326,'הצעת תקציב 2016'!$N$3:$N$7326,$A224,'הצעת תקציב 2016'!$U$3:$U$7326,E$164)</f>
        <v>0</v>
      </c>
      <c r="F224" s="55">
        <f>SUMIFS('הצעת תקציב 2016'!$H$3:$H$7326,'הצעת תקציב 2016'!$N$3:$N$7326,$A224,'הצעת תקציב 2016'!$U$3:$U$7326,F$164)</f>
        <v>0</v>
      </c>
      <c r="G224" s="55">
        <f>SUMIFS('הצעת תקציב 2016'!$H$3:$H$7326,'הצעת תקציב 2016'!$N$3:$N$7326,$A224,'הצעת תקציב 2016'!$U$3:$U$7326,G$164)</f>
        <v>0</v>
      </c>
      <c r="H224" s="55">
        <f>SUMIFS('הצעת תקציב 2016'!$H$3:$H$7326,'הצעת תקציב 2016'!$N$3:$N$7326,$A224,'הצעת תקציב 2016'!$U$3:$U$7326,H$164)</f>
        <v>0</v>
      </c>
      <c r="I224" s="55">
        <f>SUMIFS('הצעת תקציב 2016'!$H$3:$H$7326,'הצעת תקציב 2016'!$N$3:$N$7326,$A224,'הצעת תקציב 2016'!$U$3:$U$7326,I$164)</f>
        <v>0</v>
      </c>
      <c r="J224" s="55">
        <f>SUMIFS('הצעת תקציב 2016'!$H$3:$H$7326,'הצעת תקציב 2016'!$N$3:$N$7326,$A224,'הצעת תקציב 2016'!$U$3:$U$7326,J$164)</f>
        <v>450000</v>
      </c>
      <c r="K224" s="55">
        <f>SUMIFS('הצעת תקציב 2016'!$H$3:$H$7326,'הצעת תקציב 2016'!$N$3:$N$7326,$A224,'הצעת תקציב 2016'!$U$3:$U$7326,K$164)</f>
        <v>0</v>
      </c>
      <c r="L224" s="59">
        <f t="shared" si="28"/>
        <v>450000</v>
      </c>
    </row>
    <row r="225" spans="1:12">
      <c r="A225" s="87">
        <v>92</v>
      </c>
      <c r="C225" s="55">
        <f>SUMIFS('הצעת תקציב 2016'!$H$3:$H$7326,'הצעת תקציב 2016'!$N$3:$N$7326,$A225,'הצעת תקציב 2016'!$U$3:$U$7326,C$164)</f>
        <v>0</v>
      </c>
      <c r="D225" s="55">
        <f>SUMIFS('הצעת תקציב 2016'!$H$3:$H$7326,'הצעת תקציב 2016'!$N$3:$N$7326,$A225,'הצעת תקציב 2016'!$U$3:$U$7326,D$164)</f>
        <v>0</v>
      </c>
      <c r="E225" s="55">
        <f>SUMIFS('הצעת תקציב 2016'!$H$3:$H$7326,'הצעת תקציב 2016'!$N$3:$N$7326,$A225,'הצעת תקציב 2016'!$U$3:$U$7326,E$164)</f>
        <v>0</v>
      </c>
      <c r="F225" s="55">
        <f>SUMIFS('הצעת תקציב 2016'!$H$3:$H$7326,'הצעת תקציב 2016'!$N$3:$N$7326,$A225,'הצעת תקציב 2016'!$U$3:$U$7326,F$164)</f>
        <v>0</v>
      </c>
      <c r="G225" s="55">
        <f>SUMIFS('הצעת תקציב 2016'!$H$3:$H$7326,'הצעת תקציב 2016'!$N$3:$N$7326,$A225,'הצעת תקציב 2016'!$U$3:$U$7326,G$164)</f>
        <v>0</v>
      </c>
      <c r="H225" s="55">
        <f>SUMIFS('הצעת תקציב 2016'!$H$3:$H$7326,'הצעת תקציב 2016'!$N$3:$N$7326,$A225,'הצעת תקציב 2016'!$U$3:$U$7326,H$164)</f>
        <v>0</v>
      </c>
      <c r="I225" s="55">
        <f>SUMIFS('הצעת תקציב 2016'!$H$3:$H$7326,'הצעת תקציב 2016'!$N$3:$N$7326,$A225,'הצעת תקציב 2016'!$U$3:$U$7326,I$164)</f>
        <v>0</v>
      </c>
      <c r="J225" s="55">
        <f>SUMIFS('הצעת תקציב 2016'!$H$3:$H$7326,'הצעת תקציב 2016'!$N$3:$N$7326,$A225,'הצעת תקציב 2016'!$U$3:$U$7326,J$164)</f>
        <v>0</v>
      </c>
      <c r="K225" s="55">
        <f>SUMIFS('הצעת תקציב 2016'!$H$3:$H$7326,'הצעת תקציב 2016'!$N$3:$N$7326,$A225,'הצעת תקציב 2016'!$U$3:$U$7326,K$164)</f>
        <v>0</v>
      </c>
      <c r="L225" s="59">
        <f t="shared" ref="L225" si="40">SUM(C225:K225)</f>
        <v>0</v>
      </c>
    </row>
    <row r="226" spans="1:12">
      <c r="A226" s="87">
        <v>93</v>
      </c>
      <c r="C226" s="55">
        <f>SUMIFS('הצעת תקציב 2016'!$H$3:$H$7326,'הצעת תקציב 2016'!$N$3:$N$7326,$A226,'הצעת תקציב 2016'!$U$3:$U$7326,C$164)</f>
        <v>6142000</v>
      </c>
      <c r="D226" s="55">
        <f>SUMIFS('הצעת תקציב 2016'!$H$3:$H$7326,'הצעת תקציב 2016'!$N$3:$N$7326,$A226,'הצעת תקציב 2016'!$U$3:$U$7326,D$164)</f>
        <v>0</v>
      </c>
      <c r="E226" s="55">
        <f>SUMIFS('הצעת תקציב 2016'!$H$3:$H$7326,'הצעת תקציב 2016'!$N$3:$N$7326,$A226,'הצעת תקציב 2016'!$U$3:$U$7326,E$164)</f>
        <v>0</v>
      </c>
      <c r="F226" s="55">
        <f>SUMIFS('הצעת תקציב 2016'!$H$3:$H$7326,'הצעת תקציב 2016'!$N$3:$N$7326,$A226,'הצעת תקציב 2016'!$U$3:$U$7326,F$164)</f>
        <v>3950300</v>
      </c>
      <c r="G226" s="55">
        <f>SUMIFS('הצעת תקציב 2016'!$H$3:$H$7326,'הצעת תקציב 2016'!$N$3:$N$7326,$A226,'הצעת תקציב 2016'!$U$3:$U$7326,G$164)</f>
        <v>713400</v>
      </c>
      <c r="H226" s="55">
        <f>SUMIFS('הצעת תקציב 2016'!$H$3:$H$7326,'הצעת תקציב 2016'!$N$3:$N$7326,$A226,'הצעת תקציב 2016'!$U$3:$U$7326,H$164)</f>
        <v>0</v>
      </c>
      <c r="I226" s="55">
        <f>SUMIFS('הצעת תקציב 2016'!$H$3:$H$7326,'הצעת תקציב 2016'!$N$3:$N$7326,$A226,'הצעת תקציב 2016'!$U$3:$U$7326,I$164)</f>
        <v>3409700</v>
      </c>
      <c r="J226" s="55">
        <f>SUMIFS('הצעת תקציב 2016'!$H$3:$H$7326,'הצעת תקציב 2016'!$N$3:$N$7326,$A226,'הצעת תקציב 2016'!$U$3:$U$7326,J$164)</f>
        <v>0</v>
      </c>
      <c r="K226" s="55">
        <f>SUMIFS('הצעת תקציב 2016'!$H$3:$H$7326,'הצעת תקציב 2016'!$N$3:$N$7326,$A226,'הצעת תקציב 2016'!$U$3:$U$7326,K$164)</f>
        <v>0</v>
      </c>
      <c r="L226" s="59">
        <f t="shared" si="28"/>
        <v>14215400</v>
      </c>
    </row>
    <row r="227" spans="1:12">
      <c r="A227" s="87">
        <v>94</v>
      </c>
      <c r="C227" s="55">
        <f>SUMIFS('הצעת תקציב 2016'!$H$3:$H$7326,'הצעת תקציב 2016'!$N$3:$N$7326,$A227,'הצעת תקציב 2016'!$U$3:$U$7326,C$164)</f>
        <v>0</v>
      </c>
      <c r="D227" s="55">
        <f>SUMIFS('הצעת תקציב 2016'!$H$3:$H$7326,'הצעת תקציב 2016'!$N$3:$N$7326,$A227,'הצעת תקציב 2016'!$U$3:$U$7326,D$164)</f>
        <v>0</v>
      </c>
      <c r="E227" s="55">
        <f>SUMIFS('הצעת תקציב 2016'!$H$3:$H$7326,'הצעת תקציב 2016'!$N$3:$N$7326,$A227,'הצעת תקציב 2016'!$U$3:$U$7326,E$164)</f>
        <v>0</v>
      </c>
      <c r="F227" s="55">
        <f>SUMIFS('הצעת תקציב 2016'!$H$3:$H$7326,'הצעת תקציב 2016'!$N$3:$N$7326,$A227,'הצעת תקציב 2016'!$U$3:$U$7326,F$164)</f>
        <v>0</v>
      </c>
      <c r="G227" s="55">
        <f>SUMIFS('הצעת תקציב 2016'!$H$3:$H$7326,'הצעת תקציב 2016'!$N$3:$N$7326,$A227,'הצעת תקציב 2016'!$U$3:$U$7326,G$164)</f>
        <v>0</v>
      </c>
      <c r="H227" s="55">
        <f>SUMIFS('הצעת תקציב 2016'!$H$3:$H$7326,'הצעת תקציב 2016'!$N$3:$N$7326,$A227,'הצעת תקציב 2016'!$U$3:$U$7326,H$164)</f>
        <v>0</v>
      </c>
      <c r="I227" s="55">
        <f>SUMIFS('הצעת תקציב 2016'!$H$3:$H$7326,'הצעת תקציב 2016'!$N$3:$N$7326,$A227,'הצעת תקציב 2016'!$U$3:$U$7326,I$164)</f>
        <v>0</v>
      </c>
      <c r="J227" s="55">
        <f>SUMIFS('הצעת תקציב 2016'!$H$3:$H$7326,'הצעת תקציב 2016'!$N$3:$N$7326,$A227,'הצעת תקציב 2016'!$U$3:$U$7326,J$164)</f>
        <v>2625000</v>
      </c>
      <c r="K227" s="55">
        <f>SUMIFS('הצעת תקציב 2016'!$H$3:$H$7326,'הצעת תקציב 2016'!$N$3:$N$7326,$A227,'הצעת תקציב 2016'!$U$3:$U$7326,K$164)</f>
        <v>0</v>
      </c>
      <c r="L227" s="59">
        <f t="shared" ref="L227:L229" si="41">SUM(C227:K227)</f>
        <v>2625000</v>
      </c>
    </row>
    <row r="228" spans="1:12">
      <c r="A228" s="87">
        <v>97</v>
      </c>
      <c r="C228" s="55">
        <f>SUMIFS('הצעת תקציב 2016'!$H$3:$H$7326,'הצעת תקציב 2016'!$N$3:$N$7326,$A228,'הצעת תקציב 2016'!$U$3:$U$7326,C$164)</f>
        <v>0</v>
      </c>
      <c r="D228" s="55">
        <f>SUMIFS('הצעת תקציב 2016'!$H$3:$H$7326,'הצעת תקציב 2016'!$N$3:$N$7326,$A228,'הצעת תקציב 2016'!$U$3:$U$7326,D$164)</f>
        <v>0</v>
      </c>
      <c r="E228" s="55">
        <f>SUMIFS('הצעת תקציב 2016'!$H$3:$H$7326,'הצעת תקציב 2016'!$N$3:$N$7326,$A228,'הצעת תקציב 2016'!$U$3:$U$7326,E$164)</f>
        <v>0</v>
      </c>
      <c r="F228" s="55">
        <f>SUMIFS('הצעת תקציב 2016'!$H$3:$H$7326,'הצעת תקציב 2016'!$N$3:$N$7326,$A228,'הצעת תקציב 2016'!$U$3:$U$7326,F$164)</f>
        <v>0</v>
      </c>
      <c r="G228" s="55">
        <f>SUMIFS('הצעת תקציב 2016'!$H$3:$H$7326,'הצעת תקציב 2016'!$N$3:$N$7326,$A228,'הצעת תקציב 2016'!$U$3:$U$7326,G$164)</f>
        <v>0</v>
      </c>
      <c r="H228" s="55">
        <f>SUMIFS('הצעת תקציב 2016'!$H$3:$H$7326,'הצעת תקציב 2016'!$N$3:$N$7326,$A228,'הצעת תקציב 2016'!$U$3:$U$7326,H$164)</f>
        <v>0</v>
      </c>
      <c r="I228" s="55">
        <f>SUMIFS('הצעת תקציב 2016'!$H$3:$H$7326,'הצעת תקציב 2016'!$N$3:$N$7326,$A228,'הצעת תקציב 2016'!$U$3:$U$7326,I$164)</f>
        <v>0</v>
      </c>
      <c r="J228" s="55">
        <f>SUMIFS('הצעת תקציב 2016'!$H$3:$H$7326,'הצעת תקציב 2016'!$N$3:$N$7326,$A228,'הצעת תקציב 2016'!$U$3:$U$7326,J$164)</f>
        <v>0</v>
      </c>
      <c r="K228" s="55">
        <f>SUMIFS('הצעת תקציב 2016'!$H$3:$H$7326,'הצעת תקציב 2016'!$N$3:$N$7326,$A228,'הצעת תקציב 2016'!$U$3:$U$7326,K$164)</f>
        <v>0</v>
      </c>
      <c r="L228" s="59">
        <f t="shared" si="41"/>
        <v>0</v>
      </c>
    </row>
    <row r="229" spans="1:12">
      <c r="A229" s="87">
        <v>98</v>
      </c>
      <c r="C229" s="55">
        <f>SUMIFS('הצעת תקציב 2016'!$H$3:$H$7326,'הצעת תקציב 2016'!$N$3:$N$7326,$A229,'הצעת תקציב 2016'!$U$3:$U$7326,C$164)</f>
        <v>0</v>
      </c>
      <c r="D229" s="55">
        <f>SUMIFS('הצעת תקציב 2016'!$H$3:$H$7326,'הצעת תקציב 2016'!$N$3:$N$7326,$A229,'הצעת תקציב 2016'!$U$3:$U$7326,D$164)</f>
        <v>0</v>
      </c>
      <c r="E229" s="55">
        <f>SUMIFS('הצעת תקציב 2016'!$H$3:$H$7326,'הצעת תקציב 2016'!$N$3:$N$7326,$A229,'הצעת תקציב 2016'!$U$3:$U$7326,E$164)</f>
        <v>0</v>
      </c>
      <c r="F229" s="55">
        <f>SUMIFS('הצעת תקציב 2016'!$H$3:$H$7326,'הצעת תקציב 2016'!$N$3:$N$7326,$A229,'הצעת תקציב 2016'!$U$3:$U$7326,F$164)</f>
        <v>0</v>
      </c>
      <c r="G229" s="55">
        <f>SUMIFS('הצעת תקציב 2016'!$H$3:$H$7326,'הצעת תקציב 2016'!$N$3:$N$7326,$A229,'הצעת תקציב 2016'!$U$3:$U$7326,G$164)</f>
        <v>0</v>
      </c>
      <c r="H229" s="55">
        <f>SUMIFS('הצעת תקציב 2016'!$H$3:$H$7326,'הצעת תקציב 2016'!$N$3:$N$7326,$A229,'הצעת תקציב 2016'!$U$3:$U$7326,H$164)</f>
        <v>0</v>
      </c>
      <c r="I229" s="55">
        <f>SUMIFS('הצעת תקציב 2016'!$H$3:$H$7326,'הצעת תקציב 2016'!$N$3:$N$7326,$A229,'הצעת תקציב 2016'!$U$3:$U$7326,I$164)</f>
        <v>0</v>
      </c>
      <c r="J229" s="55">
        <f>SUMIFS('הצעת תקציב 2016'!$H$3:$H$7326,'הצעת תקציב 2016'!$N$3:$N$7326,$A229,'הצעת תקציב 2016'!$U$3:$U$7326,J$164)</f>
        <v>0</v>
      </c>
      <c r="K229" s="55">
        <f>SUMIFS('הצעת תקציב 2016'!$H$3:$H$7326,'הצעת תקציב 2016'!$N$3:$N$7326,$A229,'הצעת תקציב 2016'!$U$3:$U$7326,K$164)</f>
        <v>0</v>
      </c>
      <c r="L229" s="59">
        <f t="shared" si="41"/>
        <v>0</v>
      </c>
    </row>
    <row r="230" spans="1:12">
      <c r="A230" s="87">
        <v>99</v>
      </c>
      <c r="C230" s="55">
        <f>SUMIFS('הצעת תקציב 2016'!$H$3:$H$7326,'הצעת תקציב 2016'!$N$3:$N$7326,$A230,'הצעת תקציב 2016'!$U$3:$U$7326,C$164)</f>
        <v>0</v>
      </c>
      <c r="D230" s="55">
        <f>SUMIFS('הצעת תקציב 2016'!$H$3:$H$7326,'הצעת תקציב 2016'!$N$3:$N$7326,$A230,'הצעת תקציב 2016'!$U$3:$U$7326,D$164)</f>
        <v>0</v>
      </c>
      <c r="E230" s="55">
        <f>SUMIFS('הצעת תקציב 2016'!$H$3:$H$7326,'הצעת תקציב 2016'!$N$3:$N$7326,$A230,'הצעת תקציב 2016'!$U$3:$U$7326,E$164)</f>
        <v>205409000</v>
      </c>
      <c r="F230" s="55">
        <f>SUMIFS('הצעת תקציב 2016'!$H$3:$H$7326,'הצעת תקציב 2016'!$N$3:$N$7326,$A230,'הצעת תקציב 2016'!$U$3:$U$7326,F$164)</f>
        <v>0</v>
      </c>
      <c r="G230" s="55">
        <f>SUMIFS('הצעת תקציב 2016'!$H$3:$H$7326,'הצעת תקציב 2016'!$N$3:$N$7326,$A230,'הצעת תקציב 2016'!$U$3:$U$7326,G$164)</f>
        <v>4474600</v>
      </c>
      <c r="H230" s="55">
        <f>SUMIFS('הצעת תקציב 2016'!$H$3:$H$7326,'הצעת תקציב 2016'!$N$3:$N$7326,$A230,'הצעת תקציב 2016'!$U$3:$U$7326,H$164)</f>
        <v>0</v>
      </c>
      <c r="I230" s="55">
        <f>SUMIFS('הצעת תקציב 2016'!$H$3:$H$7326,'הצעת תקציב 2016'!$N$3:$N$7326,$A230,'הצעת תקציב 2016'!$U$3:$U$7326,I$164)</f>
        <v>1898300</v>
      </c>
      <c r="J230" s="55">
        <f>SUMIFS('הצעת תקציב 2016'!$H$3:$H$7326,'הצעת תקציב 2016'!$N$3:$N$7326,$A230,'הצעת תקציב 2016'!$U$3:$U$7326,J$164)</f>
        <v>160252800</v>
      </c>
      <c r="K230" s="55">
        <f>SUMIFS('הצעת תקציב 2016'!$H$3:$H$7326,'הצעת תקציב 2016'!$N$3:$N$7326,$A230,'הצעת תקציב 2016'!$U$3:$U$7326,K$164)</f>
        <v>0</v>
      </c>
      <c r="L230" s="59">
        <f t="shared" si="28"/>
        <v>372034700</v>
      </c>
    </row>
    <row r="231" spans="1:12">
      <c r="L231" s="90">
        <f>SUM(L204:L230)</f>
        <v>2519658600</v>
      </c>
    </row>
    <row r="232" spans="1:12" ht="13.5" thickBot="1"/>
    <row r="233" spans="1:12" ht="60">
      <c r="B233" s="226">
        <v>2015</v>
      </c>
      <c r="C233" s="95" t="s">
        <v>2424</v>
      </c>
      <c r="D233" s="95" t="s">
        <v>2432</v>
      </c>
      <c r="E233" s="95" t="s">
        <v>2425</v>
      </c>
      <c r="F233" s="96" t="s">
        <v>2426</v>
      </c>
      <c r="G233" s="96" t="s">
        <v>2427</v>
      </c>
      <c r="H233" s="96" t="s">
        <v>2428</v>
      </c>
      <c r="I233" s="96" t="s">
        <v>2429</v>
      </c>
      <c r="J233" s="96" t="s">
        <v>187</v>
      </c>
      <c r="K233" s="97"/>
    </row>
    <row r="234" spans="1:12" ht="15">
      <c r="B234" s="98" t="s">
        <v>228</v>
      </c>
      <c r="C234" s="93">
        <f>SUM(L204:L207)</f>
        <v>364628100</v>
      </c>
      <c r="D234" s="105">
        <f>C234+F234</f>
        <v>362848100</v>
      </c>
      <c r="E234" s="94">
        <f>SUM(C170:I173)+SUM(K170:K173)</f>
        <v>-1404830000</v>
      </c>
      <c r="F234" s="94">
        <f>SUM(G234:J234)</f>
        <v>-1780000</v>
      </c>
      <c r="G234" s="94"/>
      <c r="H234" s="94">
        <f>SUM(K170:K173)</f>
        <v>-1780000</v>
      </c>
      <c r="I234" s="94">
        <f>SUM(J170:J173)+SUM(H170:H173)</f>
        <v>0</v>
      </c>
      <c r="J234" s="94"/>
      <c r="K234" s="99">
        <f>F234+E234</f>
        <v>-1406610000</v>
      </c>
    </row>
    <row r="235" spans="1:12" ht="15">
      <c r="B235" s="98" t="s">
        <v>2379</v>
      </c>
      <c r="C235" s="93">
        <f>SUM(L208:L215)</f>
        <v>394357700</v>
      </c>
      <c r="D235" s="105">
        <f>C235+F235</f>
        <v>265687000</v>
      </c>
      <c r="E235" s="94">
        <f>SUM(C178:C185)</f>
        <v>0</v>
      </c>
      <c r="F235" s="94">
        <f>SUM(G235:J235)</f>
        <v>-128670700</v>
      </c>
      <c r="G235" s="94">
        <f>SUM(F178:F185)+SUM(D178:D185)</f>
        <v>-79686200</v>
      </c>
      <c r="H235" s="94">
        <f>SUM(K178:K185)+SUM(I178:I185)</f>
        <v>-1039500</v>
      </c>
      <c r="I235" s="94">
        <f>SUM(J178:J185)+SUM(H178:H185)+SUM(E178:E185)</f>
        <v>-47945000</v>
      </c>
      <c r="J235" s="94">
        <f>SUM(G178:G183)</f>
        <v>0</v>
      </c>
      <c r="K235" s="99">
        <f t="shared" ref="K235:K240" si="42">F235+E235</f>
        <v>-128670700</v>
      </c>
    </row>
    <row r="236" spans="1:12" ht="15">
      <c r="B236" s="98" t="s">
        <v>2430</v>
      </c>
      <c r="C236" s="93">
        <f>L216</f>
        <v>484641200</v>
      </c>
      <c r="D236" s="105">
        <f t="shared" ref="D236:D240" si="43">C236+F236</f>
        <v>182141200</v>
      </c>
      <c r="E236" s="94">
        <f>SUM(C186)</f>
        <v>0</v>
      </c>
      <c r="F236" s="94">
        <f t="shared" ref="F236:F240" si="44">SUM(G236:J236)</f>
        <v>-302500000</v>
      </c>
      <c r="G236" s="94">
        <f>SUM(F186)+SUM(D186)</f>
        <v>-11006000</v>
      </c>
      <c r="H236" s="94">
        <f>SUM(K186)+I186</f>
        <v>-291494000</v>
      </c>
      <c r="I236" s="94">
        <f>SUM(J186)+H186+E186</f>
        <v>0</v>
      </c>
      <c r="J236" s="94">
        <f>SUM(G186)</f>
        <v>0</v>
      </c>
      <c r="K236" s="99">
        <f t="shared" si="42"/>
        <v>-302500000</v>
      </c>
    </row>
    <row r="237" spans="1:12" ht="15">
      <c r="B237" s="98" t="s">
        <v>2382</v>
      </c>
      <c r="C237" s="93">
        <f>L217</f>
        <v>144752800</v>
      </c>
      <c r="D237" s="105">
        <f t="shared" si="43"/>
        <v>131767000</v>
      </c>
      <c r="E237" s="94">
        <f>SUM(C187)</f>
        <v>0</v>
      </c>
      <c r="F237" s="94">
        <f t="shared" ref="F237:F238" si="45">SUM(G237:J237)</f>
        <v>-12985800</v>
      </c>
      <c r="G237" s="94">
        <f>SUM(F187)+SUM(D187)</f>
        <v>-11948800</v>
      </c>
      <c r="H237" s="94">
        <f>SUM(K187)+I187</f>
        <v>-1037000</v>
      </c>
      <c r="I237" s="94">
        <f>SUM(J187)+H187+E187</f>
        <v>0</v>
      </c>
      <c r="J237" s="94">
        <f>SUM(G187)</f>
        <v>0</v>
      </c>
      <c r="K237" s="99">
        <f t="shared" si="42"/>
        <v>-12985800</v>
      </c>
    </row>
    <row r="238" spans="1:12" ht="15">
      <c r="B238" s="98" t="s">
        <v>1360</v>
      </c>
      <c r="C238" s="93">
        <f>L219</f>
        <v>276891000</v>
      </c>
      <c r="D238" s="105">
        <f t="shared" si="43"/>
        <v>76594500</v>
      </c>
      <c r="E238" s="94">
        <f>SUM(C189)</f>
        <v>0</v>
      </c>
      <c r="F238" s="94">
        <f t="shared" si="45"/>
        <v>-200296500</v>
      </c>
      <c r="G238" s="94">
        <f>SUM(F189)+SUM(D189)</f>
        <v>-5826000</v>
      </c>
      <c r="H238" s="94">
        <f>SUM(K189)+I189</f>
        <v>-194470500</v>
      </c>
      <c r="I238" s="94">
        <f>SUM(J189)+H189+E189</f>
        <v>0</v>
      </c>
      <c r="J238" s="94">
        <f>SUM(G189)</f>
        <v>0</v>
      </c>
      <c r="K238" s="99">
        <f t="shared" si="42"/>
        <v>-200296500</v>
      </c>
    </row>
    <row r="239" spans="1:12" ht="30">
      <c r="B239" s="100" t="s">
        <v>2431</v>
      </c>
      <c r="C239" s="93">
        <f>L218+L220+L221+L222+L223</f>
        <v>465062700</v>
      </c>
      <c r="D239" s="105">
        <f t="shared" si="43"/>
        <v>465062700</v>
      </c>
      <c r="E239" s="93">
        <f>C191+C192</f>
        <v>0</v>
      </c>
      <c r="F239" s="94">
        <f>SUM(G239:J239)</f>
        <v>0</v>
      </c>
      <c r="G239" s="93">
        <f>F191+F192+D191+D192</f>
        <v>0</v>
      </c>
      <c r="H239" s="93">
        <f>K191+K192+I191+I192+I193+K193</f>
        <v>0</v>
      </c>
      <c r="I239" s="93">
        <f>H191+H192+J191+J192+E191+E192</f>
        <v>0</v>
      </c>
      <c r="J239" s="93">
        <f>G191+G192</f>
        <v>0</v>
      </c>
      <c r="K239" s="99">
        <f t="shared" si="42"/>
        <v>0</v>
      </c>
    </row>
    <row r="240" spans="1:12" ht="15">
      <c r="B240" s="98" t="s">
        <v>2377</v>
      </c>
      <c r="C240" s="93">
        <f>SUM(L224:L230)</f>
        <v>389325100</v>
      </c>
      <c r="D240" s="105">
        <f t="shared" si="43"/>
        <v>363118100</v>
      </c>
      <c r="E240" s="94">
        <f>SUM(C194:C201)+SUM(E194:E201)</f>
        <v>0</v>
      </c>
      <c r="F240" s="94">
        <f t="shared" si="44"/>
        <v>-26207000</v>
      </c>
      <c r="G240" s="94">
        <f>SUM(F194:F201)+SUM(D194:D201)</f>
        <v>-10000</v>
      </c>
      <c r="H240" s="94">
        <f>SUM(K194:K201)+SUM(I194:I201)</f>
        <v>-1000000</v>
      </c>
      <c r="I240" s="94">
        <f>SUM(J194:J201)+SUM(H194:H201)+SUM(E194:E201)</f>
        <v>-25192000</v>
      </c>
      <c r="J240" s="94">
        <f>SUM(G194:G201)</f>
        <v>-5000</v>
      </c>
      <c r="K240" s="99">
        <f t="shared" si="42"/>
        <v>-26207000</v>
      </c>
    </row>
    <row r="241" spans="1:14" ht="15.75" thickBot="1">
      <c r="B241" s="101"/>
      <c r="C241" s="102">
        <f>SUM(C234:C240)</f>
        <v>2519658600</v>
      </c>
      <c r="D241" s="102">
        <f>SUM(D234:D240)</f>
        <v>1847218600</v>
      </c>
      <c r="E241" s="102">
        <f>SUM(E234:E240)</f>
        <v>-1404830000</v>
      </c>
      <c r="F241" s="102">
        <f>SUM(F234:F240)</f>
        <v>-672440000</v>
      </c>
      <c r="G241" s="102">
        <f t="shared" ref="G241:I241" si="46">SUM(G234:G240)</f>
        <v>-108477000</v>
      </c>
      <c r="H241" s="102">
        <f t="shared" si="46"/>
        <v>-490821000</v>
      </c>
      <c r="I241" s="102">
        <f t="shared" si="46"/>
        <v>-73137000</v>
      </c>
      <c r="J241" s="103"/>
      <c r="K241" s="104">
        <f>F241+C241+E241</f>
        <v>442388600</v>
      </c>
    </row>
    <row r="242" spans="1:14">
      <c r="D242" s="225">
        <f>D241-D240</f>
        <v>1484100500</v>
      </c>
      <c r="E242" s="90"/>
      <c r="F242" s="90"/>
      <c r="G242" s="90"/>
      <c r="H242" s="90"/>
      <c r="I242" s="90"/>
    </row>
    <row r="243" spans="1:14">
      <c r="D243" s="225">
        <f>'הצעת תקציב 2016'!H134</f>
        <v>0</v>
      </c>
      <c r="F243" s="90"/>
      <c r="G243" s="90"/>
      <c r="H243" s="90"/>
      <c r="I243" s="90"/>
    </row>
    <row r="244" spans="1:14">
      <c r="D244" s="90">
        <f>D242+D243</f>
        <v>1484100500</v>
      </c>
      <c r="E244" s="90"/>
      <c r="F244" s="90"/>
      <c r="G244" s="90"/>
      <c r="H244" s="90"/>
      <c r="I244" s="90"/>
    </row>
    <row r="245" spans="1:14" ht="30">
      <c r="B245" s="52" t="s">
        <v>2433</v>
      </c>
      <c r="D245" s="106" t="str">
        <f>INDEX(Revenue_type,MATCH(F$164*1,type!$A$118:$A$168,0),8)</f>
        <v>שירותים ושכר לימוד</v>
      </c>
      <c r="E245" s="106" t="str">
        <f>G165</f>
        <v>החזרות</v>
      </c>
      <c r="F245" s="106" t="str">
        <f>I165</f>
        <v>השתתפות מוסדות ותרומות</v>
      </c>
    </row>
    <row r="246" spans="1:14" ht="30.75" thickBot="1">
      <c r="B246" s="52" t="s">
        <v>2434</v>
      </c>
      <c r="C246" s="52" t="str">
        <f>INDEX(Expenditure_type,MATCH(C$164*1,type!$A$2:$A$117,0),8)</f>
        <v>משכורות וש"ע לעובדים לפי תקן</v>
      </c>
      <c r="D246" s="52" t="str">
        <f>INDEX(Expenditure_type,MATCH(F$164*1,type!$A$2:$A$117,0),8)</f>
        <v>אחזקת בינים ואספקת ציוד</v>
      </c>
      <c r="E246" s="52" t="str">
        <f>G203</f>
        <v>הוצאות מנהליות</v>
      </c>
      <c r="F246" s="52" t="str">
        <f>I203</f>
        <v>הוצאות לפעולות</v>
      </c>
      <c r="G246" s="52" t="str">
        <f>INDEX(Expenditure_type,MATCH(K$164*1,type!$A$2:$A$117,0),8)</f>
        <v>הוצאות חד פעמיות</v>
      </c>
    </row>
    <row r="247" spans="1:14">
      <c r="A247" s="69" t="s">
        <v>2393</v>
      </c>
      <c r="B247" s="61" t="s">
        <v>1915</v>
      </c>
      <c r="C247" s="80">
        <f>SUMIFS('הצעת תקציב 2016'!$H$3:$H$7326,'הצעת תקציב 2016'!$N$3:$N$7326,$A247,'הצעת תקציב 2016'!$U$3:$U$7326,C$164)</f>
        <v>0</v>
      </c>
      <c r="D247" s="80">
        <f>SUMIFS('הצעת תקציב 2016'!$H$3:$H$7326,'הצעת תקציב 2016'!$N$3:$N$7326,$A247,'הצעת תקציב 2016'!$U$3:$U$7326,F$164)</f>
        <v>0</v>
      </c>
      <c r="E247" s="80">
        <f>SUMIFS('הצעת תקציב 2016'!$H$3:$H$7326,'הצעת תקציב 2016'!$N$3:$N$7326,$A247,'הצעת תקציב 2016'!$U$3:$U$7326,G$164)</f>
        <v>0</v>
      </c>
      <c r="F247" s="80">
        <f>SUMIFS('הצעת תקציב 2016'!$H$3:$H$7326,'הצעת תקציב 2016'!$N$3:$N$7326,$A247,'הצעת תקציב 2016'!$U$3:$U$7326,I$164)</f>
        <v>0</v>
      </c>
      <c r="G247" s="80">
        <f>SUMIFS('הצעת תקציב 2016'!$H$3:$H$7326,'הצעת תקציב 2016'!$N$3:$N$7326,$A247,'הצעת תקציב 2016'!$U$3:$U$7326,K$164)</f>
        <v>0</v>
      </c>
      <c r="H247" s="81">
        <f>SUM(C247:G247)</f>
        <v>0</v>
      </c>
      <c r="N247" s="90">
        <f>M247+H247</f>
        <v>0</v>
      </c>
    </row>
    <row r="248" spans="1:14">
      <c r="A248" s="62" t="s">
        <v>1884</v>
      </c>
      <c r="B248" s="82" t="s">
        <v>2352</v>
      </c>
      <c r="C248" s="55">
        <f>SUMIFS('הצעת תקציב 2016'!$H$3:$H$7326,'הצעת תקציב 2016'!$N$3:$N$7326,$A248,'הצעת תקציב 2016'!$U$3:$U$7326,C$164)</f>
        <v>0</v>
      </c>
      <c r="D248" s="55">
        <f>SUMIFS('הצעת תקציב 2016'!$H$3:$H$7326,'הצעת תקציב 2016'!$N$3:$N$7326,$A248,'הצעת תקציב 2016'!$U$3:$U$7326,F$164)</f>
        <v>0</v>
      </c>
      <c r="E248" s="55">
        <f>SUMIFS('הצעת תקציב 2016'!$H$3:$H$7326,'הצעת תקציב 2016'!$N$3:$N$7326,$A248,'הצעת תקציב 2016'!$U$3:$U$7326,G$164)</f>
        <v>0</v>
      </c>
      <c r="F248" s="55">
        <f>SUMIFS('הצעת תקציב 2016'!$H$3:$H$7326,'הצעת תקציב 2016'!$N$3:$N$7326,$A248,'הצעת תקציב 2016'!$U$3:$U$7326,I$164)</f>
        <v>0</v>
      </c>
      <c r="G248" s="55">
        <f>SUMIFS('הצעת תקציב 2016'!$H$3:$H$7326,'הצעת תקציב 2016'!$N$3:$N$7326,$A248,'הצעת תקציב 2016'!$U$3:$U$7326,K$164)</f>
        <v>0</v>
      </c>
      <c r="H248" s="83">
        <f>SUM(C248:G248)</f>
        <v>0</v>
      </c>
      <c r="N248" s="90">
        <f>M248+H248</f>
        <v>0</v>
      </c>
    </row>
    <row r="249" spans="1:14">
      <c r="A249" s="62" t="s">
        <v>1892</v>
      </c>
      <c r="B249" s="82" t="s">
        <v>2353</v>
      </c>
      <c r="C249" s="55">
        <f>SUMIFS('הצעת תקציב 2016'!$H$3:$H$7326,'הצעת תקציב 2016'!$N$3:$N$7326,$A249,'הצעת תקציב 2016'!$U$3:$U$7326,C$164)</f>
        <v>0</v>
      </c>
      <c r="D249" s="55">
        <f>SUMIFS('הצעת תקציב 2016'!$H$3:$H$7326,'הצעת תקציב 2016'!$N$3:$N$7326,$A249,'הצעת תקציב 2016'!$U$3:$U$7326,F$164)</f>
        <v>0</v>
      </c>
      <c r="E249" s="55">
        <f>SUMIFS('הצעת תקציב 2016'!$H$3:$H$7326,'הצעת תקציב 2016'!$N$3:$N$7326,$A249,'הצעת תקציב 2016'!$U$3:$U$7326,G$164)</f>
        <v>0</v>
      </c>
      <c r="F249" s="55">
        <f>SUMIFS('הצעת תקציב 2016'!$H$3:$H$7326,'הצעת תקציב 2016'!$N$3:$N$7326,$A249,'הצעת תקציב 2016'!$U$3:$U$7326,I$164)</f>
        <v>0</v>
      </c>
      <c r="G249" s="55">
        <f>SUMIFS('הצעת תקציב 2016'!$H$3:$H$7326,'הצעת תקציב 2016'!$N$3:$N$7326,$A249,'הצעת תקציב 2016'!$U$3:$U$7326,K$164)</f>
        <v>0</v>
      </c>
      <c r="H249" s="83">
        <f>SUM(C249:G249)</f>
        <v>0</v>
      </c>
      <c r="N249" s="90">
        <f>M249+H249</f>
        <v>0</v>
      </c>
    </row>
    <row r="250" spans="1:14">
      <c r="A250" s="62" t="s">
        <v>1900</v>
      </c>
      <c r="B250" s="82" t="s">
        <v>1614</v>
      </c>
      <c r="C250" s="55">
        <f>SUMIFS('הצעת תקציב 2016'!$H$3:$H$7326,'הצעת תקציב 2016'!$N$3:$N$7326,$A250,'הצעת תקציב 2016'!$U$3:$U$7326,C$164)</f>
        <v>0</v>
      </c>
      <c r="D250" s="55">
        <f>SUMIFS('הצעת תקציב 2016'!$H$3:$H$7326,'הצעת תקציב 2016'!$N$3:$N$7326,$A250,'הצעת תקציב 2016'!$U$3:$U$7326,F$164)</f>
        <v>0</v>
      </c>
      <c r="E250" s="55">
        <f>SUMIFS('הצעת תקציב 2016'!$H$3:$H$7326,'הצעת תקציב 2016'!$N$3:$N$7326,$A250,'הצעת תקציב 2016'!$U$3:$U$7326,G$164)</f>
        <v>0</v>
      </c>
      <c r="F250" s="55">
        <f>SUMIFS('הצעת תקציב 2016'!$H$3:$H$7326,'הצעת תקציב 2016'!$N$3:$N$7326,$A250,'הצעת תקציב 2016'!$U$3:$U$7326,I$164)</f>
        <v>0</v>
      </c>
      <c r="G250" s="55">
        <f>SUMIFS('הצעת תקציב 2016'!$H$3:$H$7326,'הצעת תקציב 2016'!$N$3:$N$7326,$A250,'הצעת תקציב 2016'!$U$3:$U$7326,K$164)</f>
        <v>0</v>
      </c>
      <c r="H250" s="83">
        <f>SUM(C250:G250)</f>
        <v>0</v>
      </c>
      <c r="N250" s="90">
        <f>M250+H250</f>
        <v>0</v>
      </c>
    </row>
    <row r="254" spans="1:14" ht="13.5" thickBot="1"/>
    <row r="255" spans="1:14">
      <c r="B255" s="146"/>
      <c r="C255" s="227"/>
      <c r="D255" s="521" t="s">
        <v>2552</v>
      </c>
      <c r="E255" s="521"/>
      <c r="F255" s="521"/>
      <c r="G255" s="521"/>
      <c r="H255" s="522"/>
    </row>
    <row r="256" spans="1:14">
      <c r="B256" s="228"/>
      <c r="C256" s="229"/>
      <c r="D256" s="230" t="s">
        <v>2553</v>
      </c>
      <c r="E256" s="230" t="s">
        <v>2554</v>
      </c>
      <c r="F256" s="230" t="s">
        <v>2555</v>
      </c>
      <c r="G256" s="230" t="s">
        <v>2556</v>
      </c>
      <c r="H256" s="231" t="s">
        <v>2557</v>
      </c>
    </row>
    <row r="257" spans="2:8" ht="38.25">
      <c r="B257" s="148"/>
      <c r="C257" s="56" t="s">
        <v>2558</v>
      </c>
      <c r="D257" s="237" t="s">
        <v>2559</v>
      </c>
      <c r="E257" s="237" t="s">
        <v>2427</v>
      </c>
      <c r="F257" s="237" t="s">
        <v>2428</v>
      </c>
      <c r="G257" s="237" t="s">
        <v>2429</v>
      </c>
      <c r="H257" s="237" t="s">
        <v>187</v>
      </c>
    </row>
    <row r="258" spans="2:8">
      <c r="B258" s="148" t="s">
        <v>2560</v>
      </c>
      <c r="C258" s="105">
        <f>C234</f>
        <v>364628100</v>
      </c>
      <c r="D258" s="232">
        <f>C258-SUM(E258:H258)</f>
        <v>362848100</v>
      </c>
      <c r="E258" s="105">
        <f>-G234</f>
        <v>0</v>
      </c>
      <c r="F258" s="105">
        <f>-H234</f>
        <v>1780000</v>
      </c>
      <c r="G258" s="105">
        <f>-I234</f>
        <v>0</v>
      </c>
      <c r="H258" s="233">
        <f>J234</f>
        <v>0</v>
      </c>
    </row>
    <row r="259" spans="2:8">
      <c r="B259" s="148" t="s">
        <v>2561</v>
      </c>
      <c r="C259" s="105">
        <f t="shared" ref="C259:C264" si="47">C235</f>
        <v>394357700</v>
      </c>
      <c r="D259" s="232">
        <f t="shared" ref="D259:D264" si="48">C259-SUM(E259:H259)</f>
        <v>265687000</v>
      </c>
      <c r="E259" s="105"/>
      <c r="F259" s="105">
        <f t="shared" ref="F259:F264" si="49">-H235</f>
        <v>1039500</v>
      </c>
      <c r="G259" s="105">
        <f>-I235-G235</f>
        <v>127631200</v>
      </c>
      <c r="H259" s="233">
        <f t="shared" ref="H259:H264" si="50">J235</f>
        <v>0</v>
      </c>
    </row>
    <row r="260" spans="2:8">
      <c r="B260" s="148" t="s">
        <v>2430</v>
      </c>
      <c r="C260" s="105">
        <f t="shared" si="47"/>
        <v>484641200</v>
      </c>
      <c r="D260" s="232">
        <f t="shared" si="48"/>
        <v>182141200</v>
      </c>
      <c r="E260" s="105">
        <f t="shared" ref="E260:E264" si="51">-G236</f>
        <v>11006000</v>
      </c>
      <c r="F260" s="105">
        <f t="shared" si="49"/>
        <v>291494000</v>
      </c>
      <c r="G260" s="105">
        <f t="shared" ref="G260:G264" si="52">-I236</f>
        <v>0</v>
      </c>
      <c r="H260" s="233">
        <f t="shared" si="50"/>
        <v>0</v>
      </c>
    </row>
    <row r="261" spans="2:8">
      <c r="B261" s="148" t="s">
        <v>2382</v>
      </c>
      <c r="C261" s="105">
        <f t="shared" si="47"/>
        <v>144752800</v>
      </c>
      <c r="D261" s="232">
        <f t="shared" si="48"/>
        <v>131767000</v>
      </c>
      <c r="E261" s="105">
        <f t="shared" si="51"/>
        <v>11948800</v>
      </c>
      <c r="F261" s="105">
        <f t="shared" si="49"/>
        <v>1037000</v>
      </c>
      <c r="G261" s="105">
        <f t="shared" si="52"/>
        <v>0</v>
      </c>
      <c r="H261" s="233">
        <f t="shared" si="50"/>
        <v>0</v>
      </c>
    </row>
    <row r="262" spans="2:8">
      <c r="B262" s="148" t="s">
        <v>1360</v>
      </c>
      <c r="C262" s="105">
        <f t="shared" si="47"/>
        <v>276891000</v>
      </c>
      <c r="D262" s="232">
        <f t="shared" si="48"/>
        <v>76594500</v>
      </c>
      <c r="E262" s="105">
        <f>-G238-I238</f>
        <v>5826000</v>
      </c>
      <c r="F262" s="105">
        <f t="shared" si="49"/>
        <v>194470500</v>
      </c>
      <c r="G262" s="105"/>
      <c r="H262" s="233">
        <f t="shared" si="50"/>
        <v>0</v>
      </c>
    </row>
    <row r="263" spans="2:8">
      <c r="B263" s="148" t="s">
        <v>2431</v>
      </c>
      <c r="C263" s="105">
        <f t="shared" si="47"/>
        <v>465062700</v>
      </c>
      <c r="D263" s="232">
        <f t="shared" si="48"/>
        <v>465062700</v>
      </c>
      <c r="E263" s="105">
        <f t="shared" si="51"/>
        <v>0</v>
      </c>
      <c r="F263" s="105">
        <f t="shared" si="49"/>
        <v>0</v>
      </c>
      <c r="G263" s="105">
        <f t="shared" si="52"/>
        <v>0</v>
      </c>
      <c r="H263" s="233">
        <f t="shared" si="50"/>
        <v>0</v>
      </c>
    </row>
    <row r="264" spans="2:8">
      <c r="B264" s="148" t="s">
        <v>2562</v>
      </c>
      <c r="C264" s="105">
        <f t="shared" si="47"/>
        <v>389325100</v>
      </c>
      <c r="D264" s="232">
        <f t="shared" si="48"/>
        <v>363128100</v>
      </c>
      <c r="E264" s="105">
        <f t="shared" si="51"/>
        <v>10000</v>
      </c>
      <c r="F264" s="105">
        <f t="shared" si="49"/>
        <v>1000000</v>
      </c>
      <c r="G264" s="105">
        <f t="shared" si="52"/>
        <v>25192000</v>
      </c>
      <c r="H264" s="233">
        <f t="shared" si="50"/>
        <v>-5000</v>
      </c>
    </row>
    <row r="265" spans="2:8" ht="13.5" thickBot="1">
      <c r="B265" s="150"/>
      <c r="C265" s="234"/>
      <c r="D265" s="235"/>
      <c r="E265" s="234"/>
      <c r="F265" s="234"/>
      <c r="G265" s="234"/>
      <c r="H265" s="236"/>
    </row>
    <row r="267" spans="2:8">
      <c r="B267" t="s">
        <v>2563</v>
      </c>
      <c r="D267" s="48" t="s">
        <v>2565</v>
      </c>
      <c r="E267" s="48" t="s">
        <v>2527</v>
      </c>
    </row>
    <row r="268" spans="2:8">
      <c r="B268" t="s">
        <v>2554</v>
      </c>
      <c r="C268" s="105">
        <f>'נתוני הכנסות עצמיות'!O6+'נתוני הכנסות עצמיות'!O36</f>
        <v>452319.29461899132</v>
      </c>
      <c r="D268" s="239">
        <f>C268/$C$272</f>
        <v>0.2448650607020692</v>
      </c>
      <c r="E268" s="240">
        <f>C268/$C$268</f>
        <v>1</v>
      </c>
    </row>
    <row r="269" spans="2:8">
      <c r="B269" t="s">
        <v>2556</v>
      </c>
      <c r="C269" s="105">
        <f>'נתוני הכנסות עצמיות'!O9+'נתוני הכנסות עצמיות'!O46</f>
        <v>676663.31538100878</v>
      </c>
      <c r="D269" s="239">
        <f t="shared" ref="D269:D271" si="53">C269/$C$272</f>
        <v>0.3663146935511632</v>
      </c>
      <c r="E269" s="240">
        <f t="shared" ref="E269:E271" si="54">C269/$C$268</f>
        <v>1.4959859626394942</v>
      </c>
    </row>
    <row r="270" spans="2:8">
      <c r="B270" t="s">
        <v>4814</v>
      </c>
      <c r="C270" s="105">
        <f>-H234/1000</f>
        <v>1780</v>
      </c>
      <c r="D270" s="239">
        <f t="shared" si="53"/>
        <v>9.6361091210320205E-4</v>
      </c>
      <c r="E270" s="240">
        <f t="shared" si="54"/>
        <v>3.9352732045166748E-3</v>
      </c>
    </row>
    <row r="271" spans="2:8">
      <c r="B271" t="s">
        <v>4813</v>
      </c>
      <c r="C271" s="105">
        <f>D241/1000-C268-C269-C270</f>
        <v>716455.99000000011</v>
      </c>
      <c r="D271" s="239">
        <f t="shared" si="53"/>
        <v>0.38785663483466443</v>
      </c>
      <c r="E271" s="240">
        <f t="shared" si="54"/>
        <v>1.5839607076755433</v>
      </c>
    </row>
    <row r="272" spans="2:8">
      <c r="C272" s="225">
        <f>SUM(C268:C271)</f>
        <v>1847218.6</v>
      </c>
    </row>
    <row r="273" spans="2:8">
      <c r="B273" s="245" t="s">
        <v>4750</v>
      </c>
      <c r="D273" s="277">
        <f>D268/(D268+D269)</f>
        <v>0.40064327883579293</v>
      </c>
      <c r="E273" s="277">
        <f>E268/(E268+E269)</f>
        <v>0.40064327883579293</v>
      </c>
    </row>
    <row r="275" spans="2:8">
      <c r="C275" s="56" t="s">
        <v>2558</v>
      </c>
      <c r="D275" s="230" t="s">
        <v>2554</v>
      </c>
      <c r="E275" s="230" t="s">
        <v>2555</v>
      </c>
      <c r="F275" s="230" t="s">
        <v>2556</v>
      </c>
      <c r="G275" s="231" t="s">
        <v>2557</v>
      </c>
    </row>
    <row r="276" spans="2:8">
      <c r="B276" s="148" t="s">
        <v>2560</v>
      </c>
      <c r="C276" s="225">
        <f>C258</f>
        <v>364628100</v>
      </c>
      <c r="D276" s="241">
        <f>($D258*$D$268+$E258)/($D258*$D$268+$E258)</f>
        <v>1</v>
      </c>
      <c r="E276" s="241">
        <f>($F258)/($D258*$D$268+$E258)</f>
        <v>2.0034030382038121E-2</v>
      </c>
      <c r="F276" s="241">
        <f>($D258*$D$269+$G258)/($D258*$D$268+$E258)</f>
        <v>1.4959859626394942</v>
      </c>
      <c r="G276" s="241">
        <v>0</v>
      </c>
      <c r="H276" s="241"/>
    </row>
    <row r="277" spans="2:8">
      <c r="B277" s="148" t="s">
        <v>2561</v>
      </c>
      <c r="C277" s="225">
        <f t="shared" ref="C277:C282" si="55">C259</f>
        <v>394357700</v>
      </c>
      <c r="D277" s="241">
        <f t="shared" ref="D277:D282" si="56">($D259*$D$268+$E259)/($D259*$D$268+$E259)</f>
        <v>1</v>
      </c>
      <c r="E277" s="241">
        <f t="shared" ref="E277:E282" si="57">($F259)/($D259*$D$268+$E259)</f>
        <v>1.597818214774745E-2</v>
      </c>
      <c r="F277" s="241">
        <f t="shared" ref="F277:F282" si="58">($D259*$D$269+$G259)/($D259*$D$268+$E259)</f>
        <v>3.4578085324668963</v>
      </c>
      <c r="G277" s="241">
        <v>0</v>
      </c>
      <c r="H277" s="241"/>
    </row>
    <row r="278" spans="2:8">
      <c r="B278" s="148" t="s">
        <v>2430</v>
      </c>
      <c r="C278" s="225">
        <f t="shared" si="55"/>
        <v>484641200</v>
      </c>
      <c r="D278" s="241">
        <f t="shared" si="56"/>
        <v>1</v>
      </c>
      <c r="E278" s="241">
        <f t="shared" si="57"/>
        <v>5.2421306361820621</v>
      </c>
      <c r="F278" s="241">
        <f t="shared" si="58"/>
        <v>1.1998881176422209</v>
      </c>
      <c r="G278" s="241">
        <v>0</v>
      </c>
      <c r="H278" s="241"/>
    </row>
    <row r="279" spans="2:8">
      <c r="B279" s="148" t="s">
        <v>2382</v>
      </c>
      <c r="C279" s="225">
        <f t="shared" si="55"/>
        <v>144752800</v>
      </c>
      <c r="D279" s="241">
        <f t="shared" si="56"/>
        <v>1</v>
      </c>
      <c r="E279" s="241">
        <f t="shared" si="57"/>
        <v>2.3454144328411319E-2</v>
      </c>
      <c r="F279" s="241">
        <f t="shared" si="58"/>
        <v>1.0916962903604006</v>
      </c>
      <c r="G279" s="241">
        <v>0</v>
      </c>
      <c r="H279" s="241"/>
    </row>
    <row r="280" spans="2:8">
      <c r="B280" s="148" t="s">
        <v>1360</v>
      </c>
      <c r="C280" s="225">
        <f t="shared" si="55"/>
        <v>276891000</v>
      </c>
      <c r="D280" s="241">
        <f t="shared" si="56"/>
        <v>1</v>
      </c>
      <c r="E280" s="241">
        <f t="shared" si="57"/>
        <v>7.9113133301547602</v>
      </c>
      <c r="F280" s="241">
        <f t="shared" si="58"/>
        <v>1.1414234200120965</v>
      </c>
      <c r="G280" s="241">
        <v>0</v>
      </c>
      <c r="H280" s="241"/>
    </row>
    <row r="281" spans="2:8">
      <c r="B281" s="148" t="s">
        <v>2431</v>
      </c>
      <c r="C281" s="225">
        <f t="shared" si="55"/>
        <v>465062700</v>
      </c>
      <c r="D281" s="241">
        <f t="shared" si="56"/>
        <v>1</v>
      </c>
      <c r="E281" s="241">
        <f t="shared" si="57"/>
        <v>0</v>
      </c>
      <c r="F281" s="241">
        <f t="shared" si="58"/>
        <v>1.4959859626394942</v>
      </c>
      <c r="G281" s="241">
        <v>0</v>
      </c>
      <c r="H281" s="241"/>
    </row>
    <row r="282" spans="2:8">
      <c r="B282" s="148" t="s">
        <v>2562</v>
      </c>
      <c r="C282" s="225">
        <f t="shared" si="55"/>
        <v>389325100</v>
      </c>
      <c r="D282" s="241">
        <f t="shared" si="56"/>
        <v>1</v>
      </c>
      <c r="E282" s="241">
        <f t="shared" si="57"/>
        <v>1.1245130040017075E-2</v>
      </c>
      <c r="F282" s="241">
        <f t="shared" si="58"/>
        <v>1.7791050530407251</v>
      </c>
      <c r="G282" s="241">
        <v>0</v>
      </c>
      <c r="H282" s="241"/>
    </row>
    <row r="283" spans="2:8">
      <c r="D283" s="241"/>
      <c r="E283" s="241"/>
      <c r="F283" s="241"/>
      <c r="G283" s="241"/>
    </row>
  </sheetData>
  <autoFilter ref="A165:N165"/>
  <sortState ref="P3:P161">
    <sortCondition ref="P3"/>
  </sortState>
  <mergeCells count="1">
    <mergeCell ref="D255:H255"/>
  </mergeCells>
  <conditionalFormatting sqref="M2:M100 M110:M161 M107:M108 M102:M10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C248:G250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C246:G246">
    <cfRule type="cellIs" dxfId="7" priority="8" operator="greaterThan">
      <formula>0</formula>
    </cfRule>
  </conditionalFormatting>
  <conditionalFormatting sqref="D245:F245">
    <cfRule type="cellIs" dxfId="6" priority="7" operator="lessThan">
      <formula>0</formula>
    </cfRule>
  </conditionalFormatting>
  <conditionalFormatting sqref="M109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M106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M101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ErrorMessage="1">
          <x14:formula1>
            <xm:f>[1]Template!#REF!</xm:f>
          </x14:formula1>
          <xm:sqref>A1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"/>
  <sheetViews>
    <sheetView rightToLeft="1" topLeftCell="A6" workbookViewId="0">
      <selection activeCell="B21" sqref="B21"/>
    </sheetView>
  </sheetViews>
  <sheetFormatPr defaultRowHeight="12.75"/>
  <cols>
    <col min="1" max="1" width="4" bestFit="1" customWidth="1"/>
    <col min="2" max="2" width="21.85546875" bestFit="1" customWidth="1"/>
    <col min="3" max="3" width="14.85546875" bestFit="1" customWidth="1"/>
    <col min="4" max="4" width="13.28515625" bestFit="1" customWidth="1"/>
    <col min="5" max="5" width="11.28515625" bestFit="1" customWidth="1"/>
    <col min="6" max="6" width="12.28515625" bestFit="1" customWidth="1"/>
    <col min="7" max="7" width="13.28515625" bestFit="1" customWidth="1"/>
    <col min="8" max="8" width="14.28515625" bestFit="1" customWidth="1"/>
    <col min="9" max="9" width="14.85546875" bestFit="1" customWidth="1"/>
    <col min="10" max="10" width="15.42578125" bestFit="1" customWidth="1"/>
    <col min="11" max="11" width="16.7109375" bestFit="1" customWidth="1"/>
    <col min="12" max="12" width="12.28515625" bestFit="1" customWidth="1"/>
    <col min="13" max="13" width="13.28515625" bestFit="1" customWidth="1"/>
    <col min="14" max="15" width="12.28515625" bestFit="1" customWidth="1"/>
    <col min="16" max="17" width="11.28515625" bestFit="1" customWidth="1"/>
    <col min="18" max="18" width="12.28515625" bestFit="1" customWidth="1"/>
  </cols>
  <sheetData>
    <row r="1" spans="1:22" s="34" customFormat="1" ht="75.75" thickBot="1">
      <c r="A1" s="144"/>
      <c r="B1" s="145"/>
      <c r="C1" s="42" t="s">
        <v>2355</v>
      </c>
      <c r="D1" s="42" t="s">
        <v>2473</v>
      </c>
      <c r="E1" s="42" t="s">
        <v>2474</v>
      </c>
      <c r="F1" s="42" t="s">
        <v>4678</v>
      </c>
      <c r="G1" s="42" t="s">
        <v>2473</v>
      </c>
      <c r="H1" s="42" t="s">
        <v>2474</v>
      </c>
      <c r="I1" s="42" t="s">
        <v>2356</v>
      </c>
      <c r="J1" s="42" t="s">
        <v>2475</v>
      </c>
      <c r="K1" s="42" t="s">
        <v>2476</v>
      </c>
      <c r="L1" s="42" t="s">
        <v>4680</v>
      </c>
      <c r="M1" s="42" t="s">
        <v>4683</v>
      </c>
      <c r="N1" s="42" t="s">
        <v>4684</v>
      </c>
      <c r="P1" s="42" t="s">
        <v>2355</v>
      </c>
      <c r="Q1" s="42" t="s">
        <v>4678</v>
      </c>
      <c r="R1" s="42" t="s">
        <v>4682</v>
      </c>
      <c r="S1" s="42" t="s">
        <v>2356</v>
      </c>
      <c r="T1" s="42" t="s">
        <v>4679</v>
      </c>
      <c r="U1" s="42" t="s">
        <v>4680</v>
      </c>
      <c r="V1" s="42" t="s">
        <v>4681</v>
      </c>
    </row>
    <row r="2" spans="1:22">
      <c r="A2" s="146" t="str">
        <f>'הצלבות בין הכנסות והוצאות'!A96</f>
        <v>811</v>
      </c>
      <c r="B2" s="147" t="str">
        <f>'הצלבות בין הכנסות והוצאות'!E96</f>
        <v>מינהל החינוך</v>
      </c>
      <c r="C2" s="137" t="e">
        <f>SUMIF('הצעת תקציב 2016'!$P$3:$P$7326,$A2,'הצעת תקציב 2016'!$K$3:$K$7326)</f>
        <v>#N/A</v>
      </c>
      <c r="D2" s="135">
        <f t="shared" ref="D2:D7" si="0">G79</f>
        <v>0</v>
      </c>
      <c r="E2" s="138">
        <f t="shared" ref="E2:E7" si="1">SUM(C79:F79)</f>
        <v>0</v>
      </c>
      <c r="F2" s="137">
        <f>SUMIF('הצעת תקציב 2016'!$P$3:$P$7326,$A2,'הצעת תקציב 2016'!$J$3:$J$7326)</f>
        <v>18024200</v>
      </c>
      <c r="G2" s="135">
        <f t="shared" ref="G2:G7" si="2">G68</f>
        <v>-72087</v>
      </c>
      <c r="H2" s="138">
        <f t="shared" ref="H2:H7" si="3">SUM(C68:F68)</f>
        <v>0</v>
      </c>
      <c r="I2" s="137">
        <f>SUMIF('הצעת תקציב 2016'!$P$3:$P$7326,$A2,'הצעת תקציב 2016'!$I$3:$I$7326)</f>
        <v>19372300</v>
      </c>
      <c r="J2" s="135">
        <f t="shared" ref="J2:J7" si="4">G57</f>
        <v>0</v>
      </c>
      <c r="K2" s="138">
        <f t="shared" ref="K2:K7" si="5">SUM(C68:F68)</f>
        <v>0</v>
      </c>
      <c r="L2" s="137">
        <f>SUMIF('הצעת תקציב 2016'!$P$3:$P$7326,$A2,'הצעת תקציב 2016'!$H$3:$H$7326)</f>
        <v>19446900</v>
      </c>
      <c r="M2" s="136">
        <f t="shared" ref="M2:M7" si="6">G46</f>
        <v>0</v>
      </c>
      <c r="N2" s="141">
        <f t="shared" ref="N2:N7" si="7">SUM(C46:F46)</f>
        <v>0</v>
      </c>
    </row>
    <row r="3" spans="1:22">
      <c r="A3" s="148" t="str">
        <f>'הצלבות בין הכנסות והוצאות'!A97</f>
        <v>812</v>
      </c>
      <c r="B3" s="149" t="str">
        <f>'הצלבות בין הכנסות והוצאות'!E97</f>
        <v>חינוך קדם יסודי</v>
      </c>
      <c r="C3" s="137" t="e">
        <f>SUMIF('הצעת תקציב 2016'!$P$3:$P$7326,$A3,'הצעת תקציב 2016'!$K$3:$K$7326)</f>
        <v>#N/A</v>
      </c>
      <c r="D3" s="135">
        <f t="shared" si="0"/>
        <v>0</v>
      </c>
      <c r="E3" s="138">
        <f t="shared" si="1"/>
        <v>0</v>
      </c>
      <c r="F3" s="137">
        <f>SUMIF('הצעת תקציב 2016'!$P$3:$P$7326,$A3,'הצעת תקציב 2016'!$J$3:$J$7326)</f>
        <v>85055100</v>
      </c>
      <c r="G3" s="135">
        <f t="shared" si="2"/>
        <v>-60825664</v>
      </c>
      <c r="H3" s="138">
        <f t="shared" si="3"/>
        <v>-3376739</v>
      </c>
      <c r="I3" s="137">
        <f>SUMIF('הצעת תקציב 2016'!$P$3:$P$7326,$A3,'הצעת תקציב 2016'!$I$3:$I$7326)</f>
        <v>84745500</v>
      </c>
      <c r="J3" s="135">
        <f t="shared" si="4"/>
        <v>-61900000</v>
      </c>
      <c r="K3" s="138">
        <f t="shared" si="5"/>
        <v>-3376739</v>
      </c>
      <c r="L3" s="137">
        <f>SUMIF('הצעת תקציב 2016'!$P$3:$P$7326,$A3,'הצעת תקציב 2016'!$H$3:$H$7326)</f>
        <v>88645800</v>
      </c>
      <c r="M3" s="136">
        <f t="shared" si="6"/>
        <v>-68200000</v>
      </c>
      <c r="N3" s="141">
        <f t="shared" si="7"/>
        <v>-3100000</v>
      </c>
    </row>
    <row r="4" spans="1:22">
      <c r="A4" s="148" t="str">
        <f>'הצלבות בין הכנסות והוצאות'!A98</f>
        <v>813</v>
      </c>
      <c r="B4" s="149" t="str">
        <f>'הצלבות בין הכנסות והוצאות'!E98</f>
        <v>חינוך יסודי</v>
      </c>
      <c r="C4" s="137" t="e">
        <f>SUMIF('הצעת תקציב 2016'!$P$3:$P$7326,$A4,'הצעת תקציב 2016'!$K$3:$K$7326)</f>
        <v>#N/A</v>
      </c>
      <c r="D4" s="135">
        <f t="shared" si="0"/>
        <v>0</v>
      </c>
      <c r="E4" s="138">
        <f t="shared" si="1"/>
        <v>0</v>
      </c>
      <c r="F4" s="137">
        <f>SUMIF('הצעת תקציב 2016'!$P$3:$P$7326,$A4,'הצעת תקציב 2016'!$J$3:$J$7326)</f>
        <v>119294100</v>
      </c>
      <c r="G4" s="135">
        <f t="shared" si="2"/>
        <v>-55356986</v>
      </c>
      <c r="H4" s="138">
        <f t="shared" si="3"/>
        <v>-5837361</v>
      </c>
      <c r="I4" s="137">
        <f>SUMIF('הצעת תקציב 2016'!$P$3:$P$7326,$A4,'הצעת תקציב 2016'!$I$3:$I$7326)</f>
        <v>133355400</v>
      </c>
      <c r="J4" s="135">
        <f t="shared" si="4"/>
        <v>-68093500</v>
      </c>
      <c r="K4" s="138">
        <f t="shared" si="5"/>
        <v>-5837361</v>
      </c>
      <c r="L4" s="137">
        <f>SUMIF('הצעת תקציב 2016'!$P$3:$P$7326,$A4,'הצעת תקציב 2016'!$H$3:$H$7326)</f>
        <v>131797500</v>
      </c>
      <c r="M4" s="136">
        <f t="shared" si="6"/>
        <v>-71108000</v>
      </c>
      <c r="N4" s="141">
        <f t="shared" si="7"/>
        <v>-4451000</v>
      </c>
    </row>
    <row r="5" spans="1:22">
      <c r="A5" s="148" t="str">
        <f>'הצלבות בין הכנסות והוצאות'!A99</f>
        <v>814</v>
      </c>
      <c r="B5" s="149" t="str">
        <f>'הצלבות בין הכנסות והוצאות'!E99</f>
        <v>חטיבות ביניים</v>
      </c>
      <c r="C5" s="137">
        <f>SUMIF('הצעת תקציב 2016'!$P$3:$P$7326,$A5,'הצעת תקציב 2016'!$K$3:$K$7326)</f>
        <v>0</v>
      </c>
      <c r="D5" s="135">
        <f t="shared" si="0"/>
        <v>0</v>
      </c>
      <c r="E5" s="138">
        <f t="shared" si="1"/>
        <v>0</v>
      </c>
      <c r="F5" s="137">
        <f>SUMIF('הצעת תקציב 2016'!$P$3:$P$7326,$A5,'הצעת תקציב 2016'!$J$3:$J$7326)</f>
        <v>0</v>
      </c>
      <c r="G5" s="135">
        <f t="shared" si="2"/>
        <v>0</v>
      </c>
      <c r="H5" s="138">
        <f t="shared" si="3"/>
        <v>0</v>
      </c>
      <c r="I5" s="137">
        <f>SUMIF('הצעת תקציב 2016'!$P$3:$P$7326,$A5,'הצעת תקציב 2016'!$I$3:$I$7326)</f>
        <v>0</v>
      </c>
      <c r="J5" s="135">
        <f t="shared" si="4"/>
        <v>0</v>
      </c>
      <c r="K5" s="138">
        <f t="shared" si="5"/>
        <v>0</v>
      </c>
      <c r="L5" s="137">
        <f>SUMIF('הצעת תקציב 2016'!$P$3:$P$7326,$A5,'הצעת תקציב 2016'!$H$3:$H$7326)</f>
        <v>0</v>
      </c>
      <c r="M5" s="136">
        <f t="shared" si="6"/>
        <v>0</v>
      </c>
      <c r="N5" s="141">
        <f t="shared" si="7"/>
        <v>0</v>
      </c>
    </row>
    <row r="6" spans="1:22">
      <c r="A6" s="148" t="str">
        <f>'הצלבות בין הכנסות והוצאות'!A100</f>
        <v>815</v>
      </c>
      <c r="B6" s="149" t="str">
        <f>'הצלבות בין הכנסות והוצאות'!E100</f>
        <v>חינוך על יסודי</v>
      </c>
      <c r="C6" s="137" t="e">
        <f>SUMIF('הצעת תקציב 2016'!$P$3:$P$7326,$A6,'הצעת תקציב 2016'!$K$3:$K$7326)</f>
        <v>#N/A</v>
      </c>
      <c r="D6" s="135">
        <f t="shared" si="0"/>
        <v>0</v>
      </c>
      <c r="E6" s="138">
        <f t="shared" si="1"/>
        <v>0</v>
      </c>
      <c r="F6" s="137">
        <f>SUMIF('הצעת תקציב 2016'!$P$3:$P$7326,$A6,'הצעת תקציב 2016'!$J$3:$J$7326)</f>
        <v>144042800</v>
      </c>
      <c r="G6" s="135">
        <f t="shared" si="2"/>
        <v>-113957795</v>
      </c>
      <c r="H6" s="138">
        <f t="shared" si="3"/>
        <v>-4896443</v>
      </c>
      <c r="I6" s="137">
        <f>SUMIF('הצעת תקציב 2016'!$P$3:$P$7326,$A6,'הצעת תקציב 2016'!$I$3:$I$7326)</f>
        <v>154119400</v>
      </c>
      <c r="J6" s="135">
        <f t="shared" si="4"/>
        <v>-115206000</v>
      </c>
      <c r="K6" s="138">
        <f t="shared" si="5"/>
        <v>-4896443</v>
      </c>
      <c r="L6" s="137">
        <f>SUMIF('הצעת תקציב 2016'!$P$3:$P$7326,$A6,'הצעת תקציב 2016'!$H$3:$H$7326)</f>
        <v>156485800</v>
      </c>
      <c r="M6" s="136">
        <f t="shared" si="6"/>
        <v>-118344000</v>
      </c>
      <c r="N6" s="141">
        <f t="shared" si="7"/>
        <v>-6103000</v>
      </c>
    </row>
    <row r="7" spans="1:22">
      <c r="A7" s="148" t="str">
        <f>'הצלבות בין הכנסות והוצאות'!A101</f>
        <v>816</v>
      </c>
      <c r="B7" s="149" t="str">
        <f>'הצלבות בין הכנסות והוצאות'!E101</f>
        <v>חינוך גבוה</v>
      </c>
      <c r="C7" s="137" t="e">
        <f>SUMIF('הצעת תקציב 2016'!$P$3:$P$7326,$A7,'הצעת תקציב 2016'!$K$3:$K$7326)</f>
        <v>#N/A</v>
      </c>
      <c r="D7" s="135">
        <f t="shared" si="0"/>
        <v>0</v>
      </c>
      <c r="E7" s="138">
        <f t="shared" si="1"/>
        <v>0</v>
      </c>
      <c r="F7" s="137">
        <f>SUMIF('הצעת תקציב 2016'!$P$3:$P$7326,$A7,'הצעת תקציב 2016'!$J$3:$J$7326)</f>
        <v>4462000</v>
      </c>
      <c r="G7" s="135">
        <f t="shared" si="2"/>
        <v>0</v>
      </c>
      <c r="H7" s="138">
        <f t="shared" si="3"/>
        <v>0</v>
      </c>
      <c r="I7" s="137">
        <f>SUMIF('הצעת תקציב 2016'!$P$3:$P$7326,$A7,'הצעת תקציב 2016'!$I$3:$I$7326)</f>
        <v>10301300</v>
      </c>
      <c r="J7" s="135">
        <f t="shared" si="4"/>
        <v>0</v>
      </c>
      <c r="K7" s="138">
        <f t="shared" si="5"/>
        <v>0</v>
      </c>
      <c r="L7" s="137">
        <f>SUMIF('הצעת תקציב 2016'!$P$3:$P$7326,$A7,'הצעת תקציב 2016'!$H$3:$H$7326)</f>
        <v>10193900</v>
      </c>
      <c r="M7" s="136">
        <f t="shared" si="6"/>
        <v>0</v>
      </c>
      <c r="N7" s="141">
        <f t="shared" si="7"/>
        <v>0</v>
      </c>
    </row>
    <row r="8" spans="1:22">
      <c r="A8" s="148" t="str">
        <f>'הצלבות בין הכנסות והוצאות'!A102</f>
        <v>817</v>
      </c>
      <c r="B8" s="149" t="str">
        <f>'הצלבות בין הכנסות והוצאות'!E102</f>
        <v>שירותים נוספים לבתי״ס וגנ״י</v>
      </c>
      <c r="C8" s="137" t="e">
        <f>SUMIF('הצעת תקציב 2016'!$P$3:$P$7326,$A8,'הצעת תקציב 2016'!$K$3:$K$7326)</f>
        <v>#N/A</v>
      </c>
      <c r="D8" s="135">
        <f t="shared" ref="D8:D10" si="8">G85</f>
        <v>0</v>
      </c>
      <c r="E8" s="138">
        <f t="shared" ref="E8:E10" si="9">SUM(C85:F85)</f>
        <v>0</v>
      </c>
      <c r="F8" s="137">
        <f>SUMIF('הצעת תקציב 2016'!$P$3:$P$7326,$A8,'הצעת תקציב 2016'!$J$3:$J$7326)</f>
        <v>66144900</v>
      </c>
      <c r="G8" s="135">
        <f t="shared" ref="G8:G10" si="10">G74</f>
        <v>-25290479</v>
      </c>
      <c r="H8" s="138">
        <f t="shared" ref="H8:H10" si="11">SUM(C74:F74)</f>
        <v>-9400891</v>
      </c>
      <c r="I8" s="137">
        <f>SUMIF('הצעת תקציב 2016'!$P$3:$P$7326,$A8,'הצעת תקציב 2016'!$I$3:$I$7326)</f>
        <v>72468400</v>
      </c>
      <c r="J8" s="135">
        <f t="shared" ref="J8:J10" si="12">G63</f>
        <v>-22589000</v>
      </c>
      <c r="K8" s="138">
        <f t="shared" ref="K8:K10" si="13">SUM(C74:F74)</f>
        <v>-9400891</v>
      </c>
      <c r="L8" s="137">
        <f>SUMIF('הצעת תקציב 2016'!$P$3:$P$7326,$A8,'הצעת תקציב 2016'!$H$3:$H$7326)</f>
        <v>69364800</v>
      </c>
      <c r="M8" s="136">
        <f t="shared" ref="M8:M10" si="14">G52</f>
        <v>-22389000</v>
      </c>
      <c r="N8" s="141">
        <f t="shared" ref="N8:N10" si="15">SUM(C52:F52)</f>
        <v>-8805000</v>
      </c>
    </row>
    <row r="9" spans="1:22">
      <c r="A9" s="148" t="str">
        <f>'הצלבות בין הכנסות והוצאות'!A103</f>
        <v>818</v>
      </c>
      <c r="B9" s="149" t="str">
        <f>'הצלבות בין הכנסות והוצאות'!E103</f>
        <v>חינוך מבוגרים</v>
      </c>
      <c r="C9" s="137" t="e">
        <f>SUMIF('הצעת תקציב 2016'!$P$3:$P$7326,$A9,'הצעת תקציב 2016'!$K$3:$K$7326)</f>
        <v>#N/A</v>
      </c>
      <c r="D9" s="135">
        <f t="shared" si="8"/>
        <v>0</v>
      </c>
      <c r="E9" s="138">
        <f t="shared" si="9"/>
        <v>0</v>
      </c>
      <c r="F9" s="137">
        <f>SUMIF('הצעת תקציב 2016'!$P$3:$P$7326,$A9,'הצעת תקציב 2016'!$J$3:$J$7326)</f>
        <v>6934400</v>
      </c>
      <c r="G9" s="135">
        <f t="shared" si="10"/>
        <v>0</v>
      </c>
      <c r="H9" s="138">
        <f t="shared" si="11"/>
        <v>0</v>
      </c>
      <c r="I9" s="137">
        <f>SUMIF('הצעת תקציב 2016'!$P$3:$P$7326,$A9,'הצעת תקציב 2016'!$I$3:$I$7326)</f>
        <v>7367800</v>
      </c>
      <c r="J9" s="135">
        <f t="shared" si="12"/>
        <v>0</v>
      </c>
      <c r="K9" s="138">
        <f t="shared" si="13"/>
        <v>0</v>
      </c>
      <c r="L9" s="137">
        <f>SUMIF('הצעת תקציב 2016'!$P$3:$P$7326,$A9,'הצעת תקציב 2016'!$H$3:$H$7326)</f>
        <v>7343500</v>
      </c>
      <c r="M9" s="136">
        <f t="shared" si="14"/>
        <v>0</v>
      </c>
      <c r="N9" s="141">
        <f t="shared" si="15"/>
        <v>0</v>
      </c>
    </row>
    <row r="10" spans="1:22" ht="13.5" thickBot="1">
      <c r="A10" s="150" t="str">
        <f>'הצלבות בין הכנסות והוצאות'!A104</f>
        <v>819</v>
      </c>
      <c r="B10" s="151" t="str">
        <f>'הצלבות בין הכנסות והוצאות'!E104</f>
        <v>שירותי חינוך מיוחדים</v>
      </c>
      <c r="C10" s="137" t="e">
        <f>SUMIF('הצעת תקציב 2016'!$P$3:$P$7326,$A10,'הצעת תקציב 2016'!$K$3:$K$7326)</f>
        <v>#N/A</v>
      </c>
      <c r="D10" s="139">
        <f t="shared" si="8"/>
        <v>0</v>
      </c>
      <c r="E10" s="140">
        <f t="shared" si="9"/>
        <v>0</v>
      </c>
      <c r="F10" s="137">
        <f>SUMIF('הצעת תקציב 2016'!$P$3:$P$7326,$A10,'הצעת תקציב 2016'!$J$3:$J$7326)</f>
        <v>1553500</v>
      </c>
      <c r="G10" s="139">
        <f t="shared" si="10"/>
        <v>0</v>
      </c>
      <c r="H10" s="140">
        <f t="shared" si="11"/>
        <v>0</v>
      </c>
      <c r="I10" s="137">
        <f>SUMIF('הצעת תקציב 2016'!$P$3:$P$7326,$A10,'הצעת תקציב 2016'!$I$3:$I$7326)</f>
        <v>1363000</v>
      </c>
      <c r="J10" s="139">
        <f t="shared" si="12"/>
        <v>0</v>
      </c>
      <c r="K10" s="140">
        <f t="shared" si="13"/>
        <v>0</v>
      </c>
      <c r="L10" s="137">
        <f>SUMIF('הצעת תקציב 2016'!$P$3:$P$7326,$A10,'הצעת תקציב 2016'!$H$3:$H$7326)</f>
        <v>1363000</v>
      </c>
      <c r="M10" s="142">
        <f t="shared" si="14"/>
        <v>0</v>
      </c>
      <c r="N10" s="143">
        <f t="shared" si="15"/>
        <v>0</v>
      </c>
    </row>
    <row r="14" spans="1:22" ht="13.5" thickBot="1"/>
    <row r="15" spans="1:22">
      <c r="B15" s="152" t="s">
        <v>2478</v>
      </c>
      <c r="C15" s="157" t="e">
        <f>C3+C8*C31/(C32+C31)</f>
        <v>#N/A</v>
      </c>
      <c r="D15" s="158" t="e">
        <f>-(D3+D8*D31/(D32+D31))</f>
        <v>#DIV/0!</v>
      </c>
      <c r="E15" s="159" t="e">
        <f>C15-D15</f>
        <v>#N/A</v>
      </c>
      <c r="F15" s="158" t="e">
        <f>F3+F8*F31/(F32+F31)</f>
        <v>#DIV/0!</v>
      </c>
      <c r="G15" s="158" t="e">
        <f>-(G3+G8*G31/(G32+G31))</f>
        <v>#DIV/0!</v>
      </c>
      <c r="H15" s="159" t="e">
        <f>F15-G15</f>
        <v>#DIV/0!</v>
      </c>
      <c r="I15" s="157" t="e">
        <f>I3+I8*I31/(I32+I31)</f>
        <v>#DIV/0!</v>
      </c>
      <c r="J15" s="158" t="e">
        <f>-(J3+J8*J31/(J32+J31))</f>
        <v>#DIV/0!</v>
      </c>
      <c r="K15" s="159" t="e">
        <f>I15-J15</f>
        <v>#DIV/0!</v>
      </c>
      <c r="L15" s="157">
        <f>L3+L8*L31/(L32+L31)</f>
        <v>107965153.09795302</v>
      </c>
      <c r="M15" s="158">
        <f>-(M3+M8*M31/(M32+M31))</f>
        <v>74435741.997527137</v>
      </c>
      <c r="N15" s="159">
        <f t="shared" ref="N15:N21" si="16">L15-M15</f>
        <v>33529411.100425884</v>
      </c>
      <c r="O15" s="158">
        <f>-(N3+N8*N31/(N32+N31))</f>
        <v>5552351.9714246467</v>
      </c>
    </row>
    <row r="16" spans="1:22">
      <c r="B16" s="152" t="s">
        <v>2479</v>
      </c>
      <c r="C16" s="153" t="e">
        <f>C4+C8*C32/(C31+C32)</f>
        <v>#N/A</v>
      </c>
      <c r="D16" s="63" t="e">
        <f>-(D4+D8*D32/(D31+D32))</f>
        <v>#DIV/0!</v>
      </c>
      <c r="E16" s="154" t="e">
        <f t="shared" ref="E16:E21" si="17">C16-D16</f>
        <v>#N/A</v>
      </c>
      <c r="F16" s="63" t="e">
        <f>F4+F8*F32/(F31+F32)</f>
        <v>#DIV/0!</v>
      </c>
      <c r="G16" s="63" t="e">
        <f>-(G4+G8*G32/(G31+G32))</f>
        <v>#DIV/0!</v>
      </c>
      <c r="H16" s="154" t="e">
        <f t="shared" ref="H16:H21" si="18">F16-G16</f>
        <v>#DIV/0!</v>
      </c>
      <c r="I16" s="153" t="e">
        <f>I4+I8*I32/(I31+I32)</f>
        <v>#DIV/0!</v>
      </c>
      <c r="J16" s="63" t="e">
        <f>-(J4+J8*J32/(J31+J32))</f>
        <v>#DIV/0!</v>
      </c>
      <c r="K16" s="154" t="e">
        <f t="shared" ref="K16:K21" si="19">I16-J16</f>
        <v>#DIV/0!</v>
      </c>
      <c r="L16" s="153">
        <f>L4+L8*L32/(L31+L32)</f>
        <v>181842946.90204698</v>
      </c>
      <c r="M16" s="63">
        <f>-(M4+M8*M32/(M31+M32))</f>
        <v>87261258.002472863</v>
      </c>
      <c r="N16" s="154">
        <f t="shared" si="16"/>
        <v>94581688.899574116</v>
      </c>
      <c r="O16" s="63">
        <f>-(N4+N8*N32/(N31+N32))</f>
        <v>10803648.028575353</v>
      </c>
    </row>
    <row r="17" spans="2:15">
      <c r="B17" s="152" t="s">
        <v>2</v>
      </c>
      <c r="C17" s="71">
        <f>C5</f>
        <v>0</v>
      </c>
      <c r="D17" s="72">
        <f>-D5</f>
        <v>0</v>
      </c>
      <c r="E17" s="154">
        <f t="shared" si="17"/>
        <v>0</v>
      </c>
      <c r="F17" s="72">
        <f>F5</f>
        <v>0</v>
      </c>
      <c r="G17" s="72">
        <f>-G5</f>
        <v>0</v>
      </c>
      <c r="H17" s="154">
        <f t="shared" si="18"/>
        <v>0</v>
      </c>
      <c r="I17" s="71">
        <f>I5</f>
        <v>0</v>
      </c>
      <c r="J17" s="72">
        <f>-J5</f>
        <v>0</v>
      </c>
      <c r="K17" s="154">
        <f t="shared" si="19"/>
        <v>0</v>
      </c>
      <c r="L17" s="71">
        <f>L5</f>
        <v>0</v>
      </c>
      <c r="M17" s="72">
        <f>-M5</f>
        <v>0</v>
      </c>
      <c r="N17" s="154">
        <f t="shared" si="16"/>
        <v>0</v>
      </c>
      <c r="O17" s="72">
        <f>-N5</f>
        <v>0</v>
      </c>
    </row>
    <row r="18" spans="2:15">
      <c r="B18" s="152" t="s">
        <v>2480</v>
      </c>
      <c r="C18" s="71" t="e">
        <f>C6</f>
        <v>#N/A</v>
      </c>
      <c r="D18" s="72">
        <f>-D6</f>
        <v>0</v>
      </c>
      <c r="E18" s="154" t="e">
        <f t="shared" si="17"/>
        <v>#N/A</v>
      </c>
      <c r="F18" s="72">
        <f>F6</f>
        <v>144042800</v>
      </c>
      <c r="G18" s="72">
        <f>-G6</f>
        <v>113957795</v>
      </c>
      <c r="H18" s="154">
        <f t="shared" si="18"/>
        <v>30085005</v>
      </c>
      <c r="I18" s="71">
        <f>I6</f>
        <v>154119400</v>
      </c>
      <c r="J18" s="72">
        <f>-J6</f>
        <v>115206000</v>
      </c>
      <c r="K18" s="154">
        <f t="shared" si="19"/>
        <v>38913400</v>
      </c>
      <c r="L18" s="71">
        <f>L6</f>
        <v>156485800</v>
      </c>
      <c r="M18" s="72">
        <f>-M6</f>
        <v>118344000</v>
      </c>
      <c r="N18" s="154">
        <f t="shared" si="16"/>
        <v>38141800</v>
      </c>
      <c r="O18" s="72">
        <f>-N6</f>
        <v>6103000</v>
      </c>
    </row>
    <row r="19" spans="2:15">
      <c r="B19" s="152" t="s">
        <v>2481</v>
      </c>
      <c r="C19" s="71" t="e">
        <f>C2</f>
        <v>#N/A</v>
      </c>
      <c r="D19" s="72">
        <f>-D2</f>
        <v>0</v>
      </c>
      <c r="E19" s="154" t="e">
        <f t="shared" si="17"/>
        <v>#N/A</v>
      </c>
      <c r="F19" s="72">
        <f>F2</f>
        <v>18024200</v>
      </c>
      <c r="G19" s="72">
        <f>-G2</f>
        <v>72087</v>
      </c>
      <c r="H19" s="154">
        <f t="shared" si="18"/>
        <v>17952113</v>
      </c>
      <c r="I19" s="71">
        <f>I2</f>
        <v>19372300</v>
      </c>
      <c r="J19" s="72">
        <f>-J2</f>
        <v>0</v>
      </c>
      <c r="K19" s="154">
        <f t="shared" si="19"/>
        <v>19372300</v>
      </c>
      <c r="L19" s="71">
        <f>L2</f>
        <v>19446900</v>
      </c>
      <c r="M19" s="72">
        <f>-M2</f>
        <v>0</v>
      </c>
      <c r="N19" s="154">
        <f t="shared" si="16"/>
        <v>19446900</v>
      </c>
      <c r="O19" s="72">
        <f>-N2</f>
        <v>0</v>
      </c>
    </row>
    <row r="20" spans="2:15">
      <c r="B20" s="247" t="s">
        <v>4741</v>
      </c>
      <c r="C20" s="71" t="e">
        <f>C7+C9</f>
        <v>#N/A</v>
      </c>
      <c r="D20" s="72">
        <f>-D7-D9</f>
        <v>0</v>
      </c>
      <c r="E20" s="154" t="e">
        <f t="shared" si="17"/>
        <v>#N/A</v>
      </c>
      <c r="F20" s="71">
        <f>F7+F9</f>
        <v>11396400</v>
      </c>
      <c r="G20" s="72">
        <f>-G7-G9</f>
        <v>0</v>
      </c>
      <c r="H20" s="154">
        <f t="shared" si="18"/>
        <v>11396400</v>
      </c>
      <c r="I20" s="71">
        <f>I7+I9</f>
        <v>17669100</v>
      </c>
      <c r="J20" s="72">
        <f>-J7-J9</f>
        <v>0</v>
      </c>
      <c r="K20" s="154">
        <f t="shared" si="19"/>
        <v>17669100</v>
      </c>
      <c r="L20" s="71">
        <f>L7+L9</f>
        <v>17537400</v>
      </c>
      <c r="M20" s="72">
        <f>-M7-M9</f>
        <v>0</v>
      </c>
      <c r="N20" s="154">
        <f t="shared" si="16"/>
        <v>17537400</v>
      </c>
      <c r="O20" s="72">
        <f>-N7-N9</f>
        <v>0</v>
      </c>
    </row>
    <row r="21" spans="2:15">
      <c r="B21" s="247" t="str">
        <f>B10</f>
        <v>שירותי חינוך מיוחדים</v>
      </c>
      <c r="C21" s="71" t="e">
        <f>C10</f>
        <v>#N/A</v>
      </c>
      <c r="D21" s="72">
        <f>-D10</f>
        <v>0</v>
      </c>
      <c r="E21" s="154" t="e">
        <f t="shared" si="17"/>
        <v>#N/A</v>
      </c>
      <c r="F21" s="71">
        <f>F10</f>
        <v>1553500</v>
      </c>
      <c r="G21" s="72">
        <f>-G10</f>
        <v>0</v>
      </c>
      <c r="H21" s="154">
        <f t="shared" si="18"/>
        <v>1553500</v>
      </c>
      <c r="I21" s="71">
        <f>I10</f>
        <v>1363000</v>
      </c>
      <c r="J21" s="72">
        <f>-J10</f>
        <v>0</v>
      </c>
      <c r="K21" s="154">
        <f t="shared" si="19"/>
        <v>1363000</v>
      </c>
      <c r="L21" s="71">
        <f>L10</f>
        <v>1363000</v>
      </c>
      <c r="M21" s="72">
        <f>-M10</f>
        <v>0</v>
      </c>
      <c r="N21" s="154">
        <f t="shared" si="16"/>
        <v>1363000</v>
      </c>
      <c r="O21" s="72">
        <f>-N10</f>
        <v>0</v>
      </c>
    </row>
    <row r="22" spans="2:15">
      <c r="C22" s="153"/>
      <c r="D22" s="63"/>
      <c r="E22" s="154"/>
      <c r="F22" s="65"/>
      <c r="G22" s="65"/>
      <c r="H22" s="64"/>
      <c r="I22" s="62"/>
      <c r="J22" s="65"/>
      <c r="K22" s="64"/>
      <c r="L22" s="62"/>
      <c r="M22" s="65"/>
      <c r="N22" s="64"/>
    </row>
    <row r="23" spans="2:15">
      <c r="B23" t="s">
        <v>2466</v>
      </c>
      <c r="C23" s="153" t="e">
        <f t="shared" ref="C23:D27" si="20">C15/C31</f>
        <v>#N/A</v>
      </c>
      <c r="D23" s="63" t="e">
        <f t="shared" si="20"/>
        <v>#DIV/0!</v>
      </c>
      <c r="E23" s="154" t="e">
        <f>C23-D23</f>
        <v>#N/A</v>
      </c>
      <c r="F23" s="153" t="e">
        <f t="shared" ref="F23:G27" si="21">F15/F31</f>
        <v>#DIV/0!</v>
      </c>
      <c r="G23" s="63" t="e">
        <f t="shared" si="21"/>
        <v>#DIV/0!</v>
      </c>
      <c r="H23" s="154" t="e">
        <f>F23-G23</f>
        <v>#DIV/0!</v>
      </c>
      <c r="I23" s="153" t="e">
        <f t="shared" ref="I23:J27" si="22">I15/I31</f>
        <v>#DIV/0!</v>
      </c>
      <c r="J23" s="63" t="e">
        <f t="shared" si="22"/>
        <v>#DIV/0!</v>
      </c>
      <c r="K23" s="154" t="e">
        <f>I23-J23</f>
        <v>#DIV/0!</v>
      </c>
      <c r="L23" s="153">
        <f t="shared" ref="L23:M27" si="23">L15/L31</f>
        <v>17751.58715849277</v>
      </c>
      <c r="M23" s="63">
        <f t="shared" si="23"/>
        <v>12238.694836818009</v>
      </c>
      <c r="N23" s="154">
        <f>L23-M23+O23</f>
        <v>6425.8078053026211</v>
      </c>
      <c r="O23" s="63">
        <f>O15/N31</f>
        <v>912.91548362786034</v>
      </c>
    </row>
    <row r="24" spans="2:15">
      <c r="B24" t="s">
        <v>2468</v>
      </c>
      <c r="C24" s="153" t="e">
        <f t="shared" si="20"/>
        <v>#N/A</v>
      </c>
      <c r="D24" s="63" t="e">
        <f t="shared" si="20"/>
        <v>#DIV/0!</v>
      </c>
      <c r="E24" s="154" t="e">
        <f t="shared" ref="E24:E27" si="24">C24-D24</f>
        <v>#N/A</v>
      </c>
      <c r="F24" s="153" t="e">
        <f t="shared" si="21"/>
        <v>#DIV/0!</v>
      </c>
      <c r="G24" s="63" t="e">
        <f t="shared" si="21"/>
        <v>#DIV/0!</v>
      </c>
      <c r="H24" s="154" t="e">
        <f t="shared" ref="H24:H27" si="25">F24-G24</f>
        <v>#DIV/0!</v>
      </c>
      <c r="I24" s="153" t="e">
        <f t="shared" si="22"/>
        <v>#DIV/0!</v>
      </c>
      <c r="J24" s="63" t="e">
        <f t="shared" si="22"/>
        <v>#DIV/0!</v>
      </c>
      <c r="K24" s="154" t="e">
        <f t="shared" ref="K24:K27" si="26">I24-J24</f>
        <v>#DIV/0!</v>
      </c>
      <c r="L24" s="153">
        <f t="shared" si="23"/>
        <v>11541.919828755759</v>
      </c>
      <c r="M24" s="63">
        <f t="shared" si="23"/>
        <v>5538.6390353838697</v>
      </c>
      <c r="N24" s="154">
        <f t="shared" ref="N24:N28" si="27">L24-M24+O24</f>
        <v>6689.0090084512522</v>
      </c>
      <c r="O24" s="63">
        <f>O16/N32</f>
        <v>685.72821507936237</v>
      </c>
    </row>
    <row r="25" spans="2:15">
      <c r="B25" t="s">
        <v>2470</v>
      </c>
      <c r="C25" s="153" t="e">
        <f t="shared" si="20"/>
        <v>#DIV/0!</v>
      </c>
      <c r="D25" s="63" t="e">
        <f t="shared" si="20"/>
        <v>#DIV/0!</v>
      </c>
      <c r="E25" s="154" t="e">
        <f t="shared" si="24"/>
        <v>#DIV/0!</v>
      </c>
      <c r="F25" s="153" t="e">
        <f t="shared" si="21"/>
        <v>#DIV/0!</v>
      </c>
      <c r="G25" s="63" t="e">
        <f t="shared" si="21"/>
        <v>#DIV/0!</v>
      </c>
      <c r="H25" s="154" t="e">
        <f t="shared" si="25"/>
        <v>#DIV/0!</v>
      </c>
      <c r="I25" s="153" t="e">
        <f t="shared" si="22"/>
        <v>#DIV/0!</v>
      </c>
      <c r="J25" s="63" t="e">
        <f t="shared" si="22"/>
        <v>#DIV/0!</v>
      </c>
      <c r="K25" s="154" t="e">
        <f t="shared" si="26"/>
        <v>#DIV/0!</v>
      </c>
      <c r="L25" s="153">
        <f t="shared" si="23"/>
        <v>0</v>
      </c>
      <c r="M25" s="63">
        <f t="shared" si="23"/>
        <v>0</v>
      </c>
      <c r="N25" s="154">
        <f t="shared" si="27"/>
        <v>0</v>
      </c>
      <c r="O25" s="63">
        <f>O17/N33</f>
        <v>0</v>
      </c>
    </row>
    <row r="26" spans="2:15">
      <c r="B26" t="s">
        <v>2471</v>
      </c>
      <c r="C26" s="153" t="e">
        <f t="shared" si="20"/>
        <v>#N/A</v>
      </c>
      <c r="D26" s="63" t="e">
        <f t="shared" si="20"/>
        <v>#DIV/0!</v>
      </c>
      <c r="E26" s="154" t="e">
        <f t="shared" si="24"/>
        <v>#N/A</v>
      </c>
      <c r="F26" s="153" t="e">
        <f t="shared" si="21"/>
        <v>#DIV/0!</v>
      </c>
      <c r="G26" s="63" t="e">
        <f t="shared" si="21"/>
        <v>#DIV/0!</v>
      </c>
      <c r="H26" s="154" t="e">
        <f t="shared" si="25"/>
        <v>#DIV/0!</v>
      </c>
      <c r="I26" s="153" t="e">
        <f t="shared" si="22"/>
        <v>#DIV/0!</v>
      </c>
      <c r="J26" s="63" t="e">
        <f t="shared" si="22"/>
        <v>#DIV/0!</v>
      </c>
      <c r="K26" s="154" t="e">
        <f t="shared" si="26"/>
        <v>#DIV/0!</v>
      </c>
      <c r="L26" s="153">
        <f t="shared" si="23"/>
        <v>38743.698935380045</v>
      </c>
      <c r="M26" s="63">
        <f t="shared" si="23"/>
        <v>29300.321861846991</v>
      </c>
      <c r="N26" s="154">
        <f t="shared" si="27"/>
        <v>10954.394652141622</v>
      </c>
      <c r="O26" s="63">
        <f>O18/N34</f>
        <v>1511.0175786085665</v>
      </c>
    </row>
    <row r="27" spans="2:15">
      <c r="B27" t="s">
        <v>2472</v>
      </c>
      <c r="C27" s="153" t="e">
        <f t="shared" si="20"/>
        <v>#N/A</v>
      </c>
      <c r="D27" s="63" t="e">
        <f t="shared" si="20"/>
        <v>#DIV/0!</v>
      </c>
      <c r="E27" s="154" t="e">
        <f t="shared" si="24"/>
        <v>#N/A</v>
      </c>
      <c r="F27" s="153" t="e">
        <f t="shared" si="21"/>
        <v>#DIV/0!</v>
      </c>
      <c r="G27" s="63" t="e">
        <f t="shared" si="21"/>
        <v>#DIV/0!</v>
      </c>
      <c r="H27" s="154" t="e">
        <f t="shared" si="25"/>
        <v>#DIV/0!</v>
      </c>
      <c r="I27" s="153" t="e">
        <f t="shared" si="22"/>
        <v>#DIV/0!</v>
      </c>
      <c r="J27" s="63" t="e">
        <f t="shared" si="22"/>
        <v>#DIV/0!</v>
      </c>
      <c r="K27" s="154" t="e">
        <f t="shared" si="26"/>
        <v>#DIV/0!</v>
      </c>
      <c r="L27" s="153">
        <f t="shared" si="23"/>
        <v>635.41578173501057</v>
      </c>
      <c r="M27" s="63">
        <f t="shared" si="23"/>
        <v>0</v>
      </c>
      <c r="N27" s="154">
        <f t="shared" si="27"/>
        <v>635.41578173501057</v>
      </c>
      <c r="O27" s="63">
        <f>O19/N35</f>
        <v>0</v>
      </c>
    </row>
    <row r="28" spans="2:15">
      <c r="B28" s="245" t="s">
        <v>4743</v>
      </c>
      <c r="C28" s="153"/>
      <c r="D28" s="63"/>
      <c r="E28" s="154"/>
      <c r="F28" s="63"/>
      <c r="G28" s="63"/>
      <c r="H28" s="154"/>
      <c r="I28" s="153"/>
      <c r="J28" s="63"/>
      <c r="K28" s="154"/>
      <c r="L28" s="153">
        <f>L20/לא_ילדים</f>
        <v>81.076486369916992</v>
      </c>
      <c r="M28" s="63">
        <f>M20/לא_ילדים</f>
        <v>0</v>
      </c>
      <c r="N28" s="154">
        <f t="shared" si="27"/>
        <v>81.076486369916992</v>
      </c>
      <c r="O28" s="63">
        <f>O20/לא_ילדים</f>
        <v>0</v>
      </c>
    </row>
    <row r="29" spans="2:15" ht="15">
      <c r="B29" s="245" t="s">
        <v>4744</v>
      </c>
      <c r="C29" s="153"/>
      <c r="D29" s="63"/>
      <c r="E29" s="154"/>
      <c r="F29" s="63"/>
      <c r="G29" s="63"/>
      <c r="H29" s="154"/>
      <c r="I29" s="153"/>
      <c r="J29" s="63"/>
      <c r="K29" s="154"/>
      <c r="L29" s="272"/>
      <c r="M29" s="273"/>
      <c r="N29" s="274"/>
    </row>
    <row r="30" spans="2:15">
      <c r="C30" s="153"/>
      <c r="D30" s="63"/>
      <c r="E30" s="154"/>
      <c r="F30" s="65"/>
      <c r="G30" s="65"/>
      <c r="H30" s="64"/>
      <c r="I30" s="62"/>
      <c r="J30" s="65"/>
      <c r="K30" s="64"/>
      <c r="L30" s="62"/>
      <c r="M30" s="65"/>
      <c r="N30" s="64"/>
    </row>
    <row r="31" spans="2:15">
      <c r="B31" t="s">
        <v>2466</v>
      </c>
      <c r="C31" s="153">
        <f>דמוגרפיה!N46</f>
        <v>0</v>
      </c>
      <c r="D31" s="63">
        <f>C31</f>
        <v>0</v>
      </c>
      <c r="E31" s="154">
        <f t="shared" ref="E31:E35" si="28">D31</f>
        <v>0</v>
      </c>
      <c r="F31" s="63">
        <f>דמוגרפיה!N46</f>
        <v>0</v>
      </c>
      <c r="G31" s="63">
        <f>F31</f>
        <v>0</v>
      </c>
      <c r="H31" s="154">
        <f t="shared" ref="H31:H35" si="29">G31</f>
        <v>0</v>
      </c>
      <c r="I31" s="153">
        <f>דמוגרפיה!O46</f>
        <v>0</v>
      </c>
      <c r="J31" s="63">
        <f>I31</f>
        <v>0</v>
      </c>
      <c r="K31" s="154">
        <f t="shared" ref="K31:K35" si="30">J31</f>
        <v>0</v>
      </c>
      <c r="L31" s="153">
        <f>דמוגרפיה!P46</f>
        <v>6082</v>
      </c>
      <c r="M31" s="63">
        <f>L31</f>
        <v>6082</v>
      </c>
      <c r="N31" s="154">
        <f t="shared" ref="N31:N35" si="31">M31</f>
        <v>6082</v>
      </c>
    </row>
    <row r="32" spans="2:15">
      <c r="B32" t="s">
        <v>2468</v>
      </c>
      <c r="C32" s="153">
        <f>דמוגרפיה!N47</f>
        <v>0</v>
      </c>
      <c r="D32" s="63">
        <f t="shared" ref="D32" si="32">C32</f>
        <v>0</v>
      </c>
      <c r="E32" s="154">
        <f t="shared" si="28"/>
        <v>0</v>
      </c>
      <c r="F32" s="63">
        <f>דמוגרפיה!N47</f>
        <v>0</v>
      </c>
      <c r="G32" s="63">
        <f t="shared" ref="G32" si="33">F32</f>
        <v>0</v>
      </c>
      <c r="H32" s="154">
        <f t="shared" si="29"/>
        <v>0</v>
      </c>
      <c r="I32" s="153">
        <f>דמוגרפיה!O47</f>
        <v>0</v>
      </c>
      <c r="J32" s="63">
        <f t="shared" ref="J32" si="34">I32</f>
        <v>0</v>
      </c>
      <c r="K32" s="154">
        <f t="shared" si="30"/>
        <v>0</v>
      </c>
      <c r="L32" s="153">
        <f>דמוגרפיה!P47</f>
        <v>15755</v>
      </c>
      <c r="M32" s="63">
        <f t="shared" ref="M32" si="35">L32</f>
        <v>15755</v>
      </c>
      <c r="N32" s="154">
        <f t="shared" si="31"/>
        <v>15755</v>
      </c>
    </row>
    <row r="33" spans="1:18">
      <c r="B33" t="s">
        <v>2470</v>
      </c>
      <c r="C33" s="153">
        <f>דמוגרפיה!N48</f>
        <v>0</v>
      </c>
      <c r="D33" s="63">
        <f t="shared" ref="D33" si="36">C33</f>
        <v>0</v>
      </c>
      <c r="E33" s="154">
        <f t="shared" si="28"/>
        <v>0</v>
      </c>
      <c r="F33" s="63">
        <f>דמוגרפיה!N48</f>
        <v>0</v>
      </c>
      <c r="G33" s="63">
        <f t="shared" ref="G33" si="37">F33</f>
        <v>0</v>
      </c>
      <c r="H33" s="154">
        <f t="shared" si="29"/>
        <v>0</v>
      </c>
      <c r="I33" s="153">
        <f>דמוגרפיה!O48</f>
        <v>0</v>
      </c>
      <c r="J33" s="63">
        <f t="shared" ref="J33" si="38">I33</f>
        <v>0</v>
      </c>
      <c r="K33" s="154">
        <f t="shared" si="30"/>
        <v>0</v>
      </c>
      <c r="L33" s="153">
        <f>דמוגרפיה!P48</f>
        <v>4729</v>
      </c>
      <c r="M33" s="63">
        <f t="shared" ref="M33" si="39">L33</f>
        <v>4729</v>
      </c>
      <c r="N33" s="154">
        <f t="shared" si="31"/>
        <v>4729</v>
      </c>
    </row>
    <row r="34" spans="1:18">
      <c r="B34" t="s">
        <v>2471</v>
      </c>
      <c r="C34" s="153">
        <f>דמוגרפיה!N49</f>
        <v>0</v>
      </c>
      <c r="D34" s="63">
        <f t="shared" ref="D34" si="40">C34</f>
        <v>0</v>
      </c>
      <c r="E34" s="154">
        <f t="shared" si="28"/>
        <v>0</v>
      </c>
      <c r="F34" s="63">
        <f>דמוגרפיה!N49</f>
        <v>0</v>
      </c>
      <c r="G34" s="63">
        <f t="shared" ref="G34" si="41">F34</f>
        <v>0</v>
      </c>
      <c r="H34" s="154">
        <f t="shared" si="29"/>
        <v>0</v>
      </c>
      <c r="I34" s="153">
        <f>דמוגרפיה!O49</f>
        <v>0</v>
      </c>
      <c r="J34" s="63">
        <f t="shared" ref="J34" si="42">I34</f>
        <v>0</v>
      </c>
      <c r="K34" s="154">
        <f t="shared" si="30"/>
        <v>0</v>
      </c>
      <c r="L34" s="153">
        <f>דמוגרפיה!P49</f>
        <v>4039</v>
      </c>
      <c r="M34" s="63">
        <f t="shared" ref="M34" si="43">L34</f>
        <v>4039</v>
      </c>
      <c r="N34" s="154">
        <f t="shared" si="31"/>
        <v>4039</v>
      </c>
    </row>
    <row r="35" spans="1:18" ht="13.5" thickBot="1">
      <c r="B35" t="s">
        <v>2472</v>
      </c>
      <c r="C35" s="155">
        <f>דמוגרפיה!N50</f>
        <v>0</v>
      </c>
      <c r="D35" s="70">
        <f t="shared" ref="D35" si="44">C35</f>
        <v>0</v>
      </c>
      <c r="E35" s="156">
        <f t="shared" si="28"/>
        <v>0</v>
      </c>
      <c r="F35" s="70">
        <f>דמוגרפיה!N50</f>
        <v>0</v>
      </c>
      <c r="G35" s="70">
        <f t="shared" ref="G35" si="45">F35</f>
        <v>0</v>
      </c>
      <c r="H35" s="156">
        <f t="shared" si="29"/>
        <v>0</v>
      </c>
      <c r="I35" s="155">
        <f>דמוגרפיה!O50</f>
        <v>0</v>
      </c>
      <c r="J35" s="70">
        <f t="shared" ref="J35" si="46">I35</f>
        <v>0</v>
      </c>
      <c r="K35" s="156">
        <f t="shared" si="30"/>
        <v>0</v>
      </c>
      <c r="L35" s="155">
        <f>דמוגרפיה!P50</f>
        <v>30605</v>
      </c>
      <c r="M35" s="70">
        <f t="shared" ref="M35" si="47">L35</f>
        <v>30605</v>
      </c>
      <c r="N35" s="156">
        <f t="shared" si="31"/>
        <v>30605</v>
      </c>
    </row>
    <row r="37" spans="1:18" ht="13.5" thickBot="1"/>
    <row r="38" spans="1:18">
      <c r="B38" t="s">
        <v>2466</v>
      </c>
      <c r="C38" s="161" t="e">
        <f>C23/E23</f>
        <v>#N/A</v>
      </c>
      <c r="D38" s="162" t="e">
        <f>C38-E38</f>
        <v>#N/A</v>
      </c>
      <c r="E38" s="169">
        <v>1</v>
      </c>
      <c r="F38" s="161" t="e">
        <f>F23/H23</f>
        <v>#DIV/0!</v>
      </c>
      <c r="G38" s="162" t="e">
        <f>F38-H38</f>
        <v>#DIV/0!</v>
      </c>
      <c r="H38" s="163">
        <v>1</v>
      </c>
      <c r="I38" s="172" t="e">
        <f>I23/K23</f>
        <v>#DIV/0!</v>
      </c>
      <c r="J38" s="162" t="e">
        <f>I38-K38</f>
        <v>#DIV/0!</v>
      </c>
      <c r="K38" s="163">
        <v>1</v>
      </c>
      <c r="L38" s="172">
        <f>L23/N23</f>
        <v>2.7625456123732861</v>
      </c>
      <c r="M38" s="162">
        <f>L38-N38</f>
        <v>1.7625456123732861</v>
      </c>
      <c r="N38" s="163">
        <v>1</v>
      </c>
    </row>
    <row r="39" spans="1:18">
      <c r="B39" t="s">
        <v>2468</v>
      </c>
      <c r="C39" s="164" t="e">
        <f>C24/E24</f>
        <v>#N/A</v>
      </c>
      <c r="D39" s="160" t="e">
        <f t="shared" ref="D39:D42" si="48">C39-E39</f>
        <v>#N/A</v>
      </c>
      <c r="E39" s="170">
        <v>1</v>
      </c>
      <c r="F39" s="164" t="e">
        <f>F24/H24</f>
        <v>#DIV/0!</v>
      </c>
      <c r="G39" s="160" t="e">
        <f t="shared" ref="G39:G42" si="49">F39-H39</f>
        <v>#DIV/0!</v>
      </c>
      <c r="H39" s="165">
        <v>1</v>
      </c>
      <c r="I39" s="173" t="e">
        <f>I24/K24</f>
        <v>#DIV/0!</v>
      </c>
      <c r="J39" s="160" t="e">
        <f t="shared" ref="J39:J42" si="50">I39-K39</f>
        <v>#DIV/0!</v>
      </c>
      <c r="K39" s="165">
        <v>1</v>
      </c>
      <c r="L39" s="173">
        <f t="shared" ref="L39:L42" si="51">L24/N24</f>
        <v>1.7255052002730269</v>
      </c>
      <c r="M39" s="160">
        <f t="shared" ref="M39:M42" si="52">L39-N39</f>
        <v>0.7255052002730269</v>
      </c>
      <c r="N39" s="165">
        <v>1</v>
      </c>
    </row>
    <row r="40" spans="1:18">
      <c r="B40" t="s">
        <v>2470</v>
      </c>
      <c r="C40" s="164" t="e">
        <f>C25/E25</f>
        <v>#DIV/0!</v>
      </c>
      <c r="D40" s="160" t="e">
        <f t="shared" si="48"/>
        <v>#DIV/0!</v>
      </c>
      <c r="E40" s="170">
        <v>1</v>
      </c>
      <c r="F40" s="164" t="e">
        <f>F25/H25</f>
        <v>#DIV/0!</v>
      </c>
      <c r="G40" s="160" t="e">
        <f t="shared" si="49"/>
        <v>#DIV/0!</v>
      </c>
      <c r="H40" s="165">
        <v>1</v>
      </c>
      <c r="I40" s="173" t="e">
        <f>I25/K25</f>
        <v>#DIV/0!</v>
      </c>
      <c r="J40" s="160" t="e">
        <f t="shared" si="50"/>
        <v>#DIV/0!</v>
      </c>
      <c r="K40" s="165">
        <v>1</v>
      </c>
      <c r="L40" s="173" t="e">
        <f t="shared" si="51"/>
        <v>#DIV/0!</v>
      </c>
      <c r="M40" s="160" t="e">
        <f t="shared" si="52"/>
        <v>#DIV/0!</v>
      </c>
      <c r="N40" s="165">
        <v>1</v>
      </c>
    </row>
    <row r="41" spans="1:18">
      <c r="B41" t="s">
        <v>2471</v>
      </c>
      <c r="C41" s="164" t="e">
        <f>C26/E26</f>
        <v>#N/A</v>
      </c>
      <c r="D41" s="160" t="e">
        <f t="shared" si="48"/>
        <v>#N/A</v>
      </c>
      <c r="E41" s="170">
        <v>1</v>
      </c>
      <c r="F41" s="164" t="e">
        <f>F26/H26</f>
        <v>#DIV/0!</v>
      </c>
      <c r="G41" s="160" t="e">
        <f t="shared" si="49"/>
        <v>#DIV/0!</v>
      </c>
      <c r="H41" s="165">
        <v>1</v>
      </c>
      <c r="I41" s="173" t="e">
        <f>I26/K26</f>
        <v>#DIV/0!</v>
      </c>
      <c r="J41" s="160" t="e">
        <f t="shared" si="50"/>
        <v>#DIV/0!</v>
      </c>
      <c r="K41" s="165">
        <v>1</v>
      </c>
      <c r="L41" s="173">
        <f t="shared" si="51"/>
        <v>3.5368178859436581</v>
      </c>
      <c r="M41" s="160">
        <f t="shared" si="52"/>
        <v>2.5368178859436581</v>
      </c>
      <c r="N41" s="165">
        <v>1</v>
      </c>
    </row>
    <row r="42" spans="1:18" ht="13.5" thickBot="1">
      <c r="B42" t="s">
        <v>2472</v>
      </c>
      <c r="C42" s="166" t="e">
        <f>C27/E27</f>
        <v>#N/A</v>
      </c>
      <c r="D42" s="167" t="e">
        <f t="shared" si="48"/>
        <v>#N/A</v>
      </c>
      <c r="E42" s="171">
        <v>1</v>
      </c>
      <c r="F42" s="166" t="e">
        <f>F27/H27</f>
        <v>#DIV/0!</v>
      </c>
      <c r="G42" s="167" t="e">
        <f t="shared" si="49"/>
        <v>#DIV/0!</v>
      </c>
      <c r="H42" s="168">
        <v>1</v>
      </c>
      <c r="I42" s="174" t="e">
        <f>I27/K27</f>
        <v>#DIV/0!</v>
      </c>
      <c r="J42" s="167" t="e">
        <f t="shared" si="50"/>
        <v>#DIV/0!</v>
      </c>
      <c r="K42" s="168">
        <v>1</v>
      </c>
      <c r="L42" s="174">
        <f t="shared" si="51"/>
        <v>1</v>
      </c>
      <c r="M42" s="167">
        <f t="shared" si="52"/>
        <v>0</v>
      </c>
      <c r="N42" s="168">
        <v>1</v>
      </c>
    </row>
    <row r="44" spans="1:18">
      <c r="C44">
        <v>2</v>
      </c>
      <c r="D44">
        <v>4</v>
      </c>
      <c r="E44">
        <v>6</v>
      </c>
      <c r="F44">
        <v>7</v>
      </c>
      <c r="G44">
        <v>9</v>
      </c>
      <c r="I44">
        <v>1</v>
      </c>
      <c r="J44">
        <v>2</v>
      </c>
      <c r="K44">
        <v>3</v>
      </c>
      <c r="L44">
        <v>4</v>
      </c>
      <c r="M44">
        <v>5</v>
      </c>
      <c r="N44">
        <v>6</v>
      </c>
      <c r="O44">
        <v>7</v>
      </c>
      <c r="P44">
        <v>8</v>
      </c>
      <c r="Q44">
        <v>9</v>
      </c>
    </row>
    <row r="45" spans="1:18" s="34" customFormat="1" ht="45">
      <c r="B45" s="52">
        <v>2016</v>
      </c>
      <c r="C45" s="52" t="str">
        <f>INDEX(Revenue_type,MATCH(C$44*1,type!$A$118:$A$168,0),8)</f>
        <v>אגרות</v>
      </c>
      <c r="D45" s="52" t="str">
        <f>INDEX(Revenue_type,MATCH(D$44*1,type!$A$118:$A$168,0),8)</f>
        <v>שירותים ושכר לימוד</v>
      </c>
      <c r="E45" s="52" t="str">
        <f>INDEX(Revenue_type,MATCH(E$44*1,type!$A$118:$A$168,0),8)</f>
        <v>הכנסות מרכוש ומפעלים</v>
      </c>
      <c r="F45" s="52" t="str">
        <f>INDEX(Revenue_type,MATCH(F$44*1,type!$A$118:$A$168,0),8)</f>
        <v>השתתפות מוסדות ותרומות</v>
      </c>
      <c r="G45" s="52" t="str">
        <f>INDEX(Revenue_type,MATCH(G$44*1,type!$A$118:$A$168,0),8)</f>
        <v>השתתפות משרדי ממשלה</v>
      </c>
      <c r="I45" s="52" t="str">
        <f>INDEX(Expenditure_type,MATCH(I$44*1,type!$A$2:$A$117,0),8)</f>
        <v>משכורות וש"ע לעובדים לפי תקן</v>
      </c>
      <c r="J45" s="52" t="str">
        <f>INDEX(Expenditure_type,MATCH(J$44*1,type!$A$2:$A$117,0),8)</f>
        <v>משכורות וש"ע לעובדים בלי תקן</v>
      </c>
      <c r="K45" s="52" t="str">
        <f>INDEX(Expenditure_type,MATCH(K$44*1,type!$A$2:$A$117,0),8)</f>
        <v>פנסיה ופיצויים</v>
      </c>
      <c r="L45" s="52" t="str">
        <f>INDEX(Expenditure_type,MATCH(L$44*1,type!$A$2:$A$117,0),8)</f>
        <v>אחזקת בינים ואספקת ציוד</v>
      </c>
      <c r="M45" s="52" t="str">
        <f>INDEX(Expenditure_type,MATCH(M$44*1,type!$A$2:$A$117,0),8)</f>
        <v>הוצאות מנהליות</v>
      </c>
      <c r="N45" s="52" t="str">
        <f>INDEX(Expenditure_type,MATCH(N$44*1,type!$A$2:$A$117,0),8)</f>
        <v>מימון ופירעון מלוות</v>
      </c>
      <c r="O45" s="52" t="str">
        <f>INDEX(Expenditure_type,MATCH(O$44*1,type!$A$2:$A$117,0),8)</f>
        <v>הוצאות לפעולות</v>
      </c>
      <c r="P45" s="52" t="str">
        <f>INDEX(Expenditure_type,MATCH(P$44*1,type!$A$2:$A$117,0),8)</f>
        <v>השתתפויות תמיכות ותרומות</v>
      </c>
      <c r="Q45" s="52" t="str">
        <f>INDEX(Expenditure_type,MATCH(Q$44*1,type!$A$2:$A$117,0),8)</f>
        <v>הוצאות חד פעמיות</v>
      </c>
    </row>
    <row r="46" spans="1:18">
      <c r="A46">
        <f t="shared" ref="A46:A54" si="53">A2-500</f>
        <v>311</v>
      </c>
      <c r="B46" t="str">
        <f>'הצלבות בין הכנסות והוצאות'!N96</f>
        <v>מינהל החינוך</v>
      </c>
      <c r="C46" s="63">
        <f>SUMIFS('הצעת תקציב 2016'!$H$3:$H$7326,'הצעת תקציב 2016'!$P$3:$P$7326,$A46,'הצעת תקציב 2016'!$U$3:$U$7326,C$44)</f>
        <v>0</v>
      </c>
      <c r="D46" s="63">
        <f>SUMIFS('הצעת תקציב 2016'!$H$3:$H$7326,'הצעת תקציב 2016'!$P$3:$P$7326,$A46,'הצעת תקציב 2016'!$U$3:$U$7326,D$44)</f>
        <v>0</v>
      </c>
      <c r="E46" s="63">
        <f>SUMIFS('הצעת תקציב 2016'!$H$3:$H$7326,'הצעת תקציב 2016'!$P$3:$P$7326,$A46,'הצעת תקציב 2016'!$U$3:$U$7326,E$44)</f>
        <v>0</v>
      </c>
      <c r="F46" s="63">
        <f>SUMIFS('הצעת תקציב 2016'!$H$3:$H$7326,'הצעת תקציב 2016'!$P$3:$P$7326,$A46,'הצעת תקציב 2016'!$U$3:$U$7326,F$44)</f>
        <v>0</v>
      </c>
      <c r="G46" s="63">
        <f>SUMIFS('הצעת תקציב 2016'!$H$3:$H$7326,'הצעת תקציב 2016'!$P$3:$P$7326,$A46,'הצעת תקציב 2016'!$U$3:$U$7326,G$44)</f>
        <v>0</v>
      </c>
      <c r="I46" s="63">
        <f>SUMIFS('הצעת תקציב 2016'!$H$3:$H$7326,'הצעת תקציב 2016'!$P$3:$P$7326,$A46+500,'הצעת תקציב 2016'!$U$3:$U$7326,I$44)</f>
        <v>14398000</v>
      </c>
      <c r="J46" s="63">
        <f>SUMIFS('הצעת תקציב 2016'!$H$3:$H$7326,'הצעת תקציב 2016'!$P$3:$P$7326,$A46+500,'הצעת תקציב 2016'!$U$3:$U$7326,J$44)</f>
        <v>0</v>
      </c>
      <c r="K46" s="63">
        <f>SUMIFS('הצעת תקציב 2016'!$H$3:$H$7326,'הצעת תקציב 2016'!$P$3:$P$7326,$A46+500,'הצעת תקציב 2016'!$U$3:$U$7326,K$44)</f>
        <v>0</v>
      </c>
      <c r="L46" s="63">
        <f>SUMIFS('הצעת תקציב 2016'!$H$3:$H$7326,'הצעת תקציב 2016'!$P$3:$P$7326,$A46+500,'הצעת תקציב 2016'!$U$3:$U$7326,L$44)</f>
        <v>211300</v>
      </c>
      <c r="M46" s="63">
        <f>SUMIFS('הצעת תקציב 2016'!$H$3:$H$7326,'הצעת תקציב 2016'!$P$3:$P$7326,$A46+500,'הצעת תקציב 2016'!$U$3:$U$7326,M$44)</f>
        <v>477300</v>
      </c>
      <c r="N46" s="63">
        <f>SUMIFS('הצעת תקציב 2016'!$H$3:$H$7326,'הצעת תקציב 2016'!$P$3:$P$7326,$A46+500,'הצעת תקציב 2016'!$U$3:$U$7326,N$44)</f>
        <v>0</v>
      </c>
      <c r="O46" s="63">
        <f>SUMIFS('הצעת תקציב 2016'!$H$3:$H$7326,'הצעת תקציב 2016'!$P$3:$P$7326,$A46+500,'הצעת תקציב 2016'!$U$3:$U$7326,O$44)</f>
        <v>4360300</v>
      </c>
      <c r="P46" s="63">
        <f>SUMIFS('הצעת תקציב 2016'!$H$3:$H$7326,'הצעת תקציב 2016'!$P$3:$P$7326,$A46+500,'הצעת תקציב 2016'!$U$3:$U$7326,P$44)</f>
        <v>0</v>
      </c>
      <c r="Q46" s="63">
        <f>SUMIFS('הצעת תקציב 2016'!$H$3:$H$7326,'הצעת תקציב 2016'!$P$3:$P$7326,$A46+500,'הצעת תקציב 2016'!$U$3:$U$7326,Q$44)</f>
        <v>0</v>
      </c>
      <c r="R46" s="60">
        <f>SUM(I46:Q46)</f>
        <v>19446900</v>
      </c>
    </row>
    <row r="47" spans="1:18">
      <c r="A47">
        <f t="shared" si="53"/>
        <v>312</v>
      </c>
      <c r="B47" t="str">
        <f>'הצלבות בין הכנסות והוצאות'!N97</f>
        <v>חינוך קדם יסודי</v>
      </c>
      <c r="C47" s="63">
        <f>SUMIFS('הצעת תקציב 2016'!$H$3:$H$7326,'הצעת תקציב 2016'!$P$3:$P$7326,$A47,'הצעת תקציב 2016'!$U$3:$U$7326,C$44)</f>
        <v>0</v>
      </c>
      <c r="D47" s="63">
        <f>SUMIFS('הצעת תקציב 2016'!$H$3:$H$7326,'הצעת תקציב 2016'!$P$3:$P$7326,$A47,'הצעת תקציב 2016'!$U$3:$U$7326,D$44)</f>
        <v>-2000000</v>
      </c>
      <c r="E47" s="63">
        <f>SUMIFS('הצעת תקציב 2016'!$H$3:$H$7326,'הצעת תקציב 2016'!$P$3:$P$7326,$A47,'הצעת תקציב 2016'!$U$3:$U$7326,E$44)</f>
        <v>0</v>
      </c>
      <c r="F47" s="63">
        <f>SUMIFS('הצעת תקציב 2016'!$H$3:$H$7326,'הצעת תקציב 2016'!$P$3:$P$7326,$A47,'הצעת תקציב 2016'!$U$3:$U$7326,F$44)</f>
        <v>-1100000</v>
      </c>
      <c r="G47" s="63">
        <f>SUMIFS('הצעת תקציב 2016'!$H$3:$H$7326,'הצעת תקציב 2016'!$P$3:$P$7326,$A47,'הצעת תקציב 2016'!$U$3:$U$7326,G$44)</f>
        <v>-68200000</v>
      </c>
      <c r="I47" s="63">
        <f>SUMIFS('הצעת תקציב 2016'!$H$3:$H$7326,'הצעת תקציב 2016'!$P$3:$P$7326,$A47+500,'הצעת תקציב 2016'!$U$3:$U$7326,I$44)</f>
        <v>47538000</v>
      </c>
      <c r="J47" s="63">
        <f>SUMIFS('הצעת תקציב 2016'!$H$3:$H$7326,'הצעת תקציב 2016'!$P$3:$P$7326,$A47+500,'הצעת תקציב 2016'!$U$3:$U$7326,J$44)</f>
        <v>0</v>
      </c>
      <c r="K47" s="63">
        <f>SUMIFS('הצעת תקציב 2016'!$H$3:$H$7326,'הצעת תקציב 2016'!$P$3:$P$7326,$A47+500,'הצעת תקציב 2016'!$U$3:$U$7326,K$44)</f>
        <v>0</v>
      </c>
      <c r="L47" s="63">
        <f>SUMIFS('הצעת תקציב 2016'!$H$3:$H$7326,'הצעת תקציב 2016'!$P$3:$P$7326,$A47+500,'הצעת תקציב 2016'!$U$3:$U$7326,L$44)</f>
        <v>2439000</v>
      </c>
      <c r="M47" s="63">
        <f>SUMIFS('הצעת תקציב 2016'!$H$3:$H$7326,'הצעת תקציב 2016'!$P$3:$P$7326,$A47+500,'הצעת תקציב 2016'!$U$3:$U$7326,M$44)</f>
        <v>864000</v>
      </c>
      <c r="N47" s="63">
        <f>SUMIFS('הצעת תקציב 2016'!$H$3:$H$7326,'הצעת תקציב 2016'!$P$3:$P$7326,$A47+500,'הצעת תקציב 2016'!$U$3:$U$7326,N$44)</f>
        <v>0</v>
      </c>
      <c r="O47" s="63">
        <f>SUMIFS('הצעת תקציב 2016'!$H$3:$H$7326,'הצעת תקציב 2016'!$P$3:$P$7326,$A47+500,'הצעת תקציב 2016'!$U$3:$U$7326,O$44)</f>
        <v>37804800</v>
      </c>
      <c r="P47" s="63">
        <f>SUMIFS('הצעת תקציב 2016'!$H$3:$H$7326,'הצעת תקציב 2016'!$P$3:$P$7326,$A47+500,'הצעת תקציב 2016'!$U$3:$U$7326,P$44)</f>
        <v>0</v>
      </c>
      <c r="Q47" s="63">
        <f>SUMIFS('הצעת תקציב 2016'!$H$3:$H$7326,'הצעת תקציב 2016'!$P$3:$P$7326,$A47+500,'הצעת תקציב 2016'!$U$3:$U$7326,Q$44)</f>
        <v>0</v>
      </c>
      <c r="R47" s="60">
        <f t="shared" ref="R47:R54" si="54">SUM(I47:Q47)</f>
        <v>88645800</v>
      </c>
    </row>
    <row r="48" spans="1:18">
      <c r="A48">
        <f t="shared" si="53"/>
        <v>313</v>
      </c>
      <c r="B48" t="str">
        <f>'הצלבות בין הכנסות והוצאות'!N98</f>
        <v>חינוך יסודי</v>
      </c>
      <c r="C48" s="63">
        <f>SUMIFS('הצעת תקציב 2016'!$H$3:$H$7326,'הצעת תקציב 2016'!$P$3:$P$7326,$A48,'הצעת תקציב 2016'!$U$3:$U$7326,C$44)</f>
        <v>-1000000</v>
      </c>
      <c r="D48" s="63">
        <f>SUMIFS('הצעת תקציב 2016'!$H$3:$H$7326,'הצעת תקציב 2016'!$P$3:$P$7326,$A48,'הצעת תקציב 2016'!$U$3:$U$7326,D$44)</f>
        <v>-6000</v>
      </c>
      <c r="E48" s="63">
        <f>SUMIFS('הצעת תקציב 2016'!$H$3:$H$7326,'הצעת תקציב 2016'!$P$3:$P$7326,$A48,'הצעת תקציב 2016'!$U$3:$U$7326,E$44)</f>
        <v>0</v>
      </c>
      <c r="F48" s="63">
        <f>SUMIFS('הצעת תקציב 2016'!$H$3:$H$7326,'הצעת תקציב 2016'!$P$3:$P$7326,$A48,'הצעת תקציב 2016'!$U$3:$U$7326,F$44)</f>
        <v>-3445000</v>
      </c>
      <c r="G48" s="63">
        <f>SUMIFS('הצעת תקציב 2016'!$H$3:$H$7326,'הצעת תקציב 2016'!$P$3:$P$7326,$A48,'הצעת תקציב 2016'!$U$3:$U$7326,G$44)</f>
        <v>-71108000</v>
      </c>
      <c r="I48" s="63">
        <f>SUMIFS('הצעת תקציב 2016'!$H$3:$H$7326,'הצעת תקציב 2016'!$P$3:$P$7326,$A48+500,'הצעת תקציב 2016'!$U$3:$U$7326,I$44)</f>
        <v>90025600</v>
      </c>
      <c r="J48" s="63">
        <f>SUMIFS('הצעת תקציב 2016'!$H$3:$H$7326,'הצעת תקציב 2016'!$P$3:$P$7326,$A48+500,'הצעת תקציב 2016'!$U$3:$U$7326,J$44)</f>
        <v>13168400</v>
      </c>
      <c r="K48" s="63">
        <f>SUMIFS('הצעת תקציב 2016'!$H$3:$H$7326,'הצעת תקציב 2016'!$P$3:$P$7326,$A48+500,'הצעת תקציב 2016'!$U$3:$U$7326,K$44)</f>
        <v>0</v>
      </c>
      <c r="L48" s="63">
        <f>SUMIFS('הצעת תקציב 2016'!$H$3:$H$7326,'הצעת תקציב 2016'!$P$3:$P$7326,$A48+500,'הצעת תקציב 2016'!$U$3:$U$7326,L$44)</f>
        <v>5423500</v>
      </c>
      <c r="M48" s="63">
        <f>SUMIFS('הצעת תקציב 2016'!$H$3:$H$7326,'הצעת תקציב 2016'!$P$3:$P$7326,$A48+500,'הצעת תקציב 2016'!$U$3:$U$7326,M$44)</f>
        <v>8716300</v>
      </c>
      <c r="N48" s="63">
        <f>SUMIFS('הצעת תקציב 2016'!$H$3:$H$7326,'הצעת תקציב 2016'!$P$3:$P$7326,$A48+500,'הצעת תקציב 2016'!$U$3:$U$7326,N$44)</f>
        <v>0</v>
      </c>
      <c r="O48" s="63">
        <f>SUMIFS('הצעת תקציב 2016'!$H$3:$H$7326,'הצעת תקציב 2016'!$P$3:$P$7326,$A48+500,'הצעת תקציב 2016'!$U$3:$U$7326,O$44)</f>
        <v>13448700</v>
      </c>
      <c r="P48" s="63">
        <f>SUMIFS('הצעת תקציב 2016'!$H$3:$H$7326,'הצעת תקציב 2016'!$P$3:$P$7326,$A48+500,'הצעת תקציב 2016'!$U$3:$U$7326,P$44)</f>
        <v>1015000</v>
      </c>
      <c r="Q48" s="63">
        <f>SUMIFS('הצעת תקציב 2016'!$H$3:$H$7326,'הצעת תקציב 2016'!$P$3:$P$7326,$A48+500,'הצעת תקציב 2016'!$U$3:$U$7326,Q$44)</f>
        <v>0</v>
      </c>
      <c r="R48" s="60">
        <f t="shared" si="54"/>
        <v>131797500</v>
      </c>
    </row>
    <row r="49" spans="1:18">
      <c r="A49">
        <f t="shared" si="53"/>
        <v>314</v>
      </c>
      <c r="B49" t="str">
        <f>'הצלבות בין הכנסות והוצאות'!N99</f>
        <v>חטיבות ביניים</v>
      </c>
      <c r="C49" s="63">
        <f>SUMIFS('הצעת תקציב 2016'!$H$3:$H$7326,'הצעת תקציב 2016'!$P$3:$P$7326,$A49,'הצעת תקציב 2016'!$U$3:$U$7326,C$44)</f>
        <v>0</v>
      </c>
      <c r="D49" s="63">
        <f>SUMIFS('הצעת תקציב 2016'!$H$3:$H$7326,'הצעת תקציב 2016'!$P$3:$P$7326,$A49,'הצעת תקציב 2016'!$U$3:$U$7326,D$44)</f>
        <v>0</v>
      </c>
      <c r="E49" s="63">
        <f>SUMIFS('הצעת תקציב 2016'!$H$3:$H$7326,'הצעת תקציב 2016'!$P$3:$P$7326,$A49,'הצעת תקציב 2016'!$U$3:$U$7326,E$44)</f>
        <v>0</v>
      </c>
      <c r="F49" s="63">
        <f>SUMIFS('הצעת תקציב 2016'!$H$3:$H$7326,'הצעת תקציב 2016'!$P$3:$P$7326,$A49,'הצעת תקציב 2016'!$U$3:$U$7326,F$44)</f>
        <v>0</v>
      </c>
      <c r="G49" s="63">
        <f>SUMIFS('הצעת תקציב 2016'!$H$3:$H$7326,'הצעת תקציב 2016'!$P$3:$P$7326,$A49,'הצעת תקציב 2016'!$U$3:$U$7326,G$44)</f>
        <v>0</v>
      </c>
      <c r="I49" s="63">
        <f>SUMIFS('הצעת תקציב 2016'!$H$3:$H$7326,'הצעת תקציב 2016'!$P$3:$P$7326,$A49+500,'הצעת תקציב 2016'!$U$3:$U$7326,I$44)</f>
        <v>0</v>
      </c>
      <c r="J49" s="63">
        <f>SUMIFS('הצעת תקציב 2016'!$H$3:$H$7326,'הצעת תקציב 2016'!$P$3:$P$7326,$A49+500,'הצעת תקציב 2016'!$U$3:$U$7326,J$44)</f>
        <v>0</v>
      </c>
      <c r="K49" s="63">
        <f>SUMIFS('הצעת תקציב 2016'!$H$3:$H$7326,'הצעת תקציב 2016'!$P$3:$P$7326,$A49+500,'הצעת תקציב 2016'!$U$3:$U$7326,K$44)</f>
        <v>0</v>
      </c>
      <c r="L49" s="63">
        <f>SUMIFS('הצעת תקציב 2016'!$H$3:$H$7326,'הצעת תקציב 2016'!$P$3:$P$7326,$A49+500,'הצעת תקציב 2016'!$U$3:$U$7326,L$44)</f>
        <v>0</v>
      </c>
      <c r="M49" s="63">
        <f>SUMIFS('הצעת תקציב 2016'!$H$3:$H$7326,'הצעת תקציב 2016'!$P$3:$P$7326,$A49+500,'הצעת תקציב 2016'!$U$3:$U$7326,M$44)</f>
        <v>0</v>
      </c>
      <c r="N49" s="63">
        <f>SUMIFS('הצעת תקציב 2016'!$H$3:$H$7326,'הצעת תקציב 2016'!$P$3:$P$7326,$A49+500,'הצעת תקציב 2016'!$U$3:$U$7326,N$44)</f>
        <v>0</v>
      </c>
      <c r="O49" s="63">
        <f>SUMIFS('הצעת תקציב 2016'!$H$3:$H$7326,'הצעת תקציב 2016'!$P$3:$P$7326,$A49+500,'הצעת תקציב 2016'!$U$3:$U$7326,O$44)</f>
        <v>0</v>
      </c>
      <c r="P49" s="63">
        <f>SUMIFS('הצעת תקציב 2016'!$H$3:$H$7326,'הצעת תקציב 2016'!$P$3:$P$7326,$A49+500,'הצעת תקציב 2016'!$U$3:$U$7326,P$44)</f>
        <v>0</v>
      </c>
      <c r="Q49" s="63">
        <f>SUMIFS('הצעת תקציב 2016'!$H$3:$H$7326,'הצעת תקציב 2016'!$P$3:$P$7326,$A49+500,'הצעת תקציב 2016'!$U$3:$U$7326,Q$44)</f>
        <v>0</v>
      </c>
      <c r="R49" s="60">
        <f t="shared" si="54"/>
        <v>0</v>
      </c>
    </row>
    <row r="50" spans="1:18">
      <c r="A50">
        <f t="shared" si="53"/>
        <v>315</v>
      </c>
      <c r="B50" t="str">
        <f>'הצלבות בין הכנסות והוצאות'!N100</f>
        <v>חינוך על יסודי</v>
      </c>
      <c r="C50" s="63">
        <f>SUMIFS('הצעת תקציב 2016'!$H$3:$H$7326,'הצעת תקציב 2016'!$P$3:$P$7326,$A50,'הצעת תקציב 2016'!$U$3:$U$7326,C$44)</f>
        <v>0</v>
      </c>
      <c r="D50" s="63">
        <f>SUMIFS('הצעת תקציב 2016'!$H$3:$H$7326,'הצעת תקציב 2016'!$P$3:$P$7326,$A50,'הצעת תקציב 2016'!$U$3:$U$7326,D$44)</f>
        <v>0</v>
      </c>
      <c r="E50" s="63">
        <f>SUMIFS('הצעת תקציב 2016'!$H$3:$H$7326,'הצעת תקציב 2016'!$P$3:$P$7326,$A50,'הצעת תקציב 2016'!$U$3:$U$7326,E$44)</f>
        <v>0</v>
      </c>
      <c r="F50" s="63">
        <f>SUMIFS('הצעת תקציב 2016'!$H$3:$H$7326,'הצעת תקציב 2016'!$P$3:$P$7326,$A50,'הצעת תקציב 2016'!$U$3:$U$7326,F$44)</f>
        <v>-6103000</v>
      </c>
      <c r="G50" s="63">
        <f>SUMIFS('הצעת תקציב 2016'!$H$3:$H$7326,'הצעת תקציב 2016'!$P$3:$P$7326,$A50,'הצעת תקציב 2016'!$U$3:$U$7326,G$44)</f>
        <v>-118344000</v>
      </c>
      <c r="I50" s="63">
        <f>SUMIFS('הצעת תקציב 2016'!$H$3:$H$7326,'הצעת תקציב 2016'!$P$3:$P$7326,$A50+500,'הצעת תקציב 2016'!$U$3:$U$7326,I$44)</f>
        <v>121175000</v>
      </c>
      <c r="J50" s="63">
        <f>SUMIFS('הצעת תקציב 2016'!$H$3:$H$7326,'הצעת תקציב 2016'!$P$3:$P$7326,$A50+500,'הצעת תקציב 2016'!$U$3:$U$7326,J$44)</f>
        <v>400000</v>
      </c>
      <c r="K50" s="63">
        <f>SUMIFS('הצעת תקציב 2016'!$H$3:$H$7326,'הצעת תקציב 2016'!$P$3:$P$7326,$A50+500,'הצעת תקציב 2016'!$U$3:$U$7326,K$44)</f>
        <v>0</v>
      </c>
      <c r="L50" s="63">
        <f>SUMIFS('הצעת תקציב 2016'!$H$3:$H$7326,'הצעת תקציב 2016'!$P$3:$P$7326,$A50+500,'הצעת תקציב 2016'!$U$3:$U$7326,L$44)</f>
        <v>3090800</v>
      </c>
      <c r="M50" s="63">
        <f>SUMIFS('הצעת תקציב 2016'!$H$3:$H$7326,'הצעת תקציב 2016'!$P$3:$P$7326,$A50+500,'הצעת תקציב 2016'!$U$3:$U$7326,M$44)</f>
        <v>6434000</v>
      </c>
      <c r="N50" s="63">
        <f>SUMIFS('הצעת תקציב 2016'!$H$3:$H$7326,'הצעת תקציב 2016'!$P$3:$P$7326,$A50+500,'הצעת תקציב 2016'!$U$3:$U$7326,N$44)</f>
        <v>0</v>
      </c>
      <c r="O50" s="63">
        <f>SUMIFS('הצעת תקציב 2016'!$H$3:$H$7326,'הצעת תקציב 2016'!$P$3:$P$7326,$A50+500,'הצעת תקציב 2016'!$U$3:$U$7326,O$44)</f>
        <v>23047400</v>
      </c>
      <c r="P50" s="63">
        <f>SUMIFS('הצעת תקציב 2016'!$H$3:$H$7326,'הצעת תקציב 2016'!$P$3:$P$7326,$A50+500,'הצעת תקציב 2016'!$U$3:$U$7326,P$44)</f>
        <v>2338600</v>
      </c>
      <c r="Q50" s="63">
        <f>SUMIFS('הצעת תקציב 2016'!$H$3:$H$7326,'הצעת תקציב 2016'!$P$3:$P$7326,$A50+500,'הצעת תקציב 2016'!$U$3:$U$7326,Q$44)</f>
        <v>0</v>
      </c>
      <c r="R50" s="60">
        <f t="shared" si="54"/>
        <v>156485800</v>
      </c>
    </row>
    <row r="51" spans="1:18">
      <c r="A51">
        <f t="shared" si="53"/>
        <v>316</v>
      </c>
      <c r="B51" t="str">
        <f>'הצלבות בין הכנסות והוצאות'!N101</f>
        <v>חינוך גבוה</v>
      </c>
      <c r="C51" s="63">
        <f>SUMIFS('הצעת תקציב 2016'!$H$3:$H$7326,'הצעת תקציב 2016'!$P$3:$P$7326,$A51,'הצעת תקציב 2016'!$U$3:$U$7326,C$44)</f>
        <v>0</v>
      </c>
      <c r="D51" s="63">
        <f>SUMIFS('הצעת תקציב 2016'!$H$3:$H$7326,'הצעת תקציב 2016'!$P$3:$P$7326,$A51,'הצעת תקציב 2016'!$U$3:$U$7326,D$44)</f>
        <v>0</v>
      </c>
      <c r="E51" s="63">
        <f>SUMIFS('הצעת תקציב 2016'!$H$3:$H$7326,'הצעת תקציב 2016'!$P$3:$P$7326,$A51,'הצעת תקציב 2016'!$U$3:$U$7326,E$44)</f>
        <v>0</v>
      </c>
      <c r="F51" s="63">
        <f>SUMIFS('הצעת תקציב 2016'!$H$3:$H$7326,'הצעת תקציב 2016'!$P$3:$P$7326,$A51,'הצעת תקציב 2016'!$U$3:$U$7326,F$44)</f>
        <v>0</v>
      </c>
      <c r="G51" s="63">
        <f>SUMIFS('הצעת תקציב 2016'!$H$3:$H$7326,'הצעת תקציב 2016'!$P$3:$P$7326,$A51,'הצעת תקציב 2016'!$U$3:$U$7326,G$44)</f>
        <v>0</v>
      </c>
      <c r="I51" s="63">
        <f>SUMIFS('הצעת תקציב 2016'!$H$3:$H$7326,'הצעת תקציב 2016'!$P$3:$P$7326,$A51+500,'הצעת תקציב 2016'!$U$3:$U$7326,I$44)</f>
        <v>25500</v>
      </c>
      <c r="J51" s="63">
        <f>SUMIFS('הצעת תקציב 2016'!$H$3:$H$7326,'הצעת תקציב 2016'!$P$3:$P$7326,$A51+500,'הצעת תקציב 2016'!$U$3:$U$7326,J$44)</f>
        <v>1345500</v>
      </c>
      <c r="K51" s="63">
        <f>SUMIFS('הצעת תקציב 2016'!$H$3:$H$7326,'הצעת תקציב 2016'!$P$3:$P$7326,$A51+500,'הצעת תקציב 2016'!$U$3:$U$7326,K$44)</f>
        <v>0</v>
      </c>
      <c r="L51" s="63">
        <f>SUMIFS('הצעת תקציב 2016'!$H$3:$H$7326,'הצעת תקציב 2016'!$P$3:$P$7326,$A51+500,'הצעת תקציב 2016'!$U$3:$U$7326,L$44)</f>
        <v>0</v>
      </c>
      <c r="M51" s="63">
        <f>SUMIFS('הצעת תקציב 2016'!$H$3:$H$7326,'הצעת תקציב 2016'!$P$3:$P$7326,$A51+500,'הצעת תקציב 2016'!$U$3:$U$7326,M$44)</f>
        <v>0</v>
      </c>
      <c r="N51" s="63">
        <f>SUMIFS('הצעת תקציב 2016'!$H$3:$H$7326,'הצעת תקציב 2016'!$P$3:$P$7326,$A51+500,'הצעת תקציב 2016'!$U$3:$U$7326,N$44)</f>
        <v>0</v>
      </c>
      <c r="O51" s="63">
        <f>SUMIFS('הצעת תקציב 2016'!$H$3:$H$7326,'הצעת תקציב 2016'!$P$3:$P$7326,$A51+500,'הצעת תקציב 2016'!$U$3:$U$7326,O$44)</f>
        <v>3822900</v>
      </c>
      <c r="P51" s="63">
        <f>SUMIFS('הצעת תקציב 2016'!$H$3:$H$7326,'הצעת תקציב 2016'!$P$3:$P$7326,$A51+500,'הצעת תקציב 2016'!$U$3:$U$7326,P$44)</f>
        <v>5000000</v>
      </c>
      <c r="Q51" s="63">
        <f>SUMIFS('הצעת תקציב 2016'!$H$3:$H$7326,'הצעת תקציב 2016'!$P$3:$P$7326,$A51+500,'הצעת תקציב 2016'!$U$3:$U$7326,Q$44)</f>
        <v>0</v>
      </c>
      <c r="R51" s="60">
        <f t="shared" ref="R51" si="55">SUM(I51:Q51)</f>
        <v>10193900</v>
      </c>
    </row>
    <row r="52" spans="1:18">
      <c r="A52">
        <f t="shared" si="53"/>
        <v>317</v>
      </c>
      <c r="B52" t="str">
        <f>'הצלבות בין הכנסות והוצאות'!N102</f>
        <v>שירותים נוספים לבתי״ס וגנ״י</v>
      </c>
      <c r="C52" s="63">
        <f>SUMIFS('הצעת תקציב 2016'!$H$3:$H$7326,'הצעת תקציב 2016'!$P$3:$P$7326,$A52,'הצעת תקציב 2016'!$U$3:$U$7326,C$44)</f>
        <v>-8000000</v>
      </c>
      <c r="D52" s="63">
        <f>SUMIFS('הצעת תקציב 2016'!$H$3:$H$7326,'הצעת תקציב 2016'!$P$3:$P$7326,$A52,'הצעת תקציב 2016'!$U$3:$U$7326,D$44)</f>
        <v>0</v>
      </c>
      <c r="E52" s="63">
        <f>SUMIFS('הצעת תקציב 2016'!$H$3:$H$7326,'הצעת תקציב 2016'!$P$3:$P$7326,$A52,'הצעת תקציב 2016'!$U$3:$U$7326,E$44)</f>
        <v>0</v>
      </c>
      <c r="F52" s="63">
        <f>SUMIFS('הצעת תקציב 2016'!$H$3:$H$7326,'הצעת תקציב 2016'!$P$3:$P$7326,$A52,'הצעת תקציב 2016'!$U$3:$U$7326,F$44)</f>
        <v>-805000</v>
      </c>
      <c r="G52" s="63">
        <f>SUMIFS('הצעת תקציב 2016'!$H$3:$H$7326,'הצעת תקציב 2016'!$P$3:$P$7326,$A52,'הצעת תקציב 2016'!$U$3:$U$7326,G$44)</f>
        <v>-22389000</v>
      </c>
      <c r="I52" s="63">
        <f>SUMIFS('הצעת תקציב 2016'!$H$3:$H$7326,'הצעת תקציב 2016'!$P$3:$P$7326,$A52+500,'הצעת תקציב 2016'!$U$3:$U$7326,I$44)</f>
        <v>11145300</v>
      </c>
      <c r="J52" s="63">
        <f>SUMIFS('הצעת תקציב 2016'!$H$3:$H$7326,'הצעת תקציב 2016'!$P$3:$P$7326,$A52+500,'הצעת תקציב 2016'!$U$3:$U$7326,J$44)</f>
        <v>858700</v>
      </c>
      <c r="K52" s="63">
        <f>SUMIFS('הצעת תקציב 2016'!$H$3:$H$7326,'הצעת תקציב 2016'!$P$3:$P$7326,$A52+500,'הצעת תקציב 2016'!$U$3:$U$7326,K$44)</f>
        <v>0</v>
      </c>
      <c r="L52" s="63">
        <f>SUMIFS('הצעת תקציב 2016'!$H$3:$H$7326,'הצעת תקציב 2016'!$P$3:$P$7326,$A52+500,'הצעת תקציב 2016'!$U$3:$U$7326,L$44)</f>
        <v>126800</v>
      </c>
      <c r="M52" s="63">
        <f>SUMIFS('הצעת תקציב 2016'!$H$3:$H$7326,'הצעת תקציב 2016'!$P$3:$P$7326,$A52+500,'הצעת תקציב 2016'!$U$3:$U$7326,M$44)</f>
        <v>999600</v>
      </c>
      <c r="N52" s="63">
        <f>SUMIFS('הצעת תקציב 2016'!$H$3:$H$7326,'הצעת תקציב 2016'!$P$3:$P$7326,$A52+500,'הצעת תקציב 2016'!$U$3:$U$7326,N$44)</f>
        <v>0</v>
      </c>
      <c r="O52" s="63">
        <f>SUMIFS('הצעת תקציב 2016'!$H$3:$H$7326,'הצעת תקציב 2016'!$P$3:$P$7326,$A52+500,'הצעת תקציב 2016'!$U$3:$U$7326,O$44)</f>
        <v>53191500</v>
      </c>
      <c r="P52" s="63">
        <f>SUMIFS('הצעת תקציב 2016'!$H$3:$H$7326,'הצעת תקציב 2016'!$P$3:$P$7326,$A52+500,'הצעת תקציב 2016'!$U$3:$U$7326,P$44)</f>
        <v>3042900</v>
      </c>
      <c r="Q52" s="63">
        <f>SUMIFS('הצעת תקציב 2016'!$H$3:$H$7326,'הצעת תקציב 2016'!$P$3:$P$7326,$A52+500,'הצעת תקציב 2016'!$U$3:$U$7326,Q$44)</f>
        <v>0</v>
      </c>
      <c r="R52" s="60">
        <f t="shared" si="54"/>
        <v>69364800</v>
      </c>
    </row>
    <row r="53" spans="1:18">
      <c r="A53">
        <f t="shared" si="53"/>
        <v>318</v>
      </c>
      <c r="B53" t="str">
        <f>'הצלבות בין הכנסות והוצאות'!N103</f>
        <v>חינוך מבוגרים</v>
      </c>
      <c r="C53" s="63">
        <f>SUMIFS('הצעת תקציב 2016'!$H$3:$H$7326,'הצעת תקציב 2016'!$P$3:$P$7326,$A53,'הצעת תקציב 2016'!$U$3:$U$7326,C$44)</f>
        <v>0</v>
      </c>
      <c r="D53" s="63">
        <f>SUMIFS('הצעת תקציב 2016'!$H$3:$H$7326,'הצעת תקציב 2016'!$P$3:$P$7326,$A53,'הצעת תקציב 2016'!$U$3:$U$7326,D$44)</f>
        <v>0</v>
      </c>
      <c r="E53" s="63">
        <f>SUMIFS('הצעת תקציב 2016'!$H$3:$H$7326,'הצעת תקציב 2016'!$P$3:$P$7326,$A53,'הצעת תקציב 2016'!$U$3:$U$7326,E$44)</f>
        <v>0</v>
      </c>
      <c r="F53" s="63">
        <f>SUMIFS('הצעת תקציב 2016'!$H$3:$H$7326,'הצעת תקציב 2016'!$P$3:$P$7326,$A53,'הצעת תקציב 2016'!$U$3:$U$7326,F$44)</f>
        <v>0</v>
      </c>
      <c r="G53" s="63">
        <f>SUMIFS('הצעת תקציב 2016'!$H$3:$H$7326,'הצעת תקציב 2016'!$P$3:$P$7326,$A53,'הצעת תקציב 2016'!$U$3:$U$7326,G$44)</f>
        <v>0</v>
      </c>
      <c r="I53" s="63">
        <f>SUMIFS('הצעת תקציב 2016'!$H$3:$H$7326,'הצעת תקציב 2016'!$P$3:$P$7326,$A53+500,'הצעת תקציב 2016'!$U$3:$U$7326,I$44)</f>
        <v>4392000</v>
      </c>
      <c r="J53" s="63">
        <f>SUMIFS('הצעת תקציב 2016'!$H$3:$H$7326,'הצעת תקציב 2016'!$P$3:$P$7326,$A53+500,'הצעת תקציב 2016'!$U$3:$U$7326,J$44)</f>
        <v>350000</v>
      </c>
      <c r="K53" s="63">
        <f>SUMIFS('הצעת תקציב 2016'!$H$3:$H$7326,'הצעת תקציב 2016'!$P$3:$P$7326,$A53+500,'הצעת תקציב 2016'!$U$3:$U$7326,K$44)</f>
        <v>0</v>
      </c>
      <c r="L53" s="63">
        <f>SUMIFS('הצעת תקציב 2016'!$H$3:$H$7326,'הצעת תקציב 2016'!$P$3:$P$7326,$A53+500,'הצעת תקציב 2016'!$U$3:$U$7326,L$44)</f>
        <v>71700</v>
      </c>
      <c r="M53" s="63">
        <f>SUMIFS('הצעת תקציב 2016'!$H$3:$H$7326,'הצעת תקציב 2016'!$P$3:$P$7326,$A53+500,'הצעת תקציב 2016'!$U$3:$U$7326,M$44)</f>
        <v>140000</v>
      </c>
      <c r="N53" s="63">
        <f>SUMIFS('הצעת תקציב 2016'!$H$3:$H$7326,'הצעת תקציב 2016'!$P$3:$P$7326,$A53+500,'הצעת תקציב 2016'!$U$3:$U$7326,N$44)</f>
        <v>0</v>
      </c>
      <c r="O53" s="63">
        <f>SUMIFS('הצעת תקציב 2016'!$H$3:$H$7326,'הצעת תקציב 2016'!$P$3:$P$7326,$A53+500,'הצעת תקציב 2016'!$U$3:$U$7326,O$44)</f>
        <v>1911000</v>
      </c>
      <c r="P53" s="63">
        <f>SUMIFS('הצעת תקציב 2016'!$H$3:$H$7326,'הצעת תקציב 2016'!$P$3:$P$7326,$A53+500,'הצעת תקציב 2016'!$U$3:$U$7326,P$44)</f>
        <v>478800</v>
      </c>
      <c r="Q53" s="63">
        <f>SUMIFS('הצעת תקציב 2016'!$H$3:$H$7326,'הצעת תקציב 2016'!$P$3:$P$7326,$A53+500,'הצעת תקציב 2016'!$U$3:$U$7326,Q$44)</f>
        <v>0</v>
      </c>
      <c r="R53" s="60">
        <f t="shared" si="54"/>
        <v>7343500</v>
      </c>
    </row>
    <row r="54" spans="1:18">
      <c r="A54">
        <f t="shared" si="53"/>
        <v>319</v>
      </c>
      <c r="B54" t="str">
        <f>'הצלבות בין הכנסות והוצאות'!N104</f>
        <v>שירותי חינוך מיוחדים</v>
      </c>
      <c r="C54" s="63">
        <f>SUMIFS('הצעת תקציב 2016'!$H$3:$H$7326,'הצעת תקציב 2016'!$P$3:$P$7326,$A54,'הצעת תקציב 2016'!$U$3:$U$7326,C$44)</f>
        <v>0</v>
      </c>
      <c r="D54" s="63">
        <f>SUMIFS('הצעת תקציב 2016'!$H$3:$H$7326,'הצעת תקציב 2016'!$P$3:$P$7326,$A54,'הצעת תקציב 2016'!$U$3:$U$7326,D$44)</f>
        <v>0</v>
      </c>
      <c r="E54" s="63">
        <f>SUMIFS('הצעת תקציב 2016'!$H$3:$H$7326,'הצעת תקציב 2016'!$P$3:$P$7326,$A54,'הצעת תקציב 2016'!$U$3:$U$7326,E$44)</f>
        <v>0</v>
      </c>
      <c r="F54" s="63">
        <f>SUMIFS('הצעת תקציב 2016'!$H$3:$H$7326,'הצעת תקציב 2016'!$P$3:$P$7326,$A54,'הצעת תקציב 2016'!$U$3:$U$7326,F$44)</f>
        <v>0</v>
      </c>
      <c r="G54" s="63">
        <f>SUMIFS('הצעת תקציב 2016'!$H$3:$H$7326,'הצעת תקציב 2016'!$P$3:$P$7326,$A54,'הצעת תקציב 2016'!$U$3:$U$7326,G$44)</f>
        <v>0</v>
      </c>
      <c r="I54" s="63">
        <f>SUMIFS('הצעת תקציב 2016'!$H$3:$H$7326,'הצעת תקציב 2016'!$P$3:$P$7326,$A54+500,'הצעת תקציב 2016'!$U$3:$U$7326,I$44)</f>
        <v>0</v>
      </c>
      <c r="J54" s="63">
        <f>SUMIFS('הצעת תקציב 2016'!$H$3:$H$7326,'הצעת תקציב 2016'!$P$3:$P$7326,$A54+500,'הצעת תקציב 2016'!$U$3:$U$7326,J$44)</f>
        <v>1286000</v>
      </c>
      <c r="K54" s="63">
        <f>SUMIFS('הצעת תקציב 2016'!$H$3:$H$7326,'הצעת תקציב 2016'!$P$3:$P$7326,$A54+500,'הצעת תקציב 2016'!$U$3:$U$7326,K$44)</f>
        <v>0</v>
      </c>
      <c r="L54" s="63">
        <f>SUMIFS('הצעת תקציב 2016'!$H$3:$H$7326,'הצעת תקציב 2016'!$P$3:$P$7326,$A54+500,'הצעת תקציב 2016'!$U$3:$U$7326,L$44)</f>
        <v>0</v>
      </c>
      <c r="M54" s="63">
        <f>SUMIFS('הצעת תקציב 2016'!$H$3:$H$7326,'הצעת תקציב 2016'!$P$3:$P$7326,$A54+500,'הצעת תקציב 2016'!$U$3:$U$7326,M$44)</f>
        <v>77000</v>
      </c>
      <c r="N54" s="63">
        <f>SUMIFS('הצעת תקציב 2016'!$H$3:$H$7326,'הצעת תקציב 2016'!$P$3:$P$7326,$A54+500,'הצעת תקציב 2016'!$U$3:$U$7326,N$44)</f>
        <v>0</v>
      </c>
      <c r="O54" s="63">
        <f>SUMIFS('הצעת תקציב 2016'!$H$3:$H$7326,'הצעת תקציב 2016'!$P$3:$P$7326,$A54+500,'הצעת תקציב 2016'!$U$3:$U$7326,O$44)</f>
        <v>0</v>
      </c>
      <c r="P54" s="63">
        <f>SUMIFS('הצעת תקציב 2016'!$H$3:$H$7326,'הצעת תקציב 2016'!$P$3:$P$7326,$A54+500,'הצעת תקציב 2016'!$U$3:$U$7326,P$44)</f>
        <v>0</v>
      </c>
      <c r="Q54" s="63">
        <f>SUMIFS('הצעת תקציב 2016'!$H$3:$H$7326,'הצעת תקציב 2016'!$P$3:$P$7326,$A54+500,'הצעת תקציב 2016'!$U$3:$U$7326,Q$44)</f>
        <v>0</v>
      </c>
      <c r="R54" s="60">
        <f t="shared" si="54"/>
        <v>1363000</v>
      </c>
    </row>
    <row r="55" spans="1:18">
      <c r="I55" s="63">
        <f>SUMIFS('הצעת תקציב 2016'!$H$3:$H$7326,'הצעת תקציב 2016'!$P$3:$P$7326,$A55+500,'הצעת תקציב 2016'!$U$3:$U$7326,I$44)</f>
        <v>0</v>
      </c>
      <c r="J55" s="63">
        <f>SUMIFS('הצעת תקציב 2016'!$H$3:$H$7326,'הצעת תקציב 2016'!$P$3:$P$7326,$A55+500,'הצעת תקציב 2016'!$U$3:$U$7326,J$44)</f>
        <v>0</v>
      </c>
      <c r="K55" s="63">
        <f>SUMIFS('הצעת תקציב 2016'!$H$3:$H$7326,'הצעת תקציב 2016'!$P$3:$P$7326,$A55+500,'הצעת תקציב 2016'!$U$3:$U$7326,K$44)</f>
        <v>0</v>
      </c>
      <c r="L55" s="63">
        <f>SUMIFS('הצעת תקציב 2016'!$H$3:$H$7326,'הצעת תקציב 2016'!$P$3:$P$7326,$A55+500,'הצעת תקציב 2016'!$U$3:$U$7326,L$44)</f>
        <v>0</v>
      </c>
      <c r="M55" s="63">
        <f>SUMIFS('הצעת תקציב 2016'!$H$3:$H$7326,'הצעת תקציב 2016'!$P$3:$P$7326,$A55+500,'הצעת תקציב 2016'!$U$3:$U$7326,M$44)</f>
        <v>0</v>
      </c>
      <c r="N55" s="63">
        <f>SUMIFS('הצעת תקציב 2016'!$H$3:$H$7326,'הצעת תקציב 2016'!$P$3:$P$7326,$A55+500,'הצעת תקציב 2016'!$U$3:$U$7326,N$44)</f>
        <v>0</v>
      </c>
      <c r="O55" s="63">
        <f>SUMIFS('הצעת תקציב 2016'!$H$3:$H$7326,'הצעת תקציב 2016'!$P$3:$P$7326,$A55+500,'הצעת תקציב 2016'!$U$3:$U$7326,O$44)</f>
        <v>0</v>
      </c>
      <c r="P55" s="63">
        <f>SUMIFS('הצעת תקציב 2016'!$H$3:$H$7326,'הצעת תקציב 2016'!$P$3:$P$7326,$A55+500,'הצעת תקציב 2016'!$U$3:$U$7326,P$44)</f>
        <v>0</v>
      </c>
      <c r="Q55" s="63">
        <f>SUMIFS('הצעת תקציב 2016'!$H$3:$H$7326,'הצעת תקציב 2016'!$P$3:$P$7326,$A55+500,'הצעת תקציב 2016'!$U$3:$U$7326,Q$44)</f>
        <v>0</v>
      </c>
    </row>
    <row r="56" spans="1:18" ht="45">
      <c r="A56" s="34"/>
      <c r="B56" s="52">
        <v>2015</v>
      </c>
      <c r="C56" s="52" t="str">
        <f>INDEX(Revenue_type,MATCH(C$44*1,type!$A$118:$A$168,0),8)</f>
        <v>אגרות</v>
      </c>
      <c r="D56" s="52" t="str">
        <f>INDEX(Revenue_type,MATCH(D$44*1,type!$A$118:$A$168,0),8)</f>
        <v>שירותים ושכר לימוד</v>
      </c>
      <c r="E56" s="52" t="str">
        <f>INDEX(Revenue_type,MATCH(E$44*1,type!$A$118:$A$168,0),8)</f>
        <v>הכנסות מרכוש ומפעלים</v>
      </c>
      <c r="F56" s="52" t="str">
        <f>INDEX(Revenue_type,MATCH(F$44*1,type!$A$118:$A$168,0),8)</f>
        <v>השתתפות מוסדות ותרומות</v>
      </c>
      <c r="G56" s="52" t="str">
        <f>INDEX(Revenue_type,MATCH(G$44*1,type!$A$118:$A$168,0),8)</f>
        <v>השתתפות משרדי ממשלה</v>
      </c>
      <c r="I56" s="52" t="str">
        <f>INDEX(Expenditure_type,MATCH(I$44*1,type!$A$2:$A$117,0),8)</f>
        <v>משכורות וש"ע לעובדים לפי תקן</v>
      </c>
      <c r="J56" s="52" t="str">
        <f>INDEX(Expenditure_type,MATCH(J$44*1,type!$A$2:$A$117,0),8)</f>
        <v>משכורות וש"ע לעובדים בלי תקן</v>
      </c>
      <c r="K56" s="52" t="str">
        <f>INDEX(Expenditure_type,MATCH(K$44*1,type!$A$2:$A$117,0),8)</f>
        <v>פנסיה ופיצויים</v>
      </c>
      <c r="L56" s="52" t="str">
        <f>INDEX(Expenditure_type,MATCH(L$44*1,type!$A$2:$A$117,0),8)</f>
        <v>אחזקת בינים ואספקת ציוד</v>
      </c>
      <c r="M56" s="52" t="str">
        <f>INDEX(Expenditure_type,MATCH(M$44*1,type!$A$2:$A$117,0),8)</f>
        <v>הוצאות מנהליות</v>
      </c>
      <c r="N56" s="52" t="str">
        <f>INDEX(Expenditure_type,MATCH(N$44*1,type!$A$2:$A$117,0),8)</f>
        <v>מימון ופירעון מלוות</v>
      </c>
      <c r="O56" s="52" t="str">
        <f>INDEX(Expenditure_type,MATCH(O$44*1,type!$A$2:$A$117,0),8)</f>
        <v>הוצאות לפעולות</v>
      </c>
      <c r="P56" s="52" t="str">
        <f>INDEX(Expenditure_type,MATCH(P$44*1,type!$A$2:$A$117,0),8)</f>
        <v>השתתפויות תמיכות ותרומות</v>
      </c>
      <c r="Q56" s="52" t="str">
        <f>INDEX(Expenditure_type,MATCH(Q$44*1,type!$A$2:$A$117,0),8)</f>
        <v>הוצאות חד פעמיות</v>
      </c>
    </row>
    <row r="57" spans="1:18">
      <c r="A57">
        <f>A46</f>
        <v>311</v>
      </c>
      <c r="B57" t="str">
        <f>B46</f>
        <v>מינהל החינוך</v>
      </c>
      <c r="C57" s="63">
        <f>SUMIFS('הצעת תקציב 2016'!$I$3:$I$7326,'הצעת תקציב 2016'!$P$3:$P$7326,$A57,'הצעת תקציב 2016'!$U$3:$U$7326,C$44)</f>
        <v>0</v>
      </c>
      <c r="D57" s="63">
        <f>SUMIFS('הצעת תקציב 2016'!$I$3:$I$7326,'הצעת תקציב 2016'!$P$3:$P$7326,$A57,'הצעת תקציב 2016'!$U$3:$U$7326,D$44)</f>
        <v>0</v>
      </c>
      <c r="E57" s="63">
        <f>SUMIFS('הצעת תקציב 2016'!$I$3:$I$7326,'הצעת תקציב 2016'!$P$3:$P$7326,$A57,'הצעת תקציב 2016'!$U$3:$U$7326,E$44)</f>
        <v>0</v>
      </c>
      <c r="F57" s="63">
        <f>SUMIFS('הצעת תקציב 2016'!$I$3:$I$7326,'הצעת תקציב 2016'!$P$3:$P$7326,$A57,'הצעת תקציב 2016'!$U$3:$U$7326,F$44)</f>
        <v>0</v>
      </c>
      <c r="G57" s="63">
        <f>SUMIFS('הצעת תקציב 2016'!$I$3:$I$7326,'הצעת תקציב 2016'!$P$3:$P$7326,$A57,'הצעת תקציב 2016'!$U$3:$U$7326,G$44)</f>
        <v>0</v>
      </c>
      <c r="I57" s="63">
        <f>SUMIFS('הצעת תקציב 2016'!$I$3:$I$7326,'הצעת תקציב 2016'!$P$3:$P$7326,$A57+500,'הצעת תקציב 2016'!$U$3:$U$7326,I$44)</f>
        <v>14175000</v>
      </c>
      <c r="J57" s="63">
        <f>SUMIFS('הצעת תקציב 2016'!$I$3:$I$7326,'הצעת תקציב 2016'!$P$3:$P$7326,$A57+500,'הצעת תקציב 2016'!$U$3:$U$7326,J$44)</f>
        <v>0</v>
      </c>
      <c r="K57" s="63">
        <f>SUMIFS('הצעת תקציב 2016'!$I$3:$I$7326,'הצעת תקציב 2016'!$P$3:$P$7326,$A57+500,'הצעת תקציב 2016'!$U$3:$U$7326,K$44)</f>
        <v>0</v>
      </c>
      <c r="L57" s="63">
        <f>SUMIFS('הצעת תקציב 2016'!$I$3:$I$7326,'הצעת תקציב 2016'!$P$3:$P$7326,$A57+500,'הצעת תקציב 2016'!$U$3:$U$7326,L$44)</f>
        <v>211300</v>
      </c>
      <c r="M57" s="63">
        <f>SUMIFS('הצעת תקציב 2016'!$I$3:$I$7326,'הצעת תקציב 2016'!$P$3:$P$7326,$A57+500,'הצעת תקציב 2016'!$U$3:$U$7326,M$44)</f>
        <v>490700</v>
      </c>
      <c r="N57" s="63">
        <f>SUMIFS('הצעת תקציב 2016'!$I$3:$I$7326,'הצעת תקציב 2016'!$P$3:$P$7326,$A57+500,'הצעת תקציב 2016'!$U$3:$U$7326,N$44)</f>
        <v>0</v>
      </c>
      <c r="O57" s="63">
        <f>SUMIFS('הצעת תקציב 2016'!$I$3:$I$7326,'הצעת תקציב 2016'!$P$3:$P$7326,$A57+500,'הצעת תקציב 2016'!$U$3:$U$7326,O$44)</f>
        <v>4495300</v>
      </c>
      <c r="P57" s="63">
        <f>SUMIFS('הצעת תקציב 2016'!$I$3:$I$7326,'הצעת תקציב 2016'!$P$3:$P$7326,$A57+500,'הצעת תקציב 2016'!$U$3:$U$7326,P$44)</f>
        <v>0</v>
      </c>
      <c r="Q57" s="63">
        <f>SUMIFS('הצעת תקציב 2016'!$I$3:$I$7326,'הצעת תקציב 2016'!$P$3:$P$7326,$A57+500,'הצעת תקציב 2016'!$U$3:$U$7326,Q$44)</f>
        <v>0</v>
      </c>
      <c r="R57" s="60">
        <f>SUM(I57:Q57)</f>
        <v>19372300</v>
      </c>
    </row>
    <row r="58" spans="1:18">
      <c r="A58">
        <f t="shared" ref="A58:B58" si="56">A47</f>
        <v>312</v>
      </c>
      <c r="B58" t="str">
        <f t="shared" si="56"/>
        <v>חינוך קדם יסודי</v>
      </c>
      <c r="C58" s="63">
        <f>SUMIFS('הצעת תקציב 2016'!$I$3:$I$7326,'הצעת תקציב 2016'!$P$3:$P$7326,$A58,'הצעת תקציב 2016'!$U$3:$U$7326,C$44)</f>
        <v>0</v>
      </c>
      <c r="D58" s="63">
        <f>SUMIFS('הצעת תקציב 2016'!$I$3:$I$7326,'הצעת תקציב 2016'!$P$3:$P$7326,$A58,'הצעת תקציב 2016'!$U$3:$U$7326,D$44)</f>
        <v>-2000000</v>
      </c>
      <c r="E58" s="63">
        <f>SUMIFS('הצעת תקציב 2016'!$I$3:$I$7326,'הצעת תקציב 2016'!$P$3:$P$7326,$A58,'הצעת תקציב 2016'!$U$3:$U$7326,E$44)</f>
        <v>0</v>
      </c>
      <c r="F58" s="63">
        <f>SUMIFS('הצעת תקציב 2016'!$I$3:$I$7326,'הצעת תקציב 2016'!$P$3:$P$7326,$A58,'הצעת תקציב 2016'!$U$3:$U$7326,F$44)</f>
        <v>-1000000</v>
      </c>
      <c r="G58" s="63">
        <f>SUMIFS('הצעת תקציב 2016'!$I$3:$I$7326,'הצעת תקציב 2016'!$P$3:$P$7326,$A58,'הצעת תקציב 2016'!$U$3:$U$7326,G$44)</f>
        <v>-61900000</v>
      </c>
      <c r="I58" s="63">
        <f>SUMIFS('הצעת תקציב 2016'!$I$3:$I$7326,'הצעת תקציב 2016'!$P$3:$P$7326,$A58+500,'הצעת תקציב 2016'!$U$3:$U$7326,I$44)</f>
        <v>42438000</v>
      </c>
      <c r="J58" s="63">
        <f>SUMIFS('הצעת תקציב 2016'!$I$3:$I$7326,'הצעת תקציב 2016'!$P$3:$P$7326,$A58+500,'הצעת תקציב 2016'!$U$3:$U$7326,J$44)</f>
        <v>0</v>
      </c>
      <c r="K58" s="63">
        <f>SUMIFS('הצעת תקציב 2016'!$I$3:$I$7326,'הצעת תקציב 2016'!$P$3:$P$7326,$A58+500,'הצעת תקציב 2016'!$U$3:$U$7326,K$44)</f>
        <v>0</v>
      </c>
      <c r="L58" s="63">
        <f>SUMIFS('הצעת תקציב 2016'!$I$3:$I$7326,'הצעת תקציב 2016'!$P$3:$P$7326,$A58+500,'הצעת תקציב 2016'!$U$3:$U$7326,L$44)</f>
        <v>2439000</v>
      </c>
      <c r="M58" s="63">
        <f>SUMIFS('הצעת תקציב 2016'!$I$3:$I$7326,'הצעת תקציב 2016'!$P$3:$P$7326,$A58+500,'הצעת תקציב 2016'!$U$3:$U$7326,M$44)</f>
        <v>864000</v>
      </c>
      <c r="N58" s="63">
        <f>SUMIFS('הצעת תקציב 2016'!$I$3:$I$7326,'הצעת תקציב 2016'!$P$3:$P$7326,$A58+500,'הצעת תקציב 2016'!$U$3:$U$7326,N$44)</f>
        <v>0</v>
      </c>
      <c r="O58" s="63">
        <f>SUMIFS('הצעת תקציב 2016'!$I$3:$I$7326,'הצעת תקציב 2016'!$P$3:$P$7326,$A58+500,'הצעת תקציב 2016'!$U$3:$U$7326,O$44)</f>
        <v>39004500</v>
      </c>
      <c r="P58" s="63">
        <f>SUMIFS('הצעת תקציב 2016'!$I$3:$I$7326,'הצעת תקציב 2016'!$P$3:$P$7326,$A58+500,'הצעת תקציב 2016'!$U$3:$U$7326,P$44)</f>
        <v>0</v>
      </c>
      <c r="Q58" s="63">
        <f>SUMIFS('הצעת תקציב 2016'!$I$3:$I$7326,'הצעת תקציב 2016'!$P$3:$P$7326,$A58+500,'הצעת תקציב 2016'!$U$3:$U$7326,Q$44)</f>
        <v>0</v>
      </c>
      <c r="R58" s="60">
        <f t="shared" ref="R58:R65" si="57">SUM(I58:Q58)</f>
        <v>84745500</v>
      </c>
    </row>
    <row r="59" spans="1:18">
      <c r="A59">
        <f t="shared" ref="A59:B59" si="58">A48</f>
        <v>313</v>
      </c>
      <c r="B59" t="str">
        <f t="shared" si="58"/>
        <v>חינוך יסודי</v>
      </c>
      <c r="C59" s="63">
        <f>SUMIFS('הצעת תקציב 2016'!$I$3:$I$7326,'הצעת תקציב 2016'!$P$3:$P$7326,$A59,'הצעת תקציב 2016'!$U$3:$U$7326,C$44)</f>
        <v>-1102500</v>
      </c>
      <c r="D59" s="63">
        <f>SUMIFS('הצעת תקציב 2016'!$I$3:$I$7326,'הצעת תקציב 2016'!$P$3:$P$7326,$A59,'הצעת תקציב 2016'!$U$3:$U$7326,D$44)</f>
        <v>-6000</v>
      </c>
      <c r="E59" s="63">
        <f>SUMIFS('הצעת תקציב 2016'!$I$3:$I$7326,'הצעת תקציב 2016'!$P$3:$P$7326,$A59,'הצעת תקציב 2016'!$U$3:$U$7326,E$44)</f>
        <v>0</v>
      </c>
      <c r="F59" s="63">
        <f>SUMIFS('הצעת תקציב 2016'!$I$3:$I$7326,'הצעת תקציב 2016'!$P$3:$P$7326,$A59,'הצעת תקציב 2016'!$U$3:$U$7326,F$44)</f>
        <v>-5545000</v>
      </c>
      <c r="G59" s="63">
        <f>SUMIFS('הצעת תקציב 2016'!$I$3:$I$7326,'הצעת תקציב 2016'!$P$3:$P$7326,$A59,'הצעת תקציב 2016'!$U$3:$U$7326,G$44)</f>
        <v>-68093500</v>
      </c>
      <c r="I59" s="63">
        <f>SUMIFS('הצעת תקציב 2016'!$I$3:$I$7326,'הצעת תקציב 2016'!$P$3:$P$7326,$A59+500,'הצעת תקציב 2016'!$U$3:$U$7326,I$44)</f>
        <v>90403200</v>
      </c>
      <c r="J59" s="63">
        <f>SUMIFS('הצעת תקציב 2016'!$I$3:$I$7326,'הצעת תקציב 2016'!$P$3:$P$7326,$A59+500,'הצעת תקציב 2016'!$U$3:$U$7326,J$44)</f>
        <v>13034400</v>
      </c>
      <c r="K59" s="63">
        <f>SUMIFS('הצעת תקציב 2016'!$I$3:$I$7326,'הצעת תקציב 2016'!$P$3:$P$7326,$A59+500,'הצעת תקציב 2016'!$U$3:$U$7326,K$44)</f>
        <v>0</v>
      </c>
      <c r="L59" s="63">
        <f>SUMIFS('הצעת תקציב 2016'!$I$3:$I$7326,'הצעת תקציב 2016'!$P$3:$P$7326,$A59+500,'הצעת תקציב 2016'!$U$3:$U$7326,L$44)</f>
        <v>5561700</v>
      </c>
      <c r="M59" s="63">
        <f>SUMIFS('הצעת תקציב 2016'!$I$3:$I$7326,'הצעת תקציב 2016'!$P$3:$P$7326,$A59+500,'הצעת תקציב 2016'!$U$3:$U$7326,M$44)</f>
        <v>8860400</v>
      </c>
      <c r="N59" s="63">
        <f>SUMIFS('הצעת תקציב 2016'!$I$3:$I$7326,'הצעת תקציב 2016'!$P$3:$P$7326,$A59+500,'הצעת תקציב 2016'!$U$3:$U$7326,N$44)</f>
        <v>0</v>
      </c>
      <c r="O59" s="63">
        <f>SUMIFS('הצעת תקציב 2016'!$I$3:$I$7326,'הצעת תקציב 2016'!$P$3:$P$7326,$A59+500,'הצעת תקציב 2016'!$U$3:$U$7326,O$44)</f>
        <v>14458900</v>
      </c>
      <c r="P59" s="63">
        <f>SUMIFS('הצעת תקציב 2016'!$I$3:$I$7326,'הצעת תקציב 2016'!$P$3:$P$7326,$A59+500,'הצעת תקציב 2016'!$U$3:$U$7326,P$44)</f>
        <v>1036800</v>
      </c>
      <c r="Q59" s="63">
        <f>SUMIFS('הצעת תקציב 2016'!$I$3:$I$7326,'הצעת תקציב 2016'!$P$3:$P$7326,$A59+500,'הצעת תקציב 2016'!$U$3:$U$7326,Q$44)</f>
        <v>0</v>
      </c>
      <c r="R59" s="60">
        <f t="shared" si="57"/>
        <v>133355400</v>
      </c>
    </row>
    <row r="60" spans="1:18">
      <c r="A60">
        <f t="shared" ref="A60:B60" si="59">A49</f>
        <v>314</v>
      </c>
      <c r="B60" t="str">
        <f t="shared" si="59"/>
        <v>חטיבות ביניים</v>
      </c>
      <c r="C60" s="63">
        <f>SUMIFS('הצעת תקציב 2016'!$I$3:$I$7326,'הצעת תקציב 2016'!$P$3:$P$7326,$A60,'הצעת תקציב 2016'!$U$3:$U$7326,C$44)</f>
        <v>0</v>
      </c>
      <c r="D60" s="63">
        <f>SUMIFS('הצעת תקציב 2016'!$I$3:$I$7326,'הצעת תקציב 2016'!$P$3:$P$7326,$A60,'הצעת תקציב 2016'!$U$3:$U$7326,D$44)</f>
        <v>0</v>
      </c>
      <c r="E60" s="63">
        <f>SUMIFS('הצעת תקציב 2016'!$I$3:$I$7326,'הצעת תקציב 2016'!$P$3:$P$7326,$A60,'הצעת תקציב 2016'!$U$3:$U$7326,E$44)</f>
        <v>0</v>
      </c>
      <c r="F60" s="63">
        <f>SUMIFS('הצעת תקציב 2016'!$I$3:$I$7326,'הצעת תקציב 2016'!$P$3:$P$7326,$A60,'הצעת תקציב 2016'!$U$3:$U$7326,F$44)</f>
        <v>0</v>
      </c>
      <c r="G60" s="63">
        <f>SUMIFS('הצעת תקציב 2016'!$I$3:$I$7326,'הצעת תקציב 2016'!$P$3:$P$7326,$A60,'הצעת תקציב 2016'!$U$3:$U$7326,G$44)</f>
        <v>0</v>
      </c>
      <c r="I60" s="63">
        <f>SUMIFS('הצעת תקציב 2016'!$I$3:$I$7326,'הצעת תקציב 2016'!$P$3:$P$7326,$A60+500,'הצעת תקציב 2016'!$U$3:$U$7326,I$44)</f>
        <v>0</v>
      </c>
      <c r="J60" s="63">
        <f>SUMIFS('הצעת תקציב 2016'!$I$3:$I$7326,'הצעת תקציב 2016'!$P$3:$P$7326,$A60+500,'הצעת תקציב 2016'!$U$3:$U$7326,J$44)</f>
        <v>0</v>
      </c>
      <c r="K60" s="63">
        <f>SUMIFS('הצעת תקציב 2016'!$I$3:$I$7326,'הצעת תקציב 2016'!$P$3:$P$7326,$A60+500,'הצעת תקציב 2016'!$U$3:$U$7326,K$44)</f>
        <v>0</v>
      </c>
      <c r="L60" s="63">
        <f>SUMIFS('הצעת תקציב 2016'!$I$3:$I$7326,'הצעת תקציב 2016'!$P$3:$P$7326,$A60+500,'הצעת תקציב 2016'!$U$3:$U$7326,L$44)</f>
        <v>0</v>
      </c>
      <c r="M60" s="63">
        <f>SUMIFS('הצעת תקציב 2016'!$I$3:$I$7326,'הצעת תקציב 2016'!$P$3:$P$7326,$A60+500,'הצעת תקציב 2016'!$U$3:$U$7326,M$44)</f>
        <v>0</v>
      </c>
      <c r="N60" s="63">
        <f>SUMIFS('הצעת תקציב 2016'!$I$3:$I$7326,'הצעת תקציב 2016'!$P$3:$P$7326,$A60+500,'הצעת תקציב 2016'!$U$3:$U$7326,N$44)</f>
        <v>0</v>
      </c>
      <c r="O60" s="63">
        <f>SUMIFS('הצעת תקציב 2016'!$I$3:$I$7326,'הצעת תקציב 2016'!$P$3:$P$7326,$A60+500,'הצעת תקציב 2016'!$U$3:$U$7326,O$44)</f>
        <v>0</v>
      </c>
      <c r="P60" s="63">
        <f>SUMIFS('הצעת תקציב 2016'!$I$3:$I$7326,'הצעת תקציב 2016'!$P$3:$P$7326,$A60+500,'הצעת תקציב 2016'!$U$3:$U$7326,P$44)</f>
        <v>0</v>
      </c>
      <c r="Q60" s="63">
        <f>SUMIFS('הצעת תקציב 2016'!$I$3:$I$7326,'הצעת תקציב 2016'!$P$3:$P$7326,$A60+500,'הצעת תקציב 2016'!$U$3:$U$7326,Q$44)</f>
        <v>0</v>
      </c>
      <c r="R60" s="60">
        <f t="shared" si="57"/>
        <v>0</v>
      </c>
    </row>
    <row r="61" spans="1:18">
      <c r="A61">
        <f t="shared" ref="A61:B62" si="60">A50</f>
        <v>315</v>
      </c>
      <c r="B61" t="str">
        <f t="shared" si="60"/>
        <v>חינוך על יסודי</v>
      </c>
      <c r="C61" s="63">
        <f>SUMIFS('הצעת תקציב 2016'!$I$3:$I$7326,'הצעת תקציב 2016'!$P$3:$P$7326,$A61,'הצעת תקציב 2016'!$U$3:$U$7326,C$44)</f>
        <v>-1300000</v>
      </c>
      <c r="D61" s="63">
        <f>SUMIFS('הצעת תקציב 2016'!$I$3:$I$7326,'הצעת תקציב 2016'!$P$3:$P$7326,$A61,'הצעת תקציב 2016'!$U$3:$U$7326,D$44)</f>
        <v>0</v>
      </c>
      <c r="E61" s="63">
        <f>SUMIFS('הצעת תקציב 2016'!$I$3:$I$7326,'הצעת תקציב 2016'!$P$3:$P$7326,$A61,'הצעת תקציב 2016'!$U$3:$U$7326,E$44)</f>
        <v>0</v>
      </c>
      <c r="F61" s="63">
        <f>SUMIFS('הצעת תקציב 2016'!$I$3:$I$7326,'הצעת תקציב 2016'!$P$3:$P$7326,$A61,'הצעת תקציב 2016'!$U$3:$U$7326,F$44)</f>
        <v>-6503000</v>
      </c>
      <c r="G61" s="63">
        <f>SUMIFS('הצעת תקציב 2016'!$I$3:$I$7326,'הצעת תקציב 2016'!$P$3:$P$7326,$A61,'הצעת תקציב 2016'!$U$3:$U$7326,G$44)</f>
        <v>-115206000</v>
      </c>
      <c r="I61" s="63">
        <f>SUMIFS('הצעת תקציב 2016'!$I$3:$I$7326,'הצעת תקציב 2016'!$P$3:$P$7326,$A61+500,'הצעת תקציב 2016'!$U$3:$U$7326,I$44)</f>
        <v>117869000</v>
      </c>
      <c r="J61" s="63">
        <f>SUMIFS('הצעת תקציב 2016'!$I$3:$I$7326,'הצעת תקציב 2016'!$P$3:$P$7326,$A61+500,'הצעת תקציב 2016'!$U$3:$U$7326,J$44)</f>
        <v>400000</v>
      </c>
      <c r="K61" s="63">
        <f>SUMIFS('הצעת תקציב 2016'!$I$3:$I$7326,'הצעת תקציב 2016'!$P$3:$P$7326,$A61+500,'הצעת תקציב 2016'!$U$3:$U$7326,K$44)</f>
        <v>0</v>
      </c>
      <c r="L61" s="63">
        <f>SUMIFS('הצעת תקציב 2016'!$I$3:$I$7326,'הצעת תקציב 2016'!$P$3:$P$7326,$A61+500,'הצעת תקציב 2016'!$U$3:$U$7326,L$44)</f>
        <v>3256900</v>
      </c>
      <c r="M61" s="63">
        <f>SUMIFS('הצעת תקציב 2016'!$I$3:$I$7326,'הצעת תקציב 2016'!$P$3:$P$7326,$A61+500,'הצעת תקציב 2016'!$U$3:$U$7326,M$44)</f>
        <v>6533100</v>
      </c>
      <c r="N61" s="63">
        <f>SUMIFS('הצעת תקציב 2016'!$I$3:$I$7326,'הצעת תקציב 2016'!$P$3:$P$7326,$A61+500,'הצעת תקציב 2016'!$U$3:$U$7326,N$44)</f>
        <v>0</v>
      </c>
      <c r="O61" s="63">
        <f>SUMIFS('הצעת תקציב 2016'!$I$3:$I$7326,'הצעת תקציב 2016'!$P$3:$P$7326,$A61+500,'הצעת תקציב 2016'!$U$3:$U$7326,O$44)</f>
        <v>23633100</v>
      </c>
      <c r="P61" s="63">
        <f>SUMIFS('הצעת תקציב 2016'!$I$3:$I$7326,'הצעת תקציב 2016'!$P$3:$P$7326,$A61+500,'הצעת תקציב 2016'!$U$3:$U$7326,P$44)</f>
        <v>2427300</v>
      </c>
      <c r="Q61" s="63">
        <f>SUMIFS('הצעת תקציב 2016'!$I$3:$I$7326,'הצעת תקציב 2016'!$P$3:$P$7326,$A61+500,'הצעת תקציב 2016'!$U$3:$U$7326,Q$44)</f>
        <v>0</v>
      </c>
      <c r="R61" s="60">
        <f t="shared" si="57"/>
        <v>154119400</v>
      </c>
    </row>
    <row r="62" spans="1:18">
      <c r="A62">
        <f t="shared" si="60"/>
        <v>316</v>
      </c>
      <c r="B62" t="str">
        <f t="shared" si="60"/>
        <v>חינוך גבוה</v>
      </c>
      <c r="C62" s="63">
        <f>SUMIFS('הצעת תקציב 2016'!$I$3:$I$7326,'הצעת תקציב 2016'!$P$3:$P$7326,$A62,'הצעת תקציב 2016'!$U$3:$U$7326,C$44)</f>
        <v>0</v>
      </c>
      <c r="D62" s="63">
        <f>SUMIFS('הצעת תקציב 2016'!$I$3:$I$7326,'הצעת תקציב 2016'!$P$3:$P$7326,$A62,'הצעת תקציב 2016'!$U$3:$U$7326,D$44)</f>
        <v>0</v>
      </c>
      <c r="E62" s="63">
        <f>SUMIFS('הצעת תקציב 2016'!$I$3:$I$7326,'הצעת תקציב 2016'!$P$3:$P$7326,$A62,'הצעת תקציב 2016'!$U$3:$U$7326,E$44)</f>
        <v>0</v>
      </c>
      <c r="F62" s="63">
        <f>SUMIFS('הצעת תקציב 2016'!$I$3:$I$7326,'הצעת תקציב 2016'!$P$3:$P$7326,$A62,'הצעת תקציב 2016'!$U$3:$U$7326,F$44)</f>
        <v>0</v>
      </c>
      <c r="G62" s="63">
        <f>SUMIFS('הצעת תקציב 2016'!$I$3:$I$7326,'הצעת תקציב 2016'!$P$3:$P$7326,$A62,'הצעת תקציב 2016'!$U$3:$U$7326,G$44)</f>
        <v>0</v>
      </c>
      <c r="I62" s="63">
        <f>SUMIFS('הצעת תקציב 2016'!$I$3:$I$7326,'הצעת תקציב 2016'!$P$3:$P$7326,$A62+500,'הצעת תקציב 2016'!$U$3:$U$7326,I$44)</f>
        <v>25500</v>
      </c>
      <c r="J62" s="63">
        <f>SUMIFS('הצעת תקציב 2016'!$I$3:$I$7326,'הצעת תקציב 2016'!$P$3:$P$7326,$A62+500,'הצעת תקציב 2016'!$U$3:$U$7326,J$44)</f>
        <v>1340500</v>
      </c>
      <c r="K62" s="63">
        <f>SUMIFS('הצעת תקציב 2016'!$I$3:$I$7326,'הצעת תקציב 2016'!$P$3:$P$7326,$A62+500,'הצעת תקציב 2016'!$U$3:$U$7326,K$44)</f>
        <v>0</v>
      </c>
      <c r="L62" s="63">
        <f>SUMIFS('הצעת תקציב 2016'!$I$3:$I$7326,'הצעת תקציב 2016'!$P$3:$P$7326,$A62+500,'הצעת תקציב 2016'!$U$3:$U$7326,L$44)</f>
        <v>0</v>
      </c>
      <c r="M62" s="63">
        <f>SUMIFS('הצעת תקציב 2016'!$I$3:$I$7326,'הצעת תקציב 2016'!$P$3:$P$7326,$A62+500,'הצעת תקציב 2016'!$U$3:$U$7326,M$44)</f>
        <v>0</v>
      </c>
      <c r="N62" s="63">
        <f>SUMIFS('הצעת תקציב 2016'!$I$3:$I$7326,'הצעת תקציב 2016'!$P$3:$P$7326,$A62+500,'הצעת תקציב 2016'!$U$3:$U$7326,N$44)</f>
        <v>0</v>
      </c>
      <c r="O62" s="63">
        <f>SUMIFS('הצעת תקציב 2016'!$I$3:$I$7326,'הצעת תקציב 2016'!$P$3:$P$7326,$A62+500,'הצעת תקציב 2016'!$U$3:$U$7326,O$44)</f>
        <v>3935300</v>
      </c>
      <c r="P62" s="63">
        <f>SUMIFS('הצעת תקציב 2016'!$I$3:$I$7326,'הצעת תקציב 2016'!$P$3:$P$7326,$A62+500,'הצעת תקציב 2016'!$U$3:$U$7326,P$44)</f>
        <v>5000000</v>
      </c>
      <c r="Q62" s="63">
        <f>SUMIFS('הצעת תקציב 2016'!$I$3:$I$7326,'הצעת תקציב 2016'!$P$3:$P$7326,$A62+500,'הצעת תקציב 2016'!$U$3:$U$7326,Q$44)</f>
        <v>0</v>
      </c>
      <c r="R62" s="60">
        <f t="shared" ref="R62" si="61">SUM(I62:Q62)</f>
        <v>10301300</v>
      </c>
    </row>
    <row r="63" spans="1:18">
      <c r="A63">
        <f t="shared" ref="A63:B63" si="62">A52</f>
        <v>317</v>
      </c>
      <c r="B63" t="str">
        <f t="shared" si="62"/>
        <v>שירותים נוספים לבתי״ס וגנ״י</v>
      </c>
      <c r="C63" s="63">
        <f>SUMIFS('הצעת תקציב 2016'!$I$3:$I$7326,'הצעת תקציב 2016'!$P$3:$P$7326,$A63,'הצעת תקציב 2016'!$U$3:$U$7326,C$44)</f>
        <v>-7150000</v>
      </c>
      <c r="D63" s="63">
        <f>SUMIFS('הצעת תקציב 2016'!$I$3:$I$7326,'הצעת תקציב 2016'!$P$3:$P$7326,$A63,'הצעת תקציב 2016'!$U$3:$U$7326,D$44)</f>
        <v>0</v>
      </c>
      <c r="E63" s="63">
        <f>SUMIFS('הצעת תקציב 2016'!$I$3:$I$7326,'הצעת תקציב 2016'!$P$3:$P$7326,$A63,'הצעת תקציב 2016'!$U$3:$U$7326,E$44)</f>
        <v>0</v>
      </c>
      <c r="F63" s="63">
        <f>SUMIFS('הצעת תקציב 2016'!$I$3:$I$7326,'הצעת תקציב 2016'!$P$3:$P$7326,$A63,'הצעת תקציב 2016'!$U$3:$U$7326,F$44)</f>
        <v>-805000</v>
      </c>
      <c r="G63" s="63">
        <f>SUMIFS('הצעת תקציב 2016'!$I$3:$I$7326,'הצעת תקציב 2016'!$P$3:$P$7326,$A63,'הצעת תקציב 2016'!$U$3:$U$7326,G$44)</f>
        <v>-22589000</v>
      </c>
      <c r="I63" s="63">
        <f>SUMIFS('הצעת תקציב 2016'!$I$3:$I$7326,'הצעת תקציב 2016'!$P$3:$P$7326,$A63+500,'הצעת תקציב 2016'!$U$3:$U$7326,I$44)</f>
        <v>11024300</v>
      </c>
      <c r="J63" s="63">
        <f>SUMIFS('הצעת תקציב 2016'!$I$3:$I$7326,'הצעת תקציב 2016'!$P$3:$P$7326,$A63+500,'הצעת תקציב 2016'!$U$3:$U$7326,J$44)</f>
        <v>857100</v>
      </c>
      <c r="K63" s="63">
        <f>SUMIFS('הצעת תקציב 2016'!$I$3:$I$7326,'הצעת תקציב 2016'!$P$3:$P$7326,$A63+500,'הצעת תקציב 2016'!$U$3:$U$7326,K$44)</f>
        <v>0</v>
      </c>
      <c r="L63" s="63">
        <f>SUMIFS('הצעת תקציב 2016'!$I$3:$I$7326,'הצעת תקציב 2016'!$P$3:$P$7326,$A63+500,'הצעת תקציב 2016'!$U$3:$U$7326,L$44)</f>
        <v>127400</v>
      </c>
      <c r="M63" s="63">
        <f>SUMIFS('הצעת תקציב 2016'!$I$3:$I$7326,'הצעת תקציב 2016'!$P$3:$P$7326,$A63+500,'הצעת תקציב 2016'!$U$3:$U$7326,M$44)</f>
        <v>999600</v>
      </c>
      <c r="N63" s="63">
        <f>SUMIFS('הצעת תקציב 2016'!$I$3:$I$7326,'הצעת תקציב 2016'!$P$3:$P$7326,$A63+500,'הצעת תקציב 2016'!$U$3:$U$7326,N$44)</f>
        <v>0</v>
      </c>
      <c r="O63" s="63">
        <f>SUMIFS('הצעת תקציב 2016'!$I$3:$I$7326,'הצעת תקציב 2016'!$P$3:$P$7326,$A63+500,'הצעת תקציב 2016'!$U$3:$U$7326,O$44)</f>
        <v>56320000</v>
      </c>
      <c r="P63" s="63">
        <f>SUMIFS('הצעת תקציב 2016'!$I$3:$I$7326,'הצעת תקציב 2016'!$P$3:$P$7326,$A63+500,'הצעת תקציב 2016'!$U$3:$U$7326,P$44)</f>
        <v>3140000</v>
      </c>
      <c r="Q63" s="63">
        <f>SUMIFS('הצעת תקציב 2016'!$I$3:$I$7326,'הצעת תקציב 2016'!$P$3:$P$7326,$A63+500,'הצעת תקציב 2016'!$U$3:$U$7326,Q$44)</f>
        <v>0</v>
      </c>
      <c r="R63" s="60">
        <f t="shared" si="57"/>
        <v>72468400</v>
      </c>
    </row>
    <row r="64" spans="1:18">
      <c r="A64">
        <f t="shared" ref="A64:B64" si="63">A53</f>
        <v>318</v>
      </c>
      <c r="B64" t="str">
        <f t="shared" si="63"/>
        <v>חינוך מבוגרים</v>
      </c>
      <c r="C64" s="63">
        <f>SUMIFS('הצעת תקציב 2016'!$I$3:$I$7326,'הצעת תקציב 2016'!$P$3:$P$7326,$A64,'הצעת תקציב 2016'!$U$3:$U$7326,C$44)</f>
        <v>0</v>
      </c>
      <c r="D64" s="63">
        <f>SUMIFS('הצעת תקציב 2016'!$I$3:$I$7326,'הצעת תקציב 2016'!$P$3:$P$7326,$A64,'הצעת תקציב 2016'!$U$3:$U$7326,D$44)</f>
        <v>0</v>
      </c>
      <c r="E64" s="63">
        <f>SUMIFS('הצעת תקציב 2016'!$I$3:$I$7326,'הצעת תקציב 2016'!$P$3:$P$7326,$A64,'הצעת תקציב 2016'!$U$3:$U$7326,E$44)</f>
        <v>0</v>
      </c>
      <c r="F64" s="63">
        <f>SUMIFS('הצעת תקציב 2016'!$I$3:$I$7326,'הצעת תקציב 2016'!$P$3:$P$7326,$A64,'הצעת תקציב 2016'!$U$3:$U$7326,F$44)</f>
        <v>0</v>
      </c>
      <c r="G64" s="63">
        <f>SUMIFS('הצעת תקציב 2016'!$I$3:$I$7326,'הצעת תקציב 2016'!$P$3:$P$7326,$A64,'הצעת תקציב 2016'!$U$3:$U$7326,G$44)</f>
        <v>0</v>
      </c>
      <c r="I64" s="63">
        <f>SUMIFS('הצעת תקציב 2016'!$I$3:$I$7326,'הצעת תקציב 2016'!$P$3:$P$7326,$A64+500,'הצעת תקציב 2016'!$U$3:$U$7326,I$44)</f>
        <v>4344000</v>
      </c>
      <c r="J64" s="63">
        <f>SUMIFS('הצעת תקציב 2016'!$I$3:$I$7326,'הצעת תקציב 2016'!$P$3:$P$7326,$A64+500,'הצעת תקציב 2016'!$U$3:$U$7326,J$44)</f>
        <v>350000</v>
      </c>
      <c r="K64" s="63">
        <f>SUMIFS('הצעת תקציב 2016'!$I$3:$I$7326,'הצעת תקציב 2016'!$P$3:$P$7326,$A64+500,'הצעת תקציב 2016'!$U$3:$U$7326,K$44)</f>
        <v>0</v>
      </c>
      <c r="L64" s="63">
        <f>SUMIFS('הצעת תקציב 2016'!$I$3:$I$7326,'הצעת תקציב 2016'!$P$3:$P$7326,$A64+500,'הצעת תקציב 2016'!$U$3:$U$7326,L$44)</f>
        <v>75000</v>
      </c>
      <c r="M64" s="63">
        <f>SUMIFS('הצעת תקציב 2016'!$I$3:$I$7326,'הצעת תקציב 2016'!$P$3:$P$7326,$A64+500,'הצעת תקציב 2016'!$U$3:$U$7326,M$44)</f>
        <v>140000</v>
      </c>
      <c r="N64" s="63">
        <f>SUMIFS('הצעת תקציב 2016'!$I$3:$I$7326,'הצעת תקציב 2016'!$P$3:$P$7326,$A64+500,'הצעת תקציב 2016'!$U$3:$U$7326,N$44)</f>
        <v>0</v>
      </c>
      <c r="O64" s="63">
        <f>SUMIFS('הצעת תקציב 2016'!$I$3:$I$7326,'הצעת תקציב 2016'!$P$3:$P$7326,$A64+500,'הצעת תקציב 2016'!$U$3:$U$7326,O$44)</f>
        <v>1966000</v>
      </c>
      <c r="P64" s="63">
        <f>SUMIFS('הצעת תקציב 2016'!$I$3:$I$7326,'הצעת תקציב 2016'!$P$3:$P$7326,$A64+500,'הצעת תקציב 2016'!$U$3:$U$7326,P$44)</f>
        <v>492800</v>
      </c>
      <c r="Q64" s="63">
        <f>SUMIFS('הצעת תקציב 2016'!$I$3:$I$7326,'הצעת תקציב 2016'!$P$3:$P$7326,$A64+500,'הצעת תקציב 2016'!$U$3:$U$7326,Q$44)</f>
        <v>0</v>
      </c>
      <c r="R64" s="60">
        <f t="shared" si="57"/>
        <v>7367800</v>
      </c>
    </row>
    <row r="65" spans="1:18">
      <c r="A65">
        <f t="shared" ref="A65:B65" si="64">A54</f>
        <v>319</v>
      </c>
      <c r="B65" t="str">
        <f t="shared" si="64"/>
        <v>שירותי חינוך מיוחדים</v>
      </c>
      <c r="C65" s="63">
        <f>SUMIFS('הצעת תקציב 2016'!$I$3:$I$7326,'הצעת תקציב 2016'!$P$3:$P$7326,$A65,'הצעת תקציב 2016'!$U$3:$U$7326,C$44)</f>
        <v>0</v>
      </c>
      <c r="D65" s="63">
        <f>SUMIFS('הצעת תקציב 2016'!$I$3:$I$7326,'הצעת תקציב 2016'!$P$3:$P$7326,$A65,'הצעת תקציב 2016'!$U$3:$U$7326,D$44)</f>
        <v>0</v>
      </c>
      <c r="E65" s="63">
        <f>SUMIFS('הצעת תקציב 2016'!$I$3:$I$7326,'הצעת תקציב 2016'!$P$3:$P$7326,$A65,'הצעת תקציב 2016'!$U$3:$U$7326,E$44)</f>
        <v>0</v>
      </c>
      <c r="F65" s="63">
        <f>SUMIFS('הצעת תקציב 2016'!$I$3:$I$7326,'הצעת תקציב 2016'!$P$3:$P$7326,$A65,'הצעת תקציב 2016'!$U$3:$U$7326,F$44)</f>
        <v>0</v>
      </c>
      <c r="G65" s="63">
        <f>SUMIFS('הצעת תקציב 2016'!$I$3:$I$7326,'הצעת תקציב 2016'!$P$3:$P$7326,$A65,'הצעת תקציב 2016'!$U$3:$U$7326,G$44)</f>
        <v>0</v>
      </c>
      <c r="I65" s="63">
        <f>SUMIFS('הצעת תקציב 2016'!$I$3:$I$7326,'הצעת תקציב 2016'!$P$3:$P$7326,$A65+500,'הצעת תקציב 2016'!$U$3:$U$7326,I$44)</f>
        <v>0</v>
      </c>
      <c r="J65" s="63">
        <f>SUMIFS('הצעת תקציב 2016'!$I$3:$I$7326,'הצעת תקציב 2016'!$P$3:$P$7326,$A65+500,'הצעת תקציב 2016'!$U$3:$U$7326,J$44)</f>
        <v>1286000</v>
      </c>
      <c r="K65" s="63">
        <f>SUMIFS('הצעת תקציב 2016'!$I$3:$I$7326,'הצעת תקציב 2016'!$P$3:$P$7326,$A65+500,'הצעת תקציב 2016'!$U$3:$U$7326,K$44)</f>
        <v>0</v>
      </c>
      <c r="L65" s="63">
        <f>SUMIFS('הצעת תקציב 2016'!$I$3:$I$7326,'הצעת תקציב 2016'!$P$3:$P$7326,$A65+500,'הצעת תקציב 2016'!$U$3:$U$7326,L$44)</f>
        <v>0</v>
      </c>
      <c r="M65" s="63">
        <f>SUMIFS('הצעת תקציב 2016'!$I$3:$I$7326,'הצעת תקציב 2016'!$P$3:$P$7326,$A65+500,'הצעת תקציב 2016'!$U$3:$U$7326,M$44)</f>
        <v>77000</v>
      </c>
      <c r="N65" s="63">
        <f>SUMIFS('הצעת תקציב 2016'!$I$3:$I$7326,'הצעת תקציב 2016'!$P$3:$P$7326,$A65+500,'הצעת תקציב 2016'!$U$3:$U$7326,N$44)</f>
        <v>0</v>
      </c>
      <c r="O65" s="63">
        <f>SUMIFS('הצעת תקציב 2016'!$I$3:$I$7326,'הצעת תקציב 2016'!$P$3:$P$7326,$A65+500,'הצעת תקציב 2016'!$U$3:$U$7326,O$44)</f>
        <v>0</v>
      </c>
      <c r="P65" s="63">
        <f>SUMIFS('הצעת תקציב 2016'!$I$3:$I$7326,'הצעת תקציב 2016'!$P$3:$P$7326,$A65+500,'הצעת תקציב 2016'!$U$3:$U$7326,P$44)</f>
        <v>0</v>
      </c>
      <c r="Q65" s="63">
        <f>SUMIFS('הצעת תקציב 2016'!$I$3:$I$7326,'הצעת תקציב 2016'!$P$3:$P$7326,$A65+500,'הצעת תקציב 2016'!$U$3:$U$7326,Q$44)</f>
        <v>0</v>
      </c>
      <c r="R65" s="60">
        <f t="shared" si="57"/>
        <v>1363000</v>
      </c>
    </row>
    <row r="66" spans="1:18">
      <c r="I66" s="63">
        <f>SUMIFS('הצעת תקציב 2016'!$I$3:$I$7326,'הצעת תקציב 2016'!$P$3:$P$7326,$A66+500,'הצעת תקציב 2016'!$U$3:$U$7326,I$44)</f>
        <v>0</v>
      </c>
      <c r="J66" s="63">
        <f>SUMIFS('הצעת תקציב 2016'!$I$3:$I$7326,'הצעת תקציב 2016'!$P$3:$P$7326,$A66+500,'הצעת תקציב 2016'!$U$3:$U$7326,J$44)</f>
        <v>0</v>
      </c>
      <c r="K66" s="63">
        <f>SUMIFS('הצעת תקציב 2016'!$I$3:$I$7326,'הצעת תקציב 2016'!$P$3:$P$7326,$A66+500,'הצעת תקציב 2016'!$U$3:$U$7326,K$44)</f>
        <v>0</v>
      </c>
      <c r="L66" s="63">
        <f>SUMIFS('הצעת תקציב 2016'!$I$3:$I$7326,'הצעת תקציב 2016'!$P$3:$P$7326,$A66+500,'הצעת תקציב 2016'!$U$3:$U$7326,L$44)</f>
        <v>0</v>
      </c>
      <c r="M66" s="63">
        <f>SUMIFS('הצעת תקציב 2016'!$I$3:$I$7326,'הצעת תקציב 2016'!$P$3:$P$7326,$A66+500,'הצעת תקציב 2016'!$U$3:$U$7326,M$44)</f>
        <v>0</v>
      </c>
      <c r="N66" s="63">
        <f>SUMIFS('הצעת תקציב 2016'!$I$3:$I$7326,'הצעת תקציב 2016'!$P$3:$P$7326,$A66+500,'הצעת תקציב 2016'!$U$3:$U$7326,N$44)</f>
        <v>0</v>
      </c>
      <c r="O66" s="63">
        <f>SUMIFS('הצעת תקציב 2016'!$I$3:$I$7326,'הצעת תקציב 2016'!$P$3:$P$7326,$A66+500,'הצעת תקציב 2016'!$U$3:$U$7326,O$44)</f>
        <v>0</v>
      </c>
      <c r="P66" s="63">
        <f>SUMIFS('הצעת תקציב 2016'!$I$3:$I$7326,'הצעת תקציב 2016'!$P$3:$P$7326,$A66+500,'הצעת תקציב 2016'!$U$3:$U$7326,P$44)</f>
        <v>0</v>
      </c>
      <c r="Q66" s="63">
        <f>SUMIFS('הצעת תקציב 2016'!$I$3:$I$7326,'הצעת תקציב 2016'!$P$3:$P$7326,$A66+500,'הצעת תקציב 2016'!$U$3:$U$7326,Q$44)</f>
        <v>0</v>
      </c>
    </row>
    <row r="67" spans="1:18" ht="45">
      <c r="A67" s="34"/>
      <c r="B67" s="52" t="s">
        <v>4687</v>
      </c>
      <c r="C67" s="52" t="str">
        <f>INDEX(Revenue_type,MATCH(C$44*1,type!$A$118:$A$168,0),8)</f>
        <v>אגרות</v>
      </c>
      <c r="D67" s="52" t="str">
        <f>INDEX(Revenue_type,MATCH(D$44*1,type!$A$118:$A$168,0),8)</f>
        <v>שירותים ושכר לימוד</v>
      </c>
      <c r="E67" s="52" t="str">
        <f>INDEX(Revenue_type,MATCH(E$44*1,type!$A$118:$A$168,0),8)</f>
        <v>הכנסות מרכוש ומפעלים</v>
      </c>
      <c r="F67" s="52" t="str">
        <f>INDEX(Revenue_type,MATCH(F$44*1,type!$A$118:$A$168,0),8)</f>
        <v>השתתפות מוסדות ותרומות</v>
      </c>
      <c r="G67" s="52" t="str">
        <f>INDEX(Revenue_type,MATCH(G$44*1,type!$A$118:$A$168,0),8)</f>
        <v>השתתפות משרדי ממשלה</v>
      </c>
      <c r="I67" s="52" t="str">
        <f>INDEX(Expenditure_type,MATCH(I$44*1,type!$A$2:$A$117,0),8)</f>
        <v>משכורות וש"ע לעובדים לפי תקן</v>
      </c>
      <c r="J67" s="52" t="str">
        <f>INDEX(Expenditure_type,MATCH(J$44*1,type!$A$2:$A$117,0),8)</f>
        <v>משכורות וש"ע לעובדים בלי תקן</v>
      </c>
      <c r="K67" s="52" t="str">
        <f>INDEX(Expenditure_type,MATCH(K$44*1,type!$A$2:$A$117,0),8)</f>
        <v>פנסיה ופיצויים</v>
      </c>
      <c r="L67" s="52" t="str">
        <f>INDEX(Expenditure_type,MATCH(L$44*1,type!$A$2:$A$117,0),8)</f>
        <v>אחזקת בינים ואספקת ציוד</v>
      </c>
      <c r="M67" s="52" t="str">
        <f>INDEX(Expenditure_type,MATCH(M$44*1,type!$A$2:$A$117,0),8)</f>
        <v>הוצאות מנהליות</v>
      </c>
      <c r="N67" s="52" t="str">
        <f>INDEX(Expenditure_type,MATCH(N$44*1,type!$A$2:$A$117,0),8)</f>
        <v>מימון ופירעון מלוות</v>
      </c>
      <c r="O67" s="52" t="str">
        <f>INDEX(Expenditure_type,MATCH(O$44*1,type!$A$2:$A$117,0),8)</f>
        <v>הוצאות לפעולות</v>
      </c>
      <c r="P67" s="52" t="str">
        <f>INDEX(Expenditure_type,MATCH(P$44*1,type!$A$2:$A$117,0),8)</f>
        <v>השתתפויות תמיכות ותרומות</v>
      </c>
      <c r="Q67" s="52" t="str">
        <f>INDEX(Expenditure_type,MATCH(Q$44*1,type!$A$2:$A$117,0),8)</f>
        <v>הוצאות חד פעמיות</v>
      </c>
    </row>
    <row r="68" spans="1:18">
      <c r="A68">
        <f>A57</f>
        <v>311</v>
      </c>
      <c r="B68" t="str">
        <f>B57</f>
        <v>מינהל החינוך</v>
      </c>
      <c r="C68" s="63">
        <f>SUMIFS('הצעת תקציב 2016'!$J$3:$J$7326,'הצעת תקציב 2016'!$P$3:$P$7326,$A68,'הצעת תקציב 2016'!$U$3:$U$7326,C$44)</f>
        <v>0</v>
      </c>
      <c r="D68" s="63">
        <f>SUMIFS('הצעת תקציב 2016'!$J$3:$J$7326,'הצעת תקציב 2016'!$P$3:$P$7326,$A68,'הצעת תקציב 2016'!$U$3:$U$7326,D$44)</f>
        <v>0</v>
      </c>
      <c r="E68" s="63">
        <f>SUMIFS('הצעת תקציב 2016'!$J$3:$J$7326,'הצעת תקציב 2016'!$P$3:$P$7326,$A68,'הצעת תקציב 2016'!$U$3:$U$7326,E$44)</f>
        <v>0</v>
      </c>
      <c r="F68" s="63">
        <f>SUMIFS('הצעת תקציב 2016'!$J$3:$J$7326,'הצעת תקציב 2016'!$P$3:$P$7326,$A68,'הצעת תקציב 2016'!$U$3:$U$7326,F$44)</f>
        <v>0</v>
      </c>
      <c r="G68" s="63">
        <f>SUMIFS('הצעת תקציב 2016'!$J$3:$J$7326,'הצעת תקציב 2016'!$P$3:$P$7326,$A68,'הצעת תקציב 2016'!$U$3:$U$7326,G$44)</f>
        <v>-72087</v>
      </c>
      <c r="I68" s="63">
        <f>SUMIFS('הצעת תקציב 2016'!$J$3:$J$7326,'הצעת תקציב 2016'!$P$3:$P$7326,$A68+500,'הצעת תקציב 2016'!$U$3:$U$7326,I$44)</f>
        <v>13802900</v>
      </c>
      <c r="J68" s="63">
        <f>SUMIFS('הצעת תקציב 2016'!$J$3:$J$7326,'הצעת תקציב 2016'!$P$3:$P$7326,$A68+500,'הצעת תקציב 2016'!$U$3:$U$7326,J$44)</f>
        <v>0</v>
      </c>
      <c r="K68" s="63">
        <f>SUMIFS('הצעת תקציב 2016'!$J$3:$J$7326,'הצעת תקציב 2016'!$P$3:$P$7326,$A68+500,'הצעת תקציב 2016'!$U$3:$U$7326,K$44)</f>
        <v>0</v>
      </c>
      <c r="L68" s="63">
        <f>SUMIFS('הצעת תקציב 2016'!$J$3:$J$7326,'הצעת תקציב 2016'!$P$3:$P$7326,$A68+500,'הצעת תקציב 2016'!$U$3:$U$7326,L$44)</f>
        <v>246400</v>
      </c>
      <c r="M68" s="63">
        <f>SUMIFS('הצעת תקציב 2016'!$J$3:$J$7326,'הצעת תקציב 2016'!$P$3:$P$7326,$A68+500,'הצעת תקציב 2016'!$U$3:$U$7326,M$44)</f>
        <v>431100</v>
      </c>
      <c r="N68" s="63">
        <f>SUMIFS('הצעת תקציב 2016'!$J$3:$J$7326,'הצעת תקציב 2016'!$P$3:$P$7326,$A68+500,'הצעת תקציב 2016'!$U$3:$U$7326,N$44)</f>
        <v>0</v>
      </c>
      <c r="O68" s="63">
        <f>SUMIFS('הצעת תקציב 2016'!$J$3:$J$7326,'הצעת תקציב 2016'!$P$3:$P$7326,$A68+500,'הצעת תקציב 2016'!$U$3:$U$7326,O$44)</f>
        <v>3543800</v>
      </c>
      <c r="P68" s="63">
        <f>SUMIFS('הצעת תקציב 2016'!$J$3:$J$7326,'הצעת תקציב 2016'!$P$3:$P$7326,$A68+500,'הצעת תקציב 2016'!$U$3:$U$7326,P$44)</f>
        <v>0</v>
      </c>
      <c r="Q68" s="63">
        <f>SUMIFS('הצעת תקציב 2016'!$J$3:$J$7326,'הצעת תקציב 2016'!$P$3:$P$7326,$A68+500,'הצעת תקציב 2016'!$U$3:$U$7326,Q$44)</f>
        <v>0</v>
      </c>
      <c r="R68" s="60">
        <f>SUM(I68:Q68)</f>
        <v>18024200</v>
      </c>
    </row>
    <row r="69" spans="1:18">
      <c r="A69">
        <f t="shared" ref="A69:B69" si="65">A58</f>
        <v>312</v>
      </c>
      <c r="B69" t="str">
        <f t="shared" si="65"/>
        <v>חינוך קדם יסודי</v>
      </c>
      <c r="C69" s="63">
        <f>SUMIFS('הצעת תקציב 2016'!$J$3:$J$7326,'הצעת תקציב 2016'!$P$3:$P$7326,$A69,'הצעת תקציב 2016'!$U$3:$U$7326,C$44)</f>
        <v>0</v>
      </c>
      <c r="D69" s="63">
        <f>SUMIFS('הצעת תקציב 2016'!$J$3:$J$7326,'הצעת תקציב 2016'!$P$3:$P$7326,$A69,'הצעת תקציב 2016'!$U$3:$U$7326,D$44)</f>
        <v>-2340748</v>
      </c>
      <c r="E69" s="63">
        <f>SUMIFS('הצעת תקציב 2016'!$J$3:$J$7326,'הצעת תקציב 2016'!$P$3:$P$7326,$A69,'הצעת תקציב 2016'!$U$3:$U$7326,E$44)</f>
        <v>0</v>
      </c>
      <c r="F69" s="63">
        <f>SUMIFS('הצעת תקציב 2016'!$J$3:$J$7326,'הצעת תקציב 2016'!$P$3:$P$7326,$A69,'הצעת תקציב 2016'!$U$3:$U$7326,F$44)</f>
        <v>-1035991</v>
      </c>
      <c r="G69" s="63">
        <f>SUMIFS('הצעת תקציב 2016'!$J$3:$J$7326,'הצעת תקציב 2016'!$P$3:$P$7326,$A69,'הצעת תקציב 2016'!$U$3:$U$7326,G$44)</f>
        <v>-60825664</v>
      </c>
      <c r="I69" s="63">
        <f>SUMIFS('הצעת תקציב 2016'!$J$3:$J$7326,'הצעת תקציב 2016'!$P$3:$P$7326,$A69+500,'הצעת תקציב 2016'!$U$3:$U$7326,I$44)</f>
        <v>38871900</v>
      </c>
      <c r="J69" s="63">
        <f>SUMIFS('הצעת תקציב 2016'!$J$3:$J$7326,'הצעת תקציב 2016'!$P$3:$P$7326,$A69+500,'הצעת תקציב 2016'!$U$3:$U$7326,J$44)</f>
        <v>0</v>
      </c>
      <c r="K69" s="63">
        <f>SUMIFS('הצעת תקציב 2016'!$J$3:$J$7326,'הצעת תקציב 2016'!$P$3:$P$7326,$A69+500,'הצעת תקציב 2016'!$U$3:$U$7326,K$44)</f>
        <v>0</v>
      </c>
      <c r="L69" s="63">
        <f>SUMIFS('הצעת תקציב 2016'!$J$3:$J$7326,'הצעת תקציב 2016'!$P$3:$P$7326,$A69+500,'הצעת תקציב 2016'!$U$3:$U$7326,L$44)</f>
        <v>2463500</v>
      </c>
      <c r="M69" s="63">
        <f>SUMIFS('הצעת תקציב 2016'!$J$3:$J$7326,'הצעת תקציב 2016'!$P$3:$P$7326,$A69+500,'הצעת תקציב 2016'!$U$3:$U$7326,M$44)</f>
        <v>673000</v>
      </c>
      <c r="N69" s="63">
        <f>SUMIFS('הצעת תקציב 2016'!$J$3:$J$7326,'הצעת תקציב 2016'!$P$3:$P$7326,$A69+500,'הצעת תקציב 2016'!$U$3:$U$7326,N$44)</f>
        <v>0</v>
      </c>
      <c r="O69" s="63">
        <f>SUMIFS('הצעת תקציב 2016'!$J$3:$J$7326,'הצעת תקציב 2016'!$P$3:$P$7326,$A69+500,'הצעת תקציב 2016'!$U$3:$U$7326,O$44)</f>
        <v>43046700</v>
      </c>
      <c r="P69" s="63">
        <f>SUMIFS('הצעת תקציב 2016'!$J$3:$J$7326,'הצעת תקציב 2016'!$P$3:$P$7326,$A69+500,'הצעת תקציב 2016'!$U$3:$U$7326,P$44)</f>
        <v>0</v>
      </c>
      <c r="Q69" s="63">
        <f>SUMIFS('הצעת תקציב 2016'!$J$3:$J$7326,'הצעת תקציב 2016'!$P$3:$P$7326,$A69+500,'הצעת תקציב 2016'!$U$3:$U$7326,Q$44)</f>
        <v>0</v>
      </c>
      <c r="R69" s="60">
        <f t="shared" ref="R69:R76" si="66">SUM(I69:Q69)</f>
        <v>85055100</v>
      </c>
    </row>
    <row r="70" spans="1:18">
      <c r="A70">
        <f t="shared" ref="A70:B70" si="67">A59</f>
        <v>313</v>
      </c>
      <c r="B70" t="str">
        <f t="shared" si="67"/>
        <v>חינוך יסודי</v>
      </c>
      <c r="C70" s="63">
        <f>SUMIFS('הצעת תקציב 2016'!$J$3:$J$7326,'הצעת תקציב 2016'!$P$3:$P$7326,$A70,'הצעת תקציב 2016'!$U$3:$U$7326,C$44)</f>
        <v>-962666</v>
      </c>
      <c r="D70" s="63">
        <f>SUMIFS('הצעת תקציב 2016'!$J$3:$J$7326,'הצעת תקציב 2016'!$P$3:$P$7326,$A70,'הצעת תקציב 2016'!$U$3:$U$7326,D$44)</f>
        <v>0</v>
      </c>
      <c r="E70" s="63">
        <f>SUMIFS('הצעת תקציב 2016'!$J$3:$J$7326,'הצעת תקציב 2016'!$P$3:$P$7326,$A70,'הצעת תקציב 2016'!$U$3:$U$7326,E$44)</f>
        <v>0</v>
      </c>
      <c r="F70" s="63">
        <f>SUMIFS('הצעת תקציב 2016'!$J$3:$J$7326,'הצעת תקציב 2016'!$P$3:$P$7326,$A70,'הצעת תקציב 2016'!$U$3:$U$7326,F$44)</f>
        <v>-4874695</v>
      </c>
      <c r="G70" s="63">
        <f>SUMIFS('הצעת תקציב 2016'!$J$3:$J$7326,'הצעת תקציב 2016'!$P$3:$P$7326,$A70,'הצעת תקציב 2016'!$U$3:$U$7326,G$44)</f>
        <v>-55356986</v>
      </c>
      <c r="I70" s="63">
        <f>SUMIFS('הצעת תקציב 2016'!$J$3:$J$7326,'הצעת תקציב 2016'!$P$3:$P$7326,$A70+500,'הצעת תקציב 2016'!$U$3:$U$7326,I$44)</f>
        <v>85428400</v>
      </c>
      <c r="J70" s="63">
        <f>SUMIFS('הצעת תקציב 2016'!$J$3:$J$7326,'הצעת תקציב 2016'!$P$3:$P$7326,$A70+500,'הצעת תקציב 2016'!$U$3:$U$7326,J$44)</f>
        <v>10062500</v>
      </c>
      <c r="K70" s="63">
        <f>SUMIFS('הצעת תקציב 2016'!$J$3:$J$7326,'הצעת תקציב 2016'!$P$3:$P$7326,$A70+500,'הצעת תקציב 2016'!$U$3:$U$7326,K$44)</f>
        <v>0</v>
      </c>
      <c r="L70" s="63">
        <f>SUMIFS('הצעת תקציב 2016'!$J$3:$J$7326,'הצעת תקציב 2016'!$P$3:$P$7326,$A70+500,'הצעת תקציב 2016'!$U$3:$U$7326,L$44)</f>
        <v>5939300</v>
      </c>
      <c r="M70" s="63">
        <f>SUMIFS('הצעת תקציב 2016'!$J$3:$J$7326,'הצעת תקציב 2016'!$P$3:$P$7326,$A70+500,'הצעת תקציב 2016'!$U$3:$U$7326,M$44)</f>
        <v>7725500</v>
      </c>
      <c r="N70" s="63">
        <f>SUMIFS('הצעת תקציב 2016'!$J$3:$J$7326,'הצעת תקציב 2016'!$P$3:$P$7326,$A70+500,'הצעת תקציב 2016'!$U$3:$U$7326,N$44)</f>
        <v>0</v>
      </c>
      <c r="O70" s="63">
        <f>SUMIFS('הצעת תקציב 2016'!$J$3:$J$7326,'הצעת תקציב 2016'!$P$3:$P$7326,$A70+500,'הצעת תקציב 2016'!$U$3:$U$7326,O$44)</f>
        <v>9376400</v>
      </c>
      <c r="P70" s="63">
        <f>SUMIFS('הצעת תקציב 2016'!$J$3:$J$7326,'הצעת תקציב 2016'!$P$3:$P$7326,$A70+500,'הצעת תקציב 2016'!$U$3:$U$7326,P$44)</f>
        <v>762000</v>
      </c>
      <c r="Q70" s="63">
        <f>SUMIFS('הצעת תקציב 2016'!$J$3:$J$7326,'הצעת תקציב 2016'!$P$3:$P$7326,$A70+500,'הצעת תקציב 2016'!$U$3:$U$7326,Q$44)</f>
        <v>0</v>
      </c>
      <c r="R70" s="60">
        <f t="shared" si="66"/>
        <v>119294100</v>
      </c>
    </row>
    <row r="71" spans="1:18">
      <c r="A71">
        <f t="shared" ref="A71:B73" si="68">A60</f>
        <v>314</v>
      </c>
      <c r="B71" t="str">
        <f t="shared" si="68"/>
        <v>חטיבות ביניים</v>
      </c>
      <c r="C71" s="63">
        <f>SUMIFS('הצעת תקציב 2016'!$J$3:$J$7326,'הצעת תקציב 2016'!$P$3:$P$7326,$A71,'הצעת תקציב 2016'!$U$3:$U$7326,C$44)</f>
        <v>0</v>
      </c>
      <c r="D71" s="63">
        <f>SUMIFS('הצעת תקציב 2016'!$J$3:$J$7326,'הצעת תקציב 2016'!$P$3:$P$7326,$A71,'הצעת תקציב 2016'!$U$3:$U$7326,D$44)</f>
        <v>0</v>
      </c>
      <c r="E71" s="63">
        <f>SUMIFS('הצעת תקציב 2016'!$J$3:$J$7326,'הצעת תקציב 2016'!$P$3:$P$7326,$A71,'הצעת תקציב 2016'!$U$3:$U$7326,E$44)</f>
        <v>0</v>
      </c>
      <c r="F71" s="63">
        <f>SUMIFS('הצעת תקציב 2016'!$J$3:$J$7326,'הצעת תקציב 2016'!$P$3:$P$7326,$A71,'הצעת תקציב 2016'!$U$3:$U$7326,F$44)</f>
        <v>0</v>
      </c>
      <c r="G71" s="63">
        <f>SUMIFS('הצעת תקציב 2016'!$J$3:$J$7326,'הצעת תקציב 2016'!$P$3:$P$7326,$A71,'הצעת תקציב 2016'!$U$3:$U$7326,G$44)</f>
        <v>0</v>
      </c>
      <c r="I71" s="63">
        <f>SUMIFS('הצעת תקציב 2016'!$J$3:$J$7326,'הצעת תקציב 2016'!$P$3:$P$7326,$A71+500,'הצעת תקציב 2016'!$U$3:$U$7326,I$44)</f>
        <v>0</v>
      </c>
      <c r="J71" s="63">
        <f>SUMIFS('הצעת תקציב 2016'!$J$3:$J$7326,'הצעת תקציב 2016'!$P$3:$P$7326,$A71+500,'הצעת תקציב 2016'!$U$3:$U$7326,J$44)</f>
        <v>0</v>
      </c>
      <c r="K71" s="63">
        <f>SUMIFS('הצעת תקציב 2016'!$J$3:$J$7326,'הצעת תקציב 2016'!$P$3:$P$7326,$A71+500,'הצעת תקציב 2016'!$U$3:$U$7326,K$44)</f>
        <v>0</v>
      </c>
      <c r="L71" s="63">
        <f>SUMIFS('הצעת תקציב 2016'!$J$3:$J$7326,'הצעת תקציב 2016'!$P$3:$P$7326,$A71+500,'הצעת תקציב 2016'!$U$3:$U$7326,L$44)</f>
        <v>0</v>
      </c>
      <c r="M71" s="63">
        <f>SUMIFS('הצעת תקציב 2016'!$J$3:$J$7326,'הצעת תקציב 2016'!$P$3:$P$7326,$A71+500,'הצעת תקציב 2016'!$U$3:$U$7326,M$44)</f>
        <v>0</v>
      </c>
      <c r="N71" s="63">
        <f>SUMIFS('הצעת תקציב 2016'!$J$3:$J$7326,'הצעת תקציב 2016'!$P$3:$P$7326,$A71+500,'הצעת תקציב 2016'!$U$3:$U$7326,N$44)</f>
        <v>0</v>
      </c>
      <c r="O71" s="63">
        <f>SUMIFS('הצעת תקציב 2016'!$J$3:$J$7326,'הצעת תקציב 2016'!$P$3:$P$7326,$A71+500,'הצעת תקציב 2016'!$U$3:$U$7326,O$44)</f>
        <v>0</v>
      </c>
      <c r="P71" s="63">
        <f>SUMIFS('הצעת תקציב 2016'!$J$3:$J$7326,'הצעת תקציב 2016'!$P$3:$P$7326,$A71+500,'הצעת תקציב 2016'!$U$3:$U$7326,P$44)</f>
        <v>0</v>
      </c>
      <c r="Q71" s="63">
        <f>SUMIFS('הצעת תקציב 2016'!$J$3:$J$7326,'הצעת תקציב 2016'!$P$3:$P$7326,$A71+500,'הצעת תקציב 2016'!$U$3:$U$7326,Q$44)</f>
        <v>0</v>
      </c>
      <c r="R71" s="60">
        <f t="shared" si="66"/>
        <v>0</v>
      </c>
    </row>
    <row r="72" spans="1:18">
      <c r="A72">
        <f t="shared" ref="A72:B73" si="69">A61</f>
        <v>315</v>
      </c>
      <c r="B72" t="str">
        <f t="shared" si="69"/>
        <v>חינוך על יסודי</v>
      </c>
      <c r="C72" s="63">
        <f>SUMIFS('הצעת תקציב 2016'!$J$3:$J$7326,'הצעת תקציב 2016'!$P$3:$P$7326,$A72,'הצעת תקציב 2016'!$U$3:$U$7326,C$44)</f>
        <v>-935000</v>
      </c>
      <c r="D72" s="63">
        <f>SUMIFS('הצעת תקציב 2016'!$J$3:$J$7326,'הצעת תקציב 2016'!$P$3:$P$7326,$A72,'הצעת תקציב 2016'!$U$3:$U$7326,D$44)</f>
        <v>-50940</v>
      </c>
      <c r="E72" s="63">
        <f>SUMIFS('הצעת תקציב 2016'!$J$3:$J$7326,'הצעת תקציב 2016'!$P$3:$P$7326,$A72,'הצעת תקציב 2016'!$U$3:$U$7326,E$44)</f>
        <v>0</v>
      </c>
      <c r="F72" s="63">
        <f>SUMIFS('הצעת תקציב 2016'!$J$3:$J$7326,'הצעת תקציב 2016'!$P$3:$P$7326,$A72,'הצעת תקציב 2016'!$U$3:$U$7326,F$44)</f>
        <v>-3910503</v>
      </c>
      <c r="G72" s="63">
        <f>SUMIFS('הצעת תקציב 2016'!$J$3:$J$7326,'הצעת תקציב 2016'!$P$3:$P$7326,$A72,'הצעת תקציב 2016'!$U$3:$U$7326,G$44)</f>
        <v>-113957795</v>
      </c>
      <c r="I72" s="63">
        <f>SUMIFS('הצעת תקציב 2016'!$J$3:$J$7326,'הצעת תקציב 2016'!$P$3:$P$7326,$A72+500,'הצעת תקציב 2016'!$U$3:$U$7326,I$44)</f>
        <v>110554600</v>
      </c>
      <c r="J72" s="63">
        <f>SUMIFS('הצעת תקציב 2016'!$J$3:$J$7326,'הצעת תקציב 2016'!$P$3:$P$7326,$A72+500,'הצעת תקציב 2016'!$U$3:$U$7326,J$44)</f>
        <v>0</v>
      </c>
      <c r="K72" s="63">
        <f>SUMIFS('הצעת תקציב 2016'!$J$3:$J$7326,'הצעת תקציב 2016'!$P$3:$P$7326,$A72+500,'הצעת תקציב 2016'!$U$3:$U$7326,K$44)</f>
        <v>0</v>
      </c>
      <c r="L72" s="63">
        <f>SUMIFS('הצעת תקציב 2016'!$J$3:$J$7326,'הצעת תקציב 2016'!$P$3:$P$7326,$A72+500,'הצעת תקציב 2016'!$U$3:$U$7326,L$44)</f>
        <v>4137900</v>
      </c>
      <c r="M72" s="63">
        <f>SUMIFS('הצעת תקציב 2016'!$J$3:$J$7326,'הצעת תקציב 2016'!$P$3:$P$7326,$A72+500,'הצעת תקציב 2016'!$U$3:$U$7326,M$44)</f>
        <v>4991500</v>
      </c>
      <c r="N72" s="63">
        <f>SUMIFS('הצעת תקציב 2016'!$J$3:$J$7326,'הצעת תקציב 2016'!$P$3:$P$7326,$A72+500,'הצעת תקציב 2016'!$U$3:$U$7326,N$44)</f>
        <v>0</v>
      </c>
      <c r="O72" s="63">
        <f>SUMIFS('הצעת תקציב 2016'!$J$3:$J$7326,'הצעת תקציב 2016'!$P$3:$P$7326,$A72+500,'הצעת תקציב 2016'!$U$3:$U$7326,O$44)</f>
        <v>22088600</v>
      </c>
      <c r="P72" s="63">
        <f>SUMIFS('הצעת תקציב 2016'!$J$3:$J$7326,'הצעת תקציב 2016'!$P$3:$P$7326,$A72+500,'הצעת תקציב 2016'!$U$3:$U$7326,P$44)</f>
        <v>2270200</v>
      </c>
      <c r="Q72" s="63">
        <f>SUMIFS('הצעת תקציב 2016'!$J$3:$J$7326,'הצעת תקציב 2016'!$P$3:$P$7326,$A72+500,'הצעת תקציב 2016'!$U$3:$U$7326,Q$44)</f>
        <v>0</v>
      </c>
      <c r="R72" s="60">
        <f t="shared" si="66"/>
        <v>144042800</v>
      </c>
    </row>
    <row r="73" spans="1:18">
      <c r="A73">
        <f t="shared" si="69"/>
        <v>316</v>
      </c>
      <c r="B73" t="str">
        <f t="shared" si="68"/>
        <v>חינוך גבוה</v>
      </c>
      <c r="C73" s="63">
        <f>SUMIFS('הצעת תקציב 2016'!$J$3:$J$7326,'הצעת תקציב 2016'!$P$3:$P$7326,$A73,'הצעת תקציב 2016'!$U$3:$U$7326,C$44)</f>
        <v>0</v>
      </c>
      <c r="D73" s="63">
        <f>SUMIFS('הצעת תקציב 2016'!$J$3:$J$7326,'הצעת תקציב 2016'!$P$3:$P$7326,$A73,'הצעת תקציב 2016'!$U$3:$U$7326,D$44)</f>
        <v>0</v>
      </c>
      <c r="E73" s="63">
        <f>SUMIFS('הצעת תקציב 2016'!$J$3:$J$7326,'הצעת תקציב 2016'!$P$3:$P$7326,$A73,'הצעת תקציב 2016'!$U$3:$U$7326,E$44)</f>
        <v>0</v>
      </c>
      <c r="F73" s="63">
        <f>SUMIFS('הצעת תקציב 2016'!$J$3:$J$7326,'הצעת תקציב 2016'!$P$3:$P$7326,$A73,'הצעת תקציב 2016'!$U$3:$U$7326,F$44)</f>
        <v>0</v>
      </c>
      <c r="G73" s="63">
        <f>SUMIFS('הצעת תקציב 2016'!$J$3:$J$7326,'הצעת תקציב 2016'!$P$3:$P$7326,$A73,'הצעת תקציב 2016'!$U$3:$U$7326,G$44)</f>
        <v>0</v>
      </c>
      <c r="I73" s="63">
        <f>SUMIFS('הצעת תקציב 2016'!$J$3:$J$7326,'הצעת תקציב 2016'!$P$3:$P$7326,$A73+500,'הצעת תקציב 2016'!$U$3:$U$7326,I$44)</f>
        <v>34900</v>
      </c>
      <c r="J73" s="63">
        <f>SUMIFS('הצעת תקציב 2016'!$J$3:$J$7326,'הצעת תקציב 2016'!$P$3:$P$7326,$A73+500,'הצעת תקציב 2016'!$U$3:$U$7326,J$44)</f>
        <v>1194900</v>
      </c>
      <c r="K73" s="63">
        <f>SUMIFS('הצעת תקציב 2016'!$J$3:$J$7326,'הצעת תקציב 2016'!$P$3:$P$7326,$A73+500,'הצעת תקציב 2016'!$U$3:$U$7326,K$44)</f>
        <v>0</v>
      </c>
      <c r="L73" s="63">
        <f>SUMIFS('הצעת תקציב 2016'!$J$3:$J$7326,'הצעת תקציב 2016'!$P$3:$P$7326,$A73+500,'הצעת תקציב 2016'!$U$3:$U$7326,L$44)</f>
        <v>0</v>
      </c>
      <c r="M73" s="63">
        <f>SUMIFS('הצעת תקציב 2016'!$J$3:$J$7326,'הצעת תקציב 2016'!$P$3:$P$7326,$A73+500,'הצעת תקציב 2016'!$U$3:$U$7326,M$44)</f>
        <v>0</v>
      </c>
      <c r="N73" s="63">
        <f>SUMIFS('הצעת תקציב 2016'!$J$3:$J$7326,'הצעת תקציב 2016'!$P$3:$P$7326,$A73+500,'הצעת תקציב 2016'!$U$3:$U$7326,N$44)</f>
        <v>0</v>
      </c>
      <c r="O73" s="63">
        <f>SUMIFS('הצעת תקציב 2016'!$J$3:$J$7326,'הצעת תקציב 2016'!$P$3:$P$7326,$A73+500,'הצעת תקציב 2016'!$U$3:$U$7326,O$44)</f>
        <v>2621800</v>
      </c>
      <c r="P73" s="63">
        <f>SUMIFS('הצעת תקציב 2016'!$J$3:$J$7326,'הצעת תקציב 2016'!$P$3:$P$7326,$A73+500,'הצעת תקציב 2016'!$U$3:$U$7326,P$44)</f>
        <v>610400</v>
      </c>
      <c r="Q73" s="63">
        <f>SUMIFS('הצעת תקציב 2016'!$J$3:$J$7326,'הצעת תקציב 2016'!$P$3:$P$7326,$A73+500,'הצעת תקציב 2016'!$U$3:$U$7326,Q$44)</f>
        <v>0</v>
      </c>
      <c r="R73" s="60">
        <f t="shared" ref="R73" si="70">SUM(I73:Q73)</f>
        <v>4462000</v>
      </c>
    </row>
    <row r="74" spans="1:18">
      <c r="A74">
        <f t="shared" ref="A74:B74" si="71">A63</f>
        <v>317</v>
      </c>
      <c r="B74" t="str">
        <f t="shared" si="71"/>
        <v>שירותים נוספים לבתי״ס וגנ״י</v>
      </c>
      <c r="C74" s="63">
        <f>SUMIFS('הצעת תקציב 2016'!$J$3:$J$7326,'הצעת תקציב 2016'!$P$3:$P$7326,$A74,'הצעת תקציב 2016'!$U$3:$U$7326,C$44)</f>
        <v>-9187108</v>
      </c>
      <c r="D74" s="63">
        <f>SUMIFS('הצעת תקציב 2016'!$J$3:$J$7326,'הצעת תקציב 2016'!$P$3:$P$7326,$A74,'הצעת תקציב 2016'!$U$3:$U$7326,D$44)</f>
        <v>0</v>
      </c>
      <c r="E74" s="63">
        <f>SUMIFS('הצעת תקציב 2016'!$J$3:$J$7326,'הצעת תקציב 2016'!$P$3:$P$7326,$A74,'הצעת תקציב 2016'!$U$3:$U$7326,E$44)</f>
        <v>0</v>
      </c>
      <c r="F74" s="63">
        <f>SUMIFS('הצעת תקציב 2016'!$J$3:$J$7326,'הצעת תקציב 2016'!$P$3:$P$7326,$A74,'הצעת תקציב 2016'!$U$3:$U$7326,F$44)</f>
        <v>-213783</v>
      </c>
      <c r="G74" s="63">
        <f>SUMIFS('הצעת תקציב 2016'!$J$3:$J$7326,'הצעת תקציב 2016'!$P$3:$P$7326,$A74,'הצעת תקציב 2016'!$U$3:$U$7326,G$44)</f>
        <v>-25290479</v>
      </c>
      <c r="I74" s="63">
        <f>SUMIFS('הצעת תקציב 2016'!$J$3:$J$7326,'הצעת תקציב 2016'!$P$3:$P$7326,$A74+500,'הצעת תקציב 2016'!$U$3:$U$7326,I$44)</f>
        <v>11131100</v>
      </c>
      <c r="J74" s="63">
        <f>SUMIFS('הצעת תקציב 2016'!$J$3:$J$7326,'הצעת תקציב 2016'!$P$3:$P$7326,$A74+500,'הצעת תקציב 2016'!$U$3:$U$7326,J$44)</f>
        <v>449800</v>
      </c>
      <c r="K74" s="63">
        <f>SUMIFS('הצעת תקציב 2016'!$J$3:$J$7326,'הצעת תקציב 2016'!$P$3:$P$7326,$A74+500,'הצעת תקציב 2016'!$U$3:$U$7326,K$44)</f>
        <v>0</v>
      </c>
      <c r="L74" s="63">
        <f>SUMIFS('הצעת תקציב 2016'!$J$3:$J$7326,'הצעת תקציב 2016'!$P$3:$P$7326,$A74+500,'הצעת תקציב 2016'!$U$3:$U$7326,L$44)</f>
        <v>132400</v>
      </c>
      <c r="M74" s="63">
        <f>SUMIFS('הצעת תקציב 2016'!$J$3:$J$7326,'הצעת תקציב 2016'!$P$3:$P$7326,$A74+500,'הצעת תקציב 2016'!$U$3:$U$7326,M$44)</f>
        <v>948300</v>
      </c>
      <c r="N74" s="63">
        <f>SUMIFS('הצעת תקציב 2016'!$J$3:$J$7326,'הצעת תקציב 2016'!$P$3:$P$7326,$A74+500,'הצעת תקציב 2016'!$U$3:$U$7326,N$44)</f>
        <v>0</v>
      </c>
      <c r="O74" s="63">
        <f>SUMIFS('הצעת תקציב 2016'!$J$3:$J$7326,'הצעת תקציב 2016'!$P$3:$P$7326,$A74+500,'הצעת תקציב 2016'!$U$3:$U$7326,O$44)</f>
        <v>51708400</v>
      </c>
      <c r="P74" s="63">
        <f>SUMIFS('הצעת תקציב 2016'!$J$3:$J$7326,'הצעת תקציב 2016'!$P$3:$P$7326,$A74+500,'הצעת תקציב 2016'!$U$3:$U$7326,P$44)</f>
        <v>1774900</v>
      </c>
      <c r="Q74" s="63">
        <f>SUMIFS('הצעת תקציב 2016'!$J$3:$J$7326,'הצעת תקציב 2016'!$P$3:$P$7326,$A74+500,'הצעת תקציב 2016'!$U$3:$U$7326,Q$44)</f>
        <v>0</v>
      </c>
      <c r="R74" s="60">
        <f t="shared" si="66"/>
        <v>66144900</v>
      </c>
    </row>
    <row r="75" spans="1:18">
      <c r="A75">
        <f t="shared" ref="A75:B75" si="72">A64</f>
        <v>318</v>
      </c>
      <c r="B75" t="str">
        <f t="shared" si="72"/>
        <v>חינוך מבוגרים</v>
      </c>
      <c r="C75" s="63">
        <f>SUMIFS('הצעת תקציב 2016'!$J$3:$J$7326,'הצעת תקציב 2016'!$P$3:$P$7326,$A75,'הצעת תקציב 2016'!$U$3:$U$7326,C$44)</f>
        <v>0</v>
      </c>
      <c r="D75" s="63">
        <f>SUMIFS('הצעת תקציב 2016'!$J$3:$J$7326,'הצעת תקציב 2016'!$P$3:$P$7326,$A75,'הצעת תקציב 2016'!$U$3:$U$7326,D$44)</f>
        <v>0</v>
      </c>
      <c r="E75" s="63">
        <f>SUMIFS('הצעת תקציב 2016'!$J$3:$J$7326,'הצעת תקציב 2016'!$P$3:$P$7326,$A75,'הצעת תקציב 2016'!$U$3:$U$7326,E$44)</f>
        <v>0</v>
      </c>
      <c r="F75" s="63">
        <f>SUMIFS('הצעת תקציב 2016'!$J$3:$J$7326,'הצעת תקציב 2016'!$P$3:$P$7326,$A75,'הצעת תקציב 2016'!$U$3:$U$7326,F$44)</f>
        <v>0</v>
      </c>
      <c r="G75" s="63">
        <f>SUMIFS('הצעת תקציב 2016'!$J$3:$J$7326,'הצעת תקציב 2016'!$P$3:$P$7326,$A75,'הצעת תקציב 2016'!$U$3:$U$7326,G$44)</f>
        <v>0</v>
      </c>
      <c r="I75" s="63">
        <f>SUMIFS('הצעת תקציב 2016'!$J$3:$J$7326,'הצעת תקציב 2016'!$P$3:$P$7326,$A75+500,'הצעת תקציב 2016'!$U$3:$U$7326,I$44)</f>
        <v>4121200</v>
      </c>
      <c r="J75" s="63">
        <f>SUMIFS('הצעת תקציב 2016'!$J$3:$J$7326,'הצעת תקציב 2016'!$P$3:$P$7326,$A75+500,'הצעת תקציב 2016'!$U$3:$U$7326,J$44)</f>
        <v>455900</v>
      </c>
      <c r="K75" s="63">
        <f>SUMIFS('הצעת תקציב 2016'!$J$3:$J$7326,'הצעת תקציב 2016'!$P$3:$P$7326,$A75+500,'הצעת תקציב 2016'!$U$3:$U$7326,K$44)</f>
        <v>0</v>
      </c>
      <c r="L75" s="63">
        <f>SUMIFS('הצעת תקציב 2016'!$J$3:$J$7326,'הצעת תקציב 2016'!$P$3:$P$7326,$A75+500,'הצעת תקציב 2016'!$U$3:$U$7326,L$44)</f>
        <v>89200</v>
      </c>
      <c r="M75" s="63">
        <f>SUMIFS('הצעת תקציב 2016'!$J$3:$J$7326,'הצעת תקציב 2016'!$P$3:$P$7326,$A75+500,'הצעת תקציב 2016'!$U$3:$U$7326,M$44)</f>
        <v>7500</v>
      </c>
      <c r="N75" s="63">
        <f>SUMIFS('הצעת תקציב 2016'!$J$3:$J$7326,'הצעת תקציב 2016'!$P$3:$P$7326,$A75+500,'הצעת תקציב 2016'!$U$3:$U$7326,N$44)</f>
        <v>0</v>
      </c>
      <c r="O75" s="63">
        <f>SUMIFS('הצעת תקציב 2016'!$J$3:$J$7326,'הצעת תקציב 2016'!$P$3:$P$7326,$A75+500,'הצעת תקציב 2016'!$U$3:$U$7326,O$44)</f>
        <v>1792200</v>
      </c>
      <c r="P75" s="63">
        <f>SUMIFS('הצעת תקציב 2016'!$J$3:$J$7326,'הצעת תקציב 2016'!$P$3:$P$7326,$A75+500,'הצעת תקציב 2016'!$U$3:$U$7326,P$44)</f>
        <v>468400</v>
      </c>
      <c r="Q75" s="63">
        <f>SUMIFS('הצעת תקציב 2016'!$J$3:$J$7326,'הצעת תקציב 2016'!$P$3:$P$7326,$A75+500,'הצעת תקציב 2016'!$U$3:$U$7326,Q$44)</f>
        <v>0</v>
      </c>
      <c r="R75" s="60">
        <f t="shared" si="66"/>
        <v>6934400</v>
      </c>
    </row>
    <row r="76" spans="1:18">
      <c r="A76">
        <f t="shared" ref="A76:B76" si="73">A65</f>
        <v>319</v>
      </c>
      <c r="B76" t="str">
        <f t="shared" si="73"/>
        <v>שירותי חינוך מיוחדים</v>
      </c>
      <c r="C76" s="63">
        <f>SUMIFS('הצעת תקציב 2016'!$J$3:$J$7326,'הצעת תקציב 2016'!$P$3:$P$7326,$A76,'הצעת תקציב 2016'!$U$3:$U$7326,C$44)</f>
        <v>0</v>
      </c>
      <c r="D76" s="63">
        <f>SUMIFS('הצעת תקציב 2016'!$J$3:$J$7326,'הצעת תקציב 2016'!$P$3:$P$7326,$A76,'הצעת תקציב 2016'!$U$3:$U$7326,D$44)</f>
        <v>0</v>
      </c>
      <c r="E76" s="63">
        <f>SUMIFS('הצעת תקציב 2016'!$J$3:$J$7326,'הצעת תקציב 2016'!$P$3:$P$7326,$A76,'הצעת תקציב 2016'!$U$3:$U$7326,E$44)</f>
        <v>0</v>
      </c>
      <c r="F76" s="63">
        <f>SUMIFS('הצעת תקציב 2016'!$J$3:$J$7326,'הצעת תקציב 2016'!$P$3:$P$7326,$A76,'הצעת תקציב 2016'!$U$3:$U$7326,F$44)</f>
        <v>0</v>
      </c>
      <c r="G76" s="63">
        <f>SUMIFS('הצעת תקציב 2016'!$J$3:$J$7326,'הצעת תקציב 2016'!$P$3:$P$7326,$A76,'הצעת תקציב 2016'!$U$3:$U$7326,G$44)</f>
        <v>0</v>
      </c>
      <c r="I76" s="63">
        <f>SUMIFS('הצעת תקציב 2016'!$J$3:$J$7326,'הצעת תקציב 2016'!$P$3:$P$7326,$A76+500,'הצעת תקציב 2016'!$U$3:$U$7326,I$44)</f>
        <v>0</v>
      </c>
      <c r="J76" s="63">
        <f>SUMIFS('הצעת תקציב 2016'!$J$3:$J$7326,'הצעת תקציב 2016'!$P$3:$P$7326,$A76+500,'הצעת תקציב 2016'!$U$3:$U$7326,J$44)</f>
        <v>1469100</v>
      </c>
      <c r="K76" s="63">
        <f>SUMIFS('הצעת תקציב 2016'!$J$3:$J$7326,'הצעת תקציב 2016'!$P$3:$P$7326,$A76+500,'הצעת תקציב 2016'!$U$3:$U$7326,K$44)</f>
        <v>0</v>
      </c>
      <c r="L76" s="63">
        <f>SUMIFS('הצעת תקציב 2016'!$J$3:$J$7326,'הצעת תקציב 2016'!$P$3:$P$7326,$A76+500,'הצעת תקציב 2016'!$U$3:$U$7326,L$44)</f>
        <v>0</v>
      </c>
      <c r="M76" s="63">
        <f>SUMIFS('הצעת תקציב 2016'!$J$3:$J$7326,'הצעת תקציב 2016'!$P$3:$P$7326,$A76+500,'הצעת תקציב 2016'!$U$3:$U$7326,M$44)</f>
        <v>84400</v>
      </c>
      <c r="N76" s="63">
        <f>SUMIFS('הצעת תקציב 2016'!$J$3:$J$7326,'הצעת תקציב 2016'!$P$3:$P$7326,$A76+500,'הצעת תקציב 2016'!$U$3:$U$7326,N$44)</f>
        <v>0</v>
      </c>
      <c r="O76" s="63">
        <f>SUMIFS('הצעת תקציב 2016'!$J$3:$J$7326,'הצעת תקציב 2016'!$P$3:$P$7326,$A76+500,'הצעת תקציב 2016'!$U$3:$U$7326,O$44)</f>
        <v>0</v>
      </c>
      <c r="P76" s="63">
        <f>SUMIFS('הצעת תקציב 2016'!$J$3:$J$7326,'הצעת תקציב 2016'!$P$3:$P$7326,$A76+500,'הצעת תקציב 2016'!$U$3:$U$7326,P$44)</f>
        <v>0</v>
      </c>
      <c r="Q76" s="63">
        <f>SUMIFS('הצעת תקציב 2016'!$J$3:$J$7326,'הצעת תקציב 2016'!$P$3:$P$7326,$A76+500,'הצעת תקציב 2016'!$U$3:$U$7326,Q$44)</f>
        <v>0</v>
      </c>
      <c r="R76" s="60">
        <f t="shared" si="66"/>
        <v>1553500</v>
      </c>
    </row>
    <row r="77" spans="1:18">
      <c r="I77" s="63">
        <f>SUMIFS('הצעת תקציב 2016'!$J$3:$J$7326,'הצעת תקציב 2016'!$P$3:$P$7326,$A77+500,'הצעת תקציב 2016'!$U$3:$U$7326,I$44)</f>
        <v>0</v>
      </c>
      <c r="J77" s="63">
        <f>SUMIFS('הצעת תקציב 2016'!$J$3:$J$7326,'הצעת תקציב 2016'!$P$3:$P$7326,$A77+500,'הצעת תקציב 2016'!$U$3:$U$7326,J$44)</f>
        <v>0</v>
      </c>
      <c r="K77" s="63">
        <f>SUMIFS('הצעת תקציב 2016'!$J$3:$J$7326,'הצעת תקציב 2016'!$P$3:$P$7326,$A77+500,'הצעת תקציב 2016'!$U$3:$U$7326,K$44)</f>
        <v>0</v>
      </c>
      <c r="L77" s="63">
        <f>SUMIFS('הצעת תקציב 2016'!$J$3:$J$7326,'הצעת תקציב 2016'!$P$3:$P$7326,$A77+500,'הצעת תקציב 2016'!$U$3:$U$7326,L$44)</f>
        <v>0</v>
      </c>
      <c r="M77" s="63">
        <f>SUMIFS('הצעת תקציב 2016'!$J$3:$J$7326,'הצעת תקציב 2016'!$P$3:$P$7326,$A77+500,'הצעת תקציב 2016'!$U$3:$U$7326,M$44)</f>
        <v>0</v>
      </c>
      <c r="N77" s="63">
        <f>SUMIFS('הצעת תקציב 2016'!$J$3:$J$7326,'הצעת תקציב 2016'!$P$3:$P$7326,$A77+500,'הצעת תקציב 2016'!$U$3:$U$7326,N$44)</f>
        <v>0</v>
      </c>
      <c r="O77" s="63">
        <f>SUMIFS('הצעת תקציב 2016'!$J$3:$J$7326,'הצעת תקציב 2016'!$P$3:$P$7326,$A77+500,'הצעת תקציב 2016'!$U$3:$U$7326,O$44)</f>
        <v>0</v>
      </c>
      <c r="P77" s="63">
        <f>SUMIFS('הצעת תקציב 2016'!$J$3:$J$7326,'הצעת תקציב 2016'!$P$3:$P$7326,$A77+500,'הצעת תקציב 2016'!$U$3:$U$7326,P$44)</f>
        <v>0</v>
      </c>
      <c r="Q77" s="63">
        <f>SUMIFS('הצעת תקציב 2016'!$J$3:$J$7326,'הצעת תקציב 2016'!$P$3:$P$7326,$A77+500,'הצעת תקציב 2016'!$U$3:$U$7326,Q$44)</f>
        <v>0</v>
      </c>
    </row>
    <row r="78" spans="1:18" ht="45">
      <c r="A78" s="34"/>
      <c r="B78" s="52" t="s">
        <v>2477</v>
      </c>
      <c r="C78" s="52" t="str">
        <f>INDEX(Revenue_type,MATCH(C$44*1,type!$A$118:$A$168,0),8)</f>
        <v>אגרות</v>
      </c>
      <c r="D78" s="52" t="str">
        <f>INDEX(Revenue_type,MATCH(D$44*1,type!$A$118:$A$168,0),8)</f>
        <v>שירותים ושכר לימוד</v>
      </c>
      <c r="E78" s="52" t="str">
        <f>INDEX(Revenue_type,MATCH(E$44*1,type!$A$118:$A$168,0),8)</f>
        <v>הכנסות מרכוש ומפעלים</v>
      </c>
      <c r="F78" s="52" t="str">
        <f>INDEX(Revenue_type,MATCH(F$44*1,type!$A$118:$A$168,0),8)</f>
        <v>השתתפות מוסדות ותרומות</v>
      </c>
      <c r="G78" s="52" t="str">
        <f>INDEX(Revenue_type,MATCH(G$44*1,type!$A$118:$A$168,0),8)</f>
        <v>השתתפות משרדי ממשלה</v>
      </c>
      <c r="I78" s="52" t="str">
        <f>INDEX(Expenditure_type,MATCH(I$44*1,type!$A$2:$A$117,0),8)</f>
        <v>משכורות וש"ע לעובדים לפי תקן</v>
      </c>
      <c r="J78" s="52" t="str">
        <f>INDEX(Expenditure_type,MATCH(J$44*1,type!$A$2:$A$117,0),8)</f>
        <v>משכורות וש"ע לעובדים בלי תקן</v>
      </c>
      <c r="K78" s="52" t="str">
        <f>INDEX(Expenditure_type,MATCH(K$44*1,type!$A$2:$A$117,0),8)</f>
        <v>פנסיה ופיצויים</v>
      </c>
      <c r="L78" s="52" t="str">
        <f>INDEX(Expenditure_type,MATCH(L$44*1,type!$A$2:$A$117,0),8)</f>
        <v>אחזקת בינים ואספקת ציוד</v>
      </c>
      <c r="M78" s="52" t="str">
        <f>INDEX(Expenditure_type,MATCH(M$44*1,type!$A$2:$A$117,0),8)</f>
        <v>הוצאות מנהליות</v>
      </c>
      <c r="N78" s="52" t="str">
        <f>INDEX(Expenditure_type,MATCH(N$44*1,type!$A$2:$A$117,0),8)</f>
        <v>מימון ופירעון מלוות</v>
      </c>
      <c r="O78" s="52" t="str">
        <f>INDEX(Expenditure_type,MATCH(O$44*1,type!$A$2:$A$117,0),8)</f>
        <v>הוצאות לפעולות</v>
      </c>
      <c r="P78" s="52" t="str">
        <f>INDEX(Expenditure_type,MATCH(P$44*1,type!$A$2:$A$117,0),8)</f>
        <v>השתתפויות תמיכות ותרומות</v>
      </c>
      <c r="Q78" s="52" t="str">
        <f>INDEX(Expenditure_type,MATCH(Q$44*1,type!$A$2:$A$117,0),8)</f>
        <v>הוצאות חד פעמיות</v>
      </c>
    </row>
    <row r="79" spans="1:18">
      <c r="A79">
        <f>A68</f>
        <v>311</v>
      </c>
      <c r="B79" t="str">
        <f>B68</f>
        <v>מינהל החינוך</v>
      </c>
      <c r="C79" s="63">
        <f>SUMIFS('הצעת תקציב 2016'!$K$3:$K$7326,'הצעת תקציב 2016'!$P$3:$P$7326,$A79,'הצעת תקציב 2016'!$U$3:$U$7326,C$44)</f>
        <v>0</v>
      </c>
      <c r="D79" s="63">
        <f>SUMIFS('הצעת תקציב 2016'!$K$3:$K$7326,'הצעת תקציב 2016'!$P$3:$P$7326,$A79,'הצעת תקציב 2016'!$U$3:$U$7326,D$44)</f>
        <v>0</v>
      </c>
      <c r="E79" s="63">
        <f>SUMIFS('הצעת תקציב 2016'!$K$3:$K$7326,'הצעת תקציב 2016'!$P$3:$P$7326,$A79,'הצעת תקציב 2016'!$U$3:$U$7326,E$44)</f>
        <v>0</v>
      </c>
      <c r="F79" s="63">
        <f>SUMIFS('הצעת תקציב 2016'!$K$3:$K$7326,'הצעת תקציב 2016'!$P$3:$P$7326,$A79,'הצעת תקציב 2016'!$U$3:$U$7326,F$44)</f>
        <v>0</v>
      </c>
      <c r="G79" s="63">
        <f>SUMIFS('הצעת תקציב 2016'!$K$3:$K$7326,'הצעת תקציב 2016'!$P$3:$P$7326,$A79,'הצעת תקציב 2016'!$U$3:$U$7326,G$44)</f>
        <v>0</v>
      </c>
      <c r="I79" s="63" t="e">
        <f>SUMIFS('הצעת תקציב 2016'!$K$3:$K$7326,'הצעת תקציב 2016'!$P$3:$P$7326,$A79+500,'הצעת תקציב 2016'!$U$3:$U$7326,I$44)</f>
        <v>#N/A</v>
      </c>
      <c r="J79" s="63">
        <f>SUMIFS('הצעת תקציב 2016'!$K$3:$K$7326,'הצעת תקציב 2016'!$P$3:$P$7326,$A79+500,'הצעת תקציב 2016'!$U$3:$U$7326,J$44)</f>
        <v>0</v>
      </c>
      <c r="K79" s="63">
        <f>SUMIFS('הצעת תקציב 2016'!$K$3:$K$7326,'הצעת תקציב 2016'!$P$3:$P$7326,$A79+500,'הצעת תקציב 2016'!$U$3:$U$7326,K$44)</f>
        <v>0</v>
      </c>
      <c r="L79" s="63" t="e">
        <f>SUMIFS('הצעת תקציב 2016'!$K$3:$K$7326,'הצעת תקציב 2016'!$P$3:$P$7326,$A79+500,'הצעת תקציב 2016'!$U$3:$U$7326,L$44)</f>
        <v>#N/A</v>
      </c>
      <c r="M79" s="63" t="e">
        <f>SUMIFS('הצעת תקציב 2016'!$K$3:$K$7326,'הצעת תקציב 2016'!$P$3:$P$7326,$A79+500,'הצעת תקציב 2016'!$U$3:$U$7326,M$44)</f>
        <v>#N/A</v>
      </c>
      <c r="N79" s="63">
        <f>SUMIFS('הצעת תקציב 2016'!$K$3:$K$7326,'הצעת תקציב 2016'!$P$3:$P$7326,$A79+500,'הצעת תקציב 2016'!$U$3:$U$7326,N$44)</f>
        <v>0</v>
      </c>
      <c r="O79" s="63" t="e">
        <f>SUMIFS('הצעת תקציב 2016'!$K$3:$K$7326,'הצעת תקציב 2016'!$P$3:$P$7326,$A79+500,'הצעת תקציב 2016'!$U$3:$U$7326,O$44)</f>
        <v>#N/A</v>
      </c>
      <c r="P79" s="63">
        <f>SUMIFS('הצעת תקציב 2016'!$K$3:$K$7326,'הצעת תקציב 2016'!$P$3:$P$7326,$A79+500,'הצעת תקציב 2016'!$U$3:$U$7326,P$44)</f>
        <v>0</v>
      </c>
      <c r="Q79" s="63">
        <f>SUMIFS('הצעת תקציב 2016'!$K$3:$K$7326,'הצעת תקציב 2016'!$P$3:$P$7326,$A79+500,'הצעת תקציב 2016'!$U$3:$U$7326,Q$44)</f>
        <v>0</v>
      </c>
      <c r="R79" s="60" t="e">
        <f>SUM(I79:Q79)</f>
        <v>#N/A</v>
      </c>
    </row>
    <row r="80" spans="1:18">
      <c r="A80">
        <f t="shared" ref="A80:B80" si="74">A69</f>
        <v>312</v>
      </c>
      <c r="B80" t="str">
        <f t="shared" si="74"/>
        <v>חינוך קדם יסודי</v>
      </c>
      <c r="C80" s="63">
        <f>SUMIFS('הצעת תקציב 2016'!$K$3:$K$7326,'הצעת תקציב 2016'!$P$3:$P$7326,$A80,'הצעת תקציב 2016'!$U$3:$U$7326,C$44)</f>
        <v>0</v>
      </c>
      <c r="D80" s="63">
        <f>SUMIFS('הצעת תקציב 2016'!$K$3:$K$7326,'הצעת תקציב 2016'!$P$3:$P$7326,$A80,'הצעת תקציב 2016'!$U$3:$U$7326,D$44)</f>
        <v>0</v>
      </c>
      <c r="E80" s="63">
        <f>SUMIFS('הצעת תקציב 2016'!$K$3:$K$7326,'הצעת תקציב 2016'!$P$3:$P$7326,$A80,'הצעת תקציב 2016'!$U$3:$U$7326,E$44)</f>
        <v>0</v>
      </c>
      <c r="F80" s="63">
        <f>SUMIFS('הצעת תקציב 2016'!$K$3:$K$7326,'הצעת תקציב 2016'!$P$3:$P$7326,$A80,'הצעת תקציב 2016'!$U$3:$U$7326,F$44)</f>
        <v>0</v>
      </c>
      <c r="G80" s="63">
        <f>SUMIFS('הצעת תקציב 2016'!$K$3:$K$7326,'הצעת תקציב 2016'!$P$3:$P$7326,$A80,'הצעת תקציב 2016'!$U$3:$U$7326,G$44)</f>
        <v>0</v>
      </c>
      <c r="I80" s="63" t="e">
        <f>SUMIFS('הצעת תקציב 2016'!$K$3:$K$7326,'הצעת תקציב 2016'!$P$3:$P$7326,$A80+500,'הצעת תקציב 2016'!$U$3:$U$7326,I$44)</f>
        <v>#N/A</v>
      </c>
      <c r="J80" s="63">
        <f>SUMIFS('הצעת תקציב 2016'!$K$3:$K$7326,'הצעת תקציב 2016'!$P$3:$P$7326,$A80+500,'הצעת תקציב 2016'!$U$3:$U$7326,J$44)</f>
        <v>0</v>
      </c>
      <c r="K80" s="63">
        <f>SUMIFS('הצעת תקציב 2016'!$K$3:$K$7326,'הצעת תקציב 2016'!$P$3:$P$7326,$A80+500,'הצעת תקציב 2016'!$U$3:$U$7326,K$44)</f>
        <v>0</v>
      </c>
      <c r="L80" s="63" t="e">
        <f>SUMIFS('הצעת תקציב 2016'!$K$3:$K$7326,'הצעת תקציב 2016'!$P$3:$P$7326,$A80+500,'הצעת תקציב 2016'!$U$3:$U$7326,L$44)</f>
        <v>#N/A</v>
      </c>
      <c r="M80" s="63" t="e">
        <f>SUMIFS('הצעת תקציב 2016'!$K$3:$K$7326,'הצעת תקציב 2016'!$P$3:$P$7326,$A80+500,'הצעת תקציב 2016'!$U$3:$U$7326,M$44)</f>
        <v>#N/A</v>
      </c>
      <c r="N80" s="63">
        <f>SUMIFS('הצעת תקציב 2016'!$K$3:$K$7326,'הצעת תקציב 2016'!$P$3:$P$7326,$A80+500,'הצעת תקציב 2016'!$U$3:$U$7326,N$44)</f>
        <v>0</v>
      </c>
      <c r="O80" s="63" t="e">
        <f>SUMIFS('הצעת תקציב 2016'!$K$3:$K$7326,'הצעת תקציב 2016'!$P$3:$P$7326,$A80+500,'הצעת תקציב 2016'!$U$3:$U$7326,O$44)</f>
        <v>#N/A</v>
      </c>
      <c r="P80" s="63">
        <f>SUMIFS('הצעת תקציב 2016'!$K$3:$K$7326,'הצעת תקציב 2016'!$P$3:$P$7326,$A80+500,'הצעת תקציב 2016'!$U$3:$U$7326,P$44)</f>
        <v>0</v>
      </c>
      <c r="Q80" s="63">
        <f>SUMIFS('הצעת תקציב 2016'!$K$3:$K$7326,'הצעת תקציב 2016'!$P$3:$P$7326,$A80+500,'הצעת תקציב 2016'!$U$3:$U$7326,Q$44)</f>
        <v>0</v>
      </c>
      <c r="R80" s="60" t="e">
        <f t="shared" ref="R80:R87" si="75">SUM(I80:Q80)</f>
        <v>#N/A</v>
      </c>
    </row>
    <row r="81" spans="1:18">
      <c r="A81">
        <f t="shared" ref="A81:B81" si="76">A70</f>
        <v>313</v>
      </c>
      <c r="B81" t="str">
        <f t="shared" si="76"/>
        <v>חינוך יסודי</v>
      </c>
      <c r="C81" s="63">
        <f>SUMIFS('הצעת תקציב 2016'!$K$3:$K$7326,'הצעת תקציב 2016'!$P$3:$P$7326,$A81,'הצעת תקציב 2016'!$U$3:$U$7326,C$44)</f>
        <v>0</v>
      </c>
      <c r="D81" s="63">
        <f>SUMIFS('הצעת תקציב 2016'!$K$3:$K$7326,'הצעת תקציב 2016'!$P$3:$P$7326,$A81,'הצעת תקציב 2016'!$U$3:$U$7326,D$44)</f>
        <v>0</v>
      </c>
      <c r="E81" s="63">
        <f>SUMIFS('הצעת תקציב 2016'!$K$3:$K$7326,'הצעת תקציב 2016'!$P$3:$P$7326,$A81,'הצעת תקציב 2016'!$U$3:$U$7326,E$44)</f>
        <v>0</v>
      </c>
      <c r="F81" s="63">
        <f>SUMIFS('הצעת תקציב 2016'!$K$3:$K$7326,'הצעת תקציב 2016'!$P$3:$P$7326,$A81,'הצעת תקציב 2016'!$U$3:$U$7326,F$44)</f>
        <v>0</v>
      </c>
      <c r="G81" s="63">
        <f>SUMIFS('הצעת תקציב 2016'!$K$3:$K$7326,'הצעת תקציב 2016'!$P$3:$P$7326,$A81,'הצעת תקציב 2016'!$U$3:$U$7326,G$44)</f>
        <v>0</v>
      </c>
      <c r="I81" s="63" t="e">
        <f>SUMIFS('הצעת תקציב 2016'!$K$3:$K$7326,'הצעת תקציב 2016'!$P$3:$P$7326,$A81+500,'הצעת תקציב 2016'!$U$3:$U$7326,I$44)</f>
        <v>#N/A</v>
      </c>
      <c r="J81" s="63" t="e">
        <f>SUMIFS('הצעת תקציב 2016'!$K$3:$K$7326,'הצעת תקציב 2016'!$P$3:$P$7326,$A81+500,'הצעת תקציב 2016'!$U$3:$U$7326,J$44)</f>
        <v>#N/A</v>
      </c>
      <c r="K81" s="63">
        <f>SUMIFS('הצעת תקציב 2016'!$K$3:$K$7326,'הצעת תקציב 2016'!$P$3:$P$7326,$A81+500,'הצעת תקציב 2016'!$U$3:$U$7326,K$44)</f>
        <v>0</v>
      </c>
      <c r="L81" s="63" t="e">
        <f>SUMIFS('הצעת תקציב 2016'!$K$3:$K$7326,'הצעת תקציב 2016'!$P$3:$P$7326,$A81+500,'הצעת תקציב 2016'!$U$3:$U$7326,L$44)</f>
        <v>#N/A</v>
      </c>
      <c r="M81" s="63" t="e">
        <f>SUMIFS('הצעת תקציב 2016'!$K$3:$K$7326,'הצעת תקציב 2016'!$P$3:$P$7326,$A81+500,'הצעת תקציב 2016'!$U$3:$U$7326,M$44)</f>
        <v>#N/A</v>
      </c>
      <c r="N81" s="63">
        <f>SUMIFS('הצעת תקציב 2016'!$K$3:$K$7326,'הצעת תקציב 2016'!$P$3:$P$7326,$A81+500,'הצעת תקציב 2016'!$U$3:$U$7326,N$44)</f>
        <v>0</v>
      </c>
      <c r="O81" s="63" t="e">
        <f>SUMIFS('הצעת תקציב 2016'!$K$3:$K$7326,'הצעת תקציב 2016'!$P$3:$P$7326,$A81+500,'הצעת תקציב 2016'!$U$3:$U$7326,O$44)</f>
        <v>#N/A</v>
      </c>
      <c r="P81" s="63" t="e">
        <f>SUMIFS('הצעת תקציב 2016'!$K$3:$K$7326,'הצעת תקציב 2016'!$P$3:$P$7326,$A81+500,'הצעת תקציב 2016'!$U$3:$U$7326,P$44)</f>
        <v>#N/A</v>
      </c>
      <c r="Q81" s="63">
        <f>SUMIFS('הצעת תקציב 2016'!$K$3:$K$7326,'הצעת תקציב 2016'!$P$3:$P$7326,$A81+500,'הצעת תקציב 2016'!$U$3:$U$7326,Q$44)</f>
        <v>0</v>
      </c>
      <c r="R81" s="60" t="e">
        <f t="shared" si="75"/>
        <v>#N/A</v>
      </c>
    </row>
    <row r="82" spans="1:18">
      <c r="A82">
        <f t="shared" ref="A82:B82" si="77">A71</f>
        <v>314</v>
      </c>
      <c r="B82" t="str">
        <f t="shared" si="77"/>
        <v>חטיבות ביניים</v>
      </c>
      <c r="C82" s="63">
        <f>SUMIFS('הצעת תקציב 2016'!$K$3:$K$7326,'הצעת תקציב 2016'!$P$3:$P$7326,$A82,'הצעת תקציב 2016'!$U$3:$U$7326,C$44)</f>
        <v>0</v>
      </c>
      <c r="D82" s="63">
        <f>SUMIFS('הצעת תקציב 2016'!$K$3:$K$7326,'הצעת תקציב 2016'!$P$3:$P$7326,$A82,'הצעת תקציב 2016'!$U$3:$U$7326,D$44)</f>
        <v>0</v>
      </c>
      <c r="E82" s="63">
        <f>SUMIFS('הצעת תקציב 2016'!$K$3:$K$7326,'הצעת תקציב 2016'!$P$3:$P$7326,$A82,'הצעת תקציב 2016'!$U$3:$U$7326,E$44)</f>
        <v>0</v>
      </c>
      <c r="F82" s="63">
        <f>SUMIFS('הצעת תקציב 2016'!$K$3:$K$7326,'הצעת תקציב 2016'!$P$3:$P$7326,$A82,'הצעת תקציב 2016'!$U$3:$U$7326,F$44)</f>
        <v>0</v>
      </c>
      <c r="G82" s="63">
        <f>SUMIFS('הצעת תקציב 2016'!$K$3:$K$7326,'הצעת תקציב 2016'!$P$3:$P$7326,$A82,'הצעת תקציב 2016'!$U$3:$U$7326,G$44)</f>
        <v>0</v>
      </c>
      <c r="I82" s="63">
        <f>SUMIFS('הצעת תקציב 2016'!$K$3:$K$7326,'הצעת תקציב 2016'!$P$3:$P$7326,$A82+500,'הצעת תקציב 2016'!$U$3:$U$7326,I$44)</f>
        <v>0</v>
      </c>
      <c r="J82" s="63">
        <f>SUMIFS('הצעת תקציב 2016'!$K$3:$K$7326,'הצעת תקציב 2016'!$P$3:$P$7326,$A82+500,'הצעת תקציב 2016'!$U$3:$U$7326,J$44)</f>
        <v>0</v>
      </c>
      <c r="K82" s="63">
        <f>SUMIFS('הצעת תקציב 2016'!$K$3:$K$7326,'הצעת תקציב 2016'!$P$3:$P$7326,$A82+500,'הצעת תקציב 2016'!$U$3:$U$7326,K$44)</f>
        <v>0</v>
      </c>
      <c r="L82" s="63">
        <f>SUMIFS('הצעת תקציב 2016'!$K$3:$K$7326,'הצעת תקציב 2016'!$P$3:$P$7326,$A82+500,'הצעת תקציב 2016'!$U$3:$U$7326,L$44)</f>
        <v>0</v>
      </c>
      <c r="M82" s="63">
        <f>SUMIFS('הצעת תקציב 2016'!$K$3:$K$7326,'הצעת תקציב 2016'!$P$3:$P$7326,$A82+500,'הצעת תקציב 2016'!$U$3:$U$7326,M$44)</f>
        <v>0</v>
      </c>
      <c r="N82" s="63">
        <f>SUMIFS('הצעת תקציב 2016'!$K$3:$K$7326,'הצעת תקציב 2016'!$P$3:$P$7326,$A82+500,'הצעת תקציב 2016'!$U$3:$U$7326,N$44)</f>
        <v>0</v>
      </c>
      <c r="O82" s="63">
        <f>SUMIFS('הצעת תקציב 2016'!$K$3:$K$7326,'הצעת תקציב 2016'!$P$3:$P$7326,$A82+500,'הצעת תקציב 2016'!$U$3:$U$7326,O$44)</f>
        <v>0</v>
      </c>
      <c r="P82" s="63">
        <f>SUMIFS('הצעת תקציב 2016'!$K$3:$K$7326,'הצעת תקציב 2016'!$P$3:$P$7326,$A82+500,'הצעת תקציב 2016'!$U$3:$U$7326,P$44)</f>
        <v>0</v>
      </c>
      <c r="Q82" s="63">
        <f>SUMIFS('הצעת תקציב 2016'!$K$3:$K$7326,'הצעת תקציב 2016'!$P$3:$P$7326,$A82+500,'הצעת תקציב 2016'!$U$3:$U$7326,Q$44)</f>
        <v>0</v>
      </c>
      <c r="R82" s="60">
        <f t="shared" si="75"/>
        <v>0</v>
      </c>
    </row>
    <row r="83" spans="1:18">
      <c r="A83">
        <f t="shared" ref="A83:B83" si="78">A72</f>
        <v>315</v>
      </c>
      <c r="B83" t="str">
        <f t="shared" si="78"/>
        <v>חינוך על יסודי</v>
      </c>
      <c r="C83" s="63">
        <f>SUMIFS('הצעת תקציב 2016'!$K$3:$K$7326,'הצעת תקציב 2016'!$P$3:$P$7326,$A83,'הצעת תקציב 2016'!$U$3:$U$7326,C$44)</f>
        <v>0</v>
      </c>
      <c r="D83" s="63">
        <f>SUMIFS('הצעת תקציב 2016'!$K$3:$K$7326,'הצעת תקציב 2016'!$P$3:$P$7326,$A83,'הצעת תקציב 2016'!$U$3:$U$7326,D$44)</f>
        <v>0</v>
      </c>
      <c r="E83" s="63">
        <f>SUMIFS('הצעת תקציב 2016'!$K$3:$K$7326,'הצעת תקציב 2016'!$P$3:$P$7326,$A83,'הצעת תקציב 2016'!$U$3:$U$7326,E$44)</f>
        <v>0</v>
      </c>
      <c r="F83" s="63">
        <f>SUMIFS('הצעת תקציב 2016'!$K$3:$K$7326,'הצעת תקציב 2016'!$P$3:$P$7326,$A83,'הצעת תקציב 2016'!$U$3:$U$7326,F$44)</f>
        <v>0</v>
      </c>
      <c r="G83" s="63">
        <f>SUMIFS('הצעת תקציב 2016'!$K$3:$K$7326,'הצעת תקציב 2016'!$P$3:$P$7326,$A83,'הצעת תקציב 2016'!$U$3:$U$7326,G$44)</f>
        <v>0</v>
      </c>
      <c r="I83" s="63" t="e">
        <f>SUMIFS('הצעת תקציב 2016'!$K$3:$K$7326,'הצעת תקציב 2016'!$P$3:$P$7326,$A83+500,'הצעת תקציב 2016'!$U$3:$U$7326,I$44)</f>
        <v>#N/A</v>
      </c>
      <c r="J83" s="63" t="e">
        <f>SUMIFS('הצעת תקציב 2016'!$K$3:$K$7326,'הצעת תקציב 2016'!$P$3:$P$7326,$A83+500,'הצעת תקציב 2016'!$U$3:$U$7326,J$44)</f>
        <v>#N/A</v>
      </c>
      <c r="K83" s="63">
        <f>SUMIFS('הצעת תקציב 2016'!$K$3:$K$7326,'הצעת תקציב 2016'!$P$3:$P$7326,$A83+500,'הצעת תקציב 2016'!$U$3:$U$7326,K$44)</f>
        <v>0</v>
      </c>
      <c r="L83" s="63" t="e">
        <f>SUMIFS('הצעת תקציב 2016'!$K$3:$K$7326,'הצעת תקציב 2016'!$P$3:$P$7326,$A83+500,'הצעת תקציב 2016'!$U$3:$U$7326,L$44)</f>
        <v>#N/A</v>
      </c>
      <c r="M83" s="63" t="e">
        <f>SUMIFS('הצעת תקציב 2016'!$K$3:$K$7326,'הצעת תקציב 2016'!$P$3:$P$7326,$A83+500,'הצעת תקציב 2016'!$U$3:$U$7326,M$44)</f>
        <v>#N/A</v>
      </c>
      <c r="N83" s="63">
        <f>SUMIFS('הצעת תקציב 2016'!$K$3:$K$7326,'הצעת תקציב 2016'!$P$3:$P$7326,$A83+500,'הצעת תקציב 2016'!$U$3:$U$7326,N$44)</f>
        <v>0</v>
      </c>
      <c r="O83" s="63" t="e">
        <f>SUMIFS('הצעת תקציב 2016'!$K$3:$K$7326,'הצעת תקציב 2016'!$P$3:$P$7326,$A83+500,'הצעת תקציב 2016'!$U$3:$U$7326,O$44)</f>
        <v>#N/A</v>
      </c>
      <c r="P83" s="63">
        <f>SUMIFS('הצעת תקציב 2016'!$K$3:$K$7326,'הצעת תקציב 2016'!$P$3:$P$7326,$A83+500,'הצעת תקציב 2016'!$U$3:$U$7326,P$44)</f>
        <v>0</v>
      </c>
      <c r="Q83" s="63">
        <f>SUMIFS('הצעת תקציב 2016'!$K$3:$K$7326,'הצעת תקציב 2016'!$P$3:$P$7326,$A83+500,'הצעת תקציב 2016'!$U$3:$U$7326,Q$44)</f>
        <v>0</v>
      </c>
      <c r="R83" s="60" t="e">
        <f t="shared" si="75"/>
        <v>#N/A</v>
      </c>
    </row>
    <row r="84" spans="1:18">
      <c r="C84" s="63"/>
      <c r="D84" s="63"/>
      <c r="E84" s="63"/>
      <c r="F84" s="63"/>
      <c r="G84" s="63"/>
      <c r="I84" s="63"/>
      <c r="J84" s="63"/>
      <c r="K84" s="63"/>
      <c r="L84" s="63"/>
      <c r="M84" s="63"/>
      <c r="N84" s="63"/>
      <c r="O84" s="63"/>
      <c r="P84" s="63"/>
      <c r="Q84" s="63"/>
      <c r="R84" s="60"/>
    </row>
    <row r="85" spans="1:18">
      <c r="A85">
        <f t="shared" ref="A85:B85" si="79">A74</f>
        <v>317</v>
      </c>
      <c r="B85" t="str">
        <f t="shared" si="79"/>
        <v>שירותים נוספים לבתי״ס וגנ״י</v>
      </c>
      <c r="C85" s="63">
        <f>SUMIFS('הצעת תקציב 2016'!$K$3:$K$7326,'הצעת תקציב 2016'!$P$3:$P$7326,$A85,'הצעת תקציב 2016'!$U$3:$U$7326,C$44)</f>
        <v>0</v>
      </c>
      <c r="D85" s="63">
        <f>SUMIFS('הצעת תקציב 2016'!$K$3:$K$7326,'הצעת תקציב 2016'!$P$3:$P$7326,$A85,'הצעת תקציב 2016'!$U$3:$U$7326,D$44)</f>
        <v>0</v>
      </c>
      <c r="E85" s="63">
        <f>SUMIFS('הצעת תקציב 2016'!$K$3:$K$7326,'הצעת תקציב 2016'!$P$3:$P$7326,$A85,'הצעת תקציב 2016'!$U$3:$U$7326,E$44)</f>
        <v>0</v>
      </c>
      <c r="F85" s="63">
        <f>SUMIFS('הצעת תקציב 2016'!$K$3:$K$7326,'הצעת תקציב 2016'!$P$3:$P$7326,$A85,'הצעת תקציב 2016'!$U$3:$U$7326,F$44)</f>
        <v>0</v>
      </c>
      <c r="G85" s="63">
        <f>SUMIFS('הצעת תקציב 2016'!$K$3:$K$7326,'הצעת תקציב 2016'!$P$3:$P$7326,$A85,'הצעת תקציב 2016'!$U$3:$U$7326,G$44)</f>
        <v>0</v>
      </c>
      <c r="I85" s="63" t="e">
        <f>SUMIFS('הצעת תקציב 2016'!$K$3:$K$7326,'הצעת תקציב 2016'!$P$3:$P$7326,$A85+500,'הצעת תקציב 2016'!$U$3:$U$7326,I$44)</f>
        <v>#N/A</v>
      </c>
      <c r="J85" s="63" t="e">
        <f>SUMIFS('הצעת תקציב 2016'!$K$3:$K$7326,'הצעת תקציב 2016'!$P$3:$P$7326,$A85+500,'הצעת תקציב 2016'!$U$3:$U$7326,J$44)</f>
        <v>#N/A</v>
      </c>
      <c r="K85" s="63">
        <f>SUMIFS('הצעת תקציב 2016'!$K$3:$K$7326,'הצעת תקציב 2016'!$P$3:$P$7326,$A85+500,'הצעת תקציב 2016'!$U$3:$U$7326,K$44)</f>
        <v>0</v>
      </c>
      <c r="L85" s="63" t="e">
        <f>SUMIFS('הצעת תקציב 2016'!$K$3:$K$7326,'הצעת תקציב 2016'!$P$3:$P$7326,$A85+500,'הצעת תקציב 2016'!$U$3:$U$7326,L$44)</f>
        <v>#N/A</v>
      </c>
      <c r="M85" s="63" t="e">
        <f>SUMIFS('הצעת תקציב 2016'!$K$3:$K$7326,'הצעת תקציב 2016'!$P$3:$P$7326,$A85+500,'הצעת תקציב 2016'!$U$3:$U$7326,M$44)</f>
        <v>#N/A</v>
      </c>
      <c r="N85" s="63">
        <f>SUMIFS('הצעת תקציב 2016'!$K$3:$K$7326,'הצעת תקציב 2016'!$P$3:$P$7326,$A85+500,'הצעת תקציב 2016'!$U$3:$U$7326,N$44)</f>
        <v>0</v>
      </c>
      <c r="O85" s="63" t="e">
        <f>SUMIFS('הצעת תקציב 2016'!$K$3:$K$7326,'הצעת תקציב 2016'!$P$3:$P$7326,$A85+500,'הצעת תקציב 2016'!$U$3:$U$7326,O$44)</f>
        <v>#N/A</v>
      </c>
      <c r="P85" s="63">
        <f>SUMIFS('הצעת תקציב 2016'!$K$3:$K$7326,'הצעת תקציב 2016'!$P$3:$P$7326,$A85+500,'הצעת תקציב 2016'!$U$3:$U$7326,P$44)</f>
        <v>0</v>
      </c>
      <c r="Q85" s="63">
        <f>SUMIFS('הצעת תקציב 2016'!$K$3:$K$7326,'הצעת תקציב 2016'!$P$3:$P$7326,$A85+500,'הצעת תקציב 2016'!$U$3:$U$7326,Q$44)</f>
        <v>0</v>
      </c>
      <c r="R85" s="60" t="e">
        <f t="shared" si="75"/>
        <v>#N/A</v>
      </c>
    </row>
    <row r="86" spans="1:18">
      <c r="A86">
        <f t="shared" ref="A86:B86" si="80">A75</f>
        <v>318</v>
      </c>
      <c r="B86" t="str">
        <f t="shared" si="80"/>
        <v>חינוך מבוגרים</v>
      </c>
      <c r="C86" s="63">
        <f>SUMIFS('הצעת תקציב 2016'!$K$3:$K$7326,'הצעת תקציב 2016'!$P$3:$P$7326,$A86,'הצעת תקציב 2016'!$U$3:$U$7326,C$44)</f>
        <v>0</v>
      </c>
      <c r="D86" s="63">
        <f>SUMIFS('הצעת תקציב 2016'!$K$3:$K$7326,'הצעת תקציב 2016'!$P$3:$P$7326,$A86,'הצעת תקציב 2016'!$U$3:$U$7326,D$44)</f>
        <v>0</v>
      </c>
      <c r="E86" s="63">
        <f>SUMIFS('הצעת תקציב 2016'!$K$3:$K$7326,'הצעת תקציב 2016'!$P$3:$P$7326,$A86,'הצעת תקציב 2016'!$U$3:$U$7326,E$44)</f>
        <v>0</v>
      </c>
      <c r="F86" s="63">
        <f>SUMIFS('הצעת תקציב 2016'!$K$3:$K$7326,'הצעת תקציב 2016'!$P$3:$P$7326,$A86,'הצעת תקציב 2016'!$U$3:$U$7326,F$44)</f>
        <v>0</v>
      </c>
      <c r="G86" s="63">
        <f>SUMIFS('הצעת תקציב 2016'!$K$3:$K$7326,'הצעת תקציב 2016'!$P$3:$P$7326,$A86,'הצעת תקציב 2016'!$U$3:$U$7326,G$44)</f>
        <v>0</v>
      </c>
      <c r="I86" s="63">
        <f>SUMIFS('הצעת תקציב 2016'!$K$3:$K$7326,'הצעת תקציב 2016'!$P$3:$P$7326,$A86+500,'הצעת תקציב 2016'!$U$3:$U$7326,I$44)</f>
        <v>0</v>
      </c>
      <c r="J86" s="63" t="e">
        <f>SUMIFS('הצעת תקציב 2016'!$K$3:$K$7326,'הצעת תקציב 2016'!$P$3:$P$7326,$A86+500,'הצעת תקציב 2016'!$U$3:$U$7326,J$44)</f>
        <v>#N/A</v>
      </c>
      <c r="K86" s="63">
        <f>SUMIFS('הצעת תקציב 2016'!$K$3:$K$7326,'הצעת תקציב 2016'!$P$3:$P$7326,$A86+500,'הצעת תקציב 2016'!$U$3:$U$7326,K$44)</f>
        <v>0</v>
      </c>
      <c r="L86" s="63">
        <f>SUMIFS('הצעת תקציב 2016'!$K$3:$K$7326,'הצעת תקציב 2016'!$P$3:$P$7326,$A86+500,'הצעת תקציב 2016'!$U$3:$U$7326,L$44)</f>
        <v>0</v>
      </c>
      <c r="M86" s="63" t="e">
        <f>SUMIFS('הצעת תקציב 2016'!$K$3:$K$7326,'הצעת תקציב 2016'!$P$3:$P$7326,$A86+500,'הצעת תקציב 2016'!$U$3:$U$7326,M$44)</f>
        <v>#N/A</v>
      </c>
      <c r="N86" s="63">
        <f>SUMIFS('הצעת תקציב 2016'!$K$3:$K$7326,'הצעת תקציב 2016'!$P$3:$P$7326,$A86+500,'הצעת תקציב 2016'!$U$3:$U$7326,N$44)</f>
        <v>0</v>
      </c>
      <c r="O86" s="63" t="e">
        <f>SUMIFS('הצעת תקציב 2016'!$K$3:$K$7326,'הצעת תקציב 2016'!$P$3:$P$7326,$A86+500,'הצעת תקציב 2016'!$U$3:$U$7326,O$44)</f>
        <v>#N/A</v>
      </c>
      <c r="P86" s="63" t="e">
        <f>SUMIFS('הצעת תקציב 2016'!$K$3:$K$7326,'הצעת תקציב 2016'!$P$3:$P$7326,$A86+500,'הצעת תקציב 2016'!$U$3:$U$7326,P$44)</f>
        <v>#N/A</v>
      </c>
      <c r="Q86" s="63">
        <f>SUMIFS('הצעת תקציב 2016'!$K$3:$K$7326,'הצעת תקציב 2016'!$P$3:$P$7326,$A86+500,'הצעת תקציב 2016'!$U$3:$U$7326,Q$44)</f>
        <v>0</v>
      </c>
      <c r="R86" s="60" t="e">
        <f t="shared" si="75"/>
        <v>#N/A</v>
      </c>
    </row>
    <row r="87" spans="1:18">
      <c r="A87">
        <f t="shared" ref="A87:B87" si="81">A76</f>
        <v>319</v>
      </c>
      <c r="B87" t="str">
        <f t="shared" si="81"/>
        <v>שירותי חינוך מיוחדים</v>
      </c>
      <c r="C87" s="63">
        <f>SUMIFS('הצעת תקציב 2016'!$K$3:$K$7326,'הצעת תקציב 2016'!$P$3:$P$7326,$A87,'הצעת תקציב 2016'!$U$3:$U$7326,C$44)</f>
        <v>0</v>
      </c>
      <c r="D87" s="63">
        <f>SUMIFS('הצעת תקציב 2016'!$K$3:$K$7326,'הצעת תקציב 2016'!$P$3:$P$7326,$A87,'הצעת תקציב 2016'!$U$3:$U$7326,D$44)</f>
        <v>0</v>
      </c>
      <c r="E87" s="63">
        <f>SUMIFS('הצעת תקציב 2016'!$K$3:$K$7326,'הצעת תקציב 2016'!$P$3:$P$7326,$A87,'הצעת תקציב 2016'!$U$3:$U$7326,E$44)</f>
        <v>0</v>
      </c>
      <c r="F87" s="63">
        <f>SUMIFS('הצעת תקציב 2016'!$K$3:$K$7326,'הצעת תקציב 2016'!$P$3:$P$7326,$A87,'הצעת תקציב 2016'!$U$3:$U$7326,F$44)</f>
        <v>0</v>
      </c>
      <c r="G87" s="63">
        <f>SUMIFS('הצעת תקציב 2016'!$K$3:$K$7326,'הצעת תקציב 2016'!$P$3:$P$7326,$A87,'הצעת תקציב 2016'!$U$3:$U$7326,G$44)</f>
        <v>0</v>
      </c>
      <c r="I87" s="63">
        <f>SUMIFS('הצעת תקציב 2016'!$K$3:$K$7326,'הצעת תקציב 2016'!$P$3:$P$7326,$A87+500,'הצעת תקציב 2016'!$U$3:$U$7326,I$44)</f>
        <v>0</v>
      </c>
      <c r="J87" s="63" t="e">
        <f>SUMIFS('הצעת תקציב 2016'!$K$3:$K$7326,'הצעת תקציב 2016'!$P$3:$P$7326,$A87+500,'הצעת תקציב 2016'!$U$3:$U$7326,J$44)</f>
        <v>#N/A</v>
      </c>
      <c r="K87" s="63">
        <f>SUMIFS('הצעת תקציב 2016'!$K$3:$K$7326,'הצעת תקציב 2016'!$P$3:$P$7326,$A87+500,'הצעת תקציב 2016'!$U$3:$U$7326,K$44)</f>
        <v>0</v>
      </c>
      <c r="L87" s="63">
        <f>SUMIFS('הצעת תקציב 2016'!$K$3:$K$7326,'הצעת תקציב 2016'!$P$3:$P$7326,$A87+500,'הצעת תקציב 2016'!$U$3:$U$7326,L$44)</f>
        <v>0</v>
      </c>
      <c r="M87" s="63" t="e">
        <f>SUMIFS('הצעת תקציב 2016'!$K$3:$K$7326,'הצעת תקציב 2016'!$P$3:$P$7326,$A87+500,'הצעת תקציב 2016'!$U$3:$U$7326,M$44)</f>
        <v>#N/A</v>
      </c>
      <c r="N87" s="63">
        <f>SUMIFS('הצעת תקציב 2016'!$K$3:$K$7326,'הצעת תקציב 2016'!$P$3:$P$7326,$A87+500,'הצעת תקציב 2016'!$U$3:$U$7326,N$44)</f>
        <v>0</v>
      </c>
      <c r="O87" s="63">
        <f>SUMIFS('הצעת תקציב 2016'!$K$3:$K$7326,'הצעת תקציב 2016'!$P$3:$P$7326,$A87+500,'הצעת תקציב 2016'!$U$3:$U$7326,O$44)</f>
        <v>0</v>
      </c>
      <c r="P87" s="63">
        <f>SUMIFS('הצעת תקציב 2016'!$K$3:$K$7326,'הצעת תקציב 2016'!$P$3:$P$7326,$A87+500,'הצעת תקציב 2016'!$U$3:$U$7326,P$44)</f>
        <v>0</v>
      </c>
      <c r="Q87" s="63">
        <f>SUMIFS('הצעת תקציב 2016'!$K$3:$K$7326,'הצעת תקציב 2016'!$P$3:$P$7326,$A87+500,'הצעת תקציב 2016'!$U$3:$U$7326,Q$44)</f>
        <v>0</v>
      </c>
      <c r="R87" s="60" t="e">
        <f t="shared" si="75"/>
        <v>#N/A</v>
      </c>
    </row>
    <row r="88" spans="1:18">
      <c r="I88" s="63">
        <f>SUMIFS('הצעת תקציב 2016'!$K$3:$K$7326,'הצעת תקציב 2016'!$P$3:$P$7326,$A88+500,'הצעת תקציב 2016'!$U$3:$U$7326,I$44)</f>
        <v>0</v>
      </c>
      <c r="J88" s="63">
        <f>SUMIFS('הצעת תקציב 2016'!$K$3:$K$7326,'הצעת תקציב 2016'!$P$3:$P$7326,$A88+500,'הצעת תקציב 2016'!$U$3:$U$7326,J$44)</f>
        <v>0</v>
      </c>
      <c r="K88" s="63">
        <f>SUMIFS('הצעת תקציב 2016'!$K$3:$K$7326,'הצעת תקציב 2016'!$P$3:$P$7326,$A88+500,'הצעת תקציב 2016'!$U$3:$U$7326,K$44)</f>
        <v>0</v>
      </c>
      <c r="L88" s="63">
        <f>SUMIFS('הצעת תקציב 2016'!$K$3:$K$7326,'הצעת תקציב 2016'!$P$3:$P$7326,$A88+500,'הצעת תקציב 2016'!$U$3:$U$7326,L$44)</f>
        <v>0</v>
      </c>
      <c r="M88" s="63">
        <f>SUMIFS('הצעת תקציב 2016'!$K$3:$K$7326,'הצעת תקציב 2016'!$P$3:$P$7326,$A88+500,'הצעת תקציב 2016'!$U$3:$U$7326,M$44)</f>
        <v>0</v>
      </c>
      <c r="N88" s="63">
        <f>SUMIFS('הצעת תקציב 2016'!$K$3:$K$7326,'הצעת תקציב 2016'!$P$3:$P$7326,$A88+500,'הצעת תקציב 2016'!$U$3:$U$7326,N$44)</f>
        <v>0</v>
      </c>
      <c r="O88" s="63">
        <f>SUMIFS('הצעת תקציב 2016'!$K$3:$K$7326,'הצעת תקציב 2016'!$P$3:$P$7326,$A88+500,'הצעת תקציב 2016'!$U$3:$U$7326,O$44)</f>
        <v>0</v>
      </c>
      <c r="P88" s="63">
        <f>SUMIFS('הצעת תקציב 2016'!$K$3:$K$7326,'הצעת תקציב 2016'!$P$3:$P$7326,$A88+500,'הצעת תקציב 2016'!$U$3:$U$7326,P$44)</f>
        <v>0</v>
      </c>
      <c r="Q88" s="63">
        <f>SUMIFS('הצעת תקציב 2016'!$K$3:$K$7326,'הצעת תקציב 2016'!$P$3:$P$7326,$A88+500,'הצעת תקציב 2016'!$U$3:$U$7326,Q$44)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3"/>
  <sheetViews>
    <sheetView rightToLeft="1" workbookViewId="0">
      <pane xSplit="2" topLeftCell="C1" activePane="topRight" state="frozen"/>
      <selection pane="topRight" activeCell="B20" sqref="B20:B24"/>
    </sheetView>
  </sheetViews>
  <sheetFormatPr defaultRowHeight="12.75"/>
  <cols>
    <col min="1" max="1" width="8.140625" bestFit="1" customWidth="1"/>
    <col min="2" max="2" width="21.85546875" bestFit="1" customWidth="1"/>
    <col min="3" max="3" width="14.85546875" bestFit="1" customWidth="1"/>
    <col min="4" max="4" width="13.28515625" bestFit="1" customWidth="1"/>
    <col min="5" max="5" width="12.85546875" bestFit="1" customWidth="1"/>
    <col min="6" max="6" width="12.28515625" bestFit="1" customWidth="1"/>
    <col min="7" max="7" width="13.28515625" bestFit="1" customWidth="1"/>
    <col min="8" max="8" width="14.28515625" bestFit="1" customWidth="1"/>
    <col min="9" max="9" width="14.85546875" bestFit="1" customWidth="1"/>
    <col min="10" max="10" width="15.42578125" bestFit="1" customWidth="1"/>
    <col min="11" max="11" width="16.7109375" bestFit="1" customWidth="1"/>
    <col min="12" max="12" width="12.28515625" bestFit="1" customWidth="1"/>
    <col min="13" max="13" width="13.28515625" bestFit="1" customWidth="1"/>
    <col min="14" max="14" width="11.28515625" bestFit="1" customWidth="1"/>
    <col min="15" max="16" width="12.28515625" bestFit="1" customWidth="1"/>
    <col min="17" max="17" width="11.28515625" bestFit="1" customWidth="1"/>
    <col min="18" max="18" width="12.28515625" bestFit="1" customWidth="1"/>
    <col min="22" max="22" width="23.28515625" bestFit="1" customWidth="1"/>
    <col min="23" max="23" width="26.28515625" bestFit="1" customWidth="1"/>
    <col min="24" max="24" width="26.140625" customWidth="1"/>
    <col min="25" max="25" width="12.42578125" customWidth="1"/>
    <col min="26" max="26" width="13.7109375" customWidth="1"/>
    <col min="27" max="27" width="22.140625" customWidth="1"/>
    <col min="28" max="28" width="15.85546875" customWidth="1"/>
    <col min="29" max="29" width="13.7109375" customWidth="1"/>
    <col min="30" max="30" width="24" bestFit="1" customWidth="1"/>
    <col min="31" max="31" width="16.140625" bestFit="1" customWidth="1"/>
    <col min="32" max="32" width="12.28515625" bestFit="1" customWidth="1"/>
    <col min="33" max="33" width="23.28515625" bestFit="1" customWidth="1"/>
    <col min="34" max="34" width="17" customWidth="1"/>
    <col min="35" max="35" width="16.85546875" customWidth="1"/>
    <col min="36" max="36" width="22.85546875" customWidth="1"/>
    <col min="37" max="37" width="21.5703125" bestFit="1" customWidth="1"/>
    <col min="38" max="38" width="11.7109375" bestFit="1" customWidth="1"/>
  </cols>
  <sheetData>
    <row r="1" spans="1:15" s="34" customFormat="1" ht="60.75" thickBot="1">
      <c r="A1" s="144"/>
      <c r="B1" s="145"/>
      <c r="C1" s="42" t="s">
        <v>2355</v>
      </c>
      <c r="D1" s="42" t="s">
        <v>2473</v>
      </c>
      <c r="E1" s="42" t="s">
        <v>2474</v>
      </c>
      <c r="F1" s="42" t="s">
        <v>4678</v>
      </c>
      <c r="G1" s="42" t="s">
        <v>2473</v>
      </c>
      <c r="H1" s="42" t="s">
        <v>2474</v>
      </c>
      <c r="I1" s="42" t="s">
        <v>2356</v>
      </c>
      <c r="J1" s="42" t="s">
        <v>2475</v>
      </c>
      <c r="K1" s="42" t="s">
        <v>2476</v>
      </c>
      <c r="L1" s="42" t="s">
        <v>4680</v>
      </c>
      <c r="M1" s="42" t="s">
        <v>4683</v>
      </c>
      <c r="N1" s="42" t="s">
        <v>4684</v>
      </c>
    </row>
    <row r="2" spans="1:15" ht="13.5" thickBot="1">
      <c r="A2" s="256">
        <f>A37+500</f>
        <v>821</v>
      </c>
      <c r="B2" s="147" t="str">
        <f>B37</f>
        <v>מינהל התרבות</v>
      </c>
      <c r="C2" s="137">
        <f t="shared" ref="C2:C11" si="0">SUMIF(Chapter_3,$A2,Budget_2013)</f>
        <v>0</v>
      </c>
      <c r="D2" s="135">
        <f t="shared" ref="D2:D8" si="1">G76</f>
        <v>0</v>
      </c>
      <c r="E2" s="138">
        <f t="shared" ref="E2:E8" si="2">SUM(C76:F76)</f>
        <v>0</v>
      </c>
      <c r="F2" s="137">
        <f t="shared" ref="F2:F11" ca="1" si="3">SUMIF(Chapter_3,$A2,Actual_2013)</f>
        <v>13043700</v>
      </c>
      <c r="G2" s="135">
        <f t="shared" ref="G2:G8" si="4">G66</f>
        <v>0</v>
      </c>
      <c r="H2" s="138">
        <f t="shared" ref="H2:H8" si="5">SUM(C66:F66)</f>
        <v>-36586</v>
      </c>
      <c r="I2" s="137">
        <f t="shared" ref="I2:I11" si="6">SUMIF(Chapter_3,$A2,Budget_2014)</f>
        <v>12717000</v>
      </c>
      <c r="J2" s="135">
        <f t="shared" ref="J2:J8" si="7">G56</f>
        <v>0</v>
      </c>
      <c r="K2" s="138">
        <f t="shared" ref="K2:K8" si="8">SUM(C66:F66)</f>
        <v>-36586</v>
      </c>
      <c r="L2" s="137">
        <f t="shared" ref="L2:L11" si="9">SUMIF(Chapter_3,$A2,Budget_2015)</f>
        <v>12661500</v>
      </c>
      <c r="M2" s="136">
        <f>G37</f>
        <v>0</v>
      </c>
      <c r="N2" s="141">
        <f>SUM(C37:F37)</f>
        <v>-65000</v>
      </c>
    </row>
    <row r="3" spans="1:15" ht="13.5" thickBot="1">
      <c r="A3" s="256">
        <f t="shared" ref="A3:A11" si="10">A38+500</f>
        <v>822</v>
      </c>
      <c r="B3" s="147" t="str">
        <f t="shared" ref="B3:B11" si="11">B38</f>
        <v>פעולות תרבות</v>
      </c>
      <c r="C3" s="137" t="e">
        <f t="shared" si="0"/>
        <v>#N/A</v>
      </c>
      <c r="D3" s="135">
        <f t="shared" si="1"/>
        <v>0</v>
      </c>
      <c r="E3" s="138">
        <f t="shared" si="2"/>
        <v>0</v>
      </c>
      <c r="F3" s="137">
        <f t="shared" ca="1" si="3"/>
        <v>17901900</v>
      </c>
      <c r="G3" s="135">
        <f t="shared" si="4"/>
        <v>0</v>
      </c>
      <c r="H3" s="138">
        <f t="shared" si="5"/>
        <v>-388281</v>
      </c>
      <c r="I3" s="137">
        <f t="shared" si="6"/>
        <v>20334700</v>
      </c>
      <c r="J3" s="135">
        <f t="shared" si="7"/>
        <v>0</v>
      </c>
      <c r="K3" s="138">
        <f t="shared" si="8"/>
        <v>-388281</v>
      </c>
      <c r="L3" s="137">
        <f t="shared" si="9"/>
        <v>18873100</v>
      </c>
      <c r="M3" s="136">
        <f t="shared" ref="M3:M8" si="12">G38</f>
        <v>0</v>
      </c>
      <c r="N3" s="141">
        <f t="shared" ref="N3:N8" si="13">SUM(C38:F38)</f>
        <v>-530000</v>
      </c>
    </row>
    <row r="4" spans="1:15" ht="13.5" thickBot="1">
      <c r="A4" s="256">
        <f t="shared" si="10"/>
        <v>823</v>
      </c>
      <c r="B4" s="147" t="str">
        <f t="shared" si="11"/>
        <v>ספריות עירוניות</v>
      </c>
      <c r="C4" s="137">
        <f t="shared" si="0"/>
        <v>0</v>
      </c>
      <c r="D4" s="135">
        <f t="shared" si="1"/>
        <v>0</v>
      </c>
      <c r="E4" s="138">
        <f t="shared" si="2"/>
        <v>0</v>
      </c>
      <c r="F4" s="137">
        <f t="shared" ca="1" si="3"/>
        <v>10736100</v>
      </c>
      <c r="G4" s="135">
        <f t="shared" si="4"/>
        <v>0</v>
      </c>
      <c r="H4" s="138">
        <f t="shared" si="5"/>
        <v>-2359278</v>
      </c>
      <c r="I4" s="137">
        <f t="shared" si="6"/>
        <v>8595800</v>
      </c>
      <c r="J4" s="135">
        <f t="shared" si="7"/>
        <v>0</v>
      </c>
      <c r="K4" s="138">
        <f t="shared" si="8"/>
        <v>-2359278</v>
      </c>
      <c r="L4" s="137">
        <f t="shared" si="9"/>
        <v>8630100</v>
      </c>
      <c r="M4" s="136">
        <f t="shared" si="12"/>
        <v>0</v>
      </c>
      <c r="N4" s="141">
        <f t="shared" si="13"/>
        <v>-2630000</v>
      </c>
    </row>
    <row r="5" spans="1:15" ht="13.5" thickBot="1">
      <c r="A5" s="256">
        <f t="shared" si="10"/>
        <v>824</v>
      </c>
      <c r="B5" s="147" t="str">
        <f t="shared" si="11"/>
        <v>מתנ״סים</v>
      </c>
      <c r="C5" s="137" t="e">
        <f t="shared" si="0"/>
        <v>#N/A</v>
      </c>
      <c r="D5" s="135">
        <f t="shared" si="1"/>
        <v>0</v>
      </c>
      <c r="E5" s="138">
        <f t="shared" si="2"/>
        <v>0</v>
      </c>
      <c r="F5" s="137">
        <f t="shared" ca="1" si="3"/>
        <v>36531500</v>
      </c>
      <c r="G5" s="135">
        <f t="shared" si="4"/>
        <v>0</v>
      </c>
      <c r="H5" s="138">
        <f t="shared" si="5"/>
        <v>-321198</v>
      </c>
      <c r="I5" s="137">
        <f t="shared" si="6"/>
        <v>44115400</v>
      </c>
      <c r="J5" s="135">
        <f t="shared" si="7"/>
        <v>0</v>
      </c>
      <c r="K5" s="138">
        <f t="shared" si="8"/>
        <v>-321198</v>
      </c>
      <c r="L5" s="137">
        <f t="shared" si="9"/>
        <v>44163000</v>
      </c>
      <c r="M5" s="136">
        <f t="shared" si="12"/>
        <v>0</v>
      </c>
      <c r="N5" s="141">
        <f t="shared" si="13"/>
        <v>-590000</v>
      </c>
    </row>
    <row r="6" spans="1:15" ht="13.5" thickBot="1">
      <c r="A6" s="256">
        <f t="shared" si="10"/>
        <v>825</v>
      </c>
      <c r="B6" s="147" t="str">
        <f t="shared" si="11"/>
        <v>מוסיקה ומחול</v>
      </c>
      <c r="C6" s="137">
        <f t="shared" si="0"/>
        <v>0</v>
      </c>
      <c r="D6" s="135">
        <f t="shared" si="1"/>
        <v>0</v>
      </c>
      <c r="E6" s="138">
        <f t="shared" si="2"/>
        <v>0</v>
      </c>
      <c r="F6" s="137">
        <f t="shared" ca="1" si="3"/>
        <v>9538100</v>
      </c>
      <c r="G6" s="135">
        <f t="shared" si="4"/>
        <v>0</v>
      </c>
      <c r="H6" s="138">
        <f t="shared" si="5"/>
        <v>-98225</v>
      </c>
      <c r="I6" s="137">
        <f t="shared" si="6"/>
        <v>10503000</v>
      </c>
      <c r="J6" s="135">
        <f t="shared" si="7"/>
        <v>0</v>
      </c>
      <c r="K6" s="138">
        <f t="shared" si="8"/>
        <v>-98225</v>
      </c>
      <c r="L6" s="137">
        <f t="shared" si="9"/>
        <v>10703000</v>
      </c>
      <c r="M6" s="136">
        <f t="shared" si="12"/>
        <v>0</v>
      </c>
      <c r="N6" s="141">
        <f t="shared" si="13"/>
        <v>-185000</v>
      </c>
    </row>
    <row r="7" spans="1:15" ht="13.5" thickBot="1">
      <c r="A7" s="256">
        <f t="shared" si="10"/>
        <v>828</v>
      </c>
      <c r="B7" s="147" t="str">
        <f t="shared" si="11"/>
        <v>נוער</v>
      </c>
      <c r="C7" s="137" t="e">
        <f t="shared" si="0"/>
        <v>#N/A</v>
      </c>
      <c r="D7" s="135">
        <f t="shared" si="1"/>
        <v>0</v>
      </c>
      <c r="E7" s="138">
        <f t="shared" si="2"/>
        <v>0</v>
      </c>
      <c r="F7" s="137">
        <f t="shared" ca="1" si="3"/>
        <v>7303800</v>
      </c>
      <c r="G7" s="135">
        <f t="shared" si="4"/>
        <v>-901904</v>
      </c>
      <c r="H7" s="138">
        <f t="shared" si="5"/>
        <v>-48202</v>
      </c>
      <c r="I7" s="137">
        <f t="shared" si="6"/>
        <v>7942900</v>
      </c>
      <c r="J7" s="135">
        <f t="shared" si="7"/>
        <v>-939000</v>
      </c>
      <c r="K7" s="138">
        <f t="shared" si="8"/>
        <v>-48202</v>
      </c>
      <c r="L7" s="137">
        <f t="shared" si="9"/>
        <v>8049000</v>
      </c>
      <c r="M7" s="136">
        <f t="shared" si="12"/>
        <v>-939000</v>
      </c>
      <c r="N7" s="141">
        <f t="shared" si="13"/>
        <v>-1314000</v>
      </c>
    </row>
    <row r="8" spans="1:15" ht="13.5" thickBot="1">
      <c r="A8" s="256">
        <f t="shared" si="10"/>
        <v>829</v>
      </c>
      <c r="B8" s="147" t="str">
        <f t="shared" si="11"/>
        <v>ספורט</v>
      </c>
      <c r="C8" s="137" t="e">
        <f t="shared" si="0"/>
        <v>#N/A</v>
      </c>
      <c r="D8" s="135">
        <f t="shared" si="1"/>
        <v>0</v>
      </c>
      <c r="E8" s="138">
        <f t="shared" si="2"/>
        <v>0</v>
      </c>
      <c r="F8" s="137">
        <f t="shared" ca="1" si="3"/>
        <v>14641300</v>
      </c>
      <c r="G8" s="135">
        <f t="shared" si="4"/>
        <v>0</v>
      </c>
      <c r="H8" s="138">
        <f t="shared" si="5"/>
        <v>-921657</v>
      </c>
      <c r="I8" s="137">
        <f t="shared" si="6"/>
        <v>18007100</v>
      </c>
      <c r="J8" s="135">
        <f t="shared" si="7"/>
        <v>0</v>
      </c>
      <c r="K8" s="138">
        <f t="shared" si="8"/>
        <v>-921657</v>
      </c>
      <c r="L8" s="137">
        <f t="shared" si="9"/>
        <v>16662500</v>
      </c>
      <c r="M8" s="136">
        <f t="shared" si="12"/>
        <v>0</v>
      </c>
      <c r="N8" s="141">
        <f t="shared" si="13"/>
        <v>-871800</v>
      </c>
    </row>
    <row r="9" spans="1:15" ht="13.5" thickBot="1">
      <c r="A9" s="256" t="e">
        <f t="shared" si="10"/>
        <v>#VALUE!</v>
      </c>
      <c r="B9" s="147" t="e">
        <f t="shared" si="11"/>
        <v>#N/A</v>
      </c>
      <c r="C9" s="137">
        <f t="shared" si="0"/>
        <v>0</v>
      </c>
      <c r="D9" s="135">
        <f t="shared" ref="D9:D11" si="14">G83</f>
        <v>0</v>
      </c>
      <c r="E9" s="138">
        <f t="shared" ref="E9:E11" si="15">SUM(C83:F83)</f>
        <v>0</v>
      </c>
      <c r="F9" s="137">
        <f t="shared" ca="1" si="3"/>
        <v>0</v>
      </c>
      <c r="G9" s="135">
        <f t="shared" ref="G9:G11" si="16">G73</f>
        <v>0</v>
      </c>
      <c r="H9" s="138">
        <f t="shared" ref="H9:H11" si="17">SUM(C73:F73)</f>
        <v>0</v>
      </c>
      <c r="I9" s="137">
        <f t="shared" si="6"/>
        <v>0</v>
      </c>
      <c r="J9" s="135">
        <f t="shared" ref="J9:J11" si="18">G63</f>
        <v>0</v>
      </c>
      <c r="K9" s="138">
        <f t="shared" ref="K9:K11" si="19">SUM(C73:F73)</f>
        <v>0</v>
      </c>
      <c r="L9" s="137">
        <f t="shared" si="9"/>
        <v>0</v>
      </c>
      <c r="M9" s="136">
        <f t="shared" ref="M9:M11" si="20">G44</f>
        <v>0</v>
      </c>
      <c r="N9" s="141">
        <f t="shared" ref="N9:N11" si="21">SUM(C44:F44)</f>
        <v>0</v>
      </c>
    </row>
    <row r="10" spans="1:15" ht="13.5" thickBot="1">
      <c r="A10" s="256">
        <f t="shared" si="10"/>
        <v>0</v>
      </c>
      <c r="B10" s="147" t="e">
        <f t="shared" si="11"/>
        <v>#N/A</v>
      </c>
      <c r="C10" s="137">
        <f t="shared" si="0"/>
        <v>0</v>
      </c>
      <c r="D10" s="135">
        <f t="shared" si="14"/>
        <v>0</v>
      </c>
      <c r="E10" s="138">
        <f t="shared" si="15"/>
        <v>0</v>
      </c>
      <c r="F10" s="137">
        <f t="shared" ca="1" si="3"/>
        <v>0</v>
      </c>
      <c r="G10" s="135">
        <f t="shared" si="16"/>
        <v>0</v>
      </c>
      <c r="H10" s="138">
        <f t="shared" si="17"/>
        <v>0</v>
      </c>
      <c r="I10" s="137">
        <f t="shared" si="6"/>
        <v>0</v>
      </c>
      <c r="J10" s="135">
        <f t="shared" si="18"/>
        <v>0</v>
      </c>
      <c r="K10" s="138">
        <f t="shared" si="19"/>
        <v>0</v>
      </c>
      <c r="L10" s="137">
        <f t="shared" si="9"/>
        <v>0</v>
      </c>
      <c r="M10" s="136">
        <f t="shared" si="20"/>
        <v>0</v>
      </c>
      <c r="N10" s="141">
        <f t="shared" si="21"/>
        <v>0</v>
      </c>
    </row>
    <row r="11" spans="1:15">
      <c r="A11" s="256">
        <f t="shared" si="10"/>
        <v>0</v>
      </c>
      <c r="B11" s="147" t="e">
        <f t="shared" si="11"/>
        <v>#N/A</v>
      </c>
      <c r="C11" s="137">
        <f t="shared" si="0"/>
        <v>0</v>
      </c>
      <c r="D11" s="135">
        <f t="shared" si="14"/>
        <v>0</v>
      </c>
      <c r="E11" s="138">
        <f t="shared" si="15"/>
        <v>0</v>
      </c>
      <c r="F11" s="137">
        <f t="shared" ca="1" si="3"/>
        <v>0</v>
      </c>
      <c r="G11" s="135" t="str">
        <f t="shared" si="16"/>
        <v>השתתפות משרדי ממשלה</v>
      </c>
      <c r="H11" s="138">
        <f t="shared" si="17"/>
        <v>0</v>
      </c>
      <c r="I11" s="137">
        <f t="shared" si="6"/>
        <v>0</v>
      </c>
      <c r="J11" s="135" t="str">
        <f t="shared" si="18"/>
        <v>השתתפות משרדי ממשלה</v>
      </c>
      <c r="K11" s="138">
        <f t="shared" si="19"/>
        <v>0</v>
      </c>
      <c r="L11" s="137">
        <f t="shared" si="9"/>
        <v>0</v>
      </c>
      <c r="M11" s="136">
        <f t="shared" si="20"/>
        <v>0</v>
      </c>
      <c r="N11" s="141">
        <f t="shared" si="21"/>
        <v>0</v>
      </c>
    </row>
    <row r="12" spans="1:15">
      <c r="A12" s="62"/>
    </row>
    <row r="13" spans="1:15" ht="13.5" thickBot="1"/>
    <row r="14" spans="1:15">
      <c r="A14" s="245" t="s">
        <v>4728</v>
      </c>
      <c r="B14" s="245" t="s">
        <v>4727</v>
      </c>
      <c r="C14" s="157" t="e">
        <f>C2+C3</f>
        <v>#N/A</v>
      </c>
      <c r="D14" s="158">
        <f>-D2-D3</f>
        <v>0</v>
      </c>
      <c r="E14" s="159" t="e">
        <f>C14-D14</f>
        <v>#N/A</v>
      </c>
      <c r="F14" s="157">
        <f ca="1">F2+F3</f>
        <v>30945600</v>
      </c>
      <c r="G14" s="158">
        <f>-G2-G3</f>
        <v>0</v>
      </c>
      <c r="H14" s="159">
        <f ca="1">F14-G14</f>
        <v>30945600</v>
      </c>
      <c r="I14" s="157">
        <f>I2+I3</f>
        <v>33051700</v>
      </c>
      <c r="J14" s="158">
        <f>-J2-J3</f>
        <v>0</v>
      </c>
      <c r="K14" s="159">
        <f>I14-J14</f>
        <v>33051700</v>
      </c>
      <c r="L14" s="157">
        <f>SUMIFS($L$2:$L$11,$A$2:$A$11,"&gt;=820",$A$2:$A$11,"&lt;823")+VLOOKUP(827,$A$2:$L$11,12)</f>
        <v>31534600</v>
      </c>
      <c r="M14" s="158">
        <f>-SUMIFS($M$2:$M$11,$A$2:$A$11,"&gt;=820",$A$2:$A$11,"&lt;823")-VLOOKUP(827,$A$2:$M$11,13)</f>
        <v>0</v>
      </c>
      <c r="N14" s="159">
        <f>L14-M14</f>
        <v>31534600</v>
      </c>
      <c r="O14" s="158">
        <f>-SUMIFS($N$2:$N$11,$A$2:$A$11,"&gt;=820",$A$2:$A$11,"&lt;823")-VLOOKUP(827,$A$2:$N$11,14)</f>
        <v>595000</v>
      </c>
    </row>
    <row r="15" spans="1:15">
      <c r="A15" t="s">
        <v>4726</v>
      </c>
      <c r="B15" t="s">
        <v>4724</v>
      </c>
      <c r="C15" s="153">
        <f>C4</f>
        <v>0</v>
      </c>
      <c r="D15" s="63">
        <f>-D4</f>
        <v>0</v>
      </c>
      <c r="E15" s="154">
        <f>C15-D15</f>
        <v>0</v>
      </c>
      <c r="F15" s="153">
        <f ca="1">F4</f>
        <v>10736100</v>
      </c>
      <c r="G15" s="63">
        <f>-G4</f>
        <v>0</v>
      </c>
      <c r="H15" s="154">
        <f ca="1">F15-G15</f>
        <v>10736100</v>
      </c>
      <c r="I15" s="153">
        <f>I4</f>
        <v>8595800</v>
      </c>
      <c r="J15" s="63">
        <f>-J4</f>
        <v>0</v>
      </c>
      <c r="K15" s="154">
        <f>I15-J15</f>
        <v>8595800</v>
      </c>
      <c r="L15" s="153">
        <f>VLOOKUP(823,$A$2:$L$11,12)+VLOOKUP(826,$A$2:$L$11,12)</f>
        <v>8630100</v>
      </c>
      <c r="M15" s="63">
        <f>-VLOOKUP(823,$A$2:$M$11,13)-VLOOKUP(826,$A$2:$M$11,13)</f>
        <v>0</v>
      </c>
      <c r="N15" s="154">
        <f>L15-M15</f>
        <v>8630100</v>
      </c>
      <c r="O15" s="63">
        <f>-VLOOKUP(823,$A$2:$N$11,14)-VLOOKUP(826,$A$2:$N$11,14)</f>
        <v>2630000</v>
      </c>
    </row>
    <row r="16" spans="1:15">
      <c r="A16" t="s">
        <v>4729</v>
      </c>
      <c r="B16" t="s">
        <v>4725</v>
      </c>
      <c r="C16" s="71">
        <f>C6</f>
        <v>0</v>
      </c>
      <c r="D16" s="63">
        <f>-D6</f>
        <v>0</v>
      </c>
      <c r="E16" s="154">
        <f t="shared" ref="E16" si="22">C16-D16</f>
        <v>0</v>
      </c>
      <c r="F16" s="71">
        <f ca="1">F6</f>
        <v>9538100</v>
      </c>
      <c r="G16" s="63">
        <f>-G6</f>
        <v>0</v>
      </c>
      <c r="H16" s="154">
        <f t="shared" ref="H16" ca="1" si="23">F16-G16</f>
        <v>9538100</v>
      </c>
      <c r="I16" s="71">
        <f>I6</f>
        <v>10503000</v>
      </c>
      <c r="J16" s="63">
        <f>-J6</f>
        <v>0</v>
      </c>
      <c r="K16" s="154">
        <f t="shared" ref="K16" si="24">I16-J16</f>
        <v>10503000</v>
      </c>
      <c r="L16" s="71">
        <f>VLOOKUP(824,$A$2:$L$11,12)+VLOOKUP(825,$A$2:$L$11,12)</f>
        <v>54866000</v>
      </c>
      <c r="M16" s="63">
        <f>-VLOOKUP(824,$A$2:$M$11,13)-VLOOKUP(825,$A$2:$M$11,13)</f>
        <v>0</v>
      </c>
      <c r="N16" s="154">
        <f>L16-M16</f>
        <v>54866000</v>
      </c>
      <c r="O16" s="63">
        <f>-VLOOKUP(824,$A$2:$N$11,13)-VLOOKUP(825,$A$2:$N$11,14)</f>
        <v>185000</v>
      </c>
    </row>
    <row r="17" spans="1:34">
      <c r="A17">
        <v>828</v>
      </c>
      <c r="B17" t="s">
        <v>1247</v>
      </c>
      <c r="C17" s="71" t="e">
        <f>C7</f>
        <v>#N/A</v>
      </c>
      <c r="D17" s="63">
        <f>-D7</f>
        <v>0</v>
      </c>
      <c r="E17" s="154" t="e">
        <f>C17-D17</f>
        <v>#N/A</v>
      </c>
      <c r="F17" s="71">
        <f ca="1">F7</f>
        <v>7303800</v>
      </c>
      <c r="G17" s="63">
        <f>-G7</f>
        <v>901904</v>
      </c>
      <c r="H17" s="154">
        <f ca="1">F17-G17</f>
        <v>6401896</v>
      </c>
      <c r="I17" s="71">
        <f>I7</f>
        <v>7942900</v>
      </c>
      <c r="J17" s="63">
        <f>-J7</f>
        <v>939000</v>
      </c>
      <c r="K17" s="154">
        <f>I17-J17</f>
        <v>7003900</v>
      </c>
      <c r="L17" s="71">
        <f>VLOOKUP(828,$A$2:$L$11,12)</f>
        <v>0</v>
      </c>
      <c r="M17" s="63">
        <f>-VLOOKUP(828,$A$2:$M$11,13)</f>
        <v>0</v>
      </c>
      <c r="N17" s="154">
        <f>L17-M17</f>
        <v>0</v>
      </c>
      <c r="O17" s="63">
        <f>-VLOOKUP(828,$A$2:$N$11,14)</f>
        <v>0</v>
      </c>
    </row>
    <row r="18" spans="1:34">
      <c r="A18">
        <v>829</v>
      </c>
      <c r="B18" t="s">
        <v>2482</v>
      </c>
      <c r="C18" s="153" t="e">
        <f>C8</f>
        <v>#N/A</v>
      </c>
      <c r="D18" s="63">
        <f>-D8</f>
        <v>0</v>
      </c>
      <c r="E18" s="154" t="e">
        <f>C18-D18</f>
        <v>#N/A</v>
      </c>
      <c r="F18" s="153">
        <f ca="1">F8</f>
        <v>14641300</v>
      </c>
      <c r="G18" s="63">
        <f>-G8</f>
        <v>0</v>
      </c>
      <c r="H18" s="154">
        <f ca="1">F18-G18</f>
        <v>14641300</v>
      </c>
      <c r="I18" s="153">
        <f>I8</f>
        <v>18007100</v>
      </c>
      <c r="J18" s="63">
        <f>-J8</f>
        <v>0</v>
      </c>
      <c r="K18" s="154">
        <f>I18-J18</f>
        <v>18007100</v>
      </c>
      <c r="L18" s="153">
        <f>VLOOKUP(829,$A$2:$L$11,12)</f>
        <v>0</v>
      </c>
      <c r="M18" s="63">
        <f>-VLOOKUP(829,$A$2:$M$11,13)</f>
        <v>0</v>
      </c>
      <c r="N18" s="154">
        <f>L18-M18</f>
        <v>0</v>
      </c>
      <c r="O18" s="63">
        <f>-VLOOKUP(829,$A$2:$N$11,14)</f>
        <v>0</v>
      </c>
    </row>
    <row r="19" spans="1:34">
      <c r="C19" s="153"/>
      <c r="D19" s="63"/>
      <c r="E19" s="154"/>
      <c r="F19" s="65"/>
      <c r="G19" s="65"/>
      <c r="H19" s="64"/>
      <c r="I19" s="62"/>
      <c r="J19" s="65"/>
      <c r="K19" s="64"/>
      <c r="L19" s="62"/>
      <c r="M19" s="65"/>
      <c r="N19" s="64"/>
    </row>
    <row r="20" spans="1:34">
      <c r="B20" s="245" t="str">
        <f>B14</f>
        <v>מינהלה, פעולות תרבות ותרבות תורנית</v>
      </c>
      <c r="C20" s="153" t="e">
        <f t="shared" ref="C20:M20" si="25">C14/C$26</f>
        <v>#N/A</v>
      </c>
      <c r="D20" s="63">
        <f t="shared" si="25"/>
        <v>0</v>
      </c>
      <c r="E20" s="154" t="e">
        <f t="shared" si="25"/>
        <v>#N/A</v>
      </c>
      <c r="F20" s="63">
        <f t="shared" ca="1" si="25"/>
        <v>113.27086383601757</v>
      </c>
      <c r="G20" s="63">
        <f t="shared" si="25"/>
        <v>0</v>
      </c>
      <c r="H20" s="154">
        <f t="shared" ca="1" si="25"/>
        <v>113.27086383601757</v>
      </c>
      <c r="I20" s="153">
        <f t="shared" si="25"/>
        <v>119.27715626127751</v>
      </c>
      <c r="J20" s="63">
        <f t="shared" si="25"/>
        <v>0</v>
      </c>
      <c r="K20" s="154">
        <f t="shared" si="25"/>
        <v>119.27715626127751</v>
      </c>
      <c r="L20" s="153">
        <f t="shared" si="25"/>
        <v>112.438421436629</v>
      </c>
      <c r="M20" s="63">
        <f t="shared" si="25"/>
        <v>0</v>
      </c>
      <c r="N20" s="154">
        <f>(N14+O14)/N$26</f>
        <v>114.55992799624271</v>
      </c>
    </row>
    <row r="21" spans="1:34">
      <c r="B21" s="245" t="str">
        <f t="shared" ref="B21:B24" si="26">B15</f>
        <v>ספריות עירוניות ומוקדי תרבות</v>
      </c>
      <c r="C21" s="153">
        <f t="shared" ref="C21:M21" si="27">C15/C$26</f>
        <v>0</v>
      </c>
      <c r="D21" s="63">
        <f t="shared" si="27"/>
        <v>0</v>
      </c>
      <c r="E21" s="154">
        <f t="shared" si="27"/>
        <v>0</v>
      </c>
      <c r="F21" s="63">
        <f t="shared" ca="1" si="27"/>
        <v>39.297584187408489</v>
      </c>
      <c r="G21" s="63">
        <f t="shared" si="27"/>
        <v>0</v>
      </c>
      <c r="H21" s="154">
        <f t="shared" ca="1" si="27"/>
        <v>39.297584187408489</v>
      </c>
      <c r="I21" s="153">
        <f t="shared" si="27"/>
        <v>31.020570191266692</v>
      </c>
      <c r="J21" s="63">
        <f t="shared" si="27"/>
        <v>0</v>
      </c>
      <c r="K21" s="154">
        <f t="shared" si="27"/>
        <v>31.020570191266692</v>
      </c>
      <c r="L21" s="153">
        <f t="shared" si="27"/>
        <v>30.771115563230609</v>
      </c>
      <c r="M21" s="63">
        <f t="shared" si="27"/>
        <v>0</v>
      </c>
      <c r="N21" s="154">
        <f t="shared" ref="N21:N22" si="28">(N15+O15)/N$26</f>
        <v>40.148531112447479</v>
      </c>
    </row>
    <row r="22" spans="1:34">
      <c r="B22" s="245" t="str">
        <f t="shared" si="26"/>
        <v>מתנ"סים מוסיקה ומחול</v>
      </c>
      <c r="C22" s="153">
        <f t="shared" ref="C22:M22" si="29">C16/C$26</f>
        <v>0</v>
      </c>
      <c r="D22" s="63">
        <f t="shared" si="29"/>
        <v>0</v>
      </c>
      <c r="E22" s="154">
        <f t="shared" si="29"/>
        <v>0</v>
      </c>
      <c r="F22" s="63">
        <f t="shared" ca="1" si="29"/>
        <v>34.91251830161054</v>
      </c>
      <c r="G22" s="63">
        <f t="shared" si="29"/>
        <v>0</v>
      </c>
      <c r="H22" s="154">
        <f t="shared" ca="1" si="29"/>
        <v>34.91251830161054</v>
      </c>
      <c r="I22" s="153">
        <f t="shared" si="29"/>
        <v>37.903284012991698</v>
      </c>
      <c r="J22" s="63">
        <f t="shared" si="29"/>
        <v>0</v>
      </c>
      <c r="K22" s="154">
        <f t="shared" si="29"/>
        <v>37.903284012991698</v>
      </c>
      <c r="L22" s="153">
        <f t="shared" si="29"/>
        <v>195.62786369708468</v>
      </c>
      <c r="M22" s="63">
        <f t="shared" si="29"/>
        <v>0</v>
      </c>
      <c r="N22" s="154">
        <f t="shared" si="28"/>
        <v>196.28749178704859</v>
      </c>
    </row>
    <row r="23" spans="1:34">
      <c r="B23" s="245" t="str">
        <f t="shared" si="26"/>
        <v>נוער</v>
      </c>
      <c r="C23" s="153" t="e">
        <f t="shared" ref="C23:M23" si="30">C17/ילדים_ונוער</f>
        <v>#N/A</v>
      </c>
      <c r="D23" s="63">
        <f t="shared" si="30"/>
        <v>0</v>
      </c>
      <c r="E23" s="154" t="e">
        <f t="shared" si="30"/>
        <v>#N/A</v>
      </c>
      <c r="F23" s="153">
        <f t="shared" ca="1" si="30"/>
        <v>171.24088568221529</v>
      </c>
      <c r="G23" s="63">
        <f t="shared" si="30"/>
        <v>21.145546121242738</v>
      </c>
      <c r="H23" s="154">
        <f t="shared" ca="1" si="30"/>
        <v>150.09533956097255</v>
      </c>
      <c r="I23" s="153">
        <f t="shared" si="30"/>
        <v>186.22487347480325</v>
      </c>
      <c r="J23" s="63">
        <f t="shared" si="30"/>
        <v>22.015278574933618</v>
      </c>
      <c r="K23" s="154">
        <f t="shared" si="30"/>
        <v>164.20959489986961</v>
      </c>
      <c r="L23" s="153">
        <f t="shared" si="30"/>
        <v>0</v>
      </c>
      <c r="M23" s="63">
        <f t="shared" si="30"/>
        <v>0</v>
      </c>
      <c r="N23" s="154">
        <f>(N17+O17)/ילדים_ונוער</f>
        <v>0</v>
      </c>
    </row>
    <row r="24" spans="1:34">
      <c r="B24" s="245" t="str">
        <f t="shared" si="26"/>
        <v>ספורט</v>
      </c>
      <c r="C24" s="153" t="e">
        <f t="shared" ref="C24:M24" si="31">C18/C$26</f>
        <v>#N/A</v>
      </c>
      <c r="D24" s="63">
        <f t="shared" si="31"/>
        <v>0</v>
      </c>
      <c r="E24" s="154" t="e">
        <f t="shared" si="31"/>
        <v>#N/A</v>
      </c>
      <c r="F24" s="153">
        <f t="shared" ca="1" si="31"/>
        <v>53.591874084919475</v>
      </c>
      <c r="G24" s="63">
        <f t="shared" si="31"/>
        <v>0</v>
      </c>
      <c r="H24" s="154">
        <f t="shared" ca="1" si="31"/>
        <v>53.591874084919475</v>
      </c>
      <c r="I24" s="153">
        <f t="shared" si="31"/>
        <v>64.984121255864309</v>
      </c>
      <c r="J24" s="63">
        <f t="shared" si="31"/>
        <v>0</v>
      </c>
      <c r="K24" s="154">
        <f t="shared" si="31"/>
        <v>64.984121255864309</v>
      </c>
      <c r="L24" s="153">
        <f t="shared" si="31"/>
        <v>0</v>
      </c>
      <c r="M24" s="63">
        <f t="shared" si="31"/>
        <v>0</v>
      </c>
      <c r="N24" s="248">
        <f>(N18+O18)/N$26</f>
        <v>0</v>
      </c>
    </row>
    <row r="25" spans="1:34">
      <c r="B25" s="245"/>
      <c r="C25" s="153"/>
      <c r="D25" s="63"/>
      <c r="E25" s="154"/>
      <c r="F25" s="65"/>
      <c r="G25" s="65"/>
      <c r="H25" s="64"/>
      <c r="I25" s="62"/>
      <c r="J25" s="65"/>
      <c r="K25" s="64"/>
      <c r="L25" s="62"/>
      <c r="M25" s="65"/>
      <c r="N25" s="64"/>
    </row>
    <row r="26" spans="1:34" ht="13.5" thickBot="1">
      <c r="B26" s="247" t="str">
        <f>"אוכלוסיית "&amp;דמוגרפיה!B1</f>
        <v>אוכלוסיית באר שבע</v>
      </c>
      <c r="C26" s="155">
        <f>דמוגרפיה!M7</f>
        <v>273200</v>
      </c>
      <c r="D26" s="70">
        <f t="shared" ref="D26" si="32">C26</f>
        <v>273200</v>
      </c>
      <c r="E26" s="156">
        <f>I26</f>
        <v>277100</v>
      </c>
      <c r="F26" s="70">
        <f>C26</f>
        <v>273200</v>
      </c>
      <c r="G26" s="70">
        <f t="shared" ref="G26:H26" si="33">F26</f>
        <v>273200</v>
      </c>
      <c r="H26" s="156">
        <f t="shared" si="33"/>
        <v>273200</v>
      </c>
      <c r="I26" s="155">
        <f>דמוגרפיה!N7</f>
        <v>277100</v>
      </c>
      <c r="J26" s="70">
        <f t="shared" ref="J26:K26" si="34">I26</f>
        <v>277100</v>
      </c>
      <c r="K26" s="156">
        <f t="shared" si="34"/>
        <v>277100</v>
      </c>
      <c r="L26" s="155">
        <f>דמוגרפיה!O7</f>
        <v>280461.07013137941</v>
      </c>
      <c r="M26" s="70">
        <f t="shared" ref="M26:N26" si="35">L26</f>
        <v>280461.07013137941</v>
      </c>
      <c r="N26" s="156">
        <f t="shared" si="35"/>
        <v>280461.07013137941</v>
      </c>
    </row>
    <row r="28" spans="1:34" ht="13.5" thickBot="1">
      <c r="C28" s="48" t="s">
        <v>2566</v>
      </c>
      <c r="D28" s="48" t="s">
        <v>2564</v>
      </c>
      <c r="E28" s="48" t="s">
        <v>2557</v>
      </c>
      <c r="F28" s="48" t="s">
        <v>2566</v>
      </c>
      <c r="G28" s="48" t="s">
        <v>2564</v>
      </c>
      <c r="H28" s="48" t="s">
        <v>2557</v>
      </c>
      <c r="I28" s="48" t="s">
        <v>2566</v>
      </c>
      <c r="J28" s="48" t="s">
        <v>2564</v>
      </c>
      <c r="K28" s="48" t="s">
        <v>2557</v>
      </c>
      <c r="L28" s="48" t="s">
        <v>2566</v>
      </c>
      <c r="M28" s="48" t="s">
        <v>2564</v>
      </c>
      <c r="N28" s="48" t="s">
        <v>2557</v>
      </c>
    </row>
    <row r="29" spans="1:34">
      <c r="B29" s="245" t="str">
        <f>B14</f>
        <v>מינהלה, פעולות תרבות ותרבות תורנית</v>
      </c>
      <c r="C29" s="161" t="e">
        <f>C20/E20</f>
        <v>#N/A</v>
      </c>
      <c r="D29" s="162" t="e">
        <f>C29-E29</f>
        <v>#N/A</v>
      </c>
      <c r="E29" s="169">
        <v>1</v>
      </c>
      <c r="F29" s="161">
        <f ca="1">F20/H20</f>
        <v>1</v>
      </c>
      <c r="G29" s="162">
        <f ca="1">F29-H29</f>
        <v>0</v>
      </c>
      <c r="H29" s="163">
        <v>1</v>
      </c>
      <c r="I29" s="172">
        <f>I20/K20</f>
        <v>1</v>
      </c>
      <c r="J29" s="162">
        <f>I29-K29</f>
        <v>0</v>
      </c>
      <c r="K29" s="163">
        <v>1</v>
      </c>
      <c r="L29" s="172">
        <f>L20/N20</f>
        <v>0.98148125093371841</v>
      </c>
      <c r="M29" s="162">
        <f>L29-N29</f>
        <v>-1.8518749066281592E-2</v>
      </c>
      <c r="N29" s="163">
        <v>1</v>
      </c>
    </row>
    <row r="30" spans="1:34">
      <c r="B30" s="245" t="str">
        <f t="shared" ref="B30:B31" si="36">B15</f>
        <v>ספריות עירוניות ומוקדי תרבות</v>
      </c>
      <c r="C30" s="164" t="e">
        <f>C21/E21</f>
        <v>#DIV/0!</v>
      </c>
      <c r="D30" s="160" t="e">
        <f t="shared" ref="D30:D33" si="37">C30-E30</f>
        <v>#DIV/0!</v>
      </c>
      <c r="E30" s="170">
        <v>1</v>
      </c>
      <c r="F30" s="164">
        <f ca="1">F21/H21</f>
        <v>1</v>
      </c>
      <c r="G30" s="160">
        <f t="shared" ref="G30:G33" ca="1" si="38">F30-H30</f>
        <v>0</v>
      </c>
      <c r="H30" s="165">
        <v>1</v>
      </c>
      <c r="I30" s="173">
        <f>I21/K21</f>
        <v>1</v>
      </c>
      <c r="J30" s="160">
        <f t="shared" ref="J30:J33" si="39">I30-K30</f>
        <v>0</v>
      </c>
      <c r="K30" s="165">
        <v>1</v>
      </c>
      <c r="L30" s="173">
        <f>L21/N21</f>
        <v>0.76643191445901904</v>
      </c>
      <c r="M30" s="160">
        <f t="shared" ref="M30:M32" si="40">L30-N30</f>
        <v>-0.23356808554098096</v>
      </c>
      <c r="N30" s="165">
        <v>1</v>
      </c>
    </row>
    <row r="31" spans="1:34">
      <c r="B31" s="245" t="str">
        <f t="shared" si="36"/>
        <v>מתנ"סים מוסיקה ומחול</v>
      </c>
      <c r="C31" s="164" t="e">
        <f>C22/E22</f>
        <v>#DIV/0!</v>
      </c>
      <c r="D31" s="160" t="e">
        <f t="shared" si="37"/>
        <v>#DIV/0!</v>
      </c>
      <c r="E31" s="170">
        <v>1</v>
      </c>
      <c r="F31" s="164">
        <f ca="1">F22/H22</f>
        <v>1</v>
      </c>
      <c r="G31" s="160">
        <f t="shared" ca="1" si="38"/>
        <v>0</v>
      </c>
      <c r="H31" s="165">
        <v>1</v>
      </c>
      <c r="I31" s="173">
        <f>I22/K22</f>
        <v>1</v>
      </c>
      <c r="J31" s="160">
        <f t="shared" si="39"/>
        <v>0</v>
      </c>
      <c r="K31" s="165">
        <v>1</v>
      </c>
      <c r="L31" s="173">
        <f>L22/N22</f>
        <v>0.99663947975513623</v>
      </c>
      <c r="M31" s="160">
        <f t="shared" si="40"/>
        <v>-3.3605202448637739E-3</v>
      </c>
      <c r="N31" s="165">
        <v>1</v>
      </c>
    </row>
    <row r="32" spans="1:34">
      <c r="B32" s="245" t="str">
        <f>B17</f>
        <v>נוער</v>
      </c>
      <c r="C32" s="164" t="e">
        <f>C23/E23</f>
        <v>#N/A</v>
      </c>
      <c r="D32" s="160" t="e">
        <f t="shared" ref="D32" si="41">C32-E32</f>
        <v>#N/A</v>
      </c>
      <c r="E32" s="170">
        <v>1</v>
      </c>
      <c r="F32" s="164">
        <f ca="1">F23/H23</f>
        <v>1.1408807640736431</v>
      </c>
      <c r="G32" s="160">
        <f t="shared" ca="1" si="38"/>
        <v>0.14088076407364314</v>
      </c>
      <c r="H32" s="170">
        <v>1</v>
      </c>
      <c r="I32" s="164">
        <f>I23/K23</f>
        <v>1.1340681620240152</v>
      </c>
      <c r="J32" s="160">
        <f t="shared" si="39"/>
        <v>0.13406816202401517</v>
      </c>
      <c r="K32" s="170">
        <v>1</v>
      </c>
      <c r="L32" s="164" t="e">
        <f>L23/N23</f>
        <v>#DIV/0!</v>
      </c>
      <c r="M32" s="160" t="e">
        <f t="shared" si="40"/>
        <v>#DIV/0!</v>
      </c>
      <c r="N32" s="170">
        <v>1</v>
      </c>
      <c r="V32" s="250" t="s">
        <v>2332</v>
      </c>
      <c r="W32" s="43" t="s">
        <v>153</v>
      </c>
      <c r="AG32" s="250" t="s">
        <v>2332</v>
      </c>
      <c r="AH32" s="43" t="s">
        <v>62</v>
      </c>
    </row>
    <row r="33" spans="1:38" ht="13.5" thickBot="1">
      <c r="B33" s="245" t="str">
        <f>B18</f>
        <v>ספורט</v>
      </c>
      <c r="C33" s="166" t="e">
        <f>C23/E23</f>
        <v>#N/A</v>
      </c>
      <c r="D33" s="167" t="e">
        <f t="shared" si="37"/>
        <v>#N/A</v>
      </c>
      <c r="E33" s="171">
        <v>1</v>
      </c>
      <c r="F33" s="166">
        <f ca="1">F23/H23</f>
        <v>1.1408807640736431</v>
      </c>
      <c r="G33" s="167">
        <f t="shared" ca="1" si="38"/>
        <v>0.14088076407364314</v>
      </c>
      <c r="H33" s="168">
        <v>1</v>
      </c>
      <c r="I33" s="174">
        <f>I23/K23</f>
        <v>1.1340681620240152</v>
      </c>
      <c r="J33" s="167">
        <f t="shared" si="39"/>
        <v>0.13406816202401517</v>
      </c>
      <c r="K33" s="168">
        <v>1</v>
      </c>
      <c r="L33" s="174" t="e">
        <f>L24/N24</f>
        <v>#DIV/0!</v>
      </c>
      <c r="M33" s="167" t="e">
        <f>L33-N33</f>
        <v>#DIV/0!</v>
      </c>
      <c r="N33" s="168">
        <v>1</v>
      </c>
      <c r="V33" s="250" t="s">
        <v>2333</v>
      </c>
      <c r="W33" s="43" t="s">
        <v>1171</v>
      </c>
      <c r="AG33" s="250" t="s">
        <v>2333</v>
      </c>
      <c r="AH33" s="43" t="s">
        <v>1172</v>
      </c>
    </row>
    <row r="35" spans="1:38">
      <c r="C35">
        <v>2</v>
      </c>
      <c r="D35">
        <v>4</v>
      </c>
      <c r="E35">
        <v>6</v>
      </c>
      <c r="F35">
        <v>7</v>
      </c>
      <c r="G35">
        <v>9</v>
      </c>
      <c r="I35">
        <v>1</v>
      </c>
      <c r="J35">
        <v>2</v>
      </c>
      <c r="K35">
        <v>3</v>
      </c>
      <c r="L35">
        <v>4</v>
      </c>
      <c r="M35">
        <v>5</v>
      </c>
      <c r="N35">
        <v>6</v>
      </c>
      <c r="O35">
        <v>7</v>
      </c>
      <c r="P35">
        <v>8</v>
      </c>
      <c r="Q35">
        <v>9</v>
      </c>
      <c r="V35" s="250" t="s">
        <v>4693</v>
      </c>
      <c r="W35" s="250" t="s">
        <v>4694</v>
      </c>
      <c r="AG35" s="250" t="s">
        <v>4693</v>
      </c>
      <c r="AH35" s="250" t="s">
        <v>4694</v>
      </c>
    </row>
    <row r="36" spans="1:38" s="34" customFormat="1" ht="45">
      <c r="B36" s="52">
        <v>2016</v>
      </c>
      <c r="C36" s="52" t="str">
        <f>INDEX(Revenue_type,MATCH(C$35*1,type!$A$118:$A$168,0),8)</f>
        <v>אגרות</v>
      </c>
      <c r="D36" s="52" t="str">
        <f>INDEX(Revenue_type,MATCH(D$35*1,type!$A$118:$A$168,0),8)</f>
        <v>שירותים ושכר לימוד</v>
      </c>
      <c r="E36" s="52" t="str">
        <f>INDEX(Revenue_type,MATCH(E$35*1,type!$A$118:$A$168,0),8)</f>
        <v>הכנסות מרכוש ומפעלים</v>
      </c>
      <c r="F36" s="52" t="str">
        <f>INDEX(Revenue_type,MATCH(F$35*1,type!$A$118:$A$168,0),8)</f>
        <v>השתתפות מוסדות ותרומות</v>
      </c>
      <c r="G36" s="52" t="str">
        <f>INDEX(Revenue_type,MATCH(G$35*1,type!$A$118:$A$168,0),8)</f>
        <v>השתתפות משרדי ממשלה</v>
      </c>
      <c r="I36" s="52" t="str">
        <f>INDEX(Expenditure_type,MATCH(I$35*1,type!$A$2:$A$117,0),8)</f>
        <v>משכורות וש"ע לעובדים לפי תקן</v>
      </c>
      <c r="J36" s="52" t="str">
        <f>INDEX(Expenditure_type,MATCH(J$35*1,type!$A$2:$A$117,0),8)</f>
        <v>משכורות וש"ע לעובדים בלי תקן</v>
      </c>
      <c r="K36" s="52" t="str">
        <f>INDEX(Expenditure_type,MATCH(K$35*1,type!$A$2:$A$117,0),8)</f>
        <v>פנסיה ופיצויים</v>
      </c>
      <c r="L36" s="52" t="str">
        <f>INDEX(Expenditure_type,MATCH(L$35*1,type!$A$2:$A$117,0),8)</f>
        <v>אחזקת בינים ואספקת ציוד</v>
      </c>
      <c r="M36" s="52" t="str">
        <f>INDEX(Expenditure_type,MATCH(M$35*1,type!$A$2:$A$117,0),8)</f>
        <v>הוצאות מנהליות</v>
      </c>
      <c r="N36" s="52" t="str">
        <f>INDEX(Expenditure_type,MATCH(N$35*1,type!$A$2:$A$117,0),8)</f>
        <v>מימון ופירעון מלוות</v>
      </c>
      <c r="O36" s="52" t="str">
        <f>INDEX(Expenditure_type,MATCH(O$35*1,type!$A$2:$A$117,0),8)</f>
        <v>הוצאות לפעולות</v>
      </c>
      <c r="P36" s="52" t="str">
        <f>INDEX(Expenditure_type,MATCH(P$35*1,type!$A$2:$A$117,0),8)</f>
        <v>השתתפויות תמיכות ותרומות</v>
      </c>
      <c r="Q36" s="52" t="str">
        <f>INDEX(Expenditure_type,MATCH(Q$35*1,type!$A$2:$A$117,0),8)</f>
        <v>הוצאות חד פעמיות</v>
      </c>
      <c r="V36" s="250" t="s">
        <v>4695</v>
      </c>
      <c r="W36" t="s">
        <v>50</v>
      </c>
      <c r="X36" t="s">
        <v>58</v>
      </c>
      <c r="Y36" t="s">
        <v>61</v>
      </c>
      <c r="Z36" t="s">
        <v>85</v>
      </c>
      <c r="AA36" t="s">
        <v>66</v>
      </c>
      <c r="AB36" t="s">
        <v>160</v>
      </c>
      <c r="AC36" t="s">
        <v>129</v>
      </c>
      <c r="AD36" t="s">
        <v>152</v>
      </c>
      <c r="AE36" t="s">
        <v>114</v>
      </c>
      <c r="AF36" t="s">
        <v>2354</v>
      </c>
      <c r="AG36" s="250" t="s">
        <v>4695</v>
      </c>
      <c r="AH36" t="s">
        <v>187</v>
      </c>
      <c r="AI36" t="s">
        <v>180</v>
      </c>
      <c r="AJ36" t="s">
        <v>205</v>
      </c>
      <c r="AK36" t="s">
        <v>217</v>
      </c>
      <c r="AL36" t="s">
        <v>2354</v>
      </c>
    </row>
    <row r="37" spans="1:38">
      <c r="A37" s="62">
        <f>H37-500</f>
        <v>321</v>
      </c>
      <c r="B37" s="56" t="str">
        <f>T37</f>
        <v>מינהל התרבות</v>
      </c>
      <c r="C37" s="63">
        <f>SUMIFS('הצעת תקציב 2016'!$H$3:$H$7326,'הצעת תקציב 2016'!$P$3:$P$7326,$A37,'הצעת תקציב 2016'!$U$3:$U$7326,C$35)</f>
        <v>0</v>
      </c>
      <c r="D37" s="63">
        <f>SUMIFS('הצעת תקציב 2016'!$H$3:$H$7326,'הצעת תקציב 2016'!$P$3:$P$7326,$A37,'הצעת תקציב 2016'!$U$3:$U$7326,D$35)</f>
        <v>-65000</v>
      </c>
      <c r="E37" s="63">
        <f>SUMIFS('הצעת תקציב 2016'!$H$3:$H$7326,'הצעת תקציב 2016'!$P$3:$P$7326,$A37,'הצעת תקציב 2016'!$U$3:$U$7326,E$35)</f>
        <v>0</v>
      </c>
      <c r="F37" s="63">
        <f>SUMIFS('הצעת תקציב 2016'!$H$3:$H$7326,'הצעת תקציב 2016'!$P$3:$P$7326,$A37,'הצעת תקציב 2016'!$U$3:$U$7326,F$35)</f>
        <v>0</v>
      </c>
      <c r="G37" s="63">
        <f>SUMIFS('הצעת תקציב 2016'!$H$3:$H$7326,'הצעת תקציב 2016'!$P$3:$P$7326,$A37,'הצעת תקציב 2016'!$U$3:$U$7326,G$35)</f>
        <v>0</v>
      </c>
      <c r="H37" s="256" t="str">
        <f>V37</f>
        <v>821</v>
      </c>
      <c r="I37" s="63">
        <f>SUMIFS('הצעת תקציב 2016'!$H$3:$H$7326,'הצעת תקציב 2016'!$P$3:$P$7326,$H37,'הצעת תקציב 2016'!$U$3:$U$7326,I$35)</f>
        <v>8175500</v>
      </c>
      <c r="J37" s="63">
        <f>SUMIFS('הצעת תקציב 2016'!$H$3:$H$7326,'הצעת תקציב 2016'!$P$3:$P$7326,$H37,'הצעת תקציב 2016'!$U$3:$U$7326,J$35)</f>
        <v>1837500</v>
      </c>
      <c r="K37" s="63">
        <f>SUMIFS('הצעת תקציב 2016'!$H$3:$H$7326,'הצעת תקציב 2016'!$P$3:$P$7326,$H37,'הצעת תקציב 2016'!$U$3:$U$7326,K$35)</f>
        <v>0</v>
      </c>
      <c r="L37" s="63">
        <f>SUMIFS('הצעת תקציב 2016'!$H$3:$H$7326,'הצעת תקציב 2016'!$P$3:$P$7326,$H37,'הצעת תקציב 2016'!$U$3:$U$7326,L$35)</f>
        <v>110500</v>
      </c>
      <c r="M37" s="63">
        <f>SUMIFS('הצעת תקציב 2016'!$H$3:$H$7326,'הצעת תקציב 2016'!$P$3:$P$7326,$H37,'הצעת תקציב 2016'!$U$3:$U$7326,M$35)</f>
        <v>198700</v>
      </c>
      <c r="N37" s="63">
        <f>SUMIFS('הצעת תקציב 2016'!$H$3:$H$7326,'הצעת תקציב 2016'!$P$3:$P$7326,$H37,'הצעת תקציב 2016'!$U$3:$U$7326,N$35)</f>
        <v>0</v>
      </c>
      <c r="O37" s="63">
        <f>SUMIFS('הצעת תקציב 2016'!$H$3:$H$7326,'הצעת תקציב 2016'!$P$3:$P$7326,$H37,'הצעת תקציב 2016'!$U$3:$U$7326,O$35)</f>
        <v>2339300</v>
      </c>
      <c r="P37" s="63">
        <f>SUMIFS('הצעת תקציב 2016'!$H$3:$H$7326,'הצעת תקציב 2016'!$P$3:$P$7326,$H37,'הצעת תקציב 2016'!$U$3:$U$7326,P$35)</f>
        <v>0</v>
      </c>
      <c r="Q37" s="63">
        <f>SUMIFS('הצעת תקציב 2016'!$H$3:$H$7326,'הצעת תקציב 2016'!$P$3:$P$7326,$H37,'הצעת תקציב 2016'!$U$3:$U$7326,Q$35)</f>
        <v>0</v>
      </c>
      <c r="R37" s="60">
        <f>SUM(I37:Q37)</f>
        <v>12661500</v>
      </c>
      <c r="S37" s="238"/>
      <c r="T37" t="str">
        <f>INDEX('הצעת תקציב 2016'!$P$2:$Q$6627,MATCH(H37,'הצעת תקציב 2016'!$P$2:$P$6627,0),2)</f>
        <v>מינהל התרבות</v>
      </c>
      <c r="V37" s="43" t="s">
        <v>1176</v>
      </c>
      <c r="W37" s="60">
        <v>1328000</v>
      </c>
      <c r="X37" s="60"/>
      <c r="Y37" s="60">
        <v>12000</v>
      </c>
      <c r="Z37" s="60">
        <v>122000</v>
      </c>
      <c r="AA37" s="60">
        <v>617000</v>
      </c>
      <c r="AB37" s="60">
        <v>18000</v>
      </c>
      <c r="AC37" s="60">
        <v>11858000</v>
      </c>
      <c r="AD37" s="60"/>
      <c r="AE37" s="60">
        <v>45000</v>
      </c>
      <c r="AF37" s="60">
        <v>14000000</v>
      </c>
      <c r="AG37" s="43" t="s">
        <v>1182</v>
      </c>
      <c r="AH37" s="60">
        <v>-200000</v>
      </c>
      <c r="AI37" s="60">
        <v>-900000</v>
      </c>
      <c r="AJ37" s="60">
        <v>-450000</v>
      </c>
      <c r="AK37" s="60">
        <v>-2015000</v>
      </c>
      <c r="AL37" s="60">
        <v>-3565000</v>
      </c>
    </row>
    <row r="38" spans="1:38">
      <c r="A38" s="62">
        <f t="shared" ref="A38:A46" si="42">H38-500</f>
        <v>322</v>
      </c>
      <c r="B38" s="56" t="str">
        <f t="shared" ref="B38:B46" si="43">T38</f>
        <v>פעולות תרבות</v>
      </c>
      <c r="C38" s="63">
        <f>SUMIFS('הצעת תקציב 2016'!$H$3:$H$7326,'הצעת תקציב 2016'!$P$3:$P$7326,$A38,'הצעת תקציב 2016'!$U$3:$U$7326,C$35)</f>
        <v>0</v>
      </c>
      <c r="D38" s="63">
        <f>SUMIFS('הצעת תקציב 2016'!$H$3:$H$7326,'הצעת תקציב 2016'!$P$3:$P$7326,$A38,'הצעת תקציב 2016'!$U$3:$U$7326,D$35)</f>
        <v>-530000</v>
      </c>
      <c r="E38" s="63">
        <f>SUMIFS('הצעת תקציב 2016'!$H$3:$H$7326,'הצעת תקציב 2016'!$P$3:$P$7326,$A38,'הצעת תקציב 2016'!$U$3:$U$7326,E$35)</f>
        <v>0</v>
      </c>
      <c r="F38" s="63">
        <f>SUMIFS('הצעת תקציב 2016'!$H$3:$H$7326,'הצעת תקציב 2016'!$P$3:$P$7326,$A38,'הצעת תקציב 2016'!$U$3:$U$7326,F$35)</f>
        <v>0</v>
      </c>
      <c r="G38" s="63">
        <f>SUMIFS('הצעת תקציב 2016'!$H$3:$H$7326,'הצעת תקציב 2016'!$P$3:$P$7326,$A38,'הצעת תקציב 2016'!$U$3:$U$7326,G$35)</f>
        <v>0</v>
      </c>
      <c r="H38" s="256" t="str">
        <f t="shared" ref="H38:H46" si="44">V38</f>
        <v>822</v>
      </c>
      <c r="I38" s="63">
        <f>SUMIFS('הצעת תקציב 2016'!$H$3:$H$7326,'הצעת תקציב 2016'!$P$3:$P$7326,$H38,'הצעת תקציב 2016'!$U$3:$U$7326,I$35)</f>
        <v>486000</v>
      </c>
      <c r="J38" s="63">
        <f>SUMIFS('הצעת תקציב 2016'!$H$3:$H$7326,'הצעת תקציב 2016'!$P$3:$P$7326,$H38,'הצעת תקציב 2016'!$U$3:$U$7326,J$35)</f>
        <v>99000</v>
      </c>
      <c r="K38" s="63">
        <f>SUMIFS('הצעת תקציב 2016'!$H$3:$H$7326,'הצעת תקציב 2016'!$P$3:$P$7326,$H38,'הצעת תקציב 2016'!$U$3:$U$7326,K$35)</f>
        <v>0</v>
      </c>
      <c r="L38" s="63">
        <f>SUMIFS('הצעת תקציב 2016'!$H$3:$H$7326,'הצעת תקציב 2016'!$P$3:$P$7326,$H38,'הצעת תקציב 2016'!$U$3:$U$7326,L$35)</f>
        <v>7500</v>
      </c>
      <c r="M38" s="63">
        <f>SUMIFS('הצעת תקציב 2016'!$H$3:$H$7326,'הצעת תקציב 2016'!$P$3:$P$7326,$H38,'הצעת תקציב 2016'!$U$3:$U$7326,M$35)</f>
        <v>1459600</v>
      </c>
      <c r="N38" s="63">
        <f>SUMIFS('הצעת תקציב 2016'!$H$3:$H$7326,'הצעת תקציב 2016'!$P$3:$P$7326,$H38,'הצעת תקציב 2016'!$U$3:$U$7326,N$35)</f>
        <v>0</v>
      </c>
      <c r="O38" s="63">
        <f>SUMIFS('הצעת תקציב 2016'!$H$3:$H$7326,'הצעת תקציב 2016'!$P$3:$P$7326,$H38,'הצעת תקציב 2016'!$U$3:$U$7326,O$35)</f>
        <v>14541900</v>
      </c>
      <c r="P38" s="63">
        <f>SUMIFS('הצעת תקציב 2016'!$H$3:$H$7326,'הצעת תקציב 2016'!$P$3:$P$7326,$H38,'הצעת תקציב 2016'!$U$3:$U$7326,P$35)</f>
        <v>2279100</v>
      </c>
      <c r="Q38" s="63">
        <f>SUMIFS('הצעת תקציב 2016'!$H$3:$H$7326,'הצעת תקציב 2016'!$P$3:$P$7326,$H38,'הצעת תקציב 2016'!$U$3:$U$7326,Q$35)</f>
        <v>0</v>
      </c>
      <c r="R38" s="60">
        <f t="shared" ref="R38:R46" si="45">SUM(I38:Q38)</f>
        <v>18873100</v>
      </c>
      <c r="S38" s="238"/>
      <c r="T38" t="str">
        <f>INDEX('הצעת תקציב 2016'!$P$2:$Q$6627,MATCH(H38,'הצעת תקציב 2016'!$P$2:$P$6627,0),2)</f>
        <v>פעולות תרבות</v>
      </c>
      <c r="V38" s="43" t="s">
        <v>1181</v>
      </c>
      <c r="W38" s="60">
        <v>9218000</v>
      </c>
      <c r="X38" s="60"/>
      <c r="Y38" s="60">
        <v>622000</v>
      </c>
      <c r="Z38" s="60">
        <v>179000</v>
      </c>
      <c r="AA38" s="60">
        <v>1131000</v>
      </c>
      <c r="AB38" s="60">
        <v>35000</v>
      </c>
      <c r="AC38" s="60">
        <v>17806000</v>
      </c>
      <c r="AD38" s="60">
        <v>10747000</v>
      </c>
      <c r="AE38" s="60">
        <v>2262000</v>
      </c>
      <c r="AF38" s="60">
        <v>42000000</v>
      </c>
      <c r="AG38" s="43" t="s">
        <v>1187</v>
      </c>
      <c r="AH38" s="60"/>
      <c r="AI38" s="60">
        <v>-1120000</v>
      </c>
      <c r="AJ38" s="60"/>
      <c r="AK38" s="60">
        <v>-100000</v>
      </c>
      <c r="AL38" s="60">
        <v>-1220000</v>
      </c>
    </row>
    <row r="39" spans="1:38">
      <c r="A39" s="62">
        <f t="shared" si="42"/>
        <v>323</v>
      </c>
      <c r="B39" s="56" t="str">
        <f t="shared" si="43"/>
        <v>ספריות עירוניות</v>
      </c>
      <c r="C39" s="63">
        <f>SUMIFS('הצעת תקציב 2016'!$H$3:$H$7326,'הצעת תקציב 2016'!$P$3:$P$7326,$A39,'הצעת תקציב 2016'!$U$3:$U$7326,C$35)</f>
        <v>0</v>
      </c>
      <c r="D39" s="63">
        <f>SUMIFS('הצעת תקציב 2016'!$H$3:$H$7326,'הצעת תקציב 2016'!$P$3:$P$7326,$A39,'הצעת תקציב 2016'!$U$3:$U$7326,D$35)</f>
        <v>-2630000</v>
      </c>
      <c r="E39" s="63">
        <f>SUMIFS('הצעת תקציב 2016'!$H$3:$H$7326,'הצעת תקציב 2016'!$P$3:$P$7326,$A39,'הצעת תקציב 2016'!$U$3:$U$7326,E$35)</f>
        <v>0</v>
      </c>
      <c r="F39" s="63">
        <f>SUMIFS('הצעת תקציב 2016'!$H$3:$H$7326,'הצעת תקציב 2016'!$P$3:$P$7326,$A39,'הצעת תקציב 2016'!$U$3:$U$7326,F$35)</f>
        <v>0</v>
      </c>
      <c r="G39" s="63">
        <f>SUMIFS('הצעת תקציב 2016'!$H$3:$H$7326,'הצעת תקציב 2016'!$P$3:$P$7326,$A39,'הצעת תקציב 2016'!$U$3:$U$7326,G$35)</f>
        <v>0</v>
      </c>
      <c r="H39" s="256" t="str">
        <f t="shared" si="44"/>
        <v>823</v>
      </c>
      <c r="I39" s="63">
        <f>SUMIFS('הצעת תקציב 2016'!$H$3:$H$7326,'הצעת תקציב 2016'!$P$3:$P$7326,$H39,'הצעת תקציב 2016'!$U$3:$U$7326,I$35)</f>
        <v>7143000</v>
      </c>
      <c r="J39" s="63">
        <f>SUMIFS('הצעת תקציב 2016'!$H$3:$H$7326,'הצעת תקציב 2016'!$P$3:$P$7326,$H39,'הצעת תקציב 2016'!$U$3:$U$7326,J$35)</f>
        <v>0</v>
      </c>
      <c r="K39" s="63">
        <f>SUMIFS('הצעת תקציב 2016'!$H$3:$H$7326,'הצעת תקציב 2016'!$P$3:$P$7326,$H39,'הצעת תקציב 2016'!$U$3:$U$7326,K$35)</f>
        <v>0</v>
      </c>
      <c r="L39" s="63">
        <f>SUMIFS('הצעת תקציב 2016'!$H$3:$H$7326,'הצעת תקציב 2016'!$P$3:$P$7326,$H39,'הצעת תקציב 2016'!$U$3:$U$7326,L$35)</f>
        <v>300000</v>
      </c>
      <c r="M39" s="63">
        <f>SUMIFS('הצעת תקציב 2016'!$H$3:$H$7326,'הצעת תקציב 2016'!$P$3:$P$7326,$H39,'הצעת תקציב 2016'!$U$3:$U$7326,M$35)</f>
        <v>224000</v>
      </c>
      <c r="N39" s="63">
        <f>SUMIFS('הצעת תקציב 2016'!$H$3:$H$7326,'הצעת תקציב 2016'!$P$3:$P$7326,$H39,'הצעת תקציב 2016'!$U$3:$U$7326,N$35)</f>
        <v>0</v>
      </c>
      <c r="O39" s="63">
        <f>SUMIFS('הצעת תקציב 2016'!$H$3:$H$7326,'הצעת תקציב 2016'!$P$3:$P$7326,$H39,'הצעת תקציב 2016'!$U$3:$U$7326,O$35)</f>
        <v>963100</v>
      </c>
      <c r="P39" s="63">
        <f>SUMIFS('הצעת תקציב 2016'!$H$3:$H$7326,'הצעת תקציב 2016'!$P$3:$P$7326,$H39,'הצעת תקציב 2016'!$U$3:$U$7326,P$35)</f>
        <v>0</v>
      </c>
      <c r="Q39" s="63">
        <f>SUMIFS('הצעת תקציב 2016'!$H$3:$H$7326,'הצעת תקציב 2016'!$P$3:$P$7326,$H39,'הצעת תקציב 2016'!$U$3:$U$7326,Q$35)</f>
        <v>0</v>
      </c>
      <c r="R39" s="60">
        <f t="shared" si="45"/>
        <v>8630100</v>
      </c>
      <c r="S39" s="238"/>
      <c r="T39" t="str">
        <f>INDEX('הצעת תקציב 2016'!$P$2:$Q$6627,MATCH(H39,'הצעת תקציב 2016'!$P$2:$P$6627,0),2)</f>
        <v>ספריות עירוניות</v>
      </c>
      <c r="V39" s="43" t="s">
        <v>1186</v>
      </c>
      <c r="W39" s="60">
        <v>9123000</v>
      </c>
      <c r="X39" s="60"/>
      <c r="Y39" s="60">
        <v>97000</v>
      </c>
      <c r="Z39" s="60">
        <v>5000</v>
      </c>
      <c r="AA39" s="60">
        <v>2861000</v>
      </c>
      <c r="AB39" s="60">
        <v>522000</v>
      </c>
      <c r="AC39" s="60">
        <v>3278000</v>
      </c>
      <c r="AD39" s="60">
        <v>120000</v>
      </c>
      <c r="AE39" s="60">
        <v>14000</v>
      </c>
      <c r="AF39" s="60">
        <v>16020000</v>
      </c>
      <c r="AG39" s="43" t="s">
        <v>1246</v>
      </c>
      <c r="AH39" s="60"/>
      <c r="AI39" s="60"/>
      <c r="AJ39" s="60">
        <v>-215000</v>
      </c>
      <c r="AK39" s="60">
        <v>0</v>
      </c>
      <c r="AL39" s="60">
        <v>-215000</v>
      </c>
    </row>
    <row r="40" spans="1:38">
      <c r="A40" s="62">
        <f t="shared" si="42"/>
        <v>324</v>
      </c>
      <c r="B40" s="56" t="str">
        <f t="shared" si="43"/>
        <v>מתנ״סים</v>
      </c>
      <c r="C40" s="63">
        <f>SUMIFS('הצעת תקציב 2016'!$H$3:$H$7326,'הצעת תקציב 2016'!$P$3:$P$7326,$A40,'הצעת תקציב 2016'!$U$3:$U$7326,C$35)</f>
        <v>0</v>
      </c>
      <c r="D40" s="63">
        <f>SUMIFS('הצעת תקציב 2016'!$H$3:$H$7326,'הצעת תקציב 2016'!$P$3:$P$7326,$A40,'הצעת תקציב 2016'!$U$3:$U$7326,D$35)</f>
        <v>-590000</v>
      </c>
      <c r="E40" s="63">
        <f>SUMIFS('הצעת תקציב 2016'!$H$3:$H$7326,'הצעת תקציב 2016'!$P$3:$P$7326,$A40,'הצעת תקציב 2016'!$U$3:$U$7326,E$35)</f>
        <v>0</v>
      </c>
      <c r="F40" s="63">
        <f>SUMIFS('הצעת תקציב 2016'!$H$3:$H$7326,'הצעת תקציב 2016'!$P$3:$P$7326,$A40,'הצעת תקציב 2016'!$U$3:$U$7326,F$35)</f>
        <v>0</v>
      </c>
      <c r="G40" s="63">
        <f>SUMIFS('הצעת תקציב 2016'!$H$3:$H$7326,'הצעת תקציב 2016'!$P$3:$P$7326,$A40,'הצעת תקציב 2016'!$U$3:$U$7326,G$35)</f>
        <v>0</v>
      </c>
      <c r="H40" s="256" t="str">
        <f t="shared" si="44"/>
        <v>824</v>
      </c>
      <c r="I40" s="63">
        <f>SUMIFS('הצעת תקציב 2016'!$H$3:$H$7326,'הצעת תקציב 2016'!$P$3:$P$7326,$H40,'הצעת תקציב 2016'!$U$3:$U$7326,I$35)</f>
        <v>8930000</v>
      </c>
      <c r="J40" s="63">
        <f>SUMIFS('הצעת תקציב 2016'!$H$3:$H$7326,'הצעת תקציב 2016'!$P$3:$P$7326,$H40,'הצעת תקציב 2016'!$U$3:$U$7326,J$35)</f>
        <v>0</v>
      </c>
      <c r="K40" s="63">
        <f>SUMIFS('הצעת תקציב 2016'!$H$3:$H$7326,'הצעת תקציב 2016'!$P$3:$P$7326,$H40,'הצעת תקציב 2016'!$U$3:$U$7326,K$35)</f>
        <v>0</v>
      </c>
      <c r="L40" s="63">
        <f>SUMIFS('הצעת תקציב 2016'!$H$3:$H$7326,'הצעת תקציב 2016'!$P$3:$P$7326,$H40,'הצעת תקציב 2016'!$U$3:$U$7326,L$35)</f>
        <v>232800</v>
      </c>
      <c r="M40" s="63">
        <f>SUMIFS('הצעת תקציב 2016'!$H$3:$H$7326,'הצעת תקציב 2016'!$P$3:$P$7326,$H40,'הצעת תקציב 2016'!$U$3:$U$7326,M$35)</f>
        <v>317900</v>
      </c>
      <c r="N40" s="63">
        <f>SUMIFS('הצעת תקציב 2016'!$H$3:$H$7326,'הצעת תקציב 2016'!$P$3:$P$7326,$H40,'הצעת תקציב 2016'!$U$3:$U$7326,N$35)</f>
        <v>0</v>
      </c>
      <c r="O40" s="63">
        <f>SUMIFS('הצעת תקציב 2016'!$H$3:$H$7326,'הצעת תקציב 2016'!$P$3:$P$7326,$H40,'הצעת תקציב 2016'!$U$3:$U$7326,O$35)</f>
        <v>1942900</v>
      </c>
      <c r="P40" s="63">
        <f>SUMIFS('הצעת תקציב 2016'!$H$3:$H$7326,'הצעת תקציב 2016'!$P$3:$P$7326,$H40,'הצעת תקציב 2016'!$U$3:$U$7326,P$35)</f>
        <v>32739400</v>
      </c>
      <c r="Q40" s="63">
        <f>SUMIFS('הצעת תקציב 2016'!$H$3:$H$7326,'הצעת תקציב 2016'!$P$3:$P$7326,$H40,'הצעת תקציב 2016'!$U$3:$U$7326,Q$35)</f>
        <v>0</v>
      </c>
      <c r="R40" s="60">
        <f t="shared" si="45"/>
        <v>44163000</v>
      </c>
      <c r="S40" s="238"/>
      <c r="T40" t="str">
        <f>INDEX('הצעת תקציב 2016'!$P$2:$Q$6627,MATCH(H40,'הצעת תקציב 2016'!$P$2:$P$6627,0),2)</f>
        <v>מתנ״סים</v>
      </c>
      <c r="V40" s="43" t="s">
        <v>1191</v>
      </c>
      <c r="W40" s="60">
        <v>18810000</v>
      </c>
      <c r="X40" s="60"/>
      <c r="Y40" s="60">
        <v>60000</v>
      </c>
      <c r="Z40" s="60">
        <v>40000</v>
      </c>
      <c r="AA40" s="60">
        <v>467000</v>
      </c>
      <c r="AB40" s="60">
        <v>-16000</v>
      </c>
      <c r="AC40" s="60">
        <v>20000</v>
      </c>
      <c r="AD40" s="60">
        <v>55535000</v>
      </c>
      <c r="AE40" s="60">
        <v>4000</v>
      </c>
      <c r="AF40" s="60">
        <v>74920000</v>
      </c>
      <c r="AG40" s="43" t="s">
        <v>1192</v>
      </c>
      <c r="AH40" s="60"/>
      <c r="AI40" s="60"/>
      <c r="AJ40" s="60">
        <v>0</v>
      </c>
      <c r="AK40" s="60">
        <v>-1190000</v>
      </c>
      <c r="AL40" s="60">
        <v>-1190000</v>
      </c>
    </row>
    <row r="41" spans="1:38">
      <c r="A41" s="62">
        <f t="shared" si="42"/>
        <v>325</v>
      </c>
      <c r="B41" s="56" t="str">
        <f t="shared" si="43"/>
        <v>מוסיקה ומחול</v>
      </c>
      <c r="C41" s="63">
        <f>SUMIFS('הצעת תקציב 2016'!$H$3:$H$7326,'הצעת תקציב 2016'!$P$3:$P$7326,$A41,'הצעת תקציב 2016'!$U$3:$U$7326,C$35)</f>
        <v>0</v>
      </c>
      <c r="D41" s="63">
        <f>SUMIFS('הצעת תקציב 2016'!$H$3:$H$7326,'הצעת תקציב 2016'!$P$3:$P$7326,$A41,'הצעת תקציב 2016'!$U$3:$U$7326,D$35)</f>
        <v>-185000</v>
      </c>
      <c r="E41" s="63">
        <f>SUMIFS('הצעת תקציב 2016'!$H$3:$H$7326,'הצעת תקציב 2016'!$P$3:$P$7326,$A41,'הצעת תקציב 2016'!$U$3:$U$7326,E$35)</f>
        <v>0</v>
      </c>
      <c r="F41" s="63">
        <f>SUMIFS('הצעת תקציב 2016'!$H$3:$H$7326,'הצעת תקציב 2016'!$P$3:$P$7326,$A41,'הצעת תקציב 2016'!$U$3:$U$7326,F$35)</f>
        <v>0</v>
      </c>
      <c r="G41" s="63">
        <f>SUMIFS('הצעת תקציב 2016'!$H$3:$H$7326,'הצעת תקציב 2016'!$P$3:$P$7326,$A41,'הצעת תקציב 2016'!$U$3:$U$7326,G$35)</f>
        <v>0</v>
      </c>
      <c r="H41" s="256" t="str">
        <f t="shared" si="44"/>
        <v>825</v>
      </c>
      <c r="I41" s="63">
        <f>SUMIFS('הצעת תקציב 2016'!$H$3:$H$7326,'הצעת תקציב 2016'!$P$3:$P$7326,$H41,'הצעת תקציב 2016'!$U$3:$U$7326,I$35)</f>
        <v>0</v>
      </c>
      <c r="J41" s="63">
        <f>SUMIFS('הצעת תקציב 2016'!$H$3:$H$7326,'הצעת תקציב 2016'!$P$3:$P$7326,$H41,'הצעת תקציב 2016'!$U$3:$U$7326,J$35)</f>
        <v>0</v>
      </c>
      <c r="K41" s="63">
        <f>SUMIFS('הצעת תקציב 2016'!$H$3:$H$7326,'הצעת תקציב 2016'!$P$3:$P$7326,$H41,'הצעת תקציב 2016'!$U$3:$U$7326,K$35)</f>
        <v>0</v>
      </c>
      <c r="L41" s="63">
        <f>SUMIFS('הצעת תקציב 2016'!$H$3:$H$7326,'הצעת תקציב 2016'!$P$3:$P$7326,$H41,'הצעת תקציב 2016'!$U$3:$U$7326,L$35)</f>
        <v>0</v>
      </c>
      <c r="M41" s="63">
        <f>SUMIFS('הצעת תקציב 2016'!$H$3:$H$7326,'הצעת תקציב 2016'!$P$3:$P$7326,$H41,'הצעת תקציב 2016'!$U$3:$U$7326,M$35)</f>
        <v>0</v>
      </c>
      <c r="N41" s="63">
        <f>SUMIFS('הצעת תקציב 2016'!$H$3:$H$7326,'הצעת תקציב 2016'!$P$3:$P$7326,$H41,'הצעת תקציב 2016'!$U$3:$U$7326,N$35)</f>
        <v>0</v>
      </c>
      <c r="O41" s="63">
        <f>SUMIFS('הצעת תקציב 2016'!$H$3:$H$7326,'הצעת תקציב 2016'!$P$3:$P$7326,$H41,'הצעת תקציב 2016'!$U$3:$U$7326,O$35)</f>
        <v>0</v>
      </c>
      <c r="P41" s="63">
        <f>SUMIFS('הצעת תקציב 2016'!$H$3:$H$7326,'הצעת תקציב 2016'!$P$3:$P$7326,$H41,'הצעת תקציב 2016'!$U$3:$U$7326,P$35)</f>
        <v>10703000</v>
      </c>
      <c r="Q41" s="63">
        <f>SUMIFS('הצעת תקציב 2016'!$H$3:$H$7326,'הצעת תקציב 2016'!$P$3:$P$7326,$H41,'הצעת תקציב 2016'!$U$3:$U$7326,Q$35)</f>
        <v>0</v>
      </c>
      <c r="R41" s="60">
        <f t="shared" si="45"/>
        <v>10703000</v>
      </c>
      <c r="S41" s="238"/>
      <c r="T41" t="str">
        <f>INDEX('הצעת תקציב 2016'!$P$2:$Q$6627,MATCH(H41,'הצעת תקציב 2016'!$P$2:$P$6627,0),2)</f>
        <v>מוסיקה ומחול</v>
      </c>
      <c r="V41" s="43" t="s">
        <v>1196</v>
      </c>
      <c r="W41" s="60">
        <v>1423000</v>
      </c>
      <c r="X41" s="60"/>
      <c r="Y41" s="60">
        <v>-93000</v>
      </c>
      <c r="Z41" s="60">
        <v>6000</v>
      </c>
      <c r="AA41" s="60">
        <v>14000</v>
      </c>
      <c r="AB41" s="60">
        <v>3000</v>
      </c>
      <c r="AC41" s="60">
        <v>1860000</v>
      </c>
      <c r="AD41" s="60">
        <v>101913000</v>
      </c>
      <c r="AE41" s="60">
        <v>4000</v>
      </c>
      <c r="AF41" s="60">
        <v>105130000</v>
      </c>
      <c r="AG41" s="43" t="s">
        <v>2354</v>
      </c>
      <c r="AH41" s="60">
        <v>-200000</v>
      </c>
      <c r="AI41" s="60">
        <v>-2020000</v>
      </c>
      <c r="AJ41" s="60">
        <v>-665000</v>
      </c>
      <c r="AK41" s="60">
        <v>-3305000</v>
      </c>
      <c r="AL41" s="60">
        <v>-6190000</v>
      </c>
    </row>
    <row r="42" spans="1:38">
      <c r="A42" s="62">
        <f t="shared" si="42"/>
        <v>328</v>
      </c>
      <c r="B42" s="56" t="str">
        <f t="shared" si="43"/>
        <v>נוער</v>
      </c>
      <c r="C42" s="63">
        <f>SUMIFS('הצעת תקציב 2016'!$H$3:$H$7326,'הצעת תקציב 2016'!$P$3:$P$7326,$A42,'הצעת תקציב 2016'!$U$3:$U$7326,C$35)</f>
        <v>0</v>
      </c>
      <c r="D42" s="63">
        <f>SUMIFS('הצעת תקציב 2016'!$H$3:$H$7326,'הצעת תקציב 2016'!$P$3:$P$7326,$A42,'הצעת תקציב 2016'!$U$3:$U$7326,D$35)</f>
        <v>-1314000</v>
      </c>
      <c r="E42" s="63">
        <f>SUMIFS('הצעת תקציב 2016'!$H$3:$H$7326,'הצעת תקציב 2016'!$P$3:$P$7326,$A42,'הצעת תקציב 2016'!$U$3:$U$7326,E$35)</f>
        <v>0</v>
      </c>
      <c r="F42" s="63">
        <f>SUMIFS('הצעת תקציב 2016'!$H$3:$H$7326,'הצעת תקציב 2016'!$P$3:$P$7326,$A42,'הצעת תקציב 2016'!$U$3:$U$7326,F$35)</f>
        <v>0</v>
      </c>
      <c r="G42" s="63">
        <f>SUMIFS('הצעת תקציב 2016'!$H$3:$H$7326,'הצעת תקציב 2016'!$P$3:$P$7326,$A42,'הצעת תקציב 2016'!$U$3:$U$7326,G$35)</f>
        <v>-939000</v>
      </c>
      <c r="H42" s="256" t="str">
        <f t="shared" si="44"/>
        <v>828</v>
      </c>
      <c r="I42" s="63">
        <f>SUMIFS('הצעת תקציב 2016'!$H$3:$H$7326,'הצעת תקציב 2016'!$P$3:$P$7326,$H42,'הצעת תקציב 2016'!$U$3:$U$7326,I$35)</f>
        <v>2332000</v>
      </c>
      <c r="J42" s="63">
        <f>SUMIFS('הצעת תקציב 2016'!$H$3:$H$7326,'הצעת תקציב 2016'!$P$3:$P$7326,$H42,'הצעת תקציב 2016'!$U$3:$U$7326,J$35)</f>
        <v>0</v>
      </c>
      <c r="K42" s="63">
        <f>SUMIFS('הצעת תקציב 2016'!$H$3:$H$7326,'הצעת תקציב 2016'!$P$3:$P$7326,$H42,'הצעת תקציב 2016'!$U$3:$U$7326,K$35)</f>
        <v>0</v>
      </c>
      <c r="L42" s="63">
        <f>SUMIFS('הצעת תקציב 2016'!$H$3:$H$7326,'הצעת תקציב 2016'!$P$3:$P$7326,$H42,'הצעת תקציב 2016'!$U$3:$U$7326,L$35)</f>
        <v>5000</v>
      </c>
      <c r="M42" s="63">
        <f>SUMIFS('הצעת תקציב 2016'!$H$3:$H$7326,'הצעת תקציב 2016'!$P$3:$P$7326,$H42,'הצעת תקציב 2016'!$U$3:$U$7326,M$35)</f>
        <v>71500</v>
      </c>
      <c r="N42" s="63">
        <f>SUMIFS('הצעת תקציב 2016'!$H$3:$H$7326,'הצעת תקציב 2016'!$P$3:$P$7326,$H42,'הצעת תקציב 2016'!$U$3:$U$7326,N$35)</f>
        <v>0</v>
      </c>
      <c r="O42" s="63">
        <f>SUMIFS('הצעת תקציב 2016'!$H$3:$H$7326,'הצעת תקציב 2016'!$P$3:$P$7326,$H42,'הצעת תקציב 2016'!$U$3:$U$7326,O$35)</f>
        <v>3254400</v>
      </c>
      <c r="P42" s="63">
        <f>SUMIFS('הצעת תקציב 2016'!$H$3:$H$7326,'הצעת תקציב 2016'!$P$3:$P$7326,$H42,'הצעת תקציב 2016'!$U$3:$U$7326,P$35)</f>
        <v>2386100</v>
      </c>
      <c r="Q42" s="63">
        <f>SUMIFS('הצעת תקציב 2016'!$H$3:$H$7326,'הצעת תקציב 2016'!$P$3:$P$7326,$H42,'הצעת תקציב 2016'!$U$3:$U$7326,Q$35)</f>
        <v>0</v>
      </c>
      <c r="R42" s="60">
        <f t="shared" si="45"/>
        <v>8049000</v>
      </c>
      <c r="S42" s="238"/>
      <c r="T42" t="str">
        <f>INDEX('הצעת תקציב 2016'!$P$2:$Q$6627,MATCH(H42,'הצעת תקציב 2016'!$P$2:$P$6627,0),2)</f>
        <v>נוער</v>
      </c>
      <c r="V42" s="43" t="s">
        <v>1245</v>
      </c>
      <c r="W42" s="60">
        <v>6669000</v>
      </c>
      <c r="X42" s="60">
        <v>106000</v>
      </c>
      <c r="Y42" s="60">
        <v>1225000</v>
      </c>
      <c r="Z42" s="60">
        <v>113000</v>
      </c>
      <c r="AA42" s="60">
        <v>1644000</v>
      </c>
      <c r="AB42" s="60">
        <v>1162000</v>
      </c>
      <c r="AC42" s="60">
        <v>384000</v>
      </c>
      <c r="AD42" s="60">
        <v>24551000</v>
      </c>
      <c r="AE42" s="60">
        <v>1666000</v>
      </c>
      <c r="AF42" s="60">
        <v>37520000</v>
      </c>
    </row>
    <row r="43" spans="1:38">
      <c r="A43" s="62">
        <f t="shared" si="42"/>
        <v>329</v>
      </c>
      <c r="B43" s="56" t="str">
        <f t="shared" si="43"/>
        <v>ספורט</v>
      </c>
      <c r="C43" s="63">
        <f>SUMIFS('הצעת תקציב 2016'!$H$3:$H$7326,'הצעת תקציב 2016'!$P$3:$P$7326,$A43,'הצעת תקציב 2016'!$U$3:$U$7326,C$35)</f>
        <v>0</v>
      </c>
      <c r="D43" s="63">
        <f>SUMIFS('הצעת תקציב 2016'!$H$3:$H$7326,'הצעת תקציב 2016'!$P$3:$P$7326,$A43,'הצעת תקציב 2016'!$U$3:$U$7326,D$35)</f>
        <v>-871800</v>
      </c>
      <c r="E43" s="63">
        <f>SUMIFS('הצעת תקציב 2016'!$H$3:$H$7326,'הצעת תקציב 2016'!$P$3:$P$7326,$A43,'הצעת תקציב 2016'!$U$3:$U$7326,E$35)</f>
        <v>0</v>
      </c>
      <c r="F43" s="63">
        <f>SUMIFS('הצעת תקציב 2016'!$H$3:$H$7326,'הצעת תקציב 2016'!$P$3:$P$7326,$A43,'הצעת תקציב 2016'!$U$3:$U$7326,F$35)</f>
        <v>0</v>
      </c>
      <c r="G43" s="63">
        <f>SUMIFS('הצעת תקציב 2016'!$H$3:$H$7326,'הצעת תקציב 2016'!$P$3:$P$7326,$A43,'הצעת תקציב 2016'!$U$3:$U$7326,G$35)</f>
        <v>0</v>
      </c>
      <c r="H43" s="256" t="str">
        <f t="shared" si="44"/>
        <v>829</v>
      </c>
      <c r="I43" s="63">
        <f>SUMIFS('הצעת תקציב 2016'!$H$3:$H$7326,'הצעת תקציב 2016'!$P$3:$P$7326,$H43,'הצעת תקציב 2016'!$U$3:$U$7326,I$35)</f>
        <v>3781800</v>
      </c>
      <c r="J43" s="63">
        <f>SUMIFS('הצעת תקציב 2016'!$H$3:$H$7326,'הצעת תקציב 2016'!$P$3:$P$7326,$H43,'הצעת תקציב 2016'!$U$3:$U$7326,J$35)</f>
        <v>3949200</v>
      </c>
      <c r="K43" s="63">
        <f>SUMIFS('הצעת תקציב 2016'!$H$3:$H$7326,'הצעת תקציב 2016'!$P$3:$P$7326,$H43,'הצעת תקציב 2016'!$U$3:$U$7326,K$35)</f>
        <v>0</v>
      </c>
      <c r="L43" s="63">
        <f>SUMIFS('הצעת תקציב 2016'!$H$3:$H$7326,'הצעת תקציב 2016'!$P$3:$P$7326,$H43,'הצעת תקציב 2016'!$U$3:$U$7326,L$35)</f>
        <v>49700</v>
      </c>
      <c r="M43" s="63">
        <f>SUMIFS('הצעת תקציב 2016'!$H$3:$H$7326,'הצעת תקציב 2016'!$P$3:$P$7326,$H43,'הצעת תקציב 2016'!$U$3:$U$7326,M$35)</f>
        <v>316400</v>
      </c>
      <c r="N43" s="63">
        <f>SUMIFS('הצעת תקציב 2016'!$H$3:$H$7326,'הצעת תקציב 2016'!$P$3:$P$7326,$H43,'הצעת תקציב 2016'!$U$3:$U$7326,N$35)</f>
        <v>0</v>
      </c>
      <c r="O43" s="63">
        <f>SUMIFS('הצעת תקציב 2016'!$H$3:$H$7326,'הצעת תקציב 2016'!$P$3:$P$7326,$H43,'הצעת תקציב 2016'!$U$3:$U$7326,O$35)</f>
        <v>4272400</v>
      </c>
      <c r="P43" s="63">
        <f>SUMIFS('הצעת תקציב 2016'!$H$3:$H$7326,'הצעת תקציב 2016'!$P$3:$P$7326,$H43,'הצעת תקציב 2016'!$U$3:$U$7326,P$35)</f>
        <v>4293000</v>
      </c>
      <c r="Q43" s="63">
        <f>SUMIFS('הצעת תקציב 2016'!$H$3:$H$7326,'הצעת תקציב 2016'!$P$3:$P$7326,$H43,'הצעת תקציב 2016'!$U$3:$U$7326,Q$35)</f>
        <v>0</v>
      </c>
      <c r="R43" s="60">
        <f t="shared" si="45"/>
        <v>16662500</v>
      </c>
      <c r="T43" t="str">
        <f>INDEX('הצעת תקציב 2016'!$P$2:$Q$6627,MATCH(H43,'הצעת תקציב 2016'!$P$2:$P$6627,0),2)</f>
        <v>ספורט</v>
      </c>
      <c r="V43" s="43" t="s">
        <v>2419</v>
      </c>
      <c r="W43" s="60">
        <v>6640000</v>
      </c>
      <c r="X43" s="60"/>
      <c r="Y43" s="60"/>
      <c r="Z43" s="60">
        <v>27000</v>
      </c>
      <c r="AA43" s="60">
        <v>117000</v>
      </c>
      <c r="AB43" s="60">
        <v>30000</v>
      </c>
      <c r="AC43" s="60">
        <v>10000</v>
      </c>
      <c r="AD43" s="60">
        <v>12186000</v>
      </c>
      <c r="AE43" s="60">
        <v>10000</v>
      </c>
      <c r="AF43" s="60">
        <v>19020000</v>
      </c>
    </row>
    <row r="44" spans="1:38">
      <c r="A44" s="62" t="e">
        <f t="shared" si="42"/>
        <v>#VALUE!</v>
      </c>
      <c r="B44" s="56" t="e">
        <f t="shared" si="43"/>
        <v>#N/A</v>
      </c>
      <c r="C44" s="63">
        <f>SUMIFS('הצעת תקציב 2016'!$H$3:$H$7326,'הצעת תקציב 2016'!$P$3:$P$7326,$A44,'הצעת תקציב 2016'!$U$3:$U$7326,C$35)</f>
        <v>0</v>
      </c>
      <c r="D44" s="63">
        <f>SUMIFS('הצעת תקציב 2016'!$H$3:$H$7326,'הצעת תקציב 2016'!$P$3:$P$7326,$A44,'הצעת תקציב 2016'!$U$3:$U$7326,D$35)</f>
        <v>0</v>
      </c>
      <c r="E44" s="63">
        <f>SUMIFS('הצעת תקציב 2016'!$H$3:$H$7326,'הצעת תקציב 2016'!$P$3:$P$7326,$A44,'הצעת תקציב 2016'!$U$3:$U$7326,E$35)</f>
        <v>0</v>
      </c>
      <c r="F44" s="63">
        <f>SUMIFS('הצעת תקציב 2016'!$H$3:$H$7326,'הצעת תקציב 2016'!$P$3:$P$7326,$A44,'הצעת תקציב 2016'!$U$3:$U$7326,F$35)</f>
        <v>0</v>
      </c>
      <c r="G44" s="63">
        <f>SUMIFS('הצעת תקציב 2016'!$H$3:$H$7326,'הצעת תקציב 2016'!$P$3:$P$7326,$A44,'הצעת תקציב 2016'!$U$3:$U$7326,G$35)</f>
        <v>0</v>
      </c>
      <c r="H44" s="256" t="str">
        <f t="shared" si="44"/>
        <v>Grand Total</v>
      </c>
      <c r="I44" s="63">
        <f>SUMIFS('הצעת תקציב 2016'!$H$3:$H$7326,'הצעת תקציב 2016'!$P$3:$P$7326,$H44,'הצעת תקציב 2016'!$U$3:$U$7326,I$35)</f>
        <v>0</v>
      </c>
      <c r="J44" s="63">
        <f>SUMIFS('הצעת תקציב 2016'!$H$3:$H$7326,'הצעת תקציב 2016'!$P$3:$P$7326,$H44,'הצעת תקציב 2016'!$U$3:$U$7326,J$35)</f>
        <v>0</v>
      </c>
      <c r="K44" s="63">
        <f>SUMIFS('הצעת תקציב 2016'!$H$3:$H$7326,'הצעת תקציב 2016'!$P$3:$P$7326,$H44,'הצעת תקציב 2016'!$U$3:$U$7326,K$35)</f>
        <v>0</v>
      </c>
      <c r="L44" s="63">
        <f>SUMIFS('הצעת תקציב 2016'!$H$3:$H$7326,'הצעת תקציב 2016'!$P$3:$P$7326,$H44,'הצעת תקציב 2016'!$U$3:$U$7326,L$35)</f>
        <v>0</v>
      </c>
      <c r="M44" s="63">
        <f>SUMIFS('הצעת תקציב 2016'!$H$3:$H$7326,'הצעת תקציב 2016'!$P$3:$P$7326,$H44,'הצעת תקציב 2016'!$U$3:$U$7326,M$35)</f>
        <v>0</v>
      </c>
      <c r="N44" s="63">
        <f>SUMIFS('הצעת תקציב 2016'!$H$3:$H$7326,'הצעת תקציב 2016'!$P$3:$P$7326,$H44,'הצעת תקציב 2016'!$U$3:$U$7326,N$35)</f>
        <v>0</v>
      </c>
      <c r="O44" s="63">
        <f>SUMIFS('הצעת תקציב 2016'!$H$3:$H$7326,'הצעת תקציב 2016'!$P$3:$P$7326,$H44,'הצעת תקציב 2016'!$U$3:$U$7326,O$35)</f>
        <v>0</v>
      </c>
      <c r="P44" s="63">
        <f>SUMIFS('הצעת תקציב 2016'!$H$3:$H$7326,'הצעת תקציב 2016'!$P$3:$P$7326,$H44,'הצעת תקציב 2016'!$U$3:$U$7326,P$35)</f>
        <v>0</v>
      </c>
      <c r="Q44" s="63">
        <f>SUMIFS('הצעת תקציב 2016'!$H$3:$H$7326,'הצעת תקציב 2016'!$P$3:$P$7326,$H44,'הצעת תקציב 2016'!$U$3:$U$7326,Q$35)</f>
        <v>0</v>
      </c>
      <c r="R44" s="60">
        <f t="shared" si="45"/>
        <v>0</v>
      </c>
      <c r="T44" t="e">
        <f>INDEX('הצעת תקציב 2016'!$P$2:$Q$6627,MATCH(H44,'הצעת תקציב 2016'!$P$2:$P$6627,0),2)</f>
        <v>#N/A</v>
      </c>
      <c r="V44" s="43" t="s">
        <v>2354</v>
      </c>
      <c r="W44" s="60">
        <v>53211000</v>
      </c>
      <c r="X44" s="60">
        <v>106000</v>
      </c>
      <c r="Y44" s="60">
        <v>1923000</v>
      </c>
      <c r="Z44" s="60">
        <v>492000</v>
      </c>
      <c r="AA44" s="60">
        <v>6851000</v>
      </c>
      <c r="AB44" s="60">
        <v>1754000</v>
      </c>
      <c r="AC44" s="60">
        <v>35216000</v>
      </c>
      <c r="AD44" s="60">
        <v>205052000</v>
      </c>
      <c r="AE44" s="60">
        <v>4005000</v>
      </c>
      <c r="AF44" s="60">
        <v>308610000</v>
      </c>
    </row>
    <row r="45" spans="1:38">
      <c r="A45" s="62">
        <f t="shared" si="42"/>
        <v>-500</v>
      </c>
      <c r="B45" s="56" t="e">
        <f t="shared" si="43"/>
        <v>#N/A</v>
      </c>
      <c r="H45" s="256">
        <f t="shared" si="44"/>
        <v>0</v>
      </c>
      <c r="I45" s="63">
        <f>SUMIFS('הצעת תקציב 2016'!$H$3:$H$7326,'הצעת תקציב 2016'!$P$3:$P$7326,$H45,'הצעת תקציב 2016'!$U$3:$U$7326,I$35)</f>
        <v>0</v>
      </c>
      <c r="J45" s="63">
        <f>SUMIFS('הצעת תקציב 2016'!$H$3:$H$7326,'הצעת תקציב 2016'!$P$3:$P$7326,$H45,'הצעת תקציב 2016'!$U$3:$U$7326,J$35)</f>
        <v>0</v>
      </c>
      <c r="K45" s="63">
        <f>SUMIFS('הצעת תקציב 2016'!$H$3:$H$7326,'הצעת תקציב 2016'!$P$3:$P$7326,$H45,'הצעת תקציב 2016'!$U$3:$U$7326,K$35)</f>
        <v>0</v>
      </c>
      <c r="L45" s="63">
        <f>SUMIFS('הצעת תקציב 2016'!$H$3:$H$7326,'הצעת תקציב 2016'!$P$3:$P$7326,$H45,'הצעת תקציב 2016'!$U$3:$U$7326,L$35)</f>
        <v>0</v>
      </c>
      <c r="M45" s="63">
        <f>SUMIFS('הצעת תקציב 2016'!$H$3:$H$7326,'הצעת תקציב 2016'!$P$3:$P$7326,$H45,'הצעת תקציב 2016'!$U$3:$U$7326,M$35)</f>
        <v>0</v>
      </c>
      <c r="N45" s="63">
        <f>SUMIFS('הצעת תקציב 2016'!$H$3:$H$7326,'הצעת תקציב 2016'!$P$3:$P$7326,$H45,'הצעת תקציב 2016'!$U$3:$U$7326,N$35)</f>
        <v>0</v>
      </c>
      <c r="O45" s="63">
        <f>SUMIFS('הצעת תקציב 2016'!$H$3:$H$7326,'הצעת תקציב 2016'!$P$3:$P$7326,$H45,'הצעת תקציב 2016'!$U$3:$U$7326,O$35)</f>
        <v>0</v>
      </c>
      <c r="P45" s="63">
        <f>SUMIFS('הצעת תקציב 2016'!$H$3:$H$7326,'הצעת תקציב 2016'!$P$3:$P$7326,$H45,'הצעת תקציב 2016'!$U$3:$U$7326,P$35)</f>
        <v>0</v>
      </c>
      <c r="Q45" s="63">
        <f>SUMIFS('הצעת תקציב 2016'!$H$3:$H$7326,'הצעת תקציב 2016'!$P$3:$P$7326,$H45,'הצעת תקציב 2016'!$U$3:$U$7326,Q$35)</f>
        <v>0</v>
      </c>
      <c r="R45" s="60">
        <f t="shared" si="45"/>
        <v>0</v>
      </c>
      <c r="T45" t="e">
        <f>INDEX('הצעת תקציב 2016'!$P$2:$Q$6627,MATCH(H45,'הצעת תקציב 2016'!$P$2:$P$6627,0),2)</f>
        <v>#N/A</v>
      </c>
    </row>
    <row r="46" spans="1:38">
      <c r="A46" s="62">
        <f t="shared" si="42"/>
        <v>-500</v>
      </c>
      <c r="B46" s="56" t="e">
        <f t="shared" si="43"/>
        <v>#N/A</v>
      </c>
      <c r="H46" s="256">
        <f t="shared" si="44"/>
        <v>0</v>
      </c>
      <c r="I46" s="63">
        <f>SUMIFS('הצעת תקציב 2016'!$H$3:$H$7326,'הצעת תקציב 2016'!$P$3:$P$7326,$H46,'הצעת תקציב 2016'!$U$3:$U$7326,I$35)</f>
        <v>0</v>
      </c>
      <c r="J46" s="63">
        <f>SUMIFS('הצעת תקציב 2016'!$H$3:$H$7326,'הצעת תקציב 2016'!$P$3:$P$7326,$H46,'הצעת תקציב 2016'!$U$3:$U$7326,J$35)</f>
        <v>0</v>
      </c>
      <c r="K46" s="63">
        <f>SUMIFS('הצעת תקציב 2016'!$H$3:$H$7326,'הצעת תקציב 2016'!$P$3:$P$7326,$H46,'הצעת תקציב 2016'!$U$3:$U$7326,K$35)</f>
        <v>0</v>
      </c>
      <c r="L46" s="63">
        <f>SUMIFS('הצעת תקציב 2016'!$H$3:$H$7326,'הצעת תקציב 2016'!$P$3:$P$7326,$H46,'הצעת תקציב 2016'!$U$3:$U$7326,L$35)</f>
        <v>0</v>
      </c>
      <c r="M46" s="63">
        <f>SUMIFS('הצעת תקציב 2016'!$H$3:$H$7326,'הצעת תקציב 2016'!$P$3:$P$7326,$H46,'הצעת תקציב 2016'!$U$3:$U$7326,M$35)</f>
        <v>0</v>
      </c>
      <c r="N46" s="63">
        <f>SUMIFS('הצעת תקציב 2016'!$H$3:$H$7326,'הצעת תקציב 2016'!$P$3:$P$7326,$H46,'הצעת תקציב 2016'!$U$3:$U$7326,N$35)</f>
        <v>0</v>
      </c>
      <c r="O46" s="63">
        <f>SUMIFS('הצעת תקציב 2016'!$H$3:$H$7326,'הצעת תקציב 2016'!$P$3:$P$7326,$H46,'הצעת תקציב 2016'!$U$3:$U$7326,O$35)</f>
        <v>0</v>
      </c>
      <c r="P46" s="63">
        <f>SUMIFS('הצעת תקציב 2016'!$H$3:$H$7326,'הצעת תקציב 2016'!$P$3:$P$7326,$H46,'הצעת תקציב 2016'!$U$3:$U$7326,P$35)</f>
        <v>0</v>
      </c>
      <c r="Q46" s="63">
        <f>SUMIFS('הצעת תקציב 2016'!$H$3:$H$7326,'הצעת תקציב 2016'!$P$3:$P$7326,$H46,'הצעת תקציב 2016'!$U$3:$U$7326,Q$35)</f>
        <v>0</v>
      </c>
      <c r="R46" s="60">
        <f t="shared" si="45"/>
        <v>0</v>
      </c>
      <c r="T46" t="e">
        <f>INDEX('הצעת תקציב 2016'!$P$2:$Q$6627,MATCH(H46,'הצעת תקציב 2016'!$P$2:$P$6627,0),2)</f>
        <v>#N/A</v>
      </c>
    </row>
    <row r="47" spans="1:38">
      <c r="H47" s="43"/>
    </row>
    <row r="55" spans="1:18" ht="45">
      <c r="A55" s="34"/>
      <c r="B55" s="52">
        <v>2015</v>
      </c>
      <c r="C55" s="52" t="str">
        <f>INDEX(Revenue_type,MATCH(C$35*1,type!$A$118:$A$168,0),8)</f>
        <v>אגרות</v>
      </c>
      <c r="D55" s="52" t="str">
        <f>INDEX(Revenue_type,MATCH(D$35*1,type!$A$118:$A$168,0),8)</f>
        <v>שירותים ושכר לימוד</v>
      </c>
      <c r="E55" s="52" t="str">
        <f>INDEX(Revenue_type,MATCH(E$35*1,type!$A$118:$A$168,0),8)</f>
        <v>הכנסות מרכוש ומפעלים</v>
      </c>
      <c r="F55" s="52" t="str">
        <f>INDEX(Revenue_type,MATCH(F$35*1,type!$A$118:$A$168,0),8)</f>
        <v>השתתפות מוסדות ותרומות</v>
      </c>
      <c r="G55" s="52" t="str">
        <f>INDEX(Revenue_type,MATCH(G$35*1,type!$A$118:$A$168,0),8)</f>
        <v>השתתפות משרדי ממשלה</v>
      </c>
      <c r="I55" s="52" t="str">
        <f>INDEX(Expenditure_type,MATCH(I$35*1,type!$A$2:$A$117,0),8)</f>
        <v>משכורות וש"ע לעובדים לפי תקן</v>
      </c>
      <c r="J55" s="52" t="str">
        <f>INDEX(Expenditure_type,MATCH(J$35*1,type!$A$2:$A$117,0),8)</f>
        <v>משכורות וש"ע לעובדים בלי תקן</v>
      </c>
      <c r="K55" s="52" t="str">
        <f>INDEX(Expenditure_type,MATCH(K$35*1,type!$A$2:$A$117,0),8)</f>
        <v>פנסיה ופיצויים</v>
      </c>
      <c r="L55" s="52" t="str">
        <f>INDEX(Expenditure_type,MATCH(L$35*1,type!$A$2:$A$117,0),8)</f>
        <v>אחזקת בינים ואספקת ציוד</v>
      </c>
      <c r="M55" s="52" t="str">
        <f>INDEX(Expenditure_type,MATCH(M$35*1,type!$A$2:$A$117,0),8)</f>
        <v>הוצאות מנהליות</v>
      </c>
      <c r="N55" s="52" t="str">
        <f>INDEX(Expenditure_type,MATCH(N$35*1,type!$A$2:$A$117,0),8)</f>
        <v>מימון ופירעון מלוות</v>
      </c>
      <c r="O55" s="52" t="str">
        <f>INDEX(Expenditure_type,MATCH(O$35*1,type!$A$2:$A$117,0),8)</f>
        <v>הוצאות לפעולות</v>
      </c>
      <c r="P55" s="52" t="str">
        <f>INDEX(Expenditure_type,MATCH(P$35*1,type!$A$2:$A$117,0),8)</f>
        <v>השתתפויות תמיכות ותרומות</v>
      </c>
      <c r="Q55" s="52" t="str">
        <f>INDEX(Expenditure_type,MATCH(Q$35*1,type!$A$2:$A$117,0),8)</f>
        <v>הוצאות חד פעמיות</v>
      </c>
    </row>
    <row r="56" spans="1:18">
      <c r="A56" s="62">
        <v>321</v>
      </c>
      <c r="C56" s="63">
        <f>SUMIFS('הצעת תקציב 2016'!$I$3:$I$7326,'הצעת תקציב 2016'!$P$3:$P$7326,$A56,'הצעת תקציב 2016'!$U$3:$U$7326,C$35)</f>
        <v>0</v>
      </c>
      <c r="D56" s="63">
        <f>SUMIFS('הצעת תקציב 2016'!$I$3:$I$7326,'הצעת תקציב 2016'!$P$3:$P$7326,$A56,'הצעת תקציב 2016'!$U$3:$U$7326,D$35)</f>
        <v>-65000</v>
      </c>
      <c r="E56" s="63">
        <f>SUMIFS('הצעת תקציב 2016'!$I$3:$I$7326,'הצעת תקציב 2016'!$P$3:$P$7326,$A56,'הצעת תקציב 2016'!$U$3:$U$7326,E$35)</f>
        <v>0</v>
      </c>
      <c r="F56" s="63">
        <f>SUMIFS('הצעת תקציב 2016'!$I$3:$I$7326,'הצעת תקציב 2016'!$P$3:$P$7326,$A56,'הצעת תקציב 2016'!$U$3:$U$7326,F$35)</f>
        <v>0</v>
      </c>
      <c r="G56" s="63">
        <f>SUMIFS('הצעת תקציב 2016'!$I$3:$I$7326,'הצעת תקציב 2016'!$P$3:$P$7326,$A56,'הצעת תקציב 2016'!$U$3:$U$7326,G$35)</f>
        <v>0</v>
      </c>
      <c r="H56" s="62">
        <v>821</v>
      </c>
      <c r="I56" s="63">
        <f>SUMIFS('הצעת תקציב 2016'!$I$3:$I$7326,'הצעת תקציב 2016'!$P$3:$P$7326,$H56,'הצעת תקציב 2016'!$U$3:$U$7326,I$35)</f>
        <v>7946600</v>
      </c>
      <c r="J56" s="63">
        <f>SUMIFS('הצעת תקציב 2016'!$I$3:$I$7326,'הצעת תקציב 2016'!$P$3:$P$7326,$H56,'הצעת תקציב 2016'!$U$3:$U$7326,J$35)</f>
        <v>1944000</v>
      </c>
      <c r="K56" s="63">
        <f>SUMIFS('הצעת תקציב 2016'!$I$3:$I$7326,'הצעת תקציב 2016'!$P$3:$P$7326,$H56,'הצעת תקציב 2016'!$U$3:$U$7326,K$35)</f>
        <v>0</v>
      </c>
      <c r="L56" s="63">
        <f>SUMIFS('הצעת תקציב 2016'!$I$3:$I$7326,'הצעת תקציב 2016'!$P$3:$P$7326,$H56,'הצעת תקציב 2016'!$U$3:$U$7326,L$35)</f>
        <v>112400</v>
      </c>
      <c r="M56" s="63">
        <f>SUMIFS('הצעת תקציב 2016'!$I$3:$I$7326,'הצעת תקציב 2016'!$P$3:$P$7326,$H56,'הצעת תקציב 2016'!$U$3:$U$7326,M$35)</f>
        <v>222200</v>
      </c>
      <c r="N56" s="63">
        <f>SUMIFS('הצעת תקציב 2016'!$I$3:$I$7326,'הצעת תקציב 2016'!$P$3:$P$7326,$H56,'הצעת תקציב 2016'!$U$3:$U$7326,N$35)</f>
        <v>0</v>
      </c>
      <c r="O56" s="63">
        <f>SUMIFS('הצעת תקציב 2016'!$I$3:$I$7326,'הצעת תקציב 2016'!$P$3:$P$7326,$H56,'הצעת תקציב 2016'!$U$3:$U$7326,O$35)</f>
        <v>2491800</v>
      </c>
      <c r="P56" s="63">
        <f>SUMIFS('הצעת תקציב 2016'!$I$3:$I$7326,'הצעת תקציב 2016'!$P$3:$P$7326,$H56,'הצעת תקציב 2016'!$U$3:$U$7326,P$35)</f>
        <v>0</v>
      </c>
      <c r="Q56" s="63">
        <f>SUMIFS('הצעת תקציב 2016'!$I$3:$I$7326,'הצעת תקציב 2016'!$P$3:$P$7326,$H56,'הצעת תקציב 2016'!$U$3:$U$7326,Q$35)</f>
        <v>0</v>
      </c>
      <c r="R56" s="60">
        <f>SUM(I56:Q56)</f>
        <v>12717000</v>
      </c>
    </row>
    <row r="57" spans="1:18">
      <c r="A57" s="62">
        <f t="shared" ref="A57:A63" si="46">A38</f>
        <v>322</v>
      </c>
      <c r="B57" s="56" t="s">
        <v>4685</v>
      </c>
      <c r="C57" s="63">
        <f>SUMIFS('הצעת תקציב 2016'!$I$3:$I$7326,'הצעת תקציב 2016'!$P$3:$P$7326,$A57,'הצעת תקציב 2016'!$U$3:$U$7326,C$35)</f>
        <v>0</v>
      </c>
      <c r="D57" s="63">
        <f>SUMIFS('הצעת תקציב 2016'!$I$3:$I$7326,'הצעת תקציב 2016'!$P$3:$P$7326,$A57,'הצעת תקציב 2016'!$U$3:$U$7326,D$35)</f>
        <v>-530000</v>
      </c>
      <c r="E57" s="63">
        <f>SUMIFS('הצעת תקציב 2016'!$I$3:$I$7326,'הצעת תקציב 2016'!$P$3:$P$7326,$A57,'הצעת תקציב 2016'!$U$3:$U$7326,E$35)</f>
        <v>0</v>
      </c>
      <c r="F57" s="63">
        <f>SUMIFS('הצעת תקציב 2016'!$I$3:$I$7326,'הצעת תקציב 2016'!$P$3:$P$7326,$A57,'הצעת תקציב 2016'!$U$3:$U$7326,F$35)</f>
        <v>0</v>
      </c>
      <c r="G57" s="63">
        <f>SUMIFS('הצעת תקציב 2016'!$I$3:$I$7326,'הצעת תקציב 2016'!$P$3:$P$7326,$A57,'הצעת תקציב 2016'!$U$3:$U$7326,G$35)</f>
        <v>0</v>
      </c>
      <c r="H57" s="62">
        <v>822</v>
      </c>
      <c r="I57" s="63">
        <f>SUMIFS('הצעת תקציב 2016'!$I$3:$I$7326,'הצעת תקציב 2016'!$P$3:$P$7326,$H57,'הצעת תקציב 2016'!$U$3:$U$7326,I$35)</f>
        <v>481000</v>
      </c>
      <c r="J57" s="63">
        <f>SUMIFS('הצעת תקציב 2016'!$I$3:$I$7326,'הצעת תקציב 2016'!$P$3:$P$7326,$H57,'הצעת תקציב 2016'!$U$3:$U$7326,J$35)</f>
        <v>98000</v>
      </c>
      <c r="K57" s="63">
        <f>SUMIFS('הצעת תקציב 2016'!$I$3:$I$7326,'הצעת תקציב 2016'!$P$3:$P$7326,$H57,'הצעת תקציב 2016'!$U$3:$U$7326,K$35)</f>
        <v>0</v>
      </c>
      <c r="L57" s="63">
        <f>SUMIFS('הצעת תקציב 2016'!$I$3:$I$7326,'הצעת תקציב 2016'!$P$3:$P$7326,$H57,'הצעת תקציב 2016'!$U$3:$U$7326,L$35)</f>
        <v>7500</v>
      </c>
      <c r="M57" s="63">
        <f>SUMIFS('הצעת תקציב 2016'!$I$3:$I$7326,'הצעת תקציב 2016'!$P$3:$P$7326,$H57,'הצעת תקציב 2016'!$U$3:$U$7326,M$35)</f>
        <v>1783000</v>
      </c>
      <c r="N57" s="63">
        <f>SUMIFS('הצעת תקציב 2016'!$I$3:$I$7326,'הצעת תקציב 2016'!$P$3:$P$7326,$H57,'הצעת תקציב 2016'!$U$3:$U$7326,N$35)</f>
        <v>0</v>
      </c>
      <c r="O57" s="63">
        <f>SUMIFS('הצעת תקציב 2016'!$I$3:$I$7326,'הצעת תקציב 2016'!$P$3:$P$7326,$H57,'הצעת תקציב 2016'!$U$3:$U$7326,O$35)</f>
        <v>15619100</v>
      </c>
      <c r="P57" s="63">
        <f>SUMIFS('הצעת תקציב 2016'!$I$3:$I$7326,'הצעת תקציב 2016'!$P$3:$P$7326,$H57,'הצעת תקציב 2016'!$U$3:$U$7326,P$35)</f>
        <v>2346100</v>
      </c>
      <c r="Q57" s="63">
        <f>SUMIFS('הצעת תקציב 2016'!$I$3:$I$7326,'הצעת תקציב 2016'!$P$3:$P$7326,$H57,'הצעת תקציב 2016'!$U$3:$U$7326,Q$35)</f>
        <v>0</v>
      </c>
      <c r="R57" s="60">
        <f t="shared" ref="R57:R63" si="47">SUM(I57:Q57)</f>
        <v>20334700</v>
      </c>
    </row>
    <row r="58" spans="1:18">
      <c r="A58" s="62">
        <f t="shared" si="46"/>
        <v>323</v>
      </c>
      <c r="B58" t="s">
        <v>1188</v>
      </c>
      <c r="C58" s="63">
        <f>SUMIFS('הצעת תקציב 2016'!$I$3:$I$7326,'הצעת תקציב 2016'!$P$3:$P$7326,$A58,'הצעת תקציב 2016'!$U$3:$U$7326,C$35)</f>
        <v>0</v>
      </c>
      <c r="D58" s="63">
        <f>SUMIFS('הצעת תקציב 2016'!$I$3:$I$7326,'הצעת תקציב 2016'!$P$3:$P$7326,$A58,'הצעת תקציב 2016'!$U$3:$U$7326,D$35)</f>
        <v>-2630000</v>
      </c>
      <c r="E58" s="63">
        <f>SUMIFS('הצעת תקציב 2016'!$I$3:$I$7326,'הצעת תקציב 2016'!$P$3:$P$7326,$A58,'הצעת תקציב 2016'!$U$3:$U$7326,E$35)</f>
        <v>0</v>
      </c>
      <c r="F58" s="63">
        <f>SUMIFS('הצעת תקציב 2016'!$I$3:$I$7326,'הצעת תקציב 2016'!$P$3:$P$7326,$A58,'הצעת תקציב 2016'!$U$3:$U$7326,F$35)</f>
        <v>0</v>
      </c>
      <c r="G58" s="63">
        <f>SUMIFS('הצעת תקציב 2016'!$I$3:$I$7326,'הצעת תקציב 2016'!$P$3:$P$7326,$A58,'הצעת תקציב 2016'!$U$3:$U$7326,G$35)</f>
        <v>0</v>
      </c>
      <c r="H58" s="62">
        <v>823</v>
      </c>
      <c r="I58" s="63">
        <f>SUMIFS('הצעת תקציב 2016'!$I$3:$I$7326,'הצעת תקציב 2016'!$P$3:$P$7326,$H58,'הצעת תקציב 2016'!$U$3:$U$7326,I$35)</f>
        <v>7065000</v>
      </c>
      <c r="J58" s="63">
        <f>SUMIFS('הצעת תקציב 2016'!$I$3:$I$7326,'הצעת תקציב 2016'!$P$3:$P$7326,$H58,'הצעת תקציב 2016'!$U$3:$U$7326,J$35)</f>
        <v>0</v>
      </c>
      <c r="K58" s="63">
        <f>SUMIFS('הצעת תקציב 2016'!$I$3:$I$7326,'הצעת תקציב 2016'!$P$3:$P$7326,$H58,'הצעת תקציב 2016'!$U$3:$U$7326,K$35)</f>
        <v>0</v>
      </c>
      <c r="L58" s="63">
        <f>SUMIFS('הצעת תקציב 2016'!$I$3:$I$7326,'הצעת תקציב 2016'!$P$3:$P$7326,$H58,'הצעת תקציב 2016'!$U$3:$U$7326,L$35)</f>
        <v>319700</v>
      </c>
      <c r="M58" s="63">
        <f>SUMIFS('הצעת תקציב 2016'!$I$3:$I$7326,'הצעת תקציב 2016'!$P$3:$P$7326,$H58,'הצעת תקציב 2016'!$U$3:$U$7326,M$35)</f>
        <v>225000</v>
      </c>
      <c r="N58" s="63">
        <f>SUMIFS('הצעת תקציב 2016'!$I$3:$I$7326,'הצעת תקציב 2016'!$P$3:$P$7326,$H58,'הצעת תקציב 2016'!$U$3:$U$7326,N$35)</f>
        <v>0</v>
      </c>
      <c r="O58" s="63">
        <f>SUMIFS('הצעת תקציב 2016'!$I$3:$I$7326,'הצעת תקציב 2016'!$P$3:$P$7326,$H58,'הצעת תקציב 2016'!$U$3:$U$7326,O$35)</f>
        <v>986100</v>
      </c>
      <c r="P58" s="63">
        <f>SUMIFS('הצעת תקציב 2016'!$I$3:$I$7326,'הצעת תקציב 2016'!$P$3:$P$7326,$H58,'הצעת תקציב 2016'!$U$3:$U$7326,P$35)</f>
        <v>0</v>
      </c>
      <c r="Q58" s="63">
        <f>SUMIFS('הצעת תקציב 2016'!$I$3:$I$7326,'הצעת תקציב 2016'!$P$3:$P$7326,$H58,'הצעת תקציב 2016'!$U$3:$U$7326,Q$35)</f>
        <v>0</v>
      </c>
      <c r="R58" s="60">
        <f t="shared" si="47"/>
        <v>8595800</v>
      </c>
    </row>
    <row r="59" spans="1:18">
      <c r="A59" s="62">
        <f t="shared" si="46"/>
        <v>324</v>
      </c>
      <c r="B59" s="56" t="s">
        <v>4686</v>
      </c>
      <c r="C59" s="63">
        <f>SUMIFS('הצעת תקציב 2016'!$I$3:$I$7326,'הצעת תקציב 2016'!$P$3:$P$7326,$A59,'הצעת תקציב 2016'!$U$3:$U$7326,C$35)</f>
        <v>0</v>
      </c>
      <c r="D59" s="63">
        <f>SUMIFS('הצעת תקציב 2016'!$I$3:$I$7326,'הצעת תקציב 2016'!$P$3:$P$7326,$A59,'הצעת תקציב 2016'!$U$3:$U$7326,D$35)</f>
        <v>-590000</v>
      </c>
      <c r="E59" s="63">
        <f>SUMIFS('הצעת תקציב 2016'!$I$3:$I$7326,'הצעת תקציב 2016'!$P$3:$P$7326,$A59,'הצעת תקציב 2016'!$U$3:$U$7326,E$35)</f>
        <v>0</v>
      </c>
      <c r="F59" s="63">
        <f>SUMIFS('הצעת תקציב 2016'!$I$3:$I$7326,'הצעת תקציב 2016'!$P$3:$P$7326,$A59,'הצעת תקציב 2016'!$U$3:$U$7326,F$35)</f>
        <v>0</v>
      </c>
      <c r="G59" s="63">
        <f>SUMIFS('הצעת תקציב 2016'!$I$3:$I$7326,'הצעת תקציב 2016'!$P$3:$P$7326,$A59,'הצעת תקציב 2016'!$U$3:$U$7326,G$35)</f>
        <v>0</v>
      </c>
      <c r="H59" s="62">
        <v>824</v>
      </c>
      <c r="I59" s="63">
        <f>SUMIFS('הצעת תקציב 2016'!$I$3:$I$7326,'הצעת תקציב 2016'!$P$3:$P$7326,$H59,'הצעת תקציב 2016'!$U$3:$U$7326,I$35)</f>
        <v>8773000</v>
      </c>
      <c r="J59" s="63">
        <f>SUMIFS('הצעת תקציב 2016'!$I$3:$I$7326,'הצעת תקציב 2016'!$P$3:$P$7326,$H59,'הצעת תקציב 2016'!$U$3:$U$7326,J$35)</f>
        <v>0</v>
      </c>
      <c r="K59" s="63">
        <f>SUMIFS('הצעת תקציב 2016'!$I$3:$I$7326,'הצעת תקציב 2016'!$P$3:$P$7326,$H59,'הצעת תקציב 2016'!$U$3:$U$7326,K$35)</f>
        <v>0</v>
      </c>
      <c r="L59" s="63">
        <f>SUMIFS('הצעת תקציב 2016'!$I$3:$I$7326,'הצעת תקציב 2016'!$P$3:$P$7326,$H59,'הצעת תקציב 2016'!$U$3:$U$7326,L$35)</f>
        <v>234800</v>
      </c>
      <c r="M59" s="63">
        <f>SUMIFS('הצעת תקציב 2016'!$I$3:$I$7326,'הצעת תקציב 2016'!$P$3:$P$7326,$H59,'הצעת תקציב 2016'!$U$3:$U$7326,M$35)</f>
        <v>325500</v>
      </c>
      <c r="N59" s="63">
        <f>SUMIFS('הצעת תקציב 2016'!$I$3:$I$7326,'הצעת תקציב 2016'!$P$3:$P$7326,$H59,'הצעת תקציב 2016'!$U$3:$U$7326,N$35)</f>
        <v>0</v>
      </c>
      <c r="O59" s="63">
        <f>SUMIFS('הצעת תקציב 2016'!$I$3:$I$7326,'הצעת תקציב 2016'!$P$3:$P$7326,$H59,'הצעת תקציב 2016'!$U$3:$U$7326,O$35)</f>
        <v>2006600</v>
      </c>
      <c r="P59" s="63">
        <f>SUMIFS('הצעת תקציב 2016'!$I$3:$I$7326,'הצעת תקציב 2016'!$P$3:$P$7326,$H59,'הצעת תקציב 2016'!$U$3:$U$7326,P$35)</f>
        <v>32775500</v>
      </c>
      <c r="Q59" s="63">
        <f>SUMIFS('הצעת תקציב 2016'!$I$3:$I$7326,'הצעת תקציב 2016'!$P$3:$P$7326,$H59,'הצעת תקציב 2016'!$U$3:$U$7326,Q$35)</f>
        <v>0</v>
      </c>
      <c r="R59" s="60">
        <f t="shared" si="47"/>
        <v>44115400</v>
      </c>
    </row>
    <row r="60" spans="1:18">
      <c r="A60" s="62">
        <f t="shared" si="46"/>
        <v>325</v>
      </c>
      <c r="B60" t="s">
        <v>1198</v>
      </c>
      <c r="C60" s="63">
        <f>SUMIFS('הצעת תקציב 2016'!$I$3:$I$7326,'הצעת תקציב 2016'!$P$3:$P$7326,$A60,'הצעת תקציב 2016'!$U$3:$U$7326,C$35)</f>
        <v>0</v>
      </c>
      <c r="D60" s="63">
        <f>SUMIFS('הצעת תקציב 2016'!$I$3:$I$7326,'הצעת תקציב 2016'!$P$3:$P$7326,$A60,'הצעת תקציב 2016'!$U$3:$U$7326,D$35)</f>
        <v>-185000</v>
      </c>
      <c r="E60" s="63">
        <f>SUMIFS('הצעת תקציב 2016'!$I$3:$I$7326,'הצעת תקציב 2016'!$P$3:$P$7326,$A60,'הצעת תקציב 2016'!$U$3:$U$7326,E$35)</f>
        <v>0</v>
      </c>
      <c r="F60" s="63">
        <f>SUMIFS('הצעת תקציב 2016'!$I$3:$I$7326,'הצעת תקציב 2016'!$P$3:$P$7326,$A60,'הצעת תקציב 2016'!$U$3:$U$7326,F$35)</f>
        <v>0</v>
      </c>
      <c r="G60" s="63">
        <f>SUMIFS('הצעת תקציב 2016'!$I$3:$I$7326,'הצעת תקציב 2016'!$P$3:$P$7326,$A60,'הצעת תקציב 2016'!$U$3:$U$7326,G$35)</f>
        <v>0</v>
      </c>
      <c r="H60" s="62">
        <v>825</v>
      </c>
      <c r="I60" s="63">
        <f>SUMIFS('הצעת תקציב 2016'!$I$3:$I$7326,'הצעת תקציב 2016'!$P$3:$P$7326,$H60,'הצעת תקציב 2016'!$U$3:$U$7326,I$35)</f>
        <v>0</v>
      </c>
      <c r="J60" s="63">
        <f>SUMIFS('הצעת תקציב 2016'!$I$3:$I$7326,'הצעת תקציב 2016'!$P$3:$P$7326,$H60,'הצעת תקציב 2016'!$U$3:$U$7326,J$35)</f>
        <v>0</v>
      </c>
      <c r="K60" s="63">
        <f>SUMIFS('הצעת תקציב 2016'!$I$3:$I$7326,'הצעת תקציב 2016'!$P$3:$P$7326,$H60,'הצעת תקציב 2016'!$U$3:$U$7326,K$35)</f>
        <v>0</v>
      </c>
      <c r="L60" s="63">
        <f>SUMIFS('הצעת תקציב 2016'!$I$3:$I$7326,'הצעת תקציב 2016'!$P$3:$P$7326,$H60,'הצעת תקציב 2016'!$U$3:$U$7326,L$35)</f>
        <v>0</v>
      </c>
      <c r="M60" s="63">
        <f>SUMIFS('הצעת תקציב 2016'!$I$3:$I$7326,'הצעת תקציב 2016'!$P$3:$P$7326,$H60,'הצעת תקציב 2016'!$U$3:$U$7326,M$35)</f>
        <v>0</v>
      </c>
      <c r="N60" s="63">
        <f>SUMIFS('הצעת תקציב 2016'!$I$3:$I$7326,'הצעת תקציב 2016'!$P$3:$P$7326,$H60,'הצעת תקציב 2016'!$U$3:$U$7326,N$35)</f>
        <v>0</v>
      </c>
      <c r="O60" s="63">
        <f>SUMIFS('הצעת תקציב 2016'!$I$3:$I$7326,'הצעת תקציב 2016'!$P$3:$P$7326,$H60,'הצעת תקציב 2016'!$U$3:$U$7326,O$35)</f>
        <v>0</v>
      </c>
      <c r="P60" s="63">
        <f>SUMIFS('הצעת תקציב 2016'!$I$3:$I$7326,'הצעת תקציב 2016'!$P$3:$P$7326,$H60,'הצעת תקציב 2016'!$U$3:$U$7326,P$35)</f>
        <v>10503000</v>
      </c>
      <c r="Q60" s="63">
        <f>SUMIFS('הצעת תקציב 2016'!$I$3:$I$7326,'הצעת תקציב 2016'!$P$3:$P$7326,$H60,'הצעת תקציב 2016'!$U$3:$U$7326,Q$35)</f>
        <v>0</v>
      </c>
      <c r="R60" s="60">
        <f t="shared" si="47"/>
        <v>10503000</v>
      </c>
    </row>
    <row r="61" spans="1:18">
      <c r="A61" s="62">
        <f t="shared" si="46"/>
        <v>328</v>
      </c>
      <c r="B61" t="s">
        <v>1218</v>
      </c>
      <c r="C61" s="63">
        <f>SUMIFS('הצעת תקציב 2016'!$I$3:$I$7326,'הצעת תקציב 2016'!$P$3:$P$7326,$A61,'הצעת תקציב 2016'!$U$3:$U$7326,C$35)</f>
        <v>0</v>
      </c>
      <c r="D61" s="63">
        <f>SUMIFS('הצעת תקציב 2016'!$I$3:$I$7326,'הצעת תקציב 2016'!$P$3:$P$7326,$A61,'הצעת תקציב 2016'!$U$3:$U$7326,D$35)</f>
        <v>-368000</v>
      </c>
      <c r="E61" s="63">
        <f>SUMIFS('הצעת תקציב 2016'!$I$3:$I$7326,'הצעת תקציב 2016'!$P$3:$P$7326,$A61,'הצעת תקציב 2016'!$U$3:$U$7326,E$35)</f>
        <v>0</v>
      </c>
      <c r="F61" s="63">
        <f>SUMIFS('הצעת תקציב 2016'!$I$3:$I$7326,'הצעת תקציב 2016'!$P$3:$P$7326,$A61,'הצעת תקציב 2016'!$U$3:$U$7326,F$35)</f>
        <v>0</v>
      </c>
      <c r="G61" s="63">
        <f>SUMIFS('הצעת תקציב 2016'!$I$3:$I$7326,'הצעת תקציב 2016'!$P$3:$P$7326,$A61,'הצעת תקציב 2016'!$U$3:$U$7326,G$35)</f>
        <v>-939000</v>
      </c>
      <c r="H61" s="62">
        <v>826</v>
      </c>
      <c r="I61" s="63">
        <f>SUMIFS('הצעת תקציב 2016'!$I$3:$I$7326,'הצעת תקציב 2016'!$P$3:$P$7326,$H61,'הצעת תקציב 2016'!$U$3:$U$7326,I$35)</f>
        <v>0</v>
      </c>
      <c r="J61" s="63">
        <f>SUMIFS('הצעת תקציב 2016'!$I$3:$I$7326,'הצעת תקציב 2016'!$P$3:$P$7326,$H61,'הצעת תקציב 2016'!$U$3:$U$7326,J$35)</f>
        <v>0</v>
      </c>
      <c r="K61" s="63">
        <f>SUMIFS('הצעת תקציב 2016'!$I$3:$I$7326,'הצעת תקציב 2016'!$P$3:$P$7326,$H61,'הצעת תקציב 2016'!$U$3:$U$7326,K$35)</f>
        <v>0</v>
      </c>
      <c r="L61" s="63">
        <f>SUMIFS('הצעת תקציב 2016'!$I$3:$I$7326,'הצעת תקציב 2016'!$P$3:$P$7326,$H61,'הצעת תקציב 2016'!$U$3:$U$7326,L$35)</f>
        <v>0</v>
      </c>
      <c r="M61" s="63">
        <f>SUMIFS('הצעת תקציב 2016'!$I$3:$I$7326,'הצעת תקציב 2016'!$P$3:$P$7326,$H61,'הצעת תקציב 2016'!$U$3:$U$7326,M$35)</f>
        <v>0</v>
      </c>
      <c r="N61" s="63">
        <f>SUMIFS('הצעת תקציב 2016'!$I$3:$I$7326,'הצעת תקציב 2016'!$P$3:$P$7326,$H61,'הצעת תקציב 2016'!$U$3:$U$7326,N$35)</f>
        <v>0</v>
      </c>
      <c r="O61" s="63">
        <f>SUMIFS('הצעת תקציב 2016'!$I$3:$I$7326,'הצעת תקציב 2016'!$P$3:$P$7326,$H61,'הצעת תקציב 2016'!$U$3:$U$7326,O$35)</f>
        <v>800000</v>
      </c>
      <c r="P61" s="63">
        <f>SUMIFS('הצעת תקציב 2016'!$I$3:$I$7326,'הצעת תקציב 2016'!$P$3:$P$7326,$H61,'הצעת תקציב 2016'!$U$3:$U$7326,P$35)</f>
        <v>15580000</v>
      </c>
      <c r="Q61" s="63">
        <f>SUMIFS('הצעת תקציב 2016'!$I$3:$I$7326,'הצעת תקציב 2016'!$P$3:$P$7326,$H61,'הצעת תקציב 2016'!$U$3:$U$7326,Q$35)</f>
        <v>0</v>
      </c>
      <c r="R61" s="60">
        <f t="shared" si="47"/>
        <v>16380000</v>
      </c>
    </row>
    <row r="62" spans="1:18">
      <c r="A62" s="62">
        <f t="shared" si="46"/>
        <v>329</v>
      </c>
      <c r="B62" t="s">
        <v>1247</v>
      </c>
      <c r="C62" s="63">
        <f>SUMIFS('הצעת תקציב 2016'!$I$3:$I$7326,'הצעת תקציב 2016'!$P$3:$P$7326,$A62,'הצעת תקציב 2016'!$U$3:$U$7326,C$35)</f>
        <v>0</v>
      </c>
      <c r="D62" s="63">
        <f>SUMIFS('הצעת תקציב 2016'!$I$3:$I$7326,'הצעת תקציב 2016'!$P$3:$P$7326,$A62,'הצעת תקציב 2016'!$U$3:$U$7326,D$35)</f>
        <v>-871800</v>
      </c>
      <c r="E62" s="63">
        <f>SUMIFS('הצעת תקציב 2016'!$I$3:$I$7326,'הצעת תקציב 2016'!$P$3:$P$7326,$A62,'הצעת תקציב 2016'!$U$3:$U$7326,E$35)</f>
        <v>0</v>
      </c>
      <c r="F62" s="63">
        <f>SUMIFS('הצעת תקציב 2016'!$I$3:$I$7326,'הצעת תקציב 2016'!$P$3:$P$7326,$A62,'הצעת תקציב 2016'!$U$3:$U$7326,F$35)</f>
        <v>0</v>
      </c>
      <c r="G62" s="63">
        <f>SUMIFS('הצעת תקציב 2016'!$I$3:$I$7326,'הצעת תקציב 2016'!$P$3:$P$7326,$A62,'הצעת תקציב 2016'!$U$3:$U$7326,G$35)</f>
        <v>0</v>
      </c>
      <c r="H62" s="62">
        <v>828</v>
      </c>
      <c r="I62" s="63">
        <f>SUMIFS('הצעת תקציב 2016'!$I$3:$I$7326,'הצעת תקציב 2016'!$P$3:$P$7326,$H62,'הצעת תקציב 2016'!$U$3:$U$7326,I$35)</f>
        <v>2051900</v>
      </c>
      <c r="J62" s="63">
        <f>SUMIFS('הצעת תקציב 2016'!$I$3:$I$7326,'הצעת תקציב 2016'!$P$3:$P$7326,$H62,'הצעת תקציב 2016'!$U$3:$U$7326,J$35)</f>
        <v>0</v>
      </c>
      <c r="K62" s="63">
        <f>SUMIFS('הצעת תקציב 2016'!$I$3:$I$7326,'הצעת תקציב 2016'!$P$3:$P$7326,$H62,'הצעת תקציב 2016'!$U$3:$U$7326,K$35)</f>
        <v>0</v>
      </c>
      <c r="L62" s="63">
        <f>SUMIFS('הצעת תקציב 2016'!$I$3:$I$7326,'הצעת תקציב 2016'!$P$3:$P$7326,$H62,'הצעת תקציב 2016'!$U$3:$U$7326,L$35)</f>
        <v>5000</v>
      </c>
      <c r="M62" s="63">
        <f>SUMIFS('הצעת תקציב 2016'!$I$3:$I$7326,'הצעת תקציב 2016'!$P$3:$P$7326,$H62,'הצעת תקציב 2016'!$U$3:$U$7326,M$35)</f>
        <v>71500</v>
      </c>
      <c r="N62" s="63">
        <f>SUMIFS('הצעת תקציב 2016'!$I$3:$I$7326,'הצעת תקציב 2016'!$P$3:$P$7326,$H62,'הצעת תקציב 2016'!$U$3:$U$7326,N$35)</f>
        <v>0</v>
      </c>
      <c r="O62" s="63">
        <f>SUMIFS('הצעת תקציב 2016'!$I$3:$I$7326,'הצעת תקציב 2016'!$P$3:$P$7326,$H62,'הצעת תקציב 2016'!$U$3:$U$7326,O$35)</f>
        <v>3337300</v>
      </c>
      <c r="P62" s="63">
        <f>SUMIFS('הצעת תקציב 2016'!$I$3:$I$7326,'הצעת תקציב 2016'!$P$3:$P$7326,$H62,'הצעת תקציב 2016'!$U$3:$U$7326,P$35)</f>
        <v>2477200</v>
      </c>
      <c r="Q62" s="63">
        <f>SUMIFS('הצעת תקציב 2016'!$I$3:$I$7326,'הצעת תקציב 2016'!$P$3:$P$7326,$H62,'הצעת תקציב 2016'!$U$3:$U$7326,Q$35)</f>
        <v>0</v>
      </c>
      <c r="R62" s="60">
        <f t="shared" si="47"/>
        <v>7942900</v>
      </c>
    </row>
    <row r="63" spans="1:18">
      <c r="A63" s="62" t="e">
        <f t="shared" si="46"/>
        <v>#VALUE!</v>
      </c>
      <c r="B63" t="s">
        <v>2482</v>
      </c>
      <c r="C63" s="63">
        <f>SUMIFS('הצעת תקציב 2016'!$I$3:$I$7326,'הצעת תקציב 2016'!$P$3:$P$7326,$A63,'הצעת תקציב 2016'!$U$3:$U$7326,C$35)</f>
        <v>0</v>
      </c>
      <c r="D63" s="63">
        <f>SUMIFS('הצעת תקציב 2016'!$I$3:$I$7326,'הצעת תקציב 2016'!$P$3:$P$7326,$A63,'הצעת תקציב 2016'!$U$3:$U$7326,D$35)</f>
        <v>0</v>
      </c>
      <c r="E63" s="63">
        <f>SUMIFS('הצעת תקציב 2016'!$I$3:$I$7326,'הצעת תקציב 2016'!$P$3:$P$7326,$A63,'הצעת תקציב 2016'!$U$3:$U$7326,E$35)</f>
        <v>0</v>
      </c>
      <c r="F63" s="63">
        <f>SUMIFS('הצעת תקציב 2016'!$I$3:$I$7326,'הצעת תקציב 2016'!$P$3:$P$7326,$A63,'הצעת תקציב 2016'!$U$3:$U$7326,F$35)</f>
        <v>0</v>
      </c>
      <c r="G63" s="63">
        <f>SUMIFS('הצעת תקציב 2016'!$I$3:$I$7326,'הצעת תקציב 2016'!$P$3:$P$7326,$A63,'הצעת תקציב 2016'!$U$3:$U$7326,G$35)</f>
        <v>0</v>
      </c>
      <c r="H63" s="148">
        <v>829</v>
      </c>
      <c r="I63" s="63">
        <f>SUMIFS('הצעת תקציב 2016'!$I$3:$I$7326,'הצעת תקציב 2016'!$P$3:$P$7326,$A63+500,'הצעת תקציב 2016'!$U$3:$U$7326,I$35)</f>
        <v>0</v>
      </c>
      <c r="J63" s="63">
        <f>SUMIFS('הצעת תקציב 2016'!$I$3:$I$7326,'הצעת תקציב 2016'!$P$3:$P$7326,$A63+500,'הצעת תקציב 2016'!$U$3:$U$7326,J$35)</f>
        <v>0</v>
      </c>
      <c r="K63" s="63">
        <f>SUMIFS('הצעת תקציב 2016'!$I$3:$I$7326,'הצעת תקציב 2016'!$P$3:$P$7326,$A63+500,'הצעת תקציב 2016'!$U$3:$U$7326,K$35)</f>
        <v>0</v>
      </c>
      <c r="L63" s="63">
        <f>SUMIFS('הצעת תקציב 2016'!$I$3:$I$7326,'הצעת תקציב 2016'!$P$3:$P$7326,$A63+500,'הצעת תקציב 2016'!$U$3:$U$7326,L$35)</f>
        <v>0</v>
      </c>
      <c r="M63" s="63">
        <f>SUMIFS('הצעת תקציב 2016'!$I$3:$I$7326,'הצעת תקציב 2016'!$P$3:$P$7326,$A63+500,'הצעת תקציב 2016'!$U$3:$U$7326,M$35)</f>
        <v>0</v>
      </c>
      <c r="N63" s="63">
        <f>SUMIFS('הצעת תקציב 2016'!$I$3:$I$7326,'הצעת תקציב 2016'!$P$3:$P$7326,$A63+500,'הצעת תקציב 2016'!$U$3:$U$7326,N$35)</f>
        <v>0</v>
      </c>
      <c r="O63" s="63">
        <f>SUMIFS('הצעת תקציב 2016'!$I$3:$I$7326,'הצעת תקציב 2016'!$P$3:$P$7326,$A63+500,'הצעת תקציב 2016'!$U$3:$U$7326,O$35)</f>
        <v>0</v>
      </c>
      <c r="P63" s="63">
        <f>SUMIFS('הצעת תקציב 2016'!$I$3:$I$7326,'הצעת תקציב 2016'!$P$3:$P$7326,$A63+500,'הצעת תקציב 2016'!$U$3:$U$7326,P$35)</f>
        <v>0</v>
      </c>
      <c r="Q63" s="63">
        <f>SUMIFS('הצעת תקציב 2016'!$I$3:$I$7326,'הצעת תקציב 2016'!$P$3:$P$7326,$A63+500,'הצעת תקציב 2016'!$U$3:$U$7326,Q$35)</f>
        <v>0</v>
      </c>
      <c r="R63" s="60">
        <f t="shared" si="47"/>
        <v>0</v>
      </c>
    </row>
    <row r="64" spans="1:18">
      <c r="I64" s="60">
        <f>SUM(I56:I63)</f>
        <v>26317500</v>
      </c>
      <c r="J64" s="60">
        <f t="shared" ref="J64:Q64" si="48">SUM(J56:J63)</f>
        <v>2042000</v>
      </c>
      <c r="K64" s="60">
        <f t="shared" si="48"/>
        <v>0</v>
      </c>
      <c r="L64" s="60">
        <f t="shared" si="48"/>
        <v>679400</v>
      </c>
      <c r="M64" s="60">
        <f t="shared" si="48"/>
        <v>2627200</v>
      </c>
      <c r="N64" s="60">
        <f t="shared" si="48"/>
        <v>0</v>
      </c>
      <c r="O64" s="60">
        <f t="shared" si="48"/>
        <v>25240900</v>
      </c>
      <c r="P64" s="60">
        <f t="shared" si="48"/>
        <v>63681800</v>
      </c>
      <c r="Q64" s="60">
        <f t="shared" si="48"/>
        <v>0</v>
      </c>
    </row>
    <row r="65" spans="1:18" ht="45">
      <c r="A65" s="34"/>
      <c r="B65" s="52" t="s">
        <v>4687</v>
      </c>
      <c r="C65" s="52" t="str">
        <f>INDEX(Revenue_type,MATCH(C$35*1,type!$A$118:$A$168,0),8)</f>
        <v>אגרות</v>
      </c>
      <c r="D65" s="52" t="str">
        <f>INDEX(Revenue_type,MATCH(D$35*1,type!$A$118:$A$168,0),8)</f>
        <v>שירותים ושכר לימוד</v>
      </c>
      <c r="E65" s="52" t="str">
        <f>INDEX(Revenue_type,MATCH(E$35*1,type!$A$118:$A$168,0),8)</f>
        <v>הכנסות מרכוש ומפעלים</v>
      </c>
      <c r="F65" s="52" t="str">
        <f>INDEX(Revenue_type,MATCH(F$35*1,type!$A$118:$A$168,0),8)</f>
        <v>השתתפות מוסדות ותרומות</v>
      </c>
      <c r="G65" s="52" t="str">
        <f>INDEX(Revenue_type,MATCH(G$35*1,type!$A$118:$A$168,0),8)</f>
        <v>השתתפות משרדי ממשלה</v>
      </c>
      <c r="I65" s="52" t="str">
        <f>INDEX(Expenditure_type,MATCH(I$35*1,type!$A$2:$A$117,0),8)</f>
        <v>משכורות וש"ע לעובדים לפי תקן</v>
      </c>
      <c r="J65" s="52" t="str">
        <f>INDEX(Expenditure_type,MATCH(J$35*1,type!$A$2:$A$117,0),8)</f>
        <v>משכורות וש"ע לעובדים בלי תקן</v>
      </c>
      <c r="K65" s="52" t="str">
        <f>INDEX(Expenditure_type,MATCH(K$35*1,type!$A$2:$A$117,0),8)</f>
        <v>פנסיה ופיצויים</v>
      </c>
      <c r="L65" s="52" t="str">
        <f>INDEX(Expenditure_type,MATCH(L$35*1,type!$A$2:$A$117,0),8)</f>
        <v>אחזקת בינים ואספקת ציוד</v>
      </c>
      <c r="M65" s="52" t="str">
        <f>INDEX(Expenditure_type,MATCH(M$35*1,type!$A$2:$A$117,0),8)</f>
        <v>הוצאות מנהליות</v>
      </c>
      <c r="N65" s="52" t="str">
        <f>INDEX(Expenditure_type,MATCH(N$35*1,type!$A$2:$A$117,0),8)</f>
        <v>מימון ופירעון מלוות</v>
      </c>
      <c r="O65" s="52" t="str">
        <f>INDEX(Expenditure_type,MATCH(O$35*1,type!$A$2:$A$117,0),8)</f>
        <v>הוצאות לפעולות</v>
      </c>
      <c r="P65" s="52" t="str">
        <f>INDEX(Expenditure_type,MATCH(P$35*1,type!$A$2:$A$117,0),8)</f>
        <v>השתתפויות תמיכות ותרומות</v>
      </c>
      <c r="Q65" s="52" t="str">
        <f>INDEX(Expenditure_type,MATCH(Q$35*1,type!$A$2:$A$117,0),8)</f>
        <v>הוצאות חד פעמיות</v>
      </c>
    </row>
    <row r="66" spans="1:18">
      <c r="A66" s="62">
        <f>A56</f>
        <v>321</v>
      </c>
      <c r="B66" s="62">
        <f t="shared" ref="B66:B73" si="49">B56</f>
        <v>0</v>
      </c>
      <c r="C66" s="63">
        <f>SUMIFS('הצעת תקציב 2016'!$J$3:$J$7326,'הצעת תקציב 2016'!$P$3:$P$7326,$A66,'הצעת תקציב 2016'!$U$3:$U$7326,C$35)</f>
        <v>0</v>
      </c>
      <c r="D66" s="63">
        <f>SUMIFS('הצעת תקציב 2016'!$J$3:$J$7326,'הצעת תקציב 2016'!$P$3:$P$7326,$A66,'הצעת תקציב 2016'!$U$3:$U$7326,D$35)</f>
        <v>-36586</v>
      </c>
      <c r="E66" s="63">
        <f>SUMIFS('הצעת תקציב 2016'!$J$3:$J$7326,'הצעת תקציב 2016'!$P$3:$P$7326,$A66,'הצעת תקציב 2016'!$U$3:$U$7326,E$35)</f>
        <v>0</v>
      </c>
      <c r="F66" s="63">
        <f>SUMIFS('הצעת תקציב 2016'!$J$3:$J$7326,'הצעת תקציב 2016'!$P$3:$P$7326,$A66,'הצעת תקציב 2016'!$U$3:$U$7326,F$35)</f>
        <v>0</v>
      </c>
      <c r="G66" s="63">
        <f>SUMIFS('הצעת תקציב 2016'!$J$3:$J$7326,'הצעת תקציב 2016'!$P$3:$P$7326,$A66,'הצעת תקציב 2016'!$U$3:$U$7326,G$35)</f>
        <v>0</v>
      </c>
      <c r="H66" s="62">
        <v>821</v>
      </c>
      <c r="I66" s="63">
        <f>SUMIFS('הצעת תקציב 2016'!$J$3:$J$7326,'הצעת תקציב 2016'!$P$3:$P$7326,$H66,'הצעת תקציב 2016'!$U$3:$U$7326,I$35)</f>
        <v>8217700</v>
      </c>
      <c r="J66" s="63">
        <f>SUMIFS('הצעת תקציב 2016'!$J$3:$J$7326,'הצעת תקציב 2016'!$P$3:$P$7326,$H66,'הצעת תקציב 2016'!$U$3:$U$7326,J$35)</f>
        <v>1835400</v>
      </c>
      <c r="K66" s="63">
        <f>SUMIFS('הצעת תקציב 2016'!$J$3:$J$7326,'הצעת תקציב 2016'!$P$3:$P$7326,$H66,'הצעת תקציב 2016'!$U$3:$U$7326,K$35)</f>
        <v>0</v>
      </c>
      <c r="L66" s="63">
        <f>SUMIFS('הצעת תקציב 2016'!$J$3:$J$7326,'הצעת תקציב 2016'!$P$3:$P$7326,$H66,'הצעת תקציב 2016'!$U$3:$U$7326,L$35)</f>
        <v>179800</v>
      </c>
      <c r="M66" s="63">
        <f>SUMIFS('הצעת תקציב 2016'!$J$3:$J$7326,'הצעת תקציב 2016'!$P$3:$P$7326,$H66,'הצעת תקציב 2016'!$U$3:$U$7326,M$35)</f>
        <v>209200</v>
      </c>
      <c r="N66" s="63">
        <f>SUMIFS('הצעת תקציב 2016'!$J$3:$J$7326,'הצעת תקציב 2016'!$P$3:$P$7326,$H66,'הצעת תקציב 2016'!$U$3:$U$7326,N$35)</f>
        <v>0</v>
      </c>
      <c r="O66" s="63">
        <f>SUMIFS('הצעת תקציב 2016'!$J$3:$J$7326,'הצעת תקציב 2016'!$P$3:$P$7326,$H66,'הצעת תקציב 2016'!$U$3:$U$7326,O$35)</f>
        <v>2601600</v>
      </c>
      <c r="P66" s="63">
        <f>SUMIFS('הצעת תקציב 2016'!$J$3:$J$7326,'הצעת תקציב 2016'!$P$3:$P$7326,$H66,'הצעת תקציב 2016'!$U$3:$U$7326,P$35)</f>
        <v>0</v>
      </c>
      <c r="Q66" s="63">
        <f>SUMIFS('הצעת תקציב 2016'!$J$3:$J$7326,'הצעת תקציב 2016'!$P$3:$P$7326,$H66,'הצעת תקציב 2016'!$U$3:$U$7326,Q$35)</f>
        <v>0</v>
      </c>
      <c r="R66" s="60">
        <f>SUM(I66:Q66)</f>
        <v>13043700</v>
      </c>
    </row>
    <row r="67" spans="1:18">
      <c r="A67" s="62">
        <f t="shared" ref="A67:A73" si="50">A57</f>
        <v>322</v>
      </c>
      <c r="B67" s="62" t="str">
        <f t="shared" si="49"/>
        <v xml:space="preserve">הכנסות לפעולות תרבות              </v>
      </c>
      <c r="C67" s="63">
        <f>SUMIFS('הצעת תקציב 2016'!$J$3:$J$7326,'הצעת תקציב 2016'!$P$3:$P$7326,$A67,'הצעת תקציב 2016'!$U$3:$U$7326,C$35)</f>
        <v>0</v>
      </c>
      <c r="D67" s="63">
        <f>SUMIFS('הצעת תקציב 2016'!$J$3:$J$7326,'הצעת תקציב 2016'!$P$3:$P$7326,$A67,'הצעת תקציב 2016'!$U$3:$U$7326,D$35)</f>
        <v>-388281</v>
      </c>
      <c r="E67" s="63">
        <f>SUMIFS('הצעת תקציב 2016'!$J$3:$J$7326,'הצעת תקציב 2016'!$P$3:$P$7326,$A67,'הצעת תקציב 2016'!$U$3:$U$7326,E$35)</f>
        <v>0</v>
      </c>
      <c r="F67" s="63">
        <f>SUMIFS('הצעת תקציב 2016'!$J$3:$J$7326,'הצעת תקציב 2016'!$P$3:$P$7326,$A67,'הצעת תקציב 2016'!$U$3:$U$7326,F$35)</f>
        <v>0</v>
      </c>
      <c r="G67" s="63">
        <f>SUMIFS('הצעת תקציב 2016'!$J$3:$J$7326,'הצעת תקציב 2016'!$P$3:$P$7326,$A67,'הצעת תקציב 2016'!$U$3:$U$7326,G$35)</f>
        <v>0</v>
      </c>
      <c r="H67" s="62">
        <v>822</v>
      </c>
      <c r="I67" s="63">
        <f>SUMIFS('הצעת תקציב 2016'!$J$3:$J$7326,'הצעת תקציב 2016'!$P$3:$P$7326,$H67,'הצעת תקציב 2016'!$U$3:$U$7326,I$35)</f>
        <v>523100</v>
      </c>
      <c r="J67" s="63">
        <f>SUMIFS('הצעת תקציב 2016'!$J$3:$J$7326,'הצעת תקציב 2016'!$P$3:$P$7326,$H67,'הצעת תקציב 2016'!$U$3:$U$7326,J$35)</f>
        <v>131300</v>
      </c>
      <c r="K67" s="63">
        <f>SUMIFS('הצעת תקציב 2016'!$J$3:$J$7326,'הצעת תקציב 2016'!$P$3:$P$7326,$H67,'הצעת תקציב 2016'!$U$3:$U$7326,K$35)</f>
        <v>0</v>
      </c>
      <c r="L67" s="63">
        <f>SUMIFS('הצעת תקציב 2016'!$J$3:$J$7326,'הצעת תקציב 2016'!$P$3:$P$7326,$H67,'הצעת תקציב 2016'!$U$3:$U$7326,L$35)</f>
        <v>9000</v>
      </c>
      <c r="M67" s="63">
        <f>SUMIFS('הצעת תקציב 2016'!$J$3:$J$7326,'הצעת תקציב 2016'!$P$3:$P$7326,$H67,'הצעת תקציב 2016'!$U$3:$U$7326,M$35)</f>
        <v>1247300</v>
      </c>
      <c r="N67" s="63">
        <f>SUMIFS('הצעת תקציב 2016'!$J$3:$J$7326,'הצעת תקציב 2016'!$P$3:$P$7326,$H67,'הצעת תקציב 2016'!$U$3:$U$7326,N$35)</f>
        <v>0</v>
      </c>
      <c r="O67" s="63">
        <f>SUMIFS('הצעת תקציב 2016'!$J$3:$J$7326,'הצעת תקציב 2016'!$P$3:$P$7326,$H67,'הצעת תקציב 2016'!$U$3:$U$7326,O$35)</f>
        <v>13779500</v>
      </c>
      <c r="P67" s="63">
        <f>SUMIFS('הצעת תקציב 2016'!$J$3:$J$7326,'הצעת תקציב 2016'!$P$3:$P$7326,$H67,'הצעת תקציב 2016'!$U$3:$U$7326,P$35)</f>
        <v>2211700</v>
      </c>
      <c r="Q67" s="63">
        <f>SUMIFS('הצעת תקציב 2016'!$J$3:$J$7326,'הצעת תקציב 2016'!$P$3:$P$7326,$H67,'הצעת תקציב 2016'!$U$3:$U$7326,Q$35)</f>
        <v>0</v>
      </c>
      <c r="R67" s="60">
        <f t="shared" ref="R67:R73" si="51">SUM(I67:Q67)</f>
        <v>17901900</v>
      </c>
    </row>
    <row r="68" spans="1:18">
      <c r="A68" s="62">
        <f t="shared" si="50"/>
        <v>323</v>
      </c>
      <c r="B68" s="62" t="str">
        <f t="shared" si="49"/>
        <v>ספריות עירוניות</v>
      </c>
      <c r="C68" s="63">
        <f>SUMIFS('הצעת תקציב 2016'!$J$3:$J$7326,'הצעת תקציב 2016'!$P$3:$P$7326,$A68,'הצעת תקציב 2016'!$U$3:$U$7326,C$35)</f>
        <v>0</v>
      </c>
      <c r="D68" s="63">
        <f>SUMIFS('הצעת תקציב 2016'!$J$3:$J$7326,'הצעת תקציב 2016'!$P$3:$P$7326,$A68,'הצעת תקציב 2016'!$U$3:$U$7326,D$35)</f>
        <v>-2359278</v>
      </c>
      <c r="E68" s="63">
        <f>SUMIFS('הצעת תקציב 2016'!$J$3:$J$7326,'הצעת תקציב 2016'!$P$3:$P$7326,$A68,'הצעת תקציב 2016'!$U$3:$U$7326,E$35)</f>
        <v>0</v>
      </c>
      <c r="F68" s="63">
        <f>SUMIFS('הצעת תקציב 2016'!$J$3:$J$7326,'הצעת תקציב 2016'!$P$3:$P$7326,$A68,'הצעת תקציב 2016'!$U$3:$U$7326,F$35)</f>
        <v>0</v>
      </c>
      <c r="G68" s="63">
        <f>SUMIFS('הצעת תקציב 2016'!$J$3:$J$7326,'הצעת תקציב 2016'!$P$3:$P$7326,$A68,'הצעת תקציב 2016'!$U$3:$U$7326,G$35)</f>
        <v>0</v>
      </c>
      <c r="H68" s="62">
        <v>823</v>
      </c>
      <c r="I68" s="63">
        <f>SUMIFS('הצעת תקציב 2016'!$J$3:$J$7326,'הצעת תקציב 2016'!$P$3:$P$7326,$H68,'הצעת תקציב 2016'!$U$3:$U$7326,I$35)</f>
        <v>7523100</v>
      </c>
      <c r="J68" s="63">
        <f>SUMIFS('הצעת תקציב 2016'!$J$3:$J$7326,'הצעת תקציב 2016'!$P$3:$P$7326,$H68,'הצעת תקציב 2016'!$U$3:$U$7326,J$35)</f>
        <v>0</v>
      </c>
      <c r="K68" s="63">
        <f>SUMIFS('הצעת תקציב 2016'!$J$3:$J$7326,'הצעת תקציב 2016'!$P$3:$P$7326,$H68,'הצעת תקציב 2016'!$U$3:$U$7326,K$35)</f>
        <v>0</v>
      </c>
      <c r="L68" s="63">
        <f>SUMIFS('הצעת תקציב 2016'!$J$3:$J$7326,'הצעת תקציב 2016'!$P$3:$P$7326,$H68,'הצעת תקציב 2016'!$U$3:$U$7326,L$35)</f>
        <v>354200</v>
      </c>
      <c r="M68" s="63">
        <f>SUMIFS('הצעת תקציב 2016'!$J$3:$J$7326,'הצעת תקציב 2016'!$P$3:$P$7326,$H68,'הצעת תקציב 2016'!$U$3:$U$7326,M$35)</f>
        <v>221900</v>
      </c>
      <c r="N68" s="63">
        <f>SUMIFS('הצעת תקציב 2016'!$J$3:$J$7326,'הצעת תקציב 2016'!$P$3:$P$7326,$H68,'הצעת תקציב 2016'!$U$3:$U$7326,N$35)</f>
        <v>0</v>
      </c>
      <c r="O68" s="63">
        <f>SUMIFS('הצעת תקציב 2016'!$J$3:$J$7326,'הצעת תקציב 2016'!$P$3:$P$7326,$H68,'הצעת תקציב 2016'!$U$3:$U$7326,O$35)</f>
        <v>2636900</v>
      </c>
      <c r="P68" s="63">
        <f>SUMIFS('הצעת תקציב 2016'!$J$3:$J$7326,'הצעת תקציב 2016'!$P$3:$P$7326,$H68,'הצעת תקציב 2016'!$U$3:$U$7326,P$35)</f>
        <v>0</v>
      </c>
      <c r="Q68" s="63">
        <f>SUMIFS('הצעת תקציב 2016'!$J$3:$J$7326,'הצעת תקציב 2016'!$P$3:$P$7326,$H68,'הצעת תקציב 2016'!$U$3:$U$7326,Q$35)</f>
        <v>0</v>
      </c>
      <c r="R68" s="60">
        <f t="shared" si="51"/>
        <v>10736100</v>
      </c>
    </row>
    <row r="69" spans="1:18">
      <c r="A69" s="62">
        <f t="shared" si="50"/>
        <v>324</v>
      </c>
      <c r="B69" s="62" t="str">
        <f t="shared" si="49"/>
        <v xml:space="preserve">השתתפות בספורט                    </v>
      </c>
      <c r="C69" s="63">
        <f>SUMIFS('הצעת תקציב 2016'!$J$3:$J$7326,'הצעת תקציב 2016'!$P$3:$P$7326,$A69,'הצעת תקציב 2016'!$U$3:$U$7326,C$35)</f>
        <v>0</v>
      </c>
      <c r="D69" s="63">
        <f>SUMIFS('הצעת תקציב 2016'!$J$3:$J$7326,'הצעת תקציב 2016'!$P$3:$P$7326,$A69,'הצעת תקציב 2016'!$U$3:$U$7326,D$35)</f>
        <v>-321198</v>
      </c>
      <c r="E69" s="63">
        <f>SUMIFS('הצעת תקציב 2016'!$J$3:$J$7326,'הצעת תקציב 2016'!$P$3:$P$7326,$A69,'הצעת תקציב 2016'!$U$3:$U$7326,E$35)</f>
        <v>0</v>
      </c>
      <c r="F69" s="63">
        <f>SUMIFS('הצעת תקציב 2016'!$J$3:$J$7326,'הצעת תקציב 2016'!$P$3:$P$7326,$A69,'הצעת תקציב 2016'!$U$3:$U$7326,F$35)</f>
        <v>0</v>
      </c>
      <c r="G69" s="63">
        <f>SUMIFS('הצעת תקציב 2016'!$J$3:$J$7326,'הצעת תקציב 2016'!$P$3:$P$7326,$A69,'הצעת תקציב 2016'!$U$3:$U$7326,G$35)</f>
        <v>0</v>
      </c>
      <c r="H69" s="62">
        <v>824</v>
      </c>
      <c r="I69" s="63">
        <f>SUMIFS('הצעת תקציב 2016'!$J$3:$J$7326,'הצעת תקציב 2016'!$P$3:$P$7326,$H69,'הצעת תקציב 2016'!$U$3:$U$7326,I$35)</f>
        <v>8944400</v>
      </c>
      <c r="J69" s="63">
        <f>SUMIFS('הצעת תקציב 2016'!$J$3:$J$7326,'הצעת תקציב 2016'!$P$3:$P$7326,$H69,'הצעת תקציב 2016'!$U$3:$U$7326,J$35)</f>
        <v>0</v>
      </c>
      <c r="K69" s="63">
        <f>SUMIFS('הצעת תקציב 2016'!$J$3:$J$7326,'הצעת תקציב 2016'!$P$3:$P$7326,$H69,'הצעת תקציב 2016'!$U$3:$U$7326,K$35)</f>
        <v>0</v>
      </c>
      <c r="L69" s="63">
        <f>SUMIFS('הצעת תקציב 2016'!$J$3:$J$7326,'הצעת תקציב 2016'!$P$3:$P$7326,$H69,'הצעת תקציב 2016'!$U$3:$U$7326,L$35)</f>
        <v>258000</v>
      </c>
      <c r="M69" s="63">
        <f>SUMIFS('הצעת תקציב 2016'!$J$3:$J$7326,'הצעת תקציב 2016'!$P$3:$P$7326,$H69,'הצעת תקציב 2016'!$U$3:$U$7326,M$35)</f>
        <v>222500</v>
      </c>
      <c r="N69" s="63">
        <f>SUMIFS('הצעת תקציב 2016'!$J$3:$J$7326,'הצעת תקציב 2016'!$P$3:$P$7326,$H69,'הצעת תקציב 2016'!$U$3:$U$7326,N$35)</f>
        <v>0</v>
      </c>
      <c r="O69" s="63">
        <f>SUMIFS('הצעת תקציב 2016'!$J$3:$J$7326,'הצעת תקציב 2016'!$P$3:$P$7326,$H69,'הצעת תקציב 2016'!$U$3:$U$7326,O$35)</f>
        <v>1833600</v>
      </c>
      <c r="P69" s="63">
        <f>SUMIFS('הצעת תקציב 2016'!$J$3:$J$7326,'הצעת תקציב 2016'!$P$3:$P$7326,$H69,'הצעת תקציב 2016'!$U$3:$U$7326,P$35)</f>
        <v>25273000</v>
      </c>
      <c r="Q69" s="63">
        <f>SUMIFS('הצעת תקציב 2016'!$J$3:$J$7326,'הצעת תקציב 2016'!$P$3:$P$7326,$H69,'הצעת תקציב 2016'!$U$3:$U$7326,Q$35)</f>
        <v>0</v>
      </c>
      <c r="R69" s="60">
        <f t="shared" si="51"/>
        <v>36531500</v>
      </c>
    </row>
    <row r="70" spans="1:18">
      <c r="A70" s="62">
        <f t="shared" si="50"/>
        <v>325</v>
      </c>
      <c r="B70" s="62" t="str">
        <f t="shared" si="49"/>
        <v>מוסיקה ומחול</v>
      </c>
      <c r="C70" s="63">
        <f>SUMIFS('הצעת תקציב 2016'!$J$3:$J$7326,'הצעת תקציב 2016'!$P$3:$P$7326,$A70,'הצעת תקציב 2016'!$U$3:$U$7326,C$35)</f>
        <v>0</v>
      </c>
      <c r="D70" s="63">
        <f>SUMIFS('הצעת תקציב 2016'!$J$3:$J$7326,'הצעת תקציב 2016'!$P$3:$P$7326,$A70,'הצעת תקציב 2016'!$U$3:$U$7326,D$35)</f>
        <v>-98225</v>
      </c>
      <c r="E70" s="63">
        <f>SUMIFS('הצעת תקציב 2016'!$J$3:$J$7326,'הצעת תקציב 2016'!$P$3:$P$7326,$A70,'הצעת תקציב 2016'!$U$3:$U$7326,E$35)</f>
        <v>0</v>
      </c>
      <c r="F70" s="63">
        <f>SUMIFS('הצעת תקציב 2016'!$J$3:$J$7326,'הצעת תקציב 2016'!$P$3:$P$7326,$A70,'הצעת תקציב 2016'!$U$3:$U$7326,F$35)</f>
        <v>0</v>
      </c>
      <c r="G70" s="63">
        <f>SUMIFS('הצעת תקציב 2016'!$J$3:$J$7326,'הצעת תקציב 2016'!$P$3:$P$7326,$A70,'הצעת תקציב 2016'!$U$3:$U$7326,G$35)</f>
        <v>0</v>
      </c>
      <c r="H70" s="62">
        <v>825</v>
      </c>
      <c r="I70" s="63">
        <f>SUMIFS('הצעת תקציב 2016'!$J$3:$J$7326,'הצעת תקציב 2016'!$P$3:$P$7326,$H70,'הצעת תקציב 2016'!$U$3:$U$7326,I$35)</f>
        <v>0</v>
      </c>
      <c r="J70" s="63">
        <f>SUMIFS('הצעת תקציב 2016'!$J$3:$J$7326,'הצעת תקציב 2016'!$P$3:$P$7326,$H70,'הצעת תקציב 2016'!$U$3:$U$7326,J$35)</f>
        <v>0</v>
      </c>
      <c r="K70" s="63">
        <f>SUMIFS('הצעת תקציב 2016'!$J$3:$J$7326,'הצעת תקציב 2016'!$P$3:$P$7326,$H70,'הצעת תקציב 2016'!$U$3:$U$7326,K$35)</f>
        <v>0</v>
      </c>
      <c r="L70" s="63">
        <f>SUMIFS('הצעת תקציב 2016'!$J$3:$J$7326,'הצעת תקציב 2016'!$P$3:$P$7326,$H70,'הצעת תקציב 2016'!$U$3:$U$7326,L$35)</f>
        <v>32300</v>
      </c>
      <c r="M70" s="63">
        <f>SUMIFS('הצעת תקציב 2016'!$J$3:$J$7326,'הצעת תקציב 2016'!$P$3:$P$7326,$H70,'הצעת תקציב 2016'!$U$3:$U$7326,M$35)</f>
        <v>0</v>
      </c>
      <c r="N70" s="63">
        <f>SUMIFS('הצעת תקציב 2016'!$J$3:$J$7326,'הצעת תקציב 2016'!$P$3:$P$7326,$H70,'הצעת תקציב 2016'!$U$3:$U$7326,N$35)</f>
        <v>0</v>
      </c>
      <c r="O70" s="63">
        <f>SUMIFS('הצעת תקציב 2016'!$J$3:$J$7326,'הצעת תקציב 2016'!$P$3:$P$7326,$H70,'הצעת תקציב 2016'!$U$3:$U$7326,O$35)</f>
        <v>0</v>
      </c>
      <c r="P70" s="63">
        <f>SUMIFS('הצעת תקציב 2016'!$J$3:$J$7326,'הצעת תקציב 2016'!$P$3:$P$7326,$H70,'הצעת תקציב 2016'!$U$3:$U$7326,P$35)</f>
        <v>9505800</v>
      </c>
      <c r="Q70" s="63">
        <f>SUMIFS('הצעת תקציב 2016'!$J$3:$J$7326,'הצעת תקציב 2016'!$P$3:$P$7326,$H70,'הצעת תקציב 2016'!$U$3:$U$7326,Q$35)</f>
        <v>0</v>
      </c>
      <c r="R70" s="60">
        <f t="shared" si="51"/>
        <v>9538100</v>
      </c>
    </row>
    <row r="71" spans="1:18">
      <c r="A71" s="62">
        <f t="shared" si="50"/>
        <v>328</v>
      </c>
      <c r="B71" s="62" t="str">
        <f t="shared" si="49"/>
        <v>מוקדי תרבות</v>
      </c>
      <c r="C71" s="63">
        <f>SUMIFS('הצעת תקציב 2016'!$J$3:$J$7326,'הצעת תקציב 2016'!$P$3:$P$7326,$A71,'הצעת תקציב 2016'!$U$3:$U$7326,C$35)</f>
        <v>0</v>
      </c>
      <c r="D71" s="63">
        <f>SUMIFS('הצעת תקציב 2016'!$J$3:$J$7326,'הצעת תקציב 2016'!$P$3:$P$7326,$A71,'הצעת תקציב 2016'!$U$3:$U$7326,D$35)</f>
        <v>-48202</v>
      </c>
      <c r="E71" s="63">
        <f>SUMIFS('הצעת תקציב 2016'!$J$3:$J$7326,'הצעת תקציב 2016'!$P$3:$P$7326,$A71,'הצעת תקציב 2016'!$U$3:$U$7326,E$35)</f>
        <v>0</v>
      </c>
      <c r="F71" s="63">
        <f>SUMIFS('הצעת תקציב 2016'!$J$3:$J$7326,'הצעת תקציב 2016'!$P$3:$P$7326,$A71,'הצעת תקציב 2016'!$U$3:$U$7326,F$35)</f>
        <v>0</v>
      </c>
      <c r="G71" s="63">
        <f>SUMIFS('הצעת תקציב 2016'!$J$3:$J$7326,'הצעת תקציב 2016'!$P$3:$P$7326,$A71,'הצעת תקציב 2016'!$U$3:$U$7326,G$35)</f>
        <v>-901904</v>
      </c>
      <c r="H71" s="62">
        <v>826</v>
      </c>
      <c r="I71" s="63">
        <f>SUMIFS('הצעת תקציב 2016'!$J$3:$J$7326,'הצעת תקציב 2016'!$P$3:$P$7326,$H71,'הצעת תקציב 2016'!$U$3:$U$7326,I$35)</f>
        <v>0</v>
      </c>
      <c r="J71" s="63">
        <f>SUMIFS('הצעת תקציב 2016'!$J$3:$J$7326,'הצעת תקציב 2016'!$P$3:$P$7326,$H71,'הצעת תקציב 2016'!$U$3:$U$7326,J$35)</f>
        <v>0</v>
      </c>
      <c r="K71" s="63">
        <f>SUMIFS('הצעת תקציב 2016'!$J$3:$J$7326,'הצעת תקציב 2016'!$P$3:$P$7326,$H71,'הצעת תקציב 2016'!$U$3:$U$7326,K$35)</f>
        <v>0</v>
      </c>
      <c r="L71" s="63">
        <f>SUMIFS('הצעת תקציב 2016'!$J$3:$J$7326,'הצעת תקציב 2016'!$P$3:$P$7326,$H71,'הצעת תקציב 2016'!$U$3:$U$7326,L$35)</f>
        <v>0</v>
      </c>
      <c r="M71" s="63">
        <f>SUMIFS('הצעת תקציב 2016'!$J$3:$J$7326,'הצעת תקציב 2016'!$P$3:$P$7326,$H71,'הצעת תקציב 2016'!$U$3:$U$7326,M$35)</f>
        <v>0</v>
      </c>
      <c r="N71" s="63">
        <f>SUMIFS('הצעת תקציב 2016'!$J$3:$J$7326,'הצעת תקציב 2016'!$P$3:$P$7326,$H71,'הצעת תקציב 2016'!$U$3:$U$7326,N$35)</f>
        <v>0</v>
      </c>
      <c r="O71" s="63">
        <f>SUMIFS('הצעת תקציב 2016'!$J$3:$J$7326,'הצעת תקציב 2016'!$P$3:$P$7326,$H71,'הצעת תקציב 2016'!$U$3:$U$7326,O$35)</f>
        <v>800000</v>
      </c>
      <c r="P71" s="63">
        <f>SUMIFS('הצעת תקציב 2016'!$J$3:$J$7326,'הצעת תקציב 2016'!$P$3:$P$7326,$H71,'הצעת תקציב 2016'!$U$3:$U$7326,P$35)</f>
        <v>14793500</v>
      </c>
      <c r="Q71" s="63">
        <f>SUMIFS('הצעת תקציב 2016'!$J$3:$J$7326,'הצעת תקציב 2016'!$P$3:$P$7326,$H71,'הצעת תקציב 2016'!$U$3:$U$7326,Q$35)</f>
        <v>0</v>
      </c>
      <c r="R71" s="60">
        <f t="shared" si="51"/>
        <v>15593500</v>
      </c>
    </row>
    <row r="72" spans="1:18">
      <c r="A72" s="62">
        <f t="shared" si="50"/>
        <v>329</v>
      </c>
      <c r="B72" s="62" t="str">
        <f t="shared" si="49"/>
        <v>נוער</v>
      </c>
      <c r="C72" s="63">
        <f>SUMIFS('הצעת תקציב 2016'!$J$3:$J$7326,'הצעת תקציב 2016'!$P$3:$P$7326,$A72,'הצעת תקציב 2016'!$U$3:$U$7326,C$35)</f>
        <v>0</v>
      </c>
      <c r="D72" s="63">
        <f>SUMIFS('הצעת תקציב 2016'!$J$3:$J$7326,'הצעת תקציב 2016'!$P$3:$P$7326,$A72,'הצעת תקציב 2016'!$U$3:$U$7326,D$35)</f>
        <v>-921657</v>
      </c>
      <c r="E72" s="63">
        <f>SUMIFS('הצעת תקציב 2016'!$J$3:$J$7326,'הצעת תקציב 2016'!$P$3:$P$7326,$A72,'הצעת תקציב 2016'!$U$3:$U$7326,E$35)</f>
        <v>0</v>
      </c>
      <c r="F72" s="63">
        <f>SUMIFS('הצעת תקציב 2016'!$J$3:$J$7326,'הצעת תקציב 2016'!$P$3:$P$7326,$A72,'הצעת תקציב 2016'!$U$3:$U$7326,F$35)</f>
        <v>0</v>
      </c>
      <c r="G72" s="63">
        <f>SUMIFS('הצעת תקציב 2016'!$J$3:$J$7326,'הצעת תקציב 2016'!$P$3:$P$7326,$A72,'הצעת תקציב 2016'!$U$3:$U$7326,G$35)</f>
        <v>0</v>
      </c>
      <c r="H72" s="62">
        <v>828</v>
      </c>
      <c r="I72" s="63">
        <f>SUMIFS('הצעת תקציב 2016'!$J$3:$J$7326,'הצעת תקציב 2016'!$P$3:$P$7326,$H72,'הצעת תקציב 2016'!$U$3:$U$7326,I$35)</f>
        <v>2054800</v>
      </c>
      <c r="J72" s="63">
        <f>SUMIFS('הצעת תקציב 2016'!$J$3:$J$7326,'הצעת תקציב 2016'!$P$3:$P$7326,$H72,'הצעת תקציב 2016'!$U$3:$U$7326,J$35)</f>
        <v>0</v>
      </c>
      <c r="K72" s="63">
        <f>SUMIFS('הצעת תקציב 2016'!$J$3:$J$7326,'הצעת תקציב 2016'!$P$3:$P$7326,$H72,'הצעת תקציב 2016'!$U$3:$U$7326,K$35)</f>
        <v>0</v>
      </c>
      <c r="L72" s="63">
        <f>SUMIFS('הצעת תקציב 2016'!$J$3:$J$7326,'הצעת תקציב 2016'!$P$3:$P$7326,$H72,'הצעת תקציב 2016'!$U$3:$U$7326,L$35)</f>
        <v>400</v>
      </c>
      <c r="M72" s="63">
        <f>SUMIFS('הצעת תקציב 2016'!$J$3:$J$7326,'הצעת תקציב 2016'!$P$3:$P$7326,$H72,'הצעת תקציב 2016'!$U$3:$U$7326,M$35)</f>
        <v>67400</v>
      </c>
      <c r="N72" s="63">
        <f>SUMIFS('הצעת תקציב 2016'!$J$3:$J$7326,'הצעת תקציב 2016'!$P$3:$P$7326,$H72,'הצעת תקציב 2016'!$U$3:$U$7326,N$35)</f>
        <v>0</v>
      </c>
      <c r="O72" s="63">
        <f>SUMIFS('הצעת תקציב 2016'!$J$3:$J$7326,'הצעת תקציב 2016'!$P$3:$P$7326,$H72,'הצעת תקציב 2016'!$U$3:$U$7326,O$35)</f>
        <v>2816900</v>
      </c>
      <c r="P72" s="63">
        <f>SUMIFS('הצעת תקציב 2016'!$J$3:$J$7326,'הצעת תקציב 2016'!$P$3:$P$7326,$H72,'הצעת תקציב 2016'!$U$3:$U$7326,P$35)</f>
        <v>2364300</v>
      </c>
      <c r="Q72" s="63">
        <f>SUMIFS('הצעת תקציב 2016'!$J$3:$J$7326,'הצעת תקציב 2016'!$P$3:$P$7326,$H72,'הצעת תקציב 2016'!$U$3:$U$7326,Q$35)</f>
        <v>0</v>
      </c>
      <c r="R72" s="60">
        <f t="shared" si="51"/>
        <v>7303800</v>
      </c>
    </row>
    <row r="73" spans="1:18">
      <c r="A73" s="62" t="e">
        <f t="shared" si="50"/>
        <v>#VALUE!</v>
      </c>
      <c r="B73" s="62" t="str">
        <f t="shared" si="49"/>
        <v>ספורט</v>
      </c>
      <c r="C73" s="63">
        <f>SUMIFS('הצעת תקציב 2016'!$J$3:$J$7326,'הצעת תקציב 2016'!$P$3:$P$7326,$A73,'הצעת תקציב 2016'!$U$3:$U$7326,C$35)</f>
        <v>0</v>
      </c>
      <c r="D73" s="63">
        <f>SUMIFS('הצעת תקציב 2016'!$J$3:$J$7326,'הצעת תקציב 2016'!$P$3:$P$7326,$A73,'הצעת תקציב 2016'!$U$3:$U$7326,D$35)</f>
        <v>0</v>
      </c>
      <c r="E73" s="63">
        <f>SUMIFS('הצעת תקציב 2016'!$J$3:$J$7326,'הצעת תקציב 2016'!$P$3:$P$7326,$A73,'הצעת תקציב 2016'!$U$3:$U$7326,E$35)</f>
        <v>0</v>
      </c>
      <c r="F73" s="63">
        <f>SUMIFS('הצעת תקציב 2016'!$J$3:$J$7326,'הצעת תקציב 2016'!$P$3:$P$7326,$A73,'הצעת תקציב 2016'!$U$3:$U$7326,F$35)</f>
        <v>0</v>
      </c>
      <c r="G73" s="63">
        <f>SUMIFS('הצעת תקציב 2016'!$J$3:$J$7326,'הצעת תקציב 2016'!$P$3:$P$7326,$A73,'הצעת תקציב 2016'!$U$3:$U$7326,G$35)</f>
        <v>0</v>
      </c>
      <c r="H73" s="148">
        <v>829</v>
      </c>
      <c r="I73" s="63">
        <f>SUMIFS('הצעת תקציב 2016'!$J$3:$J$7326,'הצעת תקציב 2016'!$P$3:$P$7326,$A73+500,'הצעת תקציב 2016'!$U$3:$U$7326,I$35)</f>
        <v>0</v>
      </c>
      <c r="J73" s="63">
        <f>SUMIFS('הצעת תקציב 2016'!$J$3:$J$7326,'הצעת תקציב 2016'!$P$3:$P$7326,$A73+500,'הצעת תקציב 2016'!$U$3:$U$7326,J$35)</f>
        <v>0</v>
      </c>
      <c r="K73" s="63">
        <f>SUMIFS('הצעת תקציב 2016'!$J$3:$J$7326,'הצעת תקציב 2016'!$P$3:$P$7326,$A73+500,'הצעת תקציב 2016'!$U$3:$U$7326,K$35)</f>
        <v>0</v>
      </c>
      <c r="L73" s="63">
        <f>SUMIFS('הצעת תקציב 2016'!$J$3:$J$7326,'הצעת תקציב 2016'!$P$3:$P$7326,$A73+500,'הצעת תקציב 2016'!$U$3:$U$7326,L$35)</f>
        <v>0</v>
      </c>
      <c r="M73" s="63">
        <f>SUMIFS('הצעת תקציב 2016'!$J$3:$J$7326,'הצעת תקציב 2016'!$P$3:$P$7326,$A73+500,'הצעת תקציב 2016'!$U$3:$U$7326,M$35)</f>
        <v>0</v>
      </c>
      <c r="N73" s="63">
        <f>SUMIFS('הצעת תקציב 2016'!$J$3:$J$7326,'הצעת תקציב 2016'!$P$3:$P$7326,$A73+500,'הצעת תקציב 2016'!$U$3:$U$7326,N$35)</f>
        <v>0</v>
      </c>
      <c r="O73" s="63">
        <f>SUMIFS('הצעת תקציב 2016'!$J$3:$J$7326,'הצעת תקציב 2016'!$P$3:$P$7326,$A73+500,'הצעת תקציב 2016'!$U$3:$U$7326,O$35)</f>
        <v>0</v>
      </c>
      <c r="P73" s="63">
        <f>SUMIFS('הצעת תקציב 2016'!$J$3:$J$7326,'הצעת תקציב 2016'!$P$3:$P$7326,$A73+500,'הצעת תקציב 2016'!$U$3:$U$7326,P$35)</f>
        <v>0</v>
      </c>
      <c r="Q73" s="63">
        <f>SUMIFS('הצעת תקציב 2016'!$J$3:$J$7326,'הצעת תקציב 2016'!$P$3:$P$7326,$A73+500,'הצעת תקציב 2016'!$U$3:$U$7326,Q$35)</f>
        <v>0</v>
      </c>
      <c r="R73" s="60">
        <f t="shared" si="51"/>
        <v>0</v>
      </c>
    </row>
    <row r="74" spans="1:18">
      <c r="I74" s="60">
        <f>SUM(I66:I73)</f>
        <v>27263100</v>
      </c>
      <c r="J74" s="60">
        <f t="shared" ref="J74:Q74" si="52">SUM(J66:J73)</f>
        <v>1966700</v>
      </c>
      <c r="K74" s="60">
        <f t="shared" si="52"/>
        <v>0</v>
      </c>
      <c r="L74" s="60">
        <f t="shared" si="52"/>
        <v>833700</v>
      </c>
      <c r="M74" s="60">
        <f t="shared" si="52"/>
        <v>1968300</v>
      </c>
      <c r="N74" s="60">
        <f t="shared" si="52"/>
        <v>0</v>
      </c>
      <c r="O74" s="60">
        <f t="shared" si="52"/>
        <v>24468500</v>
      </c>
      <c r="P74" s="60">
        <f t="shared" si="52"/>
        <v>54148300</v>
      </c>
      <c r="Q74" s="60">
        <f t="shared" si="52"/>
        <v>0</v>
      </c>
    </row>
    <row r="75" spans="1:18" ht="45">
      <c r="A75" s="34"/>
      <c r="B75" s="52" t="s">
        <v>2477</v>
      </c>
      <c r="C75" s="52" t="str">
        <f>INDEX(Revenue_type,MATCH(C$35*1,type!$A$118:$A$168,0),8)</f>
        <v>אגרות</v>
      </c>
      <c r="D75" s="52" t="str">
        <f>INDEX(Revenue_type,MATCH(D$35*1,type!$A$118:$A$168,0),8)</f>
        <v>שירותים ושכר לימוד</v>
      </c>
      <c r="E75" s="52" t="str">
        <f>INDEX(Revenue_type,MATCH(E$35*1,type!$A$118:$A$168,0),8)</f>
        <v>הכנסות מרכוש ומפעלים</v>
      </c>
      <c r="F75" s="52" t="str">
        <f>INDEX(Revenue_type,MATCH(F$35*1,type!$A$118:$A$168,0),8)</f>
        <v>השתתפות מוסדות ותרומות</v>
      </c>
      <c r="G75" s="52" t="str">
        <f>INDEX(Revenue_type,MATCH(G$35*1,type!$A$118:$A$168,0),8)</f>
        <v>השתתפות משרדי ממשלה</v>
      </c>
      <c r="I75" s="52" t="str">
        <f>INDEX(Expenditure_type,MATCH(I$35*1,type!$A$2:$A$117,0),8)</f>
        <v>משכורות וש"ע לעובדים לפי תקן</v>
      </c>
      <c r="J75" s="52" t="str">
        <f>INDEX(Expenditure_type,MATCH(J$35*1,type!$A$2:$A$117,0),8)</f>
        <v>משכורות וש"ע לעובדים בלי תקן</v>
      </c>
      <c r="K75" s="52" t="str">
        <f>INDEX(Expenditure_type,MATCH(K$35*1,type!$A$2:$A$117,0),8)</f>
        <v>פנסיה ופיצויים</v>
      </c>
      <c r="L75" s="52" t="str">
        <f>INDEX(Expenditure_type,MATCH(L$35*1,type!$A$2:$A$117,0),8)</f>
        <v>אחזקת בינים ואספקת ציוד</v>
      </c>
      <c r="M75" s="52" t="str">
        <f>INDEX(Expenditure_type,MATCH(M$35*1,type!$A$2:$A$117,0),8)</f>
        <v>הוצאות מנהליות</v>
      </c>
      <c r="N75" s="52" t="str">
        <f>INDEX(Expenditure_type,MATCH(N$35*1,type!$A$2:$A$117,0),8)</f>
        <v>מימון ופירעון מלוות</v>
      </c>
      <c r="O75" s="52" t="str">
        <f>INDEX(Expenditure_type,MATCH(O$35*1,type!$A$2:$A$117,0),8)</f>
        <v>הוצאות לפעולות</v>
      </c>
      <c r="P75" s="52" t="str">
        <f>INDEX(Expenditure_type,MATCH(P$35*1,type!$A$2:$A$117,0),8)</f>
        <v>השתתפויות תמיכות ותרומות</v>
      </c>
      <c r="Q75" s="52" t="str">
        <f>INDEX(Expenditure_type,MATCH(Q$35*1,type!$A$2:$A$117,0),8)</f>
        <v>הוצאות חד פעמיות</v>
      </c>
    </row>
    <row r="76" spans="1:18">
      <c r="A76">
        <f>A66</f>
        <v>321</v>
      </c>
      <c r="B76">
        <f t="shared" ref="B76:B83" si="53">B66</f>
        <v>0</v>
      </c>
      <c r="C76" s="63">
        <f>SUMIFS('הצעת תקציב 2016'!$K$3:$K$7326,'הצעת תקציב 2016'!$P$3:$P$7326,$A76,'הצעת תקציב 2016'!$U$3:$U$7326,C$35)</f>
        <v>0</v>
      </c>
      <c r="D76" s="63">
        <f>SUMIFS('הצעת תקציב 2016'!$K$3:$K$7326,'הצעת תקציב 2016'!$P$3:$P$7326,$A76,'הצעת תקציב 2016'!$U$3:$U$7326,D$35)</f>
        <v>0</v>
      </c>
      <c r="E76" s="63">
        <f>SUMIFS('הצעת תקציב 2016'!$K$3:$K$7326,'הצעת תקציב 2016'!$P$3:$P$7326,$A76,'הצעת תקציב 2016'!$U$3:$U$7326,E$35)</f>
        <v>0</v>
      </c>
      <c r="F76" s="63">
        <f>SUMIFS('הצעת תקציב 2016'!$K$3:$K$7326,'הצעת תקציב 2016'!$P$3:$P$7326,$A76,'הצעת תקציב 2016'!$U$3:$U$7326,F$35)</f>
        <v>0</v>
      </c>
      <c r="G76" s="63">
        <f>SUMIFS('הצעת תקציב 2016'!$K$3:$K$7326,'הצעת תקציב 2016'!$P$3:$P$7326,$A76,'הצעת תקציב 2016'!$U$3:$U$7326,G$35)</f>
        <v>0</v>
      </c>
      <c r="H76" s="62">
        <v>821</v>
      </c>
      <c r="I76" s="63">
        <f>SUMIFS('הצעת תקציב 2016'!$K$3:$K$7326,'הצעת תקציב 2016'!$P$3:$P$7326,$A76+500,'הצעת תקציב 2016'!$U$3:$U$7326,I$35)</f>
        <v>0</v>
      </c>
      <c r="J76" s="63">
        <f>SUMIFS('הצעת תקציב 2016'!$K$3:$K$7326,'הצעת תקציב 2016'!$P$3:$P$7326,$A76+500,'הצעת תקציב 2016'!$U$3:$U$7326,J$35)</f>
        <v>0</v>
      </c>
      <c r="K76" s="63">
        <f>SUMIFS('הצעת תקציב 2016'!$K$3:$K$7326,'הצעת תקציב 2016'!$P$3:$P$7326,$A76+500,'הצעת תקציב 2016'!$U$3:$U$7326,K$35)</f>
        <v>0</v>
      </c>
      <c r="L76" s="63">
        <f>SUMIFS('הצעת תקציב 2016'!$K$3:$K$7326,'הצעת תקציב 2016'!$P$3:$P$7326,$A76+500,'הצעת תקציב 2016'!$U$3:$U$7326,L$35)</f>
        <v>0</v>
      </c>
      <c r="M76" s="63">
        <f>SUMIFS('הצעת תקציב 2016'!$K$3:$K$7326,'הצעת תקציב 2016'!$P$3:$P$7326,$A76+500,'הצעת תקציב 2016'!$U$3:$U$7326,M$35)</f>
        <v>0</v>
      </c>
      <c r="N76" s="63">
        <f>SUMIFS('הצעת תקציב 2016'!$K$3:$K$7326,'הצעת תקציב 2016'!$P$3:$P$7326,$A76+500,'הצעת תקציב 2016'!$U$3:$U$7326,N$35)</f>
        <v>0</v>
      </c>
      <c r="O76" s="63">
        <f>SUMIFS('הצעת תקציב 2016'!$K$3:$K$7326,'הצעת תקציב 2016'!$P$3:$P$7326,$A76+500,'הצעת תקציב 2016'!$U$3:$U$7326,O$35)</f>
        <v>0</v>
      </c>
      <c r="P76" s="63">
        <f>SUMIFS('הצעת תקציב 2016'!$K$3:$K$7326,'הצעת תקציב 2016'!$P$3:$P$7326,$A76+500,'הצעת תקציב 2016'!$U$3:$U$7326,P$35)</f>
        <v>0</v>
      </c>
      <c r="Q76" s="63">
        <f>SUMIFS('הצעת תקציב 2016'!$K$3:$K$7326,'הצעת תקציב 2016'!$P$3:$P$7326,$A76+500,'הצעת תקציב 2016'!$U$3:$U$7326,Q$35)</f>
        <v>0</v>
      </c>
      <c r="R76" s="60">
        <f>SUM(I76:Q76)</f>
        <v>0</v>
      </c>
    </row>
    <row r="77" spans="1:18">
      <c r="A77">
        <f t="shared" ref="A77" si="54">A67</f>
        <v>322</v>
      </c>
      <c r="B77" t="str">
        <f t="shared" si="53"/>
        <v xml:space="preserve">הכנסות לפעולות תרבות              </v>
      </c>
      <c r="C77" s="63">
        <f>SUMIFS('הצעת תקציב 2016'!$K$3:$K$7326,'הצעת תקציב 2016'!$P$3:$P$7326,$A77,'הצעת תקציב 2016'!$U$3:$U$7326,C$35)</f>
        <v>0</v>
      </c>
      <c r="D77" s="63">
        <f>SUMIFS('הצעת תקציב 2016'!$K$3:$K$7326,'הצעת תקציב 2016'!$P$3:$P$7326,$A77,'הצעת תקציב 2016'!$U$3:$U$7326,D$35)</f>
        <v>0</v>
      </c>
      <c r="E77" s="63">
        <f>SUMIFS('הצעת תקציב 2016'!$K$3:$K$7326,'הצעת תקציב 2016'!$P$3:$P$7326,$A77,'הצעת תקציב 2016'!$U$3:$U$7326,E$35)</f>
        <v>0</v>
      </c>
      <c r="F77" s="63">
        <f>SUMIFS('הצעת תקציב 2016'!$K$3:$K$7326,'הצעת תקציב 2016'!$P$3:$P$7326,$A77,'הצעת תקציב 2016'!$U$3:$U$7326,F$35)</f>
        <v>0</v>
      </c>
      <c r="G77" s="63">
        <f>SUMIFS('הצעת תקציב 2016'!$K$3:$K$7326,'הצעת תקציב 2016'!$P$3:$P$7326,$A77,'הצעת תקציב 2016'!$U$3:$U$7326,G$35)</f>
        <v>0</v>
      </c>
      <c r="H77" s="62">
        <v>822</v>
      </c>
      <c r="I77" s="63">
        <f>SUMIFS('הצעת תקציב 2016'!$K$3:$K$7326,'הצעת תקציב 2016'!$P$3:$P$7326,$A77+500,'הצעת תקציב 2016'!$U$3:$U$7326,I$35)</f>
        <v>0</v>
      </c>
      <c r="J77" s="63">
        <f>SUMIFS('הצעת תקציב 2016'!$K$3:$K$7326,'הצעת תקציב 2016'!$P$3:$P$7326,$A77+500,'הצעת תקציב 2016'!$U$3:$U$7326,J$35)</f>
        <v>0</v>
      </c>
      <c r="K77" s="63">
        <f>SUMIFS('הצעת תקציב 2016'!$K$3:$K$7326,'הצעת תקציב 2016'!$P$3:$P$7326,$A77+500,'הצעת תקציב 2016'!$U$3:$U$7326,K$35)</f>
        <v>0</v>
      </c>
      <c r="L77" s="63">
        <f>SUMIFS('הצעת תקציב 2016'!$K$3:$K$7326,'הצעת תקציב 2016'!$P$3:$P$7326,$A77+500,'הצעת תקציב 2016'!$U$3:$U$7326,L$35)</f>
        <v>0</v>
      </c>
      <c r="M77" s="63">
        <f>SUMIFS('הצעת תקציב 2016'!$K$3:$K$7326,'הצעת תקציב 2016'!$P$3:$P$7326,$A77+500,'הצעת תקציב 2016'!$U$3:$U$7326,M$35)</f>
        <v>0</v>
      </c>
      <c r="N77" s="63">
        <f>SUMIFS('הצעת תקציב 2016'!$K$3:$K$7326,'הצעת תקציב 2016'!$P$3:$P$7326,$A77+500,'הצעת תקציב 2016'!$U$3:$U$7326,N$35)</f>
        <v>0</v>
      </c>
      <c r="O77" s="63">
        <f>SUMIFS('הצעת תקציב 2016'!$K$3:$K$7326,'הצעת תקציב 2016'!$P$3:$P$7326,$A77+500,'הצעת תקציב 2016'!$U$3:$U$7326,O$35)</f>
        <v>0</v>
      </c>
      <c r="P77" s="63" t="e">
        <f>SUMIFS('הצעת תקציב 2016'!$K$3:$K$7326,'הצעת תקציב 2016'!$P$3:$P$7326,$A77+500,'הצעת תקציב 2016'!$U$3:$U$7326,P$35)</f>
        <v>#N/A</v>
      </c>
      <c r="Q77" s="63">
        <f>SUMIFS('הצעת תקציב 2016'!$K$3:$K$7326,'הצעת תקציב 2016'!$P$3:$P$7326,$A77+500,'הצעת תקציב 2016'!$U$3:$U$7326,Q$35)</f>
        <v>0</v>
      </c>
      <c r="R77" s="60" t="e">
        <f t="shared" ref="R77:R83" si="55">SUM(I77:Q77)</f>
        <v>#N/A</v>
      </c>
    </row>
    <row r="78" spans="1:18">
      <c r="A78">
        <f t="shared" ref="A78" si="56">A68</f>
        <v>323</v>
      </c>
      <c r="B78" t="str">
        <f t="shared" si="53"/>
        <v>ספריות עירוניות</v>
      </c>
      <c r="C78" s="63">
        <f>SUMIFS('הצעת תקציב 2016'!$K$3:$K$7326,'הצעת תקציב 2016'!$P$3:$P$7326,$A78,'הצעת תקציב 2016'!$U$3:$U$7326,C$35)</f>
        <v>0</v>
      </c>
      <c r="D78" s="63">
        <f>SUMIFS('הצעת תקציב 2016'!$K$3:$K$7326,'הצעת תקציב 2016'!$P$3:$P$7326,$A78,'הצעת תקציב 2016'!$U$3:$U$7326,D$35)</f>
        <v>0</v>
      </c>
      <c r="E78" s="63">
        <f>SUMIFS('הצעת תקציב 2016'!$K$3:$K$7326,'הצעת תקציב 2016'!$P$3:$P$7326,$A78,'הצעת תקציב 2016'!$U$3:$U$7326,E$35)</f>
        <v>0</v>
      </c>
      <c r="F78" s="63">
        <f>SUMIFS('הצעת תקציב 2016'!$K$3:$K$7326,'הצעת תקציב 2016'!$P$3:$P$7326,$A78,'הצעת תקציב 2016'!$U$3:$U$7326,F$35)</f>
        <v>0</v>
      </c>
      <c r="G78" s="63">
        <f>SUMIFS('הצעת תקציב 2016'!$K$3:$K$7326,'הצעת תקציב 2016'!$P$3:$P$7326,$A78,'הצעת תקציב 2016'!$U$3:$U$7326,G$35)</f>
        <v>0</v>
      </c>
      <c r="H78" s="62">
        <v>823</v>
      </c>
      <c r="I78" s="63">
        <f>SUMIFS('הצעת תקציב 2016'!$K$3:$K$7326,'הצעת תקציב 2016'!$P$3:$P$7326,$A78+500,'הצעת תקציב 2016'!$U$3:$U$7326,I$35)</f>
        <v>0</v>
      </c>
      <c r="J78" s="63">
        <f>SUMIFS('הצעת תקציב 2016'!$K$3:$K$7326,'הצעת תקציב 2016'!$P$3:$P$7326,$A78+500,'הצעת תקציב 2016'!$U$3:$U$7326,J$35)</f>
        <v>0</v>
      </c>
      <c r="K78" s="63">
        <f>SUMIFS('הצעת תקציב 2016'!$K$3:$K$7326,'הצעת תקציב 2016'!$P$3:$P$7326,$A78+500,'הצעת תקציב 2016'!$U$3:$U$7326,K$35)</f>
        <v>0</v>
      </c>
      <c r="L78" s="63">
        <f>SUMIFS('הצעת תקציב 2016'!$K$3:$K$7326,'הצעת תקציב 2016'!$P$3:$P$7326,$A78+500,'הצעת תקציב 2016'!$U$3:$U$7326,L$35)</f>
        <v>0</v>
      </c>
      <c r="M78" s="63">
        <f>SUMIFS('הצעת תקציב 2016'!$K$3:$K$7326,'הצעת תקציב 2016'!$P$3:$P$7326,$A78+500,'הצעת תקציב 2016'!$U$3:$U$7326,M$35)</f>
        <v>0</v>
      </c>
      <c r="N78" s="63">
        <f>SUMIFS('הצעת תקציב 2016'!$K$3:$K$7326,'הצעת תקציב 2016'!$P$3:$P$7326,$A78+500,'הצעת תקציב 2016'!$U$3:$U$7326,N$35)</f>
        <v>0</v>
      </c>
      <c r="O78" s="63">
        <f>SUMIFS('הצעת תקציב 2016'!$K$3:$K$7326,'הצעת תקציב 2016'!$P$3:$P$7326,$A78+500,'הצעת תקציב 2016'!$U$3:$U$7326,O$35)</f>
        <v>0</v>
      </c>
      <c r="P78" s="63">
        <f>SUMIFS('הצעת תקציב 2016'!$K$3:$K$7326,'הצעת תקציב 2016'!$P$3:$P$7326,$A78+500,'הצעת תקציב 2016'!$U$3:$U$7326,P$35)</f>
        <v>0</v>
      </c>
      <c r="Q78" s="63">
        <f>SUMIFS('הצעת תקציב 2016'!$K$3:$K$7326,'הצעת תקציב 2016'!$P$3:$P$7326,$A78+500,'הצעת תקציב 2016'!$U$3:$U$7326,Q$35)</f>
        <v>0</v>
      </c>
      <c r="R78" s="60">
        <f t="shared" si="55"/>
        <v>0</v>
      </c>
    </row>
    <row r="79" spans="1:18">
      <c r="A79">
        <f t="shared" ref="A79" si="57">A69</f>
        <v>324</v>
      </c>
      <c r="B79" t="str">
        <f t="shared" si="53"/>
        <v xml:space="preserve">השתתפות בספורט                    </v>
      </c>
      <c r="C79" s="63">
        <f>SUMIFS('הצעת תקציב 2016'!$K$3:$K$7326,'הצעת תקציב 2016'!$P$3:$P$7326,$A79,'הצעת תקציב 2016'!$U$3:$U$7326,C$35)</f>
        <v>0</v>
      </c>
      <c r="D79" s="63">
        <f>SUMIFS('הצעת תקציב 2016'!$K$3:$K$7326,'הצעת תקציב 2016'!$P$3:$P$7326,$A79,'הצעת תקציב 2016'!$U$3:$U$7326,D$35)</f>
        <v>0</v>
      </c>
      <c r="E79" s="63">
        <f>SUMIFS('הצעת תקציב 2016'!$K$3:$K$7326,'הצעת תקציב 2016'!$P$3:$P$7326,$A79,'הצעת תקציב 2016'!$U$3:$U$7326,E$35)</f>
        <v>0</v>
      </c>
      <c r="F79" s="63">
        <f>SUMIFS('הצעת תקציב 2016'!$K$3:$K$7326,'הצעת תקציב 2016'!$P$3:$P$7326,$A79,'הצעת תקציב 2016'!$U$3:$U$7326,F$35)</f>
        <v>0</v>
      </c>
      <c r="G79" s="63">
        <f>SUMIFS('הצעת תקציב 2016'!$K$3:$K$7326,'הצעת תקציב 2016'!$P$3:$P$7326,$A79,'הצעת תקציב 2016'!$U$3:$U$7326,G$35)</f>
        <v>0</v>
      </c>
      <c r="H79" s="62">
        <v>824</v>
      </c>
      <c r="I79" s="63" t="e">
        <f>SUMIFS('הצעת תקציב 2016'!$K$3:$K$7326,'הצעת תקציב 2016'!$P$3:$P$7326,$A79+500,'הצעת תקציב 2016'!$U$3:$U$7326,I$35)</f>
        <v>#N/A</v>
      </c>
      <c r="J79" s="63">
        <f>SUMIFS('הצעת תקציב 2016'!$K$3:$K$7326,'הצעת תקציב 2016'!$P$3:$P$7326,$A79+500,'הצעת תקציב 2016'!$U$3:$U$7326,J$35)</f>
        <v>0</v>
      </c>
      <c r="K79" s="63">
        <f>SUMIFS('הצעת תקציב 2016'!$K$3:$K$7326,'הצעת תקציב 2016'!$P$3:$P$7326,$A79+500,'הצעת תקציב 2016'!$U$3:$U$7326,K$35)</f>
        <v>0</v>
      </c>
      <c r="L79" s="63" t="e">
        <f>SUMIFS('הצעת תקציב 2016'!$K$3:$K$7326,'הצעת תקציב 2016'!$P$3:$P$7326,$A79+500,'הצעת תקציב 2016'!$U$3:$U$7326,L$35)</f>
        <v>#N/A</v>
      </c>
      <c r="M79" s="63" t="e">
        <f>SUMIFS('הצעת תקציב 2016'!$K$3:$K$7326,'הצעת תקציב 2016'!$P$3:$P$7326,$A79+500,'הצעת תקציב 2016'!$U$3:$U$7326,M$35)</f>
        <v>#N/A</v>
      </c>
      <c r="N79" s="63" t="e">
        <f>SUMIFS('הצעת תקציב 2016'!$K$3:$K$7326,'הצעת תקציב 2016'!$P$3:$P$7326,$A79+500,'הצעת תקציב 2016'!$U$3:$U$7326,N$35)</f>
        <v>#N/A</v>
      </c>
      <c r="O79" s="63" t="e">
        <f>SUMIFS('הצעת תקציב 2016'!$K$3:$K$7326,'הצעת תקציב 2016'!$P$3:$P$7326,$A79+500,'הצעת תקציב 2016'!$U$3:$U$7326,O$35)</f>
        <v>#N/A</v>
      </c>
      <c r="P79" s="63" t="e">
        <f>SUMIFS('הצעת תקציב 2016'!$K$3:$K$7326,'הצעת תקציב 2016'!$P$3:$P$7326,$A79+500,'הצעת תקציב 2016'!$U$3:$U$7326,P$35)</f>
        <v>#N/A</v>
      </c>
      <c r="Q79" s="63">
        <f>SUMIFS('הצעת תקציב 2016'!$K$3:$K$7326,'הצעת תקציב 2016'!$P$3:$P$7326,$A79+500,'הצעת תקציב 2016'!$U$3:$U$7326,Q$35)</f>
        <v>0</v>
      </c>
      <c r="R79" s="60" t="e">
        <f t="shared" si="55"/>
        <v>#N/A</v>
      </c>
    </row>
    <row r="80" spans="1:18">
      <c r="A80">
        <f t="shared" ref="A80" si="58">A70</f>
        <v>325</v>
      </c>
      <c r="B80" t="str">
        <f t="shared" si="53"/>
        <v>מוסיקה ומחול</v>
      </c>
      <c r="C80" s="63">
        <f>SUMIFS('הצעת תקציב 2016'!$K$3:$K$7326,'הצעת תקציב 2016'!$P$3:$P$7326,$A80,'הצעת תקציב 2016'!$U$3:$U$7326,C$35)</f>
        <v>0</v>
      </c>
      <c r="D80" s="63">
        <f>SUMIFS('הצעת תקציב 2016'!$K$3:$K$7326,'הצעת תקציב 2016'!$P$3:$P$7326,$A80,'הצעת תקציב 2016'!$U$3:$U$7326,D$35)</f>
        <v>0</v>
      </c>
      <c r="E80" s="63">
        <f>SUMIFS('הצעת תקציב 2016'!$K$3:$K$7326,'הצעת תקציב 2016'!$P$3:$P$7326,$A80,'הצעת תקציב 2016'!$U$3:$U$7326,E$35)</f>
        <v>0</v>
      </c>
      <c r="F80" s="63">
        <f>SUMIFS('הצעת תקציב 2016'!$K$3:$K$7326,'הצעת תקציב 2016'!$P$3:$P$7326,$A80,'הצעת תקציב 2016'!$U$3:$U$7326,F$35)</f>
        <v>0</v>
      </c>
      <c r="G80" s="63">
        <f>SUMIFS('הצעת תקציב 2016'!$K$3:$K$7326,'הצעת תקציב 2016'!$P$3:$P$7326,$A80,'הצעת תקציב 2016'!$U$3:$U$7326,G$35)</f>
        <v>0</v>
      </c>
      <c r="H80" s="62">
        <v>825</v>
      </c>
      <c r="I80" s="63">
        <f>SUMIFS('הצעת תקציב 2016'!$K$3:$K$7326,'הצעת תקציב 2016'!$P$3:$P$7326,$A80+500,'הצעת תקציב 2016'!$U$3:$U$7326,I$35)</f>
        <v>0</v>
      </c>
      <c r="J80" s="63">
        <f>SUMIFS('הצעת תקציב 2016'!$K$3:$K$7326,'הצעת תקציב 2016'!$P$3:$P$7326,$A80+500,'הצעת תקציב 2016'!$U$3:$U$7326,J$35)</f>
        <v>0</v>
      </c>
      <c r="K80" s="63">
        <f>SUMIFS('הצעת תקציב 2016'!$K$3:$K$7326,'הצעת תקציב 2016'!$P$3:$P$7326,$A80+500,'הצעת תקציב 2016'!$U$3:$U$7326,K$35)</f>
        <v>0</v>
      </c>
      <c r="L80" s="63">
        <f>SUMIFS('הצעת תקציב 2016'!$K$3:$K$7326,'הצעת תקציב 2016'!$P$3:$P$7326,$A80+500,'הצעת תקציב 2016'!$U$3:$U$7326,L$35)</f>
        <v>0</v>
      </c>
      <c r="M80" s="63">
        <f>SUMIFS('הצעת תקציב 2016'!$K$3:$K$7326,'הצעת תקציב 2016'!$P$3:$P$7326,$A80+500,'הצעת תקציב 2016'!$U$3:$U$7326,M$35)</f>
        <v>0</v>
      </c>
      <c r="N80" s="63">
        <f>SUMIFS('הצעת תקציב 2016'!$K$3:$K$7326,'הצעת תקציב 2016'!$P$3:$P$7326,$A80+500,'הצעת תקציב 2016'!$U$3:$U$7326,N$35)</f>
        <v>0</v>
      </c>
      <c r="O80" s="63">
        <f>SUMIFS('הצעת תקציב 2016'!$K$3:$K$7326,'הצעת תקציב 2016'!$P$3:$P$7326,$A80+500,'הצעת תקציב 2016'!$U$3:$U$7326,O$35)</f>
        <v>0</v>
      </c>
      <c r="P80" s="63">
        <f>SUMIFS('הצעת תקציב 2016'!$K$3:$K$7326,'הצעת תקציב 2016'!$P$3:$P$7326,$A80+500,'הצעת תקציב 2016'!$U$3:$U$7326,P$35)</f>
        <v>0</v>
      </c>
      <c r="Q80" s="63">
        <f>SUMIFS('הצעת תקציב 2016'!$K$3:$K$7326,'הצעת תקציב 2016'!$P$3:$P$7326,$A80+500,'הצעת תקציב 2016'!$U$3:$U$7326,Q$35)</f>
        <v>0</v>
      </c>
      <c r="R80" s="60">
        <f t="shared" si="55"/>
        <v>0</v>
      </c>
    </row>
    <row r="81" spans="1:18">
      <c r="A81">
        <f t="shared" ref="A81" si="59">A71</f>
        <v>328</v>
      </c>
      <c r="B81" t="str">
        <f t="shared" si="53"/>
        <v>מוקדי תרבות</v>
      </c>
      <c r="C81" s="63">
        <f>SUMIFS('הצעת תקציב 2016'!$K$3:$K$7326,'הצעת תקציב 2016'!$P$3:$P$7326,$A81,'הצעת תקציב 2016'!$U$3:$U$7326,C$35)</f>
        <v>0</v>
      </c>
      <c r="D81" s="63">
        <f>SUMIFS('הצעת תקציב 2016'!$K$3:$K$7326,'הצעת תקציב 2016'!$P$3:$P$7326,$A81,'הצעת תקציב 2016'!$U$3:$U$7326,D$35)</f>
        <v>0</v>
      </c>
      <c r="E81" s="63">
        <f>SUMIFS('הצעת תקציב 2016'!$K$3:$K$7326,'הצעת תקציב 2016'!$P$3:$P$7326,$A81,'הצעת תקציב 2016'!$U$3:$U$7326,E$35)</f>
        <v>0</v>
      </c>
      <c r="F81" s="63">
        <f>SUMIFS('הצעת תקציב 2016'!$K$3:$K$7326,'הצעת תקציב 2016'!$P$3:$P$7326,$A81,'הצעת תקציב 2016'!$U$3:$U$7326,F$35)</f>
        <v>0</v>
      </c>
      <c r="G81" s="63">
        <f>SUMIFS('הצעת תקציב 2016'!$K$3:$K$7326,'הצעת תקציב 2016'!$P$3:$P$7326,$A81,'הצעת תקציב 2016'!$U$3:$U$7326,G$35)</f>
        <v>0</v>
      </c>
      <c r="H81" s="62">
        <v>826</v>
      </c>
      <c r="I81" s="63" t="e">
        <f>SUMIFS('הצעת תקציב 2016'!$K$3:$K$7326,'הצעת תקציב 2016'!$P$3:$P$7326,$A81+500,'הצעת תקציב 2016'!$U$3:$U$7326,I$35)</f>
        <v>#N/A</v>
      </c>
      <c r="J81" s="63">
        <f>SUMIFS('הצעת תקציב 2016'!$K$3:$K$7326,'הצעת תקציב 2016'!$P$3:$P$7326,$A81+500,'הצעת תקציב 2016'!$U$3:$U$7326,J$35)</f>
        <v>0</v>
      </c>
      <c r="K81" s="63">
        <f>SUMIFS('הצעת תקציב 2016'!$K$3:$K$7326,'הצעת תקציב 2016'!$P$3:$P$7326,$A81+500,'הצעת תקציב 2016'!$U$3:$U$7326,K$35)</f>
        <v>0</v>
      </c>
      <c r="L81" s="63" t="e">
        <f>SUMIFS('הצעת תקציב 2016'!$K$3:$K$7326,'הצעת תקציב 2016'!$P$3:$P$7326,$A81+500,'הצעת תקציב 2016'!$U$3:$U$7326,L$35)</f>
        <v>#N/A</v>
      </c>
      <c r="M81" s="63" t="e">
        <f>SUMIFS('הצעת תקציב 2016'!$K$3:$K$7326,'הצעת תקציב 2016'!$P$3:$P$7326,$A81+500,'הצעת תקציב 2016'!$U$3:$U$7326,M$35)</f>
        <v>#N/A</v>
      </c>
      <c r="N81" s="63">
        <f>SUMIFS('הצעת תקציב 2016'!$K$3:$K$7326,'הצעת תקציב 2016'!$P$3:$P$7326,$A81+500,'הצעת תקציב 2016'!$U$3:$U$7326,N$35)</f>
        <v>0</v>
      </c>
      <c r="O81" s="63" t="e">
        <f>SUMIFS('הצעת תקציב 2016'!$K$3:$K$7326,'הצעת תקציב 2016'!$P$3:$P$7326,$A81+500,'הצעת תקציב 2016'!$U$3:$U$7326,O$35)</f>
        <v>#N/A</v>
      </c>
      <c r="P81" s="63" t="e">
        <f>SUMIFS('הצעת תקציב 2016'!$K$3:$K$7326,'הצעת תקציב 2016'!$P$3:$P$7326,$A81+500,'הצעת תקציב 2016'!$U$3:$U$7326,P$35)</f>
        <v>#N/A</v>
      </c>
      <c r="Q81" s="63">
        <f>SUMIFS('הצעת תקציב 2016'!$K$3:$K$7326,'הצעת תקציב 2016'!$P$3:$P$7326,$A81+500,'הצעת תקציב 2016'!$U$3:$U$7326,Q$35)</f>
        <v>0</v>
      </c>
      <c r="R81" s="60" t="e">
        <f t="shared" si="55"/>
        <v>#N/A</v>
      </c>
    </row>
    <row r="82" spans="1:18">
      <c r="A82">
        <f t="shared" ref="A82" si="60">A72</f>
        <v>329</v>
      </c>
      <c r="B82" t="str">
        <f t="shared" si="53"/>
        <v>נוער</v>
      </c>
      <c r="C82" s="63">
        <f>SUMIFS('הצעת תקציב 2016'!$K$3:$K$7326,'הצעת תקציב 2016'!$P$3:$P$7326,$A82,'הצעת תקציב 2016'!$U$3:$U$7326,C$35)</f>
        <v>0</v>
      </c>
      <c r="D82" s="63">
        <f>SUMIFS('הצעת תקציב 2016'!$K$3:$K$7326,'הצעת תקציב 2016'!$P$3:$P$7326,$A82,'הצעת תקציב 2016'!$U$3:$U$7326,D$35)</f>
        <v>0</v>
      </c>
      <c r="E82" s="63">
        <f>SUMIFS('הצעת תקציב 2016'!$K$3:$K$7326,'הצעת תקציב 2016'!$P$3:$P$7326,$A82,'הצעת תקציב 2016'!$U$3:$U$7326,E$35)</f>
        <v>0</v>
      </c>
      <c r="F82" s="63">
        <f>SUMIFS('הצעת תקציב 2016'!$K$3:$K$7326,'הצעת תקציב 2016'!$P$3:$P$7326,$A82,'הצעת תקציב 2016'!$U$3:$U$7326,F$35)</f>
        <v>0</v>
      </c>
      <c r="G82" s="63">
        <f>SUMIFS('הצעת תקציב 2016'!$K$3:$K$7326,'הצעת תקציב 2016'!$P$3:$P$7326,$A82,'הצעת תקציב 2016'!$U$3:$U$7326,G$35)</f>
        <v>0</v>
      </c>
      <c r="H82" s="62">
        <v>828</v>
      </c>
      <c r="I82" s="63" t="e">
        <f>SUMIFS('הצעת תקציב 2016'!$K$3:$K$7326,'הצעת תקציב 2016'!$P$3:$P$7326,$A82+500,'הצעת תקציב 2016'!$U$3:$U$7326,I$35)</f>
        <v>#N/A</v>
      </c>
      <c r="J82" s="63" t="e">
        <f>SUMIFS('הצעת תקציב 2016'!$K$3:$K$7326,'הצעת תקציב 2016'!$P$3:$P$7326,$A82+500,'הצעת תקציב 2016'!$U$3:$U$7326,J$35)</f>
        <v>#N/A</v>
      </c>
      <c r="K82" s="63">
        <f>SUMIFS('הצעת תקציב 2016'!$K$3:$K$7326,'הצעת תקציב 2016'!$P$3:$P$7326,$A82+500,'הצעת תקציב 2016'!$U$3:$U$7326,K$35)</f>
        <v>0</v>
      </c>
      <c r="L82" s="63" t="e">
        <f>SUMIFS('הצעת תקציב 2016'!$K$3:$K$7326,'הצעת תקציב 2016'!$P$3:$P$7326,$A82+500,'הצעת תקציב 2016'!$U$3:$U$7326,L$35)</f>
        <v>#N/A</v>
      </c>
      <c r="M82" s="63" t="e">
        <f>SUMIFS('הצעת תקציב 2016'!$K$3:$K$7326,'הצעת תקציב 2016'!$P$3:$P$7326,$A82+500,'הצעת תקציב 2016'!$U$3:$U$7326,M$35)</f>
        <v>#N/A</v>
      </c>
      <c r="N82" s="63">
        <f>SUMIFS('הצעת תקציב 2016'!$K$3:$K$7326,'הצעת תקציב 2016'!$P$3:$P$7326,$A82+500,'הצעת תקציב 2016'!$U$3:$U$7326,N$35)</f>
        <v>0</v>
      </c>
      <c r="O82" s="63" t="e">
        <f>SUMIFS('הצעת תקציב 2016'!$K$3:$K$7326,'הצעת תקציב 2016'!$P$3:$P$7326,$A82+500,'הצעת תקציב 2016'!$U$3:$U$7326,O$35)</f>
        <v>#N/A</v>
      </c>
      <c r="P82" s="63" t="e">
        <f>SUMIFS('הצעת תקציב 2016'!$K$3:$K$7326,'הצעת תקציב 2016'!$P$3:$P$7326,$A82+500,'הצעת תקציב 2016'!$U$3:$U$7326,P$35)</f>
        <v>#N/A</v>
      </c>
      <c r="Q82" s="63">
        <f>SUMIFS('הצעת תקציב 2016'!$K$3:$K$7326,'הצעת תקציב 2016'!$P$3:$P$7326,$A82+500,'הצעת תקציב 2016'!$U$3:$U$7326,Q$35)</f>
        <v>0</v>
      </c>
      <c r="R82" s="60" t="e">
        <f t="shared" si="55"/>
        <v>#N/A</v>
      </c>
    </row>
    <row r="83" spans="1:18">
      <c r="A83" t="e">
        <f t="shared" ref="A83" si="61">A73</f>
        <v>#VALUE!</v>
      </c>
      <c r="B83" t="str">
        <f t="shared" si="53"/>
        <v>ספורט</v>
      </c>
      <c r="C83" s="63">
        <f>SUMIFS('הצעת תקציב 2016'!$K$3:$K$7326,'הצעת תקציב 2016'!$P$3:$P$7326,$A83,'הצעת תקציב 2016'!$U$3:$U$7326,C$35)</f>
        <v>0</v>
      </c>
      <c r="D83" s="63">
        <f>SUMIFS('הצעת תקציב 2016'!$K$3:$K$7326,'הצעת תקציב 2016'!$P$3:$P$7326,$A83,'הצעת תקציב 2016'!$U$3:$U$7326,D$35)</f>
        <v>0</v>
      </c>
      <c r="E83" s="63">
        <f>SUMIFS('הצעת תקציב 2016'!$K$3:$K$7326,'הצעת תקציב 2016'!$P$3:$P$7326,$A83,'הצעת תקציב 2016'!$U$3:$U$7326,E$35)</f>
        <v>0</v>
      </c>
      <c r="F83" s="63">
        <f>SUMIFS('הצעת תקציב 2016'!$K$3:$K$7326,'הצעת תקציב 2016'!$P$3:$P$7326,$A83,'הצעת תקציב 2016'!$U$3:$U$7326,F$35)</f>
        <v>0</v>
      </c>
      <c r="G83" s="63">
        <f>SUMIFS('הצעת תקציב 2016'!$K$3:$K$7326,'הצעת תקציב 2016'!$P$3:$P$7326,$A83,'הצעת תקציב 2016'!$U$3:$U$7326,G$35)</f>
        <v>0</v>
      </c>
      <c r="H83" s="148">
        <v>829</v>
      </c>
      <c r="I83" s="63">
        <f>SUMIFS('הצעת תקציב 2016'!$K$3:$K$7326,'הצעת תקציב 2016'!$P$3:$P$7326,$A83+500,'הצעת תקציב 2016'!$U$3:$U$7326,I$35)</f>
        <v>0</v>
      </c>
      <c r="J83" s="63">
        <f>SUMIFS('הצעת תקציב 2016'!$K$3:$K$7326,'הצעת תקציב 2016'!$P$3:$P$7326,$A83+500,'הצעת תקציב 2016'!$U$3:$U$7326,J$35)</f>
        <v>0</v>
      </c>
      <c r="K83" s="63">
        <f>SUMIFS('הצעת תקציב 2016'!$K$3:$K$7326,'הצעת תקציב 2016'!$P$3:$P$7326,$A83+500,'הצעת תקציב 2016'!$U$3:$U$7326,K$35)</f>
        <v>0</v>
      </c>
      <c r="L83" s="63">
        <f>SUMIFS('הצעת תקציב 2016'!$K$3:$K$7326,'הצעת תקציב 2016'!$P$3:$P$7326,$A83+500,'הצעת תקציב 2016'!$U$3:$U$7326,L$35)</f>
        <v>0</v>
      </c>
      <c r="M83" s="63">
        <f>SUMIFS('הצעת תקציב 2016'!$K$3:$K$7326,'הצעת תקציב 2016'!$P$3:$P$7326,$A83+500,'הצעת תקציב 2016'!$U$3:$U$7326,M$35)</f>
        <v>0</v>
      </c>
      <c r="N83" s="63">
        <f>SUMIFS('הצעת תקציב 2016'!$K$3:$K$7326,'הצעת תקציב 2016'!$P$3:$P$7326,$A83+500,'הצעת תקציב 2016'!$U$3:$U$7326,N$35)</f>
        <v>0</v>
      </c>
      <c r="O83" s="63">
        <f>SUMIFS('הצעת תקציב 2016'!$K$3:$K$7326,'הצעת תקציב 2016'!$P$3:$P$7326,$A83+500,'הצעת תקציב 2016'!$U$3:$U$7326,O$35)</f>
        <v>0</v>
      </c>
      <c r="P83" s="63">
        <f>SUMIFS('הצעת תקציב 2016'!$K$3:$K$7326,'הצעת תקציב 2016'!$P$3:$P$7326,$A83+500,'הצעת תקציב 2016'!$U$3:$U$7326,P$35)</f>
        <v>0</v>
      </c>
      <c r="Q83" s="63">
        <f>SUMIFS('הצעת תקציב 2016'!$K$3:$K$7326,'הצעת תקציב 2016'!$P$3:$P$7326,$A83+500,'הצעת תקציב 2016'!$U$3:$U$7326,Q$35)</f>
        <v>0</v>
      </c>
      <c r="R83" s="60">
        <f t="shared" si="5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24</vt:i4>
      </vt:variant>
    </vt:vector>
  </HeadingPairs>
  <TitlesOfParts>
    <vt:vector size="38" baseType="lpstr">
      <vt:lpstr>מקור 2016</vt:lpstr>
      <vt:lpstr>Chapter</vt:lpstr>
      <vt:lpstr>type</vt:lpstr>
      <vt:lpstr>דמוגרפיה</vt:lpstr>
      <vt:lpstr>נתוני הכנסות עצמיות</vt:lpstr>
      <vt:lpstr>רמה 2</vt:lpstr>
      <vt:lpstr>תקציב 2015</vt:lpstr>
      <vt:lpstr>הצעת תקציב 2016</vt:lpstr>
      <vt:lpstr>ריכוז נתוני 2016</vt:lpstr>
      <vt:lpstr>City Story</vt:lpstr>
      <vt:lpstr>משימות פירוק</vt:lpstr>
      <vt:lpstr>הצלבות בין הכנסות והוצאות</vt:lpstr>
      <vt:lpstr>חינוך</vt:lpstr>
      <vt:lpstr>תרבות וספורט</vt:lpstr>
      <vt:lpstr>Actual_2013</vt:lpstr>
      <vt:lpstr>Budget_2013</vt:lpstr>
      <vt:lpstr>Budget_2014</vt:lpstr>
      <vt:lpstr>Budget_2015</vt:lpstr>
      <vt:lpstr>Chapter</vt:lpstr>
      <vt:lpstr>Chapter_1</vt:lpstr>
      <vt:lpstr>Chapter_2</vt:lpstr>
      <vt:lpstr>Chapter_3</vt:lpstr>
      <vt:lpstr>Data</vt:lpstr>
      <vt:lpstr>Expenditure_type</vt:lpstr>
      <vt:lpstr>'הצעת תקציב 2016'!Print_Area</vt:lpstr>
      <vt:lpstr>'מקור 2016'!Print_Area</vt:lpstr>
      <vt:lpstr>'הצעת תקציב 2016'!Print_Titles</vt:lpstr>
      <vt:lpstr>'מקור 2016'!Print_Titles</vt:lpstr>
      <vt:lpstr>Revenue_type</vt:lpstr>
      <vt:lpstr>Type_1</vt:lpstr>
      <vt:lpstr>Type_2</vt:lpstr>
      <vt:lpstr>יחס_ארנונה</vt:lpstr>
      <vt:lpstr>ילדים</vt:lpstr>
      <vt:lpstr>ילדים_ונוער</vt:lpstr>
      <vt:lpstr>לא_ילדים</vt:lpstr>
      <vt:lpstr>קשישים</vt:lpstr>
      <vt:lpstr>תושבים_2015</vt:lpstr>
      <vt:lpstr>תקציב_2013</vt:lpstr>
    </vt:vector>
  </TitlesOfParts>
  <Company>COMPUTER  -  STORE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Zehev</dc:creator>
  <cp:lastModifiedBy>Yogev Sharvit</cp:lastModifiedBy>
  <cp:lastPrinted>2014-12-17T11:46:14Z</cp:lastPrinted>
  <dcterms:created xsi:type="dcterms:W3CDTF">2000-12-26T07:42:28Z</dcterms:created>
  <dcterms:modified xsi:type="dcterms:W3CDTF">2016-12-25T10:40:13Z</dcterms:modified>
</cp:coreProperties>
</file>